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ml.chartshapes+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9.xml" ContentType="application/vnd.openxmlformats-officedocument.drawing+xml"/>
  <Override PartName="/xl/comments1.xml" ContentType="application/vnd.openxmlformats-officedocument.spreadsheetml.comments+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omments2.xml" ContentType="application/vnd.openxmlformats-officedocument.spreadsheetml.comments+xml"/>
  <Override PartName="/xl/drawings/drawing10.xml" ContentType="application/vnd.openxmlformats-officedocument.drawing+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1.xml" ContentType="application/vnd.openxmlformats-officedocument.drawingml.chartshapes+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omments3.xml" ContentType="application/vnd.openxmlformats-officedocument.spreadsheetml.comments+xml"/>
  <Override PartName="/xl/drawings/drawing1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202300"/>
  <mc:AlternateContent xmlns:mc="http://schemas.openxmlformats.org/markup-compatibility/2006">
    <mc:Choice Requires="x15">
      <x15ac:absPath xmlns:x15ac="http://schemas.microsoft.com/office/spreadsheetml/2010/11/ac" url="https://d.docs.live.net/58c6644054d92bd9/Teton Trader/My Earnings Strategy/"/>
    </mc:Choice>
  </mc:AlternateContent>
  <xr:revisionPtr revIDLastSave="202" documentId="13_ncr:1_{A74B4435-B412-49E0-AA7C-3E07809DCDDA}" xr6:coauthVersionLast="47" xr6:coauthVersionMax="47" xr10:uidLastSave="{1B72803C-6F4A-44AF-8E27-F82FC6810C2C}"/>
  <bookViews>
    <workbookView xWindow="-120" yWindow="-120" windowWidth="29040" windowHeight="15720" tabRatio="904" activeTab="9" xr2:uid="{661FE685-64FB-4CD4-A430-77F3EBAD4EEF}"/>
  </bookViews>
  <sheets>
    <sheet name="How to update dates" sheetId="14" r:id="rId1"/>
    <sheet name="Indices" sheetId="2" r:id="rId2"/>
    <sheet name="Pivot" sheetId="7" r:id="rId3"/>
    <sheet name="Sector Summary" sheetId="17" r:id="rId4"/>
    <sheet name="Summary Data" sheetId="18" r:id="rId5"/>
    <sheet name="Earnings" sheetId="1" r:id="rId6"/>
    <sheet name="Charts" sheetId="3" r:id="rId7"/>
    <sheet name="SPDR Chart" sheetId="9" r:id="rId8"/>
    <sheet name="Rev Curves" sheetId="11" r:id="rId9"/>
    <sheet name="2025-Q1" sheetId="4" r:id="rId10"/>
    <sheet name="Mgmt" sheetId="20" r:id="rId11"/>
    <sheet name="Sheet1" sheetId="19" r:id="rId12"/>
    <sheet name="Expectancy" sheetId="15" r:id="rId13"/>
    <sheet name="Q1-STATS" sheetId="5" r:id="rId14"/>
    <sheet name="Stats Roll Up" sheetId="13" r:id="rId15"/>
    <sheet name="Symbols" sheetId="16" r:id="rId16"/>
  </sheets>
  <externalReferences>
    <externalReference r:id="rId17"/>
    <externalReference r:id="rId18"/>
    <externalReference r:id="rId19"/>
  </externalReferences>
  <definedNames>
    <definedName name="_xlnm._FilterDatabase" localSheetId="9" hidden="1">'2025-Q1'!$A$3:$HG$448</definedName>
    <definedName name="_xlnm._FilterDatabase" localSheetId="5" hidden="1">Earnings!$A$1:$D$4735</definedName>
    <definedName name="_xlnm._FilterDatabase" localSheetId="1" hidden="1">Indices!$A$1:$D$2676</definedName>
    <definedName name="_xlnm._FilterDatabase" localSheetId="15" hidden="1">Symbols!$A$1:$F$1</definedName>
  </definedNames>
  <calcPr calcId="191029"/>
  <pivotCaches>
    <pivotCache cacheId="7"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83" i="4" l="1"/>
  <c r="HL82" i="4"/>
  <c r="HL81" i="4"/>
  <c r="HL80" i="4"/>
  <c r="F10" i="20"/>
  <c r="E10" i="20"/>
  <c r="B5" i="17"/>
  <c r="GJ448" i="4"/>
  <c r="GG448" i="4"/>
  <c r="GI448" i="4" s="1"/>
  <c r="GG447" i="4"/>
  <c r="GI447" i="4" s="1"/>
  <c r="GJ447"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77" i="4"/>
  <c r="H78" i="4"/>
  <c r="H79" i="4"/>
  <c r="H91" i="4"/>
  <c r="H92" i="4"/>
  <c r="H97" i="4"/>
  <c r="H103" i="4"/>
  <c r="H106" i="4"/>
  <c r="H113" i="4"/>
  <c r="H115" i="4"/>
  <c r="H116" i="4"/>
  <c r="H121" i="4"/>
  <c r="H126" i="4"/>
  <c r="H130" i="4"/>
  <c r="H131" i="4"/>
  <c r="H144" i="4"/>
  <c r="H145" i="4"/>
  <c r="H153" i="4"/>
  <c r="H187" i="4"/>
  <c r="H192" i="4"/>
  <c r="H194" i="4"/>
  <c r="H201" i="4"/>
  <c r="H202" i="4"/>
  <c r="H203" i="4"/>
  <c r="H204" i="4"/>
  <c r="H208" i="4"/>
  <c r="H220" i="4"/>
  <c r="H235" i="4"/>
  <c r="H236" i="4"/>
  <c r="H237" i="4"/>
  <c r="H238" i="4"/>
  <c r="H242" i="4"/>
  <c r="H250" i="4"/>
  <c r="H256" i="4"/>
  <c r="H259" i="4"/>
  <c r="H260" i="4"/>
  <c r="H267" i="4"/>
  <c r="H268" i="4"/>
  <c r="H289" i="4"/>
  <c r="H312" i="4"/>
  <c r="H319" i="4"/>
  <c r="H328" i="4"/>
  <c r="H331" i="4"/>
  <c r="H349" i="4"/>
  <c r="H365" i="4"/>
  <c r="H367" i="4"/>
  <c r="H389" i="4"/>
  <c r="H392" i="4"/>
  <c r="H396" i="4"/>
  <c r="H398" i="4"/>
  <c r="H399" i="4"/>
  <c r="H402" i="4"/>
  <c r="H404" i="4"/>
  <c r="H405" i="4"/>
  <c r="H406" i="4"/>
  <c r="H411" i="4"/>
  <c r="H412" i="4"/>
  <c r="H424" i="4"/>
  <c r="H437" i="4"/>
  <c r="H439" i="4"/>
  <c r="H443" i="4"/>
  <c r="H444" i="4"/>
  <c r="H4" i="4"/>
  <c r="GE443" i="4"/>
  <c r="B24" i="17"/>
  <c r="O24" i="17"/>
  <c r="B30" i="16"/>
  <c r="B29" i="16"/>
  <c r="GG437" i="4"/>
  <c r="GI437" i="4" s="1"/>
  <c r="GJ437" i="4"/>
  <c r="GE446" i="4"/>
  <c r="GE437" i="4"/>
  <c r="GE445" i="4"/>
  <c r="GE448" i="4"/>
  <c r="GE442" i="4"/>
  <c r="GE447" i="4"/>
  <c r="GE441" i="4"/>
  <c r="GE440" i="4"/>
  <c r="GE439" i="4"/>
  <c r="GE436" i="4"/>
  <c r="GE438" i="4"/>
  <c r="GE435" i="4"/>
  <c r="GE434" i="4"/>
  <c r="GE433" i="4"/>
  <c r="GE432" i="4"/>
  <c r="GE431" i="4"/>
  <c r="GE430" i="4"/>
  <c r="GE429" i="4" l="1"/>
  <c r="GE428" i="4" l="1"/>
  <c r="GE426" i="4"/>
  <c r="B17" i="17"/>
  <c r="O17" i="17"/>
  <c r="B10" i="17"/>
  <c r="HG194" i="4"/>
  <c r="GJ194" i="4"/>
  <c r="GG194" i="4"/>
  <c r="K194" i="4"/>
  <c r="GB194" i="4" s="1"/>
  <c r="GE194" i="4"/>
  <c r="B28" i="16"/>
  <c r="B27" i="16"/>
  <c r="B26" i="16"/>
  <c r="GJ421" i="4"/>
  <c r="FZ194" i="4" l="1"/>
  <c r="FY194" i="4"/>
  <c r="FX194" i="4"/>
  <c r="GH194" i="4"/>
  <c r="FV194" i="4"/>
  <c r="GI194" i="4"/>
  <c r="GD194" i="4"/>
  <c r="GC194" i="4"/>
  <c r="E426" i="4"/>
  <c r="E427" i="4"/>
  <c r="GA194" i="4" l="1"/>
  <c r="X194" i="4" s="1"/>
  <c r="FH194" i="4"/>
  <c r="FI194" i="4" s="1"/>
  <c r="FL194" i="4"/>
  <c r="FM194" i="4" s="1"/>
  <c r="FB194" i="4"/>
  <c r="FC194" i="4" s="1"/>
  <c r="R194" i="4"/>
  <c r="FF194" i="4"/>
  <c r="FG194" i="4" s="1"/>
  <c r="FJ194" i="4"/>
  <c r="FK194" i="4" s="1"/>
  <c r="L194" i="4"/>
  <c r="M194" i="4" s="1"/>
  <c r="GK194" i="4"/>
  <c r="GL194" i="4"/>
  <c r="GE421" i="4"/>
  <c r="N194" i="4" l="1"/>
  <c r="HH194" i="4"/>
  <c r="FN194" i="4"/>
  <c r="T194" i="4"/>
  <c r="FP194" i="4"/>
  <c r="V194" i="4" s="1"/>
  <c r="EH194" i="4"/>
  <c r="GE420" i="4"/>
  <c r="GE419" i="4"/>
  <c r="GE418" i="4"/>
  <c r="GE417" i="4"/>
  <c r="GE415" i="4"/>
  <c r="GE414" i="4"/>
  <c r="B23" i="16"/>
  <c r="B24" i="16"/>
  <c r="B25" i="16"/>
  <c r="FD194" i="4" l="1"/>
  <c r="P194" i="4"/>
  <c r="HA194" i="4"/>
  <c r="GJ412" i="4"/>
  <c r="GJ411" i="4"/>
  <c r="GG412" i="4" l="1"/>
  <c r="GI412" i="4" s="1"/>
  <c r="GG411" i="4"/>
  <c r="GI411" i="4" s="1"/>
  <c r="GE412" i="4"/>
  <c r="GE411" i="4"/>
  <c r="GE410" i="4"/>
  <c r="GH446" i="4"/>
  <c r="GH437" i="4"/>
  <c r="GH445" i="4"/>
  <c r="GH444" i="4"/>
  <c r="GH443" i="4"/>
  <c r="GH448" i="4"/>
  <c r="GH442" i="4"/>
  <c r="GH447" i="4"/>
  <c r="GH441" i="4"/>
  <c r="GH439" i="4"/>
  <c r="GH436" i="4"/>
  <c r="GH438" i="4"/>
  <c r="GH435" i="4"/>
  <c r="GH434" i="4"/>
  <c r="GH433" i="4"/>
  <c r="GH432" i="4"/>
  <c r="GH431" i="4"/>
  <c r="GH430" i="4"/>
  <c r="GH440" i="4"/>
  <c r="GH429" i="4"/>
  <c r="GH428" i="4"/>
  <c r="GH426" i="4"/>
  <c r="GH421" i="4"/>
  <c r="GH420" i="4"/>
  <c r="GH419" i="4"/>
  <c r="GH418" i="4"/>
  <c r="GH417" i="4"/>
  <c r="GH415" i="4"/>
  <c r="GH414" i="4"/>
  <c r="GE407" i="4"/>
  <c r="GK448" i="4" l="1"/>
  <c r="GL448" i="4"/>
  <c r="GK447" i="4"/>
  <c r="GL447" i="4"/>
  <c r="GK440" i="4"/>
  <c r="GL440" i="4"/>
  <c r="GK443" i="4"/>
  <c r="GL443" i="4"/>
  <c r="GK445" i="4"/>
  <c r="GL445" i="4"/>
  <c r="GK439" i="4"/>
  <c r="GL439" i="4"/>
  <c r="GK444" i="4"/>
  <c r="GL444" i="4"/>
  <c r="GK446" i="4"/>
  <c r="GL446" i="4"/>
  <c r="GK441" i="4"/>
  <c r="GL441" i="4"/>
  <c r="GK442" i="4"/>
  <c r="GL442" i="4"/>
  <c r="GK438" i="4"/>
  <c r="GL438" i="4"/>
  <c r="GL437" i="4"/>
  <c r="GK437" i="4"/>
  <c r="GK434" i="4"/>
  <c r="GL434" i="4"/>
  <c r="GK435" i="4"/>
  <c r="GL435" i="4"/>
  <c r="GK432" i="4"/>
  <c r="GL432" i="4"/>
  <c r="GK433" i="4"/>
  <c r="GL433" i="4"/>
  <c r="GK436" i="4"/>
  <c r="GL436" i="4"/>
  <c r="GK430" i="4"/>
  <c r="GL430" i="4"/>
  <c r="GK431" i="4"/>
  <c r="GL431" i="4"/>
  <c r="GK429" i="4"/>
  <c r="GL429" i="4"/>
  <c r="GK428" i="4"/>
  <c r="GL428" i="4"/>
  <c r="GK426" i="4"/>
  <c r="GL426" i="4"/>
  <c r="GK421" i="4"/>
  <c r="GL421" i="4"/>
  <c r="GK419" i="4"/>
  <c r="GL419" i="4"/>
  <c r="GK414" i="4"/>
  <c r="GL414" i="4"/>
  <c r="GK415" i="4"/>
  <c r="GL415" i="4"/>
  <c r="GK420" i="4"/>
  <c r="GL420" i="4"/>
  <c r="GK417" i="4"/>
  <c r="GL417" i="4"/>
  <c r="GK418" i="4"/>
  <c r="GL418" i="4"/>
  <c r="GH411" i="4"/>
  <c r="GL411" i="4" s="1"/>
  <c r="GH412" i="4"/>
  <c r="GL412" i="4" s="1"/>
  <c r="GH410" i="4"/>
  <c r="GH407" i="4"/>
  <c r="GJ404" i="4"/>
  <c r="GJ402" i="4"/>
  <c r="GL407" i="4" l="1"/>
  <c r="GK407" i="4"/>
  <c r="GL410" i="4"/>
  <c r="GK410" i="4"/>
  <c r="GK412" i="4"/>
  <c r="GK411" i="4"/>
  <c r="GG402" i="4"/>
  <c r="GI402" i="4" s="1"/>
  <c r="GG404" i="4"/>
  <c r="GI404" i="4" s="1"/>
  <c r="GE404" i="4" l="1"/>
  <c r="GH404" i="4" s="1"/>
  <c r="GK404" i="4" s="1"/>
  <c r="GE403" i="4"/>
  <c r="GH403" i="4" s="1"/>
  <c r="C194" i="4"/>
  <c r="C289" i="4"/>
  <c r="GK403" i="4" l="1"/>
  <c r="GL403" i="4"/>
  <c r="GL404" i="4"/>
  <c r="GJ399" i="4"/>
  <c r="GJ398" i="4"/>
  <c r="E4697" i="1"/>
  <c r="F4697" i="1"/>
  <c r="E4698" i="1"/>
  <c r="F4698" i="1"/>
  <c r="E4699" i="1"/>
  <c r="F4699" i="1"/>
  <c r="E4700" i="1"/>
  <c r="F4700" i="1"/>
  <c r="E4701" i="1"/>
  <c r="F4701" i="1"/>
  <c r="E4702" i="1"/>
  <c r="F4702" i="1"/>
  <c r="E4703" i="1"/>
  <c r="F4703" i="1"/>
  <c r="E4704" i="1"/>
  <c r="F4704" i="1"/>
  <c r="E4705" i="1"/>
  <c r="F4705" i="1"/>
  <c r="E4706" i="1"/>
  <c r="F4706" i="1"/>
  <c r="E4707" i="1"/>
  <c r="F4707" i="1"/>
  <c r="E4708" i="1"/>
  <c r="F4708" i="1"/>
  <c r="E4709" i="1"/>
  <c r="F4709" i="1"/>
  <c r="E4710" i="1"/>
  <c r="F4710" i="1"/>
  <c r="E4711" i="1"/>
  <c r="F4711" i="1"/>
  <c r="E4712" i="1"/>
  <c r="F4712" i="1"/>
  <c r="E4713" i="1"/>
  <c r="F4713" i="1"/>
  <c r="E4714" i="1"/>
  <c r="F4714" i="1"/>
  <c r="E4715" i="1"/>
  <c r="F4715" i="1"/>
  <c r="E4716" i="1"/>
  <c r="F4716" i="1"/>
  <c r="E4717" i="1"/>
  <c r="F4717" i="1"/>
  <c r="E4718" i="1"/>
  <c r="F4718" i="1"/>
  <c r="E4719" i="1"/>
  <c r="F4719" i="1"/>
  <c r="E4720" i="1"/>
  <c r="F4720" i="1"/>
  <c r="E4721" i="1"/>
  <c r="F4721" i="1"/>
  <c r="E4722" i="1"/>
  <c r="F4722" i="1"/>
  <c r="E4723" i="1"/>
  <c r="F4723" i="1"/>
  <c r="E4724" i="1"/>
  <c r="F4724" i="1"/>
  <c r="E4725" i="1"/>
  <c r="F4725" i="1"/>
  <c r="E4726" i="1"/>
  <c r="F4726" i="1"/>
  <c r="E4727" i="1"/>
  <c r="F4727" i="1"/>
  <c r="E4728" i="1"/>
  <c r="F4728" i="1"/>
  <c r="E4729" i="1"/>
  <c r="F4729" i="1"/>
  <c r="E4730" i="1"/>
  <c r="F4730" i="1"/>
  <c r="E4731" i="1"/>
  <c r="F4731" i="1"/>
  <c r="E4732" i="1"/>
  <c r="F4732" i="1"/>
  <c r="E4733" i="1"/>
  <c r="F4733" i="1"/>
  <c r="E4734" i="1"/>
  <c r="F4734" i="1"/>
  <c r="E4735" i="1"/>
  <c r="F4735"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2792" i="1"/>
  <c r="GG399" i="4" l="1"/>
  <c r="GI399" i="4" s="1"/>
  <c r="GG398" i="4"/>
  <c r="GI398" i="4" s="1"/>
  <c r="D5" i="4" l="1"/>
  <c r="D6" i="4"/>
  <c r="ET6" i="4" s="1"/>
  <c r="EU6" i="4" s="1"/>
  <c r="D7" i="4"/>
  <c r="ET7" i="4" s="1"/>
  <c r="EU7" i="4" s="1"/>
  <c r="D8" i="4"/>
  <c r="ET8" i="4" s="1"/>
  <c r="EU8" i="4" s="1"/>
  <c r="D9" i="4"/>
  <c r="ET9" i="4" s="1"/>
  <c r="EU9" i="4" s="1"/>
  <c r="D10" i="4"/>
  <c r="ET10" i="4" s="1"/>
  <c r="EU10" i="4" s="1"/>
  <c r="D11" i="4"/>
  <c r="ET11" i="4" s="1"/>
  <c r="EU11" i="4" s="1"/>
  <c r="D12" i="4"/>
  <c r="ET12" i="4" s="1"/>
  <c r="EU12" i="4" s="1"/>
  <c r="D13" i="4"/>
  <c r="ET13" i="4" s="1"/>
  <c r="EU13" i="4" s="1"/>
  <c r="D14" i="4"/>
  <c r="ET14" i="4" s="1"/>
  <c r="EU14" i="4" s="1"/>
  <c r="D15" i="4"/>
  <c r="ET15" i="4" s="1"/>
  <c r="EU15" i="4" s="1"/>
  <c r="D16" i="4"/>
  <c r="ET16" i="4" s="1"/>
  <c r="EU16" i="4" s="1"/>
  <c r="D17" i="4"/>
  <c r="ET17" i="4" s="1"/>
  <c r="EU17" i="4" s="1"/>
  <c r="D18" i="4"/>
  <c r="ET18" i="4" s="1"/>
  <c r="EU18" i="4" s="1"/>
  <c r="D19" i="4"/>
  <c r="ET19" i="4" s="1"/>
  <c r="EU19" i="4" s="1"/>
  <c r="D20" i="4"/>
  <c r="ET20" i="4" s="1"/>
  <c r="EU20" i="4" s="1"/>
  <c r="D21" i="4"/>
  <c r="ET21" i="4" s="1"/>
  <c r="EU21" i="4" s="1"/>
  <c r="D22" i="4"/>
  <c r="ET22" i="4" s="1"/>
  <c r="EU22" i="4" s="1"/>
  <c r="D23" i="4"/>
  <c r="ET23" i="4" s="1"/>
  <c r="EU23" i="4" s="1"/>
  <c r="D24" i="4"/>
  <c r="ET24" i="4" s="1"/>
  <c r="EU24" i="4" s="1"/>
  <c r="D25" i="4"/>
  <c r="ET25" i="4" s="1"/>
  <c r="EU25" i="4" s="1"/>
  <c r="D26" i="4"/>
  <c r="ET26" i="4" s="1"/>
  <c r="EU26" i="4" s="1"/>
  <c r="D27" i="4"/>
  <c r="ET27" i="4" s="1"/>
  <c r="EU27" i="4" s="1"/>
  <c r="D28" i="4"/>
  <c r="ET28" i="4" s="1"/>
  <c r="EU28" i="4" s="1"/>
  <c r="D29" i="4"/>
  <c r="ET29" i="4" s="1"/>
  <c r="EU29" i="4" s="1"/>
  <c r="D30" i="4"/>
  <c r="ET30" i="4" s="1"/>
  <c r="EU30" i="4" s="1"/>
  <c r="D31" i="4"/>
  <c r="ET31" i="4" s="1"/>
  <c r="EU31" i="4" s="1"/>
  <c r="D32" i="4"/>
  <c r="ET32" i="4" s="1"/>
  <c r="EU32" i="4" s="1"/>
  <c r="D33" i="4"/>
  <c r="ET33" i="4" s="1"/>
  <c r="EU33" i="4" s="1"/>
  <c r="D34" i="4"/>
  <c r="ET34" i="4" s="1"/>
  <c r="EU34" i="4" s="1"/>
  <c r="D35" i="4"/>
  <c r="ET35" i="4" s="1"/>
  <c r="EU35" i="4" s="1"/>
  <c r="D36" i="4"/>
  <c r="ET36" i="4" s="1"/>
  <c r="EU36" i="4" s="1"/>
  <c r="D37" i="4"/>
  <c r="ET37" i="4" s="1"/>
  <c r="EU37" i="4" s="1"/>
  <c r="D38" i="4"/>
  <c r="ET38" i="4" s="1"/>
  <c r="EU38" i="4" s="1"/>
  <c r="D39" i="4"/>
  <c r="ET39" i="4" s="1"/>
  <c r="EU39" i="4" s="1"/>
  <c r="D40" i="4"/>
  <c r="ET40" i="4" s="1"/>
  <c r="EU40" i="4" s="1"/>
  <c r="D41" i="4"/>
  <c r="ET41" i="4" s="1"/>
  <c r="EU41" i="4" s="1"/>
  <c r="D42" i="4"/>
  <c r="ET42" i="4" s="1"/>
  <c r="EU42" i="4" s="1"/>
  <c r="D43" i="4"/>
  <c r="ET43" i="4" s="1"/>
  <c r="EU43" i="4" s="1"/>
  <c r="D44" i="4"/>
  <c r="ET44" i="4" s="1"/>
  <c r="EU44" i="4" s="1"/>
  <c r="D45" i="4"/>
  <c r="ET45" i="4" s="1"/>
  <c r="EU45" i="4" s="1"/>
  <c r="D46" i="4"/>
  <c r="ET46" i="4" s="1"/>
  <c r="EU46" i="4" s="1"/>
  <c r="D47" i="4"/>
  <c r="ET47" i="4" s="1"/>
  <c r="EU47" i="4" s="1"/>
  <c r="D48" i="4"/>
  <c r="ET48" i="4" s="1"/>
  <c r="EU48" i="4" s="1"/>
  <c r="D49" i="4"/>
  <c r="ET49" i="4" s="1"/>
  <c r="EU49" i="4" s="1"/>
  <c r="D50" i="4"/>
  <c r="ET50" i="4" s="1"/>
  <c r="EU50" i="4" s="1"/>
  <c r="D51" i="4"/>
  <c r="ET51" i="4" s="1"/>
  <c r="EU51" i="4" s="1"/>
  <c r="D52" i="4"/>
  <c r="ET52" i="4" s="1"/>
  <c r="EU52" i="4" s="1"/>
  <c r="D53" i="4"/>
  <c r="ET53" i="4" s="1"/>
  <c r="EU53" i="4" s="1"/>
  <c r="D54" i="4"/>
  <c r="ET54" i="4" s="1"/>
  <c r="EU54" i="4" s="1"/>
  <c r="D55" i="4"/>
  <c r="ET55" i="4" s="1"/>
  <c r="EU55" i="4" s="1"/>
  <c r="D56" i="4"/>
  <c r="ET56" i="4" s="1"/>
  <c r="EU56" i="4" s="1"/>
  <c r="D57" i="4"/>
  <c r="ET57" i="4" s="1"/>
  <c r="EU57" i="4" s="1"/>
  <c r="D58" i="4"/>
  <c r="ET58" i="4" s="1"/>
  <c r="EU58" i="4" s="1"/>
  <c r="D59" i="4"/>
  <c r="ET59" i="4" s="1"/>
  <c r="EU59" i="4" s="1"/>
  <c r="D60" i="4"/>
  <c r="ET60" i="4" s="1"/>
  <c r="EU60" i="4" s="1"/>
  <c r="D61" i="4"/>
  <c r="ET61" i="4" s="1"/>
  <c r="EU61" i="4" s="1"/>
  <c r="D62" i="4"/>
  <c r="ET62" i="4" s="1"/>
  <c r="EU62" i="4" s="1"/>
  <c r="D63" i="4"/>
  <c r="ET63" i="4" s="1"/>
  <c r="EU63" i="4" s="1"/>
  <c r="D64" i="4"/>
  <c r="ET64" i="4" s="1"/>
  <c r="EU64" i="4" s="1"/>
  <c r="D65" i="4"/>
  <c r="ET65" i="4" s="1"/>
  <c r="EU65" i="4" s="1"/>
  <c r="D66" i="4"/>
  <c r="ET66" i="4" s="1"/>
  <c r="EU66" i="4" s="1"/>
  <c r="D67" i="4"/>
  <c r="ET67" i="4" s="1"/>
  <c r="EU67" i="4" s="1"/>
  <c r="D68" i="4"/>
  <c r="ET68" i="4" s="1"/>
  <c r="EU68" i="4" s="1"/>
  <c r="D69" i="4"/>
  <c r="ET69" i="4" s="1"/>
  <c r="EU69" i="4" s="1"/>
  <c r="D70" i="4"/>
  <c r="ET70" i="4" s="1"/>
  <c r="EU70" i="4" s="1"/>
  <c r="D71" i="4"/>
  <c r="ET71" i="4" s="1"/>
  <c r="EU71" i="4" s="1"/>
  <c r="D72" i="4"/>
  <c r="ET72" i="4" s="1"/>
  <c r="EU72" i="4" s="1"/>
  <c r="D73" i="4"/>
  <c r="ET73" i="4" s="1"/>
  <c r="EU73" i="4" s="1"/>
  <c r="D74" i="4"/>
  <c r="ET74" i="4" s="1"/>
  <c r="EU74" i="4" s="1"/>
  <c r="D75" i="4"/>
  <c r="ET75" i="4" s="1"/>
  <c r="EU75" i="4" s="1"/>
  <c r="D76" i="4"/>
  <c r="ET76" i="4" s="1"/>
  <c r="EU76" i="4" s="1"/>
  <c r="D77" i="4"/>
  <c r="ET77" i="4" s="1"/>
  <c r="EU77" i="4" s="1"/>
  <c r="D78" i="4"/>
  <c r="ET78" i="4" s="1"/>
  <c r="EU78" i="4" s="1"/>
  <c r="D79" i="4"/>
  <c r="ET79" i="4" s="1"/>
  <c r="EU79" i="4" s="1"/>
  <c r="D80" i="4"/>
  <c r="ET80" i="4" s="1"/>
  <c r="EU80" i="4" s="1"/>
  <c r="D81" i="4"/>
  <c r="ET81" i="4" s="1"/>
  <c r="EU81" i="4" s="1"/>
  <c r="D82" i="4"/>
  <c r="ET82" i="4" s="1"/>
  <c r="EU82" i="4" s="1"/>
  <c r="D83" i="4"/>
  <c r="ET83" i="4" s="1"/>
  <c r="EU83" i="4" s="1"/>
  <c r="D84" i="4"/>
  <c r="ET84" i="4" s="1"/>
  <c r="EU84" i="4" s="1"/>
  <c r="D85" i="4"/>
  <c r="ET85" i="4" s="1"/>
  <c r="EU85" i="4" s="1"/>
  <c r="D86" i="4"/>
  <c r="ET86" i="4" s="1"/>
  <c r="EU86" i="4" s="1"/>
  <c r="D87" i="4"/>
  <c r="D88" i="4"/>
  <c r="ET88" i="4" s="1"/>
  <c r="EU88" i="4" s="1"/>
  <c r="D89" i="4"/>
  <c r="ET89" i="4" s="1"/>
  <c r="EU89" i="4" s="1"/>
  <c r="D90" i="4"/>
  <c r="ET90" i="4" s="1"/>
  <c r="EU90" i="4" s="1"/>
  <c r="D91" i="4"/>
  <c r="ET91" i="4" s="1"/>
  <c r="EU91" i="4" s="1"/>
  <c r="D92" i="4"/>
  <c r="ET92" i="4" s="1"/>
  <c r="EU92" i="4" s="1"/>
  <c r="D93" i="4"/>
  <c r="ET93" i="4" s="1"/>
  <c r="EU93" i="4" s="1"/>
  <c r="D94" i="4"/>
  <c r="ET94" i="4" s="1"/>
  <c r="EU94" i="4" s="1"/>
  <c r="D95" i="4"/>
  <c r="ET95" i="4" s="1"/>
  <c r="EU95" i="4" s="1"/>
  <c r="D96" i="4"/>
  <c r="ET96" i="4" s="1"/>
  <c r="EU96" i="4" s="1"/>
  <c r="D97" i="4"/>
  <c r="ET97" i="4" s="1"/>
  <c r="EU97" i="4" s="1"/>
  <c r="D98" i="4"/>
  <c r="ET98" i="4" s="1"/>
  <c r="EU98" i="4" s="1"/>
  <c r="D99" i="4"/>
  <c r="ET99" i="4" s="1"/>
  <c r="EU99" i="4" s="1"/>
  <c r="D100" i="4"/>
  <c r="ET100" i="4" s="1"/>
  <c r="EU100" i="4" s="1"/>
  <c r="D101" i="4"/>
  <c r="ET101" i="4" s="1"/>
  <c r="EU101" i="4" s="1"/>
  <c r="D102" i="4"/>
  <c r="ET102" i="4" s="1"/>
  <c r="EU102" i="4" s="1"/>
  <c r="D103" i="4"/>
  <c r="D104" i="4"/>
  <c r="ET104" i="4" s="1"/>
  <c r="EU104" i="4" s="1"/>
  <c r="D105" i="4"/>
  <c r="ET105" i="4" s="1"/>
  <c r="EU105" i="4" s="1"/>
  <c r="D106" i="4"/>
  <c r="ET106" i="4" s="1"/>
  <c r="EU106" i="4" s="1"/>
  <c r="D107" i="4"/>
  <c r="ET107" i="4" s="1"/>
  <c r="EU107" i="4" s="1"/>
  <c r="D108" i="4"/>
  <c r="ET108" i="4" s="1"/>
  <c r="EU108" i="4" s="1"/>
  <c r="D109" i="4"/>
  <c r="ET109" i="4" s="1"/>
  <c r="EU109" i="4" s="1"/>
  <c r="D110" i="4"/>
  <c r="ET110" i="4" s="1"/>
  <c r="EU110" i="4" s="1"/>
  <c r="D111" i="4"/>
  <c r="ET111" i="4" s="1"/>
  <c r="EU111" i="4" s="1"/>
  <c r="D112" i="4"/>
  <c r="ET112" i="4" s="1"/>
  <c r="EU112" i="4" s="1"/>
  <c r="D113" i="4"/>
  <c r="ET113" i="4" s="1"/>
  <c r="EU113" i="4" s="1"/>
  <c r="D114" i="4"/>
  <c r="ET114" i="4" s="1"/>
  <c r="EU114" i="4" s="1"/>
  <c r="D115" i="4"/>
  <c r="ET115" i="4" s="1"/>
  <c r="EU115" i="4" s="1"/>
  <c r="D116" i="4"/>
  <c r="ET116" i="4" s="1"/>
  <c r="EU116" i="4" s="1"/>
  <c r="D117" i="4"/>
  <c r="ET117" i="4" s="1"/>
  <c r="EU117" i="4" s="1"/>
  <c r="D118" i="4"/>
  <c r="ET118" i="4" s="1"/>
  <c r="EU118" i="4" s="1"/>
  <c r="D119" i="4"/>
  <c r="ET119" i="4" s="1"/>
  <c r="EU119" i="4" s="1"/>
  <c r="D120" i="4"/>
  <c r="D121" i="4"/>
  <c r="ET121" i="4" s="1"/>
  <c r="EU121" i="4" s="1"/>
  <c r="D122" i="4"/>
  <c r="ET122" i="4" s="1"/>
  <c r="EU122" i="4" s="1"/>
  <c r="D123" i="4"/>
  <c r="ET123" i="4" s="1"/>
  <c r="EU123" i="4" s="1"/>
  <c r="D124" i="4"/>
  <c r="ET124" i="4" s="1"/>
  <c r="EU124" i="4" s="1"/>
  <c r="D125" i="4"/>
  <c r="ET125" i="4" s="1"/>
  <c r="EU125" i="4" s="1"/>
  <c r="D126" i="4"/>
  <c r="ET126" i="4" s="1"/>
  <c r="EU126" i="4" s="1"/>
  <c r="D127" i="4"/>
  <c r="ET127" i="4" s="1"/>
  <c r="EU127" i="4" s="1"/>
  <c r="D128" i="4"/>
  <c r="ET128" i="4" s="1"/>
  <c r="EU128" i="4" s="1"/>
  <c r="D129" i="4"/>
  <c r="ET129" i="4" s="1"/>
  <c r="EU129" i="4" s="1"/>
  <c r="D130" i="4"/>
  <c r="D131" i="4"/>
  <c r="ET131" i="4" s="1"/>
  <c r="EU131" i="4" s="1"/>
  <c r="D132" i="4"/>
  <c r="ET132" i="4" s="1"/>
  <c r="EU132" i="4" s="1"/>
  <c r="D133" i="4"/>
  <c r="ET133" i="4" s="1"/>
  <c r="EU133" i="4" s="1"/>
  <c r="D134" i="4"/>
  <c r="ET134" i="4" s="1"/>
  <c r="EU134" i="4" s="1"/>
  <c r="D135" i="4"/>
  <c r="ET135" i="4" s="1"/>
  <c r="EU135" i="4" s="1"/>
  <c r="D136" i="4"/>
  <c r="ET136" i="4" s="1"/>
  <c r="EU136" i="4" s="1"/>
  <c r="D137" i="4"/>
  <c r="ET137" i="4" s="1"/>
  <c r="EU137" i="4" s="1"/>
  <c r="D138" i="4"/>
  <c r="ET138" i="4" s="1"/>
  <c r="EU138" i="4" s="1"/>
  <c r="D139" i="4"/>
  <c r="ET139" i="4" s="1"/>
  <c r="EU139" i="4" s="1"/>
  <c r="D140" i="4"/>
  <c r="ET140" i="4" s="1"/>
  <c r="EU140" i="4" s="1"/>
  <c r="D141" i="4"/>
  <c r="ET141" i="4" s="1"/>
  <c r="EU141" i="4" s="1"/>
  <c r="D142" i="4"/>
  <c r="ET142" i="4" s="1"/>
  <c r="EU142" i="4" s="1"/>
  <c r="D143" i="4"/>
  <c r="ET143" i="4" s="1"/>
  <c r="EU143" i="4" s="1"/>
  <c r="D144" i="4"/>
  <c r="D145" i="4"/>
  <c r="D146" i="4"/>
  <c r="ET146" i="4" s="1"/>
  <c r="EU146" i="4" s="1"/>
  <c r="D147" i="4"/>
  <c r="ET147" i="4" s="1"/>
  <c r="EU147" i="4" s="1"/>
  <c r="D148" i="4"/>
  <c r="ET148" i="4" s="1"/>
  <c r="EU148" i="4" s="1"/>
  <c r="D149" i="4"/>
  <c r="ET149" i="4" s="1"/>
  <c r="EU149" i="4" s="1"/>
  <c r="D150" i="4"/>
  <c r="ET150" i="4" s="1"/>
  <c r="EU150" i="4" s="1"/>
  <c r="D151" i="4"/>
  <c r="ET151" i="4" s="1"/>
  <c r="EU151" i="4" s="1"/>
  <c r="D152" i="4"/>
  <c r="ET152" i="4" s="1"/>
  <c r="EU152" i="4" s="1"/>
  <c r="D153" i="4"/>
  <c r="ET153" i="4" s="1"/>
  <c r="EU153" i="4" s="1"/>
  <c r="D154" i="4"/>
  <c r="ET154" i="4" s="1"/>
  <c r="EU154" i="4" s="1"/>
  <c r="D155" i="4"/>
  <c r="ET155" i="4" s="1"/>
  <c r="EU155" i="4" s="1"/>
  <c r="D156" i="4"/>
  <c r="ET156" i="4" s="1"/>
  <c r="EU156" i="4" s="1"/>
  <c r="D157" i="4"/>
  <c r="ET157" i="4" s="1"/>
  <c r="EU157" i="4" s="1"/>
  <c r="D158" i="4"/>
  <c r="ET158" i="4" s="1"/>
  <c r="EU158" i="4" s="1"/>
  <c r="D159" i="4"/>
  <c r="ET159" i="4" s="1"/>
  <c r="EU159" i="4" s="1"/>
  <c r="D160" i="4"/>
  <c r="ET160" i="4" s="1"/>
  <c r="EU160" i="4" s="1"/>
  <c r="D161" i="4"/>
  <c r="ET161" i="4" s="1"/>
  <c r="EU161" i="4" s="1"/>
  <c r="D162" i="4"/>
  <c r="ET162" i="4" s="1"/>
  <c r="EU162" i="4" s="1"/>
  <c r="D163" i="4"/>
  <c r="ET163" i="4" s="1"/>
  <c r="EU163" i="4" s="1"/>
  <c r="D164" i="4"/>
  <c r="ET164" i="4" s="1"/>
  <c r="EU164" i="4" s="1"/>
  <c r="D165" i="4"/>
  <c r="ET165" i="4" s="1"/>
  <c r="EU165" i="4" s="1"/>
  <c r="D166" i="4"/>
  <c r="ET166" i="4" s="1"/>
  <c r="EU166" i="4" s="1"/>
  <c r="D167" i="4"/>
  <c r="ET167" i="4" s="1"/>
  <c r="EU167" i="4" s="1"/>
  <c r="D168" i="4"/>
  <c r="ET168" i="4" s="1"/>
  <c r="EU168" i="4" s="1"/>
  <c r="D169" i="4"/>
  <c r="ET169" i="4" s="1"/>
  <c r="EU169" i="4" s="1"/>
  <c r="D170" i="4"/>
  <c r="ET170" i="4" s="1"/>
  <c r="EU170" i="4" s="1"/>
  <c r="D171" i="4"/>
  <c r="ET171" i="4" s="1"/>
  <c r="EU171" i="4" s="1"/>
  <c r="D172" i="4"/>
  <c r="ET172" i="4" s="1"/>
  <c r="EU172" i="4" s="1"/>
  <c r="D173" i="4"/>
  <c r="ET173" i="4" s="1"/>
  <c r="EU173" i="4" s="1"/>
  <c r="D174" i="4"/>
  <c r="ET174" i="4" s="1"/>
  <c r="EU174" i="4" s="1"/>
  <c r="D175" i="4"/>
  <c r="ET175" i="4" s="1"/>
  <c r="EU175" i="4" s="1"/>
  <c r="D176" i="4"/>
  <c r="ET176" i="4" s="1"/>
  <c r="EU176" i="4" s="1"/>
  <c r="D177" i="4"/>
  <c r="ET177" i="4" s="1"/>
  <c r="EU177" i="4" s="1"/>
  <c r="D178" i="4"/>
  <c r="ET178" i="4" s="1"/>
  <c r="EU178" i="4" s="1"/>
  <c r="D179" i="4"/>
  <c r="ET179" i="4" s="1"/>
  <c r="EU179" i="4" s="1"/>
  <c r="D180" i="4"/>
  <c r="ET180" i="4" s="1"/>
  <c r="EU180" i="4" s="1"/>
  <c r="D181" i="4"/>
  <c r="ET181" i="4" s="1"/>
  <c r="EU181" i="4" s="1"/>
  <c r="D182" i="4"/>
  <c r="ET182" i="4" s="1"/>
  <c r="EU182" i="4" s="1"/>
  <c r="D183" i="4"/>
  <c r="ET183" i="4" s="1"/>
  <c r="EU183" i="4" s="1"/>
  <c r="D184" i="4"/>
  <c r="ET184" i="4" s="1"/>
  <c r="EU184" i="4" s="1"/>
  <c r="D185" i="4"/>
  <c r="ET185" i="4" s="1"/>
  <c r="EU185" i="4" s="1"/>
  <c r="D186" i="4"/>
  <c r="ET186" i="4" s="1"/>
  <c r="EU186" i="4" s="1"/>
  <c r="D187" i="4"/>
  <c r="ET187" i="4" s="1"/>
  <c r="EU187" i="4" s="1"/>
  <c r="D188" i="4"/>
  <c r="ET188" i="4" s="1"/>
  <c r="EU188" i="4" s="1"/>
  <c r="D189" i="4"/>
  <c r="ET189" i="4" s="1"/>
  <c r="EU189" i="4" s="1"/>
  <c r="D190" i="4"/>
  <c r="ET190" i="4" s="1"/>
  <c r="EU190" i="4" s="1"/>
  <c r="D191" i="4"/>
  <c r="ET191" i="4" s="1"/>
  <c r="EU191" i="4" s="1"/>
  <c r="D192" i="4"/>
  <c r="ET192" i="4" s="1"/>
  <c r="EU192" i="4" s="1"/>
  <c r="D193" i="4"/>
  <c r="ET193" i="4" s="1"/>
  <c r="EU193" i="4" s="1"/>
  <c r="D194" i="4"/>
  <c r="D195" i="4"/>
  <c r="ET195" i="4" s="1"/>
  <c r="EU195" i="4" s="1"/>
  <c r="D196" i="4"/>
  <c r="ET196" i="4" s="1"/>
  <c r="EU196" i="4" s="1"/>
  <c r="D197" i="4"/>
  <c r="ET197" i="4" s="1"/>
  <c r="EU197" i="4" s="1"/>
  <c r="D198" i="4"/>
  <c r="ET198" i="4" s="1"/>
  <c r="EU198" i="4" s="1"/>
  <c r="D199" i="4"/>
  <c r="ET199" i="4" s="1"/>
  <c r="EU199" i="4" s="1"/>
  <c r="D200" i="4"/>
  <c r="ET200" i="4" s="1"/>
  <c r="EU200" i="4" s="1"/>
  <c r="D201" i="4"/>
  <c r="D202" i="4"/>
  <c r="D203" i="4"/>
  <c r="D204" i="4"/>
  <c r="D205" i="4"/>
  <c r="ET205" i="4" s="1"/>
  <c r="EU205" i="4" s="1"/>
  <c r="D206" i="4"/>
  <c r="ET206" i="4" s="1"/>
  <c r="EU206" i="4" s="1"/>
  <c r="D207" i="4"/>
  <c r="ET207" i="4" s="1"/>
  <c r="EU207" i="4" s="1"/>
  <c r="D208" i="4"/>
  <c r="ET208" i="4" s="1"/>
  <c r="EU208" i="4" s="1"/>
  <c r="D209" i="4"/>
  <c r="ET209" i="4" s="1"/>
  <c r="EU209" i="4" s="1"/>
  <c r="D210" i="4"/>
  <c r="ET210" i="4" s="1"/>
  <c r="EU210" i="4" s="1"/>
  <c r="D211" i="4"/>
  <c r="ET211" i="4" s="1"/>
  <c r="EU211" i="4" s="1"/>
  <c r="D212" i="4"/>
  <c r="ET212" i="4" s="1"/>
  <c r="EU212" i="4" s="1"/>
  <c r="D213" i="4"/>
  <c r="ET213" i="4" s="1"/>
  <c r="EU213" i="4" s="1"/>
  <c r="D214" i="4"/>
  <c r="ET214" i="4" s="1"/>
  <c r="EU214" i="4" s="1"/>
  <c r="D215" i="4"/>
  <c r="ET215" i="4" s="1"/>
  <c r="EU215" i="4" s="1"/>
  <c r="D216" i="4"/>
  <c r="ET216" i="4" s="1"/>
  <c r="EU216" i="4" s="1"/>
  <c r="D217" i="4"/>
  <c r="ET217" i="4" s="1"/>
  <c r="EU217" i="4" s="1"/>
  <c r="D218" i="4"/>
  <c r="ET218" i="4" s="1"/>
  <c r="EU218" i="4" s="1"/>
  <c r="D219" i="4"/>
  <c r="ET219" i="4" s="1"/>
  <c r="EU219" i="4" s="1"/>
  <c r="D220" i="4"/>
  <c r="ET220" i="4" s="1"/>
  <c r="EU220" i="4" s="1"/>
  <c r="D221" i="4"/>
  <c r="ET221" i="4" s="1"/>
  <c r="EU221" i="4" s="1"/>
  <c r="D222" i="4"/>
  <c r="ET222" i="4" s="1"/>
  <c r="EU222" i="4" s="1"/>
  <c r="D223" i="4"/>
  <c r="ET223" i="4" s="1"/>
  <c r="EU223" i="4" s="1"/>
  <c r="D224" i="4"/>
  <c r="D225" i="4"/>
  <c r="ET225" i="4" s="1"/>
  <c r="EU225" i="4" s="1"/>
  <c r="D226" i="4"/>
  <c r="ET226" i="4" s="1"/>
  <c r="EU226" i="4" s="1"/>
  <c r="D227" i="4"/>
  <c r="ET227" i="4" s="1"/>
  <c r="EU227" i="4" s="1"/>
  <c r="D228" i="4"/>
  <c r="ET228" i="4" s="1"/>
  <c r="EU228" i="4" s="1"/>
  <c r="D229" i="4"/>
  <c r="ET229" i="4" s="1"/>
  <c r="EU229" i="4" s="1"/>
  <c r="D230" i="4"/>
  <c r="ET230" i="4" s="1"/>
  <c r="EU230" i="4" s="1"/>
  <c r="D231" i="4"/>
  <c r="ET231" i="4" s="1"/>
  <c r="EU231" i="4" s="1"/>
  <c r="D232" i="4"/>
  <c r="ET232" i="4" s="1"/>
  <c r="EU232" i="4" s="1"/>
  <c r="D233" i="4"/>
  <c r="ET233" i="4" s="1"/>
  <c r="EU233" i="4" s="1"/>
  <c r="D234" i="4"/>
  <c r="ET234" i="4" s="1"/>
  <c r="EU234" i="4" s="1"/>
  <c r="D235" i="4"/>
  <c r="ET235" i="4" s="1"/>
  <c r="EU235" i="4" s="1"/>
  <c r="D236" i="4"/>
  <c r="D237" i="4"/>
  <c r="D238" i="4"/>
  <c r="ET238" i="4" s="1"/>
  <c r="EU238" i="4" s="1"/>
  <c r="D239" i="4"/>
  <c r="ET239" i="4" s="1"/>
  <c r="EU239" i="4" s="1"/>
  <c r="D240" i="4"/>
  <c r="ET240" i="4" s="1"/>
  <c r="EU240" i="4" s="1"/>
  <c r="D241" i="4"/>
  <c r="ET241" i="4" s="1"/>
  <c r="EU241" i="4" s="1"/>
  <c r="D242" i="4"/>
  <c r="ET242" i="4" s="1"/>
  <c r="EU242" i="4" s="1"/>
  <c r="D243" i="4"/>
  <c r="ET243" i="4" s="1"/>
  <c r="EU243" i="4" s="1"/>
  <c r="D244" i="4"/>
  <c r="ET244" i="4" s="1"/>
  <c r="EU244" i="4" s="1"/>
  <c r="D245" i="4"/>
  <c r="ET245" i="4" s="1"/>
  <c r="EU245" i="4" s="1"/>
  <c r="D246" i="4"/>
  <c r="ET246" i="4" s="1"/>
  <c r="EU246" i="4" s="1"/>
  <c r="D247" i="4"/>
  <c r="ET247" i="4" s="1"/>
  <c r="EU247" i="4" s="1"/>
  <c r="D248" i="4"/>
  <c r="ET248" i="4" s="1"/>
  <c r="EU248" i="4" s="1"/>
  <c r="D249" i="4"/>
  <c r="ET249" i="4" s="1"/>
  <c r="EU249" i="4" s="1"/>
  <c r="D250" i="4"/>
  <c r="ET250" i="4" s="1"/>
  <c r="EU250" i="4" s="1"/>
  <c r="D251" i="4"/>
  <c r="ET251" i="4" s="1"/>
  <c r="EU251" i="4" s="1"/>
  <c r="D252" i="4"/>
  <c r="ET252" i="4" s="1"/>
  <c r="EU252" i="4" s="1"/>
  <c r="D253" i="4"/>
  <c r="ET253" i="4" s="1"/>
  <c r="EU253" i="4" s="1"/>
  <c r="D254" i="4"/>
  <c r="ET254" i="4" s="1"/>
  <c r="EU254" i="4" s="1"/>
  <c r="D255" i="4"/>
  <c r="ET255" i="4" s="1"/>
  <c r="EU255" i="4" s="1"/>
  <c r="D256" i="4"/>
  <c r="ET256" i="4" s="1"/>
  <c r="EU256" i="4" s="1"/>
  <c r="D257" i="4"/>
  <c r="ET257" i="4" s="1"/>
  <c r="EU257" i="4" s="1"/>
  <c r="D258" i="4"/>
  <c r="ET258" i="4" s="1"/>
  <c r="EU258" i="4" s="1"/>
  <c r="D259" i="4"/>
  <c r="ET259" i="4" s="1"/>
  <c r="EU259" i="4" s="1"/>
  <c r="D260" i="4"/>
  <c r="ET260" i="4" s="1"/>
  <c r="EU260" i="4" s="1"/>
  <c r="D261" i="4"/>
  <c r="ET261" i="4" s="1"/>
  <c r="EU261" i="4" s="1"/>
  <c r="D262" i="4"/>
  <c r="D263" i="4"/>
  <c r="ET263" i="4" s="1"/>
  <c r="EU263" i="4" s="1"/>
  <c r="D264" i="4"/>
  <c r="ET264" i="4" s="1"/>
  <c r="EU264" i="4" s="1"/>
  <c r="D265" i="4"/>
  <c r="ET265" i="4" s="1"/>
  <c r="EU265" i="4" s="1"/>
  <c r="D266" i="4"/>
  <c r="ET266" i="4" s="1"/>
  <c r="EU266" i="4" s="1"/>
  <c r="D267" i="4"/>
  <c r="ET267" i="4" s="1"/>
  <c r="EU267" i="4" s="1"/>
  <c r="D268" i="4"/>
  <c r="ET268" i="4" s="1"/>
  <c r="EU268" i="4" s="1"/>
  <c r="D269" i="4"/>
  <c r="ET269" i="4" s="1"/>
  <c r="EU269" i="4" s="1"/>
  <c r="D270" i="4"/>
  <c r="ET270" i="4" s="1"/>
  <c r="EU270" i="4" s="1"/>
  <c r="D271" i="4"/>
  <c r="ET271" i="4" s="1"/>
  <c r="EU271" i="4" s="1"/>
  <c r="D272" i="4"/>
  <c r="ET272" i="4" s="1"/>
  <c r="EU272" i="4" s="1"/>
  <c r="D273" i="4"/>
  <c r="ET273" i="4" s="1"/>
  <c r="EU273" i="4" s="1"/>
  <c r="D274" i="4"/>
  <c r="ET274" i="4" s="1"/>
  <c r="EU274" i="4" s="1"/>
  <c r="D275" i="4"/>
  <c r="ET275" i="4" s="1"/>
  <c r="EU275" i="4" s="1"/>
  <c r="D276" i="4"/>
  <c r="ET276" i="4" s="1"/>
  <c r="EU276" i="4" s="1"/>
  <c r="D277" i="4"/>
  <c r="ET277" i="4" s="1"/>
  <c r="EU277" i="4" s="1"/>
  <c r="D278" i="4"/>
  <c r="ET278" i="4" s="1"/>
  <c r="EU278" i="4" s="1"/>
  <c r="D279" i="4"/>
  <c r="ET279" i="4" s="1"/>
  <c r="EU279" i="4" s="1"/>
  <c r="D280" i="4"/>
  <c r="ET280" i="4" s="1"/>
  <c r="EU280" i="4" s="1"/>
  <c r="D281" i="4"/>
  <c r="ET281" i="4" s="1"/>
  <c r="EU281" i="4" s="1"/>
  <c r="D282" i="4"/>
  <c r="ET282" i="4" s="1"/>
  <c r="EU282" i="4" s="1"/>
  <c r="D283" i="4"/>
  <c r="ET283" i="4" s="1"/>
  <c r="EU283" i="4" s="1"/>
  <c r="D284" i="4"/>
  <c r="ET284" i="4" s="1"/>
  <c r="EU284" i="4" s="1"/>
  <c r="D285" i="4"/>
  <c r="ET285" i="4" s="1"/>
  <c r="EU285" i="4" s="1"/>
  <c r="D286" i="4"/>
  <c r="ET286" i="4" s="1"/>
  <c r="EU286" i="4" s="1"/>
  <c r="D287" i="4"/>
  <c r="ET287" i="4" s="1"/>
  <c r="EU287" i="4" s="1"/>
  <c r="D288" i="4"/>
  <c r="ET288" i="4" s="1"/>
  <c r="EU288" i="4" s="1"/>
  <c r="D289" i="4"/>
  <c r="ET289" i="4" s="1"/>
  <c r="EU289" i="4" s="1"/>
  <c r="D290" i="4"/>
  <c r="ET290" i="4" s="1"/>
  <c r="EU290" i="4" s="1"/>
  <c r="D291" i="4"/>
  <c r="ET291" i="4" s="1"/>
  <c r="EU291" i="4" s="1"/>
  <c r="D292" i="4"/>
  <c r="ET292" i="4" s="1"/>
  <c r="EU292" i="4" s="1"/>
  <c r="D293" i="4"/>
  <c r="ET293" i="4" s="1"/>
  <c r="EU293" i="4" s="1"/>
  <c r="D294" i="4"/>
  <c r="D295" i="4"/>
  <c r="D296" i="4"/>
  <c r="ET296" i="4" s="1"/>
  <c r="EU296" i="4" s="1"/>
  <c r="D297" i="4"/>
  <c r="ET297" i="4" s="1"/>
  <c r="EU297" i="4" s="1"/>
  <c r="D298" i="4"/>
  <c r="ET298" i="4" s="1"/>
  <c r="EU298" i="4" s="1"/>
  <c r="D299" i="4"/>
  <c r="D300" i="4"/>
  <c r="ET300" i="4" s="1"/>
  <c r="EU300" i="4" s="1"/>
  <c r="D301" i="4"/>
  <c r="ET301" i="4" s="1"/>
  <c r="EU301" i="4" s="1"/>
  <c r="D302" i="4"/>
  <c r="ET302" i="4" s="1"/>
  <c r="EU302" i="4" s="1"/>
  <c r="D303" i="4"/>
  <c r="ET303" i="4" s="1"/>
  <c r="EU303" i="4" s="1"/>
  <c r="D304" i="4"/>
  <c r="ET304" i="4" s="1"/>
  <c r="EU304" i="4" s="1"/>
  <c r="D305" i="4"/>
  <c r="ET305" i="4" s="1"/>
  <c r="EU305" i="4" s="1"/>
  <c r="D306" i="4"/>
  <c r="ET306" i="4" s="1"/>
  <c r="EU306" i="4" s="1"/>
  <c r="D307" i="4"/>
  <c r="ET307" i="4" s="1"/>
  <c r="EU307" i="4" s="1"/>
  <c r="D308" i="4"/>
  <c r="ET308" i="4" s="1"/>
  <c r="EU308" i="4" s="1"/>
  <c r="D309" i="4"/>
  <c r="ET309" i="4" s="1"/>
  <c r="EU309" i="4" s="1"/>
  <c r="D310" i="4"/>
  <c r="ET310" i="4" s="1"/>
  <c r="EU310" i="4" s="1"/>
  <c r="D311" i="4"/>
  <c r="ET311" i="4" s="1"/>
  <c r="EU311" i="4" s="1"/>
  <c r="D312" i="4"/>
  <c r="D313" i="4"/>
  <c r="ET313" i="4" s="1"/>
  <c r="EU313" i="4" s="1"/>
  <c r="D314" i="4"/>
  <c r="ET314" i="4" s="1"/>
  <c r="EU314" i="4" s="1"/>
  <c r="D315" i="4"/>
  <c r="ET315" i="4" s="1"/>
  <c r="EU315" i="4" s="1"/>
  <c r="D316" i="4"/>
  <c r="ET316" i="4" s="1"/>
  <c r="EU316" i="4" s="1"/>
  <c r="D317" i="4"/>
  <c r="ET317" i="4" s="1"/>
  <c r="EU317" i="4" s="1"/>
  <c r="D318" i="4"/>
  <c r="ET318" i="4" s="1"/>
  <c r="EU318" i="4" s="1"/>
  <c r="D319" i="4"/>
  <c r="ET319" i="4" s="1"/>
  <c r="EU319" i="4" s="1"/>
  <c r="D320" i="4"/>
  <c r="ET320" i="4" s="1"/>
  <c r="EU320" i="4" s="1"/>
  <c r="D321" i="4"/>
  <c r="ET321" i="4" s="1"/>
  <c r="EU321" i="4" s="1"/>
  <c r="D322" i="4"/>
  <c r="D323" i="4"/>
  <c r="ET323" i="4" s="1"/>
  <c r="EU323" i="4" s="1"/>
  <c r="D324" i="4"/>
  <c r="ET324" i="4" s="1"/>
  <c r="EU324" i="4" s="1"/>
  <c r="D325" i="4"/>
  <c r="ET325" i="4" s="1"/>
  <c r="EU325" i="4" s="1"/>
  <c r="D326" i="4"/>
  <c r="ET326" i="4" s="1"/>
  <c r="EU326" i="4" s="1"/>
  <c r="D327" i="4"/>
  <c r="ET327" i="4" s="1"/>
  <c r="EU327" i="4" s="1"/>
  <c r="D328" i="4"/>
  <c r="ET328" i="4" s="1"/>
  <c r="EU328" i="4" s="1"/>
  <c r="D329" i="4"/>
  <c r="ET329" i="4" s="1"/>
  <c r="EU329" i="4" s="1"/>
  <c r="D330" i="4"/>
  <c r="ET330" i="4" s="1"/>
  <c r="EU330" i="4" s="1"/>
  <c r="D331" i="4"/>
  <c r="ET331" i="4" s="1"/>
  <c r="EU331" i="4" s="1"/>
  <c r="D332" i="4"/>
  <c r="ET332" i="4" s="1"/>
  <c r="EU332" i="4" s="1"/>
  <c r="D333" i="4"/>
  <c r="D334" i="4"/>
  <c r="ET334" i="4" s="1"/>
  <c r="EU334" i="4" s="1"/>
  <c r="D335" i="4"/>
  <c r="ET335" i="4" s="1"/>
  <c r="EU335" i="4" s="1"/>
  <c r="D336" i="4"/>
  <c r="ET336" i="4" s="1"/>
  <c r="EU336" i="4" s="1"/>
  <c r="D337" i="4"/>
  <c r="ET337" i="4" s="1"/>
  <c r="EU337" i="4" s="1"/>
  <c r="D338" i="4"/>
  <c r="ET338" i="4" s="1"/>
  <c r="EU338" i="4" s="1"/>
  <c r="D339" i="4"/>
  <c r="ET339" i="4" s="1"/>
  <c r="EU339" i="4" s="1"/>
  <c r="D340" i="4"/>
  <c r="ET340" i="4" s="1"/>
  <c r="EU340" i="4" s="1"/>
  <c r="D341" i="4"/>
  <c r="ET341" i="4" s="1"/>
  <c r="EU341" i="4" s="1"/>
  <c r="D342" i="4"/>
  <c r="ET342" i="4" s="1"/>
  <c r="EU342" i="4" s="1"/>
  <c r="D343" i="4"/>
  <c r="ET343" i="4" s="1"/>
  <c r="EU343" i="4" s="1"/>
  <c r="D344" i="4"/>
  <c r="D345" i="4"/>
  <c r="ET345" i="4" s="1"/>
  <c r="EU345" i="4" s="1"/>
  <c r="D346" i="4"/>
  <c r="ET346" i="4" s="1"/>
  <c r="EU346" i="4" s="1"/>
  <c r="D347" i="4"/>
  <c r="ET347" i="4" s="1"/>
  <c r="EU347" i="4" s="1"/>
  <c r="D348" i="4"/>
  <c r="ET348" i="4" s="1"/>
  <c r="EU348" i="4" s="1"/>
  <c r="D349" i="4"/>
  <c r="ET349" i="4" s="1"/>
  <c r="EU349" i="4" s="1"/>
  <c r="D350" i="4"/>
  <c r="ET350" i="4" s="1"/>
  <c r="EU350" i="4" s="1"/>
  <c r="D351" i="4"/>
  <c r="D352" i="4"/>
  <c r="D353" i="4"/>
  <c r="ET353" i="4" s="1"/>
  <c r="EU353" i="4" s="1"/>
  <c r="D354" i="4"/>
  <c r="ET354" i="4" s="1"/>
  <c r="EU354" i="4" s="1"/>
  <c r="D355" i="4"/>
  <c r="ET355" i="4" s="1"/>
  <c r="EU355" i="4" s="1"/>
  <c r="D356" i="4"/>
  <c r="ET356" i="4" s="1"/>
  <c r="EU356" i="4" s="1"/>
  <c r="D357" i="4"/>
  <c r="ET357" i="4" s="1"/>
  <c r="EU357" i="4" s="1"/>
  <c r="D358" i="4"/>
  <c r="ET358" i="4" s="1"/>
  <c r="EU358" i="4" s="1"/>
  <c r="D359" i="4"/>
  <c r="ET359" i="4" s="1"/>
  <c r="EU359" i="4" s="1"/>
  <c r="D360" i="4"/>
  <c r="ET360" i="4" s="1"/>
  <c r="EU360" i="4" s="1"/>
  <c r="D361" i="4"/>
  <c r="ET361" i="4" s="1"/>
  <c r="EU361" i="4" s="1"/>
  <c r="D362" i="4"/>
  <c r="D363" i="4"/>
  <c r="ET363" i="4" s="1"/>
  <c r="EU363" i="4" s="1"/>
  <c r="D364" i="4"/>
  <c r="ET364" i="4" s="1"/>
  <c r="EU364" i="4" s="1"/>
  <c r="D365" i="4"/>
  <c r="ET365" i="4" s="1"/>
  <c r="EU365" i="4" s="1"/>
  <c r="D366" i="4"/>
  <c r="D367" i="4"/>
  <c r="ET367" i="4" s="1"/>
  <c r="EU367" i="4" s="1"/>
  <c r="D368" i="4"/>
  <c r="ET368" i="4" s="1"/>
  <c r="EU368" i="4" s="1"/>
  <c r="D369" i="4"/>
  <c r="ET369" i="4" s="1"/>
  <c r="EU369" i="4" s="1"/>
  <c r="D370" i="4"/>
  <c r="ET370" i="4" s="1"/>
  <c r="EU370" i="4" s="1"/>
  <c r="D371" i="4"/>
  <c r="ET371" i="4" s="1"/>
  <c r="EU371" i="4" s="1"/>
  <c r="D372" i="4"/>
  <c r="ET372" i="4" s="1"/>
  <c r="EU372" i="4" s="1"/>
  <c r="D373" i="4"/>
  <c r="ET373" i="4" s="1"/>
  <c r="EU373" i="4" s="1"/>
  <c r="D374" i="4"/>
  <c r="ET374" i="4" s="1"/>
  <c r="EU374" i="4" s="1"/>
  <c r="D375" i="4"/>
  <c r="ET375" i="4" s="1"/>
  <c r="EU375" i="4" s="1"/>
  <c r="D376" i="4"/>
  <c r="D377" i="4"/>
  <c r="ET377" i="4" s="1"/>
  <c r="EU377" i="4" s="1"/>
  <c r="D378" i="4"/>
  <c r="ET378" i="4" s="1"/>
  <c r="EU378" i="4" s="1"/>
  <c r="D379" i="4"/>
  <c r="ET379" i="4" s="1"/>
  <c r="EU379" i="4" s="1"/>
  <c r="D380" i="4"/>
  <c r="D381" i="4"/>
  <c r="ET381" i="4" s="1"/>
  <c r="EU381" i="4" s="1"/>
  <c r="D382" i="4"/>
  <c r="ET382" i="4" s="1"/>
  <c r="EU382" i="4" s="1"/>
  <c r="D383" i="4"/>
  <c r="ET383" i="4" s="1"/>
  <c r="EU383" i="4" s="1"/>
  <c r="D384" i="4"/>
  <c r="ET384" i="4" s="1"/>
  <c r="EU384" i="4" s="1"/>
  <c r="D385" i="4"/>
  <c r="ET385" i="4" s="1"/>
  <c r="EU385" i="4" s="1"/>
  <c r="D386" i="4"/>
  <c r="ET386" i="4" s="1"/>
  <c r="EU386" i="4" s="1"/>
  <c r="D387" i="4"/>
  <c r="ET387" i="4" s="1"/>
  <c r="EU387" i="4" s="1"/>
  <c r="D388" i="4"/>
  <c r="D389" i="4"/>
  <c r="ET389" i="4" s="1"/>
  <c r="EU389" i="4" s="1"/>
  <c r="D390" i="4"/>
  <c r="ET390" i="4" s="1"/>
  <c r="EU390" i="4" s="1"/>
  <c r="D391" i="4"/>
  <c r="ET391" i="4" s="1"/>
  <c r="EU391" i="4" s="1"/>
  <c r="D392" i="4"/>
  <c r="ET392" i="4" s="1"/>
  <c r="EU392" i="4" s="1"/>
  <c r="D393" i="4"/>
  <c r="ET393" i="4" s="1"/>
  <c r="EU393" i="4" s="1"/>
  <c r="D394" i="4"/>
  <c r="ET394" i="4" s="1"/>
  <c r="EU394" i="4" s="1"/>
  <c r="D395" i="4"/>
  <c r="ET395" i="4" s="1"/>
  <c r="EU395" i="4" s="1"/>
  <c r="D396" i="4"/>
  <c r="ET396" i="4" s="1"/>
  <c r="EU396" i="4" s="1"/>
  <c r="D397" i="4"/>
  <c r="ET397" i="4" s="1"/>
  <c r="EU397" i="4" s="1"/>
  <c r="D398" i="4"/>
  <c r="ET398" i="4" s="1"/>
  <c r="EU398" i="4" s="1"/>
  <c r="D399" i="4"/>
  <c r="ET399" i="4" s="1"/>
  <c r="EU399" i="4" s="1"/>
  <c r="D400" i="4"/>
  <c r="D401" i="4"/>
  <c r="ET401" i="4" s="1"/>
  <c r="EU401" i="4" s="1"/>
  <c r="D402" i="4"/>
  <c r="D403" i="4"/>
  <c r="D404" i="4"/>
  <c r="D405" i="4"/>
  <c r="ET405" i="4" s="1"/>
  <c r="EU405" i="4" s="1"/>
  <c r="D406" i="4"/>
  <c r="ET406" i="4" s="1"/>
  <c r="EU406" i="4" s="1"/>
  <c r="D407" i="4"/>
  <c r="D408" i="4"/>
  <c r="ET408" i="4" s="1"/>
  <c r="EU408" i="4" s="1"/>
  <c r="D409" i="4"/>
  <c r="ET409" i="4" s="1"/>
  <c r="EU409" i="4" s="1"/>
  <c r="D410" i="4"/>
  <c r="D411" i="4"/>
  <c r="D412" i="4"/>
  <c r="D413" i="4"/>
  <c r="ET413" i="4" s="1"/>
  <c r="EU413" i="4" s="1"/>
  <c r="D414" i="4"/>
  <c r="D415" i="4"/>
  <c r="D416" i="4"/>
  <c r="D417" i="4"/>
  <c r="D418" i="4"/>
  <c r="D419" i="4"/>
  <c r="D420" i="4"/>
  <c r="D421" i="4"/>
  <c r="D422" i="4"/>
  <c r="ET422" i="4" s="1"/>
  <c r="EU422" i="4" s="1"/>
  <c r="D423" i="4"/>
  <c r="ET423" i="4" s="1"/>
  <c r="EU423" i="4" s="1"/>
  <c r="D424" i="4"/>
  <c r="ET424" i="4" s="1"/>
  <c r="EU424" i="4" s="1"/>
  <c r="D425" i="4"/>
  <c r="ET425" i="4" s="1"/>
  <c r="EU425" i="4" s="1"/>
  <c r="D426" i="4"/>
  <c r="D427" i="4"/>
  <c r="ET427" i="4" s="1"/>
  <c r="EU427" i="4" s="1"/>
  <c r="D428" i="4"/>
  <c r="D429" i="4"/>
  <c r="D440" i="4"/>
  <c r="ET440" i="4" s="1"/>
  <c r="EU440" i="4" s="1"/>
  <c r="D430" i="4"/>
  <c r="D431" i="4"/>
  <c r="ET431" i="4" s="1"/>
  <c r="EU431" i="4" s="1"/>
  <c r="D432" i="4"/>
  <c r="D433" i="4"/>
  <c r="D434" i="4"/>
  <c r="ET434" i="4" s="1"/>
  <c r="EU434" i="4" s="1"/>
  <c r="D435" i="4"/>
  <c r="D438" i="4"/>
  <c r="EL438" i="4" s="1"/>
  <c r="EM438" i="4" s="1"/>
  <c r="D436" i="4"/>
  <c r="ET436" i="4" s="1"/>
  <c r="EU436" i="4" s="1"/>
  <c r="D439" i="4"/>
  <c r="EL439" i="4" s="1"/>
  <c r="EM439" i="4" s="1"/>
  <c r="D441" i="4"/>
  <c r="EL441" i="4" s="1"/>
  <c r="EM441" i="4" s="1"/>
  <c r="D447" i="4"/>
  <c r="EL447" i="4" s="1"/>
  <c r="EM447" i="4" s="1"/>
  <c r="D442" i="4"/>
  <c r="ET442" i="4" s="1"/>
  <c r="EU442" i="4" s="1"/>
  <c r="D448" i="4"/>
  <c r="ET448" i="4" s="1"/>
  <c r="EU448" i="4" s="1"/>
  <c r="D443" i="4"/>
  <c r="ET443" i="4" s="1"/>
  <c r="EU443" i="4" s="1"/>
  <c r="D444" i="4"/>
  <c r="ET444" i="4" s="1"/>
  <c r="EU444" i="4" s="1"/>
  <c r="D445" i="4"/>
  <c r="ET445" i="4" s="1"/>
  <c r="EU445" i="4" s="1"/>
  <c r="D437" i="4"/>
  <c r="D446" i="4"/>
  <c r="ET446" i="4" s="1"/>
  <c r="EU446" i="4" s="1"/>
  <c r="D4" i="4"/>
  <c r="E1"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D19" i="16" s="1"/>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8" i="4"/>
  <c r="E429" i="4"/>
  <c r="E440" i="4"/>
  <c r="D21" i="16" s="1"/>
  <c r="E430" i="4"/>
  <c r="E431" i="4"/>
  <c r="E432" i="4"/>
  <c r="E433" i="4"/>
  <c r="E434" i="4"/>
  <c r="E435" i="4"/>
  <c r="E438" i="4"/>
  <c r="E436" i="4"/>
  <c r="E439" i="4"/>
  <c r="E441" i="4"/>
  <c r="E447" i="4"/>
  <c r="E442" i="4"/>
  <c r="E448" i="4"/>
  <c r="E443" i="4"/>
  <c r="E444" i="4"/>
  <c r="E445" i="4"/>
  <c r="E437" i="4"/>
  <c r="E446" i="4"/>
  <c r="E4" i="4"/>
  <c r="HD398" i="4"/>
  <c r="HG398" i="4"/>
  <c r="HD399" i="4"/>
  <c r="HG399" i="4"/>
  <c r="HD402" i="4"/>
  <c r="HE402" i="4" s="1"/>
  <c r="HG402" i="4"/>
  <c r="HG403" i="4"/>
  <c r="HD403" i="4" s="1"/>
  <c r="HD404" i="4"/>
  <c r="HE404" i="4" s="1"/>
  <c r="HG404" i="4"/>
  <c r="HG407" i="4"/>
  <c r="HD407" i="4" s="1"/>
  <c r="HG410" i="4"/>
  <c r="HD410" i="4" s="1"/>
  <c r="HD411" i="4"/>
  <c r="HE411" i="4" s="1"/>
  <c r="HG411" i="4"/>
  <c r="HD412" i="4"/>
  <c r="HE412" i="4" s="1"/>
  <c r="HG412" i="4"/>
  <c r="HG414" i="4"/>
  <c r="HD414" i="4" s="1"/>
  <c r="HG415" i="4"/>
  <c r="HD415" i="4" s="1"/>
  <c r="HG417" i="4"/>
  <c r="HD417" i="4" s="1"/>
  <c r="HG418" i="4"/>
  <c r="HD418" i="4" s="1"/>
  <c r="HG419" i="4"/>
  <c r="HD419" i="4" s="1"/>
  <c r="HG420" i="4"/>
  <c r="HD420" i="4" s="1"/>
  <c r="HG421" i="4"/>
  <c r="HD421" i="4" s="1"/>
  <c r="HG426" i="4"/>
  <c r="HD426" i="4" s="1"/>
  <c r="HG428" i="4"/>
  <c r="HD428" i="4" s="1"/>
  <c r="HG429" i="4"/>
  <c r="HD429" i="4" s="1"/>
  <c r="HG440" i="4"/>
  <c r="HD440" i="4" s="1"/>
  <c r="HG430" i="4"/>
  <c r="HD430" i="4" s="1"/>
  <c r="HG431" i="4"/>
  <c r="HD431" i="4" s="1"/>
  <c r="HG432" i="4"/>
  <c r="HD432" i="4" s="1"/>
  <c r="HG433" i="4"/>
  <c r="HD433" i="4" s="1"/>
  <c r="HG434" i="4"/>
  <c r="HD434" i="4" s="1"/>
  <c r="HG435" i="4"/>
  <c r="HD435" i="4" s="1"/>
  <c r="HG438" i="4"/>
  <c r="HD438" i="4" s="1"/>
  <c r="HG436" i="4"/>
  <c r="HD436" i="4" s="1"/>
  <c r="HG439" i="4"/>
  <c r="HD439" i="4" s="1"/>
  <c r="HG441" i="4"/>
  <c r="HD441" i="4" s="1"/>
  <c r="HG447" i="4"/>
  <c r="HG442" i="4"/>
  <c r="HD442" i="4" s="1"/>
  <c r="HG448" i="4"/>
  <c r="HD448" i="4" s="1"/>
  <c r="HG443" i="4"/>
  <c r="HD443" i="4" s="1"/>
  <c r="HG444" i="4"/>
  <c r="HD444" i="4" s="1"/>
  <c r="HG445" i="4"/>
  <c r="HD445" i="4" s="1"/>
  <c r="HD437" i="4"/>
  <c r="HG437" i="4"/>
  <c r="HG446" i="4"/>
  <c r="HD446" i="4" s="1"/>
  <c r="K397" i="4"/>
  <c r="K398" i="4"/>
  <c r="K399" i="4"/>
  <c r="K400" i="4"/>
  <c r="K401" i="4"/>
  <c r="K402" i="4"/>
  <c r="K403" i="4"/>
  <c r="FV403" i="4" s="1"/>
  <c r="H403" i="4" s="1"/>
  <c r="L403" i="4"/>
  <c r="K404" i="4"/>
  <c r="L404" i="4"/>
  <c r="K405" i="4"/>
  <c r="K406" i="4"/>
  <c r="K407" i="4"/>
  <c r="L407" i="4"/>
  <c r="K408" i="4"/>
  <c r="K409" i="4"/>
  <c r="K410" i="4"/>
  <c r="FV410" i="4" s="1"/>
  <c r="H410" i="4" s="1"/>
  <c r="L410" i="4"/>
  <c r="K411" i="4"/>
  <c r="FV411" i="4" s="1"/>
  <c r="L411" i="4"/>
  <c r="K412" i="4"/>
  <c r="L412" i="4"/>
  <c r="K413" i="4"/>
  <c r="K414" i="4"/>
  <c r="FV414" i="4" s="1"/>
  <c r="H414" i="4" s="1"/>
  <c r="L414" i="4"/>
  <c r="K415" i="4"/>
  <c r="FV415" i="4" s="1"/>
  <c r="H415" i="4" s="1"/>
  <c r="L415" i="4"/>
  <c r="K416" i="4"/>
  <c r="K417" i="4"/>
  <c r="FV417" i="4" s="1"/>
  <c r="H417" i="4" s="1"/>
  <c r="L417" i="4"/>
  <c r="K418" i="4"/>
  <c r="FV418" i="4" s="1"/>
  <c r="H418" i="4" s="1"/>
  <c r="L418" i="4"/>
  <c r="K419" i="4"/>
  <c r="FV419" i="4" s="1"/>
  <c r="H419" i="4" s="1"/>
  <c r="L419" i="4"/>
  <c r="K420" i="4"/>
  <c r="FV420" i="4" s="1"/>
  <c r="H420" i="4" s="1"/>
  <c r="L420" i="4"/>
  <c r="K421" i="4"/>
  <c r="FV421" i="4" s="1"/>
  <c r="H421" i="4" s="1"/>
  <c r="L421" i="4"/>
  <c r="K422" i="4"/>
  <c r="K423" i="4"/>
  <c r="K424" i="4"/>
  <c r="K425" i="4"/>
  <c r="K426" i="4"/>
  <c r="L426" i="4"/>
  <c r="K427" i="4"/>
  <c r="K428" i="4"/>
  <c r="L428" i="4"/>
  <c r="K429" i="4"/>
  <c r="L429" i="4"/>
  <c r="K440" i="4"/>
  <c r="L440" i="4"/>
  <c r="K430" i="4"/>
  <c r="FV430" i="4" s="1"/>
  <c r="H430" i="4" s="1"/>
  <c r="L430" i="4"/>
  <c r="K431" i="4"/>
  <c r="L431" i="4"/>
  <c r="K432" i="4"/>
  <c r="L432" i="4"/>
  <c r="K433" i="4"/>
  <c r="L433" i="4"/>
  <c r="K434" i="4"/>
  <c r="L434" i="4"/>
  <c r="K435" i="4"/>
  <c r="L435" i="4"/>
  <c r="K438" i="4"/>
  <c r="L438" i="4"/>
  <c r="K436" i="4"/>
  <c r="L436" i="4"/>
  <c r="K439" i="4"/>
  <c r="L439" i="4"/>
  <c r="K441" i="4"/>
  <c r="L441" i="4"/>
  <c r="K447" i="4"/>
  <c r="L447" i="4"/>
  <c r="K442" i="4"/>
  <c r="L442" i="4"/>
  <c r="K448" i="4"/>
  <c r="L448" i="4"/>
  <c r="K443" i="4"/>
  <c r="L443" i="4"/>
  <c r="K444" i="4"/>
  <c r="L444" i="4"/>
  <c r="K445" i="4"/>
  <c r="L445" i="4"/>
  <c r="K437" i="4"/>
  <c r="L437" i="4"/>
  <c r="K446" i="4"/>
  <c r="L446" i="4"/>
  <c r="B403" i="4" a="1"/>
  <c r="B403" i="4" s="1"/>
  <c r="G403" i="4" s="1"/>
  <c r="B404" i="4" a="1"/>
  <c r="B404" i="4" s="1"/>
  <c r="G404" i="4" s="1"/>
  <c r="B407" i="4" a="1"/>
  <c r="B407" i="4" s="1"/>
  <c r="G407" i="4" s="1"/>
  <c r="B410" i="4" a="1"/>
  <c r="B410" i="4" s="1"/>
  <c r="G410" i="4" s="1"/>
  <c r="B411" i="4" a="1"/>
  <c r="B411" i="4" s="1"/>
  <c r="G411" i="4" s="1"/>
  <c r="B412" i="4" a="1"/>
  <c r="B412" i="4" s="1"/>
  <c r="G412" i="4" s="1"/>
  <c r="B414" i="4" a="1"/>
  <c r="B414" i="4" s="1"/>
  <c r="G414" i="4" s="1"/>
  <c r="B415" i="4" a="1"/>
  <c r="B415" i="4" s="1"/>
  <c r="G415" i="4" s="1"/>
  <c r="B417" i="4" a="1"/>
  <c r="B417" i="4" s="1"/>
  <c r="G417" i="4" s="1"/>
  <c r="B418" i="4" a="1"/>
  <c r="B418" i="4" s="1"/>
  <c r="G418" i="4" s="1"/>
  <c r="B419" i="4" a="1"/>
  <c r="B419" i="4" s="1"/>
  <c r="G419" i="4" s="1"/>
  <c r="B420" i="4" a="1"/>
  <c r="B420" i="4" s="1"/>
  <c r="G420" i="4" s="1"/>
  <c r="B421" i="4" a="1"/>
  <c r="B421" i="4" s="1"/>
  <c r="G421" i="4" s="1"/>
  <c r="B426" i="4" a="1"/>
  <c r="B426" i="4" s="1"/>
  <c r="G426" i="4" s="1"/>
  <c r="B428" i="4" a="1"/>
  <c r="B428" i="4" s="1"/>
  <c r="G428" i="4" s="1"/>
  <c r="B429" i="4" a="1"/>
  <c r="B429" i="4" s="1"/>
  <c r="G429" i="4" s="1"/>
  <c r="B440" i="4" a="1"/>
  <c r="B440" i="4" s="1"/>
  <c r="G440" i="4" s="1"/>
  <c r="B430" i="4" a="1"/>
  <c r="B430" i="4" s="1"/>
  <c r="G430" i="4" s="1"/>
  <c r="B435" i="4" a="1"/>
  <c r="B435" i="4" s="1"/>
  <c r="G435" i="4" s="1"/>
  <c r="B438" i="4" a="1"/>
  <c r="B438" i="4" s="1"/>
  <c r="G438" i="4" s="1"/>
  <c r="B439" i="4" a="1"/>
  <c r="B439" i="4" s="1"/>
  <c r="G439" i="4" s="1"/>
  <c r="B441" i="4" a="1"/>
  <c r="B441" i="4" s="1"/>
  <c r="G441" i="4" s="1"/>
  <c r="B447" i="4" a="1"/>
  <c r="B447" i="4" s="1"/>
  <c r="G447" i="4" s="1"/>
  <c r="B437" i="4" a="1"/>
  <c r="B437" i="4" s="1"/>
  <c r="G437" i="4" s="1"/>
  <c r="M445" i="4" l="1"/>
  <c r="M448" i="4"/>
  <c r="M441" i="4"/>
  <c r="M433" i="4"/>
  <c r="M428" i="4"/>
  <c r="M419" i="4"/>
  <c r="M412" i="4"/>
  <c r="M404" i="4"/>
  <c r="M444" i="4"/>
  <c r="M442" i="4"/>
  <c r="M439" i="4"/>
  <c r="M432" i="4"/>
  <c r="M426" i="4"/>
  <c r="M418" i="4"/>
  <c r="M411" i="4"/>
  <c r="M403" i="4"/>
  <c r="M443" i="4"/>
  <c r="M436" i="4"/>
  <c r="M431" i="4"/>
  <c r="M417" i="4"/>
  <c r="M410" i="4"/>
  <c r="M438" i="4"/>
  <c r="M430" i="4"/>
  <c r="M446" i="4"/>
  <c r="M435" i="4"/>
  <c r="M440" i="4"/>
  <c r="M415" i="4"/>
  <c r="M421" i="4"/>
  <c r="M407" i="4"/>
  <c r="M437" i="4"/>
  <c r="M447" i="4"/>
  <c r="M434" i="4"/>
  <c r="M429" i="4"/>
  <c r="M414" i="4"/>
  <c r="M420" i="4"/>
  <c r="ET5" i="4"/>
  <c r="EU5" i="4" s="1"/>
  <c r="HD447" i="4"/>
  <c r="HZ3" i="4"/>
  <c r="IA3" i="4"/>
  <c r="FV447" i="4"/>
  <c r="FY447" i="4"/>
  <c r="FX447" i="4"/>
  <c r="FZ447" i="4"/>
  <c r="GB447" i="4"/>
  <c r="GC447" i="4"/>
  <c r="GD447" i="4"/>
  <c r="EZ194" i="4"/>
  <c r="FA194" i="4" s="1"/>
  <c r="EV194" i="4"/>
  <c r="EW194" i="4" s="1"/>
  <c r="EX194" i="4"/>
  <c r="EY194" i="4" s="1"/>
  <c r="EN194" i="4"/>
  <c r="EO194" i="4" s="1"/>
  <c r="EP194" i="4"/>
  <c r="EQ194" i="4" s="1"/>
  <c r="FL420" i="4"/>
  <c r="FM420" i="4" s="1"/>
  <c r="FD419" i="4"/>
  <c r="FE419" i="4" s="1"/>
  <c r="FD418" i="4"/>
  <c r="FE418" i="4" s="1"/>
  <c r="FD417" i="4"/>
  <c r="FE417" i="4" s="1"/>
  <c r="FD411" i="4"/>
  <c r="FE411" i="4" s="1"/>
  <c r="FF410" i="4"/>
  <c r="FG410" i="4" s="1"/>
  <c r="FJ421" i="4"/>
  <c r="FK421" i="4" s="1"/>
  <c r="FD414" i="4"/>
  <c r="FE414" i="4" s="1"/>
  <c r="EL433" i="4"/>
  <c r="EM433" i="4" s="1"/>
  <c r="EL411" i="4"/>
  <c r="EM411" i="4" s="1"/>
  <c r="EL352" i="4"/>
  <c r="EM352" i="4" s="1"/>
  <c r="EL432" i="4"/>
  <c r="EM432" i="4" s="1"/>
  <c r="EL421" i="4"/>
  <c r="EM421" i="4" s="1"/>
  <c r="EL410" i="4"/>
  <c r="EM410" i="4" s="1"/>
  <c r="EL351" i="4"/>
  <c r="EM351" i="4" s="1"/>
  <c r="EL420" i="4"/>
  <c r="EM420" i="4" s="1"/>
  <c r="EL362" i="4"/>
  <c r="EM362" i="4" s="1"/>
  <c r="EL194" i="4"/>
  <c r="ER194" i="4" s="1"/>
  <c r="ET194" i="4"/>
  <c r="EU194" i="4" s="1"/>
  <c r="EL430" i="4"/>
  <c r="EM430" i="4" s="1"/>
  <c r="EL419" i="4"/>
  <c r="EM419" i="4" s="1"/>
  <c r="EL145" i="4"/>
  <c r="EM145" i="4" s="1"/>
  <c r="EL418" i="4"/>
  <c r="EM418" i="4" s="1"/>
  <c r="EL407" i="4"/>
  <c r="EM407" i="4" s="1"/>
  <c r="EL312" i="4"/>
  <c r="EM312" i="4" s="1"/>
  <c r="EL204" i="4"/>
  <c r="EM204" i="4" s="1"/>
  <c r="EL144" i="4"/>
  <c r="EM144" i="4" s="1"/>
  <c r="EL120" i="4"/>
  <c r="EM120" i="4" s="1"/>
  <c r="EL437" i="4"/>
  <c r="EM437" i="4" s="1"/>
  <c r="EL429" i="4"/>
  <c r="EM429" i="4" s="1"/>
  <c r="EL417" i="4"/>
  <c r="EM417" i="4" s="1"/>
  <c r="EL299" i="4"/>
  <c r="EM299" i="4" s="1"/>
  <c r="EL203" i="4"/>
  <c r="EM203" i="4" s="1"/>
  <c r="EL428" i="4"/>
  <c r="EM428" i="4" s="1"/>
  <c r="EL416" i="4"/>
  <c r="EM416" i="4" s="1"/>
  <c r="EL262" i="4"/>
  <c r="EM262" i="4" s="1"/>
  <c r="EL202" i="4"/>
  <c r="EM202" i="4" s="1"/>
  <c r="EL130" i="4"/>
  <c r="EM130" i="4" s="1"/>
  <c r="EL415" i="4"/>
  <c r="EM415" i="4" s="1"/>
  <c r="EL404" i="4"/>
  <c r="EM404" i="4" s="1"/>
  <c r="EL380" i="4"/>
  <c r="EM380" i="4" s="1"/>
  <c r="EL333" i="4"/>
  <c r="EM333" i="4" s="1"/>
  <c r="EL237" i="4"/>
  <c r="EM237" i="4" s="1"/>
  <c r="EL201" i="4"/>
  <c r="EM201" i="4" s="1"/>
  <c r="ET4" i="4"/>
  <c r="EU4" i="4" s="1"/>
  <c r="EL426" i="4"/>
  <c r="EM426" i="4" s="1"/>
  <c r="EL414" i="4"/>
  <c r="EM414" i="4" s="1"/>
  <c r="EL403" i="4"/>
  <c r="EM403" i="4" s="1"/>
  <c r="EL344" i="4"/>
  <c r="EM344" i="4" s="1"/>
  <c r="EL236" i="4"/>
  <c r="EM236" i="4" s="1"/>
  <c r="EL224" i="4"/>
  <c r="EM224" i="4" s="1"/>
  <c r="EL402" i="4"/>
  <c r="EM402" i="4" s="1"/>
  <c r="EL295" i="4"/>
  <c r="EM295" i="4" s="1"/>
  <c r="EL103" i="4"/>
  <c r="EM103" i="4" s="1"/>
  <c r="EL435" i="4"/>
  <c r="EM435" i="4" s="1"/>
  <c r="EL366" i="4"/>
  <c r="EM366" i="4" s="1"/>
  <c r="EL294" i="4"/>
  <c r="EM294" i="4" s="1"/>
  <c r="EL412" i="4"/>
  <c r="EM412" i="4" s="1"/>
  <c r="EL400" i="4"/>
  <c r="EM400" i="4" s="1"/>
  <c r="EL388" i="4"/>
  <c r="EM388" i="4" s="1"/>
  <c r="EL376" i="4"/>
  <c r="EM376" i="4" s="1"/>
  <c r="D17" i="16"/>
  <c r="D13" i="16"/>
  <c r="D18" i="16"/>
  <c r="D14" i="16"/>
  <c r="D16" i="16"/>
  <c r="FH430" i="4"/>
  <c r="FI430" i="4" s="1"/>
  <c r="FV437" i="4"/>
  <c r="FX437" i="4"/>
  <c r="FY437" i="4"/>
  <c r="FZ437" i="4"/>
  <c r="GC437" i="4"/>
  <c r="GD437" i="4"/>
  <c r="GB437" i="4"/>
  <c r="FV441" i="4"/>
  <c r="FX441" i="4"/>
  <c r="FY441" i="4"/>
  <c r="FZ441" i="4"/>
  <c r="GB441" i="4"/>
  <c r="GC441" i="4"/>
  <c r="GD441" i="4"/>
  <c r="FL430" i="4"/>
  <c r="FM430" i="4" s="1"/>
  <c r="FJ430" i="4"/>
  <c r="FK430" i="4" s="1"/>
  <c r="GC439" i="4"/>
  <c r="GD439" i="4"/>
  <c r="FY439" i="4"/>
  <c r="FZ439" i="4"/>
  <c r="FV439" i="4"/>
  <c r="GB439" i="4"/>
  <c r="FX439" i="4"/>
  <c r="FF430" i="4"/>
  <c r="FG430" i="4" s="1"/>
  <c r="FD430" i="4"/>
  <c r="FE430" i="4" s="1"/>
  <c r="FZ438" i="4"/>
  <c r="FY438" i="4"/>
  <c r="GB438" i="4"/>
  <c r="GC438" i="4"/>
  <c r="FV438" i="4"/>
  <c r="H438" i="4" s="1"/>
  <c r="GD438" i="4"/>
  <c r="FX438" i="4"/>
  <c r="GA430" i="4"/>
  <c r="T430" i="4" s="1"/>
  <c r="C430" i="4"/>
  <c r="FV435" i="4"/>
  <c r="H435" i="4" s="1"/>
  <c r="FX435" i="4"/>
  <c r="FZ435" i="4"/>
  <c r="FY435" i="4"/>
  <c r="GB435" i="4"/>
  <c r="GC435" i="4"/>
  <c r="GD435" i="4"/>
  <c r="FL421" i="4"/>
  <c r="FM421" i="4" s="1"/>
  <c r="C2" i="18"/>
  <c r="B2" i="18" s="1"/>
  <c r="AB194" i="4"/>
  <c r="CO194" i="4"/>
  <c r="BI194" i="4"/>
  <c r="EA194" i="4"/>
  <c r="CH194" i="4"/>
  <c r="BP194" i="4"/>
  <c r="BM194" i="4"/>
  <c r="AW194" i="4"/>
  <c r="AY194" i="4"/>
  <c r="AU194" i="4"/>
  <c r="BW194" i="4"/>
  <c r="DA194" i="4"/>
  <c r="DX194" i="4"/>
  <c r="AR194" i="4"/>
  <c r="DJ194" i="4"/>
  <c r="BD194" i="4"/>
  <c r="CA194" i="4"/>
  <c r="DT194" i="4"/>
  <c r="AG194" i="4"/>
  <c r="BK194" i="4"/>
  <c r="DC194" i="4"/>
  <c r="AP194" i="4"/>
  <c r="DQ194" i="4"/>
  <c r="CK194" i="4"/>
  <c r="CM194" i="4"/>
  <c r="AN194" i="4"/>
  <c r="BT194" i="4"/>
  <c r="BF194" i="4"/>
  <c r="AK194" i="4"/>
  <c r="BR194" i="4"/>
  <c r="CR194" i="4"/>
  <c r="CV194" i="4"/>
  <c r="BY194" i="4"/>
  <c r="CT194" i="4"/>
  <c r="DM194" i="4"/>
  <c r="EE194" i="4"/>
  <c r="BB194" i="4"/>
  <c r="AD194" i="4"/>
  <c r="CF194" i="4"/>
  <c r="DV194" i="4"/>
  <c r="Z194" i="4"/>
  <c r="CY194" i="4"/>
  <c r="DF194" i="4"/>
  <c r="EC194" i="4"/>
  <c r="DO194" i="4"/>
  <c r="AI194" i="4"/>
  <c r="DH194" i="4"/>
  <c r="CD194" i="4"/>
  <c r="FH421" i="4"/>
  <c r="FI421" i="4" s="1"/>
  <c r="FF421" i="4"/>
  <c r="FG421" i="4" s="1"/>
  <c r="GA421" i="4"/>
  <c r="GU421" i="4" s="1"/>
  <c r="C421" i="4"/>
  <c r="FB421" i="4"/>
  <c r="FC421" i="4" s="1"/>
  <c r="FX430" i="4"/>
  <c r="FY430" i="4"/>
  <c r="GC430" i="4"/>
  <c r="FZ430" i="4"/>
  <c r="GB430" i="4"/>
  <c r="GD430" i="4"/>
  <c r="FV440" i="4"/>
  <c r="FX440" i="4"/>
  <c r="FY440" i="4"/>
  <c r="FZ440" i="4"/>
  <c r="GB440" i="4"/>
  <c r="GC440" i="4"/>
  <c r="GD440" i="4"/>
  <c r="GB429" i="4"/>
  <c r="GC429" i="4"/>
  <c r="GD429" i="4"/>
  <c r="FX429" i="4"/>
  <c r="FY429" i="4"/>
  <c r="FZ429" i="4"/>
  <c r="FV429" i="4"/>
  <c r="H429" i="4" s="1"/>
  <c r="GC426" i="4"/>
  <c r="GB426" i="4"/>
  <c r="GD426" i="4"/>
  <c r="FX426" i="4"/>
  <c r="FY426" i="4"/>
  <c r="FZ426" i="4"/>
  <c r="FV426" i="4"/>
  <c r="H426" i="4" s="1"/>
  <c r="FV428" i="4"/>
  <c r="H428" i="4" s="1"/>
  <c r="FZ428" i="4"/>
  <c r="FX428" i="4"/>
  <c r="FY428" i="4"/>
  <c r="GB428" i="4"/>
  <c r="GC428" i="4"/>
  <c r="GD428" i="4"/>
  <c r="FH419" i="4"/>
  <c r="FI419" i="4" s="1"/>
  <c r="FL419" i="4"/>
  <c r="FM419" i="4" s="1"/>
  <c r="FB419" i="4"/>
  <c r="FC419" i="4" s="1"/>
  <c r="FD415" i="4"/>
  <c r="FE415" i="4" s="1"/>
  <c r="FJ419" i="4"/>
  <c r="FK419" i="4" s="1"/>
  <c r="FL418" i="4"/>
  <c r="FM418" i="4" s="1"/>
  <c r="FL414" i="4"/>
  <c r="FM414" i="4" s="1"/>
  <c r="FH420" i="4"/>
  <c r="FI420" i="4" s="1"/>
  <c r="FH418" i="4"/>
  <c r="FI418" i="4" s="1"/>
  <c r="FH414" i="4"/>
  <c r="FI414" i="4" s="1"/>
  <c r="FD420" i="4"/>
  <c r="FE420" i="4" s="1"/>
  <c r="FF418" i="4"/>
  <c r="FG418" i="4" s="1"/>
  <c r="FB418" i="4"/>
  <c r="FC418" i="4" s="1"/>
  <c r="FF414" i="4"/>
  <c r="FG414" i="4" s="1"/>
  <c r="FL417" i="4"/>
  <c r="FM417" i="4" s="1"/>
  <c r="FL415" i="4"/>
  <c r="FM415" i="4" s="1"/>
  <c r="FJ415" i="4"/>
  <c r="FK415" i="4" s="1"/>
  <c r="FJ420" i="4"/>
  <c r="FK420" i="4" s="1"/>
  <c r="FF420" i="4"/>
  <c r="FG420" i="4" s="1"/>
  <c r="FJ414" i="4"/>
  <c r="FK414" i="4" s="1"/>
  <c r="FH415" i="4"/>
  <c r="FI415" i="4" s="1"/>
  <c r="FF415" i="4"/>
  <c r="FG415" i="4" s="1"/>
  <c r="FJ417" i="4"/>
  <c r="FK417" i="4" s="1"/>
  <c r="FH417" i="4"/>
  <c r="FI417" i="4" s="1"/>
  <c r="FF417" i="4"/>
  <c r="FG417" i="4" s="1"/>
  <c r="GC421" i="4"/>
  <c r="FX421" i="4"/>
  <c r="FY421" i="4"/>
  <c r="FZ421" i="4"/>
  <c r="GB421" i="4"/>
  <c r="GD421" i="4"/>
  <c r="GA420" i="4"/>
  <c r="DC420" i="4" s="1"/>
  <c r="C420" i="4"/>
  <c r="GA419" i="4"/>
  <c r="FN419" i="4" s="1"/>
  <c r="C419" i="4"/>
  <c r="GA417" i="4"/>
  <c r="AD417" i="4" s="1"/>
  <c r="C417" i="4"/>
  <c r="GA415" i="4"/>
  <c r="FP415" i="4" s="1"/>
  <c r="ET415" i="4" s="1"/>
  <c r="C415" i="4"/>
  <c r="FJ410" i="4"/>
  <c r="FK410" i="4" s="1"/>
  <c r="FB410" i="4"/>
  <c r="FC410" i="4" s="1"/>
  <c r="FH410" i="4"/>
  <c r="FI410" i="4" s="1"/>
  <c r="FF411" i="4"/>
  <c r="FG411" i="4" s="1"/>
  <c r="FL410" i="4"/>
  <c r="FM410" i="4" s="1"/>
  <c r="FJ411" i="4"/>
  <c r="FK411" i="4" s="1"/>
  <c r="FL411" i="4"/>
  <c r="FM411" i="4" s="1"/>
  <c r="GA411" i="4"/>
  <c r="GO411" i="4" s="1"/>
  <c r="C411" i="4"/>
  <c r="FH411" i="4"/>
  <c r="FI411" i="4" s="1"/>
  <c r="GA410" i="4"/>
  <c r="CO410" i="4" s="1"/>
  <c r="C410" i="4"/>
  <c r="GA418" i="4"/>
  <c r="BI418" i="4" s="1"/>
  <c r="C418" i="4"/>
  <c r="FZ420" i="4"/>
  <c r="GC420" i="4"/>
  <c r="FX420" i="4"/>
  <c r="GB420" i="4"/>
  <c r="FY420" i="4"/>
  <c r="GD420" i="4"/>
  <c r="FZ419" i="4"/>
  <c r="GD419" i="4"/>
  <c r="FX419" i="4"/>
  <c r="FY419" i="4"/>
  <c r="GB419" i="4"/>
  <c r="GC419" i="4"/>
  <c r="GB418" i="4"/>
  <c r="GC418" i="4"/>
  <c r="GD418" i="4"/>
  <c r="FX418" i="4"/>
  <c r="FY418" i="4"/>
  <c r="FZ418" i="4"/>
  <c r="FZ417" i="4"/>
  <c r="FX417" i="4"/>
  <c r="FY417" i="4"/>
  <c r="GB417" i="4"/>
  <c r="GC417" i="4"/>
  <c r="GD417" i="4"/>
  <c r="FY415" i="4"/>
  <c r="FX415" i="4"/>
  <c r="FZ415" i="4"/>
  <c r="GB415" i="4"/>
  <c r="GC415" i="4"/>
  <c r="GD415" i="4"/>
  <c r="FJ403" i="4"/>
  <c r="FK403" i="4" s="1"/>
  <c r="FH403" i="4"/>
  <c r="FI403" i="4" s="1"/>
  <c r="FD403" i="4"/>
  <c r="FE403" i="4" s="1"/>
  <c r="FL403" i="4"/>
  <c r="FM403" i="4" s="1"/>
  <c r="FF403" i="4"/>
  <c r="FG403" i="4" s="1"/>
  <c r="GA414" i="4"/>
  <c r="CD414" i="4" s="1"/>
  <c r="C414" i="4"/>
  <c r="GA403" i="4"/>
  <c r="BK403" i="4" s="1"/>
  <c r="C403" i="4"/>
  <c r="HF399" i="4"/>
  <c r="HE399" i="4"/>
  <c r="HF398" i="4"/>
  <c r="HE398" i="4"/>
  <c r="HF437" i="4"/>
  <c r="HE437" i="4"/>
  <c r="HF447" i="4"/>
  <c r="HE447" i="4"/>
  <c r="HF448" i="4"/>
  <c r="HE448" i="4"/>
  <c r="FX414" i="4"/>
  <c r="FY414" i="4"/>
  <c r="FZ414" i="4"/>
  <c r="GB414" i="4"/>
  <c r="GC414" i="4"/>
  <c r="GD414" i="4"/>
  <c r="FV412" i="4"/>
  <c r="FX412" i="4"/>
  <c r="FY412" i="4"/>
  <c r="FZ412" i="4"/>
  <c r="GB412" i="4"/>
  <c r="GC412" i="4"/>
  <c r="GD412" i="4"/>
  <c r="GB411" i="4"/>
  <c r="GC411" i="4"/>
  <c r="GD411" i="4"/>
  <c r="FZ411" i="4"/>
  <c r="FX411" i="4"/>
  <c r="FY411" i="4"/>
  <c r="FX410" i="4"/>
  <c r="FY410" i="4"/>
  <c r="FZ410" i="4"/>
  <c r="GB410" i="4"/>
  <c r="GC410" i="4"/>
  <c r="GD410" i="4"/>
  <c r="FV407" i="4"/>
  <c r="H407" i="4" s="1"/>
  <c r="FX407" i="4"/>
  <c r="FY407" i="4"/>
  <c r="FZ407" i="4"/>
  <c r="GB407" i="4"/>
  <c r="GC407" i="4"/>
  <c r="GD407" i="4"/>
  <c r="FV404" i="4"/>
  <c r="FX404" i="4"/>
  <c r="FY404" i="4"/>
  <c r="FZ404" i="4"/>
  <c r="GB404" i="4"/>
  <c r="GC404" i="4"/>
  <c r="GD404" i="4"/>
  <c r="GC403" i="4"/>
  <c r="GD403" i="4"/>
  <c r="FX403" i="4"/>
  <c r="FY403" i="4"/>
  <c r="FZ403" i="4"/>
  <c r="GB403" i="4"/>
  <c r="HF412" i="4"/>
  <c r="HF402" i="4"/>
  <c r="HF404" i="4"/>
  <c r="HF411" i="4"/>
  <c r="H447" i="4" l="1"/>
  <c r="FB447" i="4"/>
  <c r="FC447" i="4" s="1"/>
  <c r="FD447" i="4"/>
  <c r="FE447" i="4" s="1"/>
  <c r="FF447" i="4"/>
  <c r="FG447" i="4" s="1"/>
  <c r="FH447" i="4"/>
  <c r="FI447" i="4" s="1"/>
  <c r="FL447" i="4"/>
  <c r="FM447" i="4" s="1"/>
  <c r="HH419" i="4"/>
  <c r="HH420" i="4"/>
  <c r="HH430" i="4"/>
  <c r="HH421" i="4"/>
  <c r="HH403" i="4"/>
  <c r="HH414" i="4"/>
  <c r="HH415" i="4"/>
  <c r="HH410" i="4"/>
  <c r="HH411" i="4"/>
  <c r="HH418" i="4"/>
  <c r="HH417" i="4"/>
  <c r="FP419" i="4"/>
  <c r="H440" i="4"/>
  <c r="FB440" i="4"/>
  <c r="FC440" i="4" s="1"/>
  <c r="FD440" i="4"/>
  <c r="FE440" i="4" s="1"/>
  <c r="FF440" i="4"/>
  <c r="FG440" i="4" s="1"/>
  <c r="FH440" i="4"/>
  <c r="FI440" i="4" s="1"/>
  <c r="FJ440" i="4"/>
  <c r="FK440" i="4" s="1"/>
  <c r="FJ439" i="4"/>
  <c r="FK439" i="4" s="1"/>
  <c r="FB439" i="4"/>
  <c r="FC439" i="4" s="1"/>
  <c r="FD439" i="4"/>
  <c r="FE439" i="4" s="1"/>
  <c r="FF439" i="4"/>
  <c r="FG439" i="4" s="1"/>
  <c r="FH439" i="4"/>
  <c r="FI439" i="4" s="1"/>
  <c r="H441" i="4"/>
  <c r="FB441" i="4"/>
  <c r="FC441" i="4" s="1"/>
  <c r="FD441" i="4"/>
  <c r="FE441" i="4" s="1"/>
  <c r="FF441" i="4"/>
  <c r="FG441" i="4" s="1"/>
  <c r="FH441" i="4"/>
  <c r="FI441" i="4" s="1"/>
  <c r="FL441" i="4"/>
  <c r="FM441" i="4" s="1"/>
  <c r="CD418" i="4"/>
  <c r="BB418" i="4"/>
  <c r="AP418" i="4"/>
  <c r="AI418" i="4"/>
  <c r="DH418" i="4"/>
  <c r="AK418" i="4"/>
  <c r="GA447" i="4"/>
  <c r="C447" i="4"/>
  <c r="FL438" i="4"/>
  <c r="FM438" i="4" s="1"/>
  <c r="FB438" i="4"/>
  <c r="FC438" i="4" s="1"/>
  <c r="FD438" i="4"/>
  <c r="FE438" i="4" s="1"/>
  <c r="FF438" i="4"/>
  <c r="FG438" i="4" s="1"/>
  <c r="FH438" i="4"/>
  <c r="FI438" i="4" s="1"/>
  <c r="EH418" i="4"/>
  <c r="DV418" i="4"/>
  <c r="AU418" i="4"/>
  <c r="DJ418" i="4"/>
  <c r="AW418" i="4"/>
  <c r="EC418" i="4"/>
  <c r="BR418" i="4"/>
  <c r="AD418" i="4"/>
  <c r="DA418" i="4"/>
  <c r="BF418" i="4"/>
  <c r="CK418" i="4"/>
  <c r="DQ418" i="4"/>
  <c r="DT418" i="4"/>
  <c r="BY418" i="4"/>
  <c r="AY418" i="4"/>
  <c r="BP418" i="4"/>
  <c r="BM418" i="4"/>
  <c r="AN418" i="4"/>
  <c r="CT418" i="4"/>
  <c r="CO418" i="4"/>
  <c r="AG418" i="4"/>
  <c r="BW418" i="4"/>
  <c r="CY418" i="4"/>
  <c r="CF418" i="4"/>
  <c r="CM418" i="4"/>
  <c r="AB418" i="4"/>
  <c r="DX418" i="4"/>
  <c r="BD418" i="4"/>
  <c r="DF418" i="4"/>
  <c r="EE418" i="4"/>
  <c r="EA418" i="4"/>
  <c r="CH418" i="4"/>
  <c r="CV418" i="4"/>
  <c r="DO418" i="4"/>
  <c r="CA418" i="4"/>
  <c r="Z418" i="4"/>
  <c r="BK418" i="4"/>
  <c r="DC418" i="4"/>
  <c r="EV417" i="4"/>
  <c r="EW417" i="4" s="1"/>
  <c r="EX417" i="4"/>
  <c r="EY417" i="4" s="1"/>
  <c r="EX414" i="4"/>
  <c r="EY414" i="4" s="1"/>
  <c r="EV414" i="4"/>
  <c r="EW414" i="4" s="1"/>
  <c r="EV415" i="4"/>
  <c r="EW415" i="4" s="1"/>
  <c r="EX415" i="4"/>
  <c r="EY415" i="4" s="1"/>
  <c r="EZ419" i="4"/>
  <c r="FA419" i="4" s="1"/>
  <c r="EZ415" i="4"/>
  <c r="EX419" i="4"/>
  <c r="EY419" i="4" s="1"/>
  <c r="EV403" i="4"/>
  <c r="EW403" i="4" s="1"/>
  <c r="EV420" i="4"/>
  <c r="EW420" i="4" s="1"/>
  <c r="EX403" i="4"/>
  <c r="EY403" i="4" s="1"/>
  <c r="EX420" i="4"/>
  <c r="EY420" i="4" s="1"/>
  <c r="EX421" i="4"/>
  <c r="EY421" i="4" s="1"/>
  <c r="EX410" i="4"/>
  <c r="EY410" i="4" s="1"/>
  <c r="EX411" i="4"/>
  <c r="EY411" i="4" s="1"/>
  <c r="EV418" i="4"/>
  <c r="EW418" i="4" s="1"/>
  <c r="EV430" i="4"/>
  <c r="EW430" i="4" s="1"/>
  <c r="EV421" i="4"/>
  <c r="EW421" i="4" s="1"/>
  <c r="EV410" i="4"/>
  <c r="EW410" i="4" s="1"/>
  <c r="EV411" i="4"/>
  <c r="EW411" i="4" s="1"/>
  <c r="EZ418" i="4"/>
  <c r="FA418" i="4" s="1"/>
  <c r="EX430" i="4"/>
  <c r="EY430" i="4" s="1"/>
  <c r="ER421" i="4"/>
  <c r="ES421" i="4" s="1"/>
  <c r="ER419" i="4"/>
  <c r="ES419" i="4" s="1"/>
  <c r="ER418" i="4"/>
  <c r="ES418" i="4" s="1"/>
  <c r="BB430" i="4"/>
  <c r="ER403" i="4"/>
  <c r="ES403" i="4" s="1"/>
  <c r="ER415" i="4"/>
  <c r="ES415" i="4" s="1"/>
  <c r="ER411" i="4"/>
  <c r="ES411" i="4" s="1"/>
  <c r="ER417" i="4"/>
  <c r="ES417" i="4" s="1"/>
  <c r="ER414" i="4"/>
  <c r="ES414" i="4" s="1"/>
  <c r="ER410" i="4"/>
  <c r="ES410" i="4" s="1"/>
  <c r="ER420" i="4"/>
  <c r="ES420" i="4" s="1"/>
  <c r="ER430" i="4"/>
  <c r="ES430" i="4" s="1"/>
  <c r="EP417" i="4"/>
  <c r="EQ417" i="4" s="1"/>
  <c r="EN417" i="4"/>
  <c r="EO417" i="4" s="1"/>
  <c r="EN414" i="4"/>
  <c r="EO414" i="4" s="1"/>
  <c r="EP414" i="4"/>
  <c r="EQ414" i="4" s="1"/>
  <c r="EP415" i="4"/>
  <c r="EQ415" i="4" s="1"/>
  <c r="EP419" i="4"/>
  <c r="EQ419" i="4" s="1"/>
  <c r="EN415" i="4"/>
  <c r="EO415" i="4" s="1"/>
  <c r="EN419" i="4"/>
  <c r="EO419" i="4" s="1"/>
  <c r="EN403" i="4"/>
  <c r="EO403" i="4" s="1"/>
  <c r="EN420" i="4"/>
  <c r="EO420" i="4" s="1"/>
  <c r="EP403" i="4"/>
  <c r="EQ403" i="4" s="1"/>
  <c r="EP420" i="4"/>
  <c r="EQ420" i="4" s="1"/>
  <c r="EN421" i="4"/>
  <c r="EO421" i="4" s="1"/>
  <c r="EN410" i="4"/>
  <c r="EO410" i="4" s="1"/>
  <c r="EN411" i="4"/>
  <c r="EO411" i="4" s="1"/>
  <c r="EP418" i="4"/>
  <c r="EQ418" i="4" s="1"/>
  <c r="EN430" i="4"/>
  <c r="EO430" i="4" s="1"/>
  <c r="EP421" i="4"/>
  <c r="EQ421" i="4" s="1"/>
  <c r="EP410" i="4"/>
  <c r="EQ410" i="4" s="1"/>
  <c r="EP411" i="4"/>
  <c r="EQ411" i="4" s="1"/>
  <c r="EN418" i="4"/>
  <c r="EO418" i="4" s="1"/>
  <c r="EP430" i="4"/>
  <c r="EQ430" i="4" s="1"/>
  <c r="BD430" i="4"/>
  <c r="EA430" i="4"/>
  <c r="CM410" i="4"/>
  <c r="DO410" i="4"/>
  <c r="BK410" i="4"/>
  <c r="CF410" i="4"/>
  <c r="CO421" i="4"/>
  <c r="BY421" i="4"/>
  <c r="DV421" i="4"/>
  <c r="BM421" i="4"/>
  <c r="EC403" i="4"/>
  <c r="BW421" i="4"/>
  <c r="CR421" i="4"/>
  <c r="CV403" i="4"/>
  <c r="AR421" i="4"/>
  <c r="CV421" i="4"/>
  <c r="BI421" i="4"/>
  <c r="BD421" i="4"/>
  <c r="DO421" i="4"/>
  <c r="CY421" i="4"/>
  <c r="BP421" i="4"/>
  <c r="CR430" i="4"/>
  <c r="BT430" i="4"/>
  <c r="AD430" i="4"/>
  <c r="DT430" i="4"/>
  <c r="AN430" i="4"/>
  <c r="CM430" i="4"/>
  <c r="AI430" i="4"/>
  <c r="DF430" i="4"/>
  <c r="CV430" i="4"/>
  <c r="DJ430" i="4"/>
  <c r="DM430" i="4"/>
  <c r="AG430" i="4"/>
  <c r="AU430" i="4"/>
  <c r="CT430" i="4"/>
  <c r="AY430" i="4"/>
  <c r="CA430" i="4"/>
  <c r="Z430" i="4"/>
  <c r="CD430" i="4"/>
  <c r="CF430" i="4"/>
  <c r="DO430" i="4"/>
  <c r="BW430" i="4"/>
  <c r="BR430" i="4"/>
  <c r="BM430" i="4"/>
  <c r="DQ430" i="4"/>
  <c r="EE430" i="4"/>
  <c r="CK430" i="4"/>
  <c r="CO430" i="4"/>
  <c r="AB430" i="4"/>
  <c r="FP430" i="4"/>
  <c r="DA430" i="4"/>
  <c r="BY430" i="4"/>
  <c r="EC430" i="4"/>
  <c r="AK430" i="4"/>
  <c r="DC430" i="4"/>
  <c r="CY430" i="4"/>
  <c r="AW430" i="4"/>
  <c r="AR430" i="4"/>
  <c r="DV430" i="4"/>
  <c r="DX430" i="4"/>
  <c r="BI430" i="4"/>
  <c r="BK430" i="4"/>
  <c r="BF430" i="4"/>
  <c r="CH430" i="4"/>
  <c r="DH430" i="4"/>
  <c r="BP430" i="4"/>
  <c r="FB437" i="4"/>
  <c r="FC437" i="4" s="1"/>
  <c r="FF437" i="4"/>
  <c r="FG437" i="4" s="1"/>
  <c r="FL437" i="4"/>
  <c r="FM437" i="4" s="1"/>
  <c r="FH437" i="4"/>
  <c r="FI437" i="4" s="1"/>
  <c r="FJ437" i="4"/>
  <c r="FK437" i="4" s="1"/>
  <c r="GA437" i="4"/>
  <c r="C437" i="4"/>
  <c r="FL435" i="4"/>
  <c r="FM435" i="4" s="1"/>
  <c r="FH435" i="4"/>
  <c r="FI435" i="4" s="1"/>
  <c r="FB435" i="4"/>
  <c r="FC435" i="4" s="1"/>
  <c r="FF435" i="4"/>
  <c r="FG435" i="4" s="1"/>
  <c r="FJ435" i="4"/>
  <c r="FK435" i="4" s="1"/>
  <c r="GA439" i="4"/>
  <c r="C439" i="4"/>
  <c r="GA438" i="4"/>
  <c r="C438" i="4"/>
  <c r="GO430" i="4"/>
  <c r="FN430" i="4"/>
  <c r="GA441" i="4"/>
  <c r="HH441" i="4" s="1"/>
  <c r="C441" i="4"/>
  <c r="AW421" i="4"/>
  <c r="Z421" i="4"/>
  <c r="DJ421" i="4"/>
  <c r="CM421" i="4"/>
  <c r="CK421" i="4"/>
  <c r="DH421" i="4"/>
  <c r="AD421" i="4"/>
  <c r="CD421" i="4"/>
  <c r="AG421" i="4"/>
  <c r="EE421" i="4"/>
  <c r="CA421" i="4"/>
  <c r="DT421" i="4"/>
  <c r="BB421" i="4"/>
  <c r="DC421" i="4"/>
  <c r="BR421" i="4"/>
  <c r="CH421" i="4"/>
  <c r="CF414" i="4"/>
  <c r="DA421" i="4"/>
  <c r="EA421" i="4"/>
  <c r="DF421" i="4"/>
  <c r="CT421" i="4"/>
  <c r="CF421" i="4"/>
  <c r="CK414" i="4"/>
  <c r="DX421" i="4"/>
  <c r="BB414" i="4"/>
  <c r="EC421" i="4"/>
  <c r="AI421" i="4"/>
  <c r="BT421" i="4"/>
  <c r="DM421" i="4"/>
  <c r="DQ421" i="4"/>
  <c r="AY421" i="4"/>
  <c r="AB421" i="4"/>
  <c r="EH421" i="4"/>
  <c r="FP421" i="4"/>
  <c r="AU421" i="4"/>
  <c r="GS430" i="4"/>
  <c r="AK421" i="4"/>
  <c r="BK421" i="4"/>
  <c r="AN421" i="4"/>
  <c r="BF421" i="4"/>
  <c r="EH430" i="4"/>
  <c r="R430" i="4"/>
  <c r="X430" i="4"/>
  <c r="N430" i="4"/>
  <c r="GU430" i="4"/>
  <c r="GM430" i="4"/>
  <c r="CA403" i="4"/>
  <c r="T421" i="4"/>
  <c r="BY411" i="4"/>
  <c r="BP411" i="4"/>
  <c r="R421" i="4"/>
  <c r="DH415" i="4"/>
  <c r="CA415" i="4"/>
  <c r="BR415" i="4"/>
  <c r="CR415" i="4"/>
  <c r="FB428" i="4"/>
  <c r="FC428" i="4" s="1"/>
  <c r="FD428" i="4"/>
  <c r="FE428" i="4" s="1"/>
  <c r="FF428" i="4"/>
  <c r="FG428" i="4" s="1"/>
  <c r="FH428" i="4"/>
  <c r="FI428" i="4" s="1"/>
  <c r="FJ428" i="4"/>
  <c r="FK428" i="4" s="1"/>
  <c r="FF429" i="4"/>
  <c r="FG429" i="4" s="1"/>
  <c r="FH429" i="4"/>
  <c r="FI429" i="4" s="1"/>
  <c r="FJ429" i="4"/>
  <c r="FK429" i="4" s="1"/>
  <c r="FL429" i="4"/>
  <c r="FM429" i="4" s="1"/>
  <c r="FD429" i="4"/>
  <c r="FE429" i="4" s="1"/>
  <c r="FD426" i="4"/>
  <c r="FE426" i="4" s="1"/>
  <c r="FF426" i="4"/>
  <c r="FG426" i="4" s="1"/>
  <c r="FH426" i="4"/>
  <c r="FI426" i="4" s="1"/>
  <c r="FJ426" i="4"/>
  <c r="FK426" i="4" s="1"/>
  <c r="FL426" i="4"/>
  <c r="FM426" i="4" s="1"/>
  <c r="X421" i="4"/>
  <c r="GA435" i="4"/>
  <c r="HH435" i="4" s="1"/>
  <c r="C435" i="4"/>
  <c r="DO417" i="4"/>
  <c r="GO421" i="4"/>
  <c r="GS421" i="4"/>
  <c r="GM421" i="4"/>
  <c r="DV417" i="4"/>
  <c r="BK417" i="4"/>
  <c r="AU417" i="4"/>
  <c r="DA417" i="4"/>
  <c r="BD417" i="4"/>
  <c r="DC417" i="4"/>
  <c r="EA417" i="4"/>
  <c r="AK417" i="4"/>
  <c r="BP417" i="4"/>
  <c r="DM417" i="4"/>
  <c r="EH417" i="4"/>
  <c r="AR417" i="4"/>
  <c r="AW417" i="4"/>
  <c r="AB417" i="4"/>
  <c r="AI417" i="4"/>
  <c r="BB417" i="4"/>
  <c r="BI417" i="4"/>
  <c r="CD417" i="4"/>
  <c r="BW417" i="4"/>
  <c r="AN417" i="4"/>
  <c r="CR417" i="4"/>
  <c r="CH417" i="4"/>
  <c r="CA417" i="4"/>
  <c r="CK417" i="4"/>
  <c r="AG417" i="4"/>
  <c r="CT417" i="4"/>
  <c r="BR417" i="4"/>
  <c r="CV417" i="4"/>
  <c r="BM417" i="4"/>
  <c r="DF417" i="4"/>
  <c r="BF417" i="4"/>
  <c r="DH417" i="4"/>
  <c r="CM417" i="4"/>
  <c r="BT417" i="4"/>
  <c r="CF417" i="4"/>
  <c r="DT417" i="4"/>
  <c r="AY417" i="4"/>
  <c r="CY417" i="4"/>
  <c r="DQ417" i="4"/>
  <c r="DX417" i="4"/>
  <c r="CO417" i="4"/>
  <c r="BY417" i="4"/>
  <c r="EC417" i="4"/>
  <c r="Z417" i="4"/>
  <c r="DJ417" i="4"/>
  <c r="EE417" i="4"/>
  <c r="DM410" i="4"/>
  <c r="CY414" i="4"/>
  <c r="Z414" i="4"/>
  <c r="AD410" i="4"/>
  <c r="DA410" i="4"/>
  <c r="CY410" i="4"/>
  <c r="BW410" i="4"/>
  <c r="EA410" i="4"/>
  <c r="BY414" i="4"/>
  <c r="DM414" i="4"/>
  <c r="BP414" i="4"/>
  <c r="BW414" i="4"/>
  <c r="CR410" i="4"/>
  <c r="CK410" i="4"/>
  <c r="DF410" i="4"/>
  <c r="AU410" i="4"/>
  <c r="BT414" i="4"/>
  <c r="CM414" i="4"/>
  <c r="DC414" i="4"/>
  <c r="DV414" i="4"/>
  <c r="EA414" i="4"/>
  <c r="EC414" i="4"/>
  <c r="AI414" i="4"/>
  <c r="DA414" i="4"/>
  <c r="DJ410" i="4"/>
  <c r="BY410" i="4"/>
  <c r="CT410" i="4"/>
  <c r="AI410" i="4"/>
  <c r="CT414" i="4"/>
  <c r="CA414" i="4"/>
  <c r="BB410" i="4"/>
  <c r="EH414" i="4"/>
  <c r="DX414" i="4"/>
  <c r="CA410" i="4"/>
  <c r="BM410" i="4"/>
  <c r="CH410" i="4"/>
  <c r="CD410" i="4"/>
  <c r="EE414" i="4"/>
  <c r="AK414" i="4"/>
  <c r="AU414" i="4"/>
  <c r="AG414" i="4"/>
  <c r="DO414" i="4"/>
  <c r="DT410" i="4"/>
  <c r="Z410" i="4"/>
  <c r="BR410" i="4"/>
  <c r="AW414" i="4"/>
  <c r="EH410" i="4"/>
  <c r="BK414" i="4"/>
  <c r="DJ414" i="4"/>
  <c r="BR414" i="4"/>
  <c r="AY410" i="4"/>
  <c r="DH410" i="4"/>
  <c r="EC410" i="4"/>
  <c r="BF410" i="4"/>
  <c r="BI414" i="4"/>
  <c r="FP410" i="4"/>
  <c r="AY414" i="4"/>
  <c r="CV414" i="4"/>
  <c r="DC410" i="4"/>
  <c r="AB414" i="4"/>
  <c r="BT410" i="4"/>
  <c r="DX410" i="4"/>
  <c r="CV410" i="4"/>
  <c r="DQ410" i="4"/>
  <c r="DV410" i="4"/>
  <c r="CH414" i="4"/>
  <c r="BF414" i="4"/>
  <c r="BP410" i="4"/>
  <c r="AN410" i="4"/>
  <c r="BI410" i="4"/>
  <c r="DH414" i="4"/>
  <c r="DF414" i="4"/>
  <c r="CO414" i="4"/>
  <c r="BM414" i="4"/>
  <c r="BD410" i="4"/>
  <c r="AB410" i="4"/>
  <c r="AW410" i="4"/>
  <c r="DT414" i="4"/>
  <c r="AR414" i="4"/>
  <c r="CR414" i="4"/>
  <c r="DQ414" i="4"/>
  <c r="BD414" i="4"/>
  <c r="N421" i="4"/>
  <c r="FN421" i="4"/>
  <c r="AG410" i="4"/>
  <c r="AR410" i="4"/>
  <c r="EE410" i="4"/>
  <c r="AK410" i="4"/>
  <c r="AD414" i="4"/>
  <c r="BB415" i="4"/>
  <c r="AD415" i="4"/>
  <c r="BF415" i="4"/>
  <c r="CF415" i="4"/>
  <c r="DT415" i="4"/>
  <c r="BM415" i="4"/>
  <c r="CK411" i="4"/>
  <c r="CM415" i="4"/>
  <c r="AR415" i="4"/>
  <c r="CO415" i="4"/>
  <c r="CD415" i="4"/>
  <c r="EE415" i="4"/>
  <c r="CV415" i="4"/>
  <c r="DV411" i="4"/>
  <c r="DM415" i="4"/>
  <c r="BD415" i="4"/>
  <c r="DO415" i="4"/>
  <c r="DC415" i="4"/>
  <c r="EA411" i="4"/>
  <c r="AN415" i="4"/>
  <c r="DJ415" i="4"/>
  <c r="BW411" i="4"/>
  <c r="AP415" i="4"/>
  <c r="BP415" i="4"/>
  <c r="EC415" i="4"/>
  <c r="AU415" i="4"/>
  <c r="EE411" i="4"/>
  <c r="BW415" i="4"/>
  <c r="DA415" i="4"/>
  <c r="DQ415" i="4"/>
  <c r="AK415" i="4"/>
  <c r="CY415" i="4"/>
  <c r="EA415" i="4"/>
  <c r="CF411" i="4"/>
  <c r="CH415" i="4"/>
  <c r="AN411" i="4"/>
  <c r="DX411" i="4"/>
  <c r="CR411" i="4"/>
  <c r="CT415" i="4"/>
  <c r="BY415" i="4"/>
  <c r="Z415" i="4"/>
  <c r="DJ411" i="4"/>
  <c r="AW415" i="4"/>
  <c r="CK415" i="4"/>
  <c r="BK415" i="4"/>
  <c r="BI415" i="4"/>
  <c r="BI411" i="4"/>
  <c r="DX415" i="4"/>
  <c r="FP411" i="4"/>
  <c r="AD411" i="4"/>
  <c r="AI415" i="4"/>
  <c r="DF415" i="4"/>
  <c r="AW411" i="4"/>
  <c r="DV415" i="4"/>
  <c r="AY411" i="4"/>
  <c r="GA429" i="4"/>
  <c r="C429" i="4"/>
  <c r="AG415" i="4"/>
  <c r="BT415" i="4"/>
  <c r="AK411" i="4"/>
  <c r="AY415" i="4"/>
  <c r="GA440" i="4"/>
  <c r="C440" i="4"/>
  <c r="GA428" i="4"/>
  <c r="C428" i="4"/>
  <c r="GA426" i="4"/>
  <c r="C426" i="4"/>
  <c r="DF420" i="4"/>
  <c r="AR420" i="4"/>
  <c r="FP420" i="4"/>
  <c r="B18" i="16" s="1"/>
  <c r="AN419" i="4"/>
  <c r="EA419" i="4"/>
  <c r="AK419" i="4"/>
  <c r="DQ419" i="4"/>
  <c r="BR419" i="4"/>
  <c r="T417" i="4"/>
  <c r="FN417" i="4"/>
  <c r="GQ417" i="4" s="1"/>
  <c r="GQ418" i="4"/>
  <c r="FN418" i="4"/>
  <c r="GM418" i="4" s="1"/>
  <c r="GS420" i="4"/>
  <c r="FN420" i="4"/>
  <c r="GQ420" i="4" s="1"/>
  <c r="T414" i="4"/>
  <c r="FN414" i="4"/>
  <c r="GQ414" i="4" s="1"/>
  <c r="EH415" i="4"/>
  <c r="FN415" i="4"/>
  <c r="GS417" i="4"/>
  <c r="GO417" i="4"/>
  <c r="BM411" i="4"/>
  <c r="CY411" i="4"/>
  <c r="CD411" i="4"/>
  <c r="BT411" i="4"/>
  <c r="AU411" i="4"/>
  <c r="DQ411" i="4"/>
  <c r="DT411" i="4"/>
  <c r="BF420" i="4"/>
  <c r="EC420" i="4"/>
  <c r="BM420" i="4"/>
  <c r="AN420" i="4"/>
  <c r="AG420" i="4"/>
  <c r="CT420" i="4"/>
  <c r="CH420" i="4"/>
  <c r="BD411" i="4"/>
  <c r="EH411" i="4"/>
  <c r="EH420" i="4"/>
  <c r="CD420" i="4"/>
  <c r="CV420" i="4"/>
  <c r="CO420" i="4"/>
  <c r="DM420" i="4"/>
  <c r="AW420" i="4"/>
  <c r="BT420" i="4"/>
  <c r="CO411" i="4"/>
  <c r="BF411" i="4"/>
  <c r="CR420" i="4"/>
  <c r="DQ420" i="4"/>
  <c r="BP420" i="4"/>
  <c r="AI420" i="4"/>
  <c r="N420" i="4"/>
  <c r="AK420" i="4"/>
  <c r="R420" i="4"/>
  <c r="DA411" i="4"/>
  <c r="DC411" i="4"/>
  <c r="CV411" i="4"/>
  <c r="CH411" i="4"/>
  <c r="DT420" i="4"/>
  <c r="BD420" i="4"/>
  <c r="EE420" i="4"/>
  <c r="AY420" i="4"/>
  <c r="DV420" i="4"/>
  <c r="DM411" i="4"/>
  <c r="DO411" i="4"/>
  <c r="DH411" i="4"/>
  <c r="AB420" i="4"/>
  <c r="BI420" i="4"/>
  <c r="CA420" i="4"/>
  <c r="AB411" i="4"/>
  <c r="DJ420" i="4"/>
  <c r="CF420" i="4"/>
  <c r="BW420" i="4"/>
  <c r="AU420" i="4"/>
  <c r="DX420" i="4"/>
  <c r="BB411" i="4"/>
  <c r="BB420" i="4"/>
  <c r="DH420" i="4"/>
  <c r="CY420" i="4"/>
  <c r="BK420" i="4"/>
  <c r="Z420" i="4"/>
  <c r="CA411" i="4"/>
  <c r="AP420" i="4"/>
  <c r="AR411" i="4"/>
  <c r="AI411" i="4"/>
  <c r="CM420" i="4"/>
  <c r="DA420" i="4"/>
  <c r="CK420" i="4"/>
  <c r="EA420" i="4"/>
  <c r="Z411" i="4"/>
  <c r="CM411" i="4"/>
  <c r="AD420" i="4"/>
  <c r="BR411" i="4"/>
  <c r="AG411" i="4"/>
  <c r="EC411" i="4"/>
  <c r="CT411" i="4"/>
  <c r="BK411" i="4"/>
  <c r="DF411" i="4"/>
  <c r="DO420" i="4"/>
  <c r="BY420" i="4"/>
  <c r="T415" i="4"/>
  <c r="T420" i="4"/>
  <c r="GM417" i="4"/>
  <c r="DM418" i="4"/>
  <c r="GS415" i="4"/>
  <c r="GU415" i="4"/>
  <c r="GO415" i="4"/>
  <c r="CR418" i="4"/>
  <c r="X420" i="4"/>
  <c r="GO420" i="4"/>
  <c r="GM420" i="4"/>
  <c r="FP414" i="4"/>
  <c r="GU420" i="4"/>
  <c r="GW419" i="4"/>
  <c r="X419" i="4"/>
  <c r="R419" i="4"/>
  <c r="AI419" i="4"/>
  <c r="DV419" i="4"/>
  <c r="BI419" i="4"/>
  <c r="V419" i="4"/>
  <c r="GM419" i="4"/>
  <c r="BM419" i="4"/>
  <c r="CA419" i="4"/>
  <c r="DH419" i="4"/>
  <c r="BT419" i="4"/>
  <c r="CT419" i="4"/>
  <c r="FP418" i="4"/>
  <c r="DO419" i="4"/>
  <c r="BY419" i="4"/>
  <c r="AY419" i="4"/>
  <c r="EE419" i="4"/>
  <c r="DX419" i="4"/>
  <c r="CH419" i="4"/>
  <c r="CK419" i="4"/>
  <c r="AR403" i="4"/>
  <c r="CO419" i="4"/>
  <c r="DJ403" i="4"/>
  <c r="AG419" i="4"/>
  <c r="EH403" i="4"/>
  <c r="CF419" i="4"/>
  <c r="CY419" i="4"/>
  <c r="AD419" i="4"/>
  <c r="AP419" i="4"/>
  <c r="DC419" i="4"/>
  <c r="CR419" i="4"/>
  <c r="GU417" i="4"/>
  <c r="R417" i="4"/>
  <c r="X417" i="4"/>
  <c r="BB419" i="4"/>
  <c r="CD419" i="4"/>
  <c r="DT419" i="4"/>
  <c r="EH419" i="4"/>
  <c r="Z419" i="4"/>
  <c r="BM403" i="4"/>
  <c r="CV419" i="4"/>
  <c r="FP417" i="4"/>
  <c r="ET417" i="4" s="1"/>
  <c r="EZ417" i="4" s="1"/>
  <c r="EC419" i="4"/>
  <c r="DM419" i="4"/>
  <c r="BD419" i="4"/>
  <c r="DF419" i="4"/>
  <c r="BF419" i="4"/>
  <c r="DJ419" i="4"/>
  <c r="BP419" i="4"/>
  <c r="CM419" i="4"/>
  <c r="N417" i="4"/>
  <c r="GO419" i="4"/>
  <c r="BW419" i="4"/>
  <c r="BF403" i="4"/>
  <c r="DA419" i="4"/>
  <c r="AB419" i="4"/>
  <c r="AR419" i="4"/>
  <c r="GQ419" i="4"/>
  <c r="DX403" i="4"/>
  <c r="AW419" i="4"/>
  <c r="EE403" i="4"/>
  <c r="BK419" i="4"/>
  <c r="GM415" i="4"/>
  <c r="N415" i="4"/>
  <c r="R415" i="4"/>
  <c r="X415" i="4"/>
  <c r="GS419" i="4"/>
  <c r="P419" i="4"/>
  <c r="V415" i="4"/>
  <c r="B16" i="16"/>
  <c r="GM410" i="4"/>
  <c r="GW418" i="4"/>
  <c r="GU418" i="4"/>
  <c r="V418" i="4"/>
  <c r="N418" i="4"/>
  <c r="GU414" i="4"/>
  <c r="BT418" i="4"/>
  <c r="FN411" i="4"/>
  <c r="N411" i="4"/>
  <c r="R411" i="4"/>
  <c r="T411" i="4"/>
  <c r="X411" i="4"/>
  <c r="GM414" i="4"/>
  <c r="T418" i="4"/>
  <c r="GS411" i="4"/>
  <c r="GO414" i="4"/>
  <c r="C407" i="4"/>
  <c r="FB407" i="4"/>
  <c r="FC407" i="4" s="1"/>
  <c r="FD407" i="4"/>
  <c r="FE407" i="4" s="1"/>
  <c r="FF407" i="4"/>
  <c r="FG407" i="4" s="1"/>
  <c r="FH407" i="4"/>
  <c r="FI407" i="4" s="1"/>
  <c r="FJ407" i="4"/>
  <c r="FK407" i="4" s="1"/>
  <c r="GO410" i="4"/>
  <c r="FN410" i="4"/>
  <c r="N410" i="4"/>
  <c r="GS410" i="4"/>
  <c r="R410" i="4"/>
  <c r="T410" i="4"/>
  <c r="GU410" i="4"/>
  <c r="X410" i="4"/>
  <c r="GU411" i="4"/>
  <c r="GS414" i="4"/>
  <c r="GM411" i="4"/>
  <c r="C412" i="4"/>
  <c r="FB412" i="4"/>
  <c r="FC412" i="4" s="1"/>
  <c r="FD412" i="4"/>
  <c r="FE412" i="4" s="1"/>
  <c r="FF412" i="4"/>
  <c r="FG412" i="4" s="1"/>
  <c r="FH412" i="4"/>
  <c r="FI412" i="4" s="1"/>
  <c r="FL412" i="4"/>
  <c r="FM412" i="4" s="1"/>
  <c r="GO418" i="4"/>
  <c r="P418" i="4"/>
  <c r="R418" i="4"/>
  <c r="CF403" i="4"/>
  <c r="BR403" i="4"/>
  <c r="BD403" i="4"/>
  <c r="DQ403" i="4"/>
  <c r="CY403" i="4"/>
  <c r="BP403" i="4"/>
  <c r="BB403" i="4"/>
  <c r="AI403" i="4"/>
  <c r="DM403" i="4"/>
  <c r="DC403" i="4"/>
  <c r="AP403" i="4"/>
  <c r="CO403" i="4"/>
  <c r="AN403" i="4"/>
  <c r="CH403" i="4"/>
  <c r="AK403" i="4"/>
  <c r="BW403" i="4"/>
  <c r="EA403" i="4"/>
  <c r="DF403" i="4"/>
  <c r="DV403" i="4"/>
  <c r="BI403" i="4"/>
  <c r="AW403" i="4"/>
  <c r="CM403" i="4"/>
  <c r="DH403" i="4"/>
  <c r="FP403" i="4"/>
  <c r="AU403" i="4"/>
  <c r="CR403" i="4"/>
  <c r="CD403" i="4"/>
  <c r="DA403" i="4"/>
  <c r="DT403" i="4"/>
  <c r="AY403" i="4"/>
  <c r="BT403" i="4"/>
  <c r="DO403" i="4"/>
  <c r="BY403" i="4"/>
  <c r="AD403" i="4"/>
  <c r="CK403" i="4"/>
  <c r="CT403" i="4"/>
  <c r="AB415" i="4"/>
  <c r="GS403" i="4"/>
  <c r="FN403" i="4"/>
  <c r="C404" i="4"/>
  <c r="FJ404" i="4"/>
  <c r="FK404" i="4" s="1"/>
  <c r="FF404" i="4"/>
  <c r="FG404" i="4" s="1"/>
  <c r="FB404" i="4"/>
  <c r="FC404" i="4" s="1"/>
  <c r="FD404" i="4"/>
  <c r="FE404" i="4" s="1"/>
  <c r="FH404" i="4"/>
  <c r="FI404" i="4" s="1"/>
  <c r="N403" i="4"/>
  <c r="R414" i="4"/>
  <c r="X414" i="4"/>
  <c r="GU403" i="4"/>
  <c r="AN414" i="4"/>
  <c r="GO403" i="4"/>
  <c r="N414" i="4"/>
  <c r="GM403" i="4"/>
  <c r="AG403" i="4"/>
  <c r="R403" i="4"/>
  <c r="X403" i="4"/>
  <c r="Z403" i="4"/>
  <c r="GA412" i="4"/>
  <c r="GA407" i="4"/>
  <c r="HH407" i="4" s="1"/>
  <c r="GA404" i="4"/>
  <c r="P403" i="4" l="1"/>
  <c r="FN438" i="4"/>
  <c r="HH438" i="4"/>
  <c r="FN439" i="4"/>
  <c r="HH439" i="4"/>
  <c r="GQ447" i="4"/>
  <c r="FN447" i="4"/>
  <c r="HH447" i="4"/>
  <c r="FP447" i="4"/>
  <c r="ET447" i="4" s="1"/>
  <c r="EX447" i="4" s="1"/>
  <c r="EH447" i="4"/>
  <c r="R447" i="4" s="1"/>
  <c r="HA420" i="4"/>
  <c r="FN429" i="4"/>
  <c r="GQ429" i="4" s="1"/>
  <c r="HH429" i="4"/>
  <c r="HA417" i="4"/>
  <c r="P411" i="4"/>
  <c r="FN426" i="4"/>
  <c r="HH426" i="4"/>
  <c r="HA410" i="4"/>
  <c r="FN428" i="4"/>
  <c r="HH428" i="4"/>
  <c r="HA418" i="4"/>
  <c r="FN404" i="4"/>
  <c r="HH404" i="4"/>
  <c r="P414" i="4"/>
  <c r="FN440" i="4"/>
  <c r="HH440" i="4"/>
  <c r="GM437" i="4"/>
  <c r="HH437" i="4"/>
  <c r="GW412" i="4"/>
  <c r="HH412" i="4"/>
  <c r="HA419" i="4"/>
  <c r="HA421" i="4"/>
  <c r="GU441" i="4"/>
  <c r="FN441" i="4"/>
  <c r="GM441" i="4" s="1"/>
  <c r="FP441" i="4"/>
  <c r="ET441" i="4" s="1"/>
  <c r="EX441" i="4" s="1"/>
  <c r="EH441" i="4"/>
  <c r="R441" i="4" s="1"/>
  <c r="GQ440" i="4"/>
  <c r="EH440" i="4"/>
  <c r="FP440" i="4"/>
  <c r="FP439" i="4"/>
  <c r="EH439" i="4"/>
  <c r="GU447" i="4"/>
  <c r="GW447" i="4"/>
  <c r="ER447" i="4"/>
  <c r="ES447" i="4" s="1"/>
  <c r="X447" i="4"/>
  <c r="EP447" i="4"/>
  <c r="EQ447" i="4" s="1"/>
  <c r="P447" i="4"/>
  <c r="V447" i="4"/>
  <c r="T447" i="4"/>
  <c r="GO447" i="4"/>
  <c r="CA447" i="4"/>
  <c r="BP447" i="4"/>
  <c r="AP447" i="4"/>
  <c r="BY447" i="4"/>
  <c r="AN447" i="4"/>
  <c r="DF447" i="4"/>
  <c r="EN447" i="4"/>
  <c r="EO447" i="4" s="1"/>
  <c r="BD447" i="4"/>
  <c r="AD447" i="4"/>
  <c r="BM447" i="4"/>
  <c r="AB447" i="4"/>
  <c r="DV447" i="4"/>
  <c r="CV447" i="4"/>
  <c r="Z447" i="4"/>
  <c r="DJ447" i="4"/>
  <c r="DT447" i="4"/>
  <c r="EE447" i="4"/>
  <c r="CH447" i="4"/>
  <c r="BW447" i="4"/>
  <c r="CT447" i="4"/>
  <c r="BK447" i="4"/>
  <c r="DH447" i="4"/>
  <c r="BI447" i="4"/>
  <c r="EC447" i="4"/>
  <c r="AW447" i="4"/>
  <c r="CF447" i="4"/>
  <c r="CR447" i="4"/>
  <c r="DQ447" i="4"/>
  <c r="AK447" i="4"/>
  <c r="BT447" i="4"/>
  <c r="AU447" i="4"/>
  <c r="CD447" i="4"/>
  <c r="AY447" i="4"/>
  <c r="EZ447" i="4"/>
  <c r="FA447" i="4" s="1"/>
  <c r="AI447" i="4"/>
  <c r="BR447" i="4"/>
  <c r="CK447" i="4"/>
  <c r="EV447" i="4"/>
  <c r="EW447" i="4" s="1"/>
  <c r="DA447" i="4"/>
  <c r="EA447" i="4"/>
  <c r="DM447" i="4"/>
  <c r="BF447" i="4"/>
  <c r="DC447" i="4"/>
  <c r="CY447" i="4"/>
  <c r="DO447" i="4"/>
  <c r="CM447" i="4"/>
  <c r="DX447" i="4"/>
  <c r="CO447" i="4"/>
  <c r="AG447" i="4"/>
  <c r="BB447" i="4"/>
  <c r="N447" i="4"/>
  <c r="GU438" i="4"/>
  <c r="FP438" i="4"/>
  <c r="ET438" i="4" s="1"/>
  <c r="EX438" i="4" s="1"/>
  <c r="EH438" i="4"/>
  <c r="R438" i="4" s="1"/>
  <c r="EV407" i="4"/>
  <c r="EW407" i="4" s="1"/>
  <c r="EV404" i="4"/>
  <c r="EW404" i="4" s="1"/>
  <c r="EZ407" i="4"/>
  <c r="FA407" i="4" s="1"/>
  <c r="EV438" i="4"/>
  <c r="EW438" i="4" s="1"/>
  <c r="EV441" i="4"/>
  <c r="EW441" i="4" s="1"/>
  <c r="EZ404" i="4"/>
  <c r="FA404" i="4" s="1"/>
  <c r="EZ441" i="4"/>
  <c r="FA441" i="4" s="1"/>
  <c r="EZ438" i="4"/>
  <c r="FA438" i="4" s="1"/>
  <c r="EV440" i="4"/>
  <c r="EW440" i="4" s="1"/>
  <c r="EX440" i="4"/>
  <c r="EY440" i="4" s="1"/>
  <c r="EV412" i="4"/>
  <c r="EW412" i="4" s="1"/>
  <c r="EV437" i="4"/>
  <c r="EW437" i="4" s="1"/>
  <c r="EZ440" i="4"/>
  <c r="FA440" i="4" s="1"/>
  <c r="EZ412" i="4"/>
  <c r="FA412" i="4" s="1"/>
  <c r="EX437" i="4"/>
  <c r="EY437" i="4" s="1"/>
  <c r="EV428" i="4"/>
  <c r="EW428" i="4" s="1"/>
  <c r="EV426" i="4"/>
  <c r="EW426" i="4" s="1"/>
  <c r="EX429" i="4"/>
  <c r="EY429" i="4" s="1"/>
  <c r="EZ439" i="4"/>
  <c r="FA439" i="4" s="1"/>
  <c r="EV435" i="4"/>
  <c r="EW435" i="4" s="1"/>
  <c r="EX426" i="4"/>
  <c r="EY426" i="4" s="1"/>
  <c r="EZ428" i="4"/>
  <c r="FA428" i="4" s="1"/>
  <c r="EV429" i="4"/>
  <c r="EW429" i="4" s="1"/>
  <c r="EV439" i="4"/>
  <c r="EW439" i="4" s="1"/>
  <c r="EX435" i="4"/>
  <c r="EY435" i="4" s="1"/>
  <c r="ER437" i="4"/>
  <c r="ES437" i="4" s="1"/>
  <c r="ER439" i="4"/>
  <c r="ES439" i="4" s="1"/>
  <c r="ER429" i="4"/>
  <c r="ES429" i="4" s="1"/>
  <c r="ER404" i="4"/>
  <c r="ES404" i="4" s="1"/>
  <c r="ER428" i="4"/>
  <c r="ES428" i="4" s="1"/>
  <c r="ER441" i="4"/>
  <c r="ES441" i="4" s="1"/>
  <c r="ER426" i="4"/>
  <c r="ES426" i="4" s="1"/>
  <c r="ER438" i="4"/>
  <c r="ES438" i="4" s="1"/>
  <c r="ER435" i="4"/>
  <c r="ES435" i="4" s="1"/>
  <c r="ER412" i="4"/>
  <c r="ES412" i="4" s="1"/>
  <c r="ER407" i="4"/>
  <c r="ES407" i="4" s="1"/>
  <c r="ER440" i="4"/>
  <c r="ES440" i="4" s="1"/>
  <c r="EP441" i="4"/>
  <c r="EQ441" i="4" s="1"/>
  <c r="EN404" i="4"/>
  <c r="EO404" i="4" s="1"/>
  <c r="EN426" i="4"/>
  <c r="EO426" i="4" s="1"/>
  <c r="EN441" i="4"/>
  <c r="EO441" i="4" s="1"/>
  <c r="EN437" i="4"/>
  <c r="EO437" i="4" s="1"/>
  <c r="EP426" i="4"/>
  <c r="EQ426" i="4" s="1"/>
  <c r="EP437" i="4"/>
  <c r="EQ437" i="4" s="1"/>
  <c r="EP412" i="4"/>
  <c r="EQ412" i="4" s="1"/>
  <c r="EN407" i="4"/>
  <c r="EO407" i="4" s="1"/>
  <c r="EN429" i="4"/>
  <c r="EO429" i="4" s="1"/>
  <c r="EN412" i="4"/>
  <c r="EO412" i="4" s="1"/>
  <c r="EP407" i="4"/>
  <c r="EQ407" i="4" s="1"/>
  <c r="EP438" i="4"/>
  <c r="EQ438" i="4" s="1"/>
  <c r="EP429" i="4"/>
  <c r="EQ429" i="4" s="1"/>
  <c r="EN435" i="4"/>
  <c r="EO435" i="4" s="1"/>
  <c r="EN438" i="4"/>
  <c r="EO438" i="4" s="1"/>
  <c r="EP435" i="4"/>
  <c r="EQ435" i="4" s="1"/>
  <c r="EN439" i="4"/>
  <c r="EO439" i="4" s="1"/>
  <c r="EN440" i="4"/>
  <c r="EO440" i="4" s="1"/>
  <c r="EP439" i="4"/>
  <c r="EQ439" i="4" s="1"/>
  <c r="EN428" i="4"/>
  <c r="EO428" i="4" s="1"/>
  <c r="EP428" i="4"/>
  <c r="EQ428" i="4" s="1"/>
  <c r="EP404" i="4"/>
  <c r="EQ404" i="4" s="1"/>
  <c r="AR418" i="4"/>
  <c r="ET418" i="4"/>
  <c r="EX418" i="4" s="1"/>
  <c r="V430" i="4"/>
  <c r="ET430" i="4"/>
  <c r="EZ430" i="4" s="1"/>
  <c r="AP414" i="4"/>
  <c r="ET414" i="4"/>
  <c r="EZ414" i="4" s="1"/>
  <c r="V420" i="4"/>
  <c r="ET420" i="4"/>
  <c r="EZ420" i="4" s="1"/>
  <c r="V410" i="4"/>
  <c r="ET410" i="4"/>
  <c r="EZ410" i="4" s="1"/>
  <c r="V411" i="4"/>
  <c r="ET411" i="4"/>
  <c r="EZ411" i="4" s="1"/>
  <c r="T419" i="4"/>
  <c r="ET419" i="4"/>
  <c r="EV419" i="4" s="1"/>
  <c r="T403" i="4"/>
  <c r="ET403" i="4"/>
  <c r="EZ403" i="4" s="1"/>
  <c r="V421" i="4"/>
  <c r="ET421" i="4"/>
  <c r="EZ421" i="4" s="1"/>
  <c r="GW439" i="4"/>
  <c r="AP430" i="4"/>
  <c r="GO439" i="4"/>
  <c r="GQ439" i="4"/>
  <c r="T437" i="4"/>
  <c r="GU437" i="4"/>
  <c r="FN437" i="4"/>
  <c r="GQ437" i="4" s="1"/>
  <c r="EH437" i="4"/>
  <c r="FP437" i="4"/>
  <c r="ET437" i="4" s="1"/>
  <c r="EZ437" i="4" s="1"/>
  <c r="GU439" i="4"/>
  <c r="GW438" i="4"/>
  <c r="GQ438" i="4"/>
  <c r="N437" i="4"/>
  <c r="GO438" i="4"/>
  <c r="X437" i="4"/>
  <c r="GO437" i="4"/>
  <c r="GS437" i="4"/>
  <c r="AB437" i="4"/>
  <c r="DF437" i="4"/>
  <c r="CD437" i="4"/>
  <c r="AG437" i="4"/>
  <c r="AY437" i="4"/>
  <c r="BY437" i="4"/>
  <c r="CF437" i="4"/>
  <c r="DX437" i="4"/>
  <c r="AD437" i="4"/>
  <c r="CT437" i="4"/>
  <c r="BR437" i="4"/>
  <c r="EC437" i="4"/>
  <c r="BF437" i="4"/>
  <c r="DV437" i="4"/>
  <c r="BB437" i="4"/>
  <c r="CA437" i="4"/>
  <c r="CH437" i="4"/>
  <c r="CK437" i="4"/>
  <c r="BM437" i="4"/>
  <c r="Z437" i="4"/>
  <c r="DQ437" i="4"/>
  <c r="EA437" i="4"/>
  <c r="BK437" i="4"/>
  <c r="DM437" i="4"/>
  <c r="CY437" i="4"/>
  <c r="BT437" i="4"/>
  <c r="BI437" i="4"/>
  <c r="DO437" i="4"/>
  <c r="AI437" i="4"/>
  <c r="DT437" i="4"/>
  <c r="CO437" i="4"/>
  <c r="AP437" i="4"/>
  <c r="BD437" i="4"/>
  <c r="EE437" i="4"/>
  <c r="AW437" i="4"/>
  <c r="DC437" i="4"/>
  <c r="CR437" i="4"/>
  <c r="DA437" i="4"/>
  <c r="DJ437" i="4"/>
  <c r="BW437" i="4"/>
  <c r="AK437" i="4"/>
  <c r="AU437" i="4"/>
  <c r="BP437" i="4"/>
  <c r="CV437" i="4"/>
  <c r="AN437" i="4"/>
  <c r="DH437" i="4"/>
  <c r="AR437" i="4"/>
  <c r="R437" i="4"/>
  <c r="CV441" i="4"/>
  <c r="DM441" i="4"/>
  <c r="CY441" i="4"/>
  <c r="AI441" i="4"/>
  <c r="AN441" i="4"/>
  <c r="CD441" i="4"/>
  <c r="DA441" i="4"/>
  <c r="CM441" i="4"/>
  <c r="BY441" i="4"/>
  <c r="DJ441" i="4"/>
  <c r="AB441" i="4"/>
  <c r="BR441" i="4"/>
  <c r="CO441" i="4"/>
  <c r="BT441" i="4"/>
  <c r="BK441" i="4"/>
  <c r="BW441" i="4"/>
  <c r="CT441" i="4"/>
  <c r="BF441" i="4"/>
  <c r="AG441" i="4"/>
  <c r="BM441" i="4"/>
  <c r="AR441" i="4"/>
  <c r="DO441" i="4"/>
  <c r="CF441" i="4"/>
  <c r="CA441" i="4"/>
  <c r="AD441" i="4"/>
  <c r="AP441" i="4"/>
  <c r="DC441" i="4"/>
  <c r="EA441" i="4"/>
  <c r="DF441" i="4"/>
  <c r="Z441" i="4"/>
  <c r="AU441" i="4"/>
  <c r="EC441" i="4"/>
  <c r="BD441" i="4"/>
  <c r="DQ441" i="4"/>
  <c r="CH441" i="4"/>
  <c r="DV441" i="4"/>
  <c r="DX441" i="4"/>
  <c r="BI441" i="4"/>
  <c r="CK441" i="4"/>
  <c r="BP441" i="4"/>
  <c r="DT441" i="4"/>
  <c r="AW441" i="4"/>
  <c r="EE441" i="4"/>
  <c r="BB441" i="4"/>
  <c r="CR441" i="4"/>
  <c r="DH441" i="4"/>
  <c r="AK441" i="4"/>
  <c r="FB430" i="4"/>
  <c r="GQ430" i="4"/>
  <c r="N441" i="4"/>
  <c r="V441" i="4"/>
  <c r="P430" i="4"/>
  <c r="HA430" i="4"/>
  <c r="T441" i="4"/>
  <c r="BD438" i="4"/>
  <c r="DM438" i="4"/>
  <c r="EA438" i="4"/>
  <c r="AB438" i="4"/>
  <c r="AI438" i="4"/>
  <c r="DO438" i="4"/>
  <c r="DA438" i="4"/>
  <c r="CY438" i="4"/>
  <c r="AR438" i="4"/>
  <c r="CO438" i="4"/>
  <c r="BI438" i="4"/>
  <c r="CH438" i="4"/>
  <c r="BP438" i="4"/>
  <c r="BB438" i="4"/>
  <c r="CR438" i="4"/>
  <c r="AP438" i="4"/>
  <c r="DV438" i="4"/>
  <c r="CK438" i="4"/>
  <c r="DH438" i="4"/>
  <c r="CT438" i="4"/>
  <c r="EC438" i="4"/>
  <c r="CF438" i="4"/>
  <c r="AD438" i="4"/>
  <c r="DJ438" i="4"/>
  <c r="BY438" i="4"/>
  <c r="AY438" i="4"/>
  <c r="AN438" i="4"/>
  <c r="CD438" i="4"/>
  <c r="CM438" i="4"/>
  <c r="BF438" i="4"/>
  <c r="BM438" i="4"/>
  <c r="Z438" i="4"/>
  <c r="DX438" i="4"/>
  <c r="AK438" i="4"/>
  <c r="DT438" i="4"/>
  <c r="AG438" i="4"/>
  <c r="GM438" i="4"/>
  <c r="DF438" i="4"/>
  <c r="DQ438" i="4"/>
  <c r="AW438" i="4"/>
  <c r="DC438" i="4"/>
  <c r="EE438" i="4"/>
  <c r="BR438" i="4"/>
  <c r="CV438" i="4"/>
  <c r="CA438" i="4"/>
  <c r="BW438" i="4"/>
  <c r="AU438" i="4"/>
  <c r="BK438" i="4"/>
  <c r="GM439" i="4"/>
  <c r="BF439" i="4"/>
  <c r="CH439" i="4"/>
  <c r="BP439" i="4"/>
  <c r="AR439" i="4"/>
  <c r="AP439" i="4"/>
  <c r="DA439" i="4"/>
  <c r="AD439" i="4"/>
  <c r="CO439" i="4"/>
  <c r="BW439" i="4"/>
  <c r="BM439" i="4"/>
  <c r="CD439" i="4"/>
  <c r="CV439" i="4"/>
  <c r="BT439" i="4"/>
  <c r="CY439" i="4"/>
  <c r="BR439" i="4"/>
  <c r="CK439" i="4"/>
  <c r="EC439" i="4"/>
  <c r="CM439" i="4"/>
  <c r="BI439" i="4"/>
  <c r="AI439" i="4"/>
  <c r="DO439" i="4"/>
  <c r="BK439" i="4"/>
  <c r="DH439" i="4"/>
  <c r="DT439" i="4"/>
  <c r="AN439" i="4"/>
  <c r="AW439" i="4"/>
  <c r="DV439" i="4"/>
  <c r="AG439" i="4"/>
  <c r="EE439" i="4"/>
  <c r="AB439" i="4"/>
  <c r="AK439" i="4"/>
  <c r="DX439" i="4"/>
  <c r="DJ439" i="4"/>
  <c r="AU439" i="4"/>
  <c r="BD439" i="4"/>
  <c r="DQ439" i="4"/>
  <c r="DC439" i="4"/>
  <c r="EA439" i="4"/>
  <c r="CA439" i="4"/>
  <c r="BY439" i="4"/>
  <c r="DF439" i="4"/>
  <c r="CR439" i="4"/>
  <c r="BB439" i="4"/>
  <c r="DM439" i="4"/>
  <c r="AY439" i="4"/>
  <c r="X439" i="4"/>
  <c r="CT439" i="4"/>
  <c r="CF439" i="4"/>
  <c r="Z439" i="4"/>
  <c r="P441" i="4"/>
  <c r="FN435" i="4"/>
  <c r="EH435" i="4"/>
  <c r="FP435" i="4"/>
  <c r="P438" i="4"/>
  <c r="P439" i="4"/>
  <c r="GW441" i="4"/>
  <c r="T438" i="4"/>
  <c r="N439" i="4"/>
  <c r="GO441" i="4"/>
  <c r="N438" i="4"/>
  <c r="V439" i="4"/>
  <c r="GQ441" i="4"/>
  <c r="V438" i="4"/>
  <c r="T439" i="4"/>
  <c r="P421" i="4"/>
  <c r="BR420" i="4"/>
  <c r="AP421" i="4"/>
  <c r="P410" i="4"/>
  <c r="AP411" i="4"/>
  <c r="N419" i="4"/>
  <c r="AY435" i="4"/>
  <c r="BK435" i="4"/>
  <c r="GS435" i="4"/>
  <c r="AW435" i="4"/>
  <c r="CK435" i="4"/>
  <c r="AG435" i="4"/>
  <c r="AD435" i="4"/>
  <c r="AU435" i="4"/>
  <c r="GM435" i="4"/>
  <c r="BW435" i="4"/>
  <c r="AP435" i="4"/>
  <c r="DC435" i="4"/>
  <c r="CD435" i="4"/>
  <c r="EC435" i="4"/>
  <c r="BB435" i="4"/>
  <c r="DO435" i="4"/>
  <c r="DM435" i="4"/>
  <c r="CF435" i="4"/>
  <c r="DJ435" i="4"/>
  <c r="EA435" i="4"/>
  <c r="CA435" i="4"/>
  <c r="BY435" i="4"/>
  <c r="CV435" i="4"/>
  <c r="BP435" i="4"/>
  <c r="DV435" i="4"/>
  <c r="BI435" i="4"/>
  <c r="DH435" i="4"/>
  <c r="Z435" i="4"/>
  <c r="DT435" i="4"/>
  <c r="CR435" i="4"/>
  <c r="AR435" i="4"/>
  <c r="CH435" i="4"/>
  <c r="CM435" i="4"/>
  <c r="DA435" i="4"/>
  <c r="AB435" i="4"/>
  <c r="CO435" i="4"/>
  <c r="EE435" i="4"/>
  <c r="CT435" i="4"/>
  <c r="CY435" i="4"/>
  <c r="AN435" i="4"/>
  <c r="DQ435" i="4"/>
  <c r="DF435" i="4"/>
  <c r="BF435" i="4"/>
  <c r="BD435" i="4"/>
  <c r="DX435" i="4"/>
  <c r="BM435" i="4"/>
  <c r="BR435" i="4"/>
  <c r="T435" i="4"/>
  <c r="N435" i="4"/>
  <c r="X435" i="4"/>
  <c r="AK435" i="4"/>
  <c r="GU435" i="4"/>
  <c r="R435" i="4"/>
  <c r="GO435" i="4"/>
  <c r="BT435" i="4"/>
  <c r="EH426" i="4"/>
  <c r="FP426" i="4"/>
  <c r="FP429" i="4"/>
  <c r="EH429" i="4"/>
  <c r="P428" i="4"/>
  <c r="EH428" i="4"/>
  <c r="FP428" i="4"/>
  <c r="AR428" i="4" s="1"/>
  <c r="AP410" i="4"/>
  <c r="HA414" i="4"/>
  <c r="R426" i="4"/>
  <c r="GO440" i="4"/>
  <c r="P417" i="4"/>
  <c r="GO428" i="4"/>
  <c r="T428" i="4"/>
  <c r="GW440" i="4"/>
  <c r="GW428" i="4"/>
  <c r="GU440" i="4"/>
  <c r="GQ428" i="4"/>
  <c r="T426" i="4"/>
  <c r="V440" i="4"/>
  <c r="T440" i="4"/>
  <c r="P440" i="4"/>
  <c r="V428" i="4"/>
  <c r="X440" i="4"/>
  <c r="FD421" i="4"/>
  <c r="GQ421" i="4"/>
  <c r="GO426" i="4"/>
  <c r="GQ426" i="4"/>
  <c r="AR440" i="4"/>
  <c r="AK426" i="4"/>
  <c r="GU426" i="4"/>
  <c r="N440" i="4"/>
  <c r="CA429" i="4"/>
  <c r="BK429" i="4"/>
  <c r="DO429" i="4"/>
  <c r="AK429" i="4"/>
  <c r="CY429" i="4"/>
  <c r="CK429" i="4"/>
  <c r="DX429" i="4"/>
  <c r="CM429" i="4"/>
  <c r="BW429" i="4"/>
  <c r="BB429" i="4"/>
  <c r="CO429" i="4"/>
  <c r="AW429" i="4"/>
  <c r="AP429" i="4"/>
  <c r="BI429" i="4"/>
  <c r="DH429" i="4"/>
  <c r="EE429" i="4"/>
  <c r="DV429" i="4"/>
  <c r="EC429" i="4"/>
  <c r="AI429" i="4"/>
  <c r="CV429" i="4"/>
  <c r="CH429" i="4"/>
  <c r="DQ429" i="4"/>
  <c r="DJ429" i="4"/>
  <c r="GS429" i="4"/>
  <c r="AU429" i="4"/>
  <c r="BT429" i="4"/>
  <c r="DT429" i="4"/>
  <c r="CD429" i="4"/>
  <c r="BY429" i="4"/>
  <c r="AY429" i="4"/>
  <c r="DC429" i="4"/>
  <c r="AG429" i="4"/>
  <c r="CT429" i="4"/>
  <c r="DF429" i="4"/>
  <c r="BP429" i="4"/>
  <c r="BM429" i="4"/>
  <c r="AN429" i="4"/>
  <c r="EA429" i="4"/>
  <c r="BR429" i="4"/>
  <c r="GM429" i="4"/>
  <c r="Z429" i="4"/>
  <c r="DA429" i="4"/>
  <c r="BF429" i="4"/>
  <c r="CF429" i="4"/>
  <c r="CR429" i="4"/>
  <c r="DM429" i="4"/>
  <c r="AR429" i="4"/>
  <c r="BD429" i="4"/>
  <c r="R429" i="4"/>
  <c r="N429" i="4"/>
  <c r="GU428" i="4"/>
  <c r="X429" i="4"/>
  <c r="T429" i="4"/>
  <c r="GM428" i="4"/>
  <c r="X426" i="4"/>
  <c r="AD429" i="4"/>
  <c r="N426" i="4"/>
  <c r="N428" i="4"/>
  <c r="R440" i="4"/>
  <c r="GU429" i="4"/>
  <c r="DQ440" i="4"/>
  <c r="AY440" i="4"/>
  <c r="AB440" i="4"/>
  <c r="BI440" i="4"/>
  <c r="DM440" i="4"/>
  <c r="CR440" i="4"/>
  <c r="AK440" i="4"/>
  <c r="DA440" i="4"/>
  <c r="BR440" i="4"/>
  <c r="DX440" i="4"/>
  <c r="EA440" i="4"/>
  <c r="CA440" i="4"/>
  <c r="GM440" i="4"/>
  <c r="DH440" i="4"/>
  <c r="BM440" i="4"/>
  <c r="DO440" i="4"/>
  <c r="BB440" i="4"/>
  <c r="BT440" i="4"/>
  <c r="CY440" i="4"/>
  <c r="CO440" i="4"/>
  <c r="CT440" i="4"/>
  <c r="AW440" i="4"/>
  <c r="CD440" i="4"/>
  <c r="DC440" i="4"/>
  <c r="AP440" i="4"/>
  <c r="BW440" i="4"/>
  <c r="DT440" i="4"/>
  <c r="EC440" i="4"/>
  <c r="AI440" i="4"/>
  <c r="AG440" i="4"/>
  <c r="BP440" i="4"/>
  <c r="AD440" i="4"/>
  <c r="CK440" i="4"/>
  <c r="BF440" i="4"/>
  <c r="BY440" i="4"/>
  <c r="AN440" i="4"/>
  <c r="DV440" i="4"/>
  <c r="EE440" i="4"/>
  <c r="BD440" i="4"/>
  <c r="AU440" i="4"/>
  <c r="Z440" i="4"/>
  <c r="DF440" i="4"/>
  <c r="DJ440" i="4"/>
  <c r="CH440" i="4"/>
  <c r="CM440" i="4"/>
  <c r="CV440" i="4"/>
  <c r="BK440" i="4"/>
  <c r="CF440" i="4"/>
  <c r="GO429" i="4"/>
  <c r="DH426" i="4"/>
  <c r="BW426" i="4"/>
  <c r="DM426" i="4"/>
  <c r="BM426" i="4"/>
  <c r="DT426" i="4"/>
  <c r="AB426" i="4"/>
  <c r="AG426" i="4"/>
  <c r="BD426" i="4"/>
  <c r="AY426" i="4"/>
  <c r="AN426" i="4"/>
  <c r="Z426" i="4"/>
  <c r="CH426" i="4"/>
  <c r="BP426" i="4"/>
  <c r="EE426" i="4"/>
  <c r="BB426" i="4"/>
  <c r="CO426" i="4"/>
  <c r="CR426" i="4"/>
  <c r="BY426" i="4"/>
  <c r="DA426" i="4"/>
  <c r="CF426" i="4"/>
  <c r="EC426" i="4"/>
  <c r="DX426" i="4"/>
  <c r="BK426" i="4"/>
  <c r="CK426" i="4"/>
  <c r="CY426" i="4"/>
  <c r="BT426" i="4"/>
  <c r="CD426" i="4"/>
  <c r="GS426" i="4"/>
  <c r="DJ426" i="4"/>
  <c r="AR426" i="4"/>
  <c r="CM426" i="4"/>
  <c r="DV426" i="4"/>
  <c r="BR426" i="4"/>
  <c r="CT426" i="4"/>
  <c r="CA426" i="4"/>
  <c r="CV426" i="4"/>
  <c r="BF426" i="4"/>
  <c r="AU426" i="4"/>
  <c r="GM426" i="4"/>
  <c r="AP426" i="4"/>
  <c r="DF426" i="4"/>
  <c r="AD426" i="4"/>
  <c r="DC426" i="4"/>
  <c r="BI426" i="4"/>
  <c r="DO426" i="4"/>
  <c r="DQ426" i="4"/>
  <c r="AW426" i="4"/>
  <c r="EA426" i="4"/>
  <c r="Z428" i="4"/>
  <c r="CV428" i="4"/>
  <c r="CH428" i="4"/>
  <c r="DQ428" i="4"/>
  <c r="CO428" i="4"/>
  <c r="BK428" i="4"/>
  <c r="BI428" i="4"/>
  <c r="AU428" i="4"/>
  <c r="CK428" i="4"/>
  <c r="AK428" i="4"/>
  <c r="AI428" i="4"/>
  <c r="BB428" i="4"/>
  <c r="EA428" i="4"/>
  <c r="BY428" i="4"/>
  <c r="CD428" i="4"/>
  <c r="AY428" i="4"/>
  <c r="DO428" i="4"/>
  <c r="DA428" i="4"/>
  <c r="BR428" i="4"/>
  <c r="DC428" i="4"/>
  <c r="AD428" i="4"/>
  <c r="BF428" i="4"/>
  <c r="BD428" i="4"/>
  <c r="EC428" i="4"/>
  <c r="DM428" i="4"/>
  <c r="CY428" i="4"/>
  <c r="BP428" i="4"/>
  <c r="CR428" i="4"/>
  <c r="CM428" i="4"/>
  <c r="DX428" i="4"/>
  <c r="DV428" i="4"/>
  <c r="EE428" i="4"/>
  <c r="CF428" i="4"/>
  <c r="AN428" i="4"/>
  <c r="CA428" i="4"/>
  <c r="DJ428" i="4"/>
  <c r="DT428" i="4"/>
  <c r="BW428" i="4"/>
  <c r="DF428" i="4"/>
  <c r="BT428" i="4"/>
  <c r="AP428" i="4"/>
  <c r="AG428" i="4"/>
  <c r="BM428" i="4"/>
  <c r="AB428" i="4"/>
  <c r="DH428" i="4"/>
  <c r="AW428" i="4"/>
  <c r="CT428" i="4"/>
  <c r="AB403" i="4"/>
  <c r="V414" i="4"/>
  <c r="X418" i="4"/>
  <c r="V403" i="4"/>
  <c r="P420" i="4"/>
  <c r="AU419" i="4"/>
  <c r="HA411" i="4"/>
  <c r="FB414" i="4"/>
  <c r="FB420" i="4"/>
  <c r="FJ418" i="4"/>
  <c r="FB415" i="4"/>
  <c r="GQ415" i="4"/>
  <c r="FF419" i="4"/>
  <c r="P415" i="4"/>
  <c r="HA415" i="4"/>
  <c r="FB417" i="4"/>
  <c r="HA403" i="4"/>
  <c r="V417" i="4"/>
  <c r="AP417" i="4"/>
  <c r="GO412" i="4"/>
  <c r="GQ412" i="4"/>
  <c r="GU412" i="4"/>
  <c r="FN407" i="4"/>
  <c r="GM407" i="4" s="1"/>
  <c r="EH407" i="4"/>
  <c r="FP407" i="4"/>
  <c r="GQ410" i="4"/>
  <c r="FD410" i="4"/>
  <c r="GQ411" i="4"/>
  <c r="FB411" i="4"/>
  <c r="FN412" i="4"/>
  <c r="GM412" i="4" s="1"/>
  <c r="EH412" i="4"/>
  <c r="FP412" i="4"/>
  <c r="GQ403" i="4"/>
  <c r="FB403" i="4"/>
  <c r="GU404" i="4"/>
  <c r="FP404" i="4"/>
  <c r="EH404" i="4"/>
  <c r="N412" i="4"/>
  <c r="V412" i="4"/>
  <c r="T412" i="4"/>
  <c r="P407" i="4"/>
  <c r="GQ407" i="4"/>
  <c r="N407" i="4"/>
  <c r="V407" i="4"/>
  <c r="GW407" i="4"/>
  <c r="DA412" i="4"/>
  <c r="Z412" i="4"/>
  <c r="CK412" i="4"/>
  <c r="CH412" i="4"/>
  <c r="DC412" i="4"/>
  <c r="BR412" i="4"/>
  <c r="AI412" i="4"/>
  <c r="DM412" i="4"/>
  <c r="AW412" i="4"/>
  <c r="CT412" i="4"/>
  <c r="CV412" i="4"/>
  <c r="DO412" i="4"/>
  <c r="DT412" i="4"/>
  <c r="EA412" i="4"/>
  <c r="BI412" i="4"/>
  <c r="BB412" i="4"/>
  <c r="AB412" i="4"/>
  <c r="DQ412" i="4"/>
  <c r="AY412" i="4"/>
  <c r="BP412" i="4"/>
  <c r="BK412" i="4"/>
  <c r="CM412" i="4"/>
  <c r="DV412" i="4"/>
  <c r="BW412" i="4"/>
  <c r="CY412" i="4"/>
  <c r="DX412" i="4"/>
  <c r="DH412" i="4"/>
  <c r="EE412" i="4"/>
  <c r="AD412" i="4"/>
  <c r="BY412" i="4"/>
  <c r="DJ412" i="4"/>
  <c r="CF412" i="4"/>
  <c r="CD412" i="4"/>
  <c r="AK412" i="4"/>
  <c r="BF412" i="4"/>
  <c r="DF412" i="4"/>
  <c r="BD412" i="4"/>
  <c r="CO412" i="4"/>
  <c r="AR412" i="4"/>
  <c r="CR412" i="4"/>
  <c r="AP412" i="4"/>
  <c r="CA412" i="4"/>
  <c r="AN412" i="4"/>
  <c r="AG412" i="4"/>
  <c r="BM412" i="4"/>
  <c r="AU412" i="4"/>
  <c r="T407" i="4"/>
  <c r="GU407" i="4"/>
  <c r="P412" i="4"/>
  <c r="EC412" i="4"/>
  <c r="DO407" i="4"/>
  <c r="EE407" i="4"/>
  <c r="DJ407" i="4"/>
  <c r="AB407" i="4"/>
  <c r="DV407" i="4"/>
  <c r="CO407" i="4"/>
  <c r="EA407" i="4"/>
  <c r="BP407" i="4"/>
  <c r="BF407" i="4"/>
  <c r="EC407" i="4"/>
  <c r="BT407" i="4"/>
  <c r="AN407" i="4"/>
  <c r="AR407" i="4"/>
  <c r="DH407" i="4"/>
  <c r="CA407" i="4"/>
  <c r="CF407" i="4"/>
  <c r="CV407" i="4"/>
  <c r="BD407" i="4"/>
  <c r="CR407" i="4"/>
  <c r="BY407" i="4"/>
  <c r="BW407" i="4"/>
  <c r="DQ407" i="4"/>
  <c r="CD407" i="4"/>
  <c r="BR407" i="4"/>
  <c r="Z407" i="4"/>
  <c r="DT407" i="4"/>
  <c r="DX407" i="4"/>
  <c r="BM407" i="4"/>
  <c r="AG407" i="4"/>
  <c r="CH407" i="4"/>
  <c r="DC407" i="4"/>
  <c r="CY407" i="4"/>
  <c r="CT407" i="4"/>
  <c r="BI407" i="4"/>
  <c r="DF407" i="4"/>
  <c r="CK407" i="4"/>
  <c r="DA407" i="4"/>
  <c r="AW407" i="4"/>
  <c r="AI407" i="4"/>
  <c r="AY407" i="4"/>
  <c r="AD407" i="4"/>
  <c r="DM407" i="4"/>
  <c r="CM407" i="4"/>
  <c r="AU407" i="4"/>
  <c r="BK407" i="4"/>
  <c r="AP407" i="4"/>
  <c r="BB407" i="4"/>
  <c r="GO407" i="4"/>
  <c r="GQ404" i="4"/>
  <c r="T404" i="4"/>
  <c r="GO404" i="4"/>
  <c r="N404" i="4"/>
  <c r="EA404" i="4"/>
  <c r="GW404" i="4"/>
  <c r="V404" i="4"/>
  <c r="CY404" i="4"/>
  <c r="DO404" i="4"/>
  <c r="EE404" i="4"/>
  <c r="DT404" i="4"/>
  <c r="CT404" i="4"/>
  <c r="BY404" i="4"/>
  <c r="CA404" i="4"/>
  <c r="BW404" i="4"/>
  <c r="CV404" i="4"/>
  <c r="DV404" i="4"/>
  <c r="DM404" i="4"/>
  <c r="DH404" i="4"/>
  <c r="BR404" i="4"/>
  <c r="BK404" i="4"/>
  <c r="AB404" i="4"/>
  <c r="DF404" i="4"/>
  <c r="BB404" i="4"/>
  <c r="DJ404" i="4"/>
  <c r="DA404" i="4"/>
  <c r="CH404" i="4"/>
  <c r="AP404" i="4"/>
  <c r="BI404" i="4"/>
  <c r="BM404" i="4"/>
  <c r="CM404" i="4"/>
  <c r="EC404" i="4"/>
  <c r="AR404" i="4"/>
  <c r="AK404" i="4"/>
  <c r="AU404" i="4"/>
  <c r="DC404" i="4"/>
  <c r="AY404" i="4"/>
  <c r="AW404" i="4"/>
  <c r="Z404" i="4"/>
  <c r="BD404" i="4"/>
  <c r="BF404" i="4"/>
  <c r="AG404" i="4"/>
  <c r="AI404" i="4"/>
  <c r="BP404" i="4"/>
  <c r="DQ404" i="4"/>
  <c r="DX404" i="4"/>
  <c r="CO404" i="4"/>
  <c r="CD404" i="4"/>
  <c r="BT404" i="4"/>
  <c r="CK404" i="4"/>
  <c r="AN404" i="4"/>
  <c r="CF404" i="4"/>
  <c r="GM404" i="4"/>
  <c r="CR404" i="4"/>
  <c r="P404" i="4"/>
  <c r="AY441" i="4" l="1"/>
  <c r="X441" i="4"/>
  <c r="FL440" i="4"/>
  <c r="FL439" i="4"/>
  <c r="HA429" i="4"/>
  <c r="HA441" i="4"/>
  <c r="HA412" i="4"/>
  <c r="FJ447" i="4"/>
  <c r="HA426" i="4"/>
  <c r="HA439" i="4"/>
  <c r="P435" i="4"/>
  <c r="GM447" i="4"/>
  <c r="AR447" i="4"/>
  <c r="HA440" i="4"/>
  <c r="HA438" i="4"/>
  <c r="HA447" i="4"/>
  <c r="FJ441" i="4"/>
  <c r="B21" i="16"/>
  <c r="EL440" i="4"/>
  <c r="ET439" i="4"/>
  <c r="R439" i="4"/>
  <c r="X438" i="4"/>
  <c r="BT438" i="4"/>
  <c r="FJ438" i="4"/>
  <c r="CM437" i="4"/>
  <c r="AB429" i="4"/>
  <c r="ET429" i="4"/>
  <c r="EZ429" i="4" s="1"/>
  <c r="AK407" i="4"/>
  <c r="ET407" i="4"/>
  <c r="EX407" i="4" s="1"/>
  <c r="X412" i="4"/>
  <c r="ET412" i="4"/>
  <c r="EX412" i="4" s="1"/>
  <c r="V426" i="4"/>
  <c r="ET426" i="4"/>
  <c r="EZ426" i="4" s="1"/>
  <c r="AD404" i="4"/>
  <c r="ET404" i="4"/>
  <c r="EX404" i="4" s="1"/>
  <c r="FL428" i="4"/>
  <c r="ET428" i="4"/>
  <c r="EX428" i="4" s="1"/>
  <c r="V435" i="4"/>
  <c r="ET435" i="4"/>
  <c r="EZ435" i="4" s="1"/>
  <c r="FD437" i="4"/>
  <c r="V437" i="4"/>
  <c r="HA437" i="4"/>
  <c r="AI435" i="4"/>
  <c r="P437" i="4"/>
  <c r="HA435" i="4"/>
  <c r="FD435" i="4"/>
  <c r="GQ435" i="4"/>
  <c r="V429" i="4"/>
  <c r="AI426" i="4"/>
  <c r="X404" i="4"/>
  <c r="P429" i="4"/>
  <c r="BT412" i="4"/>
  <c r="X428" i="4"/>
  <c r="FB426" i="4"/>
  <c r="P426" i="4"/>
  <c r="R428" i="4"/>
  <c r="HA428" i="4"/>
  <c r="FB429" i="4"/>
  <c r="R412" i="4"/>
  <c r="X407" i="4"/>
  <c r="FJ412" i="4"/>
  <c r="HA407" i="4"/>
  <c r="FL407" i="4"/>
  <c r="R407" i="4"/>
  <c r="R404" i="4"/>
  <c r="HA404" i="4"/>
  <c r="FL404" i="4"/>
  <c r="GJ367" i="4"/>
  <c r="GG367" i="4"/>
  <c r="GI367" i="4" s="1"/>
  <c r="GJ349" i="4"/>
  <c r="GG349" i="4"/>
  <c r="GI349" i="4" s="1"/>
  <c r="EP440" i="4" l="1"/>
  <c r="EX439" i="4"/>
  <c r="GM194" i="4"/>
  <c r="GO194" i="4"/>
  <c r="GS194" i="4"/>
  <c r="GU194" i="4"/>
  <c r="GJ331" i="4"/>
  <c r="GJ328" i="4"/>
  <c r="GG331" i="4" l="1"/>
  <c r="GI331" i="4" s="1"/>
  <c r="GG328" i="4"/>
  <c r="GI328" i="4" s="1"/>
  <c r="GJ319" i="4"/>
  <c r="HD367" i="4" l="1"/>
  <c r="HE367" i="4" s="1"/>
  <c r="HD349" i="4"/>
  <c r="HE349" i="4" s="1"/>
  <c r="HD331" i="4"/>
  <c r="HE331" i="4" s="1"/>
  <c r="HD328" i="4"/>
  <c r="HE328" i="4" s="1"/>
  <c r="HD194" i="4"/>
  <c r="GJ303" i="4"/>
  <c r="GE277" i="4"/>
  <c r="GE276" i="4"/>
  <c r="GE275" i="4"/>
  <c r="GE274" i="4"/>
  <c r="GG319" i="4"/>
  <c r="GI319" i="4" s="1"/>
  <c r="GQ194" i="4" l="1"/>
  <c r="HD319" i="4"/>
  <c r="HE319" i="4" s="1"/>
  <c r="GJ237" i="4"/>
  <c r="GJ236" i="4"/>
  <c r="GG237" i="4"/>
  <c r="GI237" i="4" s="1"/>
  <c r="GG236" i="4"/>
  <c r="GI236" i="4" s="1"/>
  <c r="GJ204" i="4"/>
  <c r="GJ203" i="4"/>
  <c r="GJ202" i="4"/>
  <c r="GG204" i="4"/>
  <c r="GI204" i="4" s="1"/>
  <c r="GG203" i="4"/>
  <c r="GI203" i="4" s="1"/>
  <c r="GG202" i="4"/>
  <c r="GI202" i="4" s="1"/>
  <c r="GJ145" i="4"/>
  <c r="GJ130" i="4"/>
  <c r="GG145" i="4"/>
  <c r="GI145" i="4" s="1"/>
  <c r="GG130" i="4"/>
  <c r="GI130" i="4" s="1"/>
  <c r="GJ144" i="4"/>
  <c r="GG144" i="4"/>
  <c r="GI144" i="4" s="1"/>
  <c r="GJ103" i="4"/>
  <c r="GG103" i="4"/>
  <c r="GI103" i="4" s="1"/>
  <c r="K312" i="4"/>
  <c r="FY312" i="4" s="1"/>
  <c r="GE312" i="4"/>
  <c r="GH312" i="4" s="1"/>
  <c r="L312" i="4" s="1"/>
  <c r="K236" i="4"/>
  <c r="GB236" i="4" s="1"/>
  <c r="GE236" i="4"/>
  <c r="HG236" i="4"/>
  <c r="K144" i="4"/>
  <c r="FV144" i="4" s="1"/>
  <c r="GE144" i="4"/>
  <c r="HG144" i="4"/>
  <c r="K322" i="4"/>
  <c r="GE322" i="4"/>
  <c r="GH322" i="4" s="1"/>
  <c r="L322" i="4" s="1"/>
  <c r="FZ416" i="4"/>
  <c r="GE416" i="4"/>
  <c r="GH416" i="4" s="1"/>
  <c r="GL416" i="4" s="1"/>
  <c r="K130" i="4"/>
  <c r="FY130" i="4" s="1"/>
  <c r="GE130" i="4"/>
  <c r="HG130" i="4"/>
  <c r="K380" i="4"/>
  <c r="GB380" i="4" s="1"/>
  <c r="GE380" i="4"/>
  <c r="GH380" i="4" s="1"/>
  <c r="L380" i="4" s="1"/>
  <c r="K202" i="4"/>
  <c r="FY202" i="4" s="1"/>
  <c r="GE202" i="4"/>
  <c r="HG202" i="4"/>
  <c r="FX400" i="4"/>
  <c r="GE400" i="4"/>
  <c r="GH400" i="4" s="1"/>
  <c r="L400" i="4" s="1"/>
  <c r="FY402" i="4"/>
  <c r="GE402" i="4"/>
  <c r="GH402" i="4" s="1"/>
  <c r="GL402" i="4" s="1"/>
  <c r="K333" i="4"/>
  <c r="GE333" i="4"/>
  <c r="GH333" i="4" s="1"/>
  <c r="L333" i="4" s="1"/>
  <c r="K294" i="4"/>
  <c r="FX294" i="4" s="1"/>
  <c r="GE294" i="4"/>
  <c r="K366" i="4"/>
  <c r="FX366" i="4" s="1"/>
  <c r="GE366" i="4"/>
  <c r="GH366" i="4" s="1"/>
  <c r="L366" i="4" s="1"/>
  <c r="FV432" i="4"/>
  <c r="H432" i="4" s="1"/>
  <c r="K362" i="4"/>
  <c r="FV362" i="4" s="1"/>
  <c r="H362" i="4" s="1"/>
  <c r="GE362" i="4"/>
  <c r="GH362" i="4" s="1"/>
  <c r="GK362" i="4" s="1"/>
  <c r="HG362" i="4" s="1"/>
  <c r="HD362" i="4" s="1"/>
  <c r="FY433" i="4"/>
  <c r="K351" i="4"/>
  <c r="FZ351" i="4" s="1"/>
  <c r="GE351" i="4"/>
  <c r="GH351" i="4" s="1"/>
  <c r="GK351" i="4" s="1"/>
  <c r="HG351" i="4" s="1"/>
  <c r="HD351" i="4" s="1"/>
  <c r="K145" i="4"/>
  <c r="GD145" i="4" s="1"/>
  <c r="GE145" i="4"/>
  <c r="HG145" i="4"/>
  <c r="K103" i="4"/>
  <c r="GE103" i="4"/>
  <c r="HG103" i="4"/>
  <c r="K237" i="4"/>
  <c r="FY237" i="4" s="1"/>
  <c r="GE237" i="4"/>
  <c r="HG237" i="4"/>
  <c r="K203" i="4"/>
  <c r="GC203" i="4" s="1"/>
  <c r="GE203" i="4"/>
  <c r="HG203" i="4"/>
  <c r="K376" i="4"/>
  <c r="GB376" i="4" s="1"/>
  <c r="GE376" i="4"/>
  <c r="GH376" i="4" s="1"/>
  <c r="L376" i="4" s="1"/>
  <c r="K388" i="4"/>
  <c r="FV388" i="4" s="1"/>
  <c r="H388" i="4" s="1"/>
  <c r="GE388" i="4"/>
  <c r="GH388" i="4" s="1"/>
  <c r="L388" i="4" s="1"/>
  <c r="K352" i="4"/>
  <c r="GE352" i="4"/>
  <c r="GH352" i="4" s="1"/>
  <c r="L352" i="4" s="1"/>
  <c r="K204" i="4"/>
  <c r="FY204" i="4" s="1"/>
  <c r="GE204" i="4"/>
  <c r="HG204" i="4"/>
  <c r="K295" i="4"/>
  <c r="FX295" i="4" s="1"/>
  <c r="GE295" i="4"/>
  <c r="D10" i="16"/>
  <c r="D12" i="16"/>
  <c r="D11" i="16"/>
  <c r="D20" i="16"/>
  <c r="D9" i="16"/>
  <c r="D15" i="16"/>
  <c r="D8" i="16"/>
  <c r="D7" i="16"/>
  <c r="D22" i="16"/>
  <c r="D6" i="16"/>
  <c r="D5" i="16"/>
  <c r="D4" i="16"/>
  <c r="D2" i="16"/>
  <c r="D3" i="16"/>
  <c r="G312" i="4"/>
  <c r="G236" i="4"/>
  <c r="G144" i="4"/>
  <c r="G322" i="4"/>
  <c r="B416" i="4" a="1"/>
  <c r="B416" i="4" s="1"/>
  <c r="G416" i="4" s="1"/>
  <c r="G130" i="4"/>
  <c r="B380" i="4" a="1"/>
  <c r="B380" i="4" s="1"/>
  <c r="G380" i="4" s="1"/>
  <c r="G202" i="4"/>
  <c r="B400" i="4" a="1"/>
  <c r="B400" i="4" s="1"/>
  <c r="G400" i="4" s="1"/>
  <c r="B402" i="4" a="1"/>
  <c r="B402" i="4" s="1"/>
  <c r="G402" i="4" s="1"/>
  <c r="G333" i="4"/>
  <c r="G294" i="4"/>
  <c r="G366" i="4"/>
  <c r="B432" i="4" a="1"/>
  <c r="B432" i="4" s="1"/>
  <c r="G432" i="4" s="1"/>
  <c r="G362" i="4"/>
  <c r="B433" i="4" a="1"/>
  <c r="B433" i="4" s="1"/>
  <c r="G433" i="4" s="1"/>
  <c r="G351" i="4"/>
  <c r="G145" i="4"/>
  <c r="G103" i="4"/>
  <c r="G237" i="4"/>
  <c r="G203" i="4"/>
  <c r="B376" i="4" a="1"/>
  <c r="B376" i="4" s="1"/>
  <c r="G376" i="4" s="1"/>
  <c r="B388" i="4" a="1"/>
  <c r="B388" i="4" s="1"/>
  <c r="G388" i="4" s="1"/>
  <c r="G352" i="4"/>
  <c r="G204" i="4"/>
  <c r="G295" i="4"/>
  <c r="A335" i="5"/>
  <c r="A331" i="5"/>
  <c r="A326" i="5"/>
  <c r="HG367" i="4"/>
  <c r="HG349" i="4"/>
  <c r="HG331" i="4"/>
  <c r="HG328" i="4"/>
  <c r="HG319" i="4"/>
  <c r="HG268" i="4"/>
  <c r="HG260" i="4"/>
  <c r="HG259" i="4"/>
  <c r="HG256" i="4"/>
  <c r="HG250" i="4"/>
  <c r="HG242" i="4"/>
  <c r="HG238" i="4"/>
  <c r="HG235" i="4"/>
  <c r="HG220" i="4"/>
  <c r="HG208" i="4"/>
  <c r="HG192" i="4"/>
  <c r="HG187" i="4"/>
  <c r="HG153" i="4"/>
  <c r="HG131" i="4"/>
  <c r="HG126" i="4"/>
  <c r="HG121" i="4"/>
  <c r="HG116" i="4"/>
  <c r="HG115" i="4"/>
  <c r="HG113" i="4"/>
  <c r="HG106" i="4"/>
  <c r="HG97" i="4"/>
  <c r="HG92" i="4"/>
  <c r="HG91" i="4"/>
  <c r="HG61" i="4"/>
  <c r="HG60" i="4"/>
  <c r="HG59" i="4"/>
  <c r="HG58" i="4"/>
  <c r="HG57" i="4"/>
  <c r="HG56" i="4"/>
  <c r="HG55" i="4"/>
  <c r="HG54" i="4"/>
  <c r="HG53" i="4"/>
  <c r="HG52" i="4"/>
  <c r="HG51" i="4"/>
  <c r="HG50" i="4"/>
  <c r="HG49" i="4"/>
  <c r="HG48" i="4"/>
  <c r="HG47" i="4"/>
  <c r="HG46" i="4"/>
  <c r="HG45" i="4"/>
  <c r="HG44" i="4"/>
  <c r="HG43" i="4"/>
  <c r="HG42" i="4"/>
  <c r="HG41" i="4"/>
  <c r="HG40" i="4"/>
  <c r="HG39" i="4"/>
  <c r="HG38" i="4"/>
  <c r="HG37" i="4"/>
  <c r="HG36" i="4"/>
  <c r="HG35" i="4"/>
  <c r="HG34" i="4"/>
  <c r="HG33" i="4"/>
  <c r="HG32" i="4"/>
  <c r="HG31" i="4"/>
  <c r="HG30" i="4"/>
  <c r="HG29" i="4"/>
  <c r="HG28" i="4"/>
  <c r="HG27" i="4"/>
  <c r="HG26" i="4"/>
  <c r="HG25" i="4"/>
  <c r="HG24" i="4"/>
  <c r="HG23" i="4"/>
  <c r="HG22" i="4"/>
  <c r="HG21" i="4"/>
  <c r="HG20" i="4"/>
  <c r="HG19" i="4"/>
  <c r="HG18" i="4"/>
  <c r="HG17" i="4"/>
  <c r="HG16" i="4"/>
  <c r="HG15" i="4"/>
  <c r="HG14" i="4"/>
  <c r="HG13" i="4"/>
  <c r="HG12" i="4"/>
  <c r="HG11" i="4"/>
  <c r="HG10" i="4"/>
  <c r="HG9" i="4"/>
  <c r="HG8" i="4"/>
  <c r="HG7" i="4"/>
  <c r="HG6" i="4"/>
  <c r="HG5" i="4"/>
  <c r="HG4" i="4"/>
  <c r="HF349" i="4"/>
  <c r="HF331" i="4"/>
  <c r="HF328" i="4"/>
  <c r="GE5" i="4"/>
  <c r="GE6" i="4"/>
  <c r="GE7" i="4"/>
  <c r="GE8" i="4"/>
  <c r="GE9" i="4"/>
  <c r="GE10" i="4"/>
  <c r="GE11" i="4"/>
  <c r="GE12" i="4"/>
  <c r="GE13" i="4"/>
  <c r="GE14" i="4"/>
  <c r="GE15" i="4"/>
  <c r="GE16" i="4"/>
  <c r="GE17" i="4"/>
  <c r="GE18" i="4"/>
  <c r="GE19" i="4"/>
  <c r="GE20" i="4"/>
  <c r="GE21" i="4"/>
  <c r="GE22" i="4"/>
  <c r="GE23" i="4"/>
  <c r="GE24" i="4"/>
  <c r="GE25" i="4"/>
  <c r="GE26" i="4"/>
  <c r="GE27" i="4"/>
  <c r="GE28" i="4"/>
  <c r="GE29" i="4"/>
  <c r="GE30" i="4"/>
  <c r="GE31" i="4"/>
  <c r="GE32" i="4"/>
  <c r="GE33" i="4"/>
  <c r="GE34" i="4"/>
  <c r="GE35" i="4"/>
  <c r="GE36" i="4"/>
  <c r="GE37" i="4"/>
  <c r="GE38" i="4"/>
  <c r="GE39" i="4"/>
  <c r="GE40" i="4"/>
  <c r="GE41" i="4"/>
  <c r="GE42" i="4"/>
  <c r="GE43" i="4"/>
  <c r="GE44" i="4"/>
  <c r="GE45" i="4"/>
  <c r="GE46" i="4"/>
  <c r="GE47" i="4"/>
  <c r="GE48" i="4"/>
  <c r="GE49" i="4"/>
  <c r="GE50" i="4"/>
  <c r="GE51" i="4"/>
  <c r="GE52" i="4"/>
  <c r="GE53" i="4"/>
  <c r="GE54" i="4"/>
  <c r="GE55" i="4"/>
  <c r="GE56" i="4"/>
  <c r="GE57" i="4"/>
  <c r="GE58" i="4"/>
  <c r="GE59" i="4"/>
  <c r="GE60" i="4"/>
  <c r="GE61" i="4"/>
  <c r="GG5" i="4"/>
  <c r="GG6" i="4"/>
  <c r="GI6" i="4" s="1"/>
  <c r="GG7" i="4"/>
  <c r="GI7" i="4" s="1"/>
  <c r="GG8" i="4"/>
  <c r="GI8" i="4" s="1"/>
  <c r="GG9" i="4"/>
  <c r="GI9" i="4" s="1"/>
  <c r="GG10" i="4"/>
  <c r="GI10" i="4" s="1"/>
  <c r="GG11" i="4"/>
  <c r="GI11" i="4" s="1"/>
  <c r="GG12" i="4"/>
  <c r="GI12" i="4" s="1"/>
  <c r="GG13" i="4"/>
  <c r="GI13" i="4" s="1"/>
  <c r="GG14" i="4"/>
  <c r="GI14" i="4" s="1"/>
  <c r="GG15" i="4"/>
  <c r="GI15" i="4" s="1"/>
  <c r="GG16" i="4"/>
  <c r="GI16" i="4" s="1"/>
  <c r="GG17" i="4"/>
  <c r="GG18" i="4"/>
  <c r="GI18" i="4" s="1"/>
  <c r="GG19" i="4"/>
  <c r="GI19" i="4" s="1"/>
  <c r="GG20" i="4"/>
  <c r="GI20" i="4" s="1"/>
  <c r="GG21" i="4"/>
  <c r="GI21" i="4" s="1"/>
  <c r="GG22" i="4"/>
  <c r="GI22" i="4" s="1"/>
  <c r="GG23" i="4"/>
  <c r="GI23" i="4" s="1"/>
  <c r="GG24" i="4"/>
  <c r="GI24" i="4" s="1"/>
  <c r="GG25" i="4"/>
  <c r="GI25" i="4" s="1"/>
  <c r="GG26" i="4"/>
  <c r="GI26" i="4" s="1"/>
  <c r="GG27" i="4"/>
  <c r="GI27" i="4" s="1"/>
  <c r="GG28" i="4"/>
  <c r="GG29" i="4"/>
  <c r="GI29" i="4" s="1"/>
  <c r="GG30" i="4"/>
  <c r="GI30" i="4" s="1"/>
  <c r="GG31" i="4"/>
  <c r="GI31" i="4" s="1"/>
  <c r="GG32" i="4"/>
  <c r="GI32" i="4" s="1"/>
  <c r="GG33" i="4"/>
  <c r="GG34" i="4"/>
  <c r="GI34" i="4" s="1"/>
  <c r="GG35" i="4"/>
  <c r="GI35" i="4" s="1"/>
  <c r="GG36" i="4"/>
  <c r="GI36" i="4" s="1"/>
  <c r="GG37" i="4"/>
  <c r="GI37" i="4" s="1"/>
  <c r="GG38" i="4"/>
  <c r="GI38" i="4" s="1"/>
  <c r="GG39" i="4"/>
  <c r="GI39" i="4" s="1"/>
  <c r="GG40" i="4"/>
  <c r="GI40" i="4" s="1"/>
  <c r="GG41" i="4"/>
  <c r="GI41" i="4" s="1"/>
  <c r="GG42" i="4"/>
  <c r="GG43" i="4"/>
  <c r="GI43" i="4" s="1"/>
  <c r="GG44" i="4"/>
  <c r="GG45" i="4"/>
  <c r="GI45" i="4" s="1"/>
  <c r="GG46" i="4"/>
  <c r="GI46" i="4" s="1"/>
  <c r="GG47" i="4"/>
  <c r="GI47" i="4" s="1"/>
  <c r="GG48" i="4"/>
  <c r="GI48" i="4" s="1"/>
  <c r="GG49" i="4"/>
  <c r="GI49" i="4" s="1"/>
  <c r="GG50" i="4"/>
  <c r="GI50" i="4" s="1"/>
  <c r="GG51" i="4"/>
  <c r="GI51" i="4" s="1"/>
  <c r="GG52" i="4"/>
  <c r="GG53" i="4"/>
  <c r="GI53" i="4" s="1"/>
  <c r="GG54" i="4"/>
  <c r="GI54" i="4" s="1"/>
  <c r="GG55" i="4"/>
  <c r="GI55" i="4" s="1"/>
  <c r="GG56" i="4"/>
  <c r="GI56" i="4" s="1"/>
  <c r="GG57" i="4"/>
  <c r="GI57" i="4" s="1"/>
  <c r="GG58" i="4"/>
  <c r="GI58" i="4" s="1"/>
  <c r="GG59" i="4"/>
  <c r="GI59" i="4" s="1"/>
  <c r="GG60" i="4"/>
  <c r="GI60" i="4" s="1"/>
  <c r="GG61" i="4"/>
  <c r="GI61" i="4" s="1"/>
  <c r="GJ61" i="4"/>
  <c r="GJ60" i="4"/>
  <c r="GJ59" i="4"/>
  <c r="GJ58" i="4"/>
  <c r="GJ57" i="4"/>
  <c r="GJ56" i="4"/>
  <c r="GJ55" i="4"/>
  <c r="GJ54" i="4"/>
  <c r="GJ53" i="4"/>
  <c r="GJ52" i="4"/>
  <c r="GJ51" i="4"/>
  <c r="GJ50" i="4"/>
  <c r="GJ49" i="4"/>
  <c r="GJ48" i="4"/>
  <c r="GJ47" i="4"/>
  <c r="GJ46" i="4"/>
  <c r="GJ45" i="4"/>
  <c r="GJ44" i="4"/>
  <c r="GJ43" i="4"/>
  <c r="GJ42" i="4"/>
  <c r="GJ41" i="4"/>
  <c r="GJ40" i="4"/>
  <c r="GJ39" i="4"/>
  <c r="GJ38" i="4"/>
  <c r="GJ37" i="4"/>
  <c r="GJ36" i="4"/>
  <c r="GJ35" i="4"/>
  <c r="GJ34" i="4"/>
  <c r="GJ33" i="4"/>
  <c r="GJ32" i="4"/>
  <c r="GJ31" i="4"/>
  <c r="GJ30" i="4"/>
  <c r="GJ29" i="4"/>
  <c r="GJ28" i="4"/>
  <c r="GJ27" i="4"/>
  <c r="GJ26" i="4"/>
  <c r="GJ25" i="4"/>
  <c r="GJ24" i="4"/>
  <c r="GJ23" i="4"/>
  <c r="GJ22" i="4"/>
  <c r="GJ21" i="4"/>
  <c r="GJ20" i="4"/>
  <c r="GJ19" i="4"/>
  <c r="GJ18" i="4"/>
  <c r="GJ17" i="4"/>
  <c r="GJ16" i="4"/>
  <c r="GJ15" i="4"/>
  <c r="GJ14" i="4"/>
  <c r="GJ13" i="4"/>
  <c r="GJ12" i="4"/>
  <c r="GJ11" i="4"/>
  <c r="GJ10" i="4"/>
  <c r="GJ9" i="4"/>
  <c r="GJ8" i="4"/>
  <c r="GJ7" i="4"/>
  <c r="GJ6" i="4"/>
  <c r="GJ5" i="4"/>
  <c r="GJ4" i="4"/>
  <c r="GE4" i="4"/>
  <c r="GG4" i="4"/>
  <c r="GI4" i="4" s="1"/>
  <c r="GE289" i="4"/>
  <c r="K289" i="4"/>
  <c r="GA289" i="4"/>
  <c r="K278" i="4"/>
  <c r="FX278" i="4" s="1"/>
  <c r="GE278" i="4"/>
  <c r="HD203" i="4" l="1"/>
  <c r="HE203" i="4" s="1"/>
  <c r="HD20" i="4"/>
  <c r="HE20" i="4" s="1"/>
  <c r="HD55" i="4"/>
  <c r="HE55" i="4" s="1"/>
  <c r="HD26" i="4"/>
  <c r="HE26" i="4" s="1"/>
  <c r="HD4" i="4"/>
  <c r="HE4" i="4" s="1"/>
  <c r="HD61" i="4"/>
  <c r="HE61" i="4" s="1"/>
  <c r="HD59" i="4"/>
  <c r="HE59" i="4" s="1"/>
  <c r="HD35" i="4"/>
  <c r="HE35" i="4" s="1"/>
  <c r="HD11" i="4"/>
  <c r="HE11" i="4" s="1"/>
  <c r="HD58" i="4"/>
  <c r="HE58" i="4" s="1"/>
  <c r="HD46" i="4"/>
  <c r="HE46" i="4" s="1"/>
  <c r="HD34" i="4"/>
  <c r="HE34" i="4" s="1"/>
  <c r="HD22" i="4"/>
  <c r="HE22" i="4" s="1"/>
  <c r="HD10" i="4"/>
  <c r="HE10" i="4" s="1"/>
  <c r="HD204" i="4"/>
  <c r="HE204" i="4" s="1"/>
  <c r="HD32" i="4"/>
  <c r="HE32" i="4" s="1"/>
  <c r="HD31" i="4"/>
  <c r="HE31" i="4" s="1"/>
  <c r="HD50" i="4"/>
  <c r="HE50" i="4" s="1"/>
  <c r="HD14" i="4"/>
  <c r="HE14" i="4" s="1"/>
  <c r="HD37" i="4"/>
  <c r="HE37" i="4" s="1"/>
  <c r="HD47" i="4"/>
  <c r="HE47" i="4" s="1"/>
  <c r="HD23" i="4"/>
  <c r="HE23" i="4" s="1"/>
  <c r="HD57" i="4"/>
  <c r="HE57" i="4" s="1"/>
  <c r="HD45" i="4"/>
  <c r="HE45" i="4" s="1"/>
  <c r="HD21" i="4"/>
  <c r="HE21" i="4" s="1"/>
  <c r="HD9" i="4"/>
  <c r="HE9" i="4" s="1"/>
  <c r="HD103" i="4"/>
  <c r="HE103" i="4" s="1"/>
  <c r="HD144" i="4"/>
  <c r="HE144" i="4" s="1"/>
  <c r="HD236" i="4"/>
  <c r="HE236" i="4" s="1"/>
  <c r="HD54" i="4"/>
  <c r="HE54" i="4" s="1"/>
  <c r="HD30" i="4"/>
  <c r="HE30" i="4" s="1"/>
  <c r="HD18" i="4"/>
  <c r="HE18" i="4" s="1"/>
  <c r="HD6" i="4"/>
  <c r="HE6" i="4" s="1"/>
  <c r="HD53" i="4"/>
  <c r="HE53" i="4" s="1"/>
  <c r="HD41" i="4"/>
  <c r="HE41" i="4" s="1"/>
  <c r="HD29" i="4"/>
  <c r="HE29" i="4" s="1"/>
  <c r="HD237" i="4"/>
  <c r="HE237" i="4" s="1"/>
  <c r="HD130" i="4"/>
  <c r="HE130" i="4" s="1"/>
  <c r="HD56" i="4"/>
  <c r="HE56" i="4" s="1"/>
  <c r="HD8" i="4"/>
  <c r="HE8" i="4" s="1"/>
  <c r="HD43" i="4"/>
  <c r="HE43" i="4" s="1"/>
  <c r="HD7" i="4"/>
  <c r="HE7" i="4" s="1"/>
  <c r="HD40" i="4"/>
  <c r="HE40" i="4" s="1"/>
  <c r="HD16" i="4"/>
  <c r="HE16" i="4" s="1"/>
  <c r="HD51" i="4"/>
  <c r="HE51" i="4" s="1"/>
  <c r="HD39" i="4"/>
  <c r="HE39" i="4" s="1"/>
  <c r="HD27" i="4"/>
  <c r="HE27" i="4" s="1"/>
  <c r="HD15" i="4"/>
  <c r="HE15" i="4" s="1"/>
  <c r="HD145" i="4"/>
  <c r="HE145" i="4" s="1"/>
  <c r="HD19" i="4"/>
  <c r="HE19" i="4" s="1"/>
  <c r="HD38" i="4"/>
  <c r="HE38" i="4" s="1"/>
  <c r="HD49" i="4"/>
  <c r="HE49" i="4" s="1"/>
  <c r="HD25" i="4"/>
  <c r="HE25" i="4" s="1"/>
  <c r="HD13" i="4"/>
  <c r="HE13" i="4" s="1"/>
  <c r="HD60" i="4"/>
  <c r="HE60" i="4" s="1"/>
  <c r="HD48" i="4"/>
  <c r="HE48" i="4" s="1"/>
  <c r="HD36" i="4"/>
  <c r="HE36" i="4" s="1"/>
  <c r="HD24" i="4"/>
  <c r="HE24" i="4" s="1"/>
  <c r="HD12" i="4"/>
  <c r="HE12" i="4" s="1"/>
  <c r="HD202" i="4"/>
  <c r="HE202" i="4" s="1"/>
  <c r="EZ289" i="4"/>
  <c r="FA289" i="4" s="1"/>
  <c r="EX289" i="4"/>
  <c r="EY289" i="4" s="1"/>
  <c r="EV289" i="4"/>
  <c r="EW289" i="4" s="1"/>
  <c r="ER289" i="4"/>
  <c r="ES289" i="4" s="1"/>
  <c r="EN289" i="4"/>
  <c r="EO289" i="4" s="1"/>
  <c r="C388" i="4"/>
  <c r="C144" i="4"/>
  <c r="C362" i="4"/>
  <c r="FJ432" i="4"/>
  <c r="FK432" i="4" s="1"/>
  <c r="FD432" i="4"/>
  <c r="FE432" i="4" s="1"/>
  <c r="FF432" i="4"/>
  <c r="FG432" i="4" s="1"/>
  <c r="FH432" i="4"/>
  <c r="FI432" i="4" s="1"/>
  <c r="FL432" i="4"/>
  <c r="FM432" i="4" s="1"/>
  <c r="GK416" i="4"/>
  <c r="HG416" i="4" s="1"/>
  <c r="L416" i="4"/>
  <c r="C432" i="4"/>
  <c r="L402" i="4"/>
  <c r="GK402" i="4"/>
  <c r="GK400" i="4"/>
  <c r="HG400" i="4" s="1"/>
  <c r="HD400" i="4" s="1"/>
  <c r="GL400" i="4"/>
  <c r="GL380" i="4"/>
  <c r="GL388" i="4"/>
  <c r="GK380" i="4"/>
  <c r="HG380" i="4" s="1"/>
  <c r="HD380" i="4" s="1"/>
  <c r="GK388" i="4"/>
  <c r="HG388" i="4" s="1"/>
  <c r="HD388" i="4" s="1"/>
  <c r="FF388" i="4"/>
  <c r="FG388" i="4" s="1"/>
  <c r="FH388" i="4"/>
  <c r="FI388" i="4" s="1"/>
  <c r="FJ388" i="4"/>
  <c r="FK388" i="4" s="1"/>
  <c r="FB388" i="4"/>
  <c r="FC388" i="4" s="1"/>
  <c r="FD388" i="4"/>
  <c r="FE388" i="4" s="1"/>
  <c r="GL376" i="4"/>
  <c r="GK376" i="4"/>
  <c r="HG376" i="4" s="1"/>
  <c r="HD376" i="4" s="1"/>
  <c r="FF289" i="4"/>
  <c r="FG289" i="4" s="1"/>
  <c r="FH289" i="4"/>
  <c r="FI289" i="4" s="1"/>
  <c r="FL289" i="4"/>
  <c r="FM289" i="4" s="1"/>
  <c r="FH144" i="4"/>
  <c r="FI144" i="4" s="1"/>
  <c r="FJ144" i="4"/>
  <c r="FK144" i="4" s="1"/>
  <c r="FL144" i="4"/>
  <c r="FM144" i="4" s="1"/>
  <c r="FF362" i="4"/>
  <c r="FG362" i="4" s="1"/>
  <c r="FH362" i="4"/>
  <c r="FI362" i="4" s="1"/>
  <c r="FL362" i="4"/>
  <c r="FM362" i="4" s="1"/>
  <c r="GL366" i="4"/>
  <c r="GK352" i="4"/>
  <c r="HG352" i="4" s="1"/>
  <c r="HD352" i="4" s="1"/>
  <c r="GL352" i="4"/>
  <c r="GL351" i="4"/>
  <c r="GK366" i="4"/>
  <c r="HG366" i="4" s="1"/>
  <c r="HD366" i="4" s="1"/>
  <c r="GL362" i="4"/>
  <c r="L362" i="4"/>
  <c r="FB362" i="4"/>
  <c r="FD362" i="4"/>
  <c r="L351" i="4"/>
  <c r="FD144" i="4"/>
  <c r="FB144" i="4"/>
  <c r="FX289" i="4"/>
  <c r="FB289" i="4"/>
  <c r="FD289" i="4"/>
  <c r="GL333" i="4"/>
  <c r="GL312" i="4"/>
  <c r="GK312" i="4"/>
  <c r="HG312" i="4" s="1"/>
  <c r="HD312" i="4" s="1"/>
  <c r="GQ289" i="4"/>
  <c r="GU289" i="4"/>
  <c r="GW289" i="4"/>
  <c r="GO289" i="4"/>
  <c r="GK333" i="4"/>
  <c r="HG333" i="4" s="1"/>
  <c r="HD333" i="4" s="1"/>
  <c r="GL322" i="4"/>
  <c r="GK322" i="4"/>
  <c r="HG322" i="4" s="1"/>
  <c r="HD322" i="4" s="1"/>
  <c r="DJ289" i="4"/>
  <c r="CH289" i="4"/>
  <c r="BF289" i="4"/>
  <c r="AD289" i="4"/>
  <c r="DH289" i="4"/>
  <c r="CF289" i="4"/>
  <c r="BD289" i="4"/>
  <c r="AB289" i="4"/>
  <c r="DF289" i="4"/>
  <c r="CD289" i="4"/>
  <c r="BB289" i="4"/>
  <c r="Z289" i="4"/>
  <c r="DC289" i="4"/>
  <c r="CA289" i="4"/>
  <c r="AY289" i="4"/>
  <c r="EC289" i="4"/>
  <c r="DA289" i="4"/>
  <c r="BY289" i="4"/>
  <c r="AW289" i="4"/>
  <c r="EA289" i="4"/>
  <c r="CY289" i="4"/>
  <c r="BW289" i="4"/>
  <c r="AU289" i="4"/>
  <c r="DX289" i="4"/>
  <c r="CV289" i="4"/>
  <c r="BT289" i="4"/>
  <c r="AR289" i="4"/>
  <c r="DQ289" i="4"/>
  <c r="CO289" i="4"/>
  <c r="BM289" i="4"/>
  <c r="AK289" i="4"/>
  <c r="CM289" i="4"/>
  <c r="CK289" i="4"/>
  <c r="BR289" i="4"/>
  <c r="BP289" i="4"/>
  <c r="BK289" i="4"/>
  <c r="BI289" i="4"/>
  <c r="DV289" i="4"/>
  <c r="AP289" i="4"/>
  <c r="DT289" i="4"/>
  <c r="AN289" i="4"/>
  <c r="DM289" i="4"/>
  <c r="AG289" i="4"/>
  <c r="CR289" i="4"/>
  <c r="DO289" i="4"/>
  <c r="CT289" i="4"/>
  <c r="AI289" i="4"/>
  <c r="V289" i="4"/>
  <c r="T289" i="4"/>
  <c r="GH294" i="4"/>
  <c r="GL294" i="4" s="1"/>
  <c r="GH295" i="4"/>
  <c r="GL295" i="4" s="1"/>
  <c r="HF4" i="4"/>
  <c r="GH237" i="4"/>
  <c r="GL237" i="4" s="1"/>
  <c r="GH145" i="4"/>
  <c r="GL145" i="4" s="1"/>
  <c r="D35" i="9"/>
  <c r="H45" i="9"/>
  <c r="D47" i="9"/>
  <c r="F40" i="9"/>
  <c r="J44" i="9"/>
  <c r="L19" i="9"/>
  <c r="L37" i="9"/>
  <c r="N24" i="9"/>
  <c r="J38" i="9"/>
  <c r="N3" i="9"/>
  <c r="F16" i="9"/>
  <c r="J26" i="9"/>
  <c r="F34" i="9"/>
  <c r="H39" i="9"/>
  <c r="N42" i="9"/>
  <c r="M43" i="9"/>
  <c r="I35" i="9"/>
  <c r="N6" i="9"/>
  <c r="F10" i="9"/>
  <c r="J20" i="9"/>
  <c r="F28" i="9"/>
  <c r="I33" i="9"/>
  <c r="Q43" i="9"/>
  <c r="E37" i="9"/>
  <c r="J14" i="9"/>
  <c r="L43" i="9"/>
  <c r="M33" i="9"/>
  <c r="H27" i="9"/>
  <c r="N30" i="9"/>
  <c r="E43" i="9"/>
  <c r="I29" i="9"/>
  <c r="M3" i="9"/>
  <c r="K4" i="9"/>
  <c r="G6" i="9"/>
  <c r="E7" i="9"/>
  <c r="O8" i="9"/>
  <c r="K10" i="9"/>
  <c r="I11" i="9"/>
  <c r="G12" i="9"/>
  <c r="E13" i="9"/>
  <c r="O14" i="9"/>
  <c r="H15" i="9"/>
  <c r="K16" i="9"/>
  <c r="I17" i="9"/>
  <c r="N18" i="9"/>
  <c r="O20" i="9"/>
  <c r="M21" i="9"/>
  <c r="K22" i="9"/>
  <c r="I23" i="9"/>
  <c r="O26" i="9"/>
  <c r="M27" i="9"/>
  <c r="K28" i="9"/>
  <c r="G30" i="9"/>
  <c r="E31" i="9"/>
  <c r="O32" i="9"/>
  <c r="K34" i="9"/>
  <c r="G36" i="9"/>
  <c r="O42" i="9"/>
  <c r="Q25" i="9"/>
  <c r="D5" i="9"/>
  <c r="D11" i="9"/>
  <c r="L31" i="9"/>
  <c r="G42" i="9"/>
  <c r="L25" i="9"/>
  <c r="D17" i="9"/>
  <c r="H21" i="9"/>
  <c r="N36" i="9"/>
  <c r="F46" i="9"/>
  <c r="I45" i="9"/>
  <c r="I41" i="9"/>
  <c r="E25" i="9"/>
  <c r="J32" i="9"/>
  <c r="D41" i="9"/>
  <c r="M39" i="9"/>
  <c r="G24" i="9"/>
  <c r="H9" i="9"/>
  <c r="D23" i="9"/>
  <c r="D29" i="9"/>
  <c r="E41" i="9"/>
  <c r="K38" i="9"/>
  <c r="N2" i="9"/>
  <c r="I39" i="9"/>
  <c r="Q19" i="9"/>
  <c r="N12" i="9"/>
  <c r="I47" i="9"/>
  <c r="O38" i="9"/>
  <c r="E19" i="9"/>
  <c r="F4" i="9"/>
  <c r="L7" i="9"/>
  <c r="L13" i="9"/>
  <c r="F22" i="9"/>
  <c r="H33" i="9"/>
  <c r="K46" i="9"/>
  <c r="Q37" i="9"/>
  <c r="M9" i="9"/>
  <c r="J8" i="9"/>
  <c r="M45" i="9"/>
  <c r="M37" i="9"/>
  <c r="I5" i="9"/>
  <c r="O44" i="9"/>
  <c r="K40" i="9"/>
  <c r="Q31" i="9"/>
  <c r="G18" i="9"/>
  <c r="M15" i="9"/>
  <c r="Q13" i="9"/>
  <c r="Q7" i="9"/>
  <c r="O2" i="9"/>
  <c r="H47" i="9"/>
  <c r="J46" i="9"/>
  <c r="L45" i="9"/>
  <c r="N44" i="9"/>
  <c r="P43" i="9"/>
  <c r="D43" i="9"/>
  <c r="F42" i="9"/>
  <c r="H41" i="9"/>
  <c r="J40" i="9"/>
  <c r="L39" i="9"/>
  <c r="N38" i="9"/>
  <c r="P37" i="9"/>
  <c r="D37" i="9"/>
  <c r="F36" i="9"/>
  <c r="H35" i="9"/>
  <c r="J34" i="9"/>
  <c r="L33" i="9"/>
  <c r="N32" i="9"/>
  <c r="P31" i="9"/>
  <c r="D31" i="9"/>
  <c r="F30" i="9"/>
  <c r="H29" i="9"/>
  <c r="J28" i="9"/>
  <c r="L27" i="9"/>
  <c r="N26" i="9"/>
  <c r="P25" i="9"/>
  <c r="D25" i="9"/>
  <c r="F24" i="9"/>
  <c r="H23" i="9"/>
  <c r="J22" i="9"/>
  <c r="L21" i="9"/>
  <c r="N20" i="9"/>
  <c r="P19" i="9"/>
  <c r="D19" i="9"/>
  <c r="F18" i="9"/>
  <c r="H17" i="9"/>
  <c r="J16" i="9"/>
  <c r="L15" i="9"/>
  <c r="N14" i="9"/>
  <c r="P13" i="9"/>
  <c r="D13" i="9"/>
  <c r="F12" i="9"/>
  <c r="H11" i="9"/>
  <c r="J10" i="9"/>
  <c r="L9" i="9"/>
  <c r="N8" i="9"/>
  <c r="P7" i="9"/>
  <c r="D7" i="9"/>
  <c r="F6" i="9"/>
  <c r="H5" i="9"/>
  <c r="J4" i="9"/>
  <c r="L3" i="9"/>
  <c r="D2" i="9"/>
  <c r="P2" i="9"/>
  <c r="G47" i="9"/>
  <c r="I46" i="9"/>
  <c r="K45" i="9"/>
  <c r="M44" i="9"/>
  <c r="O43" i="9"/>
  <c r="Q42" i="9"/>
  <c r="E42" i="9"/>
  <c r="G41" i="9"/>
  <c r="I40" i="9"/>
  <c r="K39" i="9"/>
  <c r="M38" i="9"/>
  <c r="O37" i="9"/>
  <c r="Q36" i="9"/>
  <c r="E36" i="9"/>
  <c r="G35" i="9"/>
  <c r="I34" i="9"/>
  <c r="K33" i="9"/>
  <c r="M32" i="9"/>
  <c r="O31" i="9"/>
  <c r="Q30" i="9"/>
  <c r="E30" i="9"/>
  <c r="G29" i="9"/>
  <c r="I28" i="9"/>
  <c r="K27" i="9"/>
  <c r="M26" i="9"/>
  <c r="O25" i="9"/>
  <c r="Q24" i="9"/>
  <c r="E24" i="9"/>
  <c r="G23" i="9"/>
  <c r="I22" i="9"/>
  <c r="K21" i="9"/>
  <c r="M20" i="9"/>
  <c r="O19" i="9"/>
  <c r="Q18" i="9"/>
  <c r="E18" i="9"/>
  <c r="G17" i="9"/>
  <c r="I16" i="9"/>
  <c r="K15" i="9"/>
  <c r="M14" i="9"/>
  <c r="O13" i="9"/>
  <c r="Q12" i="9"/>
  <c r="E12" i="9"/>
  <c r="G11" i="9"/>
  <c r="I10" i="9"/>
  <c r="K9" i="9"/>
  <c r="M8" i="9"/>
  <c r="O7" i="9"/>
  <c r="Q6" i="9"/>
  <c r="E6" i="9"/>
  <c r="G5" i="9"/>
  <c r="I4" i="9"/>
  <c r="K3" i="9"/>
  <c r="E2" i="9"/>
  <c r="Q2" i="9"/>
  <c r="F47" i="9"/>
  <c r="H46" i="9"/>
  <c r="J45" i="9"/>
  <c r="L44" i="9"/>
  <c r="N43" i="9"/>
  <c r="P42" i="9"/>
  <c r="D42" i="9"/>
  <c r="F41" i="9"/>
  <c r="H40" i="9"/>
  <c r="J39" i="9"/>
  <c r="L38" i="9"/>
  <c r="N37" i="9"/>
  <c r="P36" i="9"/>
  <c r="D36" i="9"/>
  <c r="F35" i="9"/>
  <c r="H34" i="9"/>
  <c r="J33" i="9"/>
  <c r="L32" i="9"/>
  <c r="N31" i="9"/>
  <c r="P30" i="9"/>
  <c r="D30" i="9"/>
  <c r="F29" i="9"/>
  <c r="H28" i="9"/>
  <c r="J27" i="9"/>
  <c r="L26" i="9"/>
  <c r="N25" i="9"/>
  <c r="P24" i="9"/>
  <c r="D24" i="9"/>
  <c r="F23" i="9"/>
  <c r="H22" i="9"/>
  <c r="J21" i="9"/>
  <c r="L20" i="9"/>
  <c r="N19" i="9"/>
  <c r="P18" i="9"/>
  <c r="D18" i="9"/>
  <c r="F17" i="9"/>
  <c r="H16" i="9"/>
  <c r="J15" i="9"/>
  <c r="L14" i="9"/>
  <c r="N13" i="9"/>
  <c r="P12" i="9"/>
  <c r="D12" i="9"/>
  <c r="F11" i="9"/>
  <c r="H10" i="9"/>
  <c r="J9" i="9"/>
  <c r="L8" i="9"/>
  <c r="N7" i="9"/>
  <c r="P6" i="9"/>
  <c r="D6" i="9"/>
  <c r="F5" i="9"/>
  <c r="H4" i="9"/>
  <c r="J3" i="9"/>
  <c r="F2" i="9"/>
  <c r="Q47" i="9"/>
  <c r="E47" i="9"/>
  <c r="G46" i="9"/>
  <c r="K44" i="9"/>
  <c r="Q41" i="9"/>
  <c r="G40" i="9"/>
  <c r="O36" i="9"/>
  <c r="Q35" i="9"/>
  <c r="E35" i="9"/>
  <c r="G34" i="9"/>
  <c r="K32" i="9"/>
  <c r="M31" i="9"/>
  <c r="O30" i="9"/>
  <c r="Q29" i="9"/>
  <c r="E29" i="9"/>
  <c r="G28" i="9"/>
  <c r="I27" i="9"/>
  <c r="K26" i="9"/>
  <c r="M25" i="9"/>
  <c r="O24" i="9"/>
  <c r="Q23" i="9"/>
  <c r="E23" i="9"/>
  <c r="G22" i="9"/>
  <c r="I21" i="9"/>
  <c r="K20" i="9"/>
  <c r="M19" i="9"/>
  <c r="O18" i="9"/>
  <c r="Q17" i="9"/>
  <c r="E17" i="9"/>
  <c r="G16" i="9"/>
  <c r="I15" i="9"/>
  <c r="K14" i="9"/>
  <c r="M13" i="9"/>
  <c r="O12" i="9"/>
  <c r="Q11" i="9"/>
  <c r="E11" i="9"/>
  <c r="G10" i="9"/>
  <c r="I9" i="9"/>
  <c r="K8" i="9"/>
  <c r="M7" i="9"/>
  <c r="O6" i="9"/>
  <c r="Q5" i="9"/>
  <c r="E5" i="9"/>
  <c r="G4" i="9"/>
  <c r="I3" i="9"/>
  <c r="G2" i="9"/>
  <c r="P47" i="9"/>
  <c r="P41" i="9"/>
  <c r="P35" i="9"/>
  <c r="P29" i="9"/>
  <c r="P23" i="9"/>
  <c r="P17" i="9"/>
  <c r="P11" i="9"/>
  <c r="P5" i="9"/>
  <c r="H3" i="9"/>
  <c r="GH204" i="4"/>
  <c r="GL204" i="4" s="1"/>
  <c r="H2" i="9"/>
  <c r="O47" i="9"/>
  <c r="Q46" i="9"/>
  <c r="E46" i="9"/>
  <c r="G45" i="9"/>
  <c r="I44" i="9"/>
  <c r="K43" i="9"/>
  <c r="M42" i="9"/>
  <c r="O41" i="9"/>
  <c r="Q40" i="9"/>
  <c r="E40" i="9"/>
  <c r="G39" i="9"/>
  <c r="I38" i="9"/>
  <c r="K37" i="9"/>
  <c r="M36" i="9"/>
  <c r="O35" i="9"/>
  <c r="Q34" i="9"/>
  <c r="E34" i="9"/>
  <c r="G33" i="9"/>
  <c r="I32" i="9"/>
  <c r="K31" i="9"/>
  <c r="M30" i="9"/>
  <c r="O29" i="9"/>
  <c r="Q28" i="9"/>
  <c r="E28" i="9"/>
  <c r="G27" i="9"/>
  <c r="I26" i="9"/>
  <c r="K25" i="9"/>
  <c r="M24" i="9"/>
  <c r="O23" i="9"/>
  <c r="Q22" i="9"/>
  <c r="E22" i="9"/>
  <c r="G21" i="9"/>
  <c r="I20" i="9"/>
  <c r="K19" i="9"/>
  <c r="M18" i="9"/>
  <c r="O17" i="9"/>
  <c r="Q16" i="9"/>
  <c r="E16" i="9"/>
  <c r="G15" i="9"/>
  <c r="I14" i="9"/>
  <c r="K13" i="9"/>
  <c r="M12" i="9"/>
  <c r="O11" i="9"/>
  <c r="Q10" i="9"/>
  <c r="E10" i="9"/>
  <c r="G9" i="9"/>
  <c r="I8" i="9"/>
  <c r="K7" i="9"/>
  <c r="M6" i="9"/>
  <c r="O5" i="9"/>
  <c r="Q4" i="9"/>
  <c r="E4" i="9"/>
  <c r="G3" i="9"/>
  <c r="I2" i="9"/>
  <c r="N47" i="9"/>
  <c r="P46" i="9"/>
  <c r="D46" i="9"/>
  <c r="F45" i="9"/>
  <c r="H44" i="9"/>
  <c r="J43" i="9"/>
  <c r="L42" i="9"/>
  <c r="N41" i="9"/>
  <c r="P40" i="9"/>
  <c r="D40" i="9"/>
  <c r="F39" i="9"/>
  <c r="H38" i="9"/>
  <c r="J37" i="9"/>
  <c r="L36" i="9"/>
  <c r="N35" i="9"/>
  <c r="P34" i="9"/>
  <c r="D34" i="9"/>
  <c r="F33" i="9"/>
  <c r="H32" i="9"/>
  <c r="J31" i="9"/>
  <c r="L30" i="9"/>
  <c r="N29" i="9"/>
  <c r="P28" i="9"/>
  <c r="D28" i="9"/>
  <c r="F27" i="9"/>
  <c r="H26" i="9"/>
  <c r="J25" i="9"/>
  <c r="L24" i="9"/>
  <c r="N23" i="9"/>
  <c r="P22" i="9"/>
  <c r="D22" i="9"/>
  <c r="F21" i="9"/>
  <c r="H20" i="9"/>
  <c r="J19" i="9"/>
  <c r="L18" i="9"/>
  <c r="N17" i="9"/>
  <c r="P16" i="9"/>
  <c r="D16" i="9"/>
  <c r="F15" i="9"/>
  <c r="H14" i="9"/>
  <c r="J13" i="9"/>
  <c r="L12" i="9"/>
  <c r="N11" i="9"/>
  <c r="P10" i="9"/>
  <c r="D10" i="9"/>
  <c r="F9" i="9"/>
  <c r="H8" i="9"/>
  <c r="J7" i="9"/>
  <c r="L6" i="9"/>
  <c r="N5" i="9"/>
  <c r="P4" i="9"/>
  <c r="D4" i="9"/>
  <c r="F3" i="9"/>
  <c r="J2" i="9"/>
  <c r="M47" i="9"/>
  <c r="O46" i="9"/>
  <c r="Q45" i="9"/>
  <c r="E45" i="9"/>
  <c r="G44" i="9"/>
  <c r="I43" i="9"/>
  <c r="K42" i="9"/>
  <c r="M41" i="9"/>
  <c r="O40" i="9"/>
  <c r="Q39" i="9"/>
  <c r="E39" i="9"/>
  <c r="G38" i="9"/>
  <c r="I37" i="9"/>
  <c r="K36" i="9"/>
  <c r="M35" i="9"/>
  <c r="O34" i="9"/>
  <c r="Q33" i="9"/>
  <c r="E33" i="9"/>
  <c r="G32" i="9"/>
  <c r="I31" i="9"/>
  <c r="K30" i="9"/>
  <c r="M29" i="9"/>
  <c r="O28" i="9"/>
  <c r="Q27" i="9"/>
  <c r="E27" i="9"/>
  <c r="G26" i="9"/>
  <c r="I25" i="9"/>
  <c r="K24" i="9"/>
  <c r="M23" i="9"/>
  <c r="O22" i="9"/>
  <c r="Q21" i="9"/>
  <c r="E21" i="9"/>
  <c r="G20" i="9"/>
  <c r="I19" i="9"/>
  <c r="K18" i="9"/>
  <c r="M17" i="9"/>
  <c r="O16" i="9"/>
  <c r="Q15" i="9"/>
  <c r="E15" i="9"/>
  <c r="G14" i="9"/>
  <c r="I13" i="9"/>
  <c r="K12" i="9"/>
  <c r="M11" i="9"/>
  <c r="O10" i="9"/>
  <c r="Q9" i="9"/>
  <c r="E9" i="9"/>
  <c r="G8" i="9"/>
  <c r="I7" i="9"/>
  <c r="K6" i="9"/>
  <c r="M5" i="9"/>
  <c r="O4" i="9"/>
  <c r="Q3" i="9"/>
  <c r="E3" i="9"/>
  <c r="K2" i="9"/>
  <c r="L47" i="9"/>
  <c r="N46" i="9"/>
  <c r="P45" i="9"/>
  <c r="D45" i="9"/>
  <c r="F44" i="9"/>
  <c r="H43" i="9"/>
  <c r="J42" i="9"/>
  <c r="L41" i="9"/>
  <c r="N40" i="9"/>
  <c r="P39" i="9"/>
  <c r="D39" i="9"/>
  <c r="F38" i="9"/>
  <c r="H37" i="9"/>
  <c r="J36" i="9"/>
  <c r="L35" i="9"/>
  <c r="N34" i="9"/>
  <c r="P33" i="9"/>
  <c r="D33" i="9"/>
  <c r="F32" i="9"/>
  <c r="H31" i="9"/>
  <c r="J30" i="9"/>
  <c r="L29" i="9"/>
  <c r="N28" i="9"/>
  <c r="P27" i="9"/>
  <c r="D27" i="9"/>
  <c r="F26" i="9"/>
  <c r="H25" i="9"/>
  <c r="J24" i="9"/>
  <c r="L23" i="9"/>
  <c r="N22" i="9"/>
  <c r="P21" i="9"/>
  <c r="D21" i="9"/>
  <c r="F20" i="9"/>
  <c r="H19" i="9"/>
  <c r="J18" i="9"/>
  <c r="L17" i="9"/>
  <c r="N16" i="9"/>
  <c r="P15" i="9"/>
  <c r="D15" i="9"/>
  <c r="F14" i="9"/>
  <c r="H13" i="9"/>
  <c r="J12" i="9"/>
  <c r="L11" i="9"/>
  <c r="N10" i="9"/>
  <c r="P9" i="9"/>
  <c r="D9" i="9"/>
  <c r="F8" i="9"/>
  <c r="H7" i="9"/>
  <c r="J6" i="9"/>
  <c r="L5" i="9"/>
  <c r="N4" i="9"/>
  <c r="P3" i="9"/>
  <c r="D3" i="9"/>
  <c r="L2" i="9"/>
  <c r="K47" i="9"/>
  <c r="M46" i="9"/>
  <c r="O45" i="9"/>
  <c r="Q44" i="9"/>
  <c r="E44" i="9"/>
  <c r="G43" i="9"/>
  <c r="I42" i="9"/>
  <c r="K41" i="9"/>
  <c r="M40" i="9"/>
  <c r="O39" i="9"/>
  <c r="Q38" i="9"/>
  <c r="E38" i="9"/>
  <c r="G37" i="9"/>
  <c r="I36" i="9"/>
  <c r="K35" i="9"/>
  <c r="M34" i="9"/>
  <c r="O33" i="9"/>
  <c r="Q32" i="9"/>
  <c r="E32" i="9"/>
  <c r="G31" i="9"/>
  <c r="I30" i="9"/>
  <c r="K29" i="9"/>
  <c r="M28" i="9"/>
  <c r="O27" i="9"/>
  <c r="Q26" i="9"/>
  <c r="E26" i="9"/>
  <c r="G25" i="9"/>
  <c r="I24" i="9"/>
  <c r="K23" i="9"/>
  <c r="M22" i="9"/>
  <c r="O21" i="9"/>
  <c r="Q20" i="9"/>
  <c r="E20" i="9"/>
  <c r="G19" i="9"/>
  <c r="I18" i="9"/>
  <c r="K17" i="9"/>
  <c r="M16" i="9"/>
  <c r="O15" i="9"/>
  <c r="Q14" i="9"/>
  <c r="E14" i="9"/>
  <c r="G13" i="9"/>
  <c r="I12" i="9"/>
  <c r="K11" i="9"/>
  <c r="M10" i="9"/>
  <c r="O9" i="9"/>
  <c r="Q8" i="9"/>
  <c r="E8" i="9"/>
  <c r="G7" i="9"/>
  <c r="I6" i="9"/>
  <c r="K5" i="9"/>
  <c r="M4" i="9"/>
  <c r="O3" i="9"/>
  <c r="M2" i="9"/>
  <c r="J47" i="9"/>
  <c r="L46" i="9"/>
  <c r="N45" i="9"/>
  <c r="P44" i="9"/>
  <c r="D44" i="9"/>
  <c r="F43" i="9"/>
  <c r="H42" i="9"/>
  <c r="J41" i="9"/>
  <c r="L40" i="9"/>
  <c r="N39" i="9"/>
  <c r="P38" i="9"/>
  <c r="D38" i="9"/>
  <c r="F37" i="9"/>
  <c r="H36" i="9"/>
  <c r="J35" i="9"/>
  <c r="L34" i="9"/>
  <c r="N33" i="9"/>
  <c r="P32" i="9"/>
  <c r="D32" i="9"/>
  <c r="F31" i="9"/>
  <c r="H30" i="9"/>
  <c r="J29" i="9"/>
  <c r="L28" i="9"/>
  <c r="N27" i="9"/>
  <c r="P26" i="9"/>
  <c r="D26" i="9"/>
  <c r="F25" i="9"/>
  <c r="H24" i="9"/>
  <c r="J23" i="9"/>
  <c r="L22" i="9"/>
  <c r="N21" i="9"/>
  <c r="P20" i="9"/>
  <c r="D20" i="9"/>
  <c r="F19" i="9"/>
  <c r="H18" i="9"/>
  <c r="J17" i="9"/>
  <c r="L16" i="9"/>
  <c r="N15" i="9"/>
  <c r="P14" i="9"/>
  <c r="D14" i="9"/>
  <c r="F13" i="9"/>
  <c r="H12" i="9"/>
  <c r="J11" i="9"/>
  <c r="L10" i="9"/>
  <c r="N9" i="9"/>
  <c r="P8" i="9"/>
  <c r="D8" i="9"/>
  <c r="F7" i="9"/>
  <c r="H6" i="9"/>
  <c r="J5" i="9"/>
  <c r="L4" i="9"/>
  <c r="GH103" i="4"/>
  <c r="GK103" i="4" s="1"/>
  <c r="FX433" i="4"/>
  <c r="GH203" i="4"/>
  <c r="L203" i="4" s="1"/>
  <c r="M203" i="4" s="1"/>
  <c r="FY203" i="4"/>
  <c r="FY432" i="4"/>
  <c r="FX432" i="4"/>
  <c r="GD416" i="4"/>
  <c r="FY376" i="4"/>
  <c r="GC416" i="4"/>
  <c r="GH144" i="4"/>
  <c r="GK144" i="4" s="1"/>
  <c r="GC237" i="4"/>
  <c r="FZ376" i="4"/>
  <c r="GH236" i="4"/>
  <c r="L236" i="4" s="1"/>
  <c r="M236" i="4" s="1"/>
  <c r="GD312" i="4"/>
  <c r="GC312" i="4"/>
  <c r="GB312" i="4"/>
  <c r="FV400" i="4"/>
  <c r="H400" i="4" s="1"/>
  <c r="GH202" i="4"/>
  <c r="FX351" i="4"/>
  <c r="FZ294" i="4"/>
  <c r="FV294" i="4"/>
  <c r="H294" i="4" s="1"/>
  <c r="FZ237" i="4"/>
  <c r="GB416" i="4"/>
  <c r="FX312" i="4"/>
  <c r="FY416" i="4"/>
  <c r="FV312" i="4"/>
  <c r="FX416" i="4"/>
  <c r="GC380" i="4"/>
  <c r="R20" i="13"/>
  <c r="S20" i="13" s="1"/>
  <c r="FZ380" i="4"/>
  <c r="GH130" i="4"/>
  <c r="GL130" i="4" s="1"/>
  <c r="FY388" i="4"/>
  <c r="FV433" i="4"/>
  <c r="H433" i="4" s="1"/>
  <c r="R12" i="13"/>
  <c r="S12" i="13" s="1"/>
  <c r="FX402" i="4"/>
  <c r="FX236" i="4"/>
  <c r="FV236" i="4"/>
  <c r="R5" i="13"/>
  <c r="S5" i="13" s="1"/>
  <c r="R13" i="13"/>
  <c r="S13" i="13" s="1"/>
  <c r="FY380" i="4"/>
  <c r="FZ312" i="4"/>
  <c r="R6" i="13"/>
  <c r="S6" i="13" s="1"/>
  <c r="R14" i="13"/>
  <c r="S14" i="13" s="1"/>
  <c r="GD294" i="4"/>
  <c r="R7" i="13"/>
  <c r="S7" i="13" s="1"/>
  <c r="R15" i="13"/>
  <c r="S15" i="13" s="1"/>
  <c r="GD204" i="4"/>
  <c r="GB203" i="4"/>
  <c r="GD433" i="4"/>
  <c r="GC294" i="4"/>
  <c r="GD400" i="4"/>
  <c r="FZ130" i="4"/>
  <c r="HF144" i="4"/>
  <c r="R8" i="13"/>
  <c r="S8" i="13" s="1"/>
  <c r="R16" i="13"/>
  <c r="S16" i="13" s="1"/>
  <c r="FZ203" i="4"/>
  <c r="GC433" i="4"/>
  <c r="GB294" i="4"/>
  <c r="GC400" i="4"/>
  <c r="R9" i="13"/>
  <c r="S9" i="13" s="1"/>
  <c r="R17" i="13"/>
  <c r="S17" i="13" s="1"/>
  <c r="GB433" i="4"/>
  <c r="R18" i="13"/>
  <c r="S18" i="13" s="1"/>
  <c r="FY295" i="4"/>
  <c r="FZ433" i="4"/>
  <c r="FY294" i="4"/>
  <c r="R10" i="13"/>
  <c r="S10" i="13" s="1"/>
  <c r="R19" i="13"/>
  <c r="S19" i="13" s="1"/>
  <c r="R11" i="13"/>
  <c r="S11" i="13" s="1"/>
  <c r="GD202" i="4"/>
  <c r="FV202" i="4"/>
  <c r="GD130" i="4"/>
  <c r="HF130" i="4"/>
  <c r="FY103" i="4"/>
  <c r="GD103" i="4"/>
  <c r="FX103" i="4"/>
  <c r="FV103" i="4"/>
  <c r="FY351" i="4"/>
  <c r="FX202" i="4"/>
  <c r="GC204" i="4"/>
  <c r="GD432" i="4"/>
  <c r="GB400" i="4"/>
  <c r="GD236" i="4"/>
  <c r="GB145" i="4"/>
  <c r="GC432" i="4"/>
  <c r="FZ400" i="4"/>
  <c r="GC144" i="4"/>
  <c r="GC236" i="4"/>
  <c r="FX204" i="4"/>
  <c r="GB432" i="4"/>
  <c r="FY400" i="4"/>
  <c r="FY144" i="4"/>
  <c r="FZ236" i="4"/>
  <c r="FV204" i="4"/>
  <c r="GD376" i="4"/>
  <c r="FZ432" i="4"/>
  <c r="FV416" i="4"/>
  <c r="H416" i="4" s="1"/>
  <c r="FY236" i="4"/>
  <c r="GC202" i="4"/>
  <c r="GB202" i="4"/>
  <c r="FX376" i="4"/>
  <c r="GD351" i="4"/>
  <c r="FZ202" i="4"/>
  <c r="FV376" i="4"/>
  <c r="H376" i="4" s="1"/>
  <c r="GB351" i="4"/>
  <c r="GA388" i="4"/>
  <c r="EH388" i="4" s="1"/>
  <c r="GB295" i="4"/>
  <c r="GD295" i="4"/>
  <c r="GC295" i="4"/>
  <c r="FV295" i="4"/>
  <c r="H295" i="4" s="1"/>
  <c r="FZ295" i="4"/>
  <c r="GD352" i="4"/>
  <c r="FV352" i="4"/>
  <c r="H352" i="4" s="1"/>
  <c r="FX352" i="4"/>
  <c r="FY352" i="4"/>
  <c r="GC352" i="4"/>
  <c r="GB352" i="4"/>
  <c r="FZ352" i="4"/>
  <c r="GC322" i="4"/>
  <c r="GD322" i="4"/>
  <c r="FV322" i="4"/>
  <c r="H322" i="4" s="1"/>
  <c r="FY322" i="4"/>
  <c r="FZ322" i="4"/>
  <c r="GB322" i="4"/>
  <c r="FX322" i="4"/>
  <c r="GD388" i="4"/>
  <c r="FX203" i="4"/>
  <c r="GC388" i="4"/>
  <c r="FV203" i="4"/>
  <c r="GB388" i="4"/>
  <c r="GB204" i="4"/>
  <c r="FZ388" i="4"/>
  <c r="FX237" i="4"/>
  <c r="GB237" i="4"/>
  <c r="GD237" i="4"/>
  <c r="FZ103" i="4"/>
  <c r="GB103" i="4"/>
  <c r="GC103" i="4"/>
  <c r="FZ204" i="4"/>
  <c r="FX388" i="4"/>
  <c r="GC376" i="4"/>
  <c r="GD203" i="4"/>
  <c r="FV237" i="4"/>
  <c r="GA362" i="4"/>
  <c r="GC145" i="4"/>
  <c r="FX362" i="4"/>
  <c r="FY362" i="4"/>
  <c r="GC362" i="4"/>
  <c r="GD362" i="4"/>
  <c r="FZ145" i="4"/>
  <c r="FY145" i="4"/>
  <c r="FX145" i="4"/>
  <c r="GC351" i="4"/>
  <c r="FV145" i="4"/>
  <c r="GB362" i="4"/>
  <c r="FV351" i="4"/>
  <c r="H351" i="4" s="1"/>
  <c r="FY366" i="4"/>
  <c r="FZ366" i="4"/>
  <c r="GB366" i="4"/>
  <c r="GC366" i="4"/>
  <c r="GD366" i="4"/>
  <c r="FV366" i="4"/>
  <c r="H366" i="4" s="1"/>
  <c r="FZ362" i="4"/>
  <c r="GC333" i="4"/>
  <c r="GD333" i="4"/>
  <c r="FV333" i="4"/>
  <c r="H333" i="4" s="1"/>
  <c r="FX333" i="4"/>
  <c r="GB333" i="4"/>
  <c r="FZ333" i="4"/>
  <c r="FY333" i="4"/>
  <c r="GA432" i="4"/>
  <c r="FV402" i="4"/>
  <c r="FZ402" i="4"/>
  <c r="GB402" i="4"/>
  <c r="GC402" i="4"/>
  <c r="GD402" i="4"/>
  <c r="GA144" i="4"/>
  <c r="EC144" i="4" s="1"/>
  <c r="FV130" i="4"/>
  <c r="FX130" i="4"/>
  <c r="GB130" i="4"/>
  <c r="GC130" i="4"/>
  <c r="GD380" i="4"/>
  <c r="FV380" i="4"/>
  <c r="H380" i="4" s="1"/>
  <c r="FX380" i="4"/>
  <c r="GD144" i="4"/>
  <c r="GB144" i="4"/>
  <c r="FZ144" i="4"/>
  <c r="FX144" i="4"/>
  <c r="HF40" i="4"/>
  <c r="HF43" i="4"/>
  <c r="HF37" i="4"/>
  <c r="HF21" i="4"/>
  <c r="HF367" i="4"/>
  <c r="HF54" i="4"/>
  <c r="HF38" i="4"/>
  <c r="HF35" i="4"/>
  <c r="HF319" i="4"/>
  <c r="N289" i="4"/>
  <c r="P289" i="4"/>
  <c r="GH32" i="4"/>
  <c r="GH21" i="4"/>
  <c r="GH9" i="4"/>
  <c r="GH42" i="4"/>
  <c r="GH11" i="4"/>
  <c r="GH43" i="4"/>
  <c r="GH46" i="4"/>
  <c r="GH10" i="4"/>
  <c r="GH18" i="4"/>
  <c r="GH34" i="4"/>
  <c r="FZ278" i="4"/>
  <c r="FV278" i="4"/>
  <c r="H278" i="4" s="1"/>
  <c r="GH52" i="4"/>
  <c r="GH28" i="4"/>
  <c r="GH17" i="4"/>
  <c r="GH5" i="4"/>
  <c r="GH23" i="4"/>
  <c r="GH7" i="4"/>
  <c r="GI42" i="4"/>
  <c r="GH278" i="4"/>
  <c r="L278" i="4" s="1"/>
  <c r="GH4" i="4"/>
  <c r="GH55" i="4"/>
  <c r="GH31" i="4"/>
  <c r="GH20" i="4"/>
  <c r="GH8" i="4"/>
  <c r="GH289" i="4"/>
  <c r="GL289" i="4" s="1"/>
  <c r="GH30" i="4"/>
  <c r="GH40" i="4"/>
  <c r="GH19" i="4"/>
  <c r="GH41" i="4"/>
  <c r="GH33" i="4"/>
  <c r="GH54" i="4"/>
  <c r="GH56" i="4"/>
  <c r="GH44" i="4"/>
  <c r="GI44" i="4"/>
  <c r="GI52" i="4"/>
  <c r="GI28" i="4"/>
  <c r="GI17" i="4"/>
  <c r="GI5" i="4"/>
  <c r="GH58" i="4"/>
  <c r="GH22" i="4"/>
  <c r="GH45" i="4"/>
  <c r="GH57" i="4"/>
  <c r="GI33" i="4"/>
  <c r="GH6" i="4"/>
  <c r="GH29" i="4"/>
  <c r="GH53" i="4"/>
  <c r="GH51" i="4"/>
  <c r="GH39" i="4"/>
  <c r="GH16" i="4"/>
  <c r="GH61" i="4"/>
  <c r="GH50" i="4"/>
  <c r="GH38" i="4"/>
  <c r="GH27" i="4"/>
  <c r="GH15" i="4"/>
  <c r="GH60" i="4"/>
  <c r="GH49" i="4"/>
  <c r="GH37" i="4"/>
  <c r="GH26" i="4"/>
  <c r="GH14" i="4"/>
  <c r="GH48" i="4"/>
  <c r="GH36" i="4"/>
  <c r="GH25" i="4"/>
  <c r="GH13" i="4"/>
  <c r="GH59" i="4"/>
  <c r="GH47" i="4"/>
  <c r="GH35" i="4"/>
  <c r="GH24" i="4"/>
  <c r="GH12" i="4"/>
  <c r="GD278" i="4"/>
  <c r="GC278" i="4"/>
  <c r="GD289" i="4"/>
  <c r="GB278" i="4"/>
  <c r="GC289" i="4"/>
  <c r="GB289" i="4"/>
  <c r="FZ289" i="4"/>
  <c r="FY278" i="4"/>
  <c r="FY289" i="4"/>
  <c r="HF15" i="4" l="1"/>
  <c r="HF51" i="4"/>
  <c r="HF6" i="4"/>
  <c r="HF11" i="4"/>
  <c r="HF36" i="4"/>
  <c r="HF46" i="4"/>
  <c r="HF45" i="4"/>
  <c r="M312" i="4"/>
  <c r="M402" i="4"/>
  <c r="M351" i="4"/>
  <c r="M416" i="4"/>
  <c r="HD5" i="4"/>
  <c r="HE5" i="4" s="1"/>
  <c r="M333" i="4"/>
  <c r="HD17" i="4"/>
  <c r="HE17" i="4" s="1"/>
  <c r="M362" i="4"/>
  <c r="HH362" i="4"/>
  <c r="M380" i="4"/>
  <c r="M376" i="4"/>
  <c r="HD28" i="4"/>
  <c r="HE28" i="4" s="1"/>
  <c r="FN432" i="4"/>
  <c r="HH432" i="4"/>
  <c r="HD52" i="4"/>
  <c r="HE52" i="4" s="1"/>
  <c r="HD44" i="4"/>
  <c r="HE44" i="4" s="1"/>
  <c r="HH388" i="4"/>
  <c r="M366" i="4"/>
  <c r="HD42" i="4"/>
  <c r="HE42" i="4" s="1"/>
  <c r="M388" i="4"/>
  <c r="M322" i="4"/>
  <c r="HD33" i="4"/>
  <c r="HE33" i="4" s="1"/>
  <c r="M352" i="4"/>
  <c r="M400" i="4"/>
  <c r="HA388" i="4"/>
  <c r="EV362" i="4"/>
  <c r="EW362" i="4" s="1"/>
  <c r="EZ362" i="4"/>
  <c r="FA362" i="4" s="1"/>
  <c r="EX144" i="4"/>
  <c r="EY144" i="4" s="1"/>
  <c r="EZ144" i="4"/>
  <c r="FA144" i="4" s="1"/>
  <c r="EV432" i="4"/>
  <c r="EW432" i="4" s="1"/>
  <c r="EX432" i="4"/>
  <c r="EY432" i="4" s="1"/>
  <c r="EV388" i="4"/>
  <c r="EW388" i="4" s="1"/>
  <c r="EZ388" i="4"/>
  <c r="FA388" i="4" s="1"/>
  <c r="ER432" i="4"/>
  <c r="ES432" i="4" s="1"/>
  <c r="ER362" i="4"/>
  <c r="ES362" i="4" s="1"/>
  <c r="ER144" i="4"/>
  <c r="ES144" i="4" s="1"/>
  <c r="ER388" i="4"/>
  <c r="ES388" i="4" s="1"/>
  <c r="EN362" i="4"/>
  <c r="EO362" i="4" s="1"/>
  <c r="EP362" i="4"/>
  <c r="EQ362" i="4" s="1"/>
  <c r="EP144" i="4"/>
  <c r="EQ144" i="4" s="1"/>
  <c r="EN144" i="4"/>
  <c r="EO144" i="4" s="1"/>
  <c r="EN432" i="4"/>
  <c r="EO432" i="4" s="1"/>
  <c r="EN388" i="4"/>
  <c r="EO388" i="4" s="1"/>
  <c r="EP432" i="4"/>
  <c r="EQ432" i="4" s="1"/>
  <c r="EP388" i="4"/>
  <c r="EQ388" i="4" s="1"/>
  <c r="C312" i="4"/>
  <c r="C278" i="4"/>
  <c r="C352" i="4"/>
  <c r="C202" i="4"/>
  <c r="C236" i="4"/>
  <c r="C295" i="4"/>
  <c r="C130" i="4"/>
  <c r="C237" i="4"/>
  <c r="C294" i="4"/>
  <c r="C203" i="4"/>
  <c r="C204" i="4"/>
  <c r="C322" i="4"/>
  <c r="C351" i="4"/>
  <c r="C333" i="4"/>
  <c r="C145" i="4"/>
  <c r="C103" i="4"/>
  <c r="C376" i="4"/>
  <c r="C400" i="4"/>
  <c r="C380" i="4"/>
  <c r="C366" i="4"/>
  <c r="FD433" i="4"/>
  <c r="FE433" i="4" s="1"/>
  <c r="FF433" i="4"/>
  <c r="FG433" i="4" s="1"/>
  <c r="FH433" i="4"/>
  <c r="FI433" i="4" s="1"/>
  <c r="FJ433" i="4"/>
  <c r="FK433" i="4" s="1"/>
  <c r="FL433" i="4"/>
  <c r="FM433" i="4" s="1"/>
  <c r="EH362" i="4"/>
  <c r="AK432" i="4"/>
  <c r="FP432" i="4"/>
  <c r="V432" i="4" s="1"/>
  <c r="EH432" i="4"/>
  <c r="C416" i="4"/>
  <c r="FB416" i="4"/>
  <c r="FC416" i="4" s="1"/>
  <c r="FD416" i="4"/>
  <c r="FE416" i="4" s="1"/>
  <c r="FF416" i="4"/>
  <c r="FG416" i="4" s="1"/>
  <c r="FH416" i="4"/>
  <c r="FI416" i="4" s="1"/>
  <c r="FL416" i="4"/>
  <c r="FM416" i="4" s="1"/>
  <c r="HD416" i="4"/>
  <c r="GU432" i="4"/>
  <c r="GM432" i="4"/>
  <c r="GO432" i="4"/>
  <c r="C433" i="4"/>
  <c r="GQ432" i="4"/>
  <c r="GS432" i="4"/>
  <c r="C402" i="4"/>
  <c r="FB402" i="4"/>
  <c r="FC402" i="4" s="1"/>
  <c r="FD402" i="4"/>
  <c r="FE402" i="4" s="1"/>
  <c r="FF402" i="4"/>
  <c r="FG402" i="4" s="1"/>
  <c r="FH402" i="4"/>
  <c r="FI402" i="4" s="1"/>
  <c r="FJ402" i="4"/>
  <c r="FK402" i="4" s="1"/>
  <c r="FB400" i="4"/>
  <c r="FC400" i="4" s="1"/>
  <c r="FD400" i="4"/>
  <c r="FE400" i="4" s="1"/>
  <c r="FF400" i="4"/>
  <c r="FG400" i="4" s="1"/>
  <c r="FH400" i="4"/>
  <c r="FI400" i="4" s="1"/>
  <c r="FL400" i="4"/>
  <c r="FM400" i="4" s="1"/>
  <c r="DQ388" i="4"/>
  <c r="FN388" i="4"/>
  <c r="GM388" i="4" s="1"/>
  <c r="FF380" i="4"/>
  <c r="FG380" i="4" s="1"/>
  <c r="FH380" i="4"/>
  <c r="FI380" i="4" s="1"/>
  <c r="FL380" i="4"/>
  <c r="FM380" i="4" s="1"/>
  <c r="FD380" i="4"/>
  <c r="FE380" i="4" s="1"/>
  <c r="FB380" i="4"/>
  <c r="FC380" i="4" s="1"/>
  <c r="FH376" i="4"/>
  <c r="FI376" i="4" s="1"/>
  <c r="FF376" i="4"/>
  <c r="FG376" i="4" s="1"/>
  <c r="FJ376" i="4"/>
  <c r="FK376" i="4" s="1"/>
  <c r="FB376" i="4"/>
  <c r="FC376" i="4" s="1"/>
  <c r="FD376" i="4"/>
  <c r="FE376" i="4" s="1"/>
  <c r="FP388" i="4"/>
  <c r="Z432" i="4"/>
  <c r="BK432" i="4"/>
  <c r="CF432" i="4"/>
  <c r="DM432" i="4"/>
  <c r="BP432" i="4"/>
  <c r="DV432" i="4"/>
  <c r="CV432" i="4"/>
  <c r="CR432" i="4"/>
  <c r="EA432" i="4"/>
  <c r="DX432" i="4"/>
  <c r="BY432" i="4"/>
  <c r="BT432" i="4"/>
  <c r="DA432" i="4"/>
  <c r="BD432" i="4"/>
  <c r="DT432" i="4"/>
  <c r="BF432" i="4"/>
  <c r="CO432" i="4"/>
  <c r="AR432" i="4"/>
  <c r="CY432" i="4"/>
  <c r="BW432" i="4"/>
  <c r="AD432" i="4"/>
  <c r="BB432" i="4"/>
  <c r="T432" i="4"/>
  <c r="CM432" i="4"/>
  <c r="AU432" i="4"/>
  <c r="DO432" i="4"/>
  <c r="AN432" i="4"/>
  <c r="CA432" i="4"/>
  <c r="AG432" i="4"/>
  <c r="DC432" i="4"/>
  <c r="N432" i="4"/>
  <c r="DJ432" i="4"/>
  <c r="DF432" i="4"/>
  <c r="AP432" i="4"/>
  <c r="EC432" i="4"/>
  <c r="BM432" i="4"/>
  <c r="CT432" i="4"/>
  <c r="DQ432" i="4"/>
  <c r="AY432" i="4"/>
  <c r="CH432" i="4"/>
  <c r="CD432" i="4"/>
  <c r="BI432" i="4"/>
  <c r="X432" i="4"/>
  <c r="R432" i="4"/>
  <c r="BR432" i="4"/>
  <c r="AW432" i="4"/>
  <c r="CK432" i="4"/>
  <c r="DH432" i="4"/>
  <c r="EE432" i="4"/>
  <c r="AB432" i="4"/>
  <c r="FF351" i="4"/>
  <c r="FG351" i="4" s="1"/>
  <c r="FH351" i="4"/>
  <c r="FI351" i="4" s="1"/>
  <c r="FL351" i="4"/>
  <c r="FM351" i="4" s="1"/>
  <c r="FF352" i="4"/>
  <c r="FG352" i="4" s="1"/>
  <c r="FJ352" i="4"/>
  <c r="FK352" i="4" s="1"/>
  <c r="FL352" i="4"/>
  <c r="FM352" i="4" s="1"/>
  <c r="FF145" i="4"/>
  <c r="FG145" i="4" s="1"/>
  <c r="FH145" i="4"/>
  <c r="FI145" i="4" s="1"/>
  <c r="FJ145" i="4"/>
  <c r="FK145" i="4" s="1"/>
  <c r="FF203" i="4"/>
  <c r="FG203" i="4" s="1"/>
  <c r="FH203" i="4"/>
  <c r="FI203" i="4" s="1"/>
  <c r="FJ203" i="4"/>
  <c r="FK203" i="4" s="1"/>
  <c r="FL203" i="4"/>
  <c r="FM203" i="4" s="1"/>
  <c r="FF333" i="4"/>
  <c r="FG333" i="4" s="1"/>
  <c r="FH333" i="4"/>
  <c r="FI333" i="4" s="1"/>
  <c r="FL333" i="4"/>
  <c r="FM333" i="4" s="1"/>
  <c r="FH294" i="4"/>
  <c r="FI294" i="4" s="1"/>
  <c r="FF294" i="4"/>
  <c r="FG294" i="4" s="1"/>
  <c r="FL294" i="4"/>
  <c r="FM294" i="4" s="1"/>
  <c r="FH295" i="4"/>
  <c r="FI295" i="4" s="1"/>
  <c r="FJ295" i="4"/>
  <c r="FK295" i="4" s="1"/>
  <c r="FL295" i="4"/>
  <c r="FM295" i="4" s="1"/>
  <c r="FF204" i="4"/>
  <c r="FG204" i="4" s="1"/>
  <c r="FJ204" i="4"/>
  <c r="FK204" i="4" s="1"/>
  <c r="FL204" i="4"/>
  <c r="FM204" i="4" s="1"/>
  <c r="FH236" i="4"/>
  <c r="FI236" i="4" s="1"/>
  <c r="FF236" i="4"/>
  <c r="FG236" i="4" s="1"/>
  <c r="FL236" i="4"/>
  <c r="FM236" i="4" s="1"/>
  <c r="FF322" i="4"/>
  <c r="FG322" i="4" s="1"/>
  <c r="FH322" i="4"/>
  <c r="FI322" i="4" s="1"/>
  <c r="FJ322" i="4"/>
  <c r="FK322" i="4" s="1"/>
  <c r="FH103" i="4"/>
  <c r="FI103" i="4" s="1"/>
  <c r="FJ103" i="4"/>
  <c r="FK103" i="4" s="1"/>
  <c r="FL103" i="4"/>
  <c r="FM103" i="4" s="1"/>
  <c r="FF278" i="4"/>
  <c r="FG278" i="4" s="1"/>
  <c r="FH278" i="4"/>
  <c r="FI278" i="4" s="1"/>
  <c r="FJ278" i="4"/>
  <c r="FK278" i="4" s="1"/>
  <c r="FL278" i="4"/>
  <c r="FM278" i="4" s="1"/>
  <c r="FF366" i="4"/>
  <c r="FG366" i="4" s="1"/>
  <c r="FL366" i="4"/>
  <c r="FM366" i="4" s="1"/>
  <c r="FJ366" i="4"/>
  <c r="FK366" i="4" s="1"/>
  <c r="FJ202" i="4"/>
  <c r="FK202" i="4" s="1"/>
  <c r="FF202" i="4"/>
  <c r="FG202" i="4" s="1"/>
  <c r="FH202" i="4"/>
  <c r="FI202" i="4" s="1"/>
  <c r="FL202" i="4"/>
  <c r="FM202" i="4" s="1"/>
  <c r="FH130" i="4"/>
  <c r="FI130" i="4" s="1"/>
  <c r="FJ130" i="4"/>
  <c r="FK130" i="4" s="1"/>
  <c r="FL130" i="4"/>
  <c r="FM130" i="4" s="1"/>
  <c r="FF237" i="4"/>
  <c r="FG237" i="4" s="1"/>
  <c r="FH237" i="4"/>
  <c r="FI237" i="4" s="1"/>
  <c r="FL237" i="4"/>
  <c r="FM237" i="4" s="1"/>
  <c r="FH312" i="4"/>
  <c r="FI312" i="4" s="1"/>
  <c r="FJ312" i="4"/>
  <c r="FK312" i="4" s="1"/>
  <c r="FL312" i="4"/>
  <c r="FM312" i="4" s="1"/>
  <c r="L145" i="4"/>
  <c r="GK145" i="4"/>
  <c r="FD366" i="4"/>
  <c r="FB366" i="4"/>
  <c r="FB352" i="4"/>
  <c r="FD352" i="4"/>
  <c r="FB351" i="4"/>
  <c r="FD351" i="4"/>
  <c r="FE362" i="4"/>
  <c r="DF362" i="4"/>
  <c r="FN362" i="4"/>
  <c r="GM362" i="4" s="1"/>
  <c r="FC362" i="4"/>
  <c r="FP362" i="4"/>
  <c r="FC289" i="4"/>
  <c r="FC144" i="4"/>
  <c r="FE144" i="4"/>
  <c r="FE289" i="4"/>
  <c r="FD312" i="4"/>
  <c r="FB312" i="4"/>
  <c r="L237" i="4"/>
  <c r="GK237" i="4"/>
  <c r="FD322" i="4"/>
  <c r="FB322" i="4"/>
  <c r="FD202" i="4"/>
  <c r="FD333" i="4"/>
  <c r="FB333" i="4"/>
  <c r="FD236" i="4"/>
  <c r="FB236" i="4"/>
  <c r="FD145" i="4"/>
  <c r="FB145" i="4"/>
  <c r="FD295" i="4"/>
  <c r="FB295" i="4"/>
  <c r="FD204" i="4"/>
  <c r="FB204" i="4"/>
  <c r="FD103" i="4"/>
  <c r="FB103" i="4"/>
  <c r="FD203" i="4"/>
  <c r="FB130" i="4"/>
  <c r="FD130" i="4"/>
  <c r="FD237" i="4"/>
  <c r="FB237" i="4"/>
  <c r="FD294" i="4"/>
  <c r="FB294" i="4"/>
  <c r="FD278" i="4"/>
  <c r="GQ362" i="4"/>
  <c r="GO362" i="4"/>
  <c r="GW388" i="4"/>
  <c r="GU388" i="4"/>
  <c r="GW362" i="4"/>
  <c r="GQ388" i="4"/>
  <c r="GU362" i="4"/>
  <c r="GO388" i="4"/>
  <c r="CR388" i="4"/>
  <c r="AY388" i="4"/>
  <c r="Z388" i="4"/>
  <c r="AG388" i="4"/>
  <c r="CK362" i="4"/>
  <c r="AI362" i="4"/>
  <c r="AP362" i="4"/>
  <c r="AW362" i="4"/>
  <c r="Z144" i="4"/>
  <c r="AD144" i="4"/>
  <c r="AK144" i="4"/>
  <c r="AR144" i="4"/>
  <c r="L295" i="4"/>
  <c r="GK295" i="4"/>
  <c r="HG295" i="4" s="1"/>
  <c r="HD295" i="4" s="1"/>
  <c r="AP388" i="4"/>
  <c r="DC388" i="4"/>
  <c r="BB388" i="4"/>
  <c r="BI388" i="4"/>
  <c r="DJ362" i="4"/>
  <c r="BK362" i="4"/>
  <c r="BR362" i="4"/>
  <c r="BY362" i="4"/>
  <c r="BB144" i="4"/>
  <c r="BF144" i="4"/>
  <c r="BM144" i="4"/>
  <c r="BT144" i="4"/>
  <c r="L294" i="4"/>
  <c r="GK294" i="4"/>
  <c r="HG294" i="4" s="1"/>
  <c r="HD294" i="4" s="1"/>
  <c r="CT388" i="4"/>
  <c r="BP388" i="4"/>
  <c r="CD388" i="4"/>
  <c r="CK388" i="4"/>
  <c r="CH362" i="4"/>
  <c r="CM362" i="4"/>
  <c r="CT362" i="4"/>
  <c r="DA362" i="4"/>
  <c r="CD144" i="4"/>
  <c r="CH144" i="4"/>
  <c r="CO144" i="4"/>
  <c r="CV144" i="4"/>
  <c r="AN388" i="4"/>
  <c r="DT388" i="4"/>
  <c r="DF388" i="4"/>
  <c r="DM388" i="4"/>
  <c r="DM362" i="4"/>
  <c r="DO362" i="4"/>
  <c r="DV362" i="4"/>
  <c r="EC362" i="4"/>
  <c r="DF144" i="4"/>
  <c r="DJ144" i="4"/>
  <c r="DQ144" i="4"/>
  <c r="DX144" i="4"/>
  <c r="CA388" i="4"/>
  <c r="BR388" i="4"/>
  <c r="AB388" i="4"/>
  <c r="AI388" i="4"/>
  <c r="AD362" i="4"/>
  <c r="AR362" i="4"/>
  <c r="AY362" i="4"/>
  <c r="AY144" i="4"/>
  <c r="AN144" i="4"/>
  <c r="AU144" i="4"/>
  <c r="EE388" i="4"/>
  <c r="DV388" i="4"/>
  <c r="BD388" i="4"/>
  <c r="BK388" i="4"/>
  <c r="AG362" i="4"/>
  <c r="BM362" i="4"/>
  <c r="BT362" i="4"/>
  <c r="CA362" i="4"/>
  <c r="CA144" i="4"/>
  <c r="BI144" i="4"/>
  <c r="BP144" i="4"/>
  <c r="BW144" i="4"/>
  <c r="AR388" i="4"/>
  <c r="BT388" i="4"/>
  <c r="CF388" i="4"/>
  <c r="CM388" i="4"/>
  <c r="BF362" i="4"/>
  <c r="CO362" i="4"/>
  <c r="CV362" i="4"/>
  <c r="DC362" i="4"/>
  <c r="DC144" i="4"/>
  <c r="CK144" i="4"/>
  <c r="CR144" i="4"/>
  <c r="CY144" i="4"/>
  <c r="CV388" i="4"/>
  <c r="DX388" i="4"/>
  <c r="DH388" i="4"/>
  <c r="DO388" i="4"/>
  <c r="BI362" i="4"/>
  <c r="DQ362" i="4"/>
  <c r="DX362" i="4"/>
  <c r="EE362" i="4"/>
  <c r="EE144" i="4"/>
  <c r="DM144" i="4"/>
  <c r="DT144" i="4"/>
  <c r="EA144" i="4"/>
  <c r="AU388" i="4"/>
  <c r="BW388" i="4"/>
  <c r="AD388" i="4"/>
  <c r="AB362" i="4"/>
  <c r="AN362" i="4"/>
  <c r="AU362" i="4"/>
  <c r="Z362" i="4"/>
  <c r="AB144" i="4"/>
  <c r="AI144" i="4"/>
  <c r="AP144" i="4"/>
  <c r="AW144" i="4"/>
  <c r="CY388" i="4"/>
  <c r="EA388" i="4"/>
  <c r="BF388" i="4"/>
  <c r="BM388" i="4"/>
  <c r="BD362" i="4"/>
  <c r="BP362" i="4"/>
  <c r="BW362" i="4"/>
  <c r="BB362" i="4"/>
  <c r="BD144" i="4"/>
  <c r="BK144" i="4"/>
  <c r="BR144" i="4"/>
  <c r="BY144" i="4"/>
  <c r="AW388" i="4"/>
  <c r="BY388" i="4"/>
  <c r="CH388" i="4"/>
  <c r="CO388" i="4"/>
  <c r="CF362" i="4"/>
  <c r="CR362" i="4"/>
  <c r="CY362" i="4"/>
  <c r="CD362" i="4"/>
  <c r="CF144" i="4"/>
  <c r="CM144" i="4"/>
  <c r="CT144" i="4"/>
  <c r="DA144" i="4"/>
  <c r="DA388" i="4"/>
  <c r="EC388" i="4"/>
  <c r="DJ388" i="4"/>
  <c r="DH362" i="4"/>
  <c r="DT362" i="4"/>
  <c r="EA362" i="4"/>
  <c r="DH144" i="4"/>
  <c r="DO144" i="4"/>
  <c r="DV144" i="4"/>
  <c r="HF29" i="4"/>
  <c r="FN144" i="4"/>
  <c r="FN289" i="4"/>
  <c r="HF30" i="4"/>
  <c r="HF20" i="4"/>
  <c r="HF61" i="4"/>
  <c r="HF31" i="4"/>
  <c r="HF16" i="4"/>
  <c r="GM144" i="4"/>
  <c r="GQ144" i="4"/>
  <c r="HF9" i="4"/>
  <c r="HF34" i="4"/>
  <c r="X144" i="4"/>
  <c r="V144" i="4"/>
  <c r="T362" i="4"/>
  <c r="V362" i="4"/>
  <c r="HF18" i="4"/>
  <c r="T388" i="4"/>
  <c r="V388" i="4"/>
  <c r="HF19" i="4"/>
  <c r="GK289" i="4"/>
  <c r="HG289" i="4" s="1"/>
  <c r="HD289" i="4" s="1"/>
  <c r="L289" i="4"/>
  <c r="HF26" i="4"/>
  <c r="HF23" i="4"/>
  <c r="HF12" i="4"/>
  <c r="HF14" i="4"/>
  <c r="HF39" i="4"/>
  <c r="HF55" i="4"/>
  <c r="HF49" i="4"/>
  <c r="HF32" i="4"/>
  <c r="HF58" i="4"/>
  <c r="HF47" i="4"/>
  <c r="HF25" i="4"/>
  <c r="HF22" i="4"/>
  <c r="HF27" i="4"/>
  <c r="HF8" i="4"/>
  <c r="HF48" i="4"/>
  <c r="HF50" i="4"/>
  <c r="HF57" i="4"/>
  <c r="HF56" i="4"/>
  <c r="HF59" i="4"/>
  <c r="HF60" i="4"/>
  <c r="HF7" i="4"/>
  <c r="L103" i="4"/>
  <c r="HF53" i="4"/>
  <c r="HF10" i="4"/>
  <c r="HF13" i="4"/>
  <c r="GA204" i="4"/>
  <c r="CD204" i="4" s="1"/>
  <c r="GA433" i="4"/>
  <c r="GS144" i="4"/>
  <c r="GW144" i="4"/>
  <c r="GL202" i="4"/>
  <c r="GK202" i="4"/>
  <c r="HF24" i="4"/>
  <c r="HF41" i="4"/>
  <c r="GA312" i="4"/>
  <c r="GA294" i="4"/>
  <c r="GO294" i="4" s="1"/>
  <c r="GA416" i="4"/>
  <c r="EP416" i="4" s="1"/>
  <c r="EQ416" i="4" s="1"/>
  <c r="GA202" i="4"/>
  <c r="CO202" i="4" s="1"/>
  <c r="GA103" i="4"/>
  <c r="X103" i="4" s="1"/>
  <c r="GA400" i="4"/>
  <c r="GA236" i="4"/>
  <c r="AY236" i="4" s="1"/>
  <c r="HF237" i="4"/>
  <c r="HF103" i="4"/>
  <c r="HF204" i="4"/>
  <c r="GL103" i="4"/>
  <c r="L204" i="4"/>
  <c r="GK204" i="4"/>
  <c r="HF203" i="4"/>
  <c r="GL144" i="4"/>
  <c r="L202" i="4"/>
  <c r="HF236" i="4"/>
  <c r="R388" i="4"/>
  <c r="L144" i="4"/>
  <c r="GK203" i="4"/>
  <c r="GL203" i="4"/>
  <c r="P388" i="4"/>
  <c r="HF145" i="4"/>
  <c r="GK236" i="4"/>
  <c r="GL236" i="4"/>
  <c r="GK130" i="4"/>
  <c r="L130" i="4"/>
  <c r="N362" i="4"/>
  <c r="P362" i="4"/>
  <c r="HF202" i="4"/>
  <c r="R144" i="4"/>
  <c r="GA376" i="4"/>
  <c r="N388" i="4"/>
  <c r="GA130" i="4"/>
  <c r="AW130" i="4" s="1"/>
  <c r="GA366" i="4"/>
  <c r="GA145" i="4"/>
  <c r="AP145" i="4" s="1"/>
  <c r="GA380" i="4"/>
  <c r="GA333" i="4"/>
  <c r="GA352" i="4"/>
  <c r="P144" i="4"/>
  <c r="GA351" i="4"/>
  <c r="FN351" i="4" s="1"/>
  <c r="GA237" i="4"/>
  <c r="GQ237" i="4" s="1"/>
  <c r="GA402" i="4"/>
  <c r="EZ402" i="4" s="1"/>
  <c r="GA322" i="4"/>
  <c r="GA203" i="4"/>
  <c r="GM203" i="4" s="1"/>
  <c r="GA295" i="4"/>
  <c r="GW295" i="4" s="1"/>
  <c r="GA278" i="4"/>
  <c r="AI278" i="4" s="1"/>
  <c r="GJ268" i="4"/>
  <c r="A315" i="5"/>
  <c r="A311" i="5"/>
  <c r="A306" i="5"/>
  <c r="HH278" i="4" l="1"/>
  <c r="FN333" i="4"/>
  <c r="HH333" i="4"/>
  <c r="M204" i="4"/>
  <c r="HH204" i="4"/>
  <c r="FN366" i="4"/>
  <c r="HH366" i="4"/>
  <c r="M237" i="4"/>
  <c r="HH237" i="4"/>
  <c r="HH236" i="4"/>
  <c r="FN312" i="4"/>
  <c r="GO312" i="4" s="1"/>
  <c r="HH312" i="4"/>
  <c r="M294" i="4"/>
  <c r="HH294" i="4"/>
  <c r="M103" i="4"/>
  <c r="HH103" i="4"/>
  <c r="HH203" i="4"/>
  <c r="M295" i="4"/>
  <c r="HH295" i="4"/>
  <c r="GQ322" i="4"/>
  <c r="HH322" i="4"/>
  <c r="M144" i="4"/>
  <c r="HH144" i="4"/>
  <c r="HH416" i="4"/>
  <c r="FN380" i="4"/>
  <c r="HH380" i="4"/>
  <c r="FN376" i="4"/>
  <c r="HH376" i="4"/>
  <c r="EN400" i="4"/>
  <c r="HH400" i="4"/>
  <c r="FN433" i="4"/>
  <c r="HH433" i="4"/>
  <c r="HA432" i="4"/>
  <c r="HH351" i="4"/>
  <c r="M202" i="4"/>
  <c r="HH202" i="4"/>
  <c r="M145" i="4"/>
  <c r="HH145" i="4"/>
  <c r="HH402" i="4"/>
  <c r="FN352" i="4"/>
  <c r="HH352" i="4"/>
  <c r="M130" i="4"/>
  <c r="HH130" i="4"/>
  <c r="M289" i="4"/>
  <c r="HH289" i="4"/>
  <c r="HA362" i="4"/>
  <c r="EZ333" i="4"/>
  <c r="FA333" i="4" s="1"/>
  <c r="EV237" i="4"/>
  <c r="EW237" i="4" s="1"/>
  <c r="EZ416" i="4"/>
  <c r="FA416" i="4" s="1"/>
  <c r="EZ236" i="4"/>
  <c r="FA236" i="4" s="1"/>
  <c r="EZ204" i="4"/>
  <c r="FA204" i="4" s="1"/>
  <c r="EV333" i="4"/>
  <c r="EW333" i="4" s="1"/>
  <c r="EX204" i="4"/>
  <c r="EY204" i="4" s="1"/>
  <c r="EV380" i="4"/>
  <c r="EW380" i="4" s="1"/>
  <c r="EV278" i="4"/>
  <c r="EW278" i="4" s="1"/>
  <c r="EX203" i="4"/>
  <c r="EY203" i="4" s="1"/>
  <c r="EV294" i="4"/>
  <c r="EW294" i="4" s="1"/>
  <c r="EZ130" i="4"/>
  <c r="FA130" i="4" s="1"/>
  <c r="EZ380" i="4"/>
  <c r="FA380" i="4" s="1"/>
  <c r="EX278" i="4"/>
  <c r="EY278" i="4" s="1"/>
  <c r="AI432" i="4"/>
  <c r="EV203" i="4"/>
  <c r="EW203" i="4" s="1"/>
  <c r="EZ294" i="4"/>
  <c r="FA294" i="4" s="1"/>
  <c r="EX130" i="4"/>
  <c r="EY130" i="4" s="1"/>
  <c r="EZ278" i="4"/>
  <c r="FA278" i="4" s="1"/>
  <c r="EV202" i="4"/>
  <c r="EW202" i="4" s="1"/>
  <c r="EV400" i="4"/>
  <c r="EW400" i="4" s="1"/>
  <c r="EV433" i="4"/>
  <c r="EW433" i="4" s="1"/>
  <c r="EX295" i="4"/>
  <c r="EY295" i="4" s="1"/>
  <c r="EV351" i="4"/>
  <c r="EW351" i="4" s="1"/>
  <c r="EZ103" i="4"/>
  <c r="FA103" i="4" s="1"/>
  <c r="EZ295" i="4"/>
  <c r="FA295" i="4" s="1"/>
  <c r="EX202" i="4"/>
  <c r="EY202" i="4" s="1"/>
  <c r="EZ351" i="4"/>
  <c r="FA351" i="4" s="1"/>
  <c r="EZ400" i="4"/>
  <c r="FA400" i="4" s="1"/>
  <c r="EX103" i="4"/>
  <c r="EY103" i="4" s="1"/>
  <c r="EX433" i="4"/>
  <c r="EY433" i="4" s="1"/>
  <c r="EV322" i="4"/>
  <c r="EW322" i="4" s="1"/>
  <c r="EX352" i="4"/>
  <c r="EY352" i="4" s="1"/>
  <c r="EV376" i="4"/>
  <c r="EW376" i="4" s="1"/>
  <c r="EZ145" i="4"/>
  <c r="FA145" i="4" s="1"/>
  <c r="EZ322" i="4"/>
  <c r="FA322" i="4" s="1"/>
  <c r="EX312" i="4"/>
  <c r="EY312" i="4" s="1"/>
  <c r="EZ366" i="4"/>
  <c r="FA366" i="4" s="1"/>
  <c r="EZ376" i="4"/>
  <c r="FA376" i="4" s="1"/>
  <c r="FA402" i="4"/>
  <c r="EZ312" i="4"/>
  <c r="FA312" i="4" s="1"/>
  <c r="EZ352" i="4"/>
  <c r="FA352" i="4" s="1"/>
  <c r="EV145" i="4"/>
  <c r="EW145" i="4" s="1"/>
  <c r="EZ237" i="4"/>
  <c r="FA237" i="4" s="1"/>
  <c r="EV416" i="4"/>
  <c r="EW416" i="4" s="1"/>
  <c r="EV236" i="4"/>
  <c r="EW236" i="4" s="1"/>
  <c r="EV402" i="4"/>
  <c r="EW402" i="4" s="1"/>
  <c r="EX366" i="4"/>
  <c r="EY366" i="4" s="1"/>
  <c r="ER203" i="4"/>
  <c r="ES203" i="4" s="1"/>
  <c r="ER376" i="4"/>
  <c r="ES376" i="4" s="1"/>
  <c r="ER103" i="4"/>
  <c r="ES103" i="4" s="1"/>
  <c r="ER130" i="4"/>
  <c r="ES130" i="4" s="1"/>
  <c r="ER295" i="4"/>
  <c r="ES295" i="4" s="1"/>
  <c r="ER202" i="4"/>
  <c r="ES202" i="4" s="1"/>
  <c r="ER145" i="4"/>
  <c r="ES145" i="4" s="1"/>
  <c r="ER322" i="4"/>
  <c r="ES322" i="4" s="1"/>
  <c r="ER294" i="4"/>
  <c r="ES294" i="4" s="1"/>
  <c r="ER236" i="4"/>
  <c r="ES236" i="4" s="1"/>
  <c r="ER352" i="4"/>
  <c r="ES352" i="4" s="1"/>
  <c r="ER333" i="4"/>
  <c r="ES333" i="4" s="1"/>
  <c r="ER237" i="4"/>
  <c r="ES237" i="4" s="1"/>
  <c r="ER402" i="4"/>
  <c r="ES402" i="4" s="1"/>
  <c r="ER366" i="4"/>
  <c r="ES366" i="4" s="1"/>
  <c r="ER433" i="4"/>
  <c r="ES433" i="4" s="1"/>
  <c r="ER416" i="4"/>
  <c r="ES416" i="4" s="1"/>
  <c r="ER400" i="4"/>
  <c r="ES400" i="4" s="1"/>
  <c r="ER204" i="4"/>
  <c r="ES204" i="4" s="1"/>
  <c r="ER312" i="4"/>
  <c r="ES312" i="4" s="1"/>
  <c r="ER380" i="4"/>
  <c r="ES380" i="4" s="1"/>
  <c r="ER351" i="4"/>
  <c r="ES351" i="4" s="1"/>
  <c r="EP278" i="4"/>
  <c r="EQ278" i="4" s="1"/>
  <c r="EP130" i="4"/>
  <c r="EQ130" i="4" s="1"/>
  <c r="EN416" i="4"/>
  <c r="EO416" i="4" s="1"/>
  <c r="EP204" i="4"/>
  <c r="EQ204" i="4" s="1"/>
  <c r="EP333" i="4"/>
  <c r="EQ333" i="4" s="1"/>
  <c r="EN295" i="4"/>
  <c r="EO295" i="4" s="1"/>
  <c r="EP380" i="4"/>
  <c r="EQ380" i="4" s="1"/>
  <c r="EN204" i="4"/>
  <c r="EO204" i="4" s="1"/>
  <c r="EN333" i="4"/>
  <c r="EO333" i="4" s="1"/>
  <c r="EN351" i="4"/>
  <c r="EO351" i="4" s="1"/>
  <c r="EP295" i="4"/>
  <c r="EQ295" i="4" s="1"/>
  <c r="EN202" i="4"/>
  <c r="EO202" i="4" s="1"/>
  <c r="EN380" i="4"/>
  <c r="EO380" i="4" s="1"/>
  <c r="EN312" i="4"/>
  <c r="EO312" i="4" s="1"/>
  <c r="EP351" i="4"/>
  <c r="EQ351" i="4" s="1"/>
  <c r="EP202" i="4"/>
  <c r="EQ202" i="4" s="1"/>
  <c r="EP312" i="4"/>
  <c r="EQ312" i="4" s="1"/>
  <c r="EP203" i="4"/>
  <c r="EQ203" i="4" s="1"/>
  <c r="EN352" i="4"/>
  <c r="EO352" i="4" s="1"/>
  <c r="EN366" i="4"/>
  <c r="EO366" i="4" s="1"/>
  <c r="EN203" i="4"/>
  <c r="EO203" i="4" s="1"/>
  <c r="EP237" i="4"/>
  <c r="EQ237" i="4" s="1"/>
  <c r="EN322" i="4"/>
  <c r="EO322" i="4" s="1"/>
  <c r="EP352" i="4"/>
  <c r="EQ352" i="4" s="1"/>
  <c r="EP366" i="4"/>
  <c r="EQ366" i="4" s="1"/>
  <c r="EN237" i="4"/>
  <c r="EO237" i="4" s="1"/>
  <c r="EN294" i="4"/>
  <c r="EO294" i="4" s="1"/>
  <c r="EN236" i="4"/>
  <c r="EO236" i="4" s="1"/>
  <c r="EN103" i="4"/>
  <c r="EO103" i="4" s="1"/>
  <c r="EP294" i="4"/>
  <c r="EQ294" i="4" s="1"/>
  <c r="EN402" i="4"/>
  <c r="EO402" i="4" s="1"/>
  <c r="EP376" i="4"/>
  <c r="EQ376" i="4" s="1"/>
  <c r="EP236" i="4"/>
  <c r="EQ236" i="4" s="1"/>
  <c r="EP103" i="4"/>
  <c r="EQ103" i="4" s="1"/>
  <c r="EP402" i="4"/>
  <c r="EQ402" i="4" s="1"/>
  <c r="EN376" i="4"/>
  <c r="EO376" i="4" s="1"/>
  <c r="EN433" i="4"/>
  <c r="EO433" i="4" s="1"/>
  <c r="EP400" i="4"/>
  <c r="EQ400" i="4" s="1"/>
  <c r="EN145" i="4"/>
  <c r="EO145" i="4" s="1"/>
  <c r="EP433" i="4"/>
  <c r="EQ433" i="4" s="1"/>
  <c r="EN278" i="4"/>
  <c r="EO278" i="4" s="1"/>
  <c r="EN130" i="4"/>
  <c r="EO130" i="4" s="1"/>
  <c r="EP145" i="4"/>
  <c r="EQ145" i="4" s="1"/>
  <c r="EO400" i="4"/>
  <c r="R362" i="4"/>
  <c r="AK388" i="4"/>
  <c r="ET388" i="4"/>
  <c r="EX388" i="4" s="1"/>
  <c r="AK362" i="4"/>
  <c r="ET362" i="4"/>
  <c r="EX362" i="4" s="1"/>
  <c r="FB432" i="4"/>
  <c r="ET432" i="4"/>
  <c r="EZ432" i="4" s="1"/>
  <c r="P432" i="4"/>
  <c r="DQ433" i="4"/>
  <c r="FP433" i="4"/>
  <c r="EH433" i="4"/>
  <c r="X388" i="4"/>
  <c r="DH416" i="4"/>
  <c r="FN416" i="4"/>
  <c r="GM416" i="4" s="1"/>
  <c r="FP416" i="4"/>
  <c r="EH416" i="4"/>
  <c r="GO433" i="4"/>
  <c r="GQ433" i="4"/>
  <c r="GS433" i="4"/>
  <c r="GU433" i="4"/>
  <c r="GM433" i="4"/>
  <c r="EA402" i="4"/>
  <c r="FN402" i="4"/>
  <c r="GM402" i="4" s="1"/>
  <c r="FP402" i="4"/>
  <c r="X402" i="4" s="1"/>
  <c r="EH402" i="4"/>
  <c r="FN400" i="4"/>
  <c r="GM400" i="4" s="1"/>
  <c r="EH400" i="4"/>
  <c r="FP400" i="4"/>
  <c r="X400" i="4" s="1"/>
  <c r="FL388" i="4"/>
  <c r="DX380" i="4"/>
  <c r="EH380" i="4"/>
  <c r="FP380" i="4"/>
  <c r="DV402" i="4"/>
  <c r="CY433" i="4"/>
  <c r="GO416" i="4"/>
  <c r="EC400" i="4"/>
  <c r="BD416" i="4"/>
  <c r="CV402" i="4"/>
  <c r="CM433" i="4"/>
  <c r="GW416" i="4"/>
  <c r="BR400" i="4"/>
  <c r="AR416" i="4"/>
  <c r="AN402" i="4"/>
  <c r="BF400" i="4"/>
  <c r="AN416" i="4"/>
  <c r="N402" i="4"/>
  <c r="BW433" i="4"/>
  <c r="GU416" i="4"/>
  <c r="CY400" i="4"/>
  <c r="AB416" i="4"/>
  <c r="EC402" i="4"/>
  <c r="AW433" i="4"/>
  <c r="CM400" i="4"/>
  <c r="DC402" i="4"/>
  <c r="AK433" i="4"/>
  <c r="GO400" i="4"/>
  <c r="DT400" i="4"/>
  <c r="AU402" i="4"/>
  <c r="GQ400" i="4"/>
  <c r="GQ402" i="4"/>
  <c r="DH400" i="4"/>
  <c r="CH433" i="4"/>
  <c r="GW400" i="4"/>
  <c r="CH400" i="4"/>
  <c r="CH416" i="4"/>
  <c r="AU433" i="4"/>
  <c r="GU400" i="4"/>
  <c r="GO402" i="4"/>
  <c r="Z400" i="4"/>
  <c r="AP416" i="4"/>
  <c r="Z416" i="4"/>
  <c r="DA402" i="4"/>
  <c r="CD433" i="4"/>
  <c r="GQ416" i="4"/>
  <c r="GW402" i="4"/>
  <c r="BT416" i="4"/>
  <c r="CA402" i="4"/>
  <c r="BR433" i="4"/>
  <c r="GU402" i="4"/>
  <c r="DQ400" i="4"/>
  <c r="CD400" i="4"/>
  <c r="T400" i="4"/>
  <c r="BM400" i="4"/>
  <c r="CT400" i="4"/>
  <c r="CT416" i="4"/>
  <c r="CF416" i="4"/>
  <c r="BP416" i="4"/>
  <c r="CV416" i="4"/>
  <c r="CM402" i="4"/>
  <c r="DH402" i="4"/>
  <c r="Z402" i="4"/>
  <c r="DO402" i="4"/>
  <c r="AG433" i="4"/>
  <c r="DO433" i="4"/>
  <c r="Z433" i="4"/>
  <c r="BI433" i="4"/>
  <c r="CR400" i="4"/>
  <c r="V400" i="4"/>
  <c r="CA400" i="4"/>
  <c r="CV400" i="4"/>
  <c r="N400" i="4"/>
  <c r="DO416" i="4"/>
  <c r="DV416" i="4"/>
  <c r="CD416" i="4"/>
  <c r="T416" i="4"/>
  <c r="P416" i="4"/>
  <c r="DM402" i="4"/>
  <c r="DJ402" i="4"/>
  <c r="AB402" i="4"/>
  <c r="DQ402" i="4"/>
  <c r="AI402" i="4"/>
  <c r="EE433" i="4"/>
  <c r="AB433" i="4"/>
  <c r="CA433" i="4"/>
  <c r="BK433" i="4"/>
  <c r="CF400" i="4"/>
  <c r="DM400" i="4"/>
  <c r="DV400" i="4"/>
  <c r="AN400" i="4"/>
  <c r="DC416" i="4"/>
  <c r="DF416" i="4"/>
  <c r="BR416" i="4"/>
  <c r="CY416" i="4"/>
  <c r="EE416" i="4"/>
  <c r="AG402" i="4"/>
  <c r="BB402" i="4"/>
  <c r="P402" i="4"/>
  <c r="BI402" i="4"/>
  <c r="CD402" i="4"/>
  <c r="AR433" i="4"/>
  <c r="DA433" i="4"/>
  <c r="X433" i="4"/>
  <c r="DV433" i="4"/>
  <c r="BT400" i="4"/>
  <c r="DA400" i="4"/>
  <c r="DJ400" i="4"/>
  <c r="AB400" i="4"/>
  <c r="AI416" i="4"/>
  <c r="BB416" i="4"/>
  <c r="BF416" i="4"/>
  <c r="CM416" i="4"/>
  <c r="BW416" i="4"/>
  <c r="CO402" i="4"/>
  <c r="AP402" i="4"/>
  <c r="EE402" i="4"/>
  <c r="AW402" i="4"/>
  <c r="BR402" i="4"/>
  <c r="CT433" i="4"/>
  <c r="CO433" i="4"/>
  <c r="DX433" i="4"/>
  <c r="DJ433" i="4"/>
  <c r="CO400" i="4"/>
  <c r="BB400" i="4"/>
  <c r="P400" i="4"/>
  <c r="EC416" i="4"/>
  <c r="V416" i="4"/>
  <c r="CA416" i="4"/>
  <c r="BK416" i="4"/>
  <c r="DX402" i="4"/>
  <c r="AD402" i="4"/>
  <c r="BW402" i="4"/>
  <c r="BF402" i="4"/>
  <c r="BF433" i="4"/>
  <c r="BD433" i="4"/>
  <c r="CK433" i="4"/>
  <c r="BB433" i="4"/>
  <c r="EA400" i="4"/>
  <c r="AG400" i="4"/>
  <c r="AP400" i="4"/>
  <c r="EE400" i="4"/>
  <c r="AU416" i="4"/>
  <c r="DQ416" i="4"/>
  <c r="DM416" i="4"/>
  <c r="CK416" i="4"/>
  <c r="AY416" i="4"/>
  <c r="BP402" i="4"/>
  <c r="BK402" i="4"/>
  <c r="CR402" i="4"/>
  <c r="V402" i="4"/>
  <c r="N433" i="4"/>
  <c r="BY433" i="4"/>
  <c r="AP433" i="4"/>
  <c r="DO400" i="4"/>
  <c r="DX400" i="4"/>
  <c r="AD400" i="4"/>
  <c r="BW400" i="4"/>
  <c r="N416" i="4"/>
  <c r="BI416" i="4"/>
  <c r="DA416" i="4"/>
  <c r="BY416" i="4"/>
  <c r="BD402" i="4"/>
  <c r="CK402" i="4"/>
  <c r="AY402" i="4"/>
  <c r="CF402" i="4"/>
  <c r="DF433" i="4"/>
  <c r="T433" i="4"/>
  <c r="EA433" i="4"/>
  <c r="BM433" i="4"/>
  <c r="AD433" i="4"/>
  <c r="DC400" i="4"/>
  <c r="BP400" i="4"/>
  <c r="BK400" i="4"/>
  <c r="AD416" i="4"/>
  <c r="AW416" i="4"/>
  <c r="CO416" i="4"/>
  <c r="BM416" i="4"/>
  <c r="AR402" i="4"/>
  <c r="BY402" i="4"/>
  <c r="DF402" i="4"/>
  <c r="BT402" i="4"/>
  <c r="CR433" i="4"/>
  <c r="DM433" i="4"/>
  <c r="AY433" i="4"/>
  <c r="R433" i="4"/>
  <c r="AW400" i="4"/>
  <c r="AU400" i="4"/>
  <c r="BD400" i="4"/>
  <c r="CK400" i="4"/>
  <c r="AY400" i="4"/>
  <c r="EA416" i="4"/>
  <c r="AG416" i="4"/>
  <c r="DT416" i="4"/>
  <c r="T402" i="4"/>
  <c r="BM402" i="4"/>
  <c r="CT402" i="4"/>
  <c r="DT433" i="4"/>
  <c r="CF433" i="4"/>
  <c r="BP433" i="4"/>
  <c r="DH433" i="4"/>
  <c r="EC433" i="4"/>
  <c r="BI400" i="4"/>
  <c r="AI400" i="4"/>
  <c r="AR400" i="4"/>
  <c r="BY400" i="4"/>
  <c r="DF400" i="4"/>
  <c r="DJ416" i="4"/>
  <c r="CR416" i="4"/>
  <c r="DX416" i="4"/>
  <c r="CY402" i="4"/>
  <c r="DT402" i="4"/>
  <c r="CH402" i="4"/>
  <c r="DC433" i="4"/>
  <c r="BT433" i="4"/>
  <c r="AN433" i="4"/>
  <c r="CV433" i="4"/>
  <c r="FJ362" i="4"/>
  <c r="DX376" i="4"/>
  <c r="EH376" i="4"/>
  <c r="FP376" i="4"/>
  <c r="X362" i="4"/>
  <c r="FC366" i="4"/>
  <c r="FE366" i="4"/>
  <c r="FC351" i="4"/>
  <c r="FE352" i="4"/>
  <c r="FE351" i="4"/>
  <c r="FC352" i="4"/>
  <c r="AY366" i="4"/>
  <c r="FP366" i="4"/>
  <c r="EH366" i="4"/>
  <c r="GO352" i="4"/>
  <c r="EH352" i="4"/>
  <c r="FP352" i="4"/>
  <c r="CF351" i="4"/>
  <c r="FP351" i="4"/>
  <c r="EH351" i="4"/>
  <c r="FE103" i="4"/>
  <c r="FE333" i="4"/>
  <c r="FE278" i="4"/>
  <c r="FC204" i="4"/>
  <c r="FE202" i="4"/>
  <c r="FC294" i="4"/>
  <c r="FE204" i="4"/>
  <c r="FC322" i="4"/>
  <c r="FE294" i="4"/>
  <c r="FC295" i="4"/>
  <c r="FE322" i="4"/>
  <c r="FC237" i="4"/>
  <c r="FE295" i="4"/>
  <c r="FE237" i="4"/>
  <c r="FC145" i="4"/>
  <c r="FE130" i="4"/>
  <c r="FE145" i="4"/>
  <c r="FC312" i="4"/>
  <c r="FC130" i="4"/>
  <c r="FC236" i="4"/>
  <c r="FE312" i="4"/>
  <c r="FE203" i="4"/>
  <c r="FE236" i="4"/>
  <c r="GM289" i="4"/>
  <c r="GO144" i="4"/>
  <c r="FC103" i="4"/>
  <c r="FC333" i="4"/>
  <c r="GO237" i="4"/>
  <c r="GO351" i="4"/>
  <c r="GO322" i="4"/>
  <c r="GW333" i="4"/>
  <c r="N236" i="4"/>
  <c r="GM204" i="4"/>
  <c r="GS295" i="4"/>
  <c r="GU333" i="4"/>
  <c r="GM351" i="4"/>
  <c r="GO202" i="4"/>
  <c r="GW380" i="4"/>
  <c r="GM202" i="4"/>
  <c r="GU203" i="4"/>
  <c r="GU278" i="4"/>
  <c r="GM380" i="4"/>
  <c r="GS203" i="4"/>
  <c r="GS278" i="4"/>
  <c r="GM366" i="4"/>
  <c r="GU380" i="4"/>
  <c r="GU202" i="4"/>
  <c r="GW312" i="4"/>
  <c r="GM376" i="4"/>
  <c r="GW366" i="4"/>
  <c r="GQ236" i="4"/>
  <c r="GS202" i="4"/>
  <c r="GO203" i="4"/>
  <c r="GW376" i="4"/>
  <c r="GM352" i="4"/>
  <c r="GO278" i="4"/>
  <c r="GW294" i="4"/>
  <c r="GQ380" i="4"/>
  <c r="GW204" i="4"/>
  <c r="GO236" i="4"/>
  <c r="GS312" i="4"/>
  <c r="GW352" i="4"/>
  <c r="GU376" i="4"/>
  <c r="GW322" i="4"/>
  <c r="GM278" i="4"/>
  <c r="GS366" i="4"/>
  <c r="GU294" i="4"/>
  <c r="GO380" i="4"/>
  <c r="GW237" i="4"/>
  <c r="GM333" i="4"/>
  <c r="GW351" i="4"/>
  <c r="GQ312" i="4"/>
  <c r="GU322" i="4"/>
  <c r="GQ366" i="4"/>
  <c r="GM295" i="4"/>
  <c r="GS204" i="4"/>
  <c r="GU237" i="4"/>
  <c r="GW236" i="4"/>
  <c r="GU351" i="4"/>
  <c r="GS352" i="4"/>
  <c r="GQ376" i="4"/>
  <c r="GO366" i="4"/>
  <c r="GQ294" i="4"/>
  <c r="GQ295" i="4"/>
  <c r="GQ204" i="4"/>
  <c r="GU236" i="4"/>
  <c r="GO333" i="4"/>
  <c r="GM312" i="4"/>
  <c r="GQ352" i="4"/>
  <c r="GO376" i="4"/>
  <c r="GQ333" i="4"/>
  <c r="GQ351" i="4"/>
  <c r="DF295" i="4"/>
  <c r="FN295" i="4"/>
  <c r="V294" i="4"/>
  <c r="FN294" i="4"/>
  <c r="CH333" i="4"/>
  <c r="EH333" i="4"/>
  <c r="FP333" i="4"/>
  <c r="EC322" i="4"/>
  <c r="FN322" i="4"/>
  <c r="EH322" i="4"/>
  <c r="FP322" i="4"/>
  <c r="EL322" i="4" s="1"/>
  <c r="EP322" i="4" s="1"/>
  <c r="EH312" i="4"/>
  <c r="FP312" i="4"/>
  <c r="X203" i="4"/>
  <c r="EC203" i="4"/>
  <c r="DV203" i="4"/>
  <c r="DO203" i="4"/>
  <c r="BF203" i="4"/>
  <c r="DA203" i="4"/>
  <c r="CT203" i="4"/>
  <c r="CM203" i="4"/>
  <c r="BD203" i="4"/>
  <c r="BY203" i="4"/>
  <c r="BR203" i="4"/>
  <c r="BK203" i="4"/>
  <c r="AD203" i="4"/>
  <c r="AW203" i="4"/>
  <c r="AP203" i="4"/>
  <c r="AG203" i="4"/>
  <c r="DF203" i="4"/>
  <c r="EA203" i="4"/>
  <c r="DT203" i="4"/>
  <c r="AB203" i="4"/>
  <c r="CD203" i="4"/>
  <c r="CY203" i="4"/>
  <c r="CR203" i="4"/>
  <c r="DM203" i="4"/>
  <c r="BB203" i="4"/>
  <c r="BW203" i="4"/>
  <c r="BP203" i="4"/>
  <c r="DJ203" i="4"/>
  <c r="EE203" i="4"/>
  <c r="DX203" i="4"/>
  <c r="DQ203" i="4"/>
  <c r="CK203" i="4"/>
  <c r="DC203" i="4"/>
  <c r="CV203" i="4"/>
  <c r="CO203" i="4"/>
  <c r="CH203" i="4"/>
  <c r="CA203" i="4"/>
  <c r="BT203" i="4"/>
  <c r="BM203" i="4"/>
  <c r="CF203" i="4"/>
  <c r="EC352" i="4"/>
  <c r="AB352" i="4"/>
  <c r="AU352" i="4"/>
  <c r="DM352" i="4"/>
  <c r="DA352" i="4"/>
  <c r="EA352" i="4"/>
  <c r="DQ352" i="4"/>
  <c r="BT352" i="4"/>
  <c r="BY352" i="4"/>
  <c r="CR352" i="4"/>
  <c r="CH352" i="4"/>
  <c r="DJ352" i="4"/>
  <c r="AW352" i="4"/>
  <c r="BI352" i="4"/>
  <c r="AR352" i="4"/>
  <c r="BW352" i="4"/>
  <c r="DF352" i="4"/>
  <c r="CY352" i="4"/>
  <c r="DX352" i="4"/>
  <c r="DO352" i="4"/>
  <c r="CD352" i="4"/>
  <c r="BP352" i="4"/>
  <c r="CO352" i="4"/>
  <c r="CF352" i="4"/>
  <c r="BB352" i="4"/>
  <c r="AG352" i="4"/>
  <c r="BF352" i="4"/>
  <c r="AP352" i="4"/>
  <c r="DC352" i="4"/>
  <c r="AD352" i="4"/>
  <c r="BD352" i="4"/>
  <c r="AI352" i="4"/>
  <c r="CA352" i="4"/>
  <c r="CT352" i="4"/>
  <c r="DT352" i="4"/>
  <c r="AN352" i="4"/>
  <c r="BM103" i="4"/>
  <c r="AP103" i="4"/>
  <c r="AW103" i="4"/>
  <c r="AB103" i="4"/>
  <c r="DT295" i="4"/>
  <c r="AK295" i="4"/>
  <c r="AW295" i="4"/>
  <c r="AB295" i="4"/>
  <c r="BB376" i="4"/>
  <c r="AY376" i="4"/>
  <c r="AN376" i="4"/>
  <c r="AU376" i="4"/>
  <c r="CH322" i="4"/>
  <c r="AR322" i="4"/>
  <c r="AY322" i="4"/>
  <c r="AB380" i="4"/>
  <c r="BF380" i="4"/>
  <c r="AN380" i="4"/>
  <c r="AU380" i="4"/>
  <c r="CR294" i="4"/>
  <c r="AW294" i="4"/>
  <c r="AB294" i="4"/>
  <c r="CK204" i="4"/>
  <c r="AN204" i="4"/>
  <c r="BW204" i="4"/>
  <c r="BI202" i="4"/>
  <c r="CV202" i="4"/>
  <c r="AR278" i="4"/>
  <c r="DV352" i="4"/>
  <c r="BK351" i="4"/>
  <c r="Z203" i="4"/>
  <c r="DF333" i="4"/>
  <c r="DJ236" i="4"/>
  <c r="DF312" i="4"/>
  <c r="EA312" i="4"/>
  <c r="DT312" i="4"/>
  <c r="BI312" i="4"/>
  <c r="CD312" i="4"/>
  <c r="CY312" i="4"/>
  <c r="CR312" i="4"/>
  <c r="BF312" i="4"/>
  <c r="BB312" i="4"/>
  <c r="BW312" i="4"/>
  <c r="BP312" i="4"/>
  <c r="AK312" i="4"/>
  <c r="Z312" i="4"/>
  <c r="AU312" i="4"/>
  <c r="AN312" i="4"/>
  <c r="EE312" i="4"/>
  <c r="DX312" i="4"/>
  <c r="DO312" i="4"/>
  <c r="AD312" i="4"/>
  <c r="DC312" i="4"/>
  <c r="CV312" i="4"/>
  <c r="CM312" i="4"/>
  <c r="DQ312" i="4"/>
  <c r="CA312" i="4"/>
  <c r="BT312" i="4"/>
  <c r="BK312" i="4"/>
  <c r="DM312" i="4"/>
  <c r="AY312" i="4"/>
  <c r="AR312" i="4"/>
  <c r="AI312" i="4"/>
  <c r="CO312" i="4"/>
  <c r="EC312" i="4"/>
  <c r="DV312" i="4"/>
  <c r="DH312" i="4"/>
  <c r="CK312" i="4"/>
  <c r="DA312" i="4"/>
  <c r="CT312" i="4"/>
  <c r="CF312" i="4"/>
  <c r="DJ312" i="4"/>
  <c r="BY312" i="4"/>
  <c r="BR312" i="4"/>
  <c r="BD312" i="4"/>
  <c r="CH312" i="4"/>
  <c r="X204" i="4"/>
  <c r="DF204" i="4"/>
  <c r="EA204" i="4"/>
  <c r="DT204" i="4"/>
  <c r="AB204" i="4"/>
  <c r="CM103" i="4"/>
  <c r="BR103" i="4"/>
  <c r="BY103" i="4"/>
  <c r="BD103" i="4"/>
  <c r="BI295" i="4"/>
  <c r="BM295" i="4"/>
  <c r="BY295" i="4"/>
  <c r="BD295" i="4"/>
  <c r="BD376" i="4"/>
  <c r="CA376" i="4"/>
  <c r="BP376" i="4"/>
  <c r="BW376" i="4"/>
  <c r="CK322" i="4"/>
  <c r="BM322" i="4"/>
  <c r="BT322" i="4"/>
  <c r="CA322" i="4"/>
  <c r="CK380" i="4"/>
  <c r="EE380" i="4"/>
  <c r="BP380" i="4"/>
  <c r="BW380" i="4"/>
  <c r="CT294" i="4"/>
  <c r="BM294" i="4"/>
  <c r="BY294" i="4"/>
  <c r="BD294" i="4"/>
  <c r="DH204" i="4"/>
  <c r="BP204" i="4"/>
  <c r="CY204" i="4"/>
  <c r="CF202" i="4"/>
  <c r="DX202" i="4"/>
  <c r="AW278" i="4"/>
  <c r="BK352" i="4"/>
  <c r="BP351" i="4"/>
  <c r="AI130" i="4"/>
  <c r="AY145" i="4"/>
  <c r="BT333" i="4"/>
  <c r="BM333" i="4"/>
  <c r="BF333" i="4"/>
  <c r="AB333" i="4"/>
  <c r="AR333" i="4"/>
  <c r="AD333" i="4"/>
  <c r="Z333" i="4"/>
  <c r="EC333" i="4"/>
  <c r="DV333" i="4"/>
  <c r="DO333" i="4"/>
  <c r="EE333" i="4"/>
  <c r="DA333" i="4"/>
  <c r="CT333" i="4"/>
  <c r="CM333" i="4"/>
  <c r="DC333" i="4"/>
  <c r="BY333" i="4"/>
  <c r="BR333" i="4"/>
  <c r="BK333" i="4"/>
  <c r="CA333" i="4"/>
  <c r="AW333" i="4"/>
  <c r="AP333" i="4"/>
  <c r="AI333" i="4"/>
  <c r="AY333" i="4"/>
  <c r="EA333" i="4"/>
  <c r="DT333" i="4"/>
  <c r="DM333" i="4"/>
  <c r="DH333" i="4"/>
  <c r="CY333" i="4"/>
  <c r="BW333" i="4"/>
  <c r="BP333" i="4"/>
  <c r="BI333" i="4"/>
  <c r="CF333" i="4"/>
  <c r="AU333" i="4"/>
  <c r="AN333" i="4"/>
  <c r="AG333" i="4"/>
  <c r="CD333" i="4"/>
  <c r="DX333" i="4"/>
  <c r="DQ333" i="4"/>
  <c r="DJ333" i="4"/>
  <c r="BD333" i="4"/>
  <c r="CO103" i="4"/>
  <c r="CT103" i="4"/>
  <c r="DA103" i="4"/>
  <c r="CF103" i="4"/>
  <c r="BP295" i="4"/>
  <c r="CO295" i="4"/>
  <c r="DA295" i="4"/>
  <c r="CF295" i="4"/>
  <c r="BF376" i="4"/>
  <c r="DC376" i="4"/>
  <c r="CR376" i="4"/>
  <c r="CY376" i="4"/>
  <c r="DJ322" i="4"/>
  <c r="CO322" i="4"/>
  <c r="CV322" i="4"/>
  <c r="DC322" i="4"/>
  <c r="AD380" i="4"/>
  <c r="BI380" i="4"/>
  <c r="CR380" i="4"/>
  <c r="CY380" i="4"/>
  <c r="AG294" i="4"/>
  <c r="CO294" i="4"/>
  <c r="DA294" i="4"/>
  <c r="CF294" i="4"/>
  <c r="DJ204" i="4"/>
  <c r="CR204" i="4"/>
  <c r="AW204" i="4"/>
  <c r="CH202" i="4"/>
  <c r="AU202" i="4"/>
  <c r="EC278" i="4"/>
  <c r="BM352" i="4"/>
  <c r="AP351" i="4"/>
  <c r="DX366" i="4"/>
  <c r="AN130" i="4"/>
  <c r="AB145" i="4"/>
  <c r="CK333" i="4"/>
  <c r="AR236" i="4"/>
  <c r="DO103" i="4"/>
  <c r="DV103" i="4"/>
  <c r="EC103" i="4"/>
  <c r="DH103" i="4"/>
  <c r="BR295" i="4"/>
  <c r="DQ295" i="4"/>
  <c r="EC295" i="4"/>
  <c r="DH295" i="4"/>
  <c r="BI376" i="4"/>
  <c r="EE376" i="4"/>
  <c r="DT376" i="4"/>
  <c r="EA376" i="4"/>
  <c r="DM322" i="4"/>
  <c r="DQ322" i="4"/>
  <c r="DX322" i="4"/>
  <c r="EE322" i="4"/>
  <c r="DC380" i="4"/>
  <c r="CA380" i="4"/>
  <c r="DT380" i="4"/>
  <c r="EA380" i="4"/>
  <c r="DM294" i="4"/>
  <c r="DQ294" i="4"/>
  <c r="EC294" i="4"/>
  <c r="DH294" i="4"/>
  <c r="DM204" i="4"/>
  <c r="AP204" i="4"/>
  <c r="BY204" i="4"/>
  <c r="CK202" i="4"/>
  <c r="AY202" i="4"/>
  <c r="AY278" i="4"/>
  <c r="CV352" i="4"/>
  <c r="BR351" i="4"/>
  <c r="DV366" i="4"/>
  <c r="AP130" i="4"/>
  <c r="AG145" i="4"/>
  <c r="CO333" i="4"/>
  <c r="DH237" i="4"/>
  <c r="EC237" i="4"/>
  <c r="DV237" i="4"/>
  <c r="DO237" i="4"/>
  <c r="CF237" i="4"/>
  <c r="DA237" i="4"/>
  <c r="CT237" i="4"/>
  <c r="CM237" i="4"/>
  <c r="BD237" i="4"/>
  <c r="BY237" i="4"/>
  <c r="BR237" i="4"/>
  <c r="BK237" i="4"/>
  <c r="AB237" i="4"/>
  <c r="AW237" i="4"/>
  <c r="AP237" i="4"/>
  <c r="AI237" i="4"/>
  <c r="DF237" i="4"/>
  <c r="EA237" i="4"/>
  <c r="DT237" i="4"/>
  <c r="DM237" i="4"/>
  <c r="CD237" i="4"/>
  <c r="CY237" i="4"/>
  <c r="CR237" i="4"/>
  <c r="DJ237" i="4"/>
  <c r="BB237" i="4"/>
  <c r="BW237" i="4"/>
  <c r="BP237" i="4"/>
  <c r="CK237" i="4"/>
  <c r="Z237" i="4"/>
  <c r="AU237" i="4"/>
  <c r="AN237" i="4"/>
  <c r="CH237" i="4"/>
  <c r="EE237" i="4"/>
  <c r="DX237" i="4"/>
  <c r="DQ237" i="4"/>
  <c r="BI237" i="4"/>
  <c r="DC237" i="4"/>
  <c r="CV237" i="4"/>
  <c r="CO237" i="4"/>
  <c r="BF237" i="4"/>
  <c r="CA237" i="4"/>
  <c r="BT237" i="4"/>
  <c r="BM237" i="4"/>
  <c r="AG237" i="4"/>
  <c r="AR103" i="4"/>
  <c r="AY103" i="4"/>
  <c r="AD103" i="4"/>
  <c r="CK295" i="4"/>
  <c r="AR295" i="4"/>
  <c r="AY295" i="4"/>
  <c r="AD295" i="4"/>
  <c r="CD376" i="4"/>
  <c r="AI376" i="4"/>
  <c r="AP376" i="4"/>
  <c r="AW376" i="4"/>
  <c r="AB322" i="4"/>
  <c r="AN322" i="4"/>
  <c r="AU322" i="4"/>
  <c r="Z322" i="4"/>
  <c r="AG380" i="4"/>
  <c r="AI380" i="4"/>
  <c r="AP380" i="4"/>
  <c r="AW380" i="4"/>
  <c r="AI294" i="4"/>
  <c r="AR294" i="4"/>
  <c r="AY294" i="4"/>
  <c r="AD294" i="4"/>
  <c r="AI204" i="4"/>
  <c r="BR204" i="4"/>
  <c r="DA204" i="4"/>
  <c r="DH202" i="4"/>
  <c r="DC202" i="4"/>
  <c r="AB278" i="4"/>
  <c r="AY352" i="4"/>
  <c r="DA351" i="4"/>
  <c r="CV366" i="4"/>
  <c r="AU130" i="4"/>
  <c r="AI145" i="4"/>
  <c r="CR333" i="4"/>
  <c r="AD237" i="4"/>
  <c r="BI103" i="4"/>
  <c r="BT103" i="4"/>
  <c r="CA103" i="4"/>
  <c r="BF103" i="4"/>
  <c r="CM295" i="4"/>
  <c r="BT295" i="4"/>
  <c r="CA295" i="4"/>
  <c r="BF295" i="4"/>
  <c r="CF376" i="4"/>
  <c r="BK376" i="4"/>
  <c r="BR376" i="4"/>
  <c r="BY376" i="4"/>
  <c r="BD322" i="4"/>
  <c r="BP322" i="4"/>
  <c r="BW322" i="4"/>
  <c r="BB322" i="4"/>
  <c r="DF380" i="4"/>
  <c r="BK380" i="4"/>
  <c r="BR380" i="4"/>
  <c r="BY380" i="4"/>
  <c r="DO294" i="4"/>
  <c r="BT294" i="4"/>
  <c r="CA294" i="4"/>
  <c r="BF294" i="4"/>
  <c r="BK204" i="4"/>
  <c r="CT204" i="4"/>
  <c r="EC204" i="4"/>
  <c r="AK202" i="4"/>
  <c r="EE202" i="4"/>
  <c r="DH278" i="4"/>
  <c r="EE352" i="4"/>
  <c r="CA351" i="4"/>
  <c r="DM366" i="4"/>
  <c r="BI203" i="4"/>
  <c r="AN145" i="4"/>
  <c r="CV333" i="4"/>
  <c r="CK103" i="4"/>
  <c r="CV103" i="4"/>
  <c r="DC103" i="4"/>
  <c r="CH103" i="4"/>
  <c r="CR295" i="4"/>
  <c r="CV295" i="4"/>
  <c r="DC295" i="4"/>
  <c r="CH295" i="4"/>
  <c r="CH376" i="4"/>
  <c r="CM376" i="4"/>
  <c r="CT376" i="4"/>
  <c r="DA376" i="4"/>
  <c r="CF322" i="4"/>
  <c r="CR322" i="4"/>
  <c r="CY322" i="4"/>
  <c r="CD322" i="4"/>
  <c r="AY380" i="4"/>
  <c r="CM380" i="4"/>
  <c r="CT380" i="4"/>
  <c r="DA380" i="4"/>
  <c r="AN294" i="4"/>
  <c r="CV294" i="4"/>
  <c r="DC294" i="4"/>
  <c r="CH294" i="4"/>
  <c r="AD204" i="4"/>
  <c r="CM204" i="4"/>
  <c r="DV204" i="4"/>
  <c r="AY204" i="4"/>
  <c r="BM202" i="4"/>
  <c r="Z202" i="4"/>
  <c r="AD278" i="4"/>
  <c r="Z352" i="4"/>
  <c r="AW366" i="4"/>
  <c r="DH203" i="4"/>
  <c r="AR237" i="4"/>
  <c r="GO145" i="4"/>
  <c r="DX145" i="4"/>
  <c r="DQ145" i="4"/>
  <c r="DJ145" i="4"/>
  <c r="BB145" i="4"/>
  <c r="CV145" i="4"/>
  <c r="CO145" i="4"/>
  <c r="CH145" i="4"/>
  <c r="Z145" i="4"/>
  <c r="BT145" i="4"/>
  <c r="BM145" i="4"/>
  <c r="BF145" i="4"/>
  <c r="CD145" i="4"/>
  <c r="AR145" i="4"/>
  <c r="AD145" i="4"/>
  <c r="DF145" i="4"/>
  <c r="EC145" i="4"/>
  <c r="DV145" i="4"/>
  <c r="DO145" i="4"/>
  <c r="DH145" i="4"/>
  <c r="DA145" i="4"/>
  <c r="CT145" i="4"/>
  <c r="CM145" i="4"/>
  <c r="CF145" i="4"/>
  <c r="BY145" i="4"/>
  <c r="BR145" i="4"/>
  <c r="BK145" i="4"/>
  <c r="BD145" i="4"/>
  <c r="EA145" i="4"/>
  <c r="DT145" i="4"/>
  <c r="DM145" i="4"/>
  <c r="EE145" i="4"/>
  <c r="CY145" i="4"/>
  <c r="CR145" i="4"/>
  <c r="CK145" i="4"/>
  <c r="DC145" i="4"/>
  <c r="BW145" i="4"/>
  <c r="BP145" i="4"/>
  <c r="BI145" i="4"/>
  <c r="CA145" i="4"/>
  <c r="DH236" i="4"/>
  <c r="EC236" i="4"/>
  <c r="DV236" i="4"/>
  <c r="DO236" i="4"/>
  <c r="CF236" i="4"/>
  <c r="DA236" i="4"/>
  <c r="CT236" i="4"/>
  <c r="CM236" i="4"/>
  <c r="BD236" i="4"/>
  <c r="BY236" i="4"/>
  <c r="BR236" i="4"/>
  <c r="BK236" i="4"/>
  <c r="AB236" i="4"/>
  <c r="AW236" i="4"/>
  <c r="AP236" i="4"/>
  <c r="AI236" i="4"/>
  <c r="DF236" i="4"/>
  <c r="EA236" i="4"/>
  <c r="DT236" i="4"/>
  <c r="CK236" i="4"/>
  <c r="CD236" i="4"/>
  <c r="CY236" i="4"/>
  <c r="CR236" i="4"/>
  <c r="CH236" i="4"/>
  <c r="BB236" i="4"/>
  <c r="BW236" i="4"/>
  <c r="BP236" i="4"/>
  <c r="BI236" i="4"/>
  <c r="Z236" i="4"/>
  <c r="AU236" i="4"/>
  <c r="AN236" i="4"/>
  <c r="BF236" i="4"/>
  <c r="EE236" i="4"/>
  <c r="DX236" i="4"/>
  <c r="DQ236" i="4"/>
  <c r="AG236" i="4"/>
  <c r="DC236" i="4"/>
  <c r="CV236" i="4"/>
  <c r="CO236" i="4"/>
  <c r="AD236" i="4"/>
  <c r="CA236" i="4"/>
  <c r="BT236" i="4"/>
  <c r="BM236" i="4"/>
  <c r="DM236" i="4"/>
  <c r="DM103" i="4"/>
  <c r="DX103" i="4"/>
  <c r="EE103" i="4"/>
  <c r="DJ103" i="4"/>
  <c r="CT295" i="4"/>
  <c r="DX295" i="4"/>
  <c r="EE295" i="4"/>
  <c r="DJ295" i="4"/>
  <c r="CK376" i="4"/>
  <c r="DO376" i="4"/>
  <c r="DV376" i="4"/>
  <c r="EC376" i="4"/>
  <c r="DH322" i="4"/>
  <c r="DT322" i="4"/>
  <c r="EA322" i="4"/>
  <c r="DF322" i="4"/>
  <c r="DH380" i="4"/>
  <c r="DO380" i="4"/>
  <c r="DV380" i="4"/>
  <c r="EC380" i="4"/>
  <c r="DT294" i="4"/>
  <c r="DX294" i="4"/>
  <c r="EE294" i="4"/>
  <c r="DJ294" i="4"/>
  <c r="BD204" i="4"/>
  <c r="DO204" i="4"/>
  <c r="AR204" i="4"/>
  <c r="CA204" i="4"/>
  <c r="CR278" i="4"/>
  <c r="AK352" i="4"/>
  <c r="AK203" i="4"/>
  <c r="AU145" i="4"/>
  <c r="AY237" i="4"/>
  <c r="BW351" i="4"/>
  <c r="AN351" i="4"/>
  <c r="AG351" i="4"/>
  <c r="BD351" i="4"/>
  <c r="AU351" i="4"/>
  <c r="DX351" i="4"/>
  <c r="DQ351" i="4"/>
  <c r="BB351" i="4"/>
  <c r="CY351" i="4"/>
  <c r="CR351" i="4"/>
  <c r="CK351" i="4"/>
  <c r="AB351" i="4"/>
  <c r="BT351" i="4"/>
  <c r="BM351" i="4"/>
  <c r="BF351" i="4"/>
  <c r="Z351" i="4"/>
  <c r="DF351" i="4"/>
  <c r="AR351" i="4"/>
  <c r="AD351" i="4"/>
  <c r="EE351" i="4"/>
  <c r="EC351" i="4"/>
  <c r="DV351" i="4"/>
  <c r="DJ351" i="4"/>
  <c r="DC351" i="4"/>
  <c r="CV351" i="4"/>
  <c r="CO351" i="4"/>
  <c r="CD351" i="4"/>
  <c r="DH351" i="4"/>
  <c r="BY351" i="4"/>
  <c r="EA351" i="4"/>
  <c r="DT351" i="4"/>
  <c r="DM351" i="4"/>
  <c r="AW351" i="4"/>
  <c r="CT351" i="4"/>
  <c r="CM351" i="4"/>
  <c r="CH351" i="4"/>
  <c r="DF366" i="4"/>
  <c r="DT366" i="4"/>
  <c r="BI366" i="4"/>
  <c r="CM366" i="4"/>
  <c r="CD366" i="4"/>
  <c r="BT366" i="4"/>
  <c r="CT366" i="4"/>
  <c r="CK366" i="4"/>
  <c r="BB366" i="4"/>
  <c r="AU366" i="4"/>
  <c r="AN366" i="4"/>
  <c r="Z366" i="4"/>
  <c r="DQ366" i="4"/>
  <c r="CR366" i="4"/>
  <c r="AK366" i="4"/>
  <c r="DJ366" i="4"/>
  <c r="EE366" i="4"/>
  <c r="BR366" i="4"/>
  <c r="AR366" i="4"/>
  <c r="CH366" i="4"/>
  <c r="DC366" i="4"/>
  <c r="DO366" i="4"/>
  <c r="CO366" i="4"/>
  <c r="BF366" i="4"/>
  <c r="CA366" i="4"/>
  <c r="BP366" i="4"/>
  <c r="AP366" i="4"/>
  <c r="DH366" i="4"/>
  <c r="EC366" i="4"/>
  <c r="BM366" i="4"/>
  <c r="BW366" i="4"/>
  <c r="CF366" i="4"/>
  <c r="DA366" i="4"/>
  <c r="CY366" i="4"/>
  <c r="AI366" i="4"/>
  <c r="BD366" i="4"/>
  <c r="BY366" i="4"/>
  <c r="BK366" i="4"/>
  <c r="EA366" i="4"/>
  <c r="EC202" i="4"/>
  <c r="DV202" i="4"/>
  <c r="DO202" i="4"/>
  <c r="BF202" i="4"/>
  <c r="DA202" i="4"/>
  <c r="CT202" i="4"/>
  <c r="CM202" i="4"/>
  <c r="BD202" i="4"/>
  <c r="BY202" i="4"/>
  <c r="BR202" i="4"/>
  <c r="BK202" i="4"/>
  <c r="AD202" i="4"/>
  <c r="AW202" i="4"/>
  <c r="AP202" i="4"/>
  <c r="AG202" i="4"/>
  <c r="DF202" i="4"/>
  <c r="EA202" i="4"/>
  <c r="DT202" i="4"/>
  <c r="AB202" i="4"/>
  <c r="CD202" i="4"/>
  <c r="CY202" i="4"/>
  <c r="CR202" i="4"/>
  <c r="DM202" i="4"/>
  <c r="BB202" i="4"/>
  <c r="BW202" i="4"/>
  <c r="BP202" i="4"/>
  <c r="DJ202" i="4"/>
  <c r="CA202" i="4"/>
  <c r="DQ103" i="4"/>
  <c r="AN103" i="4"/>
  <c r="AU103" i="4"/>
  <c r="Z103" i="4"/>
  <c r="AP295" i="4"/>
  <c r="AU295" i="4"/>
  <c r="Z295" i="4"/>
  <c r="DM376" i="4"/>
  <c r="Z376" i="4"/>
  <c r="AK376" i="4"/>
  <c r="AR376" i="4"/>
  <c r="AD322" i="4"/>
  <c r="AI322" i="4"/>
  <c r="AP322" i="4"/>
  <c r="AW322" i="4"/>
  <c r="CF380" i="4"/>
  <c r="BB380" i="4"/>
  <c r="AR380" i="4"/>
  <c r="BR294" i="4"/>
  <c r="AP294" i="4"/>
  <c r="AU294" i="4"/>
  <c r="Z294" i="4"/>
  <c r="BF204" i="4"/>
  <c r="AK204" i="4"/>
  <c r="BT204" i="4"/>
  <c r="DC204" i="4"/>
  <c r="DQ202" i="4"/>
  <c r="DM278" i="4"/>
  <c r="BR352" i="4"/>
  <c r="DO351" i="4"/>
  <c r="AB366" i="4"/>
  <c r="AN203" i="4"/>
  <c r="AW145" i="4"/>
  <c r="BM312" i="4"/>
  <c r="X130" i="4"/>
  <c r="DX130" i="4"/>
  <c r="DQ130" i="4"/>
  <c r="DJ130" i="4"/>
  <c r="DF130" i="4"/>
  <c r="CV130" i="4"/>
  <c r="CO130" i="4"/>
  <c r="CH130" i="4"/>
  <c r="CD130" i="4"/>
  <c r="BT130" i="4"/>
  <c r="BM130" i="4"/>
  <c r="BF130" i="4"/>
  <c r="BB130" i="4"/>
  <c r="AR130" i="4"/>
  <c r="AK130" i="4"/>
  <c r="AD130" i="4"/>
  <c r="Z130" i="4"/>
  <c r="EC130" i="4"/>
  <c r="DV130" i="4"/>
  <c r="DO130" i="4"/>
  <c r="DH130" i="4"/>
  <c r="DA130" i="4"/>
  <c r="CT130" i="4"/>
  <c r="CM130" i="4"/>
  <c r="CF130" i="4"/>
  <c r="BY130" i="4"/>
  <c r="BR130" i="4"/>
  <c r="BK130" i="4"/>
  <c r="BD130" i="4"/>
  <c r="EA130" i="4"/>
  <c r="DT130" i="4"/>
  <c r="DM130" i="4"/>
  <c r="EE130" i="4"/>
  <c r="CY130" i="4"/>
  <c r="CR130" i="4"/>
  <c r="CK130" i="4"/>
  <c r="DC130" i="4"/>
  <c r="BW130" i="4"/>
  <c r="BP130" i="4"/>
  <c r="BI130" i="4"/>
  <c r="CA130" i="4"/>
  <c r="AI103" i="4"/>
  <c r="BP103" i="4"/>
  <c r="BW103" i="4"/>
  <c r="BB103" i="4"/>
  <c r="BK295" i="4"/>
  <c r="DM295" i="4"/>
  <c r="BW295" i="4"/>
  <c r="BB295" i="4"/>
  <c r="AG376" i="4"/>
  <c r="DF376" i="4"/>
  <c r="BM376" i="4"/>
  <c r="BT376" i="4"/>
  <c r="AG322" i="4"/>
  <c r="BK322" i="4"/>
  <c r="BR322" i="4"/>
  <c r="BY322" i="4"/>
  <c r="CD380" i="4"/>
  <c r="DJ380" i="4"/>
  <c r="BM380" i="4"/>
  <c r="BT380" i="4"/>
  <c r="CM294" i="4"/>
  <c r="DV294" i="4"/>
  <c r="BW294" i="4"/>
  <c r="BB294" i="4"/>
  <c r="BI204" i="4"/>
  <c r="BM204" i="4"/>
  <c r="CV204" i="4"/>
  <c r="EE204" i="4"/>
  <c r="AN202" i="4"/>
  <c r="DH352" i="4"/>
  <c r="AY351" i="4"/>
  <c r="AD366" i="4"/>
  <c r="AR203" i="4"/>
  <c r="AB312" i="4"/>
  <c r="DF278" i="4"/>
  <c r="EA278" i="4"/>
  <c r="BK278" i="4"/>
  <c r="CK278" i="4"/>
  <c r="CD278" i="4"/>
  <c r="CY278" i="4"/>
  <c r="BI278" i="4"/>
  <c r="BP278" i="4"/>
  <c r="BB278" i="4"/>
  <c r="BW278" i="4"/>
  <c r="DV278" i="4"/>
  <c r="CM278" i="4"/>
  <c r="Z278" i="4"/>
  <c r="AU278" i="4"/>
  <c r="AP278" i="4"/>
  <c r="BR278" i="4"/>
  <c r="DJ278" i="4"/>
  <c r="EE278" i="4"/>
  <c r="DX278" i="4"/>
  <c r="DT278" i="4"/>
  <c r="CH278" i="4"/>
  <c r="DC278" i="4"/>
  <c r="CV278" i="4"/>
  <c r="AN278" i="4"/>
  <c r="BF278" i="4"/>
  <c r="CA278" i="4"/>
  <c r="BT278" i="4"/>
  <c r="CF278" i="4"/>
  <c r="DA278" i="4"/>
  <c r="CO278" i="4"/>
  <c r="AG278" i="4"/>
  <c r="BD278" i="4"/>
  <c r="BY278" i="4"/>
  <c r="BM278" i="4"/>
  <c r="CT278" i="4"/>
  <c r="AK103" i="4"/>
  <c r="CR103" i="4"/>
  <c r="CY103" i="4"/>
  <c r="CD103" i="4"/>
  <c r="DV295" i="4"/>
  <c r="AI295" i="4"/>
  <c r="CY295" i="4"/>
  <c r="CD295" i="4"/>
  <c r="AD376" i="4"/>
  <c r="AB376" i="4"/>
  <c r="CO376" i="4"/>
  <c r="CV376" i="4"/>
  <c r="BF322" i="4"/>
  <c r="CM322" i="4"/>
  <c r="CT322" i="4"/>
  <c r="DA322" i="4"/>
  <c r="Z380" i="4"/>
  <c r="BD380" i="4"/>
  <c r="CO380" i="4"/>
  <c r="CV380" i="4"/>
  <c r="BP294" i="4"/>
  <c r="BI294" i="4"/>
  <c r="CY294" i="4"/>
  <c r="CD294" i="4"/>
  <c r="CF204" i="4"/>
  <c r="CO204" i="4"/>
  <c r="DX204" i="4"/>
  <c r="Z204" i="4"/>
  <c r="AR202" i="4"/>
  <c r="AK278" i="4"/>
  <c r="CK352" i="4"/>
  <c r="BI351" i="4"/>
  <c r="AY130" i="4"/>
  <c r="AU203" i="4"/>
  <c r="AP312" i="4"/>
  <c r="BK103" i="4"/>
  <c r="DT103" i="4"/>
  <c r="EA103" i="4"/>
  <c r="DF103" i="4"/>
  <c r="AN295" i="4"/>
  <c r="DO295" i="4"/>
  <c r="EA295" i="4"/>
  <c r="DJ376" i="4"/>
  <c r="DH376" i="4"/>
  <c r="DQ376" i="4"/>
  <c r="BI322" i="4"/>
  <c r="DO322" i="4"/>
  <c r="DV322" i="4"/>
  <c r="CH380" i="4"/>
  <c r="DM380" i="4"/>
  <c r="DQ380" i="4"/>
  <c r="CK294" i="4"/>
  <c r="BK294" i="4"/>
  <c r="EA294" i="4"/>
  <c r="DF294" i="4"/>
  <c r="CH204" i="4"/>
  <c r="DQ204" i="4"/>
  <c r="AU204" i="4"/>
  <c r="BB204" i="4"/>
  <c r="BT202" i="4"/>
  <c r="DQ278" i="4"/>
  <c r="CM352" i="4"/>
  <c r="AI351" i="4"/>
  <c r="AB130" i="4"/>
  <c r="AY203" i="4"/>
  <c r="BB333" i="4"/>
  <c r="AW312" i="4"/>
  <c r="EH294" i="4"/>
  <c r="FP294" i="4"/>
  <c r="EH295" i="4"/>
  <c r="FP295" i="4"/>
  <c r="FN278" i="4"/>
  <c r="GQ145" i="4"/>
  <c r="GQ130" i="4"/>
  <c r="GM103" i="4"/>
  <c r="V366" i="4"/>
  <c r="GQ103" i="4"/>
  <c r="X278" i="4"/>
  <c r="GM130" i="4"/>
  <c r="V103" i="4"/>
  <c r="X366" i="4"/>
  <c r="T333" i="4"/>
  <c r="T278" i="4"/>
  <c r="V130" i="4"/>
  <c r="V333" i="4"/>
  <c r="T237" i="4"/>
  <c r="V237" i="4"/>
  <c r="T376" i="4"/>
  <c r="V295" i="4"/>
  <c r="V376" i="4"/>
  <c r="X202" i="4"/>
  <c r="X295" i="4"/>
  <c r="T202" i="4"/>
  <c r="V352" i="4"/>
  <c r="T322" i="4"/>
  <c r="V312" i="4"/>
  <c r="X352" i="4"/>
  <c r="T145" i="4"/>
  <c r="V322" i="4"/>
  <c r="X312" i="4"/>
  <c r="T351" i="4"/>
  <c r="V145" i="4"/>
  <c r="V351" i="4"/>
  <c r="T380" i="4"/>
  <c r="T236" i="4"/>
  <c r="T203" i="4"/>
  <c r="T294" i="4"/>
  <c r="V204" i="4"/>
  <c r="V380" i="4"/>
  <c r="V236" i="4"/>
  <c r="FN237" i="4"/>
  <c r="FN204" i="4"/>
  <c r="FN103" i="4"/>
  <c r="FN203" i="4"/>
  <c r="FN145" i="4"/>
  <c r="FN236" i="4"/>
  <c r="FN202" i="4"/>
  <c r="GS130" i="4"/>
  <c r="FN130" i="4"/>
  <c r="FP289" i="4"/>
  <c r="EH289" i="4"/>
  <c r="FP278" i="4"/>
  <c r="EH278" i="4"/>
  <c r="FP103" i="4"/>
  <c r="FP145" i="4"/>
  <c r="FP130" i="4"/>
  <c r="FP202" i="4"/>
  <c r="FP144" i="4"/>
  <c r="FP203" i="4"/>
  <c r="FP236" i="4"/>
  <c r="FP204" i="4"/>
  <c r="FP237" i="4"/>
  <c r="P236" i="4"/>
  <c r="HF52" i="4"/>
  <c r="P103" i="4"/>
  <c r="HF5" i="4"/>
  <c r="HF44" i="4"/>
  <c r="EH236" i="4"/>
  <c r="P204" i="4"/>
  <c r="R103" i="4"/>
  <c r="EH103" i="4"/>
  <c r="GW103" i="4"/>
  <c r="GS103" i="4"/>
  <c r="EH204" i="4"/>
  <c r="R202" i="4"/>
  <c r="N202" i="4"/>
  <c r="EH202" i="4"/>
  <c r="P312" i="4"/>
  <c r="R312" i="4"/>
  <c r="HF33" i="4"/>
  <c r="HF17" i="4"/>
  <c r="R204" i="4"/>
  <c r="N294" i="4"/>
  <c r="P294" i="4"/>
  <c r="GU145" i="4"/>
  <c r="GW145" i="4"/>
  <c r="HF28" i="4"/>
  <c r="HF42" i="4"/>
  <c r="GW130" i="4"/>
  <c r="EH144" i="4"/>
  <c r="P366" i="4"/>
  <c r="N322" i="4"/>
  <c r="EH237" i="4"/>
  <c r="P295" i="4"/>
  <c r="EH203" i="4"/>
  <c r="N376" i="4"/>
  <c r="R352" i="4"/>
  <c r="R295" i="4"/>
  <c r="R366" i="4"/>
  <c r="EH145" i="4"/>
  <c r="P130" i="4"/>
  <c r="EH130" i="4"/>
  <c r="P145" i="4"/>
  <c r="P380" i="4"/>
  <c r="P376" i="4"/>
  <c r="N145" i="4"/>
  <c r="N333" i="4"/>
  <c r="P333" i="4"/>
  <c r="P237" i="4"/>
  <c r="N237" i="4"/>
  <c r="N351" i="4"/>
  <c r="P352" i="4"/>
  <c r="P322" i="4"/>
  <c r="R203" i="4"/>
  <c r="N203" i="4"/>
  <c r="P351" i="4"/>
  <c r="N380" i="4"/>
  <c r="N278" i="4"/>
  <c r="R278" i="4"/>
  <c r="HA333" i="4" l="1"/>
  <c r="HA416" i="4"/>
  <c r="HA289" i="4"/>
  <c r="HA400" i="4"/>
  <c r="HA351" i="4"/>
  <c r="HA402" i="4"/>
  <c r="HA295" i="4"/>
  <c r="HA433" i="4"/>
  <c r="HA294" i="4"/>
  <c r="HA312" i="4"/>
  <c r="HA352" i="4"/>
  <c r="HA236" i="4"/>
  <c r="R322" i="4"/>
  <c r="HA376" i="4"/>
  <c r="HA366" i="4"/>
  <c r="HA380" i="4"/>
  <c r="P278" i="4"/>
  <c r="P433" i="4"/>
  <c r="R416" i="4"/>
  <c r="FF144" i="4"/>
  <c r="ET144" i="4"/>
  <c r="EV144" i="4" s="1"/>
  <c r="AG295" i="4"/>
  <c r="ET295" i="4"/>
  <c r="EV295" i="4" s="1"/>
  <c r="FH366" i="4"/>
  <c r="ET366" i="4"/>
  <c r="EV366" i="4" s="1"/>
  <c r="V433" i="4"/>
  <c r="ET433" i="4"/>
  <c r="EZ433" i="4" s="1"/>
  <c r="V202" i="4"/>
  <c r="ET202" i="4"/>
  <c r="EZ202" i="4" s="1"/>
  <c r="AK294" i="4"/>
  <c r="ET294" i="4"/>
  <c r="EX294" i="4" s="1"/>
  <c r="T312" i="4"/>
  <c r="ET312" i="4"/>
  <c r="EV312" i="4" s="1"/>
  <c r="FJ380" i="4"/>
  <c r="ET380" i="4"/>
  <c r="EX380" i="4" s="1"/>
  <c r="X237" i="4"/>
  <c r="ET237" i="4"/>
  <c r="EX237" i="4" s="1"/>
  <c r="X322" i="4"/>
  <c r="ET322" i="4"/>
  <c r="EX322" i="4" s="1"/>
  <c r="T130" i="4"/>
  <c r="ET130" i="4"/>
  <c r="EV130" i="4" s="1"/>
  <c r="FJ351" i="4"/>
  <c r="ET351" i="4"/>
  <c r="EX351" i="4" s="1"/>
  <c r="AK400" i="4"/>
  <c r="ET400" i="4"/>
  <c r="EX400" i="4" s="1"/>
  <c r="T204" i="4"/>
  <c r="ET204" i="4"/>
  <c r="EV204" i="4" s="1"/>
  <c r="X145" i="4"/>
  <c r="ET145" i="4"/>
  <c r="EX145" i="4" s="1"/>
  <c r="FH352" i="4"/>
  <c r="ET352" i="4"/>
  <c r="EV352" i="4" s="1"/>
  <c r="X416" i="4"/>
  <c r="ET416" i="4"/>
  <c r="EX416" i="4" s="1"/>
  <c r="T103" i="4"/>
  <c r="ET103" i="4"/>
  <c r="FJ333" i="4"/>
  <c r="ET333" i="4"/>
  <c r="EX333" i="4" s="1"/>
  <c r="FL376" i="4"/>
  <c r="ET376" i="4"/>
  <c r="EX376" i="4" s="1"/>
  <c r="X236" i="4"/>
  <c r="ET236" i="4"/>
  <c r="EX236" i="4" s="1"/>
  <c r="V203" i="4"/>
  <c r="ET203" i="4"/>
  <c r="EZ203" i="4" s="1"/>
  <c r="AI433" i="4"/>
  <c r="AK402" i="4"/>
  <c r="ET402" i="4"/>
  <c r="EX402" i="4" s="1"/>
  <c r="V278" i="4"/>
  <c r="EL278" i="4"/>
  <c r="FJ289" i="4"/>
  <c r="EL289" i="4"/>
  <c r="X376" i="4"/>
  <c r="AK416" i="4"/>
  <c r="FB433" i="4"/>
  <c r="R351" i="4"/>
  <c r="FJ416" i="4"/>
  <c r="R402" i="4"/>
  <c r="R400" i="4"/>
  <c r="R376" i="4"/>
  <c r="R380" i="4"/>
  <c r="X380" i="4"/>
  <c r="AK380" i="4"/>
  <c r="FL402" i="4"/>
  <c r="R294" i="4"/>
  <c r="T352" i="4"/>
  <c r="FJ400" i="4"/>
  <c r="N366" i="4"/>
  <c r="AK351" i="4"/>
  <c r="X351" i="4"/>
  <c r="FL322" i="4"/>
  <c r="FF103" i="4"/>
  <c r="FJ294" i="4"/>
  <c r="FH204" i="4"/>
  <c r="FF295" i="4"/>
  <c r="FJ237" i="4"/>
  <c r="FF130" i="4"/>
  <c r="FJ236" i="4"/>
  <c r="FL145" i="4"/>
  <c r="FF312" i="4"/>
  <c r="T366" i="4"/>
  <c r="AG366" i="4"/>
  <c r="N352" i="4"/>
  <c r="R333" i="4"/>
  <c r="X333" i="4"/>
  <c r="AK333" i="4"/>
  <c r="GM145" i="4"/>
  <c r="GM294" i="4"/>
  <c r="GO295" i="4"/>
  <c r="GO103" i="4"/>
  <c r="GO204" i="4"/>
  <c r="GM237" i="4"/>
  <c r="GM322" i="4"/>
  <c r="GO130" i="4"/>
  <c r="GM236" i="4"/>
  <c r="GQ278" i="4"/>
  <c r="FB278" i="4"/>
  <c r="GQ202" i="4"/>
  <c r="FB202" i="4"/>
  <c r="GQ203" i="4"/>
  <c r="FB203" i="4"/>
  <c r="R236" i="4"/>
  <c r="N312" i="4"/>
  <c r="T295" i="4"/>
  <c r="AG312" i="4"/>
  <c r="N295" i="4"/>
  <c r="AK322" i="4"/>
  <c r="HA322" i="4"/>
  <c r="X289" i="4"/>
  <c r="EE289" i="4"/>
  <c r="AK145" i="4"/>
  <c r="AG204" i="4"/>
  <c r="X294" i="4"/>
  <c r="AK237" i="4"/>
  <c r="AG103" i="4"/>
  <c r="AG130" i="4"/>
  <c r="AI202" i="4"/>
  <c r="T144" i="4"/>
  <c r="AG144" i="4"/>
  <c r="AI203" i="4"/>
  <c r="DO278" i="4"/>
  <c r="AK236" i="4"/>
  <c r="R289" i="4"/>
  <c r="N103" i="4"/>
  <c r="R145" i="4"/>
  <c r="N204" i="4"/>
  <c r="HA204" i="4"/>
  <c r="HA202" i="4"/>
  <c r="P202" i="4"/>
  <c r="HA103" i="4"/>
  <c r="R237" i="4"/>
  <c r="N144" i="4"/>
  <c r="HA144" i="4"/>
  <c r="P203" i="4"/>
  <c r="N130" i="4"/>
  <c r="HA237" i="4"/>
  <c r="HA203" i="4"/>
  <c r="HA145" i="4"/>
  <c r="R130" i="4"/>
  <c r="HA130" i="4"/>
  <c r="GG270" i="4"/>
  <c r="GG268" i="4"/>
  <c r="GI268" i="4" s="1"/>
  <c r="B1" i="4" a="1"/>
  <c r="B1" i="4" s="1"/>
  <c r="B377" i="4" a="1"/>
  <c r="B377" i="4" s="1"/>
  <c r="B382" i="4" a="1"/>
  <c r="B382" i="4" s="1"/>
  <c r="B372" i="4" a="1"/>
  <c r="B372" i="4" s="1"/>
  <c r="B389" i="4" a="1"/>
  <c r="B389" i="4" s="1"/>
  <c r="B373" i="4" a="1"/>
  <c r="B373" i="4" s="1"/>
  <c r="B374" i="4" a="1"/>
  <c r="B374" i="4" s="1"/>
  <c r="B375" i="4" a="1"/>
  <c r="B375" i="4" s="1"/>
  <c r="B378" i="4" a="1"/>
  <c r="B378" i="4" s="1"/>
  <c r="B379" i="4" a="1"/>
  <c r="B379" i="4" s="1"/>
  <c r="B390" i="4" a="1"/>
  <c r="B390" i="4" s="1"/>
  <c r="B393" i="4" a="1"/>
  <c r="B393" i="4" s="1"/>
  <c r="B381" i="4" a="1"/>
  <c r="B381" i="4" s="1"/>
  <c r="B383" i="4" a="1"/>
  <c r="B383" i="4" s="1"/>
  <c r="B384" i="4" a="1"/>
  <c r="B384" i="4" s="1"/>
  <c r="B385" i="4" a="1"/>
  <c r="B385" i="4" s="1"/>
  <c r="B386" i="4" a="1"/>
  <c r="B386" i="4" s="1"/>
  <c r="B387" i="4" a="1"/>
  <c r="B387" i="4" s="1"/>
  <c r="B391" i="4" a="1"/>
  <c r="B391" i="4" s="1"/>
  <c r="B392" i="4" a="1"/>
  <c r="B392" i="4" s="1"/>
  <c r="B394" i="4" a="1"/>
  <c r="B394" i="4" s="1"/>
  <c r="B395" i="4" a="1"/>
  <c r="B395" i="4" s="1"/>
  <c r="B367" i="4" a="1"/>
  <c r="B367" i="4" s="1"/>
  <c r="B396" i="4" a="1"/>
  <c r="B396" i="4" s="1"/>
  <c r="B397" i="4" a="1"/>
  <c r="B397" i="4" s="1"/>
  <c r="B401" i="4" a="1"/>
  <c r="B401" i="4" s="1"/>
  <c r="B398" i="4" a="1"/>
  <c r="B398" i="4" s="1"/>
  <c r="B405" i="4" a="1"/>
  <c r="B405" i="4" s="1"/>
  <c r="B408" i="4" a="1"/>
  <c r="B408" i="4" s="1"/>
  <c r="B413" i="4" a="1"/>
  <c r="B413" i="4" s="1"/>
  <c r="B422" i="4" a="1"/>
  <c r="B422" i="4" s="1"/>
  <c r="B423" i="4" a="1"/>
  <c r="B423" i="4" s="1"/>
  <c r="B424" i="4" a="1"/>
  <c r="B424" i="4" s="1"/>
  <c r="B425" i="4" a="1"/>
  <c r="B425" i="4" s="1"/>
  <c r="B399" i="4" a="1"/>
  <c r="B399" i="4" s="1"/>
  <c r="B427" i="4" a="1"/>
  <c r="B427" i="4" s="1"/>
  <c r="B406" i="4" a="1"/>
  <c r="B406" i="4" s="1"/>
  <c r="B434" i="4" a="1"/>
  <c r="B434" i="4" s="1"/>
  <c r="B431" i="4" a="1"/>
  <c r="B431" i="4" s="1"/>
  <c r="B409" i="4" a="1"/>
  <c r="B409" i="4" s="1"/>
  <c r="B436" i="4" a="1"/>
  <c r="B436" i="4" s="1"/>
  <c r="B442" i="4" a="1"/>
  <c r="B442" i="4" s="1"/>
  <c r="B448" i="4" a="1"/>
  <c r="B448" i="4" s="1"/>
  <c r="B443" i="4" a="1"/>
  <c r="B443" i="4" s="1"/>
  <c r="B444" i="4" a="1"/>
  <c r="B444" i="4" s="1"/>
  <c r="B445" i="4" a="1"/>
  <c r="B445" i="4" s="1"/>
  <c r="B446" i="4" a="1"/>
  <c r="B446" i="4" s="1"/>
  <c r="GJ260" i="4"/>
  <c r="GJ259" i="4"/>
  <c r="GJ256" i="4"/>
  <c r="GJ250" i="4"/>
  <c r="GJ242" i="4"/>
  <c r="GJ238" i="4"/>
  <c r="GJ235" i="4"/>
  <c r="GJ220" i="4"/>
  <c r="A295" i="5"/>
  <c r="A291" i="5"/>
  <c r="A286" i="5"/>
  <c r="A275" i="5"/>
  <c r="A271" i="5"/>
  <c r="A266" i="5"/>
  <c r="A255" i="5"/>
  <c r="A251" i="5"/>
  <c r="A246" i="5"/>
  <c r="HD268" i="4" l="1"/>
  <c r="HE268" i="4" s="1"/>
  <c r="EV103" i="4"/>
  <c r="ER278" i="4"/>
  <c r="EP289" i="4"/>
  <c r="GG260" i="4"/>
  <c r="GI260" i="4" s="1"/>
  <c r="GG259" i="4"/>
  <c r="GI259" i="4" s="1"/>
  <c r="GG256" i="4"/>
  <c r="GI256" i="4" s="1"/>
  <c r="GG250" i="4"/>
  <c r="GI250" i="4" s="1"/>
  <c r="GG242" i="4"/>
  <c r="GI242" i="4" s="1"/>
  <c r="GG238" i="4"/>
  <c r="GI238" i="4" s="1"/>
  <c r="GG235" i="4"/>
  <c r="GI235" i="4" s="1"/>
  <c r="GG220" i="4"/>
  <c r="GI220" i="4" s="1"/>
  <c r="GJ208" i="4"/>
  <c r="HD238" i="4" l="1"/>
  <c r="HE238" i="4" s="1"/>
  <c r="HD259" i="4"/>
  <c r="HE259" i="4" s="1"/>
  <c r="HD250" i="4"/>
  <c r="HE250" i="4" s="1"/>
  <c r="HD260" i="4"/>
  <c r="HE260" i="4" s="1"/>
  <c r="HD256" i="4"/>
  <c r="HE256" i="4" s="1"/>
  <c r="HD220" i="4"/>
  <c r="HE220" i="4" s="1"/>
  <c r="HD242" i="4"/>
  <c r="HE242" i="4" s="1"/>
  <c r="HD235" i="4"/>
  <c r="HE235" i="4" s="1"/>
  <c r="HF268" i="4"/>
  <c r="HF250" i="4"/>
  <c r="HF242" i="4"/>
  <c r="HF259" i="4"/>
  <c r="GJ192" i="4"/>
  <c r="GJ187" i="4"/>
  <c r="GI218" i="4"/>
  <c r="GI217" i="4"/>
  <c r="GI216" i="4"/>
  <c r="GI215" i="4"/>
  <c r="GI213" i="4"/>
  <c r="GI212" i="4"/>
  <c r="GI211" i="4"/>
  <c r="GI210" i="4"/>
  <c r="GI209" i="4"/>
  <c r="GI207" i="4"/>
  <c r="GI206" i="4"/>
  <c r="GI205" i="4"/>
  <c r="GI201" i="4"/>
  <c r="GI198" i="4"/>
  <c r="GI197" i="4"/>
  <c r="GI196" i="4"/>
  <c r="GI195" i="4"/>
  <c r="GI193" i="4"/>
  <c r="GI191" i="4"/>
  <c r="GI190" i="4"/>
  <c r="GI189" i="4"/>
  <c r="GI188" i="4"/>
  <c r="HF260" i="4" l="1"/>
  <c r="HF238" i="4"/>
  <c r="HF235" i="4"/>
  <c r="HF220" i="4"/>
  <c r="HF256" i="4"/>
  <c r="GE153" i="4"/>
  <c r="GG153" i="4"/>
  <c r="GI153" i="4" s="1"/>
  <c r="GJ153" i="4"/>
  <c r="HD153" i="4" l="1"/>
  <c r="HE153" i="4" s="1"/>
  <c r="GH153" i="4"/>
  <c r="GL153" i="4" s="1"/>
  <c r="GG208" i="4"/>
  <c r="GI208" i="4" s="1"/>
  <c r="GG192" i="4"/>
  <c r="GI192" i="4" s="1"/>
  <c r="GG187" i="4"/>
  <c r="GI187" i="4" s="1"/>
  <c r="GG199" i="4"/>
  <c r="GI199" i="4" s="1"/>
  <c r="GG200" i="4"/>
  <c r="GI200" i="4" s="1"/>
  <c r="GG214" i="4"/>
  <c r="GI214" i="4" s="1"/>
  <c r="HF153" i="4" l="1"/>
  <c r="HD187" i="4"/>
  <c r="HE187" i="4" s="1"/>
  <c r="HD192" i="4"/>
  <c r="HE192" i="4" s="1"/>
  <c r="HD208" i="4"/>
  <c r="HE208" i="4" s="1"/>
  <c r="L153" i="4"/>
  <c r="GK153" i="4"/>
  <c r="M153" i="4" l="1"/>
  <c r="HF208" i="4"/>
  <c r="HF187" i="4"/>
  <c r="HF192" i="4"/>
  <c r="GG166" i="4"/>
  <c r="G279" i="4"/>
  <c r="K279" i="4"/>
  <c r="GE279" i="4"/>
  <c r="GH279" i="4" s="1"/>
  <c r="L279" i="4" s="1"/>
  <c r="GL279" i="4" l="1"/>
  <c r="GK279" i="4"/>
  <c r="HG279" i="4" s="1"/>
  <c r="HD279" i="4" s="1"/>
  <c r="FX279" i="4"/>
  <c r="FV279" i="4"/>
  <c r="H279" i="4" s="1"/>
  <c r="FZ279" i="4"/>
  <c r="GD279" i="4"/>
  <c r="GB279" i="4"/>
  <c r="FY279" i="4"/>
  <c r="GC279" i="4"/>
  <c r="GG131" i="4"/>
  <c r="GI131" i="4" s="1"/>
  <c r="GE131" i="4"/>
  <c r="GG126" i="4"/>
  <c r="GI126" i="4" s="1"/>
  <c r="GG121" i="4"/>
  <c r="GI121" i="4" s="1"/>
  <c r="GG116" i="4"/>
  <c r="GI116" i="4" s="1"/>
  <c r="GG115" i="4"/>
  <c r="GI115" i="4" s="1"/>
  <c r="GG113" i="4"/>
  <c r="GG106" i="4"/>
  <c r="GI106" i="4" s="1"/>
  <c r="GG97" i="4"/>
  <c r="GG92" i="4"/>
  <c r="GI92" i="4" s="1"/>
  <c r="GG91" i="4"/>
  <c r="GE98" i="4"/>
  <c r="GE99" i="4"/>
  <c r="GE100" i="4"/>
  <c r="GE101" i="4"/>
  <c r="GE102" i="4"/>
  <c r="GE104" i="4"/>
  <c r="GE105" i="4"/>
  <c r="GE106" i="4"/>
  <c r="GE107" i="4"/>
  <c r="GH107" i="4" s="1"/>
  <c r="L107" i="4" s="1"/>
  <c r="GE108" i="4"/>
  <c r="GH108" i="4" s="1"/>
  <c r="L108" i="4" s="1"/>
  <c r="GE109" i="4"/>
  <c r="GE110" i="4"/>
  <c r="GH110" i="4" s="1"/>
  <c r="L110" i="4" s="1"/>
  <c r="GE111" i="4"/>
  <c r="GH111" i="4" s="1"/>
  <c r="L111" i="4" s="1"/>
  <c r="GE112" i="4"/>
  <c r="GH112" i="4" s="1"/>
  <c r="L112" i="4" s="1"/>
  <c r="GE113" i="4"/>
  <c r="GE114" i="4"/>
  <c r="GH114" i="4" s="1"/>
  <c r="L114" i="4" s="1"/>
  <c r="GE115" i="4"/>
  <c r="GE116" i="4"/>
  <c r="GE117" i="4"/>
  <c r="GH117" i="4" s="1"/>
  <c r="L117" i="4" s="1"/>
  <c r="GE118" i="4"/>
  <c r="GH118" i="4" s="1"/>
  <c r="L118" i="4" s="1"/>
  <c r="GE119" i="4"/>
  <c r="GH119" i="4" s="1"/>
  <c r="L119" i="4" s="1"/>
  <c r="GE120" i="4"/>
  <c r="GH120" i="4" s="1"/>
  <c r="L120" i="4" s="1"/>
  <c r="GE121" i="4"/>
  <c r="GE122" i="4"/>
  <c r="GE123" i="4"/>
  <c r="GH123" i="4" s="1"/>
  <c r="L123" i="4" s="1"/>
  <c r="GE124" i="4"/>
  <c r="GH124" i="4" s="1"/>
  <c r="L124" i="4" s="1"/>
  <c r="GE125" i="4"/>
  <c r="GH125" i="4" s="1"/>
  <c r="L125" i="4" s="1"/>
  <c r="GE126" i="4"/>
  <c r="GE97" i="4"/>
  <c r="GE92" i="4"/>
  <c r="GE91" i="4"/>
  <c r="GE132" i="4"/>
  <c r="GH132" i="4" s="1"/>
  <c r="K126" i="4"/>
  <c r="FV126" i="4" s="1"/>
  <c r="K121" i="4"/>
  <c r="FV121" i="4" s="1"/>
  <c r="K116" i="4"/>
  <c r="FV116" i="4" s="1"/>
  <c r="K115" i="4"/>
  <c r="FV115" i="4" s="1"/>
  <c r="GJ131" i="4"/>
  <c r="K113" i="4"/>
  <c r="FV113" i="4" s="1"/>
  <c r="GJ126" i="4"/>
  <c r="GJ121" i="4"/>
  <c r="GJ116" i="4"/>
  <c r="GJ115" i="4"/>
  <c r="GJ113" i="4"/>
  <c r="GJ106" i="4"/>
  <c r="K106" i="4"/>
  <c r="FV106" i="4" s="1"/>
  <c r="GJ97" i="4"/>
  <c r="K97" i="4"/>
  <c r="FV97" i="4" s="1"/>
  <c r="HD131" i="4" l="1"/>
  <c r="HE131" i="4" s="1"/>
  <c r="HD106" i="4"/>
  <c r="HE106" i="4" s="1"/>
  <c r="HD115" i="4"/>
  <c r="HE115" i="4" s="1"/>
  <c r="HD116" i="4"/>
  <c r="HE116" i="4" s="1"/>
  <c r="HD92" i="4"/>
  <c r="HE92" i="4" s="1"/>
  <c r="HD121" i="4"/>
  <c r="HE121" i="4" s="1"/>
  <c r="HD126" i="4"/>
  <c r="HE126" i="4" s="1"/>
  <c r="M279" i="4"/>
  <c r="C97" i="4"/>
  <c r="C113" i="4"/>
  <c r="C121" i="4"/>
  <c r="C115" i="4"/>
  <c r="C116" i="4"/>
  <c r="C106" i="4"/>
  <c r="C279" i="4"/>
  <c r="C126" i="4"/>
  <c r="FH97" i="4"/>
  <c r="FI97" i="4" s="1"/>
  <c r="FJ97" i="4"/>
  <c r="FK97" i="4" s="1"/>
  <c r="FL97" i="4"/>
  <c r="FM97" i="4" s="1"/>
  <c r="FF121" i="4"/>
  <c r="FG121" i="4" s="1"/>
  <c r="FJ121" i="4"/>
  <c r="FK121" i="4" s="1"/>
  <c r="FL121" i="4"/>
  <c r="FM121" i="4" s="1"/>
  <c r="FJ116" i="4"/>
  <c r="FK116" i="4" s="1"/>
  <c r="FL116" i="4"/>
  <c r="FM116" i="4" s="1"/>
  <c r="FH116" i="4"/>
  <c r="FI116" i="4" s="1"/>
  <c r="FF116" i="4"/>
  <c r="FG116" i="4" s="1"/>
  <c r="FF106" i="4"/>
  <c r="FG106" i="4" s="1"/>
  <c r="FH106" i="4"/>
  <c r="FI106" i="4" s="1"/>
  <c r="FL106" i="4"/>
  <c r="FM106" i="4" s="1"/>
  <c r="FF279" i="4"/>
  <c r="FG279" i="4" s="1"/>
  <c r="FL279" i="4"/>
  <c r="FM279" i="4" s="1"/>
  <c r="FH279" i="4"/>
  <c r="FI279" i="4" s="1"/>
  <c r="FJ279" i="4"/>
  <c r="FK279" i="4" s="1"/>
  <c r="FF126" i="4"/>
  <c r="FG126" i="4" s="1"/>
  <c r="FH126" i="4"/>
  <c r="FI126" i="4" s="1"/>
  <c r="FJ126" i="4"/>
  <c r="FK126" i="4" s="1"/>
  <c r="FF115" i="4"/>
  <c r="FG115" i="4" s="1"/>
  <c r="FH115" i="4"/>
  <c r="FI115" i="4" s="1"/>
  <c r="FL115" i="4"/>
  <c r="FM115" i="4" s="1"/>
  <c r="FJ113" i="4"/>
  <c r="FK113" i="4" s="1"/>
  <c r="FF113" i="4"/>
  <c r="FG113" i="4" s="1"/>
  <c r="FH113" i="4"/>
  <c r="FI113" i="4" s="1"/>
  <c r="FB106" i="4"/>
  <c r="FD106" i="4"/>
  <c r="FD116" i="4"/>
  <c r="FB279" i="4"/>
  <c r="FB97" i="4"/>
  <c r="FD97" i="4"/>
  <c r="FD126" i="4"/>
  <c r="FB126" i="4"/>
  <c r="FD115" i="4"/>
  <c r="FB115" i="4"/>
  <c r="FB121" i="4"/>
  <c r="FD121" i="4"/>
  <c r="FD113" i="4"/>
  <c r="FB113" i="4"/>
  <c r="HF92" i="4"/>
  <c r="GH116" i="4"/>
  <c r="GK116" i="4" s="1"/>
  <c r="GA126" i="4"/>
  <c r="GW126" i="4" s="1"/>
  <c r="GA106" i="4"/>
  <c r="GW106" i="4" s="1"/>
  <c r="GA115" i="4"/>
  <c r="GO115" i="4" s="1"/>
  <c r="GA121" i="4"/>
  <c r="R121" i="4" s="1"/>
  <c r="GA113" i="4"/>
  <c r="GU113" i="4" s="1"/>
  <c r="GA279" i="4"/>
  <c r="GA116" i="4"/>
  <c r="GU116" i="4" s="1"/>
  <c r="GA97" i="4"/>
  <c r="GW97" i="4" s="1"/>
  <c r="GK132" i="4"/>
  <c r="L132" i="4"/>
  <c r="GH92" i="4"/>
  <c r="L92" i="4" s="1"/>
  <c r="M92" i="4" s="1"/>
  <c r="GH131" i="4"/>
  <c r="GK131" i="4" s="1"/>
  <c r="GH91" i="4"/>
  <c r="GH113" i="4"/>
  <c r="GH126" i="4"/>
  <c r="L126" i="4" s="1"/>
  <c r="M126" i="4" s="1"/>
  <c r="GH115" i="4"/>
  <c r="GL115" i="4" s="1"/>
  <c r="GH97" i="4"/>
  <c r="GH121" i="4"/>
  <c r="L121" i="4" s="1"/>
  <c r="M121" i="4" s="1"/>
  <c r="GI91" i="4"/>
  <c r="GI97" i="4"/>
  <c r="GI113" i="4"/>
  <c r="GL132" i="4"/>
  <c r="GH106" i="4"/>
  <c r="GK106" i="4" s="1"/>
  <c r="K92" i="4"/>
  <c r="FV92" i="4" s="1"/>
  <c r="GJ92" i="4"/>
  <c r="K91" i="4"/>
  <c r="FV91" i="4" s="1"/>
  <c r="GJ91" i="4"/>
  <c r="HH121" i="4" l="1"/>
  <c r="HH126" i="4"/>
  <c r="HF115" i="4"/>
  <c r="HD113" i="4"/>
  <c r="HE113" i="4" s="1"/>
  <c r="HD97" i="4"/>
  <c r="HE97" i="4" s="1"/>
  <c r="HD91" i="4"/>
  <c r="HE91" i="4" s="1"/>
  <c r="DJ279" i="4"/>
  <c r="HH279" i="4"/>
  <c r="EV126" i="4"/>
  <c r="EW126" i="4" s="1"/>
  <c r="EZ126" i="4"/>
  <c r="FA126" i="4" s="1"/>
  <c r="EX126" i="4"/>
  <c r="EY126" i="4" s="1"/>
  <c r="EV106" i="4"/>
  <c r="EW106" i="4" s="1"/>
  <c r="EZ106" i="4"/>
  <c r="FA106" i="4" s="1"/>
  <c r="EX106" i="4"/>
  <c r="EY106" i="4" s="1"/>
  <c r="EX113" i="4"/>
  <c r="EY113" i="4" s="1"/>
  <c r="EV116" i="4"/>
  <c r="EW116" i="4" s="1"/>
  <c r="EZ113" i="4"/>
  <c r="FA113" i="4" s="1"/>
  <c r="EX116" i="4"/>
  <c r="EY116" i="4" s="1"/>
  <c r="EV113" i="4"/>
  <c r="EW113" i="4" s="1"/>
  <c r="EZ116" i="4"/>
  <c r="FA116" i="4" s="1"/>
  <c r="EV115" i="4"/>
  <c r="EW115" i="4" s="1"/>
  <c r="EV121" i="4"/>
  <c r="EW121" i="4" s="1"/>
  <c r="EX115" i="4"/>
  <c r="EY115" i="4" s="1"/>
  <c r="EZ121" i="4"/>
  <c r="FA121" i="4" s="1"/>
  <c r="EZ115" i="4"/>
  <c r="FA115" i="4" s="1"/>
  <c r="EX121" i="4"/>
  <c r="EY121" i="4" s="1"/>
  <c r="EV279" i="4"/>
  <c r="EW279" i="4" s="1"/>
  <c r="EZ97" i="4"/>
  <c r="FA97" i="4" s="1"/>
  <c r="EX279" i="4"/>
  <c r="EY279" i="4" s="1"/>
  <c r="EX97" i="4"/>
  <c r="EY97" i="4" s="1"/>
  <c r="EZ279" i="4"/>
  <c r="FA279" i="4" s="1"/>
  <c r="EV97" i="4"/>
  <c r="EW97" i="4" s="1"/>
  <c r="EN106" i="4"/>
  <c r="EO106" i="4" s="1"/>
  <c r="ER113" i="4"/>
  <c r="ES113" i="4" s="1"/>
  <c r="EN116" i="4"/>
  <c r="EO116" i="4" s="1"/>
  <c r="EP116" i="4"/>
  <c r="EQ116" i="4" s="1"/>
  <c r="ER97" i="4"/>
  <c r="ES97" i="4" s="1"/>
  <c r="EP97" i="4"/>
  <c r="EQ97" i="4" s="1"/>
  <c r="ER115" i="4"/>
  <c r="ES115" i="4" s="1"/>
  <c r="EN126" i="4"/>
  <c r="EO126" i="4" s="1"/>
  <c r="ER126" i="4"/>
  <c r="ES126" i="4" s="1"/>
  <c r="ER106" i="4"/>
  <c r="ES106" i="4" s="1"/>
  <c r="ER121" i="4"/>
  <c r="ES121" i="4" s="1"/>
  <c r="EN279" i="4"/>
  <c r="EO279" i="4" s="1"/>
  <c r="EN113" i="4"/>
  <c r="EO113" i="4" s="1"/>
  <c r="EP279" i="4"/>
  <c r="EQ279" i="4" s="1"/>
  <c r="EN115" i="4"/>
  <c r="EO115" i="4" s="1"/>
  <c r="EP121" i="4"/>
  <c r="EQ121" i="4" s="1"/>
  <c r="C92" i="4"/>
  <c r="C91" i="4"/>
  <c r="FF92" i="4"/>
  <c r="FG92" i="4" s="1"/>
  <c r="FH92" i="4"/>
  <c r="FI92" i="4" s="1"/>
  <c r="FL92" i="4"/>
  <c r="FM92" i="4" s="1"/>
  <c r="FH91" i="4"/>
  <c r="FI91" i="4" s="1"/>
  <c r="FJ91" i="4"/>
  <c r="FK91" i="4" s="1"/>
  <c r="FL91" i="4"/>
  <c r="FM91" i="4" s="1"/>
  <c r="FE113" i="4"/>
  <c r="FC115" i="4"/>
  <c r="FE116" i="4"/>
  <c r="FE106" i="4"/>
  <c r="FC121" i="4"/>
  <c r="FE115" i="4"/>
  <c r="FC126" i="4"/>
  <c r="FC106" i="4"/>
  <c r="FE126" i="4"/>
  <c r="FC279" i="4"/>
  <c r="FE121" i="4"/>
  <c r="FE97" i="4"/>
  <c r="FC113" i="4"/>
  <c r="FC97" i="4"/>
  <c r="FD91" i="4"/>
  <c r="FB91" i="4"/>
  <c r="FD92" i="4"/>
  <c r="FB92" i="4"/>
  <c r="GS279" i="4"/>
  <c r="GO279" i="4"/>
  <c r="GM279" i="4"/>
  <c r="GU279" i="4"/>
  <c r="BM97" i="4"/>
  <c r="AU97" i="4"/>
  <c r="DQ106" i="4"/>
  <c r="AI106" i="4"/>
  <c r="AK106" i="4"/>
  <c r="AN106" i="4"/>
  <c r="BP106" i="4"/>
  <c r="BD97" i="4"/>
  <c r="CF116" i="4"/>
  <c r="AW97" i="4"/>
  <c r="CA116" i="4"/>
  <c r="CO97" i="4"/>
  <c r="DQ97" i="4"/>
  <c r="DC116" i="4"/>
  <c r="DO97" i="4"/>
  <c r="AN97" i="4"/>
  <c r="DA97" i="4"/>
  <c r="CR106" i="4"/>
  <c r="AK116" i="4"/>
  <c r="BW97" i="4"/>
  <c r="AY116" i="4"/>
  <c r="BY97" i="4"/>
  <c r="Z113" i="4"/>
  <c r="CR97" i="4"/>
  <c r="Z97" i="4"/>
  <c r="AU106" i="4"/>
  <c r="BM116" i="4"/>
  <c r="CH116" i="4"/>
  <c r="DM113" i="4"/>
  <c r="DT97" i="4"/>
  <c r="BB97" i="4"/>
  <c r="BW106" i="4"/>
  <c r="CO116" i="4"/>
  <c r="AY113" i="4"/>
  <c r="AP97" i="4"/>
  <c r="CD97" i="4"/>
  <c r="CY106" i="4"/>
  <c r="AR116" i="4"/>
  <c r="CY97" i="4"/>
  <c r="AK97" i="4"/>
  <c r="CR113" i="4"/>
  <c r="BR97" i="4"/>
  <c r="DF97" i="4"/>
  <c r="Z106" i="4"/>
  <c r="BT116" i="4"/>
  <c r="CD116" i="4"/>
  <c r="EA97" i="4"/>
  <c r="AI97" i="4"/>
  <c r="CM97" i="4"/>
  <c r="CT97" i="4"/>
  <c r="AB97" i="4"/>
  <c r="BB106" i="4"/>
  <c r="CV116" i="4"/>
  <c r="CF115" i="4"/>
  <c r="AY115" i="4"/>
  <c r="AK115" i="4"/>
  <c r="AR115" i="4"/>
  <c r="AP279" i="4"/>
  <c r="AG279" i="4"/>
  <c r="AU279" i="4"/>
  <c r="Z279" i="4"/>
  <c r="Z121" i="4"/>
  <c r="AB121" i="4"/>
  <c r="AK121" i="4"/>
  <c r="AR121" i="4"/>
  <c r="Z126" i="4"/>
  <c r="AD126" i="4"/>
  <c r="AK126" i="4"/>
  <c r="AR126" i="4"/>
  <c r="CH115" i="4"/>
  <c r="CA115" i="4"/>
  <c r="BM115" i="4"/>
  <c r="BK279" i="4"/>
  <c r="DM279" i="4"/>
  <c r="BW279" i="4"/>
  <c r="BB279" i="4"/>
  <c r="AD121" i="4"/>
  <c r="BD121" i="4"/>
  <c r="BM121" i="4"/>
  <c r="BT121" i="4"/>
  <c r="BB126" i="4"/>
  <c r="BF126" i="4"/>
  <c r="BM126" i="4"/>
  <c r="DT113" i="4"/>
  <c r="BM113" i="4"/>
  <c r="AP113" i="4"/>
  <c r="CD106" i="4"/>
  <c r="CD115" i="4"/>
  <c r="DC115" i="4"/>
  <c r="CO115" i="4"/>
  <c r="CV115" i="4"/>
  <c r="DV279" i="4"/>
  <c r="AI279" i="4"/>
  <c r="CY279" i="4"/>
  <c r="CD279" i="4"/>
  <c r="BB121" i="4"/>
  <c r="CF121" i="4"/>
  <c r="CO121" i="4"/>
  <c r="CV121" i="4"/>
  <c r="CD126" i="4"/>
  <c r="CH126" i="4"/>
  <c r="CO126" i="4"/>
  <c r="CV126" i="4"/>
  <c r="CO113" i="4"/>
  <c r="BK106" i="4"/>
  <c r="DT106" i="4"/>
  <c r="EA106" i="4"/>
  <c r="DF106" i="4"/>
  <c r="DF115" i="4"/>
  <c r="EE115" i="4"/>
  <c r="DQ115" i="4"/>
  <c r="DX115" i="4"/>
  <c r="AN279" i="4"/>
  <c r="EA279" i="4"/>
  <c r="DF279" i="4"/>
  <c r="DF116" i="4"/>
  <c r="EE116" i="4"/>
  <c r="DQ116" i="4"/>
  <c r="DX116" i="4"/>
  <c r="BF121" i="4"/>
  <c r="DH121" i="4"/>
  <c r="DQ121" i="4"/>
  <c r="DX121" i="4"/>
  <c r="DF126" i="4"/>
  <c r="DJ126" i="4"/>
  <c r="DQ126" i="4"/>
  <c r="DX126" i="4"/>
  <c r="DQ113" i="4"/>
  <c r="AK113" i="4"/>
  <c r="BD113" i="4"/>
  <c r="CT113" i="4"/>
  <c r="BM106" i="4"/>
  <c r="AP106" i="4"/>
  <c r="AW106" i="4"/>
  <c r="AB106" i="4"/>
  <c r="DH115" i="4"/>
  <c r="AG115" i="4"/>
  <c r="AN115" i="4"/>
  <c r="AU115" i="4"/>
  <c r="DT279" i="4"/>
  <c r="AK279" i="4"/>
  <c r="AW279" i="4"/>
  <c r="AB279" i="4"/>
  <c r="DH116" i="4"/>
  <c r="AG116" i="4"/>
  <c r="AN116" i="4"/>
  <c r="AU116" i="4"/>
  <c r="CD121" i="4"/>
  <c r="AG121" i="4"/>
  <c r="AN121" i="4"/>
  <c r="AU121" i="4"/>
  <c r="AY126" i="4"/>
  <c r="AG126" i="4"/>
  <c r="AN126" i="4"/>
  <c r="AU126" i="4"/>
  <c r="BI113" i="4"/>
  <c r="CK113" i="4"/>
  <c r="BF113" i="4"/>
  <c r="DV113" i="4"/>
  <c r="CM106" i="4"/>
  <c r="BR106" i="4"/>
  <c r="BY106" i="4"/>
  <c r="BD106" i="4"/>
  <c r="DJ115" i="4"/>
  <c r="BI115" i="4"/>
  <c r="BP115" i="4"/>
  <c r="BW115" i="4"/>
  <c r="BI279" i="4"/>
  <c r="BM279" i="4"/>
  <c r="BY279" i="4"/>
  <c r="BD279" i="4"/>
  <c r="DJ116" i="4"/>
  <c r="BI116" i="4"/>
  <c r="BP116" i="4"/>
  <c r="BW116" i="4"/>
  <c r="CH121" i="4"/>
  <c r="BI121" i="4"/>
  <c r="BP121" i="4"/>
  <c r="CA126" i="4"/>
  <c r="BI126" i="4"/>
  <c r="BP126" i="4"/>
  <c r="BW126" i="4"/>
  <c r="DF113" i="4"/>
  <c r="DX113" i="4"/>
  <c r="AI113" i="4"/>
  <c r="CF97" i="4"/>
  <c r="CO106" i="4"/>
  <c r="CT106" i="4"/>
  <c r="DA106" i="4"/>
  <c r="CF106" i="4"/>
  <c r="Z115" i="4"/>
  <c r="CK115" i="4"/>
  <c r="CR115" i="4"/>
  <c r="CY115" i="4"/>
  <c r="BP279" i="4"/>
  <c r="CO279" i="4"/>
  <c r="DA279" i="4"/>
  <c r="CF279" i="4"/>
  <c r="Z116" i="4"/>
  <c r="CK116" i="4"/>
  <c r="CR116" i="4"/>
  <c r="CY116" i="4"/>
  <c r="DF121" i="4"/>
  <c r="CK121" i="4"/>
  <c r="CR121" i="4"/>
  <c r="CY121" i="4"/>
  <c r="DC126" i="4"/>
  <c r="CK126" i="4"/>
  <c r="CR126" i="4"/>
  <c r="CY126" i="4"/>
  <c r="CV113" i="4"/>
  <c r="AB113" i="4"/>
  <c r="AR113" i="4"/>
  <c r="BK113" i="4"/>
  <c r="EA113" i="4"/>
  <c r="BK97" i="4"/>
  <c r="DV97" i="4"/>
  <c r="EC97" i="4"/>
  <c r="DH97" i="4"/>
  <c r="DO106" i="4"/>
  <c r="DV106" i="4"/>
  <c r="EC106" i="4"/>
  <c r="DH106" i="4"/>
  <c r="AB115" i="4"/>
  <c r="DM115" i="4"/>
  <c r="DT115" i="4"/>
  <c r="EA115" i="4"/>
  <c r="BR279" i="4"/>
  <c r="DQ279" i="4"/>
  <c r="EC279" i="4"/>
  <c r="DH279" i="4"/>
  <c r="AB116" i="4"/>
  <c r="DM116" i="4"/>
  <c r="DT116" i="4"/>
  <c r="EA116" i="4"/>
  <c r="DJ121" i="4"/>
  <c r="DM121" i="4"/>
  <c r="DT121" i="4"/>
  <c r="EA121" i="4"/>
  <c r="EE126" i="4"/>
  <c r="DM126" i="4"/>
  <c r="DT126" i="4"/>
  <c r="EA126" i="4"/>
  <c r="BR113" i="4"/>
  <c r="DH113" i="4"/>
  <c r="DC113" i="4"/>
  <c r="CY113" i="4"/>
  <c r="CF113" i="4"/>
  <c r="CM113" i="4"/>
  <c r="AW113" i="4"/>
  <c r="AG97" i="4"/>
  <c r="AR97" i="4"/>
  <c r="AY97" i="4"/>
  <c r="AD97" i="4"/>
  <c r="AG106" i="4"/>
  <c r="AR106" i="4"/>
  <c r="AY106" i="4"/>
  <c r="AD106" i="4"/>
  <c r="AD115" i="4"/>
  <c r="AI115" i="4"/>
  <c r="AP115" i="4"/>
  <c r="AW115" i="4"/>
  <c r="CK279" i="4"/>
  <c r="AR279" i="4"/>
  <c r="AY279" i="4"/>
  <c r="AD279" i="4"/>
  <c r="AD116" i="4"/>
  <c r="AI116" i="4"/>
  <c r="AP116" i="4"/>
  <c r="AW116" i="4"/>
  <c r="AY121" i="4"/>
  <c r="AI121" i="4"/>
  <c r="AP121" i="4"/>
  <c r="AW121" i="4"/>
  <c r="AB126" i="4"/>
  <c r="AI126" i="4"/>
  <c r="AP126" i="4"/>
  <c r="AW126" i="4"/>
  <c r="DJ113" i="4"/>
  <c r="EE113" i="4"/>
  <c r="DO113" i="4"/>
  <c r="BY113" i="4"/>
  <c r="BI97" i="4"/>
  <c r="BT97" i="4"/>
  <c r="CA97" i="4"/>
  <c r="BF97" i="4"/>
  <c r="BI106" i="4"/>
  <c r="BT106" i="4"/>
  <c r="BF106" i="4"/>
  <c r="BB115" i="4"/>
  <c r="BK115" i="4"/>
  <c r="BR115" i="4"/>
  <c r="BY115" i="4"/>
  <c r="CM279" i="4"/>
  <c r="BT279" i="4"/>
  <c r="CA279" i="4"/>
  <c r="BF279" i="4"/>
  <c r="BB116" i="4"/>
  <c r="BK116" i="4"/>
  <c r="BY116" i="4"/>
  <c r="CA121" i="4"/>
  <c r="BK121" i="4"/>
  <c r="BR121" i="4"/>
  <c r="BY121" i="4"/>
  <c r="BD126" i="4"/>
  <c r="BK126" i="4"/>
  <c r="BR126" i="4"/>
  <c r="BY126" i="4"/>
  <c r="AG113" i="4"/>
  <c r="AD113" i="4"/>
  <c r="AU113" i="4"/>
  <c r="AN113" i="4"/>
  <c r="DA113" i="4"/>
  <c r="CK97" i="4"/>
  <c r="CV97" i="4"/>
  <c r="DC97" i="4"/>
  <c r="CH97" i="4"/>
  <c r="CK106" i="4"/>
  <c r="CV106" i="4"/>
  <c r="DC106" i="4"/>
  <c r="CH106" i="4"/>
  <c r="BD115" i="4"/>
  <c r="CM115" i="4"/>
  <c r="CT115" i="4"/>
  <c r="DA115" i="4"/>
  <c r="CR279" i="4"/>
  <c r="CV279" i="4"/>
  <c r="DC279" i="4"/>
  <c r="CH279" i="4"/>
  <c r="BD116" i="4"/>
  <c r="CM116" i="4"/>
  <c r="CT116" i="4"/>
  <c r="DA116" i="4"/>
  <c r="DC121" i="4"/>
  <c r="CM121" i="4"/>
  <c r="CT121" i="4"/>
  <c r="DA121" i="4"/>
  <c r="CF126" i="4"/>
  <c r="CM126" i="4"/>
  <c r="CT126" i="4"/>
  <c r="DA126" i="4"/>
  <c r="CA113" i="4"/>
  <c r="BB113" i="4"/>
  <c r="CD113" i="4"/>
  <c r="BW113" i="4"/>
  <c r="CH113" i="4"/>
  <c r="BP113" i="4"/>
  <c r="EC113" i="4"/>
  <c r="DM97" i="4"/>
  <c r="DX97" i="4"/>
  <c r="EE97" i="4"/>
  <c r="DJ97" i="4"/>
  <c r="DM106" i="4"/>
  <c r="DX106" i="4"/>
  <c r="EE106" i="4"/>
  <c r="DJ106" i="4"/>
  <c r="BF115" i="4"/>
  <c r="DO115" i="4"/>
  <c r="DV115" i="4"/>
  <c r="EC115" i="4"/>
  <c r="CT279" i="4"/>
  <c r="DX279" i="4"/>
  <c r="EE279" i="4"/>
  <c r="BF116" i="4"/>
  <c r="DO116" i="4"/>
  <c r="DV116" i="4"/>
  <c r="EC116" i="4"/>
  <c r="EE121" i="4"/>
  <c r="DO121" i="4"/>
  <c r="DV121" i="4"/>
  <c r="EC121" i="4"/>
  <c r="DH126" i="4"/>
  <c r="DO126" i="4"/>
  <c r="DV126" i="4"/>
  <c r="EC126" i="4"/>
  <c r="FN97" i="4"/>
  <c r="GQ113" i="4"/>
  <c r="GO113" i="4"/>
  <c r="GQ106" i="4"/>
  <c r="GQ97" i="4"/>
  <c r="GO106" i="4"/>
  <c r="GQ115" i="4"/>
  <c r="GM97" i="4"/>
  <c r="GQ121" i="4"/>
  <c r="FN279" i="4"/>
  <c r="GM121" i="4"/>
  <c r="T113" i="4"/>
  <c r="GO116" i="4"/>
  <c r="V113" i="4"/>
  <c r="GM116" i="4"/>
  <c r="X97" i="4"/>
  <c r="T279" i="4"/>
  <c r="GO126" i="4"/>
  <c r="X279" i="4"/>
  <c r="GQ126" i="4"/>
  <c r="X121" i="4"/>
  <c r="FN126" i="4"/>
  <c r="T106" i="4"/>
  <c r="V121" i="4"/>
  <c r="FN113" i="4"/>
  <c r="V106" i="4"/>
  <c r="T126" i="4"/>
  <c r="V97" i="4"/>
  <c r="FN106" i="4"/>
  <c r="X116" i="4"/>
  <c r="V115" i="4"/>
  <c r="V126" i="4"/>
  <c r="FP121" i="4"/>
  <c r="T116" i="4"/>
  <c r="T115" i="4"/>
  <c r="FN116" i="4"/>
  <c r="FN115" i="4"/>
  <c r="FN121" i="4"/>
  <c r="R279" i="4"/>
  <c r="EH279" i="4"/>
  <c r="FP279" i="4"/>
  <c r="FP126" i="4"/>
  <c r="L116" i="4"/>
  <c r="GL116" i="4"/>
  <c r="GS97" i="4"/>
  <c r="GS116" i="4"/>
  <c r="HF106" i="4"/>
  <c r="GU126" i="4"/>
  <c r="GU106" i="4"/>
  <c r="HF116" i="4"/>
  <c r="GW115" i="4"/>
  <c r="GW121" i="4"/>
  <c r="HF126" i="4"/>
  <c r="HF113" i="4"/>
  <c r="HF131" i="4"/>
  <c r="GU115" i="4"/>
  <c r="GS121" i="4"/>
  <c r="HF121" i="4"/>
  <c r="GW113" i="4"/>
  <c r="HG132" i="4"/>
  <c r="HD132" i="4" s="1"/>
  <c r="N126" i="4"/>
  <c r="P106" i="4"/>
  <c r="N106" i="4"/>
  <c r="P126" i="4"/>
  <c r="P97" i="4"/>
  <c r="P113" i="4"/>
  <c r="N116" i="4"/>
  <c r="N113" i="4"/>
  <c r="N115" i="4"/>
  <c r="R97" i="4"/>
  <c r="R116" i="4"/>
  <c r="N279" i="4"/>
  <c r="P121" i="4"/>
  <c r="P115" i="4"/>
  <c r="GA91" i="4"/>
  <c r="P91" i="4" s="1"/>
  <c r="GA92" i="4"/>
  <c r="AD92" i="4" s="1"/>
  <c r="EH126" i="4"/>
  <c r="EH121" i="4"/>
  <c r="GL131" i="4"/>
  <c r="L97" i="4"/>
  <c r="M97" i="4" s="1"/>
  <c r="L91" i="4"/>
  <c r="M91" i="4" s="1"/>
  <c r="L131" i="4"/>
  <c r="L106" i="4"/>
  <c r="GL92" i="4"/>
  <c r="GK113" i="4"/>
  <c r="L115" i="4"/>
  <c r="L113" i="4"/>
  <c r="M113" i="4" s="1"/>
  <c r="GL121" i="4"/>
  <c r="GK126" i="4"/>
  <c r="GK121" i="4"/>
  <c r="GL126" i="4"/>
  <c r="GL113" i="4"/>
  <c r="GL91" i="4"/>
  <c r="GK115" i="4"/>
  <c r="GL97" i="4"/>
  <c r="GK97" i="4"/>
  <c r="GL106" i="4"/>
  <c r="GK92" i="4"/>
  <c r="GD92" i="4"/>
  <c r="GD126" i="4"/>
  <c r="GD121" i="4"/>
  <c r="FZ116" i="4"/>
  <c r="GD116" i="4"/>
  <c r="GD113" i="4"/>
  <c r="GJ89" i="4"/>
  <c r="GJ88" i="4"/>
  <c r="GJ87" i="4"/>
  <c r="GJ86" i="4"/>
  <c r="GJ85" i="4"/>
  <c r="GJ84" i="4"/>
  <c r="GJ83" i="4"/>
  <c r="GJ82" i="4"/>
  <c r="GJ81" i="4"/>
  <c r="GJ80" i="4"/>
  <c r="GJ76" i="4"/>
  <c r="GJ75" i="4"/>
  <c r="GK278" i="4"/>
  <c r="HG278" i="4" s="1"/>
  <c r="M278" i="4" s="1"/>
  <c r="GK91" i="4"/>
  <c r="GL278" i="4"/>
  <c r="GL125" i="4"/>
  <c r="GL124" i="4"/>
  <c r="GL123" i="4"/>
  <c r="GL120" i="4"/>
  <c r="GL119" i="4"/>
  <c r="GL118" i="4"/>
  <c r="GL117" i="4"/>
  <c r="GL114" i="4"/>
  <c r="GL112" i="4"/>
  <c r="GL111" i="4"/>
  <c r="GL110" i="4"/>
  <c r="GL108" i="4"/>
  <c r="GL107" i="4"/>
  <c r="GD97" i="4"/>
  <c r="GD115" i="4"/>
  <c r="GD91" i="4"/>
  <c r="GD106" i="4"/>
  <c r="GG122" i="4"/>
  <c r="GH122" i="4" s="1"/>
  <c r="GG109" i="4"/>
  <c r="GH109" i="4" s="1"/>
  <c r="HH91" i="4" l="1"/>
  <c r="M116" i="4"/>
  <c r="HH116" i="4"/>
  <c r="M132" i="4"/>
  <c r="HH97" i="4"/>
  <c r="HH113" i="4"/>
  <c r="M115" i="4"/>
  <c r="HH115" i="4"/>
  <c r="M106" i="4"/>
  <c r="HH106" i="4"/>
  <c r="HH92" i="4"/>
  <c r="M131" i="4"/>
  <c r="EV92" i="4"/>
  <c r="EW92" i="4" s="1"/>
  <c r="EV91" i="4"/>
  <c r="EW91" i="4" s="1"/>
  <c r="EZ92" i="4"/>
  <c r="FA92" i="4" s="1"/>
  <c r="EZ91" i="4"/>
  <c r="FA91" i="4" s="1"/>
  <c r="EX92" i="4"/>
  <c r="EY92" i="4" s="1"/>
  <c r="EX91" i="4"/>
  <c r="EY91" i="4" s="1"/>
  <c r="ER91" i="4"/>
  <c r="ES91" i="4" s="1"/>
  <c r="ER92" i="4"/>
  <c r="ES92" i="4" s="1"/>
  <c r="EN92" i="4"/>
  <c r="EO92" i="4" s="1"/>
  <c r="EP91" i="4"/>
  <c r="EQ91" i="4" s="1"/>
  <c r="FP106" i="4"/>
  <c r="FJ106" i="4" s="1"/>
  <c r="T121" i="4"/>
  <c r="EL121" i="4"/>
  <c r="X126" i="4"/>
  <c r="EL126" i="4"/>
  <c r="V279" i="4"/>
  <c r="EL279" i="4"/>
  <c r="FP115" i="4"/>
  <c r="BT115" i="4" s="1"/>
  <c r="FH121" i="4"/>
  <c r="FL126" i="4"/>
  <c r="GM126" i="4"/>
  <c r="GM106" i="4"/>
  <c r="FC92" i="4"/>
  <c r="FE92" i="4"/>
  <c r="FC91" i="4"/>
  <c r="GO121" i="4"/>
  <c r="FE91" i="4"/>
  <c r="GM115" i="4"/>
  <c r="GM113" i="4"/>
  <c r="GO97" i="4"/>
  <c r="GQ116" i="4"/>
  <c r="GQ279" i="4"/>
  <c r="FD279" i="4"/>
  <c r="DO91" i="4"/>
  <c r="DT91" i="4"/>
  <c r="EA91" i="4"/>
  <c r="CK92" i="4"/>
  <c r="DF91" i="4"/>
  <c r="CV92" i="4"/>
  <c r="DC92" i="4"/>
  <c r="CH92" i="4"/>
  <c r="BI92" i="4"/>
  <c r="BT92" i="4"/>
  <c r="CA92" i="4"/>
  <c r="BF92" i="4"/>
  <c r="CO91" i="4"/>
  <c r="CR91" i="4"/>
  <c r="CY91" i="4"/>
  <c r="CD91" i="4"/>
  <c r="DM92" i="4"/>
  <c r="DX92" i="4"/>
  <c r="EE92" i="4"/>
  <c r="DJ92" i="4"/>
  <c r="DQ91" i="4"/>
  <c r="AP91" i="4"/>
  <c r="AW91" i="4"/>
  <c r="AB91" i="4"/>
  <c r="DQ92" i="4"/>
  <c r="AN92" i="4"/>
  <c r="AU92" i="4"/>
  <c r="Z92" i="4"/>
  <c r="AI91" i="4"/>
  <c r="BR91" i="4"/>
  <c r="BY91" i="4"/>
  <c r="BD91" i="4"/>
  <c r="BW121" i="4"/>
  <c r="AI92" i="4"/>
  <c r="BP92" i="4"/>
  <c r="BW92" i="4"/>
  <c r="BB92" i="4"/>
  <c r="AK91" i="4"/>
  <c r="CT91" i="4"/>
  <c r="DA91" i="4"/>
  <c r="CF91" i="4"/>
  <c r="BT126" i="4"/>
  <c r="AK92" i="4"/>
  <c r="CR92" i="4"/>
  <c r="CY92" i="4"/>
  <c r="CD92" i="4"/>
  <c r="BK91" i="4"/>
  <c r="DV91" i="4"/>
  <c r="EC91" i="4"/>
  <c r="DH91" i="4"/>
  <c r="HD278" i="4"/>
  <c r="BK92" i="4"/>
  <c r="DT92" i="4"/>
  <c r="EA92" i="4"/>
  <c r="DF92" i="4"/>
  <c r="AG91" i="4"/>
  <c r="AR91" i="4"/>
  <c r="AY91" i="4"/>
  <c r="AD91" i="4"/>
  <c r="BM92" i="4"/>
  <c r="AP92" i="4"/>
  <c r="AW92" i="4"/>
  <c r="AB92" i="4"/>
  <c r="BI91" i="4"/>
  <c r="BT91" i="4"/>
  <c r="CA91" i="4"/>
  <c r="BF91" i="4"/>
  <c r="CM92" i="4"/>
  <c r="BR92" i="4"/>
  <c r="BY92" i="4"/>
  <c r="BD92" i="4"/>
  <c r="CK91" i="4"/>
  <c r="CV91" i="4"/>
  <c r="DC91" i="4"/>
  <c r="CH91" i="4"/>
  <c r="CO92" i="4"/>
  <c r="CT92" i="4"/>
  <c r="DA92" i="4"/>
  <c r="CF92" i="4"/>
  <c r="DM91" i="4"/>
  <c r="DX91" i="4"/>
  <c r="EE91" i="4"/>
  <c r="DJ91" i="4"/>
  <c r="DO279" i="4"/>
  <c r="DO92" i="4"/>
  <c r="DV92" i="4"/>
  <c r="EC92" i="4"/>
  <c r="DH92" i="4"/>
  <c r="BM91" i="4"/>
  <c r="AN91" i="4"/>
  <c r="AU91" i="4"/>
  <c r="Z91" i="4"/>
  <c r="AG92" i="4"/>
  <c r="AY92" i="4"/>
  <c r="CM91" i="4"/>
  <c r="BP91" i="4"/>
  <c r="BW91" i="4"/>
  <c r="HA279" i="4"/>
  <c r="GM91" i="4"/>
  <c r="GQ92" i="4"/>
  <c r="GO92" i="4"/>
  <c r="GQ91" i="4"/>
  <c r="V91" i="4"/>
  <c r="X91" i="4"/>
  <c r="V92" i="4"/>
  <c r="P279" i="4"/>
  <c r="T92" i="4"/>
  <c r="FP92" i="4"/>
  <c r="FN92" i="4"/>
  <c r="FN91" i="4"/>
  <c r="FP91" i="4"/>
  <c r="FP116" i="4"/>
  <c r="EH116" i="4"/>
  <c r="FP113" i="4"/>
  <c r="FP97" i="4"/>
  <c r="R126" i="4"/>
  <c r="HF97" i="4"/>
  <c r="HF91" i="4"/>
  <c r="GW92" i="4"/>
  <c r="GU92" i="4"/>
  <c r="GW91" i="4"/>
  <c r="GS91" i="4"/>
  <c r="R91" i="4"/>
  <c r="P92" i="4"/>
  <c r="N92" i="4"/>
  <c r="N121" i="4"/>
  <c r="EH91" i="4"/>
  <c r="HA278" i="4"/>
  <c r="HA121" i="4"/>
  <c r="HA126" i="4"/>
  <c r="EH92" i="4"/>
  <c r="EH97" i="4"/>
  <c r="EH113" i="4"/>
  <c r="EH115" i="4"/>
  <c r="EH106" i="4"/>
  <c r="GL122" i="4"/>
  <c r="L122" i="4"/>
  <c r="GL109" i="4"/>
  <c r="L109" i="4"/>
  <c r="FX113" i="4"/>
  <c r="GC113" i="4"/>
  <c r="FX116" i="4"/>
  <c r="FY116" i="4"/>
  <c r="FX92" i="4"/>
  <c r="FY92" i="4"/>
  <c r="FZ92" i="4"/>
  <c r="GB92" i="4"/>
  <c r="GC92" i="4"/>
  <c r="FX126" i="4"/>
  <c r="FY126" i="4"/>
  <c r="FZ126" i="4"/>
  <c r="GB126" i="4"/>
  <c r="GC126" i="4"/>
  <c r="FX121" i="4"/>
  <c r="FY121" i="4"/>
  <c r="FZ121" i="4"/>
  <c r="GB121" i="4"/>
  <c r="GC121" i="4"/>
  <c r="GB116" i="4"/>
  <c r="GC116" i="4"/>
  <c r="FY113" i="4"/>
  <c r="FZ113" i="4"/>
  <c r="GB113" i="4"/>
  <c r="FX97" i="4"/>
  <c r="FY97" i="4"/>
  <c r="FZ97" i="4"/>
  <c r="GB97" i="4"/>
  <c r="GC97" i="4"/>
  <c r="FX115" i="4"/>
  <c r="FY115" i="4"/>
  <c r="FZ115" i="4"/>
  <c r="GB115" i="4"/>
  <c r="GC115" i="4"/>
  <c r="FX91" i="4"/>
  <c r="FY91" i="4"/>
  <c r="FZ91" i="4"/>
  <c r="GB91" i="4"/>
  <c r="GC91" i="4"/>
  <c r="FX106" i="4"/>
  <c r="FY106" i="4"/>
  <c r="FZ106" i="4"/>
  <c r="GB106" i="4"/>
  <c r="GC106" i="4"/>
  <c r="P116" i="4" l="1"/>
  <c r="CA106" i="4"/>
  <c r="ER279" i="4"/>
  <c r="EN121" i="4"/>
  <c r="EP126" i="4"/>
  <c r="FJ115" i="4"/>
  <c r="FL113" i="4"/>
  <c r="EL113" i="4"/>
  <c r="FB116" i="4"/>
  <c r="EL116" i="4"/>
  <c r="T91" i="4"/>
  <c r="EL91" i="4"/>
  <c r="X92" i="4"/>
  <c r="EL92" i="4"/>
  <c r="X106" i="4"/>
  <c r="EL106" i="4"/>
  <c r="FF97" i="4"/>
  <c r="EL97" i="4"/>
  <c r="X115" i="4"/>
  <c r="EL115" i="4"/>
  <c r="FF91" i="4"/>
  <c r="FJ92" i="4"/>
  <c r="GO91" i="4"/>
  <c r="GM92" i="4"/>
  <c r="BB91" i="4"/>
  <c r="T97" i="4"/>
  <c r="BP97" i="4"/>
  <c r="X113" i="4"/>
  <c r="BT113" i="4"/>
  <c r="AR92" i="4"/>
  <c r="V116" i="4"/>
  <c r="BR116" i="4"/>
  <c r="HA92" i="4"/>
  <c r="HA116" i="4"/>
  <c r="N91" i="4"/>
  <c r="HA91" i="4"/>
  <c r="R92" i="4"/>
  <c r="HA97" i="4"/>
  <c r="N97" i="4"/>
  <c r="HA106" i="4"/>
  <c r="R106" i="4"/>
  <c r="HA115" i="4"/>
  <c r="R115" i="4"/>
  <c r="HA113" i="4"/>
  <c r="R113" i="4"/>
  <c r="A235" i="5"/>
  <c r="A231" i="5"/>
  <c r="A226" i="5"/>
  <c r="A215" i="5"/>
  <c r="A211" i="5"/>
  <c r="A206" i="5"/>
  <c r="A195" i="5"/>
  <c r="A191" i="5"/>
  <c r="A186" i="5"/>
  <c r="A175" i="5"/>
  <c r="A171" i="5"/>
  <c r="A166" i="5"/>
  <c r="A155" i="5"/>
  <c r="A151" i="5"/>
  <c r="A146" i="5"/>
  <c r="A135" i="5"/>
  <c r="A131" i="5"/>
  <c r="A126" i="5"/>
  <c r="A115" i="5"/>
  <c r="A111" i="5"/>
  <c r="A106" i="5"/>
  <c r="A95" i="5"/>
  <c r="A91" i="5"/>
  <c r="A86" i="5"/>
  <c r="A75" i="5"/>
  <c r="A71" i="5"/>
  <c r="A66" i="5"/>
  <c r="A55" i="5"/>
  <c r="A51" i="5"/>
  <c r="A46" i="5"/>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1010" i="1"/>
  <c r="D1011" i="1"/>
  <c r="D1012" i="1"/>
  <c r="GE409" i="4"/>
  <c r="GH409" i="4" s="1"/>
  <c r="GE406" i="4"/>
  <c r="GE427" i="4"/>
  <c r="GH427" i="4" s="1"/>
  <c r="GL427" i="4" s="1"/>
  <c r="GE399" i="4"/>
  <c r="GE425" i="4"/>
  <c r="GH425" i="4" s="1"/>
  <c r="GE424" i="4"/>
  <c r="GH424" i="4" s="1"/>
  <c r="GE423" i="4"/>
  <c r="GH423" i="4" s="1"/>
  <c r="GE422" i="4"/>
  <c r="GH422" i="4" s="1"/>
  <c r="GE413" i="4"/>
  <c r="GH413" i="4" s="1"/>
  <c r="GE408" i="4"/>
  <c r="GE405" i="4"/>
  <c r="GE398" i="4"/>
  <c r="GE401" i="4"/>
  <c r="GE397" i="4"/>
  <c r="GE396" i="4"/>
  <c r="GE367" i="4"/>
  <c r="GE395" i="4"/>
  <c r="GE394" i="4"/>
  <c r="GE392" i="4"/>
  <c r="GE391" i="4"/>
  <c r="GE387" i="4"/>
  <c r="GE386" i="4"/>
  <c r="GE385" i="4"/>
  <c r="GE384" i="4"/>
  <c r="GE383" i="4"/>
  <c r="GE381" i="4"/>
  <c r="GE393" i="4"/>
  <c r="GE390" i="4"/>
  <c r="GE379" i="4"/>
  <c r="GE378" i="4"/>
  <c r="GE375" i="4"/>
  <c r="GE374" i="4"/>
  <c r="GE373" i="4"/>
  <c r="GE371" i="4"/>
  <c r="GE370" i="4"/>
  <c r="GE389" i="4"/>
  <c r="GE369" i="4"/>
  <c r="GE368" i="4"/>
  <c r="GE365" i="4"/>
  <c r="GE364" i="4"/>
  <c r="GE363" i="4"/>
  <c r="GE332" i="4"/>
  <c r="GE372" i="4"/>
  <c r="GE361" i="4"/>
  <c r="GE360" i="4"/>
  <c r="GE359" i="4"/>
  <c r="GE358" i="4"/>
  <c r="GE357" i="4"/>
  <c r="GE356" i="4"/>
  <c r="GE355" i="4"/>
  <c r="GE354" i="4"/>
  <c r="GE350" i="4"/>
  <c r="GE349" i="4"/>
  <c r="GE382" i="4"/>
  <c r="GE348" i="4"/>
  <c r="GE377" i="4"/>
  <c r="GE347" i="4"/>
  <c r="GE344" i="4"/>
  <c r="GE343" i="4"/>
  <c r="GE342" i="4"/>
  <c r="GE341" i="4"/>
  <c r="GE340" i="4"/>
  <c r="GE339" i="4"/>
  <c r="GE338" i="4"/>
  <c r="GE337" i="4"/>
  <c r="GE336" i="4"/>
  <c r="GE346" i="4"/>
  <c r="GE334" i="4"/>
  <c r="GE331" i="4"/>
  <c r="GE330" i="4"/>
  <c r="GE329" i="4"/>
  <c r="GE328" i="4"/>
  <c r="GE327" i="4"/>
  <c r="GE326" i="4"/>
  <c r="GE325" i="4"/>
  <c r="GE321" i="4"/>
  <c r="GE353" i="4"/>
  <c r="GE335" i="4"/>
  <c r="GE320" i="4"/>
  <c r="GE319" i="4"/>
  <c r="GE318" i="4"/>
  <c r="GE317" i="4"/>
  <c r="GE316" i="4"/>
  <c r="GE315" i="4"/>
  <c r="GE314" i="4"/>
  <c r="GE311" i="4"/>
  <c r="GE310" i="4"/>
  <c r="GE309" i="4"/>
  <c r="GE308" i="4"/>
  <c r="GE307" i="4"/>
  <c r="GE306" i="4"/>
  <c r="GE345" i="4"/>
  <c r="GE305" i="4"/>
  <c r="GE304" i="4"/>
  <c r="GE303" i="4"/>
  <c r="GE302" i="4"/>
  <c r="GE301" i="4"/>
  <c r="GE300" i="4"/>
  <c r="GE299" i="4"/>
  <c r="GE297" i="4"/>
  <c r="GE296" i="4"/>
  <c r="GE293" i="4"/>
  <c r="GE292" i="4"/>
  <c r="GE291" i="4"/>
  <c r="GE324" i="4"/>
  <c r="GE290" i="4"/>
  <c r="GE288" i="4"/>
  <c r="GE287" i="4"/>
  <c r="GE286" i="4"/>
  <c r="GE285" i="4"/>
  <c r="GE284" i="4"/>
  <c r="GE283" i="4"/>
  <c r="GH283" i="4" s="1"/>
  <c r="GL283" i="4" s="1"/>
  <c r="GE282" i="4"/>
  <c r="GE313" i="4"/>
  <c r="GE281" i="4"/>
  <c r="GE280" i="4"/>
  <c r="GE273" i="4"/>
  <c r="GE272" i="4"/>
  <c r="GE271" i="4"/>
  <c r="GE270" i="4"/>
  <c r="GE269" i="4"/>
  <c r="GE268" i="4"/>
  <c r="GE267" i="4"/>
  <c r="GE266" i="4"/>
  <c r="GE265" i="4"/>
  <c r="GE264" i="4"/>
  <c r="GE323" i="4"/>
  <c r="GE263" i="4"/>
  <c r="GH263" i="4" s="1"/>
  <c r="GL263" i="4" s="1"/>
  <c r="GE262" i="4"/>
  <c r="GE261" i="4"/>
  <c r="GE260" i="4"/>
  <c r="GE298" i="4"/>
  <c r="GE259" i="4"/>
  <c r="GE258" i="4"/>
  <c r="GE257" i="4"/>
  <c r="GE256" i="4"/>
  <c r="GE255" i="4"/>
  <c r="GE254" i="4"/>
  <c r="GE253" i="4"/>
  <c r="GE252" i="4"/>
  <c r="GE251" i="4"/>
  <c r="GE250" i="4"/>
  <c r="GE249" i="4"/>
  <c r="GE248" i="4"/>
  <c r="GE247" i="4"/>
  <c r="GE246" i="4"/>
  <c r="GE245" i="4"/>
  <c r="GE244" i="4"/>
  <c r="GE243" i="4"/>
  <c r="GE242" i="4"/>
  <c r="GE241" i="4"/>
  <c r="GE240" i="4"/>
  <c r="GE239" i="4"/>
  <c r="GE238" i="4"/>
  <c r="GE235" i="4"/>
  <c r="GE234" i="4"/>
  <c r="GE233" i="4"/>
  <c r="GE232" i="4"/>
  <c r="GE231" i="4"/>
  <c r="GE230" i="4"/>
  <c r="GE229" i="4"/>
  <c r="GE228" i="4"/>
  <c r="GE227" i="4"/>
  <c r="GE226" i="4"/>
  <c r="GE225" i="4"/>
  <c r="GE224" i="4"/>
  <c r="GE223" i="4"/>
  <c r="GE222" i="4"/>
  <c r="GE221" i="4"/>
  <c r="GE220" i="4"/>
  <c r="GE219" i="4"/>
  <c r="GE218" i="4"/>
  <c r="GE217" i="4"/>
  <c r="GE216" i="4"/>
  <c r="GE215" i="4"/>
  <c r="GE214" i="4"/>
  <c r="GE213" i="4"/>
  <c r="GE212" i="4"/>
  <c r="GE211" i="4"/>
  <c r="GE210" i="4"/>
  <c r="GE209" i="4"/>
  <c r="GE208" i="4"/>
  <c r="GE207" i="4"/>
  <c r="GE206" i="4"/>
  <c r="GE205" i="4"/>
  <c r="GE201" i="4"/>
  <c r="GE200" i="4"/>
  <c r="GE199" i="4"/>
  <c r="GE198" i="4"/>
  <c r="GE197" i="4"/>
  <c r="GE196" i="4"/>
  <c r="GE195" i="4"/>
  <c r="GE193" i="4"/>
  <c r="GE192" i="4"/>
  <c r="GE191" i="4"/>
  <c r="GE190" i="4"/>
  <c r="GE189" i="4"/>
  <c r="GE188" i="4"/>
  <c r="GE187" i="4"/>
  <c r="GE186" i="4"/>
  <c r="GE185" i="4"/>
  <c r="GE184" i="4"/>
  <c r="GE183" i="4"/>
  <c r="GE182" i="4"/>
  <c r="GE181" i="4"/>
  <c r="GE180" i="4"/>
  <c r="GE179" i="4"/>
  <c r="GE178" i="4"/>
  <c r="GE177" i="4"/>
  <c r="GE176" i="4"/>
  <c r="GE175" i="4"/>
  <c r="GE174" i="4"/>
  <c r="GE173" i="4"/>
  <c r="GE172" i="4"/>
  <c r="GE171" i="4"/>
  <c r="GE170" i="4"/>
  <c r="GE169" i="4"/>
  <c r="GE168" i="4"/>
  <c r="GE167" i="4"/>
  <c r="GE166" i="4"/>
  <c r="GE165" i="4"/>
  <c r="GE164" i="4"/>
  <c r="GE163" i="4"/>
  <c r="GE162" i="4"/>
  <c r="GE161" i="4"/>
  <c r="GE160" i="4"/>
  <c r="GE159" i="4"/>
  <c r="GE158" i="4"/>
  <c r="GE157" i="4"/>
  <c r="GE156" i="4"/>
  <c r="GE155" i="4"/>
  <c r="GE154" i="4"/>
  <c r="GE152" i="4"/>
  <c r="GE151" i="4"/>
  <c r="GE150" i="4"/>
  <c r="GE149" i="4"/>
  <c r="GE148" i="4"/>
  <c r="GE147" i="4"/>
  <c r="GE146" i="4"/>
  <c r="GE143" i="4"/>
  <c r="GE142" i="4"/>
  <c r="GE141" i="4"/>
  <c r="GE140" i="4"/>
  <c r="GE139" i="4"/>
  <c r="GE138" i="4"/>
  <c r="GE137" i="4"/>
  <c r="GE136" i="4"/>
  <c r="GE135" i="4"/>
  <c r="GE134" i="4"/>
  <c r="GE133" i="4"/>
  <c r="GE129" i="4"/>
  <c r="GE128" i="4"/>
  <c r="GE127" i="4"/>
  <c r="GE96" i="4"/>
  <c r="GE95" i="4"/>
  <c r="GE94" i="4"/>
  <c r="GE93" i="4"/>
  <c r="GE90" i="4"/>
  <c r="GE89" i="4"/>
  <c r="GE88" i="4"/>
  <c r="GE87" i="4"/>
  <c r="GE86" i="4"/>
  <c r="GE85" i="4"/>
  <c r="GE84" i="4"/>
  <c r="GE83" i="4"/>
  <c r="GE82" i="4"/>
  <c r="GE81" i="4"/>
  <c r="GE80" i="4"/>
  <c r="GE79" i="4"/>
  <c r="GE78" i="4"/>
  <c r="GE77" i="4"/>
  <c r="GE76" i="4"/>
  <c r="GE75" i="4"/>
  <c r="GE74" i="4"/>
  <c r="GE73" i="4"/>
  <c r="GE72" i="4"/>
  <c r="GE71" i="4"/>
  <c r="GE70" i="4"/>
  <c r="GE69" i="4"/>
  <c r="GE68" i="4"/>
  <c r="GE67" i="4"/>
  <c r="GE66" i="4"/>
  <c r="GE65" i="4"/>
  <c r="GE64" i="4"/>
  <c r="GE63" i="4"/>
  <c r="GE62" i="4"/>
  <c r="FV399" i="4"/>
  <c r="FV408" i="4"/>
  <c r="H408" i="4" s="1"/>
  <c r="FV398" i="4"/>
  <c r="K396" i="4"/>
  <c r="K367" i="4"/>
  <c r="K395" i="4"/>
  <c r="K394" i="4"/>
  <c r="K392" i="4"/>
  <c r="FV392" i="4" s="1"/>
  <c r="K391" i="4"/>
  <c r="K387" i="4"/>
  <c r="FV387" i="4" s="1"/>
  <c r="H387" i="4" s="1"/>
  <c r="K386" i="4"/>
  <c r="FV386" i="4" s="1"/>
  <c r="H386" i="4" s="1"/>
  <c r="K385" i="4"/>
  <c r="K384" i="4"/>
  <c r="K383" i="4"/>
  <c r="K381" i="4"/>
  <c r="K393" i="4"/>
  <c r="FV393" i="4" s="1"/>
  <c r="H393" i="4" s="1"/>
  <c r="K390" i="4"/>
  <c r="K379" i="4"/>
  <c r="FV379" i="4" s="1"/>
  <c r="H379" i="4" s="1"/>
  <c r="K378" i="4"/>
  <c r="FV378" i="4" s="1"/>
  <c r="H378" i="4" s="1"/>
  <c r="K375" i="4"/>
  <c r="FV375" i="4" s="1"/>
  <c r="H375" i="4" s="1"/>
  <c r="K374" i="4"/>
  <c r="K373" i="4"/>
  <c r="K371" i="4"/>
  <c r="K370" i="4"/>
  <c r="K389" i="4"/>
  <c r="FV389" i="4" s="1"/>
  <c r="K369" i="4"/>
  <c r="FV369" i="4" s="1"/>
  <c r="H369" i="4" s="1"/>
  <c r="K368" i="4"/>
  <c r="K365" i="4"/>
  <c r="K364" i="4"/>
  <c r="FV364" i="4" s="1"/>
  <c r="H364" i="4" s="1"/>
  <c r="K363" i="4"/>
  <c r="FV363" i="4" s="1"/>
  <c r="H363" i="4" s="1"/>
  <c r="K332" i="4"/>
  <c r="K372" i="4"/>
  <c r="K361" i="4"/>
  <c r="K360" i="4"/>
  <c r="FV360" i="4" s="1"/>
  <c r="H360" i="4" s="1"/>
  <c r="K359" i="4"/>
  <c r="FV359" i="4" s="1"/>
  <c r="H359" i="4" s="1"/>
  <c r="K358" i="4"/>
  <c r="FV358" i="4" s="1"/>
  <c r="H358" i="4" s="1"/>
  <c r="K357" i="4"/>
  <c r="FV357" i="4" s="1"/>
  <c r="H357" i="4" s="1"/>
  <c r="K356" i="4"/>
  <c r="K355" i="4"/>
  <c r="FV355" i="4" s="1"/>
  <c r="H355" i="4" s="1"/>
  <c r="K354" i="4"/>
  <c r="FV354" i="4" s="1"/>
  <c r="H354" i="4" s="1"/>
  <c r="K350" i="4"/>
  <c r="K349" i="4"/>
  <c r="FV349" i="4" s="1"/>
  <c r="K382" i="4"/>
  <c r="FV382" i="4" s="1"/>
  <c r="H382" i="4" s="1"/>
  <c r="K348" i="4"/>
  <c r="FV348" i="4" s="1"/>
  <c r="H348" i="4" s="1"/>
  <c r="K377" i="4"/>
  <c r="FV377" i="4" s="1"/>
  <c r="H377" i="4" s="1"/>
  <c r="K347" i="4"/>
  <c r="FV347" i="4" s="1"/>
  <c r="H347" i="4" s="1"/>
  <c r="K344" i="4"/>
  <c r="FV344" i="4" s="1"/>
  <c r="H344" i="4" s="1"/>
  <c r="K343" i="4"/>
  <c r="K342" i="4"/>
  <c r="FV342" i="4" s="1"/>
  <c r="H342" i="4" s="1"/>
  <c r="K341" i="4"/>
  <c r="FV341" i="4" s="1"/>
  <c r="H341" i="4" s="1"/>
  <c r="K340" i="4"/>
  <c r="FV340" i="4" s="1"/>
  <c r="H340" i="4" s="1"/>
  <c r="K339" i="4"/>
  <c r="FV339" i="4" s="1"/>
  <c r="H339" i="4" s="1"/>
  <c r="K338" i="4"/>
  <c r="K337" i="4"/>
  <c r="FV337" i="4" s="1"/>
  <c r="H337" i="4" s="1"/>
  <c r="K336" i="4"/>
  <c r="K346" i="4"/>
  <c r="K334" i="4"/>
  <c r="FV334" i="4" s="1"/>
  <c r="H334" i="4" s="1"/>
  <c r="K331" i="4"/>
  <c r="FV331" i="4" s="1"/>
  <c r="K330" i="4"/>
  <c r="FV330" i="4" s="1"/>
  <c r="H330" i="4" s="1"/>
  <c r="K329" i="4"/>
  <c r="FV329" i="4" s="1"/>
  <c r="H329" i="4" s="1"/>
  <c r="K328" i="4"/>
  <c r="K327" i="4"/>
  <c r="K326" i="4"/>
  <c r="K325" i="4"/>
  <c r="FV325" i="4" s="1"/>
  <c r="H325" i="4" s="1"/>
  <c r="K321" i="4"/>
  <c r="K353" i="4"/>
  <c r="K335" i="4"/>
  <c r="FV335" i="4" s="1"/>
  <c r="H335" i="4" s="1"/>
  <c r="K320" i="4"/>
  <c r="FV320" i="4" s="1"/>
  <c r="H320" i="4" s="1"/>
  <c r="K319" i="4"/>
  <c r="FV319" i="4" s="1"/>
  <c r="K318" i="4"/>
  <c r="FV318" i="4" s="1"/>
  <c r="H318" i="4" s="1"/>
  <c r="K317" i="4"/>
  <c r="FV317" i="4" s="1"/>
  <c r="H317" i="4" s="1"/>
  <c r="K316" i="4"/>
  <c r="K315" i="4"/>
  <c r="FV315" i="4" s="1"/>
  <c r="H315" i="4" s="1"/>
  <c r="K314" i="4"/>
  <c r="FV314" i="4" s="1"/>
  <c r="H314" i="4" s="1"/>
  <c r="K311" i="4"/>
  <c r="K310" i="4"/>
  <c r="FV310" i="4" s="1"/>
  <c r="H310" i="4" s="1"/>
  <c r="K309" i="4"/>
  <c r="FV309" i="4" s="1"/>
  <c r="H309" i="4" s="1"/>
  <c r="K308" i="4"/>
  <c r="FV308" i="4" s="1"/>
  <c r="H308" i="4" s="1"/>
  <c r="K307" i="4"/>
  <c r="K306" i="4"/>
  <c r="FV306" i="4" s="1"/>
  <c r="H306" i="4" s="1"/>
  <c r="K345" i="4"/>
  <c r="K305" i="4"/>
  <c r="FV305" i="4" s="1"/>
  <c r="H305" i="4" s="1"/>
  <c r="K304" i="4"/>
  <c r="K303" i="4"/>
  <c r="K302" i="4"/>
  <c r="FV302" i="4" s="1"/>
  <c r="H302" i="4" s="1"/>
  <c r="K301" i="4"/>
  <c r="FV301" i="4" s="1"/>
  <c r="H301" i="4" s="1"/>
  <c r="K300" i="4"/>
  <c r="FV300" i="4" s="1"/>
  <c r="H300" i="4" s="1"/>
  <c r="K299" i="4"/>
  <c r="K297" i="4"/>
  <c r="K296" i="4"/>
  <c r="K293" i="4"/>
  <c r="FV293" i="4" s="1"/>
  <c r="H293" i="4" s="1"/>
  <c r="K292" i="4"/>
  <c r="FV292" i="4" s="1"/>
  <c r="H292" i="4" s="1"/>
  <c r="K291" i="4"/>
  <c r="FV291" i="4" s="1"/>
  <c r="H291" i="4" s="1"/>
  <c r="K324" i="4"/>
  <c r="K290" i="4"/>
  <c r="K288" i="4"/>
  <c r="FV288" i="4" s="1"/>
  <c r="H288" i="4" s="1"/>
  <c r="K287" i="4"/>
  <c r="K286" i="4"/>
  <c r="FV286" i="4" s="1"/>
  <c r="H286" i="4" s="1"/>
  <c r="K285" i="4"/>
  <c r="K284" i="4"/>
  <c r="K283" i="4"/>
  <c r="FV283" i="4" s="1"/>
  <c r="H283" i="4" s="1"/>
  <c r="K282" i="4"/>
  <c r="FV282" i="4" s="1"/>
  <c r="H282" i="4" s="1"/>
  <c r="K313" i="4"/>
  <c r="K281" i="4"/>
  <c r="FV281" i="4" s="1"/>
  <c r="H281" i="4" s="1"/>
  <c r="K280" i="4"/>
  <c r="FV280" i="4" s="1"/>
  <c r="H280" i="4" s="1"/>
  <c r="K277" i="4"/>
  <c r="K276" i="4"/>
  <c r="FV276" i="4" s="1"/>
  <c r="H276" i="4" s="1"/>
  <c r="K275" i="4"/>
  <c r="FV275" i="4" s="1"/>
  <c r="H275" i="4" s="1"/>
  <c r="K274" i="4"/>
  <c r="K273" i="4"/>
  <c r="FV273" i="4" s="1"/>
  <c r="H273" i="4" s="1"/>
  <c r="K272" i="4"/>
  <c r="FV272" i="4" s="1"/>
  <c r="H272" i="4" s="1"/>
  <c r="K271" i="4"/>
  <c r="FV271" i="4" s="1"/>
  <c r="H271" i="4" s="1"/>
  <c r="K270" i="4"/>
  <c r="FV270" i="4" s="1"/>
  <c r="H270" i="4" s="1"/>
  <c r="K269" i="4"/>
  <c r="FV269" i="4" s="1"/>
  <c r="H269" i="4" s="1"/>
  <c r="K268" i="4"/>
  <c r="K267" i="4"/>
  <c r="FV267" i="4" s="1"/>
  <c r="K266" i="4"/>
  <c r="FV266" i="4" s="1"/>
  <c r="H266" i="4" s="1"/>
  <c r="K265" i="4"/>
  <c r="FV265" i="4" s="1"/>
  <c r="H265" i="4" s="1"/>
  <c r="K264" i="4"/>
  <c r="FV264" i="4" s="1"/>
  <c r="H264" i="4" s="1"/>
  <c r="K323" i="4"/>
  <c r="K263" i="4"/>
  <c r="FV263" i="4" s="1"/>
  <c r="H263" i="4" s="1"/>
  <c r="K262" i="4"/>
  <c r="FV262" i="4" s="1"/>
  <c r="H262" i="4" s="1"/>
  <c r="K261" i="4"/>
  <c r="FV261" i="4" s="1"/>
  <c r="H261" i="4" s="1"/>
  <c r="K260" i="4"/>
  <c r="FV260" i="4" s="1"/>
  <c r="K298" i="4"/>
  <c r="FV298" i="4" s="1"/>
  <c r="H298" i="4" s="1"/>
  <c r="K259" i="4"/>
  <c r="FV259" i="4" s="1"/>
  <c r="K258" i="4"/>
  <c r="FV258" i="4" s="1"/>
  <c r="H258" i="4" s="1"/>
  <c r="K257" i="4"/>
  <c r="FV257" i="4" s="1"/>
  <c r="H257" i="4" s="1"/>
  <c r="K256" i="4"/>
  <c r="FV256" i="4" s="1"/>
  <c r="K255" i="4"/>
  <c r="FV255" i="4" s="1"/>
  <c r="H255" i="4" s="1"/>
  <c r="K254" i="4"/>
  <c r="FV254" i="4" s="1"/>
  <c r="H254" i="4" s="1"/>
  <c r="K253" i="4"/>
  <c r="FV253" i="4" s="1"/>
  <c r="H253" i="4" s="1"/>
  <c r="K252" i="4"/>
  <c r="FV252" i="4" s="1"/>
  <c r="H252" i="4" s="1"/>
  <c r="K251" i="4"/>
  <c r="FV251" i="4" s="1"/>
  <c r="H251" i="4" s="1"/>
  <c r="K250" i="4"/>
  <c r="FV250" i="4" s="1"/>
  <c r="K249" i="4"/>
  <c r="FV249" i="4" s="1"/>
  <c r="H249" i="4" s="1"/>
  <c r="K248" i="4"/>
  <c r="FV248" i="4" s="1"/>
  <c r="H248" i="4" s="1"/>
  <c r="K247" i="4"/>
  <c r="FV247" i="4" s="1"/>
  <c r="H247" i="4" s="1"/>
  <c r="K246" i="4"/>
  <c r="FV246" i="4" s="1"/>
  <c r="H246" i="4" s="1"/>
  <c r="K245" i="4"/>
  <c r="FV245" i="4" s="1"/>
  <c r="H245" i="4" s="1"/>
  <c r="K244" i="4"/>
  <c r="FV244" i="4" s="1"/>
  <c r="H244" i="4" s="1"/>
  <c r="K243" i="4"/>
  <c r="FV243" i="4" s="1"/>
  <c r="H243" i="4" s="1"/>
  <c r="K242" i="4"/>
  <c r="FV242" i="4" s="1"/>
  <c r="K241" i="4"/>
  <c r="FV241" i="4" s="1"/>
  <c r="H241" i="4" s="1"/>
  <c r="K240" i="4"/>
  <c r="FV240" i="4" s="1"/>
  <c r="H240" i="4" s="1"/>
  <c r="K239" i="4"/>
  <c r="FV239" i="4" s="1"/>
  <c r="H239" i="4" s="1"/>
  <c r="K238" i="4"/>
  <c r="FV238" i="4" s="1"/>
  <c r="K235" i="4"/>
  <c r="FV235" i="4" s="1"/>
  <c r="K234" i="4"/>
  <c r="FV234" i="4" s="1"/>
  <c r="H234" i="4" s="1"/>
  <c r="K233" i="4"/>
  <c r="FV233" i="4" s="1"/>
  <c r="H233" i="4" s="1"/>
  <c r="K232" i="4"/>
  <c r="FV232" i="4" s="1"/>
  <c r="H232" i="4" s="1"/>
  <c r="K231" i="4"/>
  <c r="FV231" i="4" s="1"/>
  <c r="H231" i="4" s="1"/>
  <c r="K230" i="4"/>
  <c r="FV230" i="4" s="1"/>
  <c r="H230" i="4" s="1"/>
  <c r="K229" i="4"/>
  <c r="FV229" i="4" s="1"/>
  <c r="H229" i="4" s="1"/>
  <c r="K228" i="4"/>
  <c r="FV228" i="4" s="1"/>
  <c r="H228" i="4" s="1"/>
  <c r="K227" i="4"/>
  <c r="FV227" i="4" s="1"/>
  <c r="H227" i="4" s="1"/>
  <c r="K226" i="4"/>
  <c r="FV226" i="4" s="1"/>
  <c r="H226" i="4" s="1"/>
  <c r="K225" i="4"/>
  <c r="FV225" i="4" s="1"/>
  <c r="H225" i="4" s="1"/>
  <c r="K224" i="4"/>
  <c r="FV224" i="4" s="1"/>
  <c r="H224" i="4" s="1"/>
  <c r="K223" i="4"/>
  <c r="FV223" i="4" s="1"/>
  <c r="H223" i="4" s="1"/>
  <c r="K222" i="4"/>
  <c r="FV222" i="4" s="1"/>
  <c r="H222" i="4" s="1"/>
  <c r="K221" i="4"/>
  <c r="FV221" i="4" s="1"/>
  <c r="H221" i="4" s="1"/>
  <c r="K220" i="4"/>
  <c r="FV220" i="4" s="1"/>
  <c r="K219" i="4"/>
  <c r="FV219" i="4" s="1"/>
  <c r="H219" i="4" s="1"/>
  <c r="K218" i="4"/>
  <c r="FV218" i="4" s="1"/>
  <c r="H218" i="4" s="1"/>
  <c r="K217" i="4"/>
  <c r="FV217" i="4" s="1"/>
  <c r="H217" i="4" s="1"/>
  <c r="K216" i="4"/>
  <c r="FV216" i="4" s="1"/>
  <c r="H216" i="4" s="1"/>
  <c r="K215" i="4"/>
  <c r="FV215" i="4" s="1"/>
  <c r="H215" i="4" s="1"/>
  <c r="K214" i="4"/>
  <c r="FV214" i="4" s="1"/>
  <c r="H214" i="4" s="1"/>
  <c r="K213" i="4"/>
  <c r="FV213" i="4" s="1"/>
  <c r="H213" i="4" s="1"/>
  <c r="K212" i="4"/>
  <c r="FV212" i="4" s="1"/>
  <c r="H212" i="4" s="1"/>
  <c r="K211" i="4"/>
  <c r="FV211" i="4" s="1"/>
  <c r="H211" i="4" s="1"/>
  <c r="K210" i="4"/>
  <c r="FV210" i="4" s="1"/>
  <c r="H210" i="4" s="1"/>
  <c r="K209" i="4"/>
  <c r="FV209" i="4" s="1"/>
  <c r="H209" i="4" s="1"/>
  <c r="K208" i="4"/>
  <c r="FV208" i="4" s="1"/>
  <c r="K207" i="4"/>
  <c r="FV207" i="4" s="1"/>
  <c r="H207" i="4" s="1"/>
  <c r="K206" i="4"/>
  <c r="FV206" i="4" s="1"/>
  <c r="H206" i="4" s="1"/>
  <c r="K205" i="4"/>
  <c r="FV205" i="4" s="1"/>
  <c r="H205" i="4" s="1"/>
  <c r="K201" i="4"/>
  <c r="FV201" i="4" s="1"/>
  <c r="K200" i="4"/>
  <c r="FV200" i="4" s="1"/>
  <c r="H200" i="4" s="1"/>
  <c r="K199" i="4"/>
  <c r="FV199" i="4" s="1"/>
  <c r="H199" i="4" s="1"/>
  <c r="K198" i="4"/>
  <c r="FV198" i="4" s="1"/>
  <c r="H198" i="4" s="1"/>
  <c r="K197" i="4"/>
  <c r="FV197" i="4" s="1"/>
  <c r="H197" i="4" s="1"/>
  <c r="K196" i="4"/>
  <c r="FV196" i="4" s="1"/>
  <c r="H196" i="4" s="1"/>
  <c r="K195" i="4"/>
  <c r="FV195" i="4" s="1"/>
  <c r="H195" i="4" s="1"/>
  <c r="K193" i="4"/>
  <c r="FV193" i="4" s="1"/>
  <c r="H193" i="4" s="1"/>
  <c r="K192" i="4"/>
  <c r="FV192" i="4" s="1"/>
  <c r="K191" i="4"/>
  <c r="FV191" i="4" s="1"/>
  <c r="H191" i="4" s="1"/>
  <c r="K190" i="4"/>
  <c r="FV190" i="4" s="1"/>
  <c r="H190" i="4" s="1"/>
  <c r="K189" i="4"/>
  <c r="FV189" i="4" s="1"/>
  <c r="H189" i="4" s="1"/>
  <c r="K188" i="4"/>
  <c r="K187" i="4"/>
  <c r="FV187" i="4" s="1"/>
  <c r="K186" i="4"/>
  <c r="FV186" i="4" s="1"/>
  <c r="H186" i="4" s="1"/>
  <c r="K185" i="4"/>
  <c r="FV185" i="4" s="1"/>
  <c r="H185" i="4" s="1"/>
  <c r="K184" i="4"/>
  <c r="FV184" i="4" s="1"/>
  <c r="H184" i="4" s="1"/>
  <c r="K183" i="4"/>
  <c r="FV183" i="4" s="1"/>
  <c r="H183" i="4" s="1"/>
  <c r="K182" i="4"/>
  <c r="FV182" i="4" s="1"/>
  <c r="H182" i="4" s="1"/>
  <c r="K181" i="4"/>
  <c r="FV181" i="4" s="1"/>
  <c r="H181" i="4" s="1"/>
  <c r="K180" i="4"/>
  <c r="FV180" i="4" s="1"/>
  <c r="H180" i="4" s="1"/>
  <c r="K179" i="4"/>
  <c r="FV179" i="4" s="1"/>
  <c r="H179" i="4" s="1"/>
  <c r="K178" i="4"/>
  <c r="FV178" i="4" s="1"/>
  <c r="H178" i="4" s="1"/>
  <c r="K177" i="4"/>
  <c r="K176" i="4"/>
  <c r="FV176" i="4" s="1"/>
  <c r="H176" i="4" s="1"/>
  <c r="K175" i="4"/>
  <c r="FV175" i="4" s="1"/>
  <c r="H175" i="4" s="1"/>
  <c r="K174" i="4"/>
  <c r="FV174" i="4" s="1"/>
  <c r="H174" i="4" s="1"/>
  <c r="K173" i="4"/>
  <c r="FV173" i="4" s="1"/>
  <c r="H173" i="4" s="1"/>
  <c r="K172" i="4"/>
  <c r="FV172" i="4" s="1"/>
  <c r="H172" i="4" s="1"/>
  <c r="K171" i="4"/>
  <c r="FV171" i="4" s="1"/>
  <c r="H171" i="4" s="1"/>
  <c r="K170" i="4"/>
  <c r="FV170" i="4" s="1"/>
  <c r="H170" i="4" s="1"/>
  <c r="K169" i="4"/>
  <c r="FV169" i="4" s="1"/>
  <c r="H169" i="4" s="1"/>
  <c r="K168" i="4"/>
  <c r="FV168" i="4" s="1"/>
  <c r="H168" i="4" s="1"/>
  <c r="K167" i="4"/>
  <c r="FV167" i="4" s="1"/>
  <c r="H167" i="4" s="1"/>
  <c r="K166" i="4"/>
  <c r="FV166" i="4" s="1"/>
  <c r="H166" i="4" s="1"/>
  <c r="K165" i="4"/>
  <c r="FV165" i="4" s="1"/>
  <c r="H165" i="4" s="1"/>
  <c r="K164" i="4"/>
  <c r="FV164" i="4" s="1"/>
  <c r="H164" i="4" s="1"/>
  <c r="K163" i="4"/>
  <c r="K162" i="4"/>
  <c r="K161" i="4"/>
  <c r="FV161" i="4" s="1"/>
  <c r="H161" i="4" s="1"/>
  <c r="K160" i="4"/>
  <c r="FV160" i="4" s="1"/>
  <c r="H160" i="4" s="1"/>
  <c r="K159" i="4"/>
  <c r="FV159" i="4" s="1"/>
  <c r="H159" i="4" s="1"/>
  <c r="K158" i="4"/>
  <c r="FV158" i="4" s="1"/>
  <c r="H158" i="4" s="1"/>
  <c r="K157" i="4"/>
  <c r="FV157" i="4" s="1"/>
  <c r="H157" i="4" s="1"/>
  <c r="K156" i="4"/>
  <c r="FV156" i="4" s="1"/>
  <c r="H156" i="4" s="1"/>
  <c r="K155" i="4"/>
  <c r="FV155" i="4" s="1"/>
  <c r="H155" i="4" s="1"/>
  <c r="K154" i="4"/>
  <c r="FV154" i="4" s="1"/>
  <c r="H154" i="4" s="1"/>
  <c r="K153" i="4"/>
  <c r="FV153" i="4" s="1"/>
  <c r="K152" i="4"/>
  <c r="FV152" i="4" s="1"/>
  <c r="H152" i="4" s="1"/>
  <c r="K151" i="4"/>
  <c r="FV151" i="4" s="1"/>
  <c r="H151" i="4" s="1"/>
  <c r="K150" i="4"/>
  <c r="FV150" i="4" s="1"/>
  <c r="H150" i="4" s="1"/>
  <c r="K149" i="4"/>
  <c r="FV149" i="4" s="1"/>
  <c r="H149" i="4" s="1"/>
  <c r="K148" i="4"/>
  <c r="FV148" i="4" s="1"/>
  <c r="H148" i="4" s="1"/>
  <c r="K147" i="4"/>
  <c r="FV147" i="4" s="1"/>
  <c r="H147" i="4" s="1"/>
  <c r="K146" i="4"/>
  <c r="FV146" i="4" s="1"/>
  <c r="H146" i="4" s="1"/>
  <c r="K143" i="4"/>
  <c r="FV143" i="4" s="1"/>
  <c r="H143" i="4" s="1"/>
  <c r="K142" i="4"/>
  <c r="FV142" i="4" s="1"/>
  <c r="H142" i="4" s="1"/>
  <c r="K141" i="4"/>
  <c r="FV141" i="4" s="1"/>
  <c r="H141" i="4" s="1"/>
  <c r="K140" i="4"/>
  <c r="FV140" i="4" s="1"/>
  <c r="H140" i="4" s="1"/>
  <c r="K139" i="4"/>
  <c r="FV139" i="4" s="1"/>
  <c r="H139" i="4" s="1"/>
  <c r="K138" i="4"/>
  <c r="FV138" i="4" s="1"/>
  <c r="H138" i="4" s="1"/>
  <c r="K137" i="4"/>
  <c r="FV137" i="4" s="1"/>
  <c r="H137" i="4" s="1"/>
  <c r="K136" i="4"/>
  <c r="FV136" i="4" s="1"/>
  <c r="H136" i="4" s="1"/>
  <c r="K135" i="4"/>
  <c r="FV135" i="4" s="1"/>
  <c r="H135" i="4" s="1"/>
  <c r="K134" i="4"/>
  <c r="FV134" i="4" s="1"/>
  <c r="H134" i="4" s="1"/>
  <c r="K133" i="4"/>
  <c r="FV133" i="4" s="1"/>
  <c r="H133" i="4" s="1"/>
  <c r="K132" i="4"/>
  <c r="FV132" i="4" s="1"/>
  <c r="H132" i="4" s="1"/>
  <c r="K131" i="4"/>
  <c r="FV131" i="4" s="1"/>
  <c r="K129" i="4"/>
  <c r="FV129" i="4" s="1"/>
  <c r="H129" i="4" s="1"/>
  <c r="K128" i="4"/>
  <c r="FV128" i="4" s="1"/>
  <c r="H128" i="4" s="1"/>
  <c r="K127" i="4"/>
  <c r="FV127" i="4" s="1"/>
  <c r="H127" i="4" s="1"/>
  <c r="K125" i="4"/>
  <c r="FV125" i="4" s="1"/>
  <c r="H125" i="4" s="1"/>
  <c r="K124" i="4"/>
  <c r="FV124" i="4" s="1"/>
  <c r="H124" i="4" s="1"/>
  <c r="K123" i="4"/>
  <c r="FV123" i="4" s="1"/>
  <c r="H123" i="4" s="1"/>
  <c r="K122" i="4"/>
  <c r="FV122" i="4" s="1"/>
  <c r="H122" i="4" s="1"/>
  <c r="K120" i="4"/>
  <c r="FV120" i="4" s="1"/>
  <c r="H120" i="4" s="1"/>
  <c r="K119" i="4"/>
  <c r="FV119" i="4" s="1"/>
  <c r="H119" i="4" s="1"/>
  <c r="K118" i="4"/>
  <c r="FV118" i="4" s="1"/>
  <c r="H118" i="4" s="1"/>
  <c r="K117" i="4"/>
  <c r="K114" i="4"/>
  <c r="FV114" i="4" s="1"/>
  <c r="H114" i="4" s="1"/>
  <c r="K112" i="4"/>
  <c r="FV112" i="4" s="1"/>
  <c r="H112" i="4" s="1"/>
  <c r="K111" i="4"/>
  <c r="FV111" i="4" s="1"/>
  <c r="H111" i="4" s="1"/>
  <c r="K110" i="4"/>
  <c r="FV110" i="4" s="1"/>
  <c r="H110" i="4" s="1"/>
  <c r="K109" i="4"/>
  <c r="FV109" i="4" s="1"/>
  <c r="H109" i="4" s="1"/>
  <c r="K108" i="4"/>
  <c r="FV108" i="4" s="1"/>
  <c r="H108" i="4" s="1"/>
  <c r="K107" i="4"/>
  <c r="FV107" i="4" s="1"/>
  <c r="H107" i="4" s="1"/>
  <c r="K105" i="4"/>
  <c r="FV105" i="4" s="1"/>
  <c r="H105" i="4" s="1"/>
  <c r="K104" i="4"/>
  <c r="FV104" i="4" s="1"/>
  <c r="H104" i="4" s="1"/>
  <c r="K102" i="4"/>
  <c r="FV102" i="4" s="1"/>
  <c r="H102" i="4" s="1"/>
  <c r="K101" i="4"/>
  <c r="FV101" i="4" s="1"/>
  <c r="H101" i="4" s="1"/>
  <c r="K100" i="4"/>
  <c r="FV100" i="4" s="1"/>
  <c r="H100" i="4" s="1"/>
  <c r="K99" i="4"/>
  <c r="FV99" i="4" s="1"/>
  <c r="H99" i="4" s="1"/>
  <c r="K98" i="4"/>
  <c r="FV98" i="4" s="1"/>
  <c r="H98" i="4" s="1"/>
  <c r="K96" i="4"/>
  <c r="FV96" i="4" s="1"/>
  <c r="H96" i="4" s="1"/>
  <c r="K95" i="4"/>
  <c r="FV95" i="4" s="1"/>
  <c r="H95" i="4" s="1"/>
  <c r="K94" i="4"/>
  <c r="FV94" i="4" s="1"/>
  <c r="H94" i="4" s="1"/>
  <c r="K93" i="4"/>
  <c r="FV93" i="4" s="1"/>
  <c r="H93" i="4" s="1"/>
  <c r="K90" i="4"/>
  <c r="FV90" i="4" s="1"/>
  <c r="H90" i="4" s="1"/>
  <c r="K89" i="4"/>
  <c r="FV89" i="4" s="1"/>
  <c r="H89" i="4" s="1"/>
  <c r="K88" i="4"/>
  <c r="FV88" i="4" s="1"/>
  <c r="H88" i="4" s="1"/>
  <c r="K87" i="4"/>
  <c r="FV87" i="4" s="1"/>
  <c r="H87" i="4" s="1"/>
  <c r="K86" i="4"/>
  <c r="FV86" i="4" s="1"/>
  <c r="H86" i="4" s="1"/>
  <c r="K85" i="4"/>
  <c r="FV85" i="4" s="1"/>
  <c r="H85" i="4" s="1"/>
  <c r="K84" i="4"/>
  <c r="FV84" i="4" s="1"/>
  <c r="H84" i="4" s="1"/>
  <c r="K83" i="4"/>
  <c r="FV83" i="4" s="1"/>
  <c r="H83" i="4" s="1"/>
  <c r="K82" i="4"/>
  <c r="FV82" i="4" s="1"/>
  <c r="H82" i="4" s="1"/>
  <c r="K81" i="4"/>
  <c r="FV81" i="4" s="1"/>
  <c r="H81" i="4" s="1"/>
  <c r="K80" i="4"/>
  <c r="FV80" i="4" s="1"/>
  <c r="H80" i="4" s="1"/>
  <c r="K79" i="4"/>
  <c r="FV79" i="4" s="1"/>
  <c r="K78" i="4"/>
  <c r="FV78" i="4" s="1"/>
  <c r="K77" i="4"/>
  <c r="K76" i="4"/>
  <c r="K75" i="4"/>
  <c r="FV75" i="4" s="1"/>
  <c r="H75" i="4" s="1"/>
  <c r="K74" i="4"/>
  <c r="FV74" i="4" s="1"/>
  <c r="H74" i="4" s="1"/>
  <c r="K73" i="4"/>
  <c r="FV73" i="4" s="1"/>
  <c r="H73" i="4" s="1"/>
  <c r="K72" i="4"/>
  <c r="FV72" i="4" s="1"/>
  <c r="H72" i="4" s="1"/>
  <c r="K71" i="4"/>
  <c r="K70" i="4"/>
  <c r="FV70" i="4" s="1"/>
  <c r="H70" i="4" s="1"/>
  <c r="K69" i="4"/>
  <c r="K68" i="4"/>
  <c r="K67" i="4"/>
  <c r="FV67" i="4" s="1"/>
  <c r="H67" i="4" s="1"/>
  <c r="K66" i="4"/>
  <c r="FV66" i="4" s="1"/>
  <c r="H66" i="4" s="1"/>
  <c r="K65" i="4"/>
  <c r="FV65" i="4" s="1"/>
  <c r="H65" i="4" s="1"/>
  <c r="K64" i="4"/>
  <c r="FV64" i="4" s="1"/>
  <c r="H64" i="4" s="1"/>
  <c r="K63" i="4"/>
  <c r="FV63" i="4" s="1"/>
  <c r="H63" i="4" s="1"/>
  <c r="K62" i="4"/>
  <c r="FV62" i="4" s="1"/>
  <c r="H62" i="4" s="1"/>
  <c r="K61" i="4"/>
  <c r="FV61" i="4" s="1"/>
  <c r="K60" i="4"/>
  <c r="FV60" i="4" s="1"/>
  <c r="K59" i="4"/>
  <c r="K58" i="4"/>
  <c r="FV58" i="4" s="1"/>
  <c r="K57" i="4"/>
  <c r="FV57" i="4" s="1"/>
  <c r="K56" i="4"/>
  <c r="K55" i="4"/>
  <c r="K54" i="4"/>
  <c r="FV54" i="4" s="1"/>
  <c r="K53" i="4"/>
  <c r="FV53" i="4" s="1"/>
  <c r="K52" i="4"/>
  <c r="FV52" i="4" s="1"/>
  <c r="K51" i="4"/>
  <c r="FV51" i="4" s="1"/>
  <c r="K50" i="4"/>
  <c r="FV50" i="4" s="1"/>
  <c r="K49" i="4"/>
  <c r="FV49" i="4" s="1"/>
  <c r="K48" i="4"/>
  <c r="K47" i="4"/>
  <c r="FV47" i="4" s="1"/>
  <c r="K46" i="4"/>
  <c r="K45" i="4"/>
  <c r="FV45" i="4" s="1"/>
  <c r="K44" i="4"/>
  <c r="FV44" i="4" s="1"/>
  <c r="K43" i="4"/>
  <c r="FV43" i="4" s="1"/>
  <c r="K42" i="4"/>
  <c r="FV42" i="4" s="1"/>
  <c r="K41" i="4"/>
  <c r="K40" i="4"/>
  <c r="FV40" i="4" s="1"/>
  <c r="K39" i="4"/>
  <c r="FV39" i="4" s="1"/>
  <c r="K38" i="4"/>
  <c r="K37" i="4"/>
  <c r="K36" i="4"/>
  <c r="FV36" i="4" s="1"/>
  <c r="K35" i="4"/>
  <c r="K34" i="4"/>
  <c r="FV34" i="4" s="1"/>
  <c r="K33" i="4"/>
  <c r="FV33" i="4" s="1"/>
  <c r="K32" i="4"/>
  <c r="K31" i="4"/>
  <c r="FV31" i="4" s="1"/>
  <c r="K30" i="4"/>
  <c r="FV30" i="4" s="1"/>
  <c r="K29" i="4"/>
  <c r="K28" i="4"/>
  <c r="FV28" i="4" s="1"/>
  <c r="K27" i="4"/>
  <c r="FV27" i="4" s="1"/>
  <c r="K26" i="4"/>
  <c r="FV26" i="4" s="1"/>
  <c r="K25" i="4"/>
  <c r="FV25" i="4" s="1"/>
  <c r="K24" i="4"/>
  <c r="FV24" i="4" s="1"/>
  <c r="K23" i="4"/>
  <c r="FV23" i="4" s="1"/>
  <c r="K22" i="4"/>
  <c r="FV22" i="4" s="1"/>
  <c r="K21" i="4"/>
  <c r="K20" i="4"/>
  <c r="FV20" i="4" s="1"/>
  <c r="K19" i="4"/>
  <c r="K18" i="4"/>
  <c r="FV18" i="4" s="1"/>
  <c r="K17" i="4"/>
  <c r="FV17" i="4" s="1"/>
  <c r="K16" i="4"/>
  <c r="FV16" i="4" s="1"/>
  <c r="K15" i="4"/>
  <c r="FV15" i="4" s="1"/>
  <c r="K14" i="4"/>
  <c r="K13" i="4"/>
  <c r="K12" i="4"/>
  <c r="FV12" i="4" s="1"/>
  <c r="K11" i="4"/>
  <c r="FV11" i="4" s="1"/>
  <c r="K10" i="4"/>
  <c r="FV10" i="4" s="1"/>
  <c r="K9" i="4"/>
  <c r="FV9" i="4" s="1"/>
  <c r="K8" i="4"/>
  <c r="FV8" i="4" s="1"/>
  <c r="K7" i="4"/>
  <c r="K6" i="4"/>
  <c r="K5" i="4"/>
  <c r="K4" i="4"/>
  <c r="FW453" i="4" l="1"/>
  <c r="GE453" i="4"/>
  <c r="FW452" i="4"/>
  <c r="GG452" i="4"/>
  <c r="GE452" i="4"/>
  <c r="ER116" i="4"/>
  <c r="EN97" i="4"/>
  <c r="EN91" i="4"/>
  <c r="EP115" i="4"/>
  <c r="EP113" i="4"/>
  <c r="EP106" i="4"/>
  <c r="EP92" i="4"/>
  <c r="C47" i="4"/>
  <c r="C25" i="4"/>
  <c r="C49" i="4"/>
  <c r="C61" i="4"/>
  <c r="C73" i="4"/>
  <c r="C85" i="4"/>
  <c r="C100" i="4"/>
  <c r="C132" i="4"/>
  <c r="C146" i="4"/>
  <c r="C158" i="4"/>
  <c r="C170" i="4"/>
  <c r="C182" i="4"/>
  <c r="C195" i="4"/>
  <c r="C210" i="4"/>
  <c r="C222" i="4"/>
  <c r="C234" i="4"/>
  <c r="C248" i="4"/>
  <c r="C298" i="4"/>
  <c r="C270" i="4"/>
  <c r="C283" i="4"/>
  <c r="C309" i="4"/>
  <c r="C349" i="4"/>
  <c r="C363" i="4"/>
  <c r="C379" i="4"/>
  <c r="C26" i="4"/>
  <c r="C50" i="4"/>
  <c r="C62" i="4"/>
  <c r="HC62" i="4" s="1"/>
  <c r="C74" i="4"/>
  <c r="C86" i="4"/>
  <c r="C101" i="4"/>
  <c r="C118" i="4"/>
  <c r="C133" i="4"/>
  <c r="C147" i="4"/>
  <c r="C159" i="4"/>
  <c r="C171" i="4"/>
  <c r="C183" i="4"/>
  <c r="C196" i="4"/>
  <c r="C211" i="4"/>
  <c r="C223" i="4"/>
  <c r="C235" i="4"/>
  <c r="C249" i="4"/>
  <c r="C260" i="4"/>
  <c r="C271" i="4"/>
  <c r="C310" i="4"/>
  <c r="C325" i="4"/>
  <c r="C339" i="4"/>
  <c r="C364" i="4"/>
  <c r="C15" i="4"/>
  <c r="C27" i="4"/>
  <c r="C39" i="4"/>
  <c r="C51" i="4"/>
  <c r="C63" i="4"/>
  <c r="C75" i="4"/>
  <c r="C87" i="4"/>
  <c r="C102" i="4"/>
  <c r="C119" i="4"/>
  <c r="C134" i="4"/>
  <c r="C148" i="4"/>
  <c r="C160" i="4"/>
  <c r="C172" i="4"/>
  <c r="C184" i="4"/>
  <c r="C197" i="4"/>
  <c r="C212" i="4"/>
  <c r="C224" i="4"/>
  <c r="C238" i="4"/>
  <c r="C250" i="4"/>
  <c r="C261" i="4"/>
  <c r="C272" i="4"/>
  <c r="C300" i="4"/>
  <c r="C340" i="4"/>
  <c r="C354" i="4"/>
  <c r="C393" i="4"/>
  <c r="C16" i="4"/>
  <c r="C28" i="4"/>
  <c r="C40" i="4"/>
  <c r="C52" i="4"/>
  <c r="C64" i="4"/>
  <c r="C88" i="4"/>
  <c r="C104" i="4"/>
  <c r="C120" i="4"/>
  <c r="C135" i="4"/>
  <c r="C149" i="4"/>
  <c r="C161" i="4"/>
  <c r="C173" i="4"/>
  <c r="C185" i="4"/>
  <c r="C198" i="4"/>
  <c r="C213" i="4"/>
  <c r="C225" i="4"/>
  <c r="C239" i="4"/>
  <c r="C251" i="4"/>
  <c r="C262" i="4"/>
  <c r="C273" i="4"/>
  <c r="C286" i="4"/>
  <c r="C301" i="4"/>
  <c r="C314" i="4"/>
  <c r="C341" i="4"/>
  <c r="C355" i="4"/>
  <c r="C398" i="4"/>
  <c r="C65" i="4"/>
  <c r="C89" i="4"/>
  <c r="C105" i="4"/>
  <c r="C122" i="4"/>
  <c r="C136" i="4"/>
  <c r="C150" i="4"/>
  <c r="C174" i="4"/>
  <c r="C186" i="4"/>
  <c r="C199" i="4"/>
  <c r="C214" i="4"/>
  <c r="C226" i="4"/>
  <c r="C240" i="4"/>
  <c r="C252" i="4"/>
  <c r="C263" i="4"/>
  <c r="C302" i="4"/>
  <c r="C315" i="4"/>
  <c r="C369" i="4"/>
  <c r="C18" i="4"/>
  <c r="C30" i="4"/>
  <c r="C42" i="4"/>
  <c r="C54" i="4"/>
  <c r="C66" i="4"/>
  <c r="C78" i="4"/>
  <c r="C90" i="4"/>
  <c r="C107" i="4"/>
  <c r="C123" i="4"/>
  <c r="C137" i="4"/>
  <c r="C151" i="4"/>
  <c r="C175" i="4"/>
  <c r="C187" i="4"/>
  <c r="C200" i="4"/>
  <c r="C215" i="4"/>
  <c r="C227" i="4"/>
  <c r="C241" i="4"/>
  <c r="C253" i="4"/>
  <c r="C275" i="4"/>
  <c r="C288" i="4"/>
  <c r="C329" i="4"/>
  <c r="C342" i="4"/>
  <c r="C357" i="4"/>
  <c r="C389" i="4"/>
  <c r="C399" i="4"/>
  <c r="C53" i="4"/>
  <c r="C31" i="4"/>
  <c r="C43" i="4"/>
  <c r="C67" i="4"/>
  <c r="C79" i="4"/>
  <c r="C93" i="4"/>
  <c r="C108" i="4"/>
  <c r="C124" i="4"/>
  <c r="C138" i="4"/>
  <c r="C152" i="4"/>
  <c r="C164" i="4"/>
  <c r="C176" i="4"/>
  <c r="C201" i="4"/>
  <c r="C216" i="4"/>
  <c r="C228" i="4"/>
  <c r="C242" i="4"/>
  <c r="C254" i="4"/>
  <c r="C264" i="4"/>
  <c r="C276" i="4"/>
  <c r="C317" i="4"/>
  <c r="C330" i="4"/>
  <c r="C358" i="4"/>
  <c r="C8" i="4"/>
  <c r="C20" i="4"/>
  <c r="C44" i="4"/>
  <c r="C80" i="4"/>
  <c r="C94" i="4"/>
  <c r="C109" i="4"/>
  <c r="C125" i="4"/>
  <c r="C139" i="4"/>
  <c r="C153" i="4"/>
  <c r="C165" i="4"/>
  <c r="C189" i="4"/>
  <c r="C205" i="4"/>
  <c r="C217" i="4"/>
  <c r="C229" i="4"/>
  <c r="C243" i="4"/>
  <c r="C255" i="4"/>
  <c r="C265" i="4"/>
  <c r="C305" i="4"/>
  <c r="C318" i="4"/>
  <c r="C331" i="4"/>
  <c r="C344" i="4"/>
  <c r="C359" i="4"/>
  <c r="C386" i="4"/>
  <c r="C17" i="4"/>
  <c r="C9" i="4"/>
  <c r="C33" i="4"/>
  <c r="C45" i="4"/>
  <c r="C57" i="4"/>
  <c r="C81" i="4"/>
  <c r="C95" i="4"/>
  <c r="C110" i="4"/>
  <c r="C127" i="4"/>
  <c r="C140" i="4"/>
  <c r="C154" i="4"/>
  <c r="C166" i="4"/>
  <c r="C178" i="4"/>
  <c r="C190" i="4"/>
  <c r="C206" i="4"/>
  <c r="C218" i="4"/>
  <c r="C230" i="4"/>
  <c r="C244" i="4"/>
  <c r="C256" i="4"/>
  <c r="C266" i="4"/>
  <c r="C280" i="4"/>
  <c r="C291" i="4"/>
  <c r="C319" i="4"/>
  <c r="C334" i="4"/>
  <c r="C347" i="4"/>
  <c r="C360" i="4"/>
  <c r="C387" i="4"/>
  <c r="C10" i="4"/>
  <c r="C22" i="4"/>
  <c r="C34" i="4"/>
  <c r="C58" i="4"/>
  <c r="C70" i="4"/>
  <c r="C82" i="4"/>
  <c r="C96" i="4"/>
  <c r="C111" i="4"/>
  <c r="C128" i="4"/>
  <c r="C141" i="4"/>
  <c r="C155" i="4"/>
  <c r="C167" i="4"/>
  <c r="C179" i="4"/>
  <c r="C191" i="4"/>
  <c r="C207" i="4"/>
  <c r="C219" i="4"/>
  <c r="C231" i="4"/>
  <c r="C245" i="4"/>
  <c r="C257" i="4"/>
  <c r="C267" i="4"/>
  <c r="C281" i="4"/>
  <c r="C292" i="4"/>
  <c r="C306" i="4"/>
  <c r="C320" i="4"/>
  <c r="C377" i="4"/>
  <c r="C23" i="4"/>
  <c r="C83" i="4"/>
  <c r="C98" i="4"/>
  <c r="C112" i="4"/>
  <c r="C129" i="4"/>
  <c r="C142" i="4"/>
  <c r="C156" i="4"/>
  <c r="C168" i="4"/>
  <c r="C180" i="4"/>
  <c r="C192" i="4"/>
  <c r="C208" i="4"/>
  <c r="C220" i="4"/>
  <c r="C232" i="4"/>
  <c r="C246" i="4"/>
  <c r="C258" i="4"/>
  <c r="C293" i="4"/>
  <c r="C335" i="4"/>
  <c r="C348" i="4"/>
  <c r="C375" i="4"/>
  <c r="C392" i="4"/>
  <c r="C11" i="4"/>
  <c r="C12" i="4"/>
  <c r="C24" i="4"/>
  <c r="C36" i="4"/>
  <c r="C60" i="4"/>
  <c r="C72" i="4"/>
  <c r="C84" i="4"/>
  <c r="C99" i="4"/>
  <c r="C114" i="4"/>
  <c r="C131" i="4"/>
  <c r="C143" i="4"/>
  <c r="C157" i="4"/>
  <c r="C169" i="4"/>
  <c r="C181" i="4"/>
  <c r="C193" i="4"/>
  <c r="C209" i="4"/>
  <c r="C221" i="4"/>
  <c r="C233" i="4"/>
  <c r="C247" i="4"/>
  <c r="C259" i="4"/>
  <c r="C269" i="4"/>
  <c r="C282" i="4"/>
  <c r="C308" i="4"/>
  <c r="C337" i="4"/>
  <c r="C382" i="4"/>
  <c r="C378" i="4"/>
  <c r="GK427" i="4"/>
  <c r="HG427" i="4" s="1"/>
  <c r="HD427" i="4" s="1"/>
  <c r="L427" i="4"/>
  <c r="GK422" i="4"/>
  <c r="HG422" i="4" s="1"/>
  <c r="HD422" i="4" s="1"/>
  <c r="GL422" i="4"/>
  <c r="L422" i="4"/>
  <c r="GK423" i="4"/>
  <c r="HG423" i="4" s="1"/>
  <c r="HD423" i="4" s="1"/>
  <c r="GL423" i="4"/>
  <c r="L423" i="4"/>
  <c r="GK424" i="4"/>
  <c r="HG424" i="4" s="1"/>
  <c r="HD424" i="4" s="1"/>
  <c r="GL424" i="4"/>
  <c r="L424" i="4"/>
  <c r="GK425" i="4"/>
  <c r="HG425" i="4" s="1"/>
  <c r="HD425" i="4" s="1"/>
  <c r="GL425" i="4"/>
  <c r="L425" i="4"/>
  <c r="B89" i="5"/>
  <c r="C408" i="4"/>
  <c r="FB408" i="4"/>
  <c r="FC408" i="4" s="1"/>
  <c r="FD408" i="4"/>
  <c r="FE408" i="4" s="1"/>
  <c r="FF408" i="4"/>
  <c r="FG408" i="4" s="1"/>
  <c r="FH408" i="4"/>
  <c r="FI408" i="4" s="1"/>
  <c r="FJ408" i="4"/>
  <c r="FK408" i="4" s="1"/>
  <c r="L409" i="4"/>
  <c r="GK409" i="4"/>
  <c r="HG409" i="4" s="1"/>
  <c r="HD409" i="4" s="1"/>
  <c r="GL409" i="4"/>
  <c r="L413" i="4"/>
  <c r="GL413" i="4"/>
  <c r="GK413" i="4"/>
  <c r="HG413" i="4" s="1"/>
  <c r="HD413" i="4" s="1"/>
  <c r="FB399" i="4"/>
  <c r="FC399" i="4" s="1"/>
  <c r="FD399" i="4"/>
  <c r="FE399" i="4" s="1"/>
  <c r="FF399" i="4"/>
  <c r="FG399" i="4" s="1"/>
  <c r="FJ399" i="4"/>
  <c r="FK399" i="4" s="1"/>
  <c r="FL399" i="4"/>
  <c r="FM399" i="4" s="1"/>
  <c r="FL393" i="4"/>
  <c r="FM393" i="4" s="1"/>
  <c r="FH393" i="4"/>
  <c r="FI393" i="4" s="1"/>
  <c r="FF393" i="4"/>
  <c r="FG393" i="4" s="1"/>
  <c r="FJ393" i="4"/>
  <c r="FK393" i="4" s="1"/>
  <c r="FD393" i="4"/>
  <c r="FE393" i="4" s="1"/>
  <c r="FB398" i="4"/>
  <c r="FC398" i="4" s="1"/>
  <c r="FF398" i="4"/>
  <c r="FG398" i="4" s="1"/>
  <c r="FH398" i="4"/>
  <c r="FI398" i="4" s="1"/>
  <c r="FJ398" i="4"/>
  <c r="FK398" i="4" s="1"/>
  <c r="FL398" i="4"/>
  <c r="FM398" i="4" s="1"/>
  <c r="FF382" i="4"/>
  <c r="FG382" i="4" s="1"/>
  <c r="FL382" i="4"/>
  <c r="FM382" i="4" s="1"/>
  <c r="FH382" i="4"/>
  <c r="FI382" i="4" s="1"/>
  <c r="FB382" i="4"/>
  <c r="FC382" i="4" s="1"/>
  <c r="FD382" i="4"/>
  <c r="FE382" i="4" s="1"/>
  <c r="FF389" i="4"/>
  <c r="FG389" i="4" s="1"/>
  <c r="FH389" i="4"/>
  <c r="FI389" i="4" s="1"/>
  <c r="FL389" i="4"/>
  <c r="FM389" i="4" s="1"/>
  <c r="FJ389" i="4"/>
  <c r="FK389" i="4" s="1"/>
  <c r="FD389" i="4"/>
  <c r="FE389" i="4" s="1"/>
  <c r="FF392" i="4"/>
  <c r="FG392" i="4" s="1"/>
  <c r="FH392" i="4"/>
  <c r="FI392" i="4" s="1"/>
  <c r="FL392" i="4"/>
  <c r="FM392" i="4" s="1"/>
  <c r="FJ392" i="4"/>
  <c r="FK392" i="4" s="1"/>
  <c r="FD392" i="4"/>
  <c r="FE392" i="4" s="1"/>
  <c r="FF386" i="4"/>
  <c r="FG386" i="4" s="1"/>
  <c r="FJ386" i="4"/>
  <c r="FK386" i="4" s="1"/>
  <c r="FL386" i="4"/>
  <c r="FM386" i="4" s="1"/>
  <c r="FD386" i="4"/>
  <c r="FE386" i="4" s="1"/>
  <c r="FB386" i="4"/>
  <c r="FC386" i="4" s="1"/>
  <c r="FF387" i="4"/>
  <c r="FG387" i="4" s="1"/>
  <c r="FL387" i="4"/>
  <c r="FM387" i="4" s="1"/>
  <c r="FH387" i="4"/>
  <c r="FI387" i="4" s="1"/>
  <c r="FJ387" i="4"/>
  <c r="FK387" i="4" s="1"/>
  <c r="FB387" i="4"/>
  <c r="FC387" i="4" s="1"/>
  <c r="FF378" i="4"/>
  <c r="FG378" i="4" s="1"/>
  <c r="FL378" i="4"/>
  <c r="FM378" i="4" s="1"/>
  <c r="FH378" i="4"/>
  <c r="FI378" i="4" s="1"/>
  <c r="FB378" i="4"/>
  <c r="FC378" i="4" s="1"/>
  <c r="FD378" i="4"/>
  <c r="FE378" i="4" s="1"/>
  <c r="FL379" i="4"/>
  <c r="FM379" i="4" s="1"/>
  <c r="FF379" i="4"/>
  <c r="FG379" i="4" s="1"/>
  <c r="FH379" i="4"/>
  <c r="FI379" i="4" s="1"/>
  <c r="FB379" i="4"/>
  <c r="FC379" i="4" s="1"/>
  <c r="FD379" i="4"/>
  <c r="FE379" i="4" s="1"/>
  <c r="FL375" i="4"/>
  <c r="FM375" i="4" s="1"/>
  <c r="FF375" i="4"/>
  <c r="FG375" i="4" s="1"/>
  <c r="FH375" i="4"/>
  <c r="FI375" i="4" s="1"/>
  <c r="FD375" i="4"/>
  <c r="FE375" i="4" s="1"/>
  <c r="FB375" i="4"/>
  <c r="FC375" i="4" s="1"/>
  <c r="FF377" i="4"/>
  <c r="FG377" i="4" s="1"/>
  <c r="FJ377" i="4"/>
  <c r="FK377" i="4" s="1"/>
  <c r="FL377" i="4"/>
  <c r="FM377" i="4" s="1"/>
  <c r="FB377" i="4"/>
  <c r="FC377" i="4" s="1"/>
  <c r="FD377" i="4"/>
  <c r="FE377" i="4" s="1"/>
  <c r="FF10" i="4"/>
  <c r="FH10" i="4"/>
  <c r="FI10" i="4" s="1"/>
  <c r="FL10" i="4"/>
  <c r="FM10" i="4" s="1"/>
  <c r="FH9" i="4"/>
  <c r="FI9" i="4" s="1"/>
  <c r="FJ9" i="4"/>
  <c r="FK9" i="4" s="1"/>
  <c r="FL9" i="4"/>
  <c r="FM9" i="4" s="1"/>
  <c r="FH44" i="4"/>
  <c r="FI44" i="4" s="1"/>
  <c r="FJ44" i="4"/>
  <c r="FK44" i="4" s="1"/>
  <c r="FL44" i="4"/>
  <c r="FM44" i="4" s="1"/>
  <c r="FF66" i="4"/>
  <c r="FG66" i="4" s="1"/>
  <c r="FH66" i="4"/>
  <c r="FI66" i="4" s="1"/>
  <c r="FJ66" i="4"/>
  <c r="FK66" i="4" s="1"/>
  <c r="FL66" i="4"/>
  <c r="FM66" i="4" s="1"/>
  <c r="FF78" i="4"/>
  <c r="FG78" i="4" s="1"/>
  <c r="FH78" i="4"/>
  <c r="FI78" i="4" s="1"/>
  <c r="FJ78" i="4"/>
  <c r="FK78" i="4" s="1"/>
  <c r="FF89" i="4"/>
  <c r="FG89" i="4" s="1"/>
  <c r="FH89" i="4"/>
  <c r="FI89" i="4" s="1"/>
  <c r="FJ89" i="4"/>
  <c r="FK89" i="4" s="1"/>
  <c r="FJ104" i="4"/>
  <c r="FK104" i="4" s="1"/>
  <c r="FH104" i="4"/>
  <c r="FI104" i="4" s="1"/>
  <c r="FL104" i="4"/>
  <c r="FM104" i="4" s="1"/>
  <c r="FF120" i="4"/>
  <c r="FG120" i="4" s="1"/>
  <c r="FH120" i="4"/>
  <c r="FI120" i="4" s="1"/>
  <c r="FJ120" i="4"/>
  <c r="FK120" i="4" s="1"/>
  <c r="FL120" i="4"/>
  <c r="FM120" i="4" s="1"/>
  <c r="FF135" i="4"/>
  <c r="FG135" i="4" s="1"/>
  <c r="FH135" i="4"/>
  <c r="FI135" i="4" s="1"/>
  <c r="FJ135" i="4"/>
  <c r="FK135" i="4" s="1"/>
  <c r="FF148" i="4"/>
  <c r="FG148" i="4" s="1"/>
  <c r="FH148" i="4"/>
  <c r="FI148" i="4" s="1"/>
  <c r="FJ148" i="4"/>
  <c r="FK148" i="4" s="1"/>
  <c r="FF160" i="4"/>
  <c r="FG160" i="4" s="1"/>
  <c r="FH160" i="4"/>
  <c r="FI160" i="4" s="1"/>
  <c r="FL160" i="4"/>
  <c r="FM160" i="4" s="1"/>
  <c r="FF170" i="4"/>
  <c r="FG170" i="4" s="1"/>
  <c r="FJ170" i="4"/>
  <c r="FK170" i="4" s="1"/>
  <c r="FL170" i="4"/>
  <c r="FM170" i="4" s="1"/>
  <c r="FF181" i="4"/>
  <c r="FG181" i="4" s="1"/>
  <c r="FH181" i="4"/>
  <c r="FI181" i="4" s="1"/>
  <c r="FJ181" i="4"/>
  <c r="FK181" i="4" s="1"/>
  <c r="FL181" i="4"/>
  <c r="FM181" i="4" s="1"/>
  <c r="FF193" i="4"/>
  <c r="FG193" i="4" s="1"/>
  <c r="FH193" i="4"/>
  <c r="FI193" i="4" s="1"/>
  <c r="FJ193" i="4"/>
  <c r="FK193" i="4" s="1"/>
  <c r="FH208" i="4"/>
  <c r="FI208" i="4" s="1"/>
  <c r="FL208" i="4"/>
  <c r="FM208" i="4" s="1"/>
  <c r="FJ208" i="4"/>
  <c r="FK208" i="4" s="1"/>
  <c r="FF220" i="4"/>
  <c r="FG220" i="4" s="1"/>
  <c r="FH220" i="4"/>
  <c r="FI220" i="4" s="1"/>
  <c r="FJ220" i="4"/>
  <c r="FK220" i="4" s="1"/>
  <c r="FF232" i="4"/>
  <c r="FG232" i="4" s="1"/>
  <c r="FH232" i="4"/>
  <c r="FI232" i="4" s="1"/>
  <c r="FJ232" i="4"/>
  <c r="FK232" i="4" s="1"/>
  <c r="FL232" i="4"/>
  <c r="FM232" i="4" s="1"/>
  <c r="FJ246" i="4"/>
  <c r="FK246" i="4" s="1"/>
  <c r="FL246" i="4"/>
  <c r="FM246" i="4" s="1"/>
  <c r="FF246" i="4"/>
  <c r="FG246" i="4" s="1"/>
  <c r="FH257" i="4"/>
  <c r="FI257" i="4" s="1"/>
  <c r="FJ257" i="4"/>
  <c r="FK257" i="4" s="1"/>
  <c r="FL257" i="4"/>
  <c r="FM257" i="4" s="1"/>
  <c r="FF267" i="4"/>
  <c r="FG267" i="4" s="1"/>
  <c r="FH267" i="4"/>
  <c r="FI267" i="4" s="1"/>
  <c r="FL267" i="4"/>
  <c r="FM267" i="4" s="1"/>
  <c r="FF301" i="4"/>
  <c r="FG301" i="4" s="1"/>
  <c r="FJ301" i="4"/>
  <c r="FK301" i="4" s="1"/>
  <c r="FL301" i="4"/>
  <c r="FM301" i="4" s="1"/>
  <c r="FJ314" i="4"/>
  <c r="FK314" i="4" s="1"/>
  <c r="FF314" i="4"/>
  <c r="FG314" i="4" s="1"/>
  <c r="FL314" i="4"/>
  <c r="FM314" i="4" s="1"/>
  <c r="FF340" i="4"/>
  <c r="FG340" i="4" s="1"/>
  <c r="FH340" i="4"/>
  <c r="FI340" i="4" s="1"/>
  <c r="FJ340" i="4"/>
  <c r="FK340" i="4" s="1"/>
  <c r="FF354" i="4"/>
  <c r="FG354" i="4" s="1"/>
  <c r="FJ354" i="4"/>
  <c r="FK354" i="4" s="1"/>
  <c r="FL354" i="4"/>
  <c r="FM354" i="4" s="1"/>
  <c r="FJ364" i="4"/>
  <c r="FK364" i="4" s="1"/>
  <c r="FF364" i="4"/>
  <c r="FG364" i="4" s="1"/>
  <c r="FL364" i="4"/>
  <c r="FM364" i="4" s="1"/>
  <c r="FF45" i="4"/>
  <c r="FG45" i="4" s="1"/>
  <c r="FH45" i="4"/>
  <c r="FI45" i="4" s="1"/>
  <c r="FJ45" i="4"/>
  <c r="FK45" i="4" s="1"/>
  <c r="FF57" i="4"/>
  <c r="FG57" i="4" s="1"/>
  <c r="FH57" i="4"/>
  <c r="FI57" i="4" s="1"/>
  <c r="FJ57" i="4"/>
  <c r="FK57" i="4" s="1"/>
  <c r="FF67" i="4"/>
  <c r="FG67" i="4" s="1"/>
  <c r="FH67" i="4"/>
  <c r="FI67" i="4" s="1"/>
  <c r="FL67" i="4"/>
  <c r="FM67" i="4" s="1"/>
  <c r="FH79" i="4"/>
  <c r="FI79" i="4" s="1"/>
  <c r="FJ79" i="4"/>
  <c r="FK79" i="4" s="1"/>
  <c r="FL79" i="4"/>
  <c r="FM79" i="4" s="1"/>
  <c r="FH90" i="4"/>
  <c r="FI90" i="4" s="1"/>
  <c r="FJ90" i="4"/>
  <c r="FK90" i="4" s="1"/>
  <c r="FF90" i="4"/>
  <c r="FG90" i="4" s="1"/>
  <c r="FH105" i="4"/>
  <c r="FI105" i="4" s="1"/>
  <c r="FJ105" i="4"/>
  <c r="FK105" i="4" s="1"/>
  <c r="FL105" i="4"/>
  <c r="FM105" i="4" s="1"/>
  <c r="FF122" i="4"/>
  <c r="FG122" i="4" s="1"/>
  <c r="FH122" i="4"/>
  <c r="FI122" i="4" s="1"/>
  <c r="FJ122" i="4"/>
  <c r="FK122" i="4" s="1"/>
  <c r="FH136" i="4"/>
  <c r="FI136" i="4" s="1"/>
  <c r="FJ136" i="4"/>
  <c r="FK136" i="4" s="1"/>
  <c r="FL136" i="4"/>
  <c r="FM136" i="4" s="1"/>
  <c r="FJ149" i="4"/>
  <c r="FK149" i="4" s="1"/>
  <c r="FF149" i="4"/>
  <c r="FG149" i="4" s="1"/>
  <c r="FH149" i="4"/>
  <c r="FI149" i="4" s="1"/>
  <c r="FH161" i="4"/>
  <c r="FI161" i="4" s="1"/>
  <c r="FJ161" i="4"/>
  <c r="FK161" i="4" s="1"/>
  <c r="FL161" i="4"/>
  <c r="FM161" i="4" s="1"/>
  <c r="FF161" i="4"/>
  <c r="FG161" i="4" s="1"/>
  <c r="FJ171" i="4"/>
  <c r="FK171" i="4" s="1"/>
  <c r="FL171" i="4"/>
  <c r="FM171" i="4" s="1"/>
  <c r="FF171" i="4"/>
  <c r="FG171" i="4" s="1"/>
  <c r="FH171" i="4"/>
  <c r="FI171" i="4" s="1"/>
  <c r="FH182" i="4"/>
  <c r="FI182" i="4" s="1"/>
  <c r="FJ182" i="4"/>
  <c r="FK182" i="4" s="1"/>
  <c r="FL182" i="4"/>
  <c r="FM182" i="4" s="1"/>
  <c r="FF195" i="4"/>
  <c r="FG195" i="4" s="1"/>
  <c r="FH195" i="4"/>
  <c r="FI195" i="4" s="1"/>
  <c r="FJ195" i="4"/>
  <c r="FK195" i="4" s="1"/>
  <c r="FL195" i="4"/>
  <c r="FM195" i="4" s="1"/>
  <c r="FH209" i="4"/>
  <c r="FI209" i="4" s="1"/>
  <c r="FJ209" i="4"/>
  <c r="FK209" i="4" s="1"/>
  <c r="FF209" i="4"/>
  <c r="FG209" i="4" s="1"/>
  <c r="FF221" i="4"/>
  <c r="FG221" i="4" s="1"/>
  <c r="FH221" i="4"/>
  <c r="FI221" i="4" s="1"/>
  <c r="FJ221" i="4"/>
  <c r="FK221" i="4" s="1"/>
  <c r="FF233" i="4"/>
  <c r="FG233" i="4" s="1"/>
  <c r="FH233" i="4"/>
  <c r="FI233" i="4" s="1"/>
  <c r="FJ233" i="4"/>
  <c r="FK233" i="4" s="1"/>
  <c r="FL233" i="4"/>
  <c r="FM233" i="4" s="1"/>
  <c r="FF247" i="4"/>
  <c r="FG247" i="4" s="1"/>
  <c r="FJ247" i="4"/>
  <c r="FK247" i="4" s="1"/>
  <c r="FL247" i="4"/>
  <c r="FM247" i="4" s="1"/>
  <c r="FH258" i="4"/>
  <c r="FI258" i="4" s="1"/>
  <c r="FJ258" i="4"/>
  <c r="FK258" i="4" s="1"/>
  <c r="FL258" i="4"/>
  <c r="FM258" i="4" s="1"/>
  <c r="FH280" i="4"/>
  <c r="FI280" i="4" s="1"/>
  <c r="FF280" i="4"/>
  <c r="FG280" i="4" s="1"/>
  <c r="FL280" i="4"/>
  <c r="FM280" i="4" s="1"/>
  <c r="FF302" i="4"/>
  <c r="FG302" i="4" s="1"/>
  <c r="FH302" i="4"/>
  <c r="FI302" i="4" s="1"/>
  <c r="FJ302" i="4"/>
  <c r="FK302" i="4" s="1"/>
  <c r="FF315" i="4"/>
  <c r="FG315" i="4" s="1"/>
  <c r="FH315" i="4"/>
  <c r="FI315" i="4" s="1"/>
  <c r="FJ315" i="4"/>
  <c r="FK315" i="4" s="1"/>
  <c r="FF341" i="4"/>
  <c r="FG341" i="4" s="1"/>
  <c r="FH341" i="4"/>
  <c r="FI341" i="4" s="1"/>
  <c r="FJ341" i="4"/>
  <c r="FK341" i="4" s="1"/>
  <c r="FH355" i="4"/>
  <c r="FI355" i="4" s="1"/>
  <c r="FF355" i="4"/>
  <c r="FG355" i="4" s="1"/>
  <c r="FL355" i="4"/>
  <c r="FM355" i="4" s="1"/>
  <c r="FH11" i="4"/>
  <c r="FI11" i="4" s="1"/>
  <c r="FJ11" i="4"/>
  <c r="FK11" i="4" s="1"/>
  <c r="FL11" i="4"/>
  <c r="FM11" i="4" s="1"/>
  <c r="FJ23" i="4"/>
  <c r="FK23" i="4" s="1"/>
  <c r="FF23" i="4"/>
  <c r="FG23" i="4" s="1"/>
  <c r="FL23" i="4"/>
  <c r="FM23" i="4" s="1"/>
  <c r="FH34" i="4"/>
  <c r="FI34" i="4" s="1"/>
  <c r="FJ34" i="4"/>
  <c r="FK34" i="4" s="1"/>
  <c r="FL34" i="4"/>
  <c r="FM34" i="4" s="1"/>
  <c r="FF58" i="4"/>
  <c r="FG58" i="4" s="1"/>
  <c r="FJ58" i="4"/>
  <c r="FK58" i="4" s="1"/>
  <c r="FL58" i="4"/>
  <c r="FM58" i="4" s="1"/>
  <c r="FH93" i="4"/>
  <c r="FI93" i="4" s="1"/>
  <c r="FF93" i="4"/>
  <c r="FG93" i="4" s="1"/>
  <c r="FL93" i="4"/>
  <c r="FM93" i="4" s="1"/>
  <c r="FJ107" i="4"/>
  <c r="FK107" i="4" s="1"/>
  <c r="FF107" i="4"/>
  <c r="FG107" i="4" s="1"/>
  <c r="FH107" i="4"/>
  <c r="FI107" i="4" s="1"/>
  <c r="FF123" i="4"/>
  <c r="FG123" i="4" s="1"/>
  <c r="FH123" i="4"/>
  <c r="FI123" i="4" s="1"/>
  <c r="FL123" i="4"/>
  <c r="FM123" i="4" s="1"/>
  <c r="FF137" i="4"/>
  <c r="FG137" i="4" s="1"/>
  <c r="FH137" i="4"/>
  <c r="FI137" i="4" s="1"/>
  <c r="FL137" i="4"/>
  <c r="FM137" i="4" s="1"/>
  <c r="FF150" i="4"/>
  <c r="FG150" i="4" s="1"/>
  <c r="FH150" i="4"/>
  <c r="FI150" i="4" s="1"/>
  <c r="FJ150" i="4"/>
  <c r="FK150" i="4" s="1"/>
  <c r="FF172" i="4"/>
  <c r="FG172" i="4" s="1"/>
  <c r="FH172" i="4"/>
  <c r="FI172" i="4" s="1"/>
  <c r="FJ172" i="4"/>
  <c r="FK172" i="4" s="1"/>
  <c r="FL172" i="4"/>
  <c r="FM172" i="4" s="1"/>
  <c r="FF183" i="4"/>
  <c r="FG183" i="4" s="1"/>
  <c r="FH183" i="4"/>
  <c r="FI183" i="4" s="1"/>
  <c r="FJ183" i="4"/>
  <c r="FK183" i="4" s="1"/>
  <c r="FL183" i="4"/>
  <c r="FM183" i="4" s="1"/>
  <c r="FF210" i="4"/>
  <c r="FG210" i="4" s="1"/>
  <c r="FH210" i="4"/>
  <c r="FI210" i="4" s="1"/>
  <c r="FJ210" i="4"/>
  <c r="FK210" i="4" s="1"/>
  <c r="FF222" i="4"/>
  <c r="FG222" i="4" s="1"/>
  <c r="FH222" i="4"/>
  <c r="FI222" i="4" s="1"/>
  <c r="FJ222" i="4"/>
  <c r="FK222" i="4" s="1"/>
  <c r="FF234" i="4"/>
  <c r="FG234" i="4" s="1"/>
  <c r="FH234" i="4"/>
  <c r="FI234" i="4" s="1"/>
  <c r="FJ234" i="4"/>
  <c r="FK234" i="4" s="1"/>
  <c r="FL234" i="4"/>
  <c r="FM234" i="4" s="1"/>
  <c r="FF248" i="4"/>
  <c r="FG248" i="4" s="1"/>
  <c r="FH248" i="4"/>
  <c r="FI248" i="4" s="1"/>
  <c r="FJ248" i="4"/>
  <c r="FK248" i="4" s="1"/>
  <c r="FL248" i="4"/>
  <c r="FM248" i="4" s="1"/>
  <c r="FH259" i="4"/>
  <c r="FI259" i="4" s="1"/>
  <c r="FF259" i="4"/>
  <c r="FG259" i="4" s="1"/>
  <c r="FL259" i="4"/>
  <c r="FM259" i="4" s="1"/>
  <c r="FF281" i="4"/>
  <c r="FG281" i="4" s="1"/>
  <c r="FH281" i="4"/>
  <c r="FI281" i="4" s="1"/>
  <c r="FL281" i="4"/>
  <c r="FM281" i="4" s="1"/>
  <c r="FF291" i="4"/>
  <c r="FG291" i="4" s="1"/>
  <c r="FH291" i="4"/>
  <c r="FI291" i="4" s="1"/>
  <c r="FJ291" i="4"/>
  <c r="FK291" i="4" s="1"/>
  <c r="FJ329" i="4"/>
  <c r="FK329" i="4" s="1"/>
  <c r="FL329" i="4"/>
  <c r="FM329" i="4" s="1"/>
  <c r="FF329" i="4"/>
  <c r="FG329" i="4" s="1"/>
  <c r="FF12" i="4"/>
  <c r="FG12" i="4" s="1"/>
  <c r="FH12" i="4"/>
  <c r="FI12" i="4" s="1"/>
  <c r="FL12" i="4"/>
  <c r="FM12" i="4" s="1"/>
  <c r="FF24" i="4"/>
  <c r="FG24" i="4" s="1"/>
  <c r="FH24" i="4"/>
  <c r="FI24" i="4" s="1"/>
  <c r="FL24" i="4"/>
  <c r="FM24" i="4" s="1"/>
  <c r="FJ47" i="4"/>
  <c r="FK47" i="4" s="1"/>
  <c r="FH47" i="4"/>
  <c r="FI47" i="4" s="1"/>
  <c r="FL47" i="4"/>
  <c r="FM47" i="4" s="1"/>
  <c r="FF80" i="4"/>
  <c r="FG80" i="4" s="1"/>
  <c r="FH80" i="4"/>
  <c r="FI80" i="4" s="1"/>
  <c r="FL80" i="4"/>
  <c r="FM80" i="4" s="1"/>
  <c r="FF94" i="4"/>
  <c r="FG94" i="4" s="1"/>
  <c r="FH94" i="4"/>
  <c r="FI94" i="4" s="1"/>
  <c r="FL94" i="4"/>
  <c r="FM94" i="4" s="1"/>
  <c r="FF108" i="4"/>
  <c r="FG108" i="4" s="1"/>
  <c r="FH108" i="4"/>
  <c r="FI108" i="4" s="1"/>
  <c r="FJ108" i="4"/>
  <c r="FK108" i="4" s="1"/>
  <c r="FL108" i="4"/>
  <c r="FM108" i="4" s="1"/>
  <c r="FF124" i="4"/>
  <c r="FG124" i="4" s="1"/>
  <c r="FH124" i="4"/>
  <c r="FI124" i="4" s="1"/>
  <c r="FJ124" i="4"/>
  <c r="FK124" i="4" s="1"/>
  <c r="FL124" i="4"/>
  <c r="FM124" i="4" s="1"/>
  <c r="FF138" i="4"/>
  <c r="FG138" i="4" s="1"/>
  <c r="FH138" i="4"/>
  <c r="FI138" i="4" s="1"/>
  <c r="FJ138" i="4"/>
  <c r="FK138" i="4" s="1"/>
  <c r="FF151" i="4"/>
  <c r="FG151" i="4" s="1"/>
  <c r="FH151" i="4"/>
  <c r="FI151" i="4" s="1"/>
  <c r="FJ151" i="4"/>
  <c r="FK151" i="4" s="1"/>
  <c r="FL151" i="4"/>
  <c r="FM151" i="4" s="1"/>
  <c r="FF173" i="4"/>
  <c r="FG173" i="4" s="1"/>
  <c r="FH173" i="4"/>
  <c r="FI173" i="4" s="1"/>
  <c r="FL173" i="4"/>
  <c r="FM173" i="4" s="1"/>
  <c r="FF184" i="4"/>
  <c r="FG184" i="4" s="1"/>
  <c r="FH184" i="4"/>
  <c r="FI184" i="4" s="1"/>
  <c r="FJ184" i="4"/>
  <c r="FK184" i="4" s="1"/>
  <c r="FF196" i="4"/>
  <c r="FG196" i="4" s="1"/>
  <c r="FH196" i="4"/>
  <c r="FI196" i="4" s="1"/>
  <c r="FJ196" i="4"/>
  <c r="FK196" i="4" s="1"/>
  <c r="FL196" i="4"/>
  <c r="FM196" i="4" s="1"/>
  <c r="FF211" i="4"/>
  <c r="FG211" i="4" s="1"/>
  <c r="FH211" i="4"/>
  <c r="FI211" i="4" s="1"/>
  <c r="FL211" i="4"/>
  <c r="FM211" i="4" s="1"/>
  <c r="FF223" i="4"/>
  <c r="FG223" i="4" s="1"/>
  <c r="FH223" i="4"/>
  <c r="FI223" i="4" s="1"/>
  <c r="FL223" i="4"/>
  <c r="FM223" i="4" s="1"/>
  <c r="FH235" i="4"/>
  <c r="FI235" i="4" s="1"/>
  <c r="FJ235" i="4"/>
  <c r="FK235" i="4" s="1"/>
  <c r="FL235" i="4"/>
  <c r="FM235" i="4" s="1"/>
  <c r="FF298" i="4"/>
  <c r="FG298" i="4" s="1"/>
  <c r="FH298" i="4"/>
  <c r="FI298" i="4" s="1"/>
  <c r="FJ298" i="4"/>
  <c r="FK298" i="4" s="1"/>
  <c r="FL298" i="4"/>
  <c r="FM298" i="4" s="1"/>
  <c r="FF269" i="4"/>
  <c r="FG269" i="4" s="1"/>
  <c r="FH269" i="4"/>
  <c r="FI269" i="4" s="1"/>
  <c r="FL269" i="4"/>
  <c r="FM269" i="4" s="1"/>
  <c r="FH292" i="4"/>
  <c r="FI292" i="4" s="1"/>
  <c r="FF292" i="4"/>
  <c r="FG292" i="4" s="1"/>
  <c r="FL292" i="4"/>
  <c r="FM292" i="4" s="1"/>
  <c r="FH317" i="4"/>
  <c r="FI317" i="4" s="1"/>
  <c r="FF317" i="4"/>
  <c r="FG317" i="4" s="1"/>
  <c r="FL317" i="4"/>
  <c r="FM317" i="4" s="1"/>
  <c r="FF330" i="4"/>
  <c r="FG330" i="4" s="1"/>
  <c r="FJ330" i="4"/>
  <c r="FK330" i="4" s="1"/>
  <c r="FL330" i="4"/>
  <c r="FM330" i="4" s="1"/>
  <c r="FH342" i="4"/>
  <c r="FI342" i="4" s="1"/>
  <c r="FL342" i="4"/>
  <c r="FM342" i="4" s="1"/>
  <c r="FJ342" i="4"/>
  <c r="FK342" i="4" s="1"/>
  <c r="FF357" i="4"/>
  <c r="FG357" i="4" s="1"/>
  <c r="FH357" i="4"/>
  <c r="FI357" i="4" s="1"/>
  <c r="FJ357" i="4"/>
  <c r="FK357" i="4" s="1"/>
  <c r="FL357" i="4"/>
  <c r="FM357" i="4" s="1"/>
  <c r="FF369" i="4"/>
  <c r="FG369" i="4" s="1"/>
  <c r="FH369" i="4"/>
  <c r="FI369" i="4" s="1"/>
  <c r="FL369" i="4"/>
  <c r="FM369" i="4" s="1"/>
  <c r="FF22" i="4"/>
  <c r="FG22" i="4" s="1"/>
  <c r="FH22" i="4"/>
  <c r="FI22" i="4" s="1"/>
  <c r="FL22" i="4"/>
  <c r="FM22" i="4" s="1"/>
  <c r="FJ22" i="4"/>
  <c r="FK22" i="4" s="1"/>
  <c r="FF25" i="4"/>
  <c r="FG25" i="4" s="1"/>
  <c r="FH25" i="4"/>
  <c r="FI25" i="4" s="1"/>
  <c r="FL25" i="4"/>
  <c r="FM25" i="4" s="1"/>
  <c r="FH36" i="4"/>
  <c r="FI36" i="4" s="1"/>
  <c r="FL36" i="4"/>
  <c r="FM36" i="4" s="1"/>
  <c r="FF36" i="4"/>
  <c r="FG36" i="4" s="1"/>
  <c r="FF70" i="4"/>
  <c r="FG70" i="4" s="1"/>
  <c r="FJ70" i="4"/>
  <c r="FK70" i="4" s="1"/>
  <c r="FL70" i="4"/>
  <c r="FM70" i="4" s="1"/>
  <c r="FJ81" i="4"/>
  <c r="FK81" i="4" s="1"/>
  <c r="FF81" i="4"/>
  <c r="FG81" i="4" s="1"/>
  <c r="FH81" i="4"/>
  <c r="FI81" i="4" s="1"/>
  <c r="FF95" i="4"/>
  <c r="FG95" i="4" s="1"/>
  <c r="FH95" i="4"/>
  <c r="FI95" i="4" s="1"/>
  <c r="FL95" i="4"/>
  <c r="FM95" i="4" s="1"/>
  <c r="FF109" i="4"/>
  <c r="FG109" i="4" s="1"/>
  <c r="FH109" i="4"/>
  <c r="FI109" i="4" s="1"/>
  <c r="FJ109" i="4"/>
  <c r="FK109" i="4" s="1"/>
  <c r="FF125" i="4"/>
  <c r="FG125" i="4" s="1"/>
  <c r="FJ125" i="4"/>
  <c r="FK125" i="4" s="1"/>
  <c r="FH125" i="4"/>
  <c r="FI125" i="4" s="1"/>
  <c r="FJ139" i="4"/>
  <c r="FK139" i="4" s="1"/>
  <c r="FH139" i="4"/>
  <c r="FI139" i="4" s="1"/>
  <c r="FF139" i="4"/>
  <c r="FG139" i="4" s="1"/>
  <c r="FL139" i="4"/>
  <c r="FM139" i="4" s="1"/>
  <c r="FJ152" i="4"/>
  <c r="FK152" i="4" s="1"/>
  <c r="FL152" i="4"/>
  <c r="FM152" i="4" s="1"/>
  <c r="FF152" i="4"/>
  <c r="FG152" i="4" s="1"/>
  <c r="FH152" i="4"/>
  <c r="FI152" i="4" s="1"/>
  <c r="FJ174" i="4"/>
  <c r="FK174" i="4" s="1"/>
  <c r="FH174" i="4"/>
  <c r="FI174" i="4" s="1"/>
  <c r="FF174" i="4"/>
  <c r="FG174" i="4" s="1"/>
  <c r="FH185" i="4"/>
  <c r="FI185" i="4" s="1"/>
  <c r="FF185" i="4"/>
  <c r="FG185" i="4" s="1"/>
  <c r="FL185" i="4"/>
  <c r="FM185" i="4" s="1"/>
  <c r="FH197" i="4"/>
  <c r="FI197" i="4" s="1"/>
  <c r="FJ197" i="4"/>
  <c r="FK197" i="4" s="1"/>
  <c r="FF197" i="4"/>
  <c r="FG197" i="4" s="1"/>
  <c r="FJ212" i="4"/>
  <c r="FK212" i="4" s="1"/>
  <c r="FH212" i="4"/>
  <c r="FI212" i="4" s="1"/>
  <c r="FL212" i="4"/>
  <c r="FM212" i="4" s="1"/>
  <c r="FF224" i="4"/>
  <c r="FG224" i="4" s="1"/>
  <c r="FH224" i="4"/>
  <c r="FI224" i="4" s="1"/>
  <c r="FJ224" i="4"/>
  <c r="FK224" i="4" s="1"/>
  <c r="FL224" i="4"/>
  <c r="FM224" i="4" s="1"/>
  <c r="FF238" i="4"/>
  <c r="FG238" i="4" s="1"/>
  <c r="FH238" i="4"/>
  <c r="FI238" i="4" s="1"/>
  <c r="FJ238" i="4"/>
  <c r="FK238" i="4" s="1"/>
  <c r="FF249" i="4"/>
  <c r="FG249" i="4" s="1"/>
  <c r="FH249" i="4"/>
  <c r="FI249" i="4" s="1"/>
  <c r="FL249" i="4"/>
  <c r="FM249" i="4" s="1"/>
  <c r="FF260" i="4"/>
  <c r="FG260" i="4" s="1"/>
  <c r="FH260" i="4"/>
  <c r="FI260" i="4" s="1"/>
  <c r="FJ260" i="4"/>
  <c r="FK260" i="4" s="1"/>
  <c r="FL260" i="4"/>
  <c r="FM260" i="4" s="1"/>
  <c r="FF270" i="4"/>
  <c r="FG270" i="4" s="1"/>
  <c r="FH270" i="4"/>
  <c r="FI270" i="4" s="1"/>
  <c r="FL270" i="4"/>
  <c r="FM270" i="4" s="1"/>
  <c r="FF282" i="4"/>
  <c r="FG282" i="4" s="1"/>
  <c r="FJ282" i="4"/>
  <c r="FK282" i="4" s="1"/>
  <c r="FL282" i="4"/>
  <c r="FM282" i="4" s="1"/>
  <c r="FF305" i="4"/>
  <c r="FG305" i="4" s="1"/>
  <c r="FH305" i="4"/>
  <c r="FI305" i="4" s="1"/>
  <c r="FL305" i="4"/>
  <c r="FM305" i="4" s="1"/>
  <c r="FJ305" i="4"/>
  <c r="FK305" i="4" s="1"/>
  <c r="FF318" i="4"/>
  <c r="FG318" i="4" s="1"/>
  <c r="FH318" i="4"/>
  <c r="FI318" i="4" s="1"/>
  <c r="FJ318" i="4"/>
  <c r="FK318" i="4" s="1"/>
  <c r="FF331" i="4"/>
  <c r="FG331" i="4" s="1"/>
  <c r="FH331" i="4"/>
  <c r="FI331" i="4" s="1"/>
  <c r="FJ331" i="4"/>
  <c r="FK331" i="4" s="1"/>
  <c r="FL331" i="4"/>
  <c r="FM331" i="4" s="1"/>
  <c r="FF358" i="4"/>
  <c r="FG358" i="4" s="1"/>
  <c r="FL358" i="4"/>
  <c r="FM358" i="4" s="1"/>
  <c r="FH358" i="4"/>
  <c r="FI358" i="4" s="1"/>
  <c r="FH33" i="4"/>
  <c r="FI33" i="4" s="1"/>
  <c r="FJ33" i="4"/>
  <c r="FK33" i="4" s="1"/>
  <c r="FL33" i="4"/>
  <c r="FM33" i="4" s="1"/>
  <c r="FJ26" i="4"/>
  <c r="FK26" i="4" s="1"/>
  <c r="FH26" i="4"/>
  <c r="FI26" i="4" s="1"/>
  <c r="FF26" i="4"/>
  <c r="FG26" i="4" s="1"/>
  <c r="FH49" i="4"/>
  <c r="FI49" i="4" s="1"/>
  <c r="FJ49" i="4"/>
  <c r="FK49" i="4" s="1"/>
  <c r="FL49" i="4"/>
  <c r="FM49" i="4" s="1"/>
  <c r="FF60" i="4"/>
  <c r="FG60" i="4" s="1"/>
  <c r="FH60" i="4"/>
  <c r="FI60" i="4" s="1"/>
  <c r="FJ60" i="4"/>
  <c r="FK60" i="4" s="1"/>
  <c r="FF82" i="4"/>
  <c r="FG82" i="4" s="1"/>
  <c r="FH82" i="4"/>
  <c r="FI82" i="4" s="1"/>
  <c r="FJ82" i="4"/>
  <c r="FK82" i="4" s="1"/>
  <c r="FH96" i="4"/>
  <c r="FI96" i="4" s="1"/>
  <c r="FJ96" i="4"/>
  <c r="FK96" i="4" s="1"/>
  <c r="FL96" i="4"/>
  <c r="FM96" i="4" s="1"/>
  <c r="FH110" i="4"/>
  <c r="FI110" i="4" s="1"/>
  <c r="FL110" i="4"/>
  <c r="FM110" i="4" s="1"/>
  <c r="FF110" i="4"/>
  <c r="FG110" i="4" s="1"/>
  <c r="FF127" i="4"/>
  <c r="FG127" i="4" s="1"/>
  <c r="FH127" i="4"/>
  <c r="FI127" i="4" s="1"/>
  <c r="FJ127" i="4"/>
  <c r="FK127" i="4" s="1"/>
  <c r="FF140" i="4"/>
  <c r="FG140" i="4" s="1"/>
  <c r="FJ140" i="4"/>
  <c r="FK140" i="4" s="1"/>
  <c r="FL140" i="4"/>
  <c r="FM140" i="4" s="1"/>
  <c r="FF153" i="4"/>
  <c r="FG153" i="4" s="1"/>
  <c r="FH153" i="4"/>
  <c r="FI153" i="4" s="1"/>
  <c r="FJ153" i="4"/>
  <c r="FK153" i="4" s="1"/>
  <c r="FF164" i="4"/>
  <c r="FG164" i="4" s="1"/>
  <c r="FH164" i="4"/>
  <c r="FI164" i="4" s="1"/>
  <c r="FJ164" i="4"/>
  <c r="FK164" i="4" s="1"/>
  <c r="FH175" i="4"/>
  <c r="FI175" i="4" s="1"/>
  <c r="FJ175" i="4"/>
  <c r="FK175" i="4" s="1"/>
  <c r="FL175" i="4"/>
  <c r="FM175" i="4" s="1"/>
  <c r="FF186" i="4"/>
  <c r="FG186" i="4" s="1"/>
  <c r="FH186" i="4"/>
  <c r="FI186" i="4" s="1"/>
  <c r="FJ186" i="4"/>
  <c r="FK186" i="4" s="1"/>
  <c r="FL186" i="4"/>
  <c r="FM186" i="4" s="1"/>
  <c r="FF198" i="4"/>
  <c r="FG198" i="4" s="1"/>
  <c r="FH198" i="4"/>
  <c r="FI198" i="4" s="1"/>
  <c r="FL198" i="4"/>
  <c r="FM198" i="4" s="1"/>
  <c r="FF213" i="4"/>
  <c r="FG213" i="4" s="1"/>
  <c r="FH213" i="4"/>
  <c r="FI213" i="4" s="1"/>
  <c r="FJ213" i="4"/>
  <c r="FK213" i="4" s="1"/>
  <c r="FF225" i="4"/>
  <c r="FG225" i="4" s="1"/>
  <c r="FL225" i="4"/>
  <c r="FM225" i="4" s="1"/>
  <c r="FJ225" i="4"/>
  <c r="FK225" i="4" s="1"/>
  <c r="FJ239" i="4"/>
  <c r="FK239" i="4" s="1"/>
  <c r="FF239" i="4"/>
  <c r="FG239" i="4" s="1"/>
  <c r="FH239" i="4"/>
  <c r="FI239" i="4" s="1"/>
  <c r="FF250" i="4"/>
  <c r="FG250" i="4" s="1"/>
  <c r="FH250" i="4"/>
  <c r="FI250" i="4" s="1"/>
  <c r="FJ250" i="4"/>
  <c r="FK250" i="4" s="1"/>
  <c r="FL250" i="4"/>
  <c r="FM250" i="4" s="1"/>
  <c r="FF261" i="4"/>
  <c r="FG261" i="4" s="1"/>
  <c r="FH261" i="4"/>
  <c r="FI261" i="4" s="1"/>
  <c r="FJ261" i="4"/>
  <c r="FK261" i="4" s="1"/>
  <c r="FL261" i="4"/>
  <c r="FM261" i="4" s="1"/>
  <c r="FJ271" i="4"/>
  <c r="FK271" i="4" s="1"/>
  <c r="FF271" i="4"/>
  <c r="FG271" i="4" s="1"/>
  <c r="FL271" i="4"/>
  <c r="FM271" i="4" s="1"/>
  <c r="FL283" i="4"/>
  <c r="FM283" i="4" s="1"/>
  <c r="FF283" i="4"/>
  <c r="FG283" i="4" s="1"/>
  <c r="FH283" i="4"/>
  <c r="FI283" i="4" s="1"/>
  <c r="FF293" i="4"/>
  <c r="FG293" i="4" s="1"/>
  <c r="FH293" i="4"/>
  <c r="FI293" i="4" s="1"/>
  <c r="FJ293" i="4"/>
  <c r="FK293" i="4" s="1"/>
  <c r="FF319" i="4"/>
  <c r="FG319" i="4" s="1"/>
  <c r="FH319" i="4"/>
  <c r="FI319" i="4" s="1"/>
  <c r="FJ319" i="4"/>
  <c r="FK319" i="4" s="1"/>
  <c r="FF334" i="4"/>
  <c r="FG334" i="4" s="1"/>
  <c r="FH334" i="4"/>
  <c r="FI334" i="4" s="1"/>
  <c r="FJ334" i="4"/>
  <c r="FK334" i="4" s="1"/>
  <c r="FL334" i="4"/>
  <c r="FM334" i="4" s="1"/>
  <c r="FF344" i="4"/>
  <c r="FG344" i="4" s="1"/>
  <c r="FH344" i="4"/>
  <c r="FI344" i="4" s="1"/>
  <c r="FJ344" i="4"/>
  <c r="FK344" i="4" s="1"/>
  <c r="FL344" i="4"/>
  <c r="FM344" i="4" s="1"/>
  <c r="FF359" i="4"/>
  <c r="FG359" i="4" s="1"/>
  <c r="FJ359" i="4"/>
  <c r="FK359" i="4" s="1"/>
  <c r="FL359" i="4"/>
  <c r="FM359" i="4" s="1"/>
  <c r="FF15" i="4"/>
  <c r="FG15" i="4" s="1"/>
  <c r="FH15" i="4"/>
  <c r="FI15" i="4" s="1"/>
  <c r="FL15" i="4"/>
  <c r="FM15" i="4" s="1"/>
  <c r="FF27" i="4"/>
  <c r="FG27" i="4" s="1"/>
  <c r="FH27" i="4"/>
  <c r="FI27" i="4" s="1"/>
  <c r="FL27" i="4"/>
  <c r="FM27" i="4" s="1"/>
  <c r="FF50" i="4"/>
  <c r="FG50" i="4" s="1"/>
  <c r="FH50" i="4"/>
  <c r="FI50" i="4" s="1"/>
  <c r="FL50" i="4"/>
  <c r="FM50" i="4" s="1"/>
  <c r="FH61" i="4"/>
  <c r="FI61" i="4" s="1"/>
  <c r="FJ61" i="4"/>
  <c r="FK61" i="4" s="1"/>
  <c r="FL61" i="4"/>
  <c r="FM61" i="4" s="1"/>
  <c r="FF72" i="4"/>
  <c r="FG72" i="4" s="1"/>
  <c r="FH72" i="4"/>
  <c r="FI72" i="4" s="1"/>
  <c r="FJ72" i="4"/>
  <c r="FK72" i="4" s="1"/>
  <c r="FH83" i="4"/>
  <c r="FI83" i="4" s="1"/>
  <c r="FJ83" i="4"/>
  <c r="FK83" i="4" s="1"/>
  <c r="FL83" i="4"/>
  <c r="FM83" i="4" s="1"/>
  <c r="FF111" i="4"/>
  <c r="FG111" i="4" s="1"/>
  <c r="FH111" i="4"/>
  <c r="FI111" i="4" s="1"/>
  <c r="FJ111" i="4"/>
  <c r="FK111" i="4" s="1"/>
  <c r="FF128" i="4"/>
  <c r="FG128" i="4" s="1"/>
  <c r="FH128" i="4"/>
  <c r="FI128" i="4" s="1"/>
  <c r="FL128" i="4"/>
  <c r="FM128" i="4" s="1"/>
  <c r="FJ128" i="4"/>
  <c r="FK128" i="4" s="1"/>
  <c r="FF154" i="4"/>
  <c r="FG154" i="4" s="1"/>
  <c r="FH154" i="4"/>
  <c r="FI154" i="4" s="1"/>
  <c r="FJ154" i="4"/>
  <c r="FK154" i="4" s="1"/>
  <c r="FL154" i="4"/>
  <c r="FM154" i="4" s="1"/>
  <c r="FF165" i="4"/>
  <c r="FG165" i="4" s="1"/>
  <c r="FH165" i="4"/>
  <c r="FI165" i="4" s="1"/>
  <c r="FJ165" i="4"/>
  <c r="FK165" i="4" s="1"/>
  <c r="FF187" i="4"/>
  <c r="FG187" i="4" s="1"/>
  <c r="FL187" i="4"/>
  <c r="FM187" i="4" s="1"/>
  <c r="FJ187" i="4"/>
  <c r="FK187" i="4" s="1"/>
  <c r="FJ199" i="4"/>
  <c r="FK199" i="4" s="1"/>
  <c r="FH199" i="4"/>
  <c r="FI199" i="4" s="1"/>
  <c r="FF199" i="4"/>
  <c r="FG199" i="4" s="1"/>
  <c r="FL199" i="4"/>
  <c r="FM199" i="4" s="1"/>
  <c r="FF214" i="4"/>
  <c r="FG214" i="4" s="1"/>
  <c r="FH214" i="4"/>
  <c r="FI214" i="4" s="1"/>
  <c r="FL214" i="4"/>
  <c r="FM214" i="4" s="1"/>
  <c r="FH226" i="4"/>
  <c r="FI226" i="4" s="1"/>
  <c r="FJ226" i="4"/>
  <c r="FK226" i="4" s="1"/>
  <c r="FL226" i="4"/>
  <c r="FM226" i="4" s="1"/>
  <c r="FH240" i="4"/>
  <c r="FI240" i="4" s="1"/>
  <c r="FJ240" i="4"/>
  <c r="FK240" i="4" s="1"/>
  <c r="FL240" i="4"/>
  <c r="FM240" i="4" s="1"/>
  <c r="FF251" i="4"/>
  <c r="FG251" i="4" s="1"/>
  <c r="FH251" i="4"/>
  <c r="FI251" i="4" s="1"/>
  <c r="FL251" i="4"/>
  <c r="FM251" i="4" s="1"/>
  <c r="FF262" i="4"/>
  <c r="FG262" i="4" s="1"/>
  <c r="FH262" i="4"/>
  <c r="FI262" i="4" s="1"/>
  <c r="FJ262" i="4"/>
  <c r="FK262" i="4" s="1"/>
  <c r="FL262" i="4"/>
  <c r="FM262" i="4" s="1"/>
  <c r="FF272" i="4"/>
  <c r="FG272" i="4" s="1"/>
  <c r="FH272" i="4"/>
  <c r="FI272" i="4" s="1"/>
  <c r="FJ272" i="4"/>
  <c r="FK272" i="4" s="1"/>
  <c r="FL272" i="4"/>
  <c r="FM272" i="4" s="1"/>
  <c r="FH306" i="4"/>
  <c r="FI306" i="4" s="1"/>
  <c r="FJ306" i="4"/>
  <c r="FK306" i="4" s="1"/>
  <c r="FL306" i="4"/>
  <c r="FM306" i="4" s="1"/>
  <c r="FH320" i="4"/>
  <c r="FI320" i="4" s="1"/>
  <c r="FJ320" i="4"/>
  <c r="FK320" i="4" s="1"/>
  <c r="FF320" i="4"/>
  <c r="FG320" i="4" s="1"/>
  <c r="FF347" i="4"/>
  <c r="FG347" i="4" s="1"/>
  <c r="FH347" i="4"/>
  <c r="FI347" i="4" s="1"/>
  <c r="FL347" i="4"/>
  <c r="FM347" i="4" s="1"/>
  <c r="FF360" i="4"/>
  <c r="FG360" i="4" s="1"/>
  <c r="FH360" i="4"/>
  <c r="FI360" i="4" s="1"/>
  <c r="FL360" i="4"/>
  <c r="FM360" i="4" s="1"/>
  <c r="FF16" i="4"/>
  <c r="FG16" i="4" s="1"/>
  <c r="FJ16" i="4"/>
  <c r="FK16" i="4" s="1"/>
  <c r="FL16" i="4"/>
  <c r="FM16" i="4" s="1"/>
  <c r="FJ39" i="4"/>
  <c r="FK39" i="4" s="1"/>
  <c r="FH39" i="4"/>
  <c r="FI39" i="4" s="1"/>
  <c r="FL39" i="4"/>
  <c r="FM39" i="4" s="1"/>
  <c r="FF51" i="4"/>
  <c r="FG51" i="4" s="1"/>
  <c r="FH51" i="4"/>
  <c r="FI51" i="4" s="1"/>
  <c r="FL51" i="4"/>
  <c r="FM51" i="4" s="1"/>
  <c r="FJ62" i="4"/>
  <c r="FK62" i="4" s="1"/>
  <c r="FL62" i="4"/>
  <c r="FM62" i="4" s="1"/>
  <c r="FF62" i="4"/>
  <c r="FG62" i="4" s="1"/>
  <c r="FH62" i="4"/>
  <c r="FI62" i="4" s="1"/>
  <c r="FJ73" i="4"/>
  <c r="FK73" i="4" s="1"/>
  <c r="FF73" i="4"/>
  <c r="FG73" i="4" s="1"/>
  <c r="FL73" i="4"/>
  <c r="FM73" i="4" s="1"/>
  <c r="FJ84" i="4"/>
  <c r="FK84" i="4" s="1"/>
  <c r="FH84" i="4"/>
  <c r="FI84" i="4" s="1"/>
  <c r="FL84" i="4"/>
  <c r="FM84" i="4" s="1"/>
  <c r="FF84" i="4"/>
  <c r="FG84" i="4" s="1"/>
  <c r="FH98" i="4"/>
  <c r="FI98" i="4" s="1"/>
  <c r="FJ98" i="4"/>
  <c r="FK98" i="4" s="1"/>
  <c r="FF98" i="4"/>
  <c r="FG98" i="4" s="1"/>
  <c r="FL98" i="4"/>
  <c r="FM98" i="4" s="1"/>
  <c r="FF112" i="4"/>
  <c r="FG112" i="4" s="1"/>
  <c r="FH112" i="4"/>
  <c r="FI112" i="4" s="1"/>
  <c r="FL112" i="4"/>
  <c r="FM112" i="4" s="1"/>
  <c r="FJ129" i="4"/>
  <c r="FK129" i="4" s="1"/>
  <c r="FH129" i="4"/>
  <c r="FI129" i="4" s="1"/>
  <c r="FF129" i="4"/>
  <c r="FG129" i="4" s="1"/>
  <c r="FL129" i="4"/>
  <c r="FM129" i="4" s="1"/>
  <c r="FJ141" i="4"/>
  <c r="FK141" i="4" s="1"/>
  <c r="FH141" i="4"/>
  <c r="FI141" i="4" s="1"/>
  <c r="FF141" i="4"/>
  <c r="FG141" i="4" s="1"/>
  <c r="FH155" i="4"/>
  <c r="FI155" i="4" s="1"/>
  <c r="FJ155" i="4"/>
  <c r="FK155" i="4" s="1"/>
  <c r="FF155" i="4"/>
  <c r="FG155" i="4" s="1"/>
  <c r="FJ176" i="4"/>
  <c r="FK176" i="4" s="1"/>
  <c r="FL176" i="4"/>
  <c r="FM176" i="4" s="1"/>
  <c r="FF176" i="4"/>
  <c r="FG176" i="4" s="1"/>
  <c r="FF200" i="4"/>
  <c r="FG200" i="4" s="1"/>
  <c r="FH200" i="4"/>
  <c r="FI200" i="4" s="1"/>
  <c r="FJ200" i="4"/>
  <c r="FK200" i="4" s="1"/>
  <c r="FF215" i="4"/>
  <c r="FG215" i="4" s="1"/>
  <c r="FH215" i="4"/>
  <c r="FI215" i="4" s="1"/>
  <c r="FJ215" i="4"/>
  <c r="FK215" i="4" s="1"/>
  <c r="FL215" i="4"/>
  <c r="FM215" i="4" s="1"/>
  <c r="FF227" i="4"/>
  <c r="FG227" i="4" s="1"/>
  <c r="FJ227" i="4"/>
  <c r="FK227" i="4" s="1"/>
  <c r="FL227" i="4"/>
  <c r="FM227" i="4" s="1"/>
  <c r="FF241" i="4"/>
  <c r="FG241" i="4" s="1"/>
  <c r="FH241" i="4"/>
  <c r="FI241" i="4" s="1"/>
  <c r="FJ241" i="4"/>
  <c r="FK241" i="4" s="1"/>
  <c r="FJ252" i="4"/>
  <c r="FK252" i="4" s="1"/>
  <c r="FH252" i="4"/>
  <c r="FI252" i="4" s="1"/>
  <c r="FF252" i="4"/>
  <c r="FG252" i="4" s="1"/>
  <c r="FL252" i="4"/>
  <c r="FM252" i="4" s="1"/>
  <c r="FJ263" i="4"/>
  <c r="FK263" i="4" s="1"/>
  <c r="FF263" i="4"/>
  <c r="FG263" i="4" s="1"/>
  <c r="FL263" i="4"/>
  <c r="FM263" i="4" s="1"/>
  <c r="FH273" i="4"/>
  <c r="FI273" i="4" s="1"/>
  <c r="FJ273" i="4"/>
  <c r="FK273" i="4" s="1"/>
  <c r="FL273" i="4"/>
  <c r="FM273" i="4" s="1"/>
  <c r="FH335" i="4"/>
  <c r="FI335" i="4" s="1"/>
  <c r="FJ335" i="4"/>
  <c r="FK335" i="4" s="1"/>
  <c r="FF335" i="4"/>
  <c r="FG335" i="4" s="1"/>
  <c r="FJ17" i="4"/>
  <c r="FK17" i="4" s="1"/>
  <c r="FF17" i="4"/>
  <c r="FG17" i="4" s="1"/>
  <c r="FL17" i="4"/>
  <c r="FM17" i="4" s="1"/>
  <c r="FH28" i="4"/>
  <c r="FI28" i="4" s="1"/>
  <c r="FJ28" i="4"/>
  <c r="FK28" i="4" s="1"/>
  <c r="FL28" i="4"/>
  <c r="FM28" i="4" s="1"/>
  <c r="FH40" i="4"/>
  <c r="FI40" i="4" s="1"/>
  <c r="FJ40" i="4"/>
  <c r="FK40" i="4" s="1"/>
  <c r="FL40" i="4"/>
  <c r="FM40" i="4" s="1"/>
  <c r="FF52" i="4"/>
  <c r="FG52" i="4" s="1"/>
  <c r="FH52" i="4"/>
  <c r="FI52" i="4" s="1"/>
  <c r="FJ52" i="4"/>
  <c r="FK52" i="4" s="1"/>
  <c r="FL52" i="4"/>
  <c r="FM52" i="4" s="1"/>
  <c r="FF63" i="4"/>
  <c r="FG63" i="4" s="1"/>
  <c r="FH63" i="4"/>
  <c r="FI63" i="4" s="1"/>
  <c r="FL63" i="4"/>
  <c r="FM63" i="4" s="1"/>
  <c r="FF74" i="4"/>
  <c r="FG74" i="4" s="1"/>
  <c r="FH74" i="4"/>
  <c r="FI74" i="4" s="1"/>
  <c r="FL74" i="4"/>
  <c r="FM74" i="4" s="1"/>
  <c r="FF85" i="4"/>
  <c r="FG85" i="4" s="1"/>
  <c r="FH85" i="4"/>
  <c r="FI85" i="4" s="1"/>
  <c r="FL85" i="4"/>
  <c r="FM85" i="4" s="1"/>
  <c r="FF99" i="4"/>
  <c r="FG99" i="4" s="1"/>
  <c r="FJ99" i="4"/>
  <c r="FK99" i="4" s="1"/>
  <c r="FL99" i="4"/>
  <c r="FM99" i="4" s="1"/>
  <c r="FF114" i="4"/>
  <c r="FG114" i="4" s="1"/>
  <c r="FH114" i="4"/>
  <c r="FI114" i="4" s="1"/>
  <c r="FJ114" i="4"/>
  <c r="FK114" i="4" s="1"/>
  <c r="FL114" i="4"/>
  <c r="FM114" i="4" s="1"/>
  <c r="FF131" i="4"/>
  <c r="FG131" i="4" s="1"/>
  <c r="FH131" i="4"/>
  <c r="FI131" i="4" s="1"/>
  <c r="FL131" i="4"/>
  <c r="FM131" i="4" s="1"/>
  <c r="FF142" i="4"/>
  <c r="FG142" i="4" s="1"/>
  <c r="FH142" i="4"/>
  <c r="FI142" i="4" s="1"/>
  <c r="FJ142" i="4"/>
  <c r="FK142" i="4" s="1"/>
  <c r="FL142" i="4"/>
  <c r="FM142" i="4" s="1"/>
  <c r="FF156" i="4"/>
  <c r="FG156" i="4" s="1"/>
  <c r="FH156" i="4"/>
  <c r="FI156" i="4" s="1"/>
  <c r="FJ156" i="4"/>
  <c r="FK156" i="4" s="1"/>
  <c r="FL156" i="4"/>
  <c r="FM156" i="4" s="1"/>
  <c r="FH166" i="4"/>
  <c r="FI166" i="4" s="1"/>
  <c r="FJ166" i="4"/>
  <c r="FK166" i="4" s="1"/>
  <c r="FF166" i="4"/>
  <c r="FG166" i="4" s="1"/>
  <c r="FL166" i="4"/>
  <c r="FM166" i="4" s="1"/>
  <c r="FF189" i="4"/>
  <c r="FG189" i="4" s="1"/>
  <c r="FH189" i="4"/>
  <c r="FI189" i="4" s="1"/>
  <c r="FL189" i="4"/>
  <c r="FM189" i="4" s="1"/>
  <c r="FF201" i="4"/>
  <c r="FG201" i="4" s="1"/>
  <c r="FH201" i="4"/>
  <c r="FI201" i="4" s="1"/>
  <c r="FJ201" i="4"/>
  <c r="FK201" i="4" s="1"/>
  <c r="FL201" i="4"/>
  <c r="FM201" i="4" s="1"/>
  <c r="FH216" i="4"/>
  <c r="FI216" i="4" s="1"/>
  <c r="FJ216" i="4"/>
  <c r="FK216" i="4" s="1"/>
  <c r="FF216" i="4"/>
  <c r="FG216" i="4" s="1"/>
  <c r="FL216" i="4"/>
  <c r="FM216" i="4" s="1"/>
  <c r="FF228" i="4"/>
  <c r="FG228" i="4" s="1"/>
  <c r="FH228" i="4"/>
  <c r="FI228" i="4" s="1"/>
  <c r="FJ228" i="4"/>
  <c r="FK228" i="4" s="1"/>
  <c r="FF242" i="4"/>
  <c r="FG242" i="4" s="1"/>
  <c r="FH242" i="4"/>
  <c r="FI242" i="4" s="1"/>
  <c r="FJ242" i="4"/>
  <c r="FK242" i="4" s="1"/>
  <c r="FF253" i="4"/>
  <c r="FG253" i="4" s="1"/>
  <c r="FH253" i="4"/>
  <c r="FI253" i="4" s="1"/>
  <c r="FJ253" i="4"/>
  <c r="FK253" i="4" s="1"/>
  <c r="FF286" i="4"/>
  <c r="FG286" i="4" s="1"/>
  <c r="FH286" i="4"/>
  <c r="FI286" i="4" s="1"/>
  <c r="FJ286" i="4"/>
  <c r="FK286" i="4" s="1"/>
  <c r="FL286" i="4"/>
  <c r="FM286" i="4" s="1"/>
  <c r="FH308" i="4"/>
  <c r="FI308" i="4" s="1"/>
  <c r="FF308" i="4"/>
  <c r="FG308" i="4" s="1"/>
  <c r="FL308" i="4"/>
  <c r="FM308" i="4" s="1"/>
  <c r="FF337" i="4"/>
  <c r="FG337" i="4" s="1"/>
  <c r="FH337" i="4"/>
  <c r="FI337" i="4" s="1"/>
  <c r="FL337" i="4"/>
  <c r="FM337" i="4" s="1"/>
  <c r="FF348" i="4"/>
  <c r="FG348" i="4" s="1"/>
  <c r="FH348" i="4"/>
  <c r="FI348" i="4" s="1"/>
  <c r="FL348" i="4"/>
  <c r="FM348" i="4" s="1"/>
  <c r="FF18" i="4"/>
  <c r="FG18" i="4" s="1"/>
  <c r="FJ18" i="4"/>
  <c r="FK18" i="4" s="1"/>
  <c r="FL18" i="4"/>
  <c r="FM18" i="4" s="1"/>
  <c r="FF53" i="4"/>
  <c r="FG53" i="4" s="1"/>
  <c r="FJ53" i="4"/>
  <c r="FK53" i="4" s="1"/>
  <c r="FL53" i="4"/>
  <c r="FM53" i="4" s="1"/>
  <c r="FF64" i="4"/>
  <c r="FG64" i="4" s="1"/>
  <c r="FH64" i="4"/>
  <c r="FI64" i="4" s="1"/>
  <c r="FL64" i="4"/>
  <c r="FM64" i="4" s="1"/>
  <c r="FF75" i="4"/>
  <c r="FG75" i="4" s="1"/>
  <c r="FH75" i="4"/>
  <c r="FI75" i="4" s="1"/>
  <c r="FJ75" i="4"/>
  <c r="FK75" i="4" s="1"/>
  <c r="FF86" i="4"/>
  <c r="FG86" i="4" s="1"/>
  <c r="FJ86" i="4"/>
  <c r="FK86" i="4" s="1"/>
  <c r="FL86" i="4"/>
  <c r="FM86" i="4" s="1"/>
  <c r="FF100" i="4"/>
  <c r="FG100" i="4" s="1"/>
  <c r="FH100" i="4"/>
  <c r="FI100" i="4" s="1"/>
  <c r="FL100" i="4"/>
  <c r="FM100" i="4" s="1"/>
  <c r="FJ132" i="4"/>
  <c r="FK132" i="4" s="1"/>
  <c r="FH132" i="4"/>
  <c r="FI132" i="4" s="1"/>
  <c r="FL132" i="4"/>
  <c r="FM132" i="4" s="1"/>
  <c r="FF143" i="4"/>
  <c r="FG143" i="4" s="1"/>
  <c r="FL143" i="4"/>
  <c r="FM143" i="4" s="1"/>
  <c r="FH143" i="4"/>
  <c r="FI143" i="4" s="1"/>
  <c r="FJ143" i="4"/>
  <c r="FK143" i="4" s="1"/>
  <c r="FF157" i="4"/>
  <c r="FG157" i="4" s="1"/>
  <c r="FJ157" i="4"/>
  <c r="FK157" i="4" s="1"/>
  <c r="FL157" i="4"/>
  <c r="FM157" i="4" s="1"/>
  <c r="FF167" i="4"/>
  <c r="FG167" i="4" s="1"/>
  <c r="FH167" i="4"/>
  <c r="FI167" i="4" s="1"/>
  <c r="FJ167" i="4"/>
  <c r="FK167" i="4" s="1"/>
  <c r="FL167" i="4"/>
  <c r="FM167" i="4" s="1"/>
  <c r="FF178" i="4"/>
  <c r="FG178" i="4" s="1"/>
  <c r="FH178" i="4"/>
  <c r="FI178" i="4" s="1"/>
  <c r="FL178" i="4"/>
  <c r="FM178" i="4" s="1"/>
  <c r="FF190" i="4"/>
  <c r="FG190" i="4" s="1"/>
  <c r="FH190" i="4"/>
  <c r="FI190" i="4" s="1"/>
  <c r="FJ190" i="4"/>
  <c r="FK190" i="4" s="1"/>
  <c r="FL190" i="4"/>
  <c r="FM190" i="4" s="1"/>
  <c r="FF205" i="4"/>
  <c r="FG205" i="4" s="1"/>
  <c r="FL205" i="4"/>
  <c r="FM205" i="4" s="1"/>
  <c r="FH205" i="4"/>
  <c r="FI205" i="4" s="1"/>
  <c r="FF217" i="4"/>
  <c r="FG217" i="4" s="1"/>
  <c r="FH217" i="4"/>
  <c r="FI217" i="4" s="1"/>
  <c r="FJ217" i="4"/>
  <c r="FK217" i="4" s="1"/>
  <c r="FH229" i="4"/>
  <c r="FI229" i="4" s="1"/>
  <c r="FF229" i="4"/>
  <c r="FG229" i="4" s="1"/>
  <c r="FL229" i="4"/>
  <c r="FM229" i="4" s="1"/>
  <c r="FJ243" i="4"/>
  <c r="FK243" i="4" s="1"/>
  <c r="FF243" i="4"/>
  <c r="FG243" i="4" s="1"/>
  <c r="FL243" i="4"/>
  <c r="FM243" i="4" s="1"/>
  <c r="FF254" i="4"/>
  <c r="FG254" i="4" s="1"/>
  <c r="FH254" i="4"/>
  <c r="FI254" i="4" s="1"/>
  <c r="FJ254" i="4"/>
  <c r="FK254" i="4" s="1"/>
  <c r="FH264" i="4"/>
  <c r="FI264" i="4" s="1"/>
  <c r="FJ264" i="4"/>
  <c r="FK264" i="4" s="1"/>
  <c r="FL264" i="4"/>
  <c r="FM264" i="4" s="1"/>
  <c r="FF309" i="4"/>
  <c r="FG309" i="4" s="1"/>
  <c r="FH309" i="4"/>
  <c r="FI309" i="4" s="1"/>
  <c r="FJ309" i="4"/>
  <c r="FK309" i="4" s="1"/>
  <c r="FL309" i="4"/>
  <c r="FM309" i="4" s="1"/>
  <c r="FF30" i="4"/>
  <c r="FG30" i="4" s="1"/>
  <c r="FH30" i="4"/>
  <c r="FI30" i="4" s="1"/>
  <c r="FL30" i="4"/>
  <c r="FM30" i="4" s="1"/>
  <c r="FF42" i="4"/>
  <c r="FG42" i="4" s="1"/>
  <c r="FH42" i="4"/>
  <c r="FI42" i="4" s="1"/>
  <c r="FL42" i="4"/>
  <c r="FM42" i="4" s="1"/>
  <c r="FF54" i="4"/>
  <c r="FG54" i="4" s="1"/>
  <c r="FH54" i="4"/>
  <c r="FI54" i="4" s="1"/>
  <c r="FJ54" i="4"/>
  <c r="FK54" i="4" s="1"/>
  <c r="FH87" i="4"/>
  <c r="FI87" i="4" s="1"/>
  <c r="FJ87" i="4"/>
  <c r="FK87" i="4" s="1"/>
  <c r="FF87" i="4"/>
  <c r="FG87" i="4" s="1"/>
  <c r="FJ101" i="4"/>
  <c r="FK101" i="4" s="1"/>
  <c r="FH101" i="4"/>
  <c r="FI101" i="4" s="1"/>
  <c r="FF101" i="4"/>
  <c r="FG101" i="4" s="1"/>
  <c r="FF118" i="4"/>
  <c r="FG118" i="4" s="1"/>
  <c r="FH118" i="4"/>
  <c r="FI118" i="4" s="1"/>
  <c r="FJ118" i="4"/>
  <c r="FK118" i="4" s="1"/>
  <c r="FL118" i="4"/>
  <c r="FM118" i="4" s="1"/>
  <c r="FF133" i="4"/>
  <c r="FG133" i="4" s="1"/>
  <c r="FH133" i="4"/>
  <c r="FI133" i="4" s="1"/>
  <c r="FL133" i="4"/>
  <c r="FM133" i="4" s="1"/>
  <c r="FJ146" i="4"/>
  <c r="FK146" i="4" s="1"/>
  <c r="FF146" i="4"/>
  <c r="FG146" i="4" s="1"/>
  <c r="FL146" i="4"/>
  <c r="FM146" i="4" s="1"/>
  <c r="FH146" i="4"/>
  <c r="FI146" i="4" s="1"/>
  <c r="FH158" i="4"/>
  <c r="FI158" i="4" s="1"/>
  <c r="FJ158" i="4"/>
  <c r="FK158" i="4" s="1"/>
  <c r="FF158" i="4"/>
  <c r="FG158" i="4" s="1"/>
  <c r="FJ168" i="4"/>
  <c r="FK168" i="4" s="1"/>
  <c r="FF168" i="4"/>
  <c r="FG168" i="4" s="1"/>
  <c r="FH168" i="4"/>
  <c r="FI168" i="4" s="1"/>
  <c r="FH179" i="4"/>
  <c r="FI179" i="4" s="1"/>
  <c r="FJ179" i="4"/>
  <c r="FK179" i="4" s="1"/>
  <c r="FL179" i="4"/>
  <c r="FM179" i="4" s="1"/>
  <c r="FF179" i="4"/>
  <c r="FG179" i="4" s="1"/>
  <c r="FJ191" i="4"/>
  <c r="FK191" i="4" s="1"/>
  <c r="FH191" i="4"/>
  <c r="FI191" i="4" s="1"/>
  <c r="FF191" i="4"/>
  <c r="FG191" i="4" s="1"/>
  <c r="FF206" i="4"/>
  <c r="FG206" i="4" s="1"/>
  <c r="FH206" i="4"/>
  <c r="FI206" i="4" s="1"/>
  <c r="FJ206" i="4"/>
  <c r="FK206" i="4" s="1"/>
  <c r="FF218" i="4"/>
  <c r="FG218" i="4" s="1"/>
  <c r="FH218" i="4"/>
  <c r="FI218" i="4" s="1"/>
  <c r="FL218" i="4"/>
  <c r="FM218" i="4" s="1"/>
  <c r="FF230" i="4"/>
  <c r="FG230" i="4" s="1"/>
  <c r="FH230" i="4"/>
  <c r="FI230" i="4" s="1"/>
  <c r="FJ230" i="4"/>
  <c r="FK230" i="4" s="1"/>
  <c r="FL230" i="4"/>
  <c r="FM230" i="4" s="1"/>
  <c r="FH244" i="4"/>
  <c r="FI244" i="4" s="1"/>
  <c r="FJ244" i="4"/>
  <c r="FK244" i="4" s="1"/>
  <c r="FL244" i="4"/>
  <c r="FM244" i="4" s="1"/>
  <c r="FH255" i="4"/>
  <c r="FI255" i="4" s="1"/>
  <c r="FJ255" i="4"/>
  <c r="FK255" i="4" s="1"/>
  <c r="FL255" i="4"/>
  <c r="FM255" i="4" s="1"/>
  <c r="FF265" i="4"/>
  <c r="FG265" i="4" s="1"/>
  <c r="FH265" i="4"/>
  <c r="FI265" i="4" s="1"/>
  <c r="FJ265" i="4"/>
  <c r="FK265" i="4" s="1"/>
  <c r="FL265" i="4"/>
  <c r="FM265" i="4" s="1"/>
  <c r="FF275" i="4"/>
  <c r="FG275" i="4" s="1"/>
  <c r="FH275" i="4"/>
  <c r="FI275" i="4" s="1"/>
  <c r="FJ275" i="4"/>
  <c r="FK275" i="4" s="1"/>
  <c r="FL275" i="4"/>
  <c r="FM275" i="4" s="1"/>
  <c r="FF288" i="4"/>
  <c r="FG288" i="4" s="1"/>
  <c r="FH288" i="4"/>
  <c r="FI288" i="4" s="1"/>
  <c r="FJ288" i="4"/>
  <c r="FK288" i="4" s="1"/>
  <c r="FL288" i="4"/>
  <c r="FM288" i="4" s="1"/>
  <c r="FF310" i="4"/>
  <c r="FG310" i="4" s="1"/>
  <c r="FH310" i="4"/>
  <c r="FI310" i="4" s="1"/>
  <c r="FL310" i="4"/>
  <c r="FM310" i="4" s="1"/>
  <c r="FF325" i="4"/>
  <c r="FG325" i="4" s="1"/>
  <c r="FH325" i="4"/>
  <c r="FI325" i="4" s="1"/>
  <c r="FJ325" i="4"/>
  <c r="FK325" i="4" s="1"/>
  <c r="FJ349" i="4"/>
  <c r="FK349" i="4" s="1"/>
  <c r="FH349" i="4"/>
  <c r="FI349" i="4" s="1"/>
  <c r="FF349" i="4"/>
  <c r="FG349" i="4" s="1"/>
  <c r="FH8" i="4"/>
  <c r="FI8" i="4" s="1"/>
  <c r="FJ8" i="4"/>
  <c r="FK8" i="4" s="1"/>
  <c r="FL8" i="4"/>
  <c r="FM8" i="4" s="1"/>
  <c r="FH20" i="4"/>
  <c r="FI20" i="4" s="1"/>
  <c r="FL20" i="4"/>
  <c r="FM20" i="4" s="1"/>
  <c r="FF20" i="4"/>
  <c r="FG20" i="4" s="1"/>
  <c r="FF31" i="4"/>
  <c r="FG31" i="4" s="1"/>
  <c r="FH31" i="4"/>
  <c r="FI31" i="4" s="1"/>
  <c r="FJ31" i="4"/>
  <c r="FK31" i="4" s="1"/>
  <c r="FJ43" i="4"/>
  <c r="FK43" i="4" s="1"/>
  <c r="FH43" i="4"/>
  <c r="FI43" i="4" s="1"/>
  <c r="FL43" i="4"/>
  <c r="FM43" i="4" s="1"/>
  <c r="FF43" i="4"/>
  <c r="FG43" i="4" s="1"/>
  <c r="FH65" i="4"/>
  <c r="FI65" i="4" s="1"/>
  <c r="FL65" i="4"/>
  <c r="FM65" i="4" s="1"/>
  <c r="FF65" i="4"/>
  <c r="FG65" i="4" s="1"/>
  <c r="FH88" i="4"/>
  <c r="FI88" i="4" s="1"/>
  <c r="FJ88" i="4"/>
  <c r="FK88" i="4" s="1"/>
  <c r="FL88" i="4"/>
  <c r="FM88" i="4" s="1"/>
  <c r="FF102" i="4"/>
  <c r="FG102" i="4" s="1"/>
  <c r="FH102" i="4"/>
  <c r="FI102" i="4" s="1"/>
  <c r="FJ102" i="4"/>
  <c r="FK102" i="4" s="1"/>
  <c r="FF119" i="4"/>
  <c r="FG119" i="4" s="1"/>
  <c r="FL119" i="4"/>
  <c r="FM119" i="4" s="1"/>
  <c r="FH119" i="4"/>
  <c r="FI119" i="4" s="1"/>
  <c r="FF134" i="4"/>
  <c r="FG134" i="4" s="1"/>
  <c r="FH134" i="4"/>
  <c r="FI134" i="4" s="1"/>
  <c r="FL134" i="4"/>
  <c r="FM134" i="4" s="1"/>
  <c r="FF147" i="4"/>
  <c r="FG147" i="4" s="1"/>
  <c r="FH147" i="4"/>
  <c r="FI147" i="4" s="1"/>
  <c r="FL147" i="4"/>
  <c r="FM147" i="4" s="1"/>
  <c r="FF159" i="4"/>
  <c r="FG159" i="4" s="1"/>
  <c r="FH159" i="4"/>
  <c r="FI159" i="4" s="1"/>
  <c r="FJ159" i="4"/>
  <c r="FK159" i="4" s="1"/>
  <c r="FL159" i="4"/>
  <c r="FM159" i="4" s="1"/>
  <c r="FF169" i="4"/>
  <c r="FG169" i="4" s="1"/>
  <c r="FJ169" i="4"/>
  <c r="FK169" i="4" s="1"/>
  <c r="FL169" i="4"/>
  <c r="FM169" i="4" s="1"/>
  <c r="FF180" i="4"/>
  <c r="FG180" i="4" s="1"/>
  <c r="FH180" i="4"/>
  <c r="FI180" i="4" s="1"/>
  <c r="FL180" i="4"/>
  <c r="FM180" i="4" s="1"/>
  <c r="FF192" i="4"/>
  <c r="FG192" i="4" s="1"/>
  <c r="FH192" i="4"/>
  <c r="FI192" i="4" s="1"/>
  <c r="FJ192" i="4"/>
  <c r="FK192" i="4" s="1"/>
  <c r="FL192" i="4"/>
  <c r="FM192" i="4" s="1"/>
  <c r="FF207" i="4"/>
  <c r="FG207" i="4" s="1"/>
  <c r="FJ207" i="4"/>
  <c r="FK207" i="4" s="1"/>
  <c r="FL207" i="4"/>
  <c r="FM207" i="4" s="1"/>
  <c r="FJ219" i="4"/>
  <c r="FK219" i="4" s="1"/>
  <c r="FH219" i="4"/>
  <c r="FI219" i="4" s="1"/>
  <c r="FF219" i="4"/>
  <c r="FG219" i="4" s="1"/>
  <c r="FH231" i="4"/>
  <c r="FI231" i="4" s="1"/>
  <c r="FJ231" i="4"/>
  <c r="FK231" i="4" s="1"/>
  <c r="FL231" i="4"/>
  <c r="FM231" i="4" s="1"/>
  <c r="FF245" i="4"/>
  <c r="FG245" i="4" s="1"/>
  <c r="FJ245" i="4"/>
  <c r="FK245" i="4" s="1"/>
  <c r="FL245" i="4"/>
  <c r="FM245" i="4" s="1"/>
  <c r="FF256" i="4"/>
  <c r="FG256" i="4" s="1"/>
  <c r="FH256" i="4"/>
  <c r="FI256" i="4" s="1"/>
  <c r="FJ256" i="4"/>
  <c r="FK256" i="4" s="1"/>
  <c r="FF266" i="4"/>
  <c r="FG266" i="4" s="1"/>
  <c r="FH266" i="4"/>
  <c r="FI266" i="4" s="1"/>
  <c r="FL266" i="4"/>
  <c r="FM266" i="4" s="1"/>
  <c r="FJ276" i="4"/>
  <c r="FK276" i="4" s="1"/>
  <c r="FF276" i="4"/>
  <c r="FG276" i="4" s="1"/>
  <c r="FL276" i="4"/>
  <c r="FM276" i="4" s="1"/>
  <c r="FF300" i="4"/>
  <c r="FG300" i="4" s="1"/>
  <c r="FJ300" i="4"/>
  <c r="FK300" i="4" s="1"/>
  <c r="FH300" i="4"/>
  <c r="FI300" i="4" s="1"/>
  <c r="FF339" i="4"/>
  <c r="FG339" i="4" s="1"/>
  <c r="FH339" i="4"/>
  <c r="FI339" i="4" s="1"/>
  <c r="FJ339" i="4"/>
  <c r="FK339" i="4" s="1"/>
  <c r="FH363" i="4"/>
  <c r="FI363" i="4" s="1"/>
  <c r="FL363" i="4"/>
  <c r="FM363" i="4" s="1"/>
  <c r="FJ363" i="4"/>
  <c r="FK363" i="4" s="1"/>
  <c r="FB369" i="4"/>
  <c r="FD369" i="4"/>
  <c r="FD363" i="4"/>
  <c r="FB363" i="4"/>
  <c r="FD364" i="4"/>
  <c r="FB364" i="4"/>
  <c r="FD360" i="4"/>
  <c r="FB360" i="4"/>
  <c r="FD349" i="4"/>
  <c r="FB349" i="4"/>
  <c r="FB354" i="4"/>
  <c r="FD354" i="4"/>
  <c r="FD355" i="4"/>
  <c r="FB355" i="4"/>
  <c r="FB357" i="4"/>
  <c r="FD358" i="4"/>
  <c r="FB358" i="4"/>
  <c r="FD359" i="4"/>
  <c r="FB359" i="4"/>
  <c r="FB342" i="4"/>
  <c r="FD342" i="4"/>
  <c r="FD344" i="4"/>
  <c r="FD347" i="4"/>
  <c r="FB347" i="4"/>
  <c r="FB340" i="4"/>
  <c r="FD340" i="4"/>
  <c r="FD348" i="4"/>
  <c r="FB348" i="4"/>
  <c r="FB341" i="4"/>
  <c r="FD341" i="4"/>
  <c r="FB337" i="4"/>
  <c r="FD337" i="4"/>
  <c r="FB339" i="4"/>
  <c r="FD339" i="4"/>
  <c r="FD335" i="4"/>
  <c r="FB335" i="4"/>
  <c r="FB17" i="4"/>
  <c r="FD17" i="4"/>
  <c r="FB28" i="4"/>
  <c r="FD28" i="4"/>
  <c r="FB40" i="4"/>
  <c r="FD40" i="4"/>
  <c r="FD52" i="4"/>
  <c r="FD63" i="4"/>
  <c r="FB63" i="4"/>
  <c r="FD74" i="4"/>
  <c r="FB74" i="4"/>
  <c r="FB85" i="4"/>
  <c r="FD85" i="4"/>
  <c r="FD99" i="4"/>
  <c r="FB99" i="4"/>
  <c r="FD114" i="4"/>
  <c r="FB131" i="4"/>
  <c r="FD131" i="4"/>
  <c r="FB142" i="4"/>
  <c r="FB156" i="4"/>
  <c r="FD166" i="4"/>
  <c r="FB189" i="4"/>
  <c r="FD189" i="4"/>
  <c r="FB199" i="4"/>
  <c r="FD214" i="4"/>
  <c r="FB214" i="4"/>
  <c r="FD226" i="4"/>
  <c r="FB226" i="4"/>
  <c r="FD235" i="4"/>
  <c r="FB235" i="4"/>
  <c r="FD258" i="4"/>
  <c r="FB258" i="4"/>
  <c r="FD276" i="4"/>
  <c r="FB276" i="4"/>
  <c r="FD300" i="4"/>
  <c r="FB300" i="4"/>
  <c r="FB309" i="4"/>
  <c r="FD318" i="4"/>
  <c r="FB318" i="4"/>
  <c r="FD329" i="4"/>
  <c r="FB329" i="4"/>
  <c r="FB18" i="4"/>
  <c r="FD18" i="4"/>
  <c r="FD53" i="4"/>
  <c r="FB53" i="4"/>
  <c r="FD64" i="4"/>
  <c r="FB64" i="4"/>
  <c r="FD75" i="4"/>
  <c r="FB75" i="4"/>
  <c r="FD86" i="4"/>
  <c r="FB86" i="4"/>
  <c r="FD100" i="4"/>
  <c r="FB100" i="4"/>
  <c r="FD132" i="4"/>
  <c r="FB132" i="4"/>
  <c r="FB143" i="4"/>
  <c r="FD157" i="4"/>
  <c r="FB157" i="4"/>
  <c r="FD167" i="4"/>
  <c r="FD178" i="4"/>
  <c r="FB178" i="4"/>
  <c r="FD190" i="4"/>
  <c r="FD200" i="4"/>
  <c r="FB200" i="4"/>
  <c r="FD215" i="4"/>
  <c r="FB238" i="4"/>
  <c r="FD238" i="4"/>
  <c r="FB249" i="4"/>
  <c r="FD249" i="4"/>
  <c r="FB259" i="4"/>
  <c r="FD259" i="4"/>
  <c r="FB301" i="4"/>
  <c r="FD301" i="4"/>
  <c r="FD310" i="4"/>
  <c r="FB310" i="4"/>
  <c r="FD30" i="4"/>
  <c r="FB30" i="4"/>
  <c r="FB42" i="4"/>
  <c r="FD42" i="4"/>
  <c r="FD54" i="4"/>
  <c r="FB54" i="4"/>
  <c r="FD87" i="4"/>
  <c r="FB87" i="4"/>
  <c r="FD101" i="4"/>
  <c r="FB101" i="4"/>
  <c r="FD118" i="4"/>
  <c r="FB133" i="4"/>
  <c r="FD133" i="4"/>
  <c r="FB146" i="4"/>
  <c r="FD158" i="4"/>
  <c r="FB158" i="4"/>
  <c r="FD168" i="4"/>
  <c r="FB168" i="4"/>
  <c r="FD179" i="4"/>
  <c r="FD191" i="4"/>
  <c r="FB191" i="4"/>
  <c r="FD201" i="4"/>
  <c r="FD216" i="4"/>
  <c r="FD227" i="4"/>
  <c r="FB227" i="4"/>
  <c r="FB239" i="4"/>
  <c r="FD239" i="4"/>
  <c r="FB250" i="4"/>
  <c r="FD298" i="4"/>
  <c r="FD269" i="4"/>
  <c r="FB269" i="4"/>
  <c r="FB280" i="4"/>
  <c r="FD280" i="4"/>
  <c r="FD302" i="4"/>
  <c r="FB302" i="4"/>
  <c r="FD319" i="4"/>
  <c r="FB319" i="4"/>
  <c r="FD330" i="4"/>
  <c r="FB330" i="4"/>
  <c r="FB20" i="4"/>
  <c r="FD20" i="4"/>
  <c r="FB31" i="4"/>
  <c r="FD31" i="4"/>
  <c r="FD43" i="4"/>
  <c r="FB65" i="4"/>
  <c r="FD65" i="4"/>
  <c r="FB88" i="4"/>
  <c r="FD88" i="4"/>
  <c r="FD102" i="4"/>
  <c r="FB102" i="4"/>
  <c r="FB119" i="4"/>
  <c r="FD119" i="4"/>
  <c r="FD134" i="4"/>
  <c r="FB134" i="4"/>
  <c r="FB147" i="4"/>
  <c r="FB159" i="4"/>
  <c r="FD169" i="4"/>
  <c r="FB169" i="4"/>
  <c r="FB180" i="4"/>
  <c r="FD180" i="4"/>
  <c r="FB205" i="4"/>
  <c r="FD205" i="4"/>
  <c r="FB217" i="4"/>
  <c r="FD217" i="4"/>
  <c r="FB228" i="4"/>
  <c r="FD228" i="4"/>
  <c r="FD240" i="4"/>
  <c r="FB240" i="4"/>
  <c r="FD251" i="4"/>
  <c r="FB251" i="4"/>
  <c r="FB260" i="4"/>
  <c r="FB270" i="4"/>
  <c r="FD270" i="4"/>
  <c r="FD281" i="4"/>
  <c r="FB281" i="4"/>
  <c r="FD291" i="4"/>
  <c r="FB291" i="4"/>
  <c r="FB314" i="4"/>
  <c r="FD314" i="4"/>
  <c r="FD320" i="4"/>
  <c r="FB320" i="4"/>
  <c r="FB331" i="4"/>
  <c r="FB9" i="4"/>
  <c r="FD9" i="4"/>
  <c r="FB44" i="4"/>
  <c r="FD44" i="4"/>
  <c r="FD66" i="4"/>
  <c r="FD78" i="4"/>
  <c r="FB78" i="4"/>
  <c r="FD89" i="4"/>
  <c r="FB89" i="4"/>
  <c r="FD104" i="4"/>
  <c r="FB104" i="4"/>
  <c r="FD120" i="4"/>
  <c r="FD135" i="4"/>
  <c r="FB135" i="4"/>
  <c r="FB148" i="4"/>
  <c r="FD148" i="4"/>
  <c r="FD160" i="4"/>
  <c r="FB160" i="4"/>
  <c r="FD170" i="4"/>
  <c r="FB170" i="4"/>
  <c r="FD181" i="4"/>
  <c r="FD192" i="4"/>
  <c r="FB206" i="4"/>
  <c r="FD206" i="4"/>
  <c r="FD218" i="4"/>
  <c r="FB218" i="4"/>
  <c r="FB229" i="4"/>
  <c r="FD229" i="4"/>
  <c r="FD241" i="4"/>
  <c r="FB241" i="4"/>
  <c r="FB252" i="4"/>
  <c r="FD261" i="4"/>
  <c r="FB271" i="4"/>
  <c r="FD271" i="4"/>
  <c r="FD292" i="4"/>
  <c r="FB292" i="4"/>
  <c r="FB22" i="4"/>
  <c r="FB33" i="4"/>
  <c r="FD33" i="4"/>
  <c r="FD45" i="4"/>
  <c r="FB45" i="4"/>
  <c r="FD57" i="4"/>
  <c r="FB57" i="4"/>
  <c r="FD67" i="4"/>
  <c r="FB67" i="4"/>
  <c r="FB79" i="4"/>
  <c r="FD79" i="4"/>
  <c r="FD90" i="4"/>
  <c r="FB90" i="4"/>
  <c r="FD105" i="4"/>
  <c r="FB105" i="4"/>
  <c r="FD122" i="4"/>
  <c r="FB122" i="4"/>
  <c r="FD136" i="4"/>
  <c r="FB136" i="4"/>
  <c r="FD149" i="4"/>
  <c r="FB149" i="4"/>
  <c r="FB161" i="4"/>
  <c r="FD171" i="4"/>
  <c r="FD182" i="4"/>
  <c r="FB182" i="4"/>
  <c r="FD193" i="4"/>
  <c r="FB193" i="4"/>
  <c r="FD207" i="4"/>
  <c r="FB207" i="4"/>
  <c r="FD219" i="4"/>
  <c r="FB219" i="4"/>
  <c r="FD242" i="4"/>
  <c r="FB242" i="4"/>
  <c r="FB253" i="4"/>
  <c r="FD253" i="4"/>
  <c r="FB262" i="4"/>
  <c r="FD282" i="4"/>
  <c r="FB282" i="4"/>
  <c r="FB305" i="4"/>
  <c r="FD315" i="4"/>
  <c r="FB315" i="4"/>
  <c r="FD334" i="4"/>
  <c r="FB11" i="4"/>
  <c r="FD11" i="4"/>
  <c r="FD23" i="4"/>
  <c r="FB23" i="4"/>
  <c r="FB34" i="4"/>
  <c r="FD34" i="4"/>
  <c r="FB58" i="4"/>
  <c r="FD58" i="4"/>
  <c r="FD93" i="4"/>
  <c r="FB93" i="4"/>
  <c r="FB107" i="4"/>
  <c r="FD107" i="4"/>
  <c r="FD123" i="4"/>
  <c r="FB123" i="4"/>
  <c r="FD137" i="4"/>
  <c r="FB137" i="4"/>
  <c r="FB150" i="4"/>
  <c r="FD150" i="4"/>
  <c r="FB172" i="4"/>
  <c r="FD183" i="4"/>
  <c r="FD195" i="4"/>
  <c r="FD208" i="4"/>
  <c r="FB208" i="4"/>
  <c r="FD220" i="4"/>
  <c r="FB220" i="4"/>
  <c r="FD230" i="4"/>
  <c r="FD243" i="4"/>
  <c r="FB243" i="4"/>
  <c r="FD263" i="4"/>
  <c r="FB263" i="4"/>
  <c r="FD283" i="4"/>
  <c r="FB283" i="4"/>
  <c r="FD293" i="4"/>
  <c r="FB293" i="4"/>
  <c r="FB12" i="4"/>
  <c r="FD12" i="4"/>
  <c r="FB24" i="4"/>
  <c r="FD24" i="4"/>
  <c r="FD47" i="4"/>
  <c r="FB47" i="4"/>
  <c r="FB80" i="4"/>
  <c r="FD80" i="4"/>
  <c r="FD94" i="4"/>
  <c r="FB94" i="4"/>
  <c r="FD108" i="4"/>
  <c r="FB124" i="4"/>
  <c r="FD138" i="4"/>
  <c r="FB138" i="4"/>
  <c r="FD151" i="4"/>
  <c r="FB173" i="4"/>
  <c r="FD173" i="4"/>
  <c r="FD184" i="4"/>
  <c r="FB184" i="4"/>
  <c r="FD209" i="4"/>
  <c r="FB209" i="4"/>
  <c r="FD221" i="4"/>
  <c r="FB221" i="4"/>
  <c r="FD231" i="4"/>
  <c r="FB231" i="4"/>
  <c r="FD244" i="4"/>
  <c r="FB244" i="4"/>
  <c r="FD254" i="4"/>
  <c r="FB254" i="4"/>
  <c r="FB272" i="4"/>
  <c r="FD306" i="4"/>
  <c r="FB306" i="4"/>
  <c r="FD325" i="4"/>
  <c r="FB325" i="4"/>
  <c r="FB8" i="4"/>
  <c r="FD8" i="4"/>
  <c r="FB25" i="4"/>
  <c r="FD25" i="4"/>
  <c r="FB36" i="4"/>
  <c r="FD36" i="4"/>
  <c r="FD70" i="4"/>
  <c r="FB70" i="4"/>
  <c r="FD81" i="4"/>
  <c r="FB81" i="4"/>
  <c r="FB95" i="4"/>
  <c r="FD95" i="4"/>
  <c r="FD109" i="4"/>
  <c r="FB109" i="4"/>
  <c r="FB125" i="4"/>
  <c r="FD125" i="4"/>
  <c r="FD139" i="4"/>
  <c r="FB152" i="4"/>
  <c r="FD174" i="4"/>
  <c r="FB174" i="4"/>
  <c r="FB185" i="4"/>
  <c r="FD185" i="4"/>
  <c r="FB210" i="4"/>
  <c r="FD210" i="4"/>
  <c r="FD222" i="4"/>
  <c r="FB222" i="4"/>
  <c r="FD232" i="4"/>
  <c r="FD245" i="4"/>
  <c r="FB245" i="4"/>
  <c r="FD264" i="4"/>
  <c r="FB264" i="4"/>
  <c r="FD273" i="4"/>
  <c r="FB273" i="4"/>
  <c r="FB10" i="4"/>
  <c r="FD10" i="4"/>
  <c r="FB26" i="4"/>
  <c r="FD26" i="4"/>
  <c r="FB49" i="4"/>
  <c r="FD49" i="4"/>
  <c r="FD60" i="4"/>
  <c r="FB60" i="4"/>
  <c r="FD82" i="4"/>
  <c r="FB82" i="4"/>
  <c r="FB96" i="4"/>
  <c r="FD96" i="4"/>
  <c r="FD110" i="4"/>
  <c r="FB110" i="4"/>
  <c r="FD127" i="4"/>
  <c r="FB127" i="4"/>
  <c r="FD140" i="4"/>
  <c r="FB140" i="4"/>
  <c r="FB153" i="4"/>
  <c r="FD153" i="4"/>
  <c r="FB164" i="4"/>
  <c r="FD164" i="4"/>
  <c r="FB175" i="4"/>
  <c r="FD175" i="4"/>
  <c r="FB186" i="4"/>
  <c r="FB196" i="4"/>
  <c r="FD211" i="4"/>
  <c r="FB211" i="4"/>
  <c r="FD223" i="4"/>
  <c r="FB223" i="4"/>
  <c r="FB233" i="4"/>
  <c r="FD246" i="4"/>
  <c r="FB246" i="4"/>
  <c r="FD255" i="4"/>
  <c r="FB255" i="4"/>
  <c r="FD265" i="4"/>
  <c r="FB286" i="4"/>
  <c r="FD15" i="4"/>
  <c r="FB15" i="4"/>
  <c r="FB27" i="4"/>
  <c r="FD27" i="4"/>
  <c r="FB50" i="4"/>
  <c r="FD50" i="4"/>
  <c r="FD61" i="4"/>
  <c r="FB61" i="4"/>
  <c r="FD72" i="4"/>
  <c r="FB72" i="4"/>
  <c r="FD83" i="4"/>
  <c r="FB83" i="4"/>
  <c r="FD111" i="4"/>
  <c r="FB111" i="4"/>
  <c r="FD128" i="4"/>
  <c r="FD154" i="4"/>
  <c r="FB165" i="4"/>
  <c r="FD165" i="4"/>
  <c r="FD187" i="4"/>
  <c r="FB187" i="4"/>
  <c r="FD197" i="4"/>
  <c r="FB197" i="4"/>
  <c r="FD212" i="4"/>
  <c r="FB212" i="4"/>
  <c r="FD224" i="4"/>
  <c r="FD247" i="4"/>
  <c r="FB247" i="4"/>
  <c r="FD256" i="4"/>
  <c r="FB256" i="4"/>
  <c r="FD266" i="4"/>
  <c r="FB266" i="4"/>
  <c r="FD317" i="4"/>
  <c r="FB317" i="4"/>
  <c r="FB16" i="4"/>
  <c r="FD16" i="4"/>
  <c r="FD39" i="4"/>
  <c r="FB39" i="4"/>
  <c r="FB51" i="4"/>
  <c r="FD51" i="4"/>
  <c r="FD62" i="4"/>
  <c r="FB62" i="4"/>
  <c r="FD73" i="4"/>
  <c r="FB73" i="4"/>
  <c r="FD84" i="4"/>
  <c r="FB98" i="4"/>
  <c r="FD112" i="4"/>
  <c r="FB112" i="4"/>
  <c r="FD129" i="4"/>
  <c r="FB141" i="4"/>
  <c r="FD141" i="4"/>
  <c r="FD155" i="4"/>
  <c r="FB155" i="4"/>
  <c r="FD176" i="4"/>
  <c r="FB176" i="4"/>
  <c r="FD198" i="4"/>
  <c r="FB198" i="4"/>
  <c r="FD213" i="4"/>
  <c r="FB213" i="4"/>
  <c r="FD225" i="4"/>
  <c r="FB225" i="4"/>
  <c r="FD234" i="4"/>
  <c r="FD248" i="4"/>
  <c r="FD257" i="4"/>
  <c r="FB257" i="4"/>
  <c r="FB267" i="4"/>
  <c r="FD267" i="4"/>
  <c r="FD275" i="4"/>
  <c r="FB288" i="4"/>
  <c r="FD308" i="4"/>
  <c r="FB308" i="4"/>
  <c r="L283" i="4"/>
  <c r="GK283" i="4"/>
  <c r="HG283" i="4" s="1"/>
  <c r="HD283" i="4" s="1"/>
  <c r="D284" i="5"/>
  <c r="M6" i="13" s="1"/>
  <c r="D324" i="5"/>
  <c r="M12" i="13" s="1"/>
  <c r="C316" i="5"/>
  <c r="FV46" i="4"/>
  <c r="E196" i="5"/>
  <c r="FV68" i="4"/>
  <c r="H68" i="4" s="1"/>
  <c r="B207" i="5"/>
  <c r="E204" i="5"/>
  <c r="Q7" i="13" s="1"/>
  <c r="E216" i="5"/>
  <c r="B204" i="5"/>
  <c r="C209" i="5"/>
  <c r="AA7" i="13" s="1"/>
  <c r="B202" i="5"/>
  <c r="B209" i="5"/>
  <c r="D204" i="5"/>
  <c r="M7" i="13" s="1"/>
  <c r="E209" i="5"/>
  <c r="AI7" i="13" s="1"/>
  <c r="C204" i="5"/>
  <c r="I7" i="13" s="1"/>
  <c r="FV162" i="4"/>
  <c r="H162" i="4" s="1"/>
  <c r="C329" i="5"/>
  <c r="C324" i="5"/>
  <c r="FV163" i="4"/>
  <c r="H163" i="4" s="1"/>
  <c r="D249" i="5"/>
  <c r="AE11" i="13" s="1"/>
  <c r="D244" i="5"/>
  <c r="M11" i="13" s="1"/>
  <c r="FV13" i="4"/>
  <c r="E269" i="5"/>
  <c r="AI16" i="13" s="1"/>
  <c r="B264" i="5"/>
  <c r="D264" i="5"/>
  <c r="M16" i="13" s="1"/>
  <c r="E264" i="5"/>
  <c r="Q16" i="13" s="1"/>
  <c r="E276" i="5"/>
  <c r="D269" i="5"/>
  <c r="C264" i="5"/>
  <c r="I16" i="13" s="1"/>
  <c r="B262" i="5"/>
  <c r="B269" i="5"/>
  <c r="C269" i="5"/>
  <c r="B267" i="5"/>
  <c r="FV48" i="4"/>
  <c r="D164" i="5"/>
  <c r="M17" i="13" s="1"/>
  <c r="C176" i="5"/>
  <c r="B162" i="5"/>
  <c r="B169" i="5"/>
  <c r="E164" i="5"/>
  <c r="Q17" i="13" s="1"/>
  <c r="C169" i="5"/>
  <c r="AA17" i="13" s="1"/>
  <c r="B167" i="5"/>
  <c r="C164" i="5"/>
  <c r="I17" i="13" s="1"/>
  <c r="E176" i="5"/>
  <c r="B164" i="5"/>
  <c r="D169" i="5"/>
  <c r="AE17" i="13" s="1"/>
  <c r="E169" i="5"/>
  <c r="AI17" i="13" s="1"/>
  <c r="C89" i="5"/>
  <c r="AA19" i="13" s="1"/>
  <c r="C96" i="5"/>
  <c r="B84" i="5"/>
  <c r="D89" i="5"/>
  <c r="AE19" i="13" s="1"/>
  <c r="E96" i="5"/>
  <c r="D84" i="5"/>
  <c r="M19" i="13" s="1"/>
  <c r="C84" i="5"/>
  <c r="I19" i="13" s="1"/>
  <c r="B82" i="5"/>
  <c r="E84" i="5"/>
  <c r="Q19" i="13" s="1"/>
  <c r="B87" i="5"/>
  <c r="E89" i="5"/>
  <c r="AI19" i="13" s="1"/>
  <c r="FV59" i="4"/>
  <c r="D109" i="5"/>
  <c r="AE13" i="13" s="1"/>
  <c r="FV14" i="4"/>
  <c r="D9" i="5"/>
  <c r="D29" i="5"/>
  <c r="AE5" i="13" s="1"/>
  <c r="FV37" i="4"/>
  <c r="E229" i="5"/>
  <c r="AI15" i="13" s="1"/>
  <c r="C224" i="5"/>
  <c r="I15" i="13" s="1"/>
  <c r="B227" i="5"/>
  <c r="B224" i="5"/>
  <c r="D229" i="5"/>
  <c r="AE15" i="13" s="1"/>
  <c r="B222" i="5"/>
  <c r="B229" i="5"/>
  <c r="C229" i="5"/>
  <c r="AA15" i="13" s="1"/>
  <c r="FV71" i="4"/>
  <c r="H71" i="4" s="1"/>
  <c r="D44" i="5"/>
  <c r="M9" i="13" s="1"/>
  <c r="FV38" i="4"/>
  <c r="E236" i="5"/>
  <c r="E224" i="5"/>
  <c r="Q15" i="13" s="1"/>
  <c r="C236" i="5"/>
  <c r="E144" i="5"/>
  <c r="Q20" i="13" s="1"/>
  <c r="E156" i="5"/>
  <c r="C149" i="5"/>
  <c r="AA20" i="13" s="1"/>
  <c r="C144" i="5"/>
  <c r="I20" i="13" s="1"/>
  <c r="B142" i="5"/>
  <c r="D144" i="5"/>
  <c r="M20" i="13" s="1"/>
  <c r="C156" i="5"/>
  <c r="B149" i="5"/>
  <c r="B144" i="5"/>
  <c r="D149" i="5"/>
  <c r="AE20" i="13" s="1"/>
  <c r="B147" i="5"/>
  <c r="E149" i="5"/>
  <c r="AI20" i="13" s="1"/>
  <c r="FV188" i="4"/>
  <c r="H188" i="4" s="1"/>
  <c r="C249" i="5"/>
  <c r="FV177" i="4"/>
  <c r="H177" i="4" s="1"/>
  <c r="C276" i="5"/>
  <c r="B44" i="5"/>
  <c r="D49" i="5"/>
  <c r="AE9" i="13" s="1"/>
  <c r="D4" i="5"/>
  <c r="C16" i="5"/>
  <c r="B47" i="5"/>
  <c r="C44" i="5"/>
  <c r="I9" i="13" s="1"/>
  <c r="C4" i="5"/>
  <c r="B2" i="5"/>
  <c r="E4" i="5"/>
  <c r="E16" i="5"/>
  <c r="B4" i="5"/>
  <c r="B7" i="5"/>
  <c r="B9" i="5"/>
  <c r="C9" i="5"/>
  <c r="B42" i="5"/>
  <c r="B49" i="5"/>
  <c r="E49" i="5"/>
  <c r="AI9" i="13" s="1"/>
  <c r="C56" i="5"/>
  <c r="E44" i="5"/>
  <c r="Q9" i="13" s="1"/>
  <c r="E9" i="5"/>
  <c r="C49" i="5"/>
  <c r="AA9" i="13" s="1"/>
  <c r="FV6" i="4"/>
  <c r="E56" i="5"/>
  <c r="FV29" i="4"/>
  <c r="B302" i="5"/>
  <c r="B307" i="5"/>
  <c r="E309" i="5"/>
  <c r="AI8" i="13" s="1"/>
  <c r="B309" i="5"/>
  <c r="C304" i="5"/>
  <c r="C309" i="5"/>
  <c r="AA8" i="13" s="1"/>
  <c r="D309" i="5"/>
  <c r="AE8" i="13" s="1"/>
  <c r="B304" i="5"/>
  <c r="E304" i="5"/>
  <c r="Q8" i="13" s="1"/>
  <c r="E316" i="5"/>
  <c r="D304" i="5"/>
  <c r="M8" i="13" s="1"/>
  <c r="FV41" i="4"/>
  <c r="D289" i="5"/>
  <c r="C284" i="5"/>
  <c r="I6" i="13" s="1"/>
  <c r="B284" i="5"/>
  <c r="E284" i="5"/>
  <c r="Q6" i="13" s="1"/>
  <c r="C296" i="5"/>
  <c r="E296" i="5"/>
  <c r="B287" i="5"/>
  <c r="B282" i="5"/>
  <c r="E289" i="5"/>
  <c r="AI6" i="13" s="1"/>
  <c r="B289" i="5"/>
  <c r="FV117" i="4"/>
  <c r="H117" i="4" s="1"/>
  <c r="E336" i="5"/>
  <c r="B324" i="5"/>
  <c r="E324" i="5"/>
  <c r="Q12" i="13" s="1"/>
  <c r="C336" i="5"/>
  <c r="E329" i="5"/>
  <c r="AI12" i="13" s="1"/>
  <c r="B327" i="5"/>
  <c r="D329" i="5"/>
  <c r="AE12" i="13" s="1"/>
  <c r="B322" i="5"/>
  <c r="B329" i="5"/>
  <c r="V12" i="13" s="1"/>
  <c r="FV69" i="4"/>
  <c r="H69" i="4" s="1"/>
  <c r="D209" i="5"/>
  <c r="AE7" i="13" s="1"/>
  <c r="FV7" i="4"/>
  <c r="B27" i="5"/>
  <c r="E36" i="5"/>
  <c r="B24" i="5"/>
  <c r="C36" i="5"/>
  <c r="C29" i="5"/>
  <c r="AA5" i="13" s="1"/>
  <c r="C24" i="5"/>
  <c r="I5" i="13" s="1"/>
  <c r="E29" i="5"/>
  <c r="AI5" i="13" s="1"/>
  <c r="B22" i="5"/>
  <c r="D24" i="5"/>
  <c r="M5" i="13" s="1"/>
  <c r="B29" i="5"/>
  <c r="V5" i="13" s="1"/>
  <c r="E24" i="5"/>
  <c r="Q5" i="13" s="1"/>
  <c r="FV19" i="4"/>
  <c r="E136" i="5"/>
  <c r="FV76" i="4"/>
  <c r="H76" i="4" s="1"/>
  <c r="C289" i="5"/>
  <c r="FV55" i="4"/>
  <c r="D224" i="5"/>
  <c r="M15" i="13" s="1"/>
  <c r="FV77" i="4"/>
  <c r="C216" i="5"/>
  <c r="FV5" i="4"/>
  <c r="E129" i="5"/>
  <c r="AI14" i="13" s="1"/>
  <c r="C136" i="5"/>
  <c r="E124" i="5"/>
  <c r="Q14" i="13" s="1"/>
  <c r="D124" i="5"/>
  <c r="M14" i="13" s="1"/>
  <c r="C129" i="5"/>
  <c r="AA14" i="13" s="1"/>
  <c r="D129" i="5"/>
  <c r="AE14" i="13" s="1"/>
  <c r="B127" i="5"/>
  <c r="B122" i="5"/>
  <c r="C124" i="5"/>
  <c r="I14" i="13" s="1"/>
  <c r="B124" i="5"/>
  <c r="B129" i="5"/>
  <c r="FV21" i="4"/>
  <c r="C196" i="5"/>
  <c r="D189" i="5"/>
  <c r="AE18" i="13" s="1"/>
  <c r="C184" i="5"/>
  <c r="I18" i="13" s="1"/>
  <c r="E184" i="5"/>
  <c r="Q18" i="13" s="1"/>
  <c r="B182" i="5"/>
  <c r="B184" i="5"/>
  <c r="B189" i="5"/>
  <c r="B187" i="5"/>
  <c r="D184" i="5"/>
  <c r="M18" i="13" s="1"/>
  <c r="E189" i="5"/>
  <c r="AI18" i="13" s="1"/>
  <c r="C189" i="5"/>
  <c r="AA18" i="13" s="1"/>
  <c r="FV32" i="4"/>
  <c r="B109" i="5"/>
  <c r="D104" i="5"/>
  <c r="M13" i="13" s="1"/>
  <c r="C109" i="5"/>
  <c r="AA13" i="13" s="1"/>
  <c r="C104" i="5"/>
  <c r="I13" i="13" s="1"/>
  <c r="C116" i="5"/>
  <c r="E104" i="5"/>
  <c r="Q13" i="13" s="1"/>
  <c r="B107" i="5"/>
  <c r="B104" i="5"/>
  <c r="E109" i="5"/>
  <c r="AI13" i="13" s="1"/>
  <c r="E116" i="5"/>
  <c r="B102" i="5"/>
  <c r="FV56" i="4"/>
  <c r="C244" i="5"/>
  <c r="B244" i="5"/>
  <c r="E249" i="5"/>
  <c r="AI11" i="13" s="1"/>
  <c r="E244" i="5"/>
  <c r="Q11" i="13" s="1"/>
  <c r="B242" i="5"/>
  <c r="B249" i="5"/>
  <c r="B247" i="5"/>
  <c r="E256" i="5"/>
  <c r="C256" i="5"/>
  <c r="FV35" i="4"/>
  <c r="D69" i="5"/>
  <c r="AE10" i="13" s="1"/>
  <c r="B67" i="5"/>
  <c r="D64" i="5"/>
  <c r="M10" i="13" s="1"/>
  <c r="B64" i="5"/>
  <c r="E76" i="5"/>
  <c r="E64" i="5"/>
  <c r="Q10" i="13" s="1"/>
  <c r="E69" i="5"/>
  <c r="AI10" i="13" s="1"/>
  <c r="C64" i="5"/>
  <c r="I10" i="13" s="1"/>
  <c r="B62" i="5"/>
  <c r="C69" i="5"/>
  <c r="AA10" i="13" s="1"/>
  <c r="B69" i="5"/>
  <c r="C76" i="5"/>
  <c r="FV4" i="4"/>
  <c r="GA53" i="4"/>
  <c r="GA8" i="4"/>
  <c r="GA20" i="4"/>
  <c r="GA31" i="4"/>
  <c r="CT31" i="4" s="1"/>
  <c r="GA43" i="4"/>
  <c r="GA9" i="4"/>
  <c r="ER9" i="4" s="1"/>
  <c r="ES9" i="4" s="1"/>
  <c r="GA10" i="4"/>
  <c r="GA22" i="4"/>
  <c r="GA33" i="4"/>
  <c r="GA45" i="4"/>
  <c r="GA57" i="4"/>
  <c r="GA23" i="4"/>
  <c r="CY23" i="4" s="1"/>
  <c r="GA58" i="4"/>
  <c r="GA12" i="4"/>
  <c r="GA24" i="4"/>
  <c r="GA47" i="4"/>
  <c r="EP47" i="4" s="1"/>
  <c r="EQ47" i="4" s="1"/>
  <c r="GA44" i="4"/>
  <c r="GA11" i="4"/>
  <c r="DM11" i="4" s="1"/>
  <c r="GA34" i="4"/>
  <c r="GA25" i="4"/>
  <c r="GA36" i="4"/>
  <c r="GA26" i="4"/>
  <c r="GA60" i="4"/>
  <c r="GA61" i="4"/>
  <c r="BP61" i="4" s="1"/>
  <c r="GA27" i="4"/>
  <c r="GA16" i="4"/>
  <c r="GA39" i="4"/>
  <c r="GA49" i="4"/>
  <c r="EP49" i="4" s="1"/>
  <c r="EQ49" i="4" s="1"/>
  <c r="GA15" i="4"/>
  <c r="GA50" i="4"/>
  <c r="EZ50" i="4" s="1"/>
  <c r="GA51" i="4"/>
  <c r="GA17" i="4"/>
  <c r="GA28" i="4"/>
  <c r="GA40" i="4"/>
  <c r="GA52" i="4"/>
  <c r="GA18" i="4"/>
  <c r="EV18" i="4" s="1"/>
  <c r="GA30" i="4"/>
  <c r="GA42" i="4"/>
  <c r="GA54" i="4"/>
  <c r="GA125" i="4"/>
  <c r="GA65" i="4"/>
  <c r="GA88" i="4"/>
  <c r="AB88" i="4" s="1"/>
  <c r="GA119" i="4"/>
  <c r="HH119" i="4" s="1"/>
  <c r="GA147" i="4"/>
  <c r="GA169" i="4"/>
  <c r="GA205" i="4"/>
  <c r="GA228" i="4"/>
  <c r="GA250" i="4"/>
  <c r="GA269" i="4"/>
  <c r="GA347" i="4"/>
  <c r="GA375" i="4"/>
  <c r="GA66" i="4"/>
  <c r="AP66" i="4" s="1"/>
  <c r="GA78" i="4"/>
  <c r="GA89" i="4"/>
  <c r="AB89" i="4" s="1"/>
  <c r="GA104" i="4"/>
  <c r="GA120" i="4"/>
  <c r="HH120" i="4" s="1"/>
  <c r="GA135" i="4"/>
  <c r="GA148" i="4"/>
  <c r="GA160" i="4"/>
  <c r="GA170" i="4"/>
  <c r="GS170" i="4" s="1"/>
  <c r="GA181" i="4"/>
  <c r="GA192" i="4"/>
  <c r="GA206" i="4"/>
  <c r="GA218" i="4"/>
  <c r="EN218" i="4" s="1"/>
  <c r="GA229" i="4"/>
  <c r="GA241" i="4"/>
  <c r="EX241" i="4" s="1"/>
  <c r="GA251" i="4"/>
  <c r="GA260" i="4"/>
  <c r="GA270" i="4"/>
  <c r="GA300" i="4"/>
  <c r="GA308" i="4"/>
  <c r="GA339" i="4"/>
  <c r="GU339" i="4" s="1"/>
  <c r="GA377" i="4"/>
  <c r="GA378" i="4"/>
  <c r="GA90" i="4"/>
  <c r="GA193" i="4"/>
  <c r="GQ193" i="4" s="1"/>
  <c r="GA271" i="4"/>
  <c r="GA340" i="4"/>
  <c r="EZ340" i="4" s="1"/>
  <c r="GA93" i="4"/>
  <c r="GA107" i="4"/>
  <c r="HH107" i="4" s="1"/>
  <c r="GA123" i="4"/>
  <c r="HH123" i="4" s="1"/>
  <c r="GA137" i="4"/>
  <c r="GA150" i="4"/>
  <c r="GA172" i="4"/>
  <c r="EV172" i="4" s="1"/>
  <c r="GA183" i="4"/>
  <c r="GA195" i="4"/>
  <c r="GA208" i="4"/>
  <c r="GA220" i="4"/>
  <c r="GA230" i="4"/>
  <c r="GA243" i="4"/>
  <c r="EZ243" i="4" s="1"/>
  <c r="GA253" i="4"/>
  <c r="GA262" i="4"/>
  <c r="GA281" i="4"/>
  <c r="GA302" i="4"/>
  <c r="GA310" i="4"/>
  <c r="GA341" i="4"/>
  <c r="EZ341" i="4" s="1"/>
  <c r="GA382" i="4"/>
  <c r="GA358" i="4"/>
  <c r="GA363" i="4"/>
  <c r="GA399" i="4"/>
  <c r="GA80" i="4"/>
  <c r="GA94" i="4"/>
  <c r="ER94" i="4" s="1"/>
  <c r="ES94" i="4" s="1"/>
  <c r="GA108" i="4"/>
  <c r="HH108" i="4" s="1"/>
  <c r="GA124" i="4"/>
  <c r="HH124" i="4" s="1"/>
  <c r="GA138" i="4"/>
  <c r="GA151" i="4"/>
  <c r="GA173" i="4"/>
  <c r="GA184" i="4"/>
  <c r="ER184" i="4" s="1"/>
  <c r="ES184" i="4" s="1"/>
  <c r="GA209" i="4"/>
  <c r="GA221" i="4"/>
  <c r="GA231" i="4"/>
  <c r="GA244" i="4"/>
  <c r="GA263" i="4"/>
  <c r="GA291" i="4"/>
  <c r="ER291" i="4" s="1"/>
  <c r="ES291" i="4" s="1"/>
  <c r="GA319" i="4"/>
  <c r="GA330" i="4"/>
  <c r="GA359" i="4"/>
  <c r="GA398" i="4"/>
  <c r="GA122" i="4"/>
  <c r="HH122" i="4" s="1"/>
  <c r="GA219" i="4"/>
  <c r="GA280" i="4"/>
  <c r="GA318" i="4"/>
  <c r="GA81" i="4"/>
  <c r="GA272" i="4"/>
  <c r="GA364" i="4"/>
  <c r="GA207" i="4"/>
  <c r="EZ207" i="4" s="1"/>
  <c r="GA109" i="4"/>
  <c r="HH109" i="4" s="1"/>
  <c r="GA210" i="4"/>
  <c r="GA292" i="4"/>
  <c r="GA82" i="4"/>
  <c r="GA96" i="4"/>
  <c r="GA110" i="4"/>
  <c r="GA127" i="4"/>
  <c r="GA140" i="4"/>
  <c r="GA153" i="4"/>
  <c r="HH153" i="4" s="1"/>
  <c r="GA164" i="4"/>
  <c r="GA175" i="4"/>
  <c r="GA186" i="4"/>
  <c r="GS186" i="4" s="1"/>
  <c r="GA196" i="4"/>
  <c r="GA211" i="4"/>
  <c r="GA223" i="4"/>
  <c r="GA233" i="4"/>
  <c r="GA245" i="4"/>
  <c r="GA264" i="4"/>
  <c r="GM264" i="4" s="1"/>
  <c r="GA273" i="4"/>
  <c r="GA283" i="4"/>
  <c r="GA305" i="4"/>
  <c r="GA335" i="4"/>
  <c r="GQ335" i="4" s="1"/>
  <c r="GA349" i="4"/>
  <c r="GA389" i="4"/>
  <c r="EN389" i="4" s="1"/>
  <c r="GA348" i="4"/>
  <c r="GA70" i="4"/>
  <c r="GA185" i="4"/>
  <c r="GA232" i="4"/>
  <c r="GA314" i="4"/>
  <c r="GA360" i="4"/>
  <c r="EZ360" i="4" s="1"/>
  <c r="GA392" i="4"/>
  <c r="GA72" i="4"/>
  <c r="GA154" i="4"/>
  <c r="GA187" i="4"/>
  <c r="GA197" i="4"/>
  <c r="GA212" i="4"/>
  <c r="EZ212" i="4" s="1"/>
  <c r="GA224" i="4"/>
  <c r="GA246" i="4"/>
  <c r="GA255" i="4"/>
  <c r="GA265" i="4"/>
  <c r="GA293" i="4"/>
  <c r="GA315" i="4"/>
  <c r="EZ315" i="4" s="1"/>
  <c r="GA334" i="4"/>
  <c r="GA393" i="4"/>
  <c r="GA408" i="4"/>
  <c r="GA182" i="4"/>
  <c r="GA95" i="4"/>
  <c r="GA152" i="4"/>
  <c r="EZ152" i="4" s="1"/>
  <c r="GA254" i="4"/>
  <c r="GA282" i="4"/>
  <c r="GA331" i="4"/>
  <c r="GA369" i="4"/>
  <c r="GA83" i="4"/>
  <c r="GA111" i="4"/>
  <c r="HH111" i="4" s="1"/>
  <c r="GA128" i="4"/>
  <c r="GA165" i="4"/>
  <c r="GA62" i="4"/>
  <c r="GA73" i="4"/>
  <c r="ER73" i="4" s="1"/>
  <c r="ES73" i="4" s="1"/>
  <c r="GA84" i="4"/>
  <c r="GA98" i="4"/>
  <c r="EZ98" i="4" s="1"/>
  <c r="GA112" i="4"/>
  <c r="HH112" i="4" s="1"/>
  <c r="GA129" i="4"/>
  <c r="GA141" i="4"/>
  <c r="GA155" i="4"/>
  <c r="GA176" i="4"/>
  <c r="GA198" i="4"/>
  <c r="GA213" i="4"/>
  <c r="GA225" i="4"/>
  <c r="GA234" i="4"/>
  <c r="GA247" i="4"/>
  <c r="GA256" i="4"/>
  <c r="GA266" i="4"/>
  <c r="EN266" i="4" s="1"/>
  <c r="GA306" i="4"/>
  <c r="GA342" i="4"/>
  <c r="GA149" i="4"/>
  <c r="GA379" i="4"/>
  <c r="GA63" i="4"/>
  <c r="GA105" i="4"/>
  <c r="AW105" i="4" s="1"/>
  <c r="GA171" i="4"/>
  <c r="GA261" i="4"/>
  <c r="GA309" i="4"/>
  <c r="GA357" i="4"/>
  <c r="GA139" i="4"/>
  <c r="GA222" i="4"/>
  <c r="EX222" i="4" s="1"/>
  <c r="GA320" i="4"/>
  <c r="GA74" i="4"/>
  <c r="GA99" i="4"/>
  <c r="GA114" i="4"/>
  <c r="HH114" i="4" s="1"/>
  <c r="GA156" i="4"/>
  <c r="GA166" i="4"/>
  <c r="GS166" i="4" s="1"/>
  <c r="GA189" i="4"/>
  <c r="GA214" i="4"/>
  <c r="GA235" i="4"/>
  <c r="GA248" i="4"/>
  <c r="EN248" i="4" s="1"/>
  <c r="GA257" i="4"/>
  <c r="GA267" i="4"/>
  <c r="GO267" i="4" s="1"/>
  <c r="GA286" i="4"/>
  <c r="GA325" i="4"/>
  <c r="GA354" i="4"/>
  <c r="GA64" i="4"/>
  <c r="GA75" i="4"/>
  <c r="GA86" i="4"/>
  <c r="ER86" i="4" s="1"/>
  <c r="ES86" i="4" s="1"/>
  <c r="GA100" i="4"/>
  <c r="GA132" i="4"/>
  <c r="HH132" i="4" s="1"/>
  <c r="GA143" i="4"/>
  <c r="GA157" i="4"/>
  <c r="GA167" i="4"/>
  <c r="GA178" i="4"/>
  <c r="EX178" i="4" s="1"/>
  <c r="GA190" i="4"/>
  <c r="GA200" i="4"/>
  <c r="GA215" i="4"/>
  <c r="GA238" i="4"/>
  <c r="GA258" i="4"/>
  <c r="GA275" i="4"/>
  <c r="EZ275" i="4" s="1"/>
  <c r="GA337" i="4"/>
  <c r="GA79" i="4"/>
  <c r="GA161" i="4"/>
  <c r="GA242" i="4"/>
  <c r="GA301" i="4"/>
  <c r="GA174" i="4"/>
  <c r="ER174" i="4" s="1"/>
  <c r="ES174" i="4" s="1"/>
  <c r="GA85" i="4"/>
  <c r="GA131" i="4"/>
  <c r="HH131" i="4" s="1"/>
  <c r="GA142" i="4"/>
  <c r="GA199" i="4"/>
  <c r="GA226" i="4"/>
  <c r="GA87" i="4"/>
  <c r="AB87" i="4" s="1"/>
  <c r="GA101" i="4"/>
  <c r="GA118" i="4"/>
  <c r="HH118" i="4" s="1"/>
  <c r="GA133" i="4"/>
  <c r="GA146" i="4"/>
  <c r="AU146" i="4" s="1"/>
  <c r="GA158" i="4"/>
  <c r="GA168" i="4"/>
  <c r="ER168" i="4" s="1"/>
  <c r="ES168" i="4" s="1"/>
  <c r="GA179" i="4"/>
  <c r="GA191" i="4"/>
  <c r="GA201" i="4"/>
  <c r="GA216" i="4"/>
  <c r="GA227" i="4"/>
  <c r="GA239" i="4"/>
  <c r="ER239" i="4" s="1"/>
  <c r="ES239" i="4" s="1"/>
  <c r="GA249" i="4"/>
  <c r="GA259" i="4"/>
  <c r="GA276" i="4"/>
  <c r="GA288" i="4"/>
  <c r="GA344" i="4"/>
  <c r="GA355" i="4"/>
  <c r="EV355" i="4" s="1"/>
  <c r="GA67" i="4"/>
  <c r="GA136" i="4"/>
  <c r="GA252" i="4"/>
  <c r="GA329" i="4"/>
  <c r="GA387" i="4"/>
  <c r="GA102" i="4"/>
  <c r="EV102" i="4" s="1"/>
  <c r="GA134" i="4"/>
  <c r="GA159" i="4"/>
  <c r="GA180" i="4"/>
  <c r="GA217" i="4"/>
  <c r="GA240" i="4"/>
  <c r="GA298" i="4"/>
  <c r="EX298" i="4" s="1"/>
  <c r="GA317" i="4"/>
  <c r="GA386" i="4"/>
  <c r="FV274" i="4"/>
  <c r="H274" i="4" s="1"/>
  <c r="L263" i="4"/>
  <c r="GK263" i="4"/>
  <c r="GD303" i="4"/>
  <c r="FV303" i="4"/>
  <c r="H303" i="4" s="1"/>
  <c r="GC390" i="4"/>
  <c r="FV390" i="4"/>
  <c r="H390" i="4" s="1"/>
  <c r="GC405" i="4"/>
  <c r="FV405" i="4"/>
  <c r="FX434" i="4"/>
  <c r="FV434" i="4"/>
  <c r="H434" i="4" s="1"/>
  <c r="FZ445" i="4"/>
  <c r="FV445" i="4"/>
  <c r="GC391" i="4"/>
  <c r="FV391" i="4"/>
  <c r="H391" i="4" s="1"/>
  <c r="GD284" i="4"/>
  <c r="FV284" i="4"/>
  <c r="H284" i="4" s="1"/>
  <c r="GD345" i="4"/>
  <c r="FV345" i="4"/>
  <c r="H345" i="4" s="1"/>
  <c r="GD353" i="4"/>
  <c r="FV353" i="4"/>
  <c r="H353" i="4" s="1"/>
  <c r="GD350" i="4"/>
  <c r="FV350" i="4"/>
  <c r="H350" i="4" s="1"/>
  <c r="GD361" i="4"/>
  <c r="FV361" i="4"/>
  <c r="H361" i="4" s="1"/>
  <c r="FX365" i="4"/>
  <c r="FV365" i="4"/>
  <c r="FX370" i="4"/>
  <c r="FV370" i="4"/>
  <c r="H370" i="4" s="1"/>
  <c r="FX394" i="4"/>
  <c r="FV394" i="4"/>
  <c r="H394" i="4" s="1"/>
  <c r="GD324" i="4"/>
  <c r="FV324" i="4"/>
  <c r="H324" i="4" s="1"/>
  <c r="FY401" i="4"/>
  <c r="FV401" i="4"/>
  <c r="H401" i="4" s="1"/>
  <c r="FY285" i="4"/>
  <c r="FV285" i="4"/>
  <c r="H285" i="4" s="1"/>
  <c r="GD296" i="4"/>
  <c r="FV296" i="4"/>
  <c r="H296" i="4" s="1"/>
  <c r="FY321" i="4"/>
  <c r="FV321" i="4"/>
  <c r="H321" i="4" s="1"/>
  <c r="GD346" i="4"/>
  <c r="FV346" i="4"/>
  <c r="H346" i="4" s="1"/>
  <c r="FY372" i="4"/>
  <c r="FV372" i="4"/>
  <c r="H372" i="4" s="1"/>
  <c r="GD371" i="4"/>
  <c r="FV371" i="4"/>
  <c r="H371" i="4" s="1"/>
  <c r="GC381" i="4"/>
  <c r="FV381" i="4"/>
  <c r="H381" i="4" s="1"/>
  <c r="FY409" i="4"/>
  <c r="FV409" i="4"/>
  <c r="H409" i="4" s="1"/>
  <c r="FZ444" i="4"/>
  <c r="FV444" i="4"/>
  <c r="GB323" i="4"/>
  <c r="FV323" i="4"/>
  <c r="H323" i="4" s="1"/>
  <c r="FX431" i="4"/>
  <c r="FV431" i="4"/>
  <c r="H431" i="4" s="1"/>
  <c r="GC297" i="4"/>
  <c r="FV297" i="4"/>
  <c r="H297" i="4" s="1"/>
  <c r="GC316" i="4"/>
  <c r="FV316" i="4"/>
  <c r="H316" i="4" s="1"/>
  <c r="GC336" i="4"/>
  <c r="FV336" i="4"/>
  <c r="H336" i="4" s="1"/>
  <c r="FX373" i="4"/>
  <c r="FV373" i="4"/>
  <c r="H373" i="4" s="1"/>
  <c r="FX383" i="4"/>
  <c r="FV383" i="4"/>
  <c r="H383" i="4" s="1"/>
  <c r="FZ395" i="4"/>
  <c r="FV395" i="4"/>
  <c r="H395" i="4" s="1"/>
  <c r="FX413" i="4"/>
  <c r="FV413" i="4"/>
  <c r="H413" i="4" s="1"/>
  <c r="GC436" i="4"/>
  <c r="FV436" i="4"/>
  <c r="H436" i="4" s="1"/>
  <c r="GD313" i="4"/>
  <c r="FV313" i="4"/>
  <c r="H313" i="4" s="1"/>
  <c r="FZ326" i="4"/>
  <c r="FV326" i="4"/>
  <c r="H326" i="4" s="1"/>
  <c r="FY311" i="4"/>
  <c r="FV311" i="4"/>
  <c r="H311" i="4" s="1"/>
  <c r="FZ287" i="4"/>
  <c r="FV287" i="4"/>
  <c r="H287" i="4" s="1"/>
  <c r="FZ307" i="4"/>
  <c r="FV307" i="4"/>
  <c r="H307" i="4" s="1"/>
  <c r="GC384" i="4"/>
  <c r="FV384" i="4"/>
  <c r="H384" i="4" s="1"/>
  <c r="FZ446" i="4"/>
  <c r="FV446" i="4"/>
  <c r="FX422" i="4"/>
  <c r="FV422" i="4"/>
  <c r="H422" i="4" s="1"/>
  <c r="FX427" i="4"/>
  <c r="FV427" i="4"/>
  <c r="H427" i="4" s="1"/>
  <c r="FY343" i="4"/>
  <c r="FV343" i="4"/>
  <c r="H343" i="4" s="1"/>
  <c r="FY332" i="4"/>
  <c r="FV332" i="4"/>
  <c r="H332" i="4" s="1"/>
  <c r="FY367" i="4"/>
  <c r="FV367" i="4"/>
  <c r="FZ442" i="4"/>
  <c r="FV442" i="4"/>
  <c r="FZ374" i="4"/>
  <c r="FV374" i="4"/>
  <c r="H374" i="4" s="1"/>
  <c r="FX396" i="4"/>
  <c r="FV396" i="4"/>
  <c r="GC277" i="4"/>
  <c r="FV277" i="4"/>
  <c r="H277" i="4" s="1"/>
  <c r="FY299" i="4"/>
  <c r="FV299" i="4"/>
  <c r="H299" i="4" s="1"/>
  <c r="GD327" i="4"/>
  <c r="FV327" i="4"/>
  <c r="H327" i="4" s="1"/>
  <c r="FY338" i="4"/>
  <c r="FV338" i="4"/>
  <c r="H338" i="4" s="1"/>
  <c r="GB356" i="4"/>
  <c r="FV356" i="4"/>
  <c r="H356" i="4" s="1"/>
  <c r="GC397" i="4"/>
  <c r="FV397" i="4"/>
  <c r="H397" i="4" s="1"/>
  <c r="FY423" i="4"/>
  <c r="FV423" i="4"/>
  <c r="H423" i="4" s="1"/>
  <c r="FZ443" i="4"/>
  <c r="FV443" i="4"/>
  <c r="FX385" i="4"/>
  <c r="FV385" i="4"/>
  <c r="H385" i="4" s="1"/>
  <c r="FX448" i="4"/>
  <c r="FV448" i="4"/>
  <c r="GC290" i="4"/>
  <c r="FV290" i="4"/>
  <c r="H290" i="4" s="1"/>
  <c r="GC328" i="4"/>
  <c r="FV328" i="4"/>
  <c r="FX368" i="4"/>
  <c r="FV368" i="4"/>
  <c r="H368" i="4" s="1"/>
  <c r="FZ424" i="4"/>
  <c r="FV424" i="4"/>
  <c r="GC425" i="4"/>
  <c r="FV425" i="4"/>
  <c r="H425" i="4" s="1"/>
  <c r="GC304" i="4"/>
  <c r="FV304" i="4"/>
  <c r="H304" i="4" s="1"/>
  <c r="FX406" i="4"/>
  <c r="FV406" i="4"/>
  <c r="FX268" i="4"/>
  <c r="FV268" i="4"/>
  <c r="GB259" i="4"/>
  <c r="GB250" i="4"/>
  <c r="FX249" i="4"/>
  <c r="GB245" i="4"/>
  <c r="GB240" i="4"/>
  <c r="FX239" i="4"/>
  <c r="GB229" i="4"/>
  <c r="FX223" i="4"/>
  <c r="GB219" i="4"/>
  <c r="GB186" i="4"/>
  <c r="GB181" i="4"/>
  <c r="FX185" i="4"/>
  <c r="FZ52" i="4"/>
  <c r="GB165" i="4"/>
  <c r="FZ142" i="4"/>
  <c r="GB213" i="4"/>
  <c r="FX175" i="4"/>
  <c r="FZ159" i="4"/>
  <c r="FY148" i="4"/>
  <c r="FX190" i="4"/>
  <c r="FX206" i="4"/>
  <c r="GB207" i="4"/>
  <c r="GB199" i="4"/>
  <c r="FY108" i="4"/>
  <c r="FY101" i="4"/>
  <c r="FX218" i="4"/>
  <c r="FZ274" i="4"/>
  <c r="FZ4" i="4"/>
  <c r="GC153" i="4"/>
  <c r="FZ153" i="4"/>
  <c r="FY153" i="4"/>
  <c r="GB153" i="4"/>
  <c r="FX153" i="4"/>
  <c r="GD153" i="4"/>
  <c r="GD131" i="4"/>
  <c r="GC131" i="4"/>
  <c r="GB131" i="4"/>
  <c r="FZ131" i="4"/>
  <c r="FY131" i="4"/>
  <c r="FX131" i="4"/>
  <c r="FY132" i="4"/>
  <c r="GD132" i="4"/>
  <c r="GB132" i="4"/>
  <c r="FZ132" i="4"/>
  <c r="FX132" i="4"/>
  <c r="GC132" i="4"/>
  <c r="FX442" i="4"/>
  <c r="GC4" i="4"/>
  <c r="FX401" i="4"/>
  <c r="GD4" i="4"/>
  <c r="FX409" i="4"/>
  <c r="FZ396" i="4"/>
  <c r="FY446" i="4"/>
  <c r="FZ431" i="4"/>
  <c r="GB332" i="4"/>
  <c r="FX446" i="4"/>
  <c r="GB425" i="4"/>
  <c r="FZ425" i="4"/>
  <c r="FY445" i="4"/>
  <c r="FZ422" i="4"/>
  <c r="FY385" i="4"/>
  <c r="FX445" i="4"/>
  <c r="FY444" i="4"/>
  <c r="GB405" i="4"/>
  <c r="FZ405" i="4"/>
  <c r="FY442" i="4"/>
  <c r="FZ373" i="4"/>
  <c r="FX143" i="4"/>
  <c r="FY143" i="4"/>
  <c r="GB143" i="4"/>
  <c r="GC143" i="4"/>
  <c r="FZ143" i="4"/>
  <c r="GD143" i="4"/>
  <c r="GD448" i="4"/>
  <c r="GD436" i="4"/>
  <c r="FY431" i="4"/>
  <c r="GC427" i="4"/>
  <c r="FY425" i="4"/>
  <c r="FY422" i="4"/>
  <c r="FY405" i="4"/>
  <c r="FY396" i="4"/>
  <c r="FZ394" i="4"/>
  <c r="GD384" i="4"/>
  <c r="FX41" i="4"/>
  <c r="FY41" i="4"/>
  <c r="FZ41" i="4"/>
  <c r="GB41" i="4"/>
  <c r="GC41" i="4"/>
  <c r="GD41" i="4"/>
  <c r="FX85" i="4"/>
  <c r="FY85" i="4"/>
  <c r="FZ85" i="4"/>
  <c r="GB85" i="4"/>
  <c r="GC85" i="4"/>
  <c r="GD85" i="4"/>
  <c r="FX119" i="4"/>
  <c r="FY119" i="4"/>
  <c r="FZ119" i="4"/>
  <c r="GB119" i="4"/>
  <c r="GC119" i="4"/>
  <c r="GD119" i="4"/>
  <c r="FX166" i="4"/>
  <c r="FY166" i="4"/>
  <c r="GD166" i="4"/>
  <c r="FZ166" i="4"/>
  <c r="GB166" i="4"/>
  <c r="GC166" i="4"/>
  <c r="FX209" i="4"/>
  <c r="FY209" i="4"/>
  <c r="GD209" i="4"/>
  <c r="FZ209" i="4"/>
  <c r="GB209" i="4"/>
  <c r="GC209" i="4"/>
  <c r="FX252" i="4"/>
  <c r="FY252" i="4"/>
  <c r="GD252" i="4"/>
  <c r="FZ252" i="4"/>
  <c r="GB252" i="4"/>
  <c r="GC252" i="4"/>
  <c r="FX327" i="4"/>
  <c r="FY327" i="4"/>
  <c r="FZ327" i="4"/>
  <c r="GB327" i="4"/>
  <c r="GC327" i="4"/>
  <c r="FX386" i="4"/>
  <c r="FY386" i="4"/>
  <c r="FZ386" i="4"/>
  <c r="GB386" i="4"/>
  <c r="FY443" i="4"/>
  <c r="GB19" i="4"/>
  <c r="GC19" i="4"/>
  <c r="GD19" i="4"/>
  <c r="FX19" i="4"/>
  <c r="FY19" i="4"/>
  <c r="FZ19" i="4"/>
  <c r="GB75" i="4"/>
  <c r="GC75" i="4"/>
  <c r="GD75" i="4"/>
  <c r="FX75" i="4"/>
  <c r="FY75" i="4"/>
  <c r="FZ75" i="4"/>
  <c r="GB146" i="4"/>
  <c r="GC146" i="4"/>
  <c r="GD146" i="4"/>
  <c r="FX146" i="4"/>
  <c r="FY146" i="4"/>
  <c r="FZ146" i="4"/>
  <c r="FY197" i="4"/>
  <c r="FZ197" i="4"/>
  <c r="GB197" i="4"/>
  <c r="GC197" i="4"/>
  <c r="GD197" i="4"/>
  <c r="FX197" i="4"/>
  <c r="FY261" i="4"/>
  <c r="FZ261" i="4"/>
  <c r="GB261" i="4"/>
  <c r="GC261" i="4"/>
  <c r="GD261" i="4"/>
  <c r="FX261" i="4"/>
  <c r="FX444" i="4"/>
  <c r="FX443" i="4"/>
  <c r="GD427" i="4"/>
  <c r="FX8" i="4"/>
  <c r="FY8" i="4"/>
  <c r="FZ8" i="4"/>
  <c r="GB8" i="4"/>
  <c r="GC8" i="4"/>
  <c r="GD8" i="4"/>
  <c r="FX20" i="4"/>
  <c r="FY20" i="4"/>
  <c r="FZ20" i="4"/>
  <c r="GB20" i="4"/>
  <c r="GC20" i="4"/>
  <c r="GD20" i="4"/>
  <c r="FX31" i="4"/>
  <c r="FY31" i="4"/>
  <c r="FZ31" i="4"/>
  <c r="GB31" i="4"/>
  <c r="GC31" i="4"/>
  <c r="GD31" i="4"/>
  <c r="FX43" i="4"/>
  <c r="FY43" i="4"/>
  <c r="FZ43" i="4"/>
  <c r="GB43" i="4"/>
  <c r="GC43" i="4"/>
  <c r="GD43" i="4"/>
  <c r="FX55" i="4"/>
  <c r="FY55" i="4"/>
  <c r="FZ55" i="4"/>
  <c r="GB55" i="4"/>
  <c r="GC55" i="4"/>
  <c r="GD55" i="4"/>
  <c r="FX65" i="4"/>
  <c r="FY65" i="4"/>
  <c r="FZ65" i="4"/>
  <c r="GB65" i="4"/>
  <c r="GC65" i="4"/>
  <c r="GD65" i="4"/>
  <c r="FX76" i="4"/>
  <c r="FY76" i="4"/>
  <c r="FZ76" i="4"/>
  <c r="GB76" i="4"/>
  <c r="GC76" i="4"/>
  <c r="GD76" i="4"/>
  <c r="FX109" i="4"/>
  <c r="FY109" i="4"/>
  <c r="FZ109" i="4"/>
  <c r="GB109" i="4"/>
  <c r="GC109" i="4"/>
  <c r="GD109" i="4"/>
  <c r="FX134" i="4"/>
  <c r="FY134" i="4"/>
  <c r="GB134" i="4"/>
  <c r="GC134" i="4"/>
  <c r="GD134" i="4"/>
  <c r="FZ134" i="4"/>
  <c r="FX147" i="4"/>
  <c r="FY147" i="4"/>
  <c r="GB147" i="4"/>
  <c r="GC147" i="4"/>
  <c r="FZ147" i="4"/>
  <c r="GD147" i="4"/>
  <c r="FX159" i="4"/>
  <c r="FY159" i="4"/>
  <c r="GB159" i="4"/>
  <c r="GC159" i="4"/>
  <c r="GD159" i="4"/>
  <c r="FX168" i="4"/>
  <c r="FY168" i="4"/>
  <c r="GD168" i="4"/>
  <c r="FZ168" i="4"/>
  <c r="GB168" i="4"/>
  <c r="GC168" i="4"/>
  <c r="FX179" i="4"/>
  <c r="FY179" i="4"/>
  <c r="GD179" i="4"/>
  <c r="FZ179" i="4"/>
  <c r="GB179" i="4"/>
  <c r="GC179" i="4"/>
  <c r="FX189" i="4"/>
  <c r="FY189" i="4"/>
  <c r="GD189" i="4"/>
  <c r="FZ189" i="4"/>
  <c r="GB189" i="4"/>
  <c r="GC189" i="4"/>
  <c r="FX198" i="4"/>
  <c r="FY198" i="4"/>
  <c r="GD198" i="4"/>
  <c r="FZ198" i="4"/>
  <c r="GB198" i="4"/>
  <c r="GC198" i="4"/>
  <c r="FX211" i="4"/>
  <c r="FY211" i="4"/>
  <c r="GD211" i="4"/>
  <c r="FZ211" i="4"/>
  <c r="GB211" i="4"/>
  <c r="GC211" i="4"/>
  <c r="FX222" i="4"/>
  <c r="FY222" i="4"/>
  <c r="GD222" i="4"/>
  <c r="FZ222" i="4"/>
  <c r="GB222" i="4"/>
  <c r="GC222" i="4"/>
  <c r="FX232" i="4"/>
  <c r="FY232" i="4"/>
  <c r="GD232" i="4"/>
  <c r="FZ232" i="4"/>
  <c r="GB232" i="4"/>
  <c r="GC232" i="4"/>
  <c r="FX244" i="4"/>
  <c r="FY244" i="4"/>
  <c r="GD244" i="4"/>
  <c r="FZ244" i="4"/>
  <c r="GB244" i="4"/>
  <c r="GC244" i="4"/>
  <c r="FX262" i="4"/>
  <c r="FY262" i="4"/>
  <c r="GD262" i="4"/>
  <c r="FZ262" i="4"/>
  <c r="GB262" i="4"/>
  <c r="GC262" i="4"/>
  <c r="GD280" i="4"/>
  <c r="FX280" i="4"/>
  <c r="FY280" i="4"/>
  <c r="GB280" i="4"/>
  <c r="GD301" i="4"/>
  <c r="FX301" i="4"/>
  <c r="FY301" i="4"/>
  <c r="GB301" i="4"/>
  <c r="FX309" i="4"/>
  <c r="FY309" i="4"/>
  <c r="FZ309" i="4"/>
  <c r="GB309" i="4"/>
  <c r="GC309" i="4"/>
  <c r="GD309" i="4"/>
  <c r="GD318" i="4"/>
  <c r="FX318" i="4"/>
  <c r="FY318" i="4"/>
  <c r="GB318" i="4"/>
  <c r="FX329" i="4"/>
  <c r="FY329" i="4"/>
  <c r="FZ329" i="4"/>
  <c r="GB329" i="4"/>
  <c r="GC329" i="4"/>
  <c r="GD329" i="4"/>
  <c r="GD340" i="4"/>
  <c r="FX340" i="4"/>
  <c r="FY340" i="4"/>
  <c r="GB340" i="4"/>
  <c r="FX348" i="4"/>
  <c r="FY348" i="4"/>
  <c r="FZ348" i="4"/>
  <c r="GB348" i="4"/>
  <c r="GC348" i="4"/>
  <c r="FX357" i="4"/>
  <c r="FY357" i="4"/>
  <c r="FZ357" i="4"/>
  <c r="GB357" i="4"/>
  <c r="GC357" i="4"/>
  <c r="FX379" i="4"/>
  <c r="FY379" i="4"/>
  <c r="FZ379" i="4"/>
  <c r="GB379" i="4"/>
  <c r="GC379" i="4"/>
  <c r="FX387" i="4"/>
  <c r="FY387" i="4"/>
  <c r="FZ387" i="4"/>
  <c r="GB387" i="4"/>
  <c r="GB9" i="4"/>
  <c r="GC9" i="4"/>
  <c r="GD9" i="4"/>
  <c r="FX9" i="4"/>
  <c r="FY9" i="4"/>
  <c r="FZ9" i="4"/>
  <c r="GB21" i="4"/>
  <c r="GC21" i="4"/>
  <c r="GD21" i="4"/>
  <c r="FX21" i="4"/>
  <c r="FY21" i="4"/>
  <c r="FZ21" i="4"/>
  <c r="GB32" i="4"/>
  <c r="GC32" i="4"/>
  <c r="GD32" i="4"/>
  <c r="FX32" i="4"/>
  <c r="FY32" i="4"/>
  <c r="FZ32" i="4"/>
  <c r="GB44" i="4"/>
  <c r="GC44" i="4"/>
  <c r="GD44" i="4"/>
  <c r="FX44" i="4"/>
  <c r="FY44" i="4"/>
  <c r="FZ44" i="4"/>
  <c r="GB56" i="4"/>
  <c r="GC56" i="4"/>
  <c r="GD56" i="4"/>
  <c r="FX56" i="4"/>
  <c r="FY56" i="4"/>
  <c r="FZ56" i="4"/>
  <c r="GB66" i="4"/>
  <c r="GC66" i="4"/>
  <c r="GD66" i="4"/>
  <c r="FX66" i="4"/>
  <c r="FY66" i="4"/>
  <c r="FZ66" i="4"/>
  <c r="GB77" i="4"/>
  <c r="GC77" i="4"/>
  <c r="GD77" i="4"/>
  <c r="FX77" i="4"/>
  <c r="FY77" i="4"/>
  <c r="FZ77" i="4"/>
  <c r="GB87" i="4"/>
  <c r="GC87" i="4"/>
  <c r="GD87" i="4"/>
  <c r="FX87" i="4"/>
  <c r="FY87" i="4"/>
  <c r="FZ87" i="4"/>
  <c r="GB110" i="4"/>
  <c r="GC110" i="4"/>
  <c r="GD110" i="4"/>
  <c r="FZ110" i="4"/>
  <c r="FX110" i="4"/>
  <c r="FY110" i="4"/>
  <c r="GB122" i="4"/>
  <c r="GC122" i="4"/>
  <c r="GD122" i="4"/>
  <c r="FX122" i="4"/>
  <c r="FY122" i="4"/>
  <c r="FZ122" i="4"/>
  <c r="GB135" i="4"/>
  <c r="GC135" i="4"/>
  <c r="GD135" i="4"/>
  <c r="FX135" i="4"/>
  <c r="FY135" i="4"/>
  <c r="FZ135" i="4"/>
  <c r="GB148" i="4"/>
  <c r="GC148" i="4"/>
  <c r="GD148" i="4"/>
  <c r="FZ148" i="4"/>
  <c r="FX148" i="4"/>
  <c r="GB160" i="4"/>
  <c r="GC160" i="4"/>
  <c r="GD160" i="4"/>
  <c r="FX160" i="4"/>
  <c r="FY160" i="4"/>
  <c r="FZ160" i="4"/>
  <c r="FY169" i="4"/>
  <c r="FZ169" i="4"/>
  <c r="GB169" i="4"/>
  <c r="GC169" i="4"/>
  <c r="GD169" i="4"/>
  <c r="FY180" i="4"/>
  <c r="FZ180" i="4"/>
  <c r="GB180" i="4"/>
  <c r="GC180" i="4"/>
  <c r="GD180" i="4"/>
  <c r="FY190" i="4"/>
  <c r="FZ190" i="4"/>
  <c r="GB190" i="4"/>
  <c r="GC190" i="4"/>
  <c r="GD190" i="4"/>
  <c r="FY212" i="4"/>
  <c r="FZ212" i="4"/>
  <c r="GB212" i="4"/>
  <c r="GC212" i="4"/>
  <c r="GD212" i="4"/>
  <c r="FY223" i="4"/>
  <c r="FZ223" i="4"/>
  <c r="GB223" i="4"/>
  <c r="GC223" i="4"/>
  <c r="GD223" i="4"/>
  <c r="FY233" i="4"/>
  <c r="FZ233" i="4"/>
  <c r="GB233" i="4"/>
  <c r="GC233" i="4"/>
  <c r="GD233" i="4"/>
  <c r="FY263" i="4"/>
  <c r="FZ263" i="4"/>
  <c r="GB263" i="4"/>
  <c r="GC263" i="4"/>
  <c r="GD263" i="4"/>
  <c r="FY281" i="4"/>
  <c r="FZ281" i="4"/>
  <c r="GB281" i="4"/>
  <c r="FX281" i="4"/>
  <c r="GC281" i="4"/>
  <c r="GD281" i="4"/>
  <c r="FY324" i="4"/>
  <c r="FZ324" i="4"/>
  <c r="GB324" i="4"/>
  <c r="FX324" i="4"/>
  <c r="GC324" i="4"/>
  <c r="FY302" i="4"/>
  <c r="FZ302" i="4"/>
  <c r="GB302" i="4"/>
  <c r="FX302" i="4"/>
  <c r="GC302" i="4"/>
  <c r="GD302" i="4"/>
  <c r="FY310" i="4"/>
  <c r="FZ310" i="4"/>
  <c r="GB310" i="4"/>
  <c r="FX310" i="4"/>
  <c r="GC310" i="4"/>
  <c r="FY341" i="4"/>
  <c r="FZ341" i="4"/>
  <c r="GB341" i="4"/>
  <c r="FX341" i="4"/>
  <c r="GC341" i="4"/>
  <c r="GD341" i="4"/>
  <c r="FY382" i="4"/>
  <c r="FZ382" i="4"/>
  <c r="GC382" i="4"/>
  <c r="GD382" i="4"/>
  <c r="FX382" i="4"/>
  <c r="FY358" i="4"/>
  <c r="FZ358" i="4"/>
  <c r="GC358" i="4"/>
  <c r="GD358" i="4"/>
  <c r="FX358" i="4"/>
  <c r="FY363" i="4"/>
  <c r="GB363" i="4"/>
  <c r="GC363" i="4"/>
  <c r="GD363" i="4"/>
  <c r="FX363" i="4"/>
  <c r="GB401" i="4"/>
  <c r="GC401" i="4"/>
  <c r="GD401" i="4"/>
  <c r="GB399" i="4"/>
  <c r="GC399" i="4"/>
  <c r="GD399" i="4"/>
  <c r="GC448" i="4"/>
  <c r="GB436" i="4"/>
  <c r="GB427" i="4"/>
  <c r="FX425" i="4"/>
  <c r="FX405" i="4"/>
  <c r="FY394" i="4"/>
  <c r="GC340" i="4"/>
  <c r="GC326" i="4"/>
  <c r="GC301" i="4"/>
  <c r="GC287" i="4"/>
  <c r="GB448" i="4"/>
  <c r="FZ436" i="4"/>
  <c r="GD434" i="4"/>
  <c r="FZ427" i="4"/>
  <c r="GD367" i="4"/>
  <c r="GD387" i="4"/>
  <c r="FZ383" i="4"/>
  <c r="FZ370" i="4"/>
  <c r="FZ340" i="4"/>
  <c r="FZ301" i="4"/>
  <c r="FX212" i="4"/>
  <c r="FX180" i="4"/>
  <c r="FX6" i="4"/>
  <c r="FY6" i="4"/>
  <c r="FZ6" i="4"/>
  <c r="GB6" i="4"/>
  <c r="GC6" i="4"/>
  <c r="GD6" i="4"/>
  <c r="FX53" i="4"/>
  <c r="FY53" i="4"/>
  <c r="FZ53" i="4"/>
  <c r="GB53" i="4"/>
  <c r="GC53" i="4"/>
  <c r="GD53" i="4"/>
  <c r="FX95" i="4"/>
  <c r="FY95" i="4"/>
  <c r="FZ95" i="4"/>
  <c r="GB95" i="4"/>
  <c r="GC95" i="4"/>
  <c r="GD95" i="4"/>
  <c r="FX157" i="4"/>
  <c r="FY157" i="4"/>
  <c r="GB157" i="4"/>
  <c r="GC157" i="4"/>
  <c r="FZ157" i="4"/>
  <c r="GD157" i="4"/>
  <c r="FX196" i="4"/>
  <c r="FY196" i="4"/>
  <c r="GD196" i="4"/>
  <c r="FZ196" i="4"/>
  <c r="GB196" i="4"/>
  <c r="GC196" i="4"/>
  <c r="FX242" i="4"/>
  <c r="FY242" i="4"/>
  <c r="GD242" i="4"/>
  <c r="FZ242" i="4"/>
  <c r="GB242" i="4"/>
  <c r="GC242" i="4"/>
  <c r="FZ317" i="4"/>
  <c r="GB317" i="4"/>
  <c r="GC317" i="4"/>
  <c r="GD317" i="4"/>
  <c r="FX317" i="4"/>
  <c r="FX347" i="4"/>
  <c r="FY347" i="4"/>
  <c r="FZ347" i="4"/>
  <c r="GC347" i="4"/>
  <c r="FX375" i="4"/>
  <c r="FY375" i="4"/>
  <c r="FZ375" i="4"/>
  <c r="GB375" i="4"/>
  <c r="GC375" i="4"/>
  <c r="GB7" i="4"/>
  <c r="GC7" i="4"/>
  <c r="GD7" i="4"/>
  <c r="FX7" i="4"/>
  <c r="FY7" i="4"/>
  <c r="FZ7" i="4"/>
  <c r="GB120" i="4"/>
  <c r="GC120" i="4"/>
  <c r="GD120" i="4"/>
  <c r="FX120" i="4"/>
  <c r="FY120" i="4"/>
  <c r="FZ120" i="4"/>
  <c r="FY178" i="4"/>
  <c r="FZ178" i="4"/>
  <c r="GB178" i="4"/>
  <c r="GC178" i="4"/>
  <c r="GD178" i="4"/>
  <c r="FX178" i="4"/>
  <c r="FY221" i="4"/>
  <c r="FZ221" i="4"/>
  <c r="GB221" i="4"/>
  <c r="GC221" i="4"/>
  <c r="GD221" i="4"/>
  <c r="FX221" i="4"/>
  <c r="FY271" i="4"/>
  <c r="FZ271" i="4"/>
  <c r="GB271" i="4"/>
  <c r="GC271" i="4"/>
  <c r="FX271" i="4"/>
  <c r="GD271" i="4"/>
  <c r="FY308" i="4"/>
  <c r="FZ308" i="4"/>
  <c r="GB308" i="4"/>
  <c r="GD308" i="4"/>
  <c r="FX308" i="4"/>
  <c r="FY377" i="4"/>
  <c r="FZ377" i="4"/>
  <c r="FX377" i="4"/>
  <c r="GB377" i="4"/>
  <c r="GC377" i="4"/>
  <c r="GD377" i="4"/>
  <c r="GB378" i="4"/>
  <c r="GC378" i="4"/>
  <c r="GD378" i="4"/>
  <c r="FY378" i="4"/>
  <c r="GB424" i="4"/>
  <c r="GC424" i="4"/>
  <c r="GD424" i="4"/>
  <c r="FX45" i="4"/>
  <c r="FY45" i="4"/>
  <c r="FZ45" i="4"/>
  <c r="GB45" i="4"/>
  <c r="GC45" i="4"/>
  <c r="GD45" i="4"/>
  <c r="FX67" i="4"/>
  <c r="FY67" i="4"/>
  <c r="FZ67" i="4"/>
  <c r="GB67" i="4"/>
  <c r="GC67" i="4"/>
  <c r="GD67" i="4"/>
  <c r="FX123" i="4"/>
  <c r="FY123" i="4"/>
  <c r="FZ123" i="4"/>
  <c r="GB123" i="4"/>
  <c r="GC123" i="4"/>
  <c r="GD123" i="4"/>
  <c r="FX191" i="4"/>
  <c r="FY191" i="4"/>
  <c r="GD191" i="4"/>
  <c r="GC191" i="4"/>
  <c r="FZ191" i="4"/>
  <c r="FX254" i="4"/>
  <c r="FY254" i="4"/>
  <c r="GD254" i="4"/>
  <c r="GC254" i="4"/>
  <c r="FZ254" i="4"/>
  <c r="FX319" i="4"/>
  <c r="FY319" i="4"/>
  <c r="FZ319" i="4"/>
  <c r="GB319" i="4"/>
  <c r="GC319" i="4"/>
  <c r="FX398" i="4"/>
  <c r="FZ398" i="4"/>
  <c r="GB11" i="4"/>
  <c r="GC11" i="4"/>
  <c r="GD11" i="4"/>
  <c r="FX11" i="4"/>
  <c r="FY11" i="4"/>
  <c r="FZ11" i="4"/>
  <c r="GB23" i="4"/>
  <c r="GC23" i="4"/>
  <c r="GD23" i="4"/>
  <c r="FX23" i="4"/>
  <c r="FY23" i="4"/>
  <c r="FZ23" i="4"/>
  <c r="GB34" i="4"/>
  <c r="GC34" i="4"/>
  <c r="GD34" i="4"/>
  <c r="FX34" i="4"/>
  <c r="FY34" i="4"/>
  <c r="FZ34" i="4"/>
  <c r="GB46" i="4"/>
  <c r="GC46" i="4"/>
  <c r="GD46" i="4"/>
  <c r="FX46" i="4"/>
  <c r="FY46" i="4"/>
  <c r="FZ46" i="4"/>
  <c r="GB58" i="4"/>
  <c r="GC58" i="4"/>
  <c r="GD58" i="4"/>
  <c r="FX58" i="4"/>
  <c r="FY58" i="4"/>
  <c r="FZ58" i="4"/>
  <c r="GB68" i="4"/>
  <c r="GC68" i="4"/>
  <c r="GD68" i="4"/>
  <c r="FX68" i="4"/>
  <c r="FY68" i="4"/>
  <c r="FZ68" i="4"/>
  <c r="GB79" i="4"/>
  <c r="GC79" i="4"/>
  <c r="GD79" i="4"/>
  <c r="FX79" i="4"/>
  <c r="FY79" i="4"/>
  <c r="FZ79" i="4"/>
  <c r="GB89" i="4"/>
  <c r="GC89" i="4"/>
  <c r="GD89" i="4"/>
  <c r="FX89" i="4"/>
  <c r="FY89" i="4"/>
  <c r="FZ89" i="4"/>
  <c r="GB99" i="4"/>
  <c r="GC99" i="4"/>
  <c r="GD99" i="4"/>
  <c r="FX99" i="4"/>
  <c r="FY99" i="4"/>
  <c r="FZ99" i="4"/>
  <c r="GB112" i="4"/>
  <c r="GC112" i="4"/>
  <c r="GD112" i="4"/>
  <c r="FX112" i="4"/>
  <c r="FY112" i="4"/>
  <c r="FZ112" i="4"/>
  <c r="GB124" i="4"/>
  <c r="GC124" i="4"/>
  <c r="GD124" i="4"/>
  <c r="FX124" i="4"/>
  <c r="FY124" i="4"/>
  <c r="FZ124" i="4"/>
  <c r="GB137" i="4"/>
  <c r="GC137" i="4"/>
  <c r="GD137" i="4"/>
  <c r="FX137" i="4"/>
  <c r="FY137" i="4"/>
  <c r="FZ137" i="4"/>
  <c r="GB150" i="4"/>
  <c r="GC150" i="4"/>
  <c r="GD150" i="4"/>
  <c r="FX150" i="4"/>
  <c r="FY150" i="4"/>
  <c r="FZ150" i="4"/>
  <c r="FY162" i="4"/>
  <c r="FZ162" i="4"/>
  <c r="GB162" i="4"/>
  <c r="GC162" i="4"/>
  <c r="GD162" i="4"/>
  <c r="FX162" i="4"/>
  <c r="FY171" i="4"/>
  <c r="FZ171" i="4"/>
  <c r="GB171" i="4"/>
  <c r="GC171" i="4"/>
  <c r="GD171" i="4"/>
  <c r="FX171" i="4"/>
  <c r="FY200" i="4"/>
  <c r="FZ200" i="4"/>
  <c r="GB200" i="4"/>
  <c r="GC200" i="4"/>
  <c r="GD200" i="4"/>
  <c r="FX200" i="4"/>
  <c r="FY214" i="4"/>
  <c r="FZ214" i="4"/>
  <c r="GB214" i="4"/>
  <c r="GC214" i="4"/>
  <c r="GD214" i="4"/>
  <c r="FX214" i="4"/>
  <c r="FY225" i="4"/>
  <c r="FZ225" i="4"/>
  <c r="GB225" i="4"/>
  <c r="GC225" i="4"/>
  <c r="GD225" i="4"/>
  <c r="FX225" i="4"/>
  <c r="FY246" i="4"/>
  <c r="FZ246" i="4"/>
  <c r="GB246" i="4"/>
  <c r="GC246" i="4"/>
  <c r="GD246" i="4"/>
  <c r="FX246" i="4"/>
  <c r="FY264" i="4"/>
  <c r="FZ264" i="4"/>
  <c r="GB264" i="4"/>
  <c r="GC264" i="4"/>
  <c r="GD264" i="4"/>
  <c r="FX264" i="4"/>
  <c r="FY273" i="4"/>
  <c r="FZ273" i="4"/>
  <c r="GB273" i="4"/>
  <c r="GC273" i="4"/>
  <c r="FX273" i="4"/>
  <c r="GD273" i="4"/>
  <c r="FY282" i="4"/>
  <c r="FZ282" i="4"/>
  <c r="GB282" i="4"/>
  <c r="GD282" i="4"/>
  <c r="FX282" i="4"/>
  <c r="FY292" i="4"/>
  <c r="FZ292" i="4"/>
  <c r="GB292" i="4"/>
  <c r="FX292" i="4"/>
  <c r="GC292" i="4"/>
  <c r="GD292" i="4"/>
  <c r="FY304" i="4"/>
  <c r="FZ304" i="4"/>
  <c r="GB304" i="4"/>
  <c r="GD304" i="4"/>
  <c r="FX304" i="4"/>
  <c r="FY314" i="4"/>
  <c r="FZ314" i="4"/>
  <c r="GB314" i="4"/>
  <c r="FX314" i="4"/>
  <c r="GC314" i="4"/>
  <c r="GD314" i="4"/>
  <c r="FY320" i="4"/>
  <c r="FZ320" i="4"/>
  <c r="GB320" i="4"/>
  <c r="GD320" i="4"/>
  <c r="FX320" i="4"/>
  <c r="FY331" i="4"/>
  <c r="FZ331" i="4"/>
  <c r="GB331" i="4"/>
  <c r="FX331" i="4"/>
  <c r="GC331" i="4"/>
  <c r="GD331" i="4"/>
  <c r="FY360" i="4"/>
  <c r="FZ360" i="4"/>
  <c r="FX360" i="4"/>
  <c r="GC360" i="4"/>
  <c r="GB364" i="4"/>
  <c r="GC364" i="4"/>
  <c r="GD364" i="4"/>
  <c r="FY364" i="4"/>
  <c r="GB369" i="4"/>
  <c r="GC369" i="4"/>
  <c r="GD369" i="4"/>
  <c r="FY369" i="4"/>
  <c r="GB392" i="4"/>
  <c r="GC392" i="4"/>
  <c r="GD392" i="4"/>
  <c r="GB406" i="4"/>
  <c r="GC406" i="4"/>
  <c r="GD406" i="4"/>
  <c r="FZ448" i="4"/>
  <c r="FY436" i="4"/>
  <c r="GC434" i="4"/>
  <c r="FY427" i="4"/>
  <c r="FY424" i="4"/>
  <c r="GC367" i="4"/>
  <c r="GC387" i="4"/>
  <c r="FY383" i="4"/>
  <c r="FZ365" i="4"/>
  <c r="GD360" i="4"/>
  <c r="GB382" i="4"/>
  <c r="FX389" i="4"/>
  <c r="FY389" i="4"/>
  <c r="FZ389" i="4"/>
  <c r="GB389" i="4"/>
  <c r="GC389" i="4"/>
  <c r="FX390" i="4"/>
  <c r="FY390" i="4"/>
  <c r="FZ390" i="4"/>
  <c r="GB390" i="4"/>
  <c r="FY448" i="4"/>
  <c r="FX436" i="4"/>
  <c r="GB434" i="4"/>
  <c r="FX424" i="4"/>
  <c r="GB367" i="4"/>
  <c r="GD379" i="4"/>
  <c r="GD389" i="4"/>
  <c r="GB360" i="4"/>
  <c r="GD348" i="4"/>
  <c r="GD310" i="4"/>
  <c r="FY397" i="4"/>
  <c r="GB54" i="4"/>
  <c r="GC54" i="4"/>
  <c r="GD54" i="4"/>
  <c r="FX54" i="4"/>
  <c r="FY54" i="4"/>
  <c r="FZ54" i="4"/>
  <c r="GB108" i="4"/>
  <c r="GC108" i="4"/>
  <c r="GD108" i="4"/>
  <c r="FZ108" i="4"/>
  <c r="FX108" i="4"/>
  <c r="GB158" i="4"/>
  <c r="GC158" i="4"/>
  <c r="GD158" i="4"/>
  <c r="FZ158" i="4"/>
  <c r="FX158" i="4"/>
  <c r="FY158" i="4"/>
  <c r="FY210" i="4"/>
  <c r="FZ210" i="4"/>
  <c r="GB210" i="4"/>
  <c r="GC210" i="4"/>
  <c r="GD210" i="4"/>
  <c r="FX210" i="4"/>
  <c r="FY253" i="4"/>
  <c r="FZ253" i="4"/>
  <c r="GB253" i="4"/>
  <c r="GC253" i="4"/>
  <c r="GD253" i="4"/>
  <c r="FX253" i="4"/>
  <c r="FY290" i="4"/>
  <c r="FZ290" i="4"/>
  <c r="GB290" i="4"/>
  <c r="GD290" i="4"/>
  <c r="FX290" i="4"/>
  <c r="FY328" i="4"/>
  <c r="FZ328" i="4"/>
  <c r="GB328" i="4"/>
  <c r="GD328" i="4"/>
  <c r="FX328" i="4"/>
  <c r="FX10" i="4"/>
  <c r="FY10" i="4"/>
  <c r="FZ10" i="4"/>
  <c r="GB10" i="4"/>
  <c r="GC10" i="4"/>
  <c r="GD10" i="4"/>
  <c r="FX78" i="4"/>
  <c r="FY78" i="4"/>
  <c r="FZ78" i="4"/>
  <c r="GB78" i="4"/>
  <c r="GC78" i="4"/>
  <c r="GD78" i="4"/>
  <c r="FX170" i="4"/>
  <c r="FY170" i="4"/>
  <c r="GD170" i="4"/>
  <c r="GC170" i="4"/>
  <c r="FZ170" i="4"/>
  <c r="FZ291" i="4"/>
  <c r="GB291" i="4"/>
  <c r="GC291" i="4"/>
  <c r="GD291" i="4"/>
  <c r="FX291" i="4"/>
  <c r="FX359" i="4"/>
  <c r="FY359" i="4"/>
  <c r="FZ359" i="4"/>
  <c r="GB359" i="4"/>
  <c r="GC359" i="4"/>
  <c r="GD359" i="4"/>
  <c r="FX12" i="4"/>
  <c r="FY12" i="4"/>
  <c r="FZ12" i="4"/>
  <c r="GB12" i="4"/>
  <c r="GC12" i="4"/>
  <c r="GD12" i="4"/>
  <c r="FX24" i="4"/>
  <c r="FY24" i="4"/>
  <c r="FZ24" i="4"/>
  <c r="GB24" i="4"/>
  <c r="GC24" i="4"/>
  <c r="GD24" i="4"/>
  <c r="FX35" i="4"/>
  <c r="FY35" i="4"/>
  <c r="FZ35" i="4"/>
  <c r="GB35" i="4"/>
  <c r="GC35" i="4"/>
  <c r="GD35" i="4"/>
  <c r="FX47" i="4"/>
  <c r="FY47" i="4"/>
  <c r="FZ47" i="4"/>
  <c r="GB47" i="4"/>
  <c r="GC47" i="4"/>
  <c r="GD47" i="4"/>
  <c r="FX59" i="4"/>
  <c r="FY59" i="4"/>
  <c r="FZ59" i="4"/>
  <c r="GB59" i="4"/>
  <c r="GC59" i="4"/>
  <c r="GD59" i="4"/>
  <c r="FX69" i="4"/>
  <c r="FY69" i="4"/>
  <c r="FZ69" i="4"/>
  <c r="GB69" i="4"/>
  <c r="GC69" i="4"/>
  <c r="GD69" i="4"/>
  <c r="FX90" i="4"/>
  <c r="FY90" i="4"/>
  <c r="FZ90" i="4"/>
  <c r="GB90" i="4"/>
  <c r="GC90" i="4"/>
  <c r="GD90" i="4"/>
  <c r="FX100" i="4"/>
  <c r="FY100" i="4"/>
  <c r="FZ100" i="4"/>
  <c r="GB100" i="4"/>
  <c r="GC100" i="4"/>
  <c r="GD100" i="4"/>
  <c r="FX125" i="4"/>
  <c r="FY125" i="4"/>
  <c r="FZ125" i="4"/>
  <c r="GB125" i="4"/>
  <c r="GC125" i="4"/>
  <c r="GD125" i="4"/>
  <c r="FX138" i="4"/>
  <c r="FY138" i="4"/>
  <c r="GB138" i="4"/>
  <c r="GC138" i="4"/>
  <c r="GD138" i="4"/>
  <c r="FZ138" i="4"/>
  <c r="FX151" i="4"/>
  <c r="FY151" i="4"/>
  <c r="GB151" i="4"/>
  <c r="GC151" i="4"/>
  <c r="FZ151" i="4"/>
  <c r="GD151" i="4"/>
  <c r="FX172" i="4"/>
  <c r="FY172" i="4"/>
  <c r="GD172" i="4"/>
  <c r="FZ172" i="4"/>
  <c r="GB172" i="4"/>
  <c r="GC172" i="4"/>
  <c r="FX182" i="4"/>
  <c r="FY182" i="4"/>
  <c r="GD182" i="4"/>
  <c r="FZ182" i="4"/>
  <c r="GB182" i="4"/>
  <c r="GC182" i="4"/>
  <c r="FX192" i="4"/>
  <c r="FY192" i="4"/>
  <c r="GD192" i="4"/>
  <c r="FZ192" i="4"/>
  <c r="GB192" i="4"/>
  <c r="GC192" i="4"/>
  <c r="FX201" i="4"/>
  <c r="FY201" i="4"/>
  <c r="GD201" i="4"/>
  <c r="FZ201" i="4"/>
  <c r="GB201" i="4"/>
  <c r="GC201" i="4"/>
  <c r="FX215" i="4"/>
  <c r="FY215" i="4"/>
  <c r="GD215" i="4"/>
  <c r="FZ215" i="4"/>
  <c r="GB215" i="4"/>
  <c r="GC215" i="4"/>
  <c r="FX226" i="4"/>
  <c r="FY226" i="4"/>
  <c r="GD226" i="4"/>
  <c r="FZ226" i="4"/>
  <c r="GB226" i="4"/>
  <c r="GC226" i="4"/>
  <c r="FX234" i="4"/>
  <c r="FY234" i="4"/>
  <c r="GD234" i="4"/>
  <c r="FZ234" i="4"/>
  <c r="GB234" i="4"/>
  <c r="GC234" i="4"/>
  <c r="FX247" i="4"/>
  <c r="FY247" i="4"/>
  <c r="GD247" i="4"/>
  <c r="FZ247" i="4"/>
  <c r="GB247" i="4"/>
  <c r="GC247" i="4"/>
  <c r="FX255" i="4"/>
  <c r="FY255" i="4"/>
  <c r="GD255" i="4"/>
  <c r="FZ255" i="4"/>
  <c r="GB255" i="4"/>
  <c r="GC255" i="4"/>
  <c r="FX265" i="4"/>
  <c r="FY265" i="4"/>
  <c r="GD265" i="4"/>
  <c r="FZ265" i="4"/>
  <c r="GB265" i="4"/>
  <c r="GC265" i="4"/>
  <c r="FX283" i="4"/>
  <c r="FY283" i="4"/>
  <c r="FZ283" i="4"/>
  <c r="GB283" i="4"/>
  <c r="GC283" i="4"/>
  <c r="GD283" i="4"/>
  <c r="FX305" i="4"/>
  <c r="FY305" i="4"/>
  <c r="FZ305" i="4"/>
  <c r="GB305" i="4"/>
  <c r="GC305" i="4"/>
  <c r="GD305" i="4"/>
  <c r="FX335" i="4"/>
  <c r="FY335" i="4"/>
  <c r="FZ335" i="4"/>
  <c r="GB335" i="4"/>
  <c r="GC335" i="4"/>
  <c r="GD335" i="4"/>
  <c r="FX349" i="4"/>
  <c r="FY349" i="4"/>
  <c r="FZ349" i="4"/>
  <c r="GB349" i="4"/>
  <c r="GC349" i="4"/>
  <c r="GD349" i="4"/>
  <c r="GB13" i="4"/>
  <c r="GC13" i="4"/>
  <c r="GD13" i="4"/>
  <c r="FX13" i="4"/>
  <c r="FY13" i="4"/>
  <c r="FZ13" i="4"/>
  <c r="GB25" i="4"/>
  <c r="GC25" i="4"/>
  <c r="GD25" i="4"/>
  <c r="FX25" i="4"/>
  <c r="FY25" i="4"/>
  <c r="FZ25" i="4"/>
  <c r="GB36" i="4"/>
  <c r="GC36" i="4"/>
  <c r="GD36" i="4"/>
  <c r="FX36" i="4"/>
  <c r="FY36" i="4"/>
  <c r="FZ36" i="4"/>
  <c r="GB48" i="4"/>
  <c r="GC48" i="4"/>
  <c r="GD48" i="4"/>
  <c r="FX48" i="4"/>
  <c r="FY48" i="4"/>
  <c r="FZ48" i="4"/>
  <c r="GB70" i="4"/>
  <c r="GC70" i="4"/>
  <c r="GD70" i="4"/>
  <c r="FX70" i="4"/>
  <c r="FY70" i="4"/>
  <c r="FZ70" i="4"/>
  <c r="GB80" i="4"/>
  <c r="GC80" i="4"/>
  <c r="GD80" i="4"/>
  <c r="FX80" i="4"/>
  <c r="FY80" i="4"/>
  <c r="FZ80" i="4"/>
  <c r="GB101" i="4"/>
  <c r="GC101" i="4"/>
  <c r="GD101" i="4"/>
  <c r="FZ101" i="4"/>
  <c r="FX101" i="4"/>
  <c r="GB114" i="4"/>
  <c r="GC114" i="4"/>
  <c r="GD114" i="4"/>
  <c r="FX114" i="4"/>
  <c r="FY114" i="4"/>
  <c r="FZ114" i="4"/>
  <c r="GB139" i="4"/>
  <c r="GC139" i="4"/>
  <c r="GD139" i="4"/>
  <c r="FY139" i="4"/>
  <c r="FZ139" i="4"/>
  <c r="FX139" i="4"/>
  <c r="GB152" i="4"/>
  <c r="GC152" i="4"/>
  <c r="GD152" i="4"/>
  <c r="FX152" i="4"/>
  <c r="FY152" i="4"/>
  <c r="FZ152" i="4"/>
  <c r="FY163" i="4"/>
  <c r="FZ163" i="4"/>
  <c r="GB163" i="4"/>
  <c r="GC163" i="4"/>
  <c r="GD163" i="4"/>
  <c r="FX163" i="4"/>
  <c r="FY173" i="4"/>
  <c r="FZ173" i="4"/>
  <c r="GB173" i="4"/>
  <c r="GC173" i="4"/>
  <c r="GD173" i="4"/>
  <c r="FX173" i="4"/>
  <c r="FY183" i="4"/>
  <c r="FZ183" i="4"/>
  <c r="GB183" i="4"/>
  <c r="GC183" i="4"/>
  <c r="GD183" i="4"/>
  <c r="FX183" i="4"/>
  <c r="FY193" i="4"/>
  <c r="FZ193" i="4"/>
  <c r="GB193" i="4"/>
  <c r="GC193" i="4"/>
  <c r="GD193" i="4"/>
  <c r="FX193" i="4"/>
  <c r="FY216" i="4"/>
  <c r="FZ216" i="4"/>
  <c r="GB216" i="4"/>
  <c r="GC216" i="4"/>
  <c r="GD216" i="4"/>
  <c r="FX216" i="4"/>
  <c r="FY235" i="4"/>
  <c r="FZ235" i="4"/>
  <c r="GB235" i="4"/>
  <c r="GC235" i="4"/>
  <c r="GD235" i="4"/>
  <c r="FX235" i="4"/>
  <c r="FY248" i="4"/>
  <c r="FZ248" i="4"/>
  <c r="GB248" i="4"/>
  <c r="GC248" i="4"/>
  <c r="GD248" i="4"/>
  <c r="FX248" i="4"/>
  <c r="FY256" i="4"/>
  <c r="FZ256" i="4"/>
  <c r="GB256" i="4"/>
  <c r="GC256" i="4"/>
  <c r="GD256" i="4"/>
  <c r="FX256" i="4"/>
  <c r="FY266" i="4"/>
  <c r="FZ266" i="4"/>
  <c r="GB266" i="4"/>
  <c r="GC266" i="4"/>
  <c r="GD266" i="4"/>
  <c r="FX266" i="4"/>
  <c r="FY284" i="4"/>
  <c r="FZ284" i="4"/>
  <c r="GB284" i="4"/>
  <c r="FX284" i="4"/>
  <c r="GC284" i="4"/>
  <c r="FY293" i="4"/>
  <c r="FZ293" i="4"/>
  <c r="GB293" i="4"/>
  <c r="FX293" i="4"/>
  <c r="GC293" i="4"/>
  <c r="GD293" i="4"/>
  <c r="FY345" i="4"/>
  <c r="FZ345" i="4"/>
  <c r="GB345" i="4"/>
  <c r="FX345" i="4"/>
  <c r="GC345" i="4"/>
  <c r="FY315" i="4"/>
  <c r="FZ315" i="4"/>
  <c r="GB315" i="4"/>
  <c r="FX315" i="4"/>
  <c r="GC315" i="4"/>
  <c r="GD315" i="4"/>
  <c r="FY353" i="4"/>
  <c r="FZ353" i="4"/>
  <c r="GB353" i="4"/>
  <c r="FX353" i="4"/>
  <c r="GC353" i="4"/>
  <c r="FY334" i="4"/>
  <c r="FZ334" i="4"/>
  <c r="GB334" i="4"/>
  <c r="FX334" i="4"/>
  <c r="GC334" i="4"/>
  <c r="GD334" i="4"/>
  <c r="FY350" i="4"/>
  <c r="FZ350" i="4"/>
  <c r="FX350" i="4"/>
  <c r="GB350" i="4"/>
  <c r="GC350" i="4"/>
  <c r="FY361" i="4"/>
  <c r="FZ361" i="4"/>
  <c r="FX361" i="4"/>
  <c r="GB361" i="4"/>
  <c r="GC361" i="4"/>
  <c r="GB365" i="4"/>
  <c r="GC365" i="4"/>
  <c r="GD365" i="4"/>
  <c r="FY365" i="4"/>
  <c r="GB370" i="4"/>
  <c r="GC370" i="4"/>
  <c r="GD370" i="4"/>
  <c r="FY370" i="4"/>
  <c r="GB393" i="4"/>
  <c r="GC393" i="4"/>
  <c r="GD393" i="4"/>
  <c r="FY393" i="4"/>
  <c r="GB394" i="4"/>
  <c r="GC394" i="4"/>
  <c r="GD394" i="4"/>
  <c r="GB408" i="4"/>
  <c r="GC408" i="4"/>
  <c r="GD408" i="4"/>
  <c r="GB431" i="4"/>
  <c r="GC431" i="4"/>
  <c r="GD431" i="4"/>
  <c r="GD409" i="4"/>
  <c r="FZ434" i="4"/>
  <c r="FZ399" i="4"/>
  <c r="GD423" i="4"/>
  <c r="FZ408" i="4"/>
  <c r="GD398" i="4"/>
  <c r="GD381" i="4"/>
  <c r="FZ378" i="4"/>
  <c r="FZ369" i="4"/>
  <c r="FZ364" i="4"/>
  <c r="GB358" i="4"/>
  <c r="GD347" i="4"/>
  <c r="GC320" i="4"/>
  <c r="GC308" i="4"/>
  <c r="GC282" i="4"/>
  <c r="GB170" i="4"/>
  <c r="FX4" i="4"/>
  <c r="GD446" i="4"/>
  <c r="GD445" i="4"/>
  <c r="GD444" i="4"/>
  <c r="GD443" i="4"/>
  <c r="GD442" i="4"/>
  <c r="GC409" i="4"/>
  <c r="FY434" i="4"/>
  <c r="FY399" i="4"/>
  <c r="GC423" i="4"/>
  <c r="FY408" i="4"/>
  <c r="GC398" i="4"/>
  <c r="FZ392" i="4"/>
  <c r="FX378" i="4"/>
  <c r="FX369" i="4"/>
  <c r="FX364" i="4"/>
  <c r="GD357" i="4"/>
  <c r="GB347" i="4"/>
  <c r="GD319" i="4"/>
  <c r="FX263" i="4"/>
  <c r="FX233" i="4"/>
  <c r="FX169" i="4"/>
  <c r="FX18" i="4"/>
  <c r="FY18" i="4"/>
  <c r="FZ18" i="4"/>
  <c r="GB18" i="4"/>
  <c r="GC18" i="4"/>
  <c r="GD18" i="4"/>
  <c r="FX64" i="4"/>
  <c r="FY64" i="4"/>
  <c r="FZ64" i="4"/>
  <c r="GB64" i="4"/>
  <c r="GC64" i="4"/>
  <c r="GD64" i="4"/>
  <c r="FX107" i="4"/>
  <c r="FY107" i="4"/>
  <c r="FZ107" i="4"/>
  <c r="GB107" i="4"/>
  <c r="GC107" i="4"/>
  <c r="GD107" i="4"/>
  <c r="FX177" i="4"/>
  <c r="FY177" i="4"/>
  <c r="GD177" i="4"/>
  <c r="FZ177" i="4"/>
  <c r="GB177" i="4"/>
  <c r="GC177" i="4"/>
  <c r="FX260" i="4"/>
  <c r="FY260" i="4"/>
  <c r="GD260" i="4"/>
  <c r="FZ260" i="4"/>
  <c r="GB260" i="4"/>
  <c r="GC260" i="4"/>
  <c r="FZ299" i="4"/>
  <c r="GB299" i="4"/>
  <c r="GC299" i="4"/>
  <c r="GD299" i="4"/>
  <c r="FX299" i="4"/>
  <c r="FZ338" i="4"/>
  <c r="GB338" i="4"/>
  <c r="GC338" i="4"/>
  <c r="GD338" i="4"/>
  <c r="FX338" i="4"/>
  <c r="FX423" i="4"/>
  <c r="GB30" i="4"/>
  <c r="GC30" i="4"/>
  <c r="GD30" i="4"/>
  <c r="FX30" i="4"/>
  <c r="FY30" i="4"/>
  <c r="FZ30" i="4"/>
  <c r="GB96" i="4"/>
  <c r="GC96" i="4"/>
  <c r="GD96" i="4"/>
  <c r="FX96" i="4"/>
  <c r="FY96" i="4"/>
  <c r="FZ96" i="4"/>
  <c r="FY231" i="4"/>
  <c r="FZ231" i="4"/>
  <c r="GB231" i="4"/>
  <c r="GC231" i="4"/>
  <c r="GD231" i="4"/>
  <c r="FX231" i="4"/>
  <c r="FX22" i="4"/>
  <c r="FY22" i="4"/>
  <c r="FZ22" i="4"/>
  <c r="GB22" i="4"/>
  <c r="GC22" i="4"/>
  <c r="GD22" i="4"/>
  <c r="FX88" i="4"/>
  <c r="FY88" i="4"/>
  <c r="FZ88" i="4"/>
  <c r="GB88" i="4"/>
  <c r="GC88" i="4"/>
  <c r="GD88" i="4"/>
  <c r="FX161" i="4"/>
  <c r="FY161" i="4"/>
  <c r="GD161" i="4"/>
  <c r="GC161" i="4"/>
  <c r="FZ161" i="4"/>
  <c r="FX213" i="4"/>
  <c r="FY213" i="4"/>
  <c r="GD213" i="4"/>
  <c r="GC213" i="4"/>
  <c r="FZ213" i="4"/>
  <c r="FX323" i="4"/>
  <c r="FY323" i="4"/>
  <c r="GD323" i="4"/>
  <c r="GC323" i="4"/>
  <c r="FZ323" i="4"/>
  <c r="FX303" i="4"/>
  <c r="FY303" i="4"/>
  <c r="FZ303" i="4"/>
  <c r="GB303" i="4"/>
  <c r="GC303" i="4"/>
  <c r="FX14" i="4"/>
  <c r="FY14" i="4"/>
  <c r="FZ14" i="4"/>
  <c r="GB14" i="4"/>
  <c r="GC14" i="4"/>
  <c r="GD14" i="4"/>
  <c r="FX26" i="4"/>
  <c r="FY26" i="4"/>
  <c r="FZ26" i="4"/>
  <c r="GB26" i="4"/>
  <c r="GC26" i="4"/>
  <c r="GD26" i="4"/>
  <c r="FX37" i="4"/>
  <c r="FY37" i="4"/>
  <c r="FZ37" i="4"/>
  <c r="GB37" i="4"/>
  <c r="GC37" i="4"/>
  <c r="GD37" i="4"/>
  <c r="FX49" i="4"/>
  <c r="FY49" i="4"/>
  <c r="FZ49" i="4"/>
  <c r="GB49" i="4"/>
  <c r="GC49" i="4"/>
  <c r="GD49" i="4"/>
  <c r="FX60" i="4"/>
  <c r="FY60" i="4"/>
  <c r="FZ60" i="4"/>
  <c r="GB60" i="4"/>
  <c r="GC60" i="4"/>
  <c r="GD60" i="4"/>
  <c r="FX71" i="4"/>
  <c r="FY71" i="4"/>
  <c r="FZ71" i="4"/>
  <c r="GB71" i="4"/>
  <c r="GC71" i="4"/>
  <c r="GD71" i="4"/>
  <c r="FX81" i="4"/>
  <c r="FY81" i="4"/>
  <c r="FZ81" i="4"/>
  <c r="GB81" i="4"/>
  <c r="GC81" i="4"/>
  <c r="GD81" i="4"/>
  <c r="FX102" i="4"/>
  <c r="FY102" i="4"/>
  <c r="FZ102" i="4"/>
  <c r="GB102" i="4"/>
  <c r="GC102" i="4"/>
  <c r="GD102" i="4"/>
  <c r="FX127" i="4"/>
  <c r="FY127" i="4"/>
  <c r="FZ127" i="4"/>
  <c r="GB127" i="4"/>
  <c r="GC127" i="4"/>
  <c r="GD127" i="4"/>
  <c r="FX140" i="4"/>
  <c r="FY140" i="4"/>
  <c r="GB140" i="4"/>
  <c r="GC140" i="4"/>
  <c r="FZ140" i="4"/>
  <c r="GD140" i="4"/>
  <c r="FX174" i="4"/>
  <c r="FY174" i="4"/>
  <c r="GD174" i="4"/>
  <c r="FZ174" i="4"/>
  <c r="GB174" i="4"/>
  <c r="GC174" i="4"/>
  <c r="FX184" i="4"/>
  <c r="FY184" i="4"/>
  <c r="GD184" i="4"/>
  <c r="FZ184" i="4"/>
  <c r="GB184" i="4"/>
  <c r="GC184" i="4"/>
  <c r="FX205" i="4"/>
  <c r="FY205" i="4"/>
  <c r="GD205" i="4"/>
  <c r="FZ205" i="4"/>
  <c r="GB205" i="4"/>
  <c r="GC205" i="4"/>
  <c r="FX217" i="4"/>
  <c r="FY217" i="4"/>
  <c r="GD217" i="4"/>
  <c r="FZ217" i="4"/>
  <c r="GB217" i="4"/>
  <c r="GC217" i="4"/>
  <c r="FX227" i="4"/>
  <c r="FY227" i="4"/>
  <c r="GD227" i="4"/>
  <c r="FZ227" i="4"/>
  <c r="GB227" i="4"/>
  <c r="GC227" i="4"/>
  <c r="FX238" i="4"/>
  <c r="FY238" i="4"/>
  <c r="GD238" i="4"/>
  <c r="FZ238" i="4"/>
  <c r="GB238" i="4"/>
  <c r="GC238" i="4"/>
  <c r="FX257" i="4"/>
  <c r="FY257" i="4"/>
  <c r="GD257" i="4"/>
  <c r="FZ257" i="4"/>
  <c r="GB257" i="4"/>
  <c r="GC257" i="4"/>
  <c r="FX267" i="4"/>
  <c r="FY267" i="4"/>
  <c r="GD267" i="4"/>
  <c r="FZ267" i="4"/>
  <c r="GB267" i="4"/>
  <c r="GC267" i="4"/>
  <c r="FX274" i="4"/>
  <c r="FY274" i="4"/>
  <c r="GD274" i="4"/>
  <c r="GB274" i="4"/>
  <c r="GC274" i="4"/>
  <c r="FZ285" i="4"/>
  <c r="GB285" i="4"/>
  <c r="GC285" i="4"/>
  <c r="GD285" i="4"/>
  <c r="FX285" i="4"/>
  <c r="FX296" i="4"/>
  <c r="FY296" i="4"/>
  <c r="FZ296" i="4"/>
  <c r="GB296" i="4"/>
  <c r="GC296" i="4"/>
  <c r="FZ306" i="4"/>
  <c r="GB306" i="4"/>
  <c r="GC306" i="4"/>
  <c r="GD306" i="4"/>
  <c r="FX306" i="4"/>
  <c r="FZ321" i="4"/>
  <c r="GB321" i="4"/>
  <c r="GC321" i="4"/>
  <c r="GD321" i="4"/>
  <c r="FX321" i="4"/>
  <c r="FX346" i="4"/>
  <c r="FY346" i="4"/>
  <c r="FZ346" i="4"/>
  <c r="GB346" i="4"/>
  <c r="GC346" i="4"/>
  <c r="FZ342" i="4"/>
  <c r="GB342" i="4"/>
  <c r="GC342" i="4"/>
  <c r="GD342" i="4"/>
  <c r="FX342" i="4"/>
  <c r="FZ372" i="4"/>
  <c r="GB372" i="4"/>
  <c r="GC372" i="4"/>
  <c r="GD372" i="4"/>
  <c r="FX372" i="4"/>
  <c r="FX371" i="4"/>
  <c r="FY371" i="4"/>
  <c r="FZ371" i="4"/>
  <c r="GB371" i="4"/>
  <c r="GC371" i="4"/>
  <c r="FX381" i="4"/>
  <c r="FY381" i="4"/>
  <c r="FZ381" i="4"/>
  <c r="GB381" i="4"/>
  <c r="GB15" i="4"/>
  <c r="GC15" i="4"/>
  <c r="GD15" i="4"/>
  <c r="FX15" i="4"/>
  <c r="FY15" i="4"/>
  <c r="FZ15" i="4"/>
  <c r="GB27" i="4"/>
  <c r="GC27" i="4"/>
  <c r="GD27" i="4"/>
  <c r="FX27" i="4"/>
  <c r="FY27" i="4"/>
  <c r="FZ27" i="4"/>
  <c r="GB38" i="4"/>
  <c r="GC38" i="4"/>
  <c r="GD38" i="4"/>
  <c r="FX38" i="4"/>
  <c r="FY38" i="4"/>
  <c r="FZ38" i="4"/>
  <c r="GB50" i="4"/>
  <c r="GC50" i="4"/>
  <c r="GD50" i="4"/>
  <c r="FX50" i="4"/>
  <c r="FY50" i="4"/>
  <c r="FZ50" i="4"/>
  <c r="GB61" i="4"/>
  <c r="GC61" i="4"/>
  <c r="GD61" i="4"/>
  <c r="FX61" i="4"/>
  <c r="FY61" i="4"/>
  <c r="FZ61" i="4"/>
  <c r="GB72" i="4"/>
  <c r="GC72" i="4"/>
  <c r="GD72" i="4"/>
  <c r="FX72" i="4"/>
  <c r="FY72" i="4"/>
  <c r="FZ72" i="4"/>
  <c r="GB82" i="4"/>
  <c r="GC82" i="4"/>
  <c r="GD82" i="4"/>
  <c r="FX82" i="4"/>
  <c r="FY82" i="4"/>
  <c r="FZ82" i="4"/>
  <c r="GB104" i="4"/>
  <c r="GC104" i="4"/>
  <c r="GD104" i="4"/>
  <c r="FX104" i="4"/>
  <c r="FY104" i="4"/>
  <c r="FZ104" i="4"/>
  <c r="GB128" i="4"/>
  <c r="GC128" i="4"/>
  <c r="GD128" i="4"/>
  <c r="FX128" i="4"/>
  <c r="FY128" i="4"/>
  <c r="FZ128" i="4"/>
  <c r="GB154" i="4"/>
  <c r="GC154" i="4"/>
  <c r="GD154" i="4"/>
  <c r="FZ154" i="4"/>
  <c r="FX154" i="4"/>
  <c r="FY154" i="4"/>
  <c r="FY164" i="4"/>
  <c r="FZ164" i="4"/>
  <c r="GB164" i="4"/>
  <c r="GC164" i="4"/>
  <c r="GD164" i="4"/>
  <c r="FY175" i="4"/>
  <c r="FZ175" i="4"/>
  <c r="GB175" i="4"/>
  <c r="GC175" i="4"/>
  <c r="GD175" i="4"/>
  <c r="FY185" i="4"/>
  <c r="FZ185" i="4"/>
  <c r="GB185" i="4"/>
  <c r="GC185" i="4"/>
  <c r="GD185" i="4"/>
  <c r="FY195" i="4"/>
  <c r="FZ195" i="4"/>
  <c r="GB195" i="4"/>
  <c r="GC195" i="4"/>
  <c r="GD195" i="4"/>
  <c r="FY206" i="4"/>
  <c r="FZ206" i="4"/>
  <c r="GB206" i="4"/>
  <c r="GC206" i="4"/>
  <c r="GD206" i="4"/>
  <c r="FY218" i="4"/>
  <c r="FZ218" i="4"/>
  <c r="GB218" i="4"/>
  <c r="GC218" i="4"/>
  <c r="GD218" i="4"/>
  <c r="FY228" i="4"/>
  <c r="FZ228" i="4"/>
  <c r="GB228" i="4"/>
  <c r="GC228" i="4"/>
  <c r="GD228" i="4"/>
  <c r="FY239" i="4"/>
  <c r="FZ239" i="4"/>
  <c r="GB239" i="4"/>
  <c r="GC239" i="4"/>
  <c r="GD239" i="4"/>
  <c r="FY249" i="4"/>
  <c r="FZ249" i="4"/>
  <c r="GB249" i="4"/>
  <c r="GC249" i="4"/>
  <c r="GD249" i="4"/>
  <c r="FY258" i="4"/>
  <c r="FZ258" i="4"/>
  <c r="GB258" i="4"/>
  <c r="GC258" i="4"/>
  <c r="GD258" i="4"/>
  <c r="FY268" i="4"/>
  <c r="FZ268" i="4"/>
  <c r="GB268" i="4"/>
  <c r="GC268" i="4"/>
  <c r="GD268" i="4"/>
  <c r="FY275" i="4"/>
  <c r="FZ275" i="4"/>
  <c r="GB275" i="4"/>
  <c r="FX275" i="4"/>
  <c r="GC275" i="4"/>
  <c r="GD275" i="4"/>
  <c r="FY286" i="4"/>
  <c r="FZ286" i="4"/>
  <c r="GB286" i="4"/>
  <c r="FX286" i="4"/>
  <c r="GC286" i="4"/>
  <c r="GD286" i="4"/>
  <c r="FY297" i="4"/>
  <c r="FZ297" i="4"/>
  <c r="GB297" i="4"/>
  <c r="GD297" i="4"/>
  <c r="FX297" i="4"/>
  <c r="FY316" i="4"/>
  <c r="FZ316" i="4"/>
  <c r="GB316" i="4"/>
  <c r="GD316" i="4"/>
  <c r="FX316" i="4"/>
  <c r="FY325" i="4"/>
  <c r="FZ325" i="4"/>
  <c r="GB325" i="4"/>
  <c r="FX325" i="4"/>
  <c r="GC325" i="4"/>
  <c r="GD325" i="4"/>
  <c r="FY336" i="4"/>
  <c r="FZ336" i="4"/>
  <c r="GB336" i="4"/>
  <c r="GD336" i="4"/>
  <c r="FX336" i="4"/>
  <c r="FY354" i="4"/>
  <c r="FZ354" i="4"/>
  <c r="FX354" i="4"/>
  <c r="GB354" i="4"/>
  <c r="GC354" i="4"/>
  <c r="GD354" i="4"/>
  <c r="GB373" i="4"/>
  <c r="GC373" i="4"/>
  <c r="GD373" i="4"/>
  <c r="FY373" i="4"/>
  <c r="GB383" i="4"/>
  <c r="GC383" i="4"/>
  <c r="GD383" i="4"/>
  <c r="GB395" i="4"/>
  <c r="GC395" i="4"/>
  <c r="GD395" i="4"/>
  <c r="GB413" i="4"/>
  <c r="GC413" i="4"/>
  <c r="GD413" i="4"/>
  <c r="FY4" i="4"/>
  <c r="GC446" i="4"/>
  <c r="GC445" i="4"/>
  <c r="GC444" i="4"/>
  <c r="GC443" i="4"/>
  <c r="GC442" i="4"/>
  <c r="GB409" i="4"/>
  <c r="FX399" i="4"/>
  <c r="GB423" i="4"/>
  <c r="FX408" i="4"/>
  <c r="GB398" i="4"/>
  <c r="GD397" i="4"/>
  <c r="FY395" i="4"/>
  <c r="FY392" i="4"/>
  <c r="GD386" i="4"/>
  <c r="FZ393" i="4"/>
  <c r="GD375" i="4"/>
  <c r="FZ363" i="4"/>
  <c r="GD356" i="4"/>
  <c r="GB343" i="4"/>
  <c r="GC318" i="4"/>
  <c r="GC307" i="4"/>
  <c r="GC280" i="4"/>
  <c r="FX57" i="4"/>
  <c r="FY57" i="4"/>
  <c r="FZ57" i="4"/>
  <c r="GB57" i="4"/>
  <c r="GC57" i="4"/>
  <c r="GD57" i="4"/>
  <c r="FX111" i="4"/>
  <c r="FY111" i="4"/>
  <c r="FZ111" i="4"/>
  <c r="GB111" i="4"/>
  <c r="GC111" i="4"/>
  <c r="GD111" i="4"/>
  <c r="FX136" i="4"/>
  <c r="FY136" i="4"/>
  <c r="GB136" i="4"/>
  <c r="GC136" i="4"/>
  <c r="FZ136" i="4"/>
  <c r="GD136" i="4"/>
  <c r="FX181" i="4"/>
  <c r="FY181" i="4"/>
  <c r="GD181" i="4"/>
  <c r="GC181" i="4"/>
  <c r="FZ181" i="4"/>
  <c r="FX224" i="4"/>
  <c r="FY224" i="4"/>
  <c r="GD224" i="4"/>
  <c r="GC224" i="4"/>
  <c r="FZ224" i="4"/>
  <c r="FX272" i="4"/>
  <c r="FY272" i="4"/>
  <c r="GD272" i="4"/>
  <c r="FZ272" i="4"/>
  <c r="GB272" i="4"/>
  <c r="GC272" i="4"/>
  <c r="FZ311" i="4"/>
  <c r="GB311" i="4"/>
  <c r="GC311" i="4"/>
  <c r="GD311" i="4"/>
  <c r="FX311" i="4"/>
  <c r="FX391" i="4"/>
  <c r="FY391" i="4"/>
  <c r="FZ391" i="4"/>
  <c r="GB391" i="4"/>
  <c r="GB446" i="4"/>
  <c r="GB445" i="4"/>
  <c r="GB444" i="4"/>
  <c r="GB443" i="4"/>
  <c r="GB442" i="4"/>
  <c r="FZ409" i="4"/>
  <c r="FZ406" i="4"/>
  <c r="GD425" i="4"/>
  <c r="FZ423" i="4"/>
  <c r="FZ413" i="4"/>
  <c r="GD405" i="4"/>
  <c r="FY398" i="4"/>
  <c r="FX395" i="4"/>
  <c r="FX392" i="4"/>
  <c r="GC386" i="4"/>
  <c r="FX393" i="4"/>
  <c r="FZ318" i="4"/>
  <c r="FZ280" i="4"/>
  <c r="FX258" i="4"/>
  <c r="FX228" i="4"/>
  <c r="FX195" i="4"/>
  <c r="FX164" i="4"/>
  <c r="FX29" i="4"/>
  <c r="FY29" i="4"/>
  <c r="FZ29" i="4"/>
  <c r="GB29" i="4"/>
  <c r="GC29" i="4"/>
  <c r="GD29" i="4"/>
  <c r="FX74" i="4"/>
  <c r="FY74" i="4"/>
  <c r="FZ74" i="4"/>
  <c r="GB74" i="4"/>
  <c r="GC74" i="4"/>
  <c r="GD74" i="4"/>
  <c r="FX230" i="4"/>
  <c r="FY230" i="4"/>
  <c r="GD230" i="4"/>
  <c r="FZ230" i="4"/>
  <c r="GB230" i="4"/>
  <c r="GC230" i="4"/>
  <c r="FX270" i="4"/>
  <c r="FY270" i="4"/>
  <c r="GD270" i="4"/>
  <c r="FZ270" i="4"/>
  <c r="GB270" i="4"/>
  <c r="GC270" i="4"/>
  <c r="FX356" i="4"/>
  <c r="FY356" i="4"/>
  <c r="FZ356" i="4"/>
  <c r="GC356" i="4"/>
  <c r="FX397" i="4"/>
  <c r="FZ397" i="4"/>
  <c r="GB42" i="4"/>
  <c r="GC42" i="4"/>
  <c r="GD42" i="4"/>
  <c r="FX42" i="4"/>
  <c r="FY42" i="4"/>
  <c r="FZ42" i="4"/>
  <c r="GB86" i="4"/>
  <c r="GC86" i="4"/>
  <c r="GD86" i="4"/>
  <c r="FX86" i="4"/>
  <c r="FY86" i="4"/>
  <c r="FZ86" i="4"/>
  <c r="GB133" i="4"/>
  <c r="GC133" i="4"/>
  <c r="GD133" i="4"/>
  <c r="FY133" i="4"/>
  <c r="FX133" i="4"/>
  <c r="FZ133" i="4"/>
  <c r="FY167" i="4"/>
  <c r="FZ167" i="4"/>
  <c r="GB167" i="4"/>
  <c r="GC167" i="4"/>
  <c r="GD167" i="4"/>
  <c r="FX167" i="4"/>
  <c r="FY188" i="4"/>
  <c r="FZ188" i="4"/>
  <c r="GB188" i="4"/>
  <c r="GC188" i="4"/>
  <c r="GD188" i="4"/>
  <c r="FX188" i="4"/>
  <c r="FY243" i="4"/>
  <c r="FZ243" i="4"/>
  <c r="GB243" i="4"/>
  <c r="GC243" i="4"/>
  <c r="GD243" i="4"/>
  <c r="FX243" i="4"/>
  <c r="FY300" i="4"/>
  <c r="FZ300" i="4"/>
  <c r="GB300" i="4"/>
  <c r="FX300" i="4"/>
  <c r="GC300" i="4"/>
  <c r="GD300" i="4"/>
  <c r="FY339" i="4"/>
  <c r="FZ339" i="4"/>
  <c r="GB339" i="4"/>
  <c r="FX339" i="4"/>
  <c r="GC339" i="4"/>
  <c r="GD339" i="4"/>
  <c r="GB368" i="4"/>
  <c r="GC368" i="4"/>
  <c r="GD368" i="4"/>
  <c r="FY368" i="4"/>
  <c r="FX33" i="4"/>
  <c r="FY33" i="4"/>
  <c r="FZ33" i="4"/>
  <c r="GB33" i="4"/>
  <c r="GC33" i="4"/>
  <c r="GD33" i="4"/>
  <c r="FX98" i="4"/>
  <c r="FY98" i="4"/>
  <c r="FZ98" i="4"/>
  <c r="GB98" i="4"/>
  <c r="GC98" i="4"/>
  <c r="GD98" i="4"/>
  <c r="FX149" i="4"/>
  <c r="FY149" i="4"/>
  <c r="GB149" i="4"/>
  <c r="GC149" i="4"/>
  <c r="FZ149" i="4"/>
  <c r="GD149" i="4"/>
  <c r="FX199" i="4"/>
  <c r="FY199" i="4"/>
  <c r="GD199" i="4"/>
  <c r="GC199" i="4"/>
  <c r="FZ199" i="4"/>
  <c r="FX245" i="4"/>
  <c r="FY245" i="4"/>
  <c r="GD245" i="4"/>
  <c r="GC245" i="4"/>
  <c r="FZ245" i="4"/>
  <c r="FX313" i="4"/>
  <c r="FY313" i="4"/>
  <c r="FZ313" i="4"/>
  <c r="GB313" i="4"/>
  <c r="GC313" i="4"/>
  <c r="FZ330" i="4"/>
  <c r="GB330" i="4"/>
  <c r="GC330" i="4"/>
  <c r="GD330" i="4"/>
  <c r="FX330" i="4"/>
  <c r="FX16" i="4"/>
  <c r="FY16" i="4"/>
  <c r="FZ16" i="4"/>
  <c r="GB16" i="4"/>
  <c r="GC16" i="4"/>
  <c r="GD16" i="4"/>
  <c r="FX39" i="4"/>
  <c r="FY39" i="4"/>
  <c r="FZ39" i="4"/>
  <c r="GB39" i="4"/>
  <c r="GC39" i="4"/>
  <c r="GD39" i="4"/>
  <c r="FX51" i="4"/>
  <c r="FY51" i="4"/>
  <c r="FZ51" i="4"/>
  <c r="GB51" i="4"/>
  <c r="GC51" i="4"/>
  <c r="GD51" i="4"/>
  <c r="FX62" i="4"/>
  <c r="FY62" i="4"/>
  <c r="FZ62" i="4"/>
  <c r="GB62" i="4"/>
  <c r="GC62" i="4"/>
  <c r="GD62" i="4"/>
  <c r="FX83" i="4"/>
  <c r="FY83" i="4"/>
  <c r="FZ83" i="4"/>
  <c r="GB83" i="4"/>
  <c r="GC83" i="4"/>
  <c r="GD83" i="4"/>
  <c r="FX93" i="4"/>
  <c r="FY93" i="4"/>
  <c r="FZ93" i="4"/>
  <c r="GB93" i="4"/>
  <c r="GC93" i="4"/>
  <c r="GD93" i="4"/>
  <c r="FX105" i="4"/>
  <c r="FY105" i="4"/>
  <c r="FZ105" i="4"/>
  <c r="GB105" i="4"/>
  <c r="GC105" i="4"/>
  <c r="GD105" i="4"/>
  <c r="FX117" i="4"/>
  <c r="FY117" i="4"/>
  <c r="FZ117" i="4"/>
  <c r="GB117" i="4"/>
  <c r="GC117" i="4"/>
  <c r="GD117" i="4"/>
  <c r="FX129" i="4"/>
  <c r="FY129" i="4"/>
  <c r="GB129" i="4"/>
  <c r="GC129" i="4"/>
  <c r="GD129" i="4"/>
  <c r="FZ129" i="4"/>
  <c r="FX141" i="4"/>
  <c r="FY141" i="4"/>
  <c r="GB141" i="4"/>
  <c r="GC141" i="4"/>
  <c r="FZ141" i="4"/>
  <c r="GD141" i="4"/>
  <c r="FX155" i="4"/>
  <c r="FY155" i="4"/>
  <c r="GB155" i="4"/>
  <c r="GC155" i="4"/>
  <c r="FZ155" i="4"/>
  <c r="GD155" i="4"/>
  <c r="FX165" i="4"/>
  <c r="FY165" i="4"/>
  <c r="GD165" i="4"/>
  <c r="GC165" i="4"/>
  <c r="FZ165" i="4"/>
  <c r="FX186" i="4"/>
  <c r="FY186" i="4"/>
  <c r="GD186" i="4"/>
  <c r="GC186" i="4"/>
  <c r="FZ186" i="4"/>
  <c r="FX207" i="4"/>
  <c r="FY207" i="4"/>
  <c r="GD207" i="4"/>
  <c r="GC207" i="4"/>
  <c r="FZ207" i="4"/>
  <c r="FX219" i="4"/>
  <c r="FY219" i="4"/>
  <c r="GD219" i="4"/>
  <c r="GC219" i="4"/>
  <c r="FZ219" i="4"/>
  <c r="FX229" i="4"/>
  <c r="FY229" i="4"/>
  <c r="GD229" i="4"/>
  <c r="GC229" i="4"/>
  <c r="FZ229" i="4"/>
  <c r="FX240" i="4"/>
  <c r="FY240" i="4"/>
  <c r="GD240" i="4"/>
  <c r="GC240" i="4"/>
  <c r="FZ240" i="4"/>
  <c r="FX250" i="4"/>
  <c r="FY250" i="4"/>
  <c r="GD250" i="4"/>
  <c r="GC250" i="4"/>
  <c r="FZ250" i="4"/>
  <c r="FX259" i="4"/>
  <c r="FY259" i="4"/>
  <c r="GD259" i="4"/>
  <c r="GC259" i="4"/>
  <c r="FZ259" i="4"/>
  <c r="FX276" i="4"/>
  <c r="FY276" i="4"/>
  <c r="GD276" i="4"/>
  <c r="FZ276" i="4"/>
  <c r="GB276" i="4"/>
  <c r="GC276" i="4"/>
  <c r="GD287" i="4"/>
  <c r="FX287" i="4"/>
  <c r="FY287" i="4"/>
  <c r="GB287" i="4"/>
  <c r="GD307" i="4"/>
  <c r="FX307" i="4"/>
  <c r="FY307" i="4"/>
  <c r="GB307" i="4"/>
  <c r="GD326" i="4"/>
  <c r="FX326" i="4"/>
  <c r="FY326" i="4"/>
  <c r="GB326" i="4"/>
  <c r="FX337" i="4"/>
  <c r="FY337" i="4"/>
  <c r="FZ337" i="4"/>
  <c r="GB337" i="4"/>
  <c r="GC337" i="4"/>
  <c r="GD337" i="4"/>
  <c r="GC343" i="4"/>
  <c r="GD343" i="4"/>
  <c r="FX343" i="4"/>
  <c r="FZ343" i="4"/>
  <c r="GC332" i="4"/>
  <c r="GD332" i="4"/>
  <c r="FX332" i="4"/>
  <c r="FZ332" i="4"/>
  <c r="FX384" i="4"/>
  <c r="FY384" i="4"/>
  <c r="FZ384" i="4"/>
  <c r="GB384" i="4"/>
  <c r="FX367" i="4"/>
  <c r="FZ367" i="4"/>
  <c r="GB5" i="4"/>
  <c r="GC5" i="4"/>
  <c r="GD5" i="4"/>
  <c r="FX5" i="4"/>
  <c r="FY5" i="4"/>
  <c r="FZ5" i="4"/>
  <c r="GB17" i="4"/>
  <c r="GC17" i="4"/>
  <c r="GD17" i="4"/>
  <c r="FX17" i="4"/>
  <c r="FY17" i="4"/>
  <c r="FZ17" i="4"/>
  <c r="GB28" i="4"/>
  <c r="GC28" i="4"/>
  <c r="GD28" i="4"/>
  <c r="FX28" i="4"/>
  <c r="FY28" i="4"/>
  <c r="FZ28" i="4"/>
  <c r="GB40" i="4"/>
  <c r="GC40" i="4"/>
  <c r="GD40" i="4"/>
  <c r="FX40" i="4"/>
  <c r="FY40" i="4"/>
  <c r="FZ40" i="4"/>
  <c r="GB52" i="4"/>
  <c r="GC52" i="4"/>
  <c r="GD52" i="4"/>
  <c r="FX52" i="4"/>
  <c r="FY52" i="4"/>
  <c r="GB63" i="4"/>
  <c r="GC63" i="4"/>
  <c r="GD63" i="4"/>
  <c r="FX63" i="4"/>
  <c r="FY63" i="4"/>
  <c r="FZ63" i="4"/>
  <c r="GB73" i="4"/>
  <c r="GC73" i="4"/>
  <c r="GD73" i="4"/>
  <c r="FX73" i="4"/>
  <c r="FY73" i="4"/>
  <c r="FZ73" i="4"/>
  <c r="GB84" i="4"/>
  <c r="GC84" i="4"/>
  <c r="GD84" i="4"/>
  <c r="FX84" i="4"/>
  <c r="FY84" i="4"/>
  <c r="FZ84" i="4"/>
  <c r="GB94" i="4"/>
  <c r="GC94" i="4"/>
  <c r="GD94" i="4"/>
  <c r="FX94" i="4"/>
  <c r="FY94" i="4"/>
  <c r="FZ94" i="4"/>
  <c r="GB118" i="4"/>
  <c r="GC118" i="4"/>
  <c r="GD118" i="4"/>
  <c r="FZ118" i="4"/>
  <c r="FX118" i="4"/>
  <c r="FY118" i="4"/>
  <c r="GB142" i="4"/>
  <c r="GC142" i="4"/>
  <c r="GD142" i="4"/>
  <c r="FY142" i="4"/>
  <c r="FX142" i="4"/>
  <c r="GB156" i="4"/>
  <c r="GC156" i="4"/>
  <c r="GD156" i="4"/>
  <c r="FX156" i="4"/>
  <c r="FY156" i="4"/>
  <c r="FZ156" i="4"/>
  <c r="FY176" i="4"/>
  <c r="FZ176" i="4"/>
  <c r="GB176" i="4"/>
  <c r="GC176" i="4"/>
  <c r="GD176" i="4"/>
  <c r="FX176" i="4"/>
  <c r="FY187" i="4"/>
  <c r="FZ187" i="4"/>
  <c r="GB187" i="4"/>
  <c r="GC187" i="4"/>
  <c r="GD187" i="4"/>
  <c r="FX187" i="4"/>
  <c r="FY208" i="4"/>
  <c r="FZ208" i="4"/>
  <c r="GB208" i="4"/>
  <c r="GC208" i="4"/>
  <c r="GD208" i="4"/>
  <c r="FX208" i="4"/>
  <c r="FY220" i="4"/>
  <c r="FZ220" i="4"/>
  <c r="GB220" i="4"/>
  <c r="GC220" i="4"/>
  <c r="GD220" i="4"/>
  <c r="FX220" i="4"/>
  <c r="FY241" i="4"/>
  <c r="FZ241" i="4"/>
  <c r="GB241" i="4"/>
  <c r="GC241" i="4"/>
  <c r="GD241" i="4"/>
  <c r="FX241" i="4"/>
  <c r="FY251" i="4"/>
  <c r="FZ251" i="4"/>
  <c r="GB251" i="4"/>
  <c r="GC251" i="4"/>
  <c r="GD251" i="4"/>
  <c r="FX251" i="4"/>
  <c r="FY298" i="4"/>
  <c r="FZ298" i="4"/>
  <c r="GB298" i="4"/>
  <c r="GC298" i="4"/>
  <c r="GD298" i="4"/>
  <c r="FX298" i="4"/>
  <c r="FY269" i="4"/>
  <c r="FZ269" i="4"/>
  <c r="GB269" i="4"/>
  <c r="GC269" i="4"/>
  <c r="FX269" i="4"/>
  <c r="GD269" i="4"/>
  <c r="FY277" i="4"/>
  <c r="FZ277" i="4"/>
  <c r="GB277" i="4"/>
  <c r="FX277" i="4"/>
  <c r="GD277" i="4"/>
  <c r="FY288" i="4"/>
  <c r="FZ288" i="4"/>
  <c r="GB288" i="4"/>
  <c r="FX288" i="4"/>
  <c r="GC288" i="4"/>
  <c r="GD288" i="4"/>
  <c r="FY344" i="4"/>
  <c r="FZ344" i="4"/>
  <c r="FX344" i="4"/>
  <c r="GB344" i="4"/>
  <c r="GC344" i="4"/>
  <c r="GD344" i="4"/>
  <c r="FY355" i="4"/>
  <c r="FZ355" i="4"/>
  <c r="FX355" i="4"/>
  <c r="GB355" i="4"/>
  <c r="GC355" i="4"/>
  <c r="GD355" i="4"/>
  <c r="GB374" i="4"/>
  <c r="GC374" i="4"/>
  <c r="GD374" i="4"/>
  <c r="FY374" i="4"/>
  <c r="GB385" i="4"/>
  <c r="GC385" i="4"/>
  <c r="GD385" i="4"/>
  <c r="GB396" i="4"/>
  <c r="GC396" i="4"/>
  <c r="GD396" i="4"/>
  <c r="GB422" i="4"/>
  <c r="GC422" i="4"/>
  <c r="GD422" i="4"/>
  <c r="GB4" i="4"/>
  <c r="FY406" i="4"/>
  <c r="FY413" i="4"/>
  <c r="FZ401" i="4"/>
  <c r="GB397" i="4"/>
  <c r="GD391" i="4"/>
  <c r="FZ385" i="4"/>
  <c r="GD390" i="4"/>
  <c r="FX374" i="4"/>
  <c r="FZ368" i="4"/>
  <c r="FY342" i="4"/>
  <c r="FY330" i="4"/>
  <c r="FY317" i="4"/>
  <c r="FY306" i="4"/>
  <c r="FY291" i="4"/>
  <c r="GB254" i="4"/>
  <c r="GB224" i="4"/>
  <c r="GB191" i="4"/>
  <c r="GB161" i="4"/>
  <c r="GH65" i="4"/>
  <c r="L65" i="4" s="1"/>
  <c r="GH62" i="4"/>
  <c r="L62" i="4" s="1"/>
  <c r="L18" i="4"/>
  <c r="HH18" i="4" s="1"/>
  <c r="L25" i="4"/>
  <c r="L29" i="4"/>
  <c r="L33" i="4"/>
  <c r="L36" i="4"/>
  <c r="L39" i="4"/>
  <c r="HH39" i="4" s="1"/>
  <c r="L48" i="4"/>
  <c r="L51" i="4"/>
  <c r="F1" i="4"/>
  <c r="GH63" i="4"/>
  <c r="L63" i="4" s="1"/>
  <c r="GH64" i="4"/>
  <c r="L64" i="4" s="1"/>
  <c r="GH75" i="4"/>
  <c r="GH66" i="4"/>
  <c r="L66" i="4" s="1"/>
  <c r="GH76" i="4"/>
  <c r="GH77" i="4"/>
  <c r="GH67" i="4"/>
  <c r="L67" i="4" s="1"/>
  <c r="GH68" i="4"/>
  <c r="L68" i="4" s="1"/>
  <c r="GH69" i="4"/>
  <c r="L69" i="4" s="1"/>
  <c r="GH70" i="4"/>
  <c r="L70" i="4" s="1"/>
  <c r="GH71" i="4"/>
  <c r="L71" i="4" s="1"/>
  <c r="GH72" i="4"/>
  <c r="L72" i="4" s="1"/>
  <c r="GH73" i="4"/>
  <c r="L73" i="4" s="1"/>
  <c r="GH78" i="4"/>
  <c r="GH79" i="4"/>
  <c r="GH74" i="4"/>
  <c r="L74" i="4" s="1"/>
  <c r="GH90" i="4"/>
  <c r="L90" i="4" s="1"/>
  <c r="GH80" i="4"/>
  <c r="GH93" i="4"/>
  <c r="L93" i="4" s="1"/>
  <c r="GH81" i="4"/>
  <c r="GH82" i="4"/>
  <c r="GH83" i="4"/>
  <c r="GH94" i="4"/>
  <c r="L94" i="4" s="1"/>
  <c r="GH95" i="4"/>
  <c r="L95" i="4" s="1"/>
  <c r="GH84" i="4"/>
  <c r="GH85" i="4"/>
  <c r="GH96" i="4"/>
  <c r="L96" i="4" s="1"/>
  <c r="GH86" i="4"/>
  <c r="GH87" i="4"/>
  <c r="GH88" i="4"/>
  <c r="GH89" i="4"/>
  <c r="GH98" i="4"/>
  <c r="GH99" i="4"/>
  <c r="GH100" i="4"/>
  <c r="GH101" i="4"/>
  <c r="GH102" i="4"/>
  <c r="GH104" i="4"/>
  <c r="GH105" i="4"/>
  <c r="GH133" i="4"/>
  <c r="L133" i="4" s="1"/>
  <c r="GH134" i="4"/>
  <c r="L134" i="4" s="1"/>
  <c r="GH135" i="4"/>
  <c r="L135" i="4" s="1"/>
  <c r="GH136" i="4"/>
  <c r="L136" i="4" s="1"/>
  <c r="GH137" i="4"/>
  <c r="L137" i="4" s="1"/>
  <c r="GH138" i="4"/>
  <c r="L138" i="4" s="1"/>
  <c r="GH139" i="4"/>
  <c r="L139" i="4" s="1"/>
  <c r="GH140" i="4"/>
  <c r="L140" i="4" s="1"/>
  <c r="GH141" i="4"/>
  <c r="L141" i="4" s="1"/>
  <c r="GH127" i="4"/>
  <c r="L127" i="4" s="1"/>
  <c r="GH128" i="4"/>
  <c r="L128" i="4" s="1"/>
  <c r="GH142" i="4"/>
  <c r="L142" i="4" s="1"/>
  <c r="GH143" i="4"/>
  <c r="L143" i="4" s="1"/>
  <c r="GH129" i="4"/>
  <c r="L129" i="4" s="1"/>
  <c r="GH146" i="4"/>
  <c r="L146" i="4" s="1"/>
  <c r="GH147" i="4"/>
  <c r="L147" i="4" s="1"/>
  <c r="GH148" i="4"/>
  <c r="L148" i="4" s="1"/>
  <c r="GH149" i="4"/>
  <c r="L149" i="4" s="1"/>
  <c r="GH150" i="4"/>
  <c r="L150" i="4" s="1"/>
  <c r="GH151" i="4"/>
  <c r="L151" i="4" s="1"/>
  <c r="GH152" i="4"/>
  <c r="L152" i="4" s="1"/>
  <c r="GH154" i="4"/>
  <c r="L154" i="4" s="1"/>
  <c r="GH155" i="4"/>
  <c r="L155" i="4" s="1"/>
  <c r="GH156" i="4"/>
  <c r="L156" i="4" s="1"/>
  <c r="GH157" i="4"/>
  <c r="L157" i="4" s="1"/>
  <c r="GH158" i="4"/>
  <c r="L158" i="4" s="1"/>
  <c r="GH159" i="4"/>
  <c r="L159" i="4" s="1"/>
  <c r="GH274" i="4"/>
  <c r="GL274" i="4" s="1"/>
  <c r="GH275" i="4"/>
  <c r="GL275" i="4" s="1"/>
  <c r="GH276" i="4"/>
  <c r="GL276" i="4" s="1"/>
  <c r="GH277" i="4"/>
  <c r="GL277" i="4" s="1"/>
  <c r="GH280" i="4"/>
  <c r="GL280" i="4" s="1"/>
  <c r="GH281" i="4"/>
  <c r="GL281" i="4" s="1"/>
  <c r="GH290" i="4"/>
  <c r="GL290" i="4" s="1"/>
  <c r="GH313" i="4"/>
  <c r="GH324" i="4"/>
  <c r="GL324" i="4" s="1"/>
  <c r="GH282" i="4"/>
  <c r="GL282" i="4" s="1"/>
  <c r="GH284" i="4"/>
  <c r="GL284" i="4" s="1"/>
  <c r="GH291" i="4"/>
  <c r="GL291" i="4" s="1"/>
  <c r="GH285" i="4"/>
  <c r="GL285" i="4" s="1"/>
  <c r="GH292" i="4"/>
  <c r="GL292" i="4" s="1"/>
  <c r="GH286" i="4"/>
  <c r="GL286" i="4" s="1"/>
  <c r="GH287" i="4"/>
  <c r="GL287" i="4" s="1"/>
  <c r="GH288" i="4"/>
  <c r="GL288" i="4" s="1"/>
  <c r="GH293" i="4"/>
  <c r="GL293" i="4" s="1"/>
  <c r="GH306" i="4"/>
  <c r="GL306" i="4" s="1"/>
  <c r="GH296" i="4"/>
  <c r="GL296" i="4" s="1"/>
  <c r="GH297" i="4"/>
  <c r="GL297" i="4" s="1"/>
  <c r="GH307" i="4"/>
  <c r="GL307" i="4" s="1"/>
  <c r="GH299" i="4"/>
  <c r="GL299" i="4" s="1"/>
  <c r="GH300" i="4"/>
  <c r="GL300" i="4" s="1"/>
  <c r="GH301" i="4"/>
  <c r="GL301" i="4" s="1"/>
  <c r="GH302" i="4"/>
  <c r="GL302" i="4" s="1"/>
  <c r="GH308" i="4"/>
  <c r="GH303" i="4"/>
  <c r="GL303" i="4" s="1"/>
  <c r="GH304" i="4"/>
  <c r="GL304" i="4" s="1"/>
  <c r="GH309" i="4"/>
  <c r="GH310" i="4"/>
  <c r="GH311" i="4"/>
  <c r="GH305" i="4"/>
  <c r="GL305" i="4" s="1"/>
  <c r="GH345" i="4"/>
  <c r="GL345" i="4" s="1"/>
  <c r="GH325" i="4"/>
  <c r="GL325" i="4" s="1"/>
  <c r="GH314" i="4"/>
  <c r="GH315" i="4"/>
  <c r="GH326" i="4"/>
  <c r="GL326" i="4" s="1"/>
  <c r="GH316" i="4"/>
  <c r="GH327" i="4"/>
  <c r="GL327" i="4" s="1"/>
  <c r="GH317" i="4"/>
  <c r="GH328" i="4"/>
  <c r="GL328" i="4" s="1"/>
  <c r="GH318" i="4"/>
  <c r="GH329" i="4"/>
  <c r="GL329" i="4" s="1"/>
  <c r="GH319" i="4"/>
  <c r="GH320" i="4"/>
  <c r="GH335" i="4"/>
  <c r="GH353" i="4"/>
  <c r="GL353" i="4" s="1"/>
  <c r="GH330" i="4"/>
  <c r="GL330" i="4" s="1"/>
  <c r="GH321" i="4"/>
  <c r="GH331" i="4"/>
  <c r="GL331" i="4" s="1"/>
  <c r="GH334" i="4"/>
  <c r="GL334" i="4" s="1"/>
  <c r="GH346" i="4"/>
  <c r="GL346" i="4" s="1"/>
  <c r="GH340" i="4"/>
  <c r="GL340" i="4" s="1"/>
  <c r="GH336" i="4"/>
  <c r="GH341" i="4"/>
  <c r="GL341" i="4" s="1"/>
  <c r="GH337" i="4"/>
  <c r="GH342" i="4"/>
  <c r="GL342" i="4" s="1"/>
  <c r="GH343" i="4"/>
  <c r="GL343" i="4" s="1"/>
  <c r="GH338" i="4"/>
  <c r="GH339" i="4"/>
  <c r="GH344" i="4"/>
  <c r="GL344" i="4" s="1"/>
  <c r="GH347" i="4"/>
  <c r="GL347" i="4" s="1"/>
  <c r="GH382" i="4"/>
  <c r="GL382" i="4" s="1"/>
  <c r="GH377" i="4"/>
  <c r="GL377" i="4" s="1"/>
  <c r="GH348" i="4"/>
  <c r="GL348" i="4" s="1"/>
  <c r="GH349" i="4"/>
  <c r="GL349" i="4" s="1"/>
  <c r="GH350" i="4"/>
  <c r="GL350" i="4" s="1"/>
  <c r="GH354" i="4"/>
  <c r="GL354" i="4" s="1"/>
  <c r="GH372" i="4"/>
  <c r="GL372" i="4" s="1"/>
  <c r="GH332" i="4"/>
  <c r="GL332" i="4" s="1"/>
  <c r="GH355" i="4"/>
  <c r="GL355" i="4" s="1"/>
  <c r="GH356" i="4"/>
  <c r="GL356" i="4" s="1"/>
  <c r="GH363" i="4"/>
  <c r="GL363" i="4" s="1"/>
  <c r="GH357" i="4"/>
  <c r="GL357" i="4" s="1"/>
  <c r="GH364" i="4"/>
  <c r="GL364" i="4" s="1"/>
  <c r="GH358" i="4"/>
  <c r="GL358" i="4" s="1"/>
  <c r="GH359" i="4"/>
  <c r="GL359" i="4" s="1"/>
  <c r="GH365" i="4"/>
  <c r="GL365" i="4" s="1"/>
  <c r="GH360" i="4"/>
  <c r="GL360" i="4" s="1"/>
  <c r="GH361" i="4"/>
  <c r="GL361" i="4" s="1"/>
  <c r="GH368" i="4"/>
  <c r="GH373" i="4"/>
  <c r="GL373" i="4" s="1"/>
  <c r="GH369" i="4"/>
  <c r="GH374" i="4"/>
  <c r="GL374" i="4" s="1"/>
  <c r="GH389" i="4"/>
  <c r="GL389" i="4" s="1"/>
  <c r="GH370" i="4"/>
  <c r="GH371" i="4"/>
  <c r="GH375" i="4"/>
  <c r="GL375" i="4" s="1"/>
  <c r="GH383" i="4"/>
  <c r="GL383" i="4" s="1"/>
  <c r="GH384" i="4"/>
  <c r="GL384" i="4" s="1"/>
  <c r="GH378" i="4"/>
  <c r="GL378" i="4" s="1"/>
  <c r="GH379" i="4"/>
  <c r="GL379" i="4" s="1"/>
  <c r="GH385" i="4"/>
  <c r="GL385" i="4" s="1"/>
  <c r="GH386" i="4"/>
  <c r="GL386" i="4" s="1"/>
  <c r="GH390" i="4"/>
  <c r="GL390" i="4" s="1"/>
  <c r="GH387" i="4"/>
  <c r="GL387" i="4" s="1"/>
  <c r="GH393" i="4"/>
  <c r="GH381" i="4"/>
  <c r="GL381" i="4" s="1"/>
  <c r="GH394" i="4"/>
  <c r="GH395" i="4"/>
  <c r="GH367" i="4"/>
  <c r="GH396" i="4"/>
  <c r="GH397" i="4"/>
  <c r="GH391" i="4"/>
  <c r="GL391" i="4" s="1"/>
  <c r="GH392" i="4"/>
  <c r="GL392" i="4" s="1"/>
  <c r="GH162" i="4"/>
  <c r="GH163" i="4"/>
  <c r="GH160" i="4"/>
  <c r="GH161" i="4"/>
  <c r="GH164" i="4"/>
  <c r="GH165" i="4"/>
  <c r="GH187" i="4"/>
  <c r="GH166" i="4"/>
  <c r="GH188" i="4"/>
  <c r="GH167" i="4"/>
  <c r="GH189" i="4"/>
  <c r="GH168" i="4"/>
  <c r="GH169" i="4"/>
  <c r="GH190" i="4"/>
  <c r="GH170" i="4"/>
  <c r="GH191" i="4"/>
  <c r="GH171" i="4"/>
  <c r="GH192" i="4"/>
  <c r="GH172" i="4"/>
  <c r="GH173" i="4"/>
  <c r="GH174" i="4"/>
  <c r="GH193" i="4"/>
  <c r="GH175" i="4"/>
  <c r="GH176" i="4"/>
  <c r="GH177" i="4"/>
  <c r="GH178" i="4"/>
  <c r="GH195" i="4"/>
  <c r="GH179" i="4"/>
  <c r="GH180" i="4"/>
  <c r="GH181" i="4"/>
  <c r="GH182" i="4"/>
  <c r="GH196" i="4"/>
  <c r="GH183" i="4"/>
  <c r="GH184" i="4"/>
  <c r="GH197" i="4"/>
  <c r="GH185" i="4"/>
  <c r="GH186" i="4"/>
  <c r="GH198" i="4"/>
  <c r="GH199" i="4"/>
  <c r="GH200" i="4"/>
  <c r="GH201" i="4"/>
  <c r="GH205" i="4"/>
  <c r="GH219" i="4"/>
  <c r="GH206" i="4"/>
  <c r="GH207" i="4"/>
  <c r="GH208" i="4"/>
  <c r="GH220" i="4"/>
  <c r="GH209" i="4"/>
  <c r="GH210" i="4"/>
  <c r="GH221" i="4"/>
  <c r="GH222" i="4"/>
  <c r="GH211" i="4"/>
  <c r="GH223" i="4"/>
  <c r="GH212" i="4"/>
  <c r="GH224" i="4"/>
  <c r="GH225" i="4"/>
  <c r="GH226" i="4"/>
  <c r="GH213" i="4"/>
  <c r="GH227" i="4"/>
  <c r="GH214" i="4"/>
  <c r="GH228" i="4"/>
  <c r="GH229" i="4"/>
  <c r="GH230" i="4"/>
  <c r="GH231" i="4"/>
  <c r="GH232" i="4"/>
  <c r="GH233" i="4"/>
  <c r="GH234" i="4"/>
  <c r="GH215" i="4"/>
  <c r="GH216" i="4"/>
  <c r="GH217" i="4"/>
  <c r="GH218" i="4"/>
  <c r="GH235" i="4"/>
  <c r="GH238" i="4"/>
  <c r="GH239" i="4"/>
  <c r="GH240" i="4"/>
  <c r="GH241" i="4"/>
  <c r="GH242" i="4"/>
  <c r="GH243" i="4"/>
  <c r="GH244" i="4"/>
  <c r="GH323" i="4"/>
  <c r="GL323" i="4" s="1"/>
  <c r="GH245" i="4"/>
  <c r="GH264" i="4"/>
  <c r="GL264" i="4" s="1"/>
  <c r="GH246" i="4"/>
  <c r="GH247" i="4"/>
  <c r="GH248" i="4"/>
  <c r="GH249" i="4"/>
  <c r="GH250" i="4"/>
  <c r="GH251" i="4"/>
  <c r="GH265" i="4"/>
  <c r="GL265" i="4" s="1"/>
  <c r="GH266" i="4"/>
  <c r="GL266" i="4" s="1"/>
  <c r="GH252" i="4"/>
  <c r="GH253" i="4"/>
  <c r="GH267" i="4"/>
  <c r="GL267" i="4" s="1"/>
  <c r="GH268" i="4"/>
  <c r="GL268" i="4" s="1"/>
  <c r="GH269" i="4"/>
  <c r="GL269" i="4" s="1"/>
  <c r="GH254" i="4"/>
  <c r="GH255" i="4"/>
  <c r="GH270" i="4"/>
  <c r="GL270" i="4" s="1"/>
  <c r="GH256" i="4"/>
  <c r="GH271" i="4"/>
  <c r="GL271" i="4" s="1"/>
  <c r="GH257" i="4"/>
  <c r="GH258" i="4"/>
  <c r="GH259" i="4"/>
  <c r="GH298" i="4"/>
  <c r="GL298" i="4" s="1"/>
  <c r="GH260" i="4"/>
  <c r="GH272" i="4"/>
  <c r="GL272" i="4" s="1"/>
  <c r="GH261" i="4"/>
  <c r="GH262" i="4"/>
  <c r="GH273" i="4"/>
  <c r="GL273" i="4" s="1"/>
  <c r="GH406" i="4"/>
  <c r="GL406" i="4" s="1"/>
  <c r="GH401" i="4"/>
  <c r="GH398" i="4"/>
  <c r="GH408" i="4"/>
  <c r="GH405" i="4"/>
  <c r="GL405" i="4" s="1"/>
  <c r="GH399" i="4"/>
  <c r="HH36" i="4" l="1"/>
  <c r="HH33" i="4"/>
  <c r="F6" i="20"/>
  <c r="E6" i="20"/>
  <c r="HH51" i="4"/>
  <c r="HH25" i="4"/>
  <c r="HH142" i="4"/>
  <c r="HH155" i="4"/>
  <c r="HH128" i="4"/>
  <c r="HH73" i="4"/>
  <c r="HH63" i="4"/>
  <c r="M283" i="4"/>
  <c r="HH283" i="4"/>
  <c r="HH96" i="4"/>
  <c r="HH156" i="4"/>
  <c r="HH64" i="4"/>
  <c r="HH154" i="4"/>
  <c r="HH127" i="4"/>
  <c r="HH95" i="4"/>
  <c r="HH72" i="4"/>
  <c r="M425" i="4"/>
  <c r="M427" i="4"/>
  <c r="HH133" i="4"/>
  <c r="HH65" i="4"/>
  <c r="HH152" i="4"/>
  <c r="HH141" i="4"/>
  <c r="HH94" i="4"/>
  <c r="M413" i="4"/>
  <c r="HH157" i="4"/>
  <c r="HH151" i="4"/>
  <c r="HH140" i="4"/>
  <c r="HH70" i="4"/>
  <c r="EN125" i="4"/>
  <c r="HH125" i="4"/>
  <c r="HH143" i="4"/>
  <c r="HH150" i="4"/>
  <c r="HH139" i="4"/>
  <c r="M424" i="4"/>
  <c r="HH149" i="4"/>
  <c r="M409" i="4"/>
  <c r="HH138" i="4"/>
  <c r="HH148" i="4"/>
  <c r="HH137" i="4"/>
  <c r="HH93" i="4"/>
  <c r="HH67" i="4"/>
  <c r="HH147" i="4"/>
  <c r="HH136" i="4"/>
  <c r="ER110" i="4"/>
  <c r="ES110" i="4" s="1"/>
  <c r="HH110" i="4"/>
  <c r="M423" i="4"/>
  <c r="HH159" i="4"/>
  <c r="HH146" i="4"/>
  <c r="HH135" i="4"/>
  <c r="HH90" i="4"/>
  <c r="H448" i="4"/>
  <c r="FB448" i="4"/>
  <c r="FC448" i="4" s="1"/>
  <c r="FF448" i="4"/>
  <c r="FG448" i="4" s="1"/>
  <c r="FH448" i="4"/>
  <c r="FI448" i="4" s="1"/>
  <c r="FJ448" i="4"/>
  <c r="FK448" i="4" s="1"/>
  <c r="FL448" i="4"/>
  <c r="FM448" i="4" s="1"/>
  <c r="HH158" i="4"/>
  <c r="HH129" i="4"/>
  <c r="HH134" i="4"/>
  <c r="HH74" i="4"/>
  <c r="HH66" i="4"/>
  <c r="HH263" i="4"/>
  <c r="GH452" i="4"/>
  <c r="HH62" i="4"/>
  <c r="M422" i="4"/>
  <c r="H442" i="4"/>
  <c r="FD442" i="4"/>
  <c r="FE442" i="4" s="1"/>
  <c r="FF442" i="4"/>
  <c r="FG442" i="4" s="1"/>
  <c r="FH442" i="4"/>
  <c r="FI442" i="4" s="1"/>
  <c r="FJ442" i="4"/>
  <c r="FK442" i="4" s="1"/>
  <c r="FL442" i="4"/>
  <c r="FM442" i="4" s="1"/>
  <c r="H446" i="4"/>
  <c r="FB446" i="4"/>
  <c r="FC446" i="4" s="1"/>
  <c r="FD446" i="4"/>
  <c r="FE446" i="4" s="1"/>
  <c r="FF446" i="4"/>
  <c r="FG446" i="4" s="1"/>
  <c r="FH446" i="4"/>
  <c r="FI446" i="4" s="1"/>
  <c r="FJ446" i="4"/>
  <c r="FK446" i="4" s="1"/>
  <c r="FL444" i="4"/>
  <c r="FM444" i="4" s="1"/>
  <c r="FD444" i="4"/>
  <c r="FE444" i="4" s="1"/>
  <c r="FF444" i="4"/>
  <c r="FG444" i="4" s="1"/>
  <c r="FH444" i="4"/>
  <c r="FI444" i="4" s="1"/>
  <c r="FJ444" i="4"/>
  <c r="FK444" i="4" s="1"/>
  <c r="H445" i="4"/>
  <c r="FD445" i="4"/>
  <c r="FE445" i="4" s="1"/>
  <c r="FF445" i="4"/>
  <c r="FG445" i="4" s="1"/>
  <c r="FH445" i="4"/>
  <c r="FI445" i="4" s="1"/>
  <c r="FJ445" i="4"/>
  <c r="FK445" i="4" s="1"/>
  <c r="FL445" i="4"/>
  <c r="FM445" i="4" s="1"/>
  <c r="FF443" i="4"/>
  <c r="FG443" i="4" s="1"/>
  <c r="FH443" i="4"/>
  <c r="FI443" i="4" s="1"/>
  <c r="FJ443" i="4"/>
  <c r="FK443" i="4" s="1"/>
  <c r="FB443" i="4"/>
  <c r="FC443" i="4" s="1"/>
  <c r="FD443" i="4"/>
  <c r="FE443" i="4" s="1"/>
  <c r="AG133" i="4"/>
  <c r="EZ133" i="4"/>
  <c r="EX133" i="4"/>
  <c r="EV133" i="4"/>
  <c r="EZ143" i="4"/>
  <c r="FA143" i="4" s="1"/>
  <c r="EV143" i="4"/>
  <c r="EX143" i="4"/>
  <c r="EY143" i="4" s="1"/>
  <c r="EX234" i="4"/>
  <c r="EY234" i="4" s="1"/>
  <c r="EZ234" i="4"/>
  <c r="FA234" i="4" s="1"/>
  <c r="EV234" i="4"/>
  <c r="EW234" i="4" s="1"/>
  <c r="EZ408" i="4"/>
  <c r="FA408" i="4" s="1"/>
  <c r="EX408" i="4"/>
  <c r="EY408" i="4" s="1"/>
  <c r="EV408" i="4"/>
  <c r="EZ153" i="4"/>
  <c r="FA153" i="4" s="1"/>
  <c r="EV153" i="4"/>
  <c r="EX153" i="4"/>
  <c r="EY153" i="4" s="1"/>
  <c r="EZ363" i="4"/>
  <c r="FA363" i="4" s="1"/>
  <c r="EX363" i="4"/>
  <c r="EV363" i="4"/>
  <c r="EW363" i="4" s="1"/>
  <c r="EZ24" i="4"/>
  <c r="FA24" i="4" s="1"/>
  <c r="EV24" i="4"/>
  <c r="EW24" i="4" s="1"/>
  <c r="EX24" i="4"/>
  <c r="EY24" i="4" s="1"/>
  <c r="EZ159" i="4"/>
  <c r="FA159" i="4" s="1"/>
  <c r="EX159" i="4"/>
  <c r="EY159" i="4" s="1"/>
  <c r="EV159" i="4"/>
  <c r="EZ259" i="4"/>
  <c r="FA259" i="4" s="1"/>
  <c r="EV259" i="4"/>
  <c r="EW259" i="4" s="1"/>
  <c r="EX259" i="4"/>
  <c r="EP118" i="4"/>
  <c r="EQ118" i="4" s="1"/>
  <c r="EX118" i="4"/>
  <c r="EZ118" i="4"/>
  <c r="FA118" i="4" s="1"/>
  <c r="EV118" i="4"/>
  <c r="EW118" i="4" s="1"/>
  <c r="AB79" i="4"/>
  <c r="EV79" i="4"/>
  <c r="EW79" i="4" s="1"/>
  <c r="EX79" i="4"/>
  <c r="EY79" i="4" s="1"/>
  <c r="EZ79" i="4"/>
  <c r="FA79" i="4" s="1"/>
  <c r="EZ132" i="4"/>
  <c r="EX132" i="4"/>
  <c r="EY132" i="4" s="1"/>
  <c r="EV132" i="4"/>
  <c r="EX214" i="4"/>
  <c r="EY214" i="4" s="1"/>
  <c r="EZ214" i="4"/>
  <c r="FA214" i="4" s="1"/>
  <c r="EV214" i="4"/>
  <c r="EX261" i="4"/>
  <c r="EY261" i="4" s="1"/>
  <c r="EZ261" i="4"/>
  <c r="FA261" i="4" s="1"/>
  <c r="EV261" i="4"/>
  <c r="EW261" i="4" s="1"/>
  <c r="EV225" i="4"/>
  <c r="EW225" i="4" s="1"/>
  <c r="EZ225" i="4"/>
  <c r="FA225" i="4" s="1"/>
  <c r="EX225" i="4"/>
  <c r="EY225" i="4" s="1"/>
  <c r="EZ165" i="4"/>
  <c r="EX165" i="4"/>
  <c r="EY165" i="4" s="1"/>
  <c r="EV165" i="4"/>
  <c r="EN393" i="4"/>
  <c r="EX393" i="4"/>
  <c r="EY393" i="4" s="1"/>
  <c r="EZ393" i="4"/>
  <c r="EV393" i="4"/>
  <c r="EW393" i="4" s="1"/>
  <c r="EZ72" i="4"/>
  <c r="FA72" i="4" s="1"/>
  <c r="EX72" i="4"/>
  <c r="EY72" i="4" s="1"/>
  <c r="EV72" i="4"/>
  <c r="EW72" i="4" s="1"/>
  <c r="GW283" i="4"/>
  <c r="EZ283" i="4"/>
  <c r="FA283" i="4" s="1"/>
  <c r="EV283" i="4"/>
  <c r="EX283" i="4"/>
  <c r="EY283" i="4" s="1"/>
  <c r="ER140" i="4"/>
  <c r="ES140" i="4" s="1"/>
  <c r="EZ140" i="4"/>
  <c r="EV140" i="4"/>
  <c r="EX140" i="4"/>
  <c r="EN318" i="4"/>
  <c r="EO318" i="4" s="1"/>
  <c r="EX318" i="4"/>
  <c r="EY318" i="4" s="1"/>
  <c r="EZ318" i="4"/>
  <c r="FA318" i="4" s="1"/>
  <c r="EV318" i="4"/>
  <c r="EW318" i="4" s="1"/>
  <c r="EN221" i="4"/>
  <c r="EO221" i="4" s="1"/>
  <c r="EV221" i="4"/>
  <c r="EW221" i="4" s="1"/>
  <c r="EX221" i="4"/>
  <c r="EZ221" i="4"/>
  <c r="FA221" i="4" s="1"/>
  <c r="EX358" i="4"/>
  <c r="EY358" i="4" s="1"/>
  <c r="EZ358" i="4"/>
  <c r="EV358" i="4"/>
  <c r="EW358" i="4" s="1"/>
  <c r="EN195" i="4"/>
  <c r="EZ195" i="4"/>
  <c r="FA195" i="4" s="1"/>
  <c r="EX195" i="4"/>
  <c r="EY195" i="4" s="1"/>
  <c r="EV195" i="4"/>
  <c r="EW195" i="4" s="1"/>
  <c r="EX378" i="4"/>
  <c r="EY378" i="4" s="1"/>
  <c r="EZ378" i="4"/>
  <c r="FA378" i="4" s="1"/>
  <c r="EV378" i="4"/>
  <c r="EW378" i="4" s="1"/>
  <c r="EX192" i="4"/>
  <c r="EZ192" i="4"/>
  <c r="FA192" i="4" s="1"/>
  <c r="EV192" i="4"/>
  <c r="ER347" i="4"/>
  <c r="ES347" i="4" s="1"/>
  <c r="EZ347" i="4"/>
  <c r="FA347" i="4" s="1"/>
  <c r="EX347" i="4"/>
  <c r="EV347" i="4"/>
  <c r="EW347" i="4" s="1"/>
  <c r="CT42" i="4"/>
  <c r="EZ42" i="4"/>
  <c r="FA42" i="4" s="1"/>
  <c r="EV42" i="4"/>
  <c r="EW42" i="4" s="1"/>
  <c r="EX42" i="4"/>
  <c r="EY42" i="4" s="1"/>
  <c r="EV16" i="4"/>
  <c r="EW16" i="4" s="1"/>
  <c r="EZ16" i="4"/>
  <c r="FA16" i="4" s="1"/>
  <c r="EX16" i="4"/>
  <c r="EY16" i="4" s="1"/>
  <c r="ER12" i="4"/>
  <c r="ES12" i="4" s="1"/>
  <c r="EZ12" i="4"/>
  <c r="EV12" i="4"/>
  <c r="EW12" i="4" s="1"/>
  <c r="EX12" i="4"/>
  <c r="EV8" i="4"/>
  <c r="EW8" i="4" s="1"/>
  <c r="EZ8" i="4"/>
  <c r="FA8" i="4" s="1"/>
  <c r="EX8" i="4"/>
  <c r="EY8" i="4" s="1"/>
  <c r="AB54" i="4"/>
  <c r="EZ54" i="4"/>
  <c r="FA54" i="4" s="1"/>
  <c r="EX54" i="4"/>
  <c r="EY54" i="4" s="1"/>
  <c r="EV54" i="4"/>
  <c r="AU134" i="4"/>
  <c r="EZ134" i="4"/>
  <c r="EX134" i="4"/>
  <c r="EV134" i="4"/>
  <c r="EW134" i="4" s="1"/>
  <c r="ER249" i="4"/>
  <c r="ES249" i="4" s="1"/>
  <c r="EX249" i="4"/>
  <c r="EY249" i="4" s="1"/>
  <c r="EZ249" i="4"/>
  <c r="FA249" i="4" s="1"/>
  <c r="EV249" i="4"/>
  <c r="EW249" i="4" s="1"/>
  <c r="AB101" i="4"/>
  <c r="EZ101" i="4"/>
  <c r="FA101" i="4" s="1"/>
  <c r="EV101" i="4"/>
  <c r="EW101" i="4" s="1"/>
  <c r="EX101" i="4"/>
  <c r="AN337" i="4"/>
  <c r="EX337" i="4"/>
  <c r="EZ337" i="4"/>
  <c r="EV337" i="4"/>
  <c r="EW337" i="4" s="1"/>
  <c r="ER100" i="4"/>
  <c r="ES100" i="4" s="1"/>
  <c r="EV100" i="4"/>
  <c r="EW100" i="4" s="1"/>
  <c r="EZ100" i="4"/>
  <c r="FA100" i="4" s="1"/>
  <c r="EX100" i="4"/>
  <c r="EY100" i="4" s="1"/>
  <c r="EX189" i="4"/>
  <c r="EY189" i="4" s="1"/>
  <c r="EZ189" i="4"/>
  <c r="FA189" i="4" s="1"/>
  <c r="EV189" i="4"/>
  <c r="EW189" i="4" s="1"/>
  <c r="EZ171" i="4"/>
  <c r="FA171" i="4" s="1"/>
  <c r="EX171" i="4"/>
  <c r="EY171" i="4" s="1"/>
  <c r="EV171" i="4"/>
  <c r="EZ213" i="4"/>
  <c r="EX213" i="4"/>
  <c r="EY213" i="4" s="1"/>
  <c r="EV213" i="4"/>
  <c r="EZ128" i="4"/>
  <c r="FA128" i="4" s="1"/>
  <c r="EX128" i="4"/>
  <c r="EY128" i="4" s="1"/>
  <c r="EV128" i="4"/>
  <c r="EW128" i="4" s="1"/>
  <c r="EP334" i="4"/>
  <c r="EQ334" i="4" s="1"/>
  <c r="EX334" i="4"/>
  <c r="EY334" i="4" s="1"/>
  <c r="EZ334" i="4"/>
  <c r="FA334" i="4" s="1"/>
  <c r="EV334" i="4"/>
  <c r="EX392" i="4"/>
  <c r="EY392" i="4" s="1"/>
  <c r="EZ392" i="4"/>
  <c r="FA392" i="4" s="1"/>
  <c r="EV392" i="4"/>
  <c r="EZ273" i="4"/>
  <c r="FA273" i="4" s="1"/>
  <c r="EX273" i="4"/>
  <c r="EV273" i="4"/>
  <c r="EW273" i="4" s="1"/>
  <c r="EZ127" i="4"/>
  <c r="FA127" i="4" s="1"/>
  <c r="EX127" i="4"/>
  <c r="EY127" i="4" s="1"/>
  <c r="EV127" i="4"/>
  <c r="EW127" i="4" s="1"/>
  <c r="EZ280" i="4"/>
  <c r="FA280" i="4" s="1"/>
  <c r="EV280" i="4"/>
  <c r="EW280" i="4" s="1"/>
  <c r="EX280" i="4"/>
  <c r="GW209" i="4"/>
  <c r="EV209" i="4"/>
  <c r="EX209" i="4"/>
  <c r="EZ209" i="4"/>
  <c r="FA209" i="4" s="1"/>
  <c r="EZ382" i="4"/>
  <c r="FA382" i="4" s="1"/>
  <c r="EX382" i="4"/>
  <c r="EY382" i="4" s="1"/>
  <c r="EV382" i="4"/>
  <c r="EW382" i="4" s="1"/>
  <c r="GU183" i="4"/>
  <c r="EZ183" i="4"/>
  <c r="FA183" i="4" s="1"/>
  <c r="EX183" i="4"/>
  <c r="EY183" i="4" s="1"/>
  <c r="EV183" i="4"/>
  <c r="EW183" i="4" s="1"/>
  <c r="ER377" i="4"/>
  <c r="ES377" i="4" s="1"/>
  <c r="EX377" i="4"/>
  <c r="EY377" i="4" s="1"/>
  <c r="EZ377" i="4"/>
  <c r="EV377" i="4"/>
  <c r="EZ181" i="4"/>
  <c r="FA181" i="4" s="1"/>
  <c r="EX181" i="4"/>
  <c r="EV181" i="4"/>
  <c r="EW181" i="4" s="1"/>
  <c r="EZ269" i="4"/>
  <c r="FA269" i="4" s="1"/>
  <c r="EX269" i="4"/>
  <c r="EY269" i="4" s="1"/>
  <c r="EV269" i="4"/>
  <c r="EW269" i="4" s="1"/>
  <c r="EZ30" i="4"/>
  <c r="FA30" i="4" s="1"/>
  <c r="EV30" i="4"/>
  <c r="EW30" i="4" s="1"/>
  <c r="EX30" i="4"/>
  <c r="ER27" i="4"/>
  <c r="ES27" i="4" s="1"/>
  <c r="EZ27" i="4"/>
  <c r="EV27" i="4"/>
  <c r="EX27" i="4"/>
  <c r="EY27" i="4" s="1"/>
  <c r="AP58" i="4"/>
  <c r="EZ58" i="4"/>
  <c r="FA58" i="4" s="1"/>
  <c r="EX58" i="4"/>
  <c r="EY58" i="4" s="1"/>
  <c r="EV58" i="4"/>
  <c r="EW58" i="4" s="1"/>
  <c r="ER180" i="4"/>
  <c r="ES180" i="4" s="1"/>
  <c r="EZ180" i="4"/>
  <c r="FA180" i="4" s="1"/>
  <c r="EX180" i="4"/>
  <c r="EY180" i="4" s="1"/>
  <c r="EV180" i="4"/>
  <c r="EW180" i="4" s="1"/>
  <c r="AU161" i="4"/>
  <c r="EX161" i="4"/>
  <c r="EV161" i="4"/>
  <c r="EZ161" i="4"/>
  <c r="FA161" i="4" s="1"/>
  <c r="EP309" i="4"/>
  <c r="EQ309" i="4" s="1"/>
  <c r="EZ309" i="4"/>
  <c r="FA309" i="4" s="1"/>
  <c r="EV309" i="4"/>
  <c r="EW309" i="4" s="1"/>
  <c r="EX309" i="4"/>
  <c r="EY309" i="4" s="1"/>
  <c r="EZ62" i="4"/>
  <c r="FA62" i="4" s="1"/>
  <c r="EX62" i="4"/>
  <c r="EY62" i="4" s="1"/>
  <c r="EV62" i="4"/>
  <c r="EW62" i="4" s="1"/>
  <c r="EX305" i="4"/>
  <c r="EV305" i="4"/>
  <c r="EW305" i="4" s="1"/>
  <c r="EZ305" i="4"/>
  <c r="AW81" i="4"/>
  <c r="EX81" i="4"/>
  <c r="EY81" i="4" s="1"/>
  <c r="EV81" i="4"/>
  <c r="EZ81" i="4"/>
  <c r="FA81" i="4" s="1"/>
  <c r="EZ231" i="4"/>
  <c r="FA231" i="4" s="1"/>
  <c r="EX231" i="4"/>
  <c r="EY231" i="4" s="1"/>
  <c r="EV231" i="4"/>
  <c r="EW231" i="4" s="1"/>
  <c r="GS208" i="4"/>
  <c r="EV208" i="4"/>
  <c r="EW208" i="4" s="1"/>
  <c r="EX208" i="4"/>
  <c r="EZ208" i="4"/>
  <c r="FA208" i="4" s="1"/>
  <c r="CM90" i="4"/>
  <c r="EX90" i="4"/>
  <c r="EZ90" i="4"/>
  <c r="FA90" i="4" s="1"/>
  <c r="EV90" i="4"/>
  <c r="EZ206" i="4"/>
  <c r="FA206" i="4" s="1"/>
  <c r="EX206" i="4"/>
  <c r="EY206" i="4" s="1"/>
  <c r="EV206" i="4"/>
  <c r="EW206" i="4" s="1"/>
  <c r="EX375" i="4"/>
  <c r="EY375" i="4" s="1"/>
  <c r="EZ375" i="4"/>
  <c r="FA375" i="4" s="1"/>
  <c r="EV375" i="4"/>
  <c r="EW375" i="4" s="1"/>
  <c r="EP39" i="4"/>
  <c r="EQ39" i="4" s="1"/>
  <c r="EZ39" i="4"/>
  <c r="EX39" i="4"/>
  <c r="EV39" i="4"/>
  <c r="EZ387" i="4"/>
  <c r="FA387" i="4" s="1"/>
  <c r="EV387" i="4"/>
  <c r="EX387" i="4"/>
  <c r="EY387" i="4" s="1"/>
  <c r="EZ227" i="4"/>
  <c r="FA227" i="4" s="1"/>
  <c r="EV227" i="4"/>
  <c r="EW227" i="4" s="1"/>
  <c r="EX227" i="4"/>
  <c r="EY227" i="4" s="1"/>
  <c r="EP226" i="4"/>
  <c r="EQ226" i="4" s="1"/>
  <c r="EX226" i="4"/>
  <c r="EY226" i="4" s="1"/>
  <c r="EZ226" i="4"/>
  <c r="EV226" i="4"/>
  <c r="EW226" i="4" s="1"/>
  <c r="EP258" i="4"/>
  <c r="EQ258" i="4" s="1"/>
  <c r="EX258" i="4"/>
  <c r="EV258" i="4"/>
  <c r="EW258" i="4" s="1"/>
  <c r="EZ258" i="4"/>
  <c r="EV75" i="4"/>
  <c r="EW75" i="4" s="1"/>
  <c r="EZ75" i="4"/>
  <c r="FA75" i="4" s="1"/>
  <c r="EX75" i="4"/>
  <c r="EY75" i="4" s="1"/>
  <c r="BM156" i="4"/>
  <c r="EZ156" i="4"/>
  <c r="FA156" i="4" s="1"/>
  <c r="EX156" i="4"/>
  <c r="EY156" i="4" s="1"/>
  <c r="EV156" i="4"/>
  <c r="ER63" i="4"/>
  <c r="ES63" i="4" s="1"/>
  <c r="EX63" i="4"/>
  <c r="EZ63" i="4"/>
  <c r="EV63" i="4"/>
  <c r="EW63" i="4" s="1"/>
  <c r="ER176" i="4"/>
  <c r="ES176" i="4" s="1"/>
  <c r="EX176" i="4"/>
  <c r="EY176" i="4" s="1"/>
  <c r="EZ176" i="4"/>
  <c r="FA176" i="4" s="1"/>
  <c r="EV176" i="4"/>
  <c r="EW176" i="4" s="1"/>
  <c r="EP83" i="4"/>
  <c r="EQ83" i="4" s="1"/>
  <c r="EX83" i="4"/>
  <c r="EY83" i="4" s="1"/>
  <c r="EZ83" i="4"/>
  <c r="FA83" i="4" s="1"/>
  <c r="EV83" i="4"/>
  <c r="EZ293" i="4"/>
  <c r="FA293" i="4" s="1"/>
  <c r="EX293" i="4"/>
  <c r="EV293" i="4"/>
  <c r="GS314" i="4"/>
  <c r="EZ314" i="4"/>
  <c r="EX314" i="4"/>
  <c r="EY314" i="4" s="1"/>
  <c r="EV314" i="4"/>
  <c r="EW314" i="4" s="1"/>
  <c r="EP245" i="4"/>
  <c r="EQ245" i="4" s="1"/>
  <c r="EZ245" i="4"/>
  <c r="FA245" i="4" s="1"/>
  <c r="EV245" i="4"/>
  <c r="EW245" i="4" s="1"/>
  <c r="EX245" i="4"/>
  <c r="EY245" i="4" s="1"/>
  <c r="ER96" i="4"/>
  <c r="ES96" i="4" s="1"/>
  <c r="EV96" i="4"/>
  <c r="EW96" i="4" s="1"/>
  <c r="EX96" i="4"/>
  <c r="EZ96" i="4"/>
  <c r="AG122" i="4"/>
  <c r="EZ122" i="4"/>
  <c r="EX122" i="4"/>
  <c r="EY122" i="4" s="1"/>
  <c r="EV122" i="4"/>
  <c r="EW122" i="4" s="1"/>
  <c r="EV173" i="4"/>
  <c r="EW173" i="4" s="1"/>
  <c r="EZ173" i="4"/>
  <c r="FA173" i="4" s="1"/>
  <c r="EX173" i="4"/>
  <c r="EY173" i="4" s="1"/>
  <c r="EN310" i="4"/>
  <c r="EO310" i="4" s="1"/>
  <c r="EX310" i="4"/>
  <c r="EZ310" i="4"/>
  <c r="FA310" i="4" s="1"/>
  <c r="EV310" i="4"/>
  <c r="AU150" i="4"/>
  <c r="EX150" i="4"/>
  <c r="EY150" i="4" s="1"/>
  <c r="EZ150" i="4"/>
  <c r="EV150" i="4"/>
  <c r="EW150" i="4" s="1"/>
  <c r="ER308" i="4"/>
  <c r="ES308" i="4" s="1"/>
  <c r="EZ308" i="4"/>
  <c r="FA308" i="4" s="1"/>
  <c r="EV308" i="4"/>
  <c r="EW308" i="4" s="1"/>
  <c r="EX308" i="4"/>
  <c r="EY308" i="4" s="1"/>
  <c r="ER160" i="4"/>
  <c r="ES160" i="4" s="1"/>
  <c r="EX160" i="4"/>
  <c r="EV160" i="4"/>
  <c r="EW160" i="4" s="1"/>
  <c r="EZ160" i="4"/>
  <c r="EZ228" i="4"/>
  <c r="EV228" i="4"/>
  <c r="EW228" i="4" s="1"/>
  <c r="EX228" i="4"/>
  <c r="EY228" i="4" s="1"/>
  <c r="EV52" i="4"/>
  <c r="EW52" i="4" s="1"/>
  <c r="EX52" i="4"/>
  <c r="EY52" i="4" s="1"/>
  <c r="EZ52" i="4"/>
  <c r="FA52" i="4" s="1"/>
  <c r="ER60" i="4"/>
  <c r="ES60" i="4" s="1"/>
  <c r="EZ60" i="4"/>
  <c r="FA60" i="4" s="1"/>
  <c r="EX60" i="4"/>
  <c r="EY60" i="4" s="1"/>
  <c r="EV60" i="4"/>
  <c r="ER57" i="4"/>
  <c r="ES57" i="4" s="1"/>
  <c r="EX57" i="4"/>
  <c r="EZ57" i="4"/>
  <c r="EV57" i="4"/>
  <c r="EW57" i="4" s="1"/>
  <c r="ER53" i="4"/>
  <c r="ES53" i="4" s="1"/>
  <c r="EZ53" i="4"/>
  <c r="FA53" i="4" s="1"/>
  <c r="EV53" i="4"/>
  <c r="EW53" i="4" s="1"/>
  <c r="EX53" i="4"/>
  <c r="EY53" i="4" s="1"/>
  <c r="ER329" i="4"/>
  <c r="ES329" i="4" s="1"/>
  <c r="EZ329" i="4"/>
  <c r="FA329" i="4" s="1"/>
  <c r="EV329" i="4"/>
  <c r="EW329" i="4" s="1"/>
  <c r="EX329" i="4"/>
  <c r="EY329" i="4" s="1"/>
  <c r="EZ216" i="4"/>
  <c r="FA216" i="4" s="1"/>
  <c r="EX216" i="4"/>
  <c r="EY216" i="4" s="1"/>
  <c r="EV216" i="4"/>
  <c r="EZ199" i="4"/>
  <c r="FA199" i="4" s="1"/>
  <c r="EV199" i="4"/>
  <c r="EW199" i="4" s="1"/>
  <c r="EX199" i="4"/>
  <c r="EY199" i="4" s="1"/>
  <c r="EN238" i="4"/>
  <c r="EO238" i="4" s="1"/>
  <c r="EX238" i="4"/>
  <c r="EY238" i="4" s="1"/>
  <c r="EZ238" i="4"/>
  <c r="FA238" i="4" s="1"/>
  <c r="EV238" i="4"/>
  <c r="EW238" i="4" s="1"/>
  <c r="ER64" i="4"/>
  <c r="ES64" i="4" s="1"/>
  <c r="EV64" i="4"/>
  <c r="EX64" i="4"/>
  <c r="EY64" i="4" s="1"/>
  <c r="EZ64" i="4"/>
  <c r="BK114" i="4"/>
  <c r="EX114" i="4"/>
  <c r="EY114" i="4" s="1"/>
  <c r="EZ114" i="4"/>
  <c r="EV114" i="4"/>
  <c r="EW114" i="4" s="1"/>
  <c r="EZ379" i="4"/>
  <c r="FA379" i="4" s="1"/>
  <c r="EX379" i="4"/>
  <c r="EY379" i="4" s="1"/>
  <c r="EV379" i="4"/>
  <c r="EW379" i="4" s="1"/>
  <c r="EZ155" i="4"/>
  <c r="FA155" i="4" s="1"/>
  <c r="EX155" i="4"/>
  <c r="EY155" i="4" s="1"/>
  <c r="EV155" i="4"/>
  <c r="EX369" i="4"/>
  <c r="EY369" i="4" s="1"/>
  <c r="EZ369" i="4"/>
  <c r="EV369" i="4"/>
  <c r="EW369" i="4" s="1"/>
  <c r="EX265" i="4"/>
  <c r="EY265" i="4" s="1"/>
  <c r="EZ265" i="4"/>
  <c r="FA265" i="4" s="1"/>
  <c r="EV265" i="4"/>
  <c r="EW265" i="4" s="1"/>
  <c r="GU232" i="4"/>
  <c r="EX232" i="4"/>
  <c r="EY232" i="4" s="1"/>
  <c r="EV232" i="4"/>
  <c r="EW232" i="4" s="1"/>
  <c r="EZ232" i="4"/>
  <c r="FA232" i="4" s="1"/>
  <c r="GM233" i="4"/>
  <c r="EX233" i="4"/>
  <c r="EV233" i="4"/>
  <c r="EW233" i="4" s="1"/>
  <c r="EZ233" i="4"/>
  <c r="EN82" i="4"/>
  <c r="EX82" i="4"/>
  <c r="EY82" i="4" s="1"/>
  <c r="EV82" i="4"/>
  <c r="EZ82" i="4"/>
  <c r="FA82" i="4" s="1"/>
  <c r="EZ398" i="4"/>
  <c r="FA398" i="4" s="1"/>
  <c r="EX398" i="4"/>
  <c r="EY398" i="4" s="1"/>
  <c r="EV398" i="4"/>
  <c r="EW398" i="4" s="1"/>
  <c r="EZ151" i="4"/>
  <c r="FA151" i="4" s="1"/>
  <c r="EX151" i="4"/>
  <c r="EY151" i="4" s="1"/>
  <c r="EV151" i="4"/>
  <c r="GQ302" i="4"/>
  <c r="EZ302" i="4"/>
  <c r="EV302" i="4"/>
  <c r="EX302" i="4"/>
  <c r="EY302" i="4" s="1"/>
  <c r="AN137" i="4"/>
  <c r="EV137" i="4"/>
  <c r="EW137" i="4" s="1"/>
  <c r="EZ137" i="4"/>
  <c r="FA137" i="4" s="1"/>
  <c r="EX137" i="4"/>
  <c r="EY137" i="4" s="1"/>
  <c r="GQ300" i="4"/>
  <c r="EZ300" i="4"/>
  <c r="FA300" i="4" s="1"/>
  <c r="EV300" i="4"/>
  <c r="EW300" i="4" s="1"/>
  <c r="EX300" i="4"/>
  <c r="AU148" i="4"/>
  <c r="EV148" i="4"/>
  <c r="EX148" i="4"/>
  <c r="EY148" i="4" s="1"/>
  <c r="EZ148" i="4"/>
  <c r="FA148" i="4" s="1"/>
  <c r="GU205" i="4"/>
  <c r="EX205" i="4"/>
  <c r="EY205" i="4" s="1"/>
  <c r="EZ205" i="4"/>
  <c r="FA205" i="4" s="1"/>
  <c r="EV205" i="4"/>
  <c r="EW205" i="4" s="1"/>
  <c r="EP40" i="4"/>
  <c r="EQ40" i="4" s="1"/>
  <c r="EV40" i="4"/>
  <c r="EW40" i="4" s="1"/>
  <c r="EZ40" i="4"/>
  <c r="FA40" i="4" s="1"/>
  <c r="EX40" i="4"/>
  <c r="ER26" i="4"/>
  <c r="ES26" i="4" s="1"/>
  <c r="EZ26" i="4"/>
  <c r="EX26" i="4"/>
  <c r="EV26" i="4"/>
  <c r="EW26" i="4" s="1"/>
  <c r="AB45" i="4"/>
  <c r="EX45" i="4"/>
  <c r="EY45" i="4" s="1"/>
  <c r="EZ45" i="4"/>
  <c r="FA45" i="4" s="1"/>
  <c r="EV45" i="4"/>
  <c r="EW45" i="4" s="1"/>
  <c r="EX252" i="4"/>
  <c r="EY252" i="4" s="1"/>
  <c r="EZ252" i="4"/>
  <c r="FA252" i="4" s="1"/>
  <c r="EV252" i="4"/>
  <c r="EW252" i="4" s="1"/>
  <c r="EV201" i="4"/>
  <c r="EX201" i="4"/>
  <c r="EY201" i="4" s="1"/>
  <c r="EP142" i="4"/>
  <c r="EQ142" i="4" s="1"/>
  <c r="EX142" i="4"/>
  <c r="EY142" i="4" s="1"/>
  <c r="EZ142" i="4"/>
  <c r="FA142" i="4" s="1"/>
  <c r="EV142" i="4"/>
  <c r="EZ215" i="4"/>
  <c r="FA215" i="4" s="1"/>
  <c r="EX215" i="4"/>
  <c r="EY215" i="4" s="1"/>
  <c r="EV215" i="4"/>
  <c r="EW215" i="4" s="1"/>
  <c r="EX354" i="4"/>
  <c r="EY354" i="4" s="1"/>
  <c r="EZ354" i="4"/>
  <c r="FA354" i="4" s="1"/>
  <c r="EV354" i="4"/>
  <c r="EW354" i="4" s="1"/>
  <c r="EZ99" i="4"/>
  <c r="EV99" i="4"/>
  <c r="EW99" i="4" s="1"/>
  <c r="EX99" i="4"/>
  <c r="AN149" i="4"/>
  <c r="EZ149" i="4"/>
  <c r="FA149" i="4" s="1"/>
  <c r="EV149" i="4"/>
  <c r="EX149" i="4"/>
  <c r="EY149" i="4" s="1"/>
  <c r="EN141" i="4"/>
  <c r="EO141" i="4" s="1"/>
  <c r="EZ141" i="4"/>
  <c r="FA141" i="4" s="1"/>
  <c r="EX141" i="4"/>
  <c r="EY141" i="4" s="1"/>
  <c r="EV141" i="4"/>
  <c r="EW141" i="4" s="1"/>
  <c r="EZ331" i="4"/>
  <c r="FA331" i="4" s="1"/>
  <c r="EV331" i="4"/>
  <c r="EX331" i="4"/>
  <c r="EY331" i="4" s="1"/>
  <c r="GS255" i="4"/>
  <c r="EZ255" i="4"/>
  <c r="EV255" i="4"/>
  <c r="EW255" i="4" s="1"/>
  <c r="EX255" i="4"/>
  <c r="EV185" i="4"/>
  <c r="EW185" i="4" s="1"/>
  <c r="EZ185" i="4"/>
  <c r="FA185" i="4" s="1"/>
  <c r="EX185" i="4"/>
  <c r="EY185" i="4" s="1"/>
  <c r="EX223" i="4"/>
  <c r="EY223" i="4" s="1"/>
  <c r="EZ223" i="4"/>
  <c r="FA223" i="4" s="1"/>
  <c r="EV223" i="4"/>
  <c r="EW223" i="4" s="1"/>
  <c r="EX292" i="4"/>
  <c r="EZ292" i="4"/>
  <c r="FA292" i="4" s="1"/>
  <c r="EV292" i="4"/>
  <c r="ER359" i="4"/>
  <c r="ES359" i="4" s="1"/>
  <c r="EZ359" i="4"/>
  <c r="FA359" i="4" s="1"/>
  <c r="EX359" i="4"/>
  <c r="EV359" i="4"/>
  <c r="EW359" i="4" s="1"/>
  <c r="EX138" i="4"/>
  <c r="EY138" i="4" s="1"/>
  <c r="EZ138" i="4"/>
  <c r="FA138" i="4" s="1"/>
  <c r="EV138" i="4"/>
  <c r="EW138" i="4" s="1"/>
  <c r="EZ281" i="4"/>
  <c r="FA281" i="4" s="1"/>
  <c r="EX281" i="4"/>
  <c r="EY281" i="4" s="1"/>
  <c r="EV281" i="4"/>
  <c r="AG123" i="4"/>
  <c r="EZ123" i="4"/>
  <c r="EX123" i="4"/>
  <c r="EY123" i="4" s="1"/>
  <c r="EV123" i="4"/>
  <c r="EW123" i="4" s="1"/>
  <c r="ER270" i="4"/>
  <c r="ES270" i="4" s="1"/>
  <c r="EX270" i="4"/>
  <c r="EV270" i="4"/>
  <c r="EW270" i="4" s="1"/>
  <c r="EZ270" i="4"/>
  <c r="FA270" i="4" s="1"/>
  <c r="AN135" i="4"/>
  <c r="EZ135" i="4"/>
  <c r="FA135" i="4" s="1"/>
  <c r="EX135" i="4"/>
  <c r="EY135" i="4" s="1"/>
  <c r="EV135" i="4"/>
  <c r="EP169" i="4"/>
  <c r="EQ169" i="4" s="1"/>
  <c r="EZ169" i="4"/>
  <c r="EV169" i="4"/>
  <c r="EW169" i="4" s="1"/>
  <c r="EX169" i="4"/>
  <c r="EY169" i="4" s="1"/>
  <c r="EV28" i="4"/>
  <c r="EW28" i="4" s="1"/>
  <c r="EZ28" i="4"/>
  <c r="FA28" i="4" s="1"/>
  <c r="EX28" i="4"/>
  <c r="EY28" i="4" s="1"/>
  <c r="CM36" i="4"/>
  <c r="EV36" i="4"/>
  <c r="EW36" i="4" s="1"/>
  <c r="EX36" i="4"/>
  <c r="EY36" i="4" s="1"/>
  <c r="EZ36" i="4"/>
  <c r="FA36" i="4" s="1"/>
  <c r="BY33" i="4"/>
  <c r="EX33" i="4"/>
  <c r="EY33" i="4" s="1"/>
  <c r="EZ33" i="4"/>
  <c r="EV33" i="4"/>
  <c r="EZ276" i="4"/>
  <c r="FA276" i="4" s="1"/>
  <c r="EX276" i="4"/>
  <c r="EY276" i="4" s="1"/>
  <c r="EV276" i="4"/>
  <c r="EW276" i="4" s="1"/>
  <c r="EX235" i="4"/>
  <c r="EY235" i="4" s="1"/>
  <c r="EZ235" i="4"/>
  <c r="FA235" i="4" s="1"/>
  <c r="EV235" i="4"/>
  <c r="EW235" i="4" s="1"/>
  <c r="EP154" i="4"/>
  <c r="EQ154" i="4" s="1"/>
  <c r="EX154" i="4"/>
  <c r="EY154" i="4" s="1"/>
  <c r="EZ154" i="4"/>
  <c r="EV154" i="4"/>
  <c r="EW154" i="4" s="1"/>
  <c r="ER20" i="4"/>
  <c r="ES20" i="4" s="1"/>
  <c r="EV20" i="4"/>
  <c r="EW20" i="4" s="1"/>
  <c r="EX20" i="4"/>
  <c r="EY20" i="4" s="1"/>
  <c r="EZ20" i="4"/>
  <c r="ER386" i="4"/>
  <c r="ES386" i="4" s="1"/>
  <c r="EZ386" i="4"/>
  <c r="FA386" i="4" s="1"/>
  <c r="EV386" i="4"/>
  <c r="EW386" i="4" s="1"/>
  <c r="EX386" i="4"/>
  <c r="EY386" i="4" s="1"/>
  <c r="AG136" i="4"/>
  <c r="EV136" i="4"/>
  <c r="EW136" i="4" s="1"/>
  <c r="EZ136" i="4"/>
  <c r="EX136" i="4"/>
  <c r="EY136" i="4" s="1"/>
  <c r="EZ191" i="4"/>
  <c r="FA191" i="4" s="1"/>
  <c r="EX191" i="4"/>
  <c r="EY191" i="4" s="1"/>
  <c r="EV191" i="4"/>
  <c r="EW191" i="4" s="1"/>
  <c r="EZ131" i="4"/>
  <c r="EX131" i="4"/>
  <c r="EY131" i="4" s="1"/>
  <c r="EV131" i="4"/>
  <c r="EW131" i="4" s="1"/>
  <c r="GU200" i="4"/>
  <c r="EZ200" i="4"/>
  <c r="FA200" i="4" s="1"/>
  <c r="EV200" i="4"/>
  <c r="EW200" i="4" s="1"/>
  <c r="EX200" i="4"/>
  <c r="EY200" i="4" s="1"/>
  <c r="GO325" i="4"/>
  <c r="EZ325" i="4"/>
  <c r="FA325" i="4" s="1"/>
  <c r="EX325" i="4"/>
  <c r="EY325" i="4" s="1"/>
  <c r="EV325" i="4"/>
  <c r="EW325" i="4" s="1"/>
  <c r="BW74" i="4"/>
  <c r="EZ74" i="4"/>
  <c r="EV74" i="4"/>
  <c r="EX74" i="4"/>
  <c r="EY74" i="4" s="1"/>
  <c r="EX342" i="4"/>
  <c r="EY342" i="4" s="1"/>
  <c r="EZ342" i="4"/>
  <c r="FA342" i="4" s="1"/>
  <c r="EV342" i="4"/>
  <c r="EW342" i="4" s="1"/>
  <c r="EZ129" i="4"/>
  <c r="FA129" i="4" s="1"/>
  <c r="EX129" i="4"/>
  <c r="EY129" i="4" s="1"/>
  <c r="EV129" i="4"/>
  <c r="EW129" i="4" s="1"/>
  <c r="EX282" i="4"/>
  <c r="EZ282" i="4"/>
  <c r="FA282" i="4" s="1"/>
  <c r="EV282" i="4"/>
  <c r="EW282" i="4" s="1"/>
  <c r="EX246" i="4"/>
  <c r="EY246" i="4" s="1"/>
  <c r="EZ246" i="4"/>
  <c r="FA246" i="4" s="1"/>
  <c r="EV246" i="4"/>
  <c r="EW246" i="4" s="1"/>
  <c r="AW70" i="4"/>
  <c r="EZ70" i="4"/>
  <c r="FA70" i="4" s="1"/>
  <c r="EV70" i="4"/>
  <c r="EW70" i="4" s="1"/>
  <c r="EX70" i="4"/>
  <c r="EY70" i="4" s="1"/>
  <c r="EZ211" i="4"/>
  <c r="FA211" i="4" s="1"/>
  <c r="EV211" i="4"/>
  <c r="EX211" i="4"/>
  <c r="GU210" i="4"/>
  <c r="EX210" i="4"/>
  <c r="EY210" i="4" s="1"/>
  <c r="EZ210" i="4"/>
  <c r="FA210" i="4" s="1"/>
  <c r="EV210" i="4"/>
  <c r="EW210" i="4" s="1"/>
  <c r="GQ330" i="4"/>
  <c r="EX330" i="4"/>
  <c r="EY330" i="4" s="1"/>
  <c r="EZ330" i="4"/>
  <c r="FA330" i="4" s="1"/>
  <c r="EV330" i="4"/>
  <c r="EW330" i="4" s="1"/>
  <c r="EV124" i="4"/>
  <c r="EW124" i="4" s="1"/>
  <c r="EZ124" i="4"/>
  <c r="EX124" i="4"/>
  <c r="EY124" i="4" s="1"/>
  <c r="EN262" i="4"/>
  <c r="EX262" i="4"/>
  <c r="EY262" i="4" s="1"/>
  <c r="EV262" i="4"/>
  <c r="EW262" i="4" s="1"/>
  <c r="AW107" i="4"/>
  <c r="EZ107" i="4"/>
  <c r="FA107" i="4" s="1"/>
  <c r="EX107" i="4"/>
  <c r="EY107" i="4" s="1"/>
  <c r="EV107" i="4"/>
  <c r="EW107" i="4" s="1"/>
  <c r="EZ260" i="4"/>
  <c r="FA260" i="4" s="1"/>
  <c r="EX260" i="4"/>
  <c r="EY260" i="4" s="1"/>
  <c r="EV260" i="4"/>
  <c r="EW260" i="4" s="1"/>
  <c r="EP120" i="4"/>
  <c r="EQ120" i="4" s="1"/>
  <c r="EX120" i="4"/>
  <c r="EY120" i="4" s="1"/>
  <c r="EV120" i="4"/>
  <c r="AN147" i="4"/>
  <c r="EZ147" i="4"/>
  <c r="FA147" i="4" s="1"/>
  <c r="EX147" i="4"/>
  <c r="EY147" i="4" s="1"/>
  <c r="EV147" i="4"/>
  <c r="EW147" i="4" s="1"/>
  <c r="EZ17" i="4"/>
  <c r="FA17" i="4" s="1"/>
  <c r="EX17" i="4"/>
  <c r="EY17" i="4" s="1"/>
  <c r="EV17" i="4"/>
  <c r="EW17" i="4" s="1"/>
  <c r="BY25" i="4"/>
  <c r="EX25" i="4"/>
  <c r="EY25" i="4" s="1"/>
  <c r="EZ25" i="4"/>
  <c r="EV25" i="4"/>
  <c r="EW25" i="4" s="1"/>
  <c r="DV22" i="4"/>
  <c r="EV22" i="4"/>
  <c r="EW22" i="4" s="1"/>
  <c r="EX22" i="4"/>
  <c r="EY22" i="4" s="1"/>
  <c r="EZ22" i="4"/>
  <c r="FA22" i="4" s="1"/>
  <c r="EZ317" i="4"/>
  <c r="FA317" i="4" s="1"/>
  <c r="EX317" i="4"/>
  <c r="EY317" i="4" s="1"/>
  <c r="EV317" i="4"/>
  <c r="EW317" i="4" s="1"/>
  <c r="AB67" i="4"/>
  <c r="EV67" i="4"/>
  <c r="EW67" i="4" s="1"/>
  <c r="EX67" i="4"/>
  <c r="EY67" i="4" s="1"/>
  <c r="EZ67" i="4"/>
  <c r="EZ179" i="4"/>
  <c r="FA179" i="4" s="1"/>
  <c r="EX179" i="4"/>
  <c r="EV179" i="4"/>
  <c r="EZ85" i="4"/>
  <c r="FA85" i="4" s="1"/>
  <c r="EX85" i="4"/>
  <c r="EY85" i="4" s="1"/>
  <c r="EV85" i="4"/>
  <c r="EW85" i="4" s="1"/>
  <c r="EP190" i="4"/>
  <c r="EQ190" i="4" s="1"/>
  <c r="EX190" i="4"/>
  <c r="EY190" i="4" s="1"/>
  <c r="EZ190" i="4"/>
  <c r="FA190" i="4" s="1"/>
  <c r="EV190" i="4"/>
  <c r="EW190" i="4" s="1"/>
  <c r="GU286" i="4"/>
  <c r="EX286" i="4"/>
  <c r="EZ286" i="4"/>
  <c r="FA286" i="4" s="1"/>
  <c r="EV286" i="4"/>
  <c r="EX320" i="4"/>
  <c r="EY320" i="4" s="1"/>
  <c r="EV320" i="4"/>
  <c r="EW320" i="4" s="1"/>
  <c r="EZ320" i="4"/>
  <c r="EX306" i="4"/>
  <c r="EY306" i="4" s="1"/>
  <c r="EV306" i="4"/>
  <c r="EW306" i="4" s="1"/>
  <c r="EZ306" i="4"/>
  <c r="FA306" i="4" s="1"/>
  <c r="EV112" i="4"/>
  <c r="EW112" i="4" s="1"/>
  <c r="EZ112" i="4"/>
  <c r="FA112" i="4" s="1"/>
  <c r="EX112" i="4"/>
  <c r="EY112" i="4" s="1"/>
  <c r="GW254" i="4"/>
  <c r="EZ254" i="4"/>
  <c r="FA254" i="4" s="1"/>
  <c r="EV254" i="4"/>
  <c r="EX254" i="4"/>
  <c r="EX224" i="4"/>
  <c r="EY224" i="4" s="1"/>
  <c r="EV224" i="4"/>
  <c r="EW224" i="4" s="1"/>
  <c r="ER348" i="4"/>
  <c r="ES348" i="4" s="1"/>
  <c r="EX348" i="4"/>
  <c r="EY348" i="4" s="1"/>
  <c r="EZ348" i="4"/>
  <c r="FA348" i="4" s="1"/>
  <c r="EV348" i="4"/>
  <c r="EW348" i="4" s="1"/>
  <c r="GO196" i="4"/>
  <c r="EV196" i="4"/>
  <c r="EW196" i="4" s="1"/>
  <c r="EZ196" i="4"/>
  <c r="FA196" i="4" s="1"/>
  <c r="EX196" i="4"/>
  <c r="EY196" i="4" s="1"/>
  <c r="ER109" i="4"/>
  <c r="ES109" i="4" s="1"/>
  <c r="EX109" i="4"/>
  <c r="EZ109" i="4"/>
  <c r="FA109" i="4" s="1"/>
  <c r="EV109" i="4"/>
  <c r="EW109" i="4" s="1"/>
  <c r="ER319" i="4"/>
  <c r="ES319" i="4" s="1"/>
  <c r="EX319" i="4"/>
  <c r="EY319" i="4" s="1"/>
  <c r="EZ319" i="4"/>
  <c r="FA319" i="4" s="1"/>
  <c r="EV319" i="4"/>
  <c r="EW319" i="4" s="1"/>
  <c r="EP108" i="4"/>
  <c r="EQ108" i="4" s="1"/>
  <c r="EX108" i="4"/>
  <c r="EY108" i="4" s="1"/>
  <c r="EZ108" i="4"/>
  <c r="FA108" i="4" s="1"/>
  <c r="EV108" i="4"/>
  <c r="EW108" i="4" s="1"/>
  <c r="EX253" i="4"/>
  <c r="EV253" i="4"/>
  <c r="EZ253" i="4"/>
  <c r="FA253" i="4" s="1"/>
  <c r="ER93" i="4"/>
  <c r="ES93" i="4" s="1"/>
  <c r="EX93" i="4"/>
  <c r="EY93" i="4" s="1"/>
  <c r="EZ93" i="4"/>
  <c r="FA93" i="4" s="1"/>
  <c r="EV93" i="4"/>
  <c r="EW93" i="4" s="1"/>
  <c r="GO251" i="4"/>
  <c r="EZ251" i="4"/>
  <c r="FA251" i="4" s="1"/>
  <c r="EX251" i="4"/>
  <c r="EY251" i="4" s="1"/>
  <c r="EV251" i="4"/>
  <c r="AB104" i="4"/>
  <c r="EX104" i="4"/>
  <c r="EZ104" i="4"/>
  <c r="FA104" i="4" s="1"/>
  <c r="EV104" i="4"/>
  <c r="EW104" i="4" s="1"/>
  <c r="EN119" i="4"/>
  <c r="EO119" i="4" s="1"/>
  <c r="EZ119" i="4"/>
  <c r="EX119" i="4"/>
  <c r="EY119" i="4" s="1"/>
  <c r="EV119" i="4"/>
  <c r="EW119" i="4" s="1"/>
  <c r="ER51" i="4"/>
  <c r="ES51" i="4" s="1"/>
  <c r="EV51" i="4"/>
  <c r="EW51" i="4" s="1"/>
  <c r="EX51" i="4"/>
  <c r="EY51" i="4" s="1"/>
  <c r="EZ51" i="4"/>
  <c r="FA51" i="4" s="1"/>
  <c r="EX34" i="4"/>
  <c r="EY34" i="4" s="1"/>
  <c r="EZ34" i="4"/>
  <c r="FA34" i="4" s="1"/>
  <c r="EV34" i="4"/>
  <c r="EW34" i="4" s="1"/>
  <c r="DO10" i="4"/>
  <c r="EV10" i="4"/>
  <c r="EZ10" i="4"/>
  <c r="FA10" i="4" s="1"/>
  <c r="EX10" i="4"/>
  <c r="EY10" i="4" s="1"/>
  <c r="EV240" i="4"/>
  <c r="EW240" i="4" s="1"/>
  <c r="EZ240" i="4"/>
  <c r="FA240" i="4" s="1"/>
  <c r="EX240" i="4"/>
  <c r="EY240" i="4" s="1"/>
  <c r="EX344" i="4"/>
  <c r="EY344" i="4" s="1"/>
  <c r="EV344" i="4"/>
  <c r="ER158" i="4"/>
  <c r="ES158" i="4" s="1"/>
  <c r="EZ158" i="4"/>
  <c r="EX158" i="4"/>
  <c r="EV158" i="4"/>
  <c r="EW158" i="4" s="1"/>
  <c r="EZ301" i="4"/>
  <c r="FA301" i="4" s="1"/>
  <c r="EX301" i="4"/>
  <c r="EY301" i="4" s="1"/>
  <c r="EV301" i="4"/>
  <c r="EW301" i="4" s="1"/>
  <c r="EZ167" i="4"/>
  <c r="FA167" i="4" s="1"/>
  <c r="EX167" i="4"/>
  <c r="EY167" i="4" s="1"/>
  <c r="EV167" i="4"/>
  <c r="EW167" i="4" s="1"/>
  <c r="ER257" i="4"/>
  <c r="ES257" i="4" s="1"/>
  <c r="EV257" i="4"/>
  <c r="EW257" i="4" s="1"/>
  <c r="EX257" i="4"/>
  <c r="EY257" i="4" s="1"/>
  <c r="EZ257" i="4"/>
  <c r="EZ139" i="4"/>
  <c r="FA139" i="4" s="1"/>
  <c r="EV139" i="4"/>
  <c r="EW139" i="4" s="1"/>
  <c r="EX139" i="4"/>
  <c r="EY139" i="4" s="1"/>
  <c r="GU256" i="4"/>
  <c r="EV256" i="4"/>
  <c r="EW256" i="4" s="1"/>
  <c r="EZ256" i="4"/>
  <c r="FA256" i="4" s="1"/>
  <c r="EX256" i="4"/>
  <c r="EY256" i="4" s="1"/>
  <c r="EP84" i="4"/>
  <c r="EQ84" i="4" s="1"/>
  <c r="EZ84" i="4"/>
  <c r="FA84" i="4" s="1"/>
  <c r="EX84" i="4"/>
  <c r="EY84" i="4" s="1"/>
  <c r="EV84" i="4"/>
  <c r="EW84" i="4" s="1"/>
  <c r="ER95" i="4"/>
  <c r="ES95" i="4" s="1"/>
  <c r="EZ95" i="4"/>
  <c r="FA95" i="4" s="1"/>
  <c r="EX95" i="4"/>
  <c r="EY95" i="4" s="1"/>
  <c r="EV95" i="4"/>
  <c r="EW95" i="4" s="1"/>
  <c r="EN197" i="4"/>
  <c r="EO197" i="4" s="1"/>
  <c r="EZ197" i="4"/>
  <c r="FA197" i="4" s="1"/>
  <c r="EV197" i="4"/>
  <c r="EW197" i="4" s="1"/>
  <c r="EX197" i="4"/>
  <c r="EY197" i="4" s="1"/>
  <c r="EX349" i="4"/>
  <c r="EY349" i="4" s="1"/>
  <c r="EZ349" i="4"/>
  <c r="FA349" i="4" s="1"/>
  <c r="EV349" i="4"/>
  <c r="GS175" i="4"/>
  <c r="EX175" i="4"/>
  <c r="EZ175" i="4"/>
  <c r="FA175" i="4" s="1"/>
  <c r="EV175" i="4"/>
  <c r="EW175" i="4" s="1"/>
  <c r="ER364" i="4"/>
  <c r="ES364" i="4" s="1"/>
  <c r="EX364" i="4"/>
  <c r="EY364" i="4" s="1"/>
  <c r="EZ364" i="4"/>
  <c r="FA364" i="4" s="1"/>
  <c r="EV364" i="4"/>
  <c r="EW364" i="4" s="1"/>
  <c r="EZ263" i="4"/>
  <c r="FA263" i="4" s="1"/>
  <c r="EX263" i="4"/>
  <c r="EY263" i="4" s="1"/>
  <c r="EV263" i="4"/>
  <c r="EW263" i="4" s="1"/>
  <c r="EX80" i="4"/>
  <c r="EZ80" i="4"/>
  <c r="FA80" i="4" s="1"/>
  <c r="EV80" i="4"/>
  <c r="GO230" i="4"/>
  <c r="EZ230" i="4"/>
  <c r="FA230" i="4" s="1"/>
  <c r="EV230" i="4"/>
  <c r="EW230" i="4" s="1"/>
  <c r="EX230" i="4"/>
  <c r="EY230" i="4" s="1"/>
  <c r="EZ271" i="4"/>
  <c r="FA271" i="4" s="1"/>
  <c r="EX271" i="4"/>
  <c r="EY271" i="4" s="1"/>
  <c r="EV271" i="4"/>
  <c r="EW271" i="4" s="1"/>
  <c r="EZ229" i="4"/>
  <c r="FA229" i="4" s="1"/>
  <c r="EV229" i="4"/>
  <c r="EW229" i="4" s="1"/>
  <c r="EX229" i="4"/>
  <c r="EY229" i="4" s="1"/>
  <c r="AW78" i="4"/>
  <c r="EV78" i="4"/>
  <c r="EX78" i="4"/>
  <c r="EZ78" i="4"/>
  <c r="FA78" i="4" s="1"/>
  <c r="EZ65" i="4"/>
  <c r="FA65" i="4" s="1"/>
  <c r="EV65" i="4"/>
  <c r="EW65" i="4" s="1"/>
  <c r="EX65" i="4"/>
  <c r="EY65" i="4" s="1"/>
  <c r="ER15" i="4"/>
  <c r="ES15" i="4" s="1"/>
  <c r="EZ15" i="4"/>
  <c r="FA15" i="4" s="1"/>
  <c r="EX15" i="4"/>
  <c r="EY15" i="4" s="1"/>
  <c r="EV15" i="4"/>
  <c r="EW15" i="4" s="1"/>
  <c r="EV44" i="4"/>
  <c r="EW44" i="4" s="1"/>
  <c r="EZ44" i="4"/>
  <c r="FA44" i="4" s="1"/>
  <c r="EX44" i="4"/>
  <c r="EY44" i="4" s="1"/>
  <c r="EZ43" i="4"/>
  <c r="FA43" i="4" s="1"/>
  <c r="EX43" i="4"/>
  <c r="EY43" i="4" s="1"/>
  <c r="EV43" i="4"/>
  <c r="EW43" i="4" s="1"/>
  <c r="EV264" i="4"/>
  <c r="EW264" i="4" s="1"/>
  <c r="EV152" i="4"/>
  <c r="EW152" i="4" s="1"/>
  <c r="EV31" i="4"/>
  <c r="EW31" i="4" s="1"/>
  <c r="EV357" i="4"/>
  <c r="EW357" i="4" s="1"/>
  <c r="EV275" i="4"/>
  <c r="EW275" i="4" s="1"/>
  <c r="EV315" i="4"/>
  <c r="EW315" i="4" s="1"/>
  <c r="EV186" i="4"/>
  <c r="EW186" i="4" s="1"/>
  <c r="EV341" i="4"/>
  <c r="EW341" i="4" s="1"/>
  <c r="EV272" i="4"/>
  <c r="EX172" i="4"/>
  <c r="EY172" i="4" s="1"/>
  <c r="EV222" i="4"/>
  <c r="EW222" i="4" s="1"/>
  <c r="EX170" i="4"/>
  <c r="EY170" i="4" s="1"/>
  <c r="EV49" i="4"/>
  <c r="EW49" i="4" s="1"/>
  <c r="EV98" i="4"/>
  <c r="EW98" i="4" s="1"/>
  <c r="EV11" i="4"/>
  <c r="EW11" i="4" s="1"/>
  <c r="EV207" i="4"/>
  <c r="EW207" i="4" s="1"/>
  <c r="EX360" i="4"/>
  <c r="EY360" i="4" s="1"/>
  <c r="EV291" i="4"/>
  <c r="EW291" i="4" s="1"/>
  <c r="EX244" i="4"/>
  <c r="EZ9" i="4"/>
  <c r="FA9" i="4" s="1"/>
  <c r="EZ264" i="4"/>
  <c r="FA264" i="4" s="1"/>
  <c r="EX152" i="4"/>
  <c r="EY152" i="4" s="1"/>
  <c r="EX31" i="4"/>
  <c r="EY31" i="4" s="1"/>
  <c r="EX357" i="4"/>
  <c r="EY357" i="4" s="1"/>
  <c r="EX275" i="4"/>
  <c r="EY275" i="4" s="1"/>
  <c r="EX315" i="4"/>
  <c r="EY315" i="4" s="1"/>
  <c r="EZ186" i="4"/>
  <c r="FA186" i="4" s="1"/>
  <c r="EX341" i="4"/>
  <c r="EY341" i="4" s="1"/>
  <c r="EX272" i="4"/>
  <c r="EY272" i="4" s="1"/>
  <c r="EZ172" i="4"/>
  <c r="FA172" i="4" s="1"/>
  <c r="EZ222" i="4"/>
  <c r="FA222" i="4" s="1"/>
  <c r="EV170" i="4"/>
  <c r="EZ49" i="4"/>
  <c r="FA49" i="4" s="1"/>
  <c r="EX98" i="4"/>
  <c r="EY98" i="4" s="1"/>
  <c r="EX11" i="4"/>
  <c r="EY11" i="4" s="1"/>
  <c r="EX207" i="4"/>
  <c r="EY207" i="4" s="1"/>
  <c r="EV360" i="4"/>
  <c r="EW360" i="4" s="1"/>
  <c r="EX291" i="4"/>
  <c r="EY291" i="4" s="1"/>
  <c r="EZ244" i="4"/>
  <c r="FA244" i="4" s="1"/>
  <c r="EV9" i="4"/>
  <c r="EW9" i="4" s="1"/>
  <c r="EX264" i="4"/>
  <c r="EY264" i="4" s="1"/>
  <c r="EZ31" i="4"/>
  <c r="FA31" i="4" s="1"/>
  <c r="EZ357" i="4"/>
  <c r="FA357" i="4" s="1"/>
  <c r="EX186" i="4"/>
  <c r="EY186" i="4" s="1"/>
  <c r="EZ272" i="4"/>
  <c r="FA272" i="4" s="1"/>
  <c r="EZ170" i="4"/>
  <c r="FA170" i="4" s="1"/>
  <c r="EX49" i="4"/>
  <c r="EY49" i="4" s="1"/>
  <c r="EZ11" i="4"/>
  <c r="FA11" i="4" s="1"/>
  <c r="EZ291" i="4"/>
  <c r="FA291" i="4" s="1"/>
  <c r="EV244" i="4"/>
  <c r="EW244" i="4" s="1"/>
  <c r="EX9" i="4"/>
  <c r="EY9" i="4" s="1"/>
  <c r="EV174" i="4"/>
  <c r="EW174" i="4" s="1"/>
  <c r="EV105" i="4"/>
  <c r="EW105" i="4" s="1"/>
  <c r="EV212" i="4"/>
  <c r="EW212" i="4" s="1"/>
  <c r="EV339" i="4"/>
  <c r="EX50" i="4"/>
  <c r="EY50" i="4" s="1"/>
  <c r="EV298" i="4"/>
  <c r="EV157" i="4"/>
  <c r="EW157" i="4" s="1"/>
  <c r="EV178" i="4"/>
  <c r="EW178" i="4" s="1"/>
  <c r="EV243" i="4"/>
  <c r="EW243" i="4" s="1"/>
  <c r="EX125" i="4"/>
  <c r="EY125" i="4" s="1"/>
  <c r="EW102" i="4"/>
  <c r="FA315" i="4"/>
  <c r="EZ174" i="4"/>
  <c r="FA174" i="4" s="1"/>
  <c r="EZ105" i="4"/>
  <c r="FA105" i="4" s="1"/>
  <c r="EX212" i="4"/>
  <c r="EY212" i="4" s="1"/>
  <c r="EZ102" i="4"/>
  <c r="FA102" i="4" s="1"/>
  <c r="EX339" i="4"/>
  <c r="EY339" i="4" s="1"/>
  <c r="EV50" i="4"/>
  <c r="EZ298" i="4"/>
  <c r="FA298" i="4" s="1"/>
  <c r="EX157" i="4"/>
  <c r="EY157" i="4" s="1"/>
  <c r="EX18" i="4"/>
  <c r="EY18" i="4" s="1"/>
  <c r="EZ178" i="4"/>
  <c r="FA178" i="4" s="1"/>
  <c r="EX243" i="4"/>
  <c r="EY243" i="4" s="1"/>
  <c r="EZ125" i="4"/>
  <c r="FA125" i="4" s="1"/>
  <c r="EX174" i="4"/>
  <c r="EY174" i="4" s="1"/>
  <c r="EX105" i="4"/>
  <c r="EY105" i="4" s="1"/>
  <c r="EX102" i="4"/>
  <c r="EY102" i="4" s="1"/>
  <c r="EZ339" i="4"/>
  <c r="FA339" i="4" s="1"/>
  <c r="EZ157" i="4"/>
  <c r="FA157" i="4" s="1"/>
  <c r="EZ18" i="4"/>
  <c r="FA18" i="4" s="1"/>
  <c r="EV125" i="4"/>
  <c r="EW125" i="4" s="1"/>
  <c r="EV242" i="4"/>
  <c r="EW242" i="4" s="1"/>
  <c r="EV399" i="4"/>
  <c r="EZ241" i="4"/>
  <c r="FA241" i="4" s="1"/>
  <c r="EV187" i="4"/>
  <c r="EW187" i="4" s="1"/>
  <c r="EX66" i="4"/>
  <c r="EY66" i="4" s="1"/>
  <c r="EZ89" i="4"/>
  <c r="FA89" i="4" s="1"/>
  <c r="EV198" i="4"/>
  <c r="EW198" i="4" s="1"/>
  <c r="EZ88" i="4"/>
  <c r="FA88" i="4" s="1"/>
  <c r="EV340" i="4"/>
  <c r="EW340" i="4" s="1"/>
  <c r="EV250" i="4"/>
  <c r="EW250" i="4" s="1"/>
  <c r="EV87" i="4"/>
  <c r="EV86" i="4"/>
  <c r="EW86" i="4" s="1"/>
  <c r="EV248" i="4"/>
  <c r="EW248" i="4" s="1"/>
  <c r="EV146" i="4"/>
  <c r="EW146" i="4" s="1"/>
  <c r="EV73" i="4"/>
  <c r="EW73" i="4" s="1"/>
  <c r="EV247" i="4"/>
  <c r="EW247" i="4" s="1"/>
  <c r="EZ193" i="4"/>
  <c r="FA193" i="4" s="1"/>
  <c r="EV335" i="4"/>
  <c r="EW335" i="4" s="1"/>
  <c r="EV47" i="4"/>
  <c r="EW47" i="4" s="1"/>
  <c r="EV266" i="4"/>
  <c r="EW266" i="4" s="1"/>
  <c r="EV218" i="4"/>
  <c r="EV166" i="4"/>
  <c r="EW166" i="4" s="1"/>
  <c r="EX110" i="4"/>
  <c r="EY110" i="4" s="1"/>
  <c r="EX242" i="4"/>
  <c r="EY242" i="4" s="1"/>
  <c r="EX399" i="4"/>
  <c r="EY399" i="4" s="1"/>
  <c r="EV241" i="4"/>
  <c r="EW241" i="4" s="1"/>
  <c r="EX187" i="4"/>
  <c r="EY187" i="4" s="1"/>
  <c r="EV66" i="4"/>
  <c r="EW66" i="4" s="1"/>
  <c r="EV89" i="4"/>
  <c r="EW89" i="4" s="1"/>
  <c r="EZ198" i="4"/>
  <c r="FA198" i="4" s="1"/>
  <c r="EV88" i="4"/>
  <c r="EW88" i="4" s="1"/>
  <c r="EX340" i="4"/>
  <c r="EY340" i="4" s="1"/>
  <c r="EZ250" i="4"/>
  <c r="FA250" i="4" s="1"/>
  <c r="EX86" i="4"/>
  <c r="EY86" i="4" s="1"/>
  <c r="EZ248" i="4"/>
  <c r="FA248" i="4" s="1"/>
  <c r="EX146" i="4"/>
  <c r="EY146" i="4" s="1"/>
  <c r="EZ73" i="4"/>
  <c r="FA73" i="4" s="1"/>
  <c r="EZ247" i="4"/>
  <c r="FA247" i="4" s="1"/>
  <c r="EV193" i="4"/>
  <c r="EW193" i="4" s="1"/>
  <c r="EX335" i="4"/>
  <c r="EY335" i="4" s="1"/>
  <c r="EX47" i="4"/>
  <c r="EY47" i="4" s="1"/>
  <c r="EX266" i="4"/>
  <c r="EY266" i="4" s="1"/>
  <c r="EX218" i="4"/>
  <c r="EY218" i="4" s="1"/>
  <c r="EZ166" i="4"/>
  <c r="FA166" i="4" s="1"/>
  <c r="EV110" i="4"/>
  <c r="EW110" i="4" s="1"/>
  <c r="EZ242" i="4"/>
  <c r="FA242" i="4" s="1"/>
  <c r="EZ399" i="4"/>
  <c r="FA399" i="4" s="1"/>
  <c r="EZ187" i="4"/>
  <c r="FA187" i="4" s="1"/>
  <c r="EZ66" i="4"/>
  <c r="FA66" i="4" s="1"/>
  <c r="EX89" i="4"/>
  <c r="EY89" i="4" s="1"/>
  <c r="EX198" i="4"/>
  <c r="EY198" i="4" s="1"/>
  <c r="EX88" i="4"/>
  <c r="EY88" i="4" s="1"/>
  <c r="EX250" i="4"/>
  <c r="EY250" i="4" s="1"/>
  <c r="EZ87" i="4"/>
  <c r="FA87" i="4" s="1"/>
  <c r="EZ86" i="4"/>
  <c r="FA86" i="4" s="1"/>
  <c r="EX248" i="4"/>
  <c r="EY248" i="4" s="1"/>
  <c r="EZ146" i="4"/>
  <c r="FA146" i="4" s="1"/>
  <c r="EX73" i="4"/>
  <c r="EY73" i="4" s="1"/>
  <c r="EX247" i="4"/>
  <c r="EY247" i="4" s="1"/>
  <c r="EX193" i="4"/>
  <c r="EY193" i="4" s="1"/>
  <c r="EZ335" i="4"/>
  <c r="FA335" i="4" s="1"/>
  <c r="EZ47" i="4"/>
  <c r="FA47" i="4" s="1"/>
  <c r="EZ266" i="4"/>
  <c r="FA266" i="4" s="1"/>
  <c r="EZ218" i="4"/>
  <c r="FA218" i="4" s="1"/>
  <c r="EX166" i="4"/>
  <c r="EY166" i="4" s="1"/>
  <c r="EZ110" i="4"/>
  <c r="FA110" i="4" s="1"/>
  <c r="EV164" i="4"/>
  <c r="EW164" i="4" s="1"/>
  <c r="EV389" i="4"/>
  <c r="EZ288" i="4"/>
  <c r="FA288" i="4" s="1"/>
  <c r="EV239" i="4"/>
  <c r="EW239" i="4" s="1"/>
  <c r="EX184" i="4"/>
  <c r="EY184" i="4" s="1"/>
  <c r="EX182" i="4"/>
  <c r="EY182" i="4" s="1"/>
  <c r="EV61" i="4"/>
  <c r="EW61" i="4" s="1"/>
  <c r="EZ220" i="4"/>
  <c r="FA220" i="4" s="1"/>
  <c r="EX168" i="4"/>
  <c r="EY168" i="4" s="1"/>
  <c r="EX23" i="4"/>
  <c r="EY23" i="4" s="1"/>
  <c r="EV267" i="4"/>
  <c r="EW267" i="4" s="1"/>
  <c r="EV219" i="4"/>
  <c r="EW219" i="4" s="1"/>
  <c r="EV111" i="4"/>
  <c r="EW111" i="4" s="1"/>
  <c r="EV217" i="4"/>
  <c r="EW217" i="4" s="1"/>
  <c r="EV94" i="4"/>
  <c r="EW94" i="4" s="1"/>
  <c r="EY298" i="4"/>
  <c r="FA98" i="4"/>
  <c r="FA212" i="4"/>
  <c r="FA243" i="4"/>
  <c r="FA340" i="4"/>
  <c r="EW50" i="4"/>
  <c r="EX164" i="4"/>
  <c r="EY164" i="4" s="1"/>
  <c r="EZ389" i="4"/>
  <c r="FA389" i="4" s="1"/>
  <c r="EV288" i="4"/>
  <c r="EW288" i="4" s="1"/>
  <c r="EX355" i="4"/>
  <c r="EX239" i="4"/>
  <c r="EY239" i="4" s="1"/>
  <c r="EZ184" i="4"/>
  <c r="FA184" i="4" s="1"/>
  <c r="EV182" i="4"/>
  <c r="EW182" i="4" s="1"/>
  <c r="EZ61" i="4"/>
  <c r="FA61" i="4" s="1"/>
  <c r="EX220" i="4"/>
  <c r="EY220" i="4" s="1"/>
  <c r="EV168" i="4"/>
  <c r="EW168" i="4" s="1"/>
  <c r="EV23" i="4"/>
  <c r="EW23" i="4" s="1"/>
  <c r="EX267" i="4"/>
  <c r="EY267" i="4" s="1"/>
  <c r="EX219" i="4"/>
  <c r="EY219" i="4" s="1"/>
  <c r="EX111" i="4"/>
  <c r="EY111" i="4" s="1"/>
  <c r="EX217" i="4"/>
  <c r="EY217" i="4" s="1"/>
  <c r="EZ94" i="4"/>
  <c r="FA94" i="4" s="1"/>
  <c r="EZ164" i="4"/>
  <c r="FA164" i="4" s="1"/>
  <c r="EX389" i="4"/>
  <c r="EY389" i="4" s="1"/>
  <c r="EX288" i="4"/>
  <c r="EY288" i="4" s="1"/>
  <c r="EZ355" i="4"/>
  <c r="FA355" i="4" s="1"/>
  <c r="EZ239" i="4"/>
  <c r="FA239" i="4" s="1"/>
  <c r="EV184" i="4"/>
  <c r="EW184" i="4" s="1"/>
  <c r="EZ182" i="4"/>
  <c r="FA182" i="4" s="1"/>
  <c r="EX61" i="4"/>
  <c r="EY61" i="4" s="1"/>
  <c r="EV220" i="4"/>
  <c r="EW220" i="4" s="1"/>
  <c r="EZ168" i="4"/>
  <c r="FA168" i="4" s="1"/>
  <c r="EZ23" i="4"/>
  <c r="FA23" i="4" s="1"/>
  <c r="EZ267" i="4"/>
  <c r="FA267" i="4" s="1"/>
  <c r="EZ219" i="4"/>
  <c r="FA219" i="4" s="1"/>
  <c r="EZ111" i="4"/>
  <c r="FA111" i="4" s="1"/>
  <c r="EZ217" i="4"/>
  <c r="FA217" i="4" s="1"/>
  <c r="EX94" i="4"/>
  <c r="EY94" i="4" s="1"/>
  <c r="EW140" i="4"/>
  <c r="FA341" i="4"/>
  <c r="EY363" i="4"/>
  <c r="FA360" i="4"/>
  <c r="EY305" i="4"/>
  <c r="EY109" i="4"/>
  <c r="FA358" i="4"/>
  <c r="FA152" i="4"/>
  <c r="EY241" i="4"/>
  <c r="FA122" i="4"/>
  <c r="EW81" i="4"/>
  <c r="FA393" i="4"/>
  <c r="FA169" i="4"/>
  <c r="FA305" i="4"/>
  <c r="FA67" i="4"/>
  <c r="EY161" i="4"/>
  <c r="FA64" i="4"/>
  <c r="EY160" i="4"/>
  <c r="FA74" i="4"/>
  <c r="EY158" i="4"/>
  <c r="FA337" i="4"/>
  <c r="EY233" i="4"/>
  <c r="EY292" i="4"/>
  <c r="EY178" i="4"/>
  <c r="FA228" i="4"/>
  <c r="FA314" i="4"/>
  <c r="FA160" i="4"/>
  <c r="FA158" i="4"/>
  <c r="EY337" i="4"/>
  <c r="FA233" i="4"/>
  <c r="EY347" i="4"/>
  <c r="FA302" i="4"/>
  <c r="EW377" i="4"/>
  <c r="FA63" i="4"/>
  <c r="EY222" i="4"/>
  <c r="EY221" i="4"/>
  <c r="EY208" i="4"/>
  <c r="FA207" i="4"/>
  <c r="FA255" i="4"/>
  <c r="FA165" i="4"/>
  <c r="EY80" i="4"/>
  <c r="FA124" i="4"/>
  <c r="FA123" i="4"/>
  <c r="EW281" i="4"/>
  <c r="EW165" i="4"/>
  <c r="EY63" i="4"/>
  <c r="EY244" i="4"/>
  <c r="EY359" i="4"/>
  <c r="EY255" i="4"/>
  <c r="EW179" i="4"/>
  <c r="FA213" i="4"/>
  <c r="EY40" i="4"/>
  <c r="EY300" i="4"/>
  <c r="FA134" i="4"/>
  <c r="EY310" i="4"/>
  <c r="EY211" i="4"/>
  <c r="FA133" i="4"/>
  <c r="FA132" i="4"/>
  <c r="FA25" i="4"/>
  <c r="EY282" i="4"/>
  <c r="EY209" i="4"/>
  <c r="FA131" i="4"/>
  <c r="EY293" i="4"/>
  <c r="EY192" i="4"/>
  <c r="FA154" i="4"/>
  <c r="EY57" i="4"/>
  <c r="EY30" i="4"/>
  <c r="ER221" i="4"/>
  <c r="ES221" i="4" s="1"/>
  <c r="EY286" i="4"/>
  <c r="EY134" i="4"/>
  <c r="EY133" i="4"/>
  <c r="FA50" i="4"/>
  <c r="FA57" i="4"/>
  <c r="EY273" i="4"/>
  <c r="EY39" i="4"/>
  <c r="EY118" i="4"/>
  <c r="EY26" i="4"/>
  <c r="EY270" i="4"/>
  <c r="EY12" i="4"/>
  <c r="FA114" i="4"/>
  <c r="FA258" i="4"/>
  <c r="FA377" i="4"/>
  <c r="FA257" i="4"/>
  <c r="EY179" i="4"/>
  <c r="EY96" i="4"/>
  <c r="EY140" i="4"/>
  <c r="FA275" i="4"/>
  <c r="ER254" i="4"/>
  <c r="ES254" i="4" s="1"/>
  <c r="FA119" i="4"/>
  <c r="FA39" i="4"/>
  <c r="FA26" i="4"/>
  <c r="FA12" i="4"/>
  <c r="EY258" i="4"/>
  <c r="FA96" i="4"/>
  <c r="FA140" i="4"/>
  <c r="FA20" i="4"/>
  <c r="EY90" i="4"/>
  <c r="FA150" i="4"/>
  <c r="EY355" i="4"/>
  <c r="EY259" i="4"/>
  <c r="EY181" i="4"/>
  <c r="EY99" i="4"/>
  <c r="FA320" i="4"/>
  <c r="EY280" i="4"/>
  <c r="FA33" i="4"/>
  <c r="EY253" i="4"/>
  <c r="EY78" i="4"/>
  <c r="FA369" i="4"/>
  <c r="FA226" i="4"/>
  <c r="EY104" i="4"/>
  <c r="FA27" i="4"/>
  <c r="EY101" i="4"/>
  <c r="FA99" i="4"/>
  <c r="EY254" i="4"/>
  <c r="EY175" i="4"/>
  <c r="FA136" i="4"/>
  <c r="ER375" i="4"/>
  <c r="ES375" i="4" s="1"/>
  <c r="ER164" i="4"/>
  <c r="ES164" i="4" s="1"/>
  <c r="EW151" i="4"/>
  <c r="EW90" i="4"/>
  <c r="EW254" i="4"/>
  <c r="EW148" i="4"/>
  <c r="EW39" i="4"/>
  <c r="EW10" i="4"/>
  <c r="ER320" i="4"/>
  <c r="ES320" i="4" s="1"/>
  <c r="ER79" i="4"/>
  <c r="ES79" i="4" s="1"/>
  <c r="EW120" i="4"/>
  <c r="EW171" i="4"/>
  <c r="EW143" i="4"/>
  <c r="EW392" i="4"/>
  <c r="EW293" i="4"/>
  <c r="ER245" i="4"/>
  <c r="ES245" i="4" s="1"/>
  <c r="ER89" i="4"/>
  <c r="ES89" i="4" s="1"/>
  <c r="EW87" i="4"/>
  <c r="EW344" i="4"/>
  <c r="ER82" i="4"/>
  <c r="ES82" i="4" s="1"/>
  <c r="ER30" i="4"/>
  <c r="ES30" i="4" s="1"/>
  <c r="EW253" i="4"/>
  <c r="EW78" i="4"/>
  <c r="EW213" i="4"/>
  <c r="EW161" i="4"/>
  <c r="EW27" i="4"/>
  <c r="EW339" i="4"/>
  <c r="EW211" i="4"/>
  <c r="EW153" i="4"/>
  <c r="ER302" i="4"/>
  <c r="ES302" i="4" s="1"/>
  <c r="EW302" i="4"/>
  <c r="EW159" i="4"/>
  <c r="EW283" i="4"/>
  <c r="EW132" i="4"/>
  <c r="EW156" i="4"/>
  <c r="EW155" i="4"/>
  <c r="EW334" i="4"/>
  <c r="EW218" i="4"/>
  <c r="EW331" i="4"/>
  <c r="ER218" i="4"/>
  <c r="ES218" i="4" s="1"/>
  <c r="EW399" i="4"/>
  <c r="EW251" i="4"/>
  <c r="EW149" i="4"/>
  <c r="EW272" i="4"/>
  <c r="EW172" i="4"/>
  <c r="EW170" i="4"/>
  <c r="EW80" i="4"/>
  <c r="EW18" i="4"/>
  <c r="EW408" i="4"/>
  <c r="EW214" i="4"/>
  <c r="EW216" i="4"/>
  <c r="EW142" i="4"/>
  <c r="EW83" i="4"/>
  <c r="EW60" i="4"/>
  <c r="EW192" i="4"/>
  <c r="EW292" i="4"/>
  <c r="EW82" i="4"/>
  <c r="EW387" i="4"/>
  <c r="ER102" i="4"/>
  <c r="ES102" i="4" s="1"/>
  <c r="ER189" i="4"/>
  <c r="ES189" i="4" s="1"/>
  <c r="EW389" i="4"/>
  <c r="EW355" i="4"/>
  <c r="EW286" i="4"/>
  <c r="EW310" i="4"/>
  <c r="EW133" i="4"/>
  <c r="EW74" i="4"/>
  <c r="EW201" i="4"/>
  <c r="EW349" i="4"/>
  <c r="EW298" i="4"/>
  <c r="EW54" i="4"/>
  <c r="EW135" i="4"/>
  <c r="EW64" i="4"/>
  <c r="EW209" i="4"/>
  <c r="EW33" i="4"/>
  <c r="ER122" i="4"/>
  <c r="ES122" i="4" s="1"/>
  <c r="ER246" i="4"/>
  <c r="ES246" i="4" s="1"/>
  <c r="ER314" i="4"/>
  <c r="ES314" i="4" s="1"/>
  <c r="ER87" i="4"/>
  <c r="ES87" i="4" s="1"/>
  <c r="ER339" i="4"/>
  <c r="ES339" i="4" s="1"/>
  <c r="ER235" i="4"/>
  <c r="ES235" i="4" s="1"/>
  <c r="ER379" i="4"/>
  <c r="ES379" i="4" s="1"/>
  <c r="ER182" i="4"/>
  <c r="ES182" i="4" s="1"/>
  <c r="ER85" i="4"/>
  <c r="ES85" i="4" s="1"/>
  <c r="ER369" i="4"/>
  <c r="ES369" i="4" s="1"/>
  <c r="ER282" i="4"/>
  <c r="ES282" i="4" s="1"/>
  <c r="ER209" i="4"/>
  <c r="ES209" i="4" s="1"/>
  <c r="ER131" i="4"/>
  <c r="ES131" i="4" s="1"/>
  <c r="ER36" i="4"/>
  <c r="ES36" i="4" s="1"/>
  <c r="ER47" i="4"/>
  <c r="ES47" i="4" s="1"/>
  <c r="ER45" i="4"/>
  <c r="ES45" i="4" s="1"/>
  <c r="ER17" i="4"/>
  <c r="ES17" i="4" s="1"/>
  <c r="ER200" i="4"/>
  <c r="ES200" i="4" s="1"/>
  <c r="ER301" i="4"/>
  <c r="ES301" i="4" s="1"/>
  <c r="ER225" i="4"/>
  <c r="ES225" i="4" s="1"/>
  <c r="ER149" i="4"/>
  <c r="ES149" i="4" s="1"/>
  <c r="ER74" i="4"/>
  <c r="ES74" i="4" s="1"/>
  <c r="ER220" i="4"/>
  <c r="ES220" i="4" s="1"/>
  <c r="ER23" i="4"/>
  <c r="ES23" i="4" s="1"/>
  <c r="ER306" i="4"/>
  <c r="ES306" i="4" s="1"/>
  <c r="ER231" i="4"/>
  <c r="ES231" i="4" s="1"/>
  <c r="ER155" i="4"/>
  <c r="ES155" i="4" s="1"/>
  <c r="ER70" i="4"/>
  <c r="ES70" i="4" s="1"/>
  <c r="ER280" i="4"/>
  <c r="ES280" i="4" s="1"/>
  <c r="ER206" i="4"/>
  <c r="ES206" i="4" s="1"/>
  <c r="ER127" i="4"/>
  <c r="ES127" i="4" s="1"/>
  <c r="ER33" i="4"/>
  <c r="ES33" i="4" s="1"/>
  <c r="ER255" i="4"/>
  <c r="ES255" i="4" s="1"/>
  <c r="ER165" i="4"/>
  <c r="ES165" i="4" s="1"/>
  <c r="ER80" i="4"/>
  <c r="ES80" i="4" s="1"/>
  <c r="ER358" i="4"/>
  <c r="ES358" i="4" s="1"/>
  <c r="ER242" i="4"/>
  <c r="ES242" i="4" s="1"/>
  <c r="ER399" i="4"/>
  <c r="ES399" i="4" s="1"/>
  <c r="ER187" i="4"/>
  <c r="ES187" i="4" s="1"/>
  <c r="ER65" i="4"/>
  <c r="ES65" i="4" s="1"/>
  <c r="ER354" i="4"/>
  <c r="ES354" i="4" s="1"/>
  <c r="ER238" i="4"/>
  <c r="ES238" i="4" s="1"/>
  <c r="ER75" i="4"/>
  <c r="ES75" i="4" s="1"/>
  <c r="ER408" i="4"/>
  <c r="ES408" i="4" s="1"/>
  <c r="ER325" i="4"/>
  <c r="ES325" i="4" s="1"/>
  <c r="ER223" i="4"/>
  <c r="ES223" i="4" s="1"/>
  <c r="ER62" i="4"/>
  <c r="ES62" i="4" s="1"/>
  <c r="ER363" i="4"/>
  <c r="ES363" i="4" s="1"/>
  <c r="ER214" i="4"/>
  <c r="ES214" i="4" s="1"/>
  <c r="ER269" i="4"/>
  <c r="ES269" i="4" s="1"/>
  <c r="ER193" i="4"/>
  <c r="ES193" i="4" s="1"/>
  <c r="ER24" i="4"/>
  <c r="ES24" i="4" s="1"/>
  <c r="ER67" i="4"/>
  <c r="ES67" i="4" s="1"/>
  <c r="ER90" i="4"/>
  <c r="ES90" i="4" s="1"/>
  <c r="ER213" i="4"/>
  <c r="ES213" i="4" s="1"/>
  <c r="ER135" i="4"/>
  <c r="ES135" i="4" s="1"/>
  <c r="ER40" i="4"/>
  <c r="ES40" i="4" s="1"/>
  <c r="ER170" i="4"/>
  <c r="ES170" i="4" s="1"/>
  <c r="ER335" i="4"/>
  <c r="ES335" i="4" s="1"/>
  <c r="ER208" i="4"/>
  <c r="ES208" i="4" s="1"/>
  <c r="ER292" i="4"/>
  <c r="ES292" i="4" s="1"/>
  <c r="ER219" i="4"/>
  <c r="ES219" i="4" s="1"/>
  <c r="ER141" i="4"/>
  <c r="ES141" i="4" s="1"/>
  <c r="ER58" i="4"/>
  <c r="ES58" i="4" s="1"/>
  <c r="ER360" i="4"/>
  <c r="ES360" i="4" s="1"/>
  <c r="ER344" i="4"/>
  <c r="ES344" i="4" s="1"/>
  <c r="ER243" i="4"/>
  <c r="ES243" i="4" s="1"/>
  <c r="ER153" i="4"/>
  <c r="ES153" i="4" s="1"/>
  <c r="ER44" i="4"/>
  <c r="ES44" i="4" s="1"/>
  <c r="ER330" i="4"/>
  <c r="ES330" i="4" s="1"/>
  <c r="ER228" i="4"/>
  <c r="ES228" i="4" s="1"/>
  <c r="ER138" i="4"/>
  <c r="ES138" i="4" s="1"/>
  <c r="ER253" i="4"/>
  <c r="ES253" i="4" s="1"/>
  <c r="ER175" i="4"/>
  <c r="ES175" i="4" s="1"/>
  <c r="ER78" i="4"/>
  <c r="ES78" i="4" s="1"/>
  <c r="ER107" i="4"/>
  <c r="ES107" i="4" s="1"/>
  <c r="ER340" i="4"/>
  <c r="ES340" i="4" s="1"/>
  <c r="ER224" i="4"/>
  <c r="ES224" i="4" s="1"/>
  <c r="ER148" i="4"/>
  <c r="ES148" i="4" s="1"/>
  <c r="ER240" i="4"/>
  <c r="ES240" i="4" s="1"/>
  <c r="ER310" i="4"/>
  <c r="ES310" i="4" s="1"/>
  <c r="ER211" i="4"/>
  <c r="ES211" i="4" s="1"/>
  <c r="ER133" i="4"/>
  <c r="ES133" i="4" s="1"/>
  <c r="ER50" i="4"/>
  <c r="ES50" i="4" s="1"/>
  <c r="ER349" i="4"/>
  <c r="ES349" i="4" s="1"/>
  <c r="ER378" i="4"/>
  <c r="ES378" i="4" s="1"/>
  <c r="ER259" i="4"/>
  <c r="ES259" i="4" s="1"/>
  <c r="ER99" i="4"/>
  <c r="ES99" i="4" s="1"/>
  <c r="ER226" i="4"/>
  <c r="ES226" i="4" s="1"/>
  <c r="ER11" i="4"/>
  <c r="ES11" i="4" s="1"/>
  <c r="ER266" i="4"/>
  <c r="ES266" i="4" s="1"/>
  <c r="ER273" i="4"/>
  <c r="ES273" i="4" s="1"/>
  <c r="ER198" i="4"/>
  <c r="ES198" i="4" s="1"/>
  <c r="ER120" i="4"/>
  <c r="ES120" i="4" s="1"/>
  <c r="ER28" i="4"/>
  <c r="ES28" i="4" s="1"/>
  <c r="ER61" i="4"/>
  <c r="ES61" i="4" s="1"/>
  <c r="ER293" i="4"/>
  <c r="ES293" i="4" s="1"/>
  <c r="ER112" i="4"/>
  <c r="ES112" i="4" s="1"/>
  <c r="ER263" i="4"/>
  <c r="ES263" i="4" s="1"/>
  <c r="ER281" i="4"/>
  <c r="ES281" i="4" s="1"/>
  <c r="ER207" i="4"/>
  <c r="ES207" i="4" s="1"/>
  <c r="ER34" i="4"/>
  <c r="ES34" i="4" s="1"/>
  <c r="ER256" i="4"/>
  <c r="ES256" i="4" s="1"/>
  <c r="ER178" i="4"/>
  <c r="ES178" i="4" s="1"/>
  <c r="ER315" i="4"/>
  <c r="ES315" i="4" s="1"/>
  <c r="ER229" i="4"/>
  <c r="ES229" i="4" s="1"/>
  <c r="ER317" i="4"/>
  <c r="ES317" i="4" s="1"/>
  <c r="ER241" i="4"/>
  <c r="ES241" i="4" s="1"/>
  <c r="ER300" i="4"/>
  <c r="ES300" i="4" s="1"/>
  <c r="ER212" i="4"/>
  <c r="ES212" i="4" s="1"/>
  <c r="ER271" i="4"/>
  <c r="ES271" i="4" s="1"/>
  <c r="ER222" i="4"/>
  <c r="ES222" i="4" s="1"/>
  <c r="ER49" i="4"/>
  <c r="ES49" i="4" s="1"/>
  <c r="ER382" i="4"/>
  <c r="ES382" i="4" s="1"/>
  <c r="ER247" i="4"/>
  <c r="ES247" i="4" s="1"/>
  <c r="ER169" i="4"/>
  <c r="ES169" i="4" s="1"/>
  <c r="ER31" i="4"/>
  <c r="ES31" i="4" s="1"/>
  <c r="ER355" i="4"/>
  <c r="ES355" i="4" s="1"/>
  <c r="ER262" i="4"/>
  <c r="ES262" i="4" s="1"/>
  <c r="ER185" i="4"/>
  <c r="ES185" i="4" s="1"/>
  <c r="ER104" i="4"/>
  <c r="ES104" i="4" s="1"/>
  <c r="ER16" i="4"/>
  <c r="ES16" i="4" s="1"/>
  <c r="ER134" i="4"/>
  <c r="ES134" i="4" s="1"/>
  <c r="ER136" i="4"/>
  <c r="ES136" i="4" s="1"/>
  <c r="ER258" i="4"/>
  <c r="ES258" i="4" s="1"/>
  <c r="ER105" i="4"/>
  <c r="ES105" i="4" s="1"/>
  <c r="ER267" i="4"/>
  <c r="ES267" i="4" s="1"/>
  <c r="ER191" i="4"/>
  <c r="ES191" i="4" s="1"/>
  <c r="ER111" i="4"/>
  <c r="ES111" i="4" s="1"/>
  <c r="ER244" i="4"/>
  <c r="ES244" i="4" s="1"/>
  <c r="ER318" i="4"/>
  <c r="ES318" i="4" s="1"/>
  <c r="ER217" i="4"/>
  <c r="ES217" i="4" s="1"/>
  <c r="ER125" i="4"/>
  <c r="ES125" i="4" s="1"/>
  <c r="ER8" i="4"/>
  <c r="ES8" i="4" s="1"/>
  <c r="ER276" i="4"/>
  <c r="ES276" i="4" s="1"/>
  <c r="ER201" i="4"/>
  <c r="ES201" i="4" s="1"/>
  <c r="ER18" i="4"/>
  <c r="ES18" i="4" s="1"/>
  <c r="ER342" i="4"/>
  <c r="ES342" i="4" s="1"/>
  <c r="ER227" i="4"/>
  <c r="ES227" i="4" s="1"/>
  <c r="ER137" i="4"/>
  <c r="ES137" i="4" s="1"/>
  <c r="ER54" i="4"/>
  <c r="ES54" i="4" s="1"/>
  <c r="ER197" i="4"/>
  <c r="ES197" i="4" s="1"/>
  <c r="ER101" i="4"/>
  <c r="ES101" i="4" s="1"/>
  <c r="ER283" i="4"/>
  <c r="ES283" i="4" s="1"/>
  <c r="ER210" i="4"/>
  <c r="ES210" i="4" s="1"/>
  <c r="ER132" i="4"/>
  <c r="ES132" i="4" s="1"/>
  <c r="ER337" i="4"/>
  <c r="ES337" i="4" s="1"/>
  <c r="ER157" i="4"/>
  <c r="ES157" i="4" s="1"/>
  <c r="ER72" i="4"/>
  <c r="ES72" i="4" s="1"/>
  <c r="ER81" i="4"/>
  <c r="ES81" i="4" s="1"/>
  <c r="ER150" i="4"/>
  <c r="ES150" i="4" s="1"/>
  <c r="ER341" i="4"/>
  <c r="ES341" i="4" s="1"/>
  <c r="ER251" i="4"/>
  <c r="ES251" i="4" s="1"/>
  <c r="ER173" i="4"/>
  <c r="ES173" i="4" s="1"/>
  <c r="ER119" i="4"/>
  <c r="ES119" i="4" s="1"/>
  <c r="ER39" i="4"/>
  <c r="ES39" i="4" s="1"/>
  <c r="ER25" i="4"/>
  <c r="ES25" i="4" s="1"/>
  <c r="ER83" i="4"/>
  <c r="ES83" i="4" s="1"/>
  <c r="ER10" i="4"/>
  <c r="ES10" i="4" s="1"/>
  <c r="ER205" i="4"/>
  <c r="ES205" i="4" s="1"/>
  <c r="ER264" i="4"/>
  <c r="ES264" i="4" s="1"/>
  <c r="ER123" i="4"/>
  <c r="ES123" i="4" s="1"/>
  <c r="ER42" i="4"/>
  <c r="ES42" i="4" s="1"/>
  <c r="ER88" i="4"/>
  <c r="ES88" i="4" s="1"/>
  <c r="EN309" i="4"/>
  <c r="EO309" i="4" s="1"/>
  <c r="EP248" i="4"/>
  <c r="EQ248" i="4" s="1"/>
  <c r="EP195" i="4"/>
  <c r="EQ195" i="4" s="1"/>
  <c r="EN146" i="4"/>
  <c r="EO146" i="4" s="1"/>
  <c r="EP73" i="4"/>
  <c r="EQ73" i="4" s="1"/>
  <c r="EP98" i="4"/>
  <c r="EQ98" i="4" s="1"/>
  <c r="EN334" i="4"/>
  <c r="EO334" i="4" s="1"/>
  <c r="EN166" i="4"/>
  <c r="EO166" i="4" s="1"/>
  <c r="EN110" i="4"/>
  <c r="EO110" i="4" s="1"/>
  <c r="EP386" i="4"/>
  <c r="EQ386" i="4" s="1"/>
  <c r="EP243" i="4"/>
  <c r="EQ243" i="4" s="1"/>
  <c r="EN189" i="4"/>
  <c r="EO189" i="4" s="1"/>
  <c r="EP44" i="4"/>
  <c r="EQ44" i="4" s="1"/>
  <c r="EP276" i="4"/>
  <c r="EQ276" i="4" s="1"/>
  <c r="EN228" i="4"/>
  <c r="EO228" i="4" s="1"/>
  <c r="EP43" i="4"/>
  <c r="EQ43" i="4" s="1"/>
  <c r="EN78" i="4"/>
  <c r="EO78" i="4" s="1"/>
  <c r="EN30" i="4"/>
  <c r="EO30" i="4" s="1"/>
  <c r="EN302" i="4"/>
  <c r="EO302" i="4" s="1"/>
  <c r="EN174" i="4"/>
  <c r="EO174" i="4" s="1"/>
  <c r="EP105" i="4"/>
  <c r="EQ105" i="4" s="1"/>
  <c r="EN355" i="4"/>
  <c r="EO355" i="4" s="1"/>
  <c r="EP286" i="4"/>
  <c r="EQ286" i="4" s="1"/>
  <c r="EN185" i="4"/>
  <c r="EO185" i="4" s="1"/>
  <c r="EN64" i="4"/>
  <c r="EO64" i="4" s="1"/>
  <c r="EN339" i="4"/>
  <c r="EO339" i="4" s="1"/>
  <c r="EN260" i="4"/>
  <c r="EO260" i="4" s="1"/>
  <c r="EN211" i="4"/>
  <c r="EO211" i="4" s="1"/>
  <c r="EN159" i="4"/>
  <c r="EO159" i="4" s="1"/>
  <c r="EN101" i="4"/>
  <c r="EO101" i="4" s="1"/>
  <c r="EN50" i="4"/>
  <c r="EO50" i="4" s="1"/>
  <c r="EN259" i="4"/>
  <c r="EO259" i="4" s="1"/>
  <c r="EN209" i="4"/>
  <c r="EO209" i="4" s="1"/>
  <c r="EN348" i="4"/>
  <c r="EO348" i="4" s="1"/>
  <c r="EN192" i="4"/>
  <c r="EO192" i="4" s="1"/>
  <c r="EN142" i="4"/>
  <c r="EO142" i="4" s="1"/>
  <c r="EP261" i="4"/>
  <c r="EQ261" i="4" s="1"/>
  <c r="EN281" i="4"/>
  <c r="EO281" i="4" s="1"/>
  <c r="EN179" i="4"/>
  <c r="EO179" i="4" s="1"/>
  <c r="EN128" i="4"/>
  <c r="EO128" i="4" s="1"/>
  <c r="EN10" i="4"/>
  <c r="EO10" i="4" s="1"/>
  <c r="EP166" i="4"/>
  <c r="EQ166" i="4" s="1"/>
  <c r="EP342" i="4"/>
  <c r="EQ342" i="4" s="1"/>
  <c r="EN253" i="4"/>
  <c r="EO253" i="4" s="1"/>
  <c r="EN200" i="4"/>
  <c r="EO200" i="4" s="1"/>
  <c r="EN137" i="4"/>
  <c r="EO137" i="4" s="1"/>
  <c r="EP17" i="4"/>
  <c r="EQ17" i="4" s="1"/>
  <c r="EN239" i="4"/>
  <c r="EO239" i="4" s="1"/>
  <c r="EN135" i="4"/>
  <c r="EO135" i="4" s="1"/>
  <c r="EP16" i="4"/>
  <c r="EQ16" i="4" s="1"/>
  <c r="EP260" i="4"/>
  <c r="EQ260" i="4" s="1"/>
  <c r="EP159" i="4"/>
  <c r="EQ159" i="4" s="1"/>
  <c r="EN379" i="4"/>
  <c r="EO379" i="4" s="1"/>
  <c r="EN283" i="4"/>
  <c r="EO283" i="4" s="1"/>
  <c r="EN234" i="4"/>
  <c r="EO234" i="4" s="1"/>
  <c r="EN27" i="4"/>
  <c r="EN337" i="4"/>
  <c r="EO337" i="4" s="1"/>
  <c r="EP157" i="4"/>
  <c r="EQ157" i="4" s="1"/>
  <c r="EP99" i="4"/>
  <c r="EQ99" i="4" s="1"/>
  <c r="EN36" i="4"/>
  <c r="EO36" i="4" s="1"/>
  <c r="EP212" i="4"/>
  <c r="EQ212" i="4" s="1"/>
  <c r="EP246" i="4"/>
  <c r="EQ246" i="4" s="1"/>
  <c r="EP192" i="4"/>
  <c r="EQ192" i="4" s="1"/>
  <c r="EN261" i="4"/>
  <c r="EO261" i="4" s="1"/>
  <c r="EP377" i="4"/>
  <c r="EQ377" i="4" s="1"/>
  <c r="EP231" i="4"/>
  <c r="EQ231" i="4" s="1"/>
  <c r="EP179" i="4"/>
  <c r="EQ179" i="4" s="1"/>
  <c r="EP128" i="4"/>
  <c r="EQ128" i="4" s="1"/>
  <c r="EP70" i="4"/>
  <c r="EQ70" i="4" s="1"/>
  <c r="EN387" i="4"/>
  <c r="EO387" i="4" s="1"/>
  <c r="EN319" i="4"/>
  <c r="EO319" i="4" s="1"/>
  <c r="EN256" i="4"/>
  <c r="EO256" i="4" s="1"/>
  <c r="EN206" i="4"/>
  <c r="EO206" i="4" s="1"/>
  <c r="EN154" i="4"/>
  <c r="EO154" i="4" s="1"/>
  <c r="EN95" i="4"/>
  <c r="EO95" i="4" s="1"/>
  <c r="EP305" i="4"/>
  <c r="EQ305" i="4" s="1"/>
  <c r="EN165" i="4"/>
  <c r="EO165" i="4" s="1"/>
  <c r="EN109" i="4"/>
  <c r="EO109" i="4" s="1"/>
  <c r="EN20" i="4"/>
  <c r="EO20" i="4" s="1"/>
  <c r="EP216" i="4"/>
  <c r="EQ216" i="4" s="1"/>
  <c r="EN152" i="4"/>
  <c r="EO152" i="4" s="1"/>
  <c r="EN93" i="4"/>
  <c r="EO93" i="4" s="1"/>
  <c r="EN286" i="4"/>
  <c r="EO286" i="4" s="1"/>
  <c r="EP234" i="4"/>
  <c r="EQ234" i="4" s="1"/>
  <c r="EP182" i="4"/>
  <c r="EQ182" i="4" s="1"/>
  <c r="EP132" i="4"/>
  <c r="EQ132" i="4" s="1"/>
  <c r="EP387" i="4"/>
  <c r="EQ387" i="4" s="1"/>
  <c r="EP33" i="4"/>
  <c r="EQ33" i="4" s="1"/>
  <c r="EP359" i="4"/>
  <c r="EQ359" i="4" s="1"/>
  <c r="EN305" i="4"/>
  <c r="EO305" i="4" s="1"/>
  <c r="EN229" i="4"/>
  <c r="EO229" i="4" s="1"/>
  <c r="EN358" i="4"/>
  <c r="EO358" i="4" s="1"/>
  <c r="EP264" i="4"/>
  <c r="EQ264" i="4" s="1"/>
  <c r="EN216" i="4"/>
  <c r="EO216" i="4" s="1"/>
  <c r="EP152" i="4"/>
  <c r="EQ152" i="4" s="1"/>
  <c r="EN31" i="4"/>
  <c r="EO31" i="4" s="1"/>
  <c r="EP187" i="4"/>
  <c r="EQ187" i="4" s="1"/>
  <c r="EN123" i="4"/>
  <c r="EO123" i="4" s="1"/>
  <c r="EN66" i="4"/>
  <c r="EO66" i="4" s="1"/>
  <c r="EN408" i="4"/>
  <c r="EO408" i="4" s="1"/>
  <c r="EN214" i="4"/>
  <c r="EO214" i="4" s="1"/>
  <c r="EN89" i="4"/>
  <c r="EO89" i="4" s="1"/>
  <c r="EN224" i="4"/>
  <c r="EO224" i="4" s="1"/>
  <c r="EN341" i="4"/>
  <c r="EO341" i="4" s="1"/>
  <c r="EP273" i="4"/>
  <c r="EQ273" i="4" s="1"/>
  <c r="EP225" i="4"/>
  <c r="EQ225" i="4" s="1"/>
  <c r="EN173" i="4"/>
  <c r="EO173" i="4" s="1"/>
  <c r="EN120" i="4"/>
  <c r="EO120" i="4" s="1"/>
  <c r="EN52" i="4"/>
  <c r="EO52" i="4" s="1"/>
  <c r="EN272" i="4"/>
  <c r="EO272" i="4" s="1"/>
  <c r="EN196" i="4"/>
  <c r="EO196" i="4" s="1"/>
  <c r="EN147" i="4"/>
  <c r="EO147" i="4" s="1"/>
  <c r="EN26" i="4"/>
  <c r="EO26" i="4" s="1"/>
  <c r="EP61" i="4"/>
  <c r="EQ61" i="4" s="1"/>
  <c r="EN308" i="4"/>
  <c r="EO308" i="4" s="1"/>
  <c r="EN193" i="4"/>
  <c r="EO193" i="4" s="1"/>
  <c r="EN143" i="4"/>
  <c r="EO143" i="4" s="1"/>
  <c r="EN84" i="4"/>
  <c r="EO84" i="4" s="1"/>
  <c r="EN24" i="4"/>
  <c r="EO24" i="4" s="1"/>
  <c r="EN63" i="4"/>
  <c r="EO63" i="4" s="1"/>
  <c r="EN232" i="4"/>
  <c r="EO232" i="4" s="1"/>
  <c r="EN180" i="4"/>
  <c r="EO180" i="4" s="1"/>
  <c r="EP129" i="4"/>
  <c r="EQ129" i="4" s="1"/>
  <c r="EN148" i="4"/>
  <c r="EO148" i="4" s="1"/>
  <c r="EN320" i="4"/>
  <c r="EO320" i="4" s="1"/>
  <c r="EN267" i="4"/>
  <c r="EO267" i="4" s="1"/>
  <c r="EN219" i="4"/>
  <c r="EO219" i="4" s="1"/>
  <c r="EN167" i="4"/>
  <c r="EO167" i="4" s="1"/>
  <c r="EN111" i="4"/>
  <c r="EO111" i="4" s="1"/>
  <c r="EP58" i="4"/>
  <c r="EQ58" i="4" s="1"/>
  <c r="EP399" i="4"/>
  <c r="EQ399" i="4" s="1"/>
  <c r="EP329" i="4"/>
  <c r="EQ329" i="4" s="1"/>
  <c r="EN241" i="4"/>
  <c r="EO241" i="4" s="1"/>
  <c r="EP66" i="4"/>
  <c r="EQ66" i="4" s="1"/>
  <c r="EP18" i="4"/>
  <c r="EQ18" i="4" s="1"/>
  <c r="EP263" i="4"/>
  <c r="EQ263" i="4" s="1"/>
  <c r="EN150" i="4"/>
  <c r="EO150" i="4" s="1"/>
  <c r="EP224" i="4"/>
  <c r="EQ224" i="4" s="1"/>
  <c r="EP52" i="4"/>
  <c r="EQ52" i="4" s="1"/>
  <c r="EP272" i="4"/>
  <c r="EQ272" i="4" s="1"/>
  <c r="EN325" i="4"/>
  <c r="EO325" i="4" s="1"/>
  <c r="EN249" i="4"/>
  <c r="EO249" i="4" s="1"/>
  <c r="EP196" i="4"/>
  <c r="EQ196" i="4" s="1"/>
  <c r="EP86" i="4"/>
  <c r="EQ86" i="4" s="1"/>
  <c r="EN270" i="4"/>
  <c r="EO270" i="4" s="1"/>
  <c r="EN222" i="4"/>
  <c r="EO222" i="4" s="1"/>
  <c r="EN100" i="4"/>
  <c r="EO100" i="4" s="1"/>
  <c r="EP247" i="4"/>
  <c r="EQ247" i="4" s="1"/>
  <c r="EP143" i="4"/>
  <c r="EQ143" i="4" s="1"/>
  <c r="EN335" i="4"/>
  <c r="EO335" i="4" s="1"/>
  <c r="EP232" i="4"/>
  <c r="EQ232" i="4" s="1"/>
  <c r="EN129" i="4"/>
  <c r="EO129" i="4" s="1"/>
  <c r="EP167" i="4"/>
  <c r="EQ167" i="4" s="1"/>
  <c r="EP354" i="4"/>
  <c r="EQ354" i="4" s="1"/>
  <c r="EN291" i="4"/>
  <c r="EO291" i="4" s="1"/>
  <c r="EN190" i="4"/>
  <c r="EO190" i="4" s="1"/>
  <c r="EN81" i="4"/>
  <c r="EO81" i="4" s="1"/>
  <c r="EN344" i="4"/>
  <c r="EO344" i="4" s="1"/>
  <c r="EN265" i="4"/>
  <c r="EO265" i="4" s="1"/>
  <c r="EN217" i="4"/>
  <c r="EO217" i="4" s="1"/>
  <c r="EN94" i="4"/>
  <c r="EO94" i="4" s="1"/>
  <c r="EN254" i="4"/>
  <c r="EO254" i="4" s="1"/>
  <c r="EP201" i="4"/>
  <c r="EQ201" i="4" s="1"/>
  <c r="EN138" i="4"/>
  <c r="EP250" i="4"/>
  <c r="EQ250" i="4" s="1"/>
  <c r="EP363" i="4"/>
  <c r="EQ363" i="4" s="1"/>
  <c r="EP170" i="4"/>
  <c r="EQ170" i="4" s="1"/>
  <c r="EN360" i="4"/>
  <c r="EO360" i="4" s="1"/>
  <c r="EP244" i="4"/>
  <c r="EQ244" i="4" s="1"/>
  <c r="EP140" i="4"/>
  <c r="EQ140" i="4" s="1"/>
  <c r="EP9" i="4"/>
  <c r="EQ9" i="4" s="1"/>
  <c r="EP344" i="4"/>
  <c r="EQ344" i="4" s="1"/>
  <c r="EP265" i="4"/>
  <c r="EQ265" i="4" s="1"/>
  <c r="EN153" i="4"/>
  <c r="EO153" i="4" s="1"/>
  <c r="EP8" i="4"/>
  <c r="EQ8" i="4" s="1"/>
  <c r="EP330" i="4"/>
  <c r="EQ330" i="4" s="1"/>
  <c r="EN201" i="4"/>
  <c r="EO201" i="4" s="1"/>
  <c r="EP79" i="4"/>
  <c r="EQ79" i="4" s="1"/>
  <c r="EN250" i="4"/>
  <c r="EO250" i="4" s="1"/>
  <c r="EN288" i="4"/>
  <c r="EO288" i="4" s="1"/>
  <c r="EN107" i="4"/>
  <c r="EO107" i="4" s="1"/>
  <c r="EN54" i="4"/>
  <c r="EO54" i="4" s="1"/>
  <c r="EN300" i="4"/>
  <c r="EO300" i="4" s="1"/>
  <c r="EN252" i="4"/>
  <c r="EO252" i="4" s="1"/>
  <c r="EN199" i="4"/>
  <c r="EO199" i="4" s="1"/>
  <c r="EP136" i="4"/>
  <c r="EQ136" i="4" s="1"/>
  <c r="EN65" i="4"/>
  <c r="EO65" i="4" s="1"/>
  <c r="EN87" i="4"/>
  <c r="EO87" i="4" s="1"/>
  <c r="EN161" i="4"/>
  <c r="EO161" i="4" s="1"/>
  <c r="EN102" i="4"/>
  <c r="EO102" i="4" s="1"/>
  <c r="EN183" i="4"/>
  <c r="EO183" i="4" s="1"/>
  <c r="EN133" i="4"/>
  <c r="EO133" i="4" s="1"/>
  <c r="EN74" i="4"/>
  <c r="EO74" i="4" s="1"/>
  <c r="EN340" i="4"/>
  <c r="EO340" i="4" s="1"/>
  <c r="EO389" i="4"/>
  <c r="EN378" i="4"/>
  <c r="EO378" i="4" s="1"/>
  <c r="EN233" i="4"/>
  <c r="EO233" i="4" s="1"/>
  <c r="EN181" i="4"/>
  <c r="EO181" i="4" s="1"/>
  <c r="EN131" i="4"/>
  <c r="EO131" i="4" s="1"/>
  <c r="EP392" i="4"/>
  <c r="EQ392" i="4" s="1"/>
  <c r="EN220" i="4"/>
  <c r="EO220" i="4" s="1"/>
  <c r="EN168" i="4"/>
  <c r="EO168" i="4" s="1"/>
  <c r="EN112" i="4"/>
  <c r="EO112" i="4" s="1"/>
  <c r="EN15" i="4"/>
  <c r="EO15" i="4" s="1"/>
  <c r="EN155" i="4"/>
  <c r="EO155" i="4" s="1"/>
  <c r="EN184" i="4"/>
  <c r="EO184" i="4" s="1"/>
  <c r="EP389" i="4"/>
  <c r="EQ389" i="4" s="1"/>
  <c r="EP288" i="4"/>
  <c r="EQ288" i="4" s="1"/>
  <c r="EP227" i="4"/>
  <c r="EQ227" i="4" s="1"/>
  <c r="EP175" i="4"/>
  <c r="EQ175" i="4" s="1"/>
  <c r="EN369" i="4"/>
  <c r="EO369" i="4" s="1"/>
  <c r="EP252" i="4"/>
  <c r="EQ252" i="4" s="1"/>
  <c r="EP199" i="4"/>
  <c r="EQ199" i="4" s="1"/>
  <c r="EP314" i="4"/>
  <c r="EQ314" i="4" s="1"/>
  <c r="EP262" i="4"/>
  <c r="EQ262" i="4" s="1"/>
  <c r="EN213" i="4"/>
  <c r="EO213" i="4" s="1"/>
  <c r="EP161" i="4"/>
  <c r="EQ161" i="4" s="1"/>
  <c r="EP104" i="4"/>
  <c r="EQ104" i="4" s="1"/>
  <c r="EP235" i="4"/>
  <c r="EQ235" i="4" s="1"/>
  <c r="EP183" i="4"/>
  <c r="EQ183" i="4" s="1"/>
  <c r="EP298" i="4"/>
  <c r="EQ298" i="4" s="1"/>
  <c r="EN210" i="4"/>
  <c r="EO210" i="4" s="1"/>
  <c r="EN158" i="4"/>
  <c r="EO158" i="4" s="1"/>
  <c r="EN85" i="4"/>
  <c r="EO85" i="4" s="1"/>
  <c r="EN25" i="4"/>
  <c r="EO25" i="4" s="1"/>
  <c r="EP282" i="4"/>
  <c r="EQ282" i="4" s="1"/>
  <c r="EP233" i="4"/>
  <c r="EQ233" i="4" s="1"/>
  <c r="EP181" i="4"/>
  <c r="EQ181" i="4" s="1"/>
  <c r="EN72" i="4"/>
  <c r="EO72" i="4" s="1"/>
  <c r="EN12" i="4"/>
  <c r="EO12" i="4" s="1"/>
  <c r="EN392" i="4"/>
  <c r="EO392" i="4" s="1"/>
  <c r="EN293" i="4"/>
  <c r="EO293" i="4" s="1"/>
  <c r="EP23" i="4"/>
  <c r="EQ23" i="4" s="1"/>
  <c r="EP306" i="4"/>
  <c r="EQ306" i="4" s="1"/>
  <c r="EP257" i="4"/>
  <c r="EQ257" i="4" s="1"/>
  <c r="EP207" i="4"/>
  <c r="EQ207" i="4" s="1"/>
  <c r="EP96" i="4"/>
  <c r="EQ96" i="4" s="1"/>
  <c r="EP34" i="4"/>
  <c r="EQ34" i="4" s="1"/>
  <c r="EN280" i="4"/>
  <c r="EO280" i="4" s="1"/>
  <c r="EN230" i="4"/>
  <c r="EO230" i="4" s="1"/>
  <c r="EN178" i="4"/>
  <c r="EO178" i="4" s="1"/>
  <c r="EN127" i="4"/>
  <c r="EO127" i="4" s="1"/>
  <c r="EN57" i="4"/>
  <c r="EO57" i="4" s="1"/>
  <c r="EN331" i="4"/>
  <c r="EO331" i="4" s="1"/>
  <c r="EN205" i="4"/>
  <c r="EO205" i="4" s="1"/>
  <c r="EN139" i="4"/>
  <c r="EO139" i="4" s="1"/>
  <c r="EN80" i="4"/>
  <c r="EO80" i="4" s="1"/>
  <c r="EN242" i="4"/>
  <c r="EO242" i="4" s="1"/>
  <c r="EN124" i="4"/>
  <c r="EO124" i="4" s="1"/>
  <c r="EN67" i="4"/>
  <c r="EO67" i="4" s="1"/>
  <c r="EN75" i="4"/>
  <c r="EO75" i="4" s="1"/>
  <c r="EN349" i="4"/>
  <c r="EO349" i="4" s="1"/>
  <c r="EN298" i="4"/>
  <c r="EO298" i="4" s="1"/>
  <c r="EN347" i="4"/>
  <c r="EO347" i="4" s="1"/>
  <c r="EP230" i="4"/>
  <c r="EQ230" i="4" s="1"/>
  <c r="EN134" i="4"/>
  <c r="EO134" i="4" s="1"/>
  <c r="EP331" i="4"/>
  <c r="EQ331" i="4" s="1"/>
  <c r="EP255" i="4"/>
  <c r="EQ255" i="4" s="1"/>
  <c r="EP139" i="4"/>
  <c r="EQ139" i="4" s="1"/>
  <c r="EN317" i="4"/>
  <c r="EO317" i="4" s="1"/>
  <c r="EP176" i="4"/>
  <c r="EQ176" i="4" s="1"/>
  <c r="EP124" i="4"/>
  <c r="EQ124" i="4" s="1"/>
  <c r="EP357" i="4"/>
  <c r="EQ357" i="4" s="1"/>
  <c r="EP275" i="4"/>
  <c r="EQ275" i="4" s="1"/>
  <c r="EN215" i="4"/>
  <c r="EO215" i="4" s="1"/>
  <c r="EN151" i="4"/>
  <c r="EO151" i="4" s="1"/>
  <c r="EN42" i="4"/>
  <c r="EO42" i="4" s="1"/>
  <c r="EN172" i="4"/>
  <c r="EO172" i="4" s="1"/>
  <c r="EN315" i="4"/>
  <c r="EO315" i="4" s="1"/>
  <c r="EP240" i="4"/>
  <c r="EQ240" i="4" s="1"/>
  <c r="EN186" i="4"/>
  <c r="EO186" i="4" s="1"/>
  <c r="EN398" i="4"/>
  <c r="EO398" i="4" s="1"/>
  <c r="EN251" i="4"/>
  <c r="EO251" i="4" s="1"/>
  <c r="EN198" i="4"/>
  <c r="EO198" i="4" s="1"/>
  <c r="EN223" i="4"/>
  <c r="EO223" i="4" s="1"/>
  <c r="EN171" i="4"/>
  <c r="EO171" i="4" s="1"/>
  <c r="EN118" i="4"/>
  <c r="EO118" i="4" s="1"/>
  <c r="EN62" i="4"/>
  <c r="EO62" i="4" s="1"/>
  <c r="EN160" i="4"/>
  <c r="EO160" i="4" s="1"/>
  <c r="EN382" i="4"/>
  <c r="EO382" i="4" s="1"/>
  <c r="EN269" i="4"/>
  <c r="EO269" i="4" s="1"/>
  <c r="EN114" i="4"/>
  <c r="EO114" i="4" s="1"/>
  <c r="EN60" i="4"/>
  <c r="EO60" i="4" s="1"/>
  <c r="EP393" i="4"/>
  <c r="EQ393" i="4" s="1"/>
  <c r="EN375" i="4"/>
  <c r="EO375" i="4" s="1"/>
  <c r="EN156" i="4"/>
  <c r="EO156" i="4" s="1"/>
  <c r="EN98" i="4"/>
  <c r="EO98" i="4" s="1"/>
  <c r="EN292" i="4"/>
  <c r="EO292" i="4" s="1"/>
  <c r="EN191" i="4"/>
  <c r="EO191" i="4" s="1"/>
  <c r="EN22" i="4"/>
  <c r="EO22" i="4" s="1"/>
  <c r="EN51" i="4"/>
  <c r="EO51" i="4" s="1"/>
  <c r="EN357" i="4"/>
  <c r="EO357" i="4" s="1"/>
  <c r="EN275" i="4"/>
  <c r="EO275" i="4" s="1"/>
  <c r="EP215" i="4"/>
  <c r="EQ215" i="4" s="1"/>
  <c r="EP151" i="4"/>
  <c r="EQ151" i="4" s="1"/>
  <c r="EN90" i="4"/>
  <c r="EO90" i="4" s="1"/>
  <c r="EP172" i="4"/>
  <c r="EQ172" i="4" s="1"/>
  <c r="EP186" i="4"/>
  <c r="EQ186" i="4" s="1"/>
  <c r="EN122" i="4"/>
  <c r="EO122" i="4" s="1"/>
  <c r="EP53" i="4"/>
  <c r="EQ53" i="4" s="1"/>
  <c r="EP398" i="4"/>
  <c r="EQ398" i="4" s="1"/>
  <c r="EP301" i="4"/>
  <c r="EQ301" i="4" s="1"/>
  <c r="EN149" i="4"/>
  <c r="EO149" i="4" s="1"/>
  <c r="EP88" i="4"/>
  <c r="EQ88" i="4" s="1"/>
  <c r="EP28" i="4"/>
  <c r="EQ28" i="4" s="1"/>
  <c r="EP364" i="4"/>
  <c r="EQ364" i="4" s="1"/>
  <c r="EP271" i="4"/>
  <c r="EQ271" i="4" s="1"/>
  <c r="EP171" i="4"/>
  <c r="EQ171" i="4" s="1"/>
  <c r="EP62" i="4"/>
  <c r="EQ62" i="4" s="1"/>
  <c r="EP146" i="4"/>
  <c r="EQ146" i="4" s="1"/>
  <c r="EP114" i="4"/>
  <c r="EQ114" i="4" s="1"/>
  <c r="EP208" i="4"/>
  <c r="EQ208" i="4" s="1"/>
  <c r="EP156" i="4"/>
  <c r="EQ156" i="4" s="1"/>
  <c r="EP11" i="4"/>
  <c r="EQ11" i="4" s="1"/>
  <c r="EP22" i="4"/>
  <c r="EQ22" i="4" s="1"/>
  <c r="EN45" i="4"/>
  <c r="EO45" i="4" s="1"/>
  <c r="EN164" i="4"/>
  <c r="EO164" i="4" s="1"/>
  <c r="EN108" i="4"/>
  <c r="EO108" i="4" s="1"/>
  <c r="EN43" i="4"/>
  <c r="EO43" i="4" s="1"/>
  <c r="C268" i="4"/>
  <c r="C385" i="4"/>
  <c r="C338" i="4"/>
  <c r="C374" i="4"/>
  <c r="C395" i="4"/>
  <c r="C371" i="4"/>
  <c r="C365" i="4"/>
  <c r="C284" i="4"/>
  <c r="C303" i="4"/>
  <c r="C68" i="4"/>
  <c r="EO82" i="4"/>
  <c r="C56" i="4"/>
  <c r="C32" i="4"/>
  <c r="C21" i="4"/>
  <c r="C5" i="4"/>
  <c r="C162" i="4"/>
  <c r="EO262" i="4"/>
  <c r="C327" i="4"/>
  <c r="C326" i="4"/>
  <c r="C383" i="4"/>
  <c r="C323" i="4"/>
  <c r="C372" i="4"/>
  <c r="C401" i="4"/>
  <c r="C361" i="4"/>
  <c r="C391" i="4"/>
  <c r="C4" i="4"/>
  <c r="C37" i="4"/>
  <c r="C46" i="4"/>
  <c r="C35" i="4"/>
  <c r="C77" i="4"/>
  <c r="C38" i="4"/>
  <c r="EO266" i="4"/>
  <c r="EO218" i="4"/>
  <c r="C304" i="4"/>
  <c r="C384" i="4"/>
  <c r="C373" i="4"/>
  <c r="C346" i="4"/>
  <c r="C350" i="4"/>
  <c r="C368" i="4"/>
  <c r="C367" i="4"/>
  <c r="C313" i="4"/>
  <c r="C324" i="4"/>
  <c r="C274" i="4"/>
  <c r="C55" i="4"/>
  <c r="C71" i="4"/>
  <c r="C14" i="4"/>
  <c r="EO125" i="4"/>
  <c r="EO138" i="4"/>
  <c r="C328" i="4"/>
  <c r="C277" i="4"/>
  <c r="C332" i="4"/>
  <c r="C307" i="4"/>
  <c r="C336" i="4"/>
  <c r="C321" i="4"/>
  <c r="C299" i="4"/>
  <c r="C76" i="4"/>
  <c r="C59" i="4"/>
  <c r="C48" i="4"/>
  <c r="C13" i="4"/>
  <c r="EO27" i="4"/>
  <c r="C290" i="4"/>
  <c r="C397" i="4"/>
  <c r="C343" i="4"/>
  <c r="C287" i="4"/>
  <c r="C316" i="4"/>
  <c r="C296" i="4"/>
  <c r="C394" i="4"/>
  <c r="C353" i="4"/>
  <c r="C41" i="4"/>
  <c r="C29" i="4"/>
  <c r="C19" i="4"/>
  <c r="C7" i="4"/>
  <c r="C117" i="4"/>
  <c r="C177" i="4"/>
  <c r="EO248" i="4"/>
  <c r="EO195" i="4"/>
  <c r="C356" i="4"/>
  <c r="C396" i="4"/>
  <c r="C311" i="4"/>
  <c r="C297" i="4"/>
  <c r="C381" i="4"/>
  <c r="C285" i="4"/>
  <c r="C370" i="4"/>
  <c r="C345" i="4"/>
  <c r="C390" i="4"/>
  <c r="C6" i="4"/>
  <c r="C163" i="4"/>
  <c r="EO393" i="4"/>
  <c r="C69" i="4"/>
  <c r="C188" i="4"/>
  <c r="FF434" i="4"/>
  <c r="FG434" i="4" s="1"/>
  <c r="FH434" i="4"/>
  <c r="FI434" i="4" s="1"/>
  <c r="FJ434" i="4"/>
  <c r="FK434" i="4" s="1"/>
  <c r="FL434" i="4"/>
  <c r="FM434" i="4" s="1"/>
  <c r="FB434" i="4"/>
  <c r="FC434" i="4" s="1"/>
  <c r="FJ436" i="4"/>
  <c r="FK436" i="4" s="1"/>
  <c r="FB436" i="4"/>
  <c r="FC436" i="4" s="1"/>
  <c r="FF436" i="4"/>
  <c r="FG436" i="4" s="1"/>
  <c r="FH436" i="4"/>
  <c r="FI436" i="4" s="1"/>
  <c r="FL436" i="4"/>
  <c r="FM436" i="4" s="1"/>
  <c r="FF431" i="4"/>
  <c r="FG431" i="4" s="1"/>
  <c r="FH431" i="4"/>
  <c r="FI431" i="4" s="1"/>
  <c r="FJ431" i="4"/>
  <c r="FK431" i="4" s="1"/>
  <c r="FL431" i="4"/>
  <c r="FM431" i="4" s="1"/>
  <c r="FD431" i="4"/>
  <c r="FE431" i="4" s="1"/>
  <c r="FD427" i="4"/>
  <c r="FE427" i="4" s="1"/>
  <c r="FF427" i="4"/>
  <c r="FG427" i="4" s="1"/>
  <c r="FH427" i="4"/>
  <c r="FI427" i="4" s="1"/>
  <c r="FJ427" i="4"/>
  <c r="FK427" i="4" s="1"/>
  <c r="FL427" i="4"/>
  <c r="FM427" i="4" s="1"/>
  <c r="H2" i="18"/>
  <c r="I2" i="18" s="1"/>
  <c r="B21" i="17" s="1"/>
  <c r="F2" i="18"/>
  <c r="G2" i="18" s="1"/>
  <c r="B14" i="17" s="1"/>
  <c r="D2" i="18"/>
  <c r="E2" i="18" s="1"/>
  <c r="B7" i="17" s="1"/>
  <c r="FB423" i="4"/>
  <c r="FC423" i="4" s="1"/>
  <c r="FD423" i="4"/>
  <c r="FE423" i="4" s="1"/>
  <c r="FF423" i="4"/>
  <c r="FG423" i="4" s="1"/>
  <c r="FJ423" i="4"/>
  <c r="FK423" i="4" s="1"/>
  <c r="FL423" i="4"/>
  <c r="FM423" i="4" s="1"/>
  <c r="FH425" i="4"/>
  <c r="FI425" i="4" s="1"/>
  <c r="FJ425" i="4"/>
  <c r="FK425" i="4" s="1"/>
  <c r="FL425" i="4"/>
  <c r="FM425" i="4" s="1"/>
  <c r="FD425" i="4"/>
  <c r="FE425" i="4" s="1"/>
  <c r="FF425" i="4"/>
  <c r="FG425" i="4" s="1"/>
  <c r="FB422" i="4"/>
  <c r="FC422" i="4" s="1"/>
  <c r="FD422" i="4"/>
  <c r="FE422" i="4" s="1"/>
  <c r="FF422" i="4"/>
  <c r="FG422" i="4" s="1"/>
  <c r="FH422" i="4"/>
  <c r="FI422" i="4" s="1"/>
  <c r="FL422" i="4"/>
  <c r="FM422" i="4" s="1"/>
  <c r="FD424" i="4"/>
  <c r="FE424" i="4" s="1"/>
  <c r="FF424" i="4"/>
  <c r="FG424" i="4" s="1"/>
  <c r="FH424" i="4"/>
  <c r="FI424" i="4" s="1"/>
  <c r="FJ424" i="4"/>
  <c r="FK424" i="4" s="1"/>
  <c r="FL424" i="4"/>
  <c r="FM424" i="4" s="1"/>
  <c r="GA68" i="4"/>
  <c r="BB68" i="4" s="1"/>
  <c r="C434" i="4"/>
  <c r="AD408" i="4"/>
  <c r="FN408" i="4"/>
  <c r="GM408" i="4" s="1"/>
  <c r="L408" i="4"/>
  <c r="GL408" i="4"/>
  <c r="GK408" i="4"/>
  <c r="HG408" i="4" s="1"/>
  <c r="C448" i="4"/>
  <c r="C436" i="4"/>
  <c r="C409" i="4"/>
  <c r="FH409" i="4"/>
  <c r="FI409" i="4" s="1"/>
  <c r="FJ409" i="4"/>
  <c r="FK409" i="4" s="1"/>
  <c r="FL409" i="4"/>
  <c r="FM409" i="4" s="1"/>
  <c r="FD409" i="4"/>
  <c r="FE409" i="4" s="1"/>
  <c r="FF409" i="4"/>
  <c r="FG409" i="4" s="1"/>
  <c r="C427" i="4"/>
  <c r="C413" i="4"/>
  <c r="FD413" i="4"/>
  <c r="FE413" i="4" s="1"/>
  <c r="FF413" i="4"/>
  <c r="FG413" i="4" s="1"/>
  <c r="FH413" i="4"/>
  <c r="FI413" i="4" s="1"/>
  <c r="FJ413" i="4"/>
  <c r="FK413" i="4" s="1"/>
  <c r="FL413" i="4"/>
  <c r="FM413" i="4" s="1"/>
  <c r="C424" i="4"/>
  <c r="C422" i="4"/>
  <c r="C431" i="4"/>
  <c r="C443" i="4"/>
  <c r="C442" i="4"/>
  <c r="C446" i="4"/>
  <c r="C425" i="4"/>
  <c r="C423" i="4"/>
  <c r="C444" i="4"/>
  <c r="C445" i="4"/>
  <c r="C406" i="4"/>
  <c r="FD406" i="4"/>
  <c r="FE406" i="4" s="1"/>
  <c r="FF406" i="4"/>
  <c r="FG406" i="4" s="1"/>
  <c r="FH406" i="4"/>
  <c r="FI406" i="4" s="1"/>
  <c r="FJ406" i="4"/>
  <c r="FK406" i="4" s="1"/>
  <c r="FL406" i="4"/>
  <c r="FM406" i="4" s="1"/>
  <c r="C405" i="4"/>
  <c r="FD405" i="4"/>
  <c r="FE405" i="4" s="1"/>
  <c r="FF405" i="4"/>
  <c r="FG405" i="4" s="1"/>
  <c r="FL405" i="4"/>
  <c r="FM405" i="4" s="1"/>
  <c r="FH405" i="4"/>
  <c r="FI405" i="4" s="1"/>
  <c r="FJ405" i="4"/>
  <c r="FK405" i="4" s="1"/>
  <c r="L406" i="4"/>
  <c r="GK406" i="4"/>
  <c r="HG406" i="4" s="1"/>
  <c r="HD406" i="4" s="1"/>
  <c r="L405" i="4"/>
  <c r="GK405" i="4"/>
  <c r="HG405" i="4" s="1"/>
  <c r="FN399" i="4"/>
  <c r="GO399" i="4" s="1"/>
  <c r="FH401" i="4"/>
  <c r="FI401" i="4" s="1"/>
  <c r="FL401" i="4"/>
  <c r="FM401" i="4" s="1"/>
  <c r="FB401" i="4"/>
  <c r="FC401" i="4" s="1"/>
  <c r="FD401" i="4"/>
  <c r="FE401" i="4" s="1"/>
  <c r="FF401" i="4"/>
  <c r="FG401" i="4" s="1"/>
  <c r="FN398" i="4"/>
  <c r="GQ398" i="4" s="1"/>
  <c r="FB397" i="4"/>
  <c r="FC397" i="4" s="1"/>
  <c r="FD397" i="4"/>
  <c r="FE397" i="4" s="1"/>
  <c r="FF397" i="4"/>
  <c r="FG397" i="4" s="1"/>
  <c r="FH397" i="4"/>
  <c r="FI397" i="4" s="1"/>
  <c r="FJ397" i="4"/>
  <c r="FK397" i="4" s="1"/>
  <c r="FH396" i="4"/>
  <c r="FI396" i="4" s="1"/>
  <c r="FF396" i="4"/>
  <c r="FG396" i="4" s="1"/>
  <c r="FJ396" i="4"/>
  <c r="FK396" i="4" s="1"/>
  <c r="FB396" i="4"/>
  <c r="FC396" i="4" s="1"/>
  <c r="FD396" i="4"/>
  <c r="FE396" i="4" s="1"/>
  <c r="L395" i="4"/>
  <c r="GL395" i="4"/>
  <c r="GK395" i="4"/>
  <c r="HG395" i="4" s="1"/>
  <c r="HD395" i="4" s="1"/>
  <c r="L397" i="4"/>
  <c r="GK397" i="4"/>
  <c r="HG397" i="4" s="1"/>
  <c r="HD397" i="4" s="1"/>
  <c r="GL397" i="4"/>
  <c r="FN393" i="4"/>
  <c r="GQ393" i="4" s="1"/>
  <c r="L399" i="4"/>
  <c r="GL399" i="4"/>
  <c r="GK399" i="4"/>
  <c r="GK396" i="4"/>
  <c r="HG396" i="4" s="1"/>
  <c r="HD396" i="4" s="1"/>
  <c r="L396" i="4"/>
  <c r="GL396" i="4"/>
  <c r="FF394" i="4"/>
  <c r="FG394" i="4" s="1"/>
  <c r="FH394" i="4"/>
  <c r="FI394" i="4" s="1"/>
  <c r="FJ394" i="4"/>
  <c r="FK394" i="4" s="1"/>
  <c r="FD394" i="4"/>
  <c r="FE394" i="4" s="1"/>
  <c r="FB394" i="4"/>
  <c r="FC394" i="4" s="1"/>
  <c r="L394" i="4"/>
  <c r="GK394" i="4"/>
  <c r="HG394" i="4" s="1"/>
  <c r="HD394" i="4" s="1"/>
  <c r="GL394" i="4"/>
  <c r="L398" i="4"/>
  <c r="GL398" i="4"/>
  <c r="GK398" i="4"/>
  <c r="FF395" i="4"/>
  <c r="FG395" i="4" s="1"/>
  <c r="FH395" i="4"/>
  <c r="FI395" i="4" s="1"/>
  <c r="FJ395" i="4"/>
  <c r="FK395" i="4" s="1"/>
  <c r="FD395" i="4"/>
  <c r="FE395" i="4" s="1"/>
  <c r="FB395" i="4"/>
  <c r="FC395" i="4" s="1"/>
  <c r="L401" i="4"/>
  <c r="GL401" i="4"/>
  <c r="GK401" i="4"/>
  <c r="HG401" i="4" s="1"/>
  <c r="HD401" i="4" s="1"/>
  <c r="L393" i="4"/>
  <c r="GK393" i="4"/>
  <c r="HG393" i="4" s="1"/>
  <c r="HD393" i="4" s="1"/>
  <c r="GL393" i="4"/>
  <c r="FN382" i="4"/>
  <c r="GM382" i="4" s="1"/>
  <c r="FH384" i="4"/>
  <c r="FI384" i="4" s="1"/>
  <c r="FJ384" i="4"/>
  <c r="FK384" i="4" s="1"/>
  <c r="FF384" i="4"/>
  <c r="FG384" i="4" s="1"/>
  <c r="FB384" i="4"/>
  <c r="FC384" i="4" s="1"/>
  <c r="FD384" i="4"/>
  <c r="FE384" i="4" s="1"/>
  <c r="FN387" i="4"/>
  <c r="GQ387" i="4" s="1"/>
  <c r="FN389" i="4"/>
  <c r="GQ389" i="4" s="1"/>
  <c r="FF385" i="4"/>
  <c r="FG385" i="4" s="1"/>
  <c r="FH385" i="4"/>
  <c r="FI385" i="4" s="1"/>
  <c r="FJ385" i="4"/>
  <c r="FK385" i="4" s="1"/>
  <c r="FB385" i="4"/>
  <c r="FC385" i="4" s="1"/>
  <c r="FD385" i="4"/>
  <c r="FE385" i="4" s="1"/>
  <c r="FN386" i="4"/>
  <c r="FH381" i="4"/>
  <c r="FI381" i="4" s="1"/>
  <c r="FJ381" i="4"/>
  <c r="FK381" i="4" s="1"/>
  <c r="FF381" i="4"/>
  <c r="FG381" i="4" s="1"/>
  <c r="FB381" i="4"/>
  <c r="FC381" i="4" s="1"/>
  <c r="FD381" i="4"/>
  <c r="FE381" i="4" s="1"/>
  <c r="FH390" i="4"/>
  <c r="FI390" i="4" s="1"/>
  <c r="FJ390" i="4"/>
  <c r="FK390" i="4" s="1"/>
  <c r="FF390" i="4"/>
  <c r="FG390" i="4" s="1"/>
  <c r="FD390" i="4"/>
  <c r="FE390" i="4" s="1"/>
  <c r="FB390" i="4"/>
  <c r="FC390" i="4" s="1"/>
  <c r="FN392" i="4"/>
  <c r="GQ392" i="4" s="1"/>
  <c r="FF391" i="4"/>
  <c r="FG391" i="4" s="1"/>
  <c r="FH391" i="4"/>
  <c r="FI391" i="4" s="1"/>
  <c r="FL391" i="4"/>
  <c r="FM391" i="4" s="1"/>
  <c r="FD391" i="4"/>
  <c r="FE391" i="4" s="1"/>
  <c r="FB391" i="4"/>
  <c r="FC391" i="4" s="1"/>
  <c r="FL383" i="4"/>
  <c r="FM383" i="4" s="1"/>
  <c r="FF383" i="4"/>
  <c r="FG383" i="4" s="1"/>
  <c r="FH383" i="4"/>
  <c r="FI383" i="4" s="1"/>
  <c r="FB383" i="4"/>
  <c r="FC383" i="4" s="1"/>
  <c r="FD383" i="4"/>
  <c r="FE383" i="4" s="1"/>
  <c r="L389" i="4"/>
  <c r="GK389" i="4"/>
  <c r="HG389" i="4" s="1"/>
  <c r="HD389" i="4" s="1"/>
  <c r="L386" i="4"/>
  <c r="GK386" i="4"/>
  <c r="HG386" i="4" s="1"/>
  <c r="HD386" i="4" s="1"/>
  <c r="L391" i="4"/>
  <c r="GK391" i="4"/>
  <c r="HG391" i="4" s="1"/>
  <c r="HD391" i="4" s="1"/>
  <c r="L385" i="4"/>
  <c r="GK385" i="4"/>
  <c r="HG385" i="4" s="1"/>
  <c r="HD385" i="4" s="1"/>
  <c r="FH372" i="4"/>
  <c r="FI372" i="4" s="1"/>
  <c r="FJ372" i="4"/>
  <c r="FK372" i="4" s="1"/>
  <c r="FL372" i="4"/>
  <c r="FM372" i="4" s="1"/>
  <c r="FF372" i="4"/>
  <c r="FG372" i="4" s="1"/>
  <c r="FB372" i="4"/>
  <c r="FC372" i="4" s="1"/>
  <c r="L392" i="4"/>
  <c r="GK392" i="4"/>
  <c r="HG392" i="4" s="1"/>
  <c r="HD392" i="4" s="1"/>
  <c r="L383" i="4"/>
  <c r="GK383" i="4"/>
  <c r="HG383" i="4" s="1"/>
  <c r="HD383" i="4" s="1"/>
  <c r="FN378" i="4"/>
  <c r="GM378" i="4" s="1"/>
  <c r="FF373" i="4"/>
  <c r="FG373" i="4" s="1"/>
  <c r="FL373" i="4"/>
  <c r="FM373" i="4" s="1"/>
  <c r="FH373" i="4"/>
  <c r="FI373" i="4" s="1"/>
  <c r="FD373" i="4"/>
  <c r="FE373" i="4" s="1"/>
  <c r="FB373" i="4"/>
  <c r="FC373" i="4" s="1"/>
  <c r="GQ375" i="4"/>
  <c r="FN375" i="4"/>
  <c r="GM375" i="4" s="1"/>
  <c r="FN377" i="4"/>
  <c r="GO377" i="4" s="1"/>
  <c r="L381" i="4"/>
  <c r="GK381" i="4"/>
  <c r="HG381" i="4" s="1"/>
  <c r="L382" i="4"/>
  <c r="GK382" i="4"/>
  <c r="HG382" i="4" s="1"/>
  <c r="HD382" i="4" s="1"/>
  <c r="FL374" i="4"/>
  <c r="FM374" i="4" s="1"/>
  <c r="FF374" i="4"/>
  <c r="FG374" i="4" s="1"/>
  <c r="FH374" i="4"/>
  <c r="FI374" i="4" s="1"/>
  <c r="FJ374" i="4"/>
  <c r="FK374" i="4" s="1"/>
  <c r="FB374" i="4"/>
  <c r="FC374" i="4" s="1"/>
  <c r="L387" i="4"/>
  <c r="GK387" i="4"/>
  <c r="HG387" i="4" s="1"/>
  <c r="HD387" i="4" s="1"/>
  <c r="L390" i="4"/>
  <c r="GK390" i="4"/>
  <c r="HG390" i="4" s="1"/>
  <c r="HD390" i="4" s="1"/>
  <c r="FN379" i="4"/>
  <c r="GM379" i="4" s="1"/>
  <c r="L384" i="4"/>
  <c r="GK384" i="4"/>
  <c r="HG384" i="4" s="1"/>
  <c r="HD384" i="4" s="1"/>
  <c r="EC399" i="4"/>
  <c r="AU399" i="4"/>
  <c r="GW408" i="4"/>
  <c r="GU408" i="4"/>
  <c r="Z408" i="4"/>
  <c r="BK408" i="4"/>
  <c r="GQ408" i="4"/>
  <c r="CR408" i="4"/>
  <c r="GO408" i="4"/>
  <c r="V408" i="4"/>
  <c r="GQ399" i="4"/>
  <c r="GS398" i="4"/>
  <c r="GS399" i="4"/>
  <c r="GU398" i="4"/>
  <c r="Z398" i="4"/>
  <c r="DO398" i="4"/>
  <c r="GW399" i="4"/>
  <c r="GO398" i="4"/>
  <c r="DV399" i="4"/>
  <c r="DX398" i="4"/>
  <c r="GM399" i="4"/>
  <c r="AN399" i="4"/>
  <c r="AD398" i="4"/>
  <c r="GM398" i="4"/>
  <c r="CA399" i="4"/>
  <c r="CV399" i="4"/>
  <c r="DC399" i="4"/>
  <c r="BD408" i="4"/>
  <c r="CT408" i="4"/>
  <c r="AB408" i="4"/>
  <c r="BF408" i="4"/>
  <c r="AP408" i="4"/>
  <c r="CH398" i="4"/>
  <c r="EA398" i="4"/>
  <c r="AG398" i="4"/>
  <c r="AP398" i="4"/>
  <c r="DJ399" i="4"/>
  <c r="AB399" i="4"/>
  <c r="DQ399" i="4"/>
  <c r="AI399" i="4"/>
  <c r="EE408" i="4"/>
  <c r="AW408" i="4"/>
  <c r="CF408" i="4"/>
  <c r="DM408" i="4"/>
  <c r="N398" i="4"/>
  <c r="DC398" i="4"/>
  <c r="BP398" i="4"/>
  <c r="R398" i="4"/>
  <c r="BB399" i="4"/>
  <c r="P399" i="4"/>
  <c r="BI399" i="4"/>
  <c r="CD399" i="4"/>
  <c r="DQ408" i="4"/>
  <c r="DX408" i="4"/>
  <c r="BT408" i="4"/>
  <c r="DA408" i="4"/>
  <c r="CK408" i="4"/>
  <c r="EC398" i="4"/>
  <c r="AU398" i="4"/>
  <c r="BD398" i="4"/>
  <c r="CK398" i="4"/>
  <c r="AP399" i="4"/>
  <c r="EE399" i="4"/>
  <c r="AW399" i="4"/>
  <c r="BR399" i="4"/>
  <c r="AN408" i="4"/>
  <c r="DH408" i="4"/>
  <c r="CO408" i="4"/>
  <c r="BY408" i="4"/>
  <c r="DQ398" i="4"/>
  <c r="AI398" i="4"/>
  <c r="AR398" i="4"/>
  <c r="BY398" i="4"/>
  <c r="AR399" i="4"/>
  <c r="AD399" i="4"/>
  <c r="AK399" i="4"/>
  <c r="BF399" i="4"/>
  <c r="CH408" i="4"/>
  <c r="P408" i="4"/>
  <c r="EA408" i="4"/>
  <c r="AG408" i="4"/>
  <c r="BM408" i="4"/>
  <c r="BI398" i="4"/>
  <c r="CD398" i="4"/>
  <c r="T398" i="4"/>
  <c r="BM398" i="4"/>
  <c r="R399" i="4"/>
  <c r="BK399" i="4"/>
  <c r="CR399" i="4"/>
  <c r="V399" i="4"/>
  <c r="BP408" i="4"/>
  <c r="BI408" i="4"/>
  <c r="DO408" i="4"/>
  <c r="CY408" i="4"/>
  <c r="BW398" i="4"/>
  <c r="AW398" i="4"/>
  <c r="BR398" i="4"/>
  <c r="CY398" i="4"/>
  <c r="DT398" i="4"/>
  <c r="BD399" i="4"/>
  <c r="CK399" i="4"/>
  <c r="AY399" i="4"/>
  <c r="CF399" i="4"/>
  <c r="DM399" i="4"/>
  <c r="EC408" i="4"/>
  <c r="DF408" i="4"/>
  <c r="DC408" i="4"/>
  <c r="CM408" i="4"/>
  <c r="EE398" i="4"/>
  <c r="AK398" i="4"/>
  <c r="BF398" i="4"/>
  <c r="CM398" i="4"/>
  <c r="DH398" i="4"/>
  <c r="BP399" i="4"/>
  <c r="BY399" i="4"/>
  <c r="DF399" i="4"/>
  <c r="BT399" i="4"/>
  <c r="DA399" i="4"/>
  <c r="CV408" i="4"/>
  <c r="BW408" i="4"/>
  <c r="AU408" i="4"/>
  <c r="CA408" i="4"/>
  <c r="AY398" i="4"/>
  <c r="CR398" i="4"/>
  <c r="CA398" i="4"/>
  <c r="CV398" i="4"/>
  <c r="DX399" i="4"/>
  <c r="BM399" i="4"/>
  <c r="CT399" i="4"/>
  <c r="X399" i="4"/>
  <c r="CO399" i="4"/>
  <c r="AY408" i="4"/>
  <c r="N408" i="4"/>
  <c r="AI408" i="4"/>
  <c r="DV408" i="4"/>
  <c r="CF398" i="4"/>
  <c r="DM398" i="4"/>
  <c r="DV398" i="4"/>
  <c r="AN398" i="4"/>
  <c r="CY399" i="4"/>
  <c r="DT399" i="4"/>
  <c r="CH399" i="4"/>
  <c r="EA399" i="4"/>
  <c r="AG399" i="4"/>
  <c r="DT408" i="4"/>
  <c r="CD408" i="4"/>
  <c r="DJ408" i="4"/>
  <c r="DF398" i="4"/>
  <c r="BT398" i="4"/>
  <c r="DA398" i="4"/>
  <c r="DJ398" i="4"/>
  <c r="AB398" i="4"/>
  <c r="CM399" i="4"/>
  <c r="DH399" i="4"/>
  <c r="Z399" i="4"/>
  <c r="DO399" i="4"/>
  <c r="T408" i="4"/>
  <c r="AR408" i="4"/>
  <c r="BR408" i="4"/>
  <c r="BB408" i="4"/>
  <c r="CT398" i="4"/>
  <c r="X398" i="4"/>
  <c r="CO398" i="4"/>
  <c r="BB398" i="4"/>
  <c r="FF328" i="4"/>
  <c r="FG328" i="4" s="1"/>
  <c r="FH328" i="4"/>
  <c r="FI328" i="4" s="1"/>
  <c r="FL328" i="4"/>
  <c r="FM328" i="4" s="1"/>
  <c r="FF277" i="4"/>
  <c r="FG277" i="4" s="1"/>
  <c r="FH277" i="4"/>
  <c r="FI277" i="4" s="1"/>
  <c r="FJ277" i="4"/>
  <c r="FK277" i="4" s="1"/>
  <c r="FH367" i="4"/>
  <c r="FI367" i="4" s="1"/>
  <c r="FF367" i="4"/>
  <c r="FG367" i="4" s="1"/>
  <c r="FL367" i="4"/>
  <c r="FM367" i="4" s="1"/>
  <c r="FH326" i="4"/>
  <c r="FI326" i="4" s="1"/>
  <c r="FJ326" i="4"/>
  <c r="FK326" i="4" s="1"/>
  <c r="FL326" i="4"/>
  <c r="FM326" i="4" s="1"/>
  <c r="FH323" i="4"/>
  <c r="FI323" i="4" s="1"/>
  <c r="FF323" i="4"/>
  <c r="FG323" i="4" s="1"/>
  <c r="FL323" i="4"/>
  <c r="FM323" i="4" s="1"/>
  <c r="FF365" i="4"/>
  <c r="FG365" i="4" s="1"/>
  <c r="FH365" i="4"/>
  <c r="FI365" i="4" s="1"/>
  <c r="FJ365" i="4"/>
  <c r="FK365" i="4" s="1"/>
  <c r="FF284" i="4"/>
  <c r="FG284" i="4" s="1"/>
  <c r="FH284" i="4"/>
  <c r="FI284" i="4" s="1"/>
  <c r="FJ284" i="4"/>
  <c r="FK284" i="4" s="1"/>
  <c r="FL284" i="4"/>
  <c r="FM284" i="4" s="1"/>
  <c r="FJ303" i="4"/>
  <c r="FK303" i="4" s="1"/>
  <c r="FH303" i="4"/>
  <c r="FI303" i="4" s="1"/>
  <c r="FL303" i="4"/>
  <c r="FM303" i="4" s="1"/>
  <c r="FF303" i="4"/>
  <c r="FG303" i="4" s="1"/>
  <c r="FF41" i="4"/>
  <c r="FG41" i="4" s="1"/>
  <c r="FH41" i="4"/>
  <c r="FI41" i="4" s="1"/>
  <c r="FL41" i="4"/>
  <c r="FM41" i="4" s="1"/>
  <c r="FH29" i="4"/>
  <c r="FI29" i="4" s="1"/>
  <c r="FJ29" i="4"/>
  <c r="FK29" i="4" s="1"/>
  <c r="FF29" i="4"/>
  <c r="FG29" i="4" s="1"/>
  <c r="FL29" i="4"/>
  <c r="FM29" i="4" s="1"/>
  <c r="FF19" i="4"/>
  <c r="FG19" i="4" s="1"/>
  <c r="FH19" i="4"/>
  <c r="FI19" i="4" s="1"/>
  <c r="FJ19" i="4"/>
  <c r="FK19" i="4" s="1"/>
  <c r="FJ7" i="4"/>
  <c r="FK7" i="4" s="1"/>
  <c r="FH7" i="4"/>
  <c r="FI7" i="4" s="1"/>
  <c r="FL7" i="4"/>
  <c r="FM7" i="4" s="1"/>
  <c r="FF117" i="4"/>
  <c r="FG117" i="4" s="1"/>
  <c r="FH117" i="4"/>
  <c r="FI117" i="4" s="1"/>
  <c r="FL117" i="4"/>
  <c r="FM117" i="4" s="1"/>
  <c r="FF177" i="4"/>
  <c r="FG177" i="4" s="1"/>
  <c r="FH177" i="4"/>
  <c r="FI177" i="4" s="1"/>
  <c r="FJ177" i="4"/>
  <c r="FK177" i="4" s="1"/>
  <c r="FJ59" i="4"/>
  <c r="FK59" i="4" s="1"/>
  <c r="FL59" i="4"/>
  <c r="FM59" i="4" s="1"/>
  <c r="FF59" i="4"/>
  <c r="FG59" i="4" s="1"/>
  <c r="FH59" i="4"/>
  <c r="FI59" i="4" s="1"/>
  <c r="FF268" i="4"/>
  <c r="FG268" i="4" s="1"/>
  <c r="FH268" i="4"/>
  <c r="FI268" i="4" s="1"/>
  <c r="FL268" i="4"/>
  <c r="FM268" i="4" s="1"/>
  <c r="FJ290" i="4"/>
  <c r="FK290" i="4" s="1"/>
  <c r="FH290" i="4"/>
  <c r="FI290" i="4" s="1"/>
  <c r="FL290" i="4"/>
  <c r="FM290" i="4" s="1"/>
  <c r="FF332" i="4"/>
  <c r="FG332" i="4" s="1"/>
  <c r="FH332" i="4"/>
  <c r="FI332" i="4" s="1"/>
  <c r="FJ332" i="4"/>
  <c r="FK332" i="4" s="1"/>
  <c r="FH313" i="4"/>
  <c r="FI313" i="4" s="1"/>
  <c r="FL313" i="4"/>
  <c r="FM313" i="4" s="1"/>
  <c r="FJ313" i="4"/>
  <c r="FK313" i="4" s="1"/>
  <c r="FH346" i="4"/>
  <c r="FI346" i="4" s="1"/>
  <c r="FF346" i="4"/>
  <c r="FG346" i="4" s="1"/>
  <c r="FL346" i="4"/>
  <c r="FM346" i="4" s="1"/>
  <c r="FH361" i="4"/>
  <c r="FI361" i="4" s="1"/>
  <c r="FJ361" i="4"/>
  <c r="FK361" i="4" s="1"/>
  <c r="FF361" i="4"/>
  <c r="FG361" i="4" s="1"/>
  <c r="FL361" i="4"/>
  <c r="FM361" i="4" s="1"/>
  <c r="FF6" i="4"/>
  <c r="FH6" i="4"/>
  <c r="FI6" i="4" s="1"/>
  <c r="FL6" i="4"/>
  <c r="FM6" i="4" s="1"/>
  <c r="FJ69" i="4"/>
  <c r="FK69" i="4" s="1"/>
  <c r="FF69" i="4"/>
  <c r="FG69" i="4" s="1"/>
  <c r="FL69" i="4"/>
  <c r="FM69" i="4" s="1"/>
  <c r="FJ188" i="4"/>
  <c r="FK188" i="4" s="1"/>
  <c r="FH188" i="4"/>
  <c r="FI188" i="4" s="1"/>
  <c r="FL188" i="4"/>
  <c r="FM188" i="4" s="1"/>
  <c r="FF188" i="4"/>
  <c r="FG188" i="4" s="1"/>
  <c r="FF48" i="4"/>
  <c r="FG48" i="4" s="1"/>
  <c r="FH48" i="4"/>
  <c r="FI48" i="4" s="1"/>
  <c r="FJ48" i="4"/>
  <c r="FK48" i="4" s="1"/>
  <c r="FF13" i="4"/>
  <c r="FG13" i="4" s="1"/>
  <c r="FH13" i="4"/>
  <c r="FI13" i="4" s="1"/>
  <c r="FL13" i="4"/>
  <c r="FM13" i="4" s="1"/>
  <c r="FJ13" i="4"/>
  <c r="FK13" i="4" s="1"/>
  <c r="FF356" i="4"/>
  <c r="FG356" i="4" s="1"/>
  <c r="FH356" i="4"/>
  <c r="FI356" i="4" s="1"/>
  <c r="FJ356" i="4"/>
  <c r="FK356" i="4" s="1"/>
  <c r="FJ343" i="4"/>
  <c r="FK343" i="4" s="1"/>
  <c r="FH343" i="4"/>
  <c r="FI343" i="4" s="1"/>
  <c r="FL343" i="4"/>
  <c r="FM343" i="4" s="1"/>
  <c r="FF343" i="4"/>
  <c r="FG343" i="4" s="1"/>
  <c r="FF307" i="4"/>
  <c r="FG307" i="4" s="1"/>
  <c r="FH307" i="4"/>
  <c r="FI307" i="4" s="1"/>
  <c r="FJ307" i="4"/>
  <c r="FK307" i="4" s="1"/>
  <c r="FF336" i="4"/>
  <c r="FG336" i="4" s="1"/>
  <c r="FJ336" i="4"/>
  <c r="FK336" i="4" s="1"/>
  <c r="FL336" i="4"/>
  <c r="FM336" i="4" s="1"/>
  <c r="FF321" i="4"/>
  <c r="FG321" i="4" s="1"/>
  <c r="FH321" i="4"/>
  <c r="FI321" i="4" s="1"/>
  <c r="FJ321" i="4"/>
  <c r="FK321" i="4" s="1"/>
  <c r="FL321" i="4"/>
  <c r="FM321" i="4" s="1"/>
  <c r="FF324" i="4"/>
  <c r="FG324" i="4" s="1"/>
  <c r="FH324" i="4"/>
  <c r="FI324" i="4" s="1"/>
  <c r="FL324" i="4"/>
  <c r="FM324" i="4" s="1"/>
  <c r="FF350" i="4"/>
  <c r="FG350" i="4" s="1"/>
  <c r="FH350" i="4"/>
  <c r="FI350" i="4" s="1"/>
  <c r="FJ350" i="4"/>
  <c r="FK350" i="4" s="1"/>
  <c r="FL350" i="4"/>
  <c r="FM350" i="4" s="1"/>
  <c r="FF56" i="4"/>
  <c r="FG56" i="4" s="1"/>
  <c r="FH56" i="4"/>
  <c r="FI56" i="4" s="1"/>
  <c r="FJ56" i="4"/>
  <c r="FK56" i="4" s="1"/>
  <c r="FH32" i="4"/>
  <c r="FI32" i="4" s="1"/>
  <c r="FF32" i="4"/>
  <c r="FG32" i="4" s="1"/>
  <c r="FL32" i="4"/>
  <c r="FM32" i="4" s="1"/>
  <c r="FF21" i="4"/>
  <c r="FG21" i="4" s="1"/>
  <c r="FH21" i="4"/>
  <c r="FI21" i="4" s="1"/>
  <c r="FJ21" i="4"/>
  <c r="FK21" i="4" s="1"/>
  <c r="FL21" i="4"/>
  <c r="FM21" i="4" s="1"/>
  <c r="FH5" i="4"/>
  <c r="FI5" i="4" s="1"/>
  <c r="FJ5" i="4"/>
  <c r="FK5" i="4" s="1"/>
  <c r="FL5" i="4"/>
  <c r="FM5" i="4" s="1"/>
  <c r="FF338" i="4"/>
  <c r="FG338" i="4" s="1"/>
  <c r="FH338" i="4"/>
  <c r="FI338" i="4" s="1"/>
  <c r="FJ338" i="4"/>
  <c r="FK338" i="4" s="1"/>
  <c r="FL338" i="4"/>
  <c r="FM338" i="4" s="1"/>
  <c r="FH287" i="4"/>
  <c r="FI287" i="4" s="1"/>
  <c r="FJ287" i="4"/>
  <c r="FK287" i="4" s="1"/>
  <c r="FF287" i="4"/>
  <c r="FG287" i="4" s="1"/>
  <c r="FL287" i="4"/>
  <c r="FM287" i="4" s="1"/>
  <c r="FF316" i="4"/>
  <c r="FG316" i="4" s="1"/>
  <c r="FJ316" i="4"/>
  <c r="FK316" i="4" s="1"/>
  <c r="FL316" i="4"/>
  <c r="FM316" i="4" s="1"/>
  <c r="FH296" i="4"/>
  <c r="FI296" i="4" s="1"/>
  <c r="FL296" i="4"/>
  <c r="FM296" i="4" s="1"/>
  <c r="FJ296" i="4"/>
  <c r="FK296" i="4" s="1"/>
  <c r="FF274" i="4"/>
  <c r="FG274" i="4" s="1"/>
  <c r="FH274" i="4"/>
  <c r="FI274" i="4" s="1"/>
  <c r="FL274" i="4"/>
  <c r="FM274" i="4" s="1"/>
  <c r="FF163" i="4"/>
  <c r="FG163" i="4" s="1"/>
  <c r="FH163" i="4"/>
  <c r="FI163" i="4" s="1"/>
  <c r="FL163" i="4"/>
  <c r="FM163" i="4" s="1"/>
  <c r="FJ163" i="4"/>
  <c r="FK163" i="4" s="1"/>
  <c r="FF35" i="4"/>
  <c r="FG35" i="4" s="1"/>
  <c r="FH35" i="4"/>
  <c r="FI35" i="4" s="1"/>
  <c r="FL35" i="4"/>
  <c r="FM35" i="4" s="1"/>
  <c r="FF77" i="4"/>
  <c r="FG77" i="4" s="1"/>
  <c r="FH77" i="4"/>
  <c r="FI77" i="4" s="1"/>
  <c r="FL77" i="4"/>
  <c r="FM77" i="4" s="1"/>
  <c r="FF304" i="4"/>
  <c r="FG304" i="4" s="1"/>
  <c r="FJ304" i="4"/>
  <c r="FK304" i="4" s="1"/>
  <c r="FL304" i="4"/>
  <c r="FM304" i="4" s="1"/>
  <c r="FF327" i="4"/>
  <c r="FG327" i="4" s="1"/>
  <c r="FH327" i="4"/>
  <c r="FI327" i="4" s="1"/>
  <c r="FJ327" i="4"/>
  <c r="FK327" i="4" s="1"/>
  <c r="FL327" i="4"/>
  <c r="FM327" i="4" s="1"/>
  <c r="FH311" i="4"/>
  <c r="FI311" i="4" s="1"/>
  <c r="FJ311" i="4"/>
  <c r="FK311" i="4" s="1"/>
  <c r="FL311" i="4"/>
  <c r="FM311" i="4" s="1"/>
  <c r="FF311" i="4"/>
  <c r="FG311" i="4" s="1"/>
  <c r="FH297" i="4"/>
  <c r="FI297" i="4" s="1"/>
  <c r="FF297" i="4"/>
  <c r="FG297" i="4" s="1"/>
  <c r="FL297" i="4"/>
  <c r="FM297" i="4" s="1"/>
  <c r="FF285" i="4"/>
  <c r="FG285" i="4" s="1"/>
  <c r="FH285" i="4"/>
  <c r="FI285" i="4" s="1"/>
  <c r="FJ285" i="4"/>
  <c r="FK285" i="4" s="1"/>
  <c r="FF353" i="4"/>
  <c r="FG353" i="4" s="1"/>
  <c r="FH353" i="4"/>
  <c r="FI353" i="4" s="1"/>
  <c r="FJ353" i="4"/>
  <c r="FK353" i="4" s="1"/>
  <c r="FL353" i="4"/>
  <c r="FM353" i="4" s="1"/>
  <c r="FF37" i="4"/>
  <c r="FG37" i="4" s="1"/>
  <c r="FH37" i="4"/>
  <c r="FI37" i="4" s="1"/>
  <c r="FJ37" i="4"/>
  <c r="FK37" i="4" s="1"/>
  <c r="FL37" i="4"/>
  <c r="FM37" i="4" s="1"/>
  <c r="FH68" i="4"/>
  <c r="FI68" i="4" s="1"/>
  <c r="FJ68" i="4"/>
  <c r="FK68" i="4" s="1"/>
  <c r="FL68" i="4"/>
  <c r="FM68" i="4" s="1"/>
  <c r="FJ55" i="4"/>
  <c r="FK55" i="4" s="1"/>
  <c r="FF55" i="4"/>
  <c r="FG55" i="4" s="1"/>
  <c r="FL55" i="4"/>
  <c r="FM55" i="4" s="1"/>
  <c r="FF38" i="4"/>
  <c r="FG38" i="4" s="1"/>
  <c r="FH38" i="4"/>
  <c r="FI38" i="4" s="1"/>
  <c r="FJ38" i="4"/>
  <c r="FK38" i="4" s="1"/>
  <c r="GA162" i="4"/>
  <c r="EZ162" i="4" s="1"/>
  <c r="FH162" i="4"/>
  <c r="FI162" i="4" s="1"/>
  <c r="FJ162" i="4"/>
  <c r="FK162" i="4" s="1"/>
  <c r="FL162" i="4"/>
  <c r="FM162" i="4" s="1"/>
  <c r="FF368" i="4"/>
  <c r="FG368" i="4" s="1"/>
  <c r="FH368" i="4"/>
  <c r="FI368" i="4" s="1"/>
  <c r="FL368" i="4"/>
  <c r="FM368" i="4" s="1"/>
  <c r="FF299" i="4"/>
  <c r="FG299" i="4" s="1"/>
  <c r="FH299" i="4"/>
  <c r="FI299" i="4" s="1"/>
  <c r="FJ299" i="4"/>
  <c r="FK299" i="4" s="1"/>
  <c r="FL299" i="4"/>
  <c r="FM299" i="4" s="1"/>
  <c r="FF371" i="4"/>
  <c r="FG371" i="4" s="1"/>
  <c r="FH371" i="4"/>
  <c r="FI371" i="4" s="1"/>
  <c r="FL371" i="4"/>
  <c r="FM371" i="4" s="1"/>
  <c r="FH370" i="4"/>
  <c r="FI370" i="4" s="1"/>
  <c r="FF370" i="4"/>
  <c r="FG370" i="4" s="1"/>
  <c r="FL370" i="4"/>
  <c r="FM370" i="4" s="1"/>
  <c r="FF345" i="4"/>
  <c r="FG345" i="4" s="1"/>
  <c r="FH345" i="4"/>
  <c r="FI345" i="4" s="1"/>
  <c r="FL345" i="4"/>
  <c r="FM345" i="4" s="1"/>
  <c r="FJ345" i="4"/>
  <c r="FK345" i="4" s="1"/>
  <c r="FF46" i="4"/>
  <c r="FG46" i="4" s="1"/>
  <c r="FH46" i="4"/>
  <c r="FI46" i="4" s="1"/>
  <c r="FL46" i="4"/>
  <c r="FM46" i="4" s="1"/>
  <c r="FJ76" i="4"/>
  <c r="FK76" i="4" s="1"/>
  <c r="FF76" i="4"/>
  <c r="FG76" i="4" s="1"/>
  <c r="FH76" i="4"/>
  <c r="FI76" i="4" s="1"/>
  <c r="FL76" i="4"/>
  <c r="FM76" i="4" s="1"/>
  <c r="FF71" i="4"/>
  <c r="FG71" i="4" s="1"/>
  <c r="FH71" i="4"/>
  <c r="FI71" i="4" s="1"/>
  <c r="FJ71" i="4"/>
  <c r="FK71" i="4" s="1"/>
  <c r="FL71" i="4"/>
  <c r="FM71" i="4" s="1"/>
  <c r="FJ14" i="4"/>
  <c r="FK14" i="4" s="1"/>
  <c r="FL14" i="4"/>
  <c r="FM14" i="4" s="1"/>
  <c r="FF14" i="4"/>
  <c r="FG10" i="4"/>
  <c r="L379" i="4"/>
  <c r="GK379" i="4"/>
  <c r="HG379" i="4" s="1"/>
  <c r="HD379" i="4" s="1"/>
  <c r="FB367" i="4"/>
  <c r="FD367" i="4"/>
  <c r="L378" i="4"/>
  <c r="GK378" i="4"/>
  <c r="HG378" i="4" s="1"/>
  <c r="HD378" i="4" s="1"/>
  <c r="L373" i="4"/>
  <c r="GK373" i="4"/>
  <c r="HG373" i="4" s="1"/>
  <c r="HD373" i="4" s="1"/>
  <c r="L375" i="4"/>
  <c r="GK375" i="4"/>
  <c r="HG375" i="4" s="1"/>
  <c r="HD375" i="4" s="1"/>
  <c r="L377" i="4"/>
  <c r="GK377" i="4"/>
  <c r="HG377" i="4" s="1"/>
  <c r="HD377" i="4" s="1"/>
  <c r="L374" i="4"/>
  <c r="GK374" i="4"/>
  <c r="HG374" i="4" s="1"/>
  <c r="HD374" i="4" s="1"/>
  <c r="L372" i="4"/>
  <c r="GK372" i="4"/>
  <c r="HG372" i="4" s="1"/>
  <c r="GL367" i="4"/>
  <c r="L367" i="4"/>
  <c r="GK367" i="4"/>
  <c r="FC363" i="4"/>
  <c r="FE363" i="4"/>
  <c r="FN364" i="4"/>
  <c r="GO364" i="4" s="1"/>
  <c r="FE369" i="4"/>
  <c r="L370" i="4"/>
  <c r="GL370" i="4"/>
  <c r="GK370" i="4"/>
  <c r="HG370" i="4" s="1"/>
  <c r="HD370" i="4" s="1"/>
  <c r="FD368" i="4"/>
  <c r="FB368" i="4"/>
  <c r="FB371" i="4"/>
  <c r="FD371" i="4"/>
  <c r="FB370" i="4"/>
  <c r="FD370" i="4"/>
  <c r="FC369" i="4"/>
  <c r="FN369" i="4"/>
  <c r="GM369" i="4" s="1"/>
  <c r="FN363" i="4"/>
  <c r="FC364" i="4"/>
  <c r="L371" i="4"/>
  <c r="GL371" i="4"/>
  <c r="GK371" i="4"/>
  <c r="HG371" i="4" s="1"/>
  <c r="HD371" i="4" s="1"/>
  <c r="L369" i="4"/>
  <c r="GK369" i="4"/>
  <c r="HG369" i="4" s="1"/>
  <c r="HD369" i="4" s="1"/>
  <c r="GL369" i="4"/>
  <c r="FD365" i="4"/>
  <c r="FB365" i="4"/>
  <c r="L368" i="4"/>
  <c r="GK368" i="4"/>
  <c r="HG368" i="4" s="1"/>
  <c r="HD368" i="4" s="1"/>
  <c r="GL368" i="4"/>
  <c r="FE364" i="4"/>
  <c r="FN357" i="4"/>
  <c r="GQ357" i="4" s="1"/>
  <c r="FN358" i="4"/>
  <c r="GM358" i="4" s="1"/>
  <c r="FN355" i="4"/>
  <c r="GM355" i="4" s="1"/>
  <c r="FN360" i="4"/>
  <c r="GM360" i="4" s="1"/>
  <c r="FE354" i="4"/>
  <c r="FD350" i="4"/>
  <c r="FC358" i="4"/>
  <c r="GM359" i="4"/>
  <c r="FN359" i="4"/>
  <c r="GO359" i="4" s="1"/>
  <c r="FC354" i="4"/>
  <c r="FB353" i="4"/>
  <c r="FE358" i="4"/>
  <c r="FC357" i="4"/>
  <c r="FN354" i="4"/>
  <c r="GO354" i="4" s="1"/>
  <c r="FC359" i="4"/>
  <c r="FC360" i="4"/>
  <c r="FC355" i="4"/>
  <c r="FC349" i="4"/>
  <c r="L363" i="4"/>
  <c r="GK363" i="4"/>
  <c r="HG363" i="4" s="1"/>
  <c r="HD363" i="4" s="1"/>
  <c r="L365" i="4"/>
  <c r="GK365" i="4"/>
  <c r="HG365" i="4" s="1"/>
  <c r="HD365" i="4" s="1"/>
  <c r="FD356" i="4"/>
  <c r="FB356" i="4"/>
  <c r="FB361" i="4"/>
  <c r="FN349" i="4"/>
  <c r="GM349" i="4" s="1"/>
  <c r="FE359" i="4"/>
  <c r="FE355" i="4"/>
  <c r="FE349" i="4"/>
  <c r="FE360" i="4"/>
  <c r="GK364" i="4"/>
  <c r="HG364" i="4" s="1"/>
  <c r="HD364" i="4" s="1"/>
  <c r="L364" i="4"/>
  <c r="FN347" i="4"/>
  <c r="FE340" i="4"/>
  <c r="FE341" i="4"/>
  <c r="FB345" i="4"/>
  <c r="FN341" i="4"/>
  <c r="FN340" i="4"/>
  <c r="GM340" i="4" s="1"/>
  <c r="FE344" i="4"/>
  <c r="FE342" i="4"/>
  <c r="FC341" i="4"/>
  <c r="FC340" i="4"/>
  <c r="L349" i="4"/>
  <c r="GK349" i="4"/>
  <c r="FD346" i="4"/>
  <c r="FB346" i="4"/>
  <c r="FN348" i="4"/>
  <c r="L361" i="4"/>
  <c r="GK361" i="4"/>
  <c r="HG361" i="4" s="1"/>
  <c r="HD361" i="4" s="1"/>
  <c r="FC342" i="4"/>
  <c r="FC348" i="4"/>
  <c r="L357" i="4"/>
  <c r="GK357" i="4"/>
  <c r="HG357" i="4" s="1"/>
  <c r="HD357" i="4" s="1"/>
  <c r="L360" i="4"/>
  <c r="GK360" i="4"/>
  <c r="HG360" i="4" s="1"/>
  <c r="HD360" i="4" s="1"/>
  <c r="L353" i="4"/>
  <c r="GK353" i="4"/>
  <c r="HG353" i="4" s="1"/>
  <c r="HD353" i="4" s="1"/>
  <c r="L350" i="4"/>
  <c r="GK350" i="4"/>
  <c r="HG350" i="4" s="1"/>
  <c r="HD350" i="4" s="1"/>
  <c r="FE348" i="4"/>
  <c r="L354" i="4"/>
  <c r="GK354" i="4"/>
  <c r="HG354" i="4" s="1"/>
  <c r="HD354" i="4" s="1"/>
  <c r="L356" i="4"/>
  <c r="GK356" i="4"/>
  <c r="HG356" i="4" s="1"/>
  <c r="HD356" i="4" s="1"/>
  <c r="L359" i="4"/>
  <c r="GK359" i="4"/>
  <c r="HG359" i="4" s="1"/>
  <c r="HD359" i="4" s="1"/>
  <c r="FC347" i="4"/>
  <c r="L358" i="4"/>
  <c r="GK358" i="4"/>
  <c r="HG358" i="4" s="1"/>
  <c r="HD358" i="4" s="1"/>
  <c r="L355" i="4"/>
  <c r="GK355" i="4"/>
  <c r="HG355" i="4" s="1"/>
  <c r="HD355" i="4" s="1"/>
  <c r="FD343" i="4"/>
  <c r="FN344" i="4"/>
  <c r="GQ344" i="4" s="1"/>
  <c r="FN342" i="4"/>
  <c r="FE347" i="4"/>
  <c r="FE335" i="4"/>
  <c r="FE339" i="4"/>
  <c r="FC339" i="4"/>
  <c r="FB338" i="4"/>
  <c r="FC335" i="4"/>
  <c r="FE337" i="4"/>
  <c r="FB336" i="4"/>
  <c r="FD336" i="4"/>
  <c r="FC337" i="4"/>
  <c r="L348" i="4"/>
  <c r="GK348" i="4"/>
  <c r="HG348" i="4" s="1"/>
  <c r="HD348" i="4" s="1"/>
  <c r="FN337" i="4"/>
  <c r="GM337" i="4" s="1"/>
  <c r="GL337" i="4"/>
  <c r="L347" i="4"/>
  <c r="GK347" i="4"/>
  <c r="HG347" i="4" s="1"/>
  <c r="HD347" i="4" s="1"/>
  <c r="L345" i="4"/>
  <c r="GK345" i="4"/>
  <c r="HG345" i="4" s="1"/>
  <c r="HD345" i="4" s="1"/>
  <c r="L344" i="4"/>
  <c r="GK344" i="4"/>
  <c r="HG344" i="4" s="1"/>
  <c r="HD344" i="4" s="1"/>
  <c r="L341" i="4"/>
  <c r="GK341" i="4"/>
  <c r="HG341" i="4" s="1"/>
  <c r="HD341" i="4" s="1"/>
  <c r="FN339" i="4"/>
  <c r="GL339" i="4"/>
  <c r="GL336" i="4"/>
  <c r="GL338" i="4"/>
  <c r="L340" i="4"/>
  <c r="GK340" i="4"/>
  <c r="HG340" i="4" s="1"/>
  <c r="HD340" i="4" s="1"/>
  <c r="FN335" i="4"/>
  <c r="GL335" i="4"/>
  <c r="L343" i="4"/>
  <c r="GK343" i="4"/>
  <c r="HG343" i="4" s="1"/>
  <c r="HD343" i="4" s="1"/>
  <c r="L346" i="4"/>
  <c r="GK346" i="4"/>
  <c r="HG346" i="4" s="1"/>
  <c r="HD346" i="4" s="1"/>
  <c r="L342" i="4"/>
  <c r="GK342" i="4"/>
  <c r="HG342" i="4" s="1"/>
  <c r="HD342" i="4" s="1"/>
  <c r="GQ348" i="4"/>
  <c r="GM344" i="4"/>
  <c r="GS342" i="4"/>
  <c r="FE265" i="4"/>
  <c r="FC309" i="4"/>
  <c r="FE275" i="4"/>
  <c r="FE198" i="4"/>
  <c r="FE129" i="4"/>
  <c r="FC62" i="4"/>
  <c r="FC266" i="4"/>
  <c r="FC187" i="4"/>
  <c r="FE111" i="4"/>
  <c r="FE50" i="4"/>
  <c r="FC255" i="4"/>
  <c r="FC175" i="4"/>
  <c r="FC110" i="4"/>
  <c r="FC49" i="4"/>
  <c r="FC185" i="4"/>
  <c r="FC254" i="4"/>
  <c r="FC184" i="4"/>
  <c r="FC12" i="4"/>
  <c r="FE243" i="4"/>
  <c r="FC137" i="4"/>
  <c r="FE315" i="4"/>
  <c r="FE242" i="4"/>
  <c r="FC161" i="4"/>
  <c r="FE105" i="4"/>
  <c r="FE57" i="4"/>
  <c r="FE261" i="4"/>
  <c r="FC170" i="4"/>
  <c r="FE44" i="4"/>
  <c r="FE281" i="4"/>
  <c r="FE205" i="4"/>
  <c r="FE319" i="4"/>
  <c r="FE227" i="4"/>
  <c r="FE301" i="4"/>
  <c r="FE215" i="4"/>
  <c r="FC132" i="4"/>
  <c r="FC64" i="4"/>
  <c r="FC300" i="4"/>
  <c r="FC214" i="4"/>
  <c r="FE114" i="4"/>
  <c r="FE63" i="4"/>
  <c r="FC111" i="4"/>
  <c r="FE175" i="4"/>
  <c r="FE185" i="4"/>
  <c r="FC272" i="4"/>
  <c r="FE12" i="4"/>
  <c r="FC105" i="4"/>
  <c r="FL4" i="4"/>
  <c r="FJ4" i="4"/>
  <c r="FF4" i="4"/>
  <c r="FH4" i="4"/>
  <c r="FE267" i="4"/>
  <c r="FC176" i="4"/>
  <c r="FE62" i="4"/>
  <c r="FE266" i="4"/>
  <c r="FE187" i="4"/>
  <c r="FC50" i="4"/>
  <c r="FE255" i="4"/>
  <c r="FE164" i="4"/>
  <c r="FE110" i="4"/>
  <c r="FE26" i="4"/>
  <c r="FC174" i="4"/>
  <c r="FC109" i="4"/>
  <c r="FE36" i="4"/>
  <c r="FE254" i="4"/>
  <c r="FE184" i="4"/>
  <c r="FC94" i="4"/>
  <c r="FC293" i="4"/>
  <c r="FE230" i="4"/>
  <c r="FE137" i="4"/>
  <c r="FC305" i="4"/>
  <c r="FC45" i="4"/>
  <c r="FC252" i="4"/>
  <c r="FE170" i="4"/>
  <c r="FC104" i="4"/>
  <c r="FC44" i="4"/>
  <c r="FE270" i="4"/>
  <c r="FC205" i="4"/>
  <c r="FC134" i="4"/>
  <c r="FE65" i="4"/>
  <c r="FC302" i="4"/>
  <c r="FE216" i="4"/>
  <c r="FE133" i="4"/>
  <c r="FC301" i="4"/>
  <c r="FC200" i="4"/>
  <c r="FE132" i="4"/>
  <c r="FE64" i="4"/>
  <c r="FE300" i="4"/>
  <c r="FE214" i="4"/>
  <c r="L336" i="4"/>
  <c r="GK336" i="4"/>
  <c r="HG336" i="4" s="1"/>
  <c r="HD336" i="4" s="1"/>
  <c r="L338" i="4"/>
  <c r="GK338" i="4"/>
  <c r="HG338" i="4" s="1"/>
  <c r="HD338" i="4" s="1"/>
  <c r="FC267" i="4"/>
  <c r="FE176" i="4"/>
  <c r="FC112" i="4"/>
  <c r="FC256" i="4"/>
  <c r="FE27" i="4"/>
  <c r="FC246" i="4"/>
  <c r="FC164" i="4"/>
  <c r="FC26" i="4"/>
  <c r="FC245" i="4"/>
  <c r="FE174" i="4"/>
  <c r="FE109" i="4"/>
  <c r="FC36" i="4"/>
  <c r="FC244" i="4"/>
  <c r="FE173" i="4"/>
  <c r="FE94" i="4"/>
  <c r="FE293" i="4"/>
  <c r="FC220" i="4"/>
  <c r="FE58" i="4"/>
  <c r="FC149" i="4"/>
  <c r="FC90" i="4"/>
  <c r="FE45" i="4"/>
  <c r="FC241" i="4"/>
  <c r="FC160" i="4"/>
  <c r="FE104" i="4"/>
  <c r="FE9" i="4"/>
  <c r="FC270" i="4"/>
  <c r="FE134" i="4"/>
  <c r="FC65" i="4"/>
  <c r="FE302" i="4"/>
  <c r="FE201" i="4"/>
  <c r="FC133" i="4"/>
  <c r="FC54" i="4"/>
  <c r="FE200" i="4"/>
  <c r="FC276" i="4"/>
  <c r="FC199" i="4"/>
  <c r="FC99" i="4"/>
  <c r="FE52" i="4"/>
  <c r="FE197" i="4"/>
  <c r="FE61" i="4"/>
  <c r="FE49" i="4"/>
  <c r="FE70" i="4"/>
  <c r="FE108" i="4"/>
  <c r="FC315" i="4"/>
  <c r="FC242" i="4"/>
  <c r="FE171" i="4"/>
  <c r="FC271" i="4"/>
  <c r="FE181" i="4"/>
  <c r="FE120" i="4"/>
  <c r="FC281" i="4"/>
  <c r="FC319" i="4"/>
  <c r="FC227" i="4"/>
  <c r="FC146" i="4"/>
  <c r="FE310" i="4"/>
  <c r="FC257" i="4"/>
  <c r="FE112" i="4"/>
  <c r="FE51" i="4"/>
  <c r="FE256" i="4"/>
  <c r="FC27" i="4"/>
  <c r="FE246" i="4"/>
  <c r="FE96" i="4"/>
  <c r="FE245" i="4"/>
  <c r="FE25" i="4"/>
  <c r="FE244" i="4"/>
  <c r="FC173" i="4"/>
  <c r="FC283" i="4"/>
  <c r="FE220" i="4"/>
  <c r="FC123" i="4"/>
  <c r="FC58" i="4"/>
  <c r="FC219" i="4"/>
  <c r="FE149" i="4"/>
  <c r="FE90" i="4"/>
  <c r="FE33" i="4"/>
  <c r="FE241" i="4"/>
  <c r="FE160" i="4"/>
  <c r="FC9" i="4"/>
  <c r="FC260" i="4"/>
  <c r="FE280" i="4"/>
  <c r="FC191" i="4"/>
  <c r="FE54" i="4"/>
  <c r="FE190" i="4"/>
  <c r="FC100" i="4"/>
  <c r="FC53" i="4"/>
  <c r="FE276" i="4"/>
  <c r="FE189" i="4"/>
  <c r="FE99" i="4"/>
  <c r="FE40" i="4"/>
  <c r="FC198" i="4"/>
  <c r="FC125" i="4"/>
  <c r="FC243" i="4"/>
  <c r="FC57" i="4"/>
  <c r="FC131" i="4"/>
  <c r="FE257" i="4"/>
  <c r="FC51" i="4"/>
  <c r="FC247" i="4"/>
  <c r="FE165" i="4"/>
  <c r="FC83" i="4"/>
  <c r="FC15" i="4"/>
  <c r="FC233" i="4"/>
  <c r="FE153" i="4"/>
  <c r="FC96" i="4"/>
  <c r="FC10" i="4"/>
  <c r="FE232" i="4"/>
  <c r="FE95" i="4"/>
  <c r="FC25" i="4"/>
  <c r="FC231" i="4"/>
  <c r="FE151" i="4"/>
  <c r="FE80" i="4"/>
  <c r="FE283" i="4"/>
  <c r="FC208" i="4"/>
  <c r="FE123" i="4"/>
  <c r="FE34" i="4"/>
  <c r="FC282" i="4"/>
  <c r="FE219" i="4"/>
  <c r="FC33" i="4"/>
  <c r="FE229" i="4"/>
  <c r="FC89" i="4"/>
  <c r="FC331" i="4"/>
  <c r="FC251" i="4"/>
  <c r="FE180" i="4"/>
  <c r="FE119" i="4"/>
  <c r="FE43" i="4"/>
  <c r="FC280" i="4"/>
  <c r="FE191" i="4"/>
  <c r="FE118" i="4"/>
  <c r="FE42" i="4"/>
  <c r="FE259" i="4"/>
  <c r="FC178" i="4"/>
  <c r="FE100" i="4"/>
  <c r="FE53" i="4"/>
  <c r="FC258" i="4"/>
  <c r="FC189" i="4"/>
  <c r="FC40" i="4"/>
  <c r="FC63" i="4"/>
  <c r="L339" i="4"/>
  <c r="GK339" i="4"/>
  <c r="HG339" i="4" s="1"/>
  <c r="HD339" i="4" s="1"/>
  <c r="FE248" i="4"/>
  <c r="FC98" i="4"/>
  <c r="FC39" i="4"/>
  <c r="FE247" i="4"/>
  <c r="FC165" i="4"/>
  <c r="FE83" i="4"/>
  <c r="FE15" i="4"/>
  <c r="FC223" i="4"/>
  <c r="FC153" i="4"/>
  <c r="FC222" i="4"/>
  <c r="FC95" i="4"/>
  <c r="FE8" i="4"/>
  <c r="FE231" i="4"/>
  <c r="FC80" i="4"/>
  <c r="FE208" i="4"/>
  <c r="FC34" i="4"/>
  <c r="FE282" i="4"/>
  <c r="FC207" i="4"/>
  <c r="FC136" i="4"/>
  <c r="FE79" i="4"/>
  <c r="FC22" i="4"/>
  <c r="FC229" i="4"/>
  <c r="FE148" i="4"/>
  <c r="FE89" i="4"/>
  <c r="FC320" i="4"/>
  <c r="FE251" i="4"/>
  <c r="FC180" i="4"/>
  <c r="FC119" i="4"/>
  <c r="FE31" i="4"/>
  <c r="FC269" i="4"/>
  <c r="FE179" i="4"/>
  <c r="FC42" i="4"/>
  <c r="FC259" i="4"/>
  <c r="FE178" i="4"/>
  <c r="FE18" i="4"/>
  <c r="FE258" i="4"/>
  <c r="FE166" i="4"/>
  <c r="FE85" i="4"/>
  <c r="FE28" i="4"/>
  <c r="FC288" i="4"/>
  <c r="FE226" i="4"/>
  <c r="FE234" i="4"/>
  <c r="FC155" i="4"/>
  <c r="FE39" i="4"/>
  <c r="FE223" i="4"/>
  <c r="FC140" i="4"/>
  <c r="FC82" i="4"/>
  <c r="FE222" i="4"/>
  <c r="FC152" i="4"/>
  <c r="FC8" i="4"/>
  <c r="FC221" i="4"/>
  <c r="FC138" i="4"/>
  <c r="FE195" i="4"/>
  <c r="FE107" i="4"/>
  <c r="FC23" i="4"/>
  <c r="FE207" i="4"/>
  <c r="FE136" i="4"/>
  <c r="FC79" i="4"/>
  <c r="FC218" i="4"/>
  <c r="FC148" i="4"/>
  <c r="FE320" i="4"/>
  <c r="FC240" i="4"/>
  <c r="FC169" i="4"/>
  <c r="FC31" i="4"/>
  <c r="FE269" i="4"/>
  <c r="FC168" i="4"/>
  <c r="FC101" i="4"/>
  <c r="FC30" i="4"/>
  <c r="FE249" i="4"/>
  <c r="FE167" i="4"/>
  <c r="FC86" i="4"/>
  <c r="FC18" i="4"/>
  <c r="FC156" i="4"/>
  <c r="FC85" i="4"/>
  <c r="FC28" i="4"/>
  <c r="FE264" i="4"/>
  <c r="FC225" i="4"/>
  <c r="FE155" i="4"/>
  <c r="FE84" i="4"/>
  <c r="FE16" i="4"/>
  <c r="FE224" i="4"/>
  <c r="FE154" i="4"/>
  <c r="FC72" i="4"/>
  <c r="FC211" i="4"/>
  <c r="FE140" i="4"/>
  <c r="FE82" i="4"/>
  <c r="FE210" i="4"/>
  <c r="FC81" i="4"/>
  <c r="FC325" i="4"/>
  <c r="FE221" i="4"/>
  <c r="FE138" i="4"/>
  <c r="FC47" i="4"/>
  <c r="FC263" i="4"/>
  <c r="FE183" i="4"/>
  <c r="FC107" i="4"/>
  <c r="FE23" i="4"/>
  <c r="FC193" i="4"/>
  <c r="FE218" i="4"/>
  <c r="FC78" i="4"/>
  <c r="FE314" i="4"/>
  <c r="FE240" i="4"/>
  <c r="FE169" i="4"/>
  <c r="FC102" i="4"/>
  <c r="FE20" i="4"/>
  <c r="FE298" i="4"/>
  <c r="FE168" i="4"/>
  <c r="FE101" i="4"/>
  <c r="FE30" i="4"/>
  <c r="FC249" i="4"/>
  <c r="FC157" i="4"/>
  <c r="FE86" i="4"/>
  <c r="FC329" i="4"/>
  <c r="FE17" i="4"/>
  <c r="FC88" i="4"/>
  <c r="FE225" i="4"/>
  <c r="FC16" i="4"/>
  <c r="FC212" i="4"/>
  <c r="FE72" i="4"/>
  <c r="FE211" i="4"/>
  <c r="FC273" i="4"/>
  <c r="FC210" i="4"/>
  <c r="FE139" i="4"/>
  <c r="FE81" i="4"/>
  <c r="FE325" i="4"/>
  <c r="FC209" i="4"/>
  <c r="FE47" i="4"/>
  <c r="FE263" i="4"/>
  <c r="FC172" i="4"/>
  <c r="FE11" i="4"/>
  <c r="FC262" i="4"/>
  <c r="FE193" i="4"/>
  <c r="FC122" i="4"/>
  <c r="FC67" i="4"/>
  <c r="FC292" i="4"/>
  <c r="FE206" i="4"/>
  <c r="FC135" i="4"/>
  <c r="FE78" i="4"/>
  <c r="FC314" i="4"/>
  <c r="FE228" i="4"/>
  <c r="FC159" i="4"/>
  <c r="FE102" i="4"/>
  <c r="FC20" i="4"/>
  <c r="FC250" i="4"/>
  <c r="FC158" i="4"/>
  <c r="FE238" i="4"/>
  <c r="FE157" i="4"/>
  <c r="FE329" i="4"/>
  <c r="FC235" i="4"/>
  <c r="FC142" i="4"/>
  <c r="FC74" i="4"/>
  <c r="FC17" i="4"/>
  <c r="L337" i="4"/>
  <c r="GK337" i="4"/>
  <c r="HG337" i="4" s="1"/>
  <c r="HD337" i="4" s="1"/>
  <c r="FC308" i="4"/>
  <c r="FC213" i="4"/>
  <c r="FE141" i="4"/>
  <c r="FC73" i="4"/>
  <c r="FC317" i="4"/>
  <c r="FE212" i="4"/>
  <c r="FE128" i="4"/>
  <c r="FC196" i="4"/>
  <c r="FC127" i="4"/>
  <c r="FC60" i="4"/>
  <c r="FE273" i="4"/>
  <c r="FC306" i="4"/>
  <c r="FE209" i="4"/>
  <c r="FC124" i="4"/>
  <c r="FE24" i="4"/>
  <c r="FE150" i="4"/>
  <c r="FC93" i="4"/>
  <c r="FC11" i="4"/>
  <c r="FE253" i="4"/>
  <c r="FC182" i="4"/>
  <c r="FE122" i="4"/>
  <c r="FE67" i="4"/>
  <c r="FE292" i="4"/>
  <c r="FC206" i="4"/>
  <c r="FE135" i="4"/>
  <c r="FC291" i="4"/>
  <c r="FC228" i="4"/>
  <c r="FC330" i="4"/>
  <c r="FE239" i="4"/>
  <c r="FE158" i="4"/>
  <c r="FC87" i="4"/>
  <c r="FC238" i="4"/>
  <c r="FC75" i="4"/>
  <c r="FC318" i="4"/>
  <c r="FE235" i="4"/>
  <c r="FE74" i="4"/>
  <c r="FC217" i="4"/>
  <c r="L335" i="4"/>
  <c r="GK335" i="4"/>
  <c r="HG335" i="4" s="1"/>
  <c r="HD335" i="4" s="1"/>
  <c r="FE308" i="4"/>
  <c r="FE213" i="4"/>
  <c r="FC141" i="4"/>
  <c r="FE73" i="4"/>
  <c r="FE317" i="4"/>
  <c r="FC197" i="4"/>
  <c r="FC61" i="4"/>
  <c r="FC286" i="4"/>
  <c r="FC186" i="4"/>
  <c r="FE127" i="4"/>
  <c r="FE60" i="4"/>
  <c r="FC264" i="4"/>
  <c r="FE125" i="4"/>
  <c r="FC70" i="4"/>
  <c r="FE306" i="4"/>
  <c r="FC24" i="4"/>
  <c r="FC150" i="4"/>
  <c r="FE93" i="4"/>
  <c r="FE334" i="4"/>
  <c r="FC253" i="4"/>
  <c r="FE182" i="4"/>
  <c r="FE271" i="4"/>
  <c r="FE192" i="4"/>
  <c r="FE66" i="4"/>
  <c r="FE291" i="4"/>
  <c r="FE217" i="4"/>
  <c r="FC147" i="4"/>
  <c r="FE88" i="4"/>
  <c r="FE330" i="4"/>
  <c r="FC239" i="4"/>
  <c r="FE87" i="4"/>
  <c r="FC310" i="4"/>
  <c r="FC143" i="4"/>
  <c r="FE75" i="4"/>
  <c r="FE318" i="4"/>
  <c r="FC226" i="4"/>
  <c r="FE131" i="4"/>
  <c r="FD304" i="4"/>
  <c r="FB304" i="4"/>
  <c r="FD290" i="4"/>
  <c r="FB290" i="4"/>
  <c r="FD313" i="4"/>
  <c r="FB313" i="4"/>
  <c r="FD324" i="4"/>
  <c r="FB324" i="4"/>
  <c r="FD55" i="4"/>
  <c r="FB55" i="4"/>
  <c r="FD38" i="4"/>
  <c r="FB38" i="4"/>
  <c r="FD162" i="4"/>
  <c r="FB162" i="4"/>
  <c r="FD46" i="4"/>
  <c r="FB46" i="4"/>
  <c r="FD327" i="4"/>
  <c r="FD307" i="4"/>
  <c r="FB307" i="4"/>
  <c r="FD323" i="4"/>
  <c r="FB323" i="4"/>
  <c r="FD296" i="4"/>
  <c r="FB296" i="4"/>
  <c r="FD76" i="4"/>
  <c r="FB71" i="4"/>
  <c r="FD14" i="4"/>
  <c r="FB14" i="4"/>
  <c r="FB29" i="4"/>
  <c r="FD268" i="4"/>
  <c r="FB268" i="4"/>
  <c r="FD299" i="4"/>
  <c r="FB287" i="4"/>
  <c r="FD285" i="4"/>
  <c r="FB285" i="4"/>
  <c r="FD303" i="4"/>
  <c r="FB19" i="4"/>
  <c r="FD19" i="4"/>
  <c r="FD7" i="4"/>
  <c r="FB7" i="4"/>
  <c r="FD117" i="4"/>
  <c r="FB117" i="4"/>
  <c r="FD177" i="4"/>
  <c r="FB177" i="4"/>
  <c r="FB59" i="4"/>
  <c r="FD6" i="4"/>
  <c r="FB6" i="4"/>
  <c r="FD277" i="4"/>
  <c r="FB277" i="4"/>
  <c r="FB311" i="4"/>
  <c r="FD316" i="4"/>
  <c r="FB316" i="4"/>
  <c r="FD69" i="4"/>
  <c r="FB69" i="4"/>
  <c r="FD188" i="4"/>
  <c r="FD48" i="4"/>
  <c r="FB48" i="4"/>
  <c r="FD13" i="4"/>
  <c r="FE10" i="4"/>
  <c r="FD297" i="4"/>
  <c r="FB297" i="4"/>
  <c r="FD284" i="4"/>
  <c r="FD56" i="4"/>
  <c r="FB56" i="4"/>
  <c r="FD32" i="4"/>
  <c r="FB32" i="4"/>
  <c r="FB21" i="4"/>
  <c r="FD5" i="4"/>
  <c r="FB5" i="4"/>
  <c r="FD4" i="4"/>
  <c r="FB163" i="4"/>
  <c r="FD328" i="4"/>
  <c r="FB328" i="4"/>
  <c r="FD332" i="4"/>
  <c r="FB332" i="4"/>
  <c r="FD326" i="4"/>
  <c r="FB326" i="4"/>
  <c r="FB321" i="4"/>
  <c r="FD274" i="4"/>
  <c r="FB274" i="4"/>
  <c r="FB35" i="4"/>
  <c r="FD35" i="4"/>
  <c r="FD77" i="4"/>
  <c r="FB77" i="4"/>
  <c r="FD41" i="4"/>
  <c r="FB41" i="4"/>
  <c r="FD37" i="4"/>
  <c r="FD68" i="4"/>
  <c r="FB68" i="4"/>
  <c r="FP147" i="4"/>
  <c r="FP137" i="4"/>
  <c r="EL137" i="4" s="1"/>
  <c r="FP25" i="4"/>
  <c r="EL25" i="4" s="1"/>
  <c r="BM178" i="4"/>
  <c r="GU178" i="4"/>
  <c r="GW178" i="4"/>
  <c r="GO178" i="4"/>
  <c r="GW379" i="4"/>
  <c r="GQ379" i="4"/>
  <c r="GU379" i="4"/>
  <c r="GW245" i="4"/>
  <c r="AB280" i="4"/>
  <c r="GO280" i="4"/>
  <c r="GQ280" i="4"/>
  <c r="GU280" i="4"/>
  <c r="GW280" i="4"/>
  <c r="AK281" i="4"/>
  <c r="GQ281" i="4"/>
  <c r="GU281" i="4"/>
  <c r="GW281" i="4"/>
  <c r="AU169" i="4"/>
  <c r="GQ169" i="4"/>
  <c r="GS169" i="4"/>
  <c r="GM169" i="4"/>
  <c r="GU317" i="4"/>
  <c r="GW317" i="4"/>
  <c r="GO317" i="4"/>
  <c r="GQ317" i="4"/>
  <c r="Z216" i="4"/>
  <c r="GU216" i="4"/>
  <c r="GM216" i="4"/>
  <c r="GO216" i="4"/>
  <c r="GS216" i="4"/>
  <c r="GQ226" i="4"/>
  <c r="GS226" i="4"/>
  <c r="GW226" i="4"/>
  <c r="GM226" i="4"/>
  <c r="GM167" i="4"/>
  <c r="GO167" i="4"/>
  <c r="GS167" i="4"/>
  <c r="GU167" i="4"/>
  <c r="GO198" i="4"/>
  <c r="GQ198" i="4"/>
  <c r="GU198" i="4"/>
  <c r="GW198" i="4"/>
  <c r="AU334" i="4"/>
  <c r="FN334" i="4"/>
  <c r="GM334" i="4"/>
  <c r="GO334" i="4"/>
  <c r="GU334" i="4"/>
  <c r="Z219" i="4"/>
  <c r="GO219" i="4"/>
  <c r="GQ219" i="4"/>
  <c r="GU219" i="4"/>
  <c r="GW219" i="4"/>
  <c r="GW244" i="4"/>
  <c r="GM244" i="4"/>
  <c r="GQ244" i="4"/>
  <c r="GS244" i="4"/>
  <c r="GO378" i="4"/>
  <c r="GQ378" i="4"/>
  <c r="GU378" i="4"/>
  <c r="GW378" i="4"/>
  <c r="AU229" i="4"/>
  <c r="GO229" i="4"/>
  <c r="GQ229" i="4"/>
  <c r="GU229" i="4"/>
  <c r="GW386" i="4"/>
  <c r="GO375" i="4"/>
  <c r="GS286" i="4"/>
  <c r="GS246" i="4"/>
  <c r="GQ223" i="4"/>
  <c r="GU196" i="4"/>
  <c r="AG393" i="4"/>
  <c r="GS393" i="4"/>
  <c r="GU393" i="4"/>
  <c r="GM393" i="4"/>
  <c r="GO393" i="4"/>
  <c r="GM298" i="4"/>
  <c r="GO298" i="4"/>
  <c r="GU298" i="4"/>
  <c r="GS298" i="4"/>
  <c r="GM201" i="4"/>
  <c r="GO201" i="4"/>
  <c r="GS201" i="4"/>
  <c r="GU201" i="4"/>
  <c r="GS199" i="4"/>
  <c r="GU199" i="4"/>
  <c r="GM199" i="4"/>
  <c r="GQ320" i="4"/>
  <c r="GU320" i="4"/>
  <c r="GW320" i="4"/>
  <c r="GO320" i="4"/>
  <c r="GM176" i="4"/>
  <c r="GQ176" i="4"/>
  <c r="GS176" i="4"/>
  <c r="GW176" i="4"/>
  <c r="GO315" i="4"/>
  <c r="GQ315" i="4"/>
  <c r="GU315" i="4"/>
  <c r="GW315" i="4"/>
  <c r="AG349" i="4"/>
  <c r="GO349" i="4"/>
  <c r="GQ349" i="4"/>
  <c r="GU349" i="4"/>
  <c r="GW349" i="4"/>
  <c r="GO292" i="4"/>
  <c r="GQ292" i="4"/>
  <c r="GU292" i="4"/>
  <c r="GW292" i="4"/>
  <c r="GM231" i="4"/>
  <c r="GS231" i="4"/>
  <c r="AI262" i="4"/>
  <c r="GM262" i="4"/>
  <c r="GO262" i="4"/>
  <c r="GS262" i="4"/>
  <c r="GU262" i="4"/>
  <c r="DO218" i="4"/>
  <c r="GQ218" i="4"/>
  <c r="GU218" i="4"/>
  <c r="GW218" i="4"/>
  <c r="GO218" i="4"/>
  <c r="GM386" i="4"/>
  <c r="GM255" i="4"/>
  <c r="GO223" i="4"/>
  <c r="GS196" i="4"/>
  <c r="GW175" i="4"/>
  <c r="GW264" i="4"/>
  <c r="GM245" i="4"/>
  <c r="AK227" i="4"/>
  <c r="GM227" i="4"/>
  <c r="GQ227" i="4"/>
  <c r="GS227" i="4"/>
  <c r="GW227" i="4"/>
  <c r="Z240" i="4"/>
  <c r="GM240" i="4"/>
  <c r="GQ240" i="4"/>
  <c r="GS240" i="4"/>
  <c r="GW240" i="4"/>
  <c r="GO355" i="4"/>
  <c r="GQ355" i="4"/>
  <c r="GW355" i="4"/>
  <c r="GO191" i="4"/>
  <c r="GQ191" i="4"/>
  <c r="GW191" i="4"/>
  <c r="GW267" i="4"/>
  <c r="Z222" i="4"/>
  <c r="GW293" i="4"/>
  <c r="GO293" i="4"/>
  <c r="GQ293" i="4"/>
  <c r="GU293" i="4"/>
  <c r="GO210" i="4"/>
  <c r="GQ210" i="4"/>
  <c r="GW210" i="4"/>
  <c r="GQ221" i="4"/>
  <c r="GU221" i="4"/>
  <c r="GW221" i="4"/>
  <c r="GO221" i="4"/>
  <c r="AP253" i="4"/>
  <c r="GW253" i="4"/>
  <c r="GO253" i="4"/>
  <c r="GQ253" i="4"/>
  <c r="GU253" i="4"/>
  <c r="AR206" i="4"/>
  <c r="GO206" i="4"/>
  <c r="GQ206" i="4"/>
  <c r="GU206" i="4"/>
  <c r="GW206" i="4"/>
  <c r="GO286" i="4"/>
  <c r="GQ255" i="4"/>
  <c r="GQ264" i="4"/>
  <c r="GO379" i="4"/>
  <c r="GS386" i="4"/>
  <c r="GU344" i="4"/>
  <c r="GM286" i="4"/>
  <c r="GW255" i="4"/>
  <c r="GU233" i="4"/>
  <c r="GM196" i="4"/>
  <c r="GO180" i="4"/>
  <c r="GQ180" i="4"/>
  <c r="GU180" i="4"/>
  <c r="GW180" i="4"/>
  <c r="GQ168" i="4"/>
  <c r="GU168" i="4"/>
  <c r="GW168" i="4"/>
  <c r="GO168" i="4"/>
  <c r="GW258" i="4"/>
  <c r="GM258" i="4"/>
  <c r="GS258" i="4"/>
  <c r="GO248" i="4"/>
  <c r="GS248" i="4"/>
  <c r="GU248" i="4"/>
  <c r="GM248" i="4"/>
  <c r="BR357" i="4"/>
  <c r="GM357" i="4"/>
  <c r="AN342" i="4"/>
  <c r="GW342" i="4"/>
  <c r="GM342" i="4"/>
  <c r="GQ342" i="4"/>
  <c r="FN331" i="4"/>
  <c r="GM331" i="4"/>
  <c r="GO331" i="4"/>
  <c r="GU331" i="4"/>
  <c r="GO360" i="4"/>
  <c r="GQ360" i="4"/>
  <c r="GU360" i="4"/>
  <c r="GW360" i="4"/>
  <c r="GS207" i="4"/>
  <c r="GW207" i="4"/>
  <c r="GM207" i="4"/>
  <c r="GQ207" i="4"/>
  <c r="GS363" i="4"/>
  <c r="GM363" i="4"/>
  <c r="GW363" i="4"/>
  <c r="GQ363" i="4"/>
  <c r="GS230" i="4"/>
  <c r="GU230" i="4"/>
  <c r="GM230" i="4"/>
  <c r="AR181" i="4"/>
  <c r="GO181" i="4"/>
  <c r="GS181" i="4"/>
  <c r="GU181" i="4"/>
  <c r="GM181" i="4"/>
  <c r="GQ386" i="4"/>
  <c r="GS344" i="4"/>
  <c r="GS233" i="4"/>
  <c r="GW211" i="4"/>
  <c r="GQ254" i="4"/>
  <c r="GO281" i="4"/>
  <c r="GQ258" i="4"/>
  <c r="GU217" i="4"/>
  <c r="GW217" i="4"/>
  <c r="GO217" i="4"/>
  <c r="GQ217" i="4"/>
  <c r="GM275" i="4"/>
  <c r="GO275" i="4"/>
  <c r="GU275" i="4"/>
  <c r="GQ257" i="4"/>
  <c r="GS257" i="4"/>
  <c r="GW257" i="4"/>
  <c r="GM257" i="4"/>
  <c r="GO392" i="4"/>
  <c r="GS392" i="4"/>
  <c r="GU392" i="4"/>
  <c r="GM392" i="4"/>
  <c r="GO209" i="4"/>
  <c r="GQ209" i="4"/>
  <c r="GU209" i="4"/>
  <c r="CH243" i="4"/>
  <c r="GM243" i="4"/>
  <c r="GQ243" i="4"/>
  <c r="GS243" i="4"/>
  <c r="GW243" i="4"/>
  <c r="GQ377" i="4"/>
  <c r="GS377" i="4"/>
  <c r="GW377" i="4"/>
  <c r="GM377" i="4"/>
  <c r="GU192" i="4"/>
  <c r="GM192" i="4"/>
  <c r="GO192" i="4"/>
  <c r="GS192" i="4"/>
  <c r="AU174" i="4"/>
  <c r="GO174" i="4"/>
  <c r="GQ174" i="4"/>
  <c r="GM235" i="4"/>
  <c r="GQ235" i="4"/>
  <c r="GS235" i="4"/>
  <c r="GM309" i="4"/>
  <c r="GO309" i="4"/>
  <c r="GS309" i="4"/>
  <c r="GU309" i="4"/>
  <c r="GS306" i="4"/>
  <c r="GW306" i="4"/>
  <c r="GM306" i="4"/>
  <c r="GQ306" i="4"/>
  <c r="GW282" i="4"/>
  <c r="GM282" i="4"/>
  <c r="GQ282" i="4"/>
  <c r="GS282" i="4"/>
  <c r="GW314" i="4"/>
  <c r="GM314" i="4"/>
  <c r="GQ314" i="4"/>
  <c r="GM305" i="4"/>
  <c r="GO305" i="4"/>
  <c r="GS305" i="4"/>
  <c r="GU305" i="4"/>
  <c r="GM175" i="4"/>
  <c r="GQ364" i="4"/>
  <c r="GS364" i="4"/>
  <c r="GW364" i="4"/>
  <c r="GM364" i="4"/>
  <c r="GQ359" i="4"/>
  <c r="GS359" i="4"/>
  <c r="GW359" i="4"/>
  <c r="GQ184" i="4"/>
  <c r="GU184" i="4"/>
  <c r="GW184" i="4"/>
  <c r="GO184" i="4"/>
  <c r="GO358" i="4"/>
  <c r="GQ358" i="4"/>
  <c r="GU358" i="4"/>
  <c r="GW358" i="4"/>
  <c r="GO220" i="4"/>
  <c r="GQ220" i="4"/>
  <c r="GW220" i="4"/>
  <c r="GU220" i="4"/>
  <c r="GW170" i="4"/>
  <c r="GM170" i="4"/>
  <c r="GQ170" i="4"/>
  <c r="GU347" i="4"/>
  <c r="GW347" i="4"/>
  <c r="GQ347" i="4"/>
  <c r="GO265" i="4"/>
  <c r="GU211" i="4"/>
  <c r="GU357" i="4"/>
  <c r="GU191" i="4"/>
  <c r="GS288" i="4"/>
  <c r="GU288" i="4"/>
  <c r="GM288" i="4"/>
  <c r="AP238" i="4"/>
  <c r="GO238" i="4"/>
  <c r="GQ238" i="4"/>
  <c r="GU238" i="4"/>
  <c r="GW238" i="4"/>
  <c r="GQ214" i="4"/>
  <c r="GU214" i="4"/>
  <c r="GW214" i="4"/>
  <c r="GO214" i="4"/>
  <c r="GM261" i="4"/>
  <c r="GO261" i="4"/>
  <c r="GS261" i="4"/>
  <c r="GU261" i="4"/>
  <c r="GO266" i="4"/>
  <c r="GQ266" i="4"/>
  <c r="GU266" i="4"/>
  <c r="GW266" i="4"/>
  <c r="GU254" i="4"/>
  <c r="GO254" i="4"/>
  <c r="Z232" i="4"/>
  <c r="GS232" i="4"/>
  <c r="GM232" i="4"/>
  <c r="GO232" i="4"/>
  <c r="GS272" i="4"/>
  <c r="GU272" i="4"/>
  <c r="GM272" i="4"/>
  <c r="GO272" i="4"/>
  <c r="AU330" i="4"/>
  <c r="FN330" i="4"/>
  <c r="GW330" i="4"/>
  <c r="GM330" i="4"/>
  <c r="GS330" i="4"/>
  <c r="GQ173" i="4"/>
  <c r="GW173" i="4"/>
  <c r="CT382" i="4"/>
  <c r="GQ382" i="4"/>
  <c r="GU382" i="4"/>
  <c r="GW382" i="4"/>
  <c r="GO382" i="4"/>
  <c r="AY208" i="4"/>
  <c r="GW208" i="4"/>
  <c r="GM208" i="4"/>
  <c r="GQ208" i="4"/>
  <c r="GW308" i="4"/>
  <c r="GO308" i="4"/>
  <c r="GU308" i="4"/>
  <c r="GQ308" i="4"/>
  <c r="CK269" i="4"/>
  <c r="GQ269" i="4"/>
  <c r="GU269" i="4"/>
  <c r="GW269" i="4"/>
  <c r="GO269" i="4"/>
  <c r="GO344" i="4"/>
  <c r="GM265" i="4"/>
  <c r="GO233" i="4"/>
  <c r="GU186" i="4"/>
  <c r="GS357" i="4"/>
  <c r="GU173" i="4"/>
  <c r="GW169" i="4"/>
  <c r="BF179" i="4"/>
  <c r="GU179" i="4"/>
  <c r="GM179" i="4"/>
  <c r="GO179" i="4"/>
  <c r="GS179" i="4"/>
  <c r="CM369" i="4"/>
  <c r="GO369" i="4"/>
  <c r="GQ369" i="4"/>
  <c r="GU369" i="4"/>
  <c r="BW276" i="4"/>
  <c r="GQ276" i="4"/>
  <c r="GS276" i="4"/>
  <c r="GW276" i="4"/>
  <c r="GM276" i="4"/>
  <c r="GS301" i="4"/>
  <c r="GW301" i="4"/>
  <c r="GM301" i="4"/>
  <c r="GQ301" i="4"/>
  <c r="GQ189" i="4"/>
  <c r="GU189" i="4"/>
  <c r="GW189" i="4"/>
  <c r="GO189" i="4"/>
  <c r="GU171" i="4"/>
  <c r="GM171" i="4"/>
  <c r="GO171" i="4"/>
  <c r="GS171" i="4"/>
  <c r="GO256" i="4"/>
  <c r="GQ256" i="4"/>
  <c r="GW256" i="4"/>
  <c r="GS224" i="4"/>
  <c r="GU224" i="4"/>
  <c r="GM224" i="4"/>
  <c r="GO224" i="4"/>
  <c r="GQ185" i="4"/>
  <c r="GW185" i="4"/>
  <c r="GO185" i="4"/>
  <c r="GO283" i="4"/>
  <c r="GQ283" i="4"/>
  <c r="GU283" i="4"/>
  <c r="GO319" i="4"/>
  <c r="GQ319" i="4"/>
  <c r="GU319" i="4"/>
  <c r="GW319" i="4"/>
  <c r="AW341" i="4"/>
  <c r="GO341" i="4"/>
  <c r="GQ341" i="4"/>
  <c r="GU341" i="4"/>
  <c r="GW341" i="4"/>
  <c r="AK195" i="4"/>
  <c r="GM195" i="4"/>
  <c r="GO195" i="4"/>
  <c r="GS195" i="4"/>
  <c r="GU195" i="4"/>
  <c r="GO340" i="4"/>
  <c r="GQ340" i="4"/>
  <c r="GU340" i="4"/>
  <c r="GW340" i="4"/>
  <c r="GU300" i="4"/>
  <c r="GW300" i="4"/>
  <c r="GO300" i="4"/>
  <c r="Z250" i="4"/>
  <c r="GU250" i="4"/>
  <c r="GM250" i="4"/>
  <c r="GS250" i="4"/>
  <c r="GO250" i="4"/>
  <c r="GQ246" i="4"/>
  <c r="GQ211" i="4"/>
  <c r="GQ222" i="4"/>
  <c r="GU185" i="4"/>
  <c r="GO173" i="4"/>
  <c r="GQ178" i="4"/>
  <c r="GW235" i="4"/>
  <c r="GS387" i="4"/>
  <c r="GU387" i="4"/>
  <c r="GM387" i="4"/>
  <c r="GO387" i="4"/>
  <c r="DJ259" i="4"/>
  <c r="GO259" i="4"/>
  <c r="GQ259" i="4"/>
  <c r="GW259" i="4"/>
  <c r="GO242" i="4"/>
  <c r="GQ242" i="4"/>
  <c r="GU242" i="4"/>
  <c r="GW242" i="4"/>
  <c r="AB215" i="4"/>
  <c r="GM215" i="4"/>
  <c r="GO215" i="4"/>
  <c r="GS215" i="4"/>
  <c r="GU215" i="4"/>
  <c r="GM166" i="4"/>
  <c r="GO166" i="4"/>
  <c r="GU166" i="4"/>
  <c r="GM247" i="4"/>
  <c r="GQ247" i="4"/>
  <c r="GS247" i="4"/>
  <c r="GW247" i="4"/>
  <c r="GW212" i="4"/>
  <c r="GM212" i="4"/>
  <c r="GQ212" i="4"/>
  <c r="GS212" i="4"/>
  <c r="CY273" i="4"/>
  <c r="GM273" i="4"/>
  <c r="GQ273" i="4"/>
  <c r="GW291" i="4"/>
  <c r="GO291" i="4"/>
  <c r="GU291" i="4"/>
  <c r="GQ291" i="4"/>
  <c r="GM183" i="4"/>
  <c r="GO183" i="4"/>
  <c r="GS183" i="4"/>
  <c r="AP271" i="4"/>
  <c r="GS271" i="4"/>
  <c r="GW271" i="4"/>
  <c r="GM271" i="4"/>
  <c r="GQ271" i="4"/>
  <c r="AW270" i="4"/>
  <c r="GQ270" i="4"/>
  <c r="GU270" i="4"/>
  <c r="GW270" i="4"/>
  <c r="GO270" i="4"/>
  <c r="AU228" i="4"/>
  <c r="GO228" i="4"/>
  <c r="GQ228" i="4"/>
  <c r="GU228" i="4"/>
  <c r="GW375" i="4"/>
  <c r="GU265" i="4"/>
  <c r="GO211" i="4"/>
  <c r="GO186" i="4"/>
  <c r="GO357" i="4"/>
  <c r="GU355" i="4"/>
  <c r="GW273" i="4"/>
  <c r="GO222" i="4"/>
  <c r="GW231" i="4"/>
  <c r="GW229" i="4"/>
  <c r="FN329" i="4"/>
  <c r="GM329" i="4"/>
  <c r="GQ329" i="4"/>
  <c r="GS329" i="4"/>
  <c r="GW329" i="4"/>
  <c r="GO249" i="4"/>
  <c r="GQ249" i="4"/>
  <c r="GU249" i="4"/>
  <c r="GW249" i="4"/>
  <c r="AN200" i="4"/>
  <c r="GO200" i="4"/>
  <c r="GQ200" i="4"/>
  <c r="GW200" i="4"/>
  <c r="GM354" i="4"/>
  <c r="GQ354" i="4"/>
  <c r="GS354" i="4"/>
  <c r="GW354" i="4"/>
  <c r="GU234" i="4"/>
  <c r="GM234" i="4"/>
  <c r="GO234" i="4"/>
  <c r="GS234" i="4"/>
  <c r="AY182" i="4"/>
  <c r="GW182" i="4"/>
  <c r="GM182" i="4"/>
  <c r="GQ182" i="4"/>
  <c r="GS182" i="4"/>
  <c r="GW197" i="4"/>
  <c r="GO197" i="4"/>
  <c r="GQ197" i="4"/>
  <c r="GU197" i="4"/>
  <c r="BM348" i="4"/>
  <c r="GU348" i="4"/>
  <c r="GW348" i="4"/>
  <c r="GO348" i="4"/>
  <c r="GS264" i="4"/>
  <c r="GQ310" i="4"/>
  <c r="GU310" i="4"/>
  <c r="GW310" i="4"/>
  <c r="GO310" i="4"/>
  <c r="AU172" i="4"/>
  <c r="GS172" i="4"/>
  <c r="GU172" i="4"/>
  <c r="GM172" i="4"/>
  <c r="GO172" i="4"/>
  <c r="AY193" i="4"/>
  <c r="GU193" i="4"/>
  <c r="GW193" i="4"/>
  <c r="GO193" i="4"/>
  <c r="AW260" i="4"/>
  <c r="GS260" i="4"/>
  <c r="GU260" i="4"/>
  <c r="GM260" i="4"/>
  <c r="GO260" i="4"/>
  <c r="AY205" i="4"/>
  <c r="GW205" i="4"/>
  <c r="GO205" i="4"/>
  <c r="GQ205" i="4"/>
  <c r="GU375" i="4"/>
  <c r="GS265" i="4"/>
  <c r="GM246" i="4"/>
  <c r="GW223" i="4"/>
  <c r="GM186" i="4"/>
  <c r="GQ231" i="4"/>
  <c r="GO288" i="4"/>
  <c r="GO347" i="4"/>
  <c r="AW252" i="4"/>
  <c r="GO252" i="4"/>
  <c r="GS252" i="4"/>
  <c r="GU252" i="4"/>
  <c r="GM252" i="4"/>
  <c r="Z239" i="4"/>
  <c r="GO239" i="4"/>
  <c r="GQ239" i="4"/>
  <c r="GU239" i="4"/>
  <c r="GM190" i="4"/>
  <c r="GO190" i="4"/>
  <c r="GS190" i="4"/>
  <c r="GU190" i="4"/>
  <c r="GS225" i="4"/>
  <c r="GW225" i="4"/>
  <c r="GM225" i="4"/>
  <c r="GQ225" i="4"/>
  <c r="GW187" i="4"/>
  <c r="GM187" i="4"/>
  <c r="GQ187" i="4"/>
  <c r="GS187" i="4"/>
  <c r="AI389" i="4"/>
  <c r="GS389" i="4"/>
  <c r="GM389" i="4"/>
  <c r="GU389" i="4"/>
  <c r="GO389" i="4"/>
  <c r="GQ318" i="4"/>
  <c r="GU318" i="4"/>
  <c r="GW318" i="4"/>
  <c r="GO318" i="4"/>
  <c r="AW263" i="4"/>
  <c r="GW263" i="4"/>
  <c r="GM263" i="4"/>
  <c r="GQ263" i="4"/>
  <c r="GS263" i="4"/>
  <c r="GU302" i="4"/>
  <c r="GW302" i="4"/>
  <c r="GO302" i="4"/>
  <c r="DH251" i="4"/>
  <c r="GU251" i="4"/>
  <c r="GW251" i="4"/>
  <c r="GQ251" i="4"/>
  <c r="GW246" i="4"/>
  <c r="GU223" i="4"/>
  <c r="GU267" i="4"/>
  <c r="GS273" i="4"/>
  <c r="GS245" i="4"/>
  <c r="GW222" i="4"/>
  <c r="GW174" i="4"/>
  <c r="GS275" i="4"/>
  <c r="GO199" i="4"/>
  <c r="FN325" i="4"/>
  <c r="GQ325" i="4"/>
  <c r="GU325" i="4"/>
  <c r="GW325" i="4"/>
  <c r="DV213" i="4"/>
  <c r="GO213" i="4"/>
  <c r="GQ213" i="4"/>
  <c r="GU213" i="4"/>
  <c r="GW213" i="4"/>
  <c r="Z241" i="4"/>
  <c r="GU241" i="4"/>
  <c r="GW241" i="4"/>
  <c r="GO241" i="4"/>
  <c r="GQ241" i="4"/>
  <c r="GQ175" i="4"/>
  <c r="GQ267" i="4"/>
  <c r="GQ245" i="4"/>
  <c r="GU222" i="4"/>
  <c r="GU174" i="4"/>
  <c r="GS334" i="4"/>
  <c r="GS331" i="4"/>
  <c r="GW228" i="4"/>
  <c r="GW369" i="4"/>
  <c r="GW239" i="4"/>
  <c r="GU259" i="4"/>
  <c r="GQ339" i="4"/>
  <c r="GO339" i="4"/>
  <c r="GW339" i="4"/>
  <c r="GW337" i="4"/>
  <c r="GU337" i="4"/>
  <c r="GQ337" i="4"/>
  <c r="GO337" i="4"/>
  <c r="GO335" i="4"/>
  <c r="GW335" i="4"/>
  <c r="GU335" i="4"/>
  <c r="FP33" i="4"/>
  <c r="FP70" i="4"/>
  <c r="L330" i="4"/>
  <c r="GK330" i="4"/>
  <c r="HG330" i="4" s="1"/>
  <c r="HD330" i="4" s="1"/>
  <c r="L329" i="4"/>
  <c r="GK329" i="4"/>
  <c r="HG329" i="4" s="1"/>
  <c r="HD329" i="4" s="1"/>
  <c r="L315" i="4"/>
  <c r="GL315" i="4"/>
  <c r="GK315" i="4"/>
  <c r="HG315" i="4" s="1"/>
  <c r="HD315" i="4" s="1"/>
  <c r="L313" i="4"/>
  <c r="GK313" i="4"/>
  <c r="HG313" i="4" s="1"/>
  <c r="HD313" i="4" s="1"/>
  <c r="GL313" i="4"/>
  <c r="AK208" i="4"/>
  <c r="AG161" i="4"/>
  <c r="BI216" i="4"/>
  <c r="L334" i="4"/>
  <c r="GK334" i="4"/>
  <c r="HG334" i="4" s="1"/>
  <c r="HD334" i="4" s="1"/>
  <c r="L318" i="4"/>
  <c r="GL318" i="4"/>
  <c r="GK318" i="4"/>
  <c r="HG318" i="4" s="1"/>
  <c r="HD318" i="4" s="1"/>
  <c r="FN317" i="4"/>
  <c r="AG172" i="4"/>
  <c r="AK232" i="4"/>
  <c r="AG179" i="4"/>
  <c r="L328" i="4"/>
  <c r="GK328" i="4"/>
  <c r="L314" i="4"/>
  <c r="GL314" i="4"/>
  <c r="GK314" i="4"/>
  <c r="HG314" i="4" s="1"/>
  <c r="HD314" i="4" s="1"/>
  <c r="FN298" i="4"/>
  <c r="FN320" i="4"/>
  <c r="FN315" i="4"/>
  <c r="FN292" i="4"/>
  <c r="AP79" i="4"/>
  <c r="BR389" i="4"/>
  <c r="AG146" i="4"/>
  <c r="L331" i="4"/>
  <c r="GK331" i="4"/>
  <c r="L325" i="4"/>
  <c r="GK325" i="4"/>
  <c r="HG325" i="4" s="1"/>
  <c r="HD325" i="4" s="1"/>
  <c r="AW293" i="4"/>
  <c r="FN293" i="4"/>
  <c r="AN45" i="4"/>
  <c r="AP101" i="4"/>
  <c r="L323" i="4"/>
  <c r="GK323" i="4"/>
  <c r="HG323" i="4" s="1"/>
  <c r="HD323" i="4" s="1"/>
  <c r="L321" i="4"/>
  <c r="GL321" i="4"/>
  <c r="GK321" i="4"/>
  <c r="HG321" i="4" s="1"/>
  <c r="HD321" i="4" s="1"/>
  <c r="L317" i="4"/>
  <c r="GK317" i="4"/>
  <c r="HG317" i="4" s="1"/>
  <c r="HD317" i="4" s="1"/>
  <c r="GL317" i="4"/>
  <c r="BD23" i="4"/>
  <c r="AI270" i="4"/>
  <c r="AN54" i="4"/>
  <c r="CF23" i="4"/>
  <c r="DO25" i="4"/>
  <c r="AK205" i="4"/>
  <c r="AG174" i="4"/>
  <c r="L327" i="4"/>
  <c r="GK327" i="4"/>
  <c r="HG327" i="4" s="1"/>
  <c r="HD327" i="4" s="1"/>
  <c r="L311" i="4"/>
  <c r="GL311" i="4"/>
  <c r="GK311" i="4"/>
  <c r="HG311" i="4" s="1"/>
  <c r="HD311" i="4" s="1"/>
  <c r="FN309" i="4"/>
  <c r="FN306" i="4"/>
  <c r="AY314" i="4"/>
  <c r="FN314" i="4"/>
  <c r="FN305" i="4"/>
  <c r="BR23" i="4"/>
  <c r="AK292" i="4"/>
  <c r="AG169" i="4"/>
  <c r="L310" i="4"/>
  <c r="GL310" i="4"/>
  <c r="GK310" i="4"/>
  <c r="HG310" i="4" s="1"/>
  <c r="FN308" i="4"/>
  <c r="AW23" i="4"/>
  <c r="Z252" i="4"/>
  <c r="AG134" i="4"/>
  <c r="AB341" i="4"/>
  <c r="L320" i="4"/>
  <c r="GL320" i="4"/>
  <c r="GK320" i="4"/>
  <c r="HG320" i="4" s="1"/>
  <c r="HD320" i="4" s="1"/>
  <c r="L316" i="4"/>
  <c r="GL316" i="4"/>
  <c r="GK316" i="4"/>
  <c r="HG316" i="4" s="1"/>
  <c r="HD316" i="4" s="1"/>
  <c r="L309" i="4"/>
  <c r="GL309" i="4"/>
  <c r="GK309" i="4"/>
  <c r="HG309" i="4" s="1"/>
  <c r="HD309" i="4" s="1"/>
  <c r="EC301" i="4"/>
  <c r="FN301" i="4"/>
  <c r="AK319" i="4"/>
  <c r="FN319" i="4"/>
  <c r="FN300" i="4"/>
  <c r="DO31" i="4"/>
  <c r="DO301" i="4"/>
  <c r="L332" i="4"/>
  <c r="GK332" i="4"/>
  <c r="HG332" i="4" s="1"/>
  <c r="HD332" i="4" s="1"/>
  <c r="L319" i="4"/>
  <c r="GL319" i="4"/>
  <c r="GK319" i="4"/>
  <c r="AW291" i="4"/>
  <c r="FN291" i="4"/>
  <c r="AG342" i="4"/>
  <c r="AD181" i="4"/>
  <c r="AN369" i="4"/>
  <c r="AB238" i="4"/>
  <c r="HG303" i="4"/>
  <c r="HD303" i="4" s="1"/>
  <c r="L324" i="4"/>
  <c r="GK324" i="4"/>
  <c r="HG324" i="4" s="1"/>
  <c r="HD324" i="4" s="1"/>
  <c r="FN310" i="4"/>
  <c r="AG148" i="4"/>
  <c r="AK280" i="4"/>
  <c r="L326" i="4"/>
  <c r="GK326" i="4"/>
  <c r="HG326" i="4" s="1"/>
  <c r="HD326" i="4" s="1"/>
  <c r="L308" i="4"/>
  <c r="GL308" i="4"/>
  <c r="GK308" i="4"/>
  <c r="HG308" i="4" s="1"/>
  <c r="HD308" i="4" s="1"/>
  <c r="BR318" i="4"/>
  <c r="FN318" i="4"/>
  <c r="CO302" i="4"/>
  <c r="FN302" i="4"/>
  <c r="AN243" i="4"/>
  <c r="AK193" i="4"/>
  <c r="AP104" i="4"/>
  <c r="AG334" i="4"/>
  <c r="CA330" i="4"/>
  <c r="L307" i="4"/>
  <c r="GK307" i="4"/>
  <c r="HG307" i="4" s="1"/>
  <c r="HD307" i="4" s="1"/>
  <c r="L306" i="4"/>
  <c r="GK306" i="4"/>
  <c r="HG306" i="4" s="1"/>
  <c r="BK314" i="4"/>
  <c r="L301" i="4"/>
  <c r="GK301" i="4"/>
  <c r="HG301" i="4" s="1"/>
  <c r="HD301" i="4" s="1"/>
  <c r="CD298" i="4"/>
  <c r="CY298" i="4"/>
  <c r="AI298" i="4"/>
  <c r="BK298" i="4"/>
  <c r="BB298" i="4"/>
  <c r="BW298" i="4"/>
  <c r="DM298" i="4"/>
  <c r="AP298" i="4"/>
  <c r="Z298" i="4"/>
  <c r="AU298" i="4"/>
  <c r="AG298" i="4"/>
  <c r="DV298" i="4"/>
  <c r="DJ298" i="4"/>
  <c r="EE298" i="4"/>
  <c r="DX298" i="4"/>
  <c r="CT298" i="4"/>
  <c r="CH298" i="4"/>
  <c r="DC298" i="4"/>
  <c r="CV298" i="4"/>
  <c r="CR298" i="4"/>
  <c r="BF298" i="4"/>
  <c r="CA298" i="4"/>
  <c r="BT298" i="4"/>
  <c r="CM298" i="4"/>
  <c r="AD298" i="4"/>
  <c r="AY298" i="4"/>
  <c r="AR298" i="4"/>
  <c r="CK298" i="4"/>
  <c r="DH298" i="4"/>
  <c r="EC298" i="4"/>
  <c r="DQ298" i="4"/>
  <c r="BR298" i="4"/>
  <c r="CF298" i="4"/>
  <c r="DA298" i="4"/>
  <c r="CO298" i="4"/>
  <c r="BP298" i="4"/>
  <c r="BY298" i="4"/>
  <c r="BM298" i="4"/>
  <c r="BI298" i="4"/>
  <c r="DF298" i="4"/>
  <c r="EA298" i="4"/>
  <c r="DO298" i="4"/>
  <c r="AN298" i="4"/>
  <c r="DA201" i="4"/>
  <c r="CT201" i="4"/>
  <c r="CM201" i="4"/>
  <c r="BD201" i="4"/>
  <c r="BY201" i="4"/>
  <c r="BR201" i="4"/>
  <c r="BK201" i="4"/>
  <c r="AD201" i="4"/>
  <c r="AW201" i="4"/>
  <c r="AP201" i="4"/>
  <c r="AI201" i="4"/>
  <c r="AG201" i="4"/>
  <c r="DF201" i="4"/>
  <c r="EA201" i="4"/>
  <c r="DT201" i="4"/>
  <c r="AB201" i="4"/>
  <c r="CD201" i="4"/>
  <c r="CY201" i="4"/>
  <c r="CR201" i="4"/>
  <c r="DM201" i="4"/>
  <c r="BB201" i="4"/>
  <c r="BW201" i="4"/>
  <c r="BP201" i="4"/>
  <c r="DJ201" i="4"/>
  <c r="Z201" i="4"/>
  <c r="AU201" i="4"/>
  <c r="AN201" i="4"/>
  <c r="DH201" i="4"/>
  <c r="EE201" i="4"/>
  <c r="DX201" i="4"/>
  <c r="DQ201" i="4"/>
  <c r="CK201" i="4"/>
  <c r="DC201" i="4"/>
  <c r="CV201" i="4"/>
  <c r="CO201" i="4"/>
  <c r="CH201" i="4"/>
  <c r="CA201" i="4"/>
  <c r="BT201" i="4"/>
  <c r="BM201" i="4"/>
  <c r="EC201" i="4"/>
  <c r="DV201" i="4"/>
  <c r="DO201" i="4"/>
  <c r="BF201" i="4"/>
  <c r="DF199" i="4"/>
  <c r="EA199" i="4"/>
  <c r="DT199" i="4"/>
  <c r="CD199" i="4"/>
  <c r="CY199" i="4"/>
  <c r="CR199" i="4"/>
  <c r="DM199" i="4"/>
  <c r="BB199" i="4"/>
  <c r="BW199" i="4"/>
  <c r="BP199" i="4"/>
  <c r="DJ199" i="4"/>
  <c r="Z199" i="4"/>
  <c r="AU199" i="4"/>
  <c r="AN199" i="4"/>
  <c r="DH199" i="4"/>
  <c r="EE199" i="4"/>
  <c r="DX199" i="4"/>
  <c r="DQ199" i="4"/>
  <c r="CK199" i="4"/>
  <c r="DC199" i="4"/>
  <c r="CV199" i="4"/>
  <c r="CO199" i="4"/>
  <c r="CH199" i="4"/>
  <c r="CA199" i="4"/>
  <c r="BT199" i="4"/>
  <c r="BM199" i="4"/>
  <c r="CF199" i="4"/>
  <c r="AY199" i="4"/>
  <c r="AR199" i="4"/>
  <c r="AK199" i="4"/>
  <c r="BI199" i="4"/>
  <c r="EC199" i="4"/>
  <c r="DV199" i="4"/>
  <c r="DO199" i="4"/>
  <c r="BF199" i="4"/>
  <c r="DA199" i="4"/>
  <c r="CT199" i="4"/>
  <c r="CM199" i="4"/>
  <c r="BD199" i="4"/>
  <c r="AW199" i="4"/>
  <c r="AP199" i="4"/>
  <c r="AI199" i="4"/>
  <c r="AG199" i="4"/>
  <c r="AD199" i="4"/>
  <c r="BY199" i="4"/>
  <c r="BK199" i="4"/>
  <c r="EC157" i="4"/>
  <c r="DV157" i="4"/>
  <c r="DO157" i="4"/>
  <c r="DH157" i="4"/>
  <c r="DA157" i="4"/>
  <c r="CT157" i="4"/>
  <c r="CM157" i="4"/>
  <c r="CF157" i="4"/>
  <c r="BY157" i="4"/>
  <c r="BR157" i="4"/>
  <c r="BK157" i="4"/>
  <c r="BD157" i="4"/>
  <c r="AW157" i="4"/>
  <c r="AP157" i="4"/>
  <c r="AI157" i="4"/>
  <c r="AB157" i="4"/>
  <c r="EA157" i="4"/>
  <c r="DT157" i="4"/>
  <c r="DM157" i="4"/>
  <c r="EE157" i="4"/>
  <c r="CY157" i="4"/>
  <c r="CR157" i="4"/>
  <c r="CK157" i="4"/>
  <c r="DC157" i="4"/>
  <c r="BW157" i="4"/>
  <c r="BI157" i="4"/>
  <c r="CA157" i="4"/>
  <c r="AU157" i="4"/>
  <c r="AN157" i="4"/>
  <c r="AG157" i="4"/>
  <c r="AY157" i="4"/>
  <c r="DX157" i="4"/>
  <c r="DQ157" i="4"/>
  <c r="DJ157" i="4"/>
  <c r="BB157" i="4"/>
  <c r="CV157" i="4"/>
  <c r="CO157" i="4"/>
  <c r="CH157" i="4"/>
  <c r="Z157" i="4"/>
  <c r="AR157" i="4"/>
  <c r="AK157" i="4"/>
  <c r="AD157" i="4"/>
  <c r="DF157" i="4"/>
  <c r="BT157" i="4"/>
  <c r="BM157" i="4"/>
  <c r="BF157" i="4"/>
  <c r="CD157" i="4"/>
  <c r="DJ286" i="4"/>
  <c r="EE286" i="4"/>
  <c r="DX286" i="4"/>
  <c r="BK286" i="4"/>
  <c r="CH286" i="4"/>
  <c r="DC286" i="4"/>
  <c r="CV286" i="4"/>
  <c r="BI286" i="4"/>
  <c r="BF286" i="4"/>
  <c r="CA286" i="4"/>
  <c r="BT286" i="4"/>
  <c r="AD286" i="4"/>
  <c r="AY286" i="4"/>
  <c r="AR286" i="4"/>
  <c r="AP286" i="4"/>
  <c r="DH286" i="4"/>
  <c r="EC286" i="4"/>
  <c r="DQ286" i="4"/>
  <c r="DT286" i="4"/>
  <c r="CF286" i="4"/>
  <c r="DA286" i="4"/>
  <c r="CO286" i="4"/>
  <c r="AN286" i="4"/>
  <c r="BD286" i="4"/>
  <c r="BY286" i="4"/>
  <c r="BM286" i="4"/>
  <c r="DM286" i="4"/>
  <c r="AB286" i="4"/>
  <c r="AW286" i="4"/>
  <c r="AK286" i="4"/>
  <c r="AG286" i="4"/>
  <c r="DF286" i="4"/>
  <c r="EA286" i="4"/>
  <c r="CM286" i="4"/>
  <c r="CR286" i="4"/>
  <c r="CD286" i="4"/>
  <c r="CY286" i="4"/>
  <c r="CK286" i="4"/>
  <c r="DO286" i="4"/>
  <c r="Z286" i="4"/>
  <c r="AU286" i="4"/>
  <c r="BP286" i="4"/>
  <c r="AI286" i="4"/>
  <c r="BB286" i="4"/>
  <c r="BW286" i="4"/>
  <c r="BR286" i="4"/>
  <c r="CT286" i="4"/>
  <c r="DA320" i="4"/>
  <c r="CT320" i="4"/>
  <c r="CM320" i="4"/>
  <c r="CH320" i="4"/>
  <c r="BY320" i="4"/>
  <c r="BR320" i="4"/>
  <c r="BK320" i="4"/>
  <c r="BF320" i="4"/>
  <c r="AW320" i="4"/>
  <c r="AP320" i="4"/>
  <c r="AI320" i="4"/>
  <c r="BI320" i="4"/>
  <c r="DF320" i="4"/>
  <c r="EA320" i="4"/>
  <c r="DT320" i="4"/>
  <c r="DH320" i="4"/>
  <c r="CD320" i="4"/>
  <c r="CY320" i="4"/>
  <c r="CR320" i="4"/>
  <c r="CF320" i="4"/>
  <c r="BB320" i="4"/>
  <c r="BW320" i="4"/>
  <c r="BP320" i="4"/>
  <c r="BD320" i="4"/>
  <c r="Z320" i="4"/>
  <c r="AU320" i="4"/>
  <c r="AN320" i="4"/>
  <c r="AB320" i="4"/>
  <c r="EE320" i="4"/>
  <c r="DX320" i="4"/>
  <c r="DQ320" i="4"/>
  <c r="AG320" i="4"/>
  <c r="DC320" i="4"/>
  <c r="CV320" i="4"/>
  <c r="CO320" i="4"/>
  <c r="CA320" i="4"/>
  <c r="BT320" i="4"/>
  <c r="BM320" i="4"/>
  <c r="DM320" i="4"/>
  <c r="EC320" i="4"/>
  <c r="DV320" i="4"/>
  <c r="DO320" i="4"/>
  <c r="CK320" i="4"/>
  <c r="DF176" i="4"/>
  <c r="BT176" i="4"/>
  <c r="AK176" i="4"/>
  <c r="AD176" i="4"/>
  <c r="CD176" i="4"/>
  <c r="AR176" i="4"/>
  <c r="DX176" i="4"/>
  <c r="DO176" i="4"/>
  <c r="EE176" i="4"/>
  <c r="CY176" i="4"/>
  <c r="CO176" i="4"/>
  <c r="CH176" i="4"/>
  <c r="DV176" i="4"/>
  <c r="BR176" i="4"/>
  <c r="BK176" i="4"/>
  <c r="BD176" i="4"/>
  <c r="CT176" i="4"/>
  <c r="AP176" i="4"/>
  <c r="AI176" i="4"/>
  <c r="AB176" i="4"/>
  <c r="DH176" i="4"/>
  <c r="EC176" i="4"/>
  <c r="DT176" i="4"/>
  <c r="DJ176" i="4"/>
  <c r="BY176" i="4"/>
  <c r="CV176" i="4"/>
  <c r="CM176" i="4"/>
  <c r="CA176" i="4"/>
  <c r="AW176" i="4"/>
  <c r="BP176" i="4"/>
  <c r="AY176" i="4"/>
  <c r="DC176" i="4"/>
  <c r="AN176" i="4"/>
  <c r="AG176" i="4"/>
  <c r="DM176" i="4"/>
  <c r="BW176" i="4"/>
  <c r="EA176" i="4"/>
  <c r="DQ176" i="4"/>
  <c r="CF176" i="4"/>
  <c r="DA176" i="4"/>
  <c r="BM176" i="4"/>
  <c r="BF176" i="4"/>
  <c r="Z176" i="4"/>
  <c r="AU176" i="4"/>
  <c r="CR176" i="4"/>
  <c r="CK176" i="4"/>
  <c r="BB176" i="4"/>
  <c r="EC111" i="4"/>
  <c r="DO111" i="4"/>
  <c r="CY111" i="4"/>
  <c r="DX111" i="4"/>
  <c r="DA111" i="4"/>
  <c r="CM111" i="4"/>
  <c r="BF111" i="4"/>
  <c r="CF111" i="4"/>
  <c r="BY111" i="4"/>
  <c r="BK111" i="4"/>
  <c r="CV111" i="4"/>
  <c r="AR111" i="4"/>
  <c r="AW111" i="4"/>
  <c r="AI111" i="4"/>
  <c r="BD111" i="4"/>
  <c r="DJ111" i="4"/>
  <c r="DV111" i="4"/>
  <c r="DH111" i="4"/>
  <c r="CO111" i="4"/>
  <c r="BW111" i="4"/>
  <c r="CT111" i="4"/>
  <c r="BT111" i="4"/>
  <c r="BB111" i="4"/>
  <c r="AD111" i="4"/>
  <c r="BR111" i="4"/>
  <c r="AB111" i="4"/>
  <c r="EE111" i="4"/>
  <c r="DQ111" i="4"/>
  <c r="AP111" i="4"/>
  <c r="DF111" i="4"/>
  <c r="CK111" i="4"/>
  <c r="DM111" i="4"/>
  <c r="DT111" i="4"/>
  <c r="BM111" i="4"/>
  <c r="CD111" i="4"/>
  <c r="CR111" i="4"/>
  <c r="Z111" i="4"/>
  <c r="EA111" i="4"/>
  <c r="CA111" i="4"/>
  <c r="AN111" i="4"/>
  <c r="BI111" i="4"/>
  <c r="AU111" i="4"/>
  <c r="AG111" i="4"/>
  <c r="BP111" i="4"/>
  <c r="DC111" i="4"/>
  <c r="CH111" i="4"/>
  <c r="AK111" i="4"/>
  <c r="DA315" i="4"/>
  <c r="CT315" i="4"/>
  <c r="CM315" i="4"/>
  <c r="AG315" i="4"/>
  <c r="BY315" i="4"/>
  <c r="BR315" i="4"/>
  <c r="BK315" i="4"/>
  <c r="AD315" i="4"/>
  <c r="AW315" i="4"/>
  <c r="AP315" i="4"/>
  <c r="AI315" i="4"/>
  <c r="BF315" i="4"/>
  <c r="DF315" i="4"/>
  <c r="EA315" i="4"/>
  <c r="DT315" i="4"/>
  <c r="DH315" i="4"/>
  <c r="CD315" i="4"/>
  <c r="CY315" i="4"/>
  <c r="CR315" i="4"/>
  <c r="CF315" i="4"/>
  <c r="BB315" i="4"/>
  <c r="BW315" i="4"/>
  <c r="BP315" i="4"/>
  <c r="BD315" i="4"/>
  <c r="Z315" i="4"/>
  <c r="AU315" i="4"/>
  <c r="AN315" i="4"/>
  <c r="AB315" i="4"/>
  <c r="EE315" i="4"/>
  <c r="DX315" i="4"/>
  <c r="DQ315" i="4"/>
  <c r="DM315" i="4"/>
  <c r="DC315" i="4"/>
  <c r="CV315" i="4"/>
  <c r="CO315" i="4"/>
  <c r="DJ315" i="4"/>
  <c r="BT315" i="4"/>
  <c r="BM315" i="4"/>
  <c r="CK315" i="4"/>
  <c r="EC315" i="4"/>
  <c r="DV315" i="4"/>
  <c r="DO315" i="4"/>
  <c r="BI315" i="4"/>
  <c r="V349" i="4"/>
  <c r="CV349" i="4"/>
  <c r="CO349" i="4"/>
  <c r="BB349" i="4"/>
  <c r="BT349" i="4"/>
  <c r="BM349" i="4"/>
  <c r="BF349" i="4"/>
  <c r="AB349" i="4"/>
  <c r="AR349" i="4"/>
  <c r="AK349" i="4"/>
  <c r="AD349" i="4"/>
  <c r="Z349" i="4"/>
  <c r="EC349" i="4"/>
  <c r="DV349" i="4"/>
  <c r="DO349" i="4"/>
  <c r="EE349" i="4"/>
  <c r="DA349" i="4"/>
  <c r="CT349" i="4"/>
  <c r="CM349" i="4"/>
  <c r="DC349" i="4"/>
  <c r="BY349" i="4"/>
  <c r="BR349" i="4"/>
  <c r="BK349" i="4"/>
  <c r="CA349" i="4"/>
  <c r="AW349" i="4"/>
  <c r="AP349" i="4"/>
  <c r="AI349" i="4"/>
  <c r="AY349" i="4"/>
  <c r="EA349" i="4"/>
  <c r="DT349" i="4"/>
  <c r="DM349" i="4"/>
  <c r="DH349" i="4"/>
  <c r="CY349" i="4"/>
  <c r="CR349" i="4"/>
  <c r="CK349" i="4"/>
  <c r="DF349" i="4"/>
  <c r="BW349" i="4"/>
  <c r="BP349" i="4"/>
  <c r="BI349" i="4"/>
  <c r="CF349" i="4"/>
  <c r="DX349" i="4"/>
  <c r="DQ349" i="4"/>
  <c r="DJ349" i="4"/>
  <c r="BD349" i="4"/>
  <c r="DH223" i="4"/>
  <c r="EC223" i="4"/>
  <c r="DV223" i="4"/>
  <c r="AG223" i="4"/>
  <c r="CF223" i="4"/>
  <c r="DA223" i="4"/>
  <c r="CT223" i="4"/>
  <c r="AD223" i="4"/>
  <c r="BD223" i="4"/>
  <c r="BY223" i="4"/>
  <c r="BR223" i="4"/>
  <c r="DT223" i="4"/>
  <c r="AB223" i="4"/>
  <c r="AW223" i="4"/>
  <c r="AP223" i="4"/>
  <c r="DM223" i="4"/>
  <c r="DF223" i="4"/>
  <c r="EA223" i="4"/>
  <c r="DJ223" i="4"/>
  <c r="CD223" i="4"/>
  <c r="CY223" i="4"/>
  <c r="CO223" i="4"/>
  <c r="CR223" i="4"/>
  <c r="BB223" i="4"/>
  <c r="BW223" i="4"/>
  <c r="BM223" i="4"/>
  <c r="CK223" i="4"/>
  <c r="Z223" i="4"/>
  <c r="AU223" i="4"/>
  <c r="AK223" i="4"/>
  <c r="CH223" i="4"/>
  <c r="EE223" i="4"/>
  <c r="DX223" i="4"/>
  <c r="DO223" i="4"/>
  <c r="BP223" i="4"/>
  <c r="DC223" i="4"/>
  <c r="CV223" i="4"/>
  <c r="CM223" i="4"/>
  <c r="BI223" i="4"/>
  <c r="AY223" i="4"/>
  <c r="AR223" i="4"/>
  <c r="AI223" i="4"/>
  <c r="AN223" i="4"/>
  <c r="CA223" i="4"/>
  <c r="BT223" i="4"/>
  <c r="BF223" i="4"/>
  <c r="BK223" i="4"/>
  <c r="CD292" i="4"/>
  <c r="CY292" i="4"/>
  <c r="BI292" i="4"/>
  <c r="BP292" i="4"/>
  <c r="BB292" i="4"/>
  <c r="BW292" i="4"/>
  <c r="DV292" i="4"/>
  <c r="CM292" i="4"/>
  <c r="Z292" i="4"/>
  <c r="AU292" i="4"/>
  <c r="AP292" i="4"/>
  <c r="BR292" i="4"/>
  <c r="DJ292" i="4"/>
  <c r="EE292" i="4"/>
  <c r="DX292" i="4"/>
  <c r="DT292" i="4"/>
  <c r="CH292" i="4"/>
  <c r="DC292" i="4"/>
  <c r="CV292" i="4"/>
  <c r="AN292" i="4"/>
  <c r="BF292" i="4"/>
  <c r="BT292" i="4"/>
  <c r="DO292" i="4"/>
  <c r="AD292" i="4"/>
  <c r="AY292" i="4"/>
  <c r="AR292" i="4"/>
  <c r="AI292" i="4"/>
  <c r="DH292" i="4"/>
  <c r="EC292" i="4"/>
  <c r="DQ292" i="4"/>
  <c r="DM292" i="4"/>
  <c r="CF292" i="4"/>
  <c r="DA292" i="4"/>
  <c r="CO292" i="4"/>
  <c r="AG292" i="4"/>
  <c r="BD292" i="4"/>
  <c r="BY292" i="4"/>
  <c r="BM292" i="4"/>
  <c r="CT292" i="4"/>
  <c r="DF292" i="4"/>
  <c r="EA292" i="4"/>
  <c r="BK292" i="4"/>
  <c r="CK292" i="4"/>
  <c r="GQ122" i="4"/>
  <c r="CV122" i="4"/>
  <c r="CO122" i="4"/>
  <c r="CF122" i="4"/>
  <c r="AD122" i="4"/>
  <c r="BT122" i="4"/>
  <c r="BM122" i="4"/>
  <c r="BD122" i="4"/>
  <c r="BB122" i="4"/>
  <c r="AK122" i="4"/>
  <c r="AB122" i="4"/>
  <c r="BF122" i="4"/>
  <c r="EC122" i="4"/>
  <c r="DV122" i="4"/>
  <c r="DO122" i="4"/>
  <c r="EE122" i="4"/>
  <c r="DA122" i="4"/>
  <c r="CT122" i="4"/>
  <c r="CM122" i="4"/>
  <c r="DC122" i="4"/>
  <c r="BY122" i="4"/>
  <c r="BR122" i="4"/>
  <c r="BK122" i="4"/>
  <c r="CA122" i="4"/>
  <c r="AW122" i="4"/>
  <c r="AP122" i="4"/>
  <c r="AI122" i="4"/>
  <c r="AY122" i="4"/>
  <c r="EA122" i="4"/>
  <c r="DT122" i="4"/>
  <c r="DM122" i="4"/>
  <c r="Z122" i="4"/>
  <c r="CY122" i="4"/>
  <c r="CR122" i="4"/>
  <c r="CK122" i="4"/>
  <c r="DJ122" i="4"/>
  <c r="BW122" i="4"/>
  <c r="BP122" i="4"/>
  <c r="BI122" i="4"/>
  <c r="DF122" i="4"/>
  <c r="DX122" i="4"/>
  <c r="DQ122" i="4"/>
  <c r="DH122" i="4"/>
  <c r="CD122" i="4"/>
  <c r="DH231" i="4"/>
  <c r="EC231" i="4"/>
  <c r="DV231" i="4"/>
  <c r="AG231" i="4"/>
  <c r="CF231" i="4"/>
  <c r="DA231" i="4"/>
  <c r="CT231" i="4"/>
  <c r="AD231" i="4"/>
  <c r="BD231" i="4"/>
  <c r="BY231" i="4"/>
  <c r="BR231" i="4"/>
  <c r="DT231" i="4"/>
  <c r="AB231" i="4"/>
  <c r="AW231" i="4"/>
  <c r="AP231" i="4"/>
  <c r="DM231" i="4"/>
  <c r="DF231" i="4"/>
  <c r="EA231" i="4"/>
  <c r="DQ231" i="4"/>
  <c r="DJ231" i="4"/>
  <c r="CD231" i="4"/>
  <c r="CY231" i="4"/>
  <c r="CO231" i="4"/>
  <c r="CR231" i="4"/>
  <c r="BW231" i="4"/>
  <c r="BM231" i="4"/>
  <c r="CK231" i="4"/>
  <c r="Z231" i="4"/>
  <c r="AU231" i="4"/>
  <c r="AK231" i="4"/>
  <c r="CH231" i="4"/>
  <c r="EE231" i="4"/>
  <c r="DX231" i="4"/>
  <c r="DO231" i="4"/>
  <c r="BP231" i="4"/>
  <c r="DC231" i="4"/>
  <c r="CV231" i="4"/>
  <c r="CM231" i="4"/>
  <c r="BI231" i="4"/>
  <c r="AY231" i="4"/>
  <c r="AR231" i="4"/>
  <c r="AI231" i="4"/>
  <c r="AN231" i="4"/>
  <c r="CA231" i="4"/>
  <c r="BT231" i="4"/>
  <c r="BF231" i="4"/>
  <c r="BK231" i="4"/>
  <c r="X262" i="4"/>
  <c r="CY262" i="4"/>
  <c r="CR262" i="4"/>
  <c r="CD262" i="4"/>
  <c r="CF262" i="4"/>
  <c r="BW262" i="4"/>
  <c r="BP262" i="4"/>
  <c r="BB262" i="4"/>
  <c r="BI262" i="4"/>
  <c r="AU262" i="4"/>
  <c r="AN262" i="4"/>
  <c r="Z262" i="4"/>
  <c r="BF262" i="4"/>
  <c r="EE262" i="4"/>
  <c r="DX262" i="4"/>
  <c r="DQ262" i="4"/>
  <c r="BD262" i="4"/>
  <c r="DC262" i="4"/>
  <c r="CV262" i="4"/>
  <c r="CO262" i="4"/>
  <c r="AG262" i="4"/>
  <c r="CA262" i="4"/>
  <c r="BT262" i="4"/>
  <c r="BM262" i="4"/>
  <c r="AD262" i="4"/>
  <c r="AY262" i="4"/>
  <c r="AR262" i="4"/>
  <c r="AK262" i="4"/>
  <c r="AB262" i="4"/>
  <c r="EC262" i="4"/>
  <c r="DV262" i="4"/>
  <c r="DO262" i="4"/>
  <c r="DM262" i="4"/>
  <c r="DA262" i="4"/>
  <c r="CT262" i="4"/>
  <c r="CM262" i="4"/>
  <c r="DJ262" i="4"/>
  <c r="BY262" i="4"/>
  <c r="BR262" i="4"/>
  <c r="BK262" i="4"/>
  <c r="DH262" i="4"/>
  <c r="EA262" i="4"/>
  <c r="DT262" i="4"/>
  <c r="DF262" i="4"/>
  <c r="CH262" i="4"/>
  <c r="CV123" i="4"/>
  <c r="CO123" i="4"/>
  <c r="CF123" i="4"/>
  <c r="CH123" i="4"/>
  <c r="BM123" i="4"/>
  <c r="BD123" i="4"/>
  <c r="DJ123" i="4"/>
  <c r="AR123" i="4"/>
  <c r="AK123" i="4"/>
  <c r="AB123" i="4"/>
  <c r="DF123" i="4"/>
  <c r="EC123" i="4"/>
  <c r="DV123" i="4"/>
  <c r="DO123" i="4"/>
  <c r="EE123" i="4"/>
  <c r="DA123" i="4"/>
  <c r="CT123" i="4"/>
  <c r="CM123" i="4"/>
  <c r="DC123" i="4"/>
  <c r="BY123" i="4"/>
  <c r="BR123" i="4"/>
  <c r="BK123" i="4"/>
  <c r="CA123" i="4"/>
  <c r="AW123" i="4"/>
  <c r="AP123" i="4"/>
  <c r="AI123" i="4"/>
  <c r="AY123" i="4"/>
  <c r="EA123" i="4"/>
  <c r="DT123" i="4"/>
  <c r="DM123" i="4"/>
  <c r="CD123" i="4"/>
  <c r="CY123" i="4"/>
  <c r="CR123" i="4"/>
  <c r="CK123" i="4"/>
  <c r="BF123" i="4"/>
  <c r="BW123" i="4"/>
  <c r="BP123" i="4"/>
  <c r="BI123" i="4"/>
  <c r="BB123" i="4"/>
  <c r="DX123" i="4"/>
  <c r="DQ123" i="4"/>
  <c r="DH123" i="4"/>
  <c r="Z123" i="4"/>
  <c r="DC218" i="4"/>
  <c r="CV218" i="4"/>
  <c r="BK218" i="4"/>
  <c r="BI218" i="4"/>
  <c r="BT218" i="4"/>
  <c r="AK218" i="4"/>
  <c r="BF218" i="4"/>
  <c r="AY218" i="4"/>
  <c r="AR218" i="4"/>
  <c r="AI218" i="4"/>
  <c r="AN218" i="4"/>
  <c r="DH218" i="4"/>
  <c r="EC218" i="4"/>
  <c r="DV218" i="4"/>
  <c r="DT218" i="4"/>
  <c r="CF218" i="4"/>
  <c r="DA218" i="4"/>
  <c r="CT218" i="4"/>
  <c r="AG218" i="4"/>
  <c r="BD218" i="4"/>
  <c r="BY218" i="4"/>
  <c r="BR218" i="4"/>
  <c r="DM218" i="4"/>
  <c r="AB218" i="4"/>
  <c r="AW218" i="4"/>
  <c r="AP218" i="4"/>
  <c r="AD218" i="4"/>
  <c r="DF218" i="4"/>
  <c r="EA218" i="4"/>
  <c r="DQ218" i="4"/>
  <c r="DJ218" i="4"/>
  <c r="CD218" i="4"/>
  <c r="CY218" i="4"/>
  <c r="CO218" i="4"/>
  <c r="CR218" i="4"/>
  <c r="BB218" i="4"/>
  <c r="BW218" i="4"/>
  <c r="BM218" i="4"/>
  <c r="CK218" i="4"/>
  <c r="EE218" i="4"/>
  <c r="DX218" i="4"/>
  <c r="CM218" i="4"/>
  <c r="BP218" i="4"/>
  <c r="CD66" i="4"/>
  <c r="CY66" i="4"/>
  <c r="CR66" i="4"/>
  <c r="AK66" i="4"/>
  <c r="BB66" i="4"/>
  <c r="BW66" i="4"/>
  <c r="BP66" i="4"/>
  <c r="AI66" i="4"/>
  <c r="Z66" i="4"/>
  <c r="AU66" i="4"/>
  <c r="AN66" i="4"/>
  <c r="DQ66" i="4"/>
  <c r="DJ66" i="4"/>
  <c r="EE66" i="4"/>
  <c r="DX66" i="4"/>
  <c r="DM66" i="4"/>
  <c r="CH66" i="4"/>
  <c r="DC66" i="4"/>
  <c r="CV66" i="4"/>
  <c r="CK66" i="4"/>
  <c r="BF66" i="4"/>
  <c r="CA66" i="4"/>
  <c r="BT66" i="4"/>
  <c r="BI66" i="4"/>
  <c r="AD66" i="4"/>
  <c r="AY66" i="4"/>
  <c r="AR66" i="4"/>
  <c r="AG66" i="4"/>
  <c r="DH66" i="4"/>
  <c r="EC66" i="4"/>
  <c r="DV66" i="4"/>
  <c r="DO66" i="4"/>
  <c r="CF66" i="4"/>
  <c r="DA66" i="4"/>
  <c r="CT66" i="4"/>
  <c r="CO66" i="4"/>
  <c r="BD66" i="4"/>
  <c r="BY66" i="4"/>
  <c r="CM66" i="4"/>
  <c r="DF66" i="4"/>
  <c r="EA66" i="4"/>
  <c r="DT66" i="4"/>
  <c r="BK66" i="4"/>
  <c r="CO119" i="4"/>
  <c r="CF119" i="4"/>
  <c r="AD119" i="4"/>
  <c r="BT119" i="4"/>
  <c r="BM119" i="4"/>
  <c r="BD119" i="4"/>
  <c r="BF119" i="4"/>
  <c r="AR119" i="4"/>
  <c r="AK119" i="4"/>
  <c r="AB119" i="4"/>
  <c r="BB119" i="4"/>
  <c r="EC119" i="4"/>
  <c r="DV119" i="4"/>
  <c r="DO119" i="4"/>
  <c r="EE119" i="4"/>
  <c r="DA119" i="4"/>
  <c r="CT119" i="4"/>
  <c r="CM119" i="4"/>
  <c r="DC119" i="4"/>
  <c r="BY119" i="4"/>
  <c r="BR119" i="4"/>
  <c r="BK119" i="4"/>
  <c r="CA119" i="4"/>
  <c r="AW119" i="4"/>
  <c r="AP119" i="4"/>
  <c r="AI119" i="4"/>
  <c r="AY119" i="4"/>
  <c r="EA119" i="4"/>
  <c r="DT119" i="4"/>
  <c r="DM119" i="4"/>
  <c r="Z119" i="4"/>
  <c r="CY119" i="4"/>
  <c r="CR119" i="4"/>
  <c r="CK119" i="4"/>
  <c r="DJ119" i="4"/>
  <c r="BW119" i="4"/>
  <c r="BP119" i="4"/>
  <c r="BI119" i="4"/>
  <c r="DF119" i="4"/>
  <c r="DX119" i="4"/>
  <c r="DQ119" i="4"/>
  <c r="DH119" i="4"/>
  <c r="CD119" i="4"/>
  <c r="Z51" i="4"/>
  <c r="AU51" i="4"/>
  <c r="AG51" i="4"/>
  <c r="CM51" i="4"/>
  <c r="CF51" i="4"/>
  <c r="DA51" i="4"/>
  <c r="CR51" i="4"/>
  <c r="AI51" i="4"/>
  <c r="DC51" i="4"/>
  <c r="AR51" i="4"/>
  <c r="DV51" i="4"/>
  <c r="DJ51" i="4"/>
  <c r="DT51" i="4"/>
  <c r="DQ51" i="4"/>
  <c r="CH51" i="4"/>
  <c r="AY51" i="4"/>
  <c r="BP51" i="4"/>
  <c r="DO51" i="4"/>
  <c r="BF51" i="4"/>
  <c r="EC51" i="4"/>
  <c r="AN51" i="4"/>
  <c r="CT51" i="4"/>
  <c r="AD51" i="4"/>
  <c r="BY51" i="4"/>
  <c r="DM51" i="4"/>
  <c r="CO51" i="4"/>
  <c r="DH51" i="4"/>
  <c r="AW51" i="4"/>
  <c r="CK51" i="4"/>
  <c r="BD51" i="4"/>
  <c r="EA51" i="4"/>
  <c r="BI51" i="4"/>
  <c r="AB51" i="4"/>
  <c r="CY51" i="4"/>
  <c r="BR51" i="4"/>
  <c r="DF51" i="4"/>
  <c r="BW51" i="4"/>
  <c r="BM51" i="4"/>
  <c r="CD51" i="4"/>
  <c r="BK51" i="4"/>
  <c r="EE51" i="4"/>
  <c r="BT51" i="4"/>
  <c r="AK51" i="4"/>
  <c r="BB51" i="4"/>
  <c r="CV51" i="4"/>
  <c r="AP51" i="4"/>
  <c r="CY34" i="4"/>
  <c r="AP34" i="4"/>
  <c r="AI34" i="4"/>
  <c r="CD34" i="4"/>
  <c r="BW34" i="4"/>
  <c r="DT34" i="4"/>
  <c r="DM34" i="4"/>
  <c r="BB34" i="4"/>
  <c r="AU34" i="4"/>
  <c r="CR34" i="4"/>
  <c r="CK34" i="4"/>
  <c r="Z34" i="4"/>
  <c r="EE34" i="4"/>
  <c r="AB34" i="4"/>
  <c r="BI34" i="4"/>
  <c r="DC34" i="4"/>
  <c r="DX34" i="4"/>
  <c r="AN34" i="4"/>
  <c r="AG34" i="4"/>
  <c r="CA34" i="4"/>
  <c r="CV34" i="4"/>
  <c r="DQ34" i="4"/>
  <c r="DJ34" i="4"/>
  <c r="AY34" i="4"/>
  <c r="BT34" i="4"/>
  <c r="CO34" i="4"/>
  <c r="CH34" i="4"/>
  <c r="EC34" i="4"/>
  <c r="AR34" i="4"/>
  <c r="BM34" i="4"/>
  <c r="BF34" i="4"/>
  <c r="DA34" i="4"/>
  <c r="CF34" i="4"/>
  <c r="AK34" i="4"/>
  <c r="AD34" i="4"/>
  <c r="BY34" i="4"/>
  <c r="DV34" i="4"/>
  <c r="DO34" i="4"/>
  <c r="DH34" i="4"/>
  <c r="EA34" i="4"/>
  <c r="BR34" i="4"/>
  <c r="BK34" i="4"/>
  <c r="DF34" i="4"/>
  <c r="EA10" i="4"/>
  <c r="DV10" i="4"/>
  <c r="CO10" i="4"/>
  <c r="BB10" i="4"/>
  <c r="CY10" i="4"/>
  <c r="CT10" i="4"/>
  <c r="Z10" i="4"/>
  <c r="BW10" i="4"/>
  <c r="BR10" i="4"/>
  <c r="AK10" i="4"/>
  <c r="BD10" i="4"/>
  <c r="EE10" i="4"/>
  <c r="AU10" i="4"/>
  <c r="AP10" i="4"/>
  <c r="AI10" i="4"/>
  <c r="DC10" i="4"/>
  <c r="AG10" i="4"/>
  <c r="DM10" i="4"/>
  <c r="CM10" i="4"/>
  <c r="CA10" i="4"/>
  <c r="DX10" i="4"/>
  <c r="DH10" i="4"/>
  <c r="BI10" i="4"/>
  <c r="AY10" i="4"/>
  <c r="CV10" i="4"/>
  <c r="DT10" i="4"/>
  <c r="DJ10" i="4"/>
  <c r="CF10" i="4"/>
  <c r="BT10" i="4"/>
  <c r="CR10" i="4"/>
  <c r="CH10" i="4"/>
  <c r="EC10" i="4"/>
  <c r="AR10" i="4"/>
  <c r="BP10" i="4"/>
  <c r="BF10" i="4"/>
  <c r="DA10" i="4"/>
  <c r="BK10" i="4"/>
  <c r="AN10" i="4"/>
  <c r="AD10" i="4"/>
  <c r="AW10" i="4"/>
  <c r="AB10" i="4"/>
  <c r="DQ10" i="4"/>
  <c r="CD10" i="4"/>
  <c r="CD342" i="4"/>
  <c r="AY172" i="4"/>
  <c r="AD123" i="4"/>
  <c r="CH222" i="4"/>
  <c r="DF334" i="4"/>
  <c r="CK262" i="4"/>
  <c r="BI193" i="4"/>
  <c r="AY161" i="4"/>
  <c r="CH122" i="4"/>
  <c r="DQ79" i="4"/>
  <c r="DQ45" i="4"/>
  <c r="DF10" i="4"/>
  <c r="DH25" i="4"/>
  <c r="CR292" i="4"/>
  <c r="CH252" i="4"/>
  <c r="CH218" i="4"/>
  <c r="BF181" i="4"/>
  <c r="AY148" i="4"/>
  <c r="CM104" i="4"/>
  <c r="BM66" i="4"/>
  <c r="CH232" i="4"/>
  <c r="CA389" i="4"/>
  <c r="CD349" i="4"/>
  <c r="CO314" i="4"/>
  <c r="CK270" i="4"/>
  <c r="CH240" i="4"/>
  <c r="BI205" i="4"/>
  <c r="AY169" i="4"/>
  <c r="AY134" i="4"/>
  <c r="DQ88" i="4"/>
  <c r="AD31" i="4"/>
  <c r="CK330" i="4"/>
  <c r="AG280" i="4"/>
  <c r="AK250" i="4"/>
  <c r="AD216" i="4"/>
  <c r="AY146" i="4"/>
  <c r="CM101" i="4"/>
  <c r="DQ54" i="4"/>
  <c r="AY174" i="4"/>
  <c r="AR301" i="4"/>
  <c r="AK222" i="4"/>
  <c r="AN240" i="4"/>
  <c r="AP88" i="4"/>
  <c r="DC217" i="4"/>
  <c r="CV217" i="4"/>
  <c r="BK217" i="4"/>
  <c r="AD217" i="4"/>
  <c r="CA217" i="4"/>
  <c r="DQ217" i="4"/>
  <c r="CO217" i="4"/>
  <c r="AY217" i="4"/>
  <c r="AR217" i="4"/>
  <c r="BI217" i="4"/>
  <c r="CR217" i="4"/>
  <c r="DH217" i="4"/>
  <c r="EC217" i="4"/>
  <c r="DV217" i="4"/>
  <c r="DO217" i="4"/>
  <c r="CF217" i="4"/>
  <c r="DA217" i="4"/>
  <c r="CT217" i="4"/>
  <c r="BF217" i="4"/>
  <c r="BD217" i="4"/>
  <c r="BY217" i="4"/>
  <c r="BR217" i="4"/>
  <c r="DM217" i="4"/>
  <c r="AB217" i="4"/>
  <c r="AW217" i="4"/>
  <c r="AP217" i="4"/>
  <c r="AN217" i="4"/>
  <c r="DF217" i="4"/>
  <c r="EA217" i="4"/>
  <c r="CK217" i="4"/>
  <c r="DJ217" i="4"/>
  <c r="CD217" i="4"/>
  <c r="CY217" i="4"/>
  <c r="CH217" i="4"/>
  <c r="AK217" i="4"/>
  <c r="BB217" i="4"/>
  <c r="BW217" i="4"/>
  <c r="BP217" i="4"/>
  <c r="CM217" i="4"/>
  <c r="EE217" i="4"/>
  <c r="DX217" i="4"/>
  <c r="DT217" i="4"/>
  <c r="AG217" i="4"/>
  <c r="EC344" i="4"/>
  <c r="DV344" i="4"/>
  <c r="DO344" i="4"/>
  <c r="EE344" i="4"/>
  <c r="DA344" i="4"/>
  <c r="CT344" i="4"/>
  <c r="CM344" i="4"/>
  <c r="DC344" i="4"/>
  <c r="BY344" i="4"/>
  <c r="BR344" i="4"/>
  <c r="BK344" i="4"/>
  <c r="CA344" i="4"/>
  <c r="AW344" i="4"/>
  <c r="AP344" i="4"/>
  <c r="AI344" i="4"/>
  <c r="AY344" i="4"/>
  <c r="EA344" i="4"/>
  <c r="DT344" i="4"/>
  <c r="DM344" i="4"/>
  <c r="DH344" i="4"/>
  <c r="CY344" i="4"/>
  <c r="CR344" i="4"/>
  <c r="CK344" i="4"/>
  <c r="DF344" i="4"/>
  <c r="BW344" i="4"/>
  <c r="BP344" i="4"/>
  <c r="BI344" i="4"/>
  <c r="AU344" i="4"/>
  <c r="AN344" i="4"/>
  <c r="AG344" i="4"/>
  <c r="CD344" i="4"/>
  <c r="DX344" i="4"/>
  <c r="DQ344" i="4"/>
  <c r="DJ344" i="4"/>
  <c r="BD344" i="4"/>
  <c r="CV344" i="4"/>
  <c r="CO344" i="4"/>
  <c r="CH344" i="4"/>
  <c r="BB344" i="4"/>
  <c r="AR344" i="4"/>
  <c r="AK344" i="4"/>
  <c r="AD344" i="4"/>
  <c r="Z344" i="4"/>
  <c r="BT344" i="4"/>
  <c r="BM344" i="4"/>
  <c r="BF344" i="4"/>
  <c r="AB344" i="4"/>
  <c r="DA179" i="4"/>
  <c r="AP179" i="4"/>
  <c r="BP179" i="4"/>
  <c r="BY179" i="4"/>
  <c r="CO179" i="4"/>
  <c r="AD179" i="4"/>
  <c r="BD179" i="4"/>
  <c r="EA179" i="4"/>
  <c r="AU179" i="4"/>
  <c r="DQ179" i="4"/>
  <c r="DH179" i="4"/>
  <c r="DF179" i="4"/>
  <c r="CY179" i="4"/>
  <c r="CM179" i="4"/>
  <c r="BM179" i="4"/>
  <c r="CD179" i="4"/>
  <c r="BW179" i="4"/>
  <c r="AN179" i="4"/>
  <c r="AB179" i="4"/>
  <c r="BB179" i="4"/>
  <c r="DX179" i="4"/>
  <c r="CK179" i="4"/>
  <c r="DO179" i="4"/>
  <c r="Z179" i="4"/>
  <c r="CV179" i="4"/>
  <c r="AK179" i="4"/>
  <c r="BK179" i="4"/>
  <c r="EE179" i="4"/>
  <c r="BT179" i="4"/>
  <c r="CH179" i="4"/>
  <c r="DM179" i="4"/>
  <c r="DC179" i="4"/>
  <c r="AR179" i="4"/>
  <c r="AI179" i="4"/>
  <c r="BI179" i="4"/>
  <c r="CA179" i="4"/>
  <c r="DV179" i="4"/>
  <c r="CF179" i="4"/>
  <c r="DJ179" i="4"/>
  <c r="EC179" i="4"/>
  <c r="BR179" i="4"/>
  <c r="DT179" i="4"/>
  <c r="CR179" i="4"/>
  <c r="EC131" i="4"/>
  <c r="DV131" i="4"/>
  <c r="DO131" i="4"/>
  <c r="DH131" i="4"/>
  <c r="DA131" i="4"/>
  <c r="CT131" i="4"/>
  <c r="CM131" i="4"/>
  <c r="CF131" i="4"/>
  <c r="BY131" i="4"/>
  <c r="BR131" i="4"/>
  <c r="BK131" i="4"/>
  <c r="BD131" i="4"/>
  <c r="AW131" i="4"/>
  <c r="AP131" i="4"/>
  <c r="AI131" i="4"/>
  <c r="AB131" i="4"/>
  <c r="EA131" i="4"/>
  <c r="DT131" i="4"/>
  <c r="DM131" i="4"/>
  <c r="EE131" i="4"/>
  <c r="CY131" i="4"/>
  <c r="CR131" i="4"/>
  <c r="CK131" i="4"/>
  <c r="DC131" i="4"/>
  <c r="BW131" i="4"/>
  <c r="BP131" i="4"/>
  <c r="BI131" i="4"/>
  <c r="CA131" i="4"/>
  <c r="AU131" i="4"/>
  <c r="AN131" i="4"/>
  <c r="AG131" i="4"/>
  <c r="AY131" i="4"/>
  <c r="DX131" i="4"/>
  <c r="DQ131" i="4"/>
  <c r="DJ131" i="4"/>
  <c r="BB131" i="4"/>
  <c r="CV131" i="4"/>
  <c r="CO131" i="4"/>
  <c r="CH131" i="4"/>
  <c r="Z131" i="4"/>
  <c r="AR131" i="4"/>
  <c r="AK131" i="4"/>
  <c r="DF131" i="4"/>
  <c r="BT131" i="4"/>
  <c r="BM131" i="4"/>
  <c r="BF131" i="4"/>
  <c r="CD131" i="4"/>
  <c r="DJ275" i="4"/>
  <c r="EE275" i="4"/>
  <c r="DX275" i="4"/>
  <c r="DT275" i="4"/>
  <c r="CH275" i="4"/>
  <c r="DC275" i="4"/>
  <c r="CV275" i="4"/>
  <c r="AN275" i="4"/>
  <c r="BF275" i="4"/>
  <c r="CA275" i="4"/>
  <c r="BT275" i="4"/>
  <c r="DO275" i="4"/>
  <c r="AD275" i="4"/>
  <c r="AY275" i="4"/>
  <c r="AR275" i="4"/>
  <c r="AI275" i="4"/>
  <c r="DH275" i="4"/>
  <c r="EC275" i="4"/>
  <c r="DQ275" i="4"/>
  <c r="DM275" i="4"/>
  <c r="CF275" i="4"/>
  <c r="DA275" i="4"/>
  <c r="CO275" i="4"/>
  <c r="AG275" i="4"/>
  <c r="BD275" i="4"/>
  <c r="BY275" i="4"/>
  <c r="BM275" i="4"/>
  <c r="CT275" i="4"/>
  <c r="AB275" i="4"/>
  <c r="AW275" i="4"/>
  <c r="AK275" i="4"/>
  <c r="CR275" i="4"/>
  <c r="DF275" i="4"/>
  <c r="EA275" i="4"/>
  <c r="BK275" i="4"/>
  <c r="CK275" i="4"/>
  <c r="CD275" i="4"/>
  <c r="CY275" i="4"/>
  <c r="BI275" i="4"/>
  <c r="BP275" i="4"/>
  <c r="Z275" i="4"/>
  <c r="AU275" i="4"/>
  <c r="AP275" i="4"/>
  <c r="BR275" i="4"/>
  <c r="BB275" i="4"/>
  <c r="DV275" i="4"/>
  <c r="EC132" i="4"/>
  <c r="DV132" i="4"/>
  <c r="DO132" i="4"/>
  <c r="DH132" i="4"/>
  <c r="DA132" i="4"/>
  <c r="CT132" i="4"/>
  <c r="CM132" i="4"/>
  <c r="CF132" i="4"/>
  <c r="BY132" i="4"/>
  <c r="BR132" i="4"/>
  <c r="BK132" i="4"/>
  <c r="BD132" i="4"/>
  <c r="AW132" i="4"/>
  <c r="AP132" i="4"/>
  <c r="AI132" i="4"/>
  <c r="AB132" i="4"/>
  <c r="EA132" i="4"/>
  <c r="DT132" i="4"/>
  <c r="DM132" i="4"/>
  <c r="EE132" i="4"/>
  <c r="CY132" i="4"/>
  <c r="CR132" i="4"/>
  <c r="CK132" i="4"/>
  <c r="DC132" i="4"/>
  <c r="BW132" i="4"/>
  <c r="BP132" i="4"/>
  <c r="CA132" i="4"/>
  <c r="AU132" i="4"/>
  <c r="AN132" i="4"/>
  <c r="AG132" i="4"/>
  <c r="AY132" i="4"/>
  <c r="DX132" i="4"/>
  <c r="DQ132" i="4"/>
  <c r="DJ132" i="4"/>
  <c r="DF132" i="4"/>
  <c r="CV132" i="4"/>
  <c r="CO132" i="4"/>
  <c r="CH132" i="4"/>
  <c r="CD132" i="4"/>
  <c r="AR132" i="4"/>
  <c r="AK132" i="4"/>
  <c r="AD132" i="4"/>
  <c r="Z132" i="4"/>
  <c r="BT132" i="4"/>
  <c r="BM132" i="4"/>
  <c r="BF132" i="4"/>
  <c r="BB132" i="4"/>
  <c r="EE257" i="4"/>
  <c r="DX257" i="4"/>
  <c r="DQ257" i="4"/>
  <c r="BD257" i="4"/>
  <c r="DC257" i="4"/>
  <c r="CV257" i="4"/>
  <c r="CO257" i="4"/>
  <c r="AG257" i="4"/>
  <c r="CA257" i="4"/>
  <c r="BT257" i="4"/>
  <c r="BM257" i="4"/>
  <c r="AD257" i="4"/>
  <c r="AY257" i="4"/>
  <c r="AR257" i="4"/>
  <c r="AK257" i="4"/>
  <c r="AB257" i="4"/>
  <c r="EC257" i="4"/>
  <c r="DV257" i="4"/>
  <c r="DO257" i="4"/>
  <c r="DM257" i="4"/>
  <c r="DA257" i="4"/>
  <c r="CT257" i="4"/>
  <c r="CM257" i="4"/>
  <c r="DJ257" i="4"/>
  <c r="BY257" i="4"/>
  <c r="BR257" i="4"/>
  <c r="BK257" i="4"/>
  <c r="DH257" i="4"/>
  <c r="AW257" i="4"/>
  <c r="AP257" i="4"/>
  <c r="AI257" i="4"/>
  <c r="CK257" i="4"/>
  <c r="EA257" i="4"/>
  <c r="DT257" i="4"/>
  <c r="DF257" i="4"/>
  <c r="CH257" i="4"/>
  <c r="CY257" i="4"/>
  <c r="CR257" i="4"/>
  <c r="CD257" i="4"/>
  <c r="CF257" i="4"/>
  <c r="AU257" i="4"/>
  <c r="Z257" i="4"/>
  <c r="BF257" i="4"/>
  <c r="BW257" i="4"/>
  <c r="BP257" i="4"/>
  <c r="BB257" i="4"/>
  <c r="BI257" i="4"/>
  <c r="CV139" i="4"/>
  <c r="CO139" i="4"/>
  <c r="CH139" i="4"/>
  <c r="CD139" i="4"/>
  <c r="BT139" i="4"/>
  <c r="BM139" i="4"/>
  <c r="BF139" i="4"/>
  <c r="BB139" i="4"/>
  <c r="AR139" i="4"/>
  <c r="AK139" i="4"/>
  <c r="AD139" i="4"/>
  <c r="Z139" i="4"/>
  <c r="EC139" i="4"/>
  <c r="DV139" i="4"/>
  <c r="DO139" i="4"/>
  <c r="DH139" i="4"/>
  <c r="DA139" i="4"/>
  <c r="CT139" i="4"/>
  <c r="CM139" i="4"/>
  <c r="BY139" i="4"/>
  <c r="BR139" i="4"/>
  <c r="BK139" i="4"/>
  <c r="BD139" i="4"/>
  <c r="AW139" i="4"/>
  <c r="AP139" i="4"/>
  <c r="AI139" i="4"/>
  <c r="AB139" i="4"/>
  <c r="EA139" i="4"/>
  <c r="DT139" i="4"/>
  <c r="DM139" i="4"/>
  <c r="EE139" i="4"/>
  <c r="CY139" i="4"/>
  <c r="CR139" i="4"/>
  <c r="CK139" i="4"/>
  <c r="DC139" i="4"/>
  <c r="BW139" i="4"/>
  <c r="BP139" i="4"/>
  <c r="BI139" i="4"/>
  <c r="CA139" i="4"/>
  <c r="DX139" i="4"/>
  <c r="DQ139" i="4"/>
  <c r="DJ139" i="4"/>
  <c r="DF139" i="4"/>
  <c r="EC155" i="4"/>
  <c r="DV155" i="4"/>
  <c r="DO155" i="4"/>
  <c r="DH155" i="4"/>
  <c r="DA155" i="4"/>
  <c r="CT155" i="4"/>
  <c r="CM155" i="4"/>
  <c r="CF155" i="4"/>
  <c r="BY155" i="4"/>
  <c r="BR155" i="4"/>
  <c r="BK155" i="4"/>
  <c r="BD155" i="4"/>
  <c r="AW155" i="4"/>
  <c r="AP155" i="4"/>
  <c r="AI155" i="4"/>
  <c r="AB155" i="4"/>
  <c r="EA155" i="4"/>
  <c r="DT155" i="4"/>
  <c r="DM155" i="4"/>
  <c r="EE155" i="4"/>
  <c r="CY155" i="4"/>
  <c r="CR155" i="4"/>
  <c r="CK155" i="4"/>
  <c r="DC155" i="4"/>
  <c r="BW155" i="4"/>
  <c r="BP155" i="4"/>
  <c r="BI155" i="4"/>
  <c r="CA155" i="4"/>
  <c r="AU155" i="4"/>
  <c r="AN155" i="4"/>
  <c r="AG155" i="4"/>
  <c r="DX155" i="4"/>
  <c r="DQ155" i="4"/>
  <c r="DJ155" i="4"/>
  <c r="DF155" i="4"/>
  <c r="CV155" i="4"/>
  <c r="CO155" i="4"/>
  <c r="CH155" i="4"/>
  <c r="CD155" i="4"/>
  <c r="AR155" i="4"/>
  <c r="AK155" i="4"/>
  <c r="AD155" i="4"/>
  <c r="Z155" i="4"/>
  <c r="BT155" i="4"/>
  <c r="BM155" i="4"/>
  <c r="BF155" i="4"/>
  <c r="BB155" i="4"/>
  <c r="CD369" i="4"/>
  <c r="CY369" i="4"/>
  <c r="CO369" i="4"/>
  <c r="BK369" i="4"/>
  <c r="BB369" i="4"/>
  <c r="BW369" i="4"/>
  <c r="BM369" i="4"/>
  <c r="AI369" i="4"/>
  <c r="Z369" i="4"/>
  <c r="AU369" i="4"/>
  <c r="AK369" i="4"/>
  <c r="AP369" i="4"/>
  <c r="DJ369" i="4"/>
  <c r="EE369" i="4"/>
  <c r="DX369" i="4"/>
  <c r="DM369" i="4"/>
  <c r="CH369" i="4"/>
  <c r="DC369" i="4"/>
  <c r="CV369" i="4"/>
  <c r="CK369" i="4"/>
  <c r="BF369" i="4"/>
  <c r="CA369" i="4"/>
  <c r="BT369" i="4"/>
  <c r="BI369" i="4"/>
  <c r="AD369" i="4"/>
  <c r="AR369" i="4"/>
  <c r="AG369" i="4"/>
  <c r="DH369" i="4"/>
  <c r="EC369" i="4"/>
  <c r="DT369" i="4"/>
  <c r="DV369" i="4"/>
  <c r="CF369" i="4"/>
  <c r="DA369" i="4"/>
  <c r="CR369" i="4"/>
  <c r="DO369" i="4"/>
  <c r="BD369" i="4"/>
  <c r="BY369" i="4"/>
  <c r="BP369" i="4"/>
  <c r="CT369" i="4"/>
  <c r="DF369" i="4"/>
  <c r="EA369" i="4"/>
  <c r="DQ369" i="4"/>
  <c r="BR369" i="4"/>
  <c r="EE265" i="4"/>
  <c r="DX265" i="4"/>
  <c r="DQ265" i="4"/>
  <c r="BD265" i="4"/>
  <c r="DC265" i="4"/>
  <c r="CV265" i="4"/>
  <c r="CO265" i="4"/>
  <c r="AG265" i="4"/>
  <c r="CA265" i="4"/>
  <c r="BT265" i="4"/>
  <c r="BM265" i="4"/>
  <c r="AD265" i="4"/>
  <c r="AY265" i="4"/>
  <c r="AR265" i="4"/>
  <c r="AK265" i="4"/>
  <c r="AB265" i="4"/>
  <c r="EC265" i="4"/>
  <c r="DV265" i="4"/>
  <c r="DO265" i="4"/>
  <c r="DM265" i="4"/>
  <c r="DA265" i="4"/>
  <c r="CT265" i="4"/>
  <c r="DJ265" i="4"/>
  <c r="BY265" i="4"/>
  <c r="BR265" i="4"/>
  <c r="BK265" i="4"/>
  <c r="DH265" i="4"/>
  <c r="AW265" i="4"/>
  <c r="AP265" i="4"/>
  <c r="AI265" i="4"/>
  <c r="CK265" i="4"/>
  <c r="EA265" i="4"/>
  <c r="DT265" i="4"/>
  <c r="DF265" i="4"/>
  <c r="CH265" i="4"/>
  <c r="CY265" i="4"/>
  <c r="CR265" i="4"/>
  <c r="CD265" i="4"/>
  <c r="CF265" i="4"/>
  <c r="AU265" i="4"/>
  <c r="AN265" i="4"/>
  <c r="Z265" i="4"/>
  <c r="BF265" i="4"/>
  <c r="BW265" i="4"/>
  <c r="BP265" i="4"/>
  <c r="BB265" i="4"/>
  <c r="BI265" i="4"/>
  <c r="CK392" i="4"/>
  <c r="CD392" i="4"/>
  <c r="AY392" i="4"/>
  <c r="BR392" i="4"/>
  <c r="BI392" i="4"/>
  <c r="BB392" i="4"/>
  <c r="EC392" i="4"/>
  <c r="BY392" i="4"/>
  <c r="AG392" i="4"/>
  <c r="Z392" i="4"/>
  <c r="BT392" i="4"/>
  <c r="DQ392" i="4"/>
  <c r="DJ392" i="4"/>
  <c r="EA392" i="4"/>
  <c r="DX392" i="4"/>
  <c r="CO392" i="4"/>
  <c r="CH392" i="4"/>
  <c r="CY392" i="4"/>
  <c r="AR392" i="4"/>
  <c r="BM392" i="4"/>
  <c r="BF392" i="4"/>
  <c r="BW392" i="4"/>
  <c r="DV392" i="4"/>
  <c r="AK392" i="4"/>
  <c r="AD392" i="4"/>
  <c r="AU392" i="4"/>
  <c r="AP392" i="4"/>
  <c r="DO392" i="4"/>
  <c r="DH392" i="4"/>
  <c r="DT392" i="4"/>
  <c r="DC392" i="4"/>
  <c r="CM392" i="4"/>
  <c r="CF392" i="4"/>
  <c r="CR392" i="4"/>
  <c r="DA392" i="4"/>
  <c r="BK392" i="4"/>
  <c r="BD392" i="4"/>
  <c r="BP392" i="4"/>
  <c r="CV392" i="4"/>
  <c r="DM392" i="4"/>
  <c r="DF392" i="4"/>
  <c r="EE392" i="4"/>
  <c r="CA392" i="4"/>
  <c r="DF196" i="4"/>
  <c r="EA196" i="4"/>
  <c r="DT196" i="4"/>
  <c r="AB196" i="4"/>
  <c r="CD196" i="4"/>
  <c r="CY196" i="4"/>
  <c r="CR196" i="4"/>
  <c r="DM196" i="4"/>
  <c r="BB196" i="4"/>
  <c r="BW196" i="4"/>
  <c r="BP196" i="4"/>
  <c r="DJ196" i="4"/>
  <c r="Z196" i="4"/>
  <c r="AU196" i="4"/>
  <c r="AN196" i="4"/>
  <c r="DH196" i="4"/>
  <c r="EE196" i="4"/>
  <c r="DX196" i="4"/>
  <c r="DQ196" i="4"/>
  <c r="CK196" i="4"/>
  <c r="DC196" i="4"/>
  <c r="CV196" i="4"/>
  <c r="CO196" i="4"/>
  <c r="CH196" i="4"/>
  <c r="CA196" i="4"/>
  <c r="BT196" i="4"/>
  <c r="BM196" i="4"/>
  <c r="CF196" i="4"/>
  <c r="AY196" i="4"/>
  <c r="AR196" i="4"/>
  <c r="AK196" i="4"/>
  <c r="BI196" i="4"/>
  <c r="EC196" i="4"/>
  <c r="DV196" i="4"/>
  <c r="DO196" i="4"/>
  <c r="BF196" i="4"/>
  <c r="DA196" i="4"/>
  <c r="CT196" i="4"/>
  <c r="CM196" i="4"/>
  <c r="AW196" i="4"/>
  <c r="AP196" i="4"/>
  <c r="AI196" i="4"/>
  <c r="AG196" i="4"/>
  <c r="BY196" i="4"/>
  <c r="BR196" i="4"/>
  <c r="BK196" i="4"/>
  <c r="AD196" i="4"/>
  <c r="GQ109" i="4"/>
  <c r="DQ109" i="4"/>
  <c r="CA109" i="4"/>
  <c r="BR109" i="4"/>
  <c r="AI109" i="4"/>
  <c r="EC109" i="4"/>
  <c r="CH109" i="4"/>
  <c r="AW109" i="4"/>
  <c r="AN109" i="4"/>
  <c r="DV109" i="4"/>
  <c r="BD109" i="4"/>
  <c r="DF109" i="4"/>
  <c r="EA109" i="4"/>
  <c r="CT109" i="4"/>
  <c r="AB109" i="4"/>
  <c r="BY109" i="4"/>
  <c r="CO109" i="4"/>
  <c r="DT109" i="4"/>
  <c r="DO109" i="4"/>
  <c r="CF109" i="4"/>
  <c r="DC109" i="4"/>
  <c r="AG109" i="4"/>
  <c r="CM109" i="4"/>
  <c r="BB109" i="4"/>
  <c r="BW109" i="4"/>
  <c r="EE109" i="4"/>
  <c r="BK109" i="4"/>
  <c r="Z109" i="4"/>
  <c r="AR109" i="4"/>
  <c r="CV109" i="4"/>
  <c r="DX109" i="4"/>
  <c r="DJ109" i="4"/>
  <c r="DA109" i="4"/>
  <c r="CR109" i="4"/>
  <c r="CK109" i="4"/>
  <c r="CD109" i="4"/>
  <c r="BP109" i="4"/>
  <c r="AD109" i="4"/>
  <c r="DH109" i="4"/>
  <c r="CY109" i="4"/>
  <c r="AK109" i="4"/>
  <c r="AU109" i="4"/>
  <c r="AP109" i="4"/>
  <c r="BI109" i="4"/>
  <c r="BM109" i="4"/>
  <c r="BF109" i="4"/>
  <c r="AY109" i="4"/>
  <c r="DM109" i="4"/>
  <c r="V209" i="4"/>
  <c r="DH209" i="4"/>
  <c r="AW209" i="4"/>
  <c r="DX209" i="4"/>
  <c r="AB209" i="4"/>
  <c r="CF209" i="4"/>
  <c r="DA209" i="4"/>
  <c r="CT209" i="4"/>
  <c r="DQ209" i="4"/>
  <c r="EA209" i="4"/>
  <c r="BW209" i="4"/>
  <c r="BP209" i="4"/>
  <c r="DO209" i="4"/>
  <c r="DJ209" i="4"/>
  <c r="AU209" i="4"/>
  <c r="AN209" i="4"/>
  <c r="DM209" i="4"/>
  <c r="CD209" i="4"/>
  <c r="EE209" i="4"/>
  <c r="DV209" i="4"/>
  <c r="CM209" i="4"/>
  <c r="BB209" i="4"/>
  <c r="CY209" i="4"/>
  <c r="CR209" i="4"/>
  <c r="CK209" i="4"/>
  <c r="Z209" i="4"/>
  <c r="BM209" i="4"/>
  <c r="CH209" i="4"/>
  <c r="DF209" i="4"/>
  <c r="AR209" i="4"/>
  <c r="AK209" i="4"/>
  <c r="BI209" i="4"/>
  <c r="CA209" i="4"/>
  <c r="EC209" i="4"/>
  <c r="DT209" i="4"/>
  <c r="BF209" i="4"/>
  <c r="AY209" i="4"/>
  <c r="CV209" i="4"/>
  <c r="CO209" i="4"/>
  <c r="BD209" i="4"/>
  <c r="BY209" i="4"/>
  <c r="AP209" i="4"/>
  <c r="AI209" i="4"/>
  <c r="AG209" i="4"/>
  <c r="DC209" i="4"/>
  <c r="BR209" i="4"/>
  <c r="BK209" i="4"/>
  <c r="AD209" i="4"/>
  <c r="V243" i="4"/>
  <c r="DC243" i="4"/>
  <c r="CV243" i="4"/>
  <c r="CO243" i="4"/>
  <c r="BF243" i="4"/>
  <c r="CA243" i="4"/>
  <c r="BT243" i="4"/>
  <c r="BM243" i="4"/>
  <c r="AG243" i="4"/>
  <c r="AY243" i="4"/>
  <c r="AR243" i="4"/>
  <c r="AK243" i="4"/>
  <c r="AD243" i="4"/>
  <c r="DH243" i="4"/>
  <c r="EC243" i="4"/>
  <c r="DV243" i="4"/>
  <c r="DO243" i="4"/>
  <c r="CF243" i="4"/>
  <c r="DA243" i="4"/>
  <c r="CT243" i="4"/>
  <c r="CM243" i="4"/>
  <c r="BD243" i="4"/>
  <c r="BY243" i="4"/>
  <c r="BR243" i="4"/>
  <c r="BK243" i="4"/>
  <c r="AB243" i="4"/>
  <c r="AW243" i="4"/>
  <c r="AP243" i="4"/>
  <c r="AI243" i="4"/>
  <c r="DF243" i="4"/>
  <c r="EA243" i="4"/>
  <c r="DT243" i="4"/>
  <c r="DM243" i="4"/>
  <c r="CD243" i="4"/>
  <c r="CY243" i="4"/>
  <c r="CR243" i="4"/>
  <c r="DJ243" i="4"/>
  <c r="BB243" i="4"/>
  <c r="BP243" i="4"/>
  <c r="CK243" i="4"/>
  <c r="EE243" i="4"/>
  <c r="DX243" i="4"/>
  <c r="DQ243" i="4"/>
  <c r="BI243" i="4"/>
  <c r="CD93" i="4"/>
  <c r="CY93" i="4"/>
  <c r="CR93" i="4"/>
  <c r="BM93" i="4"/>
  <c r="BB93" i="4"/>
  <c r="BW93" i="4"/>
  <c r="BP93" i="4"/>
  <c r="BK93" i="4"/>
  <c r="Z93" i="4"/>
  <c r="AU93" i="4"/>
  <c r="AN93" i="4"/>
  <c r="AK93" i="4"/>
  <c r="DJ93" i="4"/>
  <c r="EE93" i="4"/>
  <c r="DX93" i="4"/>
  <c r="DM93" i="4"/>
  <c r="CH93" i="4"/>
  <c r="DC93" i="4"/>
  <c r="CV93" i="4"/>
  <c r="CK93" i="4"/>
  <c r="BF93" i="4"/>
  <c r="CA93" i="4"/>
  <c r="BT93" i="4"/>
  <c r="BI93" i="4"/>
  <c r="AY93" i="4"/>
  <c r="AR93" i="4"/>
  <c r="AG93" i="4"/>
  <c r="DH93" i="4"/>
  <c r="EC93" i="4"/>
  <c r="DV93" i="4"/>
  <c r="AI93" i="4"/>
  <c r="CF93" i="4"/>
  <c r="DA93" i="4"/>
  <c r="CT93" i="4"/>
  <c r="DQ93" i="4"/>
  <c r="BD93" i="4"/>
  <c r="BY93" i="4"/>
  <c r="BR93" i="4"/>
  <c r="DO93" i="4"/>
  <c r="DF93" i="4"/>
  <c r="EA93" i="4"/>
  <c r="DT93" i="4"/>
  <c r="CM93" i="4"/>
  <c r="EC377" i="4"/>
  <c r="DV377" i="4"/>
  <c r="DO377" i="4"/>
  <c r="DF377" i="4"/>
  <c r="DA377" i="4"/>
  <c r="CT377" i="4"/>
  <c r="CM377" i="4"/>
  <c r="CK377" i="4"/>
  <c r="BY377" i="4"/>
  <c r="BR377" i="4"/>
  <c r="BK377" i="4"/>
  <c r="CF377" i="4"/>
  <c r="AW377" i="4"/>
  <c r="AP377" i="4"/>
  <c r="AI377" i="4"/>
  <c r="CD377" i="4"/>
  <c r="EA377" i="4"/>
  <c r="DT377" i="4"/>
  <c r="DJ377" i="4"/>
  <c r="BI377" i="4"/>
  <c r="CY377" i="4"/>
  <c r="CR377" i="4"/>
  <c r="CH377" i="4"/>
  <c r="BD377" i="4"/>
  <c r="BW377" i="4"/>
  <c r="BF377" i="4"/>
  <c r="BB377" i="4"/>
  <c r="AU377" i="4"/>
  <c r="AN377" i="4"/>
  <c r="AD377" i="4"/>
  <c r="AG377" i="4"/>
  <c r="DX377" i="4"/>
  <c r="DQ377" i="4"/>
  <c r="EE377" i="4"/>
  <c r="AB377" i="4"/>
  <c r="CV377" i="4"/>
  <c r="CO377" i="4"/>
  <c r="DC377" i="4"/>
  <c r="Z377" i="4"/>
  <c r="AR377" i="4"/>
  <c r="AK377" i="4"/>
  <c r="AY377" i="4"/>
  <c r="DM377" i="4"/>
  <c r="BT377" i="4"/>
  <c r="BM377" i="4"/>
  <c r="CA377" i="4"/>
  <c r="DH377" i="4"/>
  <c r="DA192" i="4"/>
  <c r="CT192" i="4"/>
  <c r="CM192" i="4"/>
  <c r="BD192" i="4"/>
  <c r="BY192" i="4"/>
  <c r="BR192" i="4"/>
  <c r="BK192" i="4"/>
  <c r="AD192" i="4"/>
  <c r="AW192" i="4"/>
  <c r="AP192" i="4"/>
  <c r="AG192" i="4"/>
  <c r="DF192" i="4"/>
  <c r="EA192" i="4"/>
  <c r="DT192" i="4"/>
  <c r="AB192" i="4"/>
  <c r="CD192" i="4"/>
  <c r="CY192" i="4"/>
  <c r="CR192" i="4"/>
  <c r="DM192" i="4"/>
  <c r="BB192" i="4"/>
  <c r="BW192" i="4"/>
  <c r="BP192" i="4"/>
  <c r="DJ192" i="4"/>
  <c r="Z192" i="4"/>
  <c r="AU192" i="4"/>
  <c r="AN192" i="4"/>
  <c r="DH192" i="4"/>
  <c r="EE192" i="4"/>
  <c r="DX192" i="4"/>
  <c r="DQ192" i="4"/>
  <c r="CK192" i="4"/>
  <c r="DC192" i="4"/>
  <c r="CV192" i="4"/>
  <c r="CO192" i="4"/>
  <c r="CH192" i="4"/>
  <c r="CA192" i="4"/>
  <c r="BT192" i="4"/>
  <c r="BM192" i="4"/>
  <c r="CF192" i="4"/>
  <c r="EC192" i="4"/>
  <c r="DV192" i="4"/>
  <c r="DO192" i="4"/>
  <c r="BF192" i="4"/>
  <c r="CD65" i="4"/>
  <c r="CY65" i="4"/>
  <c r="CR65" i="4"/>
  <c r="CO65" i="4"/>
  <c r="BB65" i="4"/>
  <c r="BW65" i="4"/>
  <c r="BP65" i="4"/>
  <c r="CM65" i="4"/>
  <c r="Z65" i="4"/>
  <c r="AU65" i="4"/>
  <c r="AN65" i="4"/>
  <c r="BM65" i="4"/>
  <c r="DJ65" i="4"/>
  <c r="EE65" i="4"/>
  <c r="DX65" i="4"/>
  <c r="DM65" i="4"/>
  <c r="CH65" i="4"/>
  <c r="DC65" i="4"/>
  <c r="CV65" i="4"/>
  <c r="CK65" i="4"/>
  <c r="BF65" i="4"/>
  <c r="CA65" i="4"/>
  <c r="BI65" i="4"/>
  <c r="AD65" i="4"/>
  <c r="AY65" i="4"/>
  <c r="AR65" i="4"/>
  <c r="AG65" i="4"/>
  <c r="DH65" i="4"/>
  <c r="EC65" i="4"/>
  <c r="DV65" i="4"/>
  <c r="BK65" i="4"/>
  <c r="CF65" i="4"/>
  <c r="DA65" i="4"/>
  <c r="CT65" i="4"/>
  <c r="AK65" i="4"/>
  <c r="BD65" i="4"/>
  <c r="BY65" i="4"/>
  <c r="BR65" i="4"/>
  <c r="AI65" i="4"/>
  <c r="DF65" i="4"/>
  <c r="EA65" i="4"/>
  <c r="DT65" i="4"/>
  <c r="DO65" i="4"/>
  <c r="EE15" i="4"/>
  <c r="BI15" i="4"/>
  <c r="BP15" i="4"/>
  <c r="CK15" i="4"/>
  <c r="DC15" i="4"/>
  <c r="DX15" i="4"/>
  <c r="AN15" i="4"/>
  <c r="BD15" i="4"/>
  <c r="CA15" i="4"/>
  <c r="CV15" i="4"/>
  <c r="DQ15" i="4"/>
  <c r="DJ15" i="4"/>
  <c r="AY15" i="4"/>
  <c r="BT15" i="4"/>
  <c r="CO15" i="4"/>
  <c r="CH15" i="4"/>
  <c r="EC15" i="4"/>
  <c r="AR15" i="4"/>
  <c r="BF15" i="4"/>
  <c r="DA15" i="4"/>
  <c r="DV15" i="4"/>
  <c r="AK15" i="4"/>
  <c r="AD15" i="4"/>
  <c r="BY15" i="4"/>
  <c r="CT15" i="4"/>
  <c r="BK15" i="4"/>
  <c r="DH15" i="4"/>
  <c r="AW15" i="4"/>
  <c r="BR15" i="4"/>
  <c r="DM15" i="4"/>
  <c r="DF15" i="4"/>
  <c r="EA15" i="4"/>
  <c r="AP15" i="4"/>
  <c r="CF15" i="4"/>
  <c r="CD15" i="4"/>
  <c r="CY15" i="4"/>
  <c r="AB15" i="4"/>
  <c r="DO15" i="4"/>
  <c r="BB15" i="4"/>
  <c r="AU15" i="4"/>
  <c r="CR15" i="4"/>
  <c r="AI15" i="4"/>
  <c r="AG15" i="4"/>
  <c r="BW15" i="4"/>
  <c r="DT15" i="4"/>
  <c r="Z15" i="4"/>
  <c r="CM15" i="4"/>
  <c r="V44" i="4"/>
  <c r="CD44" i="4"/>
  <c r="CY44" i="4"/>
  <c r="CK44" i="4"/>
  <c r="CT44" i="4"/>
  <c r="BB44" i="4"/>
  <c r="BW44" i="4"/>
  <c r="BI44" i="4"/>
  <c r="CO44" i="4"/>
  <c r="AU44" i="4"/>
  <c r="AG44" i="4"/>
  <c r="CM44" i="4"/>
  <c r="DJ44" i="4"/>
  <c r="EE44" i="4"/>
  <c r="DX44" i="4"/>
  <c r="BR44" i="4"/>
  <c r="CH44" i="4"/>
  <c r="DC44" i="4"/>
  <c r="CV44" i="4"/>
  <c r="BM44" i="4"/>
  <c r="BF44" i="4"/>
  <c r="CA44" i="4"/>
  <c r="BT44" i="4"/>
  <c r="BK44" i="4"/>
  <c r="AD44" i="4"/>
  <c r="AY44" i="4"/>
  <c r="AR44" i="4"/>
  <c r="AP44" i="4"/>
  <c r="DH44" i="4"/>
  <c r="EC44" i="4"/>
  <c r="DT44" i="4"/>
  <c r="AK44" i="4"/>
  <c r="CF44" i="4"/>
  <c r="DA44" i="4"/>
  <c r="CR44" i="4"/>
  <c r="AI44" i="4"/>
  <c r="BD44" i="4"/>
  <c r="BY44" i="4"/>
  <c r="BP44" i="4"/>
  <c r="DV44" i="4"/>
  <c r="DF44" i="4"/>
  <c r="EA44" i="4"/>
  <c r="DM44" i="4"/>
  <c r="DO44" i="4"/>
  <c r="CD43" i="4"/>
  <c r="CY43" i="4"/>
  <c r="CK43" i="4"/>
  <c r="BB43" i="4"/>
  <c r="BW43" i="4"/>
  <c r="BI43" i="4"/>
  <c r="CO43" i="4"/>
  <c r="Z43" i="4"/>
  <c r="AU43" i="4"/>
  <c r="AG43" i="4"/>
  <c r="CM43" i="4"/>
  <c r="DJ43" i="4"/>
  <c r="EE43" i="4"/>
  <c r="DX43" i="4"/>
  <c r="BR43" i="4"/>
  <c r="CH43" i="4"/>
  <c r="DC43" i="4"/>
  <c r="CV43" i="4"/>
  <c r="BM43" i="4"/>
  <c r="BF43" i="4"/>
  <c r="CA43" i="4"/>
  <c r="BT43" i="4"/>
  <c r="BK43" i="4"/>
  <c r="AD43" i="4"/>
  <c r="AY43" i="4"/>
  <c r="AR43" i="4"/>
  <c r="AP43" i="4"/>
  <c r="DH43" i="4"/>
  <c r="EC43" i="4"/>
  <c r="DT43" i="4"/>
  <c r="AK43" i="4"/>
  <c r="CF43" i="4"/>
  <c r="DA43" i="4"/>
  <c r="CR43" i="4"/>
  <c r="AI43" i="4"/>
  <c r="BD43" i="4"/>
  <c r="BY43" i="4"/>
  <c r="BP43" i="4"/>
  <c r="DV43" i="4"/>
  <c r="DF43" i="4"/>
  <c r="EA43" i="4"/>
  <c r="DM43" i="4"/>
  <c r="DO43" i="4"/>
  <c r="AU243" i="4"/>
  <c r="AR208" i="4"/>
  <c r="AN172" i="4"/>
  <c r="AN123" i="4"/>
  <c r="AU222" i="4"/>
  <c r="AN334" i="4"/>
  <c r="AR193" i="4"/>
  <c r="AN161" i="4"/>
  <c r="AN122" i="4"/>
  <c r="AW79" i="4"/>
  <c r="AW45" i="4"/>
  <c r="CK10" i="4"/>
  <c r="BR25" i="4"/>
  <c r="AW292" i="4"/>
  <c r="AP252" i="4"/>
  <c r="AU218" i="4"/>
  <c r="AN148" i="4"/>
  <c r="AW104" i="4"/>
  <c r="AW66" i="4"/>
  <c r="AU232" i="4"/>
  <c r="AB389" i="4"/>
  <c r="AN349" i="4"/>
  <c r="AR314" i="4"/>
  <c r="AP270" i="4"/>
  <c r="AR205" i="4"/>
  <c r="AN169" i="4"/>
  <c r="AN134" i="4"/>
  <c r="AW88" i="4"/>
  <c r="AW369" i="4"/>
  <c r="AN330" i="4"/>
  <c r="AW280" i="4"/>
  <c r="AP250" i="4"/>
  <c r="AU216" i="4"/>
  <c r="CT179" i="4"/>
  <c r="AN146" i="4"/>
  <c r="AW101" i="4"/>
  <c r="AW54" i="4"/>
  <c r="AN174" i="4"/>
  <c r="DJ341" i="4"/>
  <c r="BW275" i="4"/>
  <c r="L305" i="4"/>
  <c r="GK305" i="4"/>
  <c r="HG305" i="4" s="1"/>
  <c r="L292" i="4"/>
  <c r="GK292" i="4"/>
  <c r="HG292" i="4" s="1"/>
  <c r="HD292" i="4" s="1"/>
  <c r="DA180" i="4"/>
  <c r="CT180" i="4"/>
  <c r="AB180" i="4"/>
  <c r="AN180" i="4"/>
  <c r="BY180" i="4"/>
  <c r="BR180" i="4"/>
  <c r="DT180" i="4"/>
  <c r="DH180" i="4"/>
  <c r="AW180" i="4"/>
  <c r="AP180" i="4"/>
  <c r="BP180" i="4"/>
  <c r="BD180" i="4"/>
  <c r="DF180" i="4"/>
  <c r="EA180" i="4"/>
  <c r="CO180" i="4"/>
  <c r="DQ180" i="4"/>
  <c r="CD180" i="4"/>
  <c r="CY180" i="4"/>
  <c r="AK180" i="4"/>
  <c r="BM180" i="4"/>
  <c r="BB180" i="4"/>
  <c r="BW180" i="4"/>
  <c r="CM180" i="4"/>
  <c r="DO180" i="4"/>
  <c r="Z180" i="4"/>
  <c r="AU180" i="4"/>
  <c r="AI180" i="4"/>
  <c r="BK180" i="4"/>
  <c r="EE180" i="4"/>
  <c r="DX180" i="4"/>
  <c r="CK180" i="4"/>
  <c r="DM180" i="4"/>
  <c r="DC180" i="4"/>
  <c r="CV180" i="4"/>
  <c r="AG180" i="4"/>
  <c r="BI180" i="4"/>
  <c r="CA180" i="4"/>
  <c r="CH180" i="4"/>
  <c r="DJ180" i="4"/>
  <c r="EC180" i="4"/>
  <c r="DV180" i="4"/>
  <c r="CF180" i="4"/>
  <c r="CR180" i="4"/>
  <c r="CV168" i="4"/>
  <c r="CO168" i="4"/>
  <c r="CH168" i="4"/>
  <c r="CD168" i="4"/>
  <c r="BT168" i="4"/>
  <c r="BM168" i="4"/>
  <c r="BF168" i="4"/>
  <c r="BB168" i="4"/>
  <c r="AR168" i="4"/>
  <c r="AK168" i="4"/>
  <c r="AD168" i="4"/>
  <c r="Z168" i="4"/>
  <c r="EC168" i="4"/>
  <c r="DV168" i="4"/>
  <c r="DO168" i="4"/>
  <c r="DH168" i="4"/>
  <c r="DA168" i="4"/>
  <c r="CT168" i="4"/>
  <c r="CM168" i="4"/>
  <c r="CF168" i="4"/>
  <c r="BY168" i="4"/>
  <c r="BR168" i="4"/>
  <c r="BK168" i="4"/>
  <c r="BD168" i="4"/>
  <c r="AW168" i="4"/>
  <c r="AP168" i="4"/>
  <c r="AI168" i="4"/>
  <c r="AB168" i="4"/>
  <c r="EA168" i="4"/>
  <c r="DT168" i="4"/>
  <c r="DM168" i="4"/>
  <c r="EE168" i="4"/>
  <c r="CY168" i="4"/>
  <c r="CR168" i="4"/>
  <c r="CK168" i="4"/>
  <c r="DC168" i="4"/>
  <c r="BW168" i="4"/>
  <c r="BP168" i="4"/>
  <c r="BI168" i="4"/>
  <c r="DX168" i="4"/>
  <c r="DQ168" i="4"/>
  <c r="DJ168" i="4"/>
  <c r="DF168" i="4"/>
  <c r="GQ85" i="4"/>
  <c r="DJ85" i="4"/>
  <c r="EE85" i="4"/>
  <c r="DX85" i="4"/>
  <c r="DM85" i="4"/>
  <c r="CH85" i="4"/>
  <c r="DC85" i="4"/>
  <c r="CV85" i="4"/>
  <c r="CK85" i="4"/>
  <c r="BF85" i="4"/>
  <c r="CA85" i="4"/>
  <c r="BI85" i="4"/>
  <c r="AD85" i="4"/>
  <c r="AY85" i="4"/>
  <c r="AR85" i="4"/>
  <c r="AG85" i="4"/>
  <c r="DH85" i="4"/>
  <c r="EC85" i="4"/>
  <c r="DV85" i="4"/>
  <c r="DQ85" i="4"/>
  <c r="CF85" i="4"/>
  <c r="DA85" i="4"/>
  <c r="CT85" i="4"/>
  <c r="DO85" i="4"/>
  <c r="BD85" i="4"/>
  <c r="BY85" i="4"/>
  <c r="BR85" i="4"/>
  <c r="CO85" i="4"/>
  <c r="AB85" i="4"/>
  <c r="AW85" i="4"/>
  <c r="AP85" i="4"/>
  <c r="CM85" i="4"/>
  <c r="DF85" i="4"/>
  <c r="EA85" i="4"/>
  <c r="DT85" i="4"/>
  <c r="BM85" i="4"/>
  <c r="CD85" i="4"/>
  <c r="CY85" i="4"/>
  <c r="CR85" i="4"/>
  <c r="BK85" i="4"/>
  <c r="Z85" i="4"/>
  <c r="AU85" i="4"/>
  <c r="AN85" i="4"/>
  <c r="AI85" i="4"/>
  <c r="BB85" i="4"/>
  <c r="BW85" i="4"/>
  <c r="BP85" i="4"/>
  <c r="AK85" i="4"/>
  <c r="EE258" i="4"/>
  <c r="DX258" i="4"/>
  <c r="DQ258" i="4"/>
  <c r="BD258" i="4"/>
  <c r="DC258" i="4"/>
  <c r="CV258" i="4"/>
  <c r="CO258" i="4"/>
  <c r="AG258" i="4"/>
  <c r="CA258" i="4"/>
  <c r="BT258" i="4"/>
  <c r="BM258" i="4"/>
  <c r="AD258" i="4"/>
  <c r="AY258" i="4"/>
  <c r="AR258" i="4"/>
  <c r="AK258" i="4"/>
  <c r="AB258" i="4"/>
  <c r="EC258" i="4"/>
  <c r="DV258" i="4"/>
  <c r="DO258" i="4"/>
  <c r="DM258" i="4"/>
  <c r="DA258" i="4"/>
  <c r="CT258" i="4"/>
  <c r="CM258" i="4"/>
  <c r="DJ258" i="4"/>
  <c r="BY258" i="4"/>
  <c r="BR258" i="4"/>
  <c r="BK258" i="4"/>
  <c r="DH258" i="4"/>
  <c r="AW258" i="4"/>
  <c r="AP258" i="4"/>
  <c r="AI258" i="4"/>
  <c r="CK258" i="4"/>
  <c r="EA258" i="4"/>
  <c r="DT258" i="4"/>
  <c r="DF258" i="4"/>
  <c r="CH258" i="4"/>
  <c r="CY258" i="4"/>
  <c r="CR258" i="4"/>
  <c r="CD258" i="4"/>
  <c r="CF258" i="4"/>
  <c r="AU258" i="4"/>
  <c r="Z258" i="4"/>
  <c r="BF258" i="4"/>
  <c r="BW258" i="4"/>
  <c r="BP258" i="4"/>
  <c r="BB258" i="4"/>
  <c r="BI258" i="4"/>
  <c r="GQ100" i="4"/>
  <c r="DJ100" i="4"/>
  <c r="EE100" i="4"/>
  <c r="DX100" i="4"/>
  <c r="DM100" i="4"/>
  <c r="CH100" i="4"/>
  <c r="DC100" i="4"/>
  <c r="CV100" i="4"/>
  <c r="CK100" i="4"/>
  <c r="BF100" i="4"/>
  <c r="CA100" i="4"/>
  <c r="BT100" i="4"/>
  <c r="BI100" i="4"/>
  <c r="AY100" i="4"/>
  <c r="AR100" i="4"/>
  <c r="AG100" i="4"/>
  <c r="DH100" i="4"/>
  <c r="EC100" i="4"/>
  <c r="DV100" i="4"/>
  <c r="DO100" i="4"/>
  <c r="CF100" i="4"/>
  <c r="DA100" i="4"/>
  <c r="CT100" i="4"/>
  <c r="CO100" i="4"/>
  <c r="BD100" i="4"/>
  <c r="BY100" i="4"/>
  <c r="BR100" i="4"/>
  <c r="CM100" i="4"/>
  <c r="AB100" i="4"/>
  <c r="AW100" i="4"/>
  <c r="AP100" i="4"/>
  <c r="BM100" i="4"/>
  <c r="DF100" i="4"/>
  <c r="EA100" i="4"/>
  <c r="DT100" i="4"/>
  <c r="BK100" i="4"/>
  <c r="CD100" i="4"/>
  <c r="CY100" i="4"/>
  <c r="CR100" i="4"/>
  <c r="AK100" i="4"/>
  <c r="Z100" i="4"/>
  <c r="AU100" i="4"/>
  <c r="AN100" i="4"/>
  <c r="DQ100" i="4"/>
  <c r="BB100" i="4"/>
  <c r="BW100" i="4"/>
  <c r="BP100" i="4"/>
  <c r="AI100" i="4"/>
  <c r="EE248" i="4"/>
  <c r="DX248" i="4"/>
  <c r="DF248" i="4"/>
  <c r="DJ248" i="4"/>
  <c r="DC248" i="4"/>
  <c r="CV248" i="4"/>
  <c r="CD248" i="4"/>
  <c r="AK248" i="4"/>
  <c r="CA248" i="4"/>
  <c r="BT248" i="4"/>
  <c r="BB248" i="4"/>
  <c r="DH248" i="4"/>
  <c r="AY248" i="4"/>
  <c r="AR248" i="4"/>
  <c r="CF248" i="4"/>
  <c r="AI248" i="4"/>
  <c r="EC248" i="4"/>
  <c r="DV248" i="4"/>
  <c r="BM248" i="4"/>
  <c r="CO248" i="4"/>
  <c r="DA248" i="4"/>
  <c r="CT248" i="4"/>
  <c r="BK248" i="4"/>
  <c r="AG248" i="4"/>
  <c r="BY248" i="4"/>
  <c r="BR248" i="4"/>
  <c r="DQ248" i="4"/>
  <c r="CM248" i="4"/>
  <c r="AP248" i="4"/>
  <c r="BI248" i="4"/>
  <c r="AD248" i="4"/>
  <c r="EA248" i="4"/>
  <c r="DT248" i="4"/>
  <c r="DO248" i="4"/>
  <c r="CK248" i="4"/>
  <c r="CY248" i="4"/>
  <c r="CR248" i="4"/>
  <c r="BF248" i="4"/>
  <c r="CH248" i="4"/>
  <c r="AU248" i="4"/>
  <c r="AN248" i="4"/>
  <c r="BD248" i="4"/>
  <c r="Z248" i="4"/>
  <c r="AB248" i="4"/>
  <c r="BW248" i="4"/>
  <c r="DM248" i="4"/>
  <c r="DF357" i="4"/>
  <c r="EA357" i="4"/>
  <c r="DQ357" i="4"/>
  <c r="BP357" i="4"/>
  <c r="CD357" i="4"/>
  <c r="CY357" i="4"/>
  <c r="CO357" i="4"/>
  <c r="BK357" i="4"/>
  <c r="BB357" i="4"/>
  <c r="BW357" i="4"/>
  <c r="BM357" i="4"/>
  <c r="BI357" i="4"/>
  <c r="Z357" i="4"/>
  <c r="AU357" i="4"/>
  <c r="AK357" i="4"/>
  <c r="BF357" i="4"/>
  <c r="EE357" i="4"/>
  <c r="DX357" i="4"/>
  <c r="DH357" i="4"/>
  <c r="DT357" i="4"/>
  <c r="DC357" i="4"/>
  <c r="CV357" i="4"/>
  <c r="CF357" i="4"/>
  <c r="AN357" i="4"/>
  <c r="CA357" i="4"/>
  <c r="BT357" i="4"/>
  <c r="BD357" i="4"/>
  <c r="DJ357" i="4"/>
  <c r="AY357" i="4"/>
  <c r="AR357" i="4"/>
  <c r="CR357" i="4"/>
  <c r="AD357" i="4"/>
  <c r="DV357" i="4"/>
  <c r="AB357" i="4"/>
  <c r="DO357" i="4"/>
  <c r="DA357" i="4"/>
  <c r="CT357" i="4"/>
  <c r="CM357" i="4"/>
  <c r="DM357" i="4"/>
  <c r="AW357" i="4"/>
  <c r="AP357" i="4"/>
  <c r="CH357" i="4"/>
  <c r="AG357" i="4"/>
  <c r="AI357" i="4"/>
  <c r="BY357" i="4"/>
  <c r="CK357" i="4"/>
  <c r="CV342" i="4"/>
  <c r="CO342" i="4"/>
  <c r="CH342" i="4"/>
  <c r="BB342" i="4"/>
  <c r="BT342" i="4"/>
  <c r="BM342" i="4"/>
  <c r="BF342" i="4"/>
  <c r="AB342" i="4"/>
  <c r="AR342" i="4"/>
  <c r="AK342" i="4"/>
  <c r="AD342" i="4"/>
  <c r="Z342" i="4"/>
  <c r="EC342" i="4"/>
  <c r="DV342" i="4"/>
  <c r="DO342" i="4"/>
  <c r="EE342" i="4"/>
  <c r="DA342" i="4"/>
  <c r="CT342" i="4"/>
  <c r="CM342" i="4"/>
  <c r="DC342" i="4"/>
  <c r="BY342" i="4"/>
  <c r="BR342" i="4"/>
  <c r="BK342" i="4"/>
  <c r="CA342" i="4"/>
  <c r="AW342" i="4"/>
  <c r="AP342" i="4"/>
  <c r="AI342" i="4"/>
  <c r="AY342" i="4"/>
  <c r="EA342" i="4"/>
  <c r="DT342" i="4"/>
  <c r="DM342" i="4"/>
  <c r="DH342" i="4"/>
  <c r="CY342" i="4"/>
  <c r="CK342" i="4"/>
  <c r="DF342" i="4"/>
  <c r="BW342" i="4"/>
  <c r="BP342" i="4"/>
  <c r="BI342" i="4"/>
  <c r="CF342" i="4"/>
  <c r="DX342" i="4"/>
  <c r="DQ342" i="4"/>
  <c r="DJ342" i="4"/>
  <c r="BD342" i="4"/>
  <c r="V141" i="4"/>
  <c r="EC141" i="4"/>
  <c r="DV141" i="4"/>
  <c r="DO141" i="4"/>
  <c r="DH141" i="4"/>
  <c r="DA141" i="4"/>
  <c r="CT141" i="4"/>
  <c r="CM141" i="4"/>
  <c r="CF141" i="4"/>
  <c r="BY141" i="4"/>
  <c r="BR141" i="4"/>
  <c r="BK141" i="4"/>
  <c r="BD141" i="4"/>
  <c r="AW141" i="4"/>
  <c r="AP141" i="4"/>
  <c r="AI141" i="4"/>
  <c r="AB141" i="4"/>
  <c r="EA141" i="4"/>
  <c r="DT141" i="4"/>
  <c r="DM141" i="4"/>
  <c r="EE141" i="4"/>
  <c r="CY141" i="4"/>
  <c r="CR141" i="4"/>
  <c r="CK141" i="4"/>
  <c r="DC141" i="4"/>
  <c r="BW141" i="4"/>
  <c r="BP141" i="4"/>
  <c r="BI141" i="4"/>
  <c r="CA141" i="4"/>
  <c r="AU141" i="4"/>
  <c r="AN141" i="4"/>
  <c r="AG141" i="4"/>
  <c r="AY141" i="4"/>
  <c r="DX141" i="4"/>
  <c r="DQ141" i="4"/>
  <c r="DJ141" i="4"/>
  <c r="DF141" i="4"/>
  <c r="CV141" i="4"/>
  <c r="CO141" i="4"/>
  <c r="CH141" i="4"/>
  <c r="CD141" i="4"/>
  <c r="AR141" i="4"/>
  <c r="AD141" i="4"/>
  <c r="Z141" i="4"/>
  <c r="BT141" i="4"/>
  <c r="BM141" i="4"/>
  <c r="BF141" i="4"/>
  <c r="BB141" i="4"/>
  <c r="CV331" i="4"/>
  <c r="CO331" i="4"/>
  <c r="DC331" i="4"/>
  <c r="CK331" i="4"/>
  <c r="BT331" i="4"/>
  <c r="BM331" i="4"/>
  <c r="CA331" i="4"/>
  <c r="DH331" i="4"/>
  <c r="AR331" i="4"/>
  <c r="AK331" i="4"/>
  <c r="AY331" i="4"/>
  <c r="DF331" i="4"/>
  <c r="EC331" i="4"/>
  <c r="DV331" i="4"/>
  <c r="DO331" i="4"/>
  <c r="CF331" i="4"/>
  <c r="DA331" i="4"/>
  <c r="CT331" i="4"/>
  <c r="CM331" i="4"/>
  <c r="CD331" i="4"/>
  <c r="BY331" i="4"/>
  <c r="BR331" i="4"/>
  <c r="BK331" i="4"/>
  <c r="BI331" i="4"/>
  <c r="AW331" i="4"/>
  <c r="AI331" i="4"/>
  <c r="BD331" i="4"/>
  <c r="EA331" i="4"/>
  <c r="DT331" i="4"/>
  <c r="DJ331" i="4"/>
  <c r="BB331" i="4"/>
  <c r="CY331" i="4"/>
  <c r="CR331" i="4"/>
  <c r="CH331" i="4"/>
  <c r="AG331" i="4"/>
  <c r="BW331" i="4"/>
  <c r="BP331" i="4"/>
  <c r="BF331" i="4"/>
  <c r="AB331" i="4"/>
  <c r="DX331" i="4"/>
  <c r="DQ331" i="4"/>
  <c r="EE331" i="4"/>
  <c r="DM331" i="4"/>
  <c r="EE255" i="4"/>
  <c r="DX255" i="4"/>
  <c r="DQ255" i="4"/>
  <c r="BD255" i="4"/>
  <c r="DC255" i="4"/>
  <c r="CV255" i="4"/>
  <c r="CO255" i="4"/>
  <c r="AG255" i="4"/>
  <c r="CA255" i="4"/>
  <c r="BT255" i="4"/>
  <c r="BM255" i="4"/>
  <c r="AD255" i="4"/>
  <c r="AY255" i="4"/>
  <c r="AR255" i="4"/>
  <c r="AK255" i="4"/>
  <c r="AB255" i="4"/>
  <c r="EC255" i="4"/>
  <c r="DV255" i="4"/>
  <c r="DO255" i="4"/>
  <c r="DM255" i="4"/>
  <c r="DA255" i="4"/>
  <c r="CT255" i="4"/>
  <c r="CM255" i="4"/>
  <c r="DJ255" i="4"/>
  <c r="BY255" i="4"/>
  <c r="BR255" i="4"/>
  <c r="BK255" i="4"/>
  <c r="DH255" i="4"/>
  <c r="AW255" i="4"/>
  <c r="AP255" i="4"/>
  <c r="AI255" i="4"/>
  <c r="CK255" i="4"/>
  <c r="EA255" i="4"/>
  <c r="DT255" i="4"/>
  <c r="DF255" i="4"/>
  <c r="CH255" i="4"/>
  <c r="CY255" i="4"/>
  <c r="CR255" i="4"/>
  <c r="CD255" i="4"/>
  <c r="CF255" i="4"/>
  <c r="AU255" i="4"/>
  <c r="AN255" i="4"/>
  <c r="Z255" i="4"/>
  <c r="BF255" i="4"/>
  <c r="BP255" i="4"/>
  <c r="BI255" i="4"/>
  <c r="BB255" i="4"/>
  <c r="DA360" i="4"/>
  <c r="CT360" i="4"/>
  <c r="CM360" i="4"/>
  <c r="CH360" i="4"/>
  <c r="BY360" i="4"/>
  <c r="BR360" i="4"/>
  <c r="BK360" i="4"/>
  <c r="DJ360" i="4"/>
  <c r="AW360" i="4"/>
  <c r="AP360" i="4"/>
  <c r="DH360" i="4"/>
  <c r="CK360" i="4"/>
  <c r="DF360" i="4"/>
  <c r="EA360" i="4"/>
  <c r="DT360" i="4"/>
  <c r="CF360" i="4"/>
  <c r="CD360" i="4"/>
  <c r="CY360" i="4"/>
  <c r="CR360" i="4"/>
  <c r="BD360" i="4"/>
  <c r="BB360" i="4"/>
  <c r="BW360" i="4"/>
  <c r="BP360" i="4"/>
  <c r="AB360" i="4"/>
  <c r="Z360" i="4"/>
  <c r="AU360" i="4"/>
  <c r="AN360" i="4"/>
  <c r="BI360" i="4"/>
  <c r="EE360" i="4"/>
  <c r="DX360" i="4"/>
  <c r="DQ360" i="4"/>
  <c r="BF360" i="4"/>
  <c r="DC360" i="4"/>
  <c r="CV360" i="4"/>
  <c r="CO360" i="4"/>
  <c r="AI360" i="4"/>
  <c r="CA360" i="4"/>
  <c r="BT360" i="4"/>
  <c r="BM360" i="4"/>
  <c r="AG360" i="4"/>
  <c r="EC360" i="4"/>
  <c r="DV360" i="4"/>
  <c r="DO360" i="4"/>
  <c r="DM360" i="4"/>
  <c r="CV335" i="4"/>
  <c r="CO335" i="4"/>
  <c r="CH335" i="4"/>
  <c r="Z335" i="4"/>
  <c r="BT335" i="4"/>
  <c r="BM335" i="4"/>
  <c r="BF335" i="4"/>
  <c r="DF335" i="4"/>
  <c r="AK335" i="4"/>
  <c r="AD335" i="4"/>
  <c r="DH335" i="4"/>
  <c r="EC335" i="4"/>
  <c r="DV335" i="4"/>
  <c r="DO335" i="4"/>
  <c r="EE335" i="4"/>
  <c r="DA335" i="4"/>
  <c r="CT335" i="4"/>
  <c r="CM335" i="4"/>
  <c r="DC335" i="4"/>
  <c r="BY335" i="4"/>
  <c r="BR335" i="4"/>
  <c r="BK335" i="4"/>
  <c r="CA335" i="4"/>
  <c r="AW335" i="4"/>
  <c r="AP335" i="4"/>
  <c r="AI335" i="4"/>
  <c r="AY335" i="4"/>
  <c r="EA335" i="4"/>
  <c r="DT335" i="4"/>
  <c r="DM335" i="4"/>
  <c r="CF335" i="4"/>
  <c r="CY335" i="4"/>
  <c r="CR335" i="4"/>
  <c r="CK335" i="4"/>
  <c r="CD335" i="4"/>
  <c r="BW335" i="4"/>
  <c r="BP335" i="4"/>
  <c r="BI335" i="4"/>
  <c r="BD335" i="4"/>
  <c r="DX335" i="4"/>
  <c r="DQ335" i="4"/>
  <c r="DJ335" i="4"/>
  <c r="AB335" i="4"/>
  <c r="T186" i="4"/>
  <c r="DF186" i="4"/>
  <c r="EA186" i="4"/>
  <c r="DT186" i="4"/>
  <c r="BF186" i="4"/>
  <c r="CD186" i="4"/>
  <c r="CY186" i="4"/>
  <c r="CR186" i="4"/>
  <c r="BD186" i="4"/>
  <c r="BB186" i="4"/>
  <c r="BW186" i="4"/>
  <c r="BP186" i="4"/>
  <c r="DO186" i="4"/>
  <c r="Z186" i="4"/>
  <c r="AU186" i="4"/>
  <c r="AN186" i="4"/>
  <c r="AI186" i="4"/>
  <c r="EE186" i="4"/>
  <c r="DX186" i="4"/>
  <c r="DQ186" i="4"/>
  <c r="DM186" i="4"/>
  <c r="DC186" i="4"/>
  <c r="CV186" i="4"/>
  <c r="CO186" i="4"/>
  <c r="AG186" i="4"/>
  <c r="CA186" i="4"/>
  <c r="BT186" i="4"/>
  <c r="BM186" i="4"/>
  <c r="DJ186" i="4"/>
  <c r="AY186" i="4"/>
  <c r="AR186" i="4"/>
  <c r="AK186" i="4"/>
  <c r="AD186" i="4"/>
  <c r="EC186" i="4"/>
  <c r="DV186" i="4"/>
  <c r="CH186" i="4"/>
  <c r="DH186" i="4"/>
  <c r="DA186" i="4"/>
  <c r="CT186" i="4"/>
  <c r="AB186" i="4"/>
  <c r="AW186" i="4"/>
  <c r="AP186" i="4"/>
  <c r="BI186" i="4"/>
  <c r="CM186" i="4"/>
  <c r="BY186" i="4"/>
  <c r="BR186" i="4"/>
  <c r="CK186" i="4"/>
  <c r="BK186" i="4"/>
  <c r="X207" i="4"/>
  <c r="DA207" i="4"/>
  <c r="CT207" i="4"/>
  <c r="CM207" i="4"/>
  <c r="BD207" i="4"/>
  <c r="BY207" i="4"/>
  <c r="BR207" i="4"/>
  <c r="BK207" i="4"/>
  <c r="AD207" i="4"/>
  <c r="AW207" i="4"/>
  <c r="AP207" i="4"/>
  <c r="AI207" i="4"/>
  <c r="AG207" i="4"/>
  <c r="DF207" i="4"/>
  <c r="EA207" i="4"/>
  <c r="DT207" i="4"/>
  <c r="AB207" i="4"/>
  <c r="CD207" i="4"/>
  <c r="CY207" i="4"/>
  <c r="CR207" i="4"/>
  <c r="DM207" i="4"/>
  <c r="BB207" i="4"/>
  <c r="BP207" i="4"/>
  <c r="DJ207" i="4"/>
  <c r="Z207" i="4"/>
  <c r="AU207" i="4"/>
  <c r="AN207" i="4"/>
  <c r="DH207" i="4"/>
  <c r="EE207" i="4"/>
  <c r="DX207" i="4"/>
  <c r="DQ207" i="4"/>
  <c r="CK207" i="4"/>
  <c r="DC207" i="4"/>
  <c r="CV207" i="4"/>
  <c r="CO207" i="4"/>
  <c r="CH207" i="4"/>
  <c r="CA207" i="4"/>
  <c r="BT207" i="4"/>
  <c r="BM207" i="4"/>
  <c r="CF207" i="4"/>
  <c r="EC207" i="4"/>
  <c r="DV207" i="4"/>
  <c r="DO207" i="4"/>
  <c r="BF207" i="4"/>
  <c r="DF363" i="4"/>
  <c r="EA363" i="4"/>
  <c r="DT363" i="4"/>
  <c r="DH363" i="4"/>
  <c r="CD363" i="4"/>
  <c r="CY363" i="4"/>
  <c r="CR363" i="4"/>
  <c r="CF363" i="4"/>
  <c r="BW363" i="4"/>
  <c r="BP363" i="4"/>
  <c r="BD363" i="4"/>
  <c r="Z363" i="4"/>
  <c r="AU363" i="4"/>
  <c r="AN363" i="4"/>
  <c r="AB363" i="4"/>
  <c r="EE363" i="4"/>
  <c r="DX363" i="4"/>
  <c r="DQ363" i="4"/>
  <c r="DM363" i="4"/>
  <c r="DC363" i="4"/>
  <c r="CV363" i="4"/>
  <c r="CO363" i="4"/>
  <c r="DJ363" i="4"/>
  <c r="CA363" i="4"/>
  <c r="BT363" i="4"/>
  <c r="BM363" i="4"/>
  <c r="CK363" i="4"/>
  <c r="AY363" i="4"/>
  <c r="AR363" i="4"/>
  <c r="AK363" i="4"/>
  <c r="CH363" i="4"/>
  <c r="EC363" i="4"/>
  <c r="DV363" i="4"/>
  <c r="DO363" i="4"/>
  <c r="BI363" i="4"/>
  <c r="DA363" i="4"/>
  <c r="CT363" i="4"/>
  <c r="CM363" i="4"/>
  <c r="AD363" i="4"/>
  <c r="AW363" i="4"/>
  <c r="AP363" i="4"/>
  <c r="AI363" i="4"/>
  <c r="BF363" i="4"/>
  <c r="BY363" i="4"/>
  <c r="BR363" i="4"/>
  <c r="BK363" i="4"/>
  <c r="AG363" i="4"/>
  <c r="DC230" i="4"/>
  <c r="CV230" i="4"/>
  <c r="CM230" i="4"/>
  <c r="BI230" i="4"/>
  <c r="CA230" i="4"/>
  <c r="BT230" i="4"/>
  <c r="BK230" i="4"/>
  <c r="BF230" i="4"/>
  <c r="AY230" i="4"/>
  <c r="AR230" i="4"/>
  <c r="AI230" i="4"/>
  <c r="AN230" i="4"/>
  <c r="DH230" i="4"/>
  <c r="EC230" i="4"/>
  <c r="DV230" i="4"/>
  <c r="AG230" i="4"/>
  <c r="CF230" i="4"/>
  <c r="DA230" i="4"/>
  <c r="CT230" i="4"/>
  <c r="AD230" i="4"/>
  <c r="BD230" i="4"/>
  <c r="BR230" i="4"/>
  <c r="DT230" i="4"/>
  <c r="AB230" i="4"/>
  <c r="AW230" i="4"/>
  <c r="AP230" i="4"/>
  <c r="DM230" i="4"/>
  <c r="DF230" i="4"/>
  <c r="EA230" i="4"/>
  <c r="DQ230" i="4"/>
  <c r="DJ230" i="4"/>
  <c r="CD230" i="4"/>
  <c r="CY230" i="4"/>
  <c r="CO230" i="4"/>
  <c r="CR230" i="4"/>
  <c r="BB230" i="4"/>
  <c r="BW230" i="4"/>
  <c r="BM230" i="4"/>
  <c r="CK230" i="4"/>
  <c r="EE230" i="4"/>
  <c r="DX230" i="4"/>
  <c r="DO230" i="4"/>
  <c r="BP230" i="4"/>
  <c r="EC339" i="4"/>
  <c r="DV339" i="4"/>
  <c r="DO339" i="4"/>
  <c r="DA339" i="4"/>
  <c r="CT339" i="4"/>
  <c r="CM339" i="4"/>
  <c r="DC339" i="4"/>
  <c r="BY339" i="4"/>
  <c r="BR339" i="4"/>
  <c r="BK339" i="4"/>
  <c r="CA339" i="4"/>
  <c r="AW339" i="4"/>
  <c r="AP339" i="4"/>
  <c r="AI339" i="4"/>
  <c r="AY339" i="4"/>
  <c r="EA339" i="4"/>
  <c r="DT339" i="4"/>
  <c r="DM339" i="4"/>
  <c r="AB339" i="4"/>
  <c r="CY339" i="4"/>
  <c r="CR339" i="4"/>
  <c r="CK339" i="4"/>
  <c r="Z339" i="4"/>
  <c r="BW339" i="4"/>
  <c r="BP339" i="4"/>
  <c r="BI339" i="4"/>
  <c r="DH339" i="4"/>
  <c r="AU339" i="4"/>
  <c r="AN339" i="4"/>
  <c r="AG339" i="4"/>
  <c r="DF339" i="4"/>
  <c r="DX339" i="4"/>
  <c r="DQ339" i="4"/>
  <c r="DJ339" i="4"/>
  <c r="CF339" i="4"/>
  <c r="CV339" i="4"/>
  <c r="CO339" i="4"/>
  <c r="CH339" i="4"/>
  <c r="BB339" i="4"/>
  <c r="AR339" i="4"/>
  <c r="AK339" i="4"/>
  <c r="AD339" i="4"/>
  <c r="BD339" i="4"/>
  <c r="BT339" i="4"/>
  <c r="BM339" i="4"/>
  <c r="BF339" i="4"/>
  <c r="CD339" i="4"/>
  <c r="T181" i="4"/>
  <c r="DA181" i="4"/>
  <c r="CT181" i="4"/>
  <c r="AB181" i="4"/>
  <c r="AN181" i="4"/>
  <c r="BY181" i="4"/>
  <c r="BR181" i="4"/>
  <c r="DT181" i="4"/>
  <c r="DH181" i="4"/>
  <c r="AP181" i="4"/>
  <c r="BP181" i="4"/>
  <c r="BD181" i="4"/>
  <c r="DF181" i="4"/>
  <c r="EA181" i="4"/>
  <c r="CO181" i="4"/>
  <c r="DQ181" i="4"/>
  <c r="CD181" i="4"/>
  <c r="CY181" i="4"/>
  <c r="AK181" i="4"/>
  <c r="BM181" i="4"/>
  <c r="BB181" i="4"/>
  <c r="BW181" i="4"/>
  <c r="CM181" i="4"/>
  <c r="DO181" i="4"/>
  <c r="Z181" i="4"/>
  <c r="AU181" i="4"/>
  <c r="AI181" i="4"/>
  <c r="BK181" i="4"/>
  <c r="EE181" i="4"/>
  <c r="DX181" i="4"/>
  <c r="CK181" i="4"/>
  <c r="DM181" i="4"/>
  <c r="DC181" i="4"/>
  <c r="CV181" i="4"/>
  <c r="AG181" i="4"/>
  <c r="BI181" i="4"/>
  <c r="CA181" i="4"/>
  <c r="BT181" i="4"/>
  <c r="CH181" i="4"/>
  <c r="DJ181" i="4"/>
  <c r="EC181" i="4"/>
  <c r="DV181" i="4"/>
  <c r="CF181" i="4"/>
  <c r="CR181" i="4"/>
  <c r="EC125" i="4"/>
  <c r="DV125" i="4"/>
  <c r="DO125" i="4"/>
  <c r="DH125" i="4"/>
  <c r="DA125" i="4"/>
  <c r="CT125" i="4"/>
  <c r="CM125" i="4"/>
  <c r="CF125" i="4"/>
  <c r="BY125" i="4"/>
  <c r="BR125" i="4"/>
  <c r="BK125" i="4"/>
  <c r="BD125" i="4"/>
  <c r="AW125" i="4"/>
  <c r="AP125" i="4"/>
  <c r="AI125" i="4"/>
  <c r="AB125" i="4"/>
  <c r="EA125" i="4"/>
  <c r="DT125" i="4"/>
  <c r="DM125" i="4"/>
  <c r="EE125" i="4"/>
  <c r="CY125" i="4"/>
  <c r="CR125" i="4"/>
  <c r="CK125" i="4"/>
  <c r="DC125" i="4"/>
  <c r="BW125" i="4"/>
  <c r="BP125" i="4"/>
  <c r="BI125" i="4"/>
  <c r="CA125" i="4"/>
  <c r="AU125" i="4"/>
  <c r="AN125" i="4"/>
  <c r="AG125" i="4"/>
  <c r="AY125" i="4"/>
  <c r="DX125" i="4"/>
  <c r="DQ125" i="4"/>
  <c r="DJ125" i="4"/>
  <c r="BB125" i="4"/>
  <c r="CV125" i="4"/>
  <c r="CO125" i="4"/>
  <c r="Z125" i="4"/>
  <c r="AR125" i="4"/>
  <c r="AK125" i="4"/>
  <c r="AD125" i="4"/>
  <c r="DF125" i="4"/>
  <c r="BT125" i="4"/>
  <c r="BM125" i="4"/>
  <c r="BF125" i="4"/>
  <c r="CD125" i="4"/>
  <c r="DJ49" i="4"/>
  <c r="EE49" i="4"/>
  <c r="DX49" i="4"/>
  <c r="BR49" i="4"/>
  <c r="CH49" i="4"/>
  <c r="DC49" i="4"/>
  <c r="CV49" i="4"/>
  <c r="BM49" i="4"/>
  <c r="BF49" i="4"/>
  <c r="CA49" i="4"/>
  <c r="BT49" i="4"/>
  <c r="BK49" i="4"/>
  <c r="AD49" i="4"/>
  <c r="AY49" i="4"/>
  <c r="AR49" i="4"/>
  <c r="AP49" i="4"/>
  <c r="DH49" i="4"/>
  <c r="EC49" i="4"/>
  <c r="DT49" i="4"/>
  <c r="AK49" i="4"/>
  <c r="CF49" i="4"/>
  <c r="DA49" i="4"/>
  <c r="CR49" i="4"/>
  <c r="AI49" i="4"/>
  <c r="BD49" i="4"/>
  <c r="BY49" i="4"/>
  <c r="DV49" i="4"/>
  <c r="AB49" i="4"/>
  <c r="AW49" i="4"/>
  <c r="AN49" i="4"/>
  <c r="DQ49" i="4"/>
  <c r="DF49" i="4"/>
  <c r="EA49" i="4"/>
  <c r="DM49" i="4"/>
  <c r="DO49" i="4"/>
  <c r="CD49" i="4"/>
  <c r="CY49" i="4"/>
  <c r="CK49" i="4"/>
  <c r="CT49" i="4"/>
  <c r="Z49" i="4"/>
  <c r="AU49" i="4"/>
  <c r="AG49" i="4"/>
  <c r="CM49" i="4"/>
  <c r="BB49" i="4"/>
  <c r="BW49" i="4"/>
  <c r="BI49" i="4"/>
  <c r="CO49" i="4"/>
  <c r="GQ47" i="4"/>
  <c r="DJ47" i="4"/>
  <c r="EE47" i="4"/>
  <c r="DX47" i="4"/>
  <c r="BR47" i="4"/>
  <c r="CH47" i="4"/>
  <c r="DC47" i="4"/>
  <c r="CV47" i="4"/>
  <c r="BM47" i="4"/>
  <c r="BF47" i="4"/>
  <c r="CA47" i="4"/>
  <c r="BT47" i="4"/>
  <c r="BK47" i="4"/>
  <c r="AD47" i="4"/>
  <c r="AY47" i="4"/>
  <c r="AR47" i="4"/>
  <c r="AP47" i="4"/>
  <c r="DH47" i="4"/>
  <c r="EC47" i="4"/>
  <c r="DT47" i="4"/>
  <c r="AK47" i="4"/>
  <c r="CF47" i="4"/>
  <c r="DA47" i="4"/>
  <c r="CR47" i="4"/>
  <c r="AI47" i="4"/>
  <c r="BD47" i="4"/>
  <c r="BY47" i="4"/>
  <c r="BP47" i="4"/>
  <c r="DV47" i="4"/>
  <c r="AB47" i="4"/>
  <c r="AW47" i="4"/>
  <c r="AN47" i="4"/>
  <c r="DQ47" i="4"/>
  <c r="DF47" i="4"/>
  <c r="EA47" i="4"/>
  <c r="DM47" i="4"/>
  <c r="DO47" i="4"/>
  <c r="CD47" i="4"/>
  <c r="CY47" i="4"/>
  <c r="CK47" i="4"/>
  <c r="CT47" i="4"/>
  <c r="Z47" i="4"/>
  <c r="AU47" i="4"/>
  <c r="AG47" i="4"/>
  <c r="CM47" i="4"/>
  <c r="BB47" i="4"/>
  <c r="BW47" i="4"/>
  <c r="CO47" i="4"/>
  <c r="V31" i="4"/>
  <c r="CY31" i="4"/>
  <c r="AP31" i="4"/>
  <c r="BK31" i="4"/>
  <c r="CD31" i="4"/>
  <c r="BW31" i="4"/>
  <c r="DT31" i="4"/>
  <c r="AI31" i="4"/>
  <c r="BB31" i="4"/>
  <c r="AU31" i="4"/>
  <c r="CR31" i="4"/>
  <c r="AB31" i="4"/>
  <c r="Z31" i="4"/>
  <c r="EE31" i="4"/>
  <c r="BD31" i="4"/>
  <c r="BP31" i="4"/>
  <c r="DM31" i="4"/>
  <c r="DC31" i="4"/>
  <c r="DX31" i="4"/>
  <c r="AN31" i="4"/>
  <c r="CK31" i="4"/>
  <c r="CA31" i="4"/>
  <c r="CV31" i="4"/>
  <c r="DQ31" i="4"/>
  <c r="BI31" i="4"/>
  <c r="AY31" i="4"/>
  <c r="BT31" i="4"/>
  <c r="CO31" i="4"/>
  <c r="AG31" i="4"/>
  <c r="EC31" i="4"/>
  <c r="AR31" i="4"/>
  <c r="DJ31" i="4"/>
  <c r="DA31" i="4"/>
  <c r="CF31" i="4"/>
  <c r="AK31" i="4"/>
  <c r="CH31" i="4"/>
  <c r="BY31" i="4"/>
  <c r="DV31" i="4"/>
  <c r="DH31" i="4"/>
  <c r="BF31" i="4"/>
  <c r="EA31" i="4"/>
  <c r="BR31" i="4"/>
  <c r="CM31" i="4"/>
  <c r="DF31" i="4"/>
  <c r="AU342" i="4"/>
  <c r="Z243" i="4"/>
  <c r="AU123" i="4"/>
  <c r="AW262" i="4"/>
  <c r="AU122" i="4"/>
  <c r="BY10" i="4"/>
  <c r="AB292" i="4"/>
  <c r="Z218" i="4"/>
  <c r="AY181" i="4"/>
  <c r="AB66" i="4"/>
  <c r="AU349" i="4"/>
  <c r="AW31" i="4"/>
  <c r="AB369" i="4"/>
  <c r="AY179" i="4"/>
  <c r="CR341" i="4"/>
  <c r="BP248" i="4"/>
  <c r="CV159" i="4"/>
  <c r="CO159" i="4"/>
  <c r="CH159" i="4"/>
  <c r="CD159" i="4"/>
  <c r="BT159" i="4"/>
  <c r="BM159" i="4"/>
  <c r="BF159" i="4"/>
  <c r="BB159" i="4"/>
  <c r="AR159" i="4"/>
  <c r="AK159" i="4"/>
  <c r="AD159" i="4"/>
  <c r="Z159" i="4"/>
  <c r="EC159" i="4"/>
  <c r="DV159" i="4"/>
  <c r="DO159" i="4"/>
  <c r="DH159" i="4"/>
  <c r="DA159" i="4"/>
  <c r="CT159" i="4"/>
  <c r="CM159" i="4"/>
  <c r="CF159" i="4"/>
  <c r="BY159" i="4"/>
  <c r="BR159" i="4"/>
  <c r="BD159" i="4"/>
  <c r="AW159" i="4"/>
  <c r="AP159" i="4"/>
  <c r="AI159" i="4"/>
  <c r="AB159" i="4"/>
  <c r="EA159" i="4"/>
  <c r="DT159" i="4"/>
  <c r="DM159" i="4"/>
  <c r="EE159" i="4"/>
  <c r="CY159" i="4"/>
  <c r="CR159" i="4"/>
  <c r="CK159" i="4"/>
  <c r="DC159" i="4"/>
  <c r="BW159" i="4"/>
  <c r="BP159" i="4"/>
  <c r="BI159" i="4"/>
  <c r="CA159" i="4"/>
  <c r="DX159" i="4"/>
  <c r="DQ159" i="4"/>
  <c r="DJ159" i="4"/>
  <c r="DF159" i="4"/>
  <c r="CV158" i="4"/>
  <c r="CO158" i="4"/>
  <c r="CH158" i="4"/>
  <c r="CD158" i="4"/>
  <c r="BT158" i="4"/>
  <c r="BM158" i="4"/>
  <c r="BF158" i="4"/>
  <c r="BB158" i="4"/>
  <c r="AR158" i="4"/>
  <c r="AK158" i="4"/>
  <c r="AD158" i="4"/>
  <c r="Z158" i="4"/>
  <c r="EC158" i="4"/>
  <c r="DV158" i="4"/>
  <c r="DO158" i="4"/>
  <c r="DH158" i="4"/>
  <c r="DA158" i="4"/>
  <c r="CT158" i="4"/>
  <c r="CM158" i="4"/>
  <c r="CF158" i="4"/>
  <c r="BY158" i="4"/>
  <c r="BR158" i="4"/>
  <c r="BK158" i="4"/>
  <c r="BD158" i="4"/>
  <c r="AW158" i="4"/>
  <c r="AP158" i="4"/>
  <c r="AI158" i="4"/>
  <c r="AB158" i="4"/>
  <c r="EA158" i="4"/>
  <c r="DT158" i="4"/>
  <c r="DM158" i="4"/>
  <c r="EE158" i="4"/>
  <c r="CY158" i="4"/>
  <c r="CR158" i="4"/>
  <c r="CK158" i="4"/>
  <c r="DC158" i="4"/>
  <c r="BW158" i="4"/>
  <c r="BP158" i="4"/>
  <c r="BI158" i="4"/>
  <c r="DX158" i="4"/>
  <c r="DQ158" i="4"/>
  <c r="DJ158" i="4"/>
  <c r="DF158" i="4"/>
  <c r="CV174" i="4"/>
  <c r="CO174" i="4"/>
  <c r="CH174" i="4"/>
  <c r="CD174" i="4"/>
  <c r="BM174" i="4"/>
  <c r="BF174" i="4"/>
  <c r="BB174" i="4"/>
  <c r="AR174" i="4"/>
  <c r="AK174" i="4"/>
  <c r="AD174" i="4"/>
  <c r="Z174" i="4"/>
  <c r="EC174" i="4"/>
  <c r="DV174" i="4"/>
  <c r="DO174" i="4"/>
  <c r="DH174" i="4"/>
  <c r="DA174" i="4"/>
  <c r="CT174" i="4"/>
  <c r="CM174" i="4"/>
  <c r="CF174" i="4"/>
  <c r="BY174" i="4"/>
  <c r="BR174" i="4"/>
  <c r="BK174" i="4"/>
  <c r="BD174" i="4"/>
  <c r="AW174" i="4"/>
  <c r="AP174" i="4"/>
  <c r="AI174" i="4"/>
  <c r="AB174" i="4"/>
  <c r="EA174" i="4"/>
  <c r="DT174" i="4"/>
  <c r="DM174" i="4"/>
  <c r="EE174" i="4"/>
  <c r="CY174" i="4"/>
  <c r="CR174" i="4"/>
  <c r="CK174" i="4"/>
  <c r="DC174" i="4"/>
  <c r="BW174" i="4"/>
  <c r="BP174" i="4"/>
  <c r="BI174" i="4"/>
  <c r="CA174" i="4"/>
  <c r="DX174" i="4"/>
  <c r="DQ174" i="4"/>
  <c r="DJ174" i="4"/>
  <c r="DF174" i="4"/>
  <c r="DJ86" i="4"/>
  <c r="EE86" i="4"/>
  <c r="DX86" i="4"/>
  <c r="DM86" i="4"/>
  <c r="CH86" i="4"/>
  <c r="DC86" i="4"/>
  <c r="CV86" i="4"/>
  <c r="CK86" i="4"/>
  <c r="BF86" i="4"/>
  <c r="CA86" i="4"/>
  <c r="BT86" i="4"/>
  <c r="AD86" i="4"/>
  <c r="AY86" i="4"/>
  <c r="AR86" i="4"/>
  <c r="AG86" i="4"/>
  <c r="DH86" i="4"/>
  <c r="EC86" i="4"/>
  <c r="DV86" i="4"/>
  <c r="BK86" i="4"/>
  <c r="CF86" i="4"/>
  <c r="DA86" i="4"/>
  <c r="CT86" i="4"/>
  <c r="CM86" i="4"/>
  <c r="BD86" i="4"/>
  <c r="BY86" i="4"/>
  <c r="BR86" i="4"/>
  <c r="AK86" i="4"/>
  <c r="AB86" i="4"/>
  <c r="AW86" i="4"/>
  <c r="AP86" i="4"/>
  <c r="AI86" i="4"/>
  <c r="DF86" i="4"/>
  <c r="EA86" i="4"/>
  <c r="DT86" i="4"/>
  <c r="DQ86" i="4"/>
  <c r="CD86" i="4"/>
  <c r="CY86" i="4"/>
  <c r="CR86" i="4"/>
  <c r="DO86" i="4"/>
  <c r="Z86" i="4"/>
  <c r="AU86" i="4"/>
  <c r="AN86" i="4"/>
  <c r="BM86" i="4"/>
  <c r="CO86" i="4"/>
  <c r="BB86" i="4"/>
  <c r="BP86" i="4"/>
  <c r="DH235" i="4"/>
  <c r="EC235" i="4"/>
  <c r="DV235" i="4"/>
  <c r="DO235" i="4"/>
  <c r="CF235" i="4"/>
  <c r="DA235" i="4"/>
  <c r="CT235" i="4"/>
  <c r="CM235" i="4"/>
  <c r="BD235" i="4"/>
  <c r="BY235" i="4"/>
  <c r="BR235" i="4"/>
  <c r="BK235" i="4"/>
  <c r="AB235" i="4"/>
  <c r="AW235" i="4"/>
  <c r="AP235" i="4"/>
  <c r="AI235" i="4"/>
  <c r="DF235" i="4"/>
  <c r="EA235" i="4"/>
  <c r="DT235" i="4"/>
  <c r="AG235" i="4"/>
  <c r="CD235" i="4"/>
  <c r="CY235" i="4"/>
  <c r="CR235" i="4"/>
  <c r="AD235" i="4"/>
  <c r="BB235" i="4"/>
  <c r="BW235" i="4"/>
  <c r="BP235" i="4"/>
  <c r="Z235" i="4"/>
  <c r="AU235" i="4"/>
  <c r="AN235" i="4"/>
  <c r="DJ235" i="4"/>
  <c r="EE235" i="4"/>
  <c r="DX235" i="4"/>
  <c r="DQ235" i="4"/>
  <c r="CK235" i="4"/>
  <c r="DC235" i="4"/>
  <c r="CV235" i="4"/>
  <c r="CO235" i="4"/>
  <c r="CH235" i="4"/>
  <c r="AY235" i="4"/>
  <c r="AR235" i="4"/>
  <c r="AK235" i="4"/>
  <c r="BF235" i="4"/>
  <c r="CA235" i="4"/>
  <c r="BM235" i="4"/>
  <c r="DF309" i="4"/>
  <c r="EA309" i="4"/>
  <c r="DT309" i="4"/>
  <c r="BI309" i="4"/>
  <c r="CD309" i="4"/>
  <c r="CY309" i="4"/>
  <c r="CR309" i="4"/>
  <c r="BF309" i="4"/>
  <c r="BB309" i="4"/>
  <c r="BW309" i="4"/>
  <c r="BP309" i="4"/>
  <c r="AK309" i="4"/>
  <c r="Z309" i="4"/>
  <c r="AU309" i="4"/>
  <c r="AN309" i="4"/>
  <c r="AG309" i="4"/>
  <c r="EE309" i="4"/>
  <c r="DX309" i="4"/>
  <c r="DO309" i="4"/>
  <c r="AD309" i="4"/>
  <c r="DC309" i="4"/>
  <c r="CV309" i="4"/>
  <c r="CM309" i="4"/>
  <c r="DQ309" i="4"/>
  <c r="CA309" i="4"/>
  <c r="BT309" i="4"/>
  <c r="BK309" i="4"/>
  <c r="DM309" i="4"/>
  <c r="AY309" i="4"/>
  <c r="AR309" i="4"/>
  <c r="AI309" i="4"/>
  <c r="CO309" i="4"/>
  <c r="EC309" i="4"/>
  <c r="DV309" i="4"/>
  <c r="DH309" i="4"/>
  <c r="CK309" i="4"/>
  <c r="DA309" i="4"/>
  <c r="CT309" i="4"/>
  <c r="BM309" i="4"/>
  <c r="AW309" i="4"/>
  <c r="AP309" i="4"/>
  <c r="AB309" i="4"/>
  <c r="DJ309" i="4"/>
  <c r="BY309" i="4"/>
  <c r="BR309" i="4"/>
  <c r="BD309" i="4"/>
  <c r="CH309" i="4"/>
  <c r="DF306" i="4"/>
  <c r="EA306" i="4"/>
  <c r="DT306" i="4"/>
  <c r="BI306" i="4"/>
  <c r="CD306" i="4"/>
  <c r="CY306" i="4"/>
  <c r="CR306" i="4"/>
  <c r="BF306" i="4"/>
  <c r="BB306" i="4"/>
  <c r="BW306" i="4"/>
  <c r="BP306" i="4"/>
  <c r="AK306" i="4"/>
  <c r="AU306" i="4"/>
  <c r="AN306" i="4"/>
  <c r="AG306" i="4"/>
  <c r="EE306" i="4"/>
  <c r="DX306" i="4"/>
  <c r="DO306" i="4"/>
  <c r="AD306" i="4"/>
  <c r="DC306" i="4"/>
  <c r="CV306" i="4"/>
  <c r="CM306" i="4"/>
  <c r="DQ306" i="4"/>
  <c r="CA306" i="4"/>
  <c r="BT306" i="4"/>
  <c r="BK306" i="4"/>
  <c r="DM306" i="4"/>
  <c r="AY306" i="4"/>
  <c r="AR306" i="4"/>
  <c r="AI306" i="4"/>
  <c r="CO306" i="4"/>
  <c r="EC306" i="4"/>
  <c r="DV306" i="4"/>
  <c r="DH306" i="4"/>
  <c r="CK306" i="4"/>
  <c r="DA306" i="4"/>
  <c r="CT306" i="4"/>
  <c r="CF306" i="4"/>
  <c r="DJ306" i="4"/>
  <c r="AW306" i="4"/>
  <c r="AP306" i="4"/>
  <c r="AB306" i="4"/>
  <c r="BM306" i="4"/>
  <c r="BY306" i="4"/>
  <c r="BR306" i="4"/>
  <c r="BD306" i="4"/>
  <c r="CH306" i="4"/>
  <c r="DV129" i="4"/>
  <c r="DO129" i="4"/>
  <c r="DH129" i="4"/>
  <c r="DA129" i="4"/>
  <c r="CT129" i="4"/>
  <c r="CM129" i="4"/>
  <c r="CF129" i="4"/>
  <c r="BY129" i="4"/>
  <c r="BR129" i="4"/>
  <c r="BK129" i="4"/>
  <c r="BD129" i="4"/>
  <c r="AW129" i="4"/>
  <c r="AP129" i="4"/>
  <c r="AI129" i="4"/>
  <c r="AB129" i="4"/>
  <c r="EA129" i="4"/>
  <c r="DT129" i="4"/>
  <c r="DM129" i="4"/>
  <c r="EE129" i="4"/>
  <c r="CY129" i="4"/>
  <c r="CR129" i="4"/>
  <c r="CK129" i="4"/>
  <c r="DC129" i="4"/>
  <c r="BW129" i="4"/>
  <c r="BP129" i="4"/>
  <c r="BI129" i="4"/>
  <c r="CA129" i="4"/>
  <c r="AU129" i="4"/>
  <c r="AN129" i="4"/>
  <c r="AG129" i="4"/>
  <c r="AY129" i="4"/>
  <c r="DX129" i="4"/>
  <c r="DQ129" i="4"/>
  <c r="DJ129" i="4"/>
  <c r="DF129" i="4"/>
  <c r="CV129" i="4"/>
  <c r="CO129" i="4"/>
  <c r="CH129" i="4"/>
  <c r="CD129" i="4"/>
  <c r="AR129" i="4"/>
  <c r="AK129" i="4"/>
  <c r="AD129" i="4"/>
  <c r="Z129" i="4"/>
  <c r="BB129" i="4"/>
  <c r="BT129" i="4"/>
  <c r="BF129" i="4"/>
  <c r="CD282" i="4"/>
  <c r="CY282" i="4"/>
  <c r="AI282" i="4"/>
  <c r="BK282" i="4"/>
  <c r="BB282" i="4"/>
  <c r="BW282" i="4"/>
  <c r="DM282" i="4"/>
  <c r="AP282" i="4"/>
  <c r="Z282" i="4"/>
  <c r="AU282" i="4"/>
  <c r="AG282" i="4"/>
  <c r="DV282" i="4"/>
  <c r="DJ282" i="4"/>
  <c r="EE282" i="4"/>
  <c r="DX282" i="4"/>
  <c r="CT282" i="4"/>
  <c r="CH282" i="4"/>
  <c r="DC282" i="4"/>
  <c r="CV282" i="4"/>
  <c r="CR282" i="4"/>
  <c r="BF282" i="4"/>
  <c r="CA282" i="4"/>
  <c r="BT282" i="4"/>
  <c r="CM282" i="4"/>
  <c r="AD282" i="4"/>
  <c r="AY282" i="4"/>
  <c r="AR282" i="4"/>
  <c r="CK282" i="4"/>
  <c r="DH282" i="4"/>
  <c r="EC282" i="4"/>
  <c r="DQ282" i="4"/>
  <c r="BR282" i="4"/>
  <c r="CF282" i="4"/>
  <c r="DA282" i="4"/>
  <c r="CO282" i="4"/>
  <c r="BP282" i="4"/>
  <c r="BD282" i="4"/>
  <c r="BY282" i="4"/>
  <c r="BM282" i="4"/>
  <c r="BI282" i="4"/>
  <c r="DF282" i="4"/>
  <c r="EA282" i="4"/>
  <c r="DO282" i="4"/>
  <c r="EE246" i="4"/>
  <c r="DX246" i="4"/>
  <c r="DM246" i="4"/>
  <c r="CY246" i="4"/>
  <c r="DC246" i="4"/>
  <c r="CM246" i="4"/>
  <c r="CD246" i="4"/>
  <c r="BM246" i="4"/>
  <c r="CA246" i="4"/>
  <c r="BD246" i="4"/>
  <c r="AP246" i="4"/>
  <c r="AD246" i="4"/>
  <c r="AY246" i="4"/>
  <c r="DV246" i="4"/>
  <c r="DJ246" i="4"/>
  <c r="CV246" i="4"/>
  <c r="EC246" i="4"/>
  <c r="CK246" i="4"/>
  <c r="BK246" i="4"/>
  <c r="DA246" i="4"/>
  <c r="BB246" i="4"/>
  <c r="AK246" i="4"/>
  <c r="AB246" i="4"/>
  <c r="BY246" i="4"/>
  <c r="DQ246" i="4"/>
  <c r="DH246" i="4"/>
  <c r="EA246" i="4"/>
  <c r="AW246" i="4"/>
  <c r="CH246" i="4"/>
  <c r="BT246" i="4"/>
  <c r="CT246" i="4"/>
  <c r="DT246" i="4"/>
  <c r="AU246" i="4"/>
  <c r="AI246" i="4"/>
  <c r="CO246" i="4"/>
  <c r="CR246" i="4"/>
  <c r="DO246" i="4"/>
  <c r="DF246" i="4"/>
  <c r="BI246" i="4"/>
  <c r="AN246" i="4"/>
  <c r="AR246" i="4"/>
  <c r="AG246" i="4"/>
  <c r="Z246" i="4"/>
  <c r="BP246" i="4"/>
  <c r="CF246" i="4"/>
  <c r="BR246" i="4"/>
  <c r="BF246" i="4"/>
  <c r="DA314" i="4"/>
  <c r="CT314" i="4"/>
  <c r="DH314" i="4"/>
  <c r="DJ314" i="4"/>
  <c r="BY314" i="4"/>
  <c r="BR314" i="4"/>
  <c r="CF314" i="4"/>
  <c r="BM314" i="4"/>
  <c r="AW314" i="4"/>
  <c r="AP314" i="4"/>
  <c r="BD314" i="4"/>
  <c r="CH314" i="4"/>
  <c r="DF314" i="4"/>
  <c r="EA314" i="4"/>
  <c r="DT314" i="4"/>
  <c r="AB314" i="4"/>
  <c r="CD314" i="4"/>
  <c r="CY314" i="4"/>
  <c r="CR314" i="4"/>
  <c r="BI314" i="4"/>
  <c r="BB314" i="4"/>
  <c r="BW314" i="4"/>
  <c r="BF314" i="4"/>
  <c r="Z314" i="4"/>
  <c r="AU314" i="4"/>
  <c r="AN314" i="4"/>
  <c r="AK314" i="4"/>
  <c r="EE314" i="4"/>
  <c r="DX314" i="4"/>
  <c r="DQ314" i="4"/>
  <c r="AG314" i="4"/>
  <c r="DC314" i="4"/>
  <c r="CV314" i="4"/>
  <c r="DO314" i="4"/>
  <c r="AD314" i="4"/>
  <c r="CA314" i="4"/>
  <c r="BT314" i="4"/>
  <c r="CM314" i="4"/>
  <c r="DM314" i="4"/>
  <c r="EC314" i="4"/>
  <c r="DV314" i="4"/>
  <c r="AI314" i="4"/>
  <c r="CK314" i="4"/>
  <c r="DA305" i="4"/>
  <c r="CT305" i="4"/>
  <c r="CF305" i="4"/>
  <c r="DJ305" i="4"/>
  <c r="BY305" i="4"/>
  <c r="BD305" i="4"/>
  <c r="BM305" i="4"/>
  <c r="AW305" i="4"/>
  <c r="AP305" i="4"/>
  <c r="AB305" i="4"/>
  <c r="CH305" i="4"/>
  <c r="DF305" i="4"/>
  <c r="EA305" i="4"/>
  <c r="DT305" i="4"/>
  <c r="BI305" i="4"/>
  <c r="CD305" i="4"/>
  <c r="CY305" i="4"/>
  <c r="CR305" i="4"/>
  <c r="BF305" i="4"/>
  <c r="BB305" i="4"/>
  <c r="BW305" i="4"/>
  <c r="BP305" i="4"/>
  <c r="AK305" i="4"/>
  <c r="Z305" i="4"/>
  <c r="AU305" i="4"/>
  <c r="AN305" i="4"/>
  <c r="AG305" i="4"/>
  <c r="EE305" i="4"/>
  <c r="DX305" i="4"/>
  <c r="DO305" i="4"/>
  <c r="AD305" i="4"/>
  <c r="DC305" i="4"/>
  <c r="CV305" i="4"/>
  <c r="CM305" i="4"/>
  <c r="DQ305" i="4"/>
  <c r="CA305" i="4"/>
  <c r="BT305" i="4"/>
  <c r="BK305" i="4"/>
  <c r="DM305" i="4"/>
  <c r="EC305" i="4"/>
  <c r="DV305" i="4"/>
  <c r="DH305" i="4"/>
  <c r="CK305" i="4"/>
  <c r="EC175" i="4"/>
  <c r="DV175" i="4"/>
  <c r="DO175" i="4"/>
  <c r="DH175" i="4"/>
  <c r="DA175" i="4"/>
  <c r="CT175" i="4"/>
  <c r="CM175" i="4"/>
  <c r="CF175" i="4"/>
  <c r="BY175" i="4"/>
  <c r="BR175" i="4"/>
  <c r="BK175" i="4"/>
  <c r="BD175" i="4"/>
  <c r="AW175" i="4"/>
  <c r="AP175" i="4"/>
  <c r="AI175" i="4"/>
  <c r="AB175" i="4"/>
  <c r="EA175" i="4"/>
  <c r="DT175" i="4"/>
  <c r="DM175" i="4"/>
  <c r="EE175" i="4"/>
  <c r="CY175" i="4"/>
  <c r="CR175" i="4"/>
  <c r="CK175" i="4"/>
  <c r="DC175" i="4"/>
  <c r="BW175" i="4"/>
  <c r="BP175" i="4"/>
  <c r="BI175" i="4"/>
  <c r="CA175" i="4"/>
  <c r="AU175" i="4"/>
  <c r="AN175" i="4"/>
  <c r="AG175" i="4"/>
  <c r="AY175" i="4"/>
  <c r="DX175" i="4"/>
  <c r="DQ175" i="4"/>
  <c r="DJ175" i="4"/>
  <c r="DF175" i="4"/>
  <c r="CV175" i="4"/>
  <c r="CO175" i="4"/>
  <c r="CH175" i="4"/>
  <c r="CD175" i="4"/>
  <c r="AR175" i="4"/>
  <c r="AK175" i="4"/>
  <c r="AD175" i="4"/>
  <c r="BT175" i="4"/>
  <c r="BM175" i="4"/>
  <c r="BF175" i="4"/>
  <c r="BB175" i="4"/>
  <c r="BI364" i="4"/>
  <c r="CA364" i="4"/>
  <c r="CY364" i="4"/>
  <c r="CT364" i="4"/>
  <c r="Z364" i="4"/>
  <c r="AU364" i="4"/>
  <c r="BR364" i="4"/>
  <c r="EA364" i="4"/>
  <c r="DT364" i="4"/>
  <c r="DF364" i="4"/>
  <c r="AK364" i="4"/>
  <c r="CV364" i="4"/>
  <c r="DJ364" i="4"/>
  <c r="CM364" i="4"/>
  <c r="BY364" i="4"/>
  <c r="DX364" i="4"/>
  <c r="CH364" i="4"/>
  <c r="BB364" i="4"/>
  <c r="AR364" i="4"/>
  <c r="CR364" i="4"/>
  <c r="BF364" i="4"/>
  <c r="DQ364" i="4"/>
  <c r="DC364" i="4"/>
  <c r="BK364" i="4"/>
  <c r="DH364" i="4"/>
  <c r="CK364" i="4"/>
  <c r="AD364" i="4"/>
  <c r="CF364" i="4"/>
  <c r="AY364" i="4"/>
  <c r="AP364" i="4"/>
  <c r="BP364" i="4"/>
  <c r="BD364" i="4"/>
  <c r="DO364" i="4"/>
  <c r="DA364" i="4"/>
  <c r="BM364" i="4"/>
  <c r="AB364" i="4"/>
  <c r="CD364" i="4"/>
  <c r="BT364" i="4"/>
  <c r="AI364" i="4"/>
  <c r="CO364" i="4"/>
  <c r="DM364" i="4"/>
  <c r="EE364" i="4"/>
  <c r="EC364" i="4"/>
  <c r="DF359" i="4"/>
  <c r="EA359" i="4"/>
  <c r="DT359" i="4"/>
  <c r="BI359" i="4"/>
  <c r="CA359" i="4"/>
  <c r="BT359" i="4"/>
  <c r="BM359" i="4"/>
  <c r="DM359" i="4"/>
  <c r="BY359" i="4"/>
  <c r="CR359" i="4"/>
  <c r="AG359" i="4"/>
  <c r="AW359" i="4"/>
  <c r="BP359" i="4"/>
  <c r="AD359" i="4"/>
  <c r="CY359" i="4"/>
  <c r="AN359" i="4"/>
  <c r="DO359" i="4"/>
  <c r="BW359" i="4"/>
  <c r="DQ359" i="4"/>
  <c r="DJ359" i="4"/>
  <c r="CD359" i="4"/>
  <c r="AU359" i="4"/>
  <c r="CO359" i="4"/>
  <c r="CM359" i="4"/>
  <c r="BB359" i="4"/>
  <c r="DX359" i="4"/>
  <c r="AK359" i="4"/>
  <c r="BK359" i="4"/>
  <c r="CV359" i="4"/>
  <c r="DH359" i="4"/>
  <c r="CH359" i="4"/>
  <c r="EE359" i="4"/>
  <c r="AR359" i="4"/>
  <c r="CF359" i="4"/>
  <c r="CK359" i="4"/>
  <c r="DC359" i="4"/>
  <c r="DV359" i="4"/>
  <c r="BD359" i="4"/>
  <c r="AY359" i="4"/>
  <c r="CT359" i="4"/>
  <c r="AB359" i="4"/>
  <c r="DA359" i="4"/>
  <c r="AP359" i="4"/>
  <c r="AI359" i="4"/>
  <c r="DF184" i="4"/>
  <c r="EA184" i="4"/>
  <c r="DT184" i="4"/>
  <c r="DM184" i="4"/>
  <c r="CD184" i="4"/>
  <c r="CY184" i="4"/>
  <c r="CR184" i="4"/>
  <c r="AG184" i="4"/>
  <c r="BB184" i="4"/>
  <c r="BW184" i="4"/>
  <c r="BP184" i="4"/>
  <c r="DJ184" i="4"/>
  <c r="Z184" i="4"/>
  <c r="AU184" i="4"/>
  <c r="AN184" i="4"/>
  <c r="AD184" i="4"/>
  <c r="EE184" i="4"/>
  <c r="DX184" i="4"/>
  <c r="DQ184" i="4"/>
  <c r="DH184" i="4"/>
  <c r="DC184" i="4"/>
  <c r="CV184" i="4"/>
  <c r="CO184" i="4"/>
  <c r="AB184" i="4"/>
  <c r="CA184" i="4"/>
  <c r="BM184" i="4"/>
  <c r="CM184" i="4"/>
  <c r="AY184" i="4"/>
  <c r="AR184" i="4"/>
  <c r="AK184" i="4"/>
  <c r="CK184" i="4"/>
  <c r="EC184" i="4"/>
  <c r="DV184" i="4"/>
  <c r="BF184" i="4"/>
  <c r="CH184" i="4"/>
  <c r="DA184" i="4"/>
  <c r="CT184" i="4"/>
  <c r="BD184" i="4"/>
  <c r="CF184" i="4"/>
  <c r="AW184" i="4"/>
  <c r="AP184" i="4"/>
  <c r="AI184" i="4"/>
  <c r="BK184" i="4"/>
  <c r="BY184" i="4"/>
  <c r="BR184" i="4"/>
  <c r="DO184" i="4"/>
  <c r="BI184" i="4"/>
  <c r="DF358" i="4"/>
  <c r="EA358" i="4"/>
  <c r="DT358" i="4"/>
  <c r="BF358" i="4"/>
  <c r="CD358" i="4"/>
  <c r="CY358" i="4"/>
  <c r="DQ358" i="4"/>
  <c r="AN358" i="4"/>
  <c r="BB358" i="4"/>
  <c r="BW358" i="4"/>
  <c r="CO358" i="4"/>
  <c r="DO358" i="4"/>
  <c r="Z358" i="4"/>
  <c r="AU358" i="4"/>
  <c r="BM358" i="4"/>
  <c r="AI358" i="4"/>
  <c r="EE358" i="4"/>
  <c r="DX358" i="4"/>
  <c r="AK358" i="4"/>
  <c r="DM358" i="4"/>
  <c r="DC358" i="4"/>
  <c r="CV358" i="4"/>
  <c r="DH358" i="4"/>
  <c r="AG358" i="4"/>
  <c r="CA358" i="4"/>
  <c r="BT358" i="4"/>
  <c r="CF358" i="4"/>
  <c r="DJ358" i="4"/>
  <c r="AY358" i="4"/>
  <c r="BD358" i="4"/>
  <c r="AD358" i="4"/>
  <c r="EC358" i="4"/>
  <c r="DV358" i="4"/>
  <c r="AB358" i="4"/>
  <c r="CR358" i="4"/>
  <c r="DA358" i="4"/>
  <c r="CT358" i="4"/>
  <c r="BP358" i="4"/>
  <c r="CH358" i="4"/>
  <c r="AW358" i="4"/>
  <c r="AP358" i="4"/>
  <c r="BI358" i="4"/>
  <c r="CK358" i="4"/>
  <c r="BY358" i="4"/>
  <c r="BR358" i="4"/>
  <c r="BK358" i="4"/>
  <c r="CM358" i="4"/>
  <c r="DC220" i="4"/>
  <c r="CV220" i="4"/>
  <c r="CM220" i="4"/>
  <c r="BI220" i="4"/>
  <c r="BT220" i="4"/>
  <c r="BK220" i="4"/>
  <c r="BF220" i="4"/>
  <c r="AY220" i="4"/>
  <c r="AR220" i="4"/>
  <c r="AI220" i="4"/>
  <c r="AN220" i="4"/>
  <c r="DH220" i="4"/>
  <c r="EC220" i="4"/>
  <c r="DV220" i="4"/>
  <c r="AG220" i="4"/>
  <c r="CF220" i="4"/>
  <c r="DA220" i="4"/>
  <c r="CT220" i="4"/>
  <c r="AD220" i="4"/>
  <c r="BD220" i="4"/>
  <c r="BY220" i="4"/>
  <c r="BR220" i="4"/>
  <c r="DT220" i="4"/>
  <c r="AB220" i="4"/>
  <c r="AW220" i="4"/>
  <c r="AP220" i="4"/>
  <c r="DM220" i="4"/>
  <c r="DF220" i="4"/>
  <c r="EA220" i="4"/>
  <c r="DQ220" i="4"/>
  <c r="DJ220" i="4"/>
  <c r="CD220" i="4"/>
  <c r="CY220" i="4"/>
  <c r="CO220" i="4"/>
  <c r="CR220" i="4"/>
  <c r="BB220" i="4"/>
  <c r="BW220" i="4"/>
  <c r="BM220" i="4"/>
  <c r="CK220" i="4"/>
  <c r="EE220" i="4"/>
  <c r="DX220" i="4"/>
  <c r="DO220" i="4"/>
  <c r="BP220" i="4"/>
  <c r="CV170" i="4"/>
  <c r="CO170" i="4"/>
  <c r="CH170" i="4"/>
  <c r="Z170" i="4"/>
  <c r="BT170" i="4"/>
  <c r="BM170" i="4"/>
  <c r="BF170" i="4"/>
  <c r="CD170" i="4"/>
  <c r="AR170" i="4"/>
  <c r="AK170" i="4"/>
  <c r="AD170" i="4"/>
  <c r="DF170" i="4"/>
  <c r="EC170" i="4"/>
  <c r="DV170" i="4"/>
  <c r="DO170" i="4"/>
  <c r="DH170" i="4"/>
  <c r="DA170" i="4"/>
  <c r="CT170" i="4"/>
  <c r="CM170" i="4"/>
  <c r="CF170" i="4"/>
  <c r="BY170" i="4"/>
  <c r="BR170" i="4"/>
  <c r="BK170" i="4"/>
  <c r="BD170" i="4"/>
  <c r="AW170" i="4"/>
  <c r="AP170" i="4"/>
  <c r="AI170" i="4"/>
  <c r="AB170" i="4"/>
  <c r="EA170" i="4"/>
  <c r="DT170" i="4"/>
  <c r="DM170" i="4"/>
  <c r="EE170" i="4"/>
  <c r="CY170" i="4"/>
  <c r="CR170" i="4"/>
  <c r="CK170" i="4"/>
  <c r="DC170" i="4"/>
  <c r="BW170" i="4"/>
  <c r="BP170" i="4"/>
  <c r="CA170" i="4"/>
  <c r="DX170" i="4"/>
  <c r="DQ170" i="4"/>
  <c r="DJ170" i="4"/>
  <c r="BB170" i="4"/>
  <c r="EC347" i="4"/>
  <c r="DV347" i="4"/>
  <c r="DO347" i="4"/>
  <c r="EE347" i="4"/>
  <c r="DA347" i="4"/>
  <c r="CT347" i="4"/>
  <c r="CM347" i="4"/>
  <c r="DC347" i="4"/>
  <c r="BY347" i="4"/>
  <c r="BR347" i="4"/>
  <c r="BK347" i="4"/>
  <c r="CA347" i="4"/>
  <c r="AW347" i="4"/>
  <c r="AP347" i="4"/>
  <c r="AI347" i="4"/>
  <c r="AY347" i="4"/>
  <c r="EA347" i="4"/>
  <c r="DT347" i="4"/>
  <c r="DM347" i="4"/>
  <c r="DH347" i="4"/>
  <c r="CY347" i="4"/>
  <c r="CR347" i="4"/>
  <c r="CK347" i="4"/>
  <c r="DF347" i="4"/>
  <c r="BW347" i="4"/>
  <c r="BP347" i="4"/>
  <c r="BI347" i="4"/>
  <c r="CF347" i="4"/>
  <c r="AU347" i="4"/>
  <c r="AN347" i="4"/>
  <c r="AG347" i="4"/>
  <c r="CD347" i="4"/>
  <c r="DX347" i="4"/>
  <c r="DQ347" i="4"/>
  <c r="DJ347" i="4"/>
  <c r="BD347" i="4"/>
  <c r="CV347" i="4"/>
  <c r="CH347" i="4"/>
  <c r="BB347" i="4"/>
  <c r="AR347" i="4"/>
  <c r="AK347" i="4"/>
  <c r="AD347" i="4"/>
  <c r="Z347" i="4"/>
  <c r="BT347" i="4"/>
  <c r="BM347" i="4"/>
  <c r="BF347" i="4"/>
  <c r="AB347" i="4"/>
  <c r="CD54" i="4"/>
  <c r="CY54" i="4"/>
  <c r="CK54" i="4"/>
  <c r="CT54" i="4"/>
  <c r="BB54" i="4"/>
  <c r="BW54" i="4"/>
  <c r="BI54" i="4"/>
  <c r="CO54" i="4"/>
  <c r="Z54" i="4"/>
  <c r="AU54" i="4"/>
  <c r="AG54" i="4"/>
  <c r="CM54" i="4"/>
  <c r="DJ54" i="4"/>
  <c r="EE54" i="4"/>
  <c r="DX54" i="4"/>
  <c r="BR54" i="4"/>
  <c r="CH54" i="4"/>
  <c r="DC54" i="4"/>
  <c r="CV54" i="4"/>
  <c r="BM54" i="4"/>
  <c r="BF54" i="4"/>
  <c r="CA54" i="4"/>
  <c r="BT54" i="4"/>
  <c r="BK54" i="4"/>
  <c r="AD54" i="4"/>
  <c r="AR54" i="4"/>
  <c r="AP54" i="4"/>
  <c r="DH54" i="4"/>
  <c r="EC54" i="4"/>
  <c r="DT54" i="4"/>
  <c r="AK54" i="4"/>
  <c r="CF54" i="4"/>
  <c r="DA54" i="4"/>
  <c r="CR54" i="4"/>
  <c r="AI54" i="4"/>
  <c r="BD54" i="4"/>
  <c r="BY54" i="4"/>
  <c r="BP54" i="4"/>
  <c r="DV54" i="4"/>
  <c r="DF54" i="4"/>
  <c r="EA54" i="4"/>
  <c r="DM54" i="4"/>
  <c r="DO54" i="4"/>
  <c r="BW39" i="4"/>
  <c r="CR39" i="4"/>
  <c r="CK39" i="4"/>
  <c r="Z39" i="4"/>
  <c r="EC39" i="4"/>
  <c r="CF39" i="4"/>
  <c r="AK39" i="4"/>
  <c r="AD39" i="4"/>
  <c r="AY39" i="4"/>
  <c r="DV39" i="4"/>
  <c r="BK39" i="4"/>
  <c r="BB39" i="4"/>
  <c r="AB39" i="4"/>
  <c r="CT39" i="4"/>
  <c r="AI39" i="4"/>
  <c r="DA39" i="4"/>
  <c r="BR39" i="4"/>
  <c r="DM39" i="4"/>
  <c r="BY39" i="4"/>
  <c r="AP39" i="4"/>
  <c r="BI39" i="4"/>
  <c r="AW39" i="4"/>
  <c r="DT39" i="4"/>
  <c r="AG39" i="4"/>
  <c r="EA39" i="4"/>
  <c r="DJ39" i="4"/>
  <c r="CY39" i="4"/>
  <c r="AN39" i="4"/>
  <c r="CH39" i="4"/>
  <c r="AU39" i="4"/>
  <c r="DQ39" i="4"/>
  <c r="BF39" i="4"/>
  <c r="DX39" i="4"/>
  <c r="CO39" i="4"/>
  <c r="DH39" i="4"/>
  <c r="EE39" i="4"/>
  <c r="CV39" i="4"/>
  <c r="BM39" i="4"/>
  <c r="BD39" i="4"/>
  <c r="CA39" i="4"/>
  <c r="AR39" i="4"/>
  <c r="CM39" i="4"/>
  <c r="CD39" i="4"/>
  <c r="DC39" i="4"/>
  <c r="BT39" i="4"/>
  <c r="DF39" i="4"/>
  <c r="EE24" i="4"/>
  <c r="AB24" i="4"/>
  <c r="CR24" i="4"/>
  <c r="CK24" i="4"/>
  <c r="DC24" i="4"/>
  <c r="DX24" i="4"/>
  <c r="BP24" i="4"/>
  <c r="AG24" i="4"/>
  <c r="CA24" i="4"/>
  <c r="CV24" i="4"/>
  <c r="AN24" i="4"/>
  <c r="CF24" i="4"/>
  <c r="AY24" i="4"/>
  <c r="BT24" i="4"/>
  <c r="DQ24" i="4"/>
  <c r="DJ24" i="4"/>
  <c r="EC24" i="4"/>
  <c r="AR24" i="4"/>
  <c r="CO24" i="4"/>
  <c r="CH24" i="4"/>
  <c r="DA24" i="4"/>
  <c r="BI24" i="4"/>
  <c r="BF24" i="4"/>
  <c r="BY24" i="4"/>
  <c r="BD24" i="4"/>
  <c r="AK24" i="4"/>
  <c r="AD24" i="4"/>
  <c r="AW24" i="4"/>
  <c r="DV24" i="4"/>
  <c r="DO24" i="4"/>
  <c r="DF24" i="4"/>
  <c r="EA24" i="4"/>
  <c r="CT24" i="4"/>
  <c r="CM24" i="4"/>
  <c r="CD24" i="4"/>
  <c r="CY24" i="4"/>
  <c r="BR24" i="4"/>
  <c r="BK24" i="4"/>
  <c r="BB24" i="4"/>
  <c r="AU24" i="4"/>
  <c r="DT24" i="4"/>
  <c r="DM24" i="4"/>
  <c r="DH24" i="4"/>
  <c r="BW24" i="4"/>
  <c r="AP24" i="4"/>
  <c r="AI24" i="4"/>
  <c r="Z24" i="4"/>
  <c r="EA20" i="4"/>
  <c r="BR20" i="4"/>
  <c r="CM20" i="4"/>
  <c r="BB20" i="4"/>
  <c r="CY20" i="4"/>
  <c r="AP20" i="4"/>
  <c r="BK20" i="4"/>
  <c r="Z20" i="4"/>
  <c r="BW20" i="4"/>
  <c r="DM20" i="4"/>
  <c r="AI20" i="4"/>
  <c r="BD20" i="4"/>
  <c r="EE20" i="4"/>
  <c r="AU20" i="4"/>
  <c r="DT20" i="4"/>
  <c r="BI20" i="4"/>
  <c r="DC20" i="4"/>
  <c r="DX20" i="4"/>
  <c r="CR20" i="4"/>
  <c r="AB20" i="4"/>
  <c r="CA20" i="4"/>
  <c r="CV20" i="4"/>
  <c r="BP20" i="4"/>
  <c r="DJ20" i="4"/>
  <c r="AY20" i="4"/>
  <c r="BT20" i="4"/>
  <c r="AN20" i="4"/>
  <c r="CH20" i="4"/>
  <c r="CF20" i="4"/>
  <c r="AR20" i="4"/>
  <c r="DQ20" i="4"/>
  <c r="BF20" i="4"/>
  <c r="EC20" i="4"/>
  <c r="CK20" i="4"/>
  <c r="CO20" i="4"/>
  <c r="AD20" i="4"/>
  <c r="DA20" i="4"/>
  <c r="AG20" i="4"/>
  <c r="DH20" i="4"/>
  <c r="AW20" i="4"/>
  <c r="CT20" i="4"/>
  <c r="DO20" i="4"/>
  <c r="CD20" i="4"/>
  <c r="AG293" i="4"/>
  <c r="CK263" i="4"/>
  <c r="CH230" i="4"/>
  <c r="BI195" i="4"/>
  <c r="AY150" i="4"/>
  <c r="CM107" i="4"/>
  <c r="DQ58" i="4"/>
  <c r="CD11" i="4"/>
  <c r="BM81" i="4"/>
  <c r="CH315" i="4"/>
  <c r="DT282" i="4"/>
  <c r="AK253" i="4"/>
  <c r="CH219" i="4"/>
  <c r="BF182" i="4"/>
  <c r="AY149" i="4"/>
  <c r="DQ105" i="4"/>
  <c r="CM67" i="4"/>
  <c r="DF33" i="4"/>
  <c r="DT273" i="4"/>
  <c r="CK271" i="4"/>
  <c r="DJ241" i="4"/>
  <c r="BI206" i="4"/>
  <c r="AY170" i="4"/>
  <c r="AY135" i="4"/>
  <c r="BM89" i="4"/>
  <c r="DQ44" i="4"/>
  <c r="AY139" i="4"/>
  <c r="Z331" i="4"/>
  <c r="AG291" i="4"/>
  <c r="CK260" i="4"/>
  <c r="CH228" i="4"/>
  <c r="AY159" i="4"/>
  <c r="CH119" i="4"/>
  <c r="DQ65" i="4"/>
  <c r="DF20" i="4"/>
  <c r="AG364" i="4"/>
  <c r="CH319" i="4"/>
  <c r="BF239" i="4"/>
  <c r="BI201" i="4"/>
  <c r="AY168" i="4"/>
  <c r="AY133" i="4"/>
  <c r="CM87" i="4"/>
  <c r="CM70" i="4"/>
  <c r="AP215" i="4"/>
  <c r="BT235" i="4"/>
  <c r="L291" i="4"/>
  <c r="GK291" i="4"/>
  <c r="HG291" i="4" s="1"/>
  <c r="HD291" i="4" s="1"/>
  <c r="CV134" i="4"/>
  <c r="CH134" i="4"/>
  <c r="Z134" i="4"/>
  <c r="BT134" i="4"/>
  <c r="BM134" i="4"/>
  <c r="BF134" i="4"/>
  <c r="CD134" i="4"/>
  <c r="AR134" i="4"/>
  <c r="AK134" i="4"/>
  <c r="AD134" i="4"/>
  <c r="DF134" i="4"/>
  <c r="EC134" i="4"/>
  <c r="DV134" i="4"/>
  <c r="DO134" i="4"/>
  <c r="DH134" i="4"/>
  <c r="DA134" i="4"/>
  <c r="CT134" i="4"/>
  <c r="CM134" i="4"/>
  <c r="CF134" i="4"/>
  <c r="BY134" i="4"/>
  <c r="BR134" i="4"/>
  <c r="BK134" i="4"/>
  <c r="BD134" i="4"/>
  <c r="AW134" i="4"/>
  <c r="AP134" i="4"/>
  <c r="AI134" i="4"/>
  <c r="AB134" i="4"/>
  <c r="EA134" i="4"/>
  <c r="DT134" i="4"/>
  <c r="DM134" i="4"/>
  <c r="EE134" i="4"/>
  <c r="CY134" i="4"/>
  <c r="CR134" i="4"/>
  <c r="CK134" i="4"/>
  <c r="DC134" i="4"/>
  <c r="BW134" i="4"/>
  <c r="BP134" i="4"/>
  <c r="BI134" i="4"/>
  <c r="CA134" i="4"/>
  <c r="DX134" i="4"/>
  <c r="DQ134" i="4"/>
  <c r="DJ134" i="4"/>
  <c r="BB134" i="4"/>
  <c r="DJ288" i="4"/>
  <c r="EE288" i="4"/>
  <c r="DX288" i="4"/>
  <c r="CT288" i="4"/>
  <c r="CH288" i="4"/>
  <c r="DC288" i="4"/>
  <c r="CV288" i="4"/>
  <c r="CR288" i="4"/>
  <c r="BF288" i="4"/>
  <c r="CA288" i="4"/>
  <c r="BT288" i="4"/>
  <c r="CM288" i="4"/>
  <c r="AD288" i="4"/>
  <c r="AY288" i="4"/>
  <c r="AR288" i="4"/>
  <c r="CK288" i="4"/>
  <c r="DH288" i="4"/>
  <c r="EC288" i="4"/>
  <c r="DQ288" i="4"/>
  <c r="CF288" i="4"/>
  <c r="DA288" i="4"/>
  <c r="CO288" i="4"/>
  <c r="BP288" i="4"/>
  <c r="BD288" i="4"/>
  <c r="BY288" i="4"/>
  <c r="BM288" i="4"/>
  <c r="BI288" i="4"/>
  <c r="AB288" i="4"/>
  <c r="AW288" i="4"/>
  <c r="AK288" i="4"/>
  <c r="DT288" i="4"/>
  <c r="DF288" i="4"/>
  <c r="EA288" i="4"/>
  <c r="DO288" i="4"/>
  <c r="AN288" i="4"/>
  <c r="CD288" i="4"/>
  <c r="CY288" i="4"/>
  <c r="AI288" i="4"/>
  <c r="DV288" i="4"/>
  <c r="Z288" i="4"/>
  <c r="AU288" i="4"/>
  <c r="AG288" i="4"/>
  <c r="AP288" i="4"/>
  <c r="BB288" i="4"/>
  <c r="BW288" i="4"/>
  <c r="DM288" i="4"/>
  <c r="BK288" i="4"/>
  <c r="CV146" i="4"/>
  <c r="CO146" i="4"/>
  <c r="CH146" i="4"/>
  <c r="CD146" i="4"/>
  <c r="BT146" i="4"/>
  <c r="BM146" i="4"/>
  <c r="BF146" i="4"/>
  <c r="BB146" i="4"/>
  <c r="AR146" i="4"/>
  <c r="AK146" i="4"/>
  <c r="AD146" i="4"/>
  <c r="Z146" i="4"/>
  <c r="EC146" i="4"/>
  <c r="DV146" i="4"/>
  <c r="DO146" i="4"/>
  <c r="DH146" i="4"/>
  <c r="DA146" i="4"/>
  <c r="CM146" i="4"/>
  <c r="CF146" i="4"/>
  <c r="BY146" i="4"/>
  <c r="BR146" i="4"/>
  <c r="BK146" i="4"/>
  <c r="BD146" i="4"/>
  <c r="AW146" i="4"/>
  <c r="AP146" i="4"/>
  <c r="AI146" i="4"/>
  <c r="AB146" i="4"/>
  <c r="EA146" i="4"/>
  <c r="DT146" i="4"/>
  <c r="DM146" i="4"/>
  <c r="EE146" i="4"/>
  <c r="CY146" i="4"/>
  <c r="CR146" i="4"/>
  <c r="CK146" i="4"/>
  <c r="DC146" i="4"/>
  <c r="BW146" i="4"/>
  <c r="BP146" i="4"/>
  <c r="BI146" i="4"/>
  <c r="CA146" i="4"/>
  <c r="DX146" i="4"/>
  <c r="DQ146" i="4"/>
  <c r="DJ146" i="4"/>
  <c r="DF146" i="4"/>
  <c r="DH238" i="4"/>
  <c r="EC238" i="4"/>
  <c r="DV238" i="4"/>
  <c r="DO238" i="4"/>
  <c r="CF238" i="4"/>
  <c r="DA238" i="4"/>
  <c r="CT238" i="4"/>
  <c r="CM238" i="4"/>
  <c r="BD238" i="4"/>
  <c r="BY238" i="4"/>
  <c r="BR238" i="4"/>
  <c r="BK238" i="4"/>
  <c r="BB238" i="4"/>
  <c r="BW238" i="4"/>
  <c r="BP238" i="4"/>
  <c r="DM238" i="4"/>
  <c r="Z238" i="4"/>
  <c r="AU238" i="4"/>
  <c r="AN238" i="4"/>
  <c r="DJ238" i="4"/>
  <c r="EE238" i="4"/>
  <c r="DX238" i="4"/>
  <c r="DQ238" i="4"/>
  <c r="CK238" i="4"/>
  <c r="CD238" i="4"/>
  <c r="CR238" i="4"/>
  <c r="DC238" i="4"/>
  <c r="CO238" i="4"/>
  <c r="BM238" i="4"/>
  <c r="AY238" i="4"/>
  <c r="AK238" i="4"/>
  <c r="AW238" i="4"/>
  <c r="AI238" i="4"/>
  <c r="EA238" i="4"/>
  <c r="AG238" i="4"/>
  <c r="CY238" i="4"/>
  <c r="AD238" i="4"/>
  <c r="CV238" i="4"/>
  <c r="CH238" i="4"/>
  <c r="BT238" i="4"/>
  <c r="BI238" i="4"/>
  <c r="AR238" i="4"/>
  <c r="BF238" i="4"/>
  <c r="DF238" i="4"/>
  <c r="DT238" i="4"/>
  <c r="DJ75" i="4"/>
  <c r="EE75" i="4"/>
  <c r="DX75" i="4"/>
  <c r="DM75" i="4"/>
  <c r="CH75" i="4"/>
  <c r="DC75" i="4"/>
  <c r="CV75" i="4"/>
  <c r="CK75" i="4"/>
  <c r="BF75" i="4"/>
  <c r="BT75" i="4"/>
  <c r="BI75" i="4"/>
  <c r="AD75" i="4"/>
  <c r="AY75" i="4"/>
  <c r="AR75" i="4"/>
  <c r="AG75" i="4"/>
  <c r="DH75" i="4"/>
  <c r="EC75" i="4"/>
  <c r="DV75" i="4"/>
  <c r="DQ75" i="4"/>
  <c r="CF75" i="4"/>
  <c r="DA75" i="4"/>
  <c r="CT75" i="4"/>
  <c r="DO75" i="4"/>
  <c r="BD75" i="4"/>
  <c r="BY75" i="4"/>
  <c r="BR75" i="4"/>
  <c r="CO75" i="4"/>
  <c r="AB75" i="4"/>
  <c r="AW75" i="4"/>
  <c r="AP75" i="4"/>
  <c r="CM75" i="4"/>
  <c r="DF75" i="4"/>
  <c r="EA75" i="4"/>
  <c r="DT75" i="4"/>
  <c r="BM75" i="4"/>
  <c r="CD75" i="4"/>
  <c r="CY75" i="4"/>
  <c r="CR75" i="4"/>
  <c r="BK75" i="4"/>
  <c r="Z75" i="4"/>
  <c r="AU75" i="4"/>
  <c r="AN75" i="4"/>
  <c r="AI75" i="4"/>
  <c r="BB75" i="4"/>
  <c r="BW75" i="4"/>
  <c r="BP75" i="4"/>
  <c r="AK75" i="4"/>
  <c r="DH214" i="4"/>
  <c r="EC214" i="4"/>
  <c r="DV214" i="4"/>
  <c r="DO214" i="4"/>
  <c r="CF214" i="4"/>
  <c r="DA214" i="4"/>
  <c r="CT214" i="4"/>
  <c r="BF214" i="4"/>
  <c r="BD214" i="4"/>
  <c r="BY214" i="4"/>
  <c r="BR214" i="4"/>
  <c r="DM214" i="4"/>
  <c r="AB214" i="4"/>
  <c r="AW214" i="4"/>
  <c r="AP214" i="4"/>
  <c r="AN214" i="4"/>
  <c r="DF214" i="4"/>
  <c r="EA214" i="4"/>
  <c r="CK214" i="4"/>
  <c r="DJ214" i="4"/>
  <c r="CD214" i="4"/>
  <c r="CY214" i="4"/>
  <c r="CH214" i="4"/>
  <c r="AK214" i="4"/>
  <c r="BB214" i="4"/>
  <c r="BW214" i="4"/>
  <c r="BP214" i="4"/>
  <c r="CR214" i="4"/>
  <c r="Z214" i="4"/>
  <c r="AU214" i="4"/>
  <c r="BM214" i="4"/>
  <c r="CO214" i="4"/>
  <c r="EE214" i="4"/>
  <c r="DX214" i="4"/>
  <c r="DT214" i="4"/>
  <c r="CM214" i="4"/>
  <c r="DC214" i="4"/>
  <c r="CV214" i="4"/>
  <c r="BK214" i="4"/>
  <c r="AI214" i="4"/>
  <c r="AY214" i="4"/>
  <c r="AR214" i="4"/>
  <c r="BI214" i="4"/>
  <c r="CA214" i="4"/>
  <c r="BT214" i="4"/>
  <c r="DQ214" i="4"/>
  <c r="AG214" i="4"/>
  <c r="X261" i="4"/>
  <c r="CY261" i="4"/>
  <c r="CR261" i="4"/>
  <c r="CD261" i="4"/>
  <c r="CF261" i="4"/>
  <c r="BW261" i="4"/>
  <c r="BP261" i="4"/>
  <c r="BB261" i="4"/>
  <c r="BI261" i="4"/>
  <c r="AU261" i="4"/>
  <c r="AN261" i="4"/>
  <c r="Z261" i="4"/>
  <c r="BF261" i="4"/>
  <c r="EE261" i="4"/>
  <c r="DX261" i="4"/>
  <c r="DQ261" i="4"/>
  <c r="BD261" i="4"/>
  <c r="DC261" i="4"/>
  <c r="CV261" i="4"/>
  <c r="CO261" i="4"/>
  <c r="AG261" i="4"/>
  <c r="CA261" i="4"/>
  <c r="BT261" i="4"/>
  <c r="BM261" i="4"/>
  <c r="AD261" i="4"/>
  <c r="AY261" i="4"/>
  <c r="AR261" i="4"/>
  <c r="AK261" i="4"/>
  <c r="AB261" i="4"/>
  <c r="EC261" i="4"/>
  <c r="DV261" i="4"/>
  <c r="DO261" i="4"/>
  <c r="DM261" i="4"/>
  <c r="DA261" i="4"/>
  <c r="CT261" i="4"/>
  <c r="CM261" i="4"/>
  <c r="DJ261" i="4"/>
  <c r="BY261" i="4"/>
  <c r="BK261" i="4"/>
  <c r="DH261" i="4"/>
  <c r="EA261" i="4"/>
  <c r="DT261" i="4"/>
  <c r="DF261" i="4"/>
  <c r="CH261" i="4"/>
  <c r="EE266" i="4"/>
  <c r="DX266" i="4"/>
  <c r="DQ266" i="4"/>
  <c r="BD266" i="4"/>
  <c r="DC266" i="4"/>
  <c r="CV266" i="4"/>
  <c r="CO266" i="4"/>
  <c r="AG266" i="4"/>
  <c r="CA266" i="4"/>
  <c r="BT266" i="4"/>
  <c r="BM266" i="4"/>
  <c r="AD266" i="4"/>
  <c r="AY266" i="4"/>
  <c r="AR266" i="4"/>
  <c r="AB266" i="4"/>
  <c r="EC266" i="4"/>
  <c r="DV266" i="4"/>
  <c r="DO266" i="4"/>
  <c r="DM266" i="4"/>
  <c r="DA266" i="4"/>
  <c r="CT266" i="4"/>
  <c r="CM266" i="4"/>
  <c r="DJ266" i="4"/>
  <c r="BY266" i="4"/>
  <c r="BR266" i="4"/>
  <c r="BK266" i="4"/>
  <c r="DH266" i="4"/>
  <c r="AW266" i="4"/>
  <c r="AP266" i="4"/>
  <c r="AI266" i="4"/>
  <c r="CK266" i="4"/>
  <c r="EA266" i="4"/>
  <c r="DT266" i="4"/>
  <c r="DF266" i="4"/>
  <c r="CH266" i="4"/>
  <c r="CY266" i="4"/>
  <c r="CR266" i="4"/>
  <c r="CD266" i="4"/>
  <c r="CF266" i="4"/>
  <c r="AU266" i="4"/>
  <c r="AN266" i="4"/>
  <c r="Z266" i="4"/>
  <c r="BF266" i="4"/>
  <c r="BW266" i="4"/>
  <c r="BP266" i="4"/>
  <c r="BB266" i="4"/>
  <c r="BI266" i="4"/>
  <c r="EC112" i="4"/>
  <c r="DO112" i="4"/>
  <c r="AG112" i="4"/>
  <c r="CY112" i="4"/>
  <c r="DA112" i="4"/>
  <c r="CM112" i="4"/>
  <c r="DJ112" i="4"/>
  <c r="BF112" i="4"/>
  <c r="BY112" i="4"/>
  <c r="BK112" i="4"/>
  <c r="BW112" i="4"/>
  <c r="CV112" i="4"/>
  <c r="AW112" i="4"/>
  <c r="AI112" i="4"/>
  <c r="AD112" i="4"/>
  <c r="BD112" i="4"/>
  <c r="DV112" i="4"/>
  <c r="DX112" i="4"/>
  <c r="DH112" i="4"/>
  <c r="EA112" i="4"/>
  <c r="CT112" i="4"/>
  <c r="CF112" i="4"/>
  <c r="BT112" i="4"/>
  <c r="BR112" i="4"/>
  <c r="AR112" i="4"/>
  <c r="AB112" i="4"/>
  <c r="AU112" i="4"/>
  <c r="AP112" i="4"/>
  <c r="DQ112" i="4"/>
  <c r="DF112" i="4"/>
  <c r="AY112" i="4"/>
  <c r="DT112" i="4"/>
  <c r="CD112" i="4"/>
  <c r="BM112" i="4"/>
  <c r="EE112" i="4"/>
  <c r="CR112" i="4"/>
  <c r="AK112" i="4"/>
  <c r="Z112" i="4"/>
  <c r="CO112" i="4"/>
  <c r="AN112" i="4"/>
  <c r="CA112" i="4"/>
  <c r="BI112" i="4"/>
  <c r="BB112" i="4"/>
  <c r="BP112" i="4"/>
  <c r="DM112" i="4"/>
  <c r="DC112" i="4"/>
  <c r="CK112" i="4"/>
  <c r="EE254" i="4"/>
  <c r="DX254" i="4"/>
  <c r="DQ254" i="4"/>
  <c r="AK254" i="4"/>
  <c r="DC254" i="4"/>
  <c r="CV254" i="4"/>
  <c r="CO254" i="4"/>
  <c r="AG254" i="4"/>
  <c r="BT254" i="4"/>
  <c r="BM254" i="4"/>
  <c r="AD254" i="4"/>
  <c r="AY254" i="4"/>
  <c r="AR254" i="4"/>
  <c r="DO254" i="4"/>
  <c r="DM254" i="4"/>
  <c r="EC254" i="4"/>
  <c r="DV254" i="4"/>
  <c r="CM254" i="4"/>
  <c r="AB254" i="4"/>
  <c r="DA254" i="4"/>
  <c r="CT254" i="4"/>
  <c r="BK254" i="4"/>
  <c r="DJ254" i="4"/>
  <c r="BY254" i="4"/>
  <c r="BR254" i="4"/>
  <c r="AI254" i="4"/>
  <c r="DH254" i="4"/>
  <c r="AW254" i="4"/>
  <c r="AP254" i="4"/>
  <c r="DF254" i="4"/>
  <c r="CK254" i="4"/>
  <c r="EA254" i="4"/>
  <c r="DT254" i="4"/>
  <c r="CD254" i="4"/>
  <c r="CH254" i="4"/>
  <c r="CY254" i="4"/>
  <c r="CR254" i="4"/>
  <c r="BB254" i="4"/>
  <c r="CF254" i="4"/>
  <c r="AU254" i="4"/>
  <c r="AN254" i="4"/>
  <c r="BD254" i="4"/>
  <c r="BF254" i="4"/>
  <c r="BW254" i="4"/>
  <c r="BP254" i="4"/>
  <c r="Z254" i="4"/>
  <c r="BI254" i="4"/>
  <c r="DC232" i="4"/>
  <c r="CV232" i="4"/>
  <c r="CM232" i="4"/>
  <c r="BI232" i="4"/>
  <c r="CA232" i="4"/>
  <c r="BT232" i="4"/>
  <c r="BK232" i="4"/>
  <c r="AN232" i="4"/>
  <c r="AY232" i="4"/>
  <c r="AR232" i="4"/>
  <c r="AI232" i="4"/>
  <c r="BF232" i="4"/>
  <c r="DH232" i="4"/>
  <c r="EC232" i="4"/>
  <c r="DV232" i="4"/>
  <c r="AG232" i="4"/>
  <c r="CF232" i="4"/>
  <c r="DA232" i="4"/>
  <c r="CT232" i="4"/>
  <c r="AD232" i="4"/>
  <c r="BD232" i="4"/>
  <c r="BR232" i="4"/>
  <c r="DT232" i="4"/>
  <c r="AB232" i="4"/>
  <c r="AW232" i="4"/>
  <c r="AP232" i="4"/>
  <c r="DM232" i="4"/>
  <c r="DF232" i="4"/>
  <c r="EA232" i="4"/>
  <c r="DQ232" i="4"/>
  <c r="DJ232" i="4"/>
  <c r="CD232" i="4"/>
  <c r="CY232" i="4"/>
  <c r="CO232" i="4"/>
  <c r="CR232" i="4"/>
  <c r="BB232" i="4"/>
  <c r="BW232" i="4"/>
  <c r="BM232" i="4"/>
  <c r="CK232" i="4"/>
  <c r="EE232" i="4"/>
  <c r="DX232" i="4"/>
  <c r="DO232" i="4"/>
  <c r="BP232" i="4"/>
  <c r="EC164" i="4"/>
  <c r="DV164" i="4"/>
  <c r="DO164" i="4"/>
  <c r="DH164" i="4"/>
  <c r="DA164" i="4"/>
  <c r="CT164" i="4"/>
  <c r="CM164" i="4"/>
  <c r="CF164" i="4"/>
  <c r="BY164" i="4"/>
  <c r="BR164" i="4"/>
  <c r="BK164" i="4"/>
  <c r="BD164" i="4"/>
  <c r="AW164" i="4"/>
  <c r="AP164" i="4"/>
  <c r="AI164" i="4"/>
  <c r="AB164" i="4"/>
  <c r="EA164" i="4"/>
  <c r="DT164" i="4"/>
  <c r="DM164" i="4"/>
  <c r="EE164" i="4"/>
  <c r="CY164" i="4"/>
  <c r="CR164" i="4"/>
  <c r="CK164" i="4"/>
  <c r="DC164" i="4"/>
  <c r="BW164" i="4"/>
  <c r="BP164" i="4"/>
  <c r="BI164" i="4"/>
  <c r="CA164" i="4"/>
  <c r="AU164" i="4"/>
  <c r="AN164" i="4"/>
  <c r="AG164" i="4"/>
  <c r="DX164" i="4"/>
  <c r="DQ164" i="4"/>
  <c r="DJ164" i="4"/>
  <c r="DF164" i="4"/>
  <c r="CV164" i="4"/>
  <c r="CO164" i="4"/>
  <c r="CH164" i="4"/>
  <c r="CD164" i="4"/>
  <c r="AR164" i="4"/>
  <c r="AK164" i="4"/>
  <c r="AD164" i="4"/>
  <c r="Z164" i="4"/>
  <c r="BT164" i="4"/>
  <c r="BM164" i="4"/>
  <c r="BF164" i="4"/>
  <c r="BB164" i="4"/>
  <c r="DJ272" i="4"/>
  <c r="EE272" i="4"/>
  <c r="DM272" i="4"/>
  <c r="DX272" i="4"/>
  <c r="CH272" i="4"/>
  <c r="DC272" i="4"/>
  <c r="BM272" i="4"/>
  <c r="CK272" i="4"/>
  <c r="BF272" i="4"/>
  <c r="CA272" i="4"/>
  <c r="DA272" i="4"/>
  <c r="DT272" i="4"/>
  <c r="AD272" i="4"/>
  <c r="AY272" i="4"/>
  <c r="BK272" i="4"/>
  <c r="BT272" i="4"/>
  <c r="DH272" i="4"/>
  <c r="EA272" i="4"/>
  <c r="CV272" i="4"/>
  <c r="AG272" i="4"/>
  <c r="CF272" i="4"/>
  <c r="CY272" i="4"/>
  <c r="BI272" i="4"/>
  <c r="AI272" i="4"/>
  <c r="BD272" i="4"/>
  <c r="BW272" i="4"/>
  <c r="CT272" i="4"/>
  <c r="EC272" i="4"/>
  <c r="AB272" i="4"/>
  <c r="AU272" i="4"/>
  <c r="AW272" i="4"/>
  <c r="DV272" i="4"/>
  <c r="DF272" i="4"/>
  <c r="DQ272" i="4"/>
  <c r="CR272" i="4"/>
  <c r="CM272" i="4"/>
  <c r="CD272" i="4"/>
  <c r="BR272" i="4"/>
  <c r="AR272" i="4"/>
  <c r="BY272" i="4"/>
  <c r="Z272" i="4"/>
  <c r="BP272" i="4"/>
  <c r="AK272" i="4"/>
  <c r="BB272" i="4"/>
  <c r="DO272" i="4"/>
  <c r="AN272" i="4"/>
  <c r="CO272" i="4"/>
  <c r="CV330" i="4"/>
  <c r="CO330" i="4"/>
  <c r="CH330" i="4"/>
  <c r="DF330" i="4"/>
  <c r="BT330" i="4"/>
  <c r="BM330" i="4"/>
  <c r="CF330" i="4"/>
  <c r="AB330" i="4"/>
  <c r="AR330" i="4"/>
  <c r="AK330" i="4"/>
  <c r="CD330" i="4"/>
  <c r="Z330" i="4"/>
  <c r="EC330" i="4"/>
  <c r="DV330" i="4"/>
  <c r="DO330" i="4"/>
  <c r="BI330" i="4"/>
  <c r="DA330" i="4"/>
  <c r="CT330" i="4"/>
  <c r="CM330" i="4"/>
  <c r="BF330" i="4"/>
  <c r="BY330" i="4"/>
  <c r="BR330" i="4"/>
  <c r="BK330" i="4"/>
  <c r="BD330" i="4"/>
  <c r="AW330" i="4"/>
  <c r="AP330" i="4"/>
  <c r="AI330" i="4"/>
  <c r="BB330" i="4"/>
  <c r="EA330" i="4"/>
  <c r="DT330" i="4"/>
  <c r="DJ330" i="4"/>
  <c r="AG330" i="4"/>
  <c r="CY330" i="4"/>
  <c r="CR330" i="4"/>
  <c r="EE330" i="4"/>
  <c r="DM330" i="4"/>
  <c r="BP330" i="4"/>
  <c r="DC330" i="4"/>
  <c r="AD330" i="4"/>
  <c r="DX330" i="4"/>
  <c r="DQ330" i="4"/>
  <c r="AY330" i="4"/>
  <c r="DH330" i="4"/>
  <c r="EC173" i="4"/>
  <c r="DV173" i="4"/>
  <c r="DO173" i="4"/>
  <c r="DH173" i="4"/>
  <c r="DA173" i="4"/>
  <c r="CT173" i="4"/>
  <c r="CM173" i="4"/>
  <c r="CF173" i="4"/>
  <c r="BY173" i="4"/>
  <c r="BR173" i="4"/>
  <c r="BK173" i="4"/>
  <c r="BD173" i="4"/>
  <c r="AW173" i="4"/>
  <c r="AP173" i="4"/>
  <c r="AI173" i="4"/>
  <c r="AB173" i="4"/>
  <c r="EA173" i="4"/>
  <c r="DT173" i="4"/>
  <c r="DM173" i="4"/>
  <c r="EE173" i="4"/>
  <c r="CY173" i="4"/>
  <c r="CR173" i="4"/>
  <c r="CK173" i="4"/>
  <c r="DC173" i="4"/>
  <c r="BW173" i="4"/>
  <c r="BP173" i="4"/>
  <c r="BI173" i="4"/>
  <c r="CA173" i="4"/>
  <c r="AU173" i="4"/>
  <c r="AN173" i="4"/>
  <c r="AG173" i="4"/>
  <c r="AY173" i="4"/>
  <c r="DX173" i="4"/>
  <c r="DQ173" i="4"/>
  <c r="DJ173" i="4"/>
  <c r="BB173" i="4"/>
  <c r="CV173" i="4"/>
  <c r="CO173" i="4"/>
  <c r="CH173" i="4"/>
  <c r="Z173" i="4"/>
  <c r="AR173" i="4"/>
  <c r="AK173" i="4"/>
  <c r="AD173" i="4"/>
  <c r="DF173" i="4"/>
  <c r="BM173" i="4"/>
  <c r="BF173" i="4"/>
  <c r="CD173" i="4"/>
  <c r="EC382" i="4"/>
  <c r="DV382" i="4"/>
  <c r="DO382" i="4"/>
  <c r="EE382" i="4"/>
  <c r="BW382" i="4"/>
  <c r="BP382" i="4"/>
  <c r="BI382" i="4"/>
  <c r="CF382" i="4"/>
  <c r="DA382" i="4"/>
  <c r="AP382" i="4"/>
  <c r="CK382" i="4"/>
  <c r="BD382" i="4"/>
  <c r="BY382" i="4"/>
  <c r="DT382" i="4"/>
  <c r="AG382" i="4"/>
  <c r="BB382" i="4"/>
  <c r="AW382" i="4"/>
  <c r="CR382" i="4"/>
  <c r="DJ382" i="4"/>
  <c r="AB382" i="4"/>
  <c r="EA382" i="4"/>
  <c r="AN382" i="4"/>
  <c r="CH382" i="4"/>
  <c r="Z382" i="4"/>
  <c r="CY382" i="4"/>
  <c r="DQ382" i="4"/>
  <c r="BF382" i="4"/>
  <c r="AU382" i="4"/>
  <c r="AD382" i="4"/>
  <c r="DX382" i="4"/>
  <c r="BM382" i="4"/>
  <c r="DC382" i="4"/>
  <c r="CV382" i="4"/>
  <c r="AK382" i="4"/>
  <c r="CA382" i="4"/>
  <c r="BT382" i="4"/>
  <c r="CM382" i="4"/>
  <c r="AY382" i="4"/>
  <c r="AR382" i="4"/>
  <c r="BK382" i="4"/>
  <c r="DH382" i="4"/>
  <c r="BR382" i="4"/>
  <c r="DM382" i="4"/>
  <c r="CD382" i="4"/>
  <c r="DA208" i="4"/>
  <c r="CT208" i="4"/>
  <c r="CM208" i="4"/>
  <c r="BD208" i="4"/>
  <c r="BY208" i="4"/>
  <c r="BR208" i="4"/>
  <c r="BK208" i="4"/>
  <c r="AD208" i="4"/>
  <c r="AW208" i="4"/>
  <c r="AP208" i="4"/>
  <c r="AI208" i="4"/>
  <c r="AG208" i="4"/>
  <c r="DF208" i="4"/>
  <c r="EA208" i="4"/>
  <c r="DT208" i="4"/>
  <c r="AB208" i="4"/>
  <c r="CD208" i="4"/>
  <c r="CY208" i="4"/>
  <c r="CR208" i="4"/>
  <c r="DM208" i="4"/>
  <c r="BB208" i="4"/>
  <c r="BW208" i="4"/>
  <c r="BP208" i="4"/>
  <c r="DJ208" i="4"/>
  <c r="Z208" i="4"/>
  <c r="AU208" i="4"/>
  <c r="AN208" i="4"/>
  <c r="DH208" i="4"/>
  <c r="EE208" i="4"/>
  <c r="DX208" i="4"/>
  <c r="DQ208" i="4"/>
  <c r="CK208" i="4"/>
  <c r="DC208" i="4"/>
  <c r="CV208" i="4"/>
  <c r="CO208" i="4"/>
  <c r="CH208" i="4"/>
  <c r="CA208" i="4"/>
  <c r="BT208" i="4"/>
  <c r="BM208" i="4"/>
  <c r="CF208" i="4"/>
  <c r="EC208" i="4"/>
  <c r="DV208" i="4"/>
  <c r="DO208" i="4"/>
  <c r="BF208" i="4"/>
  <c r="DF308" i="4"/>
  <c r="EA308" i="4"/>
  <c r="DT308" i="4"/>
  <c r="BI308" i="4"/>
  <c r="CD308" i="4"/>
  <c r="CY308" i="4"/>
  <c r="CR308" i="4"/>
  <c r="BF308" i="4"/>
  <c r="BB308" i="4"/>
  <c r="BW308" i="4"/>
  <c r="BP308" i="4"/>
  <c r="AK308" i="4"/>
  <c r="Z308" i="4"/>
  <c r="AU308" i="4"/>
  <c r="AN308" i="4"/>
  <c r="AG308" i="4"/>
  <c r="EE308" i="4"/>
  <c r="DX308" i="4"/>
  <c r="DO308" i="4"/>
  <c r="AD308" i="4"/>
  <c r="DC308" i="4"/>
  <c r="CV308" i="4"/>
  <c r="CM308" i="4"/>
  <c r="DQ308" i="4"/>
  <c r="CA308" i="4"/>
  <c r="BK308" i="4"/>
  <c r="DM308" i="4"/>
  <c r="AY308" i="4"/>
  <c r="AR308" i="4"/>
  <c r="AI308" i="4"/>
  <c r="CO308" i="4"/>
  <c r="EC308" i="4"/>
  <c r="DV308" i="4"/>
  <c r="DH308" i="4"/>
  <c r="CK308" i="4"/>
  <c r="DA308" i="4"/>
  <c r="CT308" i="4"/>
  <c r="CF308" i="4"/>
  <c r="DJ308" i="4"/>
  <c r="AW308" i="4"/>
  <c r="AP308" i="4"/>
  <c r="AB308" i="4"/>
  <c r="BM308" i="4"/>
  <c r="BY308" i="4"/>
  <c r="BR308" i="4"/>
  <c r="BD308" i="4"/>
  <c r="CH308" i="4"/>
  <c r="CV160" i="4"/>
  <c r="CO160" i="4"/>
  <c r="CH160" i="4"/>
  <c r="Z160" i="4"/>
  <c r="BT160" i="4"/>
  <c r="BM160" i="4"/>
  <c r="BF160" i="4"/>
  <c r="CD160" i="4"/>
  <c r="AR160" i="4"/>
  <c r="AK160" i="4"/>
  <c r="AD160" i="4"/>
  <c r="DF160" i="4"/>
  <c r="EC160" i="4"/>
  <c r="DV160" i="4"/>
  <c r="DO160" i="4"/>
  <c r="DH160" i="4"/>
  <c r="DA160" i="4"/>
  <c r="CT160" i="4"/>
  <c r="CM160" i="4"/>
  <c r="CF160" i="4"/>
  <c r="BY160" i="4"/>
  <c r="BR160" i="4"/>
  <c r="BK160" i="4"/>
  <c r="BD160" i="4"/>
  <c r="AW160" i="4"/>
  <c r="AP160" i="4"/>
  <c r="AI160" i="4"/>
  <c r="AB160" i="4"/>
  <c r="EA160" i="4"/>
  <c r="DT160" i="4"/>
  <c r="DM160" i="4"/>
  <c r="EE160" i="4"/>
  <c r="CY160" i="4"/>
  <c r="CR160" i="4"/>
  <c r="CK160" i="4"/>
  <c r="DC160" i="4"/>
  <c r="BW160" i="4"/>
  <c r="BP160" i="4"/>
  <c r="BI160" i="4"/>
  <c r="DX160" i="4"/>
  <c r="DQ160" i="4"/>
  <c r="DJ160" i="4"/>
  <c r="BB160" i="4"/>
  <c r="CY269" i="4"/>
  <c r="CR269" i="4"/>
  <c r="CD269" i="4"/>
  <c r="CF269" i="4"/>
  <c r="BW269" i="4"/>
  <c r="BP269" i="4"/>
  <c r="BB269" i="4"/>
  <c r="BI269" i="4"/>
  <c r="AU269" i="4"/>
  <c r="AN269" i="4"/>
  <c r="Z269" i="4"/>
  <c r="BF269" i="4"/>
  <c r="EE269" i="4"/>
  <c r="DX269" i="4"/>
  <c r="DQ269" i="4"/>
  <c r="BD269" i="4"/>
  <c r="DC269" i="4"/>
  <c r="CV269" i="4"/>
  <c r="CO269" i="4"/>
  <c r="AG269" i="4"/>
  <c r="CA269" i="4"/>
  <c r="BT269" i="4"/>
  <c r="BM269" i="4"/>
  <c r="AD269" i="4"/>
  <c r="AY269" i="4"/>
  <c r="AK269" i="4"/>
  <c r="AB269" i="4"/>
  <c r="EC269" i="4"/>
  <c r="DV269" i="4"/>
  <c r="DO269" i="4"/>
  <c r="DM269" i="4"/>
  <c r="DA269" i="4"/>
  <c r="CT269" i="4"/>
  <c r="CM269" i="4"/>
  <c r="DJ269" i="4"/>
  <c r="BY269" i="4"/>
  <c r="BR269" i="4"/>
  <c r="BK269" i="4"/>
  <c r="DH269" i="4"/>
  <c r="EA269" i="4"/>
  <c r="DT269" i="4"/>
  <c r="DF269" i="4"/>
  <c r="CH269" i="4"/>
  <c r="DA42" i="4"/>
  <c r="AY42" i="4"/>
  <c r="AK42" i="4"/>
  <c r="CR42" i="4"/>
  <c r="BY42" i="4"/>
  <c r="CK42" i="4"/>
  <c r="DQ42" i="4"/>
  <c r="BD42" i="4"/>
  <c r="EA42" i="4"/>
  <c r="AW42" i="4"/>
  <c r="BM42" i="4"/>
  <c r="Z42" i="4"/>
  <c r="DJ42" i="4"/>
  <c r="DX42" i="4"/>
  <c r="CD42" i="4"/>
  <c r="AI42" i="4"/>
  <c r="CH42" i="4"/>
  <c r="CV42" i="4"/>
  <c r="AU42" i="4"/>
  <c r="DO42" i="4"/>
  <c r="DH42" i="4"/>
  <c r="BT42" i="4"/>
  <c r="AB42" i="4"/>
  <c r="BK42" i="4"/>
  <c r="CF42" i="4"/>
  <c r="AR42" i="4"/>
  <c r="BW42" i="4"/>
  <c r="AG42" i="4"/>
  <c r="DF42" i="4"/>
  <c r="DT42" i="4"/>
  <c r="AP42" i="4"/>
  <c r="CY42" i="4"/>
  <c r="EE42" i="4"/>
  <c r="DM42" i="4"/>
  <c r="BR42" i="4"/>
  <c r="BI42" i="4"/>
  <c r="DC42" i="4"/>
  <c r="CO42" i="4"/>
  <c r="AN42" i="4"/>
  <c r="EC42" i="4"/>
  <c r="CM42" i="4"/>
  <c r="BP42" i="4"/>
  <c r="BF42" i="4"/>
  <c r="BW16" i="4"/>
  <c r="BR16" i="4"/>
  <c r="CM16" i="4"/>
  <c r="BD16" i="4"/>
  <c r="EE16" i="4"/>
  <c r="AU16" i="4"/>
  <c r="DC16" i="4"/>
  <c r="AG16" i="4"/>
  <c r="EC16" i="4"/>
  <c r="AR16" i="4"/>
  <c r="AB16" i="4"/>
  <c r="BF16" i="4"/>
  <c r="DA16" i="4"/>
  <c r="BY16" i="4"/>
  <c r="CY16" i="4"/>
  <c r="CA16" i="4"/>
  <c r="CT16" i="4"/>
  <c r="AI16" i="4"/>
  <c r="AY16" i="4"/>
  <c r="AP16" i="4"/>
  <c r="CK16" i="4"/>
  <c r="AW16" i="4"/>
  <c r="DT16" i="4"/>
  <c r="DJ16" i="4"/>
  <c r="EA16" i="4"/>
  <c r="CR16" i="4"/>
  <c r="CH16" i="4"/>
  <c r="CF16" i="4"/>
  <c r="BP16" i="4"/>
  <c r="AD16" i="4"/>
  <c r="DX16" i="4"/>
  <c r="AN16" i="4"/>
  <c r="DF16" i="4"/>
  <c r="CV16" i="4"/>
  <c r="DQ16" i="4"/>
  <c r="CD16" i="4"/>
  <c r="BT16" i="4"/>
  <c r="CO16" i="4"/>
  <c r="BB16" i="4"/>
  <c r="DM16" i="4"/>
  <c r="BM16" i="4"/>
  <c r="Z16" i="4"/>
  <c r="AK16" i="4"/>
  <c r="DV16" i="4"/>
  <c r="BK16" i="4"/>
  <c r="DH16" i="4"/>
  <c r="DO16" i="4"/>
  <c r="EE12" i="4"/>
  <c r="CK12" i="4"/>
  <c r="CR12" i="4"/>
  <c r="DH12" i="4"/>
  <c r="DC12" i="4"/>
  <c r="DX12" i="4"/>
  <c r="BP12" i="4"/>
  <c r="CM12" i="4"/>
  <c r="CA12" i="4"/>
  <c r="CV12" i="4"/>
  <c r="AN12" i="4"/>
  <c r="AG12" i="4"/>
  <c r="AY12" i="4"/>
  <c r="BT12" i="4"/>
  <c r="DO12" i="4"/>
  <c r="AB12" i="4"/>
  <c r="EC12" i="4"/>
  <c r="AR12" i="4"/>
  <c r="AI12" i="4"/>
  <c r="DJ12" i="4"/>
  <c r="DA12" i="4"/>
  <c r="BI12" i="4"/>
  <c r="DM12" i="4"/>
  <c r="CH12" i="4"/>
  <c r="BY12" i="4"/>
  <c r="DV12" i="4"/>
  <c r="BD12" i="4"/>
  <c r="BF12" i="4"/>
  <c r="AW12" i="4"/>
  <c r="CT12" i="4"/>
  <c r="DQ12" i="4"/>
  <c r="AD12" i="4"/>
  <c r="EA12" i="4"/>
  <c r="BR12" i="4"/>
  <c r="CO12" i="4"/>
  <c r="DF12" i="4"/>
  <c r="CY12" i="4"/>
  <c r="AP12" i="4"/>
  <c r="CD12" i="4"/>
  <c r="AU12" i="4"/>
  <c r="DT12" i="4"/>
  <c r="BK12" i="4"/>
  <c r="Z12" i="4"/>
  <c r="BW12" i="4"/>
  <c r="CF12" i="4"/>
  <c r="AK12" i="4"/>
  <c r="BB12" i="4"/>
  <c r="CY8" i="4"/>
  <c r="BR8" i="4"/>
  <c r="AK8" i="4"/>
  <c r="BB8" i="4"/>
  <c r="BW8" i="4"/>
  <c r="AP8" i="4"/>
  <c r="BK8" i="4"/>
  <c r="Z8" i="4"/>
  <c r="AU8" i="4"/>
  <c r="DM8" i="4"/>
  <c r="AB8" i="4"/>
  <c r="DH8" i="4"/>
  <c r="EE8" i="4"/>
  <c r="AG8" i="4"/>
  <c r="CF8" i="4"/>
  <c r="DO8" i="4"/>
  <c r="DC8" i="4"/>
  <c r="BD8" i="4"/>
  <c r="DT8" i="4"/>
  <c r="AI8" i="4"/>
  <c r="CA8" i="4"/>
  <c r="DX8" i="4"/>
  <c r="CR8" i="4"/>
  <c r="AY8" i="4"/>
  <c r="CV8" i="4"/>
  <c r="BP8" i="4"/>
  <c r="DJ8" i="4"/>
  <c r="AW8" i="4"/>
  <c r="BT8" i="4"/>
  <c r="AN8" i="4"/>
  <c r="CH8" i="4"/>
  <c r="EC8" i="4"/>
  <c r="AR8" i="4"/>
  <c r="CM8" i="4"/>
  <c r="BF8" i="4"/>
  <c r="DA8" i="4"/>
  <c r="CK8" i="4"/>
  <c r="DQ8" i="4"/>
  <c r="AD8" i="4"/>
  <c r="EA8" i="4"/>
  <c r="CT8" i="4"/>
  <c r="BM8" i="4"/>
  <c r="CD8" i="4"/>
  <c r="AK293" i="4"/>
  <c r="AI263" i="4"/>
  <c r="AK230" i="4"/>
  <c r="AG150" i="4"/>
  <c r="AP107" i="4"/>
  <c r="BM11" i="4"/>
  <c r="AP81" i="4"/>
  <c r="AK315" i="4"/>
  <c r="AK282" i="4"/>
  <c r="Z253" i="4"/>
  <c r="AK219" i="4"/>
  <c r="DH182" i="4"/>
  <c r="AG149" i="4"/>
  <c r="AP105" i="4"/>
  <c r="AP67" i="4"/>
  <c r="DO33" i="4"/>
  <c r="AW273" i="4"/>
  <c r="AI271" i="4"/>
  <c r="AN241" i="4"/>
  <c r="AK206" i="4"/>
  <c r="AG170" i="4"/>
  <c r="AG135" i="4"/>
  <c r="AP89" i="4"/>
  <c r="AN44" i="4"/>
  <c r="AG139" i="4"/>
  <c r="AD331" i="4"/>
  <c r="AK291" i="4"/>
  <c r="AI260" i="4"/>
  <c r="AG159" i="4"/>
  <c r="AG119" i="4"/>
  <c r="AP65" i="4"/>
  <c r="AK20" i="4"/>
  <c r="AN364" i="4"/>
  <c r="AI269" i="4"/>
  <c r="AN239" i="4"/>
  <c r="AK201" i="4"/>
  <c r="AG168" i="4"/>
  <c r="AP87" i="4"/>
  <c r="DV42" i="4"/>
  <c r="AP70" i="4"/>
  <c r="BR199" i="4"/>
  <c r="EA9" i="4"/>
  <c r="BR9" i="4"/>
  <c r="AI9" i="4"/>
  <c r="Z9" i="4"/>
  <c r="CY9" i="4"/>
  <c r="AP9" i="4"/>
  <c r="CF9" i="4"/>
  <c r="CM9" i="4"/>
  <c r="BW9" i="4"/>
  <c r="DT9" i="4"/>
  <c r="CK9" i="4"/>
  <c r="AG9" i="4"/>
  <c r="EE9" i="4"/>
  <c r="AU9" i="4"/>
  <c r="CR9" i="4"/>
  <c r="BD9" i="4"/>
  <c r="DC9" i="4"/>
  <c r="BP9" i="4"/>
  <c r="DJ9" i="4"/>
  <c r="CA9" i="4"/>
  <c r="DX9" i="4"/>
  <c r="AN9" i="4"/>
  <c r="CH9" i="4"/>
  <c r="AY9" i="4"/>
  <c r="CV9" i="4"/>
  <c r="BK9" i="4"/>
  <c r="BF9" i="4"/>
  <c r="AW9" i="4"/>
  <c r="BT9" i="4"/>
  <c r="AB9" i="4"/>
  <c r="AD9" i="4"/>
  <c r="DO9" i="4"/>
  <c r="AR9" i="4"/>
  <c r="DQ9" i="4"/>
  <c r="DH9" i="4"/>
  <c r="EC9" i="4"/>
  <c r="DM9" i="4"/>
  <c r="CO9" i="4"/>
  <c r="DF9" i="4"/>
  <c r="BY9" i="4"/>
  <c r="CT9" i="4"/>
  <c r="AK9" i="4"/>
  <c r="BB9" i="4"/>
  <c r="L297" i="4"/>
  <c r="GK297" i="4"/>
  <c r="HG297" i="4" s="1"/>
  <c r="HD297" i="4" s="1"/>
  <c r="CD102" i="4"/>
  <c r="CY102" i="4"/>
  <c r="CR102" i="4"/>
  <c r="CO102" i="4"/>
  <c r="BB102" i="4"/>
  <c r="BW102" i="4"/>
  <c r="BP102" i="4"/>
  <c r="CM102" i="4"/>
  <c r="Z102" i="4"/>
  <c r="AU102" i="4"/>
  <c r="AN102" i="4"/>
  <c r="BM102" i="4"/>
  <c r="DJ102" i="4"/>
  <c r="EE102" i="4"/>
  <c r="DX102" i="4"/>
  <c r="DM102" i="4"/>
  <c r="CH102" i="4"/>
  <c r="DC102" i="4"/>
  <c r="CV102" i="4"/>
  <c r="CK102" i="4"/>
  <c r="BF102" i="4"/>
  <c r="CA102" i="4"/>
  <c r="BI102" i="4"/>
  <c r="AD102" i="4"/>
  <c r="AY102" i="4"/>
  <c r="AR102" i="4"/>
  <c r="AG102" i="4"/>
  <c r="DH102" i="4"/>
  <c r="EC102" i="4"/>
  <c r="DV102" i="4"/>
  <c r="BK102" i="4"/>
  <c r="CF102" i="4"/>
  <c r="DA102" i="4"/>
  <c r="CT102" i="4"/>
  <c r="AK102" i="4"/>
  <c r="BD102" i="4"/>
  <c r="BY102" i="4"/>
  <c r="BR102" i="4"/>
  <c r="AI102" i="4"/>
  <c r="DF102" i="4"/>
  <c r="EA102" i="4"/>
  <c r="DT102" i="4"/>
  <c r="DO102" i="4"/>
  <c r="DJ276" i="4"/>
  <c r="EE276" i="4"/>
  <c r="DX276" i="4"/>
  <c r="CT276" i="4"/>
  <c r="CH276" i="4"/>
  <c r="DC276" i="4"/>
  <c r="CV276" i="4"/>
  <c r="CR276" i="4"/>
  <c r="BF276" i="4"/>
  <c r="CA276" i="4"/>
  <c r="BT276" i="4"/>
  <c r="CM276" i="4"/>
  <c r="AD276" i="4"/>
  <c r="AY276" i="4"/>
  <c r="AR276" i="4"/>
  <c r="CK276" i="4"/>
  <c r="DH276" i="4"/>
  <c r="EC276" i="4"/>
  <c r="DQ276" i="4"/>
  <c r="BR276" i="4"/>
  <c r="CF276" i="4"/>
  <c r="DA276" i="4"/>
  <c r="CO276" i="4"/>
  <c r="BP276" i="4"/>
  <c r="BD276" i="4"/>
  <c r="BY276" i="4"/>
  <c r="BM276" i="4"/>
  <c r="BI276" i="4"/>
  <c r="AB276" i="4"/>
  <c r="AW276" i="4"/>
  <c r="AK276" i="4"/>
  <c r="DT276" i="4"/>
  <c r="DF276" i="4"/>
  <c r="EA276" i="4"/>
  <c r="DO276" i="4"/>
  <c r="AN276" i="4"/>
  <c r="CD276" i="4"/>
  <c r="CY276" i="4"/>
  <c r="AI276" i="4"/>
  <c r="DV276" i="4"/>
  <c r="Z276" i="4"/>
  <c r="AU276" i="4"/>
  <c r="AG276" i="4"/>
  <c r="AP276" i="4"/>
  <c r="BK276" i="4"/>
  <c r="BB276" i="4"/>
  <c r="CV133" i="4"/>
  <c r="CH133" i="4"/>
  <c r="CD133" i="4"/>
  <c r="BT133" i="4"/>
  <c r="BM133" i="4"/>
  <c r="BF133" i="4"/>
  <c r="BB133" i="4"/>
  <c r="AR133" i="4"/>
  <c r="AK133" i="4"/>
  <c r="AD133" i="4"/>
  <c r="Z133" i="4"/>
  <c r="EC133" i="4"/>
  <c r="DV133" i="4"/>
  <c r="DO133" i="4"/>
  <c r="DH133" i="4"/>
  <c r="DA133" i="4"/>
  <c r="CT133" i="4"/>
  <c r="CM133" i="4"/>
  <c r="CF133" i="4"/>
  <c r="BY133" i="4"/>
  <c r="BR133" i="4"/>
  <c r="BK133" i="4"/>
  <c r="BD133" i="4"/>
  <c r="AW133" i="4"/>
  <c r="AP133" i="4"/>
  <c r="AI133" i="4"/>
  <c r="AB133" i="4"/>
  <c r="EA133" i="4"/>
  <c r="DT133" i="4"/>
  <c r="DM133" i="4"/>
  <c r="EE133" i="4"/>
  <c r="CY133" i="4"/>
  <c r="CR133" i="4"/>
  <c r="CK133" i="4"/>
  <c r="DC133" i="4"/>
  <c r="BW133" i="4"/>
  <c r="BP133" i="4"/>
  <c r="BI133" i="4"/>
  <c r="CA133" i="4"/>
  <c r="DX133" i="4"/>
  <c r="DQ133" i="4"/>
  <c r="DJ133" i="4"/>
  <c r="DF133" i="4"/>
  <c r="DF301" i="4"/>
  <c r="AD301" i="4"/>
  <c r="DJ301" i="4"/>
  <c r="CO301" i="4"/>
  <c r="DX301" i="4"/>
  <c r="CD301" i="4"/>
  <c r="DA301" i="4"/>
  <c r="BR301" i="4"/>
  <c r="CY301" i="4"/>
  <c r="Z301" i="4"/>
  <c r="DV301" i="4"/>
  <c r="DM301" i="4"/>
  <c r="AN301" i="4"/>
  <c r="CT301" i="4"/>
  <c r="CA301" i="4"/>
  <c r="BM301" i="4"/>
  <c r="DT301" i="4"/>
  <c r="AY301" i="4"/>
  <c r="AK301" i="4"/>
  <c r="CH301" i="4"/>
  <c r="BY301" i="4"/>
  <c r="CV301" i="4"/>
  <c r="BF301" i="4"/>
  <c r="AW301" i="4"/>
  <c r="CM301" i="4"/>
  <c r="DQ301" i="4"/>
  <c r="DH301" i="4"/>
  <c r="CK301" i="4"/>
  <c r="CF301" i="4"/>
  <c r="BW301" i="4"/>
  <c r="BK301" i="4"/>
  <c r="EE301" i="4"/>
  <c r="BD301" i="4"/>
  <c r="AU301" i="4"/>
  <c r="BI301" i="4"/>
  <c r="DC301" i="4"/>
  <c r="AB301" i="4"/>
  <c r="BT301" i="4"/>
  <c r="AP301" i="4"/>
  <c r="EA301" i="4"/>
  <c r="BB301" i="4"/>
  <c r="CR301" i="4"/>
  <c r="AI301" i="4"/>
  <c r="DJ64" i="4"/>
  <c r="EE64" i="4"/>
  <c r="DX64" i="4"/>
  <c r="DM64" i="4"/>
  <c r="CH64" i="4"/>
  <c r="DC64" i="4"/>
  <c r="CV64" i="4"/>
  <c r="CK64" i="4"/>
  <c r="BF64" i="4"/>
  <c r="CA64" i="4"/>
  <c r="BT64" i="4"/>
  <c r="BI64" i="4"/>
  <c r="AD64" i="4"/>
  <c r="AY64" i="4"/>
  <c r="AR64" i="4"/>
  <c r="AG64" i="4"/>
  <c r="DH64" i="4"/>
  <c r="EC64" i="4"/>
  <c r="DV64" i="4"/>
  <c r="DO64" i="4"/>
  <c r="CF64" i="4"/>
  <c r="DA64" i="4"/>
  <c r="CT64" i="4"/>
  <c r="CO64" i="4"/>
  <c r="BD64" i="4"/>
  <c r="BY64" i="4"/>
  <c r="BR64" i="4"/>
  <c r="CM64" i="4"/>
  <c r="AB64" i="4"/>
  <c r="AW64" i="4"/>
  <c r="AP64" i="4"/>
  <c r="DF64" i="4"/>
  <c r="EA64" i="4"/>
  <c r="DT64" i="4"/>
  <c r="BK64" i="4"/>
  <c r="CD64" i="4"/>
  <c r="CY64" i="4"/>
  <c r="CR64" i="4"/>
  <c r="AK64" i="4"/>
  <c r="Z64" i="4"/>
  <c r="AU64" i="4"/>
  <c r="AN64" i="4"/>
  <c r="BB64" i="4"/>
  <c r="BW64" i="4"/>
  <c r="BP64" i="4"/>
  <c r="AI64" i="4"/>
  <c r="DF189" i="4"/>
  <c r="EA189" i="4"/>
  <c r="DT189" i="4"/>
  <c r="AB189" i="4"/>
  <c r="CD189" i="4"/>
  <c r="CY189" i="4"/>
  <c r="CR189" i="4"/>
  <c r="DM189" i="4"/>
  <c r="BB189" i="4"/>
  <c r="BW189" i="4"/>
  <c r="BP189" i="4"/>
  <c r="DJ189" i="4"/>
  <c r="Z189" i="4"/>
  <c r="AU189" i="4"/>
  <c r="AN189" i="4"/>
  <c r="DH189" i="4"/>
  <c r="EE189" i="4"/>
  <c r="DX189" i="4"/>
  <c r="DQ189" i="4"/>
  <c r="CK189" i="4"/>
  <c r="DC189" i="4"/>
  <c r="CV189" i="4"/>
  <c r="CO189" i="4"/>
  <c r="CH189" i="4"/>
  <c r="BT189" i="4"/>
  <c r="BM189" i="4"/>
  <c r="CF189" i="4"/>
  <c r="AY189" i="4"/>
  <c r="AR189" i="4"/>
  <c r="AK189" i="4"/>
  <c r="BI189" i="4"/>
  <c r="EC189" i="4"/>
  <c r="DV189" i="4"/>
  <c r="DO189" i="4"/>
  <c r="BF189" i="4"/>
  <c r="DA189" i="4"/>
  <c r="CT189" i="4"/>
  <c r="CM189" i="4"/>
  <c r="BD189" i="4"/>
  <c r="AW189" i="4"/>
  <c r="AP189" i="4"/>
  <c r="AI189" i="4"/>
  <c r="AG189" i="4"/>
  <c r="BY189" i="4"/>
  <c r="BR189" i="4"/>
  <c r="BK189" i="4"/>
  <c r="AD189" i="4"/>
  <c r="CV171" i="4"/>
  <c r="CO171" i="4"/>
  <c r="CH171" i="4"/>
  <c r="CD171" i="4"/>
  <c r="BT171" i="4"/>
  <c r="BM171" i="4"/>
  <c r="BF171" i="4"/>
  <c r="BB171" i="4"/>
  <c r="AR171" i="4"/>
  <c r="AK171" i="4"/>
  <c r="AD171" i="4"/>
  <c r="Z171" i="4"/>
  <c r="EC171" i="4"/>
  <c r="DV171" i="4"/>
  <c r="DO171" i="4"/>
  <c r="DH171" i="4"/>
  <c r="DA171" i="4"/>
  <c r="CT171" i="4"/>
  <c r="CM171" i="4"/>
  <c r="CF171" i="4"/>
  <c r="BR171" i="4"/>
  <c r="BK171" i="4"/>
  <c r="BD171" i="4"/>
  <c r="AW171" i="4"/>
  <c r="AP171" i="4"/>
  <c r="AI171" i="4"/>
  <c r="AB171" i="4"/>
  <c r="EA171" i="4"/>
  <c r="DT171" i="4"/>
  <c r="DM171" i="4"/>
  <c r="EE171" i="4"/>
  <c r="CY171" i="4"/>
  <c r="CR171" i="4"/>
  <c r="CK171" i="4"/>
  <c r="DC171" i="4"/>
  <c r="BW171" i="4"/>
  <c r="BP171" i="4"/>
  <c r="BI171" i="4"/>
  <c r="CA171" i="4"/>
  <c r="DX171" i="4"/>
  <c r="DQ171" i="4"/>
  <c r="DJ171" i="4"/>
  <c r="DF171" i="4"/>
  <c r="EE256" i="4"/>
  <c r="DX256" i="4"/>
  <c r="DQ256" i="4"/>
  <c r="BD256" i="4"/>
  <c r="DC256" i="4"/>
  <c r="CV256" i="4"/>
  <c r="CO256" i="4"/>
  <c r="AG256" i="4"/>
  <c r="CA256" i="4"/>
  <c r="BM256" i="4"/>
  <c r="AD256" i="4"/>
  <c r="AY256" i="4"/>
  <c r="AR256" i="4"/>
  <c r="AK256" i="4"/>
  <c r="AB256" i="4"/>
  <c r="EC256" i="4"/>
  <c r="DV256" i="4"/>
  <c r="DO256" i="4"/>
  <c r="DM256" i="4"/>
  <c r="DA256" i="4"/>
  <c r="CT256" i="4"/>
  <c r="CM256" i="4"/>
  <c r="DJ256" i="4"/>
  <c r="BY256" i="4"/>
  <c r="BR256" i="4"/>
  <c r="BK256" i="4"/>
  <c r="DH256" i="4"/>
  <c r="AW256" i="4"/>
  <c r="AP256" i="4"/>
  <c r="AI256" i="4"/>
  <c r="CK256" i="4"/>
  <c r="EA256" i="4"/>
  <c r="DT256" i="4"/>
  <c r="DF256" i="4"/>
  <c r="CH256" i="4"/>
  <c r="CY256" i="4"/>
  <c r="CR256" i="4"/>
  <c r="CD256" i="4"/>
  <c r="CF256" i="4"/>
  <c r="AU256" i="4"/>
  <c r="AN256" i="4"/>
  <c r="Z256" i="4"/>
  <c r="BF256" i="4"/>
  <c r="BW256" i="4"/>
  <c r="BP256" i="4"/>
  <c r="BI256" i="4"/>
  <c r="BB256" i="4"/>
  <c r="Z98" i="4"/>
  <c r="AU98" i="4"/>
  <c r="CF98" i="4"/>
  <c r="DA98" i="4"/>
  <c r="CT98" i="4"/>
  <c r="DF98" i="4"/>
  <c r="BW98" i="4"/>
  <c r="DM98" i="4"/>
  <c r="CD98" i="4"/>
  <c r="DX98" i="4"/>
  <c r="CK98" i="4"/>
  <c r="BB98" i="4"/>
  <c r="CV98" i="4"/>
  <c r="BI98" i="4"/>
  <c r="EE98" i="4"/>
  <c r="BT98" i="4"/>
  <c r="AG98" i="4"/>
  <c r="DC98" i="4"/>
  <c r="AR98" i="4"/>
  <c r="DQ98" i="4"/>
  <c r="DJ98" i="4"/>
  <c r="CA98" i="4"/>
  <c r="DV98" i="4"/>
  <c r="DO98" i="4"/>
  <c r="CH98" i="4"/>
  <c r="AY98" i="4"/>
  <c r="BR98" i="4"/>
  <c r="CO98" i="4"/>
  <c r="BF98" i="4"/>
  <c r="EC98" i="4"/>
  <c r="AI98" i="4"/>
  <c r="AD98" i="4"/>
  <c r="BY98" i="4"/>
  <c r="DT98" i="4"/>
  <c r="CM98" i="4"/>
  <c r="DH98" i="4"/>
  <c r="AW98" i="4"/>
  <c r="CR98" i="4"/>
  <c r="BM98" i="4"/>
  <c r="AB98" i="4"/>
  <c r="CY98" i="4"/>
  <c r="AN98" i="4"/>
  <c r="AK98" i="4"/>
  <c r="BD98" i="4"/>
  <c r="EA98" i="4"/>
  <c r="BP98" i="4"/>
  <c r="BK98" i="4"/>
  <c r="EC152" i="4"/>
  <c r="DV152" i="4"/>
  <c r="DO152" i="4"/>
  <c r="DH152" i="4"/>
  <c r="DA152" i="4"/>
  <c r="CT152" i="4"/>
  <c r="CM152" i="4"/>
  <c r="CF152" i="4"/>
  <c r="BY152" i="4"/>
  <c r="BR152" i="4"/>
  <c r="BK152" i="4"/>
  <c r="AW152" i="4"/>
  <c r="AP152" i="4"/>
  <c r="AI152" i="4"/>
  <c r="AB152" i="4"/>
  <c r="EA152" i="4"/>
  <c r="DT152" i="4"/>
  <c r="DM152" i="4"/>
  <c r="EE152" i="4"/>
  <c r="CY152" i="4"/>
  <c r="CR152" i="4"/>
  <c r="CK152" i="4"/>
  <c r="DC152" i="4"/>
  <c r="BW152" i="4"/>
  <c r="BP152" i="4"/>
  <c r="BI152" i="4"/>
  <c r="CA152" i="4"/>
  <c r="AU152" i="4"/>
  <c r="AN152" i="4"/>
  <c r="AG152" i="4"/>
  <c r="AY152" i="4"/>
  <c r="DX152" i="4"/>
  <c r="DQ152" i="4"/>
  <c r="DJ152" i="4"/>
  <c r="DF152" i="4"/>
  <c r="CV152" i="4"/>
  <c r="CO152" i="4"/>
  <c r="CH152" i="4"/>
  <c r="CD152" i="4"/>
  <c r="AR152" i="4"/>
  <c r="AK152" i="4"/>
  <c r="AD152" i="4"/>
  <c r="Z152" i="4"/>
  <c r="BT152" i="4"/>
  <c r="BM152" i="4"/>
  <c r="BF152" i="4"/>
  <c r="BB152" i="4"/>
  <c r="DH224" i="4"/>
  <c r="EC224" i="4"/>
  <c r="DV224" i="4"/>
  <c r="AG224" i="4"/>
  <c r="CF224" i="4"/>
  <c r="DA224" i="4"/>
  <c r="CT224" i="4"/>
  <c r="AD224" i="4"/>
  <c r="BD224" i="4"/>
  <c r="BY224" i="4"/>
  <c r="BR224" i="4"/>
  <c r="DT224" i="4"/>
  <c r="AB224" i="4"/>
  <c r="AW224" i="4"/>
  <c r="DM224" i="4"/>
  <c r="DF224" i="4"/>
  <c r="EA224" i="4"/>
  <c r="DQ224" i="4"/>
  <c r="DJ224" i="4"/>
  <c r="CD224" i="4"/>
  <c r="CY224" i="4"/>
  <c r="CO224" i="4"/>
  <c r="CR224" i="4"/>
  <c r="BB224" i="4"/>
  <c r="BW224" i="4"/>
  <c r="BM224" i="4"/>
  <c r="CK224" i="4"/>
  <c r="Z224" i="4"/>
  <c r="AU224" i="4"/>
  <c r="AK224" i="4"/>
  <c r="CH224" i="4"/>
  <c r="EE224" i="4"/>
  <c r="DX224" i="4"/>
  <c r="DO224" i="4"/>
  <c r="BP224" i="4"/>
  <c r="DC224" i="4"/>
  <c r="CV224" i="4"/>
  <c r="CM224" i="4"/>
  <c r="BI224" i="4"/>
  <c r="AY224" i="4"/>
  <c r="AR224" i="4"/>
  <c r="AI224" i="4"/>
  <c r="AN224" i="4"/>
  <c r="CA224" i="4"/>
  <c r="BT224" i="4"/>
  <c r="BF224" i="4"/>
  <c r="BK224" i="4"/>
  <c r="DF185" i="4"/>
  <c r="EA185" i="4"/>
  <c r="DT185" i="4"/>
  <c r="CM185" i="4"/>
  <c r="CD185" i="4"/>
  <c r="CY185" i="4"/>
  <c r="CR185" i="4"/>
  <c r="CK185" i="4"/>
  <c r="BB185" i="4"/>
  <c r="BW185" i="4"/>
  <c r="BP185" i="4"/>
  <c r="CH185" i="4"/>
  <c r="Z185" i="4"/>
  <c r="AU185" i="4"/>
  <c r="AN185" i="4"/>
  <c r="CF185" i="4"/>
  <c r="EE185" i="4"/>
  <c r="DX185" i="4"/>
  <c r="DQ185" i="4"/>
  <c r="BK185" i="4"/>
  <c r="DC185" i="4"/>
  <c r="CV185" i="4"/>
  <c r="CO185" i="4"/>
  <c r="BI185" i="4"/>
  <c r="CA185" i="4"/>
  <c r="BM185" i="4"/>
  <c r="BF185" i="4"/>
  <c r="AY185" i="4"/>
  <c r="AR185" i="4"/>
  <c r="AK185" i="4"/>
  <c r="BD185" i="4"/>
  <c r="EC185" i="4"/>
  <c r="DV185" i="4"/>
  <c r="DJ185" i="4"/>
  <c r="DM185" i="4"/>
  <c r="DA185" i="4"/>
  <c r="CT185" i="4"/>
  <c r="AD185" i="4"/>
  <c r="AG185" i="4"/>
  <c r="AW185" i="4"/>
  <c r="AP185" i="4"/>
  <c r="AB185" i="4"/>
  <c r="AI185" i="4"/>
  <c r="BY185" i="4"/>
  <c r="BR185" i="4"/>
  <c r="DH185" i="4"/>
  <c r="DO185" i="4"/>
  <c r="FN283" i="4"/>
  <c r="CD283" i="4"/>
  <c r="CY283" i="4"/>
  <c r="CK283" i="4"/>
  <c r="DO283" i="4"/>
  <c r="BB283" i="4"/>
  <c r="BW283" i="4"/>
  <c r="BR283" i="4"/>
  <c r="CT283" i="4"/>
  <c r="Z283" i="4"/>
  <c r="AU283" i="4"/>
  <c r="BP283" i="4"/>
  <c r="AI283" i="4"/>
  <c r="DJ283" i="4"/>
  <c r="EE283" i="4"/>
  <c r="DX283" i="4"/>
  <c r="BK283" i="4"/>
  <c r="DC283" i="4"/>
  <c r="CV283" i="4"/>
  <c r="BI283" i="4"/>
  <c r="BF283" i="4"/>
  <c r="CA283" i="4"/>
  <c r="BT283" i="4"/>
  <c r="DV283" i="4"/>
  <c r="AD283" i="4"/>
  <c r="AY283" i="4"/>
  <c r="AR283" i="4"/>
  <c r="AP283" i="4"/>
  <c r="DH283" i="4"/>
  <c r="EC283" i="4"/>
  <c r="DQ283" i="4"/>
  <c r="DT283" i="4"/>
  <c r="CF283" i="4"/>
  <c r="DA283" i="4"/>
  <c r="CO283" i="4"/>
  <c r="AN283" i="4"/>
  <c r="BD283" i="4"/>
  <c r="BY283" i="4"/>
  <c r="BM283" i="4"/>
  <c r="DM283" i="4"/>
  <c r="DF283" i="4"/>
  <c r="EA283" i="4"/>
  <c r="CM283" i="4"/>
  <c r="CR283" i="4"/>
  <c r="EC153" i="4"/>
  <c r="DV153" i="4"/>
  <c r="DO153" i="4"/>
  <c r="DH153" i="4"/>
  <c r="DA153" i="4"/>
  <c r="CT153" i="4"/>
  <c r="CM153" i="4"/>
  <c r="CF153" i="4"/>
  <c r="BY153" i="4"/>
  <c r="BR153" i="4"/>
  <c r="BK153" i="4"/>
  <c r="BD153" i="4"/>
  <c r="AW153" i="4"/>
  <c r="AP153" i="4"/>
  <c r="AI153" i="4"/>
  <c r="AB153" i="4"/>
  <c r="EA153" i="4"/>
  <c r="DT153" i="4"/>
  <c r="DM153" i="4"/>
  <c r="EE153" i="4"/>
  <c r="CY153" i="4"/>
  <c r="CR153" i="4"/>
  <c r="CK153" i="4"/>
  <c r="DC153" i="4"/>
  <c r="BW153" i="4"/>
  <c r="BP153" i="4"/>
  <c r="BI153" i="4"/>
  <c r="CA153" i="4"/>
  <c r="AU153" i="4"/>
  <c r="AN153" i="4"/>
  <c r="AG153" i="4"/>
  <c r="AY153" i="4"/>
  <c r="DX153" i="4"/>
  <c r="DQ153" i="4"/>
  <c r="DJ153" i="4"/>
  <c r="DF153" i="4"/>
  <c r="CV153" i="4"/>
  <c r="CO153" i="4"/>
  <c r="CH153" i="4"/>
  <c r="CD153" i="4"/>
  <c r="AR153" i="4"/>
  <c r="AK153" i="4"/>
  <c r="AD153" i="4"/>
  <c r="Z153" i="4"/>
  <c r="BM153" i="4"/>
  <c r="BB153" i="4"/>
  <c r="BF153" i="4"/>
  <c r="DA319" i="4"/>
  <c r="CT319" i="4"/>
  <c r="CM319" i="4"/>
  <c r="BF319" i="4"/>
  <c r="BY319" i="4"/>
  <c r="BR319" i="4"/>
  <c r="BK319" i="4"/>
  <c r="AG319" i="4"/>
  <c r="AW319" i="4"/>
  <c r="AP319" i="4"/>
  <c r="AI319" i="4"/>
  <c r="AD319" i="4"/>
  <c r="DF319" i="4"/>
  <c r="EA319" i="4"/>
  <c r="DT319" i="4"/>
  <c r="DH319" i="4"/>
  <c r="CD319" i="4"/>
  <c r="CY319" i="4"/>
  <c r="CR319" i="4"/>
  <c r="CF319" i="4"/>
  <c r="BB319" i="4"/>
  <c r="BW319" i="4"/>
  <c r="BP319" i="4"/>
  <c r="BD319" i="4"/>
  <c r="Z319" i="4"/>
  <c r="AU319" i="4"/>
  <c r="AN319" i="4"/>
  <c r="AB319" i="4"/>
  <c r="EE319" i="4"/>
  <c r="DX319" i="4"/>
  <c r="DQ319" i="4"/>
  <c r="DM319" i="4"/>
  <c r="DC319" i="4"/>
  <c r="CV319" i="4"/>
  <c r="CO319" i="4"/>
  <c r="DJ319" i="4"/>
  <c r="BT319" i="4"/>
  <c r="BM319" i="4"/>
  <c r="CK319" i="4"/>
  <c r="EC319" i="4"/>
  <c r="DV319" i="4"/>
  <c r="DO319" i="4"/>
  <c r="BI319" i="4"/>
  <c r="EC151" i="4"/>
  <c r="DV151" i="4"/>
  <c r="DO151" i="4"/>
  <c r="DH151" i="4"/>
  <c r="DA151" i="4"/>
  <c r="CT151" i="4"/>
  <c r="CM151" i="4"/>
  <c r="CF151" i="4"/>
  <c r="BY151" i="4"/>
  <c r="BR151" i="4"/>
  <c r="BK151" i="4"/>
  <c r="BD151" i="4"/>
  <c r="AP151" i="4"/>
  <c r="AI151" i="4"/>
  <c r="AB151" i="4"/>
  <c r="EA151" i="4"/>
  <c r="DT151" i="4"/>
  <c r="DM151" i="4"/>
  <c r="EE151" i="4"/>
  <c r="CY151" i="4"/>
  <c r="CR151" i="4"/>
  <c r="CK151" i="4"/>
  <c r="DC151" i="4"/>
  <c r="BW151" i="4"/>
  <c r="BP151" i="4"/>
  <c r="BI151" i="4"/>
  <c r="CA151" i="4"/>
  <c r="AU151" i="4"/>
  <c r="AN151" i="4"/>
  <c r="AG151" i="4"/>
  <c r="AY151" i="4"/>
  <c r="DX151" i="4"/>
  <c r="DQ151" i="4"/>
  <c r="DJ151" i="4"/>
  <c r="BB151" i="4"/>
  <c r="CV151" i="4"/>
  <c r="CO151" i="4"/>
  <c r="CH151" i="4"/>
  <c r="Z151" i="4"/>
  <c r="AR151" i="4"/>
  <c r="AK151" i="4"/>
  <c r="AD151" i="4"/>
  <c r="DF151" i="4"/>
  <c r="BT151" i="4"/>
  <c r="BM151" i="4"/>
  <c r="CD151" i="4"/>
  <c r="BF151" i="4"/>
  <c r="EC341" i="4"/>
  <c r="DV341" i="4"/>
  <c r="DO341" i="4"/>
  <c r="EE341" i="4"/>
  <c r="BW341" i="4"/>
  <c r="BP341" i="4"/>
  <c r="BI341" i="4"/>
  <c r="CF341" i="4"/>
  <c r="CY341" i="4"/>
  <c r="DQ341" i="4"/>
  <c r="BF341" i="4"/>
  <c r="AU341" i="4"/>
  <c r="AD341" i="4"/>
  <c r="DX341" i="4"/>
  <c r="BM341" i="4"/>
  <c r="DC341" i="4"/>
  <c r="CV341" i="4"/>
  <c r="AK341" i="4"/>
  <c r="CA341" i="4"/>
  <c r="BT341" i="4"/>
  <c r="CM341" i="4"/>
  <c r="AY341" i="4"/>
  <c r="AR341" i="4"/>
  <c r="BK341" i="4"/>
  <c r="DH341" i="4"/>
  <c r="CT341" i="4"/>
  <c r="AI341" i="4"/>
  <c r="DF341" i="4"/>
  <c r="BR341" i="4"/>
  <c r="DM341" i="4"/>
  <c r="CD341" i="4"/>
  <c r="DA341" i="4"/>
  <c r="AP341" i="4"/>
  <c r="CK341" i="4"/>
  <c r="BD341" i="4"/>
  <c r="BY341" i="4"/>
  <c r="DT341" i="4"/>
  <c r="AG341" i="4"/>
  <c r="BB341" i="4"/>
  <c r="EA341" i="4"/>
  <c r="AN341" i="4"/>
  <c r="CH341" i="4"/>
  <c r="Z341" i="4"/>
  <c r="DA195" i="4"/>
  <c r="CT195" i="4"/>
  <c r="CM195" i="4"/>
  <c r="BD195" i="4"/>
  <c r="BY195" i="4"/>
  <c r="BK195" i="4"/>
  <c r="AD195" i="4"/>
  <c r="AW195" i="4"/>
  <c r="AP195" i="4"/>
  <c r="AI195" i="4"/>
  <c r="AG195" i="4"/>
  <c r="DF195" i="4"/>
  <c r="EA195" i="4"/>
  <c r="DT195" i="4"/>
  <c r="AB195" i="4"/>
  <c r="CD195" i="4"/>
  <c r="CY195" i="4"/>
  <c r="CR195" i="4"/>
  <c r="DM195" i="4"/>
  <c r="BB195" i="4"/>
  <c r="BW195" i="4"/>
  <c r="BP195" i="4"/>
  <c r="DJ195" i="4"/>
  <c r="Z195" i="4"/>
  <c r="AU195" i="4"/>
  <c r="AN195" i="4"/>
  <c r="DH195" i="4"/>
  <c r="EE195" i="4"/>
  <c r="DX195" i="4"/>
  <c r="DQ195" i="4"/>
  <c r="CK195" i="4"/>
  <c r="DC195" i="4"/>
  <c r="CV195" i="4"/>
  <c r="CO195" i="4"/>
  <c r="CH195" i="4"/>
  <c r="CA195" i="4"/>
  <c r="BT195" i="4"/>
  <c r="BM195" i="4"/>
  <c r="CF195" i="4"/>
  <c r="EC195" i="4"/>
  <c r="DV195" i="4"/>
  <c r="DO195" i="4"/>
  <c r="BF195" i="4"/>
  <c r="EC340" i="4"/>
  <c r="DV340" i="4"/>
  <c r="DO340" i="4"/>
  <c r="EE340" i="4"/>
  <c r="DA340" i="4"/>
  <c r="CT340" i="4"/>
  <c r="CM340" i="4"/>
  <c r="DC340" i="4"/>
  <c r="BY340" i="4"/>
  <c r="BR340" i="4"/>
  <c r="BK340" i="4"/>
  <c r="CA340" i="4"/>
  <c r="AW340" i="4"/>
  <c r="AP340" i="4"/>
  <c r="AI340" i="4"/>
  <c r="AY340" i="4"/>
  <c r="EA340" i="4"/>
  <c r="DT340" i="4"/>
  <c r="DM340" i="4"/>
  <c r="CF340" i="4"/>
  <c r="CY340" i="4"/>
  <c r="CR340" i="4"/>
  <c r="CK340" i="4"/>
  <c r="CD340" i="4"/>
  <c r="BW340" i="4"/>
  <c r="BP340" i="4"/>
  <c r="BI340" i="4"/>
  <c r="BD340" i="4"/>
  <c r="AU340" i="4"/>
  <c r="AN340" i="4"/>
  <c r="AG340" i="4"/>
  <c r="BB340" i="4"/>
  <c r="DX340" i="4"/>
  <c r="DQ340" i="4"/>
  <c r="DJ340" i="4"/>
  <c r="AB340" i="4"/>
  <c r="CV340" i="4"/>
  <c r="CO340" i="4"/>
  <c r="CH340" i="4"/>
  <c r="Z340" i="4"/>
  <c r="AR340" i="4"/>
  <c r="AK340" i="4"/>
  <c r="DH340" i="4"/>
  <c r="BT340" i="4"/>
  <c r="BM340" i="4"/>
  <c r="BF340" i="4"/>
  <c r="DF340" i="4"/>
  <c r="DJ300" i="4"/>
  <c r="EE300" i="4"/>
  <c r="DX300" i="4"/>
  <c r="DM300" i="4"/>
  <c r="DC300" i="4"/>
  <c r="CV300" i="4"/>
  <c r="CT300" i="4"/>
  <c r="BF300" i="4"/>
  <c r="CA300" i="4"/>
  <c r="BT300" i="4"/>
  <c r="CM300" i="4"/>
  <c r="AD300" i="4"/>
  <c r="AY300" i="4"/>
  <c r="AR300" i="4"/>
  <c r="CK300" i="4"/>
  <c r="DH300" i="4"/>
  <c r="EC300" i="4"/>
  <c r="DT300" i="4"/>
  <c r="BR300" i="4"/>
  <c r="CF300" i="4"/>
  <c r="DA300" i="4"/>
  <c r="CR300" i="4"/>
  <c r="BK300" i="4"/>
  <c r="BD300" i="4"/>
  <c r="BY300" i="4"/>
  <c r="BP300" i="4"/>
  <c r="BI300" i="4"/>
  <c r="AB300" i="4"/>
  <c r="AW300" i="4"/>
  <c r="AN300" i="4"/>
  <c r="AP300" i="4"/>
  <c r="DF300" i="4"/>
  <c r="EA300" i="4"/>
  <c r="DQ300" i="4"/>
  <c r="AG300" i="4"/>
  <c r="CD300" i="4"/>
  <c r="CY300" i="4"/>
  <c r="CO300" i="4"/>
  <c r="DO300" i="4"/>
  <c r="Z300" i="4"/>
  <c r="AU300" i="4"/>
  <c r="AK300" i="4"/>
  <c r="AI300" i="4"/>
  <c r="BB300" i="4"/>
  <c r="BW300" i="4"/>
  <c r="BM300" i="4"/>
  <c r="DV300" i="4"/>
  <c r="CO148" i="4"/>
  <c r="CH148" i="4"/>
  <c r="Z148" i="4"/>
  <c r="BT148" i="4"/>
  <c r="BM148" i="4"/>
  <c r="BF148" i="4"/>
  <c r="CD148" i="4"/>
  <c r="AR148" i="4"/>
  <c r="AK148" i="4"/>
  <c r="AD148" i="4"/>
  <c r="DF148" i="4"/>
  <c r="EC148" i="4"/>
  <c r="DV148" i="4"/>
  <c r="DO148" i="4"/>
  <c r="DH148" i="4"/>
  <c r="DA148" i="4"/>
  <c r="CT148" i="4"/>
  <c r="CM148" i="4"/>
  <c r="CF148" i="4"/>
  <c r="BY148" i="4"/>
  <c r="BR148" i="4"/>
  <c r="BK148" i="4"/>
  <c r="BD148" i="4"/>
  <c r="AW148" i="4"/>
  <c r="AP148" i="4"/>
  <c r="AI148" i="4"/>
  <c r="AB148" i="4"/>
  <c r="EA148" i="4"/>
  <c r="DT148" i="4"/>
  <c r="DM148" i="4"/>
  <c r="EE148" i="4"/>
  <c r="CY148" i="4"/>
  <c r="CR148" i="4"/>
  <c r="CK148" i="4"/>
  <c r="DC148" i="4"/>
  <c r="BW148" i="4"/>
  <c r="BP148" i="4"/>
  <c r="BI148" i="4"/>
  <c r="CA148" i="4"/>
  <c r="DX148" i="4"/>
  <c r="DQ148" i="4"/>
  <c r="DJ148" i="4"/>
  <c r="BB148" i="4"/>
  <c r="CY250" i="4"/>
  <c r="CR250" i="4"/>
  <c r="AB250" i="4"/>
  <c r="AD250" i="4"/>
  <c r="BW250" i="4"/>
  <c r="BP250" i="4"/>
  <c r="CO250" i="4"/>
  <c r="DJ250" i="4"/>
  <c r="AU250" i="4"/>
  <c r="AN250" i="4"/>
  <c r="CK250" i="4"/>
  <c r="DM250" i="4"/>
  <c r="EE250" i="4"/>
  <c r="DX250" i="4"/>
  <c r="DO250" i="4"/>
  <c r="CH250" i="4"/>
  <c r="DC250" i="4"/>
  <c r="CV250" i="4"/>
  <c r="CM250" i="4"/>
  <c r="CF250" i="4"/>
  <c r="CA250" i="4"/>
  <c r="BT250" i="4"/>
  <c r="BK250" i="4"/>
  <c r="BM250" i="4"/>
  <c r="AY250" i="4"/>
  <c r="AR250" i="4"/>
  <c r="AI250" i="4"/>
  <c r="BI250" i="4"/>
  <c r="EC250" i="4"/>
  <c r="DV250" i="4"/>
  <c r="DF250" i="4"/>
  <c r="BF250" i="4"/>
  <c r="DA250" i="4"/>
  <c r="CT250" i="4"/>
  <c r="CD250" i="4"/>
  <c r="BD250" i="4"/>
  <c r="BY250" i="4"/>
  <c r="BR250" i="4"/>
  <c r="BB250" i="4"/>
  <c r="DQ250" i="4"/>
  <c r="EA250" i="4"/>
  <c r="DT250" i="4"/>
  <c r="DH250" i="4"/>
  <c r="AG250" i="4"/>
  <c r="CY30" i="4"/>
  <c r="DH30" i="4"/>
  <c r="AI30" i="4"/>
  <c r="BB30" i="4"/>
  <c r="BW30" i="4"/>
  <c r="DT30" i="4"/>
  <c r="DM30" i="4"/>
  <c r="Z30" i="4"/>
  <c r="AU30" i="4"/>
  <c r="CR30" i="4"/>
  <c r="CK30" i="4"/>
  <c r="CF30" i="4"/>
  <c r="EE30" i="4"/>
  <c r="DX30" i="4"/>
  <c r="BP30" i="4"/>
  <c r="BI30" i="4"/>
  <c r="DC30" i="4"/>
  <c r="CV30" i="4"/>
  <c r="AN30" i="4"/>
  <c r="AG30" i="4"/>
  <c r="CA30" i="4"/>
  <c r="BT30" i="4"/>
  <c r="DQ30" i="4"/>
  <c r="DJ30" i="4"/>
  <c r="AY30" i="4"/>
  <c r="AR30" i="4"/>
  <c r="CO30" i="4"/>
  <c r="CH30" i="4"/>
  <c r="EC30" i="4"/>
  <c r="BD30" i="4"/>
  <c r="BF30" i="4"/>
  <c r="DA30" i="4"/>
  <c r="DV30" i="4"/>
  <c r="AK30" i="4"/>
  <c r="AD30" i="4"/>
  <c r="BY30" i="4"/>
  <c r="CT30" i="4"/>
  <c r="DO30" i="4"/>
  <c r="AB30" i="4"/>
  <c r="EA30" i="4"/>
  <c r="AP30" i="4"/>
  <c r="BK30" i="4"/>
  <c r="CD30" i="4"/>
  <c r="GQ27" i="4"/>
  <c r="EE27" i="4"/>
  <c r="BW27" i="4"/>
  <c r="DT27" i="4"/>
  <c r="CM27" i="4"/>
  <c r="DC27" i="4"/>
  <c r="AU27" i="4"/>
  <c r="CR27" i="4"/>
  <c r="BK27" i="4"/>
  <c r="CA27" i="4"/>
  <c r="DX27" i="4"/>
  <c r="BP27" i="4"/>
  <c r="AI27" i="4"/>
  <c r="AY27" i="4"/>
  <c r="CV27" i="4"/>
  <c r="AN27" i="4"/>
  <c r="DJ27" i="4"/>
  <c r="CK27" i="4"/>
  <c r="BT27" i="4"/>
  <c r="BI27" i="4"/>
  <c r="CH27" i="4"/>
  <c r="AB27" i="4"/>
  <c r="AR27" i="4"/>
  <c r="DQ27" i="4"/>
  <c r="BF27" i="4"/>
  <c r="EC27" i="4"/>
  <c r="AG27" i="4"/>
  <c r="CO27" i="4"/>
  <c r="AD27" i="4"/>
  <c r="DA27" i="4"/>
  <c r="DV27" i="4"/>
  <c r="DF27" i="4"/>
  <c r="BY27" i="4"/>
  <c r="CT27" i="4"/>
  <c r="AK27" i="4"/>
  <c r="CD27" i="4"/>
  <c r="AW27" i="4"/>
  <c r="BR27" i="4"/>
  <c r="DM27" i="4"/>
  <c r="BB27" i="4"/>
  <c r="CY27" i="4"/>
  <c r="BD27" i="4"/>
  <c r="DO27" i="4"/>
  <c r="DH27" i="4"/>
  <c r="EA27" i="4"/>
  <c r="AP27" i="4"/>
  <c r="CF27" i="4"/>
  <c r="Z27" i="4"/>
  <c r="CD58" i="4"/>
  <c r="CY58" i="4"/>
  <c r="CR58" i="4"/>
  <c r="CO58" i="4"/>
  <c r="BB58" i="4"/>
  <c r="BW58" i="4"/>
  <c r="BP58" i="4"/>
  <c r="CM58" i="4"/>
  <c r="Z58" i="4"/>
  <c r="AU58" i="4"/>
  <c r="AN58" i="4"/>
  <c r="BM58" i="4"/>
  <c r="DJ58" i="4"/>
  <c r="EE58" i="4"/>
  <c r="DX58" i="4"/>
  <c r="DM58" i="4"/>
  <c r="CH58" i="4"/>
  <c r="DC58" i="4"/>
  <c r="CV58" i="4"/>
  <c r="CK58" i="4"/>
  <c r="BF58" i="4"/>
  <c r="CA58" i="4"/>
  <c r="BT58" i="4"/>
  <c r="AD58" i="4"/>
  <c r="AY58" i="4"/>
  <c r="AR58" i="4"/>
  <c r="AG58" i="4"/>
  <c r="DH58" i="4"/>
  <c r="EC58" i="4"/>
  <c r="DV58" i="4"/>
  <c r="BK58" i="4"/>
  <c r="CF58" i="4"/>
  <c r="DA58" i="4"/>
  <c r="CT58" i="4"/>
  <c r="AK58" i="4"/>
  <c r="BD58" i="4"/>
  <c r="BY58" i="4"/>
  <c r="BR58" i="4"/>
  <c r="AI58" i="4"/>
  <c r="DF58" i="4"/>
  <c r="EA58" i="4"/>
  <c r="DT58" i="4"/>
  <c r="DO58" i="4"/>
  <c r="DJ53" i="4"/>
  <c r="EE53" i="4"/>
  <c r="DX53" i="4"/>
  <c r="BR53" i="4"/>
  <c r="CH53" i="4"/>
  <c r="DC53" i="4"/>
  <c r="CV53" i="4"/>
  <c r="BM53" i="4"/>
  <c r="BF53" i="4"/>
  <c r="CA53" i="4"/>
  <c r="BT53" i="4"/>
  <c r="BK53" i="4"/>
  <c r="AD53" i="4"/>
  <c r="AY53" i="4"/>
  <c r="AR53" i="4"/>
  <c r="AP53" i="4"/>
  <c r="DH53" i="4"/>
  <c r="EC53" i="4"/>
  <c r="DT53" i="4"/>
  <c r="AK53" i="4"/>
  <c r="CF53" i="4"/>
  <c r="DA53" i="4"/>
  <c r="CR53" i="4"/>
  <c r="AI53" i="4"/>
  <c r="BD53" i="4"/>
  <c r="BY53" i="4"/>
  <c r="BP53" i="4"/>
  <c r="DV53" i="4"/>
  <c r="AB53" i="4"/>
  <c r="AW53" i="4"/>
  <c r="AN53" i="4"/>
  <c r="DQ53" i="4"/>
  <c r="DF53" i="4"/>
  <c r="EA53" i="4"/>
  <c r="DM53" i="4"/>
  <c r="DO53" i="4"/>
  <c r="CD53" i="4"/>
  <c r="CY53" i="4"/>
  <c r="CK53" i="4"/>
  <c r="CT53" i="4"/>
  <c r="Z53" i="4"/>
  <c r="AU53" i="4"/>
  <c r="AG53" i="4"/>
  <c r="CM53" i="4"/>
  <c r="CO53" i="4"/>
  <c r="BB53" i="4"/>
  <c r="AP263" i="4"/>
  <c r="AU230" i="4"/>
  <c r="AR195" i="4"/>
  <c r="AN150" i="4"/>
  <c r="AW58" i="4"/>
  <c r="AR315" i="4"/>
  <c r="AW282" i="4"/>
  <c r="AU219" i="4"/>
  <c r="AR182" i="4"/>
  <c r="AW67" i="4"/>
  <c r="CT33" i="4"/>
  <c r="AU241" i="4"/>
  <c r="AN170" i="4"/>
  <c r="AW89" i="4"/>
  <c r="AW44" i="4"/>
  <c r="AN139" i="4"/>
  <c r="AN331" i="4"/>
  <c r="AP260" i="4"/>
  <c r="AN159" i="4"/>
  <c r="AN119" i="4"/>
  <c r="AW65" i="4"/>
  <c r="DV20" i="4"/>
  <c r="AW364" i="4"/>
  <c r="AR319" i="4"/>
  <c r="AP269" i="4"/>
  <c r="AU239" i="4"/>
  <c r="AR201" i="4"/>
  <c r="AN168" i="4"/>
  <c r="AN133" i="4"/>
  <c r="AW87" i="4"/>
  <c r="BB42" i="4"/>
  <c r="BM129" i="4"/>
  <c r="DC240" i="4"/>
  <c r="CV240" i="4"/>
  <c r="CO240" i="4"/>
  <c r="BF240" i="4"/>
  <c r="CA240" i="4"/>
  <c r="BT240" i="4"/>
  <c r="BM240" i="4"/>
  <c r="AG240" i="4"/>
  <c r="AY240" i="4"/>
  <c r="AR240" i="4"/>
  <c r="AK240" i="4"/>
  <c r="AD240" i="4"/>
  <c r="DH240" i="4"/>
  <c r="EC240" i="4"/>
  <c r="DV240" i="4"/>
  <c r="DO240" i="4"/>
  <c r="CF240" i="4"/>
  <c r="DA240" i="4"/>
  <c r="CT240" i="4"/>
  <c r="CM240" i="4"/>
  <c r="BD240" i="4"/>
  <c r="BY240" i="4"/>
  <c r="BR240" i="4"/>
  <c r="BK240" i="4"/>
  <c r="AB240" i="4"/>
  <c r="AW240" i="4"/>
  <c r="AP240" i="4"/>
  <c r="AI240" i="4"/>
  <c r="DF240" i="4"/>
  <c r="EA240" i="4"/>
  <c r="DT240" i="4"/>
  <c r="DM240" i="4"/>
  <c r="CD240" i="4"/>
  <c r="CY240" i="4"/>
  <c r="CR240" i="4"/>
  <c r="DJ240" i="4"/>
  <c r="BB240" i="4"/>
  <c r="BW240" i="4"/>
  <c r="BP240" i="4"/>
  <c r="CK240" i="4"/>
  <c r="EE240" i="4"/>
  <c r="DX240" i="4"/>
  <c r="DQ240" i="4"/>
  <c r="BI240" i="4"/>
  <c r="V355" i="4"/>
  <c r="DF355" i="4"/>
  <c r="EA355" i="4"/>
  <c r="DJ355" i="4"/>
  <c r="CH355" i="4"/>
  <c r="CD355" i="4"/>
  <c r="CY355" i="4"/>
  <c r="BF355" i="4"/>
  <c r="AD355" i="4"/>
  <c r="BB355" i="4"/>
  <c r="BW355" i="4"/>
  <c r="DH355" i="4"/>
  <c r="CF355" i="4"/>
  <c r="Z355" i="4"/>
  <c r="AU355" i="4"/>
  <c r="BD355" i="4"/>
  <c r="AB355" i="4"/>
  <c r="EE355" i="4"/>
  <c r="DX355" i="4"/>
  <c r="CR355" i="4"/>
  <c r="DT355" i="4"/>
  <c r="DC355" i="4"/>
  <c r="CV355" i="4"/>
  <c r="AN355" i="4"/>
  <c r="BP355" i="4"/>
  <c r="CA355" i="4"/>
  <c r="CO355" i="4"/>
  <c r="DM355" i="4"/>
  <c r="AY355" i="4"/>
  <c r="AR355" i="4"/>
  <c r="AK355" i="4"/>
  <c r="BI355" i="4"/>
  <c r="EC355" i="4"/>
  <c r="DV355" i="4"/>
  <c r="CM355" i="4"/>
  <c r="DQ355" i="4"/>
  <c r="DA355" i="4"/>
  <c r="CT355" i="4"/>
  <c r="AI355" i="4"/>
  <c r="DO355" i="4"/>
  <c r="AW355" i="4"/>
  <c r="AP355" i="4"/>
  <c r="AG355" i="4"/>
  <c r="BK355" i="4"/>
  <c r="BY355" i="4"/>
  <c r="BR355" i="4"/>
  <c r="BM355" i="4"/>
  <c r="CK355" i="4"/>
  <c r="DA191" i="4"/>
  <c r="CT191" i="4"/>
  <c r="CM191" i="4"/>
  <c r="BD191" i="4"/>
  <c r="BY191" i="4"/>
  <c r="BR191" i="4"/>
  <c r="BK191" i="4"/>
  <c r="AD191" i="4"/>
  <c r="AW191" i="4"/>
  <c r="AP191" i="4"/>
  <c r="AI191" i="4"/>
  <c r="AG191" i="4"/>
  <c r="DF191" i="4"/>
  <c r="EA191" i="4"/>
  <c r="DT191" i="4"/>
  <c r="AB191" i="4"/>
  <c r="CD191" i="4"/>
  <c r="CY191" i="4"/>
  <c r="CR191" i="4"/>
  <c r="DM191" i="4"/>
  <c r="BB191" i="4"/>
  <c r="BW191" i="4"/>
  <c r="BP191" i="4"/>
  <c r="DJ191" i="4"/>
  <c r="Z191" i="4"/>
  <c r="AU191" i="4"/>
  <c r="AN191" i="4"/>
  <c r="DH191" i="4"/>
  <c r="EE191" i="4"/>
  <c r="DX191" i="4"/>
  <c r="DQ191" i="4"/>
  <c r="CK191" i="4"/>
  <c r="DC191" i="4"/>
  <c r="CV191" i="4"/>
  <c r="CO191" i="4"/>
  <c r="CH191" i="4"/>
  <c r="CA191" i="4"/>
  <c r="BT191" i="4"/>
  <c r="BM191" i="4"/>
  <c r="CF191" i="4"/>
  <c r="EC191" i="4"/>
  <c r="DV191" i="4"/>
  <c r="DO191" i="4"/>
  <c r="BF191" i="4"/>
  <c r="EC142" i="4"/>
  <c r="DV142" i="4"/>
  <c r="DO142" i="4"/>
  <c r="DH142" i="4"/>
  <c r="DA142" i="4"/>
  <c r="CT142" i="4"/>
  <c r="CM142" i="4"/>
  <c r="CF142" i="4"/>
  <c r="BY142" i="4"/>
  <c r="BR142" i="4"/>
  <c r="BK142" i="4"/>
  <c r="BD142" i="4"/>
  <c r="AW142" i="4"/>
  <c r="AP142" i="4"/>
  <c r="AI142" i="4"/>
  <c r="EA142" i="4"/>
  <c r="DT142" i="4"/>
  <c r="DM142" i="4"/>
  <c r="EE142" i="4"/>
  <c r="CY142" i="4"/>
  <c r="CR142" i="4"/>
  <c r="CK142" i="4"/>
  <c r="DC142" i="4"/>
  <c r="BW142" i="4"/>
  <c r="BP142" i="4"/>
  <c r="BI142" i="4"/>
  <c r="CA142" i="4"/>
  <c r="AU142" i="4"/>
  <c r="AN142" i="4"/>
  <c r="AG142" i="4"/>
  <c r="AY142" i="4"/>
  <c r="DX142" i="4"/>
  <c r="DQ142" i="4"/>
  <c r="DJ142" i="4"/>
  <c r="BB142" i="4"/>
  <c r="CV142" i="4"/>
  <c r="CO142" i="4"/>
  <c r="CH142" i="4"/>
  <c r="Z142" i="4"/>
  <c r="AR142" i="4"/>
  <c r="AK142" i="4"/>
  <c r="AD142" i="4"/>
  <c r="DF142" i="4"/>
  <c r="BT142" i="4"/>
  <c r="BM142" i="4"/>
  <c r="BF142" i="4"/>
  <c r="CD142" i="4"/>
  <c r="EC143" i="4"/>
  <c r="DV143" i="4"/>
  <c r="DO143" i="4"/>
  <c r="DH143" i="4"/>
  <c r="DA143" i="4"/>
  <c r="CT143" i="4"/>
  <c r="CM143" i="4"/>
  <c r="BY143" i="4"/>
  <c r="BR143" i="4"/>
  <c r="BK143" i="4"/>
  <c r="BD143" i="4"/>
  <c r="AW143" i="4"/>
  <c r="AP143" i="4"/>
  <c r="AI143" i="4"/>
  <c r="AB143" i="4"/>
  <c r="EA143" i="4"/>
  <c r="DT143" i="4"/>
  <c r="DM143" i="4"/>
  <c r="EE143" i="4"/>
  <c r="CY143" i="4"/>
  <c r="CR143" i="4"/>
  <c r="CK143" i="4"/>
  <c r="DC143" i="4"/>
  <c r="BW143" i="4"/>
  <c r="BP143" i="4"/>
  <c r="BI143" i="4"/>
  <c r="CA143" i="4"/>
  <c r="AU143" i="4"/>
  <c r="AN143" i="4"/>
  <c r="AG143" i="4"/>
  <c r="AY143" i="4"/>
  <c r="DX143" i="4"/>
  <c r="DQ143" i="4"/>
  <c r="DJ143" i="4"/>
  <c r="DF143" i="4"/>
  <c r="CV143" i="4"/>
  <c r="CO143" i="4"/>
  <c r="CH143" i="4"/>
  <c r="CD143" i="4"/>
  <c r="AR143" i="4"/>
  <c r="AK143" i="4"/>
  <c r="AD143" i="4"/>
  <c r="Z143" i="4"/>
  <c r="BB143" i="4"/>
  <c r="BT143" i="4"/>
  <c r="BF143" i="4"/>
  <c r="EE267" i="4"/>
  <c r="DX267" i="4"/>
  <c r="DQ267" i="4"/>
  <c r="BD267" i="4"/>
  <c r="DC267" i="4"/>
  <c r="CV267" i="4"/>
  <c r="AG267" i="4"/>
  <c r="CA267" i="4"/>
  <c r="BT267" i="4"/>
  <c r="BM267" i="4"/>
  <c r="AD267" i="4"/>
  <c r="AY267" i="4"/>
  <c r="AR267" i="4"/>
  <c r="AK267" i="4"/>
  <c r="AB267" i="4"/>
  <c r="EC267" i="4"/>
  <c r="DV267" i="4"/>
  <c r="DO267" i="4"/>
  <c r="DM267" i="4"/>
  <c r="DA267" i="4"/>
  <c r="CT267" i="4"/>
  <c r="CM267" i="4"/>
  <c r="DJ267" i="4"/>
  <c r="BY267" i="4"/>
  <c r="BR267" i="4"/>
  <c r="BK267" i="4"/>
  <c r="DH267" i="4"/>
  <c r="AW267" i="4"/>
  <c r="AP267" i="4"/>
  <c r="AI267" i="4"/>
  <c r="CK267" i="4"/>
  <c r="EA267" i="4"/>
  <c r="DT267" i="4"/>
  <c r="DF267" i="4"/>
  <c r="CH267" i="4"/>
  <c r="CY267" i="4"/>
  <c r="CR267" i="4"/>
  <c r="CD267" i="4"/>
  <c r="CF267" i="4"/>
  <c r="AU267" i="4"/>
  <c r="AN267" i="4"/>
  <c r="Z267" i="4"/>
  <c r="BF267" i="4"/>
  <c r="BW267" i="4"/>
  <c r="BP267" i="4"/>
  <c r="BB267" i="4"/>
  <c r="BI267" i="4"/>
  <c r="DC222" i="4"/>
  <c r="CV222" i="4"/>
  <c r="CM222" i="4"/>
  <c r="BI222" i="4"/>
  <c r="CA222" i="4"/>
  <c r="BT222" i="4"/>
  <c r="BK222" i="4"/>
  <c r="AN222" i="4"/>
  <c r="AY222" i="4"/>
  <c r="AR222" i="4"/>
  <c r="AI222" i="4"/>
  <c r="BF222" i="4"/>
  <c r="DH222" i="4"/>
  <c r="EC222" i="4"/>
  <c r="DV222" i="4"/>
  <c r="AG222" i="4"/>
  <c r="CF222" i="4"/>
  <c r="DA222" i="4"/>
  <c r="CT222" i="4"/>
  <c r="AD222" i="4"/>
  <c r="BD222" i="4"/>
  <c r="BY222" i="4"/>
  <c r="BR222" i="4"/>
  <c r="DT222" i="4"/>
  <c r="AB222" i="4"/>
  <c r="AW222" i="4"/>
  <c r="AP222" i="4"/>
  <c r="DM222" i="4"/>
  <c r="DF222" i="4"/>
  <c r="EA222" i="4"/>
  <c r="DJ222" i="4"/>
  <c r="CD222" i="4"/>
  <c r="CY222" i="4"/>
  <c r="CO222" i="4"/>
  <c r="CR222" i="4"/>
  <c r="BB222" i="4"/>
  <c r="BW222" i="4"/>
  <c r="BM222" i="4"/>
  <c r="CK222" i="4"/>
  <c r="EE222" i="4"/>
  <c r="DX222" i="4"/>
  <c r="DO222" i="4"/>
  <c r="BP222" i="4"/>
  <c r="CV149" i="4"/>
  <c r="CO149" i="4"/>
  <c r="CH149" i="4"/>
  <c r="CD149" i="4"/>
  <c r="BM149" i="4"/>
  <c r="BF149" i="4"/>
  <c r="BB149" i="4"/>
  <c r="AR149" i="4"/>
  <c r="AK149" i="4"/>
  <c r="AD149" i="4"/>
  <c r="Z149" i="4"/>
  <c r="EC149" i="4"/>
  <c r="DV149" i="4"/>
  <c r="DO149" i="4"/>
  <c r="DH149" i="4"/>
  <c r="DA149" i="4"/>
  <c r="CT149" i="4"/>
  <c r="CM149" i="4"/>
  <c r="CF149" i="4"/>
  <c r="BY149" i="4"/>
  <c r="BR149" i="4"/>
  <c r="BK149" i="4"/>
  <c r="BD149" i="4"/>
  <c r="AW149" i="4"/>
  <c r="AP149" i="4"/>
  <c r="AI149" i="4"/>
  <c r="AB149" i="4"/>
  <c r="EA149" i="4"/>
  <c r="DT149" i="4"/>
  <c r="DM149" i="4"/>
  <c r="EE149" i="4"/>
  <c r="CY149" i="4"/>
  <c r="CR149" i="4"/>
  <c r="CK149" i="4"/>
  <c r="DC149" i="4"/>
  <c r="BW149" i="4"/>
  <c r="BP149" i="4"/>
  <c r="BI149" i="4"/>
  <c r="CA149" i="4"/>
  <c r="DX149" i="4"/>
  <c r="DQ149" i="4"/>
  <c r="DJ149" i="4"/>
  <c r="DF149" i="4"/>
  <c r="GQ83" i="4"/>
  <c r="DJ83" i="4"/>
  <c r="EE83" i="4"/>
  <c r="DX83" i="4"/>
  <c r="DM83" i="4"/>
  <c r="CH83" i="4"/>
  <c r="DC83" i="4"/>
  <c r="CV83" i="4"/>
  <c r="CK83" i="4"/>
  <c r="BF83" i="4"/>
  <c r="CA83" i="4"/>
  <c r="BT83" i="4"/>
  <c r="BI83" i="4"/>
  <c r="AD83" i="4"/>
  <c r="AY83" i="4"/>
  <c r="AR83" i="4"/>
  <c r="AG83" i="4"/>
  <c r="DH83" i="4"/>
  <c r="EC83" i="4"/>
  <c r="DV83" i="4"/>
  <c r="BK83" i="4"/>
  <c r="CF83" i="4"/>
  <c r="DA83" i="4"/>
  <c r="CT83" i="4"/>
  <c r="AK83" i="4"/>
  <c r="BD83" i="4"/>
  <c r="BY83" i="4"/>
  <c r="BR83" i="4"/>
  <c r="AI83" i="4"/>
  <c r="AB83" i="4"/>
  <c r="AW83" i="4"/>
  <c r="AP83" i="4"/>
  <c r="DQ83" i="4"/>
  <c r="DF83" i="4"/>
  <c r="EA83" i="4"/>
  <c r="DT83" i="4"/>
  <c r="DO83" i="4"/>
  <c r="CD83" i="4"/>
  <c r="CY83" i="4"/>
  <c r="CR83" i="4"/>
  <c r="CO83" i="4"/>
  <c r="Z83" i="4"/>
  <c r="AU83" i="4"/>
  <c r="AN83" i="4"/>
  <c r="BM83" i="4"/>
  <c r="BB83" i="4"/>
  <c r="BW83" i="4"/>
  <c r="CM83" i="4"/>
  <c r="CD293" i="4"/>
  <c r="CY293" i="4"/>
  <c r="CK293" i="4"/>
  <c r="DO293" i="4"/>
  <c r="BB293" i="4"/>
  <c r="BW293" i="4"/>
  <c r="BR293" i="4"/>
  <c r="CT293" i="4"/>
  <c r="Z293" i="4"/>
  <c r="AU293" i="4"/>
  <c r="BP293" i="4"/>
  <c r="AI293" i="4"/>
  <c r="DJ293" i="4"/>
  <c r="EE293" i="4"/>
  <c r="DX293" i="4"/>
  <c r="BK293" i="4"/>
  <c r="CH293" i="4"/>
  <c r="DC293" i="4"/>
  <c r="CV293" i="4"/>
  <c r="BI293" i="4"/>
  <c r="BF293" i="4"/>
  <c r="CA293" i="4"/>
  <c r="BT293" i="4"/>
  <c r="DV293" i="4"/>
  <c r="AD293" i="4"/>
  <c r="AY293" i="4"/>
  <c r="AR293" i="4"/>
  <c r="AP293" i="4"/>
  <c r="DH293" i="4"/>
  <c r="EC293" i="4"/>
  <c r="DT293" i="4"/>
  <c r="CF293" i="4"/>
  <c r="DA293" i="4"/>
  <c r="CO293" i="4"/>
  <c r="AN293" i="4"/>
  <c r="BD293" i="4"/>
  <c r="BY293" i="4"/>
  <c r="BM293" i="4"/>
  <c r="DM293" i="4"/>
  <c r="DF293" i="4"/>
  <c r="EA293" i="4"/>
  <c r="CM293" i="4"/>
  <c r="CR293" i="4"/>
  <c r="DJ72" i="4"/>
  <c r="EE72" i="4"/>
  <c r="DX72" i="4"/>
  <c r="DM72" i="4"/>
  <c r="CH72" i="4"/>
  <c r="DC72" i="4"/>
  <c r="CV72" i="4"/>
  <c r="CK72" i="4"/>
  <c r="BF72" i="4"/>
  <c r="CA72" i="4"/>
  <c r="BT72" i="4"/>
  <c r="BI72" i="4"/>
  <c r="AD72" i="4"/>
  <c r="AR72" i="4"/>
  <c r="AG72" i="4"/>
  <c r="DH72" i="4"/>
  <c r="EC72" i="4"/>
  <c r="DV72" i="4"/>
  <c r="DO72" i="4"/>
  <c r="CF72" i="4"/>
  <c r="DA72" i="4"/>
  <c r="CT72" i="4"/>
  <c r="CO72" i="4"/>
  <c r="BD72" i="4"/>
  <c r="BY72" i="4"/>
  <c r="BR72" i="4"/>
  <c r="CM72" i="4"/>
  <c r="AB72" i="4"/>
  <c r="AW72" i="4"/>
  <c r="AP72" i="4"/>
  <c r="BM72" i="4"/>
  <c r="DF72" i="4"/>
  <c r="EA72" i="4"/>
  <c r="DT72" i="4"/>
  <c r="BK72" i="4"/>
  <c r="CD72" i="4"/>
  <c r="CY72" i="4"/>
  <c r="CR72" i="4"/>
  <c r="AK72" i="4"/>
  <c r="Z72" i="4"/>
  <c r="AU72" i="4"/>
  <c r="AN72" i="4"/>
  <c r="DQ72" i="4"/>
  <c r="BB72" i="4"/>
  <c r="BW72" i="4"/>
  <c r="BP72" i="4"/>
  <c r="AI72" i="4"/>
  <c r="DH211" i="4"/>
  <c r="DJ211" i="4"/>
  <c r="EE211" i="4"/>
  <c r="DT211" i="4"/>
  <c r="CF211" i="4"/>
  <c r="CT211" i="4"/>
  <c r="CK211" i="4"/>
  <c r="BD211" i="4"/>
  <c r="AK211" i="4"/>
  <c r="BK211" i="4"/>
  <c r="AW211" i="4"/>
  <c r="AB211" i="4"/>
  <c r="DC211" i="4"/>
  <c r="EC211" i="4"/>
  <c r="BY211" i="4"/>
  <c r="DF211" i="4"/>
  <c r="BR211" i="4"/>
  <c r="CR211" i="4"/>
  <c r="AR211" i="4"/>
  <c r="CD211" i="4"/>
  <c r="AI211" i="4"/>
  <c r="BI211" i="4"/>
  <c r="AP211" i="4"/>
  <c r="BB211" i="4"/>
  <c r="DA211" i="4"/>
  <c r="DX211" i="4"/>
  <c r="AN211" i="4"/>
  <c r="Z211" i="4"/>
  <c r="BP211" i="4"/>
  <c r="CO211" i="4"/>
  <c r="DQ211" i="4"/>
  <c r="EA211" i="4"/>
  <c r="AG211" i="4"/>
  <c r="BF211" i="4"/>
  <c r="DO211" i="4"/>
  <c r="CY211" i="4"/>
  <c r="CV211" i="4"/>
  <c r="DV211" i="4"/>
  <c r="DM211" i="4"/>
  <c r="AU211" i="4"/>
  <c r="AD211" i="4"/>
  <c r="AY211" i="4"/>
  <c r="CH211" i="4"/>
  <c r="BW211" i="4"/>
  <c r="BM211" i="4"/>
  <c r="CM211" i="4"/>
  <c r="CA211" i="4"/>
  <c r="DH210" i="4"/>
  <c r="DJ210" i="4"/>
  <c r="EE210" i="4"/>
  <c r="DT210" i="4"/>
  <c r="CF210" i="4"/>
  <c r="CT210" i="4"/>
  <c r="CK210" i="4"/>
  <c r="BD210" i="4"/>
  <c r="AK210" i="4"/>
  <c r="BK210" i="4"/>
  <c r="AW210" i="4"/>
  <c r="AB210" i="4"/>
  <c r="DC210" i="4"/>
  <c r="EC210" i="4"/>
  <c r="AN210" i="4"/>
  <c r="DF210" i="4"/>
  <c r="BR210" i="4"/>
  <c r="CR210" i="4"/>
  <c r="DQ210" i="4"/>
  <c r="CD210" i="4"/>
  <c r="AI210" i="4"/>
  <c r="BI210" i="4"/>
  <c r="DO210" i="4"/>
  <c r="BB210" i="4"/>
  <c r="DA210" i="4"/>
  <c r="DX210" i="4"/>
  <c r="DM210" i="4"/>
  <c r="Z210" i="4"/>
  <c r="BP210" i="4"/>
  <c r="CO210" i="4"/>
  <c r="CH210" i="4"/>
  <c r="EA210" i="4"/>
  <c r="AG210" i="4"/>
  <c r="BF210" i="4"/>
  <c r="CA210" i="4"/>
  <c r="CY210" i="4"/>
  <c r="CV210" i="4"/>
  <c r="DV210" i="4"/>
  <c r="BY210" i="4"/>
  <c r="AU210" i="4"/>
  <c r="AD210" i="4"/>
  <c r="AY210" i="4"/>
  <c r="AR210" i="4"/>
  <c r="AP210" i="4"/>
  <c r="BW210" i="4"/>
  <c r="CM210" i="4"/>
  <c r="DH221" i="4"/>
  <c r="EC221" i="4"/>
  <c r="DV221" i="4"/>
  <c r="AG221" i="4"/>
  <c r="CF221" i="4"/>
  <c r="DA221" i="4"/>
  <c r="CT221" i="4"/>
  <c r="AD221" i="4"/>
  <c r="BD221" i="4"/>
  <c r="BY221" i="4"/>
  <c r="BR221" i="4"/>
  <c r="DT221" i="4"/>
  <c r="AB221" i="4"/>
  <c r="AW221" i="4"/>
  <c r="AP221" i="4"/>
  <c r="DM221" i="4"/>
  <c r="DF221" i="4"/>
  <c r="EA221" i="4"/>
  <c r="DJ221" i="4"/>
  <c r="CD221" i="4"/>
  <c r="CY221" i="4"/>
  <c r="CO221" i="4"/>
  <c r="CR221" i="4"/>
  <c r="BB221" i="4"/>
  <c r="BW221" i="4"/>
  <c r="BM221" i="4"/>
  <c r="CK221" i="4"/>
  <c r="Z221" i="4"/>
  <c r="AU221" i="4"/>
  <c r="AK221" i="4"/>
  <c r="CH221" i="4"/>
  <c r="EE221" i="4"/>
  <c r="DX221" i="4"/>
  <c r="DO221" i="4"/>
  <c r="BP221" i="4"/>
  <c r="DC221" i="4"/>
  <c r="CV221" i="4"/>
  <c r="CM221" i="4"/>
  <c r="BI221" i="4"/>
  <c r="AY221" i="4"/>
  <c r="AR221" i="4"/>
  <c r="AI221" i="4"/>
  <c r="AN221" i="4"/>
  <c r="CA221" i="4"/>
  <c r="BT221" i="4"/>
  <c r="BK221" i="4"/>
  <c r="BF221" i="4"/>
  <c r="CY253" i="4"/>
  <c r="CR253" i="4"/>
  <c r="AB253" i="4"/>
  <c r="DJ253" i="4"/>
  <c r="BW253" i="4"/>
  <c r="BP253" i="4"/>
  <c r="CO253" i="4"/>
  <c r="AG253" i="4"/>
  <c r="AU253" i="4"/>
  <c r="AN253" i="4"/>
  <c r="CK253" i="4"/>
  <c r="AD253" i="4"/>
  <c r="EE253" i="4"/>
  <c r="DX253" i="4"/>
  <c r="DO253" i="4"/>
  <c r="CH253" i="4"/>
  <c r="DC253" i="4"/>
  <c r="CV253" i="4"/>
  <c r="CM253" i="4"/>
  <c r="CF253" i="4"/>
  <c r="CA253" i="4"/>
  <c r="BK253" i="4"/>
  <c r="AY253" i="4"/>
  <c r="AR253" i="4"/>
  <c r="AI253" i="4"/>
  <c r="BI253" i="4"/>
  <c r="EC253" i="4"/>
  <c r="DV253" i="4"/>
  <c r="DF253" i="4"/>
  <c r="BF253" i="4"/>
  <c r="DA253" i="4"/>
  <c r="CT253" i="4"/>
  <c r="CD253" i="4"/>
  <c r="BD253" i="4"/>
  <c r="BY253" i="4"/>
  <c r="BR253" i="4"/>
  <c r="BB253" i="4"/>
  <c r="DQ253" i="4"/>
  <c r="EA253" i="4"/>
  <c r="DT253" i="4"/>
  <c r="DH253" i="4"/>
  <c r="DM253" i="4"/>
  <c r="CD107" i="4"/>
  <c r="CY107" i="4"/>
  <c r="CR107" i="4"/>
  <c r="BK107" i="4"/>
  <c r="BB107" i="4"/>
  <c r="BW107" i="4"/>
  <c r="BP107" i="4"/>
  <c r="AK107" i="4"/>
  <c r="Z107" i="4"/>
  <c r="AU107" i="4"/>
  <c r="AN107" i="4"/>
  <c r="AI107" i="4"/>
  <c r="DJ107" i="4"/>
  <c r="EE107" i="4"/>
  <c r="DX107" i="4"/>
  <c r="DM107" i="4"/>
  <c r="CH107" i="4"/>
  <c r="DC107" i="4"/>
  <c r="CV107" i="4"/>
  <c r="CK107" i="4"/>
  <c r="BF107" i="4"/>
  <c r="CA107" i="4"/>
  <c r="BI107" i="4"/>
  <c r="AD107" i="4"/>
  <c r="AY107" i="4"/>
  <c r="AR107" i="4"/>
  <c r="AG107" i="4"/>
  <c r="DH107" i="4"/>
  <c r="EC107" i="4"/>
  <c r="DV107" i="4"/>
  <c r="DQ107" i="4"/>
  <c r="CF107" i="4"/>
  <c r="DA107" i="4"/>
  <c r="CT107" i="4"/>
  <c r="DO107" i="4"/>
  <c r="BD107" i="4"/>
  <c r="BY107" i="4"/>
  <c r="BR107" i="4"/>
  <c r="CO107" i="4"/>
  <c r="DF107" i="4"/>
  <c r="EA107" i="4"/>
  <c r="DT107" i="4"/>
  <c r="BM107" i="4"/>
  <c r="DA206" i="4"/>
  <c r="CT206" i="4"/>
  <c r="CM206" i="4"/>
  <c r="BD206" i="4"/>
  <c r="BY206" i="4"/>
  <c r="BR206" i="4"/>
  <c r="BK206" i="4"/>
  <c r="AD206" i="4"/>
  <c r="AW206" i="4"/>
  <c r="AP206" i="4"/>
  <c r="AI206" i="4"/>
  <c r="AG206" i="4"/>
  <c r="DF206" i="4"/>
  <c r="EA206" i="4"/>
  <c r="DT206" i="4"/>
  <c r="AB206" i="4"/>
  <c r="CD206" i="4"/>
  <c r="CY206" i="4"/>
  <c r="CR206" i="4"/>
  <c r="DM206" i="4"/>
  <c r="BB206" i="4"/>
  <c r="BW206" i="4"/>
  <c r="BP206" i="4"/>
  <c r="DJ206" i="4"/>
  <c r="Z206" i="4"/>
  <c r="AU206" i="4"/>
  <c r="AN206" i="4"/>
  <c r="DH206" i="4"/>
  <c r="EE206" i="4"/>
  <c r="DX206" i="4"/>
  <c r="DQ206" i="4"/>
  <c r="CK206" i="4"/>
  <c r="DC206" i="4"/>
  <c r="CV206" i="4"/>
  <c r="CO206" i="4"/>
  <c r="CH206" i="4"/>
  <c r="CA206" i="4"/>
  <c r="BM206" i="4"/>
  <c r="CF206" i="4"/>
  <c r="EC206" i="4"/>
  <c r="DV206" i="4"/>
  <c r="DO206" i="4"/>
  <c r="BF206" i="4"/>
  <c r="EC375" i="4"/>
  <c r="DV375" i="4"/>
  <c r="AI375" i="4"/>
  <c r="AG375" i="4"/>
  <c r="DA375" i="4"/>
  <c r="CT375" i="4"/>
  <c r="DJ375" i="4"/>
  <c r="CH375" i="4"/>
  <c r="BY375" i="4"/>
  <c r="BR375" i="4"/>
  <c r="BF375" i="4"/>
  <c r="AD375" i="4"/>
  <c r="AW375" i="4"/>
  <c r="AP375" i="4"/>
  <c r="DH375" i="4"/>
  <c r="CF375" i="4"/>
  <c r="EA375" i="4"/>
  <c r="DT375" i="4"/>
  <c r="BD375" i="4"/>
  <c r="AB375" i="4"/>
  <c r="CY375" i="4"/>
  <c r="CR375" i="4"/>
  <c r="DF375" i="4"/>
  <c r="CD375" i="4"/>
  <c r="BW375" i="4"/>
  <c r="BP375" i="4"/>
  <c r="BB375" i="4"/>
  <c r="Z375" i="4"/>
  <c r="AU375" i="4"/>
  <c r="AN375" i="4"/>
  <c r="DC375" i="4"/>
  <c r="CA375" i="4"/>
  <c r="DX375" i="4"/>
  <c r="DQ375" i="4"/>
  <c r="AY375" i="4"/>
  <c r="DM375" i="4"/>
  <c r="CV375" i="4"/>
  <c r="DO375" i="4"/>
  <c r="CO375" i="4"/>
  <c r="BI375" i="4"/>
  <c r="BK375" i="4"/>
  <c r="CK375" i="4"/>
  <c r="BM375" i="4"/>
  <c r="BT375" i="4"/>
  <c r="CM375" i="4"/>
  <c r="AK375" i="4"/>
  <c r="EE375" i="4"/>
  <c r="CD88" i="4"/>
  <c r="CY88" i="4"/>
  <c r="CR88" i="4"/>
  <c r="CO88" i="4"/>
  <c r="BB88" i="4"/>
  <c r="BW88" i="4"/>
  <c r="BP88" i="4"/>
  <c r="CM88" i="4"/>
  <c r="AU88" i="4"/>
  <c r="AN88" i="4"/>
  <c r="BM88" i="4"/>
  <c r="DJ88" i="4"/>
  <c r="EE88" i="4"/>
  <c r="DX88" i="4"/>
  <c r="DM88" i="4"/>
  <c r="CH88" i="4"/>
  <c r="DC88" i="4"/>
  <c r="CV88" i="4"/>
  <c r="CK88" i="4"/>
  <c r="BF88" i="4"/>
  <c r="CA88" i="4"/>
  <c r="BT88" i="4"/>
  <c r="BI88" i="4"/>
  <c r="AD88" i="4"/>
  <c r="AY88" i="4"/>
  <c r="AR88" i="4"/>
  <c r="AG88" i="4"/>
  <c r="DH88" i="4"/>
  <c r="EC88" i="4"/>
  <c r="DV88" i="4"/>
  <c r="BK88" i="4"/>
  <c r="CF88" i="4"/>
  <c r="DA88" i="4"/>
  <c r="CT88" i="4"/>
  <c r="AK88" i="4"/>
  <c r="BD88" i="4"/>
  <c r="BY88" i="4"/>
  <c r="BR88" i="4"/>
  <c r="AI88" i="4"/>
  <c r="DF88" i="4"/>
  <c r="EA88" i="4"/>
  <c r="DT88" i="4"/>
  <c r="DO88" i="4"/>
  <c r="T50" i="4"/>
  <c r="DJ50" i="4"/>
  <c r="EE50" i="4"/>
  <c r="DX50" i="4"/>
  <c r="BR50" i="4"/>
  <c r="CH50" i="4"/>
  <c r="DC50" i="4"/>
  <c r="CV50" i="4"/>
  <c r="BM50" i="4"/>
  <c r="BF50" i="4"/>
  <c r="CA50" i="4"/>
  <c r="BK50" i="4"/>
  <c r="AD50" i="4"/>
  <c r="AY50" i="4"/>
  <c r="AR50" i="4"/>
  <c r="AP50" i="4"/>
  <c r="DH50" i="4"/>
  <c r="EC50" i="4"/>
  <c r="DT50" i="4"/>
  <c r="AK50" i="4"/>
  <c r="CF50" i="4"/>
  <c r="DA50" i="4"/>
  <c r="CR50" i="4"/>
  <c r="AI50" i="4"/>
  <c r="BD50" i="4"/>
  <c r="BY50" i="4"/>
  <c r="BP50" i="4"/>
  <c r="DV50" i="4"/>
  <c r="AB50" i="4"/>
  <c r="AW50" i="4"/>
  <c r="AN50" i="4"/>
  <c r="DQ50" i="4"/>
  <c r="DF50" i="4"/>
  <c r="EA50" i="4"/>
  <c r="DM50" i="4"/>
  <c r="DO50" i="4"/>
  <c r="CD50" i="4"/>
  <c r="CY50" i="4"/>
  <c r="CK50" i="4"/>
  <c r="CT50" i="4"/>
  <c r="Z50" i="4"/>
  <c r="AU50" i="4"/>
  <c r="AG50" i="4"/>
  <c r="CM50" i="4"/>
  <c r="BB50" i="4"/>
  <c r="BW50" i="4"/>
  <c r="BI50" i="4"/>
  <c r="CO50" i="4"/>
  <c r="CY11" i="4"/>
  <c r="CT11" i="4"/>
  <c r="CM11" i="4"/>
  <c r="Z11" i="4"/>
  <c r="BW11" i="4"/>
  <c r="BR11" i="4"/>
  <c r="CF11" i="4"/>
  <c r="AG11" i="4"/>
  <c r="AU11" i="4"/>
  <c r="AP11" i="4"/>
  <c r="DO11" i="4"/>
  <c r="DH11" i="4"/>
  <c r="EE11" i="4"/>
  <c r="AI11" i="4"/>
  <c r="BK11" i="4"/>
  <c r="DC11" i="4"/>
  <c r="CK11" i="4"/>
  <c r="DT11" i="4"/>
  <c r="AB11" i="4"/>
  <c r="CA11" i="4"/>
  <c r="BD11" i="4"/>
  <c r="CR11" i="4"/>
  <c r="DJ11" i="4"/>
  <c r="AY11" i="4"/>
  <c r="DX11" i="4"/>
  <c r="BP11" i="4"/>
  <c r="CH11" i="4"/>
  <c r="EC11" i="4"/>
  <c r="CV11" i="4"/>
  <c r="AN11" i="4"/>
  <c r="BF11" i="4"/>
  <c r="DA11" i="4"/>
  <c r="BT11" i="4"/>
  <c r="DQ11" i="4"/>
  <c r="AD11" i="4"/>
  <c r="BY11" i="4"/>
  <c r="AR11" i="4"/>
  <c r="CO11" i="4"/>
  <c r="DF11" i="4"/>
  <c r="EA11" i="4"/>
  <c r="DV11" i="4"/>
  <c r="AK11" i="4"/>
  <c r="BB11" i="4"/>
  <c r="L299" i="4"/>
  <c r="GK299" i="4"/>
  <c r="HG299" i="4" s="1"/>
  <c r="HD299" i="4" s="1"/>
  <c r="L304" i="4"/>
  <c r="GK304" i="4"/>
  <c r="HG304" i="4" s="1"/>
  <c r="L296" i="4"/>
  <c r="GK296" i="4"/>
  <c r="HG296" i="4" s="1"/>
  <c r="HD296" i="4" s="1"/>
  <c r="DQ387" i="4"/>
  <c r="DJ387" i="4"/>
  <c r="AB387" i="4"/>
  <c r="AY387" i="4"/>
  <c r="CO387" i="4"/>
  <c r="CH387" i="4"/>
  <c r="EA387" i="4"/>
  <c r="CY387" i="4"/>
  <c r="BM387" i="4"/>
  <c r="BF387" i="4"/>
  <c r="BW387" i="4"/>
  <c r="AW387" i="4"/>
  <c r="AK387" i="4"/>
  <c r="AD387" i="4"/>
  <c r="DX387" i="4"/>
  <c r="CV387" i="4"/>
  <c r="DO387" i="4"/>
  <c r="DH387" i="4"/>
  <c r="BT387" i="4"/>
  <c r="AU387" i="4"/>
  <c r="CM387" i="4"/>
  <c r="CF387" i="4"/>
  <c r="DV387" i="4"/>
  <c r="EE387" i="4"/>
  <c r="BK387" i="4"/>
  <c r="DF387" i="4"/>
  <c r="BR387" i="4"/>
  <c r="CA387" i="4"/>
  <c r="AI387" i="4"/>
  <c r="CD387" i="4"/>
  <c r="DT387" i="4"/>
  <c r="AN387" i="4"/>
  <c r="DM387" i="4"/>
  <c r="BB387" i="4"/>
  <c r="BP387" i="4"/>
  <c r="CT387" i="4"/>
  <c r="CK387" i="4"/>
  <c r="Z387" i="4"/>
  <c r="DC387" i="4"/>
  <c r="CR387" i="4"/>
  <c r="AG387" i="4"/>
  <c r="DA387" i="4"/>
  <c r="AP387" i="4"/>
  <c r="BI387" i="4"/>
  <c r="EC387" i="4"/>
  <c r="BD387" i="4"/>
  <c r="AR387" i="4"/>
  <c r="EE259" i="4"/>
  <c r="DX259" i="4"/>
  <c r="DQ259" i="4"/>
  <c r="BD259" i="4"/>
  <c r="DC259" i="4"/>
  <c r="CV259" i="4"/>
  <c r="BY259" i="4"/>
  <c r="BR259" i="4"/>
  <c r="BK259" i="4"/>
  <c r="DH259" i="4"/>
  <c r="AW259" i="4"/>
  <c r="AP259" i="4"/>
  <c r="BT259" i="4"/>
  <c r="CM259" i="4"/>
  <c r="CH259" i="4"/>
  <c r="AI259" i="4"/>
  <c r="CF259" i="4"/>
  <c r="DV259" i="4"/>
  <c r="DF259" i="4"/>
  <c r="BI259" i="4"/>
  <c r="CT259" i="4"/>
  <c r="CD259" i="4"/>
  <c r="BF259" i="4"/>
  <c r="CA259" i="4"/>
  <c r="DT259" i="4"/>
  <c r="BB259" i="4"/>
  <c r="AY259" i="4"/>
  <c r="CR259" i="4"/>
  <c r="Z259" i="4"/>
  <c r="EC259" i="4"/>
  <c r="BP259" i="4"/>
  <c r="AG259" i="4"/>
  <c r="DA259" i="4"/>
  <c r="AN259" i="4"/>
  <c r="AD259" i="4"/>
  <c r="EA259" i="4"/>
  <c r="CO259" i="4"/>
  <c r="AB259" i="4"/>
  <c r="CY259" i="4"/>
  <c r="BM259" i="4"/>
  <c r="DM259" i="4"/>
  <c r="AU259" i="4"/>
  <c r="DO259" i="4"/>
  <c r="CK259" i="4"/>
  <c r="CV118" i="4"/>
  <c r="CO118" i="4"/>
  <c r="CF118" i="4"/>
  <c r="BB118" i="4"/>
  <c r="BT118" i="4"/>
  <c r="BM118" i="4"/>
  <c r="BD118" i="4"/>
  <c r="AD118" i="4"/>
  <c r="AR118" i="4"/>
  <c r="AK118" i="4"/>
  <c r="AB118" i="4"/>
  <c r="Z118" i="4"/>
  <c r="EC118" i="4"/>
  <c r="DV118" i="4"/>
  <c r="DO118" i="4"/>
  <c r="EE118" i="4"/>
  <c r="DA118" i="4"/>
  <c r="CT118" i="4"/>
  <c r="CM118" i="4"/>
  <c r="DC118" i="4"/>
  <c r="BY118" i="4"/>
  <c r="BK118" i="4"/>
  <c r="CA118" i="4"/>
  <c r="AW118" i="4"/>
  <c r="AP118" i="4"/>
  <c r="AI118" i="4"/>
  <c r="AY118" i="4"/>
  <c r="EA118" i="4"/>
  <c r="DT118" i="4"/>
  <c r="DM118" i="4"/>
  <c r="DJ118" i="4"/>
  <c r="CY118" i="4"/>
  <c r="CR118" i="4"/>
  <c r="CK118" i="4"/>
  <c r="DF118" i="4"/>
  <c r="BW118" i="4"/>
  <c r="BP118" i="4"/>
  <c r="BI118" i="4"/>
  <c r="CH118" i="4"/>
  <c r="DX118" i="4"/>
  <c r="DQ118" i="4"/>
  <c r="DH118" i="4"/>
  <c r="BF118" i="4"/>
  <c r="DC242" i="4"/>
  <c r="CO242" i="4"/>
  <c r="AD242" i="4"/>
  <c r="CA242" i="4"/>
  <c r="BT242" i="4"/>
  <c r="BM242" i="4"/>
  <c r="DM242" i="4"/>
  <c r="AY242" i="4"/>
  <c r="AR242" i="4"/>
  <c r="AK242" i="4"/>
  <c r="DJ242" i="4"/>
  <c r="DH242" i="4"/>
  <c r="EC242" i="4"/>
  <c r="DV242" i="4"/>
  <c r="DO242" i="4"/>
  <c r="CF242" i="4"/>
  <c r="DA242" i="4"/>
  <c r="CT242" i="4"/>
  <c r="CM242" i="4"/>
  <c r="BD242" i="4"/>
  <c r="BY242" i="4"/>
  <c r="BR242" i="4"/>
  <c r="BK242" i="4"/>
  <c r="AB242" i="4"/>
  <c r="AW242" i="4"/>
  <c r="AP242" i="4"/>
  <c r="AI242" i="4"/>
  <c r="DF242" i="4"/>
  <c r="EA242" i="4"/>
  <c r="DT242" i="4"/>
  <c r="CK242" i="4"/>
  <c r="CD242" i="4"/>
  <c r="CY242" i="4"/>
  <c r="CR242" i="4"/>
  <c r="CH242" i="4"/>
  <c r="BB242" i="4"/>
  <c r="BW242" i="4"/>
  <c r="BP242" i="4"/>
  <c r="BI242" i="4"/>
  <c r="EE242" i="4"/>
  <c r="DX242" i="4"/>
  <c r="DQ242" i="4"/>
  <c r="AG242" i="4"/>
  <c r="DH215" i="4"/>
  <c r="EC215" i="4"/>
  <c r="DV215" i="4"/>
  <c r="CK215" i="4"/>
  <c r="CF215" i="4"/>
  <c r="DA215" i="4"/>
  <c r="CT215" i="4"/>
  <c r="CH215" i="4"/>
  <c r="BD215" i="4"/>
  <c r="BY215" i="4"/>
  <c r="BP215" i="4"/>
  <c r="BB215" i="4"/>
  <c r="BW215" i="4"/>
  <c r="CR215" i="4"/>
  <c r="AN215" i="4"/>
  <c r="Z215" i="4"/>
  <c r="AU215" i="4"/>
  <c r="AI215" i="4"/>
  <c r="DQ215" i="4"/>
  <c r="EE215" i="4"/>
  <c r="DX215" i="4"/>
  <c r="CO215" i="4"/>
  <c r="DO215" i="4"/>
  <c r="CD215" i="4"/>
  <c r="AK215" i="4"/>
  <c r="DC215" i="4"/>
  <c r="AG215" i="4"/>
  <c r="CA215" i="4"/>
  <c r="CM215" i="4"/>
  <c r="AY215" i="4"/>
  <c r="AD215" i="4"/>
  <c r="AW215" i="4"/>
  <c r="BM215" i="4"/>
  <c r="EA215" i="4"/>
  <c r="DT215" i="4"/>
  <c r="CY215" i="4"/>
  <c r="BK215" i="4"/>
  <c r="CV215" i="4"/>
  <c r="DM215" i="4"/>
  <c r="BT215" i="4"/>
  <c r="BF215" i="4"/>
  <c r="AR215" i="4"/>
  <c r="BI215" i="4"/>
  <c r="DF215" i="4"/>
  <c r="DJ215" i="4"/>
  <c r="EC166" i="4"/>
  <c r="DV166" i="4"/>
  <c r="DO166" i="4"/>
  <c r="DH166" i="4"/>
  <c r="DA166" i="4"/>
  <c r="CT166" i="4"/>
  <c r="CM166" i="4"/>
  <c r="CF166" i="4"/>
  <c r="BR166" i="4"/>
  <c r="BK166" i="4"/>
  <c r="BD166" i="4"/>
  <c r="AW166" i="4"/>
  <c r="AP166" i="4"/>
  <c r="AI166" i="4"/>
  <c r="AB166" i="4"/>
  <c r="EA166" i="4"/>
  <c r="DT166" i="4"/>
  <c r="DM166" i="4"/>
  <c r="EE166" i="4"/>
  <c r="CY166" i="4"/>
  <c r="CR166" i="4"/>
  <c r="CK166" i="4"/>
  <c r="DC166" i="4"/>
  <c r="BW166" i="4"/>
  <c r="BP166" i="4"/>
  <c r="BI166" i="4"/>
  <c r="CA166" i="4"/>
  <c r="AU166" i="4"/>
  <c r="AN166" i="4"/>
  <c r="AG166" i="4"/>
  <c r="AY166" i="4"/>
  <c r="DX166" i="4"/>
  <c r="DQ166" i="4"/>
  <c r="DJ166" i="4"/>
  <c r="DF166" i="4"/>
  <c r="CV166" i="4"/>
  <c r="CO166" i="4"/>
  <c r="CH166" i="4"/>
  <c r="CD166" i="4"/>
  <c r="AR166" i="4"/>
  <c r="AK166" i="4"/>
  <c r="AD166" i="4"/>
  <c r="Z166" i="4"/>
  <c r="BT166" i="4"/>
  <c r="BM166" i="4"/>
  <c r="BF166" i="4"/>
  <c r="BB166" i="4"/>
  <c r="X105" i="4"/>
  <c r="CD105" i="4"/>
  <c r="CY105" i="4"/>
  <c r="CR105" i="4"/>
  <c r="CO105" i="4"/>
  <c r="BB105" i="4"/>
  <c r="BW105" i="4"/>
  <c r="BP105" i="4"/>
  <c r="CM105" i="4"/>
  <c r="Z105" i="4"/>
  <c r="AU105" i="4"/>
  <c r="AN105" i="4"/>
  <c r="BM105" i="4"/>
  <c r="DJ105" i="4"/>
  <c r="EE105" i="4"/>
  <c r="DX105" i="4"/>
  <c r="DM105" i="4"/>
  <c r="CH105" i="4"/>
  <c r="DC105" i="4"/>
  <c r="CV105" i="4"/>
  <c r="CK105" i="4"/>
  <c r="BF105" i="4"/>
  <c r="CA105" i="4"/>
  <c r="BT105" i="4"/>
  <c r="AD105" i="4"/>
  <c r="AY105" i="4"/>
  <c r="AR105" i="4"/>
  <c r="AG105" i="4"/>
  <c r="DH105" i="4"/>
  <c r="EC105" i="4"/>
  <c r="DV105" i="4"/>
  <c r="BK105" i="4"/>
  <c r="CF105" i="4"/>
  <c r="DA105" i="4"/>
  <c r="CT105" i="4"/>
  <c r="AK105" i="4"/>
  <c r="BD105" i="4"/>
  <c r="BY105" i="4"/>
  <c r="BR105" i="4"/>
  <c r="AI105" i="4"/>
  <c r="DF105" i="4"/>
  <c r="EA105" i="4"/>
  <c r="DT105" i="4"/>
  <c r="DO105" i="4"/>
  <c r="EE247" i="4"/>
  <c r="AR247" i="4"/>
  <c r="AG247" i="4"/>
  <c r="DC247" i="4"/>
  <c r="EA247" i="4"/>
  <c r="DM247" i="4"/>
  <c r="CY247" i="4"/>
  <c r="CA247" i="4"/>
  <c r="CM247" i="4"/>
  <c r="CD247" i="4"/>
  <c r="BM247" i="4"/>
  <c r="AY247" i="4"/>
  <c r="BD247" i="4"/>
  <c r="AP247" i="4"/>
  <c r="AD247" i="4"/>
  <c r="EC247" i="4"/>
  <c r="DX247" i="4"/>
  <c r="DJ247" i="4"/>
  <c r="CV247" i="4"/>
  <c r="DA247" i="4"/>
  <c r="CK247" i="4"/>
  <c r="BW247" i="4"/>
  <c r="BK247" i="4"/>
  <c r="BY247" i="4"/>
  <c r="BB247" i="4"/>
  <c r="AK247" i="4"/>
  <c r="AB247" i="4"/>
  <c r="AW247" i="4"/>
  <c r="DQ247" i="4"/>
  <c r="DH247" i="4"/>
  <c r="CT247" i="4"/>
  <c r="DV247" i="4"/>
  <c r="CH247" i="4"/>
  <c r="BT247" i="4"/>
  <c r="CO247" i="4"/>
  <c r="DT247" i="4"/>
  <c r="AU247" i="4"/>
  <c r="AI247" i="4"/>
  <c r="BI247" i="4"/>
  <c r="BP247" i="4"/>
  <c r="CF247" i="4"/>
  <c r="BR247" i="4"/>
  <c r="Z247" i="4"/>
  <c r="CR247" i="4"/>
  <c r="DO247" i="4"/>
  <c r="DF247" i="4"/>
  <c r="BF247" i="4"/>
  <c r="Z84" i="4"/>
  <c r="AU84" i="4"/>
  <c r="AN84" i="4"/>
  <c r="DQ84" i="4"/>
  <c r="CF84" i="4"/>
  <c r="DA84" i="4"/>
  <c r="CT84" i="4"/>
  <c r="CO84" i="4"/>
  <c r="DC84" i="4"/>
  <c r="AR84" i="4"/>
  <c r="CM84" i="4"/>
  <c r="DJ84" i="4"/>
  <c r="CA84" i="4"/>
  <c r="DV84" i="4"/>
  <c r="BM84" i="4"/>
  <c r="CH84" i="4"/>
  <c r="AY84" i="4"/>
  <c r="BK84" i="4"/>
  <c r="BF84" i="4"/>
  <c r="EC84" i="4"/>
  <c r="AP84" i="4"/>
  <c r="AK84" i="4"/>
  <c r="AD84" i="4"/>
  <c r="BY84" i="4"/>
  <c r="DT84" i="4"/>
  <c r="AI84" i="4"/>
  <c r="DH84" i="4"/>
  <c r="AW84" i="4"/>
  <c r="CR84" i="4"/>
  <c r="BD84" i="4"/>
  <c r="EA84" i="4"/>
  <c r="BP84" i="4"/>
  <c r="AB84" i="4"/>
  <c r="CY84" i="4"/>
  <c r="DM84" i="4"/>
  <c r="DF84" i="4"/>
  <c r="BW84" i="4"/>
  <c r="CK84" i="4"/>
  <c r="CD84" i="4"/>
  <c r="DX84" i="4"/>
  <c r="BI84" i="4"/>
  <c r="EE84" i="4"/>
  <c r="BT84" i="4"/>
  <c r="DO84" i="4"/>
  <c r="AG84" i="4"/>
  <c r="CV84" i="4"/>
  <c r="DJ95" i="4"/>
  <c r="EE95" i="4"/>
  <c r="DX95" i="4"/>
  <c r="DM95" i="4"/>
  <c r="CH95" i="4"/>
  <c r="DC95" i="4"/>
  <c r="CV95" i="4"/>
  <c r="CK95" i="4"/>
  <c r="BF95" i="4"/>
  <c r="CA95" i="4"/>
  <c r="BI95" i="4"/>
  <c r="AD95" i="4"/>
  <c r="AY95" i="4"/>
  <c r="AR95" i="4"/>
  <c r="AG95" i="4"/>
  <c r="DH95" i="4"/>
  <c r="EC95" i="4"/>
  <c r="DV95" i="4"/>
  <c r="DO95" i="4"/>
  <c r="CF95" i="4"/>
  <c r="DA95" i="4"/>
  <c r="CT95" i="4"/>
  <c r="CO95" i="4"/>
  <c r="BD95" i="4"/>
  <c r="BY95" i="4"/>
  <c r="BR95" i="4"/>
  <c r="CM95" i="4"/>
  <c r="AB95" i="4"/>
  <c r="AW95" i="4"/>
  <c r="AP95" i="4"/>
  <c r="BM95" i="4"/>
  <c r="DF95" i="4"/>
  <c r="EA95" i="4"/>
  <c r="DT95" i="4"/>
  <c r="BK95" i="4"/>
  <c r="CD95" i="4"/>
  <c r="CY95" i="4"/>
  <c r="CR95" i="4"/>
  <c r="AK95" i="4"/>
  <c r="Z95" i="4"/>
  <c r="AU95" i="4"/>
  <c r="AN95" i="4"/>
  <c r="DQ95" i="4"/>
  <c r="AI95" i="4"/>
  <c r="BB95" i="4"/>
  <c r="BP95" i="4"/>
  <c r="DH212" i="4"/>
  <c r="DO212" i="4"/>
  <c r="CR212" i="4"/>
  <c r="CF212" i="4"/>
  <c r="AU212" i="4"/>
  <c r="BT212" i="4"/>
  <c r="BF212" i="4"/>
  <c r="BD212" i="4"/>
  <c r="DV212" i="4"/>
  <c r="AG212" i="4"/>
  <c r="CO212" i="4"/>
  <c r="AB212" i="4"/>
  <c r="CT212" i="4"/>
  <c r="DM212" i="4"/>
  <c r="AY212" i="4"/>
  <c r="DF212" i="4"/>
  <c r="BR212" i="4"/>
  <c r="BP212" i="4"/>
  <c r="DX212" i="4"/>
  <c r="CD212" i="4"/>
  <c r="AP212" i="4"/>
  <c r="AD212" i="4"/>
  <c r="CM212" i="4"/>
  <c r="BB212" i="4"/>
  <c r="DT212" i="4"/>
  <c r="DJ212" i="4"/>
  <c r="CK212" i="4"/>
  <c r="Z212" i="4"/>
  <c r="CA212" i="4"/>
  <c r="BM212" i="4"/>
  <c r="CH212" i="4"/>
  <c r="EC212" i="4"/>
  <c r="AK212" i="4"/>
  <c r="DC212" i="4"/>
  <c r="AW212" i="4"/>
  <c r="DA212" i="4"/>
  <c r="DQ212" i="4"/>
  <c r="BK212" i="4"/>
  <c r="AR212" i="4"/>
  <c r="CY212" i="4"/>
  <c r="AI212" i="4"/>
  <c r="BI212" i="4"/>
  <c r="EE212" i="4"/>
  <c r="EA212" i="4"/>
  <c r="BY212" i="4"/>
  <c r="CV212" i="4"/>
  <c r="AN212" i="4"/>
  <c r="CD70" i="4"/>
  <c r="CY70" i="4"/>
  <c r="CR70" i="4"/>
  <c r="BK70" i="4"/>
  <c r="BB70" i="4"/>
  <c r="BW70" i="4"/>
  <c r="AK70" i="4"/>
  <c r="Z70" i="4"/>
  <c r="AU70" i="4"/>
  <c r="AN70" i="4"/>
  <c r="AI70" i="4"/>
  <c r="DJ70" i="4"/>
  <c r="EE70" i="4"/>
  <c r="DX70" i="4"/>
  <c r="DM70" i="4"/>
  <c r="CH70" i="4"/>
  <c r="DC70" i="4"/>
  <c r="CV70" i="4"/>
  <c r="CK70" i="4"/>
  <c r="BF70" i="4"/>
  <c r="CA70" i="4"/>
  <c r="BT70" i="4"/>
  <c r="BI70" i="4"/>
  <c r="AD70" i="4"/>
  <c r="AY70" i="4"/>
  <c r="AR70" i="4"/>
  <c r="AG70" i="4"/>
  <c r="DH70" i="4"/>
  <c r="EC70" i="4"/>
  <c r="DV70" i="4"/>
  <c r="DQ70" i="4"/>
  <c r="CF70" i="4"/>
  <c r="DA70" i="4"/>
  <c r="CT70" i="4"/>
  <c r="DO70" i="4"/>
  <c r="BD70" i="4"/>
  <c r="BY70" i="4"/>
  <c r="BR70" i="4"/>
  <c r="CO70" i="4"/>
  <c r="DF70" i="4"/>
  <c r="EA70" i="4"/>
  <c r="DT70" i="4"/>
  <c r="BM70" i="4"/>
  <c r="CD273" i="4"/>
  <c r="AU273" i="4"/>
  <c r="AP273" i="4"/>
  <c r="DV273" i="4"/>
  <c r="BB273" i="4"/>
  <c r="DX273" i="4"/>
  <c r="CR273" i="4"/>
  <c r="BY273" i="4"/>
  <c r="Z273" i="4"/>
  <c r="CV273" i="4"/>
  <c r="AN273" i="4"/>
  <c r="DJ273" i="4"/>
  <c r="EE273" i="4"/>
  <c r="BT273" i="4"/>
  <c r="CO273" i="4"/>
  <c r="CH273" i="4"/>
  <c r="DC273" i="4"/>
  <c r="AR273" i="4"/>
  <c r="AK273" i="4"/>
  <c r="BF273" i="4"/>
  <c r="CA273" i="4"/>
  <c r="DQ273" i="4"/>
  <c r="CM273" i="4"/>
  <c r="AD273" i="4"/>
  <c r="AY273" i="4"/>
  <c r="BK273" i="4"/>
  <c r="AI273" i="4"/>
  <c r="DH273" i="4"/>
  <c r="EC273" i="4"/>
  <c r="DO273" i="4"/>
  <c r="CK273" i="4"/>
  <c r="CF273" i="4"/>
  <c r="DA273" i="4"/>
  <c r="BI273" i="4"/>
  <c r="AG273" i="4"/>
  <c r="BD273" i="4"/>
  <c r="EA273" i="4"/>
  <c r="DM273" i="4"/>
  <c r="BR273" i="4"/>
  <c r="DF273" i="4"/>
  <c r="BW273" i="4"/>
  <c r="CT273" i="4"/>
  <c r="BM273" i="4"/>
  <c r="EC140" i="4"/>
  <c r="DV140" i="4"/>
  <c r="DO140" i="4"/>
  <c r="DH140" i="4"/>
  <c r="DA140" i="4"/>
  <c r="CT140" i="4"/>
  <c r="CM140" i="4"/>
  <c r="CF140" i="4"/>
  <c r="BY140" i="4"/>
  <c r="BR140" i="4"/>
  <c r="BK140" i="4"/>
  <c r="BD140" i="4"/>
  <c r="AW140" i="4"/>
  <c r="AP140" i="4"/>
  <c r="AI140" i="4"/>
  <c r="AB140" i="4"/>
  <c r="EA140" i="4"/>
  <c r="DT140" i="4"/>
  <c r="DM140" i="4"/>
  <c r="EE140" i="4"/>
  <c r="CY140" i="4"/>
  <c r="CR140" i="4"/>
  <c r="CK140" i="4"/>
  <c r="DC140" i="4"/>
  <c r="BW140" i="4"/>
  <c r="BP140" i="4"/>
  <c r="BI140" i="4"/>
  <c r="CA140" i="4"/>
  <c r="AU140" i="4"/>
  <c r="AG140" i="4"/>
  <c r="AY140" i="4"/>
  <c r="DX140" i="4"/>
  <c r="DQ140" i="4"/>
  <c r="DJ140" i="4"/>
  <c r="BB140" i="4"/>
  <c r="CV140" i="4"/>
  <c r="CO140" i="4"/>
  <c r="CH140" i="4"/>
  <c r="Z140" i="4"/>
  <c r="AR140" i="4"/>
  <c r="AK140" i="4"/>
  <c r="AD140" i="4"/>
  <c r="DF140" i="4"/>
  <c r="BT140" i="4"/>
  <c r="BM140" i="4"/>
  <c r="BF140" i="4"/>
  <c r="CD140" i="4"/>
  <c r="T81" i="4"/>
  <c r="CD81" i="4"/>
  <c r="CY81" i="4"/>
  <c r="CR81" i="4"/>
  <c r="AK81" i="4"/>
  <c r="BB81" i="4"/>
  <c r="BW81" i="4"/>
  <c r="BP81" i="4"/>
  <c r="AI81" i="4"/>
  <c r="Z81" i="4"/>
  <c r="AU81" i="4"/>
  <c r="AN81" i="4"/>
  <c r="DQ81" i="4"/>
  <c r="DJ81" i="4"/>
  <c r="EE81" i="4"/>
  <c r="DX81" i="4"/>
  <c r="DM81" i="4"/>
  <c r="CH81" i="4"/>
  <c r="DC81" i="4"/>
  <c r="CV81" i="4"/>
  <c r="CK81" i="4"/>
  <c r="BF81" i="4"/>
  <c r="BT81" i="4"/>
  <c r="BI81" i="4"/>
  <c r="AD81" i="4"/>
  <c r="AY81" i="4"/>
  <c r="AR81" i="4"/>
  <c r="AG81" i="4"/>
  <c r="DH81" i="4"/>
  <c r="EC81" i="4"/>
  <c r="DV81" i="4"/>
  <c r="DO81" i="4"/>
  <c r="CF81" i="4"/>
  <c r="DA81" i="4"/>
  <c r="CT81" i="4"/>
  <c r="CO81" i="4"/>
  <c r="BD81" i="4"/>
  <c r="BY81" i="4"/>
  <c r="BR81" i="4"/>
  <c r="CM81" i="4"/>
  <c r="DF81" i="4"/>
  <c r="EA81" i="4"/>
  <c r="DT81" i="4"/>
  <c r="BK81" i="4"/>
  <c r="CD291" i="4"/>
  <c r="CY291" i="4"/>
  <c r="CK291" i="4"/>
  <c r="DO291" i="4"/>
  <c r="BB291" i="4"/>
  <c r="BW291" i="4"/>
  <c r="BR291" i="4"/>
  <c r="CT291" i="4"/>
  <c r="Z291" i="4"/>
  <c r="AU291" i="4"/>
  <c r="BP291" i="4"/>
  <c r="AI291" i="4"/>
  <c r="DJ291" i="4"/>
  <c r="EE291" i="4"/>
  <c r="DX291" i="4"/>
  <c r="BK291" i="4"/>
  <c r="CH291" i="4"/>
  <c r="DC291" i="4"/>
  <c r="CV291" i="4"/>
  <c r="BI291" i="4"/>
  <c r="BF291" i="4"/>
  <c r="CA291" i="4"/>
  <c r="BT291" i="4"/>
  <c r="DV291" i="4"/>
  <c r="AD291" i="4"/>
  <c r="AY291" i="4"/>
  <c r="AR291" i="4"/>
  <c r="AP291" i="4"/>
  <c r="DH291" i="4"/>
  <c r="EC291" i="4"/>
  <c r="DT291" i="4"/>
  <c r="CF291" i="4"/>
  <c r="DA291" i="4"/>
  <c r="CO291" i="4"/>
  <c r="AN291" i="4"/>
  <c r="BD291" i="4"/>
  <c r="BY291" i="4"/>
  <c r="BM291" i="4"/>
  <c r="DM291" i="4"/>
  <c r="DF291" i="4"/>
  <c r="EA291" i="4"/>
  <c r="CM291" i="4"/>
  <c r="CR291" i="4"/>
  <c r="EC138" i="4"/>
  <c r="DV138" i="4"/>
  <c r="DO138" i="4"/>
  <c r="DH138" i="4"/>
  <c r="DA138" i="4"/>
  <c r="CT138" i="4"/>
  <c r="CM138" i="4"/>
  <c r="CF138" i="4"/>
  <c r="BY138" i="4"/>
  <c r="BR138" i="4"/>
  <c r="BK138" i="4"/>
  <c r="BD138" i="4"/>
  <c r="AW138" i="4"/>
  <c r="AP138" i="4"/>
  <c r="AI138" i="4"/>
  <c r="AB138" i="4"/>
  <c r="EA138" i="4"/>
  <c r="DT138" i="4"/>
  <c r="DM138" i="4"/>
  <c r="EE138" i="4"/>
  <c r="CY138" i="4"/>
  <c r="CR138" i="4"/>
  <c r="CK138" i="4"/>
  <c r="DC138" i="4"/>
  <c r="BW138" i="4"/>
  <c r="BP138" i="4"/>
  <c r="BI138" i="4"/>
  <c r="CA138" i="4"/>
  <c r="AU138" i="4"/>
  <c r="AN138" i="4"/>
  <c r="AG138" i="4"/>
  <c r="AY138" i="4"/>
  <c r="DX138" i="4"/>
  <c r="DJ138" i="4"/>
  <c r="DF138" i="4"/>
  <c r="CV138" i="4"/>
  <c r="CO138" i="4"/>
  <c r="CH138" i="4"/>
  <c r="CD138" i="4"/>
  <c r="AR138" i="4"/>
  <c r="AK138" i="4"/>
  <c r="AD138" i="4"/>
  <c r="Z138" i="4"/>
  <c r="BT138" i="4"/>
  <c r="BM138" i="4"/>
  <c r="BF138" i="4"/>
  <c r="BB138" i="4"/>
  <c r="DA183" i="4"/>
  <c r="CT183" i="4"/>
  <c r="AB183" i="4"/>
  <c r="BY183" i="4"/>
  <c r="BR183" i="4"/>
  <c r="BK183" i="4"/>
  <c r="CK183" i="4"/>
  <c r="AW183" i="4"/>
  <c r="AP183" i="4"/>
  <c r="BI183" i="4"/>
  <c r="CM183" i="4"/>
  <c r="DF183" i="4"/>
  <c r="EA183" i="4"/>
  <c r="DT183" i="4"/>
  <c r="BF183" i="4"/>
  <c r="CD183" i="4"/>
  <c r="CY183" i="4"/>
  <c r="CR183" i="4"/>
  <c r="BD183" i="4"/>
  <c r="BB183" i="4"/>
  <c r="BW183" i="4"/>
  <c r="BP183" i="4"/>
  <c r="DO183" i="4"/>
  <c r="Z183" i="4"/>
  <c r="AU183" i="4"/>
  <c r="AN183" i="4"/>
  <c r="AI183" i="4"/>
  <c r="EE183" i="4"/>
  <c r="DX183" i="4"/>
  <c r="DQ183" i="4"/>
  <c r="DM183" i="4"/>
  <c r="DC183" i="4"/>
  <c r="CV183" i="4"/>
  <c r="CO183" i="4"/>
  <c r="AG183" i="4"/>
  <c r="CA183" i="4"/>
  <c r="BT183" i="4"/>
  <c r="BM183" i="4"/>
  <c r="DJ183" i="4"/>
  <c r="EC183" i="4"/>
  <c r="DV183" i="4"/>
  <c r="CH183" i="4"/>
  <c r="DH183" i="4"/>
  <c r="V271" i="4"/>
  <c r="CY271" i="4"/>
  <c r="CR271" i="4"/>
  <c r="CD271" i="4"/>
  <c r="CF271" i="4"/>
  <c r="BW271" i="4"/>
  <c r="BP271" i="4"/>
  <c r="BB271" i="4"/>
  <c r="BI271" i="4"/>
  <c r="AU271" i="4"/>
  <c r="AN271" i="4"/>
  <c r="BF271" i="4"/>
  <c r="DJ271" i="4"/>
  <c r="EE271" i="4"/>
  <c r="DV271" i="4"/>
  <c r="BD271" i="4"/>
  <c r="DH271" i="4"/>
  <c r="CV271" i="4"/>
  <c r="CO271" i="4"/>
  <c r="AG271" i="4"/>
  <c r="EA271" i="4"/>
  <c r="BT271" i="4"/>
  <c r="BM271" i="4"/>
  <c r="AD271" i="4"/>
  <c r="DC271" i="4"/>
  <c r="AR271" i="4"/>
  <c r="AK271" i="4"/>
  <c r="AB271" i="4"/>
  <c r="CA271" i="4"/>
  <c r="EC271" i="4"/>
  <c r="DT271" i="4"/>
  <c r="DQ271" i="4"/>
  <c r="AY271" i="4"/>
  <c r="CT271" i="4"/>
  <c r="CM271" i="4"/>
  <c r="DO271" i="4"/>
  <c r="DA271" i="4"/>
  <c r="BR271" i="4"/>
  <c r="BK271" i="4"/>
  <c r="DM271" i="4"/>
  <c r="AW271" i="4"/>
  <c r="DX271" i="4"/>
  <c r="DF271" i="4"/>
  <c r="CH271" i="4"/>
  <c r="CY270" i="4"/>
  <c r="CR270" i="4"/>
  <c r="CD270" i="4"/>
  <c r="CF270" i="4"/>
  <c r="BW270" i="4"/>
  <c r="BP270" i="4"/>
  <c r="BB270" i="4"/>
  <c r="BI270" i="4"/>
  <c r="AU270" i="4"/>
  <c r="AN270" i="4"/>
  <c r="Z270" i="4"/>
  <c r="BF270" i="4"/>
  <c r="EE270" i="4"/>
  <c r="DX270" i="4"/>
  <c r="BD270" i="4"/>
  <c r="DC270" i="4"/>
  <c r="CV270" i="4"/>
  <c r="CO270" i="4"/>
  <c r="AG270" i="4"/>
  <c r="CA270" i="4"/>
  <c r="BT270" i="4"/>
  <c r="BM270" i="4"/>
  <c r="AD270" i="4"/>
  <c r="AY270" i="4"/>
  <c r="AR270" i="4"/>
  <c r="AK270" i="4"/>
  <c r="AB270" i="4"/>
  <c r="EC270" i="4"/>
  <c r="DV270" i="4"/>
  <c r="DO270" i="4"/>
  <c r="DM270" i="4"/>
  <c r="DA270" i="4"/>
  <c r="CT270" i="4"/>
  <c r="CM270" i="4"/>
  <c r="DJ270" i="4"/>
  <c r="BY270" i="4"/>
  <c r="BR270" i="4"/>
  <c r="BK270" i="4"/>
  <c r="DH270" i="4"/>
  <c r="EA270" i="4"/>
  <c r="DT270" i="4"/>
  <c r="DF270" i="4"/>
  <c r="CH270" i="4"/>
  <c r="CV135" i="4"/>
  <c r="CO135" i="4"/>
  <c r="CH135" i="4"/>
  <c r="CD135" i="4"/>
  <c r="BT135" i="4"/>
  <c r="BM135" i="4"/>
  <c r="BF135" i="4"/>
  <c r="BB135" i="4"/>
  <c r="AR135" i="4"/>
  <c r="AK135" i="4"/>
  <c r="AD135" i="4"/>
  <c r="Z135" i="4"/>
  <c r="EC135" i="4"/>
  <c r="DV135" i="4"/>
  <c r="DO135" i="4"/>
  <c r="DH135" i="4"/>
  <c r="DA135" i="4"/>
  <c r="CT135" i="4"/>
  <c r="CM135" i="4"/>
  <c r="CF135" i="4"/>
  <c r="BY135" i="4"/>
  <c r="BR135" i="4"/>
  <c r="BK135" i="4"/>
  <c r="BD135" i="4"/>
  <c r="AW135" i="4"/>
  <c r="AP135" i="4"/>
  <c r="AI135" i="4"/>
  <c r="AB135" i="4"/>
  <c r="EA135" i="4"/>
  <c r="DT135" i="4"/>
  <c r="DM135" i="4"/>
  <c r="EE135" i="4"/>
  <c r="CY135" i="4"/>
  <c r="CR135" i="4"/>
  <c r="CK135" i="4"/>
  <c r="DC135" i="4"/>
  <c r="BW135" i="4"/>
  <c r="BP135" i="4"/>
  <c r="BI135" i="4"/>
  <c r="CA135" i="4"/>
  <c r="DX135" i="4"/>
  <c r="DJ135" i="4"/>
  <c r="DF135" i="4"/>
  <c r="DC228" i="4"/>
  <c r="CV228" i="4"/>
  <c r="CM228" i="4"/>
  <c r="BI228" i="4"/>
  <c r="CA228" i="4"/>
  <c r="BT228" i="4"/>
  <c r="BK228" i="4"/>
  <c r="BF228" i="4"/>
  <c r="AY228" i="4"/>
  <c r="AR228" i="4"/>
  <c r="AI228" i="4"/>
  <c r="AN228" i="4"/>
  <c r="DH228" i="4"/>
  <c r="EC228" i="4"/>
  <c r="DV228" i="4"/>
  <c r="AG228" i="4"/>
  <c r="CF228" i="4"/>
  <c r="DA228" i="4"/>
  <c r="CT228" i="4"/>
  <c r="AD228" i="4"/>
  <c r="BD228" i="4"/>
  <c r="BY228" i="4"/>
  <c r="BR228" i="4"/>
  <c r="DT228" i="4"/>
  <c r="AB228" i="4"/>
  <c r="AW228" i="4"/>
  <c r="AP228" i="4"/>
  <c r="DM228" i="4"/>
  <c r="DF228" i="4"/>
  <c r="EA228" i="4"/>
  <c r="DQ228" i="4"/>
  <c r="DJ228" i="4"/>
  <c r="CD228" i="4"/>
  <c r="CY228" i="4"/>
  <c r="CO228" i="4"/>
  <c r="CR228" i="4"/>
  <c r="BB228" i="4"/>
  <c r="BW228" i="4"/>
  <c r="BM228" i="4"/>
  <c r="CK228" i="4"/>
  <c r="EE228" i="4"/>
  <c r="DX228" i="4"/>
  <c r="DO228" i="4"/>
  <c r="BP228" i="4"/>
  <c r="V18" i="4"/>
  <c r="EE18" i="4"/>
  <c r="DX18" i="4"/>
  <c r="BP18" i="4"/>
  <c r="AI18" i="4"/>
  <c r="DC18" i="4"/>
  <c r="CV18" i="4"/>
  <c r="AN18" i="4"/>
  <c r="CA18" i="4"/>
  <c r="BT18" i="4"/>
  <c r="DM18" i="4"/>
  <c r="DJ18" i="4"/>
  <c r="AY18" i="4"/>
  <c r="AR18" i="4"/>
  <c r="DH18" i="4"/>
  <c r="CH18" i="4"/>
  <c r="EC18" i="4"/>
  <c r="CK18" i="4"/>
  <c r="DQ18" i="4"/>
  <c r="BF18" i="4"/>
  <c r="DA18" i="4"/>
  <c r="AG18" i="4"/>
  <c r="CO18" i="4"/>
  <c r="AD18" i="4"/>
  <c r="BY18" i="4"/>
  <c r="DV18" i="4"/>
  <c r="BM18" i="4"/>
  <c r="CF18" i="4"/>
  <c r="AW18" i="4"/>
  <c r="CT18" i="4"/>
  <c r="AK18" i="4"/>
  <c r="DF18" i="4"/>
  <c r="EA18" i="4"/>
  <c r="BR18" i="4"/>
  <c r="BD18" i="4"/>
  <c r="CD18" i="4"/>
  <c r="CY18" i="4"/>
  <c r="AP18" i="4"/>
  <c r="DO18" i="4"/>
  <c r="BB18" i="4"/>
  <c r="AU18" i="4"/>
  <c r="CR18" i="4"/>
  <c r="BK18" i="4"/>
  <c r="AB18" i="4"/>
  <c r="BW18" i="4"/>
  <c r="DT18" i="4"/>
  <c r="CM18" i="4"/>
  <c r="Z18" i="4"/>
  <c r="AB293" i="4"/>
  <c r="Z230" i="4"/>
  <c r="AY195" i="4"/>
  <c r="AB107" i="4"/>
  <c r="AB58" i="4"/>
  <c r="AW11" i="4"/>
  <c r="AB81" i="4"/>
  <c r="AY315" i="4"/>
  <c r="AB282" i="4"/>
  <c r="AW253" i="4"/>
  <c r="AU149" i="4"/>
  <c r="AB105" i="4"/>
  <c r="AB273" i="4"/>
  <c r="BY271" i="4"/>
  <c r="AY206" i="4"/>
  <c r="AU170" i="4"/>
  <c r="AU135" i="4"/>
  <c r="AB44" i="4"/>
  <c r="AU139" i="4"/>
  <c r="AU331" i="4"/>
  <c r="AB291" i="4"/>
  <c r="Z228" i="4"/>
  <c r="AU159" i="4"/>
  <c r="AU119" i="4"/>
  <c r="AB65" i="4"/>
  <c r="BY20" i="4"/>
  <c r="DV364" i="4"/>
  <c r="AY319" i="4"/>
  <c r="AW269" i="4"/>
  <c r="AY201" i="4"/>
  <c r="AU168" i="4"/>
  <c r="AU133" i="4"/>
  <c r="CA42" i="4"/>
  <c r="AB70" i="4"/>
  <c r="BF359" i="4"/>
  <c r="AK259" i="4"/>
  <c r="BB84" i="4"/>
  <c r="L293" i="4"/>
  <c r="GK293" i="4"/>
  <c r="HG293" i="4" s="1"/>
  <c r="HD293" i="4" s="1"/>
  <c r="L300" i="4"/>
  <c r="GK300" i="4"/>
  <c r="HG300" i="4" s="1"/>
  <c r="HD300" i="4" s="1"/>
  <c r="L298" i="4"/>
  <c r="GK298" i="4"/>
  <c r="HG298" i="4" s="1"/>
  <c r="HD298" i="4" s="1"/>
  <c r="L303" i="4"/>
  <c r="GK303" i="4"/>
  <c r="EC329" i="4"/>
  <c r="DV329" i="4"/>
  <c r="DO329" i="4"/>
  <c r="DJ329" i="4"/>
  <c r="DA329" i="4"/>
  <c r="CT329" i="4"/>
  <c r="CM329" i="4"/>
  <c r="AG329" i="4"/>
  <c r="BY329" i="4"/>
  <c r="BR329" i="4"/>
  <c r="BK329" i="4"/>
  <c r="DH329" i="4"/>
  <c r="AW329" i="4"/>
  <c r="AP329" i="4"/>
  <c r="EE329" i="4"/>
  <c r="AD329" i="4"/>
  <c r="EA329" i="4"/>
  <c r="DT329" i="4"/>
  <c r="DC329" i="4"/>
  <c r="DF329" i="4"/>
  <c r="CY329" i="4"/>
  <c r="CR329" i="4"/>
  <c r="CA329" i="4"/>
  <c r="AB329" i="4"/>
  <c r="BW329" i="4"/>
  <c r="BP329" i="4"/>
  <c r="AY329" i="4"/>
  <c r="CK329" i="4"/>
  <c r="AU329" i="4"/>
  <c r="AN329" i="4"/>
  <c r="BF329" i="4"/>
  <c r="DX329" i="4"/>
  <c r="DQ329" i="4"/>
  <c r="BD329" i="4"/>
  <c r="CH329" i="4"/>
  <c r="CV329" i="4"/>
  <c r="CO329" i="4"/>
  <c r="BB329" i="4"/>
  <c r="BI329" i="4"/>
  <c r="AR329" i="4"/>
  <c r="AK329" i="4"/>
  <c r="AI329" i="4"/>
  <c r="CD329" i="4"/>
  <c r="BT329" i="4"/>
  <c r="BM329" i="4"/>
  <c r="DM329" i="4"/>
  <c r="CF329" i="4"/>
  <c r="EE249" i="4"/>
  <c r="DX249" i="4"/>
  <c r="DO249" i="4"/>
  <c r="AI249" i="4"/>
  <c r="DC249" i="4"/>
  <c r="CV249" i="4"/>
  <c r="CM249" i="4"/>
  <c r="DH249" i="4"/>
  <c r="CA249" i="4"/>
  <c r="BY249" i="4"/>
  <c r="BR249" i="4"/>
  <c r="BF249" i="4"/>
  <c r="AB249" i="4"/>
  <c r="AW249" i="4"/>
  <c r="AP249" i="4"/>
  <c r="DQ249" i="4"/>
  <c r="CH249" i="4"/>
  <c r="EA249" i="4"/>
  <c r="DA249" i="4"/>
  <c r="DF249" i="4"/>
  <c r="CF249" i="4"/>
  <c r="CY249" i="4"/>
  <c r="CD249" i="4"/>
  <c r="BM249" i="4"/>
  <c r="BW249" i="4"/>
  <c r="BB249" i="4"/>
  <c r="BK249" i="4"/>
  <c r="AU249" i="4"/>
  <c r="Z249" i="4"/>
  <c r="BI249" i="4"/>
  <c r="BT249" i="4"/>
  <c r="BD249" i="4"/>
  <c r="DM249" i="4"/>
  <c r="DV249" i="4"/>
  <c r="AK249" i="4"/>
  <c r="CT249" i="4"/>
  <c r="DJ249" i="4"/>
  <c r="DT249" i="4"/>
  <c r="AG249" i="4"/>
  <c r="CR249" i="4"/>
  <c r="CO249" i="4"/>
  <c r="EC249" i="4"/>
  <c r="AN249" i="4"/>
  <c r="CK249" i="4"/>
  <c r="CD101" i="4"/>
  <c r="CY101" i="4"/>
  <c r="CR101" i="4"/>
  <c r="BK101" i="4"/>
  <c r="BB101" i="4"/>
  <c r="BW101" i="4"/>
  <c r="BP101" i="4"/>
  <c r="AK101" i="4"/>
  <c r="Z101" i="4"/>
  <c r="AU101" i="4"/>
  <c r="AN101" i="4"/>
  <c r="AI101" i="4"/>
  <c r="DJ101" i="4"/>
  <c r="EE101" i="4"/>
  <c r="DX101" i="4"/>
  <c r="DM101" i="4"/>
  <c r="CH101" i="4"/>
  <c r="DC101" i="4"/>
  <c r="CV101" i="4"/>
  <c r="CK101" i="4"/>
  <c r="BF101" i="4"/>
  <c r="CA101" i="4"/>
  <c r="BT101" i="4"/>
  <c r="BI101" i="4"/>
  <c r="AD101" i="4"/>
  <c r="AY101" i="4"/>
  <c r="AR101" i="4"/>
  <c r="AG101" i="4"/>
  <c r="DH101" i="4"/>
  <c r="EC101" i="4"/>
  <c r="DV101" i="4"/>
  <c r="DQ101" i="4"/>
  <c r="CF101" i="4"/>
  <c r="DA101" i="4"/>
  <c r="CT101" i="4"/>
  <c r="DO101" i="4"/>
  <c r="BD101" i="4"/>
  <c r="BY101" i="4"/>
  <c r="BR101" i="4"/>
  <c r="DF101" i="4"/>
  <c r="EA101" i="4"/>
  <c r="DT101" i="4"/>
  <c r="BM101" i="4"/>
  <c r="X161" i="4"/>
  <c r="CV161" i="4"/>
  <c r="CO161" i="4"/>
  <c r="CH161" i="4"/>
  <c r="CD161" i="4"/>
  <c r="BT161" i="4"/>
  <c r="BM161" i="4"/>
  <c r="BF161" i="4"/>
  <c r="BB161" i="4"/>
  <c r="AR161" i="4"/>
  <c r="AK161" i="4"/>
  <c r="AD161" i="4"/>
  <c r="Z161" i="4"/>
  <c r="EC161" i="4"/>
  <c r="DV161" i="4"/>
  <c r="DO161" i="4"/>
  <c r="DH161" i="4"/>
  <c r="DA161" i="4"/>
  <c r="CT161" i="4"/>
  <c r="CM161" i="4"/>
  <c r="CF161" i="4"/>
  <c r="BY161" i="4"/>
  <c r="BR161" i="4"/>
  <c r="BK161" i="4"/>
  <c r="BD161" i="4"/>
  <c r="AP161" i="4"/>
  <c r="AI161" i="4"/>
  <c r="AB161" i="4"/>
  <c r="EA161" i="4"/>
  <c r="DT161" i="4"/>
  <c r="DM161" i="4"/>
  <c r="EE161" i="4"/>
  <c r="CY161" i="4"/>
  <c r="CR161" i="4"/>
  <c r="CK161" i="4"/>
  <c r="DC161" i="4"/>
  <c r="BW161" i="4"/>
  <c r="BP161" i="4"/>
  <c r="BI161" i="4"/>
  <c r="CA161" i="4"/>
  <c r="DX161" i="4"/>
  <c r="DQ161" i="4"/>
  <c r="DJ161" i="4"/>
  <c r="DF161" i="4"/>
  <c r="V200" i="4"/>
  <c r="DF200" i="4"/>
  <c r="EA200" i="4"/>
  <c r="DT200" i="4"/>
  <c r="AB200" i="4"/>
  <c r="CD200" i="4"/>
  <c r="CY200" i="4"/>
  <c r="CR200" i="4"/>
  <c r="DM200" i="4"/>
  <c r="BB200" i="4"/>
  <c r="BW200" i="4"/>
  <c r="BP200" i="4"/>
  <c r="DJ200" i="4"/>
  <c r="Z200" i="4"/>
  <c r="AU200" i="4"/>
  <c r="DC200" i="4"/>
  <c r="CV200" i="4"/>
  <c r="CA200" i="4"/>
  <c r="BT200" i="4"/>
  <c r="BM200" i="4"/>
  <c r="CF200" i="4"/>
  <c r="AY200" i="4"/>
  <c r="AR200" i="4"/>
  <c r="AK200" i="4"/>
  <c r="BI200" i="4"/>
  <c r="EC200" i="4"/>
  <c r="DV200" i="4"/>
  <c r="DO200" i="4"/>
  <c r="DA200" i="4"/>
  <c r="AW200" i="4"/>
  <c r="AP200" i="4"/>
  <c r="CO200" i="4"/>
  <c r="CM200" i="4"/>
  <c r="BK200" i="4"/>
  <c r="AI200" i="4"/>
  <c r="DH200" i="4"/>
  <c r="EE200" i="4"/>
  <c r="CK200" i="4"/>
  <c r="BY200" i="4"/>
  <c r="CH200" i="4"/>
  <c r="DX200" i="4"/>
  <c r="BD200" i="4"/>
  <c r="CT200" i="4"/>
  <c r="AD200" i="4"/>
  <c r="BR200" i="4"/>
  <c r="AG200" i="4"/>
  <c r="DQ200" i="4"/>
  <c r="DA354" i="4"/>
  <c r="BR354" i="4"/>
  <c r="CR354" i="4"/>
  <c r="CH354" i="4"/>
  <c r="BY354" i="4"/>
  <c r="AG354" i="4"/>
  <c r="BF354" i="4"/>
  <c r="DT354" i="4"/>
  <c r="AW354" i="4"/>
  <c r="DJ354" i="4"/>
  <c r="CO354" i="4"/>
  <c r="CK354" i="4"/>
  <c r="DF354" i="4"/>
  <c r="EA354" i="4"/>
  <c r="BP354" i="4"/>
  <c r="BD354" i="4"/>
  <c r="CD354" i="4"/>
  <c r="CY354" i="4"/>
  <c r="AD354" i="4"/>
  <c r="CM354" i="4"/>
  <c r="BB354" i="4"/>
  <c r="BW354" i="4"/>
  <c r="DH354" i="4"/>
  <c r="AR354" i="4"/>
  <c r="Z354" i="4"/>
  <c r="BM354" i="4"/>
  <c r="DQ354" i="4"/>
  <c r="EE354" i="4"/>
  <c r="DV354" i="4"/>
  <c r="AB354" i="4"/>
  <c r="CF354" i="4"/>
  <c r="DC354" i="4"/>
  <c r="DO354" i="4"/>
  <c r="CV354" i="4"/>
  <c r="AK354" i="4"/>
  <c r="CA354" i="4"/>
  <c r="BT354" i="4"/>
  <c r="BK354" i="4"/>
  <c r="AP354" i="4"/>
  <c r="EC354" i="4"/>
  <c r="DM354" i="4"/>
  <c r="BI354" i="4"/>
  <c r="DX354" i="4"/>
  <c r="EC156" i="4"/>
  <c r="DV156" i="4"/>
  <c r="DO156" i="4"/>
  <c r="DH156" i="4"/>
  <c r="DA156" i="4"/>
  <c r="CT156" i="4"/>
  <c r="CM156" i="4"/>
  <c r="BY156" i="4"/>
  <c r="BR156" i="4"/>
  <c r="BK156" i="4"/>
  <c r="BD156" i="4"/>
  <c r="AW156" i="4"/>
  <c r="AP156" i="4"/>
  <c r="AI156" i="4"/>
  <c r="AB156" i="4"/>
  <c r="EA156" i="4"/>
  <c r="DT156" i="4"/>
  <c r="DM156" i="4"/>
  <c r="EE156" i="4"/>
  <c r="CY156" i="4"/>
  <c r="CR156" i="4"/>
  <c r="CK156" i="4"/>
  <c r="DC156" i="4"/>
  <c r="BW156" i="4"/>
  <c r="BP156" i="4"/>
  <c r="BI156" i="4"/>
  <c r="CA156" i="4"/>
  <c r="AU156" i="4"/>
  <c r="AN156" i="4"/>
  <c r="AG156" i="4"/>
  <c r="AY156" i="4"/>
  <c r="DX156" i="4"/>
  <c r="DQ156" i="4"/>
  <c r="DJ156" i="4"/>
  <c r="DF156" i="4"/>
  <c r="CV156" i="4"/>
  <c r="CO156" i="4"/>
  <c r="CH156" i="4"/>
  <c r="CD156" i="4"/>
  <c r="AR156" i="4"/>
  <c r="AK156" i="4"/>
  <c r="AD156" i="4"/>
  <c r="Z156" i="4"/>
  <c r="BB156" i="4"/>
  <c r="BT156" i="4"/>
  <c r="BF156" i="4"/>
  <c r="DJ63" i="4"/>
  <c r="EE63" i="4"/>
  <c r="DX63" i="4"/>
  <c r="DM63" i="4"/>
  <c r="CH63" i="4"/>
  <c r="DC63" i="4"/>
  <c r="CV63" i="4"/>
  <c r="CK63" i="4"/>
  <c r="BF63" i="4"/>
  <c r="CA63" i="4"/>
  <c r="BT63" i="4"/>
  <c r="BI63" i="4"/>
  <c r="AD63" i="4"/>
  <c r="AY63" i="4"/>
  <c r="AR63" i="4"/>
  <c r="AG63" i="4"/>
  <c r="DH63" i="4"/>
  <c r="EC63" i="4"/>
  <c r="DV63" i="4"/>
  <c r="BK63" i="4"/>
  <c r="CF63" i="4"/>
  <c r="DA63" i="4"/>
  <c r="CT63" i="4"/>
  <c r="AK63" i="4"/>
  <c r="BD63" i="4"/>
  <c r="BY63" i="4"/>
  <c r="BR63" i="4"/>
  <c r="AI63" i="4"/>
  <c r="AB63" i="4"/>
  <c r="AW63" i="4"/>
  <c r="AP63" i="4"/>
  <c r="DF63" i="4"/>
  <c r="EA63" i="4"/>
  <c r="DT63" i="4"/>
  <c r="DO63" i="4"/>
  <c r="CD63" i="4"/>
  <c r="CY63" i="4"/>
  <c r="CR63" i="4"/>
  <c r="CO63" i="4"/>
  <c r="Z63" i="4"/>
  <c r="AU63" i="4"/>
  <c r="AN63" i="4"/>
  <c r="BB63" i="4"/>
  <c r="BW63" i="4"/>
  <c r="BP63" i="4"/>
  <c r="CM63" i="4"/>
  <c r="DH234" i="4"/>
  <c r="EC234" i="4"/>
  <c r="DV234" i="4"/>
  <c r="DO234" i="4"/>
  <c r="CF234" i="4"/>
  <c r="DA234" i="4"/>
  <c r="CT234" i="4"/>
  <c r="BD234" i="4"/>
  <c r="BY234" i="4"/>
  <c r="BR234" i="4"/>
  <c r="BK234" i="4"/>
  <c r="AB234" i="4"/>
  <c r="AW234" i="4"/>
  <c r="AP234" i="4"/>
  <c r="AI234" i="4"/>
  <c r="DF234" i="4"/>
  <c r="EA234" i="4"/>
  <c r="DT234" i="4"/>
  <c r="DM234" i="4"/>
  <c r="CD234" i="4"/>
  <c r="CY234" i="4"/>
  <c r="CR234" i="4"/>
  <c r="DJ234" i="4"/>
  <c r="BB234" i="4"/>
  <c r="BW234" i="4"/>
  <c r="BP234" i="4"/>
  <c r="CK234" i="4"/>
  <c r="Z234" i="4"/>
  <c r="AU234" i="4"/>
  <c r="AN234" i="4"/>
  <c r="CH234" i="4"/>
  <c r="EE234" i="4"/>
  <c r="DX234" i="4"/>
  <c r="DQ234" i="4"/>
  <c r="BI234" i="4"/>
  <c r="DC234" i="4"/>
  <c r="CV234" i="4"/>
  <c r="CO234" i="4"/>
  <c r="BF234" i="4"/>
  <c r="AY234" i="4"/>
  <c r="AR234" i="4"/>
  <c r="AK234" i="4"/>
  <c r="AD234" i="4"/>
  <c r="CA234" i="4"/>
  <c r="BT234" i="4"/>
  <c r="BM234" i="4"/>
  <c r="AG234" i="4"/>
  <c r="Z73" i="4"/>
  <c r="AU73" i="4"/>
  <c r="AN73" i="4"/>
  <c r="AI73" i="4"/>
  <c r="CF73" i="4"/>
  <c r="DA73" i="4"/>
  <c r="CT73" i="4"/>
  <c r="DO73" i="4"/>
  <c r="AD73" i="4"/>
  <c r="BY73" i="4"/>
  <c r="DT73" i="4"/>
  <c r="AK73" i="4"/>
  <c r="DH73" i="4"/>
  <c r="AW73" i="4"/>
  <c r="CR73" i="4"/>
  <c r="BD73" i="4"/>
  <c r="EA73" i="4"/>
  <c r="BP73" i="4"/>
  <c r="AB73" i="4"/>
  <c r="CY73" i="4"/>
  <c r="DM73" i="4"/>
  <c r="DF73" i="4"/>
  <c r="BW73" i="4"/>
  <c r="CK73" i="4"/>
  <c r="CD73" i="4"/>
  <c r="DX73" i="4"/>
  <c r="BB73" i="4"/>
  <c r="CV73" i="4"/>
  <c r="AG73" i="4"/>
  <c r="EE73" i="4"/>
  <c r="BT73" i="4"/>
  <c r="DQ73" i="4"/>
  <c r="DC73" i="4"/>
  <c r="AR73" i="4"/>
  <c r="CO73" i="4"/>
  <c r="DJ73" i="4"/>
  <c r="CA73" i="4"/>
  <c r="DV73" i="4"/>
  <c r="CM73" i="4"/>
  <c r="BF73" i="4"/>
  <c r="EC73" i="4"/>
  <c r="AP73" i="4"/>
  <c r="BK73" i="4"/>
  <c r="CH73" i="4"/>
  <c r="AY73" i="4"/>
  <c r="BR73" i="4"/>
  <c r="BM73" i="4"/>
  <c r="DA182" i="4"/>
  <c r="CT182" i="4"/>
  <c r="CM182" i="4"/>
  <c r="AN182" i="4"/>
  <c r="BY182" i="4"/>
  <c r="BR182" i="4"/>
  <c r="AG182" i="4"/>
  <c r="DO182" i="4"/>
  <c r="AW182" i="4"/>
  <c r="AP182" i="4"/>
  <c r="CK182" i="4"/>
  <c r="BD182" i="4"/>
  <c r="DF182" i="4"/>
  <c r="EA182" i="4"/>
  <c r="DT182" i="4"/>
  <c r="AD182" i="4"/>
  <c r="CD182" i="4"/>
  <c r="CY182" i="4"/>
  <c r="CR182" i="4"/>
  <c r="CH182" i="4"/>
  <c r="BW182" i="4"/>
  <c r="DQ182" i="4"/>
  <c r="AB182" i="4"/>
  <c r="Z182" i="4"/>
  <c r="AU182" i="4"/>
  <c r="CO182" i="4"/>
  <c r="CF182" i="4"/>
  <c r="EE182" i="4"/>
  <c r="DX182" i="4"/>
  <c r="BM182" i="4"/>
  <c r="BP182" i="4"/>
  <c r="DC182" i="4"/>
  <c r="CV182" i="4"/>
  <c r="DJ182" i="4"/>
  <c r="BK182" i="4"/>
  <c r="CA182" i="4"/>
  <c r="BT182" i="4"/>
  <c r="AK182" i="4"/>
  <c r="BI182" i="4"/>
  <c r="EC182" i="4"/>
  <c r="DV182" i="4"/>
  <c r="AI182" i="4"/>
  <c r="DM182" i="4"/>
  <c r="DF197" i="4"/>
  <c r="EA197" i="4"/>
  <c r="DT197" i="4"/>
  <c r="AB197" i="4"/>
  <c r="CD197" i="4"/>
  <c r="CY197" i="4"/>
  <c r="CR197" i="4"/>
  <c r="DM197" i="4"/>
  <c r="BB197" i="4"/>
  <c r="BW197" i="4"/>
  <c r="BP197" i="4"/>
  <c r="DJ197" i="4"/>
  <c r="Z197" i="4"/>
  <c r="AU197" i="4"/>
  <c r="AN197" i="4"/>
  <c r="DH197" i="4"/>
  <c r="EE197" i="4"/>
  <c r="DX197" i="4"/>
  <c r="DQ197" i="4"/>
  <c r="CK197" i="4"/>
  <c r="DC197" i="4"/>
  <c r="CV197" i="4"/>
  <c r="CO197" i="4"/>
  <c r="CH197" i="4"/>
  <c r="CA197" i="4"/>
  <c r="BM197" i="4"/>
  <c r="CF197" i="4"/>
  <c r="AY197" i="4"/>
  <c r="AR197" i="4"/>
  <c r="AK197" i="4"/>
  <c r="BI197" i="4"/>
  <c r="EC197" i="4"/>
  <c r="DV197" i="4"/>
  <c r="DO197" i="4"/>
  <c r="BF197" i="4"/>
  <c r="DA197" i="4"/>
  <c r="CT197" i="4"/>
  <c r="CM197" i="4"/>
  <c r="BD197" i="4"/>
  <c r="AW197" i="4"/>
  <c r="AP197" i="4"/>
  <c r="AI197" i="4"/>
  <c r="AG197" i="4"/>
  <c r="BY197" i="4"/>
  <c r="BR197" i="4"/>
  <c r="BK197" i="4"/>
  <c r="AD197" i="4"/>
  <c r="EC348" i="4"/>
  <c r="DV348" i="4"/>
  <c r="DO348" i="4"/>
  <c r="EE348" i="4"/>
  <c r="DA348" i="4"/>
  <c r="CT348" i="4"/>
  <c r="CM348" i="4"/>
  <c r="DC348" i="4"/>
  <c r="BY348" i="4"/>
  <c r="BR348" i="4"/>
  <c r="BK348" i="4"/>
  <c r="CA348" i="4"/>
  <c r="AW348" i="4"/>
  <c r="AP348" i="4"/>
  <c r="AI348" i="4"/>
  <c r="AY348" i="4"/>
  <c r="EA348" i="4"/>
  <c r="DT348" i="4"/>
  <c r="DM348" i="4"/>
  <c r="AB348" i="4"/>
  <c r="CY348" i="4"/>
  <c r="CR348" i="4"/>
  <c r="CK348" i="4"/>
  <c r="Z348" i="4"/>
  <c r="BW348" i="4"/>
  <c r="BP348" i="4"/>
  <c r="BI348" i="4"/>
  <c r="DH348" i="4"/>
  <c r="AU348" i="4"/>
  <c r="AN348" i="4"/>
  <c r="AG348" i="4"/>
  <c r="DF348" i="4"/>
  <c r="DX348" i="4"/>
  <c r="DQ348" i="4"/>
  <c r="DJ348" i="4"/>
  <c r="CF348" i="4"/>
  <c r="CV348" i="4"/>
  <c r="CO348" i="4"/>
  <c r="CH348" i="4"/>
  <c r="BB348" i="4"/>
  <c r="AK348" i="4"/>
  <c r="AD348" i="4"/>
  <c r="BD348" i="4"/>
  <c r="CD348" i="4"/>
  <c r="BT348" i="4"/>
  <c r="BF348" i="4"/>
  <c r="EE264" i="4"/>
  <c r="DX264" i="4"/>
  <c r="DQ264" i="4"/>
  <c r="BD264" i="4"/>
  <c r="DC264" i="4"/>
  <c r="CV264" i="4"/>
  <c r="CO264" i="4"/>
  <c r="CA264" i="4"/>
  <c r="BT264" i="4"/>
  <c r="BM264" i="4"/>
  <c r="AD264" i="4"/>
  <c r="AY264" i="4"/>
  <c r="AR264" i="4"/>
  <c r="AK264" i="4"/>
  <c r="AB264" i="4"/>
  <c r="EC264" i="4"/>
  <c r="DV264" i="4"/>
  <c r="DO264" i="4"/>
  <c r="DM264" i="4"/>
  <c r="DA264" i="4"/>
  <c r="CT264" i="4"/>
  <c r="CM264" i="4"/>
  <c r="DJ264" i="4"/>
  <c r="BY264" i="4"/>
  <c r="BR264" i="4"/>
  <c r="BK264" i="4"/>
  <c r="DH264" i="4"/>
  <c r="AW264" i="4"/>
  <c r="AP264" i="4"/>
  <c r="AI264" i="4"/>
  <c r="CK264" i="4"/>
  <c r="EA264" i="4"/>
  <c r="DT264" i="4"/>
  <c r="DF264" i="4"/>
  <c r="CH264" i="4"/>
  <c r="CY264" i="4"/>
  <c r="CR264" i="4"/>
  <c r="CD264" i="4"/>
  <c r="CF264" i="4"/>
  <c r="AU264" i="4"/>
  <c r="AN264" i="4"/>
  <c r="Z264" i="4"/>
  <c r="BF264" i="4"/>
  <c r="BW264" i="4"/>
  <c r="BP264" i="4"/>
  <c r="BB264" i="4"/>
  <c r="BI264" i="4"/>
  <c r="EC127" i="4"/>
  <c r="DV127" i="4"/>
  <c r="DO127" i="4"/>
  <c r="DH127" i="4"/>
  <c r="DA127" i="4"/>
  <c r="CT127" i="4"/>
  <c r="CM127" i="4"/>
  <c r="CF127" i="4"/>
  <c r="BY127" i="4"/>
  <c r="BR127" i="4"/>
  <c r="BK127" i="4"/>
  <c r="BD127" i="4"/>
  <c r="AW127" i="4"/>
  <c r="AP127" i="4"/>
  <c r="AI127" i="4"/>
  <c r="AB127" i="4"/>
  <c r="EA127" i="4"/>
  <c r="DT127" i="4"/>
  <c r="DM127" i="4"/>
  <c r="EE127" i="4"/>
  <c r="CY127" i="4"/>
  <c r="CR127" i="4"/>
  <c r="CK127" i="4"/>
  <c r="DC127" i="4"/>
  <c r="BW127" i="4"/>
  <c r="BP127" i="4"/>
  <c r="BI127" i="4"/>
  <c r="AU127" i="4"/>
  <c r="AN127" i="4"/>
  <c r="AG127" i="4"/>
  <c r="AY127" i="4"/>
  <c r="DX127" i="4"/>
  <c r="DQ127" i="4"/>
  <c r="DJ127" i="4"/>
  <c r="DF127" i="4"/>
  <c r="CV127" i="4"/>
  <c r="CO127" i="4"/>
  <c r="CH127" i="4"/>
  <c r="CD127" i="4"/>
  <c r="AR127" i="4"/>
  <c r="AK127" i="4"/>
  <c r="AD127" i="4"/>
  <c r="Z127" i="4"/>
  <c r="BT127" i="4"/>
  <c r="BM127" i="4"/>
  <c r="BF127" i="4"/>
  <c r="BB127" i="4"/>
  <c r="DV124" i="4"/>
  <c r="DO124" i="4"/>
  <c r="AB124" i="4"/>
  <c r="DA124" i="4"/>
  <c r="CT124" i="4"/>
  <c r="CM124" i="4"/>
  <c r="EE124" i="4"/>
  <c r="BY124" i="4"/>
  <c r="BR124" i="4"/>
  <c r="BK124" i="4"/>
  <c r="DC124" i="4"/>
  <c r="AW124" i="4"/>
  <c r="AP124" i="4"/>
  <c r="AI124" i="4"/>
  <c r="CA124" i="4"/>
  <c r="EA124" i="4"/>
  <c r="DT124" i="4"/>
  <c r="DM124" i="4"/>
  <c r="AY124" i="4"/>
  <c r="CY124" i="4"/>
  <c r="CR124" i="4"/>
  <c r="CK124" i="4"/>
  <c r="DF124" i="4"/>
  <c r="BW124" i="4"/>
  <c r="BP124" i="4"/>
  <c r="BI124" i="4"/>
  <c r="CH124" i="4"/>
  <c r="AU124" i="4"/>
  <c r="AN124" i="4"/>
  <c r="AG124" i="4"/>
  <c r="CD124" i="4"/>
  <c r="DX124" i="4"/>
  <c r="DQ124" i="4"/>
  <c r="DJ124" i="4"/>
  <c r="BF124" i="4"/>
  <c r="CV124" i="4"/>
  <c r="CO124" i="4"/>
  <c r="DH124" i="4"/>
  <c r="BB124" i="4"/>
  <c r="AR124" i="4"/>
  <c r="AK124" i="4"/>
  <c r="BD124" i="4"/>
  <c r="Z124" i="4"/>
  <c r="BT124" i="4"/>
  <c r="BM124" i="4"/>
  <c r="CF124" i="4"/>
  <c r="AD124" i="4"/>
  <c r="DF310" i="4"/>
  <c r="EA310" i="4"/>
  <c r="DT310" i="4"/>
  <c r="BI310" i="4"/>
  <c r="CA310" i="4"/>
  <c r="BK310" i="4"/>
  <c r="DM310" i="4"/>
  <c r="CD310" i="4"/>
  <c r="AU310" i="4"/>
  <c r="CM310" i="4"/>
  <c r="CK310" i="4"/>
  <c r="BB310" i="4"/>
  <c r="DX310" i="4"/>
  <c r="AI310" i="4"/>
  <c r="DJ310" i="4"/>
  <c r="Z310" i="4"/>
  <c r="CV310" i="4"/>
  <c r="DH310" i="4"/>
  <c r="BM310" i="4"/>
  <c r="EE310" i="4"/>
  <c r="AR310" i="4"/>
  <c r="CF310" i="4"/>
  <c r="CH310" i="4"/>
  <c r="DC310" i="4"/>
  <c r="DV310" i="4"/>
  <c r="BD310" i="4"/>
  <c r="AY310" i="4"/>
  <c r="CT310" i="4"/>
  <c r="AB310" i="4"/>
  <c r="EC310" i="4"/>
  <c r="BR310" i="4"/>
  <c r="BF310" i="4"/>
  <c r="DA310" i="4"/>
  <c r="AP310" i="4"/>
  <c r="AK310" i="4"/>
  <c r="BY310" i="4"/>
  <c r="CR310" i="4"/>
  <c r="AG310" i="4"/>
  <c r="AW310" i="4"/>
  <c r="BP310" i="4"/>
  <c r="AD310" i="4"/>
  <c r="BW310" i="4"/>
  <c r="DO310" i="4"/>
  <c r="CO310" i="4"/>
  <c r="CV172" i="4"/>
  <c r="CO172" i="4"/>
  <c r="CH172" i="4"/>
  <c r="CD172" i="4"/>
  <c r="BT172" i="4"/>
  <c r="BM172" i="4"/>
  <c r="BF172" i="4"/>
  <c r="BB172" i="4"/>
  <c r="AR172" i="4"/>
  <c r="AK172" i="4"/>
  <c r="AD172" i="4"/>
  <c r="Z172" i="4"/>
  <c r="EC172" i="4"/>
  <c r="DV172" i="4"/>
  <c r="DO172" i="4"/>
  <c r="DH172" i="4"/>
  <c r="DA172" i="4"/>
  <c r="CM172" i="4"/>
  <c r="CF172" i="4"/>
  <c r="BY172" i="4"/>
  <c r="BR172" i="4"/>
  <c r="BK172" i="4"/>
  <c r="BD172" i="4"/>
  <c r="AW172" i="4"/>
  <c r="AP172" i="4"/>
  <c r="AI172" i="4"/>
  <c r="AB172" i="4"/>
  <c r="EA172" i="4"/>
  <c r="DT172" i="4"/>
  <c r="DM172" i="4"/>
  <c r="EE172" i="4"/>
  <c r="CY172" i="4"/>
  <c r="CR172" i="4"/>
  <c r="CK172" i="4"/>
  <c r="DC172" i="4"/>
  <c r="BW172" i="4"/>
  <c r="BP172" i="4"/>
  <c r="BI172" i="4"/>
  <c r="CA172" i="4"/>
  <c r="DX172" i="4"/>
  <c r="DQ172" i="4"/>
  <c r="DJ172" i="4"/>
  <c r="DF172" i="4"/>
  <c r="T193" i="4"/>
  <c r="DA193" i="4"/>
  <c r="CT193" i="4"/>
  <c r="CM193" i="4"/>
  <c r="BD193" i="4"/>
  <c r="BY193" i="4"/>
  <c r="BR193" i="4"/>
  <c r="BK193" i="4"/>
  <c r="AD193" i="4"/>
  <c r="AW193" i="4"/>
  <c r="AP193" i="4"/>
  <c r="AI193" i="4"/>
  <c r="AG193" i="4"/>
  <c r="DF193" i="4"/>
  <c r="EA193" i="4"/>
  <c r="DT193" i="4"/>
  <c r="AB193" i="4"/>
  <c r="CD193" i="4"/>
  <c r="CY193" i="4"/>
  <c r="CR193" i="4"/>
  <c r="DM193" i="4"/>
  <c r="BB193" i="4"/>
  <c r="BW193" i="4"/>
  <c r="BP193" i="4"/>
  <c r="DJ193" i="4"/>
  <c r="Z193" i="4"/>
  <c r="AU193" i="4"/>
  <c r="AN193" i="4"/>
  <c r="DH193" i="4"/>
  <c r="EE193" i="4"/>
  <c r="DX193" i="4"/>
  <c r="CK193" i="4"/>
  <c r="DC193" i="4"/>
  <c r="CV193" i="4"/>
  <c r="CO193" i="4"/>
  <c r="CH193" i="4"/>
  <c r="CA193" i="4"/>
  <c r="BT193" i="4"/>
  <c r="BM193" i="4"/>
  <c r="CF193" i="4"/>
  <c r="EC193" i="4"/>
  <c r="DV193" i="4"/>
  <c r="DO193" i="4"/>
  <c r="BF193" i="4"/>
  <c r="CY260" i="4"/>
  <c r="CR260" i="4"/>
  <c r="CD260" i="4"/>
  <c r="CF260" i="4"/>
  <c r="BW260" i="4"/>
  <c r="BP260" i="4"/>
  <c r="BB260" i="4"/>
  <c r="BI260" i="4"/>
  <c r="AU260" i="4"/>
  <c r="AN260" i="4"/>
  <c r="Z260" i="4"/>
  <c r="BF260" i="4"/>
  <c r="EE260" i="4"/>
  <c r="DX260" i="4"/>
  <c r="DQ260" i="4"/>
  <c r="BD260" i="4"/>
  <c r="DC260" i="4"/>
  <c r="CV260" i="4"/>
  <c r="CO260" i="4"/>
  <c r="AG260" i="4"/>
  <c r="CA260" i="4"/>
  <c r="BT260" i="4"/>
  <c r="BM260" i="4"/>
  <c r="AD260" i="4"/>
  <c r="AY260" i="4"/>
  <c r="AR260" i="4"/>
  <c r="AK260" i="4"/>
  <c r="AB260" i="4"/>
  <c r="EC260" i="4"/>
  <c r="DV260" i="4"/>
  <c r="DO260" i="4"/>
  <c r="DM260" i="4"/>
  <c r="DA260" i="4"/>
  <c r="CT260" i="4"/>
  <c r="CM260" i="4"/>
  <c r="DJ260" i="4"/>
  <c r="BY260" i="4"/>
  <c r="BR260" i="4"/>
  <c r="DH260" i="4"/>
  <c r="EA260" i="4"/>
  <c r="DT260" i="4"/>
  <c r="DF260" i="4"/>
  <c r="CH260" i="4"/>
  <c r="CV120" i="4"/>
  <c r="CO120" i="4"/>
  <c r="CH120" i="4"/>
  <c r="BT120" i="4"/>
  <c r="BM120" i="4"/>
  <c r="BD120" i="4"/>
  <c r="DJ120" i="4"/>
  <c r="AR120" i="4"/>
  <c r="AK120" i="4"/>
  <c r="AB120" i="4"/>
  <c r="DF120" i="4"/>
  <c r="EC120" i="4"/>
  <c r="DV120" i="4"/>
  <c r="DO120" i="4"/>
  <c r="EE120" i="4"/>
  <c r="DA120" i="4"/>
  <c r="CT120" i="4"/>
  <c r="CM120" i="4"/>
  <c r="DC120" i="4"/>
  <c r="BY120" i="4"/>
  <c r="BR120" i="4"/>
  <c r="BK120" i="4"/>
  <c r="CA120" i="4"/>
  <c r="AW120" i="4"/>
  <c r="AP120" i="4"/>
  <c r="AI120" i="4"/>
  <c r="AY120" i="4"/>
  <c r="EA120" i="4"/>
  <c r="DT120" i="4"/>
  <c r="DM120" i="4"/>
  <c r="CD120" i="4"/>
  <c r="CY120" i="4"/>
  <c r="CR120" i="4"/>
  <c r="CK120" i="4"/>
  <c r="BF120" i="4"/>
  <c r="BW120" i="4"/>
  <c r="BP120" i="4"/>
  <c r="BI120" i="4"/>
  <c r="BB120" i="4"/>
  <c r="DX120" i="4"/>
  <c r="DQ120" i="4"/>
  <c r="DH120" i="4"/>
  <c r="Z120" i="4"/>
  <c r="V205" i="4"/>
  <c r="DA205" i="4"/>
  <c r="CT205" i="4"/>
  <c r="CM205" i="4"/>
  <c r="BD205" i="4"/>
  <c r="BY205" i="4"/>
  <c r="BR205" i="4"/>
  <c r="BK205" i="4"/>
  <c r="AD205" i="4"/>
  <c r="AW205" i="4"/>
  <c r="AP205" i="4"/>
  <c r="AI205" i="4"/>
  <c r="AG205" i="4"/>
  <c r="DF205" i="4"/>
  <c r="EA205" i="4"/>
  <c r="DT205" i="4"/>
  <c r="AB205" i="4"/>
  <c r="CD205" i="4"/>
  <c r="CY205" i="4"/>
  <c r="CR205" i="4"/>
  <c r="DM205" i="4"/>
  <c r="BB205" i="4"/>
  <c r="BW205" i="4"/>
  <c r="BP205" i="4"/>
  <c r="DJ205" i="4"/>
  <c r="Z205" i="4"/>
  <c r="AU205" i="4"/>
  <c r="AN205" i="4"/>
  <c r="DH205" i="4"/>
  <c r="EE205" i="4"/>
  <c r="DX205" i="4"/>
  <c r="DQ205" i="4"/>
  <c r="CK205" i="4"/>
  <c r="DC205" i="4"/>
  <c r="CV205" i="4"/>
  <c r="CO205" i="4"/>
  <c r="CH205" i="4"/>
  <c r="CA205" i="4"/>
  <c r="BT205" i="4"/>
  <c r="BM205" i="4"/>
  <c r="CF205" i="4"/>
  <c r="EC205" i="4"/>
  <c r="DV205" i="4"/>
  <c r="DO205" i="4"/>
  <c r="DJ52" i="4"/>
  <c r="EE52" i="4"/>
  <c r="DX52" i="4"/>
  <c r="BR52" i="4"/>
  <c r="CH52" i="4"/>
  <c r="DC52" i="4"/>
  <c r="CV52" i="4"/>
  <c r="BM52" i="4"/>
  <c r="BF52" i="4"/>
  <c r="CA52" i="4"/>
  <c r="BT52" i="4"/>
  <c r="BK52" i="4"/>
  <c r="AD52" i="4"/>
  <c r="AY52" i="4"/>
  <c r="AR52" i="4"/>
  <c r="AP52" i="4"/>
  <c r="DH52" i="4"/>
  <c r="EC52" i="4"/>
  <c r="DT52" i="4"/>
  <c r="AK52" i="4"/>
  <c r="DA52" i="4"/>
  <c r="CR52" i="4"/>
  <c r="AI52" i="4"/>
  <c r="BD52" i="4"/>
  <c r="BY52" i="4"/>
  <c r="BP52" i="4"/>
  <c r="DV52" i="4"/>
  <c r="AB52" i="4"/>
  <c r="AW52" i="4"/>
  <c r="AN52" i="4"/>
  <c r="DQ52" i="4"/>
  <c r="DF52" i="4"/>
  <c r="EA52" i="4"/>
  <c r="DM52" i="4"/>
  <c r="DO52" i="4"/>
  <c r="CD52" i="4"/>
  <c r="CY52" i="4"/>
  <c r="CK52" i="4"/>
  <c r="CT52" i="4"/>
  <c r="Z52" i="4"/>
  <c r="AU52" i="4"/>
  <c r="AG52" i="4"/>
  <c r="CM52" i="4"/>
  <c r="BB52" i="4"/>
  <c r="BW52" i="4"/>
  <c r="BI52" i="4"/>
  <c r="CO52" i="4"/>
  <c r="DJ60" i="4"/>
  <c r="EE60" i="4"/>
  <c r="DX60" i="4"/>
  <c r="DM60" i="4"/>
  <c r="CH60" i="4"/>
  <c r="DC60" i="4"/>
  <c r="CV60" i="4"/>
  <c r="CK60" i="4"/>
  <c r="BF60" i="4"/>
  <c r="BT60" i="4"/>
  <c r="BI60" i="4"/>
  <c r="AD60" i="4"/>
  <c r="AY60" i="4"/>
  <c r="AR60" i="4"/>
  <c r="AG60" i="4"/>
  <c r="DH60" i="4"/>
  <c r="EC60" i="4"/>
  <c r="DV60" i="4"/>
  <c r="BK60" i="4"/>
  <c r="CF60" i="4"/>
  <c r="DA60" i="4"/>
  <c r="CT60" i="4"/>
  <c r="AK60" i="4"/>
  <c r="BD60" i="4"/>
  <c r="BY60" i="4"/>
  <c r="BR60" i="4"/>
  <c r="AI60" i="4"/>
  <c r="AB60" i="4"/>
  <c r="AW60" i="4"/>
  <c r="AP60" i="4"/>
  <c r="DQ60" i="4"/>
  <c r="DF60" i="4"/>
  <c r="EA60" i="4"/>
  <c r="DT60" i="4"/>
  <c r="DO60" i="4"/>
  <c r="CD60" i="4"/>
  <c r="CY60" i="4"/>
  <c r="CR60" i="4"/>
  <c r="CO60" i="4"/>
  <c r="Z60" i="4"/>
  <c r="AU60" i="4"/>
  <c r="AN60" i="4"/>
  <c r="BM60" i="4"/>
  <c r="BB60" i="4"/>
  <c r="BW60" i="4"/>
  <c r="CM60" i="4"/>
  <c r="BP60" i="4"/>
  <c r="GQ57" i="4"/>
  <c r="CD57" i="4"/>
  <c r="CY57" i="4"/>
  <c r="CR57" i="4"/>
  <c r="BK57" i="4"/>
  <c r="BB57" i="4"/>
  <c r="BW57" i="4"/>
  <c r="BP57" i="4"/>
  <c r="AK57" i="4"/>
  <c r="Z57" i="4"/>
  <c r="AU57" i="4"/>
  <c r="AN57" i="4"/>
  <c r="AI57" i="4"/>
  <c r="DJ57" i="4"/>
  <c r="EE57" i="4"/>
  <c r="DX57" i="4"/>
  <c r="DM57" i="4"/>
  <c r="CH57" i="4"/>
  <c r="DC57" i="4"/>
  <c r="CV57" i="4"/>
  <c r="CK57" i="4"/>
  <c r="BF57" i="4"/>
  <c r="CA57" i="4"/>
  <c r="BI57" i="4"/>
  <c r="AD57" i="4"/>
  <c r="AY57" i="4"/>
  <c r="AR57" i="4"/>
  <c r="AG57" i="4"/>
  <c r="DH57" i="4"/>
  <c r="EC57" i="4"/>
  <c r="DV57" i="4"/>
  <c r="DQ57" i="4"/>
  <c r="CF57" i="4"/>
  <c r="DA57" i="4"/>
  <c r="CT57" i="4"/>
  <c r="DO57" i="4"/>
  <c r="BD57" i="4"/>
  <c r="BY57" i="4"/>
  <c r="BR57" i="4"/>
  <c r="CO57" i="4"/>
  <c r="DF57" i="4"/>
  <c r="EA57" i="4"/>
  <c r="DT57" i="4"/>
  <c r="BM57" i="4"/>
  <c r="AN354" i="4"/>
  <c r="AG283" i="4"/>
  <c r="CH220" i="4"/>
  <c r="AD183" i="4"/>
  <c r="AY137" i="4"/>
  <c r="CO93" i="4"/>
  <c r="BD34" i="4"/>
  <c r="DF337" i="4"/>
  <c r="CO305" i="4"/>
  <c r="BF242" i="4"/>
  <c r="BI207" i="4"/>
  <c r="AY171" i="4"/>
  <c r="AY136" i="4"/>
  <c r="CM57" i="4"/>
  <c r="DF22" i="4"/>
  <c r="DH393" i="4"/>
  <c r="BB335" i="4"/>
  <c r="CK261" i="4"/>
  <c r="CH229" i="4"/>
  <c r="BI192" i="4"/>
  <c r="AY160" i="4"/>
  <c r="AD120" i="4"/>
  <c r="CM78" i="4"/>
  <c r="CD9" i="4"/>
  <c r="AB36" i="4"/>
  <c r="DJ320" i="4"/>
  <c r="CR281" i="4"/>
  <c r="AI217" i="4"/>
  <c r="BF180" i="4"/>
  <c r="AY147" i="4"/>
  <c r="DQ102" i="4"/>
  <c r="DQ43" i="4"/>
  <c r="DF8" i="4"/>
  <c r="CT392" i="4"/>
  <c r="AD360" i="4"/>
  <c r="DT298" i="4"/>
  <c r="CH227" i="4"/>
  <c r="BI191" i="4"/>
  <c r="AY158" i="4"/>
  <c r="CD118" i="4"/>
  <c r="DF30" i="4"/>
  <c r="BR359" i="4"/>
  <c r="DQ310" i="4"/>
  <c r="BW259" i="4"/>
  <c r="BM143" i="4"/>
  <c r="DO39" i="4"/>
  <c r="CY252" i="4"/>
  <c r="CR252" i="4"/>
  <c r="DQ252" i="4"/>
  <c r="BM252" i="4"/>
  <c r="BW252" i="4"/>
  <c r="BP252" i="4"/>
  <c r="AK252" i="4"/>
  <c r="BI252" i="4"/>
  <c r="AU252" i="4"/>
  <c r="AN252" i="4"/>
  <c r="DM252" i="4"/>
  <c r="BF252" i="4"/>
  <c r="EE252" i="4"/>
  <c r="DX252" i="4"/>
  <c r="DO252" i="4"/>
  <c r="AG252" i="4"/>
  <c r="DC252" i="4"/>
  <c r="CV252" i="4"/>
  <c r="CM252" i="4"/>
  <c r="DJ252" i="4"/>
  <c r="CA252" i="4"/>
  <c r="BT252" i="4"/>
  <c r="BK252" i="4"/>
  <c r="AD252" i="4"/>
  <c r="AY252" i="4"/>
  <c r="AR252" i="4"/>
  <c r="AI252" i="4"/>
  <c r="DH252" i="4"/>
  <c r="EC252" i="4"/>
  <c r="DV252" i="4"/>
  <c r="DF252" i="4"/>
  <c r="AB252" i="4"/>
  <c r="DA252" i="4"/>
  <c r="CT252" i="4"/>
  <c r="CD252" i="4"/>
  <c r="CO252" i="4"/>
  <c r="BY252" i="4"/>
  <c r="BB252" i="4"/>
  <c r="CK252" i="4"/>
  <c r="EA252" i="4"/>
  <c r="DT252" i="4"/>
  <c r="BD252" i="4"/>
  <c r="CF252" i="4"/>
  <c r="DC239" i="4"/>
  <c r="CV239" i="4"/>
  <c r="CO239" i="4"/>
  <c r="AD239" i="4"/>
  <c r="CA239" i="4"/>
  <c r="BT239" i="4"/>
  <c r="BM239" i="4"/>
  <c r="DJ239" i="4"/>
  <c r="AY239" i="4"/>
  <c r="AR239" i="4"/>
  <c r="AK239" i="4"/>
  <c r="DM239" i="4"/>
  <c r="DH239" i="4"/>
  <c r="EC239" i="4"/>
  <c r="DV239" i="4"/>
  <c r="DO239" i="4"/>
  <c r="CF239" i="4"/>
  <c r="DA239" i="4"/>
  <c r="CT239" i="4"/>
  <c r="CM239" i="4"/>
  <c r="BD239" i="4"/>
  <c r="BY239" i="4"/>
  <c r="BR239" i="4"/>
  <c r="BK239" i="4"/>
  <c r="AB239" i="4"/>
  <c r="AW239" i="4"/>
  <c r="AP239" i="4"/>
  <c r="AI239" i="4"/>
  <c r="DF239" i="4"/>
  <c r="EA239" i="4"/>
  <c r="DT239" i="4"/>
  <c r="CK239" i="4"/>
  <c r="CD239" i="4"/>
  <c r="CY239" i="4"/>
  <c r="CR239" i="4"/>
  <c r="BB239" i="4"/>
  <c r="BW239" i="4"/>
  <c r="BP239" i="4"/>
  <c r="BI239" i="4"/>
  <c r="EE239" i="4"/>
  <c r="DX239" i="4"/>
  <c r="DQ239" i="4"/>
  <c r="AG239" i="4"/>
  <c r="CD87" i="4"/>
  <c r="CY87" i="4"/>
  <c r="CR87" i="4"/>
  <c r="BM87" i="4"/>
  <c r="BB87" i="4"/>
  <c r="BW87" i="4"/>
  <c r="BP87" i="4"/>
  <c r="BK87" i="4"/>
  <c r="Z87" i="4"/>
  <c r="AU87" i="4"/>
  <c r="AN87" i="4"/>
  <c r="AK87" i="4"/>
  <c r="DJ87" i="4"/>
  <c r="EE87" i="4"/>
  <c r="DX87" i="4"/>
  <c r="DM87" i="4"/>
  <c r="CH87" i="4"/>
  <c r="DC87" i="4"/>
  <c r="CK87" i="4"/>
  <c r="BF87" i="4"/>
  <c r="CA87" i="4"/>
  <c r="BT87" i="4"/>
  <c r="BI87" i="4"/>
  <c r="AD87" i="4"/>
  <c r="AY87" i="4"/>
  <c r="AR87" i="4"/>
  <c r="AG87" i="4"/>
  <c r="DH87" i="4"/>
  <c r="EC87" i="4"/>
  <c r="DV87" i="4"/>
  <c r="DQ87" i="4"/>
  <c r="CF87" i="4"/>
  <c r="DA87" i="4"/>
  <c r="CT87" i="4"/>
  <c r="DO87" i="4"/>
  <c r="BD87" i="4"/>
  <c r="BY87" i="4"/>
  <c r="BR87" i="4"/>
  <c r="CO87" i="4"/>
  <c r="DF87" i="4"/>
  <c r="EA87" i="4"/>
  <c r="DT87" i="4"/>
  <c r="AI87" i="4"/>
  <c r="CD79" i="4"/>
  <c r="CY79" i="4"/>
  <c r="CR79" i="4"/>
  <c r="CO79" i="4"/>
  <c r="BB79" i="4"/>
  <c r="BW79" i="4"/>
  <c r="BP79" i="4"/>
  <c r="CM79" i="4"/>
  <c r="AU79" i="4"/>
  <c r="AN79" i="4"/>
  <c r="BM79" i="4"/>
  <c r="DJ79" i="4"/>
  <c r="EE79" i="4"/>
  <c r="DX79" i="4"/>
  <c r="DM79" i="4"/>
  <c r="CH79" i="4"/>
  <c r="DC79" i="4"/>
  <c r="CV79" i="4"/>
  <c r="CK79" i="4"/>
  <c r="BF79" i="4"/>
  <c r="CA79" i="4"/>
  <c r="BT79" i="4"/>
  <c r="BI79" i="4"/>
  <c r="AD79" i="4"/>
  <c r="AY79" i="4"/>
  <c r="AR79" i="4"/>
  <c r="AG79" i="4"/>
  <c r="DH79" i="4"/>
  <c r="EC79" i="4"/>
  <c r="DV79" i="4"/>
  <c r="BK79" i="4"/>
  <c r="CF79" i="4"/>
  <c r="DA79" i="4"/>
  <c r="CT79" i="4"/>
  <c r="AK79" i="4"/>
  <c r="BD79" i="4"/>
  <c r="BY79" i="4"/>
  <c r="BR79" i="4"/>
  <c r="AI79" i="4"/>
  <c r="DF79" i="4"/>
  <c r="EA79" i="4"/>
  <c r="DT79" i="4"/>
  <c r="DO79" i="4"/>
  <c r="DF190" i="4"/>
  <c r="EA190" i="4"/>
  <c r="DT190" i="4"/>
  <c r="AB190" i="4"/>
  <c r="CD190" i="4"/>
  <c r="CY190" i="4"/>
  <c r="CR190" i="4"/>
  <c r="DM190" i="4"/>
  <c r="BB190" i="4"/>
  <c r="BW190" i="4"/>
  <c r="BP190" i="4"/>
  <c r="DJ190" i="4"/>
  <c r="Z190" i="4"/>
  <c r="AU190" i="4"/>
  <c r="AN190" i="4"/>
  <c r="DH190" i="4"/>
  <c r="EE190" i="4"/>
  <c r="DX190" i="4"/>
  <c r="DQ190" i="4"/>
  <c r="CK190" i="4"/>
  <c r="DC190" i="4"/>
  <c r="CV190" i="4"/>
  <c r="CO190" i="4"/>
  <c r="CH190" i="4"/>
  <c r="CA190" i="4"/>
  <c r="BT190" i="4"/>
  <c r="BM190" i="4"/>
  <c r="CF190" i="4"/>
  <c r="AY190" i="4"/>
  <c r="AR190" i="4"/>
  <c r="AK190" i="4"/>
  <c r="BI190" i="4"/>
  <c r="EC190" i="4"/>
  <c r="DV190" i="4"/>
  <c r="DO190" i="4"/>
  <c r="BF190" i="4"/>
  <c r="DA190" i="4"/>
  <c r="CT190" i="4"/>
  <c r="CM190" i="4"/>
  <c r="BD190" i="4"/>
  <c r="AP190" i="4"/>
  <c r="AI190" i="4"/>
  <c r="AG190" i="4"/>
  <c r="BY190" i="4"/>
  <c r="BR190" i="4"/>
  <c r="BK190" i="4"/>
  <c r="AD190" i="4"/>
  <c r="EC114" i="4"/>
  <c r="BR114" i="4"/>
  <c r="EE114" i="4"/>
  <c r="DM114" i="4"/>
  <c r="DA114" i="4"/>
  <c r="AP114" i="4"/>
  <c r="DC114" i="4"/>
  <c r="BF114" i="4"/>
  <c r="BY114" i="4"/>
  <c r="DT114" i="4"/>
  <c r="CF114" i="4"/>
  <c r="DJ114" i="4"/>
  <c r="AW114" i="4"/>
  <c r="CR114" i="4"/>
  <c r="AG114" i="4"/>
  <c r="BD114" i="4"/>
  <c r="EA114" i="4"/>
  <c r="BP114" i="4"/>
  <c r="CD114" i="4"/>
  <c r="DH114" i="4"/>
  <c r="CY114" i="4"/>
  <c r="AN114" i="4"/>
  <c r="AD114" i="4"/>
  <c r="BB114" i="4"/>
  <c r="BW114" i="4"/>
  <c r="DQ114" i="4"/>
  <c r="CA114" i="4"/>
  <c r="CH114" i="4"/>
  <c r="AU114" i="4"/>
  <c r="CO114" i="4"/>
  <c r="AB114" i="4"/>
  <c r="AK114" i="4"/>
  <c r="DX114" i="4"/>
  <c r="DO114" i="4"/>
  <c r="BT114" i="4"/>
  <c r="CK114" i="4"/>
  <c r="CV114" i="4"/>
  <c r="CM114" i="4"/>
  <c r="Z114" i="4"/>
  <c r="AY114" i="4"/>
  <c r="CT114" i="4"/>
  <c r="AI114" i="4"/>
  <c r="BI114" i="4"/>
  <c r="DF114" i="4"/>
  <c r="AR114" i="4"/>
  <c r="BM114" i="4"/>
  <c r="DH225" i="4"/>
  <c r="EC225" i="4"/>
  <c r="DV225" i="4"/>
  <c r="AG225" i="4"/>
  <c r="CF225" i="4"/>
  <c r="DA225" i="4"/>
  <c r="CT225" i="4"/>
  <c r="AD225" i="4"/>
  <c r="BD225" i="4"/>
  <c r="BY225" i="4"/>
  <c r="BR225" i="4"/>
  <c r="DT225" i="4"/>
  <c r="AB225" i="4"/>
  <c r="AW225" i="4"/>
  <c r="AP225" i="4"/>
  <c r="DM225" i="4"/>
  <c r="DF225" i="4"/>
  <c r="EA225" i="4"/>
  <c r="DQ225" i="4"/>
  <c r="DJ225" i="4"/>
  <c r="CY225" i="4"/>
  <c r="CO225" i="4"/>
  <c r="CR225" i="4"/>
  <c r="BB225" i="4"/>
  <c r="BW225" i="4"/>
  <c r="BM225" i="4"/>
  <c r="CK225" i="4"/>
  <c r="Z225" i="4"/>
  <c r="AU225" i="4"/>
  <c r="AK225" i="4"/>
  <c r="CH225" i="4"/>
  <c r="EE225" i="4"/>
  <c r="DX225" i="4"/>
  <c r="DO225" i="4"/>
  <c r="BP225" i="4"/>
  <c r="DC225" i="4"/>
  <c r="CV225" i="4"/>
  <c r="CM225" i="4"/>
  <c r="BI225" i="4"/>
  <c r="AY225" i="4"/>
  <c r="AR225" i="4"/>
  <c r="AI225" i="4"/>
  <c r="AN225" i="4"/>
  <c r="CA225" i="4"/>
  <c r="BT225" i="4"/>
  <c r="BK225" i="4"/>
  <c r="BF225" i="4"/>
  <c r="Z62" i="4"/>
  <c r="AU62" i="4"/>
  <c r="AN62" i="4"/>
  <c r="AI62" i="4"/>
  <c r="CF62" i="4"/>
  <c r="DA62" i="4"/>
  <c r="CT62" i="4"/>
  <c r="DO62" i="4"/>
  <c r="DF62" i="4"/>
  <c r="BW62" i="4"/>
  <c r="CK62" i="4"/>
  <c r="CD62" i="4"/>
  <c r="DX62" i="4"/>
  <c r="BI62" i="4"/>
  <c r="BB62" i="4"/>
  <c r="CV62" i="4"/>
  <c r="AG62" i="4"/>
  <c r="EE62" i="4"/>
  <c r="BT62" i="4"/>
  <c r="DQ62" i="4"/>
  <c r="DC62" i="4"/>
  <c r="AR62" i="4"/>
  <c r="CO62" i="4"/>
  <c r="DJ62" i="4"/>
  <c r="CA62" i="4"/>
  <c r="DV62" i="4"/>
  <c r="CM62" i="4"/>
  <c r="CH62" i="4"/>
  <c r="AY62" i="4"/>
  <c r="BR62" i="4"/>
  <c r="BM62" i="4"/>
  <c r="BF62" i="4"/>
  <c r="EC62" i="4"/>
  <c r="AP62" i="4"/>
  <c r="BK62" i="4"/>
  <c r="AD62" i="4"/>
  <c r="BY62" i="4"/>
  <c r="DT62" i="4"/>
  <c r="AK62" i="4"/>
  <c r="DH62" i="4"/>
  <c r="AW62" i="4"/>
  <c r="CR62" i="4"/>
  <c r="AB62" i="4"/>
  <c r="CY62" i="4"/>
  <c r="DM62" i="4"/>
  <c r="BD62" i="4"/>
  <c r="EA62" i="4"/>
  <c r="BP62" i="4"/>
  <c r="DF187" i="4"/>
  <c r="EA187" i="4"/>
  <c r="DT187" i="4"/>
  <c r="DM187" i="4"/>
  <c r="CD187" i="4"/>
  <c r="CY187" i="4"/>
  <c r="CR187" i="4"/>
  <c r="AG187" i="4"/>
  <c r="BW187" i="4"/>
  <c r="BP187" i="4"/>
  <c r="DJ187" i="4"/>
  <c r="Z187" i="4"/>
  <c r="AU187" i="4"/>
  <c r="AN187" i="4"/>
  <c r="AD187" i="4"/>
  <c r="EE187" i="4"/>
  <c r="DX187" i="4"/>
  <c r="DQ187" i="4"/>
  <c r="DH187" i="4"/>
  <c r="DC187" i="4"/>
  <c r="CV187" i="4"/>
  <c r="CO187" i="4"/>
  <c r="AB187" i="4"/>
  <c r="CA187" i="4"/>
  <c r="BT187" i="4"/>
  <c r="BM187" i="4"/>
  <c r="CM187" i="4"/>
  <c r="AY187" i="4"/>
  <c r="AR187" i="4"/>
  <c r="AK187" i="4"/>
  <c r="CK187" i="4"/>
  <c r="EC187" i="4"/>
  <c r="DV187" i="4"/>
  <c r="BF187" i="4"/>
  <c r="CH187" i="4"/>
  <c r="DA187" i="4"/>
  <c r="CT187" i="4"/>
  <c r="BD187" i="4"/>
  <c r="CF187" i="4"/>
  <c r="AW187" i="4"/>
  <c r="AP187" i="4"/>
  <c r="AI187" i="4"/>
  <c r="BK187" i="4"/>
  <c r="BY187" i="4"/>
  <c r="BR187" i="4"/>
  <c r="BI187" i="4"/>
  <c r="CK389" i="4"/>
  <c r="CD389" i="4"/>
  <c r="BP389" i="4"/>
  <c r="CR389" i="4"/>
  <c r="BI389" i="4"/>
  <c r="BB389" i="4"/>
  <c r="DC389" i="4"/>
  <c r="AP389" i="4"/>
  <c r="AG389" i="4"/>
  <c r="Z389" i="4"/>
  <c r="AY389" i="4"/>
  <c r="AN389" i="4"/>
  <c r="DQ389" i="4"/>
  <c r="DJ389" i="4"/>
  <c r="EC389" i="4"/>
  <c r="DA389" i="4"/>
  <c r="CO389" i="4"/>
  <c r="CH389" i="4"/>
  <c r="BY389" i="4"/>
  <c r="BM389" i="4"/>
  <c r="BF389" i="4"/>
  <c r="EA389" i="4"/>
  <c r="CY389" i="4"/>
  <c r="AK389" i="4"/>
  <c r="AD389" i="4"/>
  <c r="BW389" i="4"/>
  <c r="AU389" i="4"/>
  <c r="DO389" i="4"/>
  <c r="DH389" i="4"/>
  <c r="DX389" i="4"/>
  <c r="CV389" i="4"/>
  <c r="CM389" i="4"/>
  <c r="CF389" i="4"/>
  <c r="BT389" i="4"/>
  <c r="AR389" i="4"/>
  <c r="BK389" i="4"/>
  <c r="BD389" i="4"/>
  <c r="DV389" i="4"/>
  <c r="EE389" i="4"/>
  <c r="DM389" i="4"/>
  <c r="DF389" i="4"/>
  <c r="DT389" i="4"/>
  <c r="CT389" i="4"/>
  <c r="EC110" i="4"/>
  <c r="DO110" i="4"/>
  <c r="CH110" i="4"/>
  <c r="BW110" i="4"/>
  <c r="DA110" i="4"/>
  <c r="CM110" i="4"/>
  <c r="AU110" i="4"/>
  <c r="AD110" i="4"/>
  <c r="BY110" i="4"/>
  <c r="BK110" i="4"/>
  <c r="DX110" i="4"/>
  <c r="DH110" i="4"/>
  <c r="AW110" i="4"/>
  <c r="AI110" i="4"/>
  <c r="CF110" i="4"/>
  <c r="BT110" i="4"/>
  <c r="DV110" i="4"/>
  <c r="CV110" i="4"/>
  <c r="AR110" i="4"/>
  <c r="AB110" i="4"/>
  <c r="CT110" i="4"/>
  <c r="BD110" i="4"/>
  <c r="CY110" i="4"/>
  <c r="BR110" i="4"/>
  <c r="CO110" i="4"/>
  <c r="CD110" i="4"/>
  <c r="BF110" i="4"/>
  <c r="AP110" i="4"/>
  <c r="BB110" i="4"/>
  <c r="AK110" i="4"/>
  <c r="DF110" i="4"/>
  <c r="DT110" i="4"/>
  <c r="EE110" i="4"/>
  <c r="DM110" i="4"/>
  <c r="DC110" i="4"/>
  <c r="CR110" i="4"/>
  <c r="CK110" i="4"/>
  <c r="CA110" i="4"/>
  <c r="BM110" i="4"/>
  <c r="AN110" i="4"/>
  <c r="EA110" i="4"/>
  <c r="DJ110" i="4"/>
  <c r="Z110" i="4"/>
  <c r="BP110" i="4"/>
  <c r="AY110" i="4"/>
  <c r="BI110" i="4"/>
  <c r="DF318" i="4"/>
  <c r="EA318" i="4"/>
  <c r="DT318" i="4"/>
  <c r="DH318" i="4"/>
  <c r="CD318" i="4"/>
  <c r="CY318" i="4"/>
  <c r="CR318" i="4"/>
  <c r="CF318" i="4"/>
  <c r="BB318" i="4"/>
  <c r="BW318" i="4"/>
  <c r="BP318" i="4"/>
  <c r="BD318" i="4"/>
  <c r="Z318" i="4"/>
  <c r="AU318" i="4"/>
  <c r="AN318" i="4"/>
  <c r="AB318" i="4"/>
  <c r="EE318" i="4"/>
  <c r="DX318" i="4"/>
  <c r="DQ318" i="4"/>
  <c r="AG318" i="4"/>
  <c r="DC318" i="4"/>
  <c r="CV318" i="4"/>
  <c r="CO318" i="4"/>
  <c r="AD318" i="4"/>
  <c r="CA318" i="4"/>
  <c r="BT318" i="4"/>
  <c r="DM318" i="4"/>
  <c r="AY318" i="4"/>
  <c r="AR318" i="4"/>
  <c r="AK318" i="4"/>
  <c r="DJ318" i="4"/>
  <c r="EC318" i="4"/>
  <c r="DV318" i="4"/>
  <c r="DO318" i="4"/>
  <c r="CK318" i="4"/>
  <c r="DA318" i="4"/>
  <c r="CT318" i="4"/>
  <c r="CM318" i="4"/>
  <c r="CH318" i="4"/>
  <c r="AW318" i="4"/>
  <c r="AP318" i="4"/>
  <c r="AI318" i="4"/>
  <c r="BF318" i="4"/>
  <c r="BI318" i="4"/>
  <c r="BY318" i="4"/>
  <c r="BK318" i="4"/>
  <c r="CY263" i="4"/>
  <c r="CR263" i="4"/>
  <c r="CD263" i="4"/>
  <c r="CF263" i="4"/>
  <c r="BW263" i="4"/>
  <c r="BP263" i="4"/>
  <c r="BB263" i="4"/>
  <c r="BI263" i="4"/>
  <c r="AU263" i="4"/>
  <c r="Z263" i="4"/>
  <c r="BF263" i="4"/>
  <c r="EE263" i="4"/>
  <c r="DX263" i="4"/>
  <c r="DQ263" i="4"/>
  <c r="BD263" i="4"/>
  <c r="DC263" i="4"/>
  <c r="CV263" i="4"/>
  <c r="CO263" i="4"/>
  <c r="AG263" i="4"/>
  <c r="CA263" i="4"/>
  <c r="BT263" i="4"/>
  <c r="BM263" i="4"/>
  <c r="AD263" i="4"/>
  <c r="AY263" i="4"/>
  <c r="AR263" i="4"/>
  <c r="AK263" i="4"/>
  <c r="AB263" i="4"/>
  <c r="EC263" i="4"/>
  <c r="DV263" i="4"/>
  <c r="DO263" i="4"/>
  <c r="DM263" i="4"/>
  <c r="DA263" i="4"/>
  <c r="CT263" i="4"/>
  <c r="CM263" i="4"/>
  <c r="DJ263" i="4"/>
  <c r="BY263" i="4"/>
  <c r="BR263" i="4"/>
  <c r="BK263" i="4"/>
  <c r="DH263" i="4"/>
  <c r="EA263" i="4"/>
  <c r="DT263" i="4"/>
  <c r="DF263" i="4"/>
  <c r="CH263" i="4"/>
  <c r="DJ108" i="4"/>
  <c r="EE108" i="4"/>
  <c r="DX108" i="4"/>
  <c r="DM108" i="4"/>
  <c r="CH108" i="4"/>
  <c r="DC108" i="4"/>
  <c r="CV108" i="4"/>
  <c r="CK108" i="4"/>
  <c r="BF108" i="4"/>
  <c r="CA108" i="4"/>
  <c r="BT108" i="4"/>
  <c r="BI108" i="4"/>
  <c r="AD108" i="4"/>
  <c r="AY108" i="4"/>
  <c r="AR108" i="4"/>
  <c r="AG108" i="4"/>
  <c r="DH108" i="4"/>
  <c r="EC108" i="4"/>
  <c r="DV108" i="4"/>
  <c r="BK108" i="4"/>
  <c r="CF108" i="4"/>
  <c r="DA108" i="4"/>
  <c r="CT108" i="4"/>
  <c r="AK108" i="4"/>
  <c r="BY108" i="4"/>
  <c r="BR108" i="4"/>
  <c r="AI108" i="4"/>
  <c r="AB108" i="4"/>
  <c r="AW108" i="4"/>
  <c r="AP108" i="4"/>
  <c r="DQ108" i="4"/>
  <c r="DF108" i="4"/>
  <c r="EA108" i="4"/>
  <c r="DT108" i="4"/>
  <c r="DO108" i="4"/>
  <c r="CD108" i="4"/>
  <c r="CY108" i="4"/>
  <c r="CR108" i="4"/>
  <c r="CO108" i="4"/>
  <c r="Z108" i="4"/>
  <c r="AU108" i="4"/>
  <c r="AN108" i="4"/>
  <c r="BM108" i="4"/>
  <c r="BB108" i="4"/>
  <c r="BW108" i="4"/>
  <c r="CM108" i="4"/>
  <c r="BP108" i="4"/>
  <c r="V302" i="4"/>
  <c r="DA302" i="4"/>
  <c r="CT302" i="4"/>
  <c r="BF302" i="4"/>
  <c r="AD302" i="4"/>
  <c r="BY302" i="4"/>
  <c r="BR302" i="4"/>
  <c r="DH302" i="4"/>
  <c r="AW302" i="4"/>
  <c r="AP302" i="4"/>
  <c r="BD302" i="4"/>
  <c r="AK302" i="4"/>
  <c r="DF302" i="4"/>
  <c r="EA302" i="4"/>
  <c r="DT302" i="4"/>
  <c r="CR302" i="4"/>
  <c r="CD302" i="4"/>
  <c r="CY302" i="4"/>
  <c r="BP302" i="4"/>
  <c r="AN302" i="4"/>
  <c r="BB302" i="4"/>
  <c r="BW302" i="4"/>
  <c r="DQ302" i="4"/>
  <c r="CM302" i="4"/>
  <c r="Z302" i="4"/>
  <c r="AU302" i="4"/>
  <c r="BM302" i="4"/>
  <c r="AI302" i="4"/>
  <c r="EE302" i="4"/>
  <c r="DX302" i="4"/>
  <c r="DO302" i="4"/>
  <c r="CK302" i="4"/>
  <c r="DC302" i="4"/>
  <c r="CV302" i="4"/>
  <c r="BK302" i="4"/>
  <c r="AG302" i="4"/>
  <c r="CA302" i="4"/>
  <c r="BT302" i="4"/>
  <c r="DM302" i="4"/>
  <c r="AB302" i="4"/>
  <c r="EC302" i="4"/>
  <c r="DV302" i="4"/>
  <c r="DJ302" i="4"/>
  <c r="CF302" i="4"/>
  <c r="CD90" i="4"/>
  <c r="CY90" i="4"/>
  <c r="CR90" i="4"/>
  <c r="BK90" i="4"/>
  <c r="BB90" i="4"/>
  <c r="BW90" i="4"/>
  <c r="BP90" i="4"/>
  <c r="AK90" i="4"/>
  <c r="Z90" i="4"/>
  <c r="AU90" i="4"/>
  <c r="AN90" i="4"/>
  <c r="AI90" i="4"/>
  <c r="DJ90" i="4"/>
  <c r="EE90" i="4"/>
  <c r="DX90" i="4"/>
  <c r="DM90" i="4"/>
  <c r="CH90" i="4"/>
  <c r="DC90" i="4"/>
  <c r="CV90" i="4"/>
  <c r="CK90" i="4"/>
  <c r="BF90" i="4"/>
  <c r="CA90" i="4"/>
  <c r="BT90" i="4"/>
  <c r="BI90" i="4"/>
  <c r="AY90" i="4"/>
  <c r="AR90" i="4"/>
  <c r="AG90" i="4"/>
  <c r="DH90" i="4"/>
  <c r="EC90" i="4"/>
  <c r="DV90" i="4"/>
  <c r="DQ90" i="4"/>
  <c r="CF90" i="4"/>
  <c r="DA90" i="4"/>
  <c r="CT90" i="4"/>
  <c r="DO90" i="4"/>
  <c r="BD90" i="4"/>
  <c r="BY90" i="4"/>
  <c r="BR90" i="4"/>
  <c r="CO90" i="4"/>
  <c r="DF90" i="4"/>
  <c r="EA90" i="4"/>
  <c r="DT90" i="4"/>
  <c r="BM90" i="4"/>
  <c r="CY251" i="4"/>
  <c r="CR251" i="4"/>
  <c r="BM251" i="4"/>
  <c r="CO251" i="4"/>
  <c r="BW251" i="4"/>
  <c r="BP251" i="4"/>
  <c r="BI251" i="4"/>
  <c r="CK251" i="4"/>
  <c r="AU251" i="4"/>
  <c r="AN251" i="4"/>
  <c r="BF251" i="4"/>
  <c r="CH251" i="4"/>
  <c r="EE251" i="4"/>
  <c r="DX251" i="4"/>
  <c r="DO251" i="4"/>
  <c r="BD251" i="4"/>
  <c r="DC251" i="4"/>
  <c r="CV251" i="4"/>
  <c r="CM251" i="4"/>
  <c r="DQ251" i="4"/>
  <c r="BT251" i="4"/>
  <c r="BK251" i="4"/>
  <c r="AK251" i="4"/>
  <c r="AY251" i="4"/>
  <c r="AR251" i="4"/>
  <c r="AI251" i="4"/>
  <c r="DM251" i="4"/>
  <c r="EC251" i="4"/>
  <c r="DV251" i="4"/>
  <c r="DF251" i="4"/>
  <c r="AG251" i="4"/>
  <c r="DA251" i="4"/>
  <c r="CT251" i="4"/>
  <c r="CD251" i="4"/>
  <c r="DJ251" i="4"/>
  <c r="BY251" i="4"/>
  <c r="BR251" i="4"/>
  <c r="BB251" i="4"/>
  <c r="AD251" i="4"/>
  <c r="EA251" i="4"/>
  <c r="DT251" i="4"/>
  <c r="CF251" i="4"/>
  <c r="AB251" i="4"/>
  <c r="CD104" i="4"/>
  <c r="CY104" i="4"/>
  <c r="CR104" i="4"/>
  <c r="BK104" i="4"/>
  <c r="BB104" i="4"/>
  <c r="BW104" i="4"/>
  <c r="BP104" i="4"/>
  <c r="AK104" i="4"/>
  <c r="Z104" i="4"/>
  <c r="AU104" i="4"/>
  <c r="AN104" i="4"/>
  <c r="AI104" i="4"/>
  <c r="DJ104" i="4"/>
  <c r="EE104" i="4"/>
  <c r="DX104" i="4"/>
  <c r="DM104" i="4"/>
  <c r="CH104" i="4"/>
  <c r="DC104" i="4"/>
  <c r="CV104" i="4"/>
  <c r="CK104" i="4"/>
  <c r="BF104" i="4"/>
  <c r="CA104" i="4"/>
  <c r="BT104" i="4"/>
  <c r="AD104" i="4"/>
  <c r="AY104" i="4"/>
  <c r="AR104" i="4"/>
  <c r="AG104" i="4"/>
  <c r="DH104" i="4"/>
  <c r="EC104" i="4"/>
  <c r="DV104" i="4"/>
  <c r="DQ104" i="4"/>
  <c r="CF104" i="4"/>
  <c r="DA104" i="4"/>
  <c r="CT104" i="4"/>
  <c r="DO104" i="4"/>
  <c r="BD104" i="4"/>
  <c r="BY104" i="4"/>
  <c r="BR104" i="4"/>
  <c r="CO104" i="4"/>
  <c r="DF104" i="4"/>
  <c r="EA104" i="4"/>
  <c r="DT104" i="4"/>
  <c r="BM104" i="4"/>
  <c r="EE40" i="4"/>
  <c r="DX40" i="4"/>
  <c r="BP40" i="4"/>
  <c r="CK40" i="4"/>
  <c r="DC40" i="4"/>
  <c r="CV40" i="4"/>
  <c r="AN40" i="4"/>
  <c r="BI40" i="4"/>
  <c r="CA40" i="4"/>
  <c r="BT40" i="4"/>
  <c r="AB40" i="4"/>
  <c r="AG40" i="4"/>
  <c r="AY40" i="4"/>
  <c r="AR40" i="4"/>
  <c r="DQ40" i="4"/>
  <c r="DJ40" i="4"/>
  <c r="EC40" i="4"/>
  <c r="BD40" i="4"/>
  <c r="CO40" i="4"/>
  <c r="CH40" i="4"/>
  <c r="DA40" i="4"/>
  <c r="DV40" i="4"/>
  <c r="BM40" i="4"/>
  <c r="BF40" i="4"/>
  <c r="BY40" i="4"/>
  <c r="CT40" i="4"/>
  <c r="AK40" i="4"/>
  <c r="AD40" i="4"/>
  <c r="AW40" i="4"/>
  <c r="BR40" i="4"/>
  <c r="DO40" i="4"/>
  <c r="DF40" i="4"/>
  <c r="EA40" i="4"/>
  <c r="AP40" i="4"/>
  <c r="CM40" i="4"/>
  <c r="CD40" i="4"/>
  <c r="CY40" i="4"/>
  <c r="DH40" i="4"/>
  <c r="BK40" i="4"/>
  <c r="BB40" i="4"/>
  <c r="AU40" i="4"/>
  <c r="CR40" i="4"/>
  <c r="DM40" i="4"/>
  <c r="CF40" i="4"/>
  <c r="BW40" i="4"/>
  <c r="AI40" i="4"/>
  <c r="EE26" i="4"/>
  <c r="BI26" i="4"/>
  <c r="DT26" i="4"/>
  <c r="AI26" i="4"/>
  <c r="DC26" i="4"/>
  <c r="AB26" i="4"/>
  <c r="CR26" i="4"/>
  <c r="AG26" i="4"/>
  <c r="CA26" i="4"/>
  <c r="DX26" i="4"/>
  <c r="BP26" i="4"/>
  <c r="DH26" i="4"/>
  <c r="AY26" i="4"/>
  <c r="CV26" i="4"/>
  <c r="AN26" i="4"/>
  <c r="DJ26" i="4"/>
  <c r="EC26" i="4"/>
  <c r="BT26" i="4"/>
  <c r="BD26" i="4"/>
  <c r="CH26" i="4"/>
  <c r="DA26" i="4"/>
  <c r="AR26" i="4"/>
  <c r="DQ26" i="4"/>
  <c r="BF26" i="4"/>
  <c r="BY26" i="4"/>
  <c r="CF26" i="4"/>
  <c r="CO26" i="4"/>
  <c r="AD26" i="4"/>
  <c r="AW26" i="4"/>
  <c r="DV26" i="4"/>
  <c r="DF26" i="4"/>
  <c r="EA26" i="4"/>
  <c r="CT26" i="4"/>
  <c r="AK26" i="4"/>
  <c r="CD26" i="4"/>
  <c r="CY26" i="4"/>
  <c r="BR26" i="4"/>
  <c r="DO26" i="4"/>
  <c r="BB26" i="4"/>
  <c r="AU26" i="4"/>
  <c r="CK26" i="4"/>
  <c r="BK26" i="4"/>
  <c r="DM26" i="4"/>
  <c r="BW26" i="4"/>
  <c r="AP26" i="4"/>
  <c r="CM26" i="4"/>
  <c r="Z26" i="4"/>
  <c r="GO45" i="4"/>
  <c r="CD45" i="4"/>
  <c r="CY45" i="4"/>
  <c r="CK45" i="4"/>
  <c r="CT45" i="4"/>
  <c r="BB45" i="4"/>
  <c r="BW45" i="4"/>
  <c r="BI45" i="4"/>
  <c r="CO45" i="4"/>
  <c r="Z45" i="4"/>
  <c r="AU45" i="4"/>
  <c r="AG45" i="4"/>
  <c r="CM45" i="4"/>
  <c r="DJ45" i="4"/>
  <c r="EE45" i="4"/>
  <c r="DX45" i="4"/>
  <c r="BR45" i="4"/>
  <c r="CH45" i="4"/>
  <c r="DC45" i="4"/>
  <c r="CV45" i="4"/>
  <c r="BM45" i="4"/>
  <c r="BF45" i="4"/>
  <c r="CA45" i="4"/>
  <c r="BK45" i="4"/>
  <c r="AD45" i="4"/>
  <c r="AY45" i="4"/>
  <c r="AR45" i="4"/>
  <c r="AP45" i="4"/>
  <c r="DH45" i="4"/>
  <c r="EC45" i="4"/>
  <c r="DT45" i="4"/>
  <c r="AK45" i="4"/>
  <c r="CF45" i="4"/>
  <c r="DA45" i="4"/>
  <c r="CR45" i="4"/>
  <c r="AI45" i="4"/>
  <c r="BD45" i="4"/>
  <c r="BY45" i="4"/>
  <c r="BP45" i="4"/>
  <c r="DV45" i="4"/>
  <c r="DF45" i="4"/>
  <c r="EA45" i="4"/>
  <c r="DM45" i="4"/>
  <c r="DO45" i="4"/>
  <c r="CT354" i="4"/>
  <c r="AK283" i="4"/>
  <c r="AK220" i="4"/>
  <c r="AK183" i="4"/>
  <c r="AG137" i="4"/>
  <c r="AP93" i="4"/>
  <c r="CM34" i="4"/>
  <c r="AG337" i="4"/>
  <c r="AI305" i="4"/>
  <c r="AN242" i="4"/>
  <c r="AK207" i="4"/>
  <c r="AG171" i="4"/>
  <c r="AP90" i="4"/>
  <c r="AP57" i="4"/>
  <c r="DO22" i="4"/>
  <c r="AG335" i="4"/>
  <c r="AI261" i="4"/>
  <c r="AK229" i="4"/>
  <c r="AK192" i="4"/>
  <c r="AG160" i="4"/>
  <c r="AG120" i="4"/>
  <c r="AP78" i="4"/>
  <c r="BM9" i="4"/>
  <c r="AK320" i="4"/>
  <c r="Z251" i="4"/>
  <c r="BM217" i="4"/>
  <c r="AD180" i="4"/>
  <c r="AG147" i="4"/>
  <c r="AP102" i="4"/>
  <c r="AN43" i="4"/>
  <c r="CO8" i="4"/>
  <c r="AN392" i="4"/>
  <c r="AK360" i="4"/>
  <c r="BI302" i="4"/>
  <c r="AK298" i="4"/>
  <c r="AK191" i="4"/>
  <c r="AG158" i="4"/>
  <c r="AG118" i="4"/>
  <c r="CM30" i="4"/>
  <c r="EC359" i="4"/>
  <c r="AN310" i="4"/>
  <c r="AD249" i="4"/>
  <c r="BW86" i="4"/>
  <c r="DT40" i="4"/>
  <c r="DQ386" i="4"/>
  <c r="DJ386" i="4"/>
  <c r="CV386" i="4"/>
  <c r="CO386" i="4"/>
  <c r="CH386" i="4"/>
  <c r="AW386" i="4"/>
  <c r="DX386" i="4"/>
  <c r="BM386" i="4"/>
  <c r="BF386" i="4"/>
  <c r="CT386" i="4"/>
  <c r="BY386" i="4"/>
  <c r="AK386" i="4"/>
  <c r="DF386" i="4"/>
  <c r="AU386" i="4"/>
  <c r="AD386" i="4"/>
  <c r="DO386" i="4"/>
  <c r="CD386" i="4"/>
  <c r="EE386" i="4"/>
  <c r="DH386" i="4"/>
  <c r="CM386" i="4"/>
  <c r="BB386" i="4"/>
  <c r="CR386" i="4"/>
  <c r="BR386" i="4"/>
  <c r="BK386" i="4"/>
  <c r="DC386" i="4"/>
  <c r="AR386" i="4"/>
  <c r="DV386" i="4"/>
  <c r="AI386" i="4"/>
  <c r="BP386" i="4"/>
  <c r="EC386" i="4"/>
  <c r="DT386" i="4"/>
  <c r="DM386" i="4"/>
  <c r="DA386" i="4"/>
  <c r="CF386" i="4"/>
  <c r="BW386" i="4"/>
  <c r="CK386" i="4"/>
  <c r="BD386" i="4"/>
  <c r="AP386" i="4"/>
  <c r="BT386" i="4"/>
  <c r="AG386" i="4"/>
  <c r="AY386" i="4"/>
  <c r="CA386" i="4"/>
  <c r="Z386" i="4"/>
  <c r="BI386" i="4"/>
  <c r="CY386" i="4"/>
  <c r="AB386" i="4"/>
  <c r="EA386" i="4"/>
  <c r="CV136" i="4"/>
  <c r="CO136" i="4"/>
  <c r="CH136" i="4"/>
  <c r="CD136" i="4"/>
  <c r="BT136" i="4"/>
  <c r="BM136" i="4"/>
  <c r="BF136" i="4"/>
  <c r="BB136" i="4"/>
  <c r="AR136" i="4"/>
  <c r="AK136" i="4"/>
  <c r="AD136" i="4"/>
  <c r="Z136" i="4"/>
  <c r="EC136" i="4"/>
  <c r="DV136" i="4"/>
  <c r="DO136" i="4"/>
  <c r="DH136" i="4"/>
  <c r="DA136" i="4"/>
  <c r="CT136" i="4"/>
  <c r="CM136" i="4"/>
  <c r="CF136" i="4"/>
  <c r="BY136" i="4"/>
  <c r="BR136" i="4"/>
  <c r="BK136" i="4"/>
  <c r="BD136" i="4"/>
  <c r="AW136" i="4"/>
  <c r="AP136" i="4"/>
  <c r="AI136" i="4"/>
  <c r="AB136" i="4"/>
  <c r="EA136" i="4"/>
  <c r="DT136" i="4"/>
  <c r="DM136" i="4"/>
  <c r="EE136" i="4"/>
  <c r="CY136" i="4"/>
  <c r="CK136" i="4"/>
  <c r="DC136" i="4"/>
  <c r="BW136" i="4"/>
  <c r="BP136" i="4"/>
  <c r="BI136" i="4"/>
  <c r="CA136" i="4"/>
  <c r="DX136" i="4"/>
  <c r="DQ136" i="4"/>
  <c r="DJ136" i="4"/>
  <c r="DF136" i="4"/>
  <c r="DC227" i="4"/>
  <c r="CV227" i="4"/>
  <c r="CM227" i="4"/>
  <c r="CA227" i="4"/>
  <c r="BT227" i="4"/>
  <c r="BK227" i="4"/>
  <c r="AN227" i="4"/>
  <c r="AY227" i="4"/>
  <c r="AR227" i="4"/>
  <c r="AI227" i="4"/>
  <c r="BF227" i="4"/>
  <c r="DH227" i="4"/>
  <c r="EC227" i="4"/>
  <c r="DV227" i="4"/>
  <c r="AG227" i="4"/>
  <c r="CF227" i="4"/>
  <c r="DA227" i="4"/>
  <c r="CT227" i="4"/>
  <c r="AD227" i="4"/>
  <c r="BD227" i="4"/>
  <c r="BY227" i="4"/>
  <c r="BR227" i="4"/>
  <c r="DT227" i="4"/>
  <c r="AB227" i="4"/>
  <c r="AW227" i="4"/>
  <c r="AP227" i="4"/>
  <c r="DM227" i="4"/>
  <c r="DF227" i="4"/>
  <c r="EA227" i="4"/>
  <c r="DQ227" i="4"/>
  <c r="DJ227" i="4"/>
  <c r="CD227" i="4"/>
  <c r="CY227" i="4"/>
  <c r="CO227" i="4"/>
  <c r="CR227" i="4"/>
  <c r="BB227" i="4"/>
  <c r="BW227" i="4"/>
  <c r="BM227" i="4"/>
  <c r="CK227" i="4"/>
  <c r="EE227" i="4"/>
  <c r="DX227" i="4"/>
  <c r="DO227" i="4"/>
  <c r="BP227" i="4"/>
  <c r="DF178" i="4"/>
  <c r="CT178" i="4"/>
  <c r="DA178" i="4"/>
  <c r="EA178" i="4"/>
  <c r="CD178" i="4"/>
  <c r="BR178" i="4"/>
  <c r="BK178" i="4"/>
  <c r="CK178" i="4"/>
  <c r="BB178" i="4"/>
  <c r="AP178" i="4"/>
  <c r="AB178" i="4"/>
  <c r="AU178" i="4"/>
  <c r="Z178" i="4"/>
  <c r="DM178" i="4"/>
  <c r="CY178" i="4"/>
  <c r="DT178" i="4"/>
  <c r="EE178" i="4"/>
  <c r="BW178" i="4"/>
  <c r="BI178" i="4"/>
  <c r="CH178" i="4"/>
  <c r="DC178" i="4"/>
  <c r="AI178" i="4"/>
  <c r="CR178" i="4"/>
  <c r="AR178" i="4"/>
  <c r="CA178" i="4"/>
  <c r="DJ178" i="4"/>
  <c r="BF178" i="4"/>
  <c r="DO178" i="4"/>
  <c r="AY178" i="4"/>
  <c r="BP178" i="4"/>
  <c r="CO178" i="4"/>
  <c r="BY178" i="4"/>
  <c r="DX178" i="4"/>
  <c r="AG178" i="4"/>
  <c r="BD178" i="4"/>
  <c r="AK178" i="4"/>
  <c r="CV178" i="4"/>
  <c r="DH178" i="4"/>
  <c r="EC178" i="4"/>
  <c r="DQ178" i="4"/>
  <c r="DV178" i="4"/>
  <c r="AD178" i="4"/>
  <c r="AW178" i="4"/>
  <c r="AN178" i="4"/>
  <c r="CF178" i="4"/>
  <c r="CM178" i="4"/>
  <c r="DF325" i="4"/>
  <c r="EA325" i="4"/>
  <c r="DT325" i="4"/>
  <c r="DH325" i="4"/>
  <c r="CD325" i="4"/>
  <c r="CY325" i="4"/>
  <c r="CR325" i="4"/>
  <c r="CF325" i="4"/>
  <c r="BB325" i="4"/>
  <c r="BW325" i="4"/>
  <c r="BP325" i="4"/>
  <c r="BD325" i="4"/>
  <c r="Z325" i="4"/>
  <c r="AU325" i="4"/>
  <c r="AN325" i="4"/>
  <c r="AB325" i="4"/>
  <c r="EE325" i="4"/>
  <c r="DX325" i="4"/>
  <c r="DQ325" i="4"/>
  <c r="DM325" i="4"/>
  <c r="DC325" i="4"/>
  <c r="CV325" i="4"/>
  <c r="DJ325" i="4"/>
  <c r="CA325" i="4"/>
  <c r="BT325" i="4"/>
  <c r="BM325" i="4"/>
  <c r="CK325" i="4"/>
  <c r="AY325" i="4"/>
  <c r="AR325" i="4"/>
  <c r="AK325" i="4"/>
  <c r="CH325" i="4"/>
  <c r="EC325" i="4"/>
  <c r="DV325" i="4"/>
  <c r="DO325" i="4"/>
  <c r="BI325" i="4"/>
  <c r="DA325" i="4"/>
  <c r="CT325" i="4"/>
  <c r="CM325" i="4"/>
  <c r="BF325" i="4"/>
  <c r="AW325" i="4"/>
  <c r="AP325" i="4"/>
  <c r="AI325" i="4"/>
  <c r="AD325" i="4"/>
  <c r="BY325" i="4"/>
  <c r="BR325" i="4"/>
  <c r="BK325" i="4"/>
  <c r="AG325" i="4"/>
  <c r="DJ99" i="4"/>
  <c r="EE99" i="4"/>
  <c r="DX99" i="4"/>
  <c r="DM99" i="4"/>
  <c r="CH99" i="4"/>
  <c r="DC99" i="4"/>
  <c r="CV99" i="4"/>
  <c r="CK99" i="4"/>
  <c r="BF99" i="4"/>
  <c r="CA99" i="4"/>
  <c r="BT99" i="4"/>
  <c r="AD99" i="4"/>
  <c r="AY99" i="4"/>
  <c r="AR99" i="4"/>
  <c r="AG99" i="4"/>
  <c r="DH99" i="4"/>
  <c r="EC99" i="4"/>
  <c r="DV99" i="4"/>
  <c r="BK99" i="4"/>
  <c r="CF99" i="4"/>
  <c r="DA99" i="4"/>
  <c r="CT99" i="4"/>
  <c r="AK99" i="4"/>
  <c r="BD99" i="4"/>
  <c r="BY99" i="4"/>
  <c r="BR99" i="4"/>
  <c r="AI99" i="4"/>
  <c r="AB99" i="4"/>
  <c r="AW99" i="4"/>
  <c r="AP99" i="4"/>
  <c r="CM99" i="4"/>
  <c r="DF99" i="4"/>
  <c r="EA99" i="4"/>
  <c r="DT99" i="4"/>
  <c r="DQ99" i="4"/>
  <c r="CD99" i="4"/>
  <c r="CY99" i="4"/>
  <c r="CR99" i="4"/>
  <c r="DO99" i="4"/>
  <c r="Z99" i="4"/>
  <c r="AU99" i="4"/>
  <c r="AN99" i="4"/>
  <c r="BM99" i="4"/>
  <c r="BB99" i="4"/>
  <c r="BW99" i="4"/>
  <c r="BP99" i="4"/>
  <c r="CO99" i="4"/>
  <c r="EC379" i="4"/>
  <c r="DV379" i="4"/>
  <c r="DO379" i="4"/>
  <c r="AY379" i="4"/>
  <c r="DA379" i="4"/>
  <c r="CT379" i="4"/>
  <c r="CM379" i="4"/>
  <c r="DF379" i="4"/>
  <c r="BY379" i="4"/>
  <c r="BR379" i="4"/>
  <c r="BK379" i="4"/>
  <c r="CK379" i="4"/>
  <c r="AW379" i="4"/>
  <c r="AP379" i="4"/>
  <c r="AI379" i="4"/>
  <c r="CF379" i="4"/>
  <c r="EA379" i="4"/>
  <c r="DT379" i="4"/>
  <c r="DM379" i="4"/>
  <c r="CD379" i="4"/>
  <c r="CY379" i="4"/>
  <c r="CR379" i="4"/>
  <c r="DJ379" i="4"/>
  <c r="BI379" i="4"/>
  <c r="BW379" i="4"/>
  <c r="BP379" i="4"/>
  <c r="CH379" i="4"/>
  <c r="BD379" i="4"/>
  <c r="AU379" i="4"/>
  <c r="AN379" i="4"/>
  <c r="BF379" i="4"/>
  <c r="BB379" i="4"/>
  <c r="DX379" i="4"/>
  <c r="DQ379" i="4"/>
  <c r="AD379" i="4"/>
  <c r="AG379" i="4"/>
  <c r="CV379" i="4"/>
  <c r="CO379" i="4"/>
  <c r="EE379" i="4"/>
  <c r="AB379" i="4"/>
  <c r="AK379" i="4"/>
  <c r="CA379" i="4"/>
  <c r="DH379" i="4"/>
  <c r="Z379" i="4"/>
  <c r="BT379" i="4"/>
  <c r="DC379" i="4"/>
  <c r="DH213" i="4"/>
  <c r="EC213" i="4"/>
  <c r="BR213" i="4"/>
  <c r="CR213" i="4"/>
  <c r="CF213" i="4"/>
  <c r="DA213" i="4"/>
  <c r="AP213" i="4"/>
  <c r="AN213" i="4"/>
  <c r="BD213" i="4"/>
  <c r="BY213" i="4"/>
  <c r="DT213" i="4"/>
  <c r="CO213" i="4"/>
  <c r="AB213" i="4"/>
  <c r="AW213" i="4"/>
  <c r="AK213" i="4"/>
  <c r="DF213" i="4"/>
  <c r="EA213" i="4"/>
  <c r="DQ213" i="4"/>
  <c r="CM213" i="4"/>
  <c r="CD213" i="4"/>
  <c r="CY213" i="4"/>
  <c r="BK213" i="4"/>
  <c r="AI213" i="4"/>
  <c r="BB213" i="4"/>
  <c r="BW213" i="4"/>
  <c r="DO213" i="4"/>
  <c r="CK213" i="4"/>
  <c r="Z213" i="4"/>
  <c r="AU213" i="4"/>
  <c r="BI213" i="4"/>
  <c r="AG213" i="4"/>
  <c r="EE213" i="4"/>
  <c r="DX213" i="4"/>
  <c r="DM213" i="4"/>
  <c r="CH213" i="4"/>
  <c r="DC213" i="4"/>
  <c r="CV213" i="4"/>
  <c r="BF213" i="4"/>
  <c r="BT213" i="4"/>
  <c r="AY213" i="4"/>
  <c r="CT213" i="4"/>
  <c r="AR213" i="4"/>
  <c r="AD213" i="4"/>
  <c r="BP213" i="4"/>
  <c r="CA213" i="4"/>
  <c r="DJ213" i="4"/>
  <c r="EC165" i="4"/>
  <c r="DV165" i="4"/>
  <c r="DO165" i="4"/>
  <c r="DH165" i="4"/>
  <c r="DA165" i="4"/>
  <c r="CT165" i="4"/>
  <c r="CM165" i="4"/>
  <c r="CF165" i="4"/>
  <c r="BY165" i="4"/>
  <c r="BR165" i="4"/>
  <c r="BK165" i="4"/>
  <c r="BD165" i="4"/>
  <c r="AW165" i="4"/>
  <c r="AP165" i="4"/>
  <c r="AI165" i="4"/>
  <c r="AB165" i="4"/>
  <c r="EA165" i="4"/>
  <c r="DT165" i="4"/>
  <c r="DM165" i="4"/>
  <c r="EE165" i="4"/>
  <c r="CY165" i="4"/>
  <c r="CR165" i="4"/>
  <c r="CK165" i="4"/>
  <c r="DC165" i="4"/>
  <c r="BW165" i="4"/>
  <c r="BP165" i="4"/>
  <c r="BI165" i="4"/>
  <c r="CA165" i="4"/>
  <c r="AU165" i="4"/>
  <c r="AN165" i="4"/>
  <c r="AG165" i="4"/>
  <c r="AY165" i="4"/>
  <c r="DX165" i="4"/>
  <c r="DQ165" i="4"/>
  <c r="DJ165" i="4"/>
  <c r="BB165" i="4"/>
  <c r="CV165" i="4"/>
  <c r="CO165" i="4"/>
  <c r="CH165" i="4"/>
  <c r="Z165" i="4"/>
  <c r="AR165" i="4"/>
  <c r="AK165" i="4"/>
  <c r="AD165" i="4"/>
  <c r="DF165" i="4"/>
  <c r="BT165" i="4"/>
  <c r="BF165" i="4"/>
  <c r="CD165" i="4"/>
  <c r="CV393" i="4"/>
  <c r="CO393" i="4"/>
  <c r="CH393" i="4"/>
  <c r="BT393" i="4"/>
  <c r="BM393" i="4"/>
  <c r="BF393" i="4"/>
  <c r="BD393" i="4"/>
  <c r="AR393" i="4"/>
  <c r="AK393" i="4"/>
  <c r="AD393" i="4"/>
  <c r="CD393" i="4"/>
  <c r="EC393" i="4"/>
  <c r="DV393" i="4"/>
  <c r="DO393" i="4"/>
  <c r="EE393" i="4"/>
  <c r="DA393" i="4"/>
  <c r="CT393" i="4"/>
  <c r="CM393" i="4"/>
  <c r="DC393" i="4"/>
  <c r="BY393" i="4"/>
  <c r="BR393" i="4"/>
  <c r="BK393" i="4"/>
  <c r="CA393" i="4"/>
  <c r="AW393" i="4"/>
  <c r="AP393" i="4"/>
  <c r="AI393" i="4"/>
  <c r="AY393" i="4"/>
  <c r="EA393" i="4"/>
  <c r="DT393" i="4"/>
  <c r="DM393" i="4"/>
  <c r="BB393" i="4"/>
  <c r="CY393" i="4"/>
  <c r="CR393" i="4"/>
  <c r="CK393" i="4"/>
  <c r="AB393" i="4"/>
  <c r="BW393" i="4"/>
  <c r="BP393" i="4"/>
  <c r="BI393" i="4"/>
  <c r="Z393" i="4"/>
  <c r="DX393" i="4"/>
  <c r="DQ393" i="4"/>
  <c r="DJ393" i="4"/>
  <c r="DF393" i="4"/>
  <c r="BD245" i="4"/>
  <c r="DM245" i="4"/>
  <c r="CY245" i="4"/>
  <c r="EA245" i="4"/>
  <c r="EE245" i="4"/>
  <c r="AB245" i="4"/>
  <c r="BM245" i="4"/>
  <c r="DC245" i="4"/>
  <c r="DV245" i="4"/>
  <c r="AU245" i="4"/>
  <c r="AK245" i="4"/>
  <c r="CA245" i="4"/>
  <c r="CK245" i="4"/>
  <c r="DJ245" i="4"/>
  <c r="CV245" i="4"/>
  <c r="DA245" i="4"/>
  <c r="Z245" i="4"/>
  <c r="AR245" i="4"/>
  <c r="AI245" i="4"/>
  <c r="BY245" i="4"/>
  <c r="DQ245" i="4"/>
  <c r="DH245" i="4"/>
  <c r="CT245" i="4"/>
  <c r="DT245" i="4"/>
  <c r="CH245" i="4"/>
  <c r="BT245" i="4"/>
  <c r="CO245" i="4"/>
  <c r="CR245" i="4"/>
  <c r="AY245" i="4"/>
  <c r="AP245" i="4"/>
  <c r="BI245" i="4"/>
  <c r="BP245" i="4"/>
  <c r="DO245" i="4"/>
  <c r="DF245" i="4"/>
  <c r="BF245" i="4"/>
  <c r="CM245" i="4"/>
  <c r="AW245" i="4"/>
  <c r="AN245" i="4"/>
  <c r="AD245" i="4"/>
  <c r="EC245" i="4"/>
  <c r="DX245" i="4"/>
  <c r="BB245" i="4"/>
  <c r="CF245" i="4"/>
  <c r="BW245" i="4"/>
  <c r="BR245" i="4"/>
  <c r="AG245" i="4"/>
  <c r="BK245" i="4"/>
  <c r="DJ96" i="4"/>
  <c r="EE96" i="4"/>
  <c r="DX96" i="4"/>
  <c r="DM96" i="4"/>
  <c r="CH96" i="4"/>
  <c r="DC96" i="4"/>
  <c r="CV96" i="4"/>
  <c r="CK96" i="4"/>
  <c r="BF96" i="4"/>
  <c r="CA96" i="4"/>
  <c r="BT96" i="4"/>
  <c r="AD96" i="4"/>
  <c r="AY96" i="4"/>
  <c r="AR96" i="4"/>
  <c r="AG96" i="4"/>
  <c r="DH96" i="4"/>
  <c r="EC96" i="4"/>
  <c r="DV96" i="4"/>
  <c r="DQ96" i="4"/>
  <c r="CF96" i="4"/>
  <c r="DA96" i="4"/>
  <c r="CT96" i="4"/>
  <c r="AI96" i="4"/>
  <c r="BD96" i="4"/>
  <c r="BY96" i="4"/>
  <c r="BR96" i="4"/>
  <c r="DO96" i="4"/>
  <c r="AB96" i="4"/>
  <c r="AW96" i="4"/>
  <c r="AP96" i="4"/>
  <c r="CO96" i="4"/>
  <c r="DF96" i="4"/>
  <c r="EA96" i="4"/>
  <c r="DT96" i="4"/>
  <c r="CM96" i="4"/>
  <c r="CD96" i="4"/>
  <c r="CY96" i="4"/>
  <c r="CR96" i="4"/>
  <c r="BM96" i="4"/>
  <c r="Z96" i="4"/>
  <c r="AU96" i="4"/>
  <c r="AN96" i="4"/>
  <c r="AK96" i="4"/>
  <c r="BB96" i="4"/>
  <c r="BW96" i="4"/>
  <c r="BP96" i="4"/>
  <c r="BK96" i="4"/>
  <c r="CD280" i="4"/>
  <c r="CY280" i="4"/>
  <c r="CK280" i="4"/>
  <c r="DO280" i="4"/>
  <c r="BB280" i="4"/>
  <c r="BW280" i="4"/>
  <c r="BR280" i="4"/>
  <c r="CT280" i="4"/>
  <c r="Z280" i="4"/>
  <c r="AU280" i="4"/>
  <c r="BP280" i="4"/>
  <c r="AI280" i="4"/>
  <c r="DJ280" i="4"/>
  <c r="EE280" i="4"/>
  <c r="DX280" i="4"/>
  <c r="BK280" i="4"/>
  <c r="CH280" i="4"/>
  <c r="DC280" i="4"/>
  <c r="CV280" i="4"/>
  <c r="BI280" i="4"/>
  <c r="BF280" i="4"/>
  <c r="CA280" i="4"/>
  <c r="BT280" i="4"/>
  <c r="DV280" i="4"/>
  <c r="AD280" i="4"/>
  <c r="AR280" i="4"/>
  <c r="AP280" i="4"/>
  <c r="DH280" i="4"/>
  <c r="EC280" i="4"/>
  <c r="DQ280" i="4"/>
  <c r="DT280" i="4"/>
  <c r="CF280" i="4"/>
  <c r="DA280" i="4"/>
  <c r="CO280" i="4"/>
  <c r="AN280" i="4"/>
  <c r="BD280" i="4"/>
  <c r="BY280" i="4"/>
  <c r="BM280" i="4"/>
  <c r="DM280" i="4"/>
  <c r="DF280" i="4"/>
  <c r="EA280" i="4"/>
  <c r="CM280" i="4"/>
  <c r="CR280" i="4"/>
  <c r="DJ94" i="4"/>
  <c r="EE94" i="4"/>
  <c r="DX94" i="4"/>
  <c r="DM94" i="4"/>
  <c r="CH94" i="4"/>
  <c r="DC94" i="4"/>
  <c r="CV94" i="4"/>
  <c r="CK94" i="4"/>
  <c r="BF94" i="4"/>
  <c r="CA94" i="4"/>
  <c r="BT94" i="4"/>
  <c r="BI94" i="4"/>
  <c r="AD94" i="4"/>
  <c r="AY94" i="4"/>
  <c r="AR94" i="4"/>
  <c r="AG94" i="4"/>
  <c r="DH94" i="4"/>
  <c r="EC94" i="4"/>
  <c r="DV94" i="4"/>
  <c r="BK94" i="4"/>
  <c r="CF94" i="4"/>
  <c r="DA94" i="4"/>
  <c r="CT94" i="4"/>
  <c r="AK94" i="4"/>
  <c r="BD94" i="4"/>
  <c r="BY94" i="4"/>
  <c r="BR94" i="4"/>
  <c r="AI94" i="4"/>
  <c r="AB94" i="4"/>
  <c r="AW94" i="4"/>
  <c r="AP94" i="4"/>
  <c r="DQ94" i="4"/>
  <c r="DF94" i="4"/>
  <c r="EA94" i="4"/>
  <c r="DT94" i="4"/>
  <c r="CM94" i="4"/>
  <c r="CD94" i="4"/>
  <c r="CY94" i="4"/>
  <c r="CR94" i="4"/>
  <c r="DO94" i="4"/>
  <c r="Z94" i="4"/>
  <c r="AU94" i="4"/>
  <c r="AN94" i="4"/>
  <c r="BM94" i="4"/>
  <c r="BB94" i="4"/>
  <c r="BW94" i="4"/>
  <c r="BP94" i="4"/>
  <c r="CD281" i="4"/>
  <c r="CY281" i="4"/>
  <c r="BI281" i="4"/>
  <c r="BP281" i="4"/>
  <c r="BB281" i="4"/>
  <c r="BW281" i="4"/>
  <c r="DV281" i="4"/>
  <c r="CM281" i="4"/>
  <c r="Z281" i="4"/>
  <c r="AU281" i="4"/>
  <c r="AP281" i="4"/>
  <c r="BR281" i="4"/>
  <c r="DJ281" i="4"/>
  <c r="EE281" i="4"/>
  <c r="DX281" i="4"/>
  <c r="DT281" i="4"/>
  <c r="CH281" i="4"/>
  <c r="DC281" i="4"/>
  <c r="CV281" i="4"/>
  <c r="AN281" i="4"/>
  <c r="BF281" i="4"/>
  <c r="CA281" i="4"/>
  <c r="BT281" i="4"/>
  <c r="DO281" i="4"/>
  <c r="AD281" i="4"/>
  <c r="AY281" i="4"/>
  <c r="AR281" i="4"/>
  <c r="AI281" i="4"/>
  <c r="DH281" i="4"/>
  <c r="EC281" i="4"/>
  <c r="DQ281" i="4"/>
  <c r="DM281" i="4"/>
  <c r="CF281" i="4"/>
  <c r="DA281" i="4"/>
  <c r="CO281" i="4"/>
  <c r="AG281" i="4"/>
  <c r="BD281" i="4"/>
  <c r="BY281" i="4"/>
  <c r="CT281" i="4"/>
  <c r="DF281" i="4"/>
  <c r="EA281" i="4"/>
  <c r="BK281" i="4"/>
  <c r="CK281" i="4"/>
  <c r="CV150" i="4"/>
  <c r="CO150" i="4"/>
  <c r="CH150" i="4"/>
  <c r="CD150" i="4"/>
  <c r="BT150" i="4"/>
  <c r="BM150" i="4"/>
  <c r="BF150" i="4"/>
  <c r="BB150" i="4"/>
  <c r="AR150" i="4"/>
  <c r="AK150" i="4"/>
  <c r="AD150" i="4"/>
  <c r="Z150" i="4"/>
  <c r="EC150" i="4"/>
  <c r="DV150" i="4"/>
  <c r="DO150" i="4"/>
  <c r="DH150" i="4"/>
  <c r="DA150" i="4"/>
  <c r="CT150" i="4"/>
  <c r="CM150" i="4"/>
  <c r="CF150" i="4"/>
  <c r="BY150" i="4"/>
  <c r="BR150" i="4"/>
  <c r="BK150" i="4"/>
  <c r="BD150" i="4"/>
  <c r="AW150" i="4"/>
  <c r="AP150" i="4"/>
  <c r="AI150" i="4"/>
  <c r="AB150" i="4"/>
  <c r="EA150" i="4"/>
  <c r="DT150" i="4"/>
  <c r="DM150" i="4"/>
  <c r="EE150" i="4"/>
  <c r="CY150" i="4"/>
  <c r="CR150" i="4"/>
  <c r="CK150" i="4"/>
  <c r="DC150" i="4"/>
  <c r="BW150" i="4"/>
  <c r="BP150" i="4"/>
  <c r="BI150" i="4"/>
  <c r="CA150" i="4"/>
  <c r="DX150" i="4"/>
  <c r="DJ150" i="4"/>
  <c r="DF150" i="4"/>
  <c r="DC241" i="4"/>
  <c r="CV241" i="4"/>
  <c r="CO241" i="4"/>
  <c r="CH241" i="4"/>
  <c r="CA241" i="4"/>
  <c r="BM241" i="4"/>
  <c r="BI241" i="4"/>
  <c r="AY241" i="4"/>
  <c r="AR241" i="4"/>
  <c r="AK241" i="4"/>
  <c r="BF241" i="4"/>
  <c r="DH241" i="4"/>
  <c r="EC241" i="4"/>
  <c r="DV241" i="4"/>
  <c r="DO241" i="4"/>
  <c r="CF241" i="4"/>
  <c r="DA241" i="4"/>
  <c r="CT241" i="4"/>
  <c r="CM241" i="4"/>
  <c r="BD241" i="4"/>
  <c r="BY241" i="4"/>
  <c r="BR241" i="4"/>
  <c r="BK241" i="4"/>
  <c r="AB241" i="4"/>
  <c r="AW241" i="4"/>
  <c r="AP241" i="4"/>
  <c r="AI241" i="4"/>
  <c r="DF241" i="4"/>
  <c r="EA241" i="4"/>
  <c r="DT241" i="4"/>
  <c r="AG241" i="4"/>
  <c r="CD241" i="4"/>
  <c r="CY241" i="4"/>
  <c r="CR241" i="4"/>
  <c r="AD241" i="4"/>
  <c r="BB241" i="4"/>
  <c r="BW241" i="4"/>
  <c r="BP241" i="4"/>
  <c r="DM241" i="4"/>
  <c r="EE241" i="4"/>
  <c r="DX241" i="4"/>
  <c r="DQ241" i="4"/>
  <c r="CK241" i="4"/>
  <c r="CD89" i="4"/>
  <c r="CY89" i="4"/>
  <c r="CR89" i="4"/>
  <c r="AK89" i="4"/>
  <c r="BB89" i="4"/>
  <c r="BW89" i="4"/>
  <c r="BP89" i="4"/>
  <c r="AI89" i="4"/>
  <c r="Z89" i="4"/>
  <c r="AU89" i="4"/>
  <c r="AN89" i="4"/>
  <c r="DQ89" i="4"/>
  <c r="DJ89" i="4"/>
  <c r="EE89" i="4"/>
  <c r="DX89" i="4"/>
  <c r="DM89" i="4"/>
  <c r="CH89" i="4"/>
  <c r="DC89" i="4"/>
  <c r="CV89" i="4"/>
  <c r="CK89" i="4"/>
  <c r="BF89" i="4"/>
  <c r="CA89" i="4"/>
  <c r="BI89" i="4"/>
  <c r="AD89" i="4"/>
  <c r="AY89" i="4"/>
  <c r="AR89" i="4"/>
  <c r="AG89" i="4"/>
  <c r="DH89" i="4"/>
  <c r="EC89" i="4"/>
  <c r="DV89" i="4"/>
  <c r="DO89" i="4"/>
  <c r="CF89" i="4"/>
  <c r="DA89" i="4"/>
  <c r="CT89" i="4"/>
  <c r="CO89" i="4"/>
  <c r="BD89" i="4"/>
  <c r="BY89" i="4"/>
  <c r="BR89" i="4"/>
  <c r="CM89" i="4"/>
  <c r="DF89" i="4"/>
  <c r="EA89" i="4"/>
  <c r="DT89" i="4"/>
  <c r="BK89" i="4"/>
  <c r="CV169" i="4"/>
  <c r="CO169" i="4"/>
  <c r="CH169" i="4"/>
  <c r="CD169" i="4"/>
  <c r="BT169" i="4"/>
  <c r="BM169" i="4"/>
  <c r="BF169" i="4"/>
  <c r="BB169" i="4"/>
  <c r="AR169" i="4"/>
  <c r="AK169" i="4"/>
  <c r="AD169" i="4"/>
  <c r="Z169" i="4"/>
  <c r="EC169" i="4"/>
  <c r="DV169" i="4"/>
  <c r="DO169" i="4"/>
  <c r="DH169" i="4"/>
  <c r="DA169" i="4"/>
  <c r="CT169" i="4"/>
  <c r="CM169" i="4"/>
  <c r="CF169" i="4"/>
  <c r="BY169" i="4"/>
  <c r="BR169" i="4"/>
  <c r="BK169" i="4"/>
  <c r="BD169" i="4"/>
  <c r="AW169" i="4"/>
  <c r="AP169" i="4"/>
  <c r="AI169" i="4"/>
  <c r="AB169" i="4"/>
  <c r="EA169" i="4"/>
  <c r="DT169" i="4"/>
  <c r="DM169" i="4"/>
  <c r="EE169" i="4"/>
  <c r="CY169" i="4"/>
  <c r="CR169" i="4"/>
  <c r="CK169" i="4"/>
  <c r="DC169" i="4"/>
  <c r="BW169" i="4"/>
  <c r="BP169" i="4"/>
  <c r="CA169" i="4"/>
  <c r="DX169" i="4"/>
  <c r="DQ169" i="4"/>
  <c r="DJ169" i="4"/>
  <c r="DF169" i="4"/>
  <c r="EE28" i="4"/>
  <c r="DX28" i="4"/>
  <c r="AN28" i="4"/>
  <c r="DM28" i="4"/>
  <c r="DC28" i="4"/>
  <c r="CV28" i="4"/>
  <c r="BD28" i="4"/>
  <c r="CK28" i="4"/>
  <c r="CA28" i="4"/>
  <c r="BT28" i="4"/>
  <c r="DQ28" i="4"/>
  <c r="BI28" i="4"/>
  <c r="AY28" i="4"/>
  <c r="AR28" i="4"/>
  <c r="CO28" i="4"/>
  <c r="AG28" i="4"/>
  <c r="EC28" i="4"/>
  <c r="DV28" i="4"/>
  <c r="BM28" i="4"/>
  <c r="DJ28" i="4"/>
  <c r="DA28" i="4"/>
  <c r="CT28" i="4"/>
  <c r="AK28" i="4"/>
  <c r="CH28" i="4"/>
  <c r="BY28" i="4"/>
  <c r="BR28" i="4"/>
  <c r="DH28" i="4"/>
  <c r="BF28" i="4"/>
  <c r="AW28" i="4"/>
  <c r="AP28" i="4"/>
  <c r="DO28" i="4"/>
  <c r="AD28" i="4"/>
  <c r="EA28" i="4"/>
  <c r="CF28" i="4"/>
  <c r="CM28" i="4"/>
  <c r="DF28" i="4"/>
  <c r="CY28" i="4"/>
  <c r="DT28" i="4"/>
  <c r="BK28" i="4"/>
  <c r="CD28" i="4"/>
  <c r="AU28" i="4"/>
  <c r="AB28" i="4"/>
  <c r="Z28" i="4"/>
  <c r="BW28" i="4"/>
  <c r="CR28" i="4"/>
  <c r="AI28" i="4"/>
  <c r="BB28" i="4"/>
  <c r="CY36" i="4"/>
  <c r="AP36" i="4"/>
  <c r="AI36" i="4"/>
  <c r="CD36" i="4"/>
  <c r="BW36" i="4"/>
  <c r="DT36" i="4"/>
  <c r="DM36" i="4"/>
  <c r="BB36" i="4"/>
  <c r="AU36" i="4"/>
  <c r="CR36" i="4"/>
  <c r="CK36" i="4"/>
  <c r="Z36" i="4"/>
  <c r="EE36" i="4"/>
  <c r="BD36" i="4"/>
  <c r="BP36" i="4"/>
  <c r="BI36" i="4"/>
  <c r="DC36" i="4"/>
  <c r="DX36" i="4"/>
  <c r="AN36" i="4"/>
  <c r="AG36" i="4"/>
  <c r="CA36" i="4"/>
  <c r="CV36" i="4"/>
  <c r="DQ36" i="4"/>
  <c r="DJ36" i="4"/>
  <c r="BT36" i="4"/>
  <c r="CO36" i="4"/>
  <c r="CH36" i="4"/>
  <c r="EC36" i="4"/>
  <c r="AR36" i="4"/>
  <c r="BM36" i="4"/>
  <c r="BF36" i="4"/>
  <c r="DA36" i="4"/>
  <c r="CF36" i="4"/>
  <c r="AK36" i="4"/>
  <c r="AD36" i="4"/>
  <c r="BY36" i="4"/>
  <c r="DV36" i="4"/>
  <c r="DO36" i="4"/>
  <c r="DH36" i="4"/>
  <c r="EA36" i="4"/>
  <c r="BR36" i="4"/>
  <c r="BK36" i="4"/>
  <c r="DF36" i="4"/>
  <c r="EA33" i="4"/>
  <c r="AP33" i="4"/>
  <c r="BK33" i="4"/>
  <c r="BB33" i="4"/>
  <c r="CY33" i="4"/>
  <c r="BD33" i="4"/>
  <c r="AI33" i="4"/>
  <c r="Z33" i="4"/>
  <c r="BW33" i="4"/>
  <c r="DT33" i="4"/>
  <c r="DM33" i="4"/>
  <c r="DH33" i="4"/>
  <c r="EE33" i="4"/>
  <c r="AU33" i="4"/>
  <c r="CR33" i="4"/>
  <c r="CK33" i="4"/>
  <c r="DC33" i="4"/>
  <c r="DX33" i="4"/>
  <c r="BP33" i="4"/>
  <c r="CA33" i="4"/>
  <c r="CV33" i="4"/>
  <c r="AN33" i="4"/>
  <c r="AG33" i="4"/>
  <c r="AY33" i="4"/>
  <c r="BT33" i="4"/>
  <c r="DQ33" i="4"/>
  <c r="DJ33" i="4"/>
  <c r="AB33" i="4"/>
  <c r="AR33" i="4"/>
  <c r="CO33" i="4"/>
  <c r="CH33" i="4"/>
  <c r="EC33" i="4"/>
  <c r="CF33" i="4"/>
  <c r="BM33" i="4"/>
  <c r="BF33" i="4"/>
  <c r="DA33" i="4"/>
  <c r="DV33" i="4"/>
  <c r="AK33" i="4"/>
  <c r="AD33" i="4"/>
  <c r="AW33" i="4"/>
  <c r="BR33" i="4"/>
  <c r="CM33" i="4"/>
  <c r="CD33" i="4"/>
  <c r="AI354" i="4"/>
  <c r="AW283" i="4"/>
  <c r="AU220" i="4"/>
  <c r="AR183" i="4"/>
  <c r="AW93" i="4"/>
  <c r="CT34" i="4"/>
  <c r="AR305" i="4"/>
  <c r="AU242" i="4"/>
  <c r="AR207" i="4"/>
  <c r="AN171" i="4"/>
  <c r="AN136" i="4"/>
  <c r="AW90" i="4"/>
  <c r="AW57" i="4"/>
  <c r="AN393" i="4"/>
  <c r="AN335" i="4"/>
  <c r="AP261" i="4"/>
  <c r="AR192" i="4"/>
  <c r="AN160" i="4"/>
  <c r="AN120" i="4"/>
  <c r="DV9" i="4"/>
  <c r="CT36" i="4"/>
  <c r="AR320" i="4"/>
  <c r="AW281" i="4"/>
  <c r="AP251" i="4"/>
  <c r="AU217" i="4"/>
  <c r="AR180" i="4"/>
  <c r="AW102" i="4"/>
  <c r="AW43" i="4"/>
  <c r="DV8" i="4"/>
  <c r="AB392" i="4"/>
  <c r="AR302" i="4"/>
  <c r="AW298" i="4"/>
  <c r="AU227" i="4"/>
  <c r="AN158" i="4"/>
  <c r="AN118" i="4"/>
  <c r="BR30" i="4"/>
  <c r="DF382" i="4"/>
  <c r="CY310" i="4"/>
  <c r="BP249" i="4"/>
  <c r="BW53" i="4"/>
  <c r="BM210" i="4"/>
  <c r="DO187" i="4"/>
  <c r="L302" i="4"/>
  <c r="GK302" i="4"/>
  <c r="HG302" i="4" s="1"/>
  <c r="HD302" i="4" s="1"/>
  <c r="L290" i="4"/>
  <c r="GK290" i="4"/>
  <c r="HG290" i="4" s="1"/>
  <c r="DF317" i="4"/>
  <c r="EA317" i="4"/>
  <c r="DT317" i="4"/>
  <c r="DH317" i="4"/>
  <c r="CD317" i="4"/>
  <c r="CY317" i="4"/>
  <c r="CR317" i="4"/>
  <c r="CF317" i="4"/>
  <c r="BB317" i="4"/>
  <c r="BW317" i="4"/>
  <c r="BP317" i="4"/>
  <c r="BD317" i="4"/>
  <c r="Z317" i="4"/>
  <c r="AU317" i="4"/>
  <c r="AN317" i="4"/>
  <c r="AB317" i="4"/>
  <c r="EE317" i="4"/>
  <c r="DX317" i="4"/>
  <c r="DQ317" i="4"/>
  <c r="CK317" i="4"/>
  <c r="DC317" i="4"/>
  <c r="CV317" i="4"/>
  <c r="CO317" i="4"/>
  <c r="CH317" i="4"/>
  <c r="BT317" i="4"/>
  <c r="BM317" i="4"/>
  <c r="BI317" i="4"/>
  <c r="AY317" i="4"/>
  <c r="AR317" i="4"/>
  <c r="AK317" i="4"/>
  <c r="BF317" i="4"/>
  <c r="EC317" i="4"/>
  <c r="DV317" i="4"/>
  <c r="DO317" i="4"/>
  <c r="AG317" i="4"/>
  <c r="DA317" i="4"/>
  <c r="CT317" i="4"/>
  <c r="CM317" i="4"/>
  <c r="AD317" i="4"/>
  <c r="AW317" i="4"/>
  <c r="AP317" i="4"/>
  <c r="AI317" i="4"/>
  <c r="DJ317" i="4"/>
  <c r="BY317" i="4"/>
  <c r="BR317" i="4"/>
  <c r="DM317" i="4"/>
  <c r="BK317" i="4"/>
  <c r="V67" i="4"/>
  <c r="CD67" i="4"/>
  <c r="CY67" i="4"/>
  <c r="CR67" i="4"/>
  <c r="BK67" i="4"/>
  <c r="BB67" i="4"/>
  <c r="BW67" i="4"/>
  <c r="BP67" i="4"/>
  <c r="AK67" i="4"/>
  <c r="Z67" i="4"/>
  <c r="AU67" i="4"/>
  <c r="AN67" i="4"/>
  <c r="AI67" i="4"/>
  <c r="DJ67" i="4"/>
  <c r="EE67" i="4"/>
  <c r="DX67" i="4"/>
  <c r="DM67" i="4"/>
  <c r="CH67" i="4"/>
  <c r="DC67" i="4"/>
  <c r="CV67" i="4"/>
  <c r="CK67" i="4"/>
  <c r="BF67" i="4"/>
  <c r="CA67" i="4"/>
  <c r="BI67" i="4"/>
  <c r="AD67" i="4"/>
  <c r="AY67" i="4"/>
  <c r="AR67" i="4"/>
  <c r="AG67" i="4"/>
  <c r="DH67" i="4"/>
  <c r="EC67" i="4"/>
  <c r="DV67" i="4"/>
  <c r="DQ67" i="4"/>
  <c r="CF67" i="4"/>
  <c r="DA67" i="4"/>
  <c r="CT67" i="4"/>
  <c r="DO67" i="4"/>
  <c r="BD67" i="4"/>
  <c r="BY67" i="4"/>
  <c r="BR67" i="4"/>
  <c r="CO67" i="4"/>
  <c r="DF67" i="4"/>
  <c r="EA67" i="4"/>
  <c r="DT67" i="4"/>
  <c r="BM67" i="4"/>
  <c r="DC216" i="4"/>
  <c r="CV216" i="4"/>
  <c r="BF216" i="4"/>
  <c r="CH216" i="4"/>
  <c r="CA216" i="4"/>
  <c r="BT216" i="4"/>
  <c r="DM216" i="4"/>
  <c r="BP216" i="4"/>
  <c r="AY216" i="4"/>
  <c r="AR216" i="4"/>
  <c r="AN216" i="4"/>
  <c r="BM216" i="4"/>
  <c r="DH216" i="4"/>
  <c r="EC216" i="4"/>
  <c r="DV216" i="4"/>
  <c r="DJ216" i="4"/>
  <c r="CF216" i="4"/>
  <c r="DA216" i="4"/>
  <c r="CT216" i="4"/>
  <c r="AK216" i="4"/>
  <c r="BD216" i="4"/>
  <c r="BY216" i="4"/>
  <c r="BR216" i="4"/>
  <c r="CR216" i="4"/>
  <c r="AB216" i="4"/>
  <c r="AP216" i="4"/>
  <c r="AI216" i="4"/>
  <c r="DF216" i="4"/>
  <c r="EA216" i="4"/>
  <c r="DT216" i="4"/>
  <c r="CO216" i="4"/>
  <c r="CD216" i="4"/>
  <c r="CY216" i="4"/>
  <c r="BK216" i="4"/>
  <c r="AG216" i="4"/>
  <c r="BB216" i="4"/>
  <c r="BW216" i="4"/>
  <c r="DQ216" i="4"/>
  <c r="CM216" i="4"/>
  <c r="EE216" i="4"/>
  <c r="DX216" i="4"/>
  <c r="DO216" i="4"/>
  <c r="CK216" i="4"/>
  <c r="DH226" i="4"/>
  <c r="EC226" i="4"/>
  <c r="DV226" i="4"/>
  <c r="AG226" i="4"/>
  <c r="CF226" i="4"/>
  <c r="DA226" i="4"/>
  <c r="CT226" i="4"/>
  <c r="AD226" i="4"/>
  <c r="BD226" i="4"/>
  <c r="BY226" i="4"/>
  <c r="BR226" i="4"/>
  <c r="DT226" i="4"/>
  <c r="AB226" i="4"/>
  <c r="AW226" i="4"/>
  <c r="AP226" i="4"/>
  <c r="DM226" i="4"/>
  <c r="DF226" i="4"/>
  <c r="EA226" i="4"/>
  <c r="DQ226" i="4"/>
  <c r="DJ226" i="4"/>
  <c r="CD226" i="4"/>
  <c r="CY226" i="4"/>
  <c r="CO226" i="4"/>
  <c r="CR226" i="4"/>
  <c r="BB226" i="4"/>
  <c r="BW226" i="4"/>
  <c r="BM226" i="4"/>
  <c r="CK226" i="4"/>
  <c r="AU226" i="4"/>
  <c r="AK226" i="4"/>
  <c r="CH226" i="4"/>
  <c r="EE226" i="4"/>
  <c r="DX226" i="4"/>
  <c r="DO226" i="4"/>
  <c r="BP226" i="4"/>
  <c r="DC226" i="4"/>
  <c r="CV226" i="4"/>
  <c r="CM226" i="4"/>
  <c r="BI226" i="4"/>
  <c r="AY226" i="4"/>
  <c r="AR226" i="4"/>
  <c r="AI226" i="4"/>
  <c r="AN226" i="4"/>
  <c r="CA226" i="4"/>
  <c r="BT226" i="4"/>
  <c r="BK226" i="4"/>
  <c r="BF226" i="4"/>
  <c r="CV337" i="4"/>
  <c r="CO337" i="4"/>
  <c r="BB337" i="4"/>
  <c r="BT337" i="4"/>
  <c r="BM337" i="4"/>
  <c r="BF337" i="4"/>
  <c r="CD337" i="4"/>
  <c r="AR337" i="4"/>
  <c r="AK337" i="4"/>
  <c r="AD337" i="4"/>
  <c r="BD337" i="4"/>
  <c r="EC337" i="4"/>
  <c r="DV337" i="4"/>
  <c r="DO337" i="4"/>
  <c r="EE337" i="4"/>
  <c r="DA337" i="4"/>
  <c r="CT337" i="4"/>
  <c r="CM337" i="4"/>
  <c r="DC337" i="4"/>
  <c r="BY337" i="4"/>
  <c r="BR337" i="4"/>
  <c r="BK337" i="4"/>
  <c r="CA337" i="4"/>
  <c r="AW337" i="4"/>
  <c r="AP337" i="4"/>
  <c r="AI337" i="4"/>
  <c r="AY337" i="4"/>
  <c r="EA337" i="4"/>
  <c r="DT337" i="4"/>
  <c r="DM337" i="4"/>
  <c r="AB337" i="4"/>
  <c r="CY337" i="4"/>
  <c r="CR337" i="4"/>
  <c r="CK337" i="4"/>
  <c r="Z337" i="4"/>
  <c r="BW337" i="4"/>
  <c r="BP337" i="4"/>
  <c r="BI337" i="4"/>
  <c r="DH337" i="4"/>
  <c r="DX337" i="4"/>
  <c r="DQ337" i="4"/>
  <c r="DJ337" i="4"/>
  <c r="CF337" i="4"/>
  <c r="EC167" i="4"/>
  <c r="DV167" i="4"/>
  <c r="DO167" i="4"/>
  <c r="DH167" i="4"/>
  <c r="DA167" i="4"/>
  <c r="CT167" i="4"/>
  <c r="CM167" i="4"/>
  <c r="CF167" i="4"/>
  <c r="BY167" i="4"/>
  <c r="BR167" i="4"/>
  <c r="BK167" i="4"/>
  <c r="BD167" i="4"/>
  <c r="AP167" i="4"/>
  <c r="AI167" i="4"/>
  <c r="AB167" i="4"/>
  <c r="EA167" i="4"/>
  <c r="DT167" i="4"/>
  <c r="DM167" i="4"/>
  <c r="EE167" i="4"/>
  <c r="CY167" i="4"/>
  <c r="CR167" i="4"/>
  <c r="CK167" i="4"/>
  <c r="DC167" i="4"/>
  <c r="BW167" i="4"/>
  <c r="BP167" i="4"/>
  <c r="BI167" i="4"/>
  <c r="CA167" i="4"/>
  <c r="AU167" i="4"/>
  <c r="AN167" i="4"/>
  <c r="AG167" i="4"/>
  <c r="AY167" i="4"/>
  <c r="DX167" i="4"/>
  <c r="DQ167" i="4"/>
  <c r="DJ167" i="4"/>
  <c r="BB167" i="4"/>
  <c r="CV167" i="4"/>
  <c r="CO167" i="4"/>
  <c r="CH167" i="4"/>
  <c r="Z167" i="4"/>
  <c r="AR167" i="4"/>
  <c r="AK167" i="4"/>
  <c r="AD167" i="4"/>
  <c r="DF167" i="4"/>
  <c r="BT167" i="4"/>
  <c r="BM167" i="4"/>
  <c r="BF167" i="4"/>
  <c r="CD167" i="4"/>
  <c r="DJ74" i="4"/>
  <c r="EE74" i="4"/>
  <c r="DX74" i="4"/>
  <c r="DM74" i="4"/>
  <c r="CH74" i="4"/>
  <c r="DC74" i="4"/>
  <c r="CV74" i="4"/>
  <c r="CK74" i="4"/>
  <c r="BF74" i="4"/>
  <c r="CA74" i="4"/>
  <c r="BT74" i="4"/>
  <c r="BI74" i="4"/>
  <c r="AD74" i="4"/>
  <c r="AY74" i="4"/>
  <c r="AR74" i="4"/>
  <c r="AG74" i="4"/>
  <c r="DH74" i="4"/>
  <c r="EC74" i="4"/>
  <c r="DV74" i="4"/>
  <c r="BK74" i="4"/>
  <c r="CF74" i="4"/>
  <c r="DA74" i="4"/>
  <c r="CT74" i="4"/>
  <c r="AK74" i="4"/>
  <c r="BD74" i="4"/>
  <c r="BY74" i="4"/>
  <c r="BR74" i="4"/>
  <c r="AI74" i="4"/>
  <c r="AB74" i="4"/>
  <c r="AW74" i="4"/>
  <c r="AP74" i="4"/>
  <c r="DQ74" i="4"/>
  <c r="DF74" i="4"/>
  <c r="EA74" i="4"/>
  <c r="DT74" i="4"/>
  <c r="DO74" i="4"/>
  <c r="CD74" i="4"/>
  <c r="CY74" i="4"/>
  <c r="CR74" i="4"/>
  <c r="CO74" i="4"/>
  <c r="Z74" i="4"/>
  <c r="AU74" i="4"/>
  <c r="AN74" i="4"/>
  <c r="CM74" i="4"/>
  <c r="BB74" i="4"/>
  <c r="BP74" i="4"/>
  <c r="DF198" i="4"/>
  <c r="EA198" i="4"/>
  <c r="DT198" i="4"/>
  <c r="AB198" i="4"/>
  <c r="CD198" i="4"/>
  <c r="CY198" i="4"/>
  <c r="CR198" i="4"/>
  <c r="DM198" i="4"/>
  <c r="BB198" i="4"/>
  <c r="BW198" i="4"/>
  <c r="BP198" i="4"/>
  <c r="DJ198" i="4"/>
  <c r="Z198" i="4"/>
  <c r="AU198" i="4"/>
  <c r="AN198" i="4"/>
  <c r="DH198" i="4"/>
  <c r="EE198" i="4"/>
  <c r="DX198" i="4"/>
  <c r="DQ198" i="4"/>
  <c r="CK198" i="4"/>
  <c r="DC198" i="4"/>
  <c r="CV198" i="4"/>
  <c r="CO198" i="4"/>
  <c r="CH198" i="4"/>
  <c r="CA198" i="4"/>
  <c r="BT198" i="4"/>
  <c r="CF198" i="4"/>
  <c r="AY198" i="4"/>
  <c r="AR198" i="4"/>
  <c r="AK198" i="4"/>
  <c r="BI198" i="4"/>
  <c r="EC198" i="4"/>
  <c r="DV198" i="4"/>
  <c r="DO198" i="4"/>
  <c r="BF198" i="4"/>
  <c r="DA198" i="4"/>
  <c r="CT198" i="4"/>
  <c r="CM198" i="4"/>
  <c r="BD198" i="4"/>
  <c r="AW198" i="4"/>
  <c r="AP198" i="4"/>
  <c r="AI198" i="4"/>
  <c r="AG198" i="4"/>
  <c r="BY198" i="4"/>
  <c r="BR198" i="4"/>
  <c r="BK198" i="4"/>
  <c r="AD198" i="4"/>
  <c r="EC128" i="4"/>
  <c r="DV128" i="4"/>
  <c r="DO128" i="4"/>
  <c r="DH128" i="4"/>
  <c r="DA128" i="4"/>
  <c r="CT128" i="4"/>
  <c r="CM128" i="4"/>
  <c r="BY128" i="4"/>
  <c r="BR128" i="4"/>
  <c r="BK128" i="4"/>
  <c r="BD128" i="4"/>
  <c r="AW128" i="4"/>
  <c r="AP128" i="4"/>
  <c r="AI128" i="4"/>
  <c r="AB128" i="4"/>
  <c r="EA128" i="4"/>
  <c r="DT128" i="4"/>
  <c r="DM128" i="4"/>
  <c r="EE128" i="4"/>
  <c r="CY128" i="4"/>
  <c r="CR128" i="4"/>
  <c r="CK128" i="4"/>
  <c r="DC128" i="4"/>
  <c r="BW128" i="4"/>
  <c r="BP128" i="4"/>
  <c r="BI128" i="4"/>
  <c r="CA128" i="4"/>
  <c r="AU128" i="4"/>
  <c r="AN128" i="4"/>
  <c r="AG128" i="4"/>
  <c r="AY128" i="4"/>
  <c r="DX128" i="4"/>
  <c r="DQ128" i="4"/>
  <c r="DJ128" i="4"/>
  <c r="BB128" i="4"/>
  <c r="CV128" i="4"/>
  <c r="CO128" i="4"/>
  <c r="CH128" i="4"/>
  <c r="Z128" i="4"/>
  <c r="AR128" i="4"/>
  <c r="AK128" i="4"/>
  <c r="AD128" i="4"/>
  <c r="DF128" i="4"/>
  <c r="BT128" i="4"/>
  <c r="BM128" i="4"/>
  <c r="BF128" i="4"/>
  <c r="CD128" i="4"/>
  <c r="X334" i="4"/>
  <c r="CV334" i="4"/>
  <c r="CO334" i="4"/>
  <c r="CH334" i="4"/>
  <c r="BB334" i="4"/>
  <c r="BT334" i="4"/>
  <c r="BM334" i="4"/>
  <c r="BF334" i="4"/>
  <c r="CD334" i="4"/>
  <c r="AR334" i="4"/>
  <c r="AK334" i="4"/>
  <c r="AD334" i="4"/>
  <c r="BD334" i="4"/>
  <c r="EC334" i="4"/>
  <c r="DV334" i="4"/>
  <c r="DO334" i="4"/>
  <c r="EE334" i="4"/>
  <c r="DA334" i="4"/>
  <c r="CT334" i="4"/>
  <c r="CM334" i="4"/>
  <c r="DC334" i="4"/>
  <c r="BR334" i="4"/>
  <c r="BK334" i="4"/>
  <c r="CA334" i="4"/>
  <c r="AW334" i="4"/>
  <c r="AP334" i="4"/>
  <c r="AI334" i="4"/>
  <c r="AY334" i="4"/>
  <c r="EA334" i="4"/>
  <c r="DT334" i="4"/>
  <c r="DM334" i="4"/>
  <c r="AB334" i="4"/>
  <c r="CY334" i="4"/>
  <c r="CR334" i="4"/>
  <c r="CK334" i="4"/>
  <c r="Z334" i="4"/>
  <c r="BW334" i="4"/>
  <c r="BP334" i="4"/>
  <c r="BI334" i="4"/>
  <c r="DH334" i="4"/>
  <c r="DX334" i="4"/>
  <c r="DQ334" i="4"/>
  <c r="DJ334" i="4"/>
  <c r="CF334" i="4"/>
  <c r="EC154" i="4"/>
  <c r="DV154" i="4"/>
  <c r="DO154" i="4"/>
  <c r="DH154" i="4"/>
  <c r="DA154" i="4"/>
  <c r="CM154" i="4"/>
  <c r="CF154" i="4"/>
  <c r="BY154" i="4"/>
  <c r="BR154" i="4"/>
  <c r="BK154" i="4"/>
  <c r="BD154" i="4"/>
  <c r="AW154" i="4"/>
  <c r="AP154" i="4"/>
  <c r="AI154" i="4"/>
  <c r="AB154" i="4"/>
  <c r="EA154" i="4"/>
  <c r="DT154" i="4"/>
  <c r="DM154" i="4"/>
  <c r="EE154" i="4"/>
  <c r="CY154" i="4"/>
  <c r="CR154" i="4"/>
  <c r="CK154" i="4"/>
  <c r="DC154" i="4"/>
  <c r="BW154" i="4"/>
  <c r="BP154" i="4"/>
  <c r="BI154" i="4"/>
  <c r="CA154" i="4"/>
  <c r="AU154" i="4"/>
  <c r="AN154" i="4"/>
  <c r="AG154" i="4"/>
  <c r="AY154" i="4"/>
  <c r="DX154" i="4"/>
  <c r="DQ154" i="4"/>
  <c r="DJ154" i="4"/>
  <c r="BB154" i="4"/>
  <c r="CV154" i="4"/>
  <c r="CO154" i="4"/>
  <c r="CH154" i="4"/>
  <c r="Z154" i="4"/>
  <c r="AR154" i="4"/>
  <c r="AK154" i="4"/>
  <c r="AD154" i="4"/>
  <c r="DF154" i="4"/>
  <c r="BT154" i="4"/>
  <c r="BM154" i="4"/>
  <c r="CD154" i="4"/>
  <c r="BF154" i="4"/>
  <c r="DH233" i="4"/>
  <c r="EC233" i="4"/>
  <c r="DV233" i="4"/>
  <c r="DO233" i="4"/>
  <c r="CF233" i="4"/>
  <c r="DA233" i="4"/>
  <c r="CT233" i="4"/>
  <c r="CM233" i="4"/>
  <c r="BD233" i="4"/>
  <c r="BR233" i="4"/>
  <c r="BK233" i="4"/>
  <c r="AB233" i="4"/>
  <c r="AW233" i="4"/>
  <c r="AP233" i="4"/>
  <c r="AI233" i="4"/>
  <c r="DF233" i="4"/>
  <c r="EA233" i="4"/>
  <c r="DT233" i="4"/>
  <c r="AG233" i="4"/>
  <c r="CD233" i="4"/>
  <c r="CY233" i="4"/>
  <c r="CR233" i="4"/>
  <c r="AD233" i="4"/>
  <c r="BB233" i="4"/>
  <c r="BW233" i="4"/>
  <c r="BP233" i="4"/>
  <c r="DM233" i="4"/>
  <c r="Z233" i="4"/>
  <c r="AU233" i="4"/>
  <c r="AN233" i="4"/>
  <c r="DJ233" i="4"/>
  <c r="EE233" i="4"/>
  <c r="DX233" i="4"/>
  <c r="DQ233" i="4"/>
  <c r="CK233" i="4"/>
  <c r="DC233" i="4"/>
  <c r="CV233" i="4"/>
  <c r="CO233" i="4"/>
  <c r="CH233" i="4"/>
  <c r="AY233" i="4"/>
  <c r="AR233" i="4"/>
  <c r="AK233" i="4"/>
  <c r="BF233" i="4"/>
  <c r="CA233" i="4"/>
  <c r="BT233" i="4"/>
  <c r="BM233" i="4"/>
  <c r="BI233" i="4"/>
  <c r="DJ82" i="4"/>
  <c r="EE82" i="4"/>
  <c r="DX82" i="4"/>
  <c r="DM82" i="4"/>
  <c r="CH82" i="4"/>
  <c r="DC82" i="4"/>
  <c r="CV82" i="4"/>
  <c r="CK82" i="4"/>
  <c r="BF82" i="4"/>
  <c r="CA82" i="4"/>
  <c r="BT82" i="4"/>
  <c r="BI82" i="4"/>
  <c r="AD82" i="4"/>
  <c r="AY82" i="4"/>
  <c r="AR82" i="4"/>
  <c r="AG82" i="4"/>
  <c r="DH82" i="4"/>
  <c r="EC82" i="4"/>
  <c r="DV82" i="4"/>
  <c r="CF82" i="4"/>
  <c r="DA82" i="4"/>
  <c r="CT82" i="4"/>
  <c r="DO82" i="4"/>
  <c r="BD82" i="4"/>
  <c r="BY82" i="4"/>
  <c r="BR82" i="4"/>
  <c r="CO82" i="4"/>
  <c r="AB82" i="4"/>
  <c r="AW82" i="4"/>
  <c r="AP82" i="4"/>
  <c r="CM82" i="4"/>
  <c r="DF82" i="4"/>
  <c r="EA82" i="4"/>
  <c r="DT82" i="4"/>
  <c r="BM82" i="4"/>
  <c r="CD82" i="4"/>
  <c r="CY82" i="4"/>
  <c r="CR82" i="4"/>
  <c r="BK82" i="4"/>
  <c r="Z82" i="4"/>
  <c r="AU82" i="4"/>
  <c r="AN82" i="4"/>
  <c r="AI82" i="4"/>
  <c r="BB82" i="4"/>
  <c r="BW82" i="4"/>
  <c r="BP82" i="4"/>
  <c r="AK82" i="4"/>
  <c r="DC219" i="4"/>
  <c r="CV219" i="4"/>
  <c r="CM219" i="4"/>
  <c r="BI219" i="4"/>
  <c r="CA219" i="4"/>
  <c r="BT219" i="4"/>
  <c r="BK219" i="4"/>
  <c r="BF219" i="4"/>
  <c r="AY219" i="4"/>
  <c r="AR219" i="4"/>
  <c r="AI219" i="4"/>
  <c r="AN219" i="4"/>
  <c r="DH219" i="4"/>
  <c r="EC219" i="4"/>
  <c r="DV219" i="4"/>
  <c r="AG219" i="4"/>
  <c r="CF219" i="4"/>
  <c r="DA219" i="4"/>
  <c r="CT219" i="4"/>
  <c r="AD219" i="4"/>
  <c r="BD219" i="4"/>
  <c r="BY219" i="4"/>
  <c r="BR219" i="4"/>
  <c r="DT219" i="4"/>
  <c r="AB219" i="4"/>
  <c r="AW219" i="4"/>
  <c r="AP219" i="4"/>
  <c r="DM219" i="4"/>
  <c r="DF219" i="4"/>
  <c r="EA219" i="4"/>
  <c r="DQ219" i="4"/>
  <c r="DJ219" i="4"/>
  <c r="CD219" i="4"/>
  <c r="CY219" i="4"/>
  <c r="CR219" i="4"/>
  <c r="BB219" i="4"/>
  <c r="BW219" i="4"/>
  <c r="BM219" i="4"/>
  <c r="CK219" i="4"/>
  <c r="EE219" i="4"/>
  <c r="DX219" i="4"/>
  <c r="DO219" i="4"/>
  <c r="BP219" i="4"/>
  <c r="DH244" i="4"/>
  <c r="EC244" i="4"/>
  <c r="DV244" i="4"/>
  <c r="DO244" i="4"/>
  <c r="CF244" i="4"/>
  <c r="DA244" i="4"/>
  <c r="CT244" i="4"/>
  <c r="CM244" i="4"/>
  <c r="BD244" i="4"/>
  <c r="BY244" i="4"/>
  <c r="BR244" i="4"/>
  <c r="BK244" i="4"/>
  <c r="AB244" i="4"/>
  <c r="AW244" i="4"/>
  <c r="AP244" i="4"/>
  <c r="AI244" i="4"/>
  <c r="DF244" i="4"/>
  <c r="EA244" i="4"/>
  <c r="DT244" i="4"/>
  <c r="AG244" i="4"/>
  <c r="CD244" i="4"/>
  <c r="CY244" i="4"/>
  <c r="CR244" i="4"/>
  <c r="AD244" i="4"/>
  <c r="BB244" i="4"/>
  <c r="BW244" i="4"/>
  <c r="BP244" i="4"/>
  <c r="DM244" i="4"/>
  <c r="Z244" i="4"/>
  <c r="AU244" i="4"/>
  <c r="AN244" i="4"/>
  <c r="DJ244" i="4"/>
  <c r="EE244" i="4"/>
  <c r="DX244" i="4"/>
  <c r="DQ244" i="4"/>
  <c r="CK244" i="4"/>
  <c r="DC244" i="4"/>
  <c r="CV244" i="4"/>
  <c r="CO244" i="4"/>
  <c r="CH244" i="4"/>
  <c r="AY244" i="4"/>
  <c r="AR244" i="4"/>
  <c r="AK244" i="4"/>
  <c r="BF244" i="4"/>
  <c r="CA244" i="4"/>
  <c r="BT244" i="4"/>
  <c r="BM244" i="4"/>
  <c r="DJ80" i="4"/>
  <c r="EE80" i="4"/>
  <c r="DX80" i="4"/>
  <c r="DM80" i="4"/>
  <c r="CH80" i="4"/>
  <c r="DC80" i="4"/>
  <c r="CV80" i="4"/>
  <c r="CK80" i="4"/>
  <c r="CA80" i="4"/>
  <c r="BT80" i="4"/>
  <c r="BI80" i="4"/>
  <c r="AD80" i="4"/>
  <c r="AY80" i="4"/>
  <c r="AR80" i="4"/>
  <c r="AG80" i="4"/>
  <c r="DH80" i="4"/>
  <c r="EC80" i="4"/>
  <c r="DV80" i="4"/>
  <c r="BK80" i="4"/>
  <c r="CF80" i="4"/>
  <c r="DA80" i="4"/>
  <c r="CT80" i="4"/>
  <c r="AK80" i="4"/>
  <c r="BD80" i="4"/>
  <c r="BY80" i="4"/>
  <c r="BR80" i="4"/>
  <c r="AI80" i="4"/>
  <c r="AB80" i="4"/>
  <c r="AW80" i="4"/>
  <c r="AP80" i="4"/>
  <c r="DQ80" i="4"/>
  <c r="DF80" i="4"/>
  <c r="EA80" i="4"/>
  <c r="DT80" i="4"/>
  <c r="DO80" i="4"/>
  <c r="CD80" i="4"/>
  <c r="CY80" i="4"/>
  <c r="CR80" i="4"/>
  <c r="CO80" i="4"/>
  <c r="Z80" i="4"/>
  <c r="AU80" i="4"/>
  <c r="AN80" i="4"/>
  <c r="BM80" i="4"/>
  <c r="BB80" i="4"/>
  <c r="BW80" i="4"/>
  <c r="BP80" i="4"/>
  <c r="CM80" i="4"/>
  <c r="CV137" i="4"/>
  <c r="CO137" i="4"/>
  <c r="CH137" i="4"/>
  <c r="Z137" i="4"/>
  <c r="BT137" i="4"/>
  <c r="BM137" i="4"/>
  <c r="BF137" i="4"/>
  <c r="CD137" i="4"/>
  <c r="AR137" i="4"/>
  <c r="AK137" i="4"/>
  <c r="AD137" i="4"/>
  <c r="DF137" i="4"/>
  <c r="EC137" i="4"/>
  <c r="DV137" i="4"/>
  <c r="DO137" i="4"/>
  <c r="DH137" i="4"/>
  <c r="DA137" i="4"/>
  <c r="CT137" i="4"/>
  <c r="CM137" i="4"/>
  <c r="CF137" i="4"/>
  <c r="BY137" i="4"/>
  <c r="BR137" i="4"/>
  <c r="BK137" i="4"/>
  <c r="BD137" i="4"/>
  <c r="AW137" i="4"/>
  <c r="AP137" i="4"/>
  <c r="AI137" i="4"/>
  <c r="AB137" i="4"/>
  <c r="EA137" i="4"/>
  <c r="DT137" i="4"/>
  <c r="DM137" i="4"/>
  <c r="EE137" i="4"/>
  <c r="CY137" i="4"/>
  <c r="CR137" i="4"/>
  <c r="CK137" i="4"/>
  <c r="DC137" i="4"/>
  <c r="BW137" i="4"/>
  <c r="BP137" i="4"/>
  <c r="BI137" i="4"/>
  <c r="CA137" i="4"/>
  <c r="DX137" i="4"/>
  <c r="DQ137" i="4"/>
  <c r="DJ137" i="4"/>
  <c r="BB137" i="4"/>
  <c r="EC378" i="4"/>
  <c r="DV378" i="4"/>
  <c r="DO378" i="4"/>
  <c r="DF378" i="4"/>
  <c r="DA378" i="4"/>
  <c r="CT378" i="4"/>
  <c r="CM378" i="4"/>
  <c r="CK378" i="4"/>
  <c r="BY378" i="4"/>
  <c r="BR378" i="4"/>
  <c r="BK378" i="4"/>
  <c r="CF378" i="4"/>
  <c r="AW378" i="4"/>
  <c r="AP378" i="4"/>
  <c r="AI378" i="4"/>
  <c r="CD378" i="4"/>
  <c r="EA378" i="4"/>
  <c r="DT378" i="4"/>
  <c r="DJ378" i="4"/>
  <c r="BI378" i="4"/>
  <c r="CY378" i="4"/>
  <c r="CR378" i="4"/>
  <c r="CH378" i="4"/>
  <c r="BD378" i="4"/>
  <c r="BW378" i="4"/>
  <c r="BP378" i="4"/>
  <c r="BF378" i="4"/>
  <c r="BB378" i="4"/>
  <c r="AU378" i="4"/>
  <c r="AN378" i="4"/>
  <c r="AD378" i="4"/>
  <c r="AG378" i="4"/>
  <c r="DX378" i="4"/>
  <c r="DQ378" i="4"/>
  <c r="AB378" i="4"/>
  <c r="CV378" i="4"/>
  <c r="CO378" i="4"/>
  <c r="DC378" i="4"/>
  <c r="Z378" i="4"/>
  <c r="AK378" i="4"/>
  <c r="AY378" i="4"/>
  <c r="DM378" i="4"/>
  <c r="BT378" i="4"/>
  <c r="BM378" i="4"/>
  <c r="CA378" i="4"/>
  <c r="DH378" i="4"/>
  <c r="DC229" i="4"/>
  <c r="CV229" i="4"/>
  <c r="CM229" i="4"/>
  <c r="BI229" i="4"/>
  <c r="BT229" i="4"/>
  <c r="BK229" i="4"/>
  <c r="BF229" i="4"/>
  <c r="AY229" i="4"/>
  <c r="AR229" i="4"/>
  <c r="AI229" i="4"/>
  <c r="AN229" i="4"/>
  <c r="DH229" i="4"/>
  <c r="EC229" i="4"/>
  <c r="DV229" i="4"/>
  <c r="AG229" i="4"/>
  <c r="CF229" i="4"/>
  <c r="DA229" i="4"/>
  <c r="CT229" i="4"/>
  <c r="AD229" i="4"/>
  <c r="BD229" i="4"/>
  <c r="BY229" i="4"/>
  <c r="BR229" i="4"/>
  <c r="DT229" i="4"/>
  <c r="AB229" i="4"/>
  <c r="AW229" i="4"/>
  <c r="AP229" i="4"/>
  <c r="DM229" i="4"/>
  <c r="DF229" i="4"/>
  <c r="EA229" i="4"/>
  <c r="DQ229" i="4"/>
  <c r="DJ229" i="4"/>
  <c r="CD229" i="4"/>
  <c r="CY229" i="4"/>
  <c r="CO229" i="4"/>
  <c r="CR229" i="4"/>
  <c r="BB229" i="4"/>
  <c r="BW229" i="4"/>
  <c r="BM229" i="4"/>
  <c r="CK229" i="4"/>
  <c r="EE229" i="4"/>
  <c r="DX229" i="4"/>
  <c r="DO229" i="4"/>
  <c r="BP229" i="4"/>
  <c r="CD78" i="4"/>
  <c r="CY78" i="4"/>
  <c r="CR78" i="4"/>
  <c r="BK78" i="4"/>
  <c r="BB78" i="4"/>
  <c r="BW78" i="4"/>
  <c r="BP78" i="4"/>
  <c r="AK78" i="4"/>
  <c r="Z78" i="4"/>
  <c r="AU78" i="4"/>
  <c r="AN78" i="4"/>
  <c r="AI78" i="4"/>
  <c r="DJ78" i="4"/>
  <c r="EE78" i="4"/>
  <c r="DX78" i="4"/>
  <c r="DM78" i="4"/>
  <c r="DC78" i="4"/>
  <c r="CV78" i="4"/>
  <c r="CK78" i="4"/>
  <c r="BF78" i="4"/>
  <c r="CA78" i="4"/>
  <c r="BT78" i="4"/>
  <c r="BI78" i="4"/>
  <c r="AD78" i="4"/>
  <c r="AY78" i="4"/>
  <c r="AR78" i="4"/>
  <c r="AG78" i="4"/>
  <c r="DH78" i="4"/>
  <c r="EC78" i="4"/>
  <c r="DV78" i="4"/>
  <c r="DQ78" i="4"/>
  <c r="CF78" i="4"/>
  <c r="DA78" i="4"/>
  <c r="CT78" i="4"/>
  <c r="DO78" i="4"/>
  <c r="BD78" i="4"/>
  <c r="BY78" i="4"/>
  <c r="BR78" i="4"/>
  <c r="CO78" i="4"/>
  <c r="DF78" i="4"/>
  <c r="EA78" i="4"/>
  <c r="DT78" i="4"/>
  <c r="BM78" i="4"/>
  <c r="CV147" i="4"/>
  <c r="CO147" i="4"/>
  <c r="CH147" i="4"/>
  <c r="CD147" i="4"/>
  <c r="BT147" i="4"/>
  <c r="BM147" i="4"/>
  <c r="BF147" i="4"/>
  <c r="BB147" i="4"/>
  <c r="AR147" i="4"/>
  <c r="AK147" i="4"/>
  <c r="AD147" i="4"/>
  <c r="Z147" i="4"/>
  <c r="EC147" i="4"/>
  <c r="DV147" i="4"/>
  <c r="DO147" i="4"/>
  <c r="DH147" i="4"/>
  <c r="DA147" i="4"/>
  <c r="CT147" i="4"/>
  <c r="CM147" i="4"/>
  <c r="CF147" i="4"/>
  <c r="BY147" i="4"/>
  <c r="BR147" i="4"/>
  <c r="BK147" i="4"/>
  <c r="BD147" i="4"/>
  <c r="AW147" i="4"/>
  <c r="AP147" i="4"/>
  <c r="AI147" i="4"/>
  <c r="AB147" i="4"/>
  <c r="EA147" i="4"/>
  <c r="DT147" i="4"/>
  <c r="DM147" i="4"/>
  <c r="EE147" i="4"/>
  <c r="CY147" i="4"/>
  <c r="CR147" i="4"/>
  <c r="CK147" i="4"/>
  <c r="DC147" i="4"/>
  <c r="BW147" i="4"/>
  <c r="BP147" i="4"/>
  <c r="BI147" i="4"/>
  <c r="DX147" i="4"/>
  <c r="DQ147" i="4"/>
  <c r="DJ147" i="4"/>
  <c r="DF147" i="4"/>
  <c r="EE17" i="4"/>
  <c r="AU17" i="4"/>
  <c r="DT17" i="4"/>
  <c r="AI17" i="4"/>
  <c r="DC17" i="4"/>
  <c r="DM17" i="4"/>
  <c r="CR17" i="4"/>
  <c r="CK17" i="4"/>
  <c r="CA17" i="4"/>
  <c r="DX17" i="4"/>
  <c r="BP17" i="4"/>
  <c r="AG17" i="4"/>
  <c r="AY17" i="4"/>
  <c r="CV17" i="4"/>
  <c r="AN17" i="4"/>
  <c r="CF17" i="4"/>
  <c r="DH17" i="4"/>
  <c r="BT17" i="4"/>
  <c r="DQ17" i="4"/>
  <c r="DJ17" i="4"/>
  <c r="EC17" i="4"/>
  <c r="AR17" i="4"/>
  <c r="CO17" i="4"/>
  <c r="CH17" i="4"/>
  <c r="DA17" i="4"/>
  <c r="DV17" i="4"/>
  <c r="BM17" i="4"/>
  <c r="BF17" i="4"/>
  <c r="BY17" i="4"/>
  <c r="CT17" i="4"/>
  <c r="AK17" i="4"/>
  <c r="AD17" i="4"/>
  <c r="AW17" i="4"/>
  <c r="BR17" i="4"/>
  <c r="DO17" i="4"/>
  <c r="DF17" i="4"/>
  <c r="EA17" i="4"/>
  <c r="AP17" i="4"/>
  <c r="BD17" i="4"/>
  <c r="CD17" i="4"/>
  <c r="BW17" i="4"/>
  <c r="AB17" i="4"/>
  <c r="BK17" i="4"/>
  <c r="Z17" i="4"/>
  <c r="CY17" i="4"/>
  <c r="CM17" i="4"/>
  <c r="BB17" i="4"/>
  <c r="EA25" i="4"/>
  <c r="BD25" i="4"/>
  <c r="BK25" i="4"/>
  <c r="CD25" i="4"/>
  <c r="CY25" i="4"/>
  <c r="DT25" i="4"/>
  <c r="AI25" i="4"/>
  <c r="BB25" i="4"/>
  <c r="BW25" i="4"/>
  <c r="CR25" i="4"/>
  <c r="DM25" i="4"/>
  <c r="Z25" i="4"/>
  <c r="EE25" i="4"/>
  <c r="AU25" i="4"/>
  <c r="BP25" i="4"/>
  <c r="CK25" i="4"/>
  <c r="DC25" i="4"/>
  <c r="DX25" i="4"/>
  <c r="AN25" i="4"/>
  <c r="BI25" i="4"/>
  <c r="CA25" i="4"/>
  <c r="CV25" i="4"/>
  <c r="DQ25" i="4"/>
  <c r="AG25" i="4"/>
  <c r="AY25" i="4"/>
  <c r="BT25" i="4"/>
  <c r="CO25" i="4"/>
  <c r="DJ25" i="4"/>
  <c r="AB25" i="4"/>
  <c r="AR25" i="4"/>
  <c r="CH25" i="4"/>
  <c r="EC25" i="4"/>
  <c r="DV25" i="4"/>
  <c r="AK25" i="4"/>
  <c r="BF25" i="4"/>
  <c r="DA25" i="4"/>
  <c r="CT25" i="4"/>
  <c r="CF25" i="4"/>
  <c r="AD25" i="4"/>
  <c r="AW25" i="4"/>
  <c r="AP25" i="4"/>
  <c r="CM25" i="4"/>
  <c r="DF25" i="4"/>
  <c r="X22" i="4"/>
  <c r="EA22" i="4"/>
  <c r="BK22" i="4"/>
  <c r="BB22" i="4"/>
  <c r="CY22" i="4"/>
  <c r="AP22" i="4"/>
  <c r="AI22" i="4"/>
  <c r="Z22" i="4"/>
  <c r="BW22" i="4"/>
  <c r="DT22" i="4"/>
  <c r="DM22" i="4"/>
  <c r="CF22" i="4"/>
  <c r="EE22" i="4"/>
  <c r="AU22" i="4"/>
  <c r="CR22" i="4"/>
  <c r="CK22" i="4"/>
  <c r="DC22" i="4"/>
  <c r="DX22" i="4"/>
  <c r="BP22" i="4"/>
  <c r="AG22" i="4"/>
  <c r="CA22" i="4"/>
  <c r="CV22" i="4"/>
  <c r="AN22" i="4"/>
  <c r="BD22" i="4"/>
  <c r="AY22" i="4"/>
  <c r="BT22" i="4"/>
  <c r="DQ22" i="4"/>
  <c r="DJ22" i="4"/>
  <c r="DH22" i="4"/>
  <c r="AR22" i="4"/>
  <c r="CO22" i="4"/>
  <c r="CH22" i="4"/>
  <c r="EC22" i="4"/>
  <c r="BI22" i="4"/>
  <c r="BM22" i="4"/>
  <c r="BF22" i="4"/>
  <c r="DA22" i="4"/>
  <c r="AB22" i="4"/>
  <c r="AK22" i="4"/>
  <c r="AD22" i="4"/>
  <c r="AW22" i="4"/>
  <c r="CT22" i="4"/>
  <c r="CM22" i="4"/>
  <c r="CD22" i="4"/>
  <c r="AY354" i="4"/>
  <c r="AB283" i="4"/>
  <c r="Z220" i="4"/>
  <c r="AY183" i="4"/>
  <c r="AU137" i="4"/>
  <c r="AB93" i="4"/>
  <c r="AW34" i="4"/>
  <c r="AU337" i="4"/>
  <c r="AY305" i="4"/>
  <c r="Z242" i="4"/>
  <c r="AY207" i="4"/>
  <c r="AU171" i="4"/>
  <c r="AU136" i="4"/>
  <c r="AB90" i="4"/>
  <c r="AB57" i="4"/>
  <c r="BY22" i="4"/>
  <c r="AU393" i="4"/>
  <c r="AU335" i="4"/>
  <c r="AW261" i="4"/>
  <c r="Z229" i="4"/>
  <c r="AY192" i="4"/>
  <c r="AU160" i="4"/>
  <c r="AU120" i="4"/>
  <c r="AB78" i="4"/>
  <c r="DA9" i="4"/>
  <c r="AW36" i="4"/>
  <c r="AY320" i="4"/>
  <c r="AB281" i="4"/>
  <c r="AW251" i="4"/>
  <c r="Z217" i="4"/>
  <c r="AY180" i="4"/>
  <c r="AU147" i="4"/>
  <c r="AB102" i="4"/>
  <c r="AB43" i="4"/>
  <c r="BY8" i="4"/>
  <c r="AI392" i="4"/>
  <c r="AY360" i="4"/>
  <c r="AY302" i="4"/>
  <c r="AB298" i="4"/>
  <c r="Z227" i="4"/>
  <c r="AY191" i="4"/>
  <c r="AU158" i="4"/>
  <c r="AU118" i="4"/>
  <c r="AW30" i="4"/>
  <c r="AI382" i="4"/>
  <c r="AG301" i="4"/>
  <c r="AY249" i="4"/>
  <c r="BW95" i="4"/>
  <c r="BM379" i="4"/>
  <c r="AG110" i="4"/>
  <c r="DF23" i="4"/>
  <c r="DO23" i="4"/>
  <c r="AP23" i="4"/>
  <c r="EA23" i="4"/>
  <c r="AD23" i="4"/>
  <c r="AK23" i="4"/>
  <c r="CT23" i="4"/>
  <c r="BY23" i="4"/>
  <c r="BF23" i="4"/>
  <c r="BM23" i="4"/>
  <c r="DV23" i="4"/>
  <c r="DA23" i="4"/>
  <c r="CH23" i="4"/>
  <c r="CO23" i="4"/>
  <c r="EC23" i="4"/>
  <c r="DJ23" i="4"/>
  <c r="DQ23" i="4"/>
  <c r="AR23" i="4"/>
  <c r="AY23" i="4"/>
  <c r="AG23" i="4"/>
  <c r="DH23" i="4"/>
  <c r="BT23" i="4"/>
  <c r="CA23" i="4"/>
  <c r="CK23" i="4"/>
  <c r="AN23" i="4"/>
  <c r="CV23" i="4"/>
  <c r="DC23" i="4"/>
  <c r="DM23" i="4"/>
  <c r="BP23" i="4"/>
  <c r="DX23" i="4"/>
  <c r="EE23" i="4"/>
  <c r="Z23" i="4"/>
  <c r="AI23" i="4"/>
  <c r="CR23" i="4"/>
  <c r="AU23" i="4"/>
  <c r="DJ61" i="4"/>
  <c r="EE61" i="4"/>
  <c r="DX61" i="4"/>
  <c r="DM61" i="4"/>
  <c r="CH61" i="4"/>
  <c r="DC61" i="4"/>
  <c r="CV61" i="4"/>
  <c r="CK61" i="4"/>
  <c r="BF61" i="4"/>
  <c r="CA61" i="4"/>
  <c r="BT61" i="4"/>
  <c r="BI61" i="4"/>
  <c r="AD61" i="4"/>
  <c r="AY61" i="4"/>
  <c r="AR61" i="4"/>
  <c r="AG61" i="4"/>
  <c r="DH61" i="4"/>
  <c r="EC61" i="4"/>
  <c r="DV61" i="4"/>
  <c r="DO61" i="4"/>
  <c r="CF61" i="4"/>
  <c r="DA61" i="4"/>
  <c r="CT61" i="4"/>
  <c r="CO61" i="4"/>
  <c r="BD61" i="4"/>
  <c r="BY61" i="4"/>
  <c r="BR61" i="4"/>
  <c r="CM61" i="4"/>
  <c r="AB61" i="4"/>
  <c r="AW61" i="4"/>
  <c r="AP61" i="4"/>
  <c r="BM61" i="4"/>
  <c r="DF61" i="4"/>
  <c r="EA61" i="4"/>
  <c r="DT61" i="4"/>
  <c r="BK61" i="4"/>
  <c r="CD61" i="4"/>
  <c r="CY61" i="4"/>
  <c r="CR61" i="4"/>
  <c r="AK61" i="4"/>
  <c r="Z61" i="4"/>
  <c r="AU61" i="4"/>
  <c r="AN61" i="4"/>
  <c r="DQ61" i="4"/>
  <c r="BW61" i="4"/>
  <c r="AI61" i="4"/>
  <c r="BB23" i="4"/>
  <c r="BK23" i="4"/>
  <c r="DT23" i="4"/>
  <c r="BW23" i="4"/>
  <c r="CD23" i="4"/>
  <c r="CM23" i="4"/>
  <c r="AB23" i="4"/>
  <c r="X305" i="4"/>
  <c r="FP72" i="4"/>
  <c r="FP149" i="4"/>
  <c r="FP143" i="4"/>
  <c r="FP142" i="4"/>
  <c r="FP66" i="4"/>
  <c r="FP95" i="4"/>
  <c r="FP140" i="4"/>
  <c r="FP146" i="4"/>
  <c r="FP134" i="4"/>
  <c r="FP139" i="4"/>
  <c r="FP65" i="4"/>
  <c r="FP93" i="4"/>
  <c r="FP155" i="4"/>
  <c r="X282" i="4"/>
  <c r="FN282" i="4"/>
  <c r="FN288" i="4"/>
  <c r="FN280" i="4"/>
  <c r="FN281" i="4"/>
  <c r="FN286" i="4"/>
  <c r="GO158" i="4"/>
  <c r="GQ158" i="4"/>
  <c r="T174" i="4"/>
  <c r="V86" i="4"/>
  <c r="GQ86" i="4"/>
  <c r="GM86" i="4"/>
  <c r="V235" i="4"/>
  <c r="X309" i="4"/>
  <c r="X306" i="4"/>
  <c r="GM129" i="4"/>
  <c r="GO129" i="4"/>
  <c r="X246" i="4"/>
  <c r="X314" i="4"/>
  <c r="X364" i="4"/>
  <c r="X359" i="4"/>
  <c r="T184" i="4"/>
  <c r="V220" i="4"/>
  <c r="GO54" i="4"/>
  <c r="GQ54" i="4"/>
  <c r="V39" i="4"/>
  <c r="GM39" i="4"/>
  <c r="GQ39" i="4"/>
  <c r="GQ24" i="4"/>
  <c r="GO24" i="4"/>
  <c r="V20" i="4"/>
  <c r="GQ20" i="4"/>
  <c r="GO20" i="4"/>
  <c r="T159" i="4"/>
  <c r="V242" i="4"/>
  <c r="V206" i="4"/>
  <c r="GO134" i="4"/>
  <c r="GQ134" i="4"/>
  <c r="X288" i="4"/>
  <c r="X146" i="4"/>
  <c r="GM146" i="4"/>
  <c r="GO146" i="4"/>
  <c r="V238" i="4"/>
  <c r="GO75" i="4"/>
  <c r="GQ75" i="4"/>
  <c r="V214" i="4"/>
  <c r="V266" i="4"/>
  <c r="V112" i="4"/>
  <c r="GO112" i="4"/>
  <c r="GQ112" i="4"/>
  <c r="V254" i="4"/>
  <c r="X232" i="4"/>
  <c r="GO164" i="4"/>
  <c r="GQ164" i="4"/>
  <c r="X330" i="4"/>
  <c r="T173" i="4"/>
  <c r="V208" i="4"/>
  <c r="V160" i="4"/>
  <c r="GO160" i="4"/>
  <c r="V269" i="4"/>
  <c r="GO42" i="4"/>
  <c r="GQ42" i="4"/>
  <c r="X16" i="4"/>
  <c r="GM16" i="4"/>
  <c r="V12" i="4"/>
  <c r="GO12" i="4"/>
  <c r="GQ12" i="4"/>
  <c r="X8" i="4"/>
  <c r="GM8" i="4"/>
  <c r="GQ8" i="4"/>
  <c r="V102" i="4"/>
  <c r="GM105" i="4"/>
  <c r="GQ45" i="4"/>
  <c r="FP159" i="4"/>
  <c r="X276" i="4"/>
  <c r="GQ133" i="4"/>
  <c r="X301" i="4"/>
  <c r="GO64" i="4"/>
  <c r="GQ64" i="4"/>
  <c r="V189" i="4"/>
  <c r="V256" i="4"/>
  <c r="X98" i="4"/>
  <c r="GM98" i="4"/>
  <c r="GO98" i="4"/>
  <c r="GM152" i="4"/>
  <c r="GO152" i="4"/>
  <c r="X224" i="4"/>
  <c r="T185" i="4"/>
  <c r="V185" i="4"/>
  <c r="V283" i="4"/>
  <c r="GO153" i="4"/>
  <c r="GQ153" i="4"/>
  <c r="GM151" i="4"/>
  <c r="GO151" i="4"/>
  <c r="X195" i="4"/>
  <c r="V148" i="4"/>
  <c r="GO148" i="4"/>
  <c r="GQ148" i="4"/>
  <c r="X250" i="4"/>
  <c r="T30" i="4"/>
  <c r="GQ30" i="4"/>
  <c r="GO30" i="4"/>
  <c r="T27" i="4"/>
  <c r="GO27" i="4"/>
  <c r="X58" i="4"/>
  <c r="GM58" i="4"/>
  <c r="GQ58" i="4"/>
  <c r="X53" i="4"/>
  <c r="GQ53" i="4"/>
  <c r="GM53" i="4"/>
  <c r="GQ90" i="4"/>
  <c r="GQ160" i="4"/>
  <c r="GM159" i="4"/>
  <c r="FP158" i="4"/>
  <c r="FP129" i="4"/>
  <c r="FP39" i="4"/>
  <c r="X387" i="4"/>
  <c r="V259" i="4"/>
  <c r="X118" i="4"/>
  <c r="GM118" i="4"/>
  <c r="GO118" i="4"/>
  <c r="X215" i="4"/>
  <c r="X166" i="4"/>
  <c r="V247" i="4"/>
  <c r="X84" i="4"/>
  <c r="GM84" i="4"/>
  <c r="GO84" i="4"/>
  <c r="GO95" i="4"/>
  <c r="GQ95" i="4"/>
  <c r="X212" i="4"/>
  <c r="X70" i="4"/>
  <c r="GQ70" i="4"/>
  <c r="GM70" i="4"/>
  <c r="X273" i="4"/>
  <c r="V273" i="4"/>
  <c r="V140" i="4"/>
  <c r="GM140" i="4"/>
  <c r="GQ140" i="4"/>
  <c r="GO81" i="4"/>
  <c r="GQ81" i="4"/>
  <c r="GO138" i="4"/>
  <c r="GQ138" i="4"/>
  <c r="T183" i="4"/>
  <c r="V270" i="4"/>
  <c r="V228" i="4"/>
  <c r="X18" i="4"/>
  <c r="GM18" i="4"/>
  <c r="GQ18" i="4"/>
  <c r="X61" i="4"/>
  <c r="GM61" i="4"/>
  <c r="GQ61" i="4"/>
  <c r="GM23" i="4"/>
  <c r="V364" i="4"/>
  <c r="V348" i="4"/>
  <c r="V347" i="4"/>
  <c r="GO161" i="4"/>
  <c r="GO90" i="4"/>
  <c r="GO22" i="4"/>
  <c r="GQ135" i="4"/>
  <c r="GO159" i="4"/>
  <c r="X329" i="4"/>
  <c r="V249" i="4"/>
  <c r="GO101" i="4"/>
  <c r="GQ101" i="4"/>
  <c r="X354" i="4"/>
  <c r="GM156" i="4"/>
  <c r="GO156" i="4"/>
  <c r="GO63" i="4"/>
  <c r="GQ63" i="4"/>
  <c r="X234" i="4"/>
  <c r="V73" i="4"/>
  <c r="GM73" i="4"/>
  <c r="V182" i="4"/>
  <c r="X264" i="4"/>
  <c r="GO127" i="4"/>
  <c r="GQ127" i="4"/>
  <c r="GM124" i="4"/>
  <c r="GO124" i="4"/>
  <c r="T172" i="4"/>
  <c r="X260" i="4"/>
  <c r="GO120" i="4"/>
  <c r="X52" i="4"/>
  <c r="GM52" i="4"/>
  <c r="GO52" i="4"/>
  <c r="GQ60" i="4"/>
  <c r="GO60" i="4"/>
  <c r="T256" i="4"/>
  <c r="T254" i="4"/>
  <c r="GM161" i="4"/>
  <c r="GM22" i="4"/>
  <c r="GO135" i="4"/>
  <c r="GO133" i="4"/>
  <c r="GO87" i="4"/>
  <c r="GQ87" i="4"/>
  <c r="X79" i="4"/>
  <c r="GM79" i="4"/>
  <c r="GQ79" i="4"/>
  <c r="X114" i="4"/>
  <c r="GM114" i="4"/>
  <c r="GO114" i="4"/>
  <c r="X225" i="4"/>
  <c r="V62" i="4"/>
  <c r="GM62" i="4"/>
  <c r="GO62" i="4"/>
  <c r="GQ62" i="4"/>
  <c r="V187" i="4"/>
  <c r="X389" i="4"/>
  <c r="GO110" i="4"/>
  <c r="GQ110" i="4"/>
  <c r="V263" i="4"/>
  <c r="GM108" i="4"/>
  <c r="GO108" i="4"/>
  <c r="V104" i="4"/>
  <c r="GM104" i="4"/>
  <c r="GM40" i="4"/>
  <c r="GO26" i="4"/>
  <c r="T158" i="4"/>
  <c r="V212" i="4"/>
  <c r="GQ149" i="4"/>
  <c r="GQ67" i="4"/>
  <c r="GQ102" i="4"/>
  <c r="GQ73" i="4"/>
  <c r="X386" i="4"/>
  <c r="V136" i="4"/>
  <c r="GM136" i="4"/>
  <c r="GQ136" i="4"/>
  <c r="X227" i="4"/>
  <c r="T178" i="4"/>
  <c r="X99" i="4"/>
  <c r="GQ99" i="4"/>
  <c r="GM99" i="4"/>
  <c r="V379" i="4"/>
  <c r="T165" i="4"/>
  <c r="GO165" i="4"/>
  <c r="GQ165" i="4"/>
  <c r="X393" i="4"/>
  <c r="X245" i="4"/>
  <c r="X96" i="4"/>
  <c r="GM96" i="4"/>
  <c r="GQ96" i="4"/>
  <c r="V280" i="4"/>
  <c r="V94" i="4"/>
  <c r="GO94" i="4"/>
  <c r="GQ94" i="4"/>
  <c r="GO150" i="4"/>
  <c r="V241" i="4"/>
  <c r="V89" i="4"/>
  <c r="GQ89" i="4"/>
  <c r="GO89" i="4"/>
  <c r="X28" i="4"/>
  <c r="GM28" i="4"/>
  <c r="GQ28" i="4"/>
  <c r="GO36" i="4"/>
  <c r="X33" i="4"/>
  <c r="GM33" i="4"/>
  <c r="GQ33" i="4"/>
  <c r="V101" i="4"/>
  <c r="T142" i="4"/>
  <c r="T151" i="4"/>
  <c r="GO149" i="4"/>
  <c r="GO67" i="4"/>
  <c r="GM120" i="4"/>
  <c r="GO102" i="4"/>
  <c r="GQ16" i="4"/>
  <c r="X216" i="4"/>
  <c r="V226" i="4"/>
  <c r="T167" i="4"/>
  <c r="GQ74" i="4"/>
  <c r="GO74" i="4"/>
  <c r="GM128" i="4"/>
  <c r="GO128" i="4"/>
  <c r="X154" i="4"/>
  <c r="GM154" i="4"/>
  <c r="GO154" i="4"/>
  <c r="V82" i="4"/>
  <c r="GO82" i="4"/>
  <c r="V244" i="4"/>
  <c r="GO80" i="4"/>
  <c r="GQ80" i="4"/>
  <c r="X137" i="4"/>
  <c r="GQ137" i="4"/>
  <c r="GO137" i="4"/>
  <c r="V147" i="4"/>
  <c r="GO147" i="4"/>
  <c r="X17" i="4"/>
  <c r="GQ17" i="4"/>
  <c r="GM17" i="4"/>
  <c r="GO25" i="4"/>
  <c r="GQ25" i="4"/>
  <c r="T42" i="4"/>
  <c r="T85" i="4"/>
  <c r="V45" i="4"/>
  <c r="GQ104" i="4"/>
  <c r="T190" i="4"/>
  <c r="X298" i="4"/>
  <c r="V157" i="4"/>
  <c r="GM157" i="4"/>
  <c r="GQ157" i="4"/>
  <c r="T286" i="4"/>
  <c r="GO111" i="4"/>
  <c r="GQ111" i="4"/>
  <c r="V315" i="4"/>
  <c r="V223" i="4"/>
  <c r="X231" i="4"/>
  <c r="GO123" i="4"/>
  <c r="GQ123" i="4"/>
  <c r="X66" i="4"/>
  <c r="GM66" i="4"/>
  <c r="GO66" i="4"/>
  <c r="GO119" i="4"/>
  <c r="GQ119" i="4"/>
  <c r="V51" i="4"/>
  <c r="GO51" i="4"/>
  <c r="GQ51" i="4"/>
  <c r="GQ34" i="4"/>
  <c r="GM34" i="4"/>
  <c r="GQ10" i="4"/>
  <c r="GO10" i="4"/>
  <c r="X40" i="4"/>
  <c r="GQ78" i="4"/>
  <c r="GQ31" i="4"/>
  <c r="X240" i="4"/>
  <c r="X142" i="4"/>
  <c r="GM142" i="4"/>
  <c r="GO142" i="4"/>
  <c r="GM143" i="4"/>
  <c r="GO143" i="4"/>
  <c r="X83" i="4"/>
  <c r="GM83" i="4"/>
  <c r="GO72" i="4"/>
  <c r="GQ72" i="4"/>
  <c r="V211" i="4"/>
  <c r="GQ107" i="4"/>
  <c r="GO107" i="4"/>
  <c r="X88" i="4"/>
  <c r="GM88" i="4"/>
  <c r="GQ88" i="4"/>
  <c r="GO50" i="4"/>
  <c r="GQ50" i="4"/>
  <c r="X11" i="4"/>
  <c r="GM11" i="4"/>
  <c r="GQ11" i="4"/>
  <c r="X9" i="4"/>
  <c r="GM9" i="4"/>
  <c r="GQ9" i="4"/>
  <c r="V291" i="4"/>
  <c r="V359" i="4"/>
  <c r="V105" i="4"/>
  <c r="T233" i="4"/>
  <c r="V137" i="4"/>
  <c r="GO122" i="4"/>
  <c r="GO57" i="4"/>
  <c r="GO78" i="4"/>
  <c r="GO31" i="4"/>
  <c r="GQ40" i="4"/>
  <c r="GQ150" i="4"/>
  <c r="V217" i="4"/>
  <c r="X344" i="4"/>
  <c r="T179" i="4"/>
  <c r="GO131" i="4"/>
  <c r="GQ131" i="4"/>
  <c r="X275" i="4"/>
  <c r="V132" i="4"/>
  <c r="GM132" i="4"/>
  <c r="GQ132" i="4"/>
  <c r="X257" i="4"/>
  <c r="X139" i="4"/>
  <c r="T139" i="4"/>
  <c r="GM139" i="4"/>
  <c r="GO139" i="4"/>
  <c r="V155" i="4"/>
  <c r="GQ155" i="4"/>
  <c r="GO155" i="4"/>
  <c r="X392" i="4"/>
  <c r="GO109" i="4"/>
  <c r="X243" i="4"/>
  <c r="V93" i="4"/>
  <c r="GQ93" i="4"/>
  <c r="GO93" i="4"/>
  <c r="X377" i="4"/>
  <c r="X192" i="4"/>
  <c r="V65" i="4"/>
  <c r="GO65" i="4"/>
  <c r="GQ65" i="4"/>
  <c r="T15" i="4"/>
  <c r="GO15" i="4"/>
  <c r="GQ15" i="4"/>
  <c r="X44" i="4"/>
  <c r="GM44" i="4"/>
  <c r="GQ44" i="4"/>
  <c r="GM43" i="4"/>
  <c r="GO43" i="4"/>
  <c r="V251" i="4"/>
  <c r="V310" i="4"/>
  <c r="V377" i="4"/>
  <c r="GQ82" i="4"/>
  <c r="GQ36" i="4"/>
  <c r="T180" i="4"/>
  <c r="T168" i="4"/>
  <c r="GO85" i="4"/>
  <c r="X258" i="4"/>
  <c r="V100" i="4"/>
  <c r="GO100" i="4"/>
  <c r="X248" i="4"/>
  <c r="X357" i="4"/>
  <c r="X342" i="4"/>
  <c r="GO141" i="4"/>
  <c r="GQ141" i="4"/>
  <c r="X331" i="4"/>
  <c r="X255" i="4"/>
  <c r="V335" i="4"/>
  <c r="X363" i="4"/>
  <c r="GO125" i="4"/>
  <c r="GQ125" i="4"/>
  <c r="X49" i="4"/>
  <c r="GQ49" i="4"/>
  <c r="GM49" i="4"/>
  <c r="V47" i="4"/>
  <c r="GM47" i="4"/>
  <c r="T205" i="4"/>
  <c r="T249" i="4"/>
  <c r="V198" i="4"/>
  <c r="T82" i="4"/>
  <c r="T252" i="4"/>
  <c r="GQ105" i="4"/>
  <c r="GQ26" i="4"/>
  <c r="GQ23" i="4"/>
  <c r="T349" i="4"/>
  <c r="T291" i="4"/>
  <c r="T251" i="4"/>
  <c r="X159" i="4"/>
  <c r="T102" i="4"/>
  <c r="T31" i="4"/>
  <c r="T302" i="4"/>
  <c r="T250" i="4"/>
  <c r="T201" i="4"/>
  <c r="V158" i="4"/>
  <c r="T101" i="4"/>
  <c r="V42" i="4"/>
  <c r="T67" i="4"/>
  <c r="T310" i="4"/>
  <c r="T200" i="4"/>
  <c r="X86" i="4"/>
  <c r="T348" i="4"/>
  <c r="T309" i="4"/>
  <c r="X199" i="4"/>
  <c r="V85" i="4"/>
  <c r="V40" i="4"/>
  <c r="T379" i="4"/>
  <c r="T288" i="4"/>
  <c r="T248" i="4"/>
  <c r="T198" i="4"/>
  <c r="T141" i="4"/>
  <c r="T84" i="4"/>
  <c r="X39" i="4"/>
  <c r="T347" i="4"/>
  <c r="V165" i="4"/>
  <c r="V50" i="4"/>
  <c r="T45" i="4"/>
  <c r="X286" i="4"/>
  <c r="X233" i="4"/>
  <c r="X186" i="4"/>
  <c r="X140" i="4"/>
  <c r="T242" i="4"/>
  <c r="T355" i="4"/>
  <c r="T232" i="4"/>
  <c r="V81" i="4"/>
  <c r="T315" i="4"/>
  <c r="T209" i="4"/>
  <c r="X151" i="4"/>
  <c r="T94" i="4"/>
  <c r="T12" i="4"/>
  <c r="T283" i="4"/>
  <c r="T195" i="4"/>
  <c r="T137" i="4"/>
  <c r="V11" i="4"/>
  <c r="T335" i="4"/>
  <c r="X252" i="4"/>
  <c r="T206" i="4"/>
  <c r="T160" i="4"/>
  <c r="X104" i="4"/>
  <c r="T199" i="4"/>
  <c r="X201" i="4"/>
  <c r="X157" i="4"/>
  <c r="T389" i="4"/>
  <c r="T331" i="4"/>
  <c r="T281" i="4"/>
  <c r="V88" i="4"/>
  <c r="T20" i="4"/>
  <c r="X136" i="4"/>
  <c r="T360" i="4"/>
  <c r="T239" i="4"/>
  <c r="V191" i="4"/>
  <c r="T87" i="4"/>
  <c r="V30" i="4"/>
  <c r="T382" i="4"/>
  <c r="X190" i="4"/>
  <c r="X143" i="4"/>
  <c r="V75" i="4"/>
  <c r="T253" i="4"/>
  <c r="T340" i="4"/>
  <c r="T300" i="4"/>
  <c r="X235" i="4"/>
  <c r="T189" i="4"/>
  <c r="V131" i="4"/>
  <c r="T74" i="4"/>
  <c r="T22" i="4"/>
  <c r="T339" i="4"/>
  <c r="T275" i="4"/>
  <c r="T234" i="4"/>
  <c r="X176" i="4"/>
  <c r="T129" i="4"/>
  <c r="X73" i="4"/>
  <c r="T378" i="4"/>
  <c r="T317" i="4"/>
  <c r="X247" i="4"/>
  <c r="T197" i="4"/>
  <c r="V27" i="4"/>
  <c r="T344" i="4"/>
  <c r="T265" i="4"/>
  <c r="V175" i="4"/>
  <c r="V127" i="4"/>
  <c r="T60" i="4"/>
  <c r="T149" i="4"/>
  <c r="T337" i="4"/>
  <c r="T222" i="4"/>
  <c r="T125" i="4"/>
  <c r="T171" i="4"/>
  <c r="T325" i="4"/>
  <c r="X244" i="4"/>
  <c r="T138" i="4"/>
  <c r="T80" i="4"/>
  <c r="T305" i="4"/>
  <c r="X230" i="4"/>
  <c r="X183" i="4"/>
  <c r="V123" i="4"/>
  <c r="V58" i="4"/>
  <c r="T334" i="4"/>
  <c r="T393" i="4"/>
  <c r="T292" i="4"/>
  <c r="T148" i="4"/>
  <c r="V281" i="4"/>
  <c r="V240" i="4"/>
  <c r="T147" i="4"/>
  <c r="V360" i="4"/>
  <c r="T280" i="4"/>
  <c r="V239" i="4"/>
  <c r="T191" i="4"/>
  <c r="T146" i="4"/>
  <c r="V87" i="4"/>
  <c r="V382" i="4"/>
  <c r="V301" i="4"/>
  <c r="T238" i="4"/>
  <c r="T143" i="4"/>
  <c r="T75" i="4"/>
  <c r="V253" i="4"/>
  <c r="V340" i="4"/>
  <c r="V300" i="4"/>
  <c r="T131" i="4"/>
  <c r="V74" i="4"/>
  <c r="V28" i="4"/>
  <c r="V339" i="4"/>
  <c r="V176" i="4"/>
  <c r="X129" i="4"/>
  <c r="V16" i="4"/>
  <c r="V378" i="4"/>
  <c r="V317" i="4"/>
  <c r="V197" i="4"/>
  <c r="T154" i="4"/>
  <c r="V83" i="4"/>
  <c r="V386" i="4"/>
  <c r="X265" i="4"/>
  <c r="T223" i="4"/>
  <c r="X175" i="4"/>
  <c r="T127" i="4"/>
  <c r="V60" i="4"/>
  <c r="V149" i="4"/>
  <c r="V337" i="4"/>
  <c r="V264" i="4"/>
  <c r="V222" i="4"/>
  <c r="V174" i="4"/>
  <c r="V125" i="4"/>
  <c r="V70" i="4"/>
  <c r="X171" i="4"/>
  <c r="V325" i="4"/>
  <c r="V138" i="4"/>
  <c r="V80" i="4"/>
  <c r="V354" i="4"/>
  <c r="T230" i="4"/>
  <c r="T123" i="4"/>
  <c r="V292" i="4"/>
  <c r="T241" i="4"/>
  <c r="T192" i="4"/>
  <c r="T89" i="4"/>
  <c r="V9" i="4"/>
  <c r="FP51" i="4"/>
  <c r="DX51" i="4" s="1"/>
  <c r="T320" i="4"/>
  <c r="T270" i="4"/>
  <c r="T134" i="4"/>
  <c r="T392" i="4"/>
  <c r="X179" i="4"/>
  <c r="T133" i="4"/>
  <c r="T341" i="4"/>
  <c r="X132" i="4"/>
  <c r="T64" i="4"/>
  <c r="T122" i="4"/>
  <c r="X226" i="4"/>
  <c r="T166" i="4"/>
  <c r="T114" i="4"/>
  <c r="T63" i="4"/>
  <c r="T267" i="4"/>
  <c r="X62" i="4"/>
  <c r="T262" i="4"/>
  <c r="X128" i="4"/>
  <c r="V72" i="4"/>
  <c r="V15" i="4"/>
  <c r="T375" i="4"/>
  <c r="T164" i="4"/>
  <c r="T110" i="4"/>
  <c r="T10" i="4"/>
  <c r="T210" i="4"/>
  <c r="T109" i="4"/>
  <c r="T36" i="4"/>
  <c r="X124" i="4"/>
  <c r="X47" i="4"/>
  <c r="X172" i="4"/>
  <c r="V107" i="4"/>
  <c r="V34" i="4"/>
  <c r="T219" i="4"/>
  <c r="X271" i="4"/>
  <c r="T229" i="4"/>
  <c r="X181" i="4"/>
  <c r="V135" i="4"/>
  <c r="T78" i="4"/>
  <c r="V320" i="4"/>
  <c r="T228" i="4"/>
  <c r="V180" i="4"/>
  <c r="V134" i="4"/>
  <c r="T65" i="4"/>
  <c r="V8" i="4"/>
  <c r="V330" i="4"/>
  <c r="T269" i="4"/>
  <c r="V227" i="4"/>
  <c r="V133" i="4"/>
  <c r="V341" i="4"/>
  <c r="V178" i="4"/>
  <c r="V64" i="4"/>
  <c r="V122" i="4"/>
  <c r="V363" i="4"/>
  <c r="V329" i="4"/>
  <c r="V276" i="4"/>
  <c r="V63" i="4"/>
  <c r="V17" i="4"/>
  <c r="V267" i="4"/>
  <c r="V225" i="4"/>
  <c r="T112" i="4"/>
  <c r="T62" i="4"/>
  <c r="X187" i="4"/>
  <c r="T128" i="4"/>
  <c r="T72" i="4"/>
  <c r="V375" i="4"/>
  <c r="V255" i="4"/>
  <c r="T211" i="4"/>
  <c r="V164" i="4"/>
  <c r="V110" i="4"/>
  <c r="V49" i="4"/>
  <c r="V10" i="4"/>
  <c r="V210" i="4"/>
  <c r="V109" i="4"/>
  <c r="V36" i="4"/>
  <c r="V33" i="4"/>
  <c r="V306" i="4"/>
  <c r="V231" i="4"/>
  <c r="V184" i="4"/>
  <c r="T124" i="4"/>
  <c r="V193" i="4"/>
  <c r="V342" i="4"/>
  <c r="X263" i="4"/>
  <c r="T220" i="4"/>
  <c r="T107" i="4"/>
  <c r="X34" i="4"/>
  <c r="V219" i="4"/>
  <c r="V229" i="4"/>
  <c r="T135" i="4"/>
  <c r="V78" i="4"/>
  <c r="V207" i="4"/>
  <c r="FP157" i="4"/>
  <c r="EL157" i="4" s="1"/>
  <c r="EN157" i="4" s="1"/>
  <c r="GA46" i="4"/>
  <c r="AD46" i="4" s="1"/>
  <c r="T260" i="4"/>
  <c r="X169" i="4"/>
  <c r="V119" i="4"/>
  <c r="X43" i="4"/>
  <c r="T369" i="4"/>
  <c r="T319" i="4"/>
  <c r="T298" i="4"/>
  <c r="T216" i="4"/>
  <c r="T118" i="4"/>
  <c r="V54" i="4"/>
  <c r="T215" i="4"/>
  <c r="X167" i="4"/>
  <c r="T358" i="4"/>
  <c r="T318" i="4"/>
  <c r="T156" i="4"/>
  <c r="V99" i="4"/>
  <c r="T52" i="4"/>
  <c r="T387" i="4"/>
  <c r="T357" i="4"/>
  <c r="T308" i="4"/>
  <c r="T213" i="4"/>
  <c r="T98" i="4"/>
  <c r="T161" i="4"/>
  <c r="T224" i="4"/>
  <c r="V111" i="4"/>
  <c r="V61" i="4"/>
  <c r="T196" i="4"/>
  <c r="T153" i="4"/>
  <c r="V96" i="4"/>
  <c r="T26" i="4"/>
  <c r="T152" i="4"/>
  <c r="T95" i="4"/>
  <c r="T25" i="4"/>
  <c r="T272" i="4"/>
  <c r="T221" i="4"/>
  <c r="X108" i="4"/>
  <c r="T24" i="4"/>
  <c r="T57" i="4"/>
  <c r="T293" i="4"/>
  <c r="X208" i="4"/>
  <c r="V150" i="4"/>
  <c r="V23" i="4"/>
  <c r="T90" i="4"/>
  <c r="T261" i="4"/>
  <c r="T218" i="4"/>
  <c r="X170" i="4"/>
  <c r="X120" i="4"/>
  <c r="T66" i="4"/>
  <c r="V79" i="4"/>
  <c r="V314" i="4"/>
  <c r="T217" i="4"/>
  <c r="V169" i="4"/>
  <c r="T119" i="4"/>
  <c r="T43" i="4"/>
  <c r="V369" i="4"/>
  <c r="V319" i="4"/>
  <c r="V168" i="4"/>
  <c r="T54" i="4"/>
  <c r="X182" i="4"/>
  <c r="T259" i="4"/>
  <c r="T100" i="4"/>
  <c r="V53" i="4"/>
  <c r="V358" i="4"/>
  <c r="V318" i="4"/>
  <c r="V258" i="4"/>
  <c r="T214" i="4"/>
  <c r="X156" i="4"/>
  <c r="V308" i="4"/>
  <c r="V257" i="4"/>
  <c r="V213" i="4"/>
  <c r="T155" i="4"/>
  <c r="T51" i="4"/>
  <c r="T266" i="4"/>
  <c r="T111" i="4"/>
  <c r="V282" i="4"/>
  <c r="V246" i="4"/>
  <c r="X196" i="4"/>
  <c r="V153" i="4"/>
  <c r="V26" i="4"/>
  <c r="V245" i="4"/>
  <c r="X152" i="4"/>
  <c r="V95" i="4"/>
  <c r="V25" i="4"/>
  <c r="X272" i="4"/>
  <c r="V221" i="4"/>
  <c r="V173" i="4"/>
  <c r="T108" i="4"/>
  <c r="V24" i="4"/>
  <c r="V57" i="4"/>
  <c r="V293" i="4"/>
  <c r="T150" i="4"/>
  <c r="T93" i="4"/>
  <c r="X23" i="4"/>
  <c r="V90" i="4"/>
  <c r="V218" i="4"/>
  <c r="V170" i="4"/>
  <c r="T120" i="4"/>
  <c r="FN180" i="4"/>
  <c r="FN168" i="4"/>
  <c r="GW85" i="4"/>
  <c r="FN85" i="4"/>
  <c r="FN258" i="4"/>
  <c r="FN100" i="4"/>
  <c r="FN248" i="4"/>
  <c r="GW141" i="4"/>
  <c r="FN141" i="4"/>
  <c r="FN255" i="4"/>
  <c r="FN186" i="4"/>
  <c r="FN207" i="4"/>
  <c r="FN230" i="4"/>
  <c r="FN181" i="4"/>
  <c r="FN125" i="4"/>
  <c r="GS49" i="4"/>
  <c r="FN49" i="4"/>
  <c r="GS47" i="4"/>
  <c r="FN47" i="4"/>
  <c r="GS43" i="4"/>
  <c r="FN43" i="4"/>
  <c r="FP148" i="4"/>
  <c r="EL148" i="4" s="1"/>
  <c r="EP148" i="4" s="1"/>
  <c r="GS159" i="4"/>
  <c r="FN159" i="4"/>
  <c r="FN158" i="4"/>
  <c r="FN174" i="4"/>
  <c r="GS86" i="4"/>
  <c r="FN86" i="4"/>
  <c r="FN235" i="4"/>
  <c r="GS129" i="4"/>
  <c r="FN129" i="4"/>
  <c r="FN246" i="4"/>
  <c r="FN175" i="4"/>
  <c r="FN184" i="4"/>
  <c r="FN220" i="4"/>
  <c r="FN170" i="4"/>
  <c r="FN54" i="4"/>
  <c r="GS39" i="4"/>
  <c r="FN39" i="4"/>
  <c r="GU24" i="4"/>
  <c r="FN24" i="4"/>
  <c r="GU31" i="4"/>
  <c r="FN31" i="4"/>
  <c r="GW134" i="4"/>
  <c r="FN134" i="4"/>
  <c r="FN146" i="4"/>
  <c r="FN238" i="4"/>
  <c r="FN75" i="4"/>
  <c r="FN214" i="4"/>
  <c r="FN261" i="4"/>
  <c r="FN266" i="4"/>
  <c r="FN112" i="4"/>
  <c r="FN254" i="4"/>
  <c r="FN232" i="4"/>
  <c r="FN164" i="4"/>
  <c r="FN272" i="4"/>
  <c r="FN173" i="4"/>
  <c r="FN208" i="4"/>
  <c r="GU160" i="4"/>
  <c r="FN160" i="4"/>
  <c r="FN269" i="4"/>
  <c r="FN42" i="4"/>
  <c r="GS16" i="4"/>
  <c r="FN16" i="4"/>
  <c r="GU12" i="4"/>
  <c r="FN12" i="4"/>
  <c r="GU20" i="4"/>
  <c r="FN20" i="4"/>
  <c r="FN189" i="4"/>
  <c r="GS151" i="4"/>
  <c r="FN151" i="4"/>
  <c r="FN259" i="4"/>
  <c r="FN118" i="4"/>
  <c r="FN242" i="4"/>
  <c r="FN215" i="4"/>
  <c r="FN166" i="4"/>
  <c r="GS105" i="4"/>
  <c r="FN105" i="4"/>
  <c r="FN247" i="4"/>
  <c r="GS84" i="4"/>
  <c r="FN84" i="4"/>
  <c r="GU95" i="4"/>
  <c r="FN95" i="4"/>
  <c r="FN212" i="4"/>
  <c r="GW70" i="4"/>
  <c r="FN70" i="4"/>
  <c r="FN273" i="4"/>
  <c r="GS140" i="4"/>
  <c r="FN140" i="4"/>
  <c r="FN81" i="4"/>
  <c r="GW138" i="4"/>
  <c r="FN138" i="4"/>
  <c r="FN183" i="4"/>
  <c r="FN271" i="4"/>
  <c r="FN270" i="4"/>
  <c r="GU135" i="4"/>
  <c r="FN135" i="4"/>
  <c r="FN228" i="4"/>
  <c r="GW18" i="4"/>
  <c r="FN18" i="4"/>
  <c r="GS61" i="4"/>
  <c r="FN61" i="4"/>
  <c r="GS23" i="4"/>
  <c r="FN23" i="4"/>
  <c r="FN53" i="4"/>
  <c r="FN171" i="4"/>
  <c r="FN249" i="4"/>
  <c r="FN101" i="4"/>
  <c r="GS161" i="4"/>
  <c r="FN161" i="4"/>
  <c r="FN200" i="4"/>
  <c r="GS156" i="4"/>
  <c r="FN156" i="4"/>
  <c r="FN63" i="4"/>
  <c r="FN234" i="4"/>
  <c r="FN73" i="4"/>
  <c r="FN182" i="4"/>
  <c r="FN197" i="4"/>
  <c r="FN264" i="4"/>
  <c r="GU127" i="4"/>
  <c r="FN127" i="4"/>
  <c r="FN124" i="4"/>
  <c r="FN172" i="4"/>
  <c r="FN193" i="4"/>
  <c r="FN260" i="4"/>
  <c r="FN120" i="4"/>
  <c r="FN205" i="4"/>
  <c r="GS52" i="4"/>
  <c r="FN52" i="4"/>
  <c r="GW60" i="4"/>
  <c r="FN60" i="4"/>
  <c r="FN133" i="4"/>
  <c r="GS98" i="4"/>
  <c r="FN98" i="4"/>
  <c r="GU148" i="4"/>
  <c r="FN148" i="4"/>
  <c r="GS58" i="4"/>
  <c r="FN58" i="4"/>
  <c r="FP133" i="4"/>
  <c r="EL133" i="4" s="1"/>
  <c r="EP133" i="4" s="1"/>
  <c r="FN252" i="4"/>
  <c r="FN239" i="4"/>
  <c r="FN87" i="4"/>
  <c r="GS79" i="4"/>
  <c r="FN79" i="4"/>
  <c r="FN190" i="4"/>
  <c r="FN114" i="4"/>
  <c r="FN225" i="4"/>
  <c r="GW62" i="4"/>
  <c r="FN62" i="4"/>
  <c r="FN187" i="4"/>
  <c r="FP110" i="4"/>
  <c r="FN110" i="4"/>
  <c r="FN263" i="4"/>
  <c r="FN108" i="4"/>
  <c r="FN90" i="4"/>
  <c r="FN251" i="4"/>
  <c r="GS104" i="4"/>
  <c r="FN104" i="4"/>
  <c r="GW40" i="4"/>
  <c r="FN40" i="4"/>
  <c r="FN26" i="4"/>
  <c r="GU57" i="4"/>
  <c r="FN57" i="4"/>
  <c r="GS152" i="4"/>
  <c r="FN152" i="4"/>
  <c r="FN30" i="4"/>
  <c r="GS136" i="4"/>
  <c r="FN136" i="4"/>
  <c r="FN227" i="4"/>
  <c r="FN178" i="4"/>
  <c r="GW99" i="4"/>
  <c r="FN99" i="4"/>
  <c r="FN213" i="4"/>
  <c r="GW165" i="4"/>
  <c r="FN165" i="4"/>
  <c r="FN245" i="4"/>
  <c r="GW96" i="4"/>
  <c r="FN96" i="4"/>
  <c r="FN94" i="4"/>
  <c r="GW150" i="4"/>
  <c r="FN150" i="4"/>
  <c r="FN241" i="4"/>
  <c r="GU89" i="4"/>
  <c r="FN89" i="4"/>
  <c r="FN169" i="4"/>
  <c r="GS28" i="4"/>
  <c r="FN28" i="4"/>
  <c r="GW36" i="4"/>
  <c r="FN36" i="4"/>
  <c r="FN45" i="4"/>
  <c r="GW64" i="4"/>
  <c r="FN64" i="4"/>
  <c r="GS8" i="4"/>
  <c r="FN8" i="4"/>
  <c r="GW67" i="4"/>
  <c r="FN67" i="4"/>
  <c r="FN216" i="4"/>
  <c r="FN226" i="4"/>
  <c r="FN167" i="4"/>
  <c r="FN74" i="4"/>
  <c r="FN198" i="4"/>
  <c r="GS128" i="4"/>
  <c r="FN128" i="4"/>
  <c r="GS154" i="4"/>
  <c r="FN154" i="4"/>
  <c r="FN233" i="4"/>
  <c r="GU82" i="4"/>
  <c r="FN82" i="4"/>
  <c r="FN219" i="4"/>
  <c r="FN244" i="4"/>
  <c r="FN80" i="4"/>
  <c r="GW137" i="4"/>
  <c r="FN137" i="4"/>
  <c r="FJ137" i="4" s="1"/>
  <c r="FN229" i="4"/>
  <c r="FN78" i="4"/>
  <c r="FN147" i="4"/>
  <c r="FD147" i="4" s="1"/>
  <c r="GS17" i="4"/>
  <c r="FN17" i="4"/>
  <c r="FN25" i="4"/>
  <c r="GS33" i="4"/>
  <c r="FN33" i="4"/>
  <c r="GU102" i="4"/>
  <c r="FN102" i="4"/>
  <c r="FN224" i="4"/>
  <c r="FN250" i="4"/>
  <c r="FP152" i="4"/>
  <c r="FP141" i="4"/>
  <c r="EL141" i="4" s="1"/>
  <c r="FN201" i="4"/>
  <c r="FN199" i="4"/>
  <c r="FN157" i="4"/>
  <c r="FN176" i="4"/>
  <c r="FP111" i="4"/>
  <c r="EL111" i="4" s="1"/>
  <c r="EP111" i="4" s="1"/>
  <c r="FN111" i="4"/>
  <c r="FN223" i="4"/>
  <c r="FN122" i="4"/>
  <c r="FN231" i="4"/>
  <c r="FN262" i="4"/>
  <c r="FN123" i="4"/>
  <c r="FN218" i="4"/>
  <c r="GS66" i="4"/>
  <c r="FN66" i="4"/>
  <c r="FP119" i="4"/>
  <c r="EL119" i="4" s="1"/>
  <c r="FN119" i="4"/>
  <c r="GU51" i="4"/>
  <c r="FN51" i="4"/>
  <c r="GS34" i="4"/>
  <c r="FN34" i="4"/>
  <c r="GS22" i="4"/>
  <c r="FN22" i="4"/>
  <c r="FN276" i="4"/>
  <c r="FN256" i="4"/>
  <c r="FP153" i="4"/>
  <c r="EL153" i="4" s="1"/>
  <c r="EP153" i="4" s="1"/>
  <c r="FN153" i="4"/>
  <c r="FN195" i="4"/>
  <c r="GU27" i="4"/>
  <c r="FN27" i="4"/>
  <c r="FP151" i="4"/>
  <c r="EL151" i="4" s="1"/>
  <c r="ER151" i="4" s="1"/>
  <c r="FP64" i="4"/>
  <c r="EL64" i="4" s="1"/>
  <c r="EP64" i="4" s="1"/>
  <c r="FN240" i="4"/>
  <c r="FN191" i="4"/>
  <c r="GS142" i="4"/>
  <c r="FN142" i="4"/>
  <c r="GS143" i="4"/>
  <c r="FN143" i="4"/>
  <c r="FN267" i="4"/>
  <c r="FN222" i="4"/>
  <c r="GU149" i="4"/>
  <c r="FN149" i="4"/>
  <c r="GS83" i="4"/>
  <c r="FN83" i="4"/>
  <c r="FN72" i="4"/>
  <c r="FN211" i="4"/>
  <c r="FN210" i="4"/>
  <c r="FN221" i="4"/>
  <c r="FN253" i="4"/>
  <c r="FN107" i="4"/>
  <c r="FN206" i="4"/>
  <c r="FN88" i="4"/>
  <c r="FN50" i="4"/>
  <c r="GS11" i="4"/>
  <c r="FN11" i="4"/>
  <c r="GU10" i="4"/>
  <c r="FN10" i="4"/>
  <c r="FN185" i="4"/>
  <c r="FN217" i="4"/>
  <c r="FN179" i="4"/>
  <c r="FP131" i="4"/>
  <c r="FN131" i="4"/>
  <c r="FN275" i="4"/>
  <c r="FN132" i="4"/>
  <c r="FN257" i="4"/>
  <c r="GS139" i="4"/>
  <c r="FN139" i="4"/>
  <c r="GU155" i="4"/>
  <c r="FN155" i="4"/>
  <c r="FN265" i="4"/>
  <c r="FN196" i="4"/>
  <c r="FP109" i="4"/>
  <c r="EL109" i="4" s="1"/>
  <c r="FN109" i="4"/>
  <c r="FN209" i="4"/>
  <c r="FN243" i="4"/>
  <c r="GU93" i="4"/>
  <c r="FN93" i="4"/>
  <c r="FN192" i="4"/>
  <c r="GU65" i="4"/>
  <c r="FN65" i="4"/>
  <c r="GU15" i="4"/>
  <c r="FN15" i="4"/>
  <c r="GS44" i="4"/>
  <c r="FN44" i="4"/>
  <c r="FN9" i="4"/>
  <c r="FP62" i="4"/>
  <c r="EL62" i="4" s="1"/>
  <c r="GA163" i="4"/>
  <c r="CH163" i="4" s="1"/>
  <c r="FP156" i="4"/>
  <c r="EL156" i="4" s="1"/>
  <c r="ER156" i="4" s="1"/>
  <c r="L288" i="4"/>
  <c r="GK288" i="4"/>
  <c r="HG288" i="4" s="1"/>
  <c r="HD288" i="4" s="1"/>
  <c r="L281" i="4"/>
  <c r="GK281" i="4"/>
  <c r="HG281" i="4" s="1"/>
  <c r="HD281" i="4" s="1"/>
  <c r="L287" i="4"/>
  <c r="GK287" i="4"/>
  <c r="HG287" i="4" s="1"/>
  <c r="HD287" i="4" s="1"/>
  <c r="L280" i="4"/>
  <c r="GK280" i="4"/>
  <c r="HG280" i="4" s="1"/>
  <c r="HD280" i="4" s="1"/>
  <c r="L286" i="4"/>
  <c r="GK286" i="4"/>
  <c r="HG286" i="4" s="1"/>
  <c r="HD286" i="4" s="1"/>
  <c r="L285" i="4"/>
  <c r="GK285" i="4"/>
  <c r="HG285" i="4" s="1"/>
  <c r="HD285" i="4" s="1"/>
  <c r="L284" i="4"/>
  <c r="GK284" i="4"/>
  <c r="HG284" i="4" s="1"/>
  <c r="HD284" i="4" s="1"/>
  <c r="L282" i="4"/>
  <c r="GK282" i="4"/>
  <c r="HG282" i="4" s="1"/>
  <c r="HD282" i="4" s="1"/>
  <c r="FP283" i="4"/>
  <c r="EH283" i="4"/>
  <c r="FP135" i="4"/>
  <c r="EL135" i="4" s="1"/>
  <c r="EP135" i="4" s="1"/>
  <c r="FP127" i="4"/>
  <c r="EL127" i="4" s="1"/>
  <c r="FP73" i="4"/>
  <c r="EL73" i="4" s="1"/>
  <c r="EN73" i="4" s="1"/>
  <c r="FP18" i="4"/>
  <c r="FP63" i="4"/>
  <c r="EL63" i="4" s="1"/>
  <c r="EP63" i="4" s="1"/>
  <c r="FP138" i="4"/>
  <c r="EL138" i="4" s="1"/>
  <c r="FP67" i="4"/>
  <c r="EL67" i="4" s="1"/>
  <c r="FP36" i="4"/>
  <c r="FP263" i="4"/>
  <c r="EL263" i="4" s="1"/>
  <c r="EN263" i="4" s="1"/>
  <c r="FP154" i="4"/>
  <c r="EL154" i="4" s="1"/>
  <c r="ER154" i="4" s="1"/>
  <c r="FP150" i="4"/>
  <c r="EL150" i="4" s="1"/>
  <c r="FP94" i="4"/>
  <c r="EL94" i="4" s="1"/>
  <c r="EH74" i="4"/>
  <c r="FP74" i="4"/>
  <c r="EL74" i="4" s="1"/>
  <c r="FP118" i="4"/>
  <c r="EL118" i="4" s="1"/>
  <c r="ER118" i="4" s="1"/>
  <c r="EH128" i="4"/>
  <c r="FP128" i="4"/>
  <c r="EL128" i="4" s="1"/>
  <c r="ER128" i="4" s="1"/>
  <c r="FP96" i="4"/>
  <c r="GS114" i="4"/>
  <c r="FP114" i="4"/>
  <c r="GS124" i="4"/>
  <c r="FP124" i="4"/>
  <c r="EL124" i="4" s="1"/>
  <c r="ER124" i="4" s="1"/>
  <c r="GS120" i="4"/>
  <c r="FP120" i="4"/>
  <c r="ET120" i="4" s="1"/>
  <c r="GS108" i="4"/>
  <c r="FP108" i="4"/>
  <c r="EL108" i="4" s="1"/>
  <c r="ER108" i="4" s="1"/>
  <c r="GU122" i="4"/>
  <c r="FP122" i="4"/>
  <c r="GU123" i="4"/>
  <c r="FP123" i="4"/>
  <c r="EL123" i="4" s="1"/>
  <c r="EP123" i="4" s="1"/>
  <c r="GS132" i="4"/>
  <c r="FP132" i="4"/>
  <c r="GW107" i="4"/>
  <c r="FP107" i="4"/>
  <c r="EL107" i="4" s="1"/>
  <c r="FP136" i="4"/>
  <c r="EL136" i="4" s="1"/>
  <c r="EN136" i="4" s="1"/>
  <c r="GU125" i="4"/>
  <c r="FP125" i="4"/>
  <c r="EL125" i="4" s="1"/>
  <c r="EP125" i="4" s="1"/>
  <c r="FP112" i="4"/>
  <c r="EL112" i="4" s="1"/>
  <c r="EP112" i="4" s="1"/>
  <c r="FP90" i="4"/>
  <c r="EL90" i="4" s="1"/>
  <c r="EP90" i="4" s="1"/>
  <c r="GA77" i="4"/>
  <c r="FN77" i="4" s="1"/>
  <c r="K7" i="15"/>
  <c r="K15" i="15"/>
  <c r="K10" i="15"/>
  <c r="GA35" i="4"/>
  <c r="AR35" i="4" s="1"/>
  <c r="GA38" i="4"/>
  <c r="AW38" i="4" s="1"/>
  <c r="GA76" i="4"/>
  <c r="DJ76" i="4" s="1"/>
  <c r="GA29" i="4"/>
  <c r="GU29" i="4" s="1"/>
  <c r="GA117" i="4"/>
  <c r="L277" i="4"/>
  <c r="GK277" i="4"/>
  <c r="HG277" i="4" s="1"/>
  <c r="HD277" i="4" s="1"/>
  <c r="L276" i="4"/>
  <c r="GK276" i="4"/>
  <c r="HG276" i="4" s="1"/>
  <c r="L275" i="4"/>
  <c r="GK275" i="4"/>
  <c r="HG275" i="4" s="1"/>
  <c r="HD275" i="4" s="1"/>
  <c r="L274" i="4"/>
  <c r="GK274" i="4"/>
  <c r="HG274" i="4" s="1"/>
  <c r="HD274" i="4" s="1"/>
  <c r="Y15" i="15"/>
  <c r="G8" i="15"/>
  <c r="G12" i="15"/>
  <c r="G16" i="15"/>
  <c r="E5" i="15"/>
  <c r="E9" i="15"/>
  <c r="E13" i="15"/>
  <c r="E17" i="15"/>
  <c r="G4" i="15"/>
  <c r="F5" i="15"/>
  <c r="F9" i="15"/>
  <c r="F13" i="15"/>
  <c r="F17" i="15"/>
  <c r="F4" i="15"/>
  <c r="G5" i="15"/>
  <c r="G9" i="15"/>
  <c r="G13" i="15"/>
  <c r="G17" i="15"/>
  <c r="G3" i="15"/>
  <c r="E6" i="15"/>
  <c r="E10" i="15"/>
  <c r="E14" i="15"/>
  <c r="E18" i="15"/>
  <c r="F3" i="15"/>
  <c r="F6" i="15"/>
  <c r="F10" i="15"/>
  <c r="F14" i="15"/>
  <c r="F18" i="15"/>
  <c r="E3" i="15"/>
  <c r="G6" i="15"/>
  <c r="G10" i="15"/>
  <c r="G14" i="15"/>
  <c r="G18" i="15"/>
  <c r="E4" i="15"/>
  <c r="E7" i="15"/>
  <c r="E11" i="15"/>
  <c r="E15" i="15"/>
  <c r="E19" i="15"/>
  <c r="F7" i="15"/>
  <c r="F11" i="15"/>
  <c r="F15" i="15"/>
  <c r="F19" i="15"/>
  <c r="G7" i="15"/>
  <c r="G11" i="15"/>
  <c r="G15" i="15"/>
  <c r="G19" i="15"/>
  <c r="E8" i="15"/>
  <c r="E12" i="15"/>
  <c r="E16" i="15"/>
  <c r="F8" i="15"/>
  <c r="F12" i="15"/>
  <c r="F16" i="15"/>
  <c r="Y10" i="15"/>
  <c r="Y7" i="15"/>
  <c r="EH135" i="4"/>
  <c r="EH139" i="4"/>
  <c r="EH96" i="4"/>
  <c r="EH157" i="4"/>
  <c r="EH159" i="4"/>
  <c r="EH94" i="4"/>
  <c r="EH143" i="4"/>
  <c r="EH142" i="4"/>
  <c r="EH64" i="4"/>
  <c r="GU36" i="4"/>
  <c r="GU165" i="4"/>
  <c r="GU138" i="4"/>
  <c r="GW105" i="4"/>
  <c r="GU156" i="4"/>
  <c r="GW158" i="4"/>
  <c r="GW57" i="4"/>
  <c r="GU147" i="4"/>
  <c r="GU60" i="4"/>
  <c r="GW23" i="4"/>
  <c r="GW135" i="4"/>
  <c r="GU143" i="4"/>
  <c r="GU66" i="4"/>
  <c r="GU85" i="4"/>
  <c r="GS40" i="4"/>
  <c r="GW87" i="4"/>
  <c r="GU98" i="4"/>
  <c r="GW51" i="4"/>
  <c r="GU118" i="4"/>
  <c r="GW83" i="4"/>
  <c r="GW27" i="4"/>
  <c r="GW109" i="4"/>
  <c r="GU124" i="4"/>
  <c r="GW47" i="4"/>
  <c r="GU158" i="4"/>
  <c r="GW65" i="4"/>
  <c r="GU64" i="4"/>
  <c r="GA55" i="4"/>
  <c r="R55" i="4" s="1"/>
  <c r="GU142" i="4"/>
  <c r="GW28" i="4"/>
  <c r="GU87" i="4"/>
  <c r="GW155" i="4"/>
  <c r="GS118" i="4"/>
  <c r="GU54" i="4"/>
  <c r="GW127" i="4"/>
  <c r="GW49" i="4"/>
  <c r="GU109" i="4"/>
  <c r="GW93" i="4"/>
  <c r="GW42" i="4"/>
  <c r="GU161" i="4"/>
  <c r="GW90" i="4"/>
  <c r="GW45" i="4"/>
  <c r="GW44" i="4"/>
  <c r="GU134" i="4"/>
  <c r="GW132" i="4"/>
  <c r="GW74" i="4"/>
  <c r="GW39" i="4"/>
  <c r="GU154" i="4"/>
  <c r="GW72" i="4"/>
  <c r="GW54" i="4"/>
  <c r="GW24" i="4"/>
  <c r="GW11" i="4"/>
  <c r="GU42" i="4"/>
  <c r="GU90" i="4"/>
  <c r="GU45" i="4"/>
  <c r="GU120" i="4"/>
  <c r="GW53" i="4"/>
  <c r="GA71" i="4"/>
  <c r="AU71" i="4" s="1"/>
  <c r="GA14" i="4"/>
  <c r="DT14" i="4" s="1"/>
  <c r="GW131" i="4"/>
  <c r="GU74" i="4"/>
  <c r="GU84" i="4"/>
  <c r="GU72" i="4"/>
  <c r="GW15" i="4"/>
  <c r="GW164" i="4"/>
  <c r="GW110" i="4"/>
  <c r="GW26" i="4"/>
  <c r="GW95" i="4"/>
  <c r="GU108" i="4"/>
  <c r="GU150" i="4"/>
  <c r="GS9" i="4"/>
  <c r="GU119" i="4"/>
  <c r="GU43" i="4"/>
  <c r="GS53" i="4"/>
  <c r="GU131" i="4"/>
  <c r="GW17" i="4"/>
  <c r="GU141" i="4"/>
  <c r="GW16" i="4"/>
  <c r="GU164" i="4"/>
  <c r="GU110" i="4"/>
  <c r="GU26" i="4"/>
  <c r="GU152" i="4"/>
  <c r="GW133" i="4"/>
  <c r="GW12" i="4"/>
  <c r="GW149" i="4"/>
  <c r="GW33" i="4"/>
  <c r="GU146" i="4"/>
  <c r="GW104" i="4"/>
  <c r="GW9" i="4"/>
  <c r="GW119" i="4"/>
  <c r="GW101" i="4"/>
  <c r="GW100" i="4"/>
  <c r="GS18" i="4"/>
  <c r="GU107" i="4"/>
  <c r="GA19" i="4"/>
  <c r="DX19" i="4" s="1"/>
  <c r="GA7" i="4"/>
  <c r="CV7" i="4" s="1"/>
  <c r="GA177" i="4"/>
  <c r="EA177" i="4" s="1"/>
  <c r="GA59" i="4"/>
  <c r="DV59" i="4" s="1"/>
  <c r="GW63" i="4"/>
  <c r="GW73" i="4"/>
  <c r="GU128" i="4"/>
  <c r="GW61" i="4"/>
  <c r="GW30" i="4"/>
  <c r="GW81" i="4"/>
  <c r="GU133" i="4"/>
  <c r="GW94" i="4"/>
  <c r="GU137" i="4"/>
  <c r="GW58" i="4"/>
  <c r="GW79" i="4"/>
  <c r="GS146" i="4"/>
  <c r="GW31" i="4"/>
  <c r="GU101" i="4"/>
  <c r="GU100" i="4"/>
  <c r="GA6" i="4"/>
  <c r="CY6" i="4" s="1"/>
  <c r="GU63" i="4"/>
  <c r="GS73" i="4"/>
  <c r="GW153" i="4"/>
  <c r="GS96" i="4"/>
  <c r="GW25" i="4"/>
  <c r="GU30" i="4"/>
  <c r="GU81" i="4"/>
  <c r="GU94" i="4"/>
  <c r="GW136" i="4"/>
  <c r="GW160" i="4"/>
  <c r="GW89" i="4"/>
  <c r="GW86" i="4"/>
  <c r="GS88" i="4"/>
  <c r="GA4" i="4"/>
  <c r="CA4" i="4" s="1"/>
  <c r="GA69" i="4"/>
  <c r="CO69" i="4" s="1"/>
  <c r="GA188" i="4"/>
  <c r="BI188" i="4" s="1"/>
  <c r="GA48" i="4"/>
  <c r="DQ48" i="4" s="1"/>
  <c r="GA13" i="4"/>
  <c r="DA13" i="4" s="1"/>
  <c r="GU114" i="4"/>
  <c r="GU129" i="4"/>
  <c r="GS62" i="4"/>
  <c r="GW111" i="4"/>
  <c r="GU153" i="4"/>
  <c r="GU25" i="4"/>
  <c r="GU139" i="4"/>
  <c r="GU151" i="4"/>
  <c r="GU22" i="4"/>
  <c r="GU159" i="4"/>
  <c r="GW102" i="4"/>
  <c r="GW20" i="4"/>
  <c r="GU52" i="4"/>
  <c r="GU62" i="4"/>
  <c r="GU111" i="4"/>
  <c r="GW50" i="4"/>
  <c r="GW82" i="4"/>
  <c r="GS70" i="4"/>
  <c r="GU80" i="4"/>
  <c r="GW123" i="4"/>
  <c r="GW34" i="4"/>
  <c r="GU67" i="4"/>
  <c r="GW78" i="4"/>
  <c r="GW157" i="4"/>
  <c r="GW75" i="4"/>
  <c r="GA56" i="4"/>
  <c r="BW56" i="4" s="1"/>
  <c r="GA32" i="4"/>
  <c r="AN32" i="4" s="1"/>
  <c r="GA21" i="4"/>
  <c r="R21" i="4" s="1"/>
  <c r="GS99" i="4"/>
  <c r="GW112" i="4"/>
  <c r="GU50" i="4"/>
  <c r="GW140" i="4"/>
  <c r="GW125" i="4"/>
  <c r="GW80" i="4"/>
  <c r="GW122" i="4"/>
  <c r="GW10" i="4"/>
  <c r="GW148" i="4"/>
  <c r="GU78" i="4"/>
  <c r="GW88" i="4"/>
  <c r="GW8" i="4"/>
  <c r="GS157" i="4"/>
  <c r="GU75" i="4"/>
  <c r="GU112" i="4"/>
  <c r="EH129" i="4"/>
  <c r="EH133" i="4"/>
  <c r="EH66" i="4"/>
  <c r="EH141" i="4"/>
  <c r="EH137" i="4"/>
  <c r="EH146" i="4"/>
  <c r="GA5" i="4"/>
  <c r="EA5" i="4" s="1"/>
  <c r="D267" i="5"/>
  <c r="AD16" i="13" s="1"/>
  <c r="D142" i="5"/>
  <c r="C302" i="5"/>
  <c r="H8" i="13" s="1"/>
  <c r="E142" i="5"/>
  <c r="E87" i="5"/>
  <c r="E267" i="5"/>
  <c r="AH16" i="13" s="1"/>
  <c r="E62" i="5"/>
  <c r="D202" i="5"/>
  <c r="C247" i="5"/>
  <c r="Z11" i="13" s="1"/>
  <c r="C107" i="5"/>
  <c r="C142" i="5"/>
  <c r="E227" i="5"/>
  <c r="AH15" i="13" s="1"/>
  <c r="C87" i="5"/>
  <c r="C88" i="5" s="1"/>
  <c r="C267" i="5"/>
  <c r="Z16" i="13" s="1"/>
  <c r="C62" i="5"/>
  <c r="E207" i="5"/>
  <c r="AH7" i="13" s="1"/>
  <c r="D182" i="5"/>
  <c r="E287" i="5"/>
  <c r="AH6" i="13" s="1"/>
  <c r="E42" i="5"/>
  <c r="E2" i="5"/>
  <c r="N5" i="13"/>
  <c r="F5" i="13"/>
  <c r="J5" i="13"/>
  <c r="N12" i="13"/>
  <c r="B502" i="11" s="1"/>
  <c r="F12" i="13"/>
  <c r="B445" i="11" s="1"/>
  <c r="J12" i="13"/>
  <c r="B473" i="11" s="1"/>
  <c r="C47" i="5"/>
  <c r="Z9" i="13" s="1"/>
  <c r="C7" i="5"/>
  <c r="E122" i="5"/>
  <c r="E327" i="5"/>
  <c r="D227" i="5"/>
  <c r="E162" i="5"/>
  <c r="D207" i="5"/>
  <c r="C182" i="5"/>
  <c r="H18" i="13" s="1"/>
  <c r="D287" i="5"/>
  <c r="AD6" i="13" s="1"/>
  <c r="E47" i="5"/>
  <c r="AH9" i="13" s="1"/>
  <c r="E7" i="5"/>
  <c r="F20" i="13"/>
  <c r="AB20" i="13" s="1"/>
  <c r="N20" i="13"/>
  <c r="AF20" i="13" s="1"/>
  <c r="J20" i="13"/>
  <c r="X20" i="13" s="1"/>
  <c r="F19" i="13"/>
  <c r="AB19" i="13" s="1"/>
  <c r="J19" i="13"/>
  <c r="X19" i="13" s="1"/>
  <c r="N19" i="13"/>
  <c r="AF19" i="13" s="1"/>
  <c r="EH70" i="4"/>
  <c r="D122" i="5"/>
  <c r="D327" i="5"/>
  <c r="E307" i="5"/>
  <c r="AH8" i="13" s="1"/>
  <c r="C227" i="5"/>
  <c r="Z15" i="13" s="1"/>
  <c r="D162" i="5"/>
  <c r="C207" i="5"/>
  <c r="E22" i="5"/>
  <c r="E187" i="5"/>
  <c r="AH18" i="13" s="1"/>
  <c r="C287" i="5"/>
  <c r="Z6" i="13" s="1"/>
  <c r="F9" i="13"/>
  <c r="N9" i="13"/>
  <c r="J9" i="13"/>
  <c r="N4" i="13"/>
  <c r="J4" i="13"/>
  <c r="F4" i="13"/>
  <c r="F17" i="13"/>
  <c r="N17" i="13"/>
  <c r="J17" i="13"/>
  <c r="F16" i="13"/>
  <c r="AB16" i="13" s="1"/>
  <c r="N16" i="13"/>
  <c r="AF16" i="13" s="1"/>
  <c r="J16" i="13"/>
  <c r="X16" i="13" s="1"/>
  <c r="D62" i="5"/>
  <c r="C122" i="5"/>
  <c r="C327" i="5"/>
  <c r="D307" i="5"/>
  <c r="AD8" i="13" s="1"/>
  <c r="E222" i="5"/>
  <c r="C162" i="5"/>
  <c r="D22" i="5"/>
  <c r="D187" i="5"/>
  <c r="E282" i="5"/>
  <c r="E283" i="5" s="1"/>
  <c r="E127" i="5"/>
  <c r="AH14" i="13" s="1"/>
  <c r="E322" i="5"/>
  <c r="C307" i="5"/>
  <c r="Z8" i="13" s="1"/>
  <c r="D222" i="5"/>
  <c r="E167" i="5"/>
  <c r="AH17" i="13" s="1"/>
  <c r="C22" i="5"/>
  <c r="C187" i="5"/>
  <c r="D282" i="5"/>
  <c r="L6" i="13" s="1"/>
  <c r="D47" i="5"/>
  <c r="D7" i="5"/>
  <c r="J11" i="13"/>
  <c r="F11" i="13"/>
  <c r="N11" i="13"/>
  <c r="J13" i="13"/>
  <c r="F13" i="13"/>
  <c r="N13" i="13"/>
  <c r="J18" i="13"/>
  <c r="X18" i="13" s="1"/>
  <c r="F18" i="13"/>
  <c r="AB18" i="13" s="1"/>
  <c r="N18" i="13"/>
  <c r="AF18" i="13" s="1"/>
  <c r="F14" i="13"/>
  <c r="N14" i="13"/>
  <c r="J14" i="13"/>
  <c r="D87" i="5"/>
  <c r="D88" i="5" s="1"/>
  <c r="C202" i="5"/>
  <c r="D127" i="5"/>
  <c r="D322" i="5"/>
  <c r="E302" i="5"/>
  <c r="P8" i="13" s="1"/>
  <c r="C222" i="5"/>
  <c r="H15" i="13" s="1"/>
  <c r="D167" i="5"/>
  <c r="E27" i="5"/>
  <c r="AH5" i="13" s="1"/>
  <c r="E242" i="5"/>
  <c r="B256" i="5" s="1"/>
  <c r="E102" i="5"/>
  <c r="C282" i="5"/>
  <c r="H6" i="13" s="1"/>
  <c r="C127" i="5"/>
  <c r="C322" i="5"/>
  <c r="D302" i="5"/>
  <c r="L8" i="13" s="1"/>
  <c r="D42" i="5"/>
  <c r="D2" i="5"/>
  <c r="C167" i="5"/>
  <c r="D27" i="5"/>
  <c r="D242" i="5"/>
  <c r="D102" i="5"/>
  <c r="N10" i="13"/>
  <c r="F10" i="13"/>
  <c r="J10" i="13"/>
  <c r="F6" i="13"/>
  <c r="AB6" i="13" s="1"/>
  <c r="N6" i="13"/>
  <c r="AF6" i="13" s="1"/>
  <c r="J6" i="13"/>
  <c r="X6" i="13" s="1"/>
  <c r="E147" i="5"/>
  <c r="AH20" i="13" s="1"/>
  <c r="E262" i="5"/>
  <c r="P16" i="13" s="1"/>
  <c r="E67" i="5"/>
  <c r="AH10" i="13" s="1"/>
  <c r="C27" i="5"/>
  <c r="C242" i="5"/>
  <c r="H11" i="13" s="1"/>
  <c r="C102" i="5"/>
  <c r="F15" i="13"/>
  <c r="J15" i="13"/>
  <c r="N15" i="13"/>
  <c r="F7" i="13"/>
  <c r="J7" i="13"/>
  <c r="N7" i="13"/>
  <c r="E182" i="5"/>
  <c r="D147" i="5"/>
  <c r="C42" i="5"/>
  <c r="C2" i="5"/>
  <c r="D82" i="5"/>
  <c r="D262" i="5"/>
  <c r="L16" i="13" s="1"/>
  <c r="D67" i="5"/>
  <c r="E247" i="5"/>
  <c r="AH11" i="13" s="1"/>
  <c r="E107" i="5"/>
  <c r="AH13" i="13" s="1"/>
  <c r="N8" i="13"/>
  <c r="AF8" i="13" s="1"/>
  <c r="J8" i="13"/>
  <c r="X8" i="13" s="1"/>
  <c r="F8" i="13"/>
  <c r="AB8" i="13" s="1"/>
  <c r="C147" i="5"/>
  <c r="E82" i="5"/>
  <c r="C82" i="5"/>
  <c r="C262" i="5"/>
  <c r="H16" i="13" s="1"/>
  <c r="C67" i="5"/>
  <c r="E202" i="5"/>
  <c r="D247" i="5"/>
  <c r="AD11" i="13" s="1"/>
  <c r="D107" i="5"/>
  <c r="GA41" i="4"/>
  <c r="P41" i="4" s="1"/>
  <c r="GA37" i="4"/>
  <c r="BW37" i="4" s="1"/>
  <c r="B332" i="5"/>
  <c r="C12" i="13"/>
  <c r="C332" i="5"/>
  <c r="D12" i="13"/>
  <c r="I12" i="13"/>
  <c r="AA12" i="13"/>
  <c r="E332" i="5"/>
  <c r="D332" i="5"/>
  <c r="U12" i="13"/>
  <c r="HG263" i="4"/>
  <c r="HD263" i="4" s="1"/>
  <c r="EH67" i="4"/>
  <c r="EH156" i="4"/>
  <c r="EH95" i="4"/>
  <c r="EH63" i="4"/>
  <c r="EH140" i="4"/>
  <c r="EH62" i="4"/>
  <c r="EH93" i="4"/>
  <c r="N164" i="4"/>
  <c r="R62" i="4"/>
  <c r="N344" i="4"/>
  <c r="P264" i="4"/>
  <c r="P127" i="4"/>
  <c r="P347" i="4"/>
  <c r="R143" i="4"/>
  <c r="EH131" i="4"/>
  <c r="EH132" i="4"/>
  <c r="EH111" i="4"/>
  <c r="R288" i="4"/>
  <c r="N223" i="4"/>
  <c r="P235" i="4"/>
  <c r="P72" i="4"/>
  <c r="P211" i="4"/>
  <c r="EH73" i="4"/>
  <c r="R246" i="4"/>
  <c r="EH65" i="4"/>
  <c r="R49" i="4"/>
  <c r="N252" i="4"/>
  <c r="R252" i="4"/>
  <c r="P239" i="4"/>
  <c r="N239" i="4"/>
  <c r="P87" i="4"/>
  <c r="N87" i="4"/>
  <c r="P242" i="4"/>
  <c r="N242" i="4"/>
  <c r="P189" i="4"/>
  <c r="N189" i="4"/>
  <c r="R171" i="4"/>
  <c r="N171" i="4"/>
  <c r="N256" i="4"/>
  <c r="P256" i="4"/>
  <c r="EH112" i="4"/>
  <c r="P112" i="4"/>
  <c r="N112" i="4"/>
  <c r="P254" i="4"/>
  <c r="N254" i="4"/>
  <c r="P360" i="4"/>
  <c r="N360" i="4"/>
  <c r="N335" i="4"/>
  <c r="P335" i="4"/>
  <c r="R186" i="4"/>
  <c r="EH109" i="4"/>
  <c r="N109" i="4"/>
  <c r="P109" i="4"/>
  <c r="P221" i="4"/>
  <c r="N221" i="4"/>
  <c r="N137" i="4"/>
  <c r="P137" i="4"/>
  <c r="P378" i="4"/>
  <c r="N378" i="4"/>
  <c r="N229" i="4"/>
  <c r="P229" i="4"/>
  <c r="N78" i="4"/>
  <c r="P78" i="4"/>
  <c r="N147" i="4"/>
  <c r="N12" i="4"/>
  <c r="P12" i="4"/>
  <c r="N31" i="4"/>
  <c r="P31" i="4"/>
  <c r="N317" i="4"/>
  <c r="P258" i="4"/>
  <c r="P75" i="4"/>
  <c r="P247" i="4"/>
  <c r="N214" i="4"/>
  <c r="P354" i="4"/>
  <c r="P255" i="4"/>
  <c r="P187" i="4"/>
  <c r="N393" i="4"/>
  <c r="P65" i="4"/>
  <c r="N233" i="4"/>
  <c r="P164" i="4"/>
  <c r="R140" i="4"/>
  <c r="R136" i="4"/>
  <c r="P136" i="4"/>
  <c r="P227" i="4"/>
  <c r="R227" i="4"/>
  <c r="R161" i="4"/>
  <c r="N161" i="4"/>
  <c r="R166" i="4"/>
  <c r="N166" i="4"/>
  <c r="R105" i="4"/>
  <c r="P105" i="4"/>
  <c r="R98" i="4"/>
  <c r="N98" i="4"/>
  <c r="P314" i="4"/>
  <c r="R314" i="4"/>
  <c r="R305" i="4"/>
  <c r="N305" i="4"/>
  <c r="R207" i="4"/>
  <c r="P207" i="4"/>
  <c r="P209" i="4"/>
  <c r="N209" i="4"/>
  <c r="R262" i="4"/>
  <c r="N262" i="4"/>
  <c r="EH123" i="4"/>
  <c r="N123" i="4"/>
  <c r="P123" i="4"/>
  <c r="P218" i="4"/>
  <c r="N218" i="4"/>
  <c r="N66" i="4"/>
  <c r="R66" i="4"/>
  <c r="EH119" i="4"/>
  <c r="P119" i="4"/>
  <c r="N119" i="4"/>
  <c r="P49" i="4"/>
  <c r="R58" i="4"/>
  <c r="P58" i="4"/>
  <c r="N20" i="4"/>
  <c r="P20" i="4"/>
  <c r="N190" i="4"/>
  <c r="N75" i="4"/>
  <c r="P214" i="4"/>
  <c r="N213" i="4"/>
  <c r="P176" i="4"/>
  <c r="N224" i="4"/>
  <c r="N154" i="4"/>
  <c r="N111" i="4"/>
  <c r="N72" i="4"/>
  <c r="N152" i="4"/>
  <c r="N65" i="4"/>
  <c r="P342" i="4"/>
  <c r="R298" i="4"/>
  <c r="N298" i="4"/>
  <c r="N67" i="4"/>
  <c r="P67" i="4"/>
  <c r="R216" i="4"/>
  <c r="N216" i="4"/>
  <c r="R79" i="4"/>
  <c r="P79" i="4"/>
  <c r="R156" i="4"/>
  <c r="N156" i="4"/>
  <c r="N63" i="4"/>
  <c r="P63" i="4"/>
  <c r="R234" i="4"/>
  <c r="N234" i="4"/>
  <c r="R84" i="4"/>
  <c r="N84" i="4"/>
  <c r="P364" i="4"/>
  <c r="R364" i="4"/>
  <c r="R359" i="4"/>
  <c r="P359" i="4"/>
  <c r="P253" i="4"/>
  <c r="N253" i="4"/>
  <c r="EH107" i="4"/>
  <c r="P107" i="4"/>
  <c r="N107" i="4"/>
  <c r="P206" i="4"/>
  <c r="N206" i="4"/>
  <c r="R88" i="4"/>
  <c r="P88" i="4"/>
  <c r="P23" i="4"/>
  <c r="R23" i="4"/>
  <c r="R8" i="4"/>
  <c r="P8" i="4"/>
  <c r="P375" i="4"/>
  <c r="R258" i="4"/>
  <c r="N238" i="4"/>
  <c r="N200" i="4"/>
  <c r="R190" i="4"/>
  <c r="P157" i="4"/>
  <c r="R235" i="4"/>
  <c r="N74" i="4"/>
  <c r="R247" i="4"/>
  <c r="R344" i="4"/>
  <c r="N248" i="4"/>
  <c r="R176" i="4"/>
  <c r="R354" i="4"/>
  <c r="R255" i="4"/>
  <c r="R224" i="4"/>
  <c r="R187" i="4"/>
  <c r="R154" i="4"/>
  <c r="R393" i="4"/>
  <c r="R152" i="4"/>
  <c r="N36" i="4"/>
  <c r="R342" i="4"/>
  <c r="R264" i="4"/>
  <c r="R233" i="4"/>
  <c r="N232" i="4"/>
  <c r="P240" i="4"/>
  <c r="R240" i="4"/>
  <c r="N201" i="4"/>
  <c r="R201" i="4"/>
  <c r="R226" i="4"/>
  <c r="P226" i="4"/>
  <c r="EH114" i="4"/>
  <c r="R114" i="4"/>
  <c r="N114" i="4"/>
  <c r="R225" i="4"/>
  <c r="P225" i="4"/>
  <c r="R73" i="4"/>
  <c r="P73" i="4"/>
  <c r="R182" i="4"/>
  <c r="P182" i="4"/>
  <c r="EH153" i="4"/>
  <c r="R272" i="4"/>
  <c r="N272" i="4"/>
  <c r="N184" i="4"/>
  <c r="P184" i="4"/>
  <c r="P243" i="4"/>
  <c r="R243" i="4"/>
  <c r="N93" i="4"/>
  <c r="P93" i="4"/>
  <c r="R377" i="4"/>
  <c r="P377" i="4"/>
  <c r="R192" i="4"/>
  <c r="N192" i="4"/>
  <c r="R52" i="4"/>
  <c r="N52" i="4"/>
  <c r="N25" i="4"/>
  <c r="P25" i="4"/>
  <c r="N375" i="4"/>
  <c r="R157" i="4"/>
  <c r="P197" i="4"/>
  <c r="P165" i="4"/>
  <c r="P283" i="4"/>
  <c r="N186" i="4"/>
  <c r="R232" i="4"/>
  <c r="P217" i="4"/>
  <c r="N217" i="4"/>
  <c r="N355" i="4"/>
  <c r="P355" i="4"/>
  <c r="N191" i="4"/>
  <c r="P191" i="4"/>
  <c r="P337" i="4"/>
  <c r="N337" i="4"/>
  <c r="P99" i="4"/>
  <c r="R99" i="4"/>
  <c r="P379" i="4"/>
  <c r="N379" i="4"/>
  <c r="P70" i="4"/>
  <c r="R70" i="4"/>
  <c r="P140" i="4"/>
  <c r="P330" i="4"/>
  <c r="R330" i="4"/>
  <c r="N173" i="4"/>
  <c r="P173" i="4"/>
  <c r="R363" i="4"/>
  <c r="P363" i="4"/>
  <c r="R230" i="4"/>
  <c r="N230" i="4"/>
  <c r="P339" i="4"/>
  <c r="N339" i="4"/>
  <c r="N181" i="4"/>
  <c r="R181" i="4"/>
  <c r="R40" i="4"/>
  <c r="P40" i="4"/>
  <c r="N57" i="4"/>
  <c r="P57" i="4"/>
  <c r="N347" i="4"/>
  <c r="P86" i="4"/>
  <c r="P325" i="4"/>
  <c r="R128" i="4"/>
  <c r="P83" i="4"/>
  <c r="P50" i="4"/>
  <c r="P15" i="4"/>
  <c r="P153" i="4"/>
  <c r="R96" i="4"/>
  <c r="P180" i="4"/>
  <c r="N180" i="4"/>
  <c r="R179" i="4"/>
  <c r="N179" i="4"/>
  <c r="P198" i="4"/>
  <c r="N198" i="4"/>
  <c r="N348" i="4"/>
  <c r="P348" i="4"/>
  <c r="P81" i="4"/>
  <c r="P319" i="4"/>
  <c r="N319" i="4"/>
  <c r="P358" i="4"/>
  <c r="N358" i="4"/>
  <c r="P220" i="4"/>
  <c r="N220" i="4"/>
  <c r="R170" i="4"/>
  <c r="P170" i="4"/>
  <c r="EH125" i="4"/>
  <c r="N125" i="4"/>
  <c r="P125" i="4"/>
  <c r="R28" i="4"/>
  <c r="P28" i="4"/>
  <c r="P16" i="4"/>
  <c r="R16" i="4"/>
  <c r="R34" i="4"/>
  <c r="P34" i="4"/>
  <c r="N275" i="4"/>
  <c r="P238" i="4"/>
  <c r="P200" i="4"/>
  <c r="N167" i="4"/>
  <c r="P132" i="4"/>
  <c r="P257" i="4"/>
  <c r="P39" i="4"/>
  <c r="N286" i="4"/>
  <c r="N325" i="4"/>
  <c r="N265" i="4"/>
  <c r="N197" i="4"/>
  <c r="N165" i="4"/>
  <c r="N50" i="4"/>
  <c r="N15" i="4"/>
  <c r="N283" i="4"/>
  <c r="P185" i="4"/>
  <c r="P169" i="4"/>
  <c r="P273" i="4"/>
  <c r="P245" i="4"/>
  <c r="N127" i="4"/>
  <c r="N60" i="4"/>
  <c r="R159" i="4"/>
  <c r="N159" i="4"/>
  <c r="N168" i="4"/>
  <c r="P168" i="4"/>
  <c r="P320" i="4"/>
  <c r="N320" i="4"/>
  <c r="R389" i="4"/>
  <c r="N389" i="4"/>
  <c r="EH110" i="4"/>
  <c r="P291" i="4"/>
  <c r="N291" i="4"/>
  <c r="R151" i="4"/>
  <c r="N151" i="4"/>
  <c r="P382" i="4"/>
  <c r="N382" i="4"/>
  <c r="P208" i="4"/>
  <c r="R208" i="4"/>
  <c r="P308" i="4"/>
  <c r="N308" i="4"/>
  <c r="P160" i="4"/>
  <c r="N160" i="4"/>
  <c r="N269" i="4"/>
  <c r="P269" i="4"/>
  <c r="R17" i="4"/>
  <c r="P17" i="4"/>
  <c r="R11" i="4"/>
  <c r="P11" i="4"/>
  <c r="R33" i="4"/>
  <c r="P33" i="4"/>
  <c r="P386" i="4"/>
  <c r="R275" i="4"/>
  <c r="R167" i="4"/>
  <c r="R132" i="4"/>
  <c r="P53" i="4"/>
  <c r="P18" i="4"/>
  <c r="R257" i="4"/>
  <c r="P74" i="4"/>
  <c r="R248" i="4"/>
  <c r="R286" i="4"/>
  <c r="R265" i="4"/>
  <c r="N128" i="4"/>
  <c r="R83" i="4"/>
  <c r="N185" i="4"/>
  <c r="N95" i="4"/>
  <c r="R169" i="4"/>
  <c r="P131" i="4"/>
  <c r="R273" i="4"/>
  <c r="R245" i="4"/>
  <c r="P175" i="4"/>
  <c r="N134" i="4"/>
  <c r="P134" i="4"/>
  <c r="N158" i="4"/>
  <c r="P158" i="4"/>
  <c r="N267" i="4"/>
  <c r="P267" i="4"/>
  <c r="N149" i="4"/>
  <c r="P149" i="4"/>
  <c r="N315" i="4"/>
  <c r="P315" i="4"/>
  <c r="P96" i="4"/>
  <c r="N318" i="4"/>
  <c r="P318" i="4"/>
  <c r="N138" i="4"/>
  <c r="P138" i="4"/>
  <c r="P341" i="4"/>
  <c r="N341" i="4"/>
  <c r="R195" i="4"/>
  <c r="N195" i="4"/>
  <c r="P340" i="4"/>
  <c r="N340" i="4"/>
  <c r="P300" i="4"/>
  <c r="N300" i="4"/>
  <c r="P148" i="4"/>
  <c r="N148" i="4"/>
  <c r="N250" i="4"/>
  <c r="R250" i="4"/>
  <c r="R44" i="4"/>
  <c r="P44" i="4"/>
  <c r="R22" i="4"/>
  <c r="N22" i="4"/>
  <c r="N288" i="4"/>
  <c r="N143" i="4"/>
  <c r="R86" i="4"/>
  <c r="N64" i="4"/>
  <c r="P155" i="4"/>
  <c r="R39" i="4"/>
  <c r="N142" i="4"/>
  <c r="P27" i="4"/>
  <c r="N222" i="4"/>
  <c r="P45" i="4"/>
  <c r="N131" i="4"/>
  <c r="P223" i="4"/>
  <c r="N153" i="4"/>
  <c r="P102" i="4"/>
  <c r="N102" i="4"/>
  <c r="R146" i="4"/>
  <c r="N146" i="4"/>
  <c r="N85" i="4"/>
  <c r="P85" i="4"/>
  <c r="N139" i="4"/>
  <c r="R139" i="4"/>
  <c r="P293" i="4"/>
  <c r="N293" i="4"/>
  <c r="P280" i="4"/>
  <c r="N280" i="4"/>
  <c r="P263" i="4"/>
  <c r="R263" i="4"/>
  <c r="EH124" i="4"/>
  <c r="R124" i="4"/>
  <c r="N124" i="4"/>
  <c r="R183" i="4"/>
  <c r="N183" i="4"/>
  <c r="R271" i="4"/>
  <c r="P271" i="4"/>
  <c r="P270" i="4"/>
  <c r="N270" i="4"/>
  <c r="P135" i="4"/>
  <c r="N135" i="4"/>
  <c r="N228" i="4"/>
  <c r="P228" i="4"/>
  <c r="N54" i="4"/>
  <c r="P54" i="4"/>
  <c r="P10" i="4"/>
  <c r="N10" i="4"/>
  <c r="P178" i="4"/>
  <c r="R53" i="4"/>
  <c r="R18" i="4"/>
  <c r="N155" i="4"/>
  <c r="P62" i="4"/>
  <c r="P51" i="4"/>
  <c r="P246" i="4"/>
  <c r="P212" i="4"/>
  <c r="N27" i="4"/>
  <c r="P306" i="4"/>
  <c r="N196" i="4"/>
  <c r="R175" i="4"/>
  <c r="P82" i="4"/>
  <c r="N81" i="4"/>
  <c r="P276" i="4"/>
  <c r="R276" i="4"/>
  <c r="N133" i="4"/>
  <c r="P133" i="4"/>
  <c r="N174" i="4"/>
  <c r="P174" i="4"/>
  <c r="R357" i="4"/>
  <c r="N357" i="4"/>
  <c r="N369" i="4"/>
  <c r="P369" i="4"/>
  <c r="N349" i="4"/>
  <c r="P349" i="4"/>
  <c r="P219" i="4"/>
  <c r="N219" i="4"/>
  <c r="EH108" i="4"/>
  <c r="R108" i="4"/>
  <c r="N108" i="4"/>
  <c r="P310" i="4"/>
  <c r="N310" i="4"/>
  <c r="R172" i="4"/>
  <c r="N172" i="4"/>
  <c r="N193" i="4"/>
  <c r="P193" i="4"/>
  <c r="R260" i="4"/>
  <c r="N260" i="4"/>
  <c r="EH120" i="4"/>
  <c r="R120" i="4"/>
  <c r="N120" i="4"/>
  <c r="N205" i="4"/>
  <c r="P205" i="4"/>
  <c r="N42" i="4"/>
  <c r="P42" i="4"/>
  <c r="P60" i="4"/>
  <c r="R47" i="4"/>
  <c r="P47" i="4"/>
  <c r="R9" i="4"/>
  <c r="P9" i="4"/>
  <c r="N215" i="4"/>
  <c r="N178" i="4"/>
  <c r="P100" i="4"/>
  <c r="N199" i="4"/>
  <c r="N62" i="4"/>
  <c r="N51" i="4"/>
  <c r="N334" i="4"/>
  <c r="P222" i="4"/>
  <c r="P95" i="4"/>
  <c r="N45" i="4"/>
  <c r="R196" i="4"/>
  <c r="N82" i="4"/>
  <c r="R387" i="4"/>
  <c r="N387" i="4"/>
  <c r="P259" i="4"/>
  <c r="N259" i="4"/>
  <c r="EH118" i="4"/>
  <c r="R118" i="4"/>
  <c r="N118" i="4"/>
  <c r="R309" i="4"/>
  <c r="N309" i="4"/>
  <c r="N141" i="4"/>
  <c r="P141" i="4"/>
  <c r="R331" i="4"/>
  <c r="N331" i="4"/>
  <c r="P292" i="4"/>
  <c r="N292" i="4"/>
  <c r="EH122" i="4"/>
  <c r="P122" i="4"/>
  <c r="N122" i="4"/>
  <c r="R244" i="4"/>
  <c r="P244" i="4"/>
  <c r="P94" i="4"/>
  <c r="N94" i="4"/>
  <c r="N302" i="4"/>
  <c r="P302" i="4"/>
  <c r="P162" i="4"/>
  <c r="N90" i="4"/>
  <c r="P90" i="4"/>
  <c r="N251" i="4"/>
  <c r="P251" i="4"/>
  <c r="P104" i="4"/>
  <c r="R104" i="4"/>
  <c r="N30" i="4"/>
  <c r="P30" i="4"/>
  <c r="N26" i="4"/>
  <c r="P26" i="4"/>
  <c r="R386" i="4"/>
  <c r="P317" i="4"/>
  <c r="R215" i="4"/>
  <c r="N100" i="4"/>
  <c r="P64" i="4"/>
  <c r="R199" i="4"/>
  <c r="R142" i="4"/>
  <c r="P213" i="4"/>
  <c r="R212" i="4"/>
  <c r="P111" i="4"/>
  <c r="P61" i="4"/>
  <c r="R334" i="4"/>
  <c r="P36" i="4"/>
  <c r="R306" i="4"/>
  <c r="N110" i="4"/>
  <c r="R329" i="4"/>
  <c r="P329" i="4"/>
  <c r="P249" i="4"/>
  <c r="N249" i="4"/>
  <c r="N101" i="4"/>
  <c r="P101" i="4"/>
  <c r="P301" i="4"/>
  <c r="R301" i="4"/>
  <c r="N261" i="4"/>
  <c r="P266" i="4"/>
  <c r="N266" i="4"/>
  <c r="R129" i="4"/>
  <c r="N129" i="4"/>
  <c r="R282" i="4"/>
  <c r="P282" i="4"/>
  <c r="R392" i="4"/>
  <c r="N392" i="4"/>
  <c r="P210" i="4"/>
  <c r="N210" i="4"/>
  <c r="R231" i="4"/>
  <c r="P231" i="4"/>
  <c r="N80" i="4"/>
  <c r="P80" i="4"/>
  <c r="P281" i="4"/>
  <c r="N281" i="4"/>
  <c r="P150" i="4"/>
  <c r="N150" i="4"/>
  <c r="P241" i="4"/>
  <c r="N241" i="4"/>
  <c r="P89" i="4"/>
  <c r="N89" i="4"/>
  <c r="N24" i="4"/>
  <c r="P24" i="4"/>
  <c r="N43" i="4"/>
  <c r="R43" i="4"/>
  <c r="R61" i="4"/>
  <c r="N211" i="4"/>
  <c r="P110" i="4"/>
  <c r="EH90" i="4"/>
  <c r="EH155" i="4"/>
  <c r="EH127" i="4"/>
  <c r="EH150" i="4"/>
  <c r="EH148" i="4"/>
  <c r="M29" i="4"/>
  <c r="M25" i="4"/>
  <c r="EH25" i="4"/>
  <c r="M33" i="4"/>
  <c r="EH33" i="4"/>
  <c r="M18" i="4"/>
  <c r="EH18" i="4"/>
  <c r="M51" i="4"/>
  <c r="EH51" i="4"/>
  <c r="M48" i="4"/>
  <c r="M39" i="4"/>
  <c r="EH39" i="4"/>
  <c r="M36" i="4"/>
  <c r="EH36" i="4"/>
  <c r="GK52" i="4"/>
  <c r="L52" i="4"/>
  <c r="HH52" i="4" s="1"/>
  <c r="GK58" i="4"/>
  <c r="L58" i="4"/>
  <c r="HH58" i="4" s="1"/>
  <c r="GK23" i="4"/>
  <c r="L23" i="4"/>
  <c r="HH23" i="4" s="1"/>
  <c r="GK46" i="4"/>
  <c r="L46" i="4"/>
  <c r="HH46" i="4" s="1"/>
  <c r="GK34" i="4"/>
  <c r="L34" i="4"/>
  <c r="HH34" i="4" s="1"/>
  <c r="GK11" i="4"/>
  <c r="L11" i="4"/>
  <c r="HH11" i="4" s="1"/>
  <c r="GK57" i="4"/>
  <c r="L57" i="4"/>
  <c r="HH57" i="4" s="1"/>
  <c r="GK45" i="4"/>
  <c r="L45" i="4"/>
  <c r="HH45" i="4" s="1"/>
  <c r="GK10" i="4"/>
  <c r="L10" i="4"/>
  <c r="HH10" i="4" s="1"/>
  <c r="GK56" i="4"/>
  <c r="L56" i="4"/>
  <c r="HH56" i="4" s="1"/>
  <c r="GK32" i="4"/>
  <c r="L32" i="4"/>
  <c r="GK21" i="4"/>
  <c r="L21" i="4"/>
  <c r="GK55" i="4"/>
  <c r="L55" i="4"/>
  <c r="GK31" i="4"/>
  <c r="L31" i="4"/>
  <c r="HH31" i="4" s="1"/>
  <c r="GK8" i="4"/>
  <c r="L8" i="4"/>
  <c r="HH8" i="4" s="1"/>
  <c r="GK5" i="4"/>
  <c r="L5" i="4"/>
  <c r="HH5" i="4" s="1"/>
  <c r="GK22" i="4"/>
  <c r="L22" i="4"/>
  <c r="HH22" i="4" s="1"/>
  <c r="GK44" i="4"/>
  <c r="L44" i="4"/>
  <c r="HH44" i="4" s="1"/>
  <c r="GK9" i="4"/>
  <c r="L9" i="4"/>
  <c r="HH9" i="4" s="1"/>
  <c r="GK43" i="4"/>
  <c r="L43" i="4"/>
  <c r="HH43" i="4" s="1"/>
  <c r="GK20" i="4"/>
  <c r="L20" i="4"/>
  <c r="HH20" i="4" s="1"/>
  <c r="GK54" i="4"/>
  <c r="L54" i="4"/>
  <c r="HH54" i="4" s="1"/>
  <c r="GK42" i="4"/>
  <c r="L42" i="4"/>
  <c r="HH42" i="4" s="1"/>
  <c r="GK30" i="4"/>
  <c r="L30" i="4"/>
  <c r="HH30" i="4" s="1"/>
  <c r="GK19" i="4"/>
  <c r="L19" i="4"/>
  <c r="HH19" i="4" s="1"/>
  <c r="GK7" i="4"/>
  <c r="L7" i="4"/>
  <c r="HH7" i="4" s="1"/>
  <c r="GK53" i="4"/>
  <c r="L53" i="4"/>
  <c r="HH53" i="4" s="1"/>
  <c r="GK41" i="4"/>
  <c r="L41" i="4"/>
  <c r="GK6" i="4"/>
  <c r="L6" i="4"/>
  <c r="HH6" i="4" s="1"/>
  <c r="GK61" i="4"/>
  <c r="L61" i="4"/>
  <c r="HH61" i="4" s="1"/>
  <c r="GK16" i="4"/>
  <c r="L16" i="4"/>
  <c r="HH16" i="4" s="1"/>
  <c r="GK28" i="4"/>
  <c r="L28" i="4"/>
  <c r="HH28" i="4" s="1"/>
  <c r="GK50" i="4"/>
  <c r="L50" i="4"/>
  <c r="HH50" i="4" s="1"/>
  <c r="GK38" i="4"/>
  <c r="L38" i="4"/>
  <c r="HH38" i="4" s="1"/>
  <c r="GK27" i="4"/>
  <c r="L27" i="4"/>
  <c r="HH27" i="4" s="1"/>
  <c r="GK15" i="4"/>
  <c r="L15" i="4"/>
  <c r="HH15" i="4" s="1"/>
  <c r="GK60" i="4"/>
  <c r="L60" i="4"/>
  <c r="HH60" i="4" s="1"/>
  <c r="GK49" i="4"/>
  <c r="L49" i="4"/>
  <c r="HH49" i="4" s="1"/>
  <c r="GK37" i="4"/>
  <c r="L37" i="4"/>
  <c r="GK26" i="4"/>
  <c r="L26" i="4"/>
  <c r="HH26" i="4" s="1"/>
  <c r="GK14" i="4"/>
  <c r="L14" i="4"/>
  <c r="HH14" i="4" s="1"/>
  <c r="GK4" i="4"/>
  <c r="L4" i="4"/>
  <c r="HH4" i="4" s="1"/>
  <c r="GK13" i="4"/>
  <c r="L13" i="4"/>
  <c r="HH13" i="4" s="1"/>
  <c r="GK59" i="4"/>
  <c r="L59" i="4"/>
  <c r="HH59" i="4" s="1"/>
  <c r="GK47" i="4"/>
  <c r="L47" i="4"/>
  <c r="HH47" i="4" s="1"/>
  <c r="GK35" i="4"/>
  <c r="L35" i="4"/>
  <c r="HH35" i="4" s="1"/>
  <c r="GK24" i="4"/>
  <c r="L24" i="4"/>
  <c r="HH24" i="4" s="1"/>
  <c r="GK12" i="4"/>
  <c r="L12" i="4"/>
  <c r="HH12" i="4" s="1"/>
  <c r="EH263" i="4"/>
  <c r="GK40" i="4"/>
  <c r="L40" i="4"/>
  <c r="HH40" i="4" s="1"/>
  <c r="GK17" i="4"/>
  <c r="L17" i="4"/>
  <c r="HH17" i="4" s="1"/>
  <c r="EH151" i="4"/>
  <c r="EH72" i="4"/>
  <c r="EH136" i="4"/>
  <c r="EH158" i="4"/>
  <c r="GA304" i="4"/>
  <c r="FN304" i="4" s="1"/>
  <c r="GA290" i="4"/>
  <c r="FN290" i="4" s="1"/>
  <c r="GA338" i="4"/>
  <c r="GO338" i="4" s="1"/>
  <c r="GA446" i="4"/>
  <c r="HH446" i="4" s="1"/>
  <c r="GA395" i="4"/>
  <c r="EZ395" i="4" s="1"/>
  <c r="GA297" i="4"/>
  <c r="GO297" i="4" s="1"/>
  <c r="GA409" i="4"/>
  <c r="FN409" i="4" s="1"/>
  <c r="GA346" i="4"/>
  <c r="FN346" i="4" s="1"/>
  <c r="GA365" i="4"/>
  <c r="GA284" i="4"/>
  <c r="AB284" i="4" s="1"/>
  <c r="GA405" i="4"/>
  <c r="EH154" i="4"/>
  <c r="GA448" i="4"/>
  <c r="GA327" i="4"/>
  <c r="FN327" i="4" s="1"/>
  <c r="GA396" i="4"/>
  <c r="FN396" i="4" s="1"/>
  <c r="GA332" i="4"/>
  <c r="FN332" i="4" s="1"/>
  <c r="GA326" i="4"/>
  <c r="FN326" i="4" s="1"/>
  <c r="GA383" i="4"/>
  <c r="EN383" i="4" s="1"/>
  <c r="GA321" i="4"/>
  <c r="GM321" i="4" s="1"/>
  <c r="GA401" i="4"/>
  <c r="GA361" i="4"/>
  <c r="FN361" i="4" s="1"/>
  <c r="EH152" i="4"/>
  <c r="GA425" i="4"/>
  <c r="FN425" i="4" s="1"/>
  <c r="GA424" i="4"/>
  <c r="FN424" i="4" s="1"/>
  <c r="GA385" i="4"/>
  <c r="EZ385" i="4" s="1"/>
  <c r="GA443" i="4"/>
  <c r="GA374" i="4"/>
  <c r="FN374" i="4" s="1"/>
  <c r="GA384" i="4"/>
  <c r="ER384" i="4" s="1"/>
  <c r="ES384" i="4" s="1"/>
  <c r="GA313" i="4"/>
  <c r="FN313" i="4" s="1"/>
  <c r="GA373" i="4"/>
  <c r="GA431" i="4"/>
  <c r="GA381" i="4"/>
  <c r="GA324" i="4"/>
  <c r="GA350" i="4"/>
  <c r="GA391" i="4"/>
  <c r="GA390" i="4"/>
  <c r="EX390" i="4" s="1"/>
  <c r="GA406" i="4"/>
  <c r="EZ406" i="4" s="1"/>
  <c r="GA423" i="4"/>
  <c r="FN423" i="4" s="1"/>
  <c r="GA299" i="4"/>
  <c r="FN299" i="4" s="1"/>
  <c r="GA343" i="4"/>
  <c r="FN343" i="4" s="1"/>
  <c r="GA307" i="4"/>
  <c r="ER307" i="4" s="1"/>
  <c r="ES307" i="4" s="1"/>
  <c r="GA323" i="4"/>
  <c r="FN323" i="4" s="1"/>
  <c r="GA371" i="4"/>
  <c r="GA296" i="4"/>
  <c r="FN296" i="4" s="1"/>
  <c r="EH149" i="4"/>
  <c r="EH138" i="4"/>
  <c r="EH147" i="4"/>
  <c r="GA368" i="4"/>
  <c r="FN368" i="4" s="1"/>
  <c r="GA397" i="4"/>
  <c r="EZ397" i="4" s="1"/>
  <c r="GA442" i="4"/>
  <c r="GA427" i="4"/>
  <c r="FN427" i="4" s="1"/>
  <c r="GA287" i="4"/>
  <c r="GU287" i="4" s="1"/>
  <c r="GA436" i="4"/>
  <c r="GA336" i="4"/>
  <c r="GW336" i="4" s="1"/>
  <c r="GA444" i="4"/>
  <c r="GA372" i="4"/>
  <c r="FN372" i="4" s="1"/>
  <c r="GA285" i="4"/>
  <c r="GU285" i="4" s="1"/>
  <c r="GA394" i="4"/>
  <c r="EN394" i="4" s="1"/>
  <c r="GA353" i="4"/>
  <c r="FN353" i="4" s="1"/>
  <c r="GA445" i="4"/>
  <c r="HH445" i="4" s="1"/>
  <c r="GA303" i="4"/>
  <c r="FN303" i="4" s="1"/>
  <c r="GA274" i="4"/>
  <c r="BD274" i="4" s="1"/>
  <c r="GA328" i="4"/>
  <c r="GA356" i="4"/>
  <c r="GA277" i="4"/>
  <c r="GW277" i="4" s="1"/>
  <c r="GA367" i="4"/>
  <c r="GO367" i="4" s="1"/>
  <c r="GA422" i="4"/>
  <c r="HH422" i="4" s="1"/>
  <c r="GA311" i="4"/>
  <c r="FN311" i="4" s="1"/>
  <c r="GA413" i="4"/>
  <c r="FN413" i="4" s="1"/>
  <c r="GA316" i="4"/>
  <c r="FN316" i="4" s="1"/>
  <c r="GA370" i="4"/>
  <c r="EZ370" i="4" s="1"/>
  <c r="GA345" i="4"/>
  <c r="FN345" i="4" s="1"/>
  <c r="GA434" i="4"/>
  <c r="EH134" i="4"/>
  <c r="GK267" i="4"/>
  <c r="L267" i="4"/>
  <c r="L264" i="4"/>
  <c r="GK264" i="4"/>
  <c r="L271" i="4"/>
  <c r="GK271" i="4"/>
  <c r="L273" i="4"/>
  <c r="GK273" i="4"/>
  <c r="HG273" i="4" s="1"/>
  <c r="HD273" i="4" s="1"/>
  <c r="L270" i="4"/>
  <c r="GK270" i="4"/>
  <c r="L272" i="4"/>
  <c r="GK272" i="4"/>
  <c r="L269" i="4"/>
  <c r="GK269" i="4"/>
  <c r="L266" i="4"/>
  <c r="GK266" i="4"/>
  <c r="L265" i="4"/>
  <c r="GK265" i="4"/>
  <c r="L268" i="4"/>
  <c r="GK268" i="4"/>
  <c r="GA268" i="4"/>
  <c r="GU268" i="4" s="1"/>
  <c r="L246" i="4"/>
  <c r="GL246" i="4"/>
  <c r="L235" i="4"/>
  <c r="GL235" i="4"/>
  <c r="L229" i="4"/>
  <c r="GL229" i="4"/>
  <c r="L222" i="4"/>
  <c r="GL222" i="4"/>
  <c r="GL199" i="4"/>
  <c r="L199" i="4"/>
  <c r="GL180" i="4"/>
  <c r="L180" i="4"/>
  <c r="GL192" i="4"/>
  <c r="L192" i="4"/>
  <c r="GL187" i="4"/>
  <c r="L187" i="4"/>
  <c r="GL89" i="4"/>
  <c r="HG89" i="4" s="1"/>
  <c r="HD89" i="4" s="1"/>
  <c r="L89" i="4"/>
  <c r="GL81" i="4"/>
  <c r="HG81" i="4" s="1"/>
  <c r="HD81" i="4" s="1"/>
  <c r="L81" i="4"/>
  <c r="L257" i="4"/>
  <c r="GL257" i="4"/>
  <c r="GL218" i="4"/>
  <c r="L218" i="4"/>
  <c r="GL198" i="4"/>
  <c r="L198" i="4"/>
  <c r="GL88" i="4"/>
  <c r="HG88" i="4" s="1"/>
  <c r="HD88" i="4" s="1"/>
  <c r="L88" i="4"/>
  <c r="L258" i="4"/>
  <c r="GL258" i="4"/>
  <c r="L238" i="4"/>
  <c r="GL238" i="4"/>
  <c r="GL200" i="4"/>
  <c r="L200" i="4"/>
  <c r="GL172" i="4"/>
  <c r="L172" i="4"/>
  <c r="GL98" i="4"/>
  <c r="L98" i="4"/>
  <c r="GL82" i="4"/>
  <c r="HG82" i="4" s="1"/>
  <c r="HD82" i="4" s="1"/>
  <c r="L82" i="4"/>
  <c r="L221" i="4"/>
  <c r="GL221" i="4"/>
  <c r="L253" i="4"/>
  <c r="GL253" i="4"/>
  <c r="GL217" i="4"/>
  <c r="L217" i="4"/>
  <c r="GL186" i="4"/>
  <c r="L186" i="4"/>
  <c r="GL171" i="4"/>
  <c r="L171" i="4"/>
  <c r="L252" i="4"/>
  <c r="GL252" i="4"/>
  <c r="L227" i="4"/>
  <c r="GL227" i="4"/>
  <c r="GL209" i="4"/>
  <c r="L209" i="4"/>
  <c r="GL185" i="4"/>
  <c r="L185" i="4"/>
  <c r="GL178" i="4"/>
  <c r="L178" i="4"/>
  <c r="GL191" i="4"/>
  <c r="L191" i="4"/>
  <c r="GL164" i="4"/>
  <c r="L164" i="4"/>
  <c r="GL87" i="4"/>
  <c r="HG87" i="4" s="1"/>
  <c r="HD87" i="4" s="1"/>
  <c r="L87" i="4"/>
  <c r="GL77" i="4"/>
  <c r="L77" i="4"/>
  <c r="GL166" i="4"/>
  <c r="L166" i="4"/>
  <c r="L228" i="4"/>
  <c r="GL228" i="4"/>
  <c r="GL179" i="4"/>
  <c r="L179" i="4"/>
  <c r="L245" i="4"/>
  <c r="GL245" i="4"/>
  <c r="GL214" i="4"/>
  <c r="L214" i="4"/>
  <c r="GL210" i="4"/>
  <c r="L210" i="4"/>
  <c r="GL195" i="4"/>
  <c r="L195" i="4"/>
  <c r="GL165" i="4"/>
  <c r="L165" i="4"/>
  <c r="GL80" i="4"/>
  <c r="HG80" i="4" s="1"/>
  <c r="HD80" i="4" s="1"/>
  <c r="L80" i="4"/>
  <c r="GL216" i="4"/>
  <c r="L216" i="4"/>
  <c r="L256" i="4"/>
  <c r="GL256" i="4"/>
  <c r="GL215" i="4"/>
  <c r="L215" i="4"/>
  <c r="GL213" i="4"/>
  <c r="L213" i="4"/>
  <c r="L220" i="4"/>
  <c r="GL220" i="4"/>
  <c r="GL197" i="4"/>
  <c r="L197" i="4"/>
  <c r="GL177" i="4"/>
  <c r="L177" i="4"/>
  <c r="GL170" i="4"/>
  <c r="L170" i="4"/>
  <c r="GL161" i="4"/>
  <c r="L161" i="4"/>
  <c r="GL86" i="4"/>
  <c r="HG86" i="4" s="1"/>
  <c r="HD86" i="4" s="1"/>
  <c r="L86" i="4"/>
  <c r="GL76" i="4"/>
  <c r="HG76" i="4" s="1"/>
  <c r="HD76" i="4" s="1"/>
  <c r="L76" i="4"/>
  <c r="GL211" i="4"/>
  <c r="L211" i="4"/>
  <c r="L261" i="4"/>
  <c r="GL261" i="4"/>
  <c r="GL183" i="4"/>
  <c r="L183" i="4"/>
  <c r="GL160" i="4"/>
  <c r="L160" i="4"/>
  <c r="GL104" i="4"/>
  <c r="L104" i="4"/>
  <c r="GL85" i="4"/>
  <c r="HG85" i="4" s="1"/>
  <c r="HD85" i="4" s="1"/>
  <c r="L85" i="4"/>
  <c r="GL79" i="4"/>
  <c r="L79" i="4"/>
  <c r="GL75" i="4"/>
  <c r="HG75" i="4" s="1"/>
  <c r="HD75" i="4" s="1"/>
  <c r="L75" i="4"/>
  <c r="L234" i="4"/>
  <c r="GL234" i="4"/>
  <c r="GL208" i="4"/>
  <c r="L208" i="4"/>
  <c r="GL176" i="4"/>
  <c r="L176" i="4"/>
  <c r="GL105" i="4"/>
  <c r="L105" i="4"/>
  <c r="L255" i="4"/>
  <c r="GL255" i="4"/>
  <c r="L251" i="4"/>
  <c r="GL251" i="4"/>
  <c r="L243" i="4"/>
  <c r="GL243" i="4"/>
  <c r="L226" i="4"/>
  <c r="GL226" i="4"/>
  <c r="GL207" i="4"/>
  <c r="L207" i="4"/>
  <c r="GL169" i="4"/>
  <c r="L169" i="4"/>
  <c r="L250" i="4"/>
  <c r="GL250" i="4"/>
  <c r="L242" i="4"/>
  <c r="GL242" i="4"/>
  <c r="L233" i="4"/>
  <c r="GL233" i="4"/>
  <c r="L225" i="4"/>
  <c r="GL225" i="4"/>
  <c r="GL206" i="4"/>
  <c r="L206" i="4"/>
  <c r="GL196" i="4"/>
  <c r="L196" i="4"/>
  <c r="GL175" i="4"/>
  <c r="L175" i="4"/>
  <c r="GL168" i="4"/>
  <c r="L168" i="4"/>
  <c r="GL163" i="4"/>
  <c r="L163" i="4"/>
  <c r="GL102" i="4"/>
  <c r="L102" i="4"/>
  <c r="GL84" i="4"/>
  <c r="HG84" i="4" s="1"/>
  <c r="HD84" i="4" s="1"/>
  <c r="L84" i="4"/>
  <c r="GL78" i="4"/>
  <c r="L78" i="4"/>
  <c r="L247" i="4"/>
  <c r="GL247" i="4"/>
  <c r="GL181" i="4"/>
  <c r="L181" i="4"/>
  <c r="GL190" i="4"/>
  <c r="L190" i="4"/>
  <c r="GL101" i="4"/>
  <c r="L101" i="4"/>
  <c r="L262" i="4"/>
  <c r="GL262" i="4"/>
  <c r="L244" i="4"/>
  <c r="GL244" i="4"/>
  <c r="GL184" i="4"/>
  <c r="L184" i="4"/>
  <c r="L260" i="4"/>
  <c r="GL260" i="4"/>
  <c r="L254" i="4"/>
  <c r="GL254" i="4"/>
  <c r="L249" i="4"/>
  <c r="GL249" i="4"/>
  <c r="L241" i="4"/>
  <c r="GL241" i="4"/>
  <c r="L232" i="4"/>
  <c r="GL232" i="4"/>
  <c r="L224" i="4"/>
  <c r="GL224" i="4"/>
  <c r="L219" i="4"/>
  <c r="GL219" i="4"/>
  <c r="GL193" i="4"/>
  <c r="L193" i="4"/>
  <c r="GL189" i="4"/>
  <c r="L189" i="4"/>
  <c r="GL162" i="4"/>
  <c r="L162" i="4"/>
  <c r="L240" i="4"/>
  <c r="GL240" i="4"/>
  <c r="L231" i="4"/>
  <c r="GL231" i="4"/>
  <c r="GL212" i="4"/>
  <c r="L212" i="4"/>
  <c r="GL205" i="4"/>
  <c r="L205" i="4"/>
  <c r="GL182" i="4"/>
  <c r="L182" i="4"/>
  <c r="GL174" i="4"/>
  <c r="L174" i="4"/>
  <c r="GL167" i="4"/>
  <c r="L167" i="4"/>
  <c r="GL100" i="4"/>
  <c r="L100" i="4"/>
  <c r="L259" i="4"/>
  <c r="GL259" i="4"/>
  <c r="L248" i="4"/>
  <c r="GL248" i="4"/>
  <c r="L239" i="4"/>
  <c r="GL239" i="4"/>
  <c r="L230" i="4"/>
  <c r="GL230" i="4"/>
  <c r="L223" i="4"/>
  <c r="GL223" i="4"/>
  <c r="GL201" i="4"/>
  <c r="L201" i="4"/>
  <c r="GL173" i="4"/>
  <c r="L173" i="4"/>
  <c r="GL188" i="4"/>
  <c r="L188" i="4"/>
  <c r="GL99" i="4"/>
  <c r="L99" i="4"/>
  <c r="GL83" i="4"/>
  <c r="HG83" i="4" s="1"/>
  <c r="HD83" i="4" s="1"/>
  <c r="L83" i="4"/>
  <c r="E312" i="5"/>
  <c r="V8" i="13"/>
  <c r="D312" i="5"/>
  <c r="U8" i="13"/>
  <c r="R4" i="13"/>
  <c r="B312" i="5"/>
  <c r="C8" i="13"/>
  <c r="C312" i="5"/>
  <c r="D8" i="13"/>
  <c r="I8" i="13"/>
  <c r="GK255" i="4"/>
  <c r="GK243" i="4"/>
  <c r="GK234" i="4"/>
  <c r="GK242" i="4"/>
  <c r="GK260" i="4"/>
  <c r="GK254" i="4"/>
  <c r="GK249" i="4"/>
  <c r="GK241" i="4"/>
  <c r="GK233" i="4"/>
  <c r="GK225" i="4"/>
  <c r="GK219" i="4"/>
  <c r="GK259" i="4"/>
  <c r="GK248" i="4"/>
  <c r="GK239" i="4"/>
  <c r="GK231" i="4"/>
  <c r="GK258" i="4"/>
  <c r="GK247" i="4"/>
  <c r="GK238" i="4"/>
  <c r="GK230" i="4"/>
  <c r="GK223" i="4"/>
  <c r="GK232" i="4"/>
  <c r="HG232" i="4" s="1"/>
  <c r="HD232" i="4" s="1"/>
  <c r="GK257" i="4"/>
  <c r="GK246" i="4"/>
  <c r="GK235" i="4"/>
  <c r="GK229" i="4"/>
  <c r="GK222" i="4"/>
  <c r="GK240" i="4"/>
  <c r="GK253" i="4"/>
  <c r="GK224" i="4"/>
  <c r="GK245" i="4"/>
  <c r="GK252" i="4"/>
  <c r="GK262" i="4"/>
  <c r="GK244" i="4"/>
  <c r="GK220" i="4"/>
  <c r="GK221" i="4"/>
  <c r="GK256" i="4"/>
  <c r="GK228" i="4"/>
  <c r="GK227" i="4"/>
  <c r="GK261" i="4"/>
  <c r="GK250" i="4"/>
  <c r="GK226" i="4"/>
  <c r="GK251" i="4"/>
  <c r="HG251" i="4" s="1"/>
  <c r="HD251" i="4" s="1"/>
  <c r="AE6" i="13"/>
  <c r="E292" i="5"/>
  <c r="V6" i="13"/>
  <c r="D292" i="5"/>
  <c r="U6" i="13"/>
  <c r="AA16" i="13"/>
  <c r="C272" i="5"/>
  <c r="D16" i="13"/>
  <c r="AE16" i="13"/>
  <c r="AA6" i="13"/>
  <c r="B272" i="5"/>
  <c r="C16" i="13"/>
  <c r="E272" i="5"/>
  <c r="V16" i="13"/>
  <c r="C292" i="5"/>
  <c r="D6" i="13"/>
  <c r="D272" i="5"/>
  <c r="U16" i="13"/>
  <c r="B292" i="5"/>
  <c r="C6" i="13"/>
  <c r="AA11" i="13"/>
  <c r="E252" i="5"/>
  <c r="V11" i="13"/>
  <c r="D252" i="5"/>
  <c r="U11" i="13"/>
  <c r="C252" i="5"/>
  <c r="D11" i="13"/>
  <c r="B252" i="5"/>
  <c r="C11" i="13"/>
  <c r="I11" i="13"/>
  <c r="C52" i="5"/>
  <c r="D9" i="13"/>
  <c r="D72" i="5"/>
  <c r="U10" i="13"/>
  <c r="D172" i="5"/>
  <c r="U17" i="13"/>
  <c r="E112" i="5"/>
  <c r="V13" i="13"/>
  <c r="C212" i="5"/>
  <c r="D7" i="13"/>
  <c r="B72" i="5"/>
  <c r="C10" i="13"/>
  <c r="E132" i="5"/>
  <c r="V14" i="13"/>
  <c r="B132" i="5"/>
  <c r="C14" i="13"/>
  <c r="D132" i="5"/>
  <c r="U14" i="13"/>
  <c r="E232" i="5"/>
  <c r="V15" i="13"/>
  <c r="E172" i="5"/>
  <c r="V17" i="13"/>
  <c r="D232" i="5"/>
  <c r="U15" i="13"/>
  <c r="B232" i="5"/>
  <c r="C15" i="13"/>
  <c r="E92" i="5"/>
  <c r="V19" i="13"/>
  <c r="E192" i="5"/>
  <c r="V18" i="13"/>
  <c r="B212" i="5"/>
  <c r="C7" i="13"/>
  <c r="D52" i="5"/>
  <c r="U9" i="13"/>
  <c r="D92" i="5"/>
  <c r="U19" i="13"/>
  <c r="D192" i="5"/>
  <c r="U18" i="13"/>
  <c r="C132" i="5"/>
  <c r="D14" i="13"/>
  <c r="C232" i="5"/>
  <c r="D15" i="13"/>
  <c r="B92" i="5"/>
  <c r="C19" i="13"/>
  <c r="C152" i="5"/>
  <c r="D20" i="13"/>
  <c r="B172" i="5"/>
  <c r="C17" i="13"/>
  <c r="B52" i="5"/>
  <c r="C9" i="13"/>
  <c r="E152" i="5"/>
  <c r="V20" i="13"/>
  <c r="B152" i="5"/>
  <c r="C20" i="13"/>
  <c r="C112" i="5"/>
  <c r="D13" i="13"/>
  <c r="E72" i="5"/>
  <c r="V10" i="13"/>
  <c r="E52" i="5"/>
  <c r="V9" i="13"/>
  <c r="D152" i="5"/>
  <c r="U20" i="13"/>
  <c r="B112" i="5"/>
  <c r="C13" i="13"/>
  <c r="C72" i="5"/>
  <c r="D10" i="13"/>
  <c r="C192" i="5"/>
  <c r="D18" i="13"/>
  <c r="C172" i="5"/>
  <c r="D17" i="13"/>
  <c r="D212" i="5"/>
  <c r="U7" i="13"/>
  <c r="B192" i="5"/>
  <c r="C18" i="13"/>
  <c r="D112" i="5"/>
  <c r="U13" i="13"/>
  <c r="E212" i="5"/>
  <c r="V7" i="13"/>
  <c r="C92" i="5"/>
  <c r="D19" i="13"/>
  <c r="E32" i="5"/>
  <c r="D32" i="5"/>
  <c r="U5" i="13"/>
  <c r="B32" i="5"/>
  <c r="C5" i="13"/>
  <c r="C32" i="5"/>
  <c r="D5" i="13"/>
  <c r="GK210" i="4"/>
  <c r="GK199" i="4"/>
  <c r="GK192" i="4"/>
  <c r="GK187" i="4"/>
  <c r="GK218" i="4"/>
  <c r="GK198" i="4"/>
  <c r="GK214" i="4"/>
  <c r="GK217" i="4"/>
  <c r="GK195" i="4"/>
  <c r="GK209" i="4"/>
  <c r="GK216" i="4"/>
  <c r="GK207" i="4"/>
  <c r="GK206" i="4"/>
  <c r="GK196" i="4"/>
  <c r="GK191" i="4"/>
  <c r="GK213" i="4"/>
  <c r="GK208" i="4"/>
  <c r="GK189" i="4"/>
  <c r="GK215" i="4"/>
  <c r="GK190" i="4"/>
  <c r="GK193" i="4"/>
  <c r="GK212" i="4"/>
  <c r="GK205" i="4"/>
  <c r="GK197" i="4"/>
  <c r="GK188" i="4"/>
  <c r="GK211" i="4"/>
  <c r="GK200" i="4"/>
  <c r="GK201" i="4"/>
  <c r="GK185" i="4"/>
  <c r="GK165" i="4"/>
  <c r="GK179" i="4"/>
  <c r="GK186" i="4"/>
  <c r="GK177" i="4"/>
  <c r="GK164" i="4"/>
  <c r="GK184" i="4"/>
  <c r="GK176" i="4"/>
  <c r="GK170" i="4"/>
  <c r="GK175" i="4"/>
  <c r="GK169" i="4"/>
  <c r="GK178" i="4"/>
  <c r="GK168" i="4"/>
  <c r="GK163" i="4"/>
  <c r="GK183" i="4"/>
  <c r="GK182" i="4"/>
  <c r="GK167" i="4"/>
  <c r="GK174" i="4"/>
  <c r="GK162" i="4"/>
  <c r="GK171" i="4"/>
  <c r="GK181" i="4"/>
  <c r="GK173" i="4"/>
  <c r="GK180" i="4"/>
  <c r="GK172" i="4"/>
  <c r="GK166" i="4"/>
  <c r="GL142" i="4"/>
  <c r="GK142" i="4"/>
  <c r="HG142" i="4" s="1"/>
  <c r="HD142" i="4" s="1"/>
  <c r="GL133" i="4"/>
  <c r="GK133" i="4"/>
  <c r="HG133" i="4" s="1"/>
  <c r="HD133" i="4" s="1"/>
  <c r="GK148" i="4"/>
  <c r="HG148" i="4" s="1"/>
  <c r="HD148" i="4" s="1"/>
  <c r="GL148" i="4"/>
  <c r="GL138" i="4"/>
  <c r="GK138" i="4"/>
  <c r="HG138" i="4" s="1"/>
  <c r="HD138" i="4" s="1"/>
  <c r="GK147" i="4"/>
  <c r="HG147" i="4" s="1"/>
  <c r="HD147" i="4" s="1"/>
  <c r="GL147" i="4"/>
  <c r="GL137" i="4"/>
  <c r="GK137" i="4"/>
  <c r="HG137" i="4" s="1"/>
  <c r="HD137" i="4" s="1"/>
  <c r="GK161" i="4"/>
  <c r="GL157" i="4"/>
  <c r="GK157" i="4"/>
  <c r="HG157" i="4" s="1"/>
  <c r="HD157" i="4" s="1"/>
  <c r="GK143" i="4"/>
  <c r="HG143" i="4" s="1"/>
  <c r="HD143" i="4" s="1"/>
  <c r="GL143" i="4"/>
  <c r="GK134" i="4"/>
  <c r="HG134" i="4" s="1"/>
  <c r="HD134" i="4" s="1"/>
  <c r="GL134" i="4"/>
  <c r="GL90" i="4"/>
  <c r="GK90" i="4"/>
  <c r="HG90" i="4" s="1"/>
  <c r="HD90" i="4" s="1"/>
  <c r="GL155" i="4"/>
  <c r="GK155" i="4"/>
  <c r="HG155" i="4" s="1"/>
  <c r="HD155" i="4" s="1"/>
  <c r="GL128" i="4"/>
  <c r="GK128" i="4"/>
  <c r="HG128" i="4" s="1"/>
  <c r="HD128" i="4" s="1"/>
  <c r="GL146" i="4"/>
  <c r="GK146" i="4"/>
  <c r="HG146" i="4" s="1"/>
  <c r="HD146" i="4" s="1"/>
  <c r="GL93" i="4"/>
  <c r="GK93" i="4"/>
  <c r="HG93" i="4" s="1"/>
  <c r="HD93" i="4" s="1"/>
  <c r="GL135" i="4"/>
  <c r="GK135" i="4"/>
  <c r="HG135" i="4" s="1"/>
  <c r="HD135" i="4" s="1"/>
  <c r="GL154" i="4"/>
  <c r="GK154" i="4"/>
  <c r="HG154" i="4" s="1"/>
  <c r="HD154" i="4" s="1"/>
  <c r="GL127" i="4"/>
  <c r="GK127" i="4"/>
  <c r="HG127" i="4" s="1"/>
  <c r="HD127" i="4" s="1"/>
  <c r="GK158" i="4"/>
  <c r="HG158" i="4" s="1"/>
  <c r="HD158" i="4" s="1"/>
  <c r="GL158" i="4"/>
  <c r="GL156" i="4"/>
  <c r="GK156" i="4"/>
  <c r="HG156" i="4" s="1"/>
  <c r="HD156" i="4" s="1"/>
  <c r="GK129" i="4"/>
  <c r="HG129" i="4" s="1"/>
  <c r="HD129" i="4" s="1"/>
  <c r="GL129" i="4"/>
  <c r="GK160" i="4"/>
  <c r="GL96" i="4"/>
  <c r="GK96" i="4"/>
  <c r="HG96" i="4" s="1"/>
  <c r="HD96" i="4" s="1"/>
  <c r="GL152" i="4"/>
  <c r="GK152" i="4"/>
  <c r="HG152" i="4" s="1"/>
  <c r="HD152" i="4" s="1"/>
  <c r="GL141" i="4"/>
  <c r="GK141" i="4"/>
  <c r="HG141" i="4" s="1"/>
  <c r="HD141" i="4" s="1"/>
  <c r="GL151" i="4"/>
  <c r="GK151" i="4"/>
  <c r="HG151" i="4" s="1"/>
  <c r="HD151" i="4" s="1"/>
  <c r="GL95" i="4"/>
  <c r="GK95" i="4"/>
  <c r="HG95" i="4" s="1"/>
  <c r="HD95" i="4" s="1"/>
  <c r="GL150" i="4"/>
  <c r="GK150" i="4"/>
  <c r="HG150" i="4" s="1"/>
  <c r="HD150" i="4" s="1"/>
  <c r="GL140" i="4"/>
  <c r="GK140" i="4"/>
  <c r="HG140" i="4" s="1"/>
  <c r="HD140" i="4" s="1"/>
  <c r="GL94" i="4"/>
  <c r="GK94" i="4"/>
  <c r="HG94" i="4" s="1"/>
  <c r="HD94" i="4" s="1"/>
  <c r="GL159" i="4"/>
  <c r="GK159" i="4"/>
  <c r="HG159" i="4" s="1"/>
  <c r="HD159" i="4" s="1"/>
  <c r="GL136" i="4"/>
  <c r="GK136" i="4"/>
  <c r="HG136" i="4" s="1"/>
  <c r="HD136" i="4" s="1"/>
  <c r="GL149" i="4"/>
  <c r="GK149" i="4"/>
  <c r="HG149" i="4" s="1"/>
  <c r="HD149" i="4" s="1"/>
  <c r="GL139" i="4"/>
  <c r="GK139" i="4"/>
  <c r="HG139" i="4" s="1"/>
  <c r="HD139" i="4" s="1"/>
  <c r="GK108" i="4"/>
  <c r="GK119" i="4"/>
  <c r="GK107" i="4"/>
  <c r="GK105" i="4"/>
  <c r="GK117" i="4"/>
  <c r="GK104" i="4"/>
  <c r="GK102" i="4"/>
  <c r="GK125" i="4"/>
  <c r="GK101" i="4"/>
  <c r="GK124" i="4"/>
  <c r="GK123" i="4"/>
  <c r="GK114" i="4"/>
  <c r="GK100" i="4"/>
  <c r="GK118" i="4"/>
  <c r="GK112" i="4"/>
  <c r="GK99" i="4"/>
  <c r="GK122" i="4"/>
  <c r="GK111" i="4"/>
  <c r="GK98" i="4"/>
  <c r="GK120" i="4"/>
  <c r="GK110" i="4"/>
  <c r="GK109" i="4"/>
  <c r="GK80" i="4"/>
  <c r="GK87" i="4"/>
  <c r="GK77" i="4"/>
  <c r="GK86" i="4"/>
  <c r="GK76" i="4"/>
  <c r="GK79" i="4"/>
  <c r="GK84" i="4"/>
  <c r="GK78" i="4"/>
  <c r="GK85" i="4"/>
  <c r="GK75" i="4"/>
  <c r="GK83" i="4"/>
  <c r="GL62" i="4"/>
  <c r="GK82" i="4"/>
  <c r="GK89" i="4"/>
  <c r="GK81" i="4"/>
  <c r="GK88" i="4"/>
  <c r="GL73" i="4"/>
  <c r="GK73" i="4"/>
  <c r="GL64" i="4"/>
  <c r="GK64" i="4"/>
  <c r="GL29" i="4"/>
  <c r="GK29" i="4"/>
  <c r="GL18" i="4"/>
  <c r="GK18" i="4"/>
  <c r="GL72" i="4"/>
  <c r="GK72" i="4"/>
  <c r="GL63" i="4"/>
  <c r="GK63" i="4"/>
  <c r="GL71" i="4"/>
  <c r="GK71" i="4"/>
  <c r="GL36" i="4"/>
  <c r="GK36" i="4"/>
  <c r="GL67" i="4"/>
  <c r="GK67" i="4"/>
  <c r="GL39" i="4"/>
  <c r="GK39" i="4"/>
  <c r="GL65" i="4"/>
  <c r="GK65" i="4"/>
  <c r="GL74" i="4"/>
  <c r="GK74" i="4"/>
  <c r="GL33" i="4"/>
  <c r="GK33" i="4"/>
  <c r="GL51" i="4"/>
  <c r="GK51" i="4"/>
  <c r="GL68" i="4"/>
  <c r="GK68" i="4"/>
  <c r="GL48" i="4"/>
  <c r="GK48" i="4"/>
  <c r="GL66" i="4"/>
  <c r="GK66" i="4"/>
  <c r="GL70" i="4"/>
  <c r="GK70" i="4"/>
  <c r="GL69" i="4"/>
  <c r="GK69" i="4"/>
  <c r="GL25" i="4"/>
  <c r="GK25" i="4"/>
  <c r="GL40" i="4"/>
  <c r="GL17" i="4"/>
  <c r="GL61" i="4"/>
  <c r="GL16" i="4"/>
  <c r="GK62" i="4"/>
  <c r="HG62" i="4" s="1"/>
  <c r="M62" i="4" s="1"/>
  <c r="GL60" i="4"/>
  <c r="GL49" i="4"/>
  <c r="GL37" i="4"/>
  <c r="GL26" i="4"/>
  <c r="GL14" i="4"/>
  <c r="GL54" i="4"/>
  <c r="GL42" i="4"/>
  <c r="GL30" i="4"/>
  <c r="GL19" i="4"/>
  <c r="GL7" i="4"/>
  <c r="GL53" i="4"/>
  <c r="GL41" i="4"/>
  <c r="GL6" i="4"/>
  <c r="GL52" i="4"/>
  <c r="GL28" i="4"/>
  <c r="GL5" i="4"/>
  <c r="GL12" i="4"/>
  <c r="GL15" i="4"/>
  <c r="GL59" i="4"/>
  <c r="GL35" i="4"/>
  <c r="GL24" i="4"/>
  <c r="GL46" i="4"/>
  <c r="GL34" i="4"/>
  <c r="GL23" i="4"/>
  <c r="GL11" i="4"/>
  <c r="GL4" i="4"/>
  <c r="GL57" i="4"/>
  <c r="GL45" i="4"/>
  <c r="GL22" i="4"/>
  <c r="GL10" i="4"/>
  <c r="GL50" i="4"/>
  <c r="GL38" i="4"/>
  <c r="GL27" i="4"/>
  <c r="GL47" i="4"/>
  <c r="GL56" i="4"/>
  <c r="GL44" i="4"/>
  <c r="GL32" i="4"/>
  <c r="GL21" i="4"/>
  <c r="GL9" i="4"/>
  <c r="GL13" i="4"/>
  <c r="GL58" i="4"/>
  <c r="GL55" i="4"/>
  <c r="GL43" i="4"/>
  <c r="GL31" i="4"/>
  <c r="GL20" i="4"/>
  <c r="GL8" i="4"/>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G91" i="4"/>
  <c r="G36" i="4"/>
  <c r="G306" i="4"/>
  <c r="G314" i="4"/>
  <c r="G95" i="4"/>
  <c r="G382" i="4"/>
  <c r="G315" i="4"/>
  <c r="G84" i="4"/>
  <c r="G246" i="4"/>
  <c r="G52" i="4"/>
  <c r="G152" i="4"/>
  <c r="G247" i="4"/>
  <c r="G163" i="4"/>
  <c r="G211" i="4"/>
  <c r="G154" i="4"/>
  <c r="G367" i="4"/>
  <c r="G401" i="4"/>
  <c r="G172" i="4"/>
  <c r="G22" i="4"/>
  <c r="G118" i="4"/>
  <c r="G409" i="4"/>
  <c r="G445" i="4"/>
  <c r="G71" i="4"/>
  <c r="G174" i="4"/>
  <c r="G356" i="4"/>
  <c r="G193" i="4"/>
  <c r="G194" i="4"/>
  <c r="G47" i="4"/>
  <c r="G369" i="4"/>
  <c r="G224" i="4"/>
  <c r="G327" i="4"/>
  <c r="G5" i="4"/>
  <c r="G377" i="4"/>
  <c r="G89" i="4"/>
  <c r="G348" i="4"/>
  <c r="G317" i="4"/>
  <c r="G299" i="4"/>
  <c r="G249" i="4"/>
  <c r="G337" i="4"/>
  <c r="G98" i="4"/>
  <c r="G278" i="4"/>
  <c r="G137" i="4"/>
  <c r="G18" i="4"/>
  <c r="G442" i="4"/>
  <c r="G396" i="4"/>
  <c r="G62" i="4"/>
  <c r="G138" i="4"/>
  <c r="G301" i="4"/>
  <c r="G160" i="4"/>
  <c r="G446" i="4"/>
  <c r="G252" i="4"/>
  <c r="G176" i="4"/>
  <c r="G34" i="4"/>
  <c r="G120" i="4"/>
  <c r="G253" i="4"/>
  <c r="G318" i="4"/>
  <c r="G386" i="4"/>
  <c r="G121" i="4"/>
  <c r="G342" i="4"/>
  <c r="G23" i="4"/>
  <c r="G424" i="4"/>
  <c r="G43" i="4"/>
  <c r="G155" i="4"/>
  <c r="G329" i="4"/>
  <c r="G124" i="4"/>
  <c r="G227" i="4"/>
  <c r="G24" i="4"/>
  <c r="G391" i="4"/>
  <c r="G308" i="4"/>
  <c r="G181" i="4"/>
  <c r="G64" i="4"/>
  <c r="G269" i="4"/>
  <c r="G303" i="4"/>
  <c r="G161" i="4"/>
  <c r="G398" i="4"/>
  <c r="G304" i="4"/>
  <c r="G229" i="4"/>
  <c r="G164" i="4"/>
  <c r="G54" i="4"/>
  <c r="G357" i="4"/>
  <c r="G255" i="4"/>
  <c r="G374" i="4"/>
  <c r="G256" i="4"/>
  <c r="G276" i="4"/>
  <c r="G271" i="4"/>
  <c r="G346" i="4"/>
  <c r="G197" i="4"/>
  <c r="G353" i="4"/>
  <c r="G233" i="4"/>
  <c r="G289" i="4"/>
  <c r="G165" i="4"/>
  <c r="G128" i="4"/>
  <c r="G142" i="4"/>
  <c r="G186" i="4"/>
  <c r="G79" i="4"/>
  <c r="G277" i="4"/>
  <c r="G448" i="4"/>
  <c r="G365" i="4"/>
  <c r="G387" i="4"/>
  <c r="G413" i="4"/>
  <c r="G309" i="4"/>
  <c r="G102" i="4"/>
  <c r="G198" i="4"/>
  <c r="G310" i="4"/>
  <c r="G339" i="4"/>
  <c r="G389" i="4"/>
  <c r="G399" i="4"/>
  <c r="G159" i="4"/>
  <c r="G260" i="4"/>
  <c r="G371" i="4"/>
  <c r="G199" i="4"/>
  <c r="G375" i="4"/>
  <c r="G74" i="4"/>
  <c r="G201" i="4"/>
  <c r="G408" i="4"/>
  <c r="G284" i="4"/>
  <c r="G12" i="4"/>
  <c r="G131" i="4"/>
  <c r="G90" i="4"/>
  <c r="G187" i="4"/>
  <c r="G263" i="4"/>
  <c r="G92" i="4"/>
  <c r="G422" i="4"/>
  <c r="G354" i="4"/>
  <c r="G7" i="4"/>
  <c r="G132" i="4"/>
  <c r="G13" i="4"/>
  <c r="G146" i="4"/>
  <c r="G427" i="4"/>
  <c r="G104" i="4"/>
  <c r="G423" i="4"/>
  <c r="G368" i="4"/>
  <c r="G32" i="4"/>
  <c r="G37" i="4"/>
  <c r="G14" i="4"/>
  <c r="G147" i="4"/>
  <c r="G148" i="4"/>
  <c r="G80" i="4"/>
  <c r="G280" i="4"/>
  <c r="G166" i="4"/>
  <c r="G8" i="4"/>
  <c r="G105" i="4"/>
  <c r="G188" i="4"/>
  <c r="G431" i="4"/>
  <c r="G239" i="4"/>
  <c r="G15" i="4"/>
  <c r="G274" i="4"/>
  <c r="G205" i="4"/>
  <c r="G240" i="4"/>
  <c r="G58" i="4"/>
  <c r="G38" i="4"/>
  <c r="G93" i="4"/>
  <c r="G106" i="4"/>
  <c r="G55" i="4"/>
  <c r="G9" i="4"/>
  <c r="G107" i="4"/>
  <c r="G372" i="4"/>
  <c r="G56" i="4"/>
  <c r="G59" i="4"/>
  <c r="G219" i="4"/>
  <c r="G81" i="4"/>
  <c r="G61" i="4"/>
  <c r="G108" i="4"/>
  <c r="G10" i="4"/>
  <c r="G281" i="4"/>
  <c r="G189" i="4"/>
  <c r="G82" i="4"/>
  <c r="G378" i="4"/>
  <c r="G241" i="4"/>
  <c r="G27" i="4"/>
  <c r="G75" i="4"/>
  <c r="G206" i="4"/>
  <c r="G149" i="4"/>
  <c r="G50" i="4"/>
  <c r="G168" i="4"/>
  <c r="G325" i="4"/>
  <c r="G169" i="4"/>
  <c r="G379" i="4"/>
  <c r="G207" i="4"/>
  <c r="G242" i="4"/>
  <c r="G11" i="4"/>
  <c r="G332" i="4"/>
  <c r="G66" i="4"/>
  <c r="G208" i="4"/>
  <c r="G83" i="4"/>
  <c r="G243" i="4"/>
  <c r="G76" i="4"/>
  <c r="G109" i="4"/>
  <c r="G77" i="4"/>
  <c r="G290" i="4"/>
  <c r="G67" i="4"/>
  <c r="G110" i="4"/>
  <c r="G444" i="4"/>
  <c r="G347" i="4"/>
  <c r="G133" i="4"/>
  <c r="G39" i="4"/>
  <c r="G112" i="4"/>
  <c r="G51" i="4"/>
  <c r="G113" i="4"/>
  <c r="G94" i="4"/>
  <c r="G115" i="4"/>
  <c r="G190" i="4"/>
  <c r="G313" i="4"/>
  <c r="G170" i="4"/>
  <c r="G60" i="4"/>
  <c r="G341" i="4"/>
  <c r="G134" i="4"/>
  <c r="G296" i="4"/>
  <c r="G150" i="4"/>
  <c r="G16" i="4"/>
  <c r="G17" i="4"/>
  <c r="G220" i="4"/>
  <c r="G209" i="4"/>
  <c r="G151" i="4"/>
  <c r="G210" i="4"/>
  <c r="G116" i="4"/>
  <c r="G307" i="4"/>
  <c r="G264" i="4"/>
  <c r="G283" i="4"/>
  <c r="G326" i="4"/>
  <c r="G395" i="4"/>
  <c r="G135" i="4"/>
  <c r="G68" i="4"/>
  <c r="G46" i="4"/>
  <c r="G21" i="4"/>
  <c r="G69" i="4"/>
  <c r="G85" i="4"/>
  <c r="G70" i="4"/>
  <c r="G153" i="4"/>
  <c r="G222" i="4"/>
  <c r="G406" i="4"/>
  <c r="G291" i="4"/>
  <c r="HH55" i="4" l="1"/>
  <c r="HH21" i="4"/>
  <c r="HH32" i="4"/>
  <c r="HH41" i="4"/>
  <c r="HH37" i="4"/>
  <c r="HH188" i="4"/>
  <c r="HH205" i="4"/>
  <c r="HH193" i="4"/>
  <c r="HH190" i="4"/>
  <c r="HH163" i="4"/>
  <c r="HH183" i="4"/>
  <c r="HH170" i="4"/>
  <c r="HH214" i="4"/>
  <c r="M87" i="4"/>
  <c r="HH87" i="4"/>
  <c r="M89" i="4"/>
  <c r="HH89" i="4"/>
  <c r="HH266" i="4"/>
  <c r="HH264" i="4"/>
  <c r="EP436" i="4"/>
  <c r="EQ436" i="4" s="1"/>
  <c r="HH436" i="4"/>
  <c r="R133" i="4"/>
  <c r="R94" i="4"/>
  <c r="M290" i="4"/>
  <c r="HH290" i="4"/>
  <c r="M306" i="4"/>
  <c r="HH306" i="4"/>
  <c r="M313" i="4"/>
  <c r="HH313" i="4"/>
  <c r="M336" i="4"/>
  <c r="HH336" i="4"/>
  <c r="M355" i="4"/>
  <c r="HH355" i="4"/>
  <c r="M350" i="4"/>
  <c r="HH350" i="4"/>
  <c r="HH381" i="4"/>
  <c r="M381" i="4"/>
  <c r="M386" i="4"/>
  <c r="HH386" i="4"/>
  <c r="M395" i="4"/>
  <c r="HH395" i="4"/>
  <c r="M136" i="4"/>
  <c r="M138" i="4"/>
  <c r="M150" i="4"/>
  <c r="HH248" i="4"/>
  <c r="HH254" i="4"/>
  <c r="HH233" i="4"/>
  <c r="HH243" i="4"/>
  <c r="HH234" i="4"/>
  <c r="M256" i="4"/>
  <c r="HH256" i="4"/>
  <c r="HH227" i="4"/>
  <c r="HH221" i="4"/>
  <c r="HH258" i="4"/>
  <c r="HH229" i="4"/>
  <c r="HH267" i="4"/>
  <c r="P129" i="4"/>
  <c r="P159" i="4"/>
  <c r="M274" i="4"/>
  <c r="HH274" i="4"/>
  <c r="HH284" i="4"/>
  <c r="M284" i="4"/>
  <c r="M288" i="4"/>
  <c r="HH288" i="4"/>
  <c r="M304" i="4"/>
  <c r="HH304" i="4"/>
  <c r="M292" i="4"/>
  <c r="HH292" i="4"/>
  <c r="HH320" i="4"/>
  <c r="M320" i="4"/>
  <c r="M323" i="4"/>
  <c r="HH323" i="4"/>
  <c r="M343" i="4"/>
  <c r="HH343" i="4"/>
  <c r="HH344" i="4"/>
  <c r="M344" i="4"/>
  <c r="M365" i="4"/>
  <c r="HH365" i="4"/>
  <c r="HH368" i="4"/>
  <c r="M368" i="4"/>
  <c r="M375" i="4"/>
  <c r="HH375" i="4"/>
  <c r="HH390" i="4"/>
  <c r="M390" i="4"/>
  <c r="HH392" i="4"/>
  <c r="M392" i="4"/>
  <c r="M396" i="4"/>
  <c r="HH396" i="4"/>
  <c r="M408" i="4"/>
  <c r="HH408" i="4"/>
  <c r="M135" i="4"/>
  <c r="HH409" i="4"/>
  <c r="M157" i="4"/>
  <c r="M95" i="4"/>
  <c r="HH173" i="4"/>
  <c r="HH212" i="4"/>
  <c r="HH181" i="4"/>
  <c r="HH168" i="4"/>
  <c r="M75" i="4"/>
  <c r="HH75" i="4"/>
  <c r="HH177" i="4"/>
  <c r="HH216" i="4"/>
  <c r="HH164" i="4"/>
  <c r="M82" i="4"/>
  <c r="HH82" i="4"/>
  <c r="M88" i="4"/>
  <c r="HH88" i="4"/>
  <c r="M187" i="4"/>
  <c r="HH187" i="4"/>
  <c r="HH269" i="4"/>
  <c r="N157" i="4"/>
  <c r="M302" i="4"/>
  <c r="HH302" i="4"/>
  <c r="HH297" i="4"/>
  <c r="M297" i="4"/>
  <c r="M307" i="4"/>
  <c r="HH307" i="4"/>
  <c r="HH308" i="4"/>
  <c r="M308" i="4"/>
  <c r="M358" i="4"/>
  <c r="HH358" i="4"/>
  <c r="M353" i="4"/>
  <c r="HH353" i="4"/>
  <c r="M364" i="4"/>
  <c r="HH364" i="4"/>
  <c r="M389" i="4"/>
  <c r="HH389" i="4"/>
  <c r="M158" i="4"/>
  <c r="M147" i="4"/>
  <c r="M143" i="4"/>
  <c r="HH413" i="4"/>
  <c r="M259" i="4"/>
  <c r="HH259" i="4"/>
  <c r="HH219" i="4"/>
  <c r="M260" i="4"/>
  <c r="HH260" i="4"/>
  <c r="M242" i="4"/>
  <c r="HH242" i="4"/>
  <c r="M251" i="4"/>
  <c r="HH251" i="4"/>
  <c r="HH261" i="4"/>
  <c r="HH245" i="4"/>
  <c r="HH252" i="4"/>
  <c r="M235" i="4"/>
  <c r="HH235" i="4"/>
  <c r="FN442" i="4"/>
  <c r="HH442" i="4"/>
  <c r="FN443" i="4"/>
  <c r="HH443" i="4"/>
  <c r="N96" i="4"/>
  <c r="M275" i="4"/>
  <c r="HH275" i="4"/>
  <c r="HH285" i="4"/>
  <c r="M285" i="4"/>
  <c r="M303" i="4"/>
  <c r="HH303" i="4"/>
  <c r="M299" i="4"/>
  <c r="HH299" i="4"/>
  <c r="M305" i="4"/>
  <c r="HH305" i="4"/>
  <c r="M315" i="4"/>
  <c r="HH315" i="4"/>
  <c r="HH345" i="4"/>
  <c r="M345" i="4"/>
  <c r="M349" i="4"/>
  <c r="HH349" i="4"/>
  <c r="M363" i="4"/>
  <c r="HH363" i="4"/>
  <c r="M373" i="4"/>
  <c r="HH373" i="4"/>
  <c r="M387" i="4"/>
  <c r="HH387" i="4"/>
  <c r="M398" i="4"/>
  <c r="HH398" i="4"/>
  <c r="M146" i="4"/>
  <c r="M133" i="4"/>
  <c r="M127" i="4"/>
  <c r="HH201" i="4"/>
  <c r="HH100" i="4"/>
  <c r="HH184" i="4"/>
  <c r="HH175" i="4"/>
  <c r="HH79" i="4"/>
  <c r="HH211" i="4"/>
  <c r="HH197" i="4"/>
  <c r="HH80" i="4"/>
  <c r="M80" i="4"/>
  <c r="HH179" i="4"/>
  <c r="HH191" i="4"/>
  <c r="HH171" i="4"/>
  <c r="HH98" i="4"/>
  <c r="HH198" i="4"/>
  <c r="M192" i="4"/>
  <c r="HH192" i="4"/>
  <c r="HH272" i="4"/>
  <c r="FN434" i="4"/>
  <c r="GQ434" i="4" s="1"/>
  <c r="HH434" i="4"/>
  <c r="FN448" i="4"/>
  <c r="HH448" i="4"/>
  <c r="N140" i="4"/>
  <c r="P139" i="4"/>
  <c r="P128" i="4"/>
  <c r="DQ63" i="4"/>
  <c r="M326" i="4"/>
  <c r="HH326" i="4"/>
  <c r="M318" i="4"/>
  <c r="HH318" i="4"/>
  <c r="M360" i="4"/>
  <c r="HH360" i="4"/>
  <c r="M367" i="4"/>
  <c r="HH367" i="4"/>
  <c r="HH393" i="4"/>
  <c r="M393" i="4"/>
  <c r="M263" i="4"/>
  <c r="M149" i="4"/>
  <c r="HH71" i="4"/>
  <c r="HH231" i="4"/>
  <c r="HH224" i="4"/>
  <c r="HH247" i="4"/>
  <c r="M250" i="4"/>
  <c r="HH250" i="4"/>
  <c r="HH255" i="4"/>
  <c r="HH246" i="4"/>
  <c r="R135" i="4"/>
  <c r="M276" i="4"/>
  <c r="HH276" i="4"/>
  <c r="M286" i="4"/>
  <c r="HH286" i="4"/>
  <c r="M298" i="4"/>
  <c r="HH298" i="4"/>
  <c r="M329" i="4"/>
  <c r="HH329" i="4"/>
  <c r="M340" i="4"/>
  <c r="HH340" i="4"/>
  <c r="M347" i="4"/>
  <c r="HH347" i="4"/>
  <c r="M359" i="4"/>
  <c r="HH359" i="4"/>
  <c r="HH378" i="4"/>
  <c r="M378" i="4"/>
  <c r="M399" i="4"/>
  <c r="HH399" i="4"/>
  <c r="M159" i="4"/>
  <c r="M93" i="4"/>
  <c r="HH424" i="4"/>
  <c r="HH48" i="4"/>
  <c r="HH68" i="4"/>
  <c r="M154" i="4"/>
  <c r="HH167" i="4"/>
  <c r="HH78" i="4"/>
  <c r="HH196" i="4"/>
  <c r="HH169" i="4"/>
  <c r="HH105" i="4"/>
  <c r="M85" i="4"/>
  <c r="HH85" i="4"/>
  <c r="M76" i="4"/>
  <c r="HH76" i="4"/>
  <c r="HH165" i="4"/>
  <c r="HH178" i="4"/>
  <c r="HH186" i="4"/>
  <c r="HH172" i="4"/>
  <c r="HH218" i="4"/>
  <c r="HH180" i="4"/>
  <c r="HH270" i="4"/>
  <c r="P147" i="4"/>
  <c r="R95" i="4"/>
  <c r="M334" i="4"/>
  <c r="HH334" i="4"/>
  <c r="HH357" i="4"/>
  <c r="M357" i="4"/>
  <c r="HH369" i="4"/>
  <c r="M369" i="4"/>
  <c r="M394" i="4"/>
  <c r="HH394" i="4"/>
  <c r="HH423" i="4"/>
  <c r="M128" i="4"/>
  <c r="HH223" i="4"/>
  <c r="HH240" i="4"/>
  <c r="M232" i="4"/>
  <c r="HH232" i="4"/>
  <c r="HH244" i="4"/>
  <c r="M220" i="4"/>
  <c r="HH220" i="4"/>
  <c r="HH228" i="4"/>
  <c r="P156" i="4"/>
  <c r="M277" i="4"/>
  <c r="HH277" i="4"/>
  <c r="R74" i="4"/>
  <c r="M280" i="4"/>
  <c r="HH280" i="4"/>
  <c r="M300" i="4"/>
  <c r="HH300" i="4"/>
  <c r="M319" i="4"/>
  <c r="HH319" i="4"/>
  <c r="HH309" i="4"/>
  <c r="M309" i="4"/>
  <c r="M325" i="4"/>
  <c r="HH325" i="4"/>
  <c r="M314" i="4"/>
  <c r="HH314" i="4"/>
  <c r="HH330" i="4"/>
  <c r="M330" i="4"/>
  <c r="M335" i="4"/>
  <c r="HH335" i="4"/>
  <c r="M339" i="4"/>
  <c r="HH339" i="4"/>
  <c r="HH356" i="4"/>
  <c r="M356" i="4"/>
  <c r="M372" i="4"/>
  <c r="HH372" i="4"/>
  <c r="M401" i="4"/>
  <c r="HH401" i="4"/>
  <c r="HH405" i="4"/>
  <c r="M405" i="4"/>
  <c r="M94" i="4"/>
  <c r="HH427" i="4"/>
  <c r="M83" i="4"/>
  <c r="HH83" i="4"/>
  <c r="HH174" i="4"/>
  <c r="HH162" i="4"/>
  <c r="M84" i="4"/>
  <c r="HH84" i="4"/>
  <c r="HH206" i="4"/>
  <c r="HH207" i="4"/>
  <c r="HH176" i="4"/>
  <c r="HH104" i="4"/>
  <c r="M86" i="4"/>
  <c r="HH86" i="4"/>
  <c r="HH213" i="4"/>
  <c r="HH195" i="4"/>
  <c r="HH166" i="4"/>
  <c r="HH185" i="4"/>
  <c r="HH217" i="4"/>
  <c r="HH200" i="4"/>
  <c r="HH199" i="4"/>
  <c r="M268" i="4"/>
  <c r="HH268" i="4"/>
  <c r="HH273" i="4"/>
  <c r="M273" i="4"/>
  <c r="R65" i="4"/>
  <c r="R67" i="4"/>
  <c r="BF117" i="4"/>
  <c r="HH117" i="4"/>
  <c r="HA283" i="4"/>
  <c r="M311" i="4"/>
  <c r="HH311" i="4"/>
  <c r="M317" i="4"/>
  <c r="HH317" i="4"/>
  <c r="M385" i="4"/>
  <c r="HH385" i="4"/>
  <c r="M137" i="4"/>
  <c r="HH69" i="4"/>
  <c r="M140" i="4"/>
  <c r="M141" i="4"/>
  <c r="HH425" i="4"/>
  <c r="HH230" i="4"/>
  <c r="HH241" i="4"/>
  <c r="HH262" i="4"/>
  <c r="HH257" i="4"/>
  <c r="R137" i="4"/>
  <c r="R64" i="4"/>
  <c r="M287" i="4"/>
  <c r="HH287" i="4"/>
  <c r="M293" i="4"/>
  <c r="HH293" i="4"/>
  <c r="M291" i="4"/>
  <c r="HH291" i="4"/>
  <c r="M301" i="4"/>
  <c r="HH301" i="4"/>
  <c r="M324" i="4"/>
  <c r="HH324" i="4"/>
  <c r="HH332" i="4"/>
  <c r="M332" i="4"/>
  <c r="M310" i="4"/>
  <c r="HH310" i="4"/>
  <c r="M331" i="4"/>
  <c r="HH331" i="4"/>
  <c r="M328" i="4"/>
  <c r="HH328" i="4"/>
  <c r="HH342" i="4"/>
  <c r="M342" i="4"/>
  <c r="M348" i="4"/>
  <c r="HH348" i="4"/>
  <c r="HH354" i="4"/>
  <c r="M354" i="4"/>
  <c r="M371" i="4"/>
  <c r="HH371" i="4"/>
  <c r="M374" i="4"/>
  <c r="HH374" i="4"/>
  <c r="M379" i="4"/>
  <c r="HH379" i="4"/>
  <c r="M397" i="4"/>
  <c r="HH397" i="4"/>
  <c r="M406" i="4"/>
  <c r="HH406" i="4"/>
  <c r="M156" i="4"/>
  <c r="M155" i="4"/>
  <c r="HH99" i="4"/>
  <c r="HH182" i="4"/>
  <c r="HH189" i="4"/>
  <c r="HH101" i="4"/>
  <c r="HH102" i="4"/>
  <c r="M208" i="4"/>
  <c r="HH208" i="4"/>
  <c r="HH160" i="4"/>
  <c r="HH161" i="4"/>
  <c r="HH215" i="4"/>
  <c r="HH210" i="4"/>
  <c r="HH77" i="4"/>
  <c r="HH209" i="4"/>
  <c r="HH81" i="4"/>
  <c r="M81" i="4"/>
  <c r="HH265" i="4"/>
  <c r="HH271" i="4"/>
  <c r="FN444" i="4"/>
  <c r="HH444" i="4"/>
  <c r="FN431" i="4"/>
  <c r="GQ431" i="4" s="1"/>
  <c r="HH431" i="4"/>
  <c r="R141" i="4"/>
  <c r="P142" i="4"/>
  <c r="M316" i="4"/>
  <c r="HH316" i="4"/>
  <c r="M327" i="4"/>
  <c r="HH327" i="4"/>
  <c r="M337" i="4"/>
  <c r="HH337" i="4"/>
  <c r="M338" i="4"/>
  <c r="HH338" i="4"/>
  <c r="M361" i="4"/>
  <c r="HH361" i="4"/>
  <c r="M370" i="4"/>
  <c r="HH370" i="4"/>
  <c r="M384" i="4"/>
  <c r="HH384" i="4"/>
  <c r="M382" i="4"/>
  <c r="HH382" i="4"/>
  <c r="M391" i="4"/>
  <c r="HH391" i="4"/>
  <c r="M134" i="4"/>
  <c r="HH29" i="4"/>
  <c r="M148" i="4"/>
  <c r="M139" i="4"/>
  <c r="M152" i="4"/>
  <c r="HH239" i="4"/>
  <c r="HH249" i="4"/>
  <c r="HH225" i="4"/>
  <c r="HH226" i="4"/>
  <c r="HH253" i="4"/>
  <c r="M238" i="4"/>
  <c r="HH238" i="4"/>
  <c r="HH222" i="4"/>
  <c r="P66" i="4"/>
  <c r="M282" i="4"/>
  <c r="HH282" i="4"/>
  <c r="M281" i="4"/>
  <c r="HH281" i="4"/>
  <c r="HH296" i="4"/>
  <c r="M296" i="4"/>
  <c r="DQ64" i="4"/>
  <c r="HH321" i="4"/>
  <c r="M321" i="4"/>
  <c r="M346" i="4"/>
  <c r="HH346" i="4"/>
  <c r="M341" i="4"/>
  <c r="HH341" i="4"/>
  <c r="M377" i="4"/>
  <c r="HH377" i="4"/>
  <c r="M383" i="4"/>
  <c r="HH383" i="4"/>
  <c r="M129" i="4"/>
  <c r="M90" i="4"/>
  <c r="M151" i="4"/>
  <c r="M96" i="4"/>
  <c r="M142" i="4"/>
  <c r="DV448" i="4"/>
  <c r="EH448" i="4"/>
  <c r="FP448" i="4"/>
  <c r="EL448" i="4" s="1"/>
  <c r="ER448" i="4" s="1"/>
  <c r="DF446" i="4"/>
  <c r="FN446" i="4"/>
  <c r="GM446" i="4" s="1"/>
  <c r="FP446" i="4"/>
  <c r="EL446" i="4" s="1"/>
  <c r="EH446" i="4"/>
  <c r="DJ445" i="4"/>
  <c r="FN445" i="4"/>
  <c r="FP445" i="4"/>
  <c r="EL445" i="4" s="1"/>
  <c r="ER445" i="4" s="1"/>
  <c r="EH445" i="4"/>
  <c r="CA444" i="4"/>
  <c r="EH444" i="4"/>
  <c r="FP444" i="4"/>
  <c r="EL444" i="4" s="1"/>
  <c r="DV443" i="4"/>
  <c r="FP443" i="4"/>
  <c r="FL443" i="4" s="1"/>
  <c r="EH443" i="4"/>
  <c r="R443" i="4" s="1"/>
  <c r="R442" i="4"/>
  <c r="FP442" i="4"/>
  <c r="EL442" i="4" s="1"/>
  <c r="EH442" i="4"/>
  <c r="GQ147" i="4"/>
  <c r="BB162" i="4"/>
  <c r="BF162" i="4"/>
  <c r="CO162" i="4"/>
  <c r="CV162" i="4"/>
  <c r="X25" i="4"/>
  <c r="FJ25" i="4"/>
  <c r="BM25" i="4"/>
  <c r="FL149" i="4"/>
  <c r="FL158" i="4"/>
  <c r="R162" i="4"/>
  <c r="FN162" i="4"/>
  <c r="GO162" i="4" s="1"/>
  <c r="Z162" i="4"/>
  <c r="AD162" i="4"/>
  <c r="BM162" i="4"/>
  <c r="BT162" i="4"/>
  <c r="CD162" i="4"/>
  <c r="CH162" i="4"/>
  <c r="DQ162" i="4"/>
  <c r="DX162" i="4"/>
  <c r="DF162" i="4"/>
  <c r="DJ162" i="4"/>
  <c r="AN162" i="4"/>
  <c r="AU162" i="4"/>
  <c r="GQ162" i="4"/>
  <c r="AY162" i="4"/>
  <c r="BI162" i="4"/>
  <c r="BP162" i="4"/>
  <c r="BW162" i="4"/>
  <c r="GM162" i="4"/>
  <c r="CA162" i="4"/>
  <c r="CK162" i="4"/>
  <c r="CR162" i="4"/>
  <c r="CY162" i="4"/>
  <c r="DC162" i="4"/>
  <c r="DM162" i="4"/>
  <c r="DT162" i="4"/>
  <c r="EA162" i="4"/>
  <c r="GW162" i="4"/>
  <c r="EE162" i="4"/>
  <c r="AI162" i="4"/>
  <c r="AP162" i="4"/>
  <c r="AW162" i="4"/>
  <c r="GS162" i="4"/>
  <c r="AB162" i="4"/>
  <c r="BK162" i="4"/>
  <c r="BR162" i="4"/>
  <c r="BY162" i="4"/>
  <c r="V162" i="4"/>
  <c r="BD162" i="4"/>
  <c r="CM162" i="4"/>
  <c r="CT162" i="4"/>
  <c r="DA162" i="4"/>
  <c r="X162" i="4"/>
  <c r="CF162" i="4"/>
  <c r="DO162" i="4"/>
  <c r="DV162" i="4"/>
  <c r="EC162" i="4"/>
  <c r="DH162" i="4"/>
  <c r="AK162" i="4"/>
  <c r="AR162" i="4"/>
  <c r="EZ120" i="4"/>
  <c r="EX29" i="4"/>
  <c r="EV48" i="4"/>
  <c r="EW48" i="4" s="1"/>
  <c r="EV71" i="4"/>
  <c r="EW71" i="4" s="1"/>
  <c r="EZ56" i="4"/>
  <c r="FA56" i="4" s="1"/>
  <c r="EX68" i="4"/>
  <c r="EY68" i="4" s="1"/>
  <c r="EV7" i="4"/>
  <c r="EW7" i="4" s="1"/>
  <c r="EV394" i="4"/>
  <c r="EW394" i="4" s="1"/>
  <c r="EV436" i="4"/>
  <c r="EW436" i="4" s="1"/>
  <c r="EX397" i="4"/>
  <c r="EY397" i="4" s="1"/>
  <c r="EV336" i="4"/>
  <c r="EW336" i="4" s="1"/>
  <c r="EV277" i="4"/>
  <c r="EW277" i="4" s="1"/>
  <c r="EX396" i="4"/>
  <c r="EY396" i="4" s="1"/>
  <c r="EV274" i="4"/>
  <c r="EW274" i="4" s="1"/>
  <c r="EV346" i="4"/>
  <c r="EW346" i="4" s="1"/>
  <c r="EV384" i="4"/>
  <c r="EW384" i="4" s="1"/>
  <c r="EV368" i="4"/>
  <c r="EW368" i="4" s="1"/>
  <c r="EX268" i="4"/>
  <c r="EY268" i="4" s="1"/>
  <c r="EX372" i="4"/>
  <c r="EY372" i="4" s="1"/>
  <c r="EV446" i="4"/>
  <c r="EW446" i="4" s="1"/>
  <c r="EV424" i="4"/>
  <c r="EW424" i="4" s="1"/>
  <c r="EX427" i="4"/>
  <c r="EY427" i="4" s="1"/>
  <c r="EZ29" i="4"/>
  <c r="EZ48" i="4"/>
  <c r="FA48" i="4" s="1"/>
  <c r="EX71" i="4"/>
  <c r="EY71" i="4" s="1"/>
  <c r="EX162" i="4"/>
  <c r="EY162" i="4" s="1"/>
  <c r="EV56" i="4"/>
  <c r="EW56" i="4" s="1"/>
  <c r="EV68" i="4"/>
  <c r="EW68" i="4" s="1"/>
  <c r="EV188" i="4"/>
  <c r="EW188" i="4" s="1"/>
  <c r="EZ7" i="4"/>
  <c r="FA7" i="4" s="1"/>
  <c r="EX394" i="4"/>
  <c r="EY394" i="4" s="1"/>
  <c r="EX436" i="4"/>
  <c r="EY436" i="4" s="1"/>
  <c r="EV397" i="4"/>
  <c r="EW397" i="4" s="1"/>
  <c r="EZ336" i="4"/>
  <c r="FA336" i="4" s="1"/>
  <c r="EX277" i="4"/>
  <c r="EY277" i="4" s="1"/>
  <c r="EZ274" i="4"/>
  <c r="FA274" i="4" s="1"/>
  <c r="EZ346" i="4"/>
  <c r="FA346" i="4" s="1"/>
  <c r="EZ384" i="4"/>
  <c r="FA384" i="4" s="1"/>
  <c r="EZ368" i="4"/>
  <c r="FA368" i="4" s="1"/>
  <c r="EZ268" i="4"/>
  <c r="FA268" i="4" s="1"/>
  <c r="EZ372" i="4"/>
  <c r="FA372" i="4" s="1"/>
  <c r="EZ446" i="4"/>
  <c r="FA446" i="4" s="1"/>
  <c r="EX424" i="4"/>
  <c r="EZ427" i="4"/>
  <c r="FA427" i="4" s="1"/>
  <c r="EX303" i="4"/>
  <c r="EY303" i="4" s="1"/>
  <c r="EV431" i="4"/>
  <c r="EW431" i="4" s="1"/>
  <c r="EV41" i="4"/>
  <c r="EW41" i="4" s="1"/>
  <c r="EX48" i="4"/>
  <c r="EY48" i="4" s="1"/>
  <c r="EZ71" i="4"/>
  <c r="FA71" i="4" s="1"/>
  <c r="EV5" i="4"/>
  <c r="EW5" i="4" s="1"/>
  <c r="EX188" i="4"/>
  <c r="EY188" i="4" s="1"/>
  <c r="EV19" i="4"/>
  <c r="EW19" i="4" s="1"/>
  <c r="EZ394" i="4"/>
  <c r="FA394" i="4" s="1"/>
  <c r="EZ436" i="4"/>
  <c r="FA436" i="4" s="1"/>
  <c r="EX336" i="4"/>
  <c r="EY336" i="4" s="1"/>
  <c r="EZ277" i="4"/>
  <c r="FA277" i="4" s="1"/>
  <c r="EX274" i="4"/>
  <c r="EY274" i="4" s="1"/>
  <c r="EX346" i="4"/>
  <c r="EY346" i="4" s="1"/>
  <c r="EX384" i="4"/>
  <c r="EY384" i="4" s="1"/>
  <c r="EX368" i="4"/>
  <c r="EY368" i="4" s="1"/>
  <c r="EV268" i="4"/>
  <c r="EW268" i="4" s="1"/>
  <c r="EV391" i="4"/>
  <c r="EW391" i="4" s="1"/>
  <c r="EV323" i="4"/>
  <c r="EW323" i="4" s="1"/>
  <c r="EV442" i="4"/>
  <c r="EW442" i="4" s="1"/>
  <c r="EV406" i="4"/>
  <c r="EV448" i="4"/>
  <c r="EW448" i="4" s="1"/>
  <c r="EV303" i="4"/>
  <c r="EW303" i="4" s="1"/>
  <c r="EZ431" i="4"/>
  <c r="FA431" i="4" s="1"/>
  <c r="EX41" i="4"/>
  <c r="EY41" i="4" s="1"/>
  <c r="EV59" i="4"/>
  <c r="EW59" i="4" s="1"/>
  <c r="EV55" i="4"/>
  <c r="EW55" i="4" s="1"/>
  <c r="EX5" i="4"/>
  <c r="EY5" i="4" s="1"/>
  <c r="EZ188" i="4"/>
  <c r="FA188" i="4" s="1"/>
  <c r="EV163" i="4"/>
  <c r="EW163" i="4" s="1"/>
  <c r="EZ19" i="4"/>
  <c r="FA19" i="4" s="1"/>
  <c r="EV296" i="4"/>
  <c r="EW296" i="4" s="1"/>
  <c r="EV287" i="4"/>
  <c r="EV290" i="4"/>
  <c r="EW290" i="4" s="1"/>
  <c r="EX423" i="4"/>
  <c r="EY423" i="4" s="1"/>
  <c r="EX445" i="4"/>
  <c r="EY445" i="4" s="1"/>
  <c r="EX444" i="4"/>
  <c r="EY444" i="4" s="1"/>
  <c r="EV367" i="4"/>
  <c r="EW367" i="4" s="1"/>
  <c r="EV304" i="4"/>
  <c r="EW304" i="4" s="1"/>
  <c r="EX374" i="4"/>
  <c r="EY374" i="4" s="1"/>
  <c r="EV4" i="4"/>
  <c r="EW4" i="4" s="1"/>
  <c r="EZ391" i="4"/>
  <c r="FA391" i="4" s="1"/>
  <c r="EX323" i="4"/>
  <c r="EY323" i="4" s="1"/>
  <c r="EX442" i="4"/>
  <c r="EY442" i="4" s="1"/>
  <c r="EX406" i="4"/>
  <c r="EY406" i="4" s="1"/>
  <c r="EZ448" i="4"/>
  <c r="FA448" i="4" s="1"/>
  <c r="EZ303" i="4"/>
  <c r="FA303" i="4" s="1"/>
  <c r="EX431" i="4"/>
  <c r="EY431" i="4" s="1"/>
  <c r="EV345" i="4"/>
  <c r="EW345" i="4" s="1"/>
  <c r="EZ41" i="4"/>
  <c r="FA41" i="4" s="1"/>
  <c r="EX59" i="4"/>
  <c r="EY59" i="4" s="1"/>
  <c r="EX55" i="4"/>
  <c r="EY55" i="4" s="1"/>
  <c r="EX38" i="4"/>
  <c r="EY38" i="4" s="1"/>
  <c r="EZ5" i="4"/>
  <c r="EZ69" i="4"/>
  <c r="FA69" i="4" s="1"/>
  <c r="EZ163" i="4"/>
  <c r="FA163" i="4" s="1"/>
  <c r="EX19" i="4"/>
  <c r="EY19" i="4" s="1"/>
  <c r="EX296" i="4"/>
  <c r="EY296" i="4" s="1"/>
  <c r="EX287" i="4"/>
  <c r="EY287" i="4" s="1"/>
  <c r="EX290" i="4"/>
  <c r="EY290" i="4" s="1"/>
  <c r="EV423" i="4"/>
  <c r="EW423" i="4" s="1"/>
  <c r="EV285" i="4"/>
  <c r="EW285" i="4" s="1"/>
  <c r="EZ445" i="4"/>
  <c r="FA445" i="4" s="1"/>
  <c r="EV444" i="4"/>
  <c r="EW444" i="4" s="1"/>
  <c r="EX367" i="4"/>
  <c r="EY367" i="4" s="1"/>
  <c r="EZ304" i="4"/>
  <c r="FA304" i="4" s="1"/>
  <c r="EV374" i="4"/>
  <c r="EW374" i="4" s="1"/>
  <c r="EZ4" i="4"/>
  <c r="FA4" i="4" s="1"/>
  <c r="EX391" i="4"/>
  <c r="EY391" i="4" s="1"/>
  <c r="EZ323" i="4"/>
  <c r="FA323" i="4" s="1"/>
  <c r="EZ442" i="4"/>
  <c r="FA442" i="4" s="1"/>
  <c r="EX448" i="4"/>
  <c r="EY448" i="4" s="1"/>
  <c r="EX284" i="4"/>
  <c r="EY284" i="4" s="1"/>
  <c r="EX395" i="4"/>
  <c r="EY395" i="4" s="1"/>
  <c r="EX345" i="4"/>
  <c r="EY345" i="4" s="1"/>
  <c r="EZ59" i="4"/>
  <c r="FA59" i="4" s="1"/>
  <c r="EZ55" i="4"/>
  <c r="FA55" i="4" s="1"/>
  <c r="EV38" i="4"/>
  <c r="EW38" i="4" s="1"/>
  <c r="EX46" i="4"/>
  <c r="EY46" i="4" s="1"/>
  <c r="EV21" i="4"/>
  <c r="EW21" i="4" s="1"/>
  <c r="EV69" i="4"/>
  <c r="EW69" i="4" s="1"/>
  <c r="EX163" i="4"/>
  <c r="EY163" i="4" s="1"/>
  <c r="EZ177" i="4"/>
  <c r="FA177" i="4" s="1"/>
  <c r="EZ296" i="4"/>
  <c r="FA296" i="4" s="1"/>
  <c r="EZ287" i="4"/>
  <c r="FA287" i="4" s="1"/>
  <c r="EZ290" i="4"/>
  <c r="FA290" i="4" s="1"/>
  <c r="EZ423" i="4"/>
  <c r="FA423" i="4" s="1"/>
  <c r="EZ285" i="4"/>
  <c r="FA285" i="4" s="1"/>
  <c r="EV445" i="4"/>
  <c r="EW445" i="4" s="1"/>
  <c r="EZ444" i="4"/>
  <c r="FA444" i="4" s="1"/>
  <c r="EZ367" i="4"/>
  <c r="FA367" i="4" s="1"/>
  <c r="EX304" i="4"/>
  <c r="EY304" i="4" s="1"/>
  <c r="EZ374" i="4"/>
  <c r="FA374" i="4" s="1"/>
  <c r="EX4" i="4"/>
  <c r="EV361" i="4"/>
  <c r="EW361" i="4" s="1"/>
  <c r="EZ383" i="4"/>
  <c r="FA383" i="4" s="1"/>
  <c r="EX327" i="4"/>
  <c r="EY327" i="4" s="1"/>
  <c r="EV370" i="4"/>
  <c r="EW370" i="4" s="1"/>
  <c r="EV284" i="4"/>
  <c r="EW284" i="4" s="1"/>
  <c r="EV395" i="4"/>
  <c r="EW395" i="4" s="1"/>
  <c r="EV390" i="4"/>
  <c r="EW390" i="4" s="1"/>
  <c r="EZ345" i="4"/>
  <c r="FA345" i="4" s="1"/>
  <c r="EV76" i="4"/>
  <c r="EW76" i="4" s="1"/>
  <c r="EZ38" i="4"/>
  <c r="FA38" i="4" s="1"/>
  <c r="EV46" i="4"/>
  <c r="EW46" i="4" s="1"/>
  <c r="EZ21" i="4"/>
  <c r="FA21" i="4" s="1"/>
  <c r="EX69" i="4"/>
  <c r="EY69" i="4" s="1"/>
  <c r="EV6" i="4"/>
  <c r="EW6" i="4" s="1"/>
  <c r="EV177" i="4"/>
  <c r="EW177" i="4" s="1"/>
  <c r="EV405" i="4"/>
  <c r="EW405" i="4" s="1"/>
  <c r="EX409" i="4"/>
  <c r="EY409" i="4" s="1"/>
  <c r="EV343" i="4"/>
  <c r="EW343" i="4" s="1"/>
  <c r="EV425" i="4"/>
  <c r="EW425" i="4" s="1"/>
  <c r="EV321" i="4"/>
  <c r="EW321" i="4" s="1"/>
  <c r="EV307" i="4"/>
  <c r="EW307" i="4" s="1"/>
  <c r="EX328" i="4"/>
  <c r="EY328" i="4" s="1"/>
  <c r="EX285" i="4"/>
  <c r="EY285" i="4" s="1"/>
  <c r="EV350" i="4"/>
  <c r="EW350" i="4" s="1"/>
  <c r="EX373" i="4"/>
  <c r="EY373" i="4" s="1"/>
  <c r="EV299" i="4"/>
  <c r="EW299" i="4" s="1"/>
  <c r="EV35" i="4"/>
  <c r="EW35" i="4" s="1"/>
  <c r="EX338" i="4"/>
  <c r="EY338" i="4" s="1"/>
  <c r="EX361" i="4"/>
  <c r="EY361" i="4" s="1"/>
  <c r="EX383" i="4"/>
  <c r="EY383" i="4" s="1"/>
  <c r="EV327" i="4"/>
  <c r="EW327" i="4" s="1"/>
  <c r="EZ284" i="4"/>
  <c r="FA284" i="4" s="1"/>
  <c r="EZ390" i="4"/>
  <c r="FA390" i="4" s="1"/>
  <c r="EV297" i="4"/>
  <c r="EW297" i="4" s="1"/>
  <c r="FA397" i="4"/>
  <c r="EX76" i="4"/>
  <c r="EY76" i="4" s="1"/>
  <c r="EV77" i="4"/>
  <c r="EW77" i="4" s="1"/>
  <c r="EZ46" i="4"/>
  <c r="FA46" i="4" s="1"/>
  <c r="EX21" i="4"/>
  <c r="EY21" i="4" s="1"/>
  <c r="EX6" i="4"/>
  <c r="EY6" i="4" s="1"/>
  <c r="EX177" i="4"/>
  <c r="EY177" i="4" s="1"/>
  <c r="EZ405" i="4"/>
  <c r="FA405" i="4" s="1"/>
  <c r="EV409" i="4"/>
  <c r="EW409" i="4" s="1"/>
  <c r="EX343" i="4"/>
  <c r="EY343" i="4" s="1"/>
  <c r="EX425" i="4"/>
  <c r="EY425" i="4" s="1"/>
  <c r="EZ321" i="4"/>
  <c r="FA321" i="4" s="1"/>
  <c r="EZ307" i="4"/>
  <c r="FA307" i="4" s="1"/>
  <c r="EV328" i="4"/>
  <c r="EW328" i="4" s="1"/>
  <c r="EV413" i="4"/>
  <c r="EW413" i="4" s="1"/>
  <c r="EX350" i="4"/>
  <c r="EY350" i="4" s="1"/>
  <c r="EV373" i="4"/>
  <c r="EW373" i="4" s="1"/>
  <c r="EX299" i="4"/>
  <c r="EY299" i="4" s="1"/>
  <c r="EZ35" i="4"/>
  <c r="FA35" i="4" s="1"/>
  <c r="EV338" i="4"/>
  <c r="EW338" i="4" s="1"/>
  <c r="EZ361" i="4"/>
  <c r="FA361" i="4" s="1"/>
  <c r="EV383" i="4"/>
  <c r="EW383" i="4" s="1"/>
  <c r="EZ327" i="4"/>
  <c r="FA327" i="4" s="1"/>
  <c r="EX370" i="4"/>
  <c r="EY370" i="4" s="1"/>
  <c r="EX365" i="4"/>
  <c r="EY365" i="4" s="1"/>
  <c r="EX422" i="4"/>
  <c r="EY422" i="4" s="1"/>
  <c r="EX297" i="4"/>
  <c r="EY297" i="4" s="1"/>
  <c r="EZ76" i="4"/>
  <c r="FA76" i="4" s="1"/>
  <c r="EX77" i="4"/>
  <c r="EY77" i="4" s="1"/>
  <c r="EZ37" i="4"/>
  <c r="FA37" i="4" s="1"/>
  <c r="EX32" i="4"/>
  <c r="EY32" i="4" s="1"/>
  <c r="EZ6" i="4"/>
  <c r="FA6" i="4" s="1"/>
  <c r="EV117" i="4"/>
  <c r="EW117" i="4" s="1"/>
  <c r="EX405" i="4"/>
  <c r="EY405" i="4" s="1"/>
  <c r="EZ409" i="4"/>
  <c r="FA409" i="4" s="1"/>
  <c r="EZ343" i="4"/>
  <c r="FA343" i="4" s="1"/>
  <c r="EZ425" i="4"/>
  <c r="FA425" i="4" s="1"/>
  <c r="EX321" i="4"/>
  <c r="EY321" i="4" s="1"/>
  <c r="EX307" i="4"/>
  <c r="EY307" i="4" s="1"/>
  <c r="EZ328" i="4"/>
  <c r="FA328" i="4" s="1"/>
  <c r="EZ413" i="4"/>
  <c r="FA413" i="4" s="1"/>
  <c r="EZ350" i="4"/>
  <c r="FA350" i="4" s="1"/>
  <c r="EZ373" i="4"/>
  <c r="FA373" i="4" s="1"/>
  <c r="EX35" i="4"/>
  <c r="EY35" i="4" s="1"/>
  <c r="EZ338" i="4"/>
  <c r="FA338" i="4" s="1"/>
  <c r="EV401" i="4"/>
  <c r="EW401" i="4" s="1"/>
  <c r="EX326" i="4"/>
  <c r="EY326" i="4" s="1"/>
  <c r="EV381" i="4"/>
  <c r="EW381" i="4" s="1"/>
  <c r="EV365" i="4"/>
  <c r="EW365" i="4" s="1"/>
  <c r="EV422" i="4"/>
  <c r="EW422" i="4" s="1"/>
  <c r="EV311" i="4"/>
  <c r="EW311" i="4" s="1"/>
  <c r="EZ297" i="4"/>
  <c r="FA297" i="4" s="1"/>
  <c r="FA395" i="4"/>
  <c r="EV13" i="4"/>
  <c r="EW13" i="4" s="1"/>
  <c r="EX14" i="4"/>
  <c r="EY14" i="4" s="1"/>
  <c r="EZ77" i="4"/>
  <c r="FA77" i="4" s="1"/>
  <c r="EV37" i="4"/>
  <c r="EW37" i="4" s="1"/>
  <c r="EZ32" i="4"/>
  <c r="FA32" i="4" s="1"/>
  <c r="EZ117" i="4"/>
  <c r="FA117" i="4" s="1"/>
  <c r="EV353" i="4"/>
  <c r="EW353" i="4" s="1"/>
  <c r="EV316" i="4"/>
  <c r="EW316" i="4" s="1"/>
  <c r="EX434" i="4"/>
  <c r="EY434" i="4" s="1"/>
  <c r="EX332" i="4"/>
  <c r="EY332" i="4" s="1"/>
  <c r="EX413" i="4"/>
  <c r="EY413" i="4" s="1"/>
  <c r="EX324" i="4"/>
  <c r="EY324" i="4" s="1"/>
  <c r="EV313" i="4"/>
  <c r="EW313" i="4" s="1"/>
  <c r="EV443" i="4"/>
  <c r="EW443" i="4" s="1"/>
  <c r="EV371" i="4"/>
  <c r="EW371" i="4" s="1"/>
  <c r="EZ401" i="4"/>
  <c r="FA401" i="4" s="1"/>
  <c r="EV326" i="4"/>
  <c r="EW326" i="4" s="1"/>
  <c r="EZ381" i="4"/>
  <c r="FA381" i="4" s="1"/>
  <c r="EZ365" i="4"/>
  <c r="FA365" i="4" s="1"/>
  <c r="EZ422" i="4"/>
  <c r="FA422" i="4" s="1"/>
  <c r="EX311" i="4"/>
  <c r="EY311" i="4" s="1"/>
  <c r="EX356" i="4"/>
  <c r="EY356" i="4" s="1"/>
  <c r="FA385" i="4"/>
  <c r="EZ13" i="4"/>
  <c r="FA13" i="4" s="1"/>
  <c r="EV14" i="4"/>
  <c r="EW14" i="4" s="1"/>
  <c r="EX37" i="4"/>
  <c r="EY37" i="4" s="1"/>
  <c r="EV32" i="4"/>
  <c r="EW32" i="4" s="1"/>
  <c r="EX117" i="4"/>
  <c r="EY117" i="4" s="1"/>
  <c r="EZ353" i="4"/>
  <c r="FA353" i="4" s="1"/>
  <c r="EX316" i="4"/>
  <c r="EY316" i="4" s="1"/>
  <c r="EV434" i="4"/>
  <c r="EW434" i="4" s="1"/>
  <c r="EV332" i="4"/>
  <c r="EW332" i="4" s="1"/>
  <c r="EV396" i="4"/>
  <c r="EW396" i="4" s="1"/>
  <c r="EV324" i="4"/>
  <c r="EW324" i="4" s="1"/>
  <c r="EX313" i="4"/>
  <c r="EY313" i="4" s="1"/>
  <c r="EX443" i="4"/>
  <c r="EY443" i="4" s="1"/>
  <c r="EX371" i="4"/>
  <c r="EY371" i="4" s="1"/>
  <c r="EX401" i="4"/>
  <c r="EY401" i="4" s="1"/>
  <c r="EZ326" i="4"/>
  <c r="FA326" i="4" s="1"/>
  <c r="EX381" i="4"/>
  <c r="EY381" i="4" s="1"/>
  <c r="EX385" i="4"/>
  <c r="EY385" i="4" s="1"/>
  <c r="EZ311" i="4"/>
  <c r="FA311" i="4" s="1"/>
  <c r="EV356" i="4"/>
  <c r="EW356" i="4" s="1"/>
  <c r="EY390" i="4"/>
  <c r="EV29" i="4"/>
  <c r="EW29" i="4" s="1"/>
  <c r="EX13" i="4"/>
  <c r="EY13" i="4" s="1"/>
  <c r="EZ14" i="4"/>
  <c r="FA14" i="4" s="1"/>
  <c r="EV162" i="4"/>
  <c r="EW162" i="4" s="1"/>
  <c r="EX56" i="4"/>
  <c r="EY56" i="4" s="1"/>
  <c r="EZ68" i="4"/>
  <c r="FA68" i="4" s="1"/>
  <c r="EX7" i="4"/>
  <c r="EY7" i="4" s="1"/>
  <c r="EX353" i="4"/>
  <c r="EY353" i="4" s="1"/>
  <c r="EZ316" i="4"/>
  <c r="FA316" i="4" s="1"/>
  <c r="EZ434" i="4"/>
  <c r="FA434" i="4" s="1"/>
  <c r="EZ332" i="4"/>
  <c r="FA332" i="4" s="1"/>
  <c r="EZ396" i="4"/>
  <c r="FA396" i="4" s="1"/>
  <c r="EZ324" i="4"/>
  <c r="FA324" i="4" s="1"/>
  <c r="EZ313" i="4"/>
  <c r="FA313" i="4" s="1"/>
  <c r="EZ443" i="4"/>
  <c r="FA443" i="4" s="1"/>
  <c r="EZ371" i="4"/>
  <c r="FA371" i="4" s="1"/>
  <c r="EV372" i="4"/>
  <c r="EW372" i="4" s="1"/>
  <c r="EX446" i="4"/>
  <c r="EY446" i="4" s="1"/>
  <c r="EZ424" i="4"/>
  <c r="FA424" i="4" s="1"/>
  <c r="EV427" i="4"/>
  <c r="EW427" i="4" s="1"/>
  <c r="EV385" i="4"/>
  <c r="EW385" i="4" s="1"/>
  <c r="EZ356" i="4"/>
  <c r="FA356" i="4" s="1"/>
  <c r="FA406" i="4"/>
  <c r="FA162" i="4"/>
  <c r="FA370" i="4"/>
  <c r="EY424" i="4"/>
  <c r="EY29" i="4"/>
  <c r="FA5" i="4"/>
  <c r="FA29" i="4"/>
  <c r="EW287" i="4"/>
  <c r="EW406" i="4"/>
  <c r="ER69" i="4"/>
  <c r="ES69" i="4" s="1"/>
  <c r="ER381" i="4"/>
  <c r="ES381" i="4" s="1"/>
  <c r="ER356" i="4"/>
  <c r="ES356" i="4" s="1"/>
  <c r="ER19" i="4"/>
  <c r="ES19" i="4" s="1"/>
  <c r="ER48" i="4"/>
  <c r="ES48" i="4" s="1"/>
  <c r="ER383" i="4"/>
  <c r="ES383" i="4" s="1"/>
  <c r="ER32" i="4"/>
  <c r="ES32" i="4" s="1"/>
  <c r="ER365" i="4"/>
  <c r="ES365" i="4" s="1"/>
  <c r="ER422" i="4"/>
  <c r="ES422" i="4" s="1"/>
  <c r="ER55" i="4"/>
  <c r="ES55" i="4" s="1"/>
  <c r="ER332" i="4"/>
  <c r="ES332" i="4" s="1"/>
  <c r="ER324" i="4"/>
  <c r="ES324" i="4" s="1"/>
  <c r="ER367" i="4"/>
  <c r="ES367" i="4" s="1"/>
  <c r="ER56" i="4"/>
  <c r="ES56" i="4" s="1"/>
  <c r="ER6" i="4"/>
  <c r="ES6" i="4" s="1"/>
  <c r="ER297" i="4"/>
  <c r="ES297" i="4" s="1"/>
  <c r="ER38" i="4"/>
  <c r="ES38" i="4" s="1"/>
  <c r="ER391" i="4"/>
  <c r="ES391" i="4" s="1"/>
  <c r="ER394" i="4"/>
  <c r="ES394" i="4" s="1"/>
  <c r="ER277" i="4"/>
  <c r="ES277" i="4" s="1"/>
  <c r="ER346" i="4"/>
  <c r="ES346" i="4" s="1"/>
  <c r="ER299" i="4"/>
  <c r="ES299" i="4" s="1"/>
  <c r="ER77" i="4"/>
  <c r="ES77" i="4" s="1"/>
  <c r="ER326" i="4"/>
  <c r="ES326" i="4" s="1"/>
  <c r="ER390" i="4"/>
  <c r="ES390" i="4" s="1"/>
  <c r="ER446" i="4"/>
  <c r="ES446" i="4" s="1"/>
  <c r="ER371" i="4"/>
  <c r="ES371" i="4" s="1"/>
  <c r="ER296" i="4"/>
  <c r="ES296" i="4" s="1"/>
  <c r="ER423" i="4"/>
  <c r="ES423" i="4" s="1"/>
  <c r="ER444" i="4"/>
  <c r="ER443" i="4"/>
  <c r="ES443" i="4" s="1"/>
  <c r="ER35" i="4"/>
  <c r="ES35" i="4" s="1"/>
  <c r="ER162" i="4"/>
  <c r="ES162" i="4" s="1"/>
  <c r="ER177" i="4"/>
  <c r="ES177" i="4" s="1"/>
  <c r="ER401" i="4"/>
  <c r="ES401" i="4" s="1"/>
  <c r="ER442" i="4"/>
  <c r="ER68" i="4"/>
  <c r="ES68" i="4" s="1"/>
  <c r="ER385" i="4"/>
  <c r="ES385" i="4" s="1"/>
  <c r="ER397" i="4"/>
  <c r="ES397" i="4" s="1"/>
  <c r="ER328" i="4"/>
  <c r="ES328" i="4" s="1"/>
  <c r="ER274" i="4"/>
  <c r="ES274" i="4" s="1"/>
  <c r="ER373" i="4"/>
  <c r="ES373" i="4" s="1"/>
  <c r="ER14" i="4"/>
  <c r="ES14" i="4" s="1"/>
  <c r="ER5" i="4"/>
  <c r="ES5" i="4" s="1"/>
  <c r="ER370" i="4"/>
  <c r="ES370" i="4" s="1"/>
  <c r="ER117" i="4"/>
  <c r="ES117" i="4" s="1"/>
  <c r="ER336" i="4"/>
  <c r="ES336" i="4" s="1"/>
  <c r="ER368" i="4"/>
  <c r="ES368" i="4" s="1"/>
  <c r="ER46" i="4"/>
  <c r="ES46" i="4" s="1"/>
  <c r="ER395" i="4"/>
  <c r="ES395" i="4" s="1"/>
  <c r="ER41" i="4"/>
  <c r="ES41" i="4" s="1"/>
  <c r="ER316" i="4"/>
  <c r="ES316" i="4" s="1"/>
  <c r="ER290" i="4"/>
  <c r="ES290" i="4" s="1"/>
  <c r="ER313" i="4"/>
  <c r="ES313" i="4" s="1"/>
  <c r="ER304" i="4"/>
  <c r="ES304" i="4" s="1"/>
  <c r="ER285" i="4"/>
  <c r="ES285" i="4" s="1"/>
  <c r="ER396" i="4"/>
  <c r="ES396" i="4" s="1"/>
  <c r="ER7" i="4"/>
  <c r="ES7" i="4" s="1"/>
  <c r="ER323" i="4"/>
  <c r="ES323" i="4" s="1"/>
  <c r="ER268" i="4"/>
  <c r="ES268" i="4" s="1"/>
  <c r="EN188" i="4"/>
  <c r="EO188" i="4" s="1"/>
  <c r="EN311" i="4"/>
  <c r="EO311" i="4" s="1"/>
  <c r="EN448" i="4"/>
  <c r="EO448" i="4" s="1"/>
  <c r="EP67" i="4"/>
  <c r="EN19" i="4"/>
  <c r="EO19" i="4" s="1"/>
  <c r="EP94" i="4"/>
  <c r="EN13" i="4"/>
  <c r="EO13" i="4" s="1"/>
  <c r="EP321" i="4"/>
  <c r="EQ321" i="4" s="1"/>
  <c r="EN307" i="4"/>
  <c r="EO307" i="4" s="1"/>
  <c r="EN328" i="4"/>
  <c r="EO328" i="4" s="1"/>
  <c r="EP14" i="4"/>
  <c r="EQ14" i="4" s="1"/>
  <c r="EN384" i="4"/>
  <c r="EO384" i="4" s="1"/>
  <c r="EN37" i="4"/>
  <c r="EO37" i="4" s="1"/>
  <c r="EP361" i="4"/>
  <c r="EQ361" i="4" s="1"/>
  <c r="EP327" i="4"/>
  <c r="EQ327" i="4" s="1"/>
  <c r="EP141" i="4"/>
  <c r="EN285" i="4"/>
  <c r="EO285" i="4" s="1"/>
  <c r="EP311" i="4"/>
  <c r="EQ311" i="4" s="1"/>
  <c r="EP448" i="4"/>
  <c r="EQ448" i="4" s="1"/>
  <c r="EP127" i="4"/>
  <c r="EN287" i="4"/>
  <c r="EO287" i="4" s="1"/>
  <c r="EP290" i="4"/>
  <c r="EQ290" i="4" s="1"/>
  <c r="EN321" i="4"/>
  <c r="EO321" i="4" s="1"/>
  <c r="EN324" i="4"/>
  <c r="EO324" i="4" s="1"/>
  <c r="EP304" i="4"/>
  <c r="EQ304" i="4" s="1"/>
  <c r="EP37" i="4"/>
  <c r="EQ37" i="4" s="1"/>
  <c r="EN303" i="4"/>
  <c r="EO303" i="4" s="1"/>
  <c r="EN422" i="4"/>
  <c r="EO422" i="4" s="1"/>
  <c r="EP296" i="4"/>
  <c r="EQ296" i="4" s="1"/>
  <c r="EP287" i="4"/>
  <c r="EQ287" i="4" s="1"/>
  <c r="EP13" i="4"/>
  <c r="EQ13" i="4" s="1"/>
  <c r="EN56" i="4"/>
  <c r="EO56" i="4" s="1"/>
  <c r="EN71" i="4"/>
  <c r="EO71" i="4" s="1"/>
  <c r="EN401" i="4"/>
  <c r="EO401" i="4" s="1"/>
  <c r="EP303" i="4"/>
  <c r="EQ303" i="4" s="1"/>
  <c r="EN371" i="4"/>
  <c r="EO371" i="4" s="1"/>
  <c r="EP69" i="4"/>
  <c r="EQ69" i="4" s="1"/>
  <c r="EN390" i="4"/>
  <c r="EO390" i="4" s="1"/>
  <c r="EN381" i="4"/>
  <c r="EO381" i="4" s="1"/>
  <c r="EP427" i="4"/>
  <c r="EQ427" i="4" s="1"/>
  <c r="EN434" i="4"/>
  <c r="EO434" i="4" s="1"/>
  <c r="EN332" i="4"/>
  <c r="EO332" i="4" s="1"/>
  <c r="EP71" i="4"/>
  <c r="EQ71" i="4" s="1"/>
  <c r="EP444" i="4"/>
  <c r="EQ444" i="4" s="1"/>
  <c r="EN367" i="4"/>
  <c r="EO367" i="4" s="1"/>
  <c r="EN21" i="4"/>
  <c r="EO21" i="4" s="1"/>
  <c r="EP109" i="4"/>
  <c r="EN38" i="4"/>
  <c r="EO38" i="4" s="1"/>
  <c r="EN4" i="4"/>
  <c r="EP326" i="4"/>
  <c r="EQ326" i="4" s="1"/>
  <c r="EN427" i="4"/>
  <c r="EO427" i="4" s="1"/>
  <c r="EN177" i="4"/>
  <c r="EO177" i="4" s="1"/>
  <c r="EN405" i="4"/>
  <c r="EO405" i="4" s="1"/>
  <c r="EN409" i="4"/>
  <c r="EO409" i="4" s="1"/>
  <c r="EN343" i="4"/>
  <c r="EO343" i="4" s="1"/>
  <c r="EN425" i="4"/>
  <c r="EO425" i="4" s="1"/>
  <c r="EP107" i="4"/>
  <c r="EN48" i="4"/>
  <c r="EO48" i="4" s="1"/>
  <c r="EP434" i="4"/>
  <c r="EQ434" i="4" s="1"/>
  <c r="EN274" i="4"/>
  <c r="EO274" i="4" s="1"/>
  <c r="EN444" i="4"/>
  <c r="EO444" i="4" s="1"/>
  <c r="EP21" i="4"/>
  <c r="EQ21" i="4" s="1"/>
  <c r="EP4" i="4"/>
  <c r="EP119" i="4"/>
  <c r="EN284" i="4"/>
  <c r="EO284" i="4" s="1"/>
  <c r="EN431" i="4"/>
  <c r="EO431" i="4" s="1"/>
  <c r="EN374" i="4"/>
  <c r="EO374" i="4" s="1"/>
  <c r="EN268" i="4"/>
  <c r="EO268" i="4" s="1"/>
  <c r="EP25" i="4"/>
  <c r="EP405" i="4"/>
  <c r="EQ405" i="4" s="1"/>
  <c r="EP409" i="4"/>
  <c r="EQ409" i="4" s="1"/>
  <c r="EP343" i="4"/>
  <c r="EQ343" i="4" s="1"/>
  <c r="EP425" i="4"/>
  <c r="EQ425" i="4" s="1"/>
  <c r="EP372" i="4"/>
  <c r="EQ372" i="4" s="1"/>
  <c r="EN446" i="4"/>
  <c r="EO446" i="4" s="1"/>
  <c r="EN424" i="4"/>
  <c r="EO424" i="4" s="1"/>
  <c r="EP284" i="4"/>
  <c r="EQ284" i="4" s="1"/>
  <c r="EP431" i="4"/>
  <c r="EQ431" i="4" s="1"/>
  <c r="EP374" i="4"/>
  <c r="EQ374" i="4" s="1"/>
  <c r="EP345" i="4"/>
  <c r="EQ345" i="4" s="1"/>
  <c r="EN396" i="4"/>
  <c r="EO396" i="4" s="1"/>
  <c r="EN32" i="4"/>
  <c r="EO32" i="4" s="1"/>
  <c r="EP74" i="4"/>
  <c r="EN59" i="4"/>
  <c r="EO59" i="4" s="1"/>
  <c r="EP336" i="4"/>
  <c r="EQ336" i="4" s="1"/>
  <c r="EP55" i="4"/>
  <c r="EQ55" i="4" s="1"/>
  <c r="EP445" i="4"/>
  <c r="EQ445" i="4" s="1"/>
  <c r="EN373" i="4"/>
  <c r="EO373" i="4" s="1"/>
  <c r="EP299" i="4"/>
  <c r="EQ299" i="4" s="1"/>
  <c r="EN372" i="4"/>
  <c r="EO372" i="4" s="1"/>
  <c r="EP446" i="4"/>
  <c r="EP424" i="4"/>
  <c r="EQ424" i="4" s="1"/>
  <c r="EN368" i="4"/>
  <c r="EO368" i="4" s="1"/>
  <c r="EP163" i="4"/>
  <c r="EQ163" i="4" s="1"/>
  <c r="EN345" i="4"/>
  <c r="EO345" i="4" s="1"/>
  <c r="EN297" i="4"/>
  <c r="EO297" i="4" s="1"/>
  <c r="EN117" i="4"/>
  <c r="EO117" i="4" s="1"/>
  <c r="EN29" i="4"/>
  <c r="EO29" i="4" s="1"/>
  <c r="EP353" i="4"/>
  <c r="EQ353" i="4" s="1"/>
  <c r="EP59" i="4"/>
  <c r="EQ59" i="4" s="1"/>
  <c r="EN277" i="4"/>
  <c r="EO277" i="4" s="1"/>
  <c r="EN445" i="4"/>
  <c r="EO445" i="4" s="1"/>
  <c r="EN299" i="4"/>
  <c r="EO299" i="4" s="1"/>
  <c r="EN77" i="4"/>
  <c r="EO77" i="4" s="1"/>
  <c r="EP137" i="4"/>
  <c r="EP338" i="4"/>
  <c r="EQ338" i="4" s="1"/>
  <c r="EN163" i="4"/>
  <c r="EO163" i="4" s="1"/>
  <c r="EP29" i="4"/>
  <c r="EQ29" i="4" s="1"/>
  <c r="EN353" i="4"/>
  <c r="EO353" i="4" s="1"/>
  <c r="EP316" i="4"/>
  <c r="EQ316" i="4" s="1"/>
  <c r="EP138" i="4"/>
  <c r="EN391" i="4"/>
  <c r="EO391" i="4" s="1"/>
  <c r="EN323" i="4"/>
  <c r="EO323" i="4" s="1"/>
  <c r="EP442" i="4"/>
  <c r="EQ442" i="4" s="1"/>
  <c r="EN406" i="4"/>
  <c r="EO406" i="4" s="1"/>
  <c r="EP162" i="4"/>
  <c r="EQ162" i="4" s="1"/>
  <c r="EP68" i="4"/>
  <c r="EQ68" i="4" s="1"/>
  <c r="EN365" i="4"/>
  <c r="EO365" i="4" s="1"/>
  <c r="EN395" i="4"/>
  <c r="EO395" i="4" s="1"/>
  <c r="EN338" i="4"/>
  <c r="EO338" i="4" s="1"/>
  <c r="EN413" i="4"/>
  <c r="EO413" i="4" s="1"/>
  <c r="EN356" i="4"/>
  <c r="EO356" i="4" s="1"/>
  <c r="EP76" i="4"/>
  <c r="EQ76" i="4" s="1"/>
  <c r="EP423" i="4"/>
  <c r="EQ423" i="4" s="1"/>
  <c r="EN346" i="4"/>
  <c r="EO346" i="4" s="1"/>
  <c r="EP350" i="4"/>
  <c r="EQ350" i="4" s="1"/>
  <c r="EN443" i="4"/>
  <c r="EO443" i="4" s="1"/>
  <c r="EP150" i="4"/>
  <c r="EN35" i="4"/>
  <c r="EO35" i="4" s="1"/>
  <c r="EN46" i="4"/>
  <c r="EO46" i="4" s="1"/>
  <c r="EN442" i="4"/>
  <c r="EO442" i="4" s="1"/>
  <c r="EP406" i="4"/>
  <c r="EQ406" i="4" s="1"/>
  <c r="EP5" i="4"/>
  <c r="EQ5" i="4" s="1"/>
  <c r="EN370" i="4"/>
  <c r="EO370" i="4" s="1"/>
  <c r="EP413" i="4"/>
  <c r="EQ413" i="4" s="1"/>
  <c r="EP7" i="4"/>
  <c r="EQ7" i="4" s="1"/>
  <c r="EN436" i="4"/>
  <c r="EO436" i="4" s="1"/>
  <c r="EN397" i="4"/>
  <c r="EO397" i="4" s="1"/>
  <c r="EN76" i="4"/>
  <c r="EO76" i="4" s="1"/>
  <c r="EN350" i="4"/>
  <c r="EO350" i="4" s="1"/>
  <c r="EP313" i="4"/>
  <c r="EQ313" i="4" s="1"/>
  <c r="EN385" i="4"/>
  <c r="EO385" i="4" s="1"/>
  <c r="EP188" i="4"/>
  <c r="EQ188" i="4" s="1"/>
  <c r="EN6" i="4"/>
  <c r="EO6" i="4" s="1"/>
  <c r="EN41" i="4"/>
  <c r="EO41" i="4" s="1"/>
  <c r="EN361" i="4"/>
  <c r="EO361" i="4" s="1"/>
  <c r="EN327" i="4"/>
  <c r="EO327" i="4" s="1"/>
  <c r="EO383" i="4"/>
  <c r="EO394" i="4"/>
  <c r="FL155" i="4"/>
  <c r="FL72" i="4"/>
  <c r="FP238" i="4"/>
  <c r="EL238" i="4" s="1"/>
  <c r="FP60" i="4"/>
  <c r="EL60" i="4" s="1"/>
  <c r="FP16" i="4"/>
  <c r="EL16" i="4" s="1"/>
  <c r="FP9" i="4"/>
  <c r="EL9" i="4" s="1"/>
  <c r="FP57" i="4"/>
  <c r="FL57" i="4" s="1"/>
  <c r="FP52" i="4"/>
  <c r="EL52" i="4" s="1"/>
  <c r="EH280" i="4"/>
  <c r="BT65" i="4"/>
  <c r="EL65" i="4"/>
  <c r="FP266" i="4"/>
  <c r="EL266" i="4" s="1"/>
  <c r="FP264" i="4"/>
  <c r="EL264" i="4" s="1"/>
  <c r="X283" i="4"/>
  <c r="EL283" i="4"/>
  <c r="CF139" i="4"/>
  <c r="EL139" i="4"/>
  <c r="EH342" i="4"/>
  <c r="EH348" i="4"/>
  <c r="FP256" i="4"/>
  <c r="FL256" i="4" s="1"/>
  <c r="FP267" i="4"/>
  <c r="EL267" i="4" s="1"/>
  <c r="FP12" i="4"/>
  <c r="EL12" i="4" s="1"/>
  <c r="FP15" i="4"/>
  <c r="EL15" i="4" s="1"/>
  <c r="FP61" i="4"/>
  <c r="EL61" i="4" s="1"/>
  <c r="FP30" i="4"/>
  <c r="EL30" i="4" s="1"/>
  <c r="FP44" i="4"/>
  <c r="EL44" i="4" s="1"/>
  <c r="FP11" i="4"/>
  <c r="EL11" i="4" s="1"/>
  <c r="T39" i="4"/>
  <c r="EL39" i="4"/>
  <c r="CO134" i="4"/>
  <c r="EL134" i="4"/>
  <c r="FP271" i="4"/>
  <c r="EL271" i="4" s="1"/>
  <c r="AD93" i="4"/>
  <c r="EL93" i="4"/>
  <c r="FP187" i="4"/>
  <c r="EL187" i="4" s="1"/>
  <c r="FP269" i="4"/>
  <c r="EL269" i="4" s="1"/>
  <c r="V129" i="4"/>
  <c r="EL129" i="4"/>
  <c r="CT146" i="4"/>
  <c r="EL146" i="4"/>
  <c r="EH341" i="4"/>
  <c r="FP377" i="4"/>
  <c r="FH377" i="4" s="1"/>
  <c r="FP265" i="4"/>
  <c r="EL265" i="4" s="1"/>
  <c r="FP259" i="4"/>
  <c r="EL259" i="4" s="1"/>
  <c r="FP260" i="4"/>
  <c r="EL260" i="4" s="1"/>
  <c r="FP242" i="4"/>
  <c r="FL242" i="4" s="1"/>
  <c r="FP235" i="4"/>
  <c r="FP24" i="4"/>
  <c r="EL24" i="4" s="1"/>
  <c r="FP27" i="4"/>
  <c r="EL27" i="4" s="1"/>
  <c r="FP42" i="4"/>
  <c r="EL42" i="4" s="1"/>
  <c r="FP22" i="4"/>
  <c r="EL22" i="4" s="1"/>
  <c r="FP34" i="4"/>
  <c r="EL34" i="4" s="1"/>
  <c r="T132" i="4"/>
  <c r="EL132" i="4"/>
  <c r="V114" i="4"/>
  <c r="EL114" i="4"/>
  <c r="X36" i="4"/>
  <c r="EL36" i="4"/>
  <c r="EH281" i="4"/>
  <c r="X110" i="4"/>
  <c r="EL110" i="4"/>
  <c r="X158" i="4"/>
  <c r="EL158" i="4"/>
  <c r="AN140" i="4"/>
  <c r="EL140" i="4"/>
  <c r="FP305" i="4"/>
  <c r="V305" i="4" s="1"/>
  <c r="FP192" i="4"/>
  <c r="EL192" i="4" s="1"/>
  <c r="FP272" i="4"/>
  <c r="EL272" i="4" s="1"/>
  <c r="X95" i="4"/>
  <c r="EL95" i="4"/>
  <c r="EH344" i="4"/>
  <c r="FP26" i="4"/>
  <c r="EL26" i="4" s="1"/>
  <c r="FP38" i="4"/>
  <c r="EL38" i="4" s="1"/>
  <c r="EP38" i="4" s="1"/>
  <c r="FP54" i="4"/>
  <c r="EL54" i="4" s="1"/>
  <c r="T96" i="4"/>
  <c r="EL96" i="4"/>
  <c r="FP288" i="4"/>
  <c r="EL288" i="4" s="1"/>
  <c r="BR66" i="4"/>
  <c r="EL66" i="4"/>
  <c r="FP298" i="4"/>
  <c r="EL298" i="4" s="1"/>
  <c r="FP40" i="4"/>
  <c r="EL40" i="4" s="1"/>
  <c r="FP270" i="4"/>
  <c r="EL270" i="4" s="1"/>
  <c r="FP275" i="4"/>
  <c r="CM275" i="4" s="1"/>
  <c r="AB142" i="4"/>
  <c r="EL142" i="4"/>
  <c r="CA147" i="4"/>
  <c r="EL147" i="4"/>
  <c r="ER147" i="4" s="1"/>
  <c r="V152" i="4"/>
  <c r="EL152" i="4"/>
  <c r="FP220" i="4"/>
  <c r="EL220" i="4" s="1"/>
  <c r="FP47" i="4"/>
  <c r="EL47" i="4" s="1"/>
  <c r="FP50" i="4"/>
  <c r="EL50" i="4" s="1"/>
  <c r="FP53" i="4"/>
  <c r="EL53" i="4" s="1"/>
  <c r="FP20" i="4"/>
  <c r="EL20" i="4" s="1"/>
  <c r="FP8" i="4"/>
  <c r="EL8" i="4" s="1"/>
  <c r="FP10" i="4"/>
  <c r="EL10" i="4" s="1"/>
  <c r="FP23" i="4"/>
  <c r="EL23" i="4" s="1"/>
  <c r="X122" i="4"/>
  <c r="EL122" i="4"/>
  <c r="T18" i="4"/>
  <c r="EL18" i="4"/>
  <c r="CA51" i="4"/>
  <c r="EL51" i="4"/>
  <c r="V159" i="4"/>
  <c r="EL159" i="4"/>
  <c r="CF143" i="4"/>
  <c r="EL143" i="4"/>
  <c r="EH309" i="4"/>
  <c r="EH325" i="4"/>
  <c r="EH360" i="4"/>
  <c r="FP393" i="4"/>
  <c r="FB393" i="4" s="1"/>
  <c r="FP208" i="4"/>
  <c r="EL208" i="4" s="1"/>
  <c r="FP273" i="4"/>
  <c r="EL273" i="4" s="1"/>
  <c r="FP17" i="4"/>
  <c r="EL17" i="4" s="1"/>
  <c r="FP276" i="4"/>
  <c r="BT149" i="4"/>
  <c r="EL149" i="4"/>
  <c r="T70" i="4"/>
  <c r="EL70" i="4"/>
  <c r="FP49" i="4"/>
  <c r="EL49" i="4" s="1"/>
  <c r="FP28" i="4"/>
  <c r="EL28" i="4" s="1"/>
  <c r="FP43" i="4"/>
  <c r="EL43" i="4" s="1"/>
  <c r="FP31" i="4"/>
  <c r="EL31" i="4" s="1"/>
  <c r="FP45" i="4"/>
  <c r="EL45" i="4" s="1"/>
  <c r="FP58" i="4"/>
  <c r="EL58" i="4" s="1"/>
  <c r="FP286" i="4"/>
  <c r="EL286" i="4" s="1"/>
  <c r="X131" i="4"/>
  <c r="EL131" i="4"/>
  <c r="AY155" i="4"/>
  <c r="EL155" i="4"/>
  <c r="AY72" i="4"/>
  <c r="EL72" i="4"/>
  <c r="FP291" i="4"/>
  <c r="DQ291" i="4" s="1"/>
  <c r="FP301" i="4"/>
  <c r="EL301" i="4" s="1"/>
  <c r="EH310" i="4"/>
  <c r="BI33" i="4"/>
  <c r="EL33" i="4"/>
  <c r="CR436" i="4"/>
  <c r="FN436" i="4"/>
  <c r="GQ436" i="4" s="1"/>
  <c r="FP436" i="4"/>
  <c r="EL436" i="4" s="1"/>
  <c r="ER436" i="4" s="1"/>
  <c r="EH436" i="4"/>
  <c r="EE431" i="4"/>
  <c r="FP431" i="4"/>
  <c r="EH431" i="4"/>
  <c r="FP434" i="4"/>
  <c r="V434" i="4" s="1"/>
  <c r="EH434" i="4"/>
  <c r="FF33" i="4"/>
  <c r="T33" i="4"/>
  <c r="FJ147" i="4"/>
  <c r="X147" i="4"/>
  <c r="CY427" i="4"/>
  <c r="FP427" i="4"/>
  <c r="AI427" i="4" s="1"/>
  <c r="EH427" i="4"/>
  <c r="EH305" i="4"/>
  <c r="S4" i="13"/>
  <c r="A4" i="17"/>
  <c r="CM68" i="4"/>
  <c r="CR68" i="4"/>
  <c r="CY68" i="4"/>
  <c r="CD68" i="4"/>
  <c r="GS68" i="4"/>
  <c r="DO68" i="4"/>
  <c r="AP68" i="4"/>
  <c r="AW68" i="4"/>
  <c r="AB68" i="4"/>
  <c r="GW68" i="4"/>
  <c r="DT68" i="4"/>
  <c r="R68" i="4"/>
  <c r="FN68" i="4"/>
  <c r="GO68" i="4" s="1"/>
  <c r="V68" i="4"/>
  <c r="DQ68" i="4"/>
  <c r="BR68" i="4"/>
  <c r="BY68" i="4"/>
  <c r="BD68" i="4"/>
  <c r="CO68" i="4"/>
  <c r="P68" i="4"/>
  <c r="X68" i="4"/>
  <c r="AI68" i="4"/>
  <c r="CT68" i="4"/>
  <c r="DA68" i="4"/>
  <c r="CF68" i="4"/>
  <c r="AK68" i="4"/>
  <c r="DV68" i="4"/>
  <c r="EC68" i="4"/>
  <c r="DH68" i="4"/>
  <c r="GQ68" i="4"/>
  <c r="FP68" i="4"/>
  <c r="BK68" i="4"/>
  <c r="AR68" i="4"/>
  <c r="AY68" i="4"/>
  <c r="AD68" i="4"/>
  <c r="GM68" i="4"/>
  <c r="AG68" i="4"/>
  <c r="BT68" i="4"/>
  <c r="CA68" i="4"/>
  <c r="BF68" i="4"/>
  <c r="EA68" i="4"/>
  <c r="BI68" i="4"/>
  <c r="CV68" i="4"/>
  <c r="DC68" i="4"/>
  <c r="CH68" i="4"/>
  <c r="EH68" i="4"/>
  <c r="CK68" i="4"/>
  <c r="DX68" i="4"/>
  <c r="EE68" i="4"/>
  <c r="DJ68" i="4"/>
  <c r="DF68" i="4"/>
  <c r="DM68" i="4"/>
  <c r="AU68" i="4"/>
  <c r="Z68" i="4"/>
  <c r="BM68" i="4"/>
  <c r="BP68" i="4"/>
  <c r="BW68" i="4"/>
  <c r="GW422" i="4"/>
  <c r="FN422" i="4"/>
  <c r="GM422" i="4" s="1"/>
  <c r="FP422" i="4"/>
  <c r="EH422" i="4"/>
  <c r="CT425" i="4"/>
  <c r="FP425" i="4"/>
  <c r="EH425" i="4"/>
  <c r="AG423" i="4"/>
  <c r="FP423" i="4"/>
  <c r="AU423" i="4" s="1"/>
  <c r="EH423" i="4"/>
  <c r="DX424" i="4"/>
  <c r="EH424" i="4"/>
  <c r="FP424" i="4"/>
  <c r="EL424" i="4" s="1"/>
  <c r="ER424" i="4" s="1"/>
  <c r="AH19" i="13"/>
  <c r="AG19" i="13" s="1"/>
  <c r="E88" i="5"/>
  <c r="FF39" i="4"/>
  <c r="GW446" i="4"/>
  <c r="GQ442" i="4"/>
  <c r="GU427" i="4"/>
  <c r="GO444" i="4"/>
  <c r="GW423" i="4"/>
  <c r="GM436" i="4"/>
  <c r="GM434" i="4"/>
  <c r="GQ444" i="4"/>
  <c r="GO446" i="4"/>
  <c r="GO443" i="4"/>
  <c r="GS431" i="4"/>
  <c r="GM427" i="4"/>
  <c r="GO436" i="4"/>
  <c r="GO434" i="4"/>
  <c r="GS444" i="4"/>
  <c r="GQ446" i="4"/>
  <c r="GQ443" i="4"/>
  <c r="GU431" i="4"/>
  <c r="GO427" i="4"/>
  <c r="GU444" i="4"/>
  <c r="GM425" i="4"/>
  <c r="GO422" i="4"/>
  <c r="GQ448" i="4"/>
  <c r="GS434" i="4"/>
  <c r="GO425" i="4"/>
  <c r="GU446" i="4"/>
  <c r="GU443" i="4"/>
  <c r="GM431" i="4"/>
  <c r="GQ422" i="4"/>
  <c r="GS448" i="4"/>
  <c r="GU434" i="4"/>
  <c r="GM445" i="4"/>
  <c r="GM444" i="4"/>
  <c r="GQ425" i="4"/>
  <c r="GW443" i="4"/>
  <c r="GO431" i="4"/>
  <c r="GM424" i="4"/>
  <c r="GU448" i="4"/>
  <c r="HD408" i="4"/>
  <c r="GO445" i="4"/>
  <c r="GS425" i="4"/>
  <c r="GS442" i="4"/>
  <c r="GM443" i="4"/>
  <c r="GU422" i="4"/>
  <c r="GO424" i="4"/>
  <c r="GQ445" i="4"/>
  <c r="GM423" i="4"/>
  <c r="GU425" i="4"/>
  <c r="GU442" i="4"/>
  <c r="GQ424" i="4"/>
  <c r="GM448" i="4"/>
  <c r="FP408" i="4"/>
  <c r="EL408" i="4" s="1"/>
  <c r="EH408" i="4"/>
  <c r="GS445" i="4"/>
  <c r="GO423" i="4"/>
  <c r="GS424" i="4"/>
  <c r="GO448" i="4"/>
  <c r="GU445" i="4"/>
  <c r="GQ423" i="4"/>
  <c r="GM442" i="4"/>
  <c r="GU424" i="4"/>
  <c r="GQ427" i="4"/>
  <c r="GS436" i="4"/>
  <c r="GS423" i="4"/>
  <c r="GO442" i="4"/>
  <c r="GS427" i="4"/>
  <c r="GU436" i="4"/>
  <c r="AF10" i="13"/>
  <c r="AG10" i="13" s="1"/>
  <c r="B500" i="11"/>
  <c r="AF4" i="13"/>
  <c r="B510" i="11"/>
  <c r="AF5" i="13"/>
  <c r="AG5" i="13" s="1"/>
  <c r="B507" i="11"/>
  <c r="AF9" i="13"/>
  <c r="AG9" i="13" s="1"/>
  <c r="B506" i="11"/>
  <c r="AF13" i="13"/>
  <c r="AG13" i="13" s="1"/>
  <c r="B501" i="11"/>
  <c r="X9" i="13"/>
  <c r="Y9" i="13" s="1"/>
  <c r="C477" i="11" s="1"/>
  <c r="B477" i="11"/>
  <c r="X13" i="13"/>
  <c r="B472" i="11"/>
  <c r="AF11" i="13"/>
  <c r="AG11" i="13" s="1"/>
  <c r="B503" i="11"/>
  <c r="X7" i="13"/>
  <c r="B476" i="11"/>
  <c r="X11" i="13"/>
  <c r="Y11" i="13" s="1"/>
  <c r="C474" i="11" s="1"/>
  <c r="B474" i="11"/>
  <c r="AF17" i="13"/>
  <c r="AG17" i="13" s="1"/>
  <c r="B509" i="11"/>
  <c r="X14" i="13"/>
  <c r="B475" i="11"/>
  <c r="X17" i="13"/>
  <c r="B480" i="11"/>
  <c r="AF15" i="13"/>
  <c r="AG15" i="13" s="1"/>
  <c r="B508" i="11"/>
  <c r="X10" i="13"/>
  <c r="B471" i="11"/>
  <c r="AF14" i="13"/>
  <c r="AG14" i="13" s="1"/>
  <c r="B504" i="11"/>
  <c r="X5" i="13"/>
  <c r="B478" i="11"/>
  <c r="AF7" i="13"/>
  <c r="AG7" i="13" s="1"/>
  <c r="B505" i="11"/>
  <c r="X15" i="13"/>
  <c r="Y15" i="13" s="1"/>
  <c r="C479" i="11" s="1"/>
  <c r="B479" i="11"/>
  <c r="X4" i="13"/>
  <c r="B481" i="11"/>
  <c r="BD413" i="4"/>
  <c r="FP413" i="4"/>
  <c r="EH413" i="4"/>
  <c r="GM409" i="4"/>
  <c r="FP409" i="4"/>
  <c r="AP409" i="4" s="1"/>
  <c r="EH409" i="4"/>
  <c r="DT405" i="4"/>
  <c r="FN405" i="4"/>
  <c r="GQ405" i="4" s="1"/>
  <c r="GS406" i="4"/>
  <c r="FN406" i="4"/>
  <c r="GQ406" i="4" s="1"/>
  <c r="EH393" i="4"/>
  <c r="EH398" i="4"/>
  <c r="FP399" i="4"/>
  <c r="EL399" i="4" s="1"/>
  <c r="EH399" i="4"/>
  <c r="EH406" i="4"/>
  <c r="FP406" i="4"/>
  <c r="HD405" i="4"/>
  <c r="FJ93" i="4"/>
  <c r="Y19" i="15"/>
  <c r="AE19" i="15" s="1"/>
  <c r="FP405" i="4"/>
  <c r="EL405" i="4" s="1"/>
  <c r="ER405" i="4" s="1"/>
  <c r="EH405" i="4"/>
  <c r="FH157" i="4"/>
  <c r="AB7" i="13"/>
  <c r="B448" i="11"/>
  <c r="AB17" i="13"/>
  <c r="B452" i="11"/>
  <c r="AB4" i="13"/>
  <c r="B453" i="11"/>
  <c r="AB10" i="13"/>
  <c r="B443" i="11"/>
  <c r="AB14" i="13"/>
  <c r="B447" i="11"/>
  <c r="AB5" i="13"/>
  <c r="B450" i="11"/>
  <c r="AB15" i="13"/>
  <c r="B451" i="11"/>
  <c r="AB9" i="13"/>
  <c r="B449" i="11"/>
  <c r="AB13" i="13"/>
  <c r="B444" i="11"/>
  <c r="AB11" i="13"/>
  <c r="AC11" i="13" s="1"/>
  <c r="B446" i="11"/>
  <c r="EH301" i="4"/>
  <c r="FJ119" i="4"/>
  <c r="FL111" i="4"/>
  <c r="CR397" i="4"/>
  <c r="FN397" i="4"/>
  <c r="GM397" i="4" s="1"/>
  <c r="BI401" i="4"/>
  <c r="FN401" i="4"/>
  <c r="GM401" i="4" s="1"/>
  <c r="EH397" i="4"/>
  <c r="FP397" i="4"/>
  <c r="GO394" i="4"/>
  <c r="FN394" i="4"/>
  <c r="GM394" i="4" s="1"/>
  <c r="EH395" i="4"/>
  <c r="FP395" i="4"/>
  <c r="FP398" i="4"/>
  <c r="AB395" i="4"/>
  <c r="FN395" i="4"/>
  <c r="GM395" i="4" s="1"/>
  <c r="EH401" i="4"/>
  <c r="FP401" i="4"/>
  <c r="EH394" i="4"/>
  <c r="FP394" i="4"/>
  <c r="EL394" i="4" s="1"/>
  <c r="EP394" i="4" s="1"/>
  <c r="BY396" i="4"/>
  <c r="EH396" i="4"/>
  <c r="FP396" i="4"/>
  <c r="FH140" i="4"/>
  <c r="FJ51" i="4"/>
  <c r="FJ95" i="4"/>
  <c r="CM384" i="4"/>
  <c r="FN384" i="4"/>
  <c r="GM384" i="4" s="1"/>
  <c r="GO385" i="4"/>
  <c r="FN385" i="4"/>
  <c r="GM385" i="4" s="1"/>
  <c r="FN390" i="4"/>
  <c r="GM390" i="4" s="1"/>
  <c r="GO391" i="4"/>
  <c r="FN391" i="4"/>
  <c r="GM391" i="4" s="1"/>
  <c r="GO386" i="4"/>
  <c r="GO381" i="4"/>
  <c r="FN381" i="4"/>
  <c r="GM381" i="4" s="1"/>
  <c r="CR383" i="4"/>
  <c r="FN383" i="4"/>
  <c r="GM383" i="4" s="1"/>
  <c r="HD381" i="4"/>
  <c r="EH381" i="4"/>
  <c r="FP381" i="4"/>
  <c r="BF381" i="4" s="1"/>
  <c r="EH384" i="4"/>
  <c r="FP384" i="4"/>
  <c r="EH383" i="4"/>
  <c r="FP383" i="4"/>
  <c r="FP385" i="4"/>
  <c r="CA385" i="4" s="1"/>
  <c r="EH385" i="4"/>
  <c r="EH390" i="4"/>
  <c r="FP390" i="4"/>
  <c r="FP392" i="4"/>
  <c r="EH392" i="4"/>
  <c r="EH391" i="4"/>
  <c r="FP391" i="4"/>
  <c r="CR373" i="4"/>
  <c r="FN373" i="4"/>
  <c r="GM373" i="4" s="1"/>
  <c r="FP387" i="4"/>
  <c r="EH387" i="4"/>
  <c r="EH386" i="4"/>
  <c r="FP386" i="4"/>
  <c r="FP382" i="4"/>
  <c r="EH382" i="4"/>
  <c r="FP389" i="4"/>
  <c r="EL389" i="4" s="1"/>
  <c r="EH389" i="4"/>
  <c r="DV431" i="4"/>
  <c r="BI442" i="4"/>
  <c r="EC406" i="4"/>
  <c r="GM406" i="4"/>
  <c r="GO395" i="4"/>
  <c r="GQ394" i="4"/>
  <c r="GS409" i="4"/>
  <c r="BP431" i="4"/>
  <c r="CA442" i="4"/>
  <c r="GW395" i="4"/>
  <c r="GW394" i="4"/>
  <c r="GQ409" i="4"/>
  <c r="BT443" i="4"/>
  <c r="X413" i="4"/>
  <c r="GW396" i="4"/>
  <c r="GO401" i="4"/>
  <c r="GU394" i="4"/>
  <c r="GO409" i="4"/>
  <c r="CK443" i="4"/>
  <c r="GU396" i="4"/>
  <c r="GQ397" i="4"/>
  <c r="GQ395" i="4"/>
  <c r="GW397" i="4"/>
  <c r="GS413" i="4"/>
  <c r="DO423" i="4"/>
  <c r="GQ396" i="4"/>
  <c r="GU397" i="4"/>
  <c r="GS405" i="4"/>
  <c r="GU413" i="4"/>
  <c r="DQ446" i="4"/>
  <c r="GO396" i="4"/>
  <c r="GQ413" i="4"/>
  <c r="AG446" i="4"/>
  <c r="GO406" i="4"/>
  <c r="GO397" i="4"/>
  <c r="GO405" i="4"/>
  <c r="GO413" i="4"/>
  <c r="P401" i="4"/>
  <c r="GM413" i="4"/>
  <c r="R446" i="4"/>
  <c r="GW401" i="4"/>
  <c r="GU405" i="4"/>
  <c r="EC431" i="4"/>
  <c r="BK444" i="4"/>
  <c r="GU406" i="4"/>
  <c r="GU401" i="4"/>
  <c r="GM405" i="4"/>
  <c r="GU409" i="4"/>
  <c r="EA431" i="4"/>
  <c r="CH442" i="4"/>
  <c r="GQ401" i="4"/>
  <c r="GU395" i="4"/>
  <c r="BK422" i="4"/>
  <c r="CT422" i="4"/>
  <c r="CY422" i="4"/>
  <c r="BB422" i="4"/>
  <c r="BW422" i="4"/>
  <c r="AW422" i="4"/>
  <c r="BP422" i="4"/>
  <c r="AB422" i="4"/>
  <c r="DJ422" i="4"/>
  <c r="BD422" i="4"/>
  <c r="CV422" i="4"/>
  <c r="AU422" i="4"/>
  <c r="BM422" i="4"/>
  <c r="CR422" i="4"/>
  <c r="CD422" i="4"/>
  <c r="T422" i="4"/>
  <c r="AY422" i="4"/>
  <c r="BI422" i="4"/>
  <c r="DO422" i="4"/>
  <c r="EE422" i="4"/>
  <c r="CK422" i="4"/>
  <c r="DQ422" i="4"/>
  <c r="P422" i="4"/>
  <c r="DX422" i="4"/>
  <c r="AD422" i="4"/>
  <c r="AN422" i="4"/>
  <c r="AI422" i="4"/>
  <c r="DF422" i="4"/>
  <c r="DH422" i="4"/>
  <c r="BY422" i="4"/>
  <c r="AP422" i="4"/>
  <c r="DT422" i="4"/>
  <c r="CM422" i="4"/>
  <c r="CF422" i="4"/>
  <c r="AR422" i="4"/>
  <c r="DM422" i="4"/>
  <c r="Z422" i="4"/>
  <c r="BT422" i="4"/>
  <c r="AK422" i="4"/>
  <c r="DC422" i="4"/>
  <c r="BR422" i="4"/>
  <c r="AG422" i="4"/>
  <c r="EA422" i="4"/>
  <c r="EC422" i="4"/>
  <c r="AR444" i="4"/>
  <c r="AI444" i="4"/>
  <c r="DQ444" i="4"/>
  <c r="AB444" i="4"/>
  <c r="BD444" i="4"/>
  <c r="AU444" i="4"/>
  <c r="EC444" i="4"/>
  <c r="DT444" i="4"/>
  <c r="R444" i="4"/>
  <c r="BP444" i="4"/>
  <c r="DC444" i="4"/>
  <c r="N444" i="4"/>
  <c r="AP444" i="4"/>
  <c r="AG444" i="4"/>
  <c r="EA444" i="4"/>
  <c r="CH444" i="4"/>
  <c r="P444" i="4"/>
  <c r="BB444" i="4"/>
  <c r="CO444" i="4"/>
  <c r="X444" i="4"/>
  <c r="CT444" i="4"/>
  <c r="DH444" i="4"/>
  <c r="DJ444" i="4"/>
  <c r="DA444" i="4"/>
  <c r="BT444" i="4"/>
  <c r="DF444" i="4"/>
  <c r="BY444" i="4"/>
  <c r="DV444" i="4"/>
  <c r="DM444" i="4"/>
  <c r="CF444" i="4"/>
  <c r="AY444" i="4"/>
  <c r="AN444" i="4"/>
  <c r="T444" i="4"/>
  <c r="CD444" i="4"/>
  <c r="BI444" i="4"/>
  <c r="BM444" i="4"/>
  <c r="DT406" i="4"/>
  <c r="CY406" i="4"/>
  <c r="R406" i="4"/>
  <c r="DH406" i="4"/>
  <c r="AR406" i="4"/>
  <c r="AI406" i="4"/>
  <c r="CH406" i="4"/>
  <c r="BM406" i="4"/>
  <c r="BD406" i="4"/>
  <c r="AU406" i="4"/>
  <c r="CT406" i="4"/>
  <c r="BY406" i="4"/>
  <c r="BP406" i="4"/>
  <c r="DC406" i="4"/>
  <c r="DF406" i="4"/>
  <c r="CK406" i="4"/>
  <c r="DX406" i="4"/>
  <c r="DO406" i="4"/>
  <c r="CF406" i="4"/>
  <c r="AD406" i="4"/>
  <c r="AG406" i="4"/>
  <c r="EA406" i="4"/>
  <c r="AY406" i="4"/>
  <c r="AP406" i="4"/>
  <c r="CO406" i="4"/>
  <c r="AK406" i="4"/>
  <c r="BT406" i="4"/>
  <c r="BB406" i="4"/>
  <c r="DA406" i="4"/>
  <c r="BW406" i="4"/>
  <c r="DJ406" i="4"/>
  <c r="DM406" i="4"/>
  <c r="BI406" i="4"/>
  <c r="EE406" i="4"/>
  <c r="DV406" i="4"/>
  <c r="DQ406" i="4"/>
  <c r="CR406" i="4"/>
  <c r="CV406" i="4"/>
  <c r="T406" i="4"/>
  <c r="CD406" i="4"/>
  <c r="Z406" i="4"/>
  <c r="CF409" i="4"/>
  <c r="BM409" i="4"/>
  <c r="DX409" i="4"/>
  <c r="N409" i="4"/>
  <c r="CR409" i="4"/>
  <c r="BY409" i="4"/>
  <c r="BP409" i="4"/>
  <c r="AD409" i="4"/>
  <c r="BF409" i="4"/>
  <c r="AY409" i="4"/>
  <c r="CK409" i="4"/>
  <c r="CH409" i="4"/>
  <c r="AR409" i="4"/>
  <c r="BR409" i="4"/>
  <c r="BK409" i="4"/>
  <c r="R409" i="4"/>
  <c r="BB409" i="4"/>
  <c r="DQ409" i="4"/>
  <c r="CD409" i="4"/>
  <c r="BW409" i="4"/>
  <c r="AG409" i="4"/>
  <c r="Z409" i="4"/>
  <c r="CO409" i="4"/>
  <c r="AI409" i="4"/>
  <c r="EE409" i="4"/>
  <c r="DF409" i="4"/>
  <c r="CY409" i="4"/>
  <c r="CA409" i="4"/>
  <c r="AU409" i="4"/>
  <c r="AW409" i="4"/>
  <c r="DM409" i="4"/>
  <c r="BI409" i="4"/>
  <c r="DC409" i="4"/>
  <c r="AB409" i="4"/>
  <c r="DV409" i="4"/>
  <c r="EA409" i="4"/>
  <c r="CV409" i="4"/>
  <c r="CT409" i="4"/>
  <c r="EC409" i="4"/>
  <c r="BT409" i="4"/>
  <c r="DT409" i="4"/>
  <c r="DJ409" i="4"/>
  <c r="DA409" i="4"/>
  <c r="DO409" i="4"/>
  <c r="X409" i="4"/>
  <c r="AN409" i="4"/>
  <c r="DH409" i="4"/>
  <c r="T409" i="4"/>
  <c r="AK409" i="4"/>
  <c r="BD409" i="4"/>
  <c r="CM409" i="4"/>
  <c r="CR431" i="4"/>
  <c r="BM431" i="4"/>
  <c r="DX431" i="4"/>
  <c r="BP446" i="4"/>
  <c r="DX446" i="4"/>
  <c r="AB446" i="4"/>
  <c r="EC442" i="4"/>
  <c r="CM442" i="4"/>
  <c r="CF443" i="4"/>
  <c r="AK443" i="4"/>
  <c r="DT401" i="4"/>
  <c r="BW444" i="4"/>
  <c r="CM444" i="4"/>
  <c r="N406" i="4"/>
  <c r="CY423" i="4"/>
  <c r="V422" i="4"/>
  <c r="AD431" i="4"/>
  <c r="CD431" i="4"/>
  <c r="DJ431" i="4"/>
  <c r="BD431" i="4"/>
  <c r="CO446" i="4"/>
  <c r="BW446" i="4"/>
  <c r="CT442" i="4"/>
  <c r="AW442" i="4"/>
  <c r="DV442" i="4"/>
  <c r="X443" i="4"/>
  <c r="BY443" i="4"/>
  <c r="DC401" i="4"/>
  <c r="DF401" i="4"/>
  <c r="Z444" i="4"/>
  <c r="AD444" i="4"/>
  <c r="BW397" i="4"/>
  <c r="BR406" i="4"/>
  <c r="AI423" i="4"/>
  <c r="DO413" i="4"/>
  <c r="Z436" i="4"/>
  <c r="DH436" i="4"/>
  <c r="CM436" i="4"/>
  <c r="AU436" i="4"/>
  <c r="DM436" i="4"/>
  <c r="CH436" i="4"/>
  <c r="DT436" i="4"/>
  <c r="CY436" i="4"/>
  <c r="DC436" i="4"/>
  <c r="CT436" i="4"/>
  <c r="BM436" i="4"/>
  <c r="T436" i="4"/>
  <c r="DO436" i="4"/>
  <c r="DF436" i="4"/>
  <c r="BY436" i="4"/>
  <c r="AR436" i="4"/>
  <c r="EA436" i="4"/>
  <c r="AY436" i="4"/>
  <c r="CK436" i="4"/>
  <c r="BD436" i="4"/>
  <c r="DA436" i="4"/>
  <c r="BK436" i="4"/>
  <c r="R436" i="4"/>
  <c r="BP436" i="4"/>
  <c r="BT436" i="4"/>
  <c r="AK436" i="4"/>
  <c r="BW436" i="4"/>
  <c r="AD436" i="4"/>
  <c r="DX436" i="4"/>
  <c r="AG436" i="4"/>
  <c r="AW436" i="4"/>
  <c r="EE436" i="4"/>
  <c r="CO436" i="4"/>
  <c r="DQ436" i="4"/>
  <c r="AB436" i="4"/>
  <c r="DJ436" i="4"/>
  <c r="BR436" i="4"/>
  <c r="CF436" i="4"/>
  <c r="N436" i="4"/>
  <c r="CV436" i="4"/>
  <c r="CA436" i="4"/>
  <c r="AI436" i="4"/>
  <c r="X436" i="4"/>
  <c r="BI436" i="4"/>
  <c r="EC436" i="4"/>
  <c r="AN436" i="4"/>
  <c r="BB436" i="4"/>
  <c r="DV436" i="4"/>
  <c r="BF436" i="4"/>
  <c r="CD436" i="4"/>
  <c r="BD448" i="4"/>
  <c r="X448" i="4"/>
  <c r="CT448" i="4"/>
  <c r="BF448" i="4"/>
  <c r="CV448" i="4"/>
  <c r="BP448" i="4"/>
  <c r="BT448" i="4"/>
  <c r="DF448" i="4"/>
  <c r="CK448" i="4"/>
  <c r="P448" i="4"/>
  <c r="DX448" i="4"/>
  <c r="CF448" i="4"/>
  <c r="AY448" i="4"/>
  <c r="BR448" i="4"/>
  <c r="CO448" i="4"/>
  <c r="AK448" i="4"/>
  <c r="BW448" i="4"/>
  <c r="DT448" i="4"/>
  <c r="DM448" i="4"/>
  <c r="BI448" i="4"/>
  <c r="R448" i="4"/>
  <c r="CM448" i="4"/>
  <c r="AI448" i="4"/>
  <c r="DQ448" i="4"/>
  <c r="AD448" i="4"/>
  <c r="CA448" i="4"/>
  <c r="BY448" i="4"/>
  <c r="EC448" i="4"/>
  <c r="AB448" i="4"/>
  <c r="N448" i="4"/>
  <c r="BM448" i="4"/>
  <c r="T448" i="4"/>
  <c r="Z448" i="4"/>
  <c r="DH448" i="4"/>
  <c r="AR448" i="4"/>
  <c r="CH448" i="4"/>
  <c r="CD448" i="4"/>
  <c r="AG448" i="4"/>
  <c r="BK448" i="4"/>
  <c r="CY448" i="4"/>
  <c r="DA448" i="4"/>
  <c r="EE448" i="4"/>
  <c r="AU448" i="4"/>
  <c r="AP448" i="4"/>
  <c r="DC448" i="4"/>
  <c r="BB448" i="4"/>
  <c r="DO448" i="4"/>
  <c r="CR448" i="4"/>
  <c r="AN448" i="4"/>
  <c r="CF431" i="4"/>
  <c r="AN431" i="4"/>
  <c r="AW431" i="4"/>
  <c r="AR431" i="4"/>
  <c r="CA446" i="4"/>
  <c r="DJ446" i="4"/>
  <c r="CF442" i="4"/>
  <c r="BR442" i="4"/>
  <c r="AP442" i="4"/>
  <c r="BF443" i="4"/>
  <c r="DH443" i="4"/>
  <c r="CD401" i="4"/>
  <c r="CT401" i="4"/>
  <c r="AW444" i="4"/>
  <c r="BK397" i="4"/>
  <c r="BF406" i="4"/>
  <c r="DJ423" i="4"/>
  <c r="CO405" i="4"/>
  <c r="BP413" i="4"/>
  <c r="DJ448" i="4"/>
  <c r="BM434" i="4"/>
  <c r="BD434" i="4"/>
  <c r="DC434" i="4"/>
  <c r="CR434" i="4"/>
  <c r="BY434" i="4"/>
  <c r="BP434" i="4"/>
  <c r="DO434" i="4"/>
  <c r="BK434" i="4"/>
  <c r="CK434" i="4"/>
  <c r="DX434" i="4"/>
  <c r="EA434" i="4"/>
  <c r="CF434" i="4"/>
  <c r="AI434" i="4"/>
  <c r="AU434" i="4"/>
  <c r="BB434" i="4"/>
  <c r="AR434" i="4"/>
  <c r="BI434" i="4"/>
  <c r="AY434" i="4"/>
  <c r="DJ434" i="4"/>
  <c r="CO434" i="4"/>
  <c r="DQ434" i="4"/>
  <c r="BT434" i="4"/>
  <c r="AB434" i="4"/>
  <c r="DV434" i="4"/>
  <c r="DA434" i="4"/>
  <c r="EC434" i="4"/>
  <c r="AK434" i="4"/>
  <c r="AN434" i="4"/>
  <c r="N434" i="4"/>
  <c r="DM434" i="4"/>
  <c r="BW434" i="4"/>
  <c r="DT434" i="4"/>
  <c r="CY434" i="4"/>
  <c r="CD434" i="4"/>
  <c r="EE434" i="4"/>
  <c r="Z434" i="4"/>
  <c r="AG434" i="4"/>
  <c r="AP434" i="4"/>
  <c r="CA434" i="4"/>
  <c r="T434" i="4"/>
  <c r="CM434" i="4"/>
  <c r="AD434" i="4"/>
  <c r="R434" i="4"/>
  <c r="BF434" i="4"/>
  <c r="BR434" i="4"/>
  <c r="X434" i="4"/>
  <c r="CH434" i="4"/>
  <c r="DH434" i="4"/>
  <c r="DF434" i="4"/>
  <c r="BT427" i="4"/>
  <c r="DF427" i="4"/>
  <c r="BY427" i="4"/>
  <c r="CO427" i="4"/>
  <c r="BP427" i="4"/>
  <c r="CF427" i="4"/>
  <c r="AY427" i="4"/>
  <c r="CK427" i="4"/>
  <c r="DA427" i="4"/>
  <c r="BR427" i="4"/>
  <c r="CR427" i="4"/>
  <c r="BK427" i="4"/>
  <c r="R427" i="4"/>
  <c r="DM427" i="4"/>
  <c r="BD427" i="4"/>
  <c r="AK427" i="4"/>
  <c r="BW427" i="4"/>
  <c r="AD427" i="4"/>
  <c r="AW427" i="4"/>
  <c r="EE427" i="4"/>
  <c r="AP427" i="4"/>
  <c r="AU427" i="4"/>
  <c r="T427" i="4"/>
  <c r="BI427" i="4"/>
  <c r="BB427" i="4"/>
  <c r="DC427" i="4"/>
  <c r="DX427" i="4"/>
  <c r="DQ427" i="4"/>
  <c r="AB427" i="4"/>
  <c r="DJ427" i="4"/>
  <c r="DO427" i="4"/>
  <c r="EC427" i="4"/>
  <c r="AN427" i="4"/>
  <c r="DV427" i="4"/>
  <c r="EA427" i="4"/>
  <c r="Z427" i="4"/>
  <c r="DH427" i="4"/>
  <c r="CM427" i="4"/>
  <c r="X427" i="4"/>
  <c r="CT427" i="4"/>
  <c r="BM427" i="4"/>
  <c r="AG427" i="4"/>
  <c r="CD427" i="4"/>
  <c r="AR427" i="4"/>
  <c r="N427" i="4"/>
  <c r="CH427" i="4"/>
  <c r="CV427" i="4"/>
  <c r="DT427" i="4"/>
  <c r="CA427" i="4"/>
  <c r="BF427" i="4"/>
  <c r="AI446" i="4"/>
  <c r="AY446" i="4"/>
  <c r="CF446" i="4"/>
  <c r="CK446" i="4"/>
  <c r="DA446" i="4"/>
  <c r="AU446" i="4"/>
  <c r="BK446" i="4"/>
  <c r="DH446" i="4"/>
  <c r="EE446" i="4"/>
  <c r="EC446" i="4"/>
  <c r="EA446" i="4"/>
  <c r="AD446" i="4"/>
  <c r="DV446" i="4"/>
  <c r="BY446" i="4"/>
  <c r="AN446" i="4"/>
  <c r="BT446" i="4"/>
  <c r="AP446" i="4"/>
  <c r="CV446" i="4"/>
  <c r="DM446" i="4"/>
  <c r="CD446" i="4"/>
  <c r="DF431" i="4"/>
  <c r="AB431" i="4"/>
  <c r="X431" i="4"/>
  <c r="T431" i="4"/>
  <c r="BM446" i="4"/>
  <c r="P446" i="4"/>
  <c r="CT446" i="4"/>
  <c r="AU442" i="4"/>
  <c r="BF442" i="4"/>
  <c r="DM443" i="4"/>
  <c r="AN443" i="4"/>
  <c r="BR401" i="4"/>
  <c r="CH401" i="4"/>
  <c r="AK444" i="4"/>
  <c r="AK397" i="4"/>
  <c r="CM406" i="4"/>
  <c r="DF423" i="4"/>
  <c r="DX405" i="4"/>
  <c r="EA448" i="4"/>
  <c r="CV442" i="4"/>
  <c r="T442" i="4"/>
  <c r="CD442" i="4"/>
  <c r="BY442" i="4"/>
  <c r="DH442" i="4"/>
  <c r="AR442" i="4"/>
  <c r="AK442" i="4"/>
  <c r="Z442" i="4"/>
  <c r="DT442" i="4"/>
  <c r="AD442" i="4"/>
  <c r="DX442" i="4"/>
  <c r="DQ442" i="4"/>
  <c r="CR442" i="4"/>
  <c r="BK442" i="4"/>
  <c r="BB442" i="4"/>
  <c r="CO442" i="4"/>
  <c r="AI442" i="4"/>
  <c r="EA442" i="4"/>
  <c r="BW442" i="4"/>
  <c r="DJ442" i="4"/>
  <c r="CH431" i="4"/>
  <c r="DM431" i="4"/>
  <c r="CK431" i="4"/>
  <c r="V446" i="4"/>
  <c r="BF446" i="4"/>
  <c r="CH446" i="4"/>
  <c r="BM442" i="4"/>
  <c r="V442" i="4"/>
  <c r="AN442" i="4"/>
  <c r="DX443" i="4"/>
  <c r="BW443" i="4"/>
  <c r="CO401" i="4"/>
  <c r="CR444" i="4"/>
  <c r="CA406" i="4"/>
  <c r="CF423" i="4"/>
  <c r="BM405" i="4"/>
  <c r="CH424" i="4"/>
  <c r="CO424" i="4"/>
  <c r="CR424" i="4"/>
  <c r="AY424" i="4"/>
  <c r="CT424" i="4"/>
  <c r="DO424" i="4"/>
  <c r="EE424" i="4"/>
  <c r="BY424" i="4"/>
  <c r="DF424" i="4"/>
  <c r="AG424" i="4"/>
  <c r="CY424" i="4"/>
  <c r="CM424" i="4"/>
  <c r="AP424" i="4"/>
  <c r="CF424" i="4"/>
  <c r="AI424" i="4"/>
  <c r="AR424" i="4"/>
  <c r="EC424" i="4"/>
  <c r="DH424" i="4"/>
  <c r="BD424" i="4"/>
  <c r="AN424" i="4"/>
  <c r="BR424" i="4"/>
  <c r="DT424" i="4"/>
  <c r="X424" i="4"/>
  <c r="BM424" i="4"/>
  <c r="BT424" i="4"/>
  <c r="DM424" i="4"/>
  <c r="AU424" i="4"/>
  <c r="CA424" i="4"/>
  <c r="AW424" i="4"/>
  <c r="DA424" i="4"/>
  <c r="BW424" i="4"/>
  <c r="EA424" i="4"/>
  <c r="DJ424" i="4"/>
  <c r="BB424" i="4"/>
  <c r="DV424" i="4"/>
  <c r="AD424" i="4"/>
  <c r="CK424" i="4"/>
  <c r="T424" i="4"/>
  <c r="DC424" i="4"/>
  <c r="AK424" i="4"/>
  <c r="BP424" i="4"/>
  <c r="CD424" i="4"/>
  <c r="BI424" i="4"/>
  <c r="Z424" i="4"/>
  <c r="BF424" i="4"/>
  <c r="BI397" i="4"/>
  <c r="P397" i="4"/>
  <c r="BB397" i="4"/>
  <c r="CO397" i="4"/>
  <c r="AI397" i="4"/>
  <c r="DQ397" i="4"/>
  <c r="AB397" i="4"/>
  <c r="DJ397" i="4"/>
  <c r="DA397" i="4"/>
  <c r="AU397" i="4"/>
  <c r="EC397" i="4"/>
  <c r="AN397" i="4"/>
  <c r="DV397" i="4"/>
  <c r="DM397" i="4"/>
  <c r="DC397" i="4"/>
  <c r="N397" i="4"/>
  <c r="CV397" i="4"/>
  <c r="CA397" i="4"/>
  <c r="BF397" i="4"/>
  <c r="DO397" i="4"/>
  <c r="Z397" i="4"/>
  <c r="DH397" i="4"/>
  <c r="CM397" i="4"/>
  <c r="V397" i="4"/>
  <c r="EA397" i="4"/>
  <c r="CH397" i="4"/>
  <c r="DT397" i="4"/>
  <c r="CY397" i="4"/>
  <c r="CD397" i="4"/>
  <c r="CT397" i="4"/>
  <c r="BM397" i="4"/>
  <c r="T397" i="4"/>
  <c r="BR397" i="4"/>
  <c r="BT397" i="4"/>
  <c r="DF397" i="4"/>
  <c r="BY397" i="4"/>
  <c r="AR397" i="4"/>
  <c r="CF397" i="4"/>
  <c r="AY397" i="4"/>
  <c r="CK397" i="4"/>
  <c r="BD397" i="4"/>
  <c r="AW397" i="4"/>
  <c r="EE397" i="4"/>
  <c r="AP397" i="4"/>
  <c r="AG397" i="4"/>
  <c r="AU431" i="4"/>
  <c r="AK431" i="4"/>
  <c r="BB431" i="4"/>
  <c r="CT431" i="4"/>
  <c r="BW431" i="4"/>
  <c r="DT431" i="4"/>
  <c r="CY431" i="4"/>
  <c r="BR431" i="4"/>
  <c r="AG431" i="4"/>
  <c r="CR401" i="4"/>
  <c r="BK401" i="4"/>
  <c r="BP401" i="4"/>
  <c r="EA401" i="4"/>
  <c r="AK401" i="4"/>
  <c r="BW401" i="4"/>
  <c r="AD401" i="4"/>
  <c r="DX401" i="4"/>
  <c r="AI401" i="4"/>
  <c r="AW401" i="4"/>
  <c r="EE401" i="4"/>
  <c r="AP401" i="4"/>
  <c r="AG401" i="4"/>
  <c r="DO401" i="4"/>
  <c r="DQ401" i="4"/>
  <c r="AB401" i="4"/>
  <c r="DJ401" i="4"/>
  <c r="DA401" i="4"/>
  <c r="EC401" i="4"/>
  <c r="AN401" i="4"/>
  <c r="DV401" i="4"/>
  <c r="DM401" i="4"/>
  <c r="N401" i="4"/>
  <c r="CV401" i="4"/>
  <c r="CA401" i="4"/>
  <c r="V401" i="4"/>
  <c r="Z401" i="4"/>
  <c r="DH401" i="4"/>
  <c r="CM401" i="4"/>
  <c r="BF401" i="4"/>
  <c r="CF401" i="4"/>
  <c r="CK401" i="4"/>
  <c r="BD401" i="4"/>
  <c r="AU401" i="4"/>
  <c r="DQ431" i="4"/>
  <c r="DA431" i="4"/>
  <c r="BY431" i="4"/>
  <c r="BK431" i="4"/>
  <c r="CM446" i="4"/>
  <c r="AR446" i="4"/>
  <c r="Z446" i="4"/>
  <c r="DF442" i="4"/>
  <c r="DM442" i="4"/>
  <c r="AB442" i="4"/>
  <c r="BP443" i="4"/>
  <c r="BK443" i="4"/>
  <c r="AR401" i="4"/>
  <c r="BT401" i="4"/>
  <c r="DO444" i="4"/>
  <c r="AN406" i="4"/>
  <c r="CO423" i="4"/>
  <c r="N422" i="4"/>
  <c r="CT434" i="4"/>
  <c r="CM425" i="4"/>
  <c r="CR425" i="4"/>
  <c r="CH425" i="4"/>
  <c r="CY425" i="4"/>
  <c r="EE425" i="4"/>
  <c r="DH425" i="4"/>
  <c r="AP425" i="4"/>
  <c r="T425" i="4"/>
  <c r="AI425" i="4"/>
  <c r="AB425" i="4"/>
  <c r="BP425" i="4"/>
  <c r="BF425" i="4"/>
  <c r="CV425" i="4"/>
  <c r="BB425" i="4"/>
  <c r="DC425" i="4"/>
  <c r="CF425" i="4"/>
  <c r="DV425" i="4"/>
  <c r="CO425" i="4"/>
  <c r="DO425" i="4"/>
  <c r="DF425" i="4"/>
  <c r="X425" i="4"/>
  <c r="EA425" i="4"/>
  <c r="AK425" i="4"/>
  <c r="R425" i="4"/>
  <c r="AG425" i="4"/>
  <c r="BK425" i="4"/>
  <c r="AN425" i="4"/>
  <c r="AW425" i="4"/>
  <c r="AD425" i="4"/>
  <c r="BT425" i="4"/>
  <c r="BW425" i="4"/>
  <c r="DM425" i="4"/>
  <c r="DQ425" i="4"/>
  <c r="CD425" i="4"/>
  <c r="DT425" i="4"/>
  <c r="N425" i="4"/>
  <c r="CK425" i="4"/>
  <c r="CA425" i="4"/>
  <c r="BR425" i="4"/>
  <c r="AU425" i="4"/>
  <c r="BM425" i="4"/>
  <c r="DX425" i="4"/>
  <c r="DJ425" i="4"/>
  <c r="Z425" i="4"/>
  <c r="DA425" i="4"/>
  <c r="AY425" i="4"/>
  <c r="BI425" i="4"/>
  <c r="EC425" i="4"/>
  <c r="BD425" i="4"/>
  <c r="AR425" i="4"/>
  <c r="CV445" i="4"/>
  <c r="CA445" i="4"/>
  <c r="DM445" i="4"/>
  <c r="CF445" i="4"/>
  <c r="CH445" i="4"/>
  <c r="DH445" i="4"/>
  <c r="CM445" i="4"/>
  <c r="CR445" i="4"/>
  <c r="AY445" i="4"/>
  <c r="DT445" i="4"/>
  <c r="CY445" i="4"/>
  <c r="BF445" i="4"/>
  <c r="AK445" i="4"/>
  <c r="N445" i="4"/>
  <c r="BM445" i="4"/>
  <c r="BR445" i="4"/>
  <c r="AW445" i="4"/>
  <c r="BW445" i="4"/>
  <c r="BY445" i="4"/>
  <c r="T445" i="4"/>
  <c r="CD445" i="4"/>
  <c r="BI445" i="4"/>
  <c r="CK445" i="4"/>
  <c r="AR445" i="4"/>
  <c r="AI445" i="4"/>
  <c r="DQ445" i="4"/>
  <c r="R445" i="4"/>
  <c r="BD445" i="4"/>
  <c r="AU445" i="4"/>
  <c r="AD445" i="4"/>
  <c r="BP445" i="4"/>
  <c r="DC445" i="4"/>
  <c r="EE445" i="4"/>
  <c r="P445" i="4"/>
  <c r="BB445" i="4"/>
  <c r="AG445" i="4"/>
  <c r="EA445" i="4"/>
  <c r="BK445" i="4"/>
  <c r="AN445" i="4"/>
  <c r="DV445" i="4"/>
  <c r="DA445" i="4"/>
  <c r="BT445" i="4"/>
  <c r="DF445" i="4"/>
  <c r="DX445" i="4"/>
  <c r="CO445" i="4"/>
  <c r="DO445" i="4"/>
  <c r="X445" i="4"/>
  <c r="CT445" i="4"/>
  <c r="Z445" i="4"/>
  <c r="AB445" i="4"/>
  <c r="AP445" i="4"/>
  <c r="DO405" i="4"/>
  <c r="Z405" i="4"/>
  <c r="DH405" i="4"/>
  <c r="AR405" i="4"/>
  <c r="BF405" i="4"/>
  <c r="CF405" i="4"/>
  <c r="AY405" i="4"/>
  <c r="CK405" i="4"/>
  <c r="AG405" i="4"/>
  <c r="DC405" i="4"/>
  <c r="CT405" i="4"/>
  <c r="R405" i="4"/>
  <c r="DM405" i="4"/>
  <c r="EA405" i="4"/>
  <c r="DF405" i="4"/>
  <c r="AD405" i="4"/>
  <c r="CD405" i="4"/>
  <c r="X405" i="4"/>
  <c r="BK405" i="4"/>
  <c r="CY405" i="4"/>
  <c r="BT405" i="4"/>
  <c r="BW405" i="4"/>
  <c r="BB405" i="4"/>
  <c r="BR405" i="4"/>
  <c r="CR405" i="4"/>
  <c r="EE405" i="4"/>
  <c r="DJ405" i="4"/>
  <c r="CM405" i="4"/>
  <c r="AK405" i="4"/>
  <c r="DV405" i="4"/>
  <c r="CA405" i="4"/>
  <c r="AW405" i="4"/>
  <c r="AB405" i="4"/>
  <c r="T405" i="4"/>
  <c r="BI405" i="4"/>
  <c r="AN405" i="4"/>
  <c r="BD405" i="4"/>
  <c r="DQ405" i="4"/>
  <c r="CV405" i="4"/>
  <c r="BP405" i="4"/>
  <c r="AU405" i="4"/>
  <c r="CH405" i="4"/>
  <c r="BY405" i="4"/>
  <c r="DA405" i="4"/>
  <c r="BT431" i="4"/>
  <c r="CO431" i="4"/>
  <c r="AY431" i="4"/>
  <c r="AK446" i="4"/>
  <c r="BR446" i="4"/>
  <c r="N446" i="4"/>
  <c r="X442" i="4"/>
  <c r="DA442" i="4"/>
  <c r="P442" i="4"/>
  <c r="BD443" i="4"/>
  <c r="AY443" i="4"/>
  <c r="T401" i="4"/>
  <c r="BR444" i="4"/>
  <c r="AB406" i="4"/>
  <c r="N405" i="4"/>
  <c r="DA422" i="4"/>
  <c r="BK424" i="4"/>
  <c r="CV434" i="4"/>
  <c r="BF431" i="4"/>
  <c r="N431" i="4"/>
  <c r="DH431" i="4"/>
  <c r="CY446" i="4"/>
  <c r="BB446" i="4"/>
  <c r="X446" i="4"/>
  <c r="DC442" i="4"/>
  <c r="AG442" i="4"/>
  <c r="EE442" i="4"/>
  <c r="AR443" i="4"/>
  <c r="DF443" i="4"/>
  <c r="CY401" i="4"/>
  <c r="CV444" i="4"/>
  <c r="BF444" i="4"/>
  <c r="EC405" i="4"/>
  <c r="CA422" i="4"/>
  <c r="CV424" i="4"/>
  <c r="R431" i="4"/>
  <c r="Z431" i="4"/>
  <c r="CV431" i="4"/>
  <c r="AW446" i="4"/>
  <c r="DT446" i="4"/>
  <c r="DO446" i="4"/>
  <c r="CK442" i="4"/>
  <c r="BP442" i="4"/>
  <c r="AY442" i="4"/>
  <c r="CM443" i="4"/>
  <c r="Z443" i="4"/>
  <c r="BB401" i="4"/>
  <c r="CK444" i="4"/>
  <c r="V444" i="4"/>
  <c r="AI405" i="4"/>
  <c r="DV422" i="4"/>
  <c r="R424" i="4"/>
  <c r="AR413" i="4"/>
  <c r="AI413" i="4"/>
  <c r="DQ413" i="4"/>
  <c r="DF413" i="4"/>
  <c r="AP413" i="4"/>
  <c r="AG413" i="4"/>
  <c r="EA413" i="4"/>
  <c r="BW413" i="4"/>
  <c r="Z413" i="4"/>
  <c r="R413" i="4"/>
  <c r="CO413" i="4"/>
  <c r="CF413" i="4"/>
  <c r="CV413" i="4"/>
  <c r="AD413" i="4"/>
  <c r="DA413" i="4"/>
  <c r="CR413" i="4"/>
  <c r="DH413" i="4"/>
  <c r="BB413" i="4"/>
  <c r="DM413" i="4"/>
  <c r="AK413" i="4"/>
  <c r="DT413" i="4"/>
  <c r="DJ413" i="4"/>
  <c r="BY413" i="4"/>
  <c r="DV413" i="4"/>
  <c r="BF413" i="4"/>
  <c r="BI413" i="4"/>
  <c r="CT413" i="4"/>
  <c r="CA413" i="4"/>
  <c r="BR413" i="4"/>
  <c r="EC413" i="4"/>
  <c r="BM413" i="4"/>
  <c r="CM413" i="4"/>
  <c r="CD413" i="4"/>
  <c r="AY413" i="4"/>
  <c r="CH413" i="4"/>
  <c r="CY413" i="4"/>
  <c r="AU413" i="4"/>
  <c r="BK413" i="4"/>
  <c r="N413" i="4"/>
  <c r="T413" i="4"/>
  <c r="DC413" i="4"/>
  <c r="EE413" i="4"/>
  <c r="CK413" i="4"/>
  <c r="DX413" i="4"/>
  <c r="BT413" i="4"/>
  <c r="AN413" i="4"/>
  <c r="DO431" i="4"/>
  <c r="CM431" i="4"/>
  <c r="BI431" i="4"/>
  <c r="T446" i="4"/>
  <c r="CR446" i="4"/>
  <c r="DC446" i="4"/>
  <c r="DO442" i="4"/>
  <c r="BD442" i="4"/>
  <c r="CR443" i="4"/>
  <c r="BY401" i="4"/>
  <c r="DX444" i="4"/>
  <c r="DX397" i="4"/>
  <c r="BK406" i="4"/>
  <c r="CH422" i="4"/>
  <c r="DQ424" i="4"/>
  <c r="BW423" i="4"/>
  <c r="AN423" i="4"/>
  <c r="BF423" i="4"/>
  <c r="V423" i="4"/>
  <c r="EC423" i="4"/>
  <c r="BD423" i="4"/>
  <c r="AB423" i="4"/>
  <c r="R423" i="4"/>
  <c r="X423" i="4"/>
  <c r="DM423" i="4"/>
  <c r="BT423" i="4"/>
  <c r="CK423" i="4"/>
  <c r="CT423" i="4"/>
  <c r="AK423" i="4"/>
  <c r="AY423" i="4"/>
  <c r="BB423" i="4"/>
  <c r="DT423" i="4"/>
  <c r="BM423" i="4"/>
  <c r="BK423" i="4"/>
  <c r="CD423" i="4"/>
  <c r="CH423" i="4"/>
  <c r="CA423" i="4"/>
  <c r="EE423" i="4"/>
  <c r="DQ423" i="4"/>
  <c r="DH423" i="4"/>
  <c r="CM423" i="4"/>
  <c r="BR423" i="4"/>
  <c r="CV423" i="4"/>
  <c r="EA423" i="4"/>
  <c r="AR423" i="4"/>
  <c r="CR423" i="4"/>
  <c r="DV423" i="4"/>
  <c r="Z423" i="4"/>
  <c r="BP423" i="4"/>
  <c r="P423" i="4"/>
  <c r="DC423" i="4"/>
  <c r="DX423" i="4"/>
  <c r="AP423" i="4"/>
  <c r="BI423" i="4"/>
  <c r="AW423" i="4"/>
  <c r="DA423" i="4"/>
  <c r="AD423" i="4"/>
  <c r="BY423" i="4"/>
  <c r="BI443" i="4"/>
  <c r="EE443" i="4"/>
  <c r="AP443" i="4"/>
  <c r="AG443" i="4"/>
  <c r="DC443" i="4"/>
  <c r="DQ443" i="4"/>
  <c r="P443" i="4"/>
  <c r="BB443" i="4"/>
  <c r="CO443" i="4"/>
  <c r="AI443" i="4"/>
  <c r="EC443" i="4"/>
  <c r="AB443" i="4"/>
  <c r="DJ443" i="4"/>
  <c r="DA443" i="4"/>
  <c r="EA443" i="4"/>
  <c r="N443" i="4"/>
  <c r="CV443" i="4"/>
  <c r="CA443" i="4"/>
  <c r="V443" i="4"/>
  <c r="DO443" i="4"/>
  <c r="CH443" i="4"/>
  <c r="DT443" i="4"/>
  <c r="CY443" i="4"/>
  <c r="BR443" i="4"/>
  <c r="CT443" i="4"/>
  <c r="BM443" i="4"/>
  <c r="T443" i="4"/>
  <c r="CD443" i="4"/>
  <c r="AP431" i="4"/>
  <c r="DC431" i="4"/>
  <c r="CA431" i="4"/>
  <c r="BI446" i="4"/>
  <c r="BD446" i="4"/>
  <c r="N442" i="4"/>
  <c r="BT442" i="4"/>
  <c r="CY442" i="4"/>
  <c r="AU443" i="4"/>
  <c r="AD443" i="4"/>
  <c r="AW443" i="4"/>
  <c r="BM401" i="4"/>
  <c r="EE444" i="4"/>
  <c r="CY444" i="4"/>
  <c r="BP397" i="4"/>
  <c r="X406" i="4"/>
  <c r="AB413" i="4"/>
  <c r="BF422" i="4"/>
  <c r="N424" i="4"/>
  <c r="FL109" i="4"/>
  <c r="FL153" i="4"/>
  <c r="FJ65" i="4"/>
  <c r="FL148" i="4"/>
  <c r="AA7" i="15"/>
  <c r="AG7" i="15" s="1"/>
  <c r="FJ134" i="4"/>
  <c r="FH70" i="4"/>
  <c r="EH291" i="4"/>
  <c r="EH377" i="4"/>
  <c r="FJ131" i="4"/>
  <c r="FL107" i="4"/>
  <c r="FJ110" i="4"/>
  <c r="FK4" i="4"/>
  <c r="GM335" i="4"/>
  <c r="FJ67" i="4"/>
  <c r="FM4" i="4"/>
  <c r="GM348" i="4"/>
  <c r="FH73" i="4"/>
  <c r="FL138" i="4"/>
  <c r="GM347" i="4"/>
  <c r="FJ123" i="4"/>
  <c r="FL150" i="4"/>
  <c r="FJ63" i="4"/>
  <c r="GO363" i="4"/>
  <c r="FJ64" i="4"/>
  <c r="FJ94" i="4"/>
  <c r="FH18" i="4"/>
  <c r="FJ112" i="4"/>
  <c r="FL141" i="4"/>
  <c r="GM339" i="4"/>
  <c r="FL122" i="4"/>
  <c r="FF96" i="4"/>
  <c r="FF136" i="4"/>
  <c r="FF273" i="4"/>
  <c r="FJ36" i="4"/>
  <c r="FL90" i="4"/>
  <c r="GO342" i="4"/>
  <c r="FJ74" i="4"/>
  <c r="FL127" i="4"/>
  <c r="FL135" i="4"/>
  <c r="FL125" i="4"/>
  <c r="FJ283" i="4"/>
  <c r="FG14" i="4"/>
  <c r="FG6" i="4"/>
  <c r="FF132" i="4"/>
  <c r="FJ133" i="4"/>
  <c r="FI4" i="4"/>
  <c r="FH263" i="4"/>
  <c r="FG4" i="4"/>
  <c r="GM341" i="4"/>
  <c r="FP373" i="4"/>
  <c r="EH373" i="4"/>
  <c r="EH378" i="4"/>
  <c r="FP378" i="4"/>
  <c r="FE367" i="4"/>
  <c r="FC367" i="4"/>
  <c r="FP375" i="4"/>
  <c r="EH375" i="4"/>
  <c r="FN367" i="4"/>
  <c r="GM367" i="4" s="1"/>
  <c r="EH379" i="4"/>
  <c r="FP379" i="4"/>
  <c r="HD372" i="4"/>
  <c r="CR374" i="4"/>
  <c r="EH374" i="4"/>
  <c r="FP374" i="4"/>
  <c r="GO372" i="4"/>
  <c r="FP372" i="4"/>
  <c r="EH372" i="4"/>
  <c r="EH367" i="4"/>
  <c r="FP367" i="4"/>
  <c r="AR365" i="4"/>
  <c r="FN365" i="4"/>
  <c r="GM365" i="4" s="1"/>
  <c r="FE371" i="4"/>
  <c r="FC371" i="4"/>
  <c r="FE370" i="4"/>
  <c r="FC368" i="4"/>
  <c r="FP371" i="4"/>
  <c r="EH371" i="4"/>
  <c r="FE368" i="4"/>
  <c r="DC371" i="4"/>
  <c r="FN371" i="4"/>
  <c r="GM371" i="4" s="1"/>
  <c r="FC365" i="4"/>
  <c r="FC370" i="4"/>
  <c r="DH370" i="4"/>
  <c r="FN370" i="4"/>
  <c r="GM370" i="4" s="1"/>
  <c r="FP369" i="4"/>
  <c r="EH369" i="4"/>
  <c r="FE365" i="4"/>
  <c r="EH370" i="4"/>
  <c r="FP370" i="4"/>
  <c r="GO368" i="4"/>
  <c r="FP368" i="4"/>
  <c r="EH368" i="4"/>
  <c r="FP7" i="4"/>
  <c r="EL7" i="4" s="1"/>
  <c r="EN7" i="4" s="1"/>
  <c r="T140" i="4"/>
  <c r="FP4" i="4"/>
  <c r="FP14" i="4"/>
  <c r="EH349" i="4"/>
  <c r="FP349" i="4"/>
  <c r="P14" i="4"/>
  <c r="R14" i="4"/>
  <c r="N38" i="4"/>
  <c r="FP35" i="4"/>
  <c r="X35" i="4" s="1"/>
  <c r="N77" i="4"/>
  <c r="N163" i="4"/>
  <c r="P77" i="4"/>
  <c r="R163" i="4"/>
  <c r="GU77" i="4"/>
  <c r="GW77" i="4"/>
  <c r="P19" i="4"/>
  <c r="N19" i="4"/>
  <c r="GU46" i="4"/>
  <c r="V142" i="4"/>
  <c r="FP19" i="4"/>
  <c r="V143" i="4"/>
  <c r="FP59" i="4"/>
  <c r="X149" i="4"/>
  <c r="FP360" i="4"/>
  <c r="FC361" i="4"/>
  <c r="FE350" i="4"/>
  <c r="FC356" i="4"/>
  <c r="EH363" i="4"/>
  <c r="GU350" i="4"/>
  <c r="FN350" i="4"/>
  <c r="GQ350" i="4" s="1"/>
  <c r="FP363" i="4"/>
  <c r="FP365" i="4"/>
  <c r="EH365" i="4"/>
  <c r="FN356" i="4"/>
  <c r="EH364" i="4"/>
  <c r="FE356" i="4"/>
  <c r="FC353" i="4"/>
  <c r="FP364" i="4"/>
  <c r="FP13" i="4"/>
  <c r="V13" i="4" s="1"/>
  <c r="FP331" i="4"/>
  <c r="FP341" i="4"/>
  <c r="EH331" i="4"/>
  <c r="FC346" i="4"/>
  <c r="N35" i="4"/>
  <c r="EH355" i="4"/>
  <c r="FP355" i="4"/>
  <c r="EH359" i="4"/>
  <c r="FP359" i="4"/>
  <c r="EL359" i="4" s="1"/>
  <c r="FE346" i="4"/>
  <c r="P35" i="4"/>
  <c r="EH358" i="4"/>
  <c r="FP358" i="4"/>
  <c r="EL358" i="4" s="1"/>
  <c r="FP356" i="4"/>
  <c r="EH356" i="4"/>
  <c r="FP350" i="4"/>
  <c r="EL350" i="4" s="1"/>
  <c r="ER350" i="4" s="1"/>
  <c r="EH350" i="4"/>
  <c r="FE343" i="4"/>
  <c r="FP342" i="4"/>
  <c r="FP354" i="4"/>
  <c r="EH354" i="4"/>
  <c r="HA348" i="4"/>
  <c r="GU35" i="4"/>
  <c r="P6" i="4"/>
  <c r="FC345" i="4"/>
  <c r="FP357" i="4"/>
  <c r="EH357" i="4"/>
  <c r="CA361" i="4"/>
  <c r="EH361" i="4"/>
  <c r="FP361" i="4"/>
  <c r="GQ353" i="4"/>
  <c r="FP353" i="4"/>
  <c r="EH353" i="4"/>
  <c r="FP344" i="4"/>
  <c r="FN338" i="4"/>
  <c r="GQ338" i="4" s="1"/>
  <c r="FE336" i="4"/>
  <c r="FC338" i="4"/>
  <c r="FP348" i="4"/>
  <c r="EL348" i="4" s="1"/>
  <c r="FN336" i="4"/>
  <c r="FC336" i="4"/>
  <c r="EH340" i="4"/>
  <c r="FP340" i="4"/>
  <c r="EH347" i="4"/>
  <c r="FP347" i="4"/>
  <c r="AU346" i="4"/>
  <c r="FP346" i="4"/>
  <c r="EH346" i="4"/>
  <c r="GM345" i="4"/>
  <c r="FP345" i="4"/>
  <c r="EH345" i="4"/>
  <c r="GM343" i="4"/>
  <c r="EH343" i="4"/>
  <c r="FP343" i="4"/>
  <c r="GO9" i="4"/>
  <c r="GM109" i="4"/>
  <c r="GM107" i="4"/>
  <c r="GM222" i="4"/>
  <c r="GO33" i="4"/>
  <c r="GM80" i="4"/>
  <c r="GO28" i="4"/>
  <c r="GO245" i="4"/>
  <c r="GM30" i="4"/>
  <c r="GM90" i="4"/>
  <c r="GM193" i="4"/>
  <c r="GO140" i="4"/>
  <c r="GM283" i="4"/>
  <c r="GM320" i="4"/>
  <c r="FC274" i="4"/>
  <c r="FE297" i="4"/>
  <c r="FC177" i="4"/>
  <c r="FC287" i="4"/>
  <c r="FE46" i="4"/>
  <c r="FC313" i="4"/>
  <c r="GO44" i="4"/>
  <c r="GM253" i="4"/>
  <c r="GM267" i="4"/>
  <c r="GM153" i="4"/>
  <c r="GO176" i="4"/>
  <c r="GO244" i="4"/>
  <c r="GO226" i="4"/>
  <c r="GO18" i="4"/>
  <c r="GO16" i="4"/>
  <c r="GM254" i="4"/>
  <c r="GM24" i="4"/>
  <c r="GO47" i="4"/>
  <c r="GO255" i="4"/>
  <c r="FC68" i="4"/>
  <c r="FE274" i="4"/>
  <c r="FE177" i="4"/>
  <c r="FE299" i="4"/>
  <c r="FC296" i="4"/>
  <c r="FC162" i="4"/>
  <c r="FE313" i="4"/>
  <c r="GM217" i="4"/>
  <c r="GM221" i="4"/>
  <c r="GM25" i="4"/>
  <c r="GM219" i="4"/>
  <c r="GO169" i="4"/>
  <c r="GM165" i="4"/>
  <c r="GM200" i="4"/>
  <c r="GO273" i="4"/>
  <c r="GM112" i="4"/>
  <c r="GO235" i="4"/>
  <c r="GM141" i="4"/>
  <c r="GO314" i="4"/>
  <c r="GM317" i="4"/>
  <c r="FE68" i="4"/>
  <c r="FC321" i="4"/>
  <c r="FC316" i="4"/>
  <c r="FC117" i="4"/>
  <c r="FC268" i="4"/>
  <c r="FE296" i="4"/>
  <c r="FE162" i="4"/>
  <c r="GM15" i="4"/>
  <c r="GM185" i="4"/>
  <c r="GM210" i="4"/>
  <c r="GM256" i="4"/>
  <c r="GM218" i="4"/>
  <c r="GO157" i="4"/>
  <c r="GO17" i="4"/>
  <c r="GM82" i="4"/>
  <c r="GM67" i="4"/>
  <c r="GM89" i="4"/>
  <c r="GM57" i="4"/>
  <c r="GO263" i="4"/>
  <c r="GO79" i="4"/>
  <c r="GM228" i="4"/>
  <c r="GO70" i="4"/>
  <c r="GM242" i="4"/>
  <c r="GM42" i="4"/>
  <c r="GM266" i="4"/>
  <c r="GO39" i="4"/>
  <c r="GO86" i="4"/>
  <c r="GO49" i="4"/>
  <c r="GM291" i="4"/>
  <c r="FC326" i="4"/>
  <c r="FC5" i="4"/>
  <c r="FE316" i="4"/>
  <c r="FE117" i="4"/>
  <c r="FE268" i="4"/>
  <c r="FC323" i="4"/>
  <c r="GM155" i="4"/>
  <c r="GM211" i="4"/>
  <c r="GO276" i="4"/>
  <c r="GM123" i="4"/>
  <c r="GM213" i="4"/>
  <c r="GM110" i="4"/>
  <c r="GM133" i="4"/>
  <c r="GM127" i="4"/>
  <c r="GM135" i="4"/>
  <c r="GM269" i="4"/>
  <c r="GM300" i="4"/>
  <c r="GO306" i="4"/>
  <c r="FE37" i="4"/>
  <c r="FE326" i="4"/>
  <c r="FE5" i="4"/>
  <c r="FC311" i="4"/>
  <c r="FC29" i="4"/>
  <c r="FE323" i="4"/>
  <c r="FC38" i="4"/>
  <c r="FC290" i="4"/>
  <c r="FP337" i="4"/>
  <c r="EH337" i="4"/>
  <c r="EH338" i="4"/>
  <c r="FP338" i="4"/>
  <c r="EL338" i="4" s="1"/>
  <c r="ER338" i="4" s="1"/>
  <c r="GM65" i="4"/>
  <c r="GM10" i="4"/>
  <c r="GM72" i="4"/>
  <c r="GM147" i="4"/>
  <c r="GO8" i="4"/>
  <c r="GM241" i="4"/>
  <c r="GO99" i="4"/>
  <c r="GM26" i="4"/>
  <c r="GM87" i="4"/>
  <c r="GM60" i="4"/>
  <c r="GM101" i="4"/>
  <c r="GO212" i="4"/>
  <c r="GM259" i="4"/>
  <c r="GM160" i="4"/>
  <c r="GM214" i="4"/>
  <c r="GM54" i="4"/>
  <c r="GM125" i="4"/>
  <c r="GM100" i="4"/>
  <c r="GM281" i="4"/>
  <c r="GM319" i="4"/>
  <c r="FC41" i="4"/>
  <c r="FC332" i="4"/>
  <c r="FC21" i="4"/>
  <c r="FC277" i="4"/>
  <c r="FC7" i="4"/>
  <c r="FC14" i="4"/>
  <c r="FC307" i="4"/>
  <c r="FE38" i="4"/>
  <c r="FE290" i="4"/>
  <c r="GO83" i="4"/>
  <c r="GM191" i="4"/>
  <c r="GO231" i="4"/>
  <c r="GM150" i="4"/>
  <c r="GO40" i="4"/>
  <c r="GM239" i="4"/>
  <c r="GO264" i="4"/>
  <c r="GM249" i="4"/>
  <c r="GM270" i="4"/>
  <c r="GM95" i="4"/>
  <c r="GM75" i="4"/>
  <c r="GO170" i="4"/>
  <c r="GM174" i="4"/>
  <c r="GO258" i="4"/>
  <c r="GM280" i="4"/>
  <c r="FE41" i="4"/>
  <c r="FE332" i="4"/>
  <c r="FC32" i="4"/>
  <c r="FE13" i="4"/>
  <c r="FE277" i="4"/>
  <c r="FE7" i="4"/>
  <c r="FE14" i="4"/>
  <c r="FE307" i="4"/>
  <c r="FC55" i="4"/>
  <c r="FC304" i="4"/>
  <c r="FP336" i="4"/>
  <c r="EL336" i="4" s="1"/>
  <c r="EN336" i="4" s="1"/>
  <c r="EH336" i="4"/>
  <c r="GO11" i="4"/>
  <c r="GO240" i="4"/>
  <c r="GO34" i="4"/>
  <c r="GM122" i="4"/>
  <c r="GM78" i="4"/>
  <c r="GM64" i="4"/>
  <c r="GM178" i="4"/>
  <c r="GO187" i="4"/>
  <c r="GM197" i="4"/>
  <c r="GO271" i="4"/>
  <c r="GO208" i="4"/>
  <c r="GM238" i="4"/>
  <c r="GM158" i="4"/>
  <c r="GM85" i="4"/>
  <c r="GM302" i="4"/>
  <c r="GO301" i="4"/>
  <c r="FC77" i="4"/>
  <c r="FC328" i="4"/>
  <c r="FE32" i="4"/>
  <c r="FC48" i="4"/>
  <c r="FE19" i="4"/>
  <c r="FC71" i="4"/>
  <c r="FE55" i="4"/>
  <c r="FE304" i="4"/>
  <c r="GM93" i="4"/>
  <c r="GO257" i="4"/>
  <c r="GM223" i="4"/>
  <c r="GM229" i="4"/>
  <c r="GM94" i="4"/>
  <c r="GO182" i="4"/>
  <c r="GO53" i="4"/>
  <c r="GM189" i="4"/>
  <c r="GM173" i="4"/>
  <c r="GM220" i="4"/>
  <c r="GO282" i="4"/>
  <c r="GO329" i="4"/>
  <c r="FE77" i="4"/>
  <c r="FE328" i="4"/>
  <c r="FC56" i="4"/>
  <c r="FE48" i="4"/>
  <c r="FC19" i="4"/>
  <c r="FC324" i="4"/>
  <c r="GO132" i="4"/>
  <c r="GM50" i="4"/>
  <c r="GM51" i="4"/>
  <c r="GM137" i="4"/>
  <c r="GM45" i="4"/>
  <c r="GO227" i="4"/>
  <c r="GO104" i="4"/>
  <c r="GO58" i="4"/>
  <c r="GM205" i="4"/>
  <c r="GO73" i="4"/>
  <c r="GO23" i="4"/>
  <c r="GM138" i="4"/>
  <c r="GM20" i="4"/>
  <c r="GM134" i="4"/>
  <c r="GM184" i="4"/>
  <c r="GM168" i="4"/>
  <c r="GM318" i="4"/>
  <c r="GM293" i="4"/>
  <c r="FC163" i="4"/>
  <c r="FE56" i="4"/>
  <c r="FE188" i="4"/>
  <c r="FC6" i="4"/>
  <c r="FE303" i="4"/>
  <c r="FE76" i="4"/>
  <c r="FE327" i="4"/>
  <c r="FE324" i="4"/>
  <c r="GO243" i="4"/>
  <c r="GO88" i="4"/>
  <c r="GM149" i="4"/>
  <c r="GM27" i="4"/>
  <c r="GM102" i="4"/>
  <c r="GM198" i="4"/>
  <c r="GM36" i="4"/>
  <c r="GO96" i="4"/>
  <c r="GO136" i="4"/>
  <c r="GO225" i="4"/>
  <c r="GO247" i="4"/>
  <c r="GM164" i="4"/>
  <c r="GO175" i="4"/>
  <c r="GM180" i="4"/>
  <c r="GM310" i="4"/>
  <c r="GM308" i="4"/>
  <c r="GM292" i="4"/>
  <c r="FE35" i="4"/>
  <c r="FE284" i="4"/>
  <c r="FC69" i="4"/>
  <c r="FE6" i="4"/>
  <c r="FC285" i="4"/>
  <c r="FP335" i="4"/>
  <c r="EH335" i="4"/>
  <c r="EH339" i="4"/>
  <c r="FP339" i="4"/>
  <c r="EL339" i="4" s="1"/>
  <c r="GM209" i="4"/>
  <c r="GM131" i="4"/>
  <c r="GM206" i="4"/>
  <c r="GM119" i="4"/>
  <c r="GM111" i="4"/>
  <c r="GM74" i="4"/>
  <c r="GM251" i="4"/>
  <c r="GM148" i="4"/>
  <c r="GM63" i="4"/>
  <c r="GO61" i="4"/>
  <c r="GM81" i="4"/>
  <c r="GO105" i="4"/>
  <c r="GM12" i="4"/>
  <c r="GM31" i="4"/>
  <c r="GO246" i="4"/>
  <c r="GO207" i="4"/>
  <c r="GM315" i="4"/>
  <c r="FC35" i="4"/>
  <c r="FC297" i="4"/>
  <c r="FE69" i="4"/>
  <c r="FC59" i="4"/>
  <c r="FE285" i="4"/>
  <c r="FC46" i="4"/>
  <c r="GQ139" i="4"/>
  <c r="FB139" i="4"/>
  <c r="GQ154" i="4"/>
  <c r="FB154" i="4"/>
  <c r="GQ151" i="4"/>
  <c r="FB151" i="4"/>
  <c r="GQ181" i="4"/>
  <c r="GQ192" i="4"/>
  <c r="GQ252" i="4"/>
  <c r="GQ52" i="4"/>
  <c r="GQ171" i="4"/>
  <c r="GQ288" i="4"/>
  <c r="GQ250" i="4"/>
  <c r="GQ128" i="4"/>
  <c r="FB128" i="4"/>
  <c r="GQ183" i="4"/>
  <c r="GQ84" i="4"/>
  <c r="GQ146" i="4"/>
  <c r="FD146" i="4"/>
  <c r="GQ159" i="4"/>
  <c r="FD159" i="4"/>
  <c r="GQ224" i="4"/>
  <c r="GQ272" i="4"/>
  <c r="GQ230" i="4"/>
  <c r="GQ275" i="4"/>
  <c r="GQ120" i="4"/>
  <c r="FB120" i="4"/>
  <c r="GQ234" i="4"/>
  <c r="GQ260" i="4"/>
  <c r="GQ232" i="4"/>
  <c r="GQ43" i="4"/>
  <c r="GQ195" i="4"/>
  <c r="GQ167" i="4"/>
  <c r="GQ156" i="4"/>
  <c r="FD156" i="4"/>
  <c r="GQ129" i="4"/>
  <c r="FB129" i="4"/>
  <c r="GQ186" i="4"/>
  <c r="GQ179" i="4"/>
  <c r="GQ66" i="4"/>
  <c r="FB66" i="4"/>
  <c r="GQ152" i="4"/>
  <c r="FD152" i="4"/>
  <c r="GQ114" i="4"/>
  <c r="FB114" i="4"/>
  <c r="GQ172" i="4"/>
  <c r="GQ166" i="4"/>
  <c r="GQ305" i="4"/>
  <c r="GQ331" i="4"/>
  <c r="GQ196" i="4"/>
  <c r="GQ143" i="4"/>
  <c r="FD143" i="4"/>
  <c r="GQ216" i="4"/>
  <c r="GQ108" i="4"/>
  <c r="FB108" i="4"/>
  <c r="GQ190" i="4"/>
  <c r="GQ98" i="4"/>
  <c r="GQ124" i="4"/>
  <c r="FD124" i="4"/>
  <c r="GQ215" i="4"/>
  <c r="GQ265" i="4"/>
  <c r="GQ161" i="4"/>
  <c r="GQ298" i="4"/>
  <c r="GQ334" i="4"/>
  <c r="FE4" i="4"/>
  <c r="GQ142" i="4"/>
  <c r="FD142" i="4"/>
  <c r="GQ199" i="4"/>
  <c r="GQ118" i="4"/>
  <c r="FB118" i="4"/>
  <c r="GQ261" i="4"/>
  <c r="GQ248" i="4"/>
  <c r="GQ286" i="4"/>
  <c r="GQ22" i="4"/>
  <c r="GQ262" i="4"/>
  <c r="GQ201" i="4"/>
  <c r="GQ233" i="4"/>
  <c r="GQ309" i="4"/>
  <c r="FP21" i="4"/>
  <c r="R71" i="4"/>
  <c r="N71" i="4"/>
  <c r="N29" i="4"/>
  <c r="N32" i="4"/>
  <c r="R283" i="4"/>
  <c r="P32" i="4"/>
  <c r="R5" i="4"/>
  <c r="P5" i="4"/>
  <c r="FP32" i="4"/>
  <c r="EH29" i="4"/>
  <c r="R29" i="4"/>
  <c r="FP41" i="4"/>
  <c r="FP5" i="4"/>
  <c r="R76" i="4"/>
  <c r="P38" i="4"/>
  <c r="X134" i="4"/>
  <c r="N76" i="4"/>
  <c r="N6" i="4"/>
  <c r="FP6" i="4"/>
  <c r="V139" i="4"/>
  <c r="N4" i="4"/>
  <c r="N177" i="4"/>
  <c r="GW38" i="4"/>
  <c r="GU38" i="4"/>
  <c r="R4" i="4"/>
  <c r="GW35" i="4"/>
  <c r="N59" i="4"/>
  <c r="R59" i="4"/>
  <c r="V66" i="4"/>
  <c r="P55" i="4"/>
  <c r="X72" i="4"/>
  <c r="FP325" i="4"/>
  <c r="X155" i="4"/>
  <c r="GW46" i="4"/>
  <c r="FP46" i="4"/>
  <c r="N117" i="4"/>
  <c r="R188" i="4"/>
  <c r="N188" i="4"/>
  <c r="GW117" i="4"/>
  <c r="GU117" i="4"/>
  <c r="N46" i="4"/>
  <c r="P117" i="4"/>
  <c r="P46" i="4"/>
  <c r="EH117" i="4"/>
  <c r="FP55" i="4"/>
  <c r="X65" i="4"/>
  <c r="EH298" i="4"/>
  <c r="BP70" i="4"/>
  <c r="FP310" i="4"/>
  <c r="EH48" i="4"/>
  <c r="EH288" i="4"/>
  <c r="N21" i="4"/>
  <c r="R37" i="4"/>
  <c r="P177" i="4"/>
  <c r="X93" i="4"/>
  <c r="GU76" i="4"/>
  <c r="GS76" i="4"/>
  <c r="FP37" i="4"/>
  <c r="CV324" i="4"/>
  <c r="FN324" i="4"/>
  <c r="GW274" i="4"/>
  <c r="GQ326" i="4"/>
  <c r="GW332" i="4"/>
  <c r="GW356" i="4"/>
  <c r="GQ365" i="4"/>
  <c r="GQ316" i="4"/>
  <c r="GU277" i="4"/>
  <c r="GO353" i="4"/>
  <c r="GU299" i="4"/>
  <c r="GS296" i="4"/>
  <c r="GM323" i="4"/>
  <c r="GQ307" i="4"/>
  <c r="GQ390" i="4"/>
  <c r="GS350" i="4"/>
  <c r="GQ373" i="4"/>
  <c r="GU384" i="4"/>
  <c r="GW290" i="4"/>
  <c r="GW383" i="4"/>
  <c r="GM326" i="4"/>
  <c r="GU332" i="4"/>
  <c r="GU356" i="4"/>
  <c r="GO284" i="4"/>
  <c r="GO365" i="4"/>
  <c r="GQ346" i="4"/>
  <c r="GW297" i="4"/>
  <c r="GQ370" i="4"/>
  <c r="GO316" i="4"/>
  <c r="GM353" i="4"/>
  <c r="GQ285" i="4"/>
  <c r="GS299" i="4"/>
  <c r="GQ268" i="4"/>
  <c r="GQ296" i="4"/>
  <c r="GO307" i="4"/>
  <c r="GO390" i="4"/>
  <c r="GO373" i="4"/>
  <c r="GU374" i="4"/>
  <c r="GQ332" i="4"/>
  <c r="GM284" i="4"/>
  <c r="GO346" i="4"/>
  <c r="GU297" i="4"/>
  <c r="GO370" i="4"/>
  <c r="GS316" i="4"/>
  <c r="GQ277" i="4"/>
  <c r="GO285" i="4"/>
  <c r="GQ299" i="4"/>
  <c r="GW385" i="4"/>
  <c r="GO296" i="4"/>
  <c r="GQ323" i="4"/>
  <c r="GO350" i="4"/>
  <c r="GQ384" i="4"/>
  <c r="GS374" i="4"/>
  <c r="GS290" i="4"/>
  <c r="BW328" i="4"/>
  <c r="FN328" i="4"/>
  <c r="GU383" i="4"/>
  <c r="GO332" i="4"/>
  <c r="GQ356" i="4"/>
  <c r="GM346" i="4"/>
  <c r="GU188" i="4"/>
  <c r="GU345" i="4"/>
  <c r="GM316" i="4"/>
  <c r="GU311" i="4"/>
  <c r="GO277" i="4"/>
  <c r="GS287" i="4"/>
  <c r="GO299" i="4"/>
  <c r="GU385" i="4"/>
  <c r="GW268" i="4"/>
  <c r="GM296" i="4"/>
  <c r="GU323" i="4"/>
  <c r="GM350" i="4"/>
  <c r="GO313" i="4"/>
  <c r="GO384" i="4"/>
  <c r="GQ374" i="4"/>
  <c r="GQ290" i="4"/>
  <c r="GS304" i="4"/>
  <c r="GM361" i="4"/>
  <c r="GO356" i="4"/>
  <c r="GU328" i="4"/>
  <c r="GU284" i="4"/>
  <c r="GQ297" i="4"/>
  <c r="GS188" i="4"/>
  <c r="GS345" i="4"/>
  <c r="GW316" i="4"/>
  <c r="GS311" i="4"/>
  <c r="GW367" i="4"/>
  <c r="GO287" i="4"/>
  <c r="GM299" i="4"/>
  <c r="GO323" i="4"/>
  <c r="GW391" i="4"/>
  <c r="GQ313" i="4"/>
  <c r="GO374" i="4"/>
  <c r="GO290" i="4"/>
  <c r="GW304" i="4"/>
  <c r="GU361" i="4"/>
  <c r="GU321" i="4"/>
  <c r="GQ383" i="4"/>
  <c r="GM396" i="4"/>
  <c r="GW328" i="4"/>
  <c r="GS284" i="4"/>
  <c r="GQ345" i="4"/>
  <c r="GQ311" i="4"/>
  <c r="GU367" i="4"/>
  <c r="GM372" i="4"/>
  <c r="GM287" i="4"/>
  <c r="GQ385" i="4"/>
  <c r="GW323" i="4"/>
  <c r="GU343" i="4"/>
  <c r="GU391" i="4"/>
  <c r="GS313" i="4"/>
  <c r="GM290" i="4"/>
  <c r="GQ304" i="4"/>
  <c r="GS361" i="4"/>
  <c r="GS321" i="4"/>
  <c r="GO383" i="4"/>
  <c r="GQ328" i="4"/>
  <c r="GM368" i="4"/>
  <c r="GO188" i="4"/>
  <c r="GO345" i="4"/>
  <c r="GO311" i="4"/>
  <c r="GU177" i="4"/>
  <c r="GM303" i="4"/>
  <c r="GW371" i="4"/>
  <c r="GS343" i="4"/>
  <c r="GM313" i="4"/>
  <c r="GO304" i="4"/>
  <c r="GO274" i="4"/>
  <c r="GQ361" i="4"/>
  <c r="GO328" i="4"/>
  <c r="GW368" i="4"/>
  <c r="GM188" i="4"/>
  <c r="GM311" i="4"/>
  <c r="GU372" i="4"/>
  <c r="GU371" i="4"/>
  <c r="GQ343" i="4"/>
  <c r="GQ327" i="4"/>
  <c r="GQ391" i="4"/>
  <c r="GW324" i="4"/>
  <c r="GW381" i="4"/>
  <c r="GW313" i="4"/>
  <c r="GM304" i="4"/>
  <c r="N48" i="4"/>
  <c r="N41" i="4"/>
  <c r="GU274" i="4"/>
  <c r="GO361" i="4"/>
  <c r="GO326" i="4"/>
  <c r="GW365" i="4"/>
  <c r="GU368" i="4"/>
  <c r="GQ367" i="4"/>
  <c r="GQ177" i="4"/>
  <c r="GU303" i="4"/>
  <c r="GS372" i="4"/>
  <c r="GO343" i="4"/>
  <c r="GM327" i="4"/>
  <c r="GW390" i="4"/>
  <c r="GU324" i="4"/>
  <c r="GU381" i="4"/>
  <c r="GO321" i="4"/>
  <c r="GW370" i="4"/>
  <c r="GO177" i="4"/>
  <c r="GS303" i="4"/>
  <c r="GU353" i="4"/>
  <c r="GQ372" i="4"/>
  <c r="GQ371" i="4"/>
  <c r="GW307" i="4"/>
  <c r="GU327" i="4"/>
  <c r="GU390" i="4"/>
  <c r="GQ324" i="4"/>
  <c r="GW373" i="4"/>
  <c r="FP309" i="4"/>
  <c r="GQ274" i="4"/>
  <c r="GS326" i="4"/>
  <c r="GU365" i="4"/>
  <c r="GW346" i="4"/>
  <c r="GQ368" i="4"/>
  <c r="GO330" i="4"/>
  <c r="GQ303" i="4"/>
  <c r="GS353" i="4"/>
  <c r="GW285" i="4"/>
  <c r="GO268" i="4"/>
  <c r="GW296" i="4"/>
  <c r="GO371" i="4"/>
  <c r="GU307" i="4"/>
  <c r="GS327" i="4"/>
  <c r="GO324" i="4"/>
  <c r="GQ381" i="4"/>
  <c r="GU373" i="4"/>
  <c r="GM325" i="4"/>
  <c r="GW326" i="4"/>
  <c r="GM332" i="4"/>
  <c r="GU346" i="4"/>
  <c r="GU370" i="4"/>
  <c r="GW177" i="4"/>
  <c r="GO303" i="4"/>
  <c r="GO327" i="4"/>
  <c r="GW384" i="4"/>
  <c r="GM374" i="4"/>
  <c r="GM338" i="4"/>
  <c r="GU338" i="4"/>
  <c r="GS338" i="4"/>
  <c r="GS336" i="4"/>
  <c r="GQ336" i="4"/>
  <c r="GM336" i="4"/>
  <c r="R7" i="4"/>
  <c r="P7" i="4"/>
  <c r="P48" i="4"/>
  <c r="P69" i="4"/>
  <c r="FP56" i="4"/>
  <c r="R69" i="4"/>
  <c r="V146" i="4"/>
  <c r="DX77" i="4"/>
  <c r="HD310" i="4"/>
  <c r="EH328" i="4"/>
  <c r="FP328" i="4"/>
  <c r="FP313" i="4"/>
  <c r="EH313" i="4"/>
  <c r="BT307" i="4"/>
  <c r="FN307" i="4"/>
  <c r="AU77" i="4"/>
  <c r="FP320" i="4"/>
  <c r="EH320" i="4"/>
  <c r="FP321" i="4"/>
  <c r="EH321" i="4"/>
  <c r="CY77" i="4"/>
  <c r="EH308" i="4"/>
  <c r="FP308" i="4"/>
  <c r="EH324" i="4"/>
  <c r="FP324" i="4"/>
  <c r="EE77" i="4"/>
  <c r="EH318" i="4"/>
  <c r="FP318" i="4"/>
  <c r="CR297" i="4"/>
  <c r="FN297" i="4"/>
  <c r="Z77" i="4"/>
  <c r="FP319" i="4"/>
  <c r="EL319" i="4" s="1"/>
  <c r="EH319" i="4"/>
  <c r="CD77" i="4"/>
  <c r="FP334" i="4"/>
  <c r="EL334" i="4" s="1"/>
  <c r="EH334" i="4"/>
  <c r="DJ77" i="4"/>
  <c r="DQ77" i="4"/>
  <c r="FP315" i="4"/>
  <c r="EH315" i="4"/>
  <c r="CA321" i="4"/>
  <c r="FN321" i="4"/>
  <c r="AK77" i="4"/>
  <c r="DM77" i="4"/>
  <c r="FP329" i="4"/>
  <c r="EH329" i="4"/>
  <c r="AN77" i="4"/>
  <c r="FP316" i="4"/>
  <c r="EH316" i="4"/>
  <c r="FP317" i="4"/>
  <c r="EH317" i="4"/>
  <c r="FP314" i="4"/>
  <c r="EH314" i="4"/>
  <c r="CR77" i="4"/>
  <c r="FP330" i="4"/>
  <c r="EH330" i="4"/>
  <c r="BW332" i="4"/>
  <c r="FP332" i="4"/>
  <c r="EH332" i="4"/>
  <c r="EH327" i="4"/>
  <c r="FP327" i="4"/>
  <c r="EH326" i="4"/>
  <c r="FP326" i="4"/>
  <c r="FP323" i="4"/>
  <c r="EH323" i="4"/>
  <c r="FP311" i="4"/>
  <c r="EH311" i="4"/>
  <c r="EH307" i="4"/>
  <c r="FP307" i="4"/>
  <c r="HD306" i="4"/>
  <c r="FP306" i="4"/>
  <c r="EH306" i="4"/>
  <c r="HD290" i="4"/>
  <c r="CA311" i="4"/>
  <c r="BT311" i="4"/>
  <c r="BK311" i="4"/>
  <c r="DM311" i="4"/>
  <c r="AY311" i="4"/>
  <c r="AR311" i="4"/>
  <c r="AI311" i="4"/>
  <c r="CO311" i="4"/>
  <c r="EC311" i="4"/>
  <c r="DV311" i="4"/>
  <c r="DH311" i="4"/>
  <c r="CK311" i="4"/>
  <c r="DA311" i="4"/>
  <c r="CT311" i="4"/>
  <c r="CF311" i="4"/>
  <c r="DJ311" i="4"/>
  <c r="BY311" i="4"/>
  <c r="BR311" i="4"/>
  <c r="BD311" i="4"/>
  <c r="CH311" i="4"/>
  <c r="AW311" i="4"/>
  <c r="AB311" i="4"/>
  <c r="BM311" i="4"/>
  <c r="DF311" i="4"/>
  <c r="EA311" i="4"/>
  <c r="DT311" i="4"/>
  <c r="BI311" i="4"/>
  <c r="CD311" i="4"/>
  <c r="CY311" i="4"/>
  <c r="CR311" i="4"/>
  <c r="BF311" i="4"/>
  <c r="BB311" i="4"/>
  <c r="BW311" i="4"/>
  <c r="BP311" i="4"/>
  <c r="AK311" i="4"/>
  <c r="Z311" i="4"/>
  <c r="AU311" i="4"/>
  <c r="AN311" i="4"/>
  <c r="AG311" i="4"/>
  <c r="EE311" i="4"/>
  <c r="DX311" i="4"/>
  <c r="DO311" i="4"/>
  <c r="AD311" i="4"/>
  <c r="DC311" i="4"/>
  <c r="CV311" i="4"/>
  <c r="CM311" i="4"/>
  <c r="DQ311" i="4"/>
  <c r="EC353" i="4"/>
  <c r="BK353" i="4"/>
  <c r="AU353" i="4"/>
  <c r="BW353" i="4"/>
  <c r="DA353" i="4"/>
  <c r="AB353" i="4"/>
  <c r="DQ353" i="4"/>
  <c r="BT353" i="4"/>
  <c r="CR353" i="4"/>
  <c r="CH353" i="4"/>
  <c r="AN353" i="4"/>
  <c r="AW353" i="4"/>
  <c r="BI353" i="4"/>
  <c r="AR353" i="4"/>
  <c r="AK353" i="4"/>
  <c r="DF353" i="4"/>
  <c r="EA353" i="4"/>
  <c r="DX353" i="4"/>
  <c r="DO353" i="4"/>
  <c r="CD353" i="4"/>
  <c r="CY353" i="4"/>
  <c r="CO353" i="4"/>
  <c r="CF353" i="4"/>
  <c r="BB353" i="4"/>
  <c r="BP353" i="4"/>
  <c r="BF353" i="4"/>
  <c r="AP353" i="4"/>
  <c r="Z353" i="4"/>
  <c r="AG353" i="4"/>
  <c r="DV353" i="4"/>
  <c r="DH353" i="4"/>
  <c r="EE353" i="4"/>
  <c r="CV353" i="4"/>
  <c r="CM353" i="4"/>
  <c r="BR353" i="4"/>
  <c r="DC353" i="4"/>
  <c r="BM353" i="4"/>
  <c r="BD353" i="4"/>
  <c r="AI353" i="4"/>
  <c r="CA353" i="4"/>
  <c r="AD353" i="4"/>
  <c r="DT353" i="4"/>
  <c r="DM353" i="4"/>
  <c r="AY353" i="4"/>
  <c r="CT353" i="4"/>
  <c r="CK353" i="4"/>
  <c r="DJ353" i="4"/>
  <c r="CD368" i="4"/>
  <c r="CY368" i="4"/>
  <c r="CO368" i="4"/>
  <c r="AP368" i="4"/>
  <c r="BB368" i="4"/>
  <c r="BW368" i="4"/>
  <c r="BM368" i="4"/>
  <c r="AI368" i="4"/>
  <c r="Z368" i="4"/>
  <c r="AU368" i="4"/>
  <c r="AK368" i="4"/>
  <c r="DV368" i="4"/>
  <c r="DJ368" i="4"/>
  <c r="DX368" i="4"/>
  <c r="DM368" i="4"/>
  <c r="CH368" i="4"/>
  <c r="DC368" i="4"/>
  <c r="CV368" i="4"/>
  <c r="CK368" i="4"/>
  <c r="BF368" i="4"/>
  <c r="CA368" i="4"/>
  <c r="BT368" i="4"/>
  <c r="BI368" i="4"/>
  <c r="AD368" i="4"/>
  <c r="AY368" i="4"/>
  <c r="AG368" i="4"/>
  <c r="DH368" i="4"/>
  <c r="EC368" i="4"/>
  <c r="DT368" i="4"/>
  <c r="DO368" i="4"/>
  <c r="CF368" i="4"/>
  <c r="DA368" i="4"/>
  <c r="CR368" i="4"/>
  <c r="CT368" i="4"/>
  <c r="BD368" i="4"/>
  <c r="BY368" i="4"/>
  <c r="BP368" i="4"/>
  <c r="CM368" i="4"/>
  <c r="DF368" i="4"/>
  <c r="EA368" i="4"/>
  <c r="DQ368" i="4"/>
  <c r="BK368" i="4"/>
  <c r="P323" i="4"/>
  <c r="EC323" i="4"/>
  <c r="DV323" i="4"/>
  <c r="DO323" i="4"/>
  <c r="CK323" i="4"/>
  <c r="DA323" i="4"/>
  <c r="CT323" i="4"/>
  <c r="CM323" i="4"/>
  <c r="CH323" i="4"/>
  <c r="BY323" i="4"/>
  <c r="BR323" i="4"/>
  <c r="BK323" i="4"/>
  <c r="BI323" i="4"/>
  <c r="AW323" i="4"/>
  <c r="AP323" i="4"/>
  <c r="AI323" i="4"/>
  <c r="BF323" i="4"/>
  <c r="DF323" i="4"/>
  <c r="EA323" i="4"/>
  <c r="DT323" i="4"/>
  <c r="DH323" i="4"/>
  <c r="CD323" i="4"/>
  <c r="CY323" i="4"/>
  <c r="CR323" i="4"/>
  <c r="CF323" i="4"/>
  <c r="BB323" i="4"/>
  <c r="BW323" i="4"/>
  <c r="BP323" i="4"/>
  <c r="BD323" i="4"/>
  <c r="Z323" i="4"/>
  <c r="AU323" i="4"/>
  <c r="AN323" i="4"/>
  <c r="AB323" i="4"/>
  <c r="EE323" i="4"/>
  <c r="DX323" i="4"/>
  <c r="DQ323" i="4"/>
  <c r="AG323" i="4"/>
  <c r="DC323" i="4"/>
  <c r="CV323" i="4"/>
  <c r="CO323" i="4"/>
  <c r="AY323" i="4"/>
  <c r="AR323" i="4"/>
  <c r="AK323" i="4"/>
  <c r="DJ323" i="4"/>
  <c r="N390" i="4"/>
  <c r="AI390" i="4"/>
  <c r="AB390" i="4"/>
  <c r="AN390" i="4"/>
  <c r="AP390" i="4"/>
  <c r="DM390" i="4"/>
  <c r="DF390" i="4"/>
  <c r="DC390" i="4"/>
  <c r="AR390" i="4"/>
  <c r="CK390" i="4"/>
  <c r="CD390" i="4"/>
  <c r="DA390" i="4"/>
  <c r="EC390" i="4"/>
  <c r="BI390" i="4"/>
  <c r="BB390" i="4"/>
  <c r="CV390" i="4"/>
  <c r="AW390" i="4"/>
  <c r="AG390" i="4"/>
  <c r="Z390" i="4"/>
  <c r="CT390" i="4"/>
  <c r="DX390" i="4"/>
  <c r="DQ390" i="4"/>
  <c r="DJ390" i="4"/>
  <c r="EA390" i="4"/>
  <c r="CO390" i="4"/>
  <c r="CH390" i="4"/>
  <c r="CY390" i="4"/>
  <c r="BY390" i="4"/>
  <c r="BM390" i="4"/>
  <c r="BF390" i="4"/>
  <c r="BW390" i="4"/>
  <c r="BT390" i="4"/>
  <c r="AK390" i="4"/>
  <c r="AD390" i="4"/>
  <c r="AU390" i="4"/>
  <c r="BR390" i="4"/>
  <c r="DO390" i="4"/>
  <c r="DH390" i="4"/>
  <c r="DT390" i="4"/>
  <c r="EE390" i="4"/>
  <c r="BK390" i="4"/>
  <c r="BD390" i="4"/>
  <c r="BP390" i="4"/>
  <c r="DV390" i="4"/>
  <c r="AU338" i="4"/>
  <c r="AN338" i="4"/>
  <c r="AG338" i="4"/>
  <c r="CD338" i="4"/>
  <c r="DX338" i="4"/>
  <c r="DQ338" i="4"/>
  <c r="DJ338" i="4"/>
  <c r="BD338" i="4"/>
  <c r="CV338" i="4"/>
  <c r="CO338" i="4"/>
  <c r="CH338" i="4"/>
  <c r="BB338" i="4"/>
  <c r="BT338" i="4"/>
  <c r="BM338" i="4"/>
  <c r="BF338" i="4"/>
  <c r="AB338" i="4"/>
  <c r="AR338" i="4"/>
  <c r="AK338" i="4"/>
  <c r="AD338" i="4"/>
  <c r="Z338" i="4"/>
  <c r="EC338" i="4"/>
  <c r="DV338" i="4"/>
  <c r="DO338" i="4"/>
  <c r="EE338" i="4"/>
  <c r="DA338" i="4"/>
  <c r="CT338" i="4"/>
  <c r="CM338" i="4"/>
  <c r="DC338" i="4"/>
  <c r="BY338" i="4"/>
  <c r="BK338" i="4"/>
  <c r="CA338" i="4"/>
  <c r="AW338" i="4"/>
  <c r="AP338" i="4"/>
  <c r="AI338" i="4"/>
  <c r="AY338" i="4"/>
  <c r="EA338" i="4"/>
  <c r="DT338" i="4"/>
  <c r="DM338" i="4"/>
  <c r="DH338" i="4"/>
  <c r="BW338" i="4"/>
  <c r="BP338" i="4"/>
  <c r="BI338" i="4"/>
  <c r="CF338" i="4"/>
  <c r="X21" i="4"/>
  <c r="AY21" i="4"/>
  <c r="CV21" i="4"/>
  <c r="AN21" i="4"/>
  <c r="BI21" i="4"/>
  <c r="EC21" i="4"/>
  <c r="BT21" i="4"/>
  <c r="BD21" i="4"/>
  <c r="DJ21" i="4"/>
  <c r="DA21" i="4"/>
  <c r="AR21" i="4"/>
  <c r="DQ21" i="4"/>
  <c r="CH21" i="4"/>
  <c r="BY21" i="4"/>
  <c r="CK21" i="4"/>
  <c r="CO21" i="4"/>
  <c r="BF21" i="4"/>
  <c r="AW21" i="4"/>
  <c r="DV21" i="4"/>
  <c r="BM21" i="4"/>
  <c r="AD21" i="4"/>
  <c r="EA21" i="4"/>
  <c r="AK21" i="4"/>
  <c r="DF21" i="4"/>
  <c r="CY21" i="4"/>
  <c r="BR21" i="4"/>
  <c r="CF21" i="4"/>
  <c r="CD21" i="4"/>
  <c r="AU21" i="4"/>
  <c r="AB21" i="4"/>
  <c r="CM21" i="4"/>
  <c r="Z21" i="4"/>
  <c r="CA21" i="4"/>
  <c r="DX21" i="4"/>
  <c r="BP21" i="4"/>
  <c r="DM21" i="4"/>
  <c r="GS29" i="4"/>
  <c r="AY29" i="4"/>
  <c r="CV29" i="4"/>
  <c r="DQ29" i="4"/>
  <c r="AG29" i="4"/>
  <c r="DH29" i="4"/>
  <c r="BT29" i="4"/>
  <c r="CO29" i="4"/>
  <c r="DJ29" i="4"/>
  <c r="AR29" i="4"/>
  <c r="BM29" i="4"/>
  <c r="CH29" i="4"/>
  <c r="DA29" i="4"/>
  <c r="AB29" i="4"/>
  <c r="AK29" i="4"/>
  <c r="BF29" i="4"/>
  <c r="BY29" i="4"/>
  <c r="DV29" i="4"/>
  <c r="DO29" i="4"/>
  <c r="AD29" i="4"/>
  <c r="AW29" i="4"/>
  <c r="CT29" i="4"/>
  <c r="CM29" i="4"/>
  <c r="DF29" i="4"/>
  <c r="EA29" i="4"/>
  <c r="BR29" i="4"/>
  <c r="BK29" i="4"/>
  <c r="CD29" i="4"/>
  <c r="CY29" i="4"/>
  <c r="AP29" i="4"/>
  <c r="AI29" i="4"/>
  <c r="BB29" i="4"/>
  <c r="BW29" i="4"/>
  <c r="DT29" i="4"/>
  <c r="CF29" i="4"/>
  <c r="Z29" i="4"/>
  <c r="EE29" i="4"/>
  <c r="AU29" i="4"/>
  <c r="CR29" i="4"/>
  <c r="DM29" i="4"/>
  <c r="DC29" i="4"/>
  <c r="BD29" i="4"/>
  <c r="BP29" i="4"/>
  <c r="CK29" i="4"/>
  <c r="CA29" i="4"/>
  <c r="DX29" i="4"/>
  <c r="AN29" i="4"/>
  <c r="BI29" i="4"/>
  <c r="V128" i="4"/>
  <c r="CF128" i="4"/>
  <c r="X63" i="4"/>
  <c r="BM63" i="4"/>
  <c r="X111" i="4"/>
  <c r="AY111" i="4"/>
  <c r="X141" i="4"/>
  <c r="AK141" i="4"/>
  <c r="CV163" i="4"/>
  <c r="CR5" i="4"/>
  <c r="DT21" i="4"/>
  <c r="DX56" i="4"/>
  <c r="CF48" i="4"/>
  <c r="DC188" i="4"/>
  <c r="CF69" i="4"/>
  <c r="BR6" i="4"/>
  <c r="CO177" i="4"/>
  <c r="DM117" i="4"/>
  <c r="BP7" i="4"/>
  <c r="DQ19" i="4"/>
  <c r="AU14" i="4"/>
  <c r="EE71" i="4"/>
  <c r="AY390" i="4"/>
  <c r="CH324" i="4"/>
  <c r="AB384" i="4"/>
  <c r="DF338" i="4"/>
  <c r="DM37" i="4"/>
  <c r="BT321" i="4"/>
  <c r="BP332" i="4"/>
  <c r="DO4" i="4"/>
  <c r="DM323" i="4"/>
  <c r="DM307" i="4"/>
  <c r="DM394" i="4"/>
  <c r="EE394" i="4"/>
  <c r="DV394" i="4"/>
  <c r="CK394" i="4"/>
  <c r="CA394" i="4"/>
  <c r="CY394" i="4"/>
  <c r="CO394" i="4"/>
  <c r="AY394" i="4"/>
  <c r="AU394" i="4"/>
  <c r="BR394" i="4"/>
  <c r="BI394" i="4"/>
  <c r="BB394" i="4"/>
  <c r="DF394" i="4"/>
  <c r="AK394" i="4"/>
  <c r="DO394" i="4"/>
  <c r="BM394" i="4"/>
  <c r="DJ394" i="4"/>
  <c r="BY394" i="4"/>
  <c r="EC394" i="4"/>
  <c r="CD394" i="4"/>
  <c r="CH394" i="4"/>
  <c r="AR394" i="4"/>
  <c r="CV394" i="4"/>
  <c r="AW394" i="4"/>
  <c r="BF394" i="4"/>
  <c r="DC394" i="4"/>
  <c r="BP394" i="4"/>
  <c r="AG394" i="4"/>
  <c r="BW394" i="4"/>
  <c r="AI394" i="4"/>
  <c r="EA394" i="4"/>
  <c r="DH394" i="4"/>
  <c r="AP394" i="4"/>
  <c r="DX394" i="4"/>
  <c r="DT394" i="4"/>
  <c r="CF394" i="4"/>
  <c r="DA394" i="4"/>
  <c r="CR394" i="4"/>
  <c r="DQ394" i="4"/>
  <c r="BD394" i="4"/>
  <c r="BT394" i="4"/>
  <c r="BK394" i="4"/>
  <c r="CT394" i="4"/>
  <c r="AB394" i="4"/>
  <c r="AN394" i="4"/>
  <c r="Z394" i="4"/>
  <c r="CM394" i="4"/>
  <c r="AI391" i="4"/>
  <c r="AB391" i="4"/>
  <c r="AN391" i="4"/>
  <c r="AP391" i="4"/>
  <c r="DM391" i="4"/>
  <c r="DF391" i="4"/>
  <c r="CA391" i="4"/>
  <c r="DC391" i="4"/>
  <c r="CK391" i="4"/>
  <c r="CD391" i="4"/>
  <c r="BY391" i="4"/>
  <c r="CT391" i="4"/>
  <c r="BI391" i="4"/>
  <c r="BB391" i="4"/>
  <c r="BT391" i="4"/>
  <c r="DA391" i="4"/>
  <c r="AG391" i="4"/>
  <c r="Z391" i="4"/>
  <c r="BR391" i="4"/>
  <c r="CV391" i="4"/>
  <c r="DQ391" i="4"/>
  <c r="DJ391" i="4"/>
  <c r="EA391" i="4"/>
  <c r="EE391" i="4"/>
  <c r="CO391" i="4"/>
  <c r="CH391" i="4"/>
  <c r="CY391" i="4"/>
  <c r="AY391" i="4"/>
  <c r="BM391" i="4"/>
  <c r="BW391" i="4"/>
  <c r="EC391" i="4"/>
  <c r="AK391" i="4"/>
  <c r="AD391" i="4"/>
  <c r="AU391" i="4"/>
  <c r="AW391" i="4"/>
  <c r="DO391" i="4"/>
  <c r="DH391" i="4"/>
  <c r="DT391" i="4"/>
  <c r="DX391" i="4"/>
  <c r="BK391" i="4"/>
  <c r="BD391" i="4"/>
  <c r="BP391" i="4"/>
  <c r="DV391" i="4"/>
  <c r="P385" i="4"/>
  <c r="DM385" i="4"/>
  <c r="AY385" i="4"/>
  <c r="AP385" i="4"/>
  <c r="CY385" i="4"/>
  <c r="CK385" i="4"/>
  <c r="DV385" i="4"/>
  <c r="DF385" i="4"/>
  <c r="BR385" i="4"/>
  <c r="BI385" i="4"/>
  <c r="CF385" i="4"/>
  <c r="BW385" i="4"/>
  <c r="AB385" i="4"/>
  <c r="AG385" i="4"/>
  <c r="AW385" i="4"/>
  <c r="AN385" i="4"/>
  <c r="BP385" i="4"/>
  <c r="DQ385" i="4"/>
  <c r="EC385" i="4"/>
  <c r="DT385" i="4"/>
  <c r="DC385" i="4"/>
  <c r="CO385" i="4"/>
  <c r="CT385" i="4"/>
  <c r="CD385" i="4"/>
  <c r="BT385" i="4"/>
  <c r="BM385" i="4"/>
  <c r="BD385" i="4"/>
  <c r="AU385" i="4"/>
  <c r="AD385" i="4"/>
  <c r="AK385" i="4"/>
  <c r="EA385" i="4"/>
  <c r="DJ385" i="4"/>
  <c r="EE385" i="4"/>
  <c r="DO385" i="4"/>
  <c r="CR385" i="4"/>
  <c r="CV385" i="4"/>
  <c r="CM385" i="4"/>
  <c r="BB385" i="4"/>
  <c r="AR385" i="4"/>
  <c r="BF385" i="4"/>
  <c r="BK385" i="4"/>
  <c r="DX385" i="4"/>
  <c r="DH385" i="4"/>
  <c r="Z385" i="4"/>
  <c r="AI385" i="4"/>
  <c r="CH385" i="4"/>
  <c r="BY385" i="4"/>
  <c r="DA385" i="4"/>
  <c r="AU383" i="4"/>
  <c r="AN383" i="4"/>
  <c r="AG383" i="4"/>
  <c r="DF383" i="4"/>
  <c r="EC383" i="4"/>
  <c r="DV383" i="4"/>
  <c r="DJ383" i="4"/>
  <c r="CF383" i="4"/>
  <c r="CV383" i="4"/>
  <c r="CH383" i="4"/>
  <c r="BD383" i="4"/>
  <c r="BT383" i="4"/>
  <c r="BM383" i="4"/>
  <c r="BF383" i="4"/>
  <c r="CD383" i="4"/>
  <c r="DQ383" i="4"/>
  <c r="AR383" i="4"/>
  <c r="AK383" i="4"/>
  <c r="AD383" i="4"/>
  <c r="DO383" i="4"/>
  <c r="EA383" i="4"/>
  <c r="DT383" i="4"/>
  <c r="DC383" i="4"/>
  <c r="DA383" i="4"/>
  <c r="CT383" i="4"/>
  <c r="CM383" i="4"/>
  <c r="CA383" i="4"/>
  <c r="BY383" i="4"/>
  <c r="BR383" i="4"/>
  <c r="BK383" i="4"/>
  <c r="AY383" i="4"/>
  <c r="AW383" i="4"/>
  <c r="AP383" i="4"/>
  <c r="AI383" i="4"/>
  <c r="BB383" i="4"/>
  <c r="EE383" i="4"/>
  <c r="DX383" i="4"/>
  <c r="DM383" i="4"/>
  <c r="AB383" i="4"/>
  <c r="BW383" i="4"/>
  <c r="BP383" i="4"/>
  <c r="BI383" i="4"/>
  <c r="DH383" i="4"/>
  <c r="CD284" i="4"/>
  <c r="CY284" i="4"/>
  <c r="BI284" i="4"/>
  <c r="BP284" i="4"/>
  <c r="BB284" i="4"/>
  <c r="BW284" i="4"/>
  <c r="DV284" i="4"/>
  <c r="CM284" i="4"/>
  <c r="Z284" i="4"/>
  <c r="AU284" i="4"/>
  <c r="AP284" i="4"/>
  <c r="BR284" i="4"/>
  <c r="DJ284" i="4"/>
  <c r="EE284" i="4"/>
  <c r="DX284" i="4"/>
  <c r="DT284" i="4"/>
  <c r="CH284" i="4"/>
  <c r="DC284" i="4"/>
  <c r="CV284" i="4"/>
  <c r="AN284" i="4"/>
  <c r="BF284" i="4"/>
  <c r="CA284" i="4"/>
  <c r="BT284" i="4"/>
  <c r="DO284" i="4"/>
  <c r="AD284" i="4"/>
  <c r="AY284" i="4"/>
  <c r="AR284" i="4"/>
  <c r="AI284" i="4"/>
  <c r="DH284" i="4"/>
  <c r="DQ284" i="4"/>
  <c r="DM284" i="4"/>
  <c r="CF284" i="4"/>
  <c r="DA284" i="4"/>
  <c r="CO284" i="4"/>
  <c r="AG284" i="4"/>
  <c r="BD284" i="4"/>
  <c r="BY284" i="4"/>
  <c r="BM284" i="4"/>
  <c r="CT284" i="4"/>
  <c r="DF284" i="4"/>
  <c r="EA284" i="4"/>
  <c r="BK284" i="4"/>
  <c r="CK284" i="4"/>
  <c r="AY32" i="4"/>
  <c r="AR32" i="4"/>
  <c r="CO32" i="4"/>
  <c r="DJ32" i="4"/>
  <c r="EC32" i="4"/>
  <c r="CF32" i="4"/>
  <c r="BM32" i="4"/>
  <c r="CH32" i="4"/>
  <c r="DA32" i="4"/>
  <c r="DV32" i="4"/>
  <c r="AK32" i="4"/>
  <c r="BY32" i="4"/>
  <c r="CT32" i="4"/>
  <c r="DO32" i="4"/>
  <c r="AD32" i="4"/>
  <c r="AW32" i="4"/>
  <c r="BR32" i="4"/>
  <c r="CM32" i="4"/>
  <c r="AB32" i="4"/>
  <c r="EA32" i="4"/>
  <c r="AP32" i="4"/>
  <c r="BK32" i="4"/>
  <c r="DF32" i="4"/>
  <c r="CY32" i="4"/>
  <c r="DT32" i="4"/>
  <c r="AI32" i="4"/>
  <c r="CD32" i="4"/>
  <c r="AU32" i="4"/>
  <c r="BP32" i="4"/>
  <c r="DM32" i="4"/>
  <c r="Z32" i="4"/>
  <c r="CA32" i="4"/>
  <c r="BT32" i="4"/>
  <c r="DQ32" i="4"/>
  <c r="AG32" i="4"/>
  <c r="X13" i="4"/>
  <c r="BW13" i="4"/>
  <c r="AP13" i="4"/>
  <c r="BK13" i="4"/>
  <c r="Z13" i="4"/>
  <c r="AU13" i="4"/>
  <c r="DT13" i="4"/>
  <c r="CK13" i="4"/>
  <c r="BD13" i="4"/>
  <c r="EE13" i="4"/>
  <c r="DX13" i="4"/>
  <c r="CR13" i="4"/>
  <c r="AG13" i="4"/>
  <c r="DC13" i="4"/>
  <c r="CV13" i="4"/>
  <c r="BP13" i="4"/>
  <c r="CF13" i="4"/>
  <c r="CA13" i="4"/>
  <c r="BT13" i="4"/>
  <c r="AN13" i="4"/>
  <c r="DJ13" i="4"/>
  <c r="AY13" i="4"/>
  <c r="AR13" i="4"/>
  <c r="DQ13" i="4"/>
  <c r="CH13" i="4"/>
  <c r="EC13" i="4"/>
  <c r="DM13" i="4"/>
  <c r="CO13" i="4"/>
  <c r="BF13" i="4"/>
  <c r="BY13" i="4"/>
  <c r="DH13" i="4"/>
  <c r="AK13" i="4"/>
  <c r="AB13" i="4"/>
  <c r="CY13" i="4"/>
  <c r="BR13" i="4"/>
  <c r="DO13" i="4"/>
  <c r="BB13" i="4"/>
  <c r="BY59" i="4"/>
  <c r="BR59" i="4"/>
  <c r="CM59" i="4"/>
  <c r="AB59" i="4"/>
  <c r="AW59" i="4"/>
  <c r="AP59" i="4"/>
  <c r="BM59" i="4"/>
  <c r="DF59" i="4"/>
  <c r="EA59" i="4"/>
  <c r="DT59" i="4"/>
  <c r="BK59" i="4"/>
  <c r="CD59" i="4"/>
  <c r="CY59" i="4"/>
  <c r="CR59" i="4"/>
  <c r="AK59" i="4"/>
  <c r="BB59" i="4"/>
  <c r="BW59" i="4"/>
  <c r="BP59" i="4"/>
  <c r="AI59" i="4"/>
  <c r="Z59" i="4"/>
  <c r="AU59" i="4"/>
  <c r="AN59" i="4"/>
  <c r="DQ59" i="4"/>
  <c r="DJ59" i="4"/>
  <c r="EE59" i="4"/>
  <c r="DX59" i="4"/>
  <c r="DM59" i="4"/>
  <c r="BF59" i="4"/>
  <c r="CA59" i="4"/>
  <c r="BT59" i="4"/>
  <c r="BI59" i="4"/>
  <c r="CF59" i="4"/>
  <c r="DA59" i="4"/>
  <c r="CT59" i="4"/>
  <c r="CO59" i="4"/>
  <c r="V55" i="4"/>
  <c r="BB55" i="4"/>
  <c r="CK55" i="4"/>
  <c r="CO55" i="4"/>
  <c r="Z55" i="4"/>
  <c r="AU55" i="4"/>
  <c r="BI55" i="4"/>
  <c r="CM55" i="4"/>
  <c r="DJ55" i="4"/>
  <c r="EE55" i="4"/>
  <c r="DX55" i="4"/>
  <c r="AG55" i="4"/>
  <c r="CH55" i="4"/>
  <c r="DC55" i="4"/>
  <c r="CV55" i="4"/>
  <c r="BR55" i="4"/>
  <c r="BF55" i="4"/>
  <c r="CA55" i="4"/>
  <c r="BT55" i="4"/>
  <c r="BM55" i="4"/>
  <c r="AD55" i="4"/>
  <c r="AY55" i="4"/>
  <c r="AR55" i="4"/>
  <c r="BK55" i="4"/>
  <c r="DH55" i="4"/>
  <c r="EC55" i="4"/>
  <c r="DV55" i="4"/>
  <c r="AP55" i="4"/>
  <c r="CF55" i="4"/>
  <c r="DA55" i="4"/>
  <c r="DT55" i="4"/>
  <c r="AK55" i="4"/>
  <c r="BD55" i="4"/>
  <c r="BY55" i="4"/>
  <c r="CR55" i="4"/>
  <c r="AI55" i="4"/>
  <c r="CD55" i="4"/>
  <c r="CY55" i="4"/>
  <c r="DM55" i="4"/>
  <c r="CT55" i="4"/>
  <c r="FN46" i="4"/>
  <c r="GM46" i="4" s="1"/>
  <c r="BD46" i="4"/>
  <c r="BY46" i="4"/>
  <c r="BP46" i="4"/>
  <c r="DV46" i="4"/>
  <c r="AB46" i="4"/>
  <c r="AW46" i="4"/>
  <c r="AN46" i="4"/>
  <c r="DQ46" i="4"/>
  <c r="DF46" i="4"/>
  <c r="EA46" i="4"/>
  <c r="DM46" i="4"/>
  <c r="DO46" i="4"/>
  <c r="CD46" i="4"/>
  <c r="CY46" i="4"/>
  <c r="CK46" i="4"/>
  <c r="CT46" i="4"/>
  <c r="BB46" i="4"/>
  <c r="BW46" i="4"/>
  <c r="BI46" i="4"/>
  <c r="CO46" i="4"/>
  <c r="Z46" i="4"/>
  <c r="AU46" i="4"/>
  <c r="AG46" i="4"/>
  <c r="CM46" i="4"/>
  <c r="DJ46" i="4"/>
  <c r="EE46" i="4"/>
  <c r="DX46" i="4"/>
  <c r="BR46" i="4"/>
  <c r="CH46" i="4"/>
  <c r="DC46" i="4"/>
  <c r="BM46" i="4"/>
  <c r="BF46" i="4"/>
  <c r="CA46" i="4"/>
  <c r="BT46" i="4"/>
  <c r="BK46" i="4"/>
  <c r="CF46" i="4"/>
  <c r="DA46" i="4"/>
  <c r="CR46" i="4"/>
  <c r="AI46" i="4"/>
  <c r="DX163" i="4"/>
  <c r="AP5" i="4"/>
  <c r="AP21" i="4"/>
  <c r="CR32" i="4"/>
  <c r="CD13" i="4"/>
  <c r="BF188" i="4"/>
  <c r="BK69" i="4"/>
  <c r="CM6" i="4"/>
  <c r="AR59" i="4"/>
  <c r="AI117" i="4"/>
  <c r="CR7" i="4"/>
  <c r="AN19" i="4"/>
  <c r="BW14" i="4"/>
  <c r="Z71" i="4"/>
  <c r="DO55" i="4"/>
  <c r="CR390" i="4"/>
  <c r="CO324" i="4"/>
  <c r="DH384" i="4"/>
  <c r="CK338" i="4"/>
  <c r="DT37" i="4"/>
  <c r="CY383" i="4"/>
  <c r="BR368" i="4"/>
  <c r="BM323" i="4"/>
  <c r="BK307" i="4"/>
  <c r="BD367" i="4"/>
  <c r="CO367" i="4"/>
  <c r="BW367" i="4"/>
  <c r="CV367" i="4"/>
  <c r="AB367" i="4"/>
  <c r="AY367" i="4"/>
  <c r="AN367" i="4"/>
  <c r="DF367" i="4"/>
  <c r="EA367" i="4"/>
  <c r="DO367" i="4"/>
  <c r="BM367" i="4"/>
  <c r="CD367" i="4"/>
  <c r="CM367" i="4"/>
  <c r="BR367" i="4"/>
  <c r="BK367" i="4"/>
  <c r="EE367" i="4"/>
  <c r="AU367" i="4"/>
  <c r="AI367" i="4"/>
  <c r="AK367" i="4"/>
  <c r="DC367" i="4"/>
  <c r="DX367" i="4"/>
  <c r="DM367" i="4"/>
  <c r="Z367" i="4"/>
  <c r="DJ367" i="4"/>
  <c r="EC367" i="4"/>
  <c r="CK367" i="4"/>
  <c r="BP367" i="4"/>
  <c r="CH367" i="4"/>
  <c r="DA367" i="4"/>
  <c r="AR367" i="4"/>
  <c r="AG367" i="4"/>
  <c r="BF367" i="4"/>
  <c r="BY367" i="4"/>
  <c r="DV367" i="4"/>
  <c r="CT367" i="4"/>
  <c r="AD367" i="4"/>
  <c r="AW367" i="4"/>
  <c r="CA367" i="4"/>
  <c r="BI367" i="4"/>
  <c r="DH367" i="4"/>
  <c r="CR367" i="4"/>
  <c r="AP367" i="4"/>
  <c r="DQ367" i="4"/>
  <c r="CF367" i="4"/>
  <c r="BB367" i="4"/>
  <c r="DT367" i="4"/>
  <c r="CY367" i="4"/>
  <c r="DF285" i="4"/>
  <c r="EA285" i="4"/>
  <c r="DO285" i="4"/>
  <c r="AN285" i="4"/>
  <c r="CD285" i="4"/>
  <c r="CY285" i="4"/>
  <c r="AI285" i="4"/>
  <c r="DV285" i="4"/>
  <c r="BB285" i="4"/>
  <c r="BW285" i="4"/>
  <c r="DM285" i="4"/>
  <c r="BK285" i="4"/>
  <c r="Z285" i="4"/>
  <c r="AU285" i="4"/>
  <c r="AG285" i="4"/>
  <c r="AP285" i="4"/>
  <c r="DJ285" i="4"/>
  <c r="EE285" i="4"/>
  <c r="DX285" i="4"/>
  <c r="CT285" i="4"/>
  <c r="CH285" i="4"/>
  <c r="DC285" i="4"/>
  <c r="CV285" i="4"/>
  <c r="CR285" i="4"/>
  <c r="BF285" i="4"/>
  <c r="CA285" i="4"/>
  <c r="BT285" i="4"/>
  <c r="CM285" i="4"/>
  <c r="AD285" i="4"/>
  <c r="AY285" i="4"/>
  <c r="AR285" i="4"/>
  <c r="CK285" i="4"/>
  <c r="DH285" i="4"/>
  <c r="EC285" i="4"/>
  <c r="DQ285" i="4"/>
  <c r="BR285" i="4"/>
  <c r="CF285" i="4"/>
  <c r="DA285" i="4"/>
  <c r="CO285" i="4"/>
  <c r="BP285" i="4"/>
  <c r="BD285" i="4"/>
  <c r="BY285" i="4"/>
  <c r="BI285" i="4"/>
  <c r="AB285" i="4"/>
  <c r="AW285" i="4"/>
  <c r="AK285" i="4"/>
  <c r="DT285" i="4"/>
  <c r="AU350" i="4"/>
  <c r="AN350" i="4"/>
  <c r="AG350" i="4"/>
  <c r="DF350" i="4"/>
  <c r="DX350" i="4"/>
  <c r="DQ350" i="4"/>
  <c r="DJ350" i="4"/>
  <c r="CF350" i="4"/>
  <c r="CV350" i="4"/>
  <c r="CO350" i="4"/>
  <c r="CH350" i="4"/>
  <c r="BB350" i="4"/>
  <c r="BT350" i="4"/>
  <c r="BM350" i="4"/>
  <c r="BF350" i="4"/>
  <c r="CD350" i="4"/>
  <c r="AR350" i="4"/>
  <c r="AK350" i="4"/>
  <c r="AD350" i="4"/>
  <c r="BD350" i="4"/>
  <c r="EC350" i="4"/>
  <c r="DV350" i="4"/>
  <c r="DO350" i="4"/>
  <c r="EE350" i="4"/>
  <c r="DA350" i="4"/>
  <c r="CT350" i="4"/>
  <c r="CM350" i="4"/>
  <c r="DC350" i="4"/>
  <c r="BY350" i="4"/>
  <c r="BK350" i="4"/>
  <c r="CA350" i="4"/>
  <c r="AW350" i="4"/>
  <c r="AP350" i="4"/>
  <c r="AI350" i="4"/>
  <c r="AY350" i="4"/>
  <c r="EA350" i="4"/>
  <c r="DT350" i="4"/>
  <c r="DM350" i="4"/>
  <c r="AB350" i="4"/>
  <c r="BW350" i="4"/>
  <c r="BP350" i="4"/>
  <c r="BI350" i="4"/>
  <c r="DH350" i="4"/>
  <c r="BT326" i="4"/>
  <c r="AY326" i="4"/>
  <c r="AN326" i="4"/>
  <c r="DH326" i="4"/>
  <c r="DV326" i="4"/>
  <c r="CK326" i="4"/>
  <c r="DM326" i="4"/>
  <c r="DF326" i="4"/>
  <c r="CT326" i="4"/>
  <c r="AW326" i="4"/>
  <c r="BI326" i="4"/>
  <c r="BR326" i="4"/>
  <c r="CH326" i="4"/>
  <c r="AK326" i="4"/>
  <c r="BF326" i="4"/>
  <c r="EC326" i="4"/>
  <c r="DT326" i="4"/>
  <c r="AU326" i="4"/>
  <c r="DJ326" i="4"/>
  <c r="DA326" i="4"/>
  <c r="DQ326" i="4"/>
  <c r="CF326" i="4"/>
  <c r="BK326" i="4"/>
  <c r="BY326" i="4"/>
  <c r="CO326" i="4"/>
  <c r="AR326" i="4"/>
  <c r="AI326" i="4"/>
  <c r="EA326" i="4"/>
  <c r="BM326" i="4"/>
  <c r="EE326" i="4"/>
  <c r="DC326" i="4"/>
  <c r="CY326" i="4"/>
  <c r="CR326" i="4"/>
  <c r="CD326" i="4"/>
  <c r="BD326" i="4"/>
  <c r="BW326" i="4"/>
  <c r="BB326" i="4"/>
  <c r="AP326" i="4"/>
  <c r="AB326" i="4"/>
  <c r="CV326" i="4"/>
  <c r="CM326" i="4"/>
  <c r="CA326" i="4"/>
  <c r="AD326" i="4"/>
  <c r="CD365" i="4"/>
  <c r="EA365" i="4"/>
  <c r="DQ365" i="4"/>
  <c r="AU365" i="4"/>
  <c r="BB365" i="4"/>
  <c r="CM365" i="4"/>
  <c r="BR365" i="4"/>
  <c r="CT365" i="4"/>
  <c r="EE365" i="4"/>
  <c r="AN365" i="4"/>
  <c r="Z365" i="4"/>
  <c r="CV365" i="4"/>
  <c r="DJ365" i="4"/>
  <c r="DC365" i="4"/>
  <c r="DX365" i="4"/>
  <c r="DO365" i="4"/>
  <c r="CH365" i="4"/>
  <c r="CA365" i="4"/>
  <c r="CK365" i="4"/>
  <c r="BP365" i="4"/>
  <c r="BF365" i="4"/>
  <c r="AY365" i="4"/>
  <c r="AK365" i="4"/>
  <c r="DM365" i="4"/>
  <c r="EC365" i="4"/>
  <c r="DV365" i="4"/>
  <c r="BM365" i="4"/>
  <c r="DH365" i="4"/>
  <c r="DA365" i="4"/>
  <c r="BW365" i="4"/>
  <c r="CY365" i="4"/>
  <c r="CF365" i="4"/>
  <c r="BY365" i="4"/>
  <c r="AI365" i="4"/>
  <c r="BK365" i="4"/>
  <c r="BD365" i="4"/>
  <c r="AW365" i="4"/>
  <c r="DT365" i="4"/>
  <c r="CR365" i="4"/>
  <c r="DF365" i="4"/>
  <c r="AP365" i="4"/>
  <c r="AG365" i="4"/>
  <c r="BI365" i="4"/>
  <c r="AB290" i="4"/>
  <c r="AW290" i="4"/>
  <c r="AK290" i="4"/>
  <c r="CR290" i="4"/>
  <c r="DF290" i="4"/>
  <c r="EA290" i="4"/>
  <c r="BK290" i="4"/>
  <c r="CK290" i="4"/>
  <c r="CD290" i="4"/>
  <c r="CY290" i="4"/>
  <c r="BI290" i="4"/>
  <c r="BP290" i="4"/>
  <c r="BB290" i="4"/>
  <c r="DV290" i="4"/>
  <c r="CM290" i="4"/>
  <c r="Z290" i="4"/>
  <c r="AU290" i="4"/>
  <c r="AP290" i="4"/>
  <c r="BR290" i="4"/>
  <c r="DJ290" i="4"/>
  <c r="EE290" i="4"/>
  <c r="DX290" i="4"/>
  <c r="DT290" i="4"/>
  <c r="CH290" i="4"/>
  <c r="DC290" i="4"/>
  <c r="CV290" i="4"/>
  <c r="AN290" i="4"/>
  <c r="BF290" i="4"/>
  <c r="CA290" i="4"/>
  <c r="BT290" i="4"/>
  <c r="DO290" i="4"/>
  <c r="AD290" i="4"/>
  <c r="AY290" i="4"/>
  <c r="AR290" i="4"/>
  <c r="AI290" i="4"/>
  <c r="DH290" i="4"/>
  <c r="EC290" i="4"/>
  <c r="DQ290" i="4"/>
  <c r="DM290" i="4"/>
  <c r="BD290" i="4"/>
  <c r="BY290" i="4"/>
  <c r="BM290" i="4"/>
  <c r="CT290" i="4"/>
  <c r="AD56" i="4"/>
  <c r="AY56" i="4"/>
  <c r="AR56" i="4"/>
  <c r="AG56" i="4"/>
  <c r="DH56" i="4"/>
  <c r="EC56" i="4"/>
  <c r="DV56" i="4"/>
  <c r="DO56" i="4"/>
  <c r="CF56" i="4"/>
  <c r="DA56" i="4"/>
  <c r="CT56" i="4"/>
  <c r="BD56" i="4"/>
  <c r="BY56" i="4"/>
  <c r="BR56" i="4"/>
  <c r="CM56" i="4"/>
  <c r="AB56" i="4"/>
  <c r="AW56" i="4"/>
  <c r="AP56" i="4"/>
  <c r="BM56" i="4"/>
  <c r="DF56" i="4"/>
  <c r="EA56" i="4"/>
  <c r="DT56" i="4"/>
  <c r="BK56" i="4"/>
  <c r="CD56" i="4"/>
  <c r="CY56" i="4"/>
  <c r="CR56" i="4"/>
  <c r="AK56" i="4"/>
  <c r="Z56" i="4"/>
  <c r="AU56" i="4"/>
  <c r="AN56" i="4"/>
  <c r="DQ56" i="4"/>
  <c r="BF56" i="4"/>
  <c r="CA56" i="4"/>
  <c r="BT56" i="4"/>
  <c r="BI56" i="4"/>
  <c r="BB48" i="4"/>
  <c r="BW48" i="4"/>
  <c r="BI48" i="4"/>
  <c r="CT48" i="4"/>
  <c r="Z48" i="4"/>
  <c r="AU48" i="4"/>
  <c r="AG48" i="4"/>
  <c r="CM48" i="4"/>
  <c r="DJ48" i="4"/>
  <c r="EE48" i="4"/>
  <c r="DX48" i="4"/>
  <c r="BR48" i="4"/>
  <c r="DC48" i="4"/>
  <c r="CV48" i="4"/>
  <c r="BM48" i="4"/>
  <c r="BF48" i="4"/>
  <c r="CA48" i="4"/>
  <c r="BT48" i="4"/>
  <c r="BK48" i="4"/>
  <c r="AD48" i="4"/>
  <c r="AY48" i="4"/>
  <c r="AR48" i="4"/>
  <c r="AP48" i="4"/>
  <c r="DH48" i="4"/>
  <c r="EC48" i="4"/>
  <c r="DT48" i="4"/>
  <c r="CO48" i="4"/>
  <c r="BD48" i="4"/>
  <c r="BY48" i="4"/>
  <c r="BP48" i="4"/>
  <c r="AI48" i="4"/>
  <c r="CD48" i="4"/>
  <c r="CY48" i="4"/>
  <c r="CK48" i="4"/>
  <c r="DO48" i="4"/>
  <c r="T177" i="4"/>
  <c r="CA177" i="4"/>
  <c r="CY177" i="4"/>
  <c r="DJ177" i="4"/>
  <c r="AY177" i="4"/>
  <c r="BM177" i="4"/>
  <c r="CM177" i="4"/>
  <c r="BW177" i="4"/>
  <c r="DV177" i="4"/>
  <c r="AD177" i="4"/>
  <c r="BD177" i="4"/>
  <c r="AK177" i="4"/>
  <c r="CT177" i="4"/>
  <c r="CV177" i="4"/>
  <c r="DT177" i="4"/>
  <c r="DM177" i="4"/>
  <c r="BR177" i="4"/>
  <c r="BK177" i="4"/>
  <c r="CK177" i="4"/>
  <c r="BY177" i="4"/>
  <c r="AP177" i="4"/>
  <c r="AB177" i="4"/>
  <c r="AW177" i="4"/>
  <c r="AN177" i="4"/>
  <c r="DF177" i="4"/>
  <c r="DH177" i="4"/>
  <c r="EC177" i="4"/>
  <c r="DQ177" i="4"/>
  <c r="BB177" i="4"/>
  <c r="AI177" i="4"/>
  <c r="BI177" i="4"/>
  <c r="AU177" i="4"/>
  <c r="DC177" i="4"/>
  <c r="AG177" i="4"/>
  <c r="BF177" i="4"/>
  <c r="AR177" i="4"/>
  <c r="HD276" i="4"/>
  <c r="GM76" i="4"/>
  <c r="BF76" i="4"/>
  <c r="CA76" i="4"/>
  <c r="BT76" i="4"/>
  <c r="BI76" i="4"/>
  <c r="AD76" i="4"/>
  <c r="AY76" i="4"/>
  <c r="AR76" i="4"/>
  <c r="AG76" i="4"/>
  <c r="DH76" i="4"/>
  <c r="EC76" i="4"/>
  <c r="DV76" i="4"/>
  <c r="BK76" i="4"/>
  <c r="CF76" i="4"/>
  <c r="DA76" i="4"/>
  <c r="CT76" i="4"/>
  <c r="AK76" i="4"/>
  <c r="BD76" i="4"/>
  <c r="BY76" i="4"/>
  <c r="BR76" i="4"/>
  <c r="AI76" i="4"/>
  <c r="AB76" i="4"/>
  <c r="AW76" i="4"/>
  <c r="AP76" i="4"/>
  <c r="DQ76" i="4"/>
  <c r="DF76" i="4"/>
  <c r="EA76" i="4"/>
  <c r="DT76" i="4"/>
  <c r="CD76" i="4"/>
  <c r="CY76" i="4"/>
  <c r="CR76" i="4"/>
  <c r="BB76" i="4"/>
  <c r="BW76" i="4"/>
  <c r="BP76" i="4"/>
  <c r="CM76" i="4"/>
  <c r="CH76" i="4"/>
  <c r="DC76" i="4"/>
  <c r="CV76" i="4"/>
  <c r="CK76" i="4"/>
  <c r="X90" i="4"/>
  <c r="AD90" i="4"/>
  <c r="V118" i="4"/>
  <c r="BR118" i="4"/>
  <c r="T73" i="4"/>
  <c r="BI73" i="4"/>
  <c r="T157" i="4"/>
  <c r="BP157" i="4"/>
  <c r="BW163" i="4"/>
  <c r="CK5" i="4"/>
  <c r="DH21" i="4"/>
  <c r="CV32" i="4"/>
  <c r="DC56" i="4"/>
  <c r="DF13" i="4"/>
  <c r="DV48" i="4"/>
  <c r="BM69" i="4"/>
  <c r="AU6" i="4"/>
  <c r="CV59" i="4"/>
  <c r="CR177" i="4"/>
  <c r="CM117" i="4"/>
  <c r="DM7" i="4"/>
  <c r="CR19" i="4"/>
  <c r="EA14" i="4"/>
  <c r="CD71" i="4"/>
  <c r="DQ55" i="4"/>
  <c r="CF390" i="4"/>
  <c r="DX384" i="4"/>
  <c r="CR338" i="4"/>
  <c r="CT274" i="4"/>
  <c r="CK361" i="4"/>
  <c r="AG326" i="4"/>
  <c r="CV396" i="4"/>
  <c r="DH328" i="4"/>
  <c r="BT365" i="4"/>
  <c r="AN368" i="4"/>
  <c r="BT323" i="4"/>
  <c r="V277" i="4"/>
  <c r="BD277" i="4"/>
  <c r="BY277" i="4"/>
  <c r="BM277" i="4"/>
  <c r="DM277" i="4"/>
  <c r="AB277" i="4"/>
  <c r="AW277" i="4"/>
  <c r="AK277" i="4"/>
  <c r="AG277" i="4"/>
  <c r="DF277" i="4"/>
  <c r="EA277" i="4"/>
  <c r="CM277" i="4"/>
  <c r="CR277" i="4"/>
  <c r="CD277" i="4"/>
  <c r="CY277" i="4"/>
  <c r="CK277" i="4"/>
  <c r="DO277" i="4"/>
  <c r="BB277" i="4"/>
  <c r="BW277" i="4"/>
  <c r="BR277" i="4"/>
  <c r="CT277" i="4"/>
  <c r="Z277" i="4"/>
  <c r="AU277" i="4"/>
  <c r="BP277" i="4"/>
  <c r="AI277" i="4"/>
  <c r="DJ277" i="4"/>
  <c r="EE277" i="4"/>
  <c r="DX277" i="4"/>
  <c r="BK277" i="4"/>
  <c r="CH277" i="4"/>
  <c r="DC277" i="4"/>
  <c r="CV277" i="4"/>
  <c r="BI277" i="4"/>
  <c r="BF277" i="4"/>
  <c r="BT277" i="4"/>
  <c r="DV277" i="4"/>
  <c r="AD277" i="4"/>
  <c r="AY277" i="4"/>
  <c r="AR277" i="4"/>
  <c r="AP277" i="4"/>
  <c r="DH277" i="4"/>
  <c r="EC277" i="4"/>
  <c r="DQ277" i="4"/>
  <c r="DT277" i="4"/>
  <c r="CF277" i="4"/>
  <c r="DA277" i="4"/>
  <c r="CO277" i="4"/>
  <c r="AN277" i="4"/>
  <c r="DX372" i="4"/>
  <c r="BD372" i="4"/>
  <c r="AN372" i="4"/>
  <c r="CA372" i="4"/>
  <c r="CV372" i="4"/>
  <c r="EE372" i="4"/>
  <c r="DH372" i="4"/>
  <c r="BM372" i="4"/>
  <c r="BT372" i="4"/>
  <c r="CK372" i="4"/>
  <c r="BR372" i="4"/>
  <c r="AK372" i="4"/>
  <c r="AR372" i="4"/>
  <c r="BB372" i="4"/>
  <c r="AD372" i="4"/>
  <c r="EC372" i="4"/>
  <c r="DV372" i="4"/>
  <c r="DQ372" i="4"/>
  <c r="DF372" i="4"/>
  <c r="DA372" i="4"/>
  <c r="DT372" i="4"/>
  <c r="CH372" i="4"/>
  <c r="BP372" i="4"/>
  <c r="BY372" i="4"/>
  <c r="CR372" i="4"/>
  <c r="AY372" i="4"/>
  <c r="AG372" i="4"/>
  <c r="AW372" i="4"/>
  <c r="BI372" i="4"/>
  <c r="DO372" i="4"/>
  <c r="CT372" i="4"/>
  <c r="EA372" i="4"/>
  <c r="Z372" i="4"/>
  <c r="CF372" i="4"/>
  <c r="BK372" i="4"/>
  <c r="CY372" i="4"/>
  <c r="CO372" i="4"/>
  <c r="AP372" i="4"/>
  <c r="AB372" i="4"/>
  <c r="BW372" i="4"/>
  <c r="BF372" i="4"/>
  <c r="DM372" i="4"/>
  <c r="DJ372" i="4"/>
  <c r="AU372" i="4"/>
  <c r="CM372" i="4"/>
  <c r="CD372" i="4"/>
  <c r="DC372" i="4"/>
  <c r="P307" i="4"/>
  <c r="EC307" i="4"/>
  <c r="DV307" i="4"/>
  <c r="DH307" i="4"/>
  <c r="CK307" i="4"/>
  <c r="DA307" i="4"/>
  <c r="CT307" i="4"/>
  <c r="CF307" i="4"/>
  <c r="DJ307" i="4"/>
  <c r="BY307" i="4"/>
  <c r="BR307" i="4"/>
  <c r="BD307" i="4"/>
  <c r="BM307" i="4"/>
  <c r="AW307" i="4"/>
  <c r="AP307" i="4"/>
  <c r="AB307" i="4"/>
  <c r="CH307" i="4"/>
  <c r="DF307" i="4"/>
  <c r="EA307" i="4"/>
  <c r="DT307" i="4"/>
  <c r="BI307" i="4"/>
  <c r="CD307" i="4"/>
  <c r="CY307" i="4"/>
  <c r="CR307" i="4"/>
  <c r="BF307" i="4"/>
  <c r="BB307" i="4"/>
  <c r="BW307" i="4"/>
  <c r="BP307" i="4"/>
  <c r="AK307" i="4"/>
  <c r="Z307" i="4"/>
  <c r="AU307" i="4"/>
  <c r="AN307" i="4"/>
  <c r="AG307" i="4"/>
  <c r="EE307" i="4"/>
  <c r="DX307" i="4"/>
  <c r="DO307" i="4"/>
  <c r="AD307" i="4"/>
  <c r="DC307" i="4"/>
  <c r="CM307" i="4"/>
  <c r="DQ307" i="4"/>
  <c r="AY307" i="4"/>
  <c r="AR307" i="4"/>
  <c r="AI307" i="4"/>
  <c r="CO307" i="4"/>
  <c r="N324" i="4"/>
  <c r="AY324" i="4"/>
  <c r="AK324" i="4"/>
  <c r="BF324" i="4"/>
  <c r="EC324" i="4"/>
  <c r="DV324" i="4"/>
  <c r="DO324" i="4"/>
  <c r="AG324" i="4"/>
  <c r="DA324" i="4"/>
  <c r="CT324" i="4"/>
  <c r="CM324" i="4"/>
  <c r="AD324" i="4"/>
  <c r="BY324" i="4"/>
  <c r="BR324" i="4"/>
  <c r="BK324" i="4"/>
  <c r="DM324" i="4"/>
  <c r="AW324" i="4"/>
  <c r="AP324" i="4"/>
  <c r="AI324" i="4"/>
  <c r="DJ324" i="4"/>
  <c r="DF324" i="4"/>
  <c r="EA324" i="4"/>
  <c r="DT324" i="4"/>
  <c r="DH324" i="4"/>
  <c r="CD324" i="4"/>
  <c r="CY324" i="4"/>
  <c r="CR324" i="4"/>
  <c r="CF324" i="4"/>
  <c r="BB324" i="4"/>
  <c r="BW324" i="4"/>
  <c r="BP324" i="4"/>
  <c r="BD324" i="4"/>
  <c r="Z324" i="4"/>
  <c r="AU324" i="4"/>
  <c r="AN324" i="4"/>
  <c r="AB324" i="4"/>
  <c r="EE324" i="4"/>
  <c r="DX324" i="4"/>
  <c r="DQ324" i="4"/>
  <c r="CK324" i="4"/>
  <c r="CA324" i="4"/>
  <c r="BT324" i="4"/>
  <c r="BM324" i="4"/>
  <c r="BI324" i="4"/>
  <c r="T188" i="4"/>
  <c r="BY188" i="4"/>
  <c r="BR188" i="4"/>
  <c r="BK188" i="4"/>
  <c r="AG188" i="4"/>
  <c r="AW188" i="4"/>
  <c r="AP188" i="4"/>
  <c r="AD188" i="4"/>
  <c r="AI188" i="4"/>
  <c r="DF188" i="4"/>
  <c r="EA188" i="4"/>
  <c r="DT188" i="4"/>
  <c r="DM188" i="4"/>
  <c r="CD188" i="4"/>
  <c r="CY188" i="4"/>
  <c r="CR188" i="4"/>
  <c r="AB188" i="4"/>
  <c r="BB188" i="4"/>
  <c r="BW188" i="4"/>
  <c r="BP188" i="4"/>
  <c r="DJ188" i="4"/>
  <c r="Z188" i="4"/>
  <c r="AU188" i="4"/>
  <c r="AN188" i="4"/>
  <c r="DH188" i="4"/>
  <c r="EE188" i="4"/>
  <c r="DX188" i="4"/>
  <c r="DQ188" i="4"/>
  <c r="CK188" i="4"/>
  <c r="CA188" i="4"/>
  <c r="BT188" i="4"/>
  <c r="BM188" i="4"/>
  <c r="CF188" i="4"/>
  <c r="DA188" i="4"/>
  <c r="CT188" i="4"/>
  <c r="BD188" i="4"/>
  <c r="X112" i="4"/>
  <c r="CH112" i="4"/>
  <c r="V108" i="4"/>
  <c r="BD108" i="4"/>
  <c r="X74" i="4"/>
  <c r="BM74" i="4"/>
  <c r="X127" i="4"/>
  <c r="CA127" i="4"/>
  <c r="Z163" i="4"/>
  <c r="BW5" i="4"/>
  <c r="AG21" i="4"/>
  <c r="DX32" i="4"/>
  <c r="EE56" i="4"/>
  <c r="AD13" i="4"/>
  <c r="AK48" i="4"/>
  <c r="CH188" i="4"/>
  <c r="EC59" i="4"/>
  <c r="BP177" i="4"/>
  <c r="DT117" i="4"/>
  <c r="BT7" i="4"/>
  <c r="AR19" i="4"/>
  <c r="EE14" i="4"/>
  <c r="DJ71" i="4"/>
  <c r="AN55" i="4"/>
  <c r="CM390" i="4"/>
  <c r="DC324" i="4"/>
  <c r="CY338" i="4"/>
  <c r="DJ35" i="4"/>
  <c r="CO274" i="4"/>
  <c r="BM361" i="4"/>
  <c r="DO326" i="4"/>
  <c r="DM396" i="4"/>
  <c r="AG328" i="4"/>
  <c r="CO365" i="4"/>
  <c r="AW368" i="4"/>
  <c r="CA323" i="4"/>
  <c r="CA307" i="4"/>
  <c r="EC356" i="4"/>
  <c r="DV356" i="4"/>
  <c r="AK356" i="4"/>
  <c r="DT356" i="4"/>
  <c r="DA356" i="4"/>
  <c r="CT356" i="4"/>
  <c r="CM356" i="4"/>
  <c r="BK356" i="4"/>
  <c r="BY356" i="4"/>
  <c r="BR356" i="4"/>
  <c r="AI356" i="4"/>
  <c r="DO356" i="4"/>
  <c r="AW356" i="4"/>
  <c r="AP356" i="4"/>
  <c r="CK356" i="4"/>
  <c r="BM356" i="4"/>
  <c r="DF356" i="4"/>
  <c r="EA356" i="4"/>
  <c r="DQ356" i="4"/>
  <c r="AG356" i="4"/>
  <c r="CD356" i="4"/>
  <c r="CY356" i="4"/>
  <c r="DJ356" i="4"/>
  <c r="CH356" i="4"/>
  <c r="BB356" i="4"/>
  <c r="BW356" i="4"/>
  <c r="BF356" i="4"/>
  <c r="AD356" i="4"/>
  <c r="Z356" i="4"/>
  <c r="AU356" i="4"/>
  <c r="DH356" i="4"/>
  <c r="CF356" i="4"/>
  <c r="EE356" i="4"/>
  <c r="DX356" i="4"/>
  <c r="BD356" i="4"/>
  <c r="AB356" i="4"/>
  <c r="DC356" i="4"/>
  <c r="CR356" i="4"/>
  <c r="BP356" i="4"/>
  <c r="AY356" i="4"/>
  <c r="AR356" i="4"/>
  <c r="CO356" i="4"/>
  <c r="BI356" i="4"/>
  <c r="BY343" i="4"/>
  <c r="BR343" i="4"/>
  <c r="BK343" i="4"/>
  <c r="CA343" i="4"/>
  <c r="AW343" i="4"/>
  <c r="AP343" i="4"/>
  <c r="AI343" i="4"/>
  <c r="AY343" i="4"/>
  <c r="EA343" i="4"/>
  <c r="DT343" i="4"/>
  <c r="DM343" i="4"/>
  <c r="CY343" i="4"/>
  <c r="CR343" i="4"/>
  <c r="CK343" i="4"/>
  <c r="CD343" i="4"/>
  <c r="BW343" i="4"/>
  <c r="BP343" i="4"/>
  <c r="BI343" i="4"/>
  <c r="BD343" i="4"/>
  <c r="AU343" i="4"/>
  <c r="AN343" i="4"/>
  <c r="AG343" i="4"/>
  <c r="BB343" i="4"/>
  <c r="DX343" i="4"/>
  <c r="DQ343" i="4"/>
  <c r="DJ343" i="4"/>
  <c r="AB343" i="4"/>
  <c r="CV343" i="4"/>
  <c r="CO343" i="4"/>
  <c r="CH343" i="4"/>
  <c r="Z343" i="4"/>
  <c r="BT343" i="4"/>
  <c r="BM343" i="4"/>
  <c r="BF343" i="4"/>
  <c r="DF343" i="4"/>
  <c r="AR343" i="4"/>
  <c r="AK343" i="4"/>
  <c r="AD343" i="4"/>
  <c r="DH343" i="4"/>
  <c r="EC343" i="4"/>
  <c r="DV343" i="4"/>
  <c r="DO343" i="4"/>
  <c r="EE343" i="4"/>
  <c r="DA343" i="4"/>
  <c r="CT343" i="4"/>
  <c r="CM343" i="4"/>
  <c r="DC343" i="4"/>
  <c r="DX332" i="4"/>
  <c r="DQ332" i="4"/>
  <c r="BF332" i="4"/>
  <c r="AB332" i="4"/>
  <c r="CV332" i="4"/>
  <c r="CO332" i="4"/>
  <c r="AD332" i="4"/>
  <c r="Z332" i="4"/>
  <c r="BT332" i="4"/>
  <c r="BM332" i="4"/>
  <c r="EE332" i="4"/>
  <c r="DF332" i="4"/>
  <c r="AR332" i="4"/>
  <c r="DC332" i="4"/>
  <c r="DH332" i="4"/>
  <c r="EC332" i="4"/>
  <c r="DV332" i="4"/>
  <c r="DO332" i="4"/>
  <c r="CA332" i="4"/>
  <c r="DA332" i="4"/>
  <c r="CT332" i="4"/>
  <c r="CM332" i="4"/>
  <c r="AY332" i="4"/>
  <c r="BY332" i="4"/>
  <c r="BR332" i="4"/>
  <c r="BK332" i="4"/>
  <c r="CF332" i="4"/>
  <c r="AW332" i="4"/>
  <c r="AP332" i="4"/>
  <c r="AI332" i="4"/>
  <c r="CD332" i="4"/>
  <c r="EA332" i="4"/>
  <c r="DT332" i="4"/>
  <c r="DM332" i="4"/>
  <c r="BI332" i="4"/>
  <c r="CY332" i="4"/>
  <c r="CR332" i="4"/>
  <c r="CK332" i="4"/>
  <c r="BD332" i="4"/>
  <c r="AU332" i="4"/>
  <c r="AN332" i="4"/>
  <c r="CH332" i="4"/>
  <c r="AG332" i="4"/>
  <c r="CV346" i="4"/>
  <c r="CO346" i="4"/>
  <c r="CH346" i="4"/>
  <c r="Z346" i="4"/>
  <c r="BT346" i="4"/>
  <c r="BM346" i="4"/>
  <c r="BF346" i="4"/>
  <c r="DF346" i="4"/>
  <c r="AR346" i="4"/>
  <c r="AK346" i="4"/>
  <c r="DH346" i="4"/>
  <c r="EC346" i="4"/>
  <c r="DV346" i="4"/>
  <c r="DO346" i="4"/>
  <c r="EE346" i="4"/>
  <c r="DA346" i="4"/>
  <c r="CT346" i="4"/>
  <c r="CM346" i="4"/>
  <c r="DC346" i="4"/>
  <c r="BY346" i="4"/>
  <c r="BR346" i="4"/>
  <c r="BK346" i="4"/>
  <c r="CA346" i="4"/>
  <c r="AW346" i="4"/>
  <c r="AP346" i="4"/>
  <c r="AI346" i="4"/>
  <c r="AY346" i="4"/>
  <c r="EA346" i="4"/>
  <c r="DT346" i="4"/>
  <c r="DM346" i="4"/>
  <c r="CF346" i="4"/>
  <c r="CY346" i="4"/>
  <c r="CR346" i="4"/>
  <c r="CK346" i="4"/>
  <c r="CD346" i="4"/>
  <c r="BW346" i="4"/>
  <c r="BP346" i="4"/>
  <c r="BI346" i="4"/>
  <c r="BD346" i="4"/>
  <c r="DX346" i="4"/>
  <c r="DQ346" i="4"/>
  <c r="DJ346" i="4"/>
  <c r="AB346" i="4"/>
  <c r="AY304" i="4"/>
  <c r="AR304" i="4"/>
  <c r="BD304" i="4"/>
  <c r="CM304" i="4"/>
  <c r="EC304" i="4"/>
  <c r="DV304" i="4"/>
  <c r="AB304" i="4"/>
  <c r="CH304" i="4"/>
  <c r="DA304" i="4"/>
  <c r="CT304" i="4"/>
  <c r="BM304" i="4"/>
  <c r="AD304" i="4"/>
  <c r="BY304" i="4"/>
  <c r="BR304" i="4"/>
  <c r="BK304" i="4"/>
  <c r="CK304" i="4"/>
  <c r="AW304" i="4"/>
  <c r="AP304" i="4"/>
  <c r="BI304" i="4"/>
  <c r="DJ304" i="4"/>
  <c r="DF304" i="4"/>
  <c r="EA304" i="4"/>
  <c r="DT304" i="4"/>
  <c r="BF304" i="4"/>
  <c r="CD304" i="4"/>
  <c r="CY304" i="4"/>
  <c r="CR304" i="4"/>
  <c r="AK304" i="4"/>
  <c r="BB304" i="4"/>
  <c r="BP304" i="4"/>
  <c r="DQ304" i="4"/>
  <c r="Z304" i="4"/>
  <c r="AU304" i="4"/>
  <c r="AN304" i="4"/>
  <c r="AI304" i="4"/>
  <c r="EE304" i="4"/>
  <c r="DX304" i="4"/>
  <c r="DO304" i="4"/>
  <c r="DM304" i="4"/>
  <c r="CA304" i="4"/>
  <c r="BT304" i="4"/>
  <c r="CF304" i="4"/>
  <c r="CO304" i="4"/>
  <c r="X37" i="4"/>
  <c r="EE37" i="4"/>
  <c r="DX37" i="4"/>
  <c r="BP37" i="4"/>
  <c r="BI37" i="4"/>
  <c r="DC37" i="4"/>
  <c r="CV37" i="4"/>
  <c r="AN37" i="4"/>
  <c r="AG37" i="4"/>
  <c r="CA37" i="4"/>
  <c r="BT37" i="4"/>
  <c r="DQ37" i="4"/>
  <c r="DJ37" i="4"/>
  <c r="AY37" i="4"/>
  <c r="AR37" i="4"/>
  <c r="CO37" i="4"/>
  <c r="CH37" i="4"/>
  <c r="EC37" i="4"/>
  <c r="CF37" i="4"/>
  <c r="BM37" i="4"/>
  <c r="BF37" i="4"/>
  <c r="DA37" i="4"/>
  <c r="AB37" i="4"/>
  <c r="AK37" i="4"/>
  <c r="AD37" i="4"/>
  <c r="DV37" i="4"/>
  <c r="DO37" i="4"/>
  <c r="DH37" i="4"/>
  <c r="AW37" i="4"/>
  <c r="CT37" i="4"/>
  <c r="CM37" i="4"/>
  <c r="BD37" i="4"/>
  <c r="EA37" i="4"/>
  <c r="BR37" i="4"/>
  <c r="BK37" i="4"/>
  <c r="DF37" i="4"/>
  <c r="CY37" i="4"/>
  <c r="AP37" i="4"/>
  <c r="AI37" i="4"/>
  <c r="CD37" i="4"/>
  <c r="AU37" i="4"/>
  <c r="CR37" i="4"/>
  <c r="CK37" i="4"/>
  <c r="Z37" i="4"/>
  <c r="V69" i="4"/>
  <c r="BB69" i="4"/>
  <c r="BW69" i="4"/>
  <c r="BP69" i="4"/>
  <c r="AI69" i="4"/>
  <c r="Z69" i="4"/>
  <c r="AU69" i="4"/>
  <c r="DQ69" i="4"/>
  <c r="DJ69" i="4"/>
  <c r="EE69" i="4"/>
  <c r="DX69" i="4"/>
  <c r="DM69" i="4"/>
  <c r="CH69" i="4"/>
  <c r="DC69" i="4"/>
  <c r="CV69" i="4"/>
  <c r="CK69" i="4"/>
  <c r="BF69" i="4"/>
  <c r="CA69" i="4"/>
  <c r="BT69" i="4"/>
  <c r="BI69" i="4"/>
  <c r="AD69" i="4"/>
  <c r="AY69" i="4"/>
  <c r="AR69" i="4"/>
  <c r="AG69" i="4"/>
  <c r="DH69" i="4"/>
  <c r="EC69" i="4"/>
  <c r="DV69" i="4"/>
  <c r="DO69" i="4"/>
  <c r="BD69" i="4"/>
  <c r="BY69" i="4"/>
  <c r="BR69" i="4"/>
  <c r="CM69" i="4"/>
  <c r="CD69" i="4"/>
  <c r="CY69" i="4"/>
  <c r="CR69" i="4"/>
  <c r="AK69" i="4"/>
  <c r="CA6" i="4"/>
  <c r="AB6" i="4"/>
  <c r="DT6" i="4"/>
  <c r="DJ6" i="4"/>
  <c r="DX6" i="4"/>
  <c r="CR6" i="4"/>
  <c r="CH6" i="4"/>
  <c r="DA6" i="4"/>
  <c r="CV6" i="4"/>
  <c r="BP6" i="4"/>
  <c r="BF6" i="4"/>
  <c r="EC6" i="4"/>
  <c r="BT6" i="4"/>
  <c r="AN6" i="4"/>
  <c r="AD6" i="4"/>
  <c r="BY6" i="4"/>
  <c r="AR6" i="4"/>
  <c r="AI6" i="4"/>
  <c r="DH6" i="4"/>
  <c r="AW6" i="4"/>
  <c r="DV6" i="4"/>
  <c r="DQ6" i="4"/>
  <c r="DF6" i="4"/>
  <c r="EA6" i="4"/>
  <c r="CT6" i="4"/>
  <c r="CO6" i="4"/>
  <c r="CD6" i="4"/>
  <c r="BW6" i="4"/>
  <c r="AP6" i="4"/>
  <c r="AK6" i="4"/>
  <c r="Z6" i="4"/>
  <c r="DC6" i="4"/>
  <c r="DM6" i="4"/>
  <c r="BD6" i="4"/>
  <c r="CK6" i="4"/>
  <c r="FN38" i="4"/>
  <c r="BW38" i="4"/>
  <c r="DT38" i="4"/>
  <c r="AI38" i="4"/>
  <c r="BB38" i="4"/>
  <c r="AU38" i="4"/>
  <c r="CR38" i="4"/>
  <c r="DM38" i="4"/>
  <c r="Z38" i="4"/>
  <c r="EE38" i="4"/>
  <c r="DX38" i="4"/>
  <c r="BP38" i="4"/>
  <c r="CK38" i="4"/>
  <c r="DC38" i="4"/>
  <c r="CV38" i="4"/>
  <c r="AN38" i="4"/>
  <c r="BI38" i="4"/>
  <c r="BT38" i="4"/>
  <c r="DQ38" i="4"/>
  <c r="AG38" i="4"/>
  <c r="AY38" i="4"/>
  <c r="AR38" i="4"/>
  <c r="CO38" i="4"/>
  <c r="DJ38" i="4"/>
  <c r="EC38" i="4"/>
  <c r="DH38" i="4"/>
  <c r="BM38" i="4"/>
  <c r="CH38" i="4"/>
  <c r="DA38" i="4"/>
  <c r="AB38" i="4"/>
  <c r="AK38" i="4"/>
  <c r="BF38" i="4"/>
  <c r="BY38" i="4"/>
  <c r="DV38" i="4"/>
  <c r="CF38" i="4"/>
  <c r="AD38" i="4"/>
  <c r="CY38" i="4"/>
  <c r="AP38" i="4"/>
  <c r="BK38" i="4"/>
  <c r="CD38" i="4"/>
  <c r="X125" i="4"/>
  <c r="CH125" i="4"/>
  <c r="X135" i="4"/>
  <c r="DQ135" i="4"/>
  <c r="X119" i="4"/>
  <c r="CV119" i="4"/>
  <c r="BB163" i="4"/>
  <c r="BW21" i="4"/>
  <c r="BW32" i="4"/>
  <c r="BB56" i="4"/>
  <c r="AI13" i="4"/>
  <c r="DM48" i="4"/>
  <c r="DO188" i="4"/>
  <c r="DT69" i="4"/>
  <c r="EE6" i="4"/>
  <c r="AY59" i="4"/>
  <c r="DA177" i="4"/>
  <c r="AP117" i="4"/>
  <c r="CF14" i="4"/>
  <c r="BM71" i="4"/>
  <c r="BM76" i="4"/>
  <c r="BP55" i="4"/>
  <c r="AR391" i="4"/>
  <c r="EE373" i="4"/>
  <c r="AG304" i="4"/>
  <c r="CO35" i="4"/>
  <c r="BY274" i="4"/>
  <c r="BT361" i="4"/>
  <c r="Z326" i="4"/>
  <c r="BP328" i="4"/>
  <c r="AB365" i="4"/>
  <c r="AB368" i="4"/>
  <c r="BW345" i="4"/>
  <c r="BP345" i="4"/>
  <c r="BI345" i="4"/>
  <c r="DH345" i="4"/>
  <c r="AU345" i="4"/>
  <c r="AN345" i="4"/>
  <c r="AG345" i="4"/>
  <c r="DF345" i="4"/>
  <c r="DX345" i="4"/>
  <c r="DQ345" i="4"/>
  <c r="DJ345" i="4"/>
  <c r="CF345" i="4"/>
  <c r="CV345" i="4"/>
  <c r="CO345" i="4"/>
  <c r="CH345" i="4"/>
  <c r="BB345" i="4"/>
  <c r="BT345" i="4"/>
  <c r="BM345" i="4"/>
  <c r="BF345" i="4"/>
  <c r="CD345" i="4"/>
  <c r="AR345" i="4"/>
  <c r="AK345" i="4"/>
  <c r="AD345" i="4"/>
  <c r="BD345" i="4"/>
  <c r="EC345" i="4"/>
  <c r="DV345" i="4"/>
  <c r="DO345" i="4"/>
  <c r="EE345" i="4"/>
  <c r="DA345" i="4"/>
  <c r="CT345" i="4"/>
  <c r="CM345" i="4"/>
  <c r="DC345" i="4"/>
  <c r="BR345" i="4"/>
  <c r="BK345" i="4"/>
  <c r="CA345" i="4"/>
  <c r="AW345" i="4"/>
  <c r="AP345" i="4"/>
  <c r="AI345" i="4"/>
  <c r="AY345" i="4"/>
  <c r="CY345" i="4"/>
  <c r="CR345" i="4"/>
  <c r="CK345" i="4"/>
  <c r="Z345" i="4"/>
  <c r="R336" i="4"/>
  <c r="DX336" i="4"/>
  <c r="DQ336" i="4"/>
  <c r="DJ336" i="4"/>
  <c r="BD336" i="4"/>
  <c r="CV336" i="4"/>
  <c r="CO336" i="4"/>
  <c r="CH336" i="4"/>
  <c r="BB336" i="4"/>
  <c r="BT336" i="4"/>
  <c r="BM336" i="4"/>
  <c r="BF336" i="4"/>
  <c r="AB336" i="4"/>
  <c r="AR336" i="4"/>
  <c r="AK336" i="4"/>
  <c r="AD336" i="4"/>
  <c r="Z336" i="4"/>
  <c r="EC336" i="4"/>
  <c r="DV336" i="4"/>
  <c r="DO336" i="4"/>
  <c r="EE336" i="4"/>
  <c r="DA336" i="4"/>
  <c r="CT336" i="4"/>
  <c r="CM336" i="4"/>
  <c r="DC336" i="4"/>
  <c r="BY336" i="4"/>
  <c r="BR336" i="4"/>
  <c r="BK336" i="4"/>
  <c r="CA336" i="4"/>
  <c r="AW336" i="4"/>
  <c r="AP336" i="4"/>
  <c r="AI336" i="4"/>
  <c r="AY336" i="4"/>
  <c r="EA336" i="4"/>
  <c r="DT336" i="4"/>
  <c r="DM336" i="4"/>
  <c r="DH336" i="4"/>
  <c r="CY336" i="4"/>
  <c r="CR336" i="4"/>
  <c r="CK336" i="4"/>
  <c r="DF336" i="4"/>
  <c r="BP336" i="4"/>
  <c r="BI336" i="4"/>
  <c r="CF336" i="4"/>
  <c r="AU336" i="4"/>
  <c r="AN336" i="4"/>
  <c r="AG336" i="4"/>
  <c r="CD336" i="4"/>
  <c r="AU381" i="4"/>
  <c r="AN381" i="4"/>
  <c r="AG381" i="4"/>
  <c r="BD381" i="4"/>
  <c r="DX381" i="4"/>
  <c r="DQ381" i="4"/>
  <c r="DJ381" i="4"/>
  <c r="BB381" i="4"/>
  <c r="CV381" i="4"/>
  <c r="CO381" i="4"/>
  <c r="CH381" i="4"/>
  <c r="AB381" i="4"/>
  <c r="BT381" i="4"/>
  <c r="BM381" i="4"/>
  <c r="Z381" i="4"/>
  <c r="AR381" i="4"/>
  <c r="AK381" i="4"/>
  <c r="AD381" i="4"/>
  <c r="DH381" i="4"/>
  <c r="EC381" i="4"/>
  <c r="DV381" i="4"/>
  <c r="DO381" i="4"/>
  <c r="EE381" i="4"/>
  <c r="DA381" i="4"/>
  <c r="CT381" i="4"/>
  <c r="CM381" i="4"/>
  <c r="DC381" i="4"/>
  <c r="BY381" i="4"/>
  <c r="BR381" i="4"/>
  <c r="BK381" i="4"/>
  <c r="CA381" i="4"/>
  <c r="AW381" i="4"/>
  <c r="AP381" i="4"/>
  <c r="AI381" i="4"/>
  <c r="AY381" i="4"/>
  <c r="EA381" i="4"/>
  <c r="DT381" i="4"/>
  <c r="DM381" i="4"/>
  <c r="DF381" i="4"/>
  <c r="BW381" i="4"/>
  <c r="BP381" i="4"/>
  <c r="BI381" i="4"/>
  <c r="CD381" i="4"/>
  <c r="N396" i="4"/>
  <c r="DF396" i="4"/>
  <c r="DV396" i="4"/>
  <c r="CY396" i="4"/>
  <c r="CM396" i="4"/>
  <c r="CD396" i="4"/>
  <c r="BW396" i="4"/>
  <c r="BK396" i="4"/>
  <c r="AN396" i="4"/>
  <c r="BB396" i="4"/>
  <c r="AI396" i="4"/>
  <c r="CT396" i="4"/>
  <c r="BI396" i="4"/>
  <c r="Z396" i="4"/>
  <c r="DT396" i="4"/>
  <c r="AU396" i="4"/>
  <c r="AP396" i="4"/>
  <c r="DJ396" i="4"/>
  <c r="EE396" i="4"/>
  <c r="BT396" i="4"/>
  <c r="CR396" i="4"/>
  <c r="CH396" i="4"/>
  <c r="DC396" i="4"/>
  <c r="AG396" i="4"/>
  <c r="AR396" i="4"/>
  <c r="BF396" i="4"/>
  <c r="CA396" i="4"/>
  <c r="DQ396" i="4"/>
  <c r="DX396" i="4"/>
  <c r="AY396" i="4"/>
  <c r="BR396" i="4"/>
  <c r="CK396" i="4"/>
  <c r="DH396" i="4"/>
  <c r="EC396" i="4"/>
  <c r="DO396" i="4"/>
  <c r="AK396" i="4"/>
  <c r="CF396" i="4"/>
  <c r="DA396" i="4"/>
  <c r="BP396" i="4"/>
  <c r="EA396" i="4"/>
  <c r="AB396" i="4"/>
  <c r="AW396" i="4"/>
  <c r="BM396" i="4"/>
  <c r="CO396" i="4"/>
  <c r="N37" i="4"/>
  <c r="AY41" i="4"/>
  <c r="BT41" i="4"/>
  <c r="BM41" i="4"/>
  <c r="CH41" i="4"/>
  <c r="EC41" i="4"/>
  <c r="AR41" i="4"/>
  <c r="AK41" i="4"/>
  <c r="BF41" i="4"/>
  <c r="DA41" i="4"/>
  <c r="DV41" i="4"/>
  <c r="DO41" i="4"/>
  <c r="AD41" i="4"/>
  <c r="BY41" i="4"/>
  <c r="CT41" i="4"/>
  <c r="CM41" i="4"/>
  <c r="CF41" i="4"/>
  <c r="AW41" i="4"/>
  <c r="BR41" i="4"/>
  <c r="BK41" i="4"/>
  <c r="AB41" i="4"/>
  <c r="EA41" i="4"/>
  <c r="AP41" i="4"/>
  <c r="AI41" i="4"/>
  <c r="DF41" i="4"/>
  <c r="CY41" i="4"/>
  <c r="DT41" i="4"/>
  <c r="BD41" i="4"/>
  <c r="CD41" i="4"/>
  <c r="BW41" i="4"/>
  <c r="CR41" i="4"/>
  <c r="DM41" i="4"/>
  <c r="BB41" i="4"/>
  <c r="AU41" i="4"/>
  <c r="BP41" i="4"/>
  <c r="CK41" i="4"/>
  <c r="Z41" i="4"/>
  <c r="EE41" i="4"/>
  <c r="DH41" i="4"/>
  <c r="AN41" i="4"/>
  <c r="BI41" i="4"/>
  <c r="DC41" i="4"/>
  <c r="DX41" i="4"/>
  <c r="AG41" i="4"/>
  <c r="CA41" i="4"/>
  <c r="CV41" i="4"/>
  <c r="CO41" i="4"/>
  <c r="DJ41" i="4"/>
  <c r="AY5" i="4"/>
  <c r="CV5" i="4"/>
  <c r="BI5" i="4"/>
  <c r="CH5" i="4"/>
  <c r="EC5" i="4"/>
  <c r="BT5" i="4"/>
  <c r="DH5" i="4"/>
  <c r="BF5" i="4"/>
  <c r="AW5" i="4"/>
  <c r="AR5" i="4"/>
  <c r="DQ5" i="4"/>
  <c r="AD5" i="4"/>
  <c r="AU5" i="4"/>
  <c r="DM5" i="4"/>
  <c r="CO5" i="4"/>
  <c r="DF5" i="4"/>
  <c r="BK5" i="4"/>
  <c r="DV5" i="4"/>
  <c r="BM5" i="4"/>
  <c r="CD5" i="4"/>
  <c r="BD5" i="4"/>
  <c r="CT5" i="4"/>
  <c r="AK5" i="4"/>
  <c r="BB5" i="4"/>
  <c r="BY5" i="4"/>
  <c r="BR5" i="4"/>
  <c r="AI5" i="4"/>
  <c r="Z5" i="4"/>
  <c r="CY5" i="4"/>
  <c r="DT5" i="4"/>
  <c r="DO5" i="4"/>
  <c r="CM5" i="4"/>
  <c r="CA5" i="4"/>
  <c r="CB5" i="4" s="1"/>
  <c r="DX5" i="4"/>
  <c r="AN5" i="4"/>
  <c r="DJ5" i="4"/>
  <c r="BY4" i="4"/>
  <c r="DH4" i="4"/>
  <c r="DQ4" i="4"/>
  <c r="Z4" i="4"/>
  <c r="BW4" i="4"/>
  <c r="DV4" i="4"/>
  <c r="CO4" i="4"/>
  <c r="EC4" i="4"/>
  <c r="BT4" i="4"/>
  <c r="CT4" i="4"/>
  <c r="BM4" i="4"/>
  <c r="DA4" i="4"/>
  <c r="BR4" i="4"/>
  <c r="AK4" i="4"/>
  <c r="CY4" i="4"/>
  <c r="EA4" i="4"/>
  <c r="AP4" i="4"/>
  <c r="BK4" i="4"/>
  <c r="AR4" i="4"/>
  <c r="AU4" i="4"/>
  <c r="DM4" i="4"/>
  <c r="DJ4" i="4"/>
  <c r="AI4" i="4"/>
  <c r="AG4" i="4"/>
  <c r="AB4" i="4"/>
  <c r="CH4" i="4"/>
  <c r="BI4" i="4"/>
  <c r="CF4" i="4"/>
  <c r="DT4" i="4"/>
  <c r="BF4" i="4"/>
  <c r="BD4" i="4"/>
  <c r="EE4" i="4"/>
  <c r="DX4" i="4"/>
  <c r="CR4" i="4"/>
  <c r="AD4" i="4"/>
  <c r="DC4" i="4"/>
  <c r="CV4" i="4"/>
  <c r="BP4" i="4"/>
  <c r="DF4" i="4"/>
  <c r="AY4" i="4"/>
  <c r="CK4" i="4"/>
  <c r="CM4" i="4"/>
  <c r="BB4" i="4"/>
  <c r="BK7" i="4"/>
  <c r="AI7" i="4"/>
  <c r="DO7" i="4"/>
  <c r="CD7" i="4"/>
  <c r="CF7" i="4"/>
  <c r="AG7" i="4"/>
  <c r="BB7" i="4"/>
  <c r="EC7" i="4"/>
  <c r="AB7" i="4"/>
  <c r="DQ7" i="4"/>
  <c r="Z7" i="4"/>
  <c r="BY7" i="4"/>
  <c r="DV7" i="4"/>
  <c r="CO7" i="4"/>
  <c r="CM7" i="4"/>
  <c r="EA7" i="4"/>
  <c r="CT7" i="4"/>
  <c r="BM7" i="4"/>
  <c r="CK7" i="4"/>
  <c r="CY7" i="4"/>
  <c r="BR7" i="4"/>
  <c r="AK7" i="4"/>
  <c r="BD7" i="4"/>
  <c r="EE7" i="4"/>
  <c r="BW7" i="4"/>
  <c r="AP7" i="4"/>
  <c r="DH7" i="4"/>
  <c r="CA7" i="4"/>
  <c r="DX7" i="4"/>
  <c r="DT7" i="4"/>
  <c r="CH7" i="4"/>
  <c r="AW7" i="4"/>
  <c r="AR7" i="4"/>
  <c r="AN7" i="4"/>
  <c r="DF7" i="4"/>
  <c r="V120" i="4"/>
  <c r="CF120" i="4"/>
  <c r="X94" i="4"/>
  <c r="CO94" i="4"/>
  <c r="X153" i="4"/>
  <c r="BT153" i="4"/>
  <c r="CA163" i="4"/>
  <c r="DC5" i="4"/>
  <c r="DC21" i="4"/>
  <c r="DC32" i="4"/>
  <c r="CH56" i="4"/>
  <c r="CM13" i="4"/>
  <c r="AN48" i="4"/>
  <c r="AK188" i="4"/>
  <c r="AP69" i="4"/>
  <c r="AG6" i="4"/>
  <c r="DC59" i="4"/>
  <c r="BT177" i="4"/>
  <c r="CT117" i="4"/>
  <c r="AU7" i="4"/>
  <c r="BB14" i="4"/>
  <c r="CO71" i="4"/>
  <c r="CO76" i="4"/>
  <c r="AK46" i="4"/>
  <c r="DF38" i="4"/>
  <c r="EA55" i="4"/>
  <c r="CR391" i="4"/>
  <c r="DJ373" i="4"/>
  <c r="DH304" i="4"/>
  <c r="DQ110" i="4"/>
  <c r="DX326" i="4"/>
  <c r="BD396" i="4"/>
  <c r="AB345" i="4"/>
  <c r="BD370" i="4"/>
  <c r="BY370" i="4"/>
  <c r="BP370" i="4"/>
  <c r="AI370" i="4"/>
  <c r="AB370" i="4"/>
  <c r="AW370" i="4"/>
  <c r="AN370" i="4"/>
  <c r="DV370" i="4"/>
  <c r="DF370" i="4"/>
  <c r="EA370" i="4"/>
  <c r="DQ370" i="4"/>
  <c r="DO370" i="4"/>
  <c r="CD370" i="4"/>
  <c r="CY370" i="4"/>
  <c r="CO370" i="4"/>
  <c r="BR370" i="4"/>
  <c r="BB370" i="4"/>
  <c r="BW370" i="4"/>
  <c r="BM370" i="4"/>
  <c r="CT370" i="4"/>
  <c r="Z370" i="4"/>
  <c r="AU370" i="4"/>
  <c r="AK370" i="4"/>
  <c r="CM370" i="4"/>
  <c r="DJ370" i="4"/>
  <c r="EE370" i="4"/>
  <c r="DX370" i="4"/>
  <c r="DM370" i="4"/>
  <c r="CH370" i="4"/>
  <c r="DC370" i="4"/>
  <c r="CV370" i="4"/>
  <c r="CK370" i="4"/>
  <c r="BF370" i="4"/>
  <c r="CA370" i="4"/>
  <c r="BT370" i="4"/>
  <c r="BI370" i="4"/>
  <c r="AD370" i="4"/>
  <c r="AY370" i="4"/>
  <c r="AG370" i="4"/>
  <c r="CF370" i="4"/>
  <c r="DA370" i="4"/>
  <c r="CR370" i="4"/>
  <c r="AP370" i="4"/>
  <c r="N328" i="4"/>
  <c r="DX328" i="4"/>
  <c r="DQ328" i="4"/>
  <c r="AD328" i="4"/>
  <c r="DM328" i="4"/>
  <c r="CV328" i="4"/>
  <c r="CO328" i="4"/>
  <c r="CH328" i="4"/>
  <c r="DJ328" i="4"/>
  <c r="BT328" i="4"/>
  <c r="BM328" i="4"/>
  <c r="AB328" i="4"/>
  <c r="BD328" i="4"/>
  <c r="AR328" i="4"/>
  <c r="AK328" i="4"/>
  <c r="CF328" i="4"/>
  <c r="BB328" i="4"/>
  <c r="EC328" i="4"/>
  <c r="DV328" i="4"/>
  <c r="EE328" i="4"/>
  <c r="Z328" i="4"/>
  <c r="DA328" i="4"/>
  <c r="CT328" i="4"/>
  <c r="DC328" i="4"/>
  <c r="CD328" i="4"/>
  <c r="BY328" i="4"/>
  <c r="BR328" i="4"/>
  <c r="BK328" i="4"/>
  <c r="AW328" i="4"/>
  <c r="AP328" i="4"/>
  <c r="DF328" i="4"/>
  <c r="BI328" i="4"/>
  <c r="EA328" i="4"/>
  <c r="DT328" i="4"/>
  <c r="AI328" i="4"/>
  <c r="DO328" i="4"/>
  <c r="CY328" i="4"/>
  <c r="CR328" i="4"/>
  <c r="CM328" i="4"/>
  <c r="BF328" i="4"/>
  <c r="AU328" i="4"/>
  <c r="AN328" i="4"/>
  <c r="CK328" i="4"/>
  <c r="AY328" i="4"/>
  <c r="DF299" i="4"/>
  <c r="EA299" i="4"/>
  <c r="DQ299" i="4"/>
  <c r="AG299" i="4"/>
  <c r="CD299" i="4"/>
  <c r="CY299" i="4"/>
  <c r="CO299" i="4"/>
  <c r="DO299" i="4"/>
  <c r="BB299" i="4"/>
  <c r="BW299" i="4"/>
  <c r="BM299" i="4"/>
  <c r="DV299" i="4"/>
  <c r="Z299" i="4"/>
  <c r="AU299" i="4"/>
  <c r="AK299" i="4"/>
  <c r="AI299" i="4"/>
  <c r="DJ299" i="4"/>
  <c r="EE299" i="4"/>
  <c r="DX299" i="4"/>
  <c r="DM299" i="4"/>
  <c r="CH299" i="4"/>
  <c r="DC299" i="4"/>
  <c r="CV299" i="4"/>
  <c r="CT299" i="4"/>
  <c r="BF299" i="4"/>
  <c r="CA299" i="4"/>
  <c r="BT299" i="4"/>
  <c r="CM299" i="4"/>
  <c r="AD299" i="4"/>
  <c r="AY299" i="4"/>
  <c r="AR299" i="4"/>
  <c r="CK299" i="4"/>
  <c r="DH299" i="4"/>
  <c r="EC299" i="4"/>
  <c r="DT299" i="4"/>
  <c r="BR299" i="4"/>
  <c r="CF299" i="4"/>
  <c r="DA299" i="4"/>
  <c r="CR299" i="4"/>
  <c r="BK299" i="4"/>
  <c r="BD299" i="4"/>
  <c r="BY299" i="4"/>
  <c r="BP299" i="4"/>
  <c r="BI299" i="4"/>
  <c r="AB299" i="4"/>
  <c r="AN299" i="4"/>
  <c r="AP299" i="4"/>
  <c r="BY327" i="4"/>
  <c r="CK327" i="4"/>
  <c r="DM327" i="4"/>
  <c r="AW327" i="4"/>
  <c r="AP327" i="4"/>
  <c r="AG327" i="4"/>
  <c r="BI327" i="4"/>
  <c r="EA327" i="4"/>
  <c r="DT327" i="4"/>
  <c r="CH327" i="4"/>
  <c r="DJ327" i="4"/>
  <c r="CY327" i="4"/>
  <c r="CR327" i="4"/>
  <c r="AD327" i="4"/>
  <c r="BF327" i="4"/>
  <c r="BW327" i="4"/>
  <c r="BP327" i="4"/>
  <c r="CF327" i="4"/>
  <c r="DC327" i="4"/>
  <c r="AU327" i="4"/>
  <c r="AN327" i="4"/>
  <c r="AB327" i="4"/>
  <c r="AY327" i="4"/>
  <c r="DX327" i="4"/>
  <c r="DQ327" i="4"/>
  <c r="CD327" i="4"/>
  <c r="DH327" i="4"/>
  <c r="CV327" i="4"/>
  <c r="CO327" i="4"/>
  <c r="Z327" i="4"/>
  <c r="DF327" i="4"/>
  <c r="BT327" i="4"/>
  <c r="BM327" i="4"/>
  <c r="EE327" i="4"/>
  <c r="BD327" i="4"/>
  <c r="AR327" i="4"/>
  <c r="AK327" i="4"/>
  <c r="CA327" i="4"/>
  <c r="BB327" i="4"/>
  <c r="EC327" i="4"/>
  <c r="DV327" i="4"/>
  <c r="CM327" i="4"/>
  <c r="DO327" i="4"/>
  <c r="DA327" i="4"/>
  <c r="CT327" i="4"/>
  <c r="AI327" i="4"/>
  <c r="BK327" i="4"/>
  <c r="CD297" i="4"/>
  <c r="CY297" i="4"/>
  <c r="BI297" i="4"/>
  <c r="BP297" i="4"/>
  <c r="BB297" i="4"/>
  <c r="BW297" i="4"/>
  <c r="DV297" i="4"/>
  <c r="CM297" i="4"/>
  <c r="Z297" i="4"/>
  <c r="AU297" i="4"/>
  <c r="AP297" i="4"/>
  <c r="BR297" i="4"/>
  <c r="DJ297" i="4"/>
  <c r="EE297" i="4"/>
  <c r="DX297" i="4"/>
  <c r="DT297" i="4"/>
  <c r="CH297" i="4"/>
  <c r="DC297" i="4"/>
  <c r="CV297" i="4"/>
  <c r="AN297" i="4"/>
  <c r="BF297" i="4"/>
  <c r="BT297" i="4"/>
  <c r="DO297" i="4"/>
  <c r="AD297" i="4"/>
  <c r="AY297" i="4"/>
  <c r="AR297" i="4"/>
  <c r="AI297" i="4"/>
  <c r="DH297" i="4"/>
  <c r="EC297" i="4"/>
  <c r="DQ297" i="4"/>
  <c r="DM297" i="4"/>
  <c r="CF297" i="4"/>
  <c r="DA297" i="4"/>
  <c r="CO297" i="4"/>
  <c r="AG297" i="4"/>
  <c r="BD297" i="4"/>
  <c r="BY297" i="4"/>
  <c r="BM297" i="4"/>
  <c r="CT297" i="4"/>
  <c r="DF297" i="4"/>
  <c r="EA297" i="4"/>
  <c r="BK297" i="4"/>
  <c r="CK297" i="4"/>
  <c r="T19" i="4"/>
  <c r="BY19" i="4"/>
  <c r="CF19" i="4"/>
  <c r="BM19" i="4"/>
  <c r="AD19" i="4"/>
  <c r="AW19" i="4"/>
  <c r="DV19" i="4"/>
  <c r="AK19" i="4"/>
  <c r="DF19" i="4"/>
  <c r="EA19" i="4"/>
  <c r="CT19" i="4"/>
  <c r="DH19" i="4"/>
  <c r="CD19" i="4"/>
  <c r="CY19" i="4"/>
  <c r="BR19" i="4"/>
  <c r="DO19" i="4"/>
  <c r="BB19" i="4"/>
  <c r="BW19" i="4"/>
  <c r="AP19" i="4"/>
  <c r="CM19" i="4"/>
  <c r="Z19" i="4"/>
  <c r="AU19" i="4"/>
  <c r="AB19" i="4"/>
  <c r="BK19" i="4"/>
  <c r="BI19" i="4"/>
  <c r="EE19" i="4"/>
  <c r="BD19" i="4"/>
  <c r="DT19" i="4"/>
  <c r="AI19" i="4"/>
  <c r="CA19" i="4"/>
  <c r="CV19" i="4"/>
  <c r="BP19" i="4"/>
  <c r="AG19" i="4"/>
  <c r="DA19" i="4"/>
  <c r="CK19" i="4"/>
  <c r="CO19" i="4"/>
  <c r="BF19" i="4"/>
  <c r="FN35" i="4"/>
  <c r="DA35" i="4"/>
  <c r="AB35" i="4"/>
  <c r="AK35" i="4"/>
  <c r="BF35" i="4"/>
  <c r="BY35" i="4"/>
  <c r="DV35" i="4"/>
  <c r="DO35" i="4"/>
  <c r="AW35" i="4"/>
  <c r="CT35" i="4"/>
  <c r="CM35" i="4"/>
  <c r="BD35" i="4"/>
  <c r="EA35" i="4"/>
  <c r="BR35" i="4"/>
  <c r="BK35" i="4"/>
  <c r="DF35" i="4"/>
  <c r="CY35" i="4"/>
  <c r="AP35" i="4"/>
  <c r="AI35" i="4"/>
  <c r="CD35" i="4"/>
  <c r="BW35" i="4"/>
  <c r="DT35" i="4"/>
  <c r="CF35" i="4"/>
  <c r="BB35" i="4"/>
  <c r="AU35" i="4"/>
  <c r="CR35" i="4"/>
  <c r="DM35" i="4"/>
  <c r="Z35" i="4"/>
  <c r="EE35" i="4"/>
  <c r="DX35" i="4"/>
  <c r="BP35" i="4"/>
  <c r="CK35" i="4"/>
  <c r="DC35" i="4"/>
  <c r="CV35" i="4"/>
  <c r="AN35" i="4"/>
  <c r="BI35" i="4"/>
  <c r="CA35" i="4"/>
  <c r="BT35" i="4"/>
  <c r="DQ35" i="4"/>
  <c r="AG35" i="4"/>
  <c r="EC35" i="4"/>
  <c r="DH35" i="4"/>
  <c r="BM35" i="4"/>
  <c r="CH35" i="4"/>
  <c r="CR136" i="4"/>
  <c r="X150" i="4"/>
  <c r="DQ150" i="4"/>
  <c r="V156" i="4"/>
  <c r="CF156" i="4"/>
  <c r="X109" i="4"/>
  <c r="BT109" i="4"/>
  <c r="X51" i="4"/>
  <c r="EE5" i="4"/>
  <c r="EE21" i="4"/>
  <c r="EE32" i="4"/>
  <c r="DJ56" i="4"/>
  <c r="BM13" i="4"/>
  <c r="CR48" i="4"/>
  <c r="CO188" i="4"/>
  <c r="CT69" i="4"/>
  <c r="BB6" i="4"/>
  <c r="DH59" i="4"/>
  <c r="EE177" i="4"/>
  <c r="EA117" i="4"/>
  <c r="DA7" i="4"/>
  <c r="EC19" i="4"/>
  <c r="AI14" i="4"/>
  <c r="DM71" i="4"/>
  <c r="DM76" i="4"/>
  <c r="AP46" i="4"/>
  <c r="BD38" i="4"/>
  <c r="AW55" i="4"/>
  <c r="CF391" i="4"/>
  <c r="CV304" i="4"/>
  <c r="BI96" i="4"/>
  <c r="AY35" i="4"/>
  <c r="DM356" i="4"/>
  <c r="AK297" i="4"/>
  <c r="DM345" i="4"/>
  <c r="DF287" i="4"/>
  <c r="EA287" i="4"/>
  <c r="BK287" i="4"/>
  <c r="CK287" i="4"/>
  <c r="CD287" i="4"/>
  <c r="CY287" i="4"/>
  <c r="BI287" i="4"/>
  <c r="BP287" i="4"/>
  <c r="BB287" i="4"/>
  <c r="BW287" i="4"/>
  <c r="DV287" i="4"/>
  <c r="CM287" i="4"/>
  <c r="Z287" i="4"/>
  <c r="AU287" i="4"/>
  <c r="AP287" i="4"/>
  <c r="BR287" i="4"/>
  <c r="DJ287" i="4"/>
  <c r="EE287" i="4"/>
  <c r="DX287" i="4"/>
  <c r="DT287" i="4"/>
  <c r="CH287" i="4"/>
  <c r="DC287" i="4"/>
  <c r="CV287" i="4"/>
  <c r="AN287" i="4"/>
  <c r="BF287" i="4"/>
  <c r="CA287" i="4"/>
  <c r="BT287" i="4"/>
  <c r="DO287" i="4"/>
  <c r="AD287" i="4"/>
  <c r="AY287" i="4"/>
  <c r="AR287" i="4"/>
  <c r="AI287" i="4"/>
  <c r="DH287" i="4"/>
  <c r="EC287" i="4"/>
  <c r="DQ287" i="4"/>
  <c r="DM287" i="4"/>
  <c r="DA287" i="4"/>
  <c r="CO287" i="4"/>
  <c r="AG287" i="4"/>
  <c r="BD287" i="4"/>
  <c r="BY287" i="4"/>
  <c r="BM287" i="4"/>
  <c r="CT287" i="4"/>
  <c r="AB287" i="4"/>
  <c r="AW287" i="4"/>
  <c r="AK287" i="4"/>
  <c r="CR287" i="4"/>
  <c r="AU373" i="4"/>
  <c r="AN373" i="4"/>
  <c r="DH373" i="4"/>
  <c r="AG373" i="4"/>
  <c r="DX373" i="4"/>
  <c r="DQ373" i="4"/>
  <c r="BI373" i="4"/>
  <c r="CO373" i="4"/>
  <c r="CV373" i="4"/>
  <c r="CD373" i="4"/>
  <c r="DF373" i="4"/>
  <c r="CH373" i="4"/>
  <c r="AD373" i="4"/>
  <c r="BF373" i="4"/>
  <c r="BB373" i="4"/>
  <c r="AR373" i="4"/>
  <c r="DO373" i="4"/>
  <c r="DC373" i="4"/>
  <c r="AI373" i="4"/>
  <c r="EC373" i="4"/>
  <c r="DV373" i="4"/>
  <c r="CA373" i="4"/>
  <c r="BD373" i="4"/>
  <c r="DA373" i="4"/>
  <c r="CT373" i="4"/>
  <c r="AB373" i="4"/>
  <c r="CM373" i="4"/>
  <c r="BY373" i="4"/>
  <c r="BR373" i="4"/>
  <c r="DM373" i="4"/>
  <c r="AY373" i="4"/>
  <c r="AW373" i="4"/>
  <c r="AP373" i="4"/>
  <c r="BM373" i="4"/>
  <c r="CK373" i="4"/>
  <c r="EA373" i="4"/>
  <c r="DT373" i="4"/>
  <c r="Z373" i="4"/>
  <c r="AK373" i="4"/>
  <c r="BW373" i="4"/>
  <c r="BP373" i="4"/>
  <c r="BK373" i="4"/>
  <c r="CF373" i="4"/>
  <c r="DA395" i="4"/>
  <c r="AW395" i="4"/>
  <c r="CT395" i="4"/>
  <c r="DX395" i="4"/>
  <c r="DO395" i="4"/>
  <c r="EA395" i="4"/>
  <c r="DF395" i="4"/>
  <c r="CO395" i="4"/>
  <c r="CA395" i="4"/>
  <c r="CR395" i="4"/>
  <c r="CV395" i="4"/>
  <c r="DJ395" i="4"/>
  <c r="BI395" i="4"/>
  <c r="AU395" i="4"/>
  <c r="BK395" i="4"/>
  <c r="CH395" i="4"/>
  <c r="DV395" i="4"/>
  <c r="DM395" i="4"/>
  <c r="Z395" i="4"/>
  <c r="BF395" i="4"/>
  <c r="CM395" i="4"/>
  <c r="BY395" i="4"/>
  <c r="BW395" i="4"/>
  <c r="AD395" i="4"/>
  <c r="BB395" i="4"/>
  <c r="AR395" i="4"/>
  <c r="BP395" i="4"/>
  <c r="DH395" i="4"/>
  <c r="DT395" i="4"/>
  <c r="DC395" i="4"/>
  <c r="BM395" i="4"/>
  <c r="CF395" i="4"/>
  <c r="CK395" i="4"/>
  <c r="BT395" i="4"/>
  <c r="AP395" i="4"/>
  <c r="BD395" i="4"/>
  <c r="AY395" i="4"/>
  <c r="AN395" i="4"/>
  <c r="AI395" i="4"/>
  <c r="EC395" i="4"/>
  <c r="CD395" i="4"/>
  <c r="BR395" i="4"/>
  <c r="EE395" i="4"/>
  <c r="X54" i="4"/>
  <c r="AY54" i="4"/>
  <c r="X107" i="4"/>
  <c r="BT107" i="4"/>
  <c r="V124" i="4"/>
  <c r="EC124" i="4"/>
  <c r="V154" i="4"/>
  <c r="CT154" i="4"/>
  <c r="FN163" i="4"/>
  <c r="GQ163" i="4" s="1"/>
  <c r="AR163" i="4"/>
  <c r="AK163" i="4"/>
  <c r="AD163" i="4"/>
  <c r="DF163" i="4"/>
  <c r="EC163" i="4"/>
  <c r="DV163" i="4"/>
  <c r="DO163" i="4"/>
  <c r="DH163" i="4"/>
  <c r="DA163" i="4"/>
  <c r="CT163" i="4"/>
  <c r="CF163" i="4"/>
  <c r="BY163" i="4"/>
  <c r="BR163" i="4"/>
  <c r="BK163" i="4"/>
  <c r="BD163" i="4"/>
  <c r="AW163" i="4"/>
  <c r="AP163" i="4"/>
  <c r="AI163" i="4"/>
  <c r="AB163" i="4"/>
  <c r="EA163" i="4"/>
  <c r="DT163" i="4"/>
  <c r="DM163" i="4"/>
  <c r="EE163" i="4"/>
  <c r="CY163" i="4"/>
  <c r="CR163" i="4"/>
  <c r="CK163" i="4"/>
  <c r="DC163" i="4"/>
  <c r="AU163" i="4"/>
  <c r="AN163" i="4"/>
  <c r="AG163" i="4"/>
  <c r="AY163" i="4"/>
  <c r="BT163" i="4"/>
  <c r="BM163" i="4"/>
  <c r="BF163" i="4"/>
  <c r="CD163" i="4"/>
  <c r="DJ163" i="4"/>
  <c r="DA5" i="4"/>
  <c r="BB21" i="4"/>
  <c r="BB32" i="4"/>
  <c r="AI56" i="4"/>
  <c r="CT13" i="4"/>
  <c r="EA48" i="4"/>
  <c r="DV188" i="4"/>
  <c r="EA69" i="4"/>
  <c r="CF6" i="4"/>
  <c r="AD59" i="4"/>
  <c r="Z177" i="4"/>
  <c r="AW117" i="4"/>
  <c r="AY7" i="4"/>
  <c r="AY19" i="4"/>
  <c r="CM14" i="4"/>
  <c r="AN71" i="4"/>
  <c r="AN76" i="4"/>
  <c r="DT46" i="4"/>
  <c r="CM38" i="4"/>
  <c r="DF55" i="4"/>
  <c r="CM391" i="4"/>
  <c r="CY373" i="4"/>
  <c r="DC304" i="4"/>
  <c r="AN356" i="4"/>
  <c r="AW297" i="4"/>
  <c r="DT345" i="4"/>
  <c r="X313" i="4"/>
  <c r="AY313" i="4"/>
  <c r="AR313" i="4"/>
  <c r="AI313" i="4"/>
  <c r="CO313" i="4"/>
  <c r="EC313" i="4"/>
  <c r="DV313" i="4"/>
  <c r="DH313" i="4"/>
  <c r="CK313" i="4"/>
  <c r="DA313" i="4"/>
  <c r="CT313" i="4"/>
  <c r="CF313" i="4"/>
  <c r="BM313" i="4"/>
  <c r="BY313" i="4"/>
  <c r="BR313" i="4"/>
  <c r="BD313" i="4"/>
  <c r="CH313" i="4"/>
  <c r="AW313" i="4"/>
  <c r="AP313" i="4"/>
  <c r="AB313" i="4"/>
  <c r="DJ313" i="4"/>
  <c r="DF313" i="4"/>
  <c r="EA313" i="4"/>
  <c r="DT313" i="4"/>
  <c r="CD313" i="4"/>
  <c r="CY313" i="4"/>
  <c r="CR313" i="4"/>
  <c r="BF313" i="4"/>
  <c r="BB313" i="4"/>
  <c r="BW313" i="4"/>
  <c r="BP313" i="4"/>
  <c r="AK313" i="4"/>
  <c r="Z313" i="4"/>
  <c r="AU313" i="4"/>
  <c r="AN313" i="4"/>
  <c r="AG313" i="4"/>
  <c r="EE313" i="4"/>
  <c r="DX313" i="4"/>
  <c r="DO313" i="4"/>
  <c r="AD313" i="4"/>
  <c r="CA313" i="4"/>
  <c r="BT313" i="4"/>
  <c r="BK313" i="4"/>
  <c r="DM313" i="4"/>
  <c r="X361" i="4"/>
  <c r="EC361" i="4"/>
  <c r="DV361" i="4"/>
  <c r="DO361" i="4"/>
  <c r="BI361" i="4"/>
  <c r="DA361" i="4"/>
  <c r="CT361" i="4"/>
  <c r="CM361" i="4"/>
  <c r="AD361" i="4"/>
  <c r="BY361" i="4"/>
  <c r="BR361" i="4"/>
  <c r="BK361" i="4"/>
  <c r="BF361" i="4"/>
  <c r="AW361" i="4"/>
  <c r="AI361" i="4"/>
  <c r="AG361" i="4"/>
  <c r="DF361" i="4"/>
  <c r="EA361" i="4"/>
  <c r="DT361" i="4"/>
  <c r="DH361" i="4"/>
  <c r="CD361" i="4"/>
  <c r="CY361" i="4"/>
  <c r="CR361" i="4"/>
  <c r="CF361" i="4"/>
  <c r="BB361" i="4"/>
  <c r="BW361" i="4"/>
  <c r="BP361" i="4"/>
  <c r="BD361" i="4"/>
  <c r="Z361" i="4"/>
  <c r="AU361" i="4"/>
  <c r="AN361" i="4"/>
  <c r="AB361" i="4"/>
  <c r="EE361" i="4"/>
  <c r="DX361" i="4"/>
  <c r="DQ361" i="4"/>
  <c r="DM361" i="4"/>
  <c r="DC361" i="4"/>
  <c r="CV361" i="4"/>
  <c r="CO361" i="4"/>
  <c r="DJ361" i="4"/>
  <c r="AY361" i="4"/>
  <c r="AR361" i="4"/>
  <c r="AK361" i="4"/>
  <c r="CH361" i="4"/>
  <c r="T263" i="4"/>
  <c r="AN263" i="4"/>
  <c r="X148" i="4"/>
  <c r="CV148" i="4"/>
  <c r="BI163" i="4"/>
  <c r="CF5" i="4"/>
  <c r="AI21" i="4"/>
  <c r="BI32" i="4"/>
  <c r="CK56" i="4"/>
  <c r="AW48" i="4"/>
  <c r="AR188" i="4"/>
  <c r="AW69" i="4"/>
  <c r="DO6" i="4"/>
  <c r="CH59" i="4"/>
  <c r="CD177" i="4"/>
  <c r="DA117" i="4"/>
  <c r="DC7" i="4"/>
  <c r="DC19" i="4"/>
  <c r="BK14" i="4"/>
  <c r="CR71" i="4"/>
  <c r="DX76" i="4"/>
  <c r="AR46" i="4"/>
  <c r="DO38" i="4"/>
  <c r="AB55" i="4"/>
  <c r="Z350" i="4"/>
  <c r="CF381" i="4"/>
  <c r="DQ313" i="4"/>
  <c r="CA374" i="4"/>
  <c r="AG290" i="4"/>
  <c r="BT356" i="4"/>
  <c r="AB297" i="4"/>
  <c r="CM371" i="4"/>
  <c r="EA345" i="4"/>
  <c r="EA268" i="4"/>
  <c r="DT268" i="4"/>
  <c r="DF268" i="4"/>
  <c r="CH268" i="4"/>
  <c r="CY268" i="4"/>
  <c r="CR268" i="4"/>
  <c r="CD268" i="4"/>
  <c r="CF268" i="4"/>
  <c r="BW268" i="4"/>
  <c r="BP268" i="4"/>
  <c r="BB268" i="4"/>
  <c r="BI268" i="4"/>
  <c r="AU268" i="4"/>
  <c r="AN268" i="4"/>
  <c r="Z268" i="4"/>
  <c r="BF268" i="4"/>
  <c r="EE268" i="4"/>
  <c r="DX268" i="4"/>
  <c r="DQ268" i="4"/>
  <c r="BD268" i="4"/>
  <c r="DC268" i="4"/>
  <c r="CV268" i="4"/>
  <c r="CO268" i="4"/>
  <c r="AG268" i="4"/>
  <c r="BT268" i="4"/>
  <c r="BM268" i="4"/>
  <c r="AD268" i="4"/>
  <c r="AY268" i="4"/>
  <c r="AR268" i="4"/>
  <c r="AK268" i="4"/>
  <c r="AB268" i="4"/>
  <c r="EC268" i="4"/>
  <c r="DV268" i="4"/>
  <c r="DO268" i="4"/>
  <c r="DM268" i="4"/>
  <c r="DA268" i="4"/>
  <c r="CT268" i="4"/>
  <c r="CM268" i="4"/>
  <c r="DJ268" i="4"/>
  <c r="BY268" i="4"/>
  <c r="BR268" i="4"/>
  <c r="BK268" i="4"/>
  <c r="DH268" i="4"/>
  <c r="AW268" i="4"/>
  <c r="AP268" i="4"/>
  <c r="AI268" i="4"/>
  <c r="CK268" i="4"/>
  <c r="T274" i="4"/>
  <c r="DF274" i="4"/>
  <c r="EA274" i="4"/>
  <c r="CM274" i="4"/>
  <c r="DQ274" i="4"/>
  <c r="CD274" i="4"/>
  <c r="CY274" i="4"/>
  <c r="CK274" i="4"/>
  <c r="DM274" i="4"/>
  <c r="BB274" i="4"/>
  <c r="BW274" i="4"/>
  <c r="BR274" i="4"/>
  <c r="BI274" i="4"/>
  <c r="Z274" i="4"/>
  <c r="AU274" i="4"/>
  <c r="BP274" i="4"/>
  <c r="AN274" i="4"/>
  <c r="DJ274" i="4"/>
  <c r="EE274" i="4"/>
  <c r="DX274" i="4"/>
  <c r="DV274" i="4"/>
  <c r="CH274" i="4"/>
  <c r="DC274" i="4"/>
  <c r="CV274" i="4"/>
  <c r="BM274" i="4"/>
  <c r="BF274" i="4"/>
  <c r="CA274" i="4"/>
  <c r="BT274" i="4"/>
  <c r="DT274" i="4"/>
  <c r="AD274" i="4"/>
  <c r="AY274" i="4"/>
  <c r="BK274" i="4"/>
  <c r="DH274" i="4"/>
  <c r="EC274" i="4"/>
  <c r="CR274" i="4"/>
  <c r="DO274" i="4"/>
  <c r="CF274" i="4"/>
  <c r="DA274" i="4"/>
  <c r="AI274" i="4"/>
  <c r="AP274" i="4"/>
  <c r="AB274" i="4"/>
  <c r="AW274" i="4"/>
  <c r="AG274" i="4"/>
  <c r="AK274" i="4"/>
  <c r="N384" i="4"/>
  <c r="AI384" i="4"/>
  <c r="BB384" i="4"/>
  <c r="AR384" i="4"/>
  <c r="CY384" i="4"/>
  <c r="DM384" i="4"/>
  <c r="DV384" i="4"/>
  <c r="DF384" i="4"/>
  <c r="BR384" i="4"/>
  <c r="CK384" i="4"/>
  <c r="CF384" i="4"/>
  <c r="BW384" i="4"/>
  <c r="BP384" i="4"/>
  <c r="EC384" i="4"/>
  <c r="AY384" i="4"/>
  <c r="AP384" i="4"/>
  <c r="AG384" i="4"/>
  <c r="CT384" i="4"/>
  <c r="DT384" i="4"/>
  <c r="DC384" i="4"/>
  <c r="AD384" i="4"/>
  <c r="DQ384" i="4"/>
  <c r="BF384" i="4"/>
  <c r="CD384" i="4"/>
  <c r="BT384" i="4"/>
  <c r="CO384" i="4"/>
  <c r="Z384" i="4"/>
  <c r="AW384" i="4"/>
  <c r="AN384" i="4"/>
  <c r="BM384" i="4"/>
  <c r="EA384" i="4"/>
  <c r="DJ384" i="4"/>
  <c r="EE384" i="4"/>
  <c r="CR384" i="4"/>
  <c r="CA384" i="4"/>
  <c r="CV384" i="4"/>
  <c r="DO384" i="4"/>
  <c r="BD384" i="4"/>
  <c r="AU384" i="4"/>
  <c r="BI384" i="4"/>
  <c r="BK384" i="4"/>
  <c r="CH384" i="4"/>
  <c r="BY384" i="4"/>
  <c r="DA384" i="4"/>
  <c r="X20" i="4"/>
  <c r="X10" i="4"/>
  <c r="BM10" i="4"/>
  <c r="T23" i="4"/>
  <c r="BI23" i="4"/>
  <c r="CO163" i="4"/>
  <c r="AG5" i="4"/>
  <c r="BK21" i="4"/>
  <c r="CK32" i="4"/>
  <c r="DM56" i="4"/>
  <c r="BI13" i="4"/>
  <c r="DA48" i="4"/>
  <c r="CV188" i="4"/>
  <c r="DA69" i="4"/>
  <c r="BM6" i="4"/>
  <c r="DO59" i="4"/>
  <c r="CF177" i="4"/>
  <c r="AD7" i="4"/>
  <c r="CH19" i="4"/>
  <c r="DX71" i="4"/>
  <c r="AU76" i="4"/>
  <c r="EC46" i="4"/>
  <c r="BR38" i="4"/>
  <c r="CK350" i="4"/>
  <c r="CK381" i="4"/>
  <c r="CM313" i="4"/>
  <c r="BB374" i="4"/>
  <c r="CO290" i="4"/>
  <c r="CA356" i="4"/>
  <c r="CR284" i="4"/>
  <c r="BB346" i="4"/>
  <c r="AG395" i="4"/>
  <c r="BP371" i="4"/>
  <c r="BK370" i="4"/>
  <c r="HD62" i="4"/>
  <c r="CA316" i="4"/>
  <c r="BT316" i="4"/>
  <c r="BM316" i="4"/>
  <c r="BI316" i="4"/>
  <c r="AY316" i="4"/>
  <c r="AR316" i="4"/>
  <c r="AK316" i="4"/>
  <c r="BF316" i="4"/>
  <c r="EC316" i="4"/>
  <c r="DV316" i="4"/>
  <c r="DO316" i="4"/>
  <c r="AG316" i="4"/>
  <c r="DA316" i="4"/>
  <c r="CT316" i="4"/>
  <c r="CM316" i="4"/>
  <c r="AD316" i="4"/>
  <c r="BY316" i="4"/>
  <c r="BR316" i="4"/>
  <c r="BK316" i="4"/>
  <c r="DJ316" i="4"/>
  <c r="AW316" i="4"/>
  <c r="AP316" i="4"/>
  <c r="AI316" i="4"/>
  <c r="DM316" i="4"/>
  <c r="DF316" i="4"/>
  <c r="EA316" i="4"/>
  <c r="DT316" i="4"/>
  <c r="DH316" i="4"/>
  <c r="CD316" i="4"/>
  <c r="CY316" i="4"/>
  <c r="CR316" i="4"/>
  <c r="CF316" i="4"/>
  <c r="BB316" i="4"/>
  <c r="BW316" i="4"/>
  <c r="BD316" i="4"/>
  <c r="Z316" i="4"/>
  <c r="AU316" i="4"/>
  <c r="AN316" i="4"/>
  <c r="AB316" i="4"/>
  <c r="EE316" i="4"/>
  <c r="DX316" i="4"/>
  <c r="DQ316" i="4"/>
  <c r="CK316" i="4"/>
  <c r="DC316" i="4"/>
  <c r="CV316" i="4"/>
  <c r="CO316" i="4"/>
  <c r="CH316" i="4"/>
  <c r="EC303" i="4"/>
  <c r="DV303" i="4"/>
  <c r="CO303" i="4"/>
  <c r="DJ303" i="4"/>
  <c r="DA303" i="4"/>
  <c r="CT303" i="4"/>
  <c r="CM303" i="4"/>
  <c r="BF303" i="4"/>
  <c r="BR303" i="4"/>
  <c r="CK303" i="4"/>
  <c r="AG303" i="4"/>
  <c r="AW303" i="4"/>
  <c r="AP303" i="4"/>
  <c r="CH303" i="4"/>
  <c r="AD303" i="4"/>
  <c r="DF303" i="4"/>
  <c r="EA303" i="4"/>
  <c r="DT303" i="4"/>
  <c r="BM303" i="4"/>
  <c r="CD303" i="4"/>
  <c r="CY303" i="4"/>
  <c r="CR303" i="4"/>
  <c r="BK303" i="4"/>
  <c r="BB303" i="4"/>
  <c r="BW303" i="4"/>
  <c r="BP303" i="4"/>
  <c r="BI303" i="4"/>
  <c r="Z303" i="4"/>
  <c r="AU303" i="4"/>
  <c r="AN303" i="4"/>
  <c r="DQ303" i="4"/>
  <c r="EE303" i="4"/>
  <c r="DX303" i="4"/>
  <c r="DH303" i="4"/>
  <c r="AK303" i="4"/>
  <c r="DC303" i="4"/>
  <c r="CV303" i="4"/>
  <c r="CF303" i="4"/>
  <c r="DO303" i="4"/>
  <c r="CA303" i="4"/>
  <c r="BT303" i="4"/>
  <c r="BD303" i="4"/>
  <c r="AI303" i="4"/>
  <c r="AY303" i="4"/>
  <c r="AR303" i="4"/>
  <c r="AB303" i="4"/>
  <c r="DM303" i="4"/>
  <c r="BF296" i="4"/>
  <c r="CA296" i="4"/>
  <c r="BT296" i="4"/>
  <c r="DV296" i="4"/>
  <c r="AD296" i="4"/>
  <c r="AY296" i="4"/>
  <c r="AR296" i="4"/>
  <c r="AP296" i="4"/>
  <c r="DH296" i="4"/>
  <c r="EC296" i="4"/>
  <c r="DQ296" i="4"/>
  <c r="DT296" i="4"/>
  <c r="CF296" i="4"/>
  <c r="DA296" i="4"/>
  <c r="CO296" i="4"/>
  <c r="AN296" i="4"/>
  <c r="BD296" i="4"/>
  <c r="BY296" i="4"/>
  <c r="BM296" i="4"/>
  <c r="DM296" i="4"/>
  <c r="AB296" i="4"/>
  <c r="AW296" i="4"/>
  <c r="AK296" i="4"/>
  <c r="AG296" i="4"/>
  <c r="DF296" i="4"/>
  <c r="EA296" i="4"/>
  <c r="CM296" i="4"/>
  <c r="CR296" i="4"/>
  <c r="CD296" i="4"/>
  <c r="CY296" i="4"/>
  <c r="CK296" i="4"/>
  <c r="DO296" i="4"/>
  <c r="BB296" i="4"/>
  <c r="BW296" i="4"/>
  <c r="BR296" i="4"/>
  <c r="CT296" i="4"/>
  <c r="Z296" i="4"/>
  <c r="AU296" i="4"/>
  <c r="BP296" i="4"/>
  <c r="AI296" i="4"/>
  <c r="DJ296" i="4"/>
  <c r="EE296" i="4"/>
  <c r="DX296" i="4"/>
  <c r="BK296" i="4"/>
  <c r="CH296" i="4"/>
  <c r="DC296" i="4"/>
  <c r="CV296" i="4"/>
  <c r="EC321" i="4"/>
  <c r="DV321" i="4"/>
  <c r="DO321" i="4"/>
  <c r="AG321" i="4"/>
  <c r="DA321" i="4"/>
  <c r="CT321" i="4"/>
  <c r="CM321" i="4"/>
  <c r="AD321" i="4"/>
  <c r="BY321" i="4"/>
  <c r="BR321" i="4"/>
  <c r="BK321" i="4"/>
  <c r="DM321" i="4"/>
  <c r="AP321" i="4"/>
  <c r="AI321" i="4"/>
  <c r="DJ321" i="4"/>
  <c r="DF321" i="4"/>
  <c r="EA321" i="4"/>
  <c r="DT321" i="4"/>
  <c r="DH321" i="4"/>
  <c r="CD321" i="4"/>
  <c r="CY321" i="4"/>
  <c r="CR321" i="4"/>
  <c r="CF321" i="4"/>
  <c r="BB321" i="4"/>
  <c r="BW321" i="4"/>
  <c r="BP321" i="4"/>
  <c r="BD321" i="4"/>
  <c r="Z321" i="4"/>
  <c r="AU321" i="4"/>
  <c r="AN321" i="4"/>
  <c r="AB321" i="4"/>
  <c r="EE321" i="4"/>
  <c r="DX321" i="4"/>
  <c r="DQ321" i="4"/>
  <c r="CK321" i="4"/>
  <c r="DC321" i="4"/>
  <c r="CV321" i="4"/>
  <c r="CO321" i="4"/>
  <c r="CH321" i="4"/>
  <c r="AY321" i="4"/>
  <c r="AR321" i="4"/>
  <c r="AK321" i="4"/>
  <c r="BF321" i="4"/>
  <c r="X14" i="4"/>
  <c r="CA14" i="4"/>
  <c r="DX14" i="4"/>
  <c r="BP14" i="4"/>
  <c r="AG14" i="4"/>
  <c r="AY14" i="4"/>
  <c r="CV14" i="4"/>
  <c r="AN14" i="4"/>
  <c r="DJ14" i="4"/>
  <c r="DH14" i="4"/>
  <c r="BT14" i="4"/>
  <c r="DO14" i="4"/>
  <c r="CH14" i="4"/>
  <c r="EC14" i="4"/>
  <c r="AR14" i="4"/>
  <c r="DQ14" i="4"/>
  <c r="BF14" i="4"/>
  <c r="DA14" i="4"/>
  <c r="DM14" i="4"/>
  <c r="CO14" i="4"/>
  <c r="AD14" i="4"/>
  <c r="BY14" i="4"/>
  <c r="DV14" i="4"/>
  <c r="BM14" i="4"/>
  <c r="DF14" i="4"/>
  <c r="AW14" i="4"/>
  <c r="CT14" i="4"/>
  <c r="AK14" i="4"/>
  <c r="CD14" i="4"/>
  <c r="CY14" i="4"/>
  <c r="AP14" i="4"/>
  <c r="BD14" i="4"/>
  <c r="Z14" i="4"/>
  <c r="DC14" i="4"/>
  <c r="AB14" i="4"/>
  <c r="CR14" i="4"/>
  <c r="CK14" i="4"/>
  <c r="T117" i="4"/>
  <c r="BW117" i="4"/>
  <c r="BP117" i="4"/>
  <c r="BI117" i="4"/>
  <c r="AD117" i="4"/>
  <c r="AU117" i="4"/>
  <c r="AN117" i="4"/>
  <c r="AG117" i="4"/>
  <c r="AB117" i="4"/>
  <c r="DX117" i="4"/>
  <c r="DQ117" i="4"/>
  <c r="DH117" i="4"/>
  <c r="Z117" i="4"/>
  <c r="CV117" i="4"/>
  <c r="CO117" i="4"/>
  <c r="CF117" i="4"/>
  <c r="CH117" i="4"/>
  <c r="BT117" i="4"/>
  <c r="BM117" i="4"/>
  <c r="BD117" i="4"/>
  <c r="DJ117" i="4"/>
  <c r="AR117" i="4"/>
  <c r="EE117" i="4"/>
  <c r="DF117" i="4"/>
  <c r="EC117" i="4"/>
  <c r="DV117" i="4"/>
  <c r="DO117" i="4"/>
  <c r="DC117" i="4"/>
  <c r="BY117" i="4"/>
  <c r="BR117" i="4"/>
  <c r="BK117" i="4"/>
  <c r="AY117" i="4"/>
  <c r="CY117" i="4"/>
  <c r="CR117" i="4"/>
  <c r="CK117" i="4"/>
  <c r="BB117" i="4"/>
  <c r="X67" i="4"/>
  <c r="BT67" i="4"/>
  <c r="X64" i="4"/>
  <c r="BM64" i="4"/>
  <c r="DQ163" i="4"/>
  <c r="AB5" i="4"/>
  <c r="DO21" i="4"/>
  <c r="DH32" i="4"/>
  <c r="BP56" i="4"/>
  <c r="EA13" i="4"/>
  <c r="DF48" i="4"/>
  <c r="EC188" i="4"/>
  <c r="DF69" i="4"/>
  <c r="BI6" i="4"/>
  <c r="AG59" i="4"/>
  <c r="DO177" i="4"/>
  <c r="CD117" i="4"/>
  <c r="BF7" i="4"/>
  <c r="DJ19" i="4"/>
  <c r="EE76" i="4"/>
  <c r="AY46" i="4"/>
  <c r="CT38" i="4"/>
  <c r="CR350" i="4"/>
  <c r="CR381" i="4"/>
  <c r="CV313" i="4"/>
  <c r="DA290" i="4"/>
  <c r="BI321" i="4"/>
  <c r="Z383" i="4"/>
  <c r="BB332" i="4"/>
  <c r="CD4" i="4"/>
  <c r="AK284" i="4"/>
  <c r="AG346" i="4"/>
  <c r="CY395" i="4"/>
  <c r="DT370" i="4"/>
  <c r="CF371" i="4"/>
  <c r="AW371" i="4"/>
  <c r="DT371" i="4"/>
  <c r="BK371" i="4"/>
  <c r="BD371" i="4"/>
  <c r="CY371" i="4"/>
  <c r="CO371" i="4"/>
  <c r="AP371" i="4"/>
  <c r="AB371" i="4"/>
  <c r="BW371" i="4"/>
  <c r="BM371" i="4"/>
  <c r="AI371" i="4"/>
  <c r="DH371" i="4"/>
  <c r="AU371" i="4"/>
  <c r="AK371" i="4"/>
  <c r="DX371" i="4"/>
  <c r="EC371" i="4"/>
  <c r="CD371" i="4"/>
  <c r="EE371" i="4"/>
  <c r="DO371" i="4"/>
  <c r="DA371" i="4"/>
  <c r="BB371" i="4"/>
  <c r="CV371" i="4"/>
  <c r="CK371" i="4"/>
  <c r="EA371" i="4"/>
  <c r="Z371" i="4"/>
  <c r="BT371" i="4"/>
  <c r="BI371" i="4"/>
  <c r="DM371" i="4"/>
  <c r="DF371" i="4"/>
  <c r="AR371" i="4"/>
  <c r="AG371" i="4"/>
  <c r="CH371" i="4"/>
  <c r="DV371" i="4"/>
  <c r="DQ371" i="4"/>
  <c r="BF371" i="4"/>
  <c r="AY371" i="4"/>
  <c r="CR371" i="4"/>
  <c r="CT371" i="4"/>
  <c r="DJ371" i="4"/>
  <c r="BY371" i="4"/>
  <c r="AN371" i="4"/>
  <c r="BR371" i="4"/>
  <c r="AU374" i="4"/>
  <c r="AN374" i="4"/>
  <c r="AY374" i="4"/>
  <c r="BI374" i="4"/>
  <c r="DX374" i="4"/>
  <c r="DO374" i="4"/>
  <c r="CO374" i="4"/>
  <c r="DQ374" i="4"/>
  <c r="CV374" i="4"/>
  <c r="CM374" i="4"/>
  <c r="AK374" i="4"/>
  <c r="CF374" i="4"/>
  <c r="BT374" i="4"/>
  <c r="BK374" i="4"/>
  <c r="CK374" i="4"/>
  <c r="BM374" i="4"/>
  <c r="AR374" i="4"/>
  <c r="AI374" i="4"/>
  <c r="AG374" i="4"/>
  <c r="EC374" i="4"/>
  <c r="DV374" i="4"/>
  <c r="DJ374" i="4"/>
  <c r="CH374" i="4"/>
  <c r="DA374" i="4"/>
  <c r="CT374" i="4"/>
  <c r="BF374" i="4"/>
  <c r="AD374" i="4"/>
  <c r="BY374" i="4"/>
  <c r="BR374" i="4"/>
  <c r="DH374" i="4"/>
  <c r="CD374" i="4"/>
  <c r="AW374" i="4"/>
  <c r="AP374" i="4"/>
  <c r="BD374" i="4"/>
  <c r="Z374" i="4"/>
  <c r="EA374" i="4"/>
  <c r="DT374" i="4"/>
  <c r="DF374" i="4"/>
  <c r="EE374" i="4"/>
  <c r="BW374" i="4"/>
  <c r="BP374" i="4"/>
  <c r="DC374" i="4"/>
  <c r="DM374" i="4"/>
  <c r="T49" i="4"/>
  <c r="BP49" i="4"/>
  <c r="T71" i="4"/>
  <c r="BF71" i="4"/>
  <c r="CA71" i="4"/>
  <c r="BT71" i="4"/>
  <c r="BI71" i="4"/>
  <c r="AD71" i="4"/>
  <c r="AY71" i="4"/>
  <c r="AR71" i="4"/>
  <c r="AG71" i="4"/>
  <c r="DH71" i="4"/>
  <c r="EC71" i="4"/>
  <c r="DV71" i="4"/>
  <c r="BK71" i="4"/>
  <c r="CF71" i="4"/>
  <c r="DA71" i="4"/>
  <c r="CT71" i="4"/>
  <c r="AK71" i="4"/>
  <c r="BD71" i="4"/>
  <c r="BY71" i="4"/>
  <c r="BR71" i="4"/>
  <c r="AI71" i="4"/>
  <c r="AB71" i="4"/>
  <c r="AP71" i="4"/>
  <c r="DQ71" i="4"/>
  <c r="DF71" i="4"/>
  <c r="EA71" i="4"/>
  <c r="DT71" i="4"/>
  <c r="DO71" i="4"/>
  <c r="BB71" i="4"/>
  <c r="BW71" i="4"/>
  <c r="BP71" i="4"/>
  <c r="CM71" i="4"/>
  <c r="CH71" i="4"/>
  <c r="DC71" i="4"/>
  <c r="CV71" i="4"/>
  <c r="CK71" i="4"/>
  <c r="X123" i="4"/>
  <c r="BT123" i="4"/>
  <c r="X138" i="4"/>
  <c r="DQ138" i="4"/>
  <c r="V151" i="4"/>
  <c r="AW151" i="4"/>
  <c r="X133" i="4"/>
  <c r="CO133" i="4"/>
  <c r="BP163" i="4"/>
  <c r="CR21" i="4"/>
  <c r="BD32" i="4"/>
  <c r="CV56" i="4"/>
  <c r="AW13" i="4"/>
  <c r="AB48" i="4"/>
  <c r="AY188" i="4"/>
  <c r="AB69" i="4"/>
  <c r="BK6" i="4"/>
  <c r="CK59" i="4"/>
  <c r="CH177" i="4"/>
  <c r="CA117" i="4"/>
  <c r="DJ7" i="4"/>
  <c r="DM19" i="4"/>
  <c r="BR14" i="4"/>
  <c r="CY71" i="4"/>
  <c r="Z76" i="4"/>
  <c r="DH46" i="4"/>
  <c r="EA38" i="4"/>
  <c r="CY350" i="4"/>
  <c r="CY381" i="4"/>
  <c r="DC313" i="4"/>
  <c r="CY374" i="4"/>
  <c r="CF290" i="4"/>
  <c r="BB37" i="4"/>
  <c r="BM321" i="4"/>
  <c r="CK383" i="4"/>
  <c r="DJ332" i="4"/>
  <c r="AN4" i="4"/>
  <c r="BT57" i="4"/>
  <c r="AW284" i="4"/>
  <c r="AN346" i="4"/>
  <c r="DQ395" i="4"/>
  <c r="AD371" i="4"/>
  <c r="EC370" i="4"/>
  <c r="CK77" i="4"/>
  <c r="CV77" i="4"/>
  <c r="DC77" i="4"/>
  <c r="CH77" i="4"/>
  <c r="DV114" i="4"/>
  <c r="FP293" i="4"/>
  <c r="EH293" i="4"/>
  <c r="HD305" i="4"/>
  <c r="AD131" i="4"/>
  <c r="AR122" i="4"/>
  <c r="AI77" i="4"/>
  <c r="BP77" i="4"/>
  <c r="BW77" i="4"/>
  <c r="BB77" i="4"/>
  <c r="AY36" i="4"/>
  <c r="BK77" i="4"/>
  <c r="DT77" i="4"/>
  <c r="EA77" i="4"/>
  <c r="DF77" i="4"/>
  <c r="CH283" i="4"/>
  <c r="BM77" i="4"/>
  <c r="AP77" i="4"/>
  <c r="AW77" i="4"/>
  <c r="AB77" i="4"/>
  <c r="BT95" i="4"/>
  <c r="BP39" i="4"/>
  <c r="CM77" i="4"/>
  <c r="BR77" i="4"/>
  <c r="BY77" i="4"/>
  <c r="BD77" i="4"/>
  <c r="BI132" i="4"/>
  <c r="CO77" i="4"/>
  <c r="CT77" i="4"/>
  <c r="DA77" i="4"/>
  <c r="CF77" i="4"/>
  <c r="DO77" i="4"/>
  <c r="DV77" i="4"/>
  <c r="EC77" i="4"/>
  <c r="DH77" i="4"/>
  <c r="CA158" i="4"/>
  <c r="FP292" i="4"/>
  <c r="EH292" i="4"/>
  <c r="AG77" i="4"/>
  <c r="AY77" i="4"/>
  <c r="AD77" i="4"/>
  <c r="EH302" i="4"/>
  <c r="FP302" i="4"/>
  <c r="EH300" i="4"/>
  <c r="FP300" i="4"/>
  <c r="BI18" i="4"/>
  <c r="EC129" i="4"/>
  <c r="BK159" i="4"/>
  <c r="BI77" i="4"/>
  <c r="BT77" i="4"/>
  <c r="CA77" i="4"/>
  <c r="BF77" i="4"/>
  <c r="HD304" i="4"/>
  <c r="BD152" i="4"/>
  <c r="EH304" i="4"/>
  <c r="FP304" i="4"/>
  <c r="FP303" i="4"/>
  <c r="EH303" i="4"/>
  <c r="FP296" i="4"/>
  <c r="EH296" i="4"/>
  <c r="FP297" i="4"/>
  <c r="EH297" i="4"/>
  <c r="EH290" i="4"/>
  <c r="FP290" i="4"/>
  <c r="EH299" i="4"/>
  <c r="FP299" i="4"/>
  <c r="FP280" i="4"/>
  <c r="FP281" i="4"/>
  <c r="FN287" i="4"/>
  <c r="X284" i="4"/>
  <c r="FN284" i="4"/>
  <c r="FN285" i="4"/>
  <c r="GM59" i="4"/>
  <c r="GO41" i="4"/>
  <c r="GQ32" i="4"/>
  <c r="GM69" i="4"/>
  <c r="GO76" i="4"/>
  <c r="GO32" i="4"/>
  <c r="GM13" i="4"/>
  <c r="GO13" i="4"/>
  <c r="GS4" i="4"/>
  <c r="T7" i="4"/>
  <c r="GO38" i="4"/>
  <c r="GQ56" i="4"/>
  <c r="GU4" i="4"/>
  <c r="GQ117" i="4"/>
  <c r="GQ38" i="4"/>
  <c r="GM163" i="4"/>
  <c r="GO56" i="4"/>
  <c r="GQ48" i="4"/>
  <c r="GO117" i="4"/>
  <c r="GQ55" i="4"/>
  <c r="GO163" i="4"/>
  <c r="GO48" i="4"/>
  <c r="GM4" i="4"/>
  <c r="GQ14" i="4"/>
  <c r="GQ5" i="4"/>
  <c r="GO4" i="4"/>
  <c r="GM7" i="4"/>
  <c r="GM55" i="4"/>
  <c r="GM77" i="4"/>
  <c r="GM14" i="4"/>
  <c r="GQ77" i="4"/>
  <c r="GM5" i="4"/>
  <c r="X5" i="4"/>
  <c r="X71" i="4"/>
  <c r="GQ7" i="4"/>
  <c r="GO29" i="4"/>
  <c r="GQ46" i="4"/>
  <c r="GO77" i="4"/>
  <c r="GQ6" i="4"/>
  <c r="GQ19" i="4"/>
  <c r="GM29" i="4"/>
  <c r="GO71" i="4"/>
  <c r="GO46" i="4"/>
  <c r="GO37" i="4"/>
  <c r="GQ35" i="4"/>
  <c r="GO21" i="4"/>
  <c r="GQ69" i="4"/>
  <c r="V38" i="4"/>
  <c r="GO6" i="4"/>
  <c r="GO59" i="4"/>
  <c r="GO19" i="4"/>
  <c r="GQ41" i="4"/>
  <c r="GM71" i="4"/>
  <c r="GM37" i="4"/>
  <c r="GO35" i="4"/>
  <c r="GM21" i="4"/>
  <c r="V274" i="4"/>
  <c r="V5" i="4"/>
  <c r="V346" i="4"/>
  <c r="X69" i="4"/>
  <c r="T345" i="4"/>
  <c r="T136" i="4"/>
  <c r="V177" i="4"/>
  <c r="T303" i="4"/>
  <c r="T285" i="4"/>
  <c r="T299" i="4"/>
  <c r="V323" i="4"/>
  <c r="X381" i="4"/>
  <c r="T321" i="4"/>
  <c r="T356" i="4"/>
  <c r="V285" i="4"/>
  <c r="X343" i="4"/>
  <c r="T350" i="4"/>
  <c r="T37" i="4"/>
  <c r="V326" i="4"/>
  <c r="V356" i="4"/>
  <c r="T21" i="4"/>
  <c r="T284" i="4"/>
  <c r="V46" i="4"/>
  <c r="X345" i="4"/>
  <c r="X303" i="4"/>
  <c r="X299" i="4"/>
  <c r="X76" i="4"/>
  <c r="T38" i="4"/>
  <c r="V290" i="4"/>
  <c r="GU163" i="4"/>
  <c r="X321" i="4"/>
  <c r="X326" i="4"/>
  <c r="X163" i="4"/>
  <c r="T46" i="4"/>
  <c r="T13" i="4"/>
  <c r="T4" i="4"/>
  <c r="T370" i="4"/>
  <c r="T367" i="4"/>
  <c r="V117" i="4"/>
  <c r="T372" i="4"/>
  <c r="X287" i="4"/>
  <c r="T268" i="4"/>
  <c r="T76" i="4"/>
  <c r="X350" i="4"/>
  <c r="X290" i="4"/>
  <c r="GS163" i="4"/>
  <c r="T77" i="4"/>
  <c r="T163" i="4"/>
  <c r="X4" i="4"/>
  <c r="V370" i="4"/>
  <c r="V316" i="4"/>
  <c r="V367" i="4"/>
  <c r="T287" i="4"/>
  <c r="V268" i="4"/>
  <c r="X55" i="4"/>
  <c r="T324" i="4"/>
  <c r="T373" i="4"/>
  <c r="T374" i="4"/>
  <c r="V77" i="4"/>
  <c r="T32" i="4"/>
  <c r="T365" i="4"/>
  <c r="T297" i="4"/>
  <c r="T368" i="4"/>
  <c r="X316" i="4"/>
  <c r="X372" i="4"/>
  <c r="T29" i="4"/>
  <c r="T327" i="4"/>
  <c r="V324" i="4"/>
  <c r="V373" i="4"/>
  <c r="V32" i="4"/>
  <c r="V365" i="4"/>
  <c r="V297" i="4"/>
  <c r="V368" i="4"/>
  <c r="T48" i="4"/>
  <c r="T277" i="4"/>
  <c r="V7" i="4"/>
  <c r="T353" i="4"/>
  <c r="T385" i="4"/>
  <c r="V296" i="4"/>
  <c r="X374" i="4"/>
  <c r="T35" i="4"/>
  <c r="T361" i="4"/>
  <c r="T332" i="4"/>
  <c r="T328" i="4"/>
  <c r="V48" i="4"/>
  <c r="T6" i="4"/>
  <c r="X7" i="4"/>
  <c r="V385" i="4"/>
  <c r="X29" i="4"/>
  <c r="X296" i="4"/>
  <c r="X327" i="4"/>
  <c r="T390" i="4"/>
  <c r="T338" i="4"/>
  <c r="V35" i="4"/>
  <c r="V332" i="4"/>
  <c r="V328" i="4"/>
  <c r="T56" i="4"/>
  <c r="T395" i="4"/>
  <c r="V6" i="4"/>
  <c r="X353" i="4"/>
  <c r="T41" i="4"/>
  <c r="T371" i="4"/>
  <c r="T307" i="4"/>
  <c r="V390" i="4"/>
  <c r="V313" i="4"/>
  <c r="V304" i="4"/>
  <c r="X332" i="4"/>
  <c r="V56" i="4"/>
  <c r="V395" i="4"/>
  <c r="X188" i="4"/>
  <c r="T311" i="4"/>
  <c r="X59" i="4"/>
  <c r="T394" i="4"/>
  <c r="V192" i="4"/>
  <c r="V41" i="4"/>
  <c r="V14" i="4"/>
  <c r="V371" i="4"/>
  <c r="V307" i="4"/>
  <c r="X338" i="4"/>
  <c r="X304" i="4"/>
  <c r="T383" i="4"/>
  <c r="T396" i="4"/>
  <c r="T59" i="4"/>
  <c r="V19" i="4"/>
  <c r="V394" i="4"/>
  <c r="V336" i="4"/>
  <c r="T391" i="4"/>
  <c r="T381" i="4"/>
  <c r="T384" i="4"/>
  <c r="V383" i="4"/>
  <c r="V396" i="4"/>
  <c r="T346" i="4"/>
  <c r="X311" i="4"/>
  <c r="X336" i="4"/>
  <c r="T323" i="4"/>
  <c r="T343" i="4"/>
  <c r="V391" i="4"/>
  <c r="V381" i="4"/>
  <c r="V384" i="4"/>
  <c r="FN4" i="4"/>
  <c r="GW6" i="4"/>
  <c r="FN6" i="4"/>
  <c r="GS55" i="4"/>
  <c r="FN55" i="4"/>
  <c r="GS7" i="4"/>
  <c r="FN7" i="4"/>
  <c r="FF7" i="4" s="1"/>
  <c r="FP29" i="4"/>
  <c r="FN29" i="4"/>
  <c r="FN19" i="4"/>
  <c r="FN268" i="4"/>
  <c r="FN76" i="4"/>
  <c r="GS21" i="4"/>
  <c r="FN21" i="4"/>
  <c r="FN277" i="4"/>
  <c r="FN37" i="4"/>
  <c r="GW32" i="4"/>
  <c r="FN32" i="4"/>
  <c r="FN41" i="4"/>
  <c r="GS5" i="4"/>
  <c r="FN5" i="4"/>
  <c r="GW56" i="4"/>
  <c r="FN56" i="4"/>
  <c r="GS13" i="4"/>
  <c r="FN13" i="4"/>
  <c r="GS14" i="4"/>
  <c r="FN14" i="4"/>
  <c r="FN274" i="4"/>
  <c r="GU48" i="4"/>
  <c r="FN48" i="4"/>
  <c r="GS59" i="4"/>
  <c r="FN59" i="4"/>
  <c r="FN71" i="4"/>
  <c r="FN188" i="4"/>
  <c r="FN177" i="4"/>
  <c r="GS69" i="4"/>
  <c r="FN69" i="4"/>
  <c r="FP117" i="4"/>
  <c r="FN117" i="4"/>
  <c r="EH286" i="4"/>
  <c r="EH282" i="4"/>
  <c r="FP282" i="4"/>
  <c r="FP287" i="4"/>
  <c r="EL287" i="4" s="1"/>
  <c r="ER287" i="4" s="1"/>
  <c r="EH287" i="4"/>
  <c r="EH284" i="4"/>
  <c r="FP284" i="4"/>
  <c r="FP285" i="4"/>
  <c r="EH285" i="4"/>
  <c r="EH249" i="4"/>
  <c r="FP249" i="4"/>
  <c r="EH225" i="4"/>
  <c r="FP225" i="4"/>
  <c r="EH234" i="4"/>
  <c r="FP234" i="4"/>
  <c r="R90" i="4"/>
  <c r="HA132" i="4"/>
  <c r="EH184" i="4"/>
  <c r="FP184" i="4"/>
  <c r="EH176" i="4"/>
  <c r="FP176" i="4"/>
  <c r="EH197" i="4"/>
  <c r="FP197" i="4"/>
  <c r="EH201" i="4"/>
  <c r="FP201" i="4"/>
  <c r="EH100" i="4"/>
  <c r="FP100" i="4"/>
  <c r="EH190" i="4"/>
  <c r="FP190" i="4"/>
  <c r="EH163" i="4"/>
  <c r="FP163" i="4"/>
  <c r="EH207" i="4"/>
  <c r="FP207" i="4"/>
  <c r="EH105" i="4"/>
  <c r="FP105" i="4"/>
  <c r="EH75" i="4"/>
  <c r="FP75" i="4"/>
  <c r="EH170" i="4"/>
  <c r="FP170" i="4"/>
  <c r="EH210" i="4"/>
  <c r="FP210" i="4"/>
  <c r="EH185" i="4"/>
  <c r="FP185" i="4"/>
  <c r="EH217" i="4"/>
  <c r="FP217" i="4"/>
  <c r="EH172" i="4"/>
  <c r="FP172" i="4"/>
  <c r="EH198" i="4"/>
  <c r="FP198" i="4"/>
  <c r="R149" i="4"/>
  <c r="P152" i="4"/>
  <c r="N39" i="4"/>
  <c r="HA118" i="4"/>
  <c r="HA124" i="4"/>
  <c r="HA114" i="4"/>
  <c r="HA131" i="4"/>
  <c r="EH231" i="4"/>
  <c r="FP231" i="4"/>
  <c r="EH254" i="4"/>
  <c r="FP254" i="4"/>
  <c r="EH233" i="4"/>
  <c r="FP233" i="4"/>
  <c r="EH246" i="4"/>
  <c r="FP246" i="4"/>
  <c r="HA110" i="4"/>
  <c r="HA153" i="4"/>
  <c r="EH85" i="4"/>
  <c r="FP85" i="4"/>
  <c r="EH83" i="4"/>
  <c r="FP83" i="4"/>
  <c r="EH167" i="4"/>
  <c r="FP167" i="4"/>
  <c r="EH181" i="4"/>
  <c r="FP181" i="4"/>
  <c r="EH168" i="4"/>
  <c r="FP168" i="4"/>
  <c r="EH79" i="4"/>
  <c r="FP79" i="4"/>
  <c r="EH177" i="4"/>
  <c r="FP177" i="4"/>
  <c r="EH216" i="4"/>
  <c r="FP216" i="4"/>
  <c r="EH214" i="4"/>
  <c r="FP214" i="4"/>
  <c r="EH77" i="4"/>
  <c r="FP77" i="4"/>
  <c r="EH209" i="4"/>
  <c r="FP209" i="4"/>
  <c r="EH200" i="4"/>
  <c r="FP200" i="4"/>
  <c r="EH218" i="4"/>
  <c r="FP218" i="4"/>
  <c r="EH180" i="4"/>
  <c r="FP180" i="4"/>
  <c r="R72" i="4"/>
  <c r="FP71" i="4"/>
  <c r="EH223" i="4"/>
  <c r="FP223" i="4"/>
  <c r="EH240" i="4"/>
  <c r="FP240" i="4"/>
  <c r="EH219" i="4"/>
  <c r="FP219" i="4"/>
  <c r="EH226" i="4"/>
  <c r="FP226" i="4"/>
  <c r="EH261" i="4"/>
  <c r="FP261" i="4"/>
  <c r="EH253" i="4"/>
  <c r="FP253" i="4"/>
  <c r="BM253" i="4" s="1"/>
  <c r="P151" i="4"/>
  <c r="HA122" i="4"/>
  <c r="HA120" i="4"/>
  <c r="HA108" i="4"/>
  <c r="HA107" i="4"/>
  <c r="HA109" i="4"/>
  <c r="HA112" i="4"/>
  <c r="FP277" i="4"/>
  <c r="EL277" i="4" s="1"/>
  <c r="EP277" i="4" s="1"/>
  <c r="FP48" i="4"/>
  <c r="EH230" i="4"/>
  <c r="FP230" i="4"/>
  <c r="EH224" i="4"/>
  <c r="FP224" i="4"/>
  <c r="EH247" i="4"/>
  <c r="FP247" i="4"/>
  <c r="EH250" i="4"/>
  <c r="FP250" i="4"/>
  <c r="EH243" i="4"/>
  <c r="FP243" i="4"/>
  <c r="EH245" i="4"/>
  <c r="FP245" i="4"/>
  <c r="EH227" i="4"/>
  <c r="FP227" i="4"/>
  <c r="EH257" i="4"/>
  <c r="FP257" i="4"/>
  <c r="EH174" i="4"/>
  <c r="FP174" i="4"/>
  <c r="EH80" i="4"/>
  <c r="FP80" i="4"/>
  <c r="EH199" i="4"/>
  <c r="FP199" i="4"/>
  <c r="EH188" i="4"/>
  <c r="FP188" i="4"/>
  <c r="EH182" i="4"/>
  <c r="FP182" i="4"/>
  <c r="EH162" i="4"/>
  <c r="FP162" i="4"/>
  <c r="EH78" i="4"/>
  <c r="FP78" i="4"/>
  <c r="EH196" i="4"/>
  <c r="FP196" i="4"/>
  <c r="EH104" i="4"/>
  <c r="FP104" i="4"/>
  <c r="EH76" i="4"/>
  <c r="FP76" i="4"/>
  <c r="EH179" i="4"/>
  <c r="FP179" i="4"/>
  <c r="EH164" i="4"/>
  <c r="FP164" i="4"/>
  <c r="EH81" i="4"/>
  <c r="FP81" i="4"/>
  <c r="FP268" i="4"/>
  <c r="P154" i="4"/>
  <c r="FP69" i="4"/>
  <c r="EH239" i="4"/>
  <c r="FP239" i="4"/>
  <c r="EH232" i="4"/>
  <c r="FP232" i="4"/>
  <c r="EH244" i="4"/>
  <c r="FP244" i="4"/>
  <c r="EH251" i="4"/>
  <c r="FP251" i="4"/>
  <c r="EH252" i="4"/>
  <c r="FP252" i="4"/>
  <c r="EH221" i="4"/>
  <c r="FP221" i="4"/>
  <c r="EH258" i="4"/>
  <c r="FP258" i="4"/>
  <c r="EH222" i="4"/>
  <c r="FP222" i="4"/>
  <c r="R150" i="4"/>
  <c r="P146" i="4"/>
  <c r="EH99" i="4"/>
  <c r="FP99" i="4"/>
  <c r="EH211" i="4"/>
  <c r="FP211" i="4"/>
  <c r="EH173" i="4"/>
  <c r="FP173" i="4"/>
  <c r="EH205" i="4"/>
  <c r="FP205" i="4"/>
  <c r="EH189" i="4"/>
  <c r="FP189" i="4"/>
  <c r="EH84" i="4"/>
  <c r="FP84" i="4"/>
  <c r="EH206" i="4"/>
  <c r="FP206" i="4"/>
  <c r="EH169" i="4"/>
  <c r="FP169" i="4"/>
  <c r="EH160" i="4"/>
  <c r="FP160" i="4"/>
  <c r="EH86" i="4"/>
  <c r="FP86" i="4"/>
  <c r="EH213" i="4"/>
  <c r="FP213" i="4"/>
  <c r="EH165" i="4"/>
  <c r="FP165" i="4"/>
  <c r="EH191" i="4"/>
  <c r="FP191" i="4"/>
  <c r="EH171" i="4"/>
  <c r="FP171" i="4"/>
  <c r="EH82" i="4"/>
  <c r="FP82" i="4"/>
  <c r="EH88" i="4"/>
  <c r="FP88" i="4"/>
  <c r="EH89" i="4"/>
  <c r="FP89" i="4"/>
  <c r="N18" i="4"/>
  <c r="EH175" i="4"/>
  <c r="FP175" i="4"/>
  <c r="EH87" i="4"/>
  <c r="FP87" i="4"/>
  <c r="ET87" i="4" s="1"/>
  <c r="EU145" i="4" s="1"/>
  <c r="EH248" i="4"/>
  <c r="FP248" i="4"/>
  <c r="EH241" i="4"/>
  <c r="FP241" i="4"/>
  <c r="EH262" i="4"/>
  <c r="FP262" i="4"/>
  <c r="EH255" i="4"/>
  <c r="FP255" i="4"/>
  <c r="EH228" i="4"/>
  <c r="FP228" i="4"/>
  <c r="EH229" i="4"/>
  <c r="FP229" i="4"/>
  <c r="HA263" i="4"/>
  <c r="HA123" i="4"/>
  <c r="EH212" i="4"/>
  <c r="FP212" i="4"/>
  <c r="EH193" i="4"/>
  <c r="FP193" i="4"/>
  <c r="EH101" i="4"/>
  <c r="FP101" i="4"/>
  <c r="EH102" i="4"/>
  <c r="FP102" i="4"/>
  <c r="EH183" i="4"/>
  <c r="FP183" i="4"/>
  <c r="EH161" i="4"/>
  <c r="FP161" i="4"/>
  <c r="EH215" i="4"/>
  <c r="FP215" i="4"/>
  <c r="EH195" i="4"/>
  <c r="FP195" i="4"/>
  <c r="EH166" i="4"/>
  <c r="FP166" i="4"/>
  <c r="EH178" i="4"/>
  <c r="FP178" i="4"/>
  <c r="EH186" i="4"/>
  <c r="FP186" i="4"/>
  <c r="EH98" i="4"/>
  <c r="FP98" i="4"/>
  <c r="R36" i="4"/>
  <c r="HA125" i="4"/>
  <c r="HA119" i="4"/>
  <c r="HA111" i="4"/>
  <c r="FP274" i="4"/>
  <c r="R131" i="4"/>
  <c r="EH69" i="4"/>
  <c r="EH71" i="4"/>
  <c r="N132" i="4"/>
  <c r="EH274" i="4"/>
  <c r="EH275" i="4"/>
  <c r="EH276" i="4"/>
  <c r="EH277" i="4"/>
  <c r="N70" i="4"/>
  <c r="N13" i="4"/>
  <c r="N56" i="4"/>
  <c r="P56" i="4"/>
  <c r="R13" i="4"/>
  <c r="P143" i="4"/>
  <c r="H4" i="15"/>
  <c r="H10" i="15"/>
  <c r="H13" i="15"/>
  <c r="H12" i="15"/>
  <c r="H15" i="15"/>
  <c r="H8" i="15"/>
  <c r="H11" i="15"/>
  <c r="H18" i="15"/>
  <c r="H17" i="15"/>
  <c r="AE7" i="15"/>
  <c r="H16" i="15"/>
  <c r="AE10" i="15"/>
  <c r="H19" i="15"/>
  <c r="H5" i="15"/>
  <c r="H7" i="15"/>
  <c r="AE15" i="15"/>
  <c r="H14" i="15"/>
  <c r="H3" i="15"/>
  <c r="Q15" i="15"/>
  <c r="H6" i="15"/>
  <c r="Q7" i="15"/>
  <c r="Q10" i="15"/>
  <c r="D446" i="11" s="1"/>
  <c r="H9" i="15"/>
  <c r="GW55" i="4"/>
  <c r="GU13" i="4"/>
  <c r="GU71" i="4"/>
  <c r="GS71" i="4"/>
  <c r="GW7" i="4"/>
  <c r="GU32" i="4"/>
  <c r="GW69" i="4"/>
  <c r="GU59" i="4"/>
  <c r="GU6" i="4"/>
  <c r="GW48" i="4"/>
  <c r="GW14" i="4"/>
  <c r="GW5" i="4"/>
  <c r="GU56" i="4"/>
  <c r="GW41" i="4"/>
  <c r="GU41" i="4"/>
  <c r="GU21" i="4"/>
  <c r="GU37" i="4"/>
  <c r="GS37" i="4"/>
  <c r="GW19" i="4"/>
  <c r="GU19" i="4"/>
  <c r="R63" i="4"/>
  <c r="R93" i="4"/>
  <c r="R111" i="4"/>
  <c r="E12" i="13"/>
  <c r="W12" i="13" s="1"/>
  <c r="F332" i="5"/>
  <c r="Z12" i="13"/>
  <c r="C328" i="5"/>
  <c r="F327" i="5"/>
  <c r="AB12" i="13"/>
  <c r="X12" i="13"/>
  <c r="D328" i="5"/>
  <c r="AD12" i="13"/>
  <c r="H12" i="13"/>
  <c r="G12" i="13" s="1"/>
  <c r="C445" i="11" s="1"/>
  <c r="C323" i="5"/>
  <c r="AF12" i="13"/>
  <c r="B336" i="5"/>
  <c r="P12" i="13"/>
  <c r="O12" i="13" s="1"/>
  <c r="C502" i="11" s="1"/>
  <c r="E323" i="5"/>
  <c r="AH12" i="13"/>
  <c r="D336" i="5"/>
  <c r="E328" i="5"/>
  <c r="D323" i="5"/>
  <c r="L12" i="13"/>
  <c r="K12" i="13" s="1"/>
  <c r="F322" i="5"/>
  <c r="B333" i="5"/>
  <c r="D333" i="5" s="1"/>
  <c r="HG195" i="4"/>
  <c r="HD195" i="4" s="1"/>
  <c r="HG73" i="4"/>
  <c r="HG79" i="4"/>
  <c r="HD79" i="4" s="1"/>
  <c r="HG98" i="4"/>
  <c r="HD98" i="4" s="1"/>
  <c r="HG102" i="4"/>
  <c r="HD102" i="4" s="1"/>
  <c r="HG160" i="4"/>
  <c r="HD160" i="4" s="1"/>
  <c r="HG163" i="4"/>
  <c r="HD163" i="4" s="1"/>
  <c r="HG205" i="4"/>
  <c r="HD205" i="4" s="1"/>
  <c r="HG207" i="4"/>
  <c r="HD207" i="4" s="1"/>
  <c r="HG210" i="4"/>
  <c r="HD210" i="4" s="1"/>
  <c r="HG226" i="4"/>
  <c r="HD226" i="4" s="1"/>
  <c r="HG234" i="4"/>
  <c r="HD234" i="4" s="1"/>
  <c r="HG267" i="4"/>
  <c r="HD267" i="4" s="1"/>
  <c r="HG168" i="4"/>
  <c r="HD168" i="4" s="1"/>
  <c r="HG117" i="4"/>
  <c r="HG212" i="4"/>
  <c r="HD212" i="4" s="1"/>
  <c r="HG72" i="4"/>
  <c r="HG77" i="4"/>
  <c r="HD77" i="4" s="1"/>
  <c r="HG112" i="4"/>
  <c r="HG107" i="4"/>
  <c r="HG173" i="4"/>
  <c r="HD173" i="4" s="1"/>
  <c r="HG178" i="4"/>
  <c r="HD178" i="4" s="1"/>
  <c r="HG185" i="4"/>
  <c r="HD185" i="4" s="1"/>
  <c r="HG215" i="4"/>
  <c r="HD215" i="4" s="1"/>
  <c r="HG217" i="4"/>
  <c r="HD217" i="4" s="1"/>
  <c r="HG227" i="4"/>
  <c r="HD227" i="4" s="1"/>
  <c r="HG240" i="4"/>
  <c r="M240" i="4" s="1"/>
  <c r="HG247" i="4"/>
  <c r="HD247" i="4" s="1"/>
  <c r="HG233" i="4"/>
  <c r="HD233" i="4" s="1"/>
  <c r="HG269" i="4"/>
  <c r="HD269" i="4" s="1"/>
  <c r="HG68" i="4"/>
  <c r="HG105" i="4"/>
  <c r="HD105" i="4" s="1"/>
  <c r="HG180" i="4"/>
  <c r="HD180" i="4" s="1"/>
  <c r="HG118" i="4"/>
  <c r="HG119" i="4"/>
  <c r="HG181" i="4"/>
  <c r="HD181" i="4" s="1"/>
  <c r="HG169" i="4"/>
  <c r="HD169" i="4" s="1"/>
  <c r="HG189" i="4"/>
  <c r="HD189" i="4" s="1"/>
  <c r="HG214" i="4"/>
  <c r="HD214" i="4" s="1"/>
  <c r="HG228" i="4"/>
  <c r="HD228" i="4" s="1"/>
  <c r="HG222" i="4"/>
  <c r="HD222" i="4" s="1"/>
  <c r="HG258" i="4"/>
  <c r="HD258" i="4" s="1"/>
  <c r="HG241" i="4"/>
  <c r="HD241" i="4" s="1"/>
  <c r="HG209" i="4"/>
  <c r="HD209" i="4" s="1"/>
  <c r="HG99" i="4"/>
  <c r="HD99" i="4" s="1"/>
  <c r="HG253" i="4"/>
  <c r="HD253" i="4" s="1"/>
  <c r="HG69" i="4"/>
  <c r="HG100" i="4"/>
  <c r="HD100" i="4" s="1"/>
  <c r="HG108" i="4"/>
  <c r="HG171" i="4"/>
  <c r="HD171" i="4" s="1"/>
  <c r="HG175" i="4"/>
  <c r="HD175" i="4" s="1"/>
  <c r="HG201" i="4"/>
  <c r="HD201" i="4" s="1"/>
  <c r="HG229" i="4"/>
  <c r="HD229" i="4" s="1"/>
  <c r="HG249" i="4"/>
  <c r="HD249" i="4" s="1"/>
  <c r="R117" i="4"/>
  <c r="HG186" i="4"/>
  <c r="HD186" i="4" s="1"/>
  <c r="HG223" i="4"/>
  <c r="HD223" i="4" s="1"/>
  <c r="HG63" i="4"/>
  <c r="HG122" i="4"/>
  <c r="HG179" i="4"/>
  <c r="HD179" i="4" s="1"/>
  <c r="HG165" i="4"/>
  <c r="HD165" i="4" s="1"/>
  <c r="HG225" i="4"/>
  <c r="M225" i="4" s="1"/>
  <c r="HG272" i="4"/>
  <c r="HD272" i="4" s="1"/>
  <c r="HG114" i="4"/>
  <c r="M114" i="4" s="1"/>
  <c r="HG162" i="4"/>
  <c r="HD162" i="4" s="1"/>
  <c r="HG170" i="4"/>
  <c r="HD170" i="4" s="1"/>
  <c r="HG200" i="4"/>
  <c r="HD200" i="4" s="1"/>
  <c r="HG198" i="4"/>
  <c r="HD198" i="4" s="1"/>
  <c r="HG221" i="4"/>
  <c r="HD221" i="4" s="1"/>
  <c r="HG254" i="4"/>
  <c r="HD254" i="4" s="1"/>
  <c r="HG270" i="4"/>
  <c r="HD270" i="4" s="1"/>
  <c r="HG264" i="4"/>
  <c r="HD264" i="4" s="1"/>
  <c r="HG111" i="4"/>
  <c r="HG219" i="4"/>
  <c r="HD219" i="4" s="1"/>
  <c r="HG190" i="4"/>
  <c r="HD190" i="4" s="1"/>
  <c r="HG261" i="4"/>
  <c r="HD261" i="4" s="1"/>
  <c r="HG70" i="4"/>
  <c r="HG74" i="4"/>
  <c r="HG123" i="4"/>
  <c r="HG174" i="4"/>
  <c r="HD174" i="4" s="1"/>
  <c r="HG176" i="4"/>
  <c r="HD176" i="4" s="1"/>
  <c r="HG211" i="4"/>
  <c r="HD211" i="4" s="1"/>
  <c r="HG213" i="4"/>
  <c r="HD213" i="4" s="1"/>
  <c r="HG218" i="4"/>
  <c r="HD218" i="4" s="1"/>
  <c r="HG216" i="4"/>
  <c r="HD216" i="4" s="1"/>
  <c r="HG243" i="4"/>
  <c r="HD243" i="4" s="1"/>
  <c r="HG67" i="4"/>
  <c r="HG109" i="4"/>
  <c r="HG124" i="4"/>
  <c r="HG161" i="4"/>
  <c r="HD161" i="4" s="1"/>
  <c r="HG167" i="4"/>
  <c r="HD167" i="4" s="1"/>
  <c r="HG184" i="4"/>
  <c r="HD184" i="4" s="1"/>
  <c r="HG188" i="4"/>
  <c r="HD188" i="4" s="1"/>
  <c r="HG191" i="4"/>
  <c r="HD191" i="4" s="1"/>
  <c r="HG244" i="4"/>
  <c r="HD244" i="4" s="1"/>
  <c r="HG246" i="4"/>
  <c r="HD246" i="4" s="1"/>
  <c r="HG231" i="4"/>
  <c r="HD231" i="4" s="1"/>
  <c r="HG265" i="4"/>
  <c r="HD265" i="4" s="1"/>
  <c r="HG104" i="4"/>
  <c r="HD104" i="4" s="1"/>
  <c r="HG166" i="4"/>
  <c r="HD166" i="4" s="1"/>
  <c r="HG245" i="4"/>
  <c r="HD245" i="4" s="1"/>
  <c r="HG172" i="4"/>
  <c r="HD172" i="4" s="1"/>
  <c r="HG193" i="4"/>
  <c r="HD193" i="4" s="1"/>
  <c r="HG224" i="4"/>
  <c r="HD224" i="4" s="1"/>
  <c r="HG230" i="4"/>
  <c r="HD230" i="4" s="1"/>
  <c r="HG255" i="4"/>
  <c r="HD255" i="4" s="1"/>
  <c r="HG66" i="4"/>
  <c r="HG65" i="4"/>
  <c r="HG71" i="4"/>
  <c r="HG64" i="4"/>
  <c r="M64" i="4" s="1"/>
  <c r="HG78" i="4"/>
  <c r="HD78" i="4" s="1"/>
  <c r="HG110" i="4"/>
  <c r="HG101" i="4"/>
  <c r="HD101" i="4" s="1"/>
  <c r="HG182" i="4"/>
  <c r="HD182" i="4" s="1"/>
  <c r="HG164" i="4"/>
  <c r="HD164" i="4" s="1"/>
  <c r="HG196" i="4"/>
  <c r="HD196" i="4" s="1"/>
  <c r="HG262" i="4"/>
  <c r="HD262" i="4" s="1"/>
  <c r="HG239" i="4"/>
  <c r="HD239" i="4" s="1"/>
  <c r="HG120" i="4"/>
  <c r="HG125" i="4"/>
  <c r="HG183" i="4"/>
  <c r="HD183" i="4" s="1"/>
  <c r="HG177" i="4"/>
  <c r="M177" i="4" s="1"/>
  <c r="HG197" i="4"/>
  <c r="HD197" i="4" s="1"/>
  <c r="HG206" i="4"/>
  <c r="HD206" i="4" s="1"/>
  <c r="HG199" i="4"/>
  <c r="HD199" i="4" s="1"/>
  <c r="HG252" i="4"/>
  <c r="HD252" i="4" s="1"/>
  <c r="HG257" i="4"/>
  <c r="HD257" i="4" s="1"/>
  <c r="HG248" i="4"/>
  <c r="HD248" i="4" s="1"/>
  <c r="HG266" i="4"/>
  <c r="HD266" i="4" s="1"/>
  <c r="HG271" i="4"/>
  <c r="HD271" i="4" s="1"/>
  <c r="Z5" i="15"/>
  <c r="AF5" i="15" s="1"/>
  <c r="Z4" i="15"/>
  <c r="AF4" i="15" s="1"/>
  <c r="Y17" i="15"/>
  <c r="CB4" i="4"/>
  <c r="N73" i="4"/>
  <c r="R125" i="4"/>
  <c r="R109" i="4"/>
  <c r="R110" i="4"/>
  <c r="P108" i="4"/>
  <c r="P124" i="4"/>
  <c r="R119" i="4"/>
  <c r="P114" i="4"/>
  <c r="P274" i="4"/>
  <c r="R303" i="4"/>
  <c r="N394" i="4"/>
  <c r="N323" i="4"/>
  <c r="N307" i="4"/>
  <c r="P390" i="4"/>
  <c r="P396" i="4"/>
  <c r="R25" i="4"/>
  <c r="N365" i="4"/>
  <c r="N136" i="4"/>
  <c r="P370" i="4"/>
  <c r="R316" i="4"/>
  <c r="P277" i="4"/>
  <c r="R327" i="4"/>
  <c r="N274" i="4"/>
  <c r="N303" i="4"/>
  <c r="N371" i="4"/>
  <c r="R158" i="4"/>
  <c r="R390" i="4"/>
  <c r="N350" i="4"/>
  <c r="P326" i="4"/>
  <c r="P328" i="4"/>
  <c r="N374" i="4"/>
  <c r="P394" i="4"/>
  <c r="N381" i="4"/>
  <c r="R361" i="4"/>
  <c r="R326" i="4"/>
  <c r="R147" i="4"/>
  <c r="N370" i="4"/>
  <c r="N311" i="4"/>
  <c r="N368" i="4"/>
  <c r="N287" i="4"/>
  <c r="N299" i="4"/>
  <c r="N268" i="4"/>
  <c r="R394" i="4"/>
  <c r="N372" i="4"/>
  <c r="R138" i="4"/>
  <c r="P313" i="4"/>
  <c r="N332" i="4"/>
  <c r="N284" i="4"/>
  <c r="N346" i="4"/>
  <c r="N395" i="4"/>
  <c r="N277" i="4"/>
  <c r="R287" i="4"/>
  <c r="P290" i="4"/>
  <c r="P371" i="4"/>
  <c r="R127" i="4"/>
  <c r="P383" i="4"/>
  <c r="R107" i="4"/>
  <c r="P346" i="4"/>
  <c r="P395" i="4"/>
  <c r="R123" i="4"/>
  <c r="R311" i="4"/>
  <c r="P368" i="4"/>
  <c r="R299" i="4"/>
  <c r="R374" i="4"/>
  <c r="R290" i="4"/>
  <c r="R122" i="4"/>
  <c r="R350" i="4"/>
  <c r="P381" i="4"/>
  <c r="R313" i="4"/>
  <c r="N321" i="4"/>
  <c r="N383" i="4"/>
  <c r="N297" i="4"/>
  <c r="P304" i="4"/>
  <c r="N353" i="4"/>
  <c r="R372" i="4"/>
  <c r="P120" i="4"/>
  <c r="N33" i="4"/>
  <c r="R321" i="4"/>
  <c r="P332" i="4"/>
  <c r="R284" i="4"/>
  <c r="N345" i="4"/>
  <c r="N367" i="4"/>
  <c r="R155" i="4"/>
  <c r="R353" i="4"/>
  <c r="P296" i="4"/>
  <c r="R148" i="4"/>
  <c r="P391" i="4"/>
  <c r="P373" i="4"/>
  <c r="P367" i="4"/>
  <c r="N285" i="4"/>
  <c r="N343" i="4"/>
  <c r="N391" i="4"/>
  <c r="N373" i="4"/>
  <c r="N338" i="4"/>
  <c r="P297" i="4"/>
  <c r="N356" i="4"/>
  <c r="R345" i="4"/>
  <c r="P316" i="4"/>
  <c r="R304" i="4"/>
  <c r="N263" i="4"/>
  <c r="R296" i="4"/>
  <c r="R343" i="4"/>
  <c r="R134" i="4"/>
  <c r="R338" i="4"/>
  <c r="P365" i="4"/>
  <c r="P356" i="4"/>
  <c r="N385" i="4"/>
  <c r="N327" i="4"/>
  <c r="P118" i="4"/>
  <c r="P285" i="4"/>
  <c r="P336" i="4"/>
  <c r="P324" i="4"/>
  <c r="N361" i="4"/>
  <c r="P384" i="4"/>
  <c r="R51" i="4"/>
  <c r="R153" i="4"/>
  <c r="R112" i="4"/>
  <c r="P268" i="4"/>
  <c r="HA39" i="4"/>
  <c r="HA73" i="4"/>
  <c r="HA95" i="4"/>
  <c r="HA129" i="4"/>
  <c r="HA154" i="4"/>
  <c r="HA142" i="4"/>
  <c r="HA136" i="4"/>
  <c r="HA137" i="4"/>
  <c r="HA68" i="4"/>
  <c r="HA67" i="4"/>
  <c r="HA63" i="4"/>
  <c r="HA135" i="4"/>
  <c r="HA90" i="4"/>
  <c r="HA147" i="4"/>
  <c r="HA159" i="4"/>
  <c r="HA134" i="4"/>
  <c r="HA25" i="4"/>
  <c r="HA51" i="4"/>
  <c r="HA36" i="4"/>
  <c r="HA72" i="4"/>
  <c r="HA151" i="4"/>
  <c r="HA156" i="4"/>
  <c r="HA93" i="4"/>
  <c r="HA62" i="4"/>
  <c r="HA158" i="4"/>
  <c r="HA143" i="4"/>
  <c r="HA33" i="4"/>
  <c r="HA18" i="4"/>
  <c r="HA94" i="4"/>
  <c r="HA141" i="4"/>
  <c r="HA146" i="4"/>
  <c r="HA138" i="4"/>
  <c r="HA139" i="4"/>
  <c r="HA148" i="4"/>
  <c r="HA70" i="4"/>
  <c r="HA74" i="4"/>
  <c r="HA140" i="4"/>
  <c r="HA152" i="4"/>
  <c r="HA128" i="4"/>
  <c r="HA157" i="4"/>
  <c r="HA149" i="4"/>
  <c r="HA66" i="4"/>
  <c r="HA65" i="4"/>
  <c r="HA64" i="4"/>
  <c r="HA150" i="4"/>
  <c r="HA96" i="4"/>
  <c r="HA127" i="4"/>
  <c r="HA155" i="4"/>
  <c r="HA133" i="4"/>
  <c r="M26" i="4"/>
  <c r="EH26" i="4"/>
  <c r="M45" i="4"/>
  <c r="EH45" i="4"/>
  <c r="M59" i="4"/>
  <c r="EH59" i="4"/>
  <c r="M27" i="4"/>
  <c r="EH27" i="4"/>
  <c r="M42" i="4"/>
  <c r="EH42" i="4"/>
  <c r="M22" i="4"/>
  <c r="EH22" i="4"/>
  <c r="M55" i="4"/>
  <c r="EH55" i="4"/>
  <c r="M57" i="4"/>
  <c r="EH57" i="4"/>
  <c r="M61" i="4"/>
  <c r="EH61" i="4"/>
  <c r="M47" i="4"/>
  <c r="EH47" i="4"/>
  <c r="M15" i="4"/>
  <c r="EH15" i="4"/>
  <c r="M37" i="4"/>
  <c r="EH37" i="4"/>
  <c r="M49" i="4"/>
  <c r="EH49" i="4"/>
  <c r="M58" i="4"/>
  <c r="EH58" i="4"/>
  <c r="M52" i="4"/>
  <c r="EH52" i="4"/>
  <c r="M38" i="4"/>
  <c r="EH38" i="4"/>
  <c r="M54" i="4"/>
  <c r="EH54" i="4"/>
  <c r="M5" i="4"/>
  <c r="EH5" i="4"/>
  <c r="N5" i="4" s="1"/>
  <c r="M21" i="4"/>
  <c r="EH21" i="4"/>
  <c r="M11" i="4"/>
  <c r="EH11" i="4"/>
  <c r="M17" i="4"/>
  <c r="EH17" i="4"/>
  <c r="M13" i="4"/>
  <c r="EH13" i="4"/>
  <c r="M60" i="4"/>
  <c r="EH60" i="4"/>
  <c r="M30" i="4"/>
  <c r="EH30" i="4"/>
  <c r="M12" i="4"/>
  <c r="EH12" i="4"/>
  <c r="M50" i="4"/>
  <c r="EH50" i="4"/>
  <c r="M20" i="4"/>
  <c r="EH20" i="4"/>
  <c r="M32" i="4"/>
  <c r="EH32" i="4"/>
  <c r="M34" i="4"/>
  <c r="EH34" i="4"/>
  <c r="M31" i="4"/>
  <c r="EH31" i="4"/>
  <c r="M40" i="4"/>
  <c r="EH40" i="4"/>
  <c r="M4" i="4"/>
  <c r="EH4" i="4"/>
  <c r="M41" i="4"/>
  <c r="EH41" i="4"/>
  <c r="M24" i="4"/>
  <c r="EH24" i="4"/>
  <c r="M28" i="4"/>
  <c r="EH28" i="4"/>
  <c r="M7" i="4"/>
  <c r="EH7" i="4"/>
  <c r="FQ7" i="4" s="1"/>
  <c r="M43" i="4"/>
  <c r="EH43" i="4"/>
  <c r="M56" i="4"/>
  <c r="EH56" i="4"/>
  <c r="M46" i="4"/>
  <c r="EH46" i="4"/>
  <c r="M6" i="4"/>
  <c r="EH6" i="4"/>
  <c r="FQ6" i="4" s="1"/>
  <c r="M14" i="4"/>
  <c r="EH14" i="4"/>
  <c r="M16" i="4"/>
  <c r="EH16" i="4"/>
  <c r="M53" i="4"/>
  <c r="EH53" i="4"/>
  <c r="M23" i="4"/>
  <c r="EH23" i="4"/>
  <c r="M44" i="4"/>
  <c r="EH44" i="4"/>
  <c r="M35" i="4"/>
  <c r="EH35" i="4"/>
  <c r="M19" i="4"/>
  <c r="EH19" i="4"/>
  <c r="M9" i="4"/>
  <c r="EH9" i="4"/>
  <c r="M8" i="4"/>
  <c r="EH8" i="4"/>
  <c r="FQ8" i="4" s="1"/>
  <c r="M10" i="4"/>
  <c r="EH10" i="4"/>
  <c r="FQ10" i="4" s="1"/>
  <c r="EH268" i="4"/>
  <c r="AC8" i="13"/>
  <c r="B316" i="5"/>
  <c r="EH269" i="4"/>
  <c r="EH272" i="4"/>
  <c r="EH270" i="4"/>
  <c r="EH264" i="4"/>
  <c r="EH265" i="4"/>
  <c r="EH273" i="4"/>
  <c r="EH266" i="4"/>
  <c r="EH271" i="4"/>
  <c r="EH267" i="4"/>
  <c r="Y8" i="13"/>
  <c r="C303" i="5"/>
  <c r="G6" i="13"/>
  <c r="F307" i="5"/>
  <c r="C308" i="5"/>
  <c r="F302" i="5"/>
  <c r="E303" i="5"/>
  <c r="D308" i="5"/>
  <c r="D303" i="5"/>
  <c r="E308" i="5"/>
  <c r="D316" i="5"/>
  <c r="AG8" i="13"/>
  <c r="EH192" i="4"/>
  <c r="EH208" i="4"/>
  <c r="EH220" i="4"/>
  <c r="EH238" i="4"/>
  <c r="EH259" i="4"/>
  <c r="EH256" i="4"/>
  <c r="EH187" i="4"/>
  <c r="EH260" i="4"/>
  <c r="EH242" i="4"/>
  <c r="EH235" i="4"/>
  <c r="O8" i="13"/>
  <c r="F312" i="5"/>
  <c r="E8" i="13"/>
  <c r="W8" i="13" s="1"/>
  <c r="B313" i="5"/>
  <c r="D313" i="5" s="1"/>
  <c r="G8" i="13"/>
  <c r="K8" i="13"/>
  <c r="C263" i="5"/>
  <c r="E263" i="5"/>
  <c r="AG16" i="13"/>
  <c r="B276" i="5"/>
  <c r="G16" i="13"/>
  <c r="F267" i="5"/>
  <c r="Y16" i="13"/>
  <c r="D263" i="5"/>
  <c r="C268" i="5"/>
  <c r="D268" i="5"/>
  <c r="AC16" i="13"/>
  <c r="F262" i="5"/>
  <c r="E268" i="5"/>
  <c r="O16" i="13"/>
  <c r="K6" i="13"/>
  <c r="D276" i="5"/>
  <c r="K16" i="13"/>
  <c r="D283" i="5"/>
  <c r="E18" i="13"/>
  <c r="W18" i="13" s="1"/>
  <c r="D288" i="5"/>
  <c r="G18" i="13"/>
  <c r="C283" i="5"/>
  <c r="E5" i="13"/>
  <c r="W5" i="13" s="1"/>
  <c r="Y6" i="13"/>
  <c r="F282" i="5"/>
  <c r="AC6" i="13"/>
  <c r="P6" i="13"/>
  <c r="O6" i="13" s="1"/>
  <c r="B296" i="5"/>
  <c r="AG6" i="13"/>
  <c r="B113" i="5"/>
  <c r="D113" i="5" s="1"/>
  <c r="E288" i="5"/>
  <c r="D296" i="5"/>
  <c r="C288" i="5"/>
  <c r="E7" i="13"/>
  <c r="W7" i="13" s="1"/>
  <c r="F287" i="5"/>
  <c r="G15" i="13"/>
  <c r="C451" i="11" s="1"/>
  <c r="E10" i="13"/>
  <c r="W10" i="13" s="1"/>
  <c r="F247" i="5"/>
  <c r="E19" i="13"/>
  <c r="W19" i="13" s="1"/>
  <c r="E16" i="13"/>
  <c r="W16" i="13" s="1"/>
  <c r="E11" i="13"/>
  <c r="W11" i="13" s="1"/>
  <c r="B33" i="5"/>
  <c r="D33" i="5" s="1"/>
  <c r="B273" i="5"/>
  <c r="D273" i="5" s="1"/>
  <c r="E17" i="13"/>
  <c r="W17" i="13" s="1"/>
  <c r="E6" i="13"/>
  <c r="W6" i="13" s="1"/>
  <c r="F272" i="5"/>
  <c r="E20" i="13"/>
  <c r="W20" i="13" s="1"/>
  <c r="E13" i="13"/>
  <c r="W13" i="13" s="1"/>
  <c r="E9" i="13"/>
  <c r="W9" i="13" s="1"/>
  <c r="B293" i="5"/>
  <c r="D293" i="5" s="1"/>
  <c r="F292" i="5"/>
  <c r="E14" i="13"/>
  <c r="W14" i="13" s="1"/>
  <c r="E15" i="13"/>
  <c r="W15" i="13" s="1"/>
  <c r="B133" i="5"/>
  <c r="D133" i="5" s="1"/>
  <c r="F112" i="5"/>
  <c r="E243" i="5"/>
  <c r="B153" i="5"/>
  <c r="D153" i="5" s="1"/>
  <c r="B53" i="5"/>
  <c r="D53" i="5" s="1"/>
  <c r="D248" i="5"/>
  <c r="P11" i="13"/>
  <c r="O11" i="13" s="1"/>
  <c r="C503" i="11" s="1"/>
  <c r="C248" i="5"/>
  <c r="F242" i="5"/>
  <c r="E248" i="5"/>
  <c r="D256" i="5"/>
  <c r="B257" i="5" s="1"/>
  <c r="C243" i="5"/>
  <c r="F252" i="5"/>
  <c r="B213" i="5"/>
  <c r="D213" i="5" s="1"/>
  <c r="D243" i="5"/>
  <c r="L11" i="13"/>
  <c r="K11" i="13" s="1"/>
  <c r="G11" i="13"/>
  <c r="C446" i="11" s="1"/>
  <c r="B253" i="5"/>
  <c r="D253" i="5" s="1"/>
  <c r="B93" i="5"/>
  <c r="D93" i="5" s="1"/>
  <c r="F132" i="5"/>
  <c r="B73" i="5"/>
  <c r="D73" i="5" s="1"/>
  <c r="B193" i="5"/>
  <c r="D193" i="5" s="1"/>
  <c r="B233" i="5"/>
  <c r="D233" i="5" s="1"/>
  <c r="F192" i="5"/>
  <c r="F92" i="5"/>
  <c r="F52" i="5"/>
  <c r="F172" i="5"/>
  <c r="F212" i="5"/>
  <c r="F152" i="5"/>
  <c r="F232" i="5"/>
  <c r="D108" i="5"/>
  <c r="AD13" i="13"/>
  <c r="C203" i="5"/>
  <c r="H7" i="13"/>
  <c r="G7" i="13" s="1"/>
  <c r="C448" i="11" s="1"/>
  <c r="D163" i="5"/>
  <c r="L17" i="13"/>
  <c r="K17" i="13" s="1"/>
  <c r="D223" i="5"/>
  <c r="L15" i="13"/>
  <c r="K15" i="13" s="1"/>
  <c r="D96" i="5"/>
  <c r="D156" i="5"/>
  <c r="AG20" i="13"/>
  <c r="D103" i="5"/>
  <c r="L13" i="13"/>
  <c r="K13" i="13" s="1"/>
  <c r="D203" i="5"/>
  <c r="L7" i="13"/>
  <c r="K7" i="13" s="1"/>
  <c r="C68" i="5"/>
  <c r="Z10" i="13"/>
  <c r="D228" i="5"/>
  <c r="AD15" i="13"/>
  <c r="C123" i="5"/>
  <c r="H14" i="13"/>
  <c r="G14" i="13" s="1"/>
  <c r="C447" i="11" s="1"/>
  <c r="B173" i="5"/>
  <c r="D173" i="5" s="1"/>
  <c r="E108" i="5"/>
  <c r="B216" i="5"/>
  <c r="P7" i="13"/>
  <c r="O7" i="13" s="1"/>
  <c r="C505" i="11" s="1"/>
  <c r="D148" i="5"/>
  <c r="AD20" i="13"/>
  <c r="AC20" i="13" s="1"/>
  <c r="AD19" i="13"/>
  <c r="AC19" i="13" s="1"/>
  <c r="B196" i="5"/>
  <c r="P18" i="13"/>
  <c r="O18" i="13" s="1"/>
  <c r="B116" i="5"/>
  <c r="P13" i="13"/>
  <c r="O13" i="13" s="1"/>
  <c r="C501" i="11" s="1"/>
  <c r="D176" i="5"/>
  <c r="B176" i="5"/>
  <c r="P17" i="13"/>
  <c r="O17" i="13" s="1"/>
  <c r="C509" i="11" s="1"/>
  <c r="B156" i="5"/>
  <c r="P20" i="13"/>
  <c r="O20" i="13" s="1"/>
  <c r="B56" i="5"/>
  <c r="P9" i="13"/>
  <c r="O9" i="13" s="1"/>
  <c r="C506" i="11" s="1"/>
  <c r="B96" i="5"/>
  <c r="P19" i="13"/>
  <c r="O19" i="13" s="1"/>
  <c r="C143" i="5"/>
  <c r="H20" i="13"/>
  <c r="G20" i="13" s="1"/>
  <c r="D136" i="5"/>
  <c r="C83" i="5"/>
  <c r="H19" i="13"/>
  <c r="G19" i="13" s="1"/>
  <c r="C103" i="5"/>
  <c r="H13" i="13"/>
  <c r="G13" i="13" s="1"/>
  <c r="C444" i="11" s="1"/>
  <c r="C208" i="5"/>
  <c r="Z7" i="13"/>
  <c r="C128" i="5"/>
  <c r="Z14" i="13"/>
  <c r="D183" i="5"/>
  <c r="L18" i="13"/>
  <c r="K18" i="13" s="1"/>
  <c r="D123" i="5"/>
  <c r="L14" i="13"/>
  <c r="K14" i="13" s="1"/>
  <c r="C43" i="5"/>
  <c r="H9" i="13"/>
  <c r="G9" i="13" s="1"/>
  <c r="C449" i="11" s="1"/>
  <c r="F72" i="5"/>
  <c r="C163" i="5"/>
  <c r="H17" i="13"/>
  <c r="G17" i="13" s="1"/>
  <c r="C452" i="11" s="1"/>
  <c r="C63" i="5"/>
  <c r="H10" i="13"/>
  <c r="G10" i="13" s="1"/>
  <c r="C443" i="11" s="1"/>
  <c r="D63" i="5"/>
  <c r="L10" i="13"/>
  <c r="K10" i="13" s="1"/>
  <c r="D68" i="5"/>
  <c r="AD10" i="13"/>
  <c r="D188" i="5"/>
  <c r="AD18" i="13"/>
  <c r="AC18" i="13" s="1"/>
  <c r="E48" i="5"/>
  <c r="D208" i="5"/>
  <c r="AD7" i="13"/>
  <c r="D48" i="5"/>
  <c r="AD9" i="13"/>
  <c r="C168" i="5"/>
  <c r="Z17" i="13"/>
  <c r="D43" i="5"/>
  <c r="L9" i="13"/>
  <c r="K9" i="13" s="1"/>
  <c r="D168" i="5"/>
  <c r="AD17" i="13"/>
  <c r="Z19" i="13"/>
  <c r="Y19" i="13" s="1"/>
  <c r="E63" i="5"/>
  <c r="P10" i="13"/>
  <c r="O10" i="13" s="1"/>
  <c r="C500" i="11" s="1"/>
  <c r="D216" i="5"/>
  <c r="C108" i="5"/>
  <c r="Z13" i="13"/>
  <c r="D76" i="5"/>
  <c r="C148" i="5"/>
  <c r="Z20" i="13"/>
  <c r="Y20" i="13" s="1"/>
  <c r="D143" i="5"/>
  <c r="L20" i="13"/>
  <c r="K20" i="13" s="1"/>
  <c r="D196" i="5"/>
  <c r="AG18" i="13"/>
  <c r="F32" i="5"/>
  <c r="B136" i="5"/>
  <c r="P14" i="13"/>
  <c r="O14" i="13" s="1"/>
  <c r="C504" i="11" s="1"/>
  <c r="B236" i="5"/>
  <c r="P15" i="13"/>
  <c r="O15" i="13" s="1"/>
  <c r="C508" i="11" s="1"/>
  <c r="C188" i="5"/>
  <c r="Z18" i="13"/>
  <c r="Y18" i="13" s="1"/>
  <c r="D128" i="5"/>
  <c r="AD14" i="13"/>
  <c r="D236" i="5"/>
  <c r="D83" i="5"/>
  <c r="L19" i="13"/>
  <c r="K19" i="13" s="1"/>
  <c r="C28" i="5"/>
  <c r="Z5" i="13"/>
  <c r="D28" i="5"/>
  <c r="AD5" i="13"/>
  <c r="D36" i="5"/>
  <c r="F222" i="5"/>
  <c r="F227" i="5"/>
  <c r="F147" i="5"/>
  <c r="F47" i="5"/>
  <c r="F207" i="5"/>
  <c r="F127" i="5"/>
  <c r="F107" i="5"/>
  <c r="F167" i="5"/>
  <c r="F187" i="5"/>
  <c r="F67" i="5"/>
  <c r="F87" i="5"/>
  <c r="E148" i="5"/>
  <c r="B76" i="5"/>
  <c r="F182" i="5"/>
  <c r="C183" i="5"/>
  <c r="E123" i="5"/>
  <c r="E208" i="5"/>
  <c r="F122" i="5"/>
  <c r="E228" i="5"/>
  <c r="E183" i="5"/>
  <c r="E223" i="5"/>
  <c r="E143" i="5"/>
  <c r="C228" i="5"/>
  <c r="F142" i="5"/>
  <c r="E168" i="5"/>
  <c r="C223" i="5"/>
  <c r="E83" i="5"/>
  <c r="E163" i="5"/>
  <c r="E128" i="5"/>
  <c r="F62" i="5"/>
  <c r="E68" i="5"/>
  <c r="D116" i="5"/>
  <c r="F82" i="5"/>
  <c r="E188" i="5"/>
  <c r="F162" i="5"/>
  <c r="F202" i="5"/>
  <c r="E203" i="5"/>
  <c r="E103" i="5"/>
  <c r="F102" i="5"/>
  <c r="D56" i="5"/>
  <c r="E28" i="5"/>
  <c r="C48" i="5"/>
  <c r="F42" i="5"/>
  <c r="E43" i="5"/>
  <c r="G268" i="4"/>
  <c r="G101" i="4"/>
  <c r="G231" i="4"/>
  <c r="G127" i="4"/>
  <c r="G73" i="4"/>
  <c r="G250" i="4"/>
  <c r="G156" i="4"/>
  <c r="G42" i="4"/>
  <c r="G258" i="4"/>
  <c r="G122" i="4"/>
  <c r="G373" i="4"/>
  <c r="G178" i="4"/>
  <c r="G78" i="4"/>
  <c r="G425" i="4"/>
  <c r="G123" i="4"/>
  <c r="G125" i="4"/>
  <c r="M4" i="13"/>
  <c r="D4" i="13"/>
  <c r="I4" i="13"/>
  <c r="AI4" i="13"/>
  <c r="AE4" i="13"/>
  <c r="AA4" i="13"/>
  <c r="V4" i="13"/>
  <c r="Q4" i="13"/>
  <c r="G320" i="4"/>
  <c r="G97" i="4"/>
  <c r="C4" i="13"/>
  <c r="U4" i="13"/>
  <c r="G270" i="4"/>
  <c r="G141" i="4"/>
  <c r="G226" i="4"/>
  <c r="G173" i="4"/>
  <c r="G254" i="4"/>
  <c r="G305" i="4"/>
  <c r="G119" i="4"/>
  <c r="G343" i="4"/>
  <c r="G235" i="4"/>
  <c r="G234" i="4"/>
  <c r="G195" i="4"/>
  <c r="G292" i="4"/>
  <c r="G33" i="4"/>
  <c r="G175" i="4"/>
  <c r="G140" i="4"/>
  <c r="G355" i="4"/>
  <c r="G218" i="4"/>
  <c r="G319" i="4"/>
  <c r="G31" i="4"/>
  <c r="G158" i="4"/>
  <c r="G88" i="4"/>
  <c r="G99" i="4"/>
  <c r="G48" i="4"/>
  <c r="G185" i="4"/>
  <c r="G217" i="4"/>
  <c r="G349" i="4"/>
  <c r="G261" i="4"/>
  <c r="G225" i="4"/>
  <c r="G63" i="4"/>
  <c r="G273" i="4"/>
  <c r="G191" i="4"/>
  <c r="G443" i="4"/>
  <c r="G86" i="4"/>
  <c r="G177" i="4"/>
  <c r="G111" i="4"/>
  <c r="G19" i="4"/>
  <c r="G324" i="4"/>
  <c r="G143" i="4"/>
  <c r="G183" i="4"/>
  <c r="G298" i="4"/>
  <c r="G393" i="4"/>
  <c r="G334" i="4"/>
  <c r="G302" i="4"/>
  <c r="G265" i="4"/>
  <c r="G72" i="4"/>
  <c r="G323" i="4"/>
  <c r="G338" i="4"/>
  <c r="G117" i="4"/>
  <c r="G394" i="4"/>
  <c r="G272" i="4"/>
  <c r="G4" i="4"/>
  <c r="G87" i="4"/>
  <c r="G282" i="4"/>
  <c r="G251" i="4"/>
  <c r="G257" i="4"/>
  <c r="G30" i="4"/>
  <c r="G192" i="4"/>
  <c r="G136" i="4"/>
  <c r="G297" i="4"/>
  <c r="G316" i="4"/>
  <c r="G29" i="4"/>
  <c r="G20" i="4"/>
  <c r="G244" i="4"/>
  <c r="G311" i="4"/>
  <c r="G57" i="4"/>
  <c r="G180" i="4"/>
  <c r="G139" i="4"/>
  <c r="G196" i="4"/>
  <c r="G44" i="4"/>
  <c r="G41" i="4"/>
  <c r="G40" i="4"/>
  <c r="G370" i="4"/>
  <c r="G216" i="4"/>
  <c r="G45" i="4"/>
  <c r="G6" i="4"/>
  <c r="G345" i="4"/>
  <c r="G361" i="4"/>
  <c r="G390" i="4"/>
  <c r="G129" i="4"/>
  <c r="G363" i="4"/>
  <c r="G49" i="4"/>
  <c r="G167" i="4"/>
  <c r="G384" i="4"/>
  <c r="G238" i="4"/>
  <c r="G359" i="4"/>
  <c r="G171" i="4"/>
  <c r="G392" i="4"/>
  <c r="G114" i="4"/>
  <c r="G287" i="4"/>
  <c r="G336" i="4"/>
  <c r="G28" i="4"/>
  <c r="G340" i="4"/>
  <c r="G200" i="4"/>
  <c r="G293" i="4"/>
  <c r="G405" i="4"/>
  <c r="G162" i="4"/>
  <c r="G35" i="4"/>
  <c r="G65" i="4"/>
  <c r="G383" i="4"/>
  <c r="G330" i="4"/>
  <c r="G434" i="4"/>
  <c r="G335" i="4"/>
  <c r="G230" i="4"/>
  <c r="G212" i="4"/>
  <c r="G215" i="4"/>
  <c r="G436" i="4"/>
  <c r="G182" i="4"/>
  <c r="G286" i="4"/>
  <c r="G179" i="4"/>
  <c r="G221" i="4"/>
  <c r="G360" i="4"/>
  <c r="G275" i="4"/>
  <c r="G245" i="4"/>
  <c r="G381" i="4"/>
  <c r="G331" i="4"/>
  <c r="G248" i="4"/>
  <c r="G358" i="4"/>
  <c r="G184" i="4"/>
  <c r="G397" i="4"/>
  <c r="G328" i="4"/>
  <c r="G259" i="4"/>
  <c r="G266" i="4"/>
  <c r="G214" i="4"/>
  <c r="G157" i="4"/>
  <c r="G300" i="4"/>
  <c r="G344" i="4"/>
  <c r="G350" i="4"/>
  <c r="G232" i="4"/>
  <c r="G126" i="4"/>
  <c r="G53" i="4"/>
  <c r="G25" i="4"/>
  <c r="G213" i="4"/>
  <c r="G223" i="4"/>
  <c r="G364" i="4"/>
  <c r="G100" i="4"/>
  <c r="G321" i="4"/>
  <c r="G385" i="4"/>
  <c r="G267" i="4"/>
  <c r="G262" i="4"/>
  <c r="G26" i="4"/>
  <c r="G288" i="4"/>
  <c r="G228" i="4"/>
  <c r="G285" i="4"/>
  <c r="G96" i="4"/>
  <c r="FQ23" i="4" l="1"/>
  <c r="CA238" i="4"/>
  <c r="BR22" i="4"/>
  <c r="X238" i="4"/>
  <c r="FQ11" i="4"/>
  <c r="X31" i="4"/>
  <c r="AW448" i="4"/>
  <c r="V448" i="4"/>
  <c r="FQ12" i="4"/>
  <c r="FQ21" i="4"/>
  <c r="FQ26" i="4"/>
  <c r="BI9" i="4"/>
  <c r="FQ9" i="4"/>
  <c r="FQ16" i="4"/>
  <c r="FQ22" i="4"/>
  <c r="FQ19" i="4"/>
  <c r="FQ14" i="4"/>
  <c r="FQ28" i="4"/>
  <c r="FQ15" i="4"/>
  <c r="FQ35" i="4"/>
  <c r="FR35" i="4" s="1"/>
  <c r="FQ24" i="4"/>
  <c r="FQ32" i="4"/>
  <c r="FR32" i="4" s="1"/>
  <c r="FQ13" i="4"/>
  <c r="FQ38" i="4"/>
  <c r="FR38" i="4" s="1"/>
  <c r="FQ47" i="4"/>
  <c r="FR47" i="4" s="1"/>
  <c r="FQ27" i="4"/>
  <c r="FQ20" i="4"/>
  <c r="FQ17" i="4"/>
  <c r="FJ32" i="4"/>
  <c r="T377" i="4"/>
  <c r="FQ44" i="4"/>
  <c r="FR44" i="4" s="1"/>
  <c r="FQ46" i="4"/>
  <c r="FR46" i="4" s="1"/>
  <c r="FQ41" i="4"/>
  <c r="FR41" i="4" s="1"/>
  <c r="FQ52" i="4"/>
  <c r="FR52" i="4" s="1"/>
  <c r="FQ61" i="4"/>
  <c r="FR61" i="4" s="1"/>
  <c r="FQ59" i="4"/>
  <c r="FR59" i="4" s="1"/>
  <c r="FQ56" i="4"/>
  <c r="FR56" i="4" s="1"/>
  <c r="FQ50" i="4"/>
  <c r="FR50" i="4" s="1"/>
  <c r="FQ58" i="4"/>
  <c r="FR58" i="4" s="1"/>
  <c r="FQ57" i="4"/>
  <c r="FR57" i="4" s="1"/>
  <c r="FQ45" i="4"/>
  <c r="FR45" i="4" s="1"/>
  <c r="Z44" i="4"/>
  <c r="T44" i="4"/>
  <c r="FQ53" i="4"/>
  <c r="FR53" i="4" s="1"/>
  <c r="FQ43" i="4"/>
  <c r="FR43" i="4" s="1"/>
  <c r="FQ40" i="4"/>
  <c r="FR40" i="4" s="1"/>
  <c r="FQ49" i="4"/>
  <c r="FR49" i="4" s="1"/>
  <c r="FQ55" i="4"/>
  <c r="FR55" i="4" s="1"/>
  <c r="V445" i="4"/>
  <c r="EC445" i="4"/>
  <c r="FQ31" i="4"/>
  <c r="FR31" i="4" s="1"/>
  <c r="FQ30" i="4"/>
  <c r="FR30" i="4" s="1"/>
  <c r="FQ37" i="4"/>
  <c r="FR37" i="4" s="1"/>
  <c r="FQ34" i="4"/>
  <c r="FR34" i="4" s="1"/>
  <c r="FQ60" i="4"/>
  <c r="FR60" i="4" s="1"/>
  <c r="FQ42" i="4"/>
  <c r="FR42" i="4" s="1"/>
  <c r="FQ54" i="4"/>
  <c r="FR54" i="4" s="1"/>
  <c r="FQ259" i="4"/>
  <c r="FR259" i="4" s="1"/>
  <c r="FQ272" i="4"/>
  <c r="FR272" i="4" s="1"/>
  <c r="K5" i="15"/>
  <c r="FQ238" i="4"/>
  <c r="FR238" i="4" s="1"/>
  <c r="FQ269" i="4"/>
  <c r="FQ276" i="4"/>
  <c r="FR276" i="4" s="1"/>
  <c r="FQ82" i="4"/>
  <c r="FR82" i="4" s="1"/>
  <c r="FQ220" i="4"/>
  <c r="FQ25" i="4"/>
  <c r="FQ208" i="4"/>
  <c r="FR208" i="4" s="1"/>
  <c r="FQ192" i="4"/>
  <c r="FR192" i="4" s="1"/>
  <c r="FQ268" i="4"/>
  <c r="FQ87" i="4"/>
  <c r="FQ267" i="4"/>
  <c r="FQ271" i="4"/>
  <c r="FR271" i="4" s="1"/>
  <c r="FQ235" i="4"/>
  <c r="FR235" i="4" s="1"/>
  <c r="FQ266" i="4"/>
  <c r="FR266" i="4" s="1"/>
  <c r="FQ242" i="4"/>
  <c r="FR242" i="4" s="1"/>
  <c r="FQ273" i="4"/>
  <c r="FQ260" i="4"/>
  <c r="FR260" i="4" s="1"/>
  <c r="FQ265" i="4"/>
  <c r="FR265" i="4" s="1"/>
  <c r="FQ187" i="4"/>
  <c r="FQ264" i="4"/>
  <c r="FR264" i="4" s="1"/>
  <c r="FQ256" i="4"/>
  <c r="FR256" i="4" s="1"/>
  <c r="FQ270" i="4"/>
  <c r="FR270" i="4" s="1"/>
  <c r="HD110" i="4"/>
  <c r="M110" i="4"/>
  <c r="HD109" i="4"/>
  <c r="M109" i="4"/>
  <c r="HA69" i="4"/>
  <c r="FQ69" i="4"/>
  <c r="FR69" i="4" s="1"/>
  <c r="HA178" i="4"/>
  <c r="FQ178" i="4"/>
  <c r="FR178" i="4" s="1"/>
  <c r="HA102" i="4"/>
  <c r="FQ102" i="4"/>
  <c r="HA228" i="4"/>
  <c r="FQ228" i="4"/>
  <c r="FR228" i="4" s="1"/>
  <c r="HA175" i="4"/>
  <c r="FQ175" i="4"/>
  <c r="FR175" i="4" s="1"/>
  <c r="R164" i="4"/>
  <c r="FQ164" i="4"/>
  <c r="N162" i="4"/>
  <c r="FQ162" i="4"/>
  <c r="FR162" i="4" s="1"/>
  <c r="HA257" i="4"/>
  <c r="FQ257" i="4"/>
  <c r="P224" i="4"/>
  <c r="FQ224" i="4"/>
  <c r="FS273" i="4" s="1"/>
  <c r="HA198" i="4"/>
  <c r="FQ198" i="4"/>
  <c r="FR198" i="4" s="1"/>
  <c r="HA75" i="4"/>
  <c r="FQ75" i="4"/>
  <c r="FR75" i="4" s="1"/>
  <c r="P201" i="4"/>
  <c r="FQ201" i="4"/>
  <c r="FR201" i="4" s="1"/>
  <c r="HA225" i="4"/>
  <c r="FQ225" i="4"/>
  <c r="FR225" i="4" s="1"/>
  <c r="FQ302" i="4"/>
  <c r="HA306" i="4"/>
  <c r="FQ306" i="4"/>
  <c r="HA327" i="4"/>
  <c r="FQ327" i="4"/>
  <c r="HA334" i="4"/>
  <c r="FQ334" i="4"/>
  <c r="HA324" i="4"/>
  <c r="FQ324" i="4"/>
  <c r="HA29" i="4"/>
  <c r="FQ29" i="4"/>
  <c r="FR29" i="4" s="1"/>
  <c r="HA337" i="4"/>
  <c r="FQ337" i="4"/>
  <c r="FQ347" i="4"/>
  <c r="HA372" i="4"/>
  <c r="FQ372" i="4"/>
  <c r="FQ377" i="4"/>
  <c r="HA382" i="4"/>
  <c r="FQ382" i="4"/>
  <c r="HA301" i="4"/>
  <c r="FQ301" i="4"/>
  <c r="N68" i="4"/>
  <c r="FQ68" i="4"/>
  <c r="FR68" i="4" s="1"/>
  <c r="HA305" i="4"/>
  <c r="FQ305" i="4"/>
  <c r="FQ110" i="4"/>
  <c r="FQ122" i="4"/>
  <c r="M166" i="4"/>
  <c r="M207" i="4"/>
  <c r="FQ72" i="4"/>
  <c r="FR72" i="4" s="1"/>
  <c r="FQ128" i="4"/>
  <c r="FR128" i="4" s="1"/>
  <c r="M245" i="4"/>
  <c r="FQ36" i="4"/>
  <c r="FR36" i="4" s="1"/>
  <c r="M216" i="4"/>
  <c r="M173" i="4"/>
  <c r="M229" i="4"/>
  <c r="M243" i="4"/>
  <c r="HD67" i="4"/>
  <c r="M67" i="4"/>
  <c r="HD117" i="4"/>
  <c r="AA11" i="15" s="1"/>
  <c r="AG11" i="15" s="1"/>
  <c r="M117" i="4"/>
  <c r="HA165" i="4"/>
  <c r="FQ165" i="4"/>
  <c r="HA84" i="4"/>
  <c r="FQ84" i="4"/>
  <c r="FR84" i="4" s="1"/>
  <c r="N244" i="4"/>
  <c r="FQ244" i="4"/>
  <c r="FR244" i="4" s="1"/>
  <c r="HA253" i="4"/>
  <c r="FQ253" i="4"/>
  <c r="FR253" i="4" s="1"/>
  <c r="HA214" i="4"/>
  <c r="FQ214" i="4"/>
  <c r="FR214" i="4" s="1"/>
  <c r="HA167" i="4"/>
  <c r="FQ167" i="4"/>
  <c r="FR167" i="4" s="1"/>
  <c r="FQ254" i="4"/>
  <c r="FR254" i="4" s="1"/>
  <c r="HA299" i="4"/>
  <c r="FQ299" i="4"/>
  <c r="HA332" i="4"/>
  <c r="FQ332" i="4"/>
  <c r="FQ355" i="4"/>
  <c r="FQ365" i="4"/>
  <c r="HA291" i="4"/>
  <c r="FQ291" i="4"/>
  <c r="HA390" i="4"/>
  <c r="FQ390" i="4"/>
  <c r="HA395" i="4"/>
  <c r="FQ395" i="4"/>
  <c r="HA409" i="4"/>
  <c r="FQ409" i="4"/>
  <c r="HA408" i="4"/>
  <c r="FQ408" i="4"/>
  <c r="HA424" i="4"/>
  <c r="FQ424" i="4"/>
  <c r="HA427" i="4"/>
  <c r="FQ427" i="4"/>
  <c r="P436" i="4"/>
  <c r="FQ436" i="4"/>
  <c r="HA280" i="4"/>
  <c r="FQ280" i="4"/>
  <c r="FQ108" i="4"/>
  <c r="FR108" i="4" s="1"/>
  <c r="M249" i="4"/>
  <c r="M210" i="4"/>
  <c r="M101" i="4"/>
  <c r="FQ18" i="4"/>
  <c r="FQ146" i="4"/>
  <c r="FR146" i="4" s="1"/>
  <c r="FQ152" i="4"/>
  <c r="FR152" i="4" s="1"/>
  <c r="FQ95" i="4"/>
  <c r="FR95" i="4" s="1"/>
  <c r="M180" i="4"/>
  <c r="M167" i="4"/>
  <c r="M255" i="4"/>
  <c r="M191" i="4"/>
  <c r="M175" i="4"/>
  <c r="FQ62" i="4"/>
  <c r="FR62" i="4" s="1"/>
  <c r="M261" i="4"/>
  <c r="FQ159" i="4"/>
  <c r="FR159" i="4" s="1"/>
  <c r="M264" i="4"/>
  <c r="M183" i="4"/>
  <c r="FR273" i="4"/>
  <c r="HD73" i="4"/>
  <c r="M73" i="4"/>
  <c r="P166" i="4"/>
  <c r="FQ166" i="4"/>
  <c r="FR166" i="4" s="1"/>
  <c r="HA101" i="4"/>
  <c r="FQ101" i="4"/>
  <c r="N255" i="4"/>
  <c r="FQ255" i="4"/>
  <c r="FR255" i="4" s="1"/>
  <c r="P179" i="4"/>
  <c r="FQ179" i="4"/>
  <c r="FR179" i="4" s="1"/>
  <c r="N182" i="4"/>
  <c r="FQ182" i="4"/>
  <c r="FR182" i="4" s="1"/>
  <c r="HA227" i="4"/>
  <c r="FQ227" i="4"/>
  <c r="FR227" i="4" s="1"/>
  <c r="HA230" i="4"/>
  <c r="FQ230" i="4"/>
  <c r="FR230" i="4" s="1"/>
  <c r="HA172" i="4"/>
  <c r="FQ172" i="4"/>
  <c r="FR172" i="4" s="1"/>
  <c r="HA105" i="4"/>
  <c r="FQ105" i="4"/>
  <c r="FR105" i="4" s="1"/>
  <c r="HA197" i="4"/>
  <c r="FQ197" i="4"/>
  <c r="FR197" i="4" s="1"/>
  <c r="HA249" i="4"/>
  <c r="FQ249" i="4"/>
  <c r="FR249" i="4" s="1"/>
  <c r="FO444" i="4"/>
  <c r="FO447" i="4"/>
  <c r="HA329" i="4"/>
  <c r="FQ329" i="4"/>
  <c r="HA308" i="4"/>
  <c r="FQ308" i="4"/>
  <c r="HA328" i="4"/>
  <c r="FQ328" i="4"/>
  <c r="HA117" i="4"/>
  <c r="FQ117" i="4"/>
  <c r="FR117" i="4" s="1"/>
  <c r="HA336" i="4"/>
  <c r="FQ336" i="4"/>
  <c r="FQ340" i="4"/>
  <c r="HA361" i="4"/>
  <c r="FQ361" i="4"/>
  <c r="HA350" i="4"/>
  <c r="FQ350" i="4"/>
  <c r="HA371" i="4"/>
  <c r="FQ371" i="4"/>
  <c r="HA385" i="4"/>
  <c r="FQ385" i="4"/>
  <c r="HA442" i="4"/>
  <c r="FQ442" i="4"/>
  <c r="FQ33" i="4"/>
  <c r="FR33" i="4" s="1"/>
  <c r="FQ67" i="4"/>
  <c r="FR67" i="4" s="1"/>
  <c r="M195" i="4"/>
  <c r="M206" i="4"/>
  <c r="FQ138" i="4"/>
  <c r="FR138" i="4" s="1"/>
  <c r="M223" i="4"/>
  <c r="FQ139" i="4"/>
  <c r="FR139" i="4" s="1"/>
  <c r="M272" i="4"/>
  <c r="M269" i="4"/>
  <c r="M258" i="4"/>
  <c r="M233" i="4"/>
  <c r="HD71" i="4"/>
  <c r="M71" i="4"/>
  <c r="HD111" i="4"/>
  <c r="M111" i="4"/>
  <c r="HD108" i="4"/>
  <c r="M108" i="4"/>
  <c r="HA89" i="4"/>
  <c r="FQ89" i="4"/>
  <c r="FR89" i="4" s="1"/>
  <c r="HA213" i="4"/>
  <c r="FQ213" i="4"/>
  <c r="FR213" i="4" s="1"/>
  <c r="HA189" i="4"/>
  <c r="FQ189" i="4"/>
  <c r="R222" i="4"/>
  <c r="FQ222" i="4"/>
  <c r="P232" i="4"/>
  <c r="FQ232" i="4"/>
  <c r="FR232" i="4" s="1"/>
  <c r="HA261" i="4"/>
  <c r="FQ261" i="4"/>
  <c r="FR261" i="4" s="1"/>
  <c r="HA180" i="4"/>
  <c r="FQ180" i="4"/>
  <c r="FR180" i="4" s="1"/>
  <c r="HA216" i="4"/>
  <c r="FQ216" i="4"/>
  <c r="FR216" i="4" s="1"/>
  <c r="FQ83" i="4"/>
  <c r="FR83" i="4" s="1"/>
  <c r="HA231" i="4"/>
  <c r="FQ231" i="4"/>
  <c r="FR231" i="4" s="1"/>
  <c r="HA285" i="4"/>
  <c r="FQ285" i="4"/>
  <c r="HA290" i="4"/>
  <c r="FQ290" i="4"/>
  <c r="FQ293" i="4"/>
  <c r="HA319" i="4"/>
  <c r="FQ319" i="4"/>
  <c r="HA343" i="4"/>
  <c r="FQ343" i="4"/>
  <c r="R370" i="4"/>
  <c r="FQ370" i="4"/>
  <c r="FQ378" i="4"/>
  <c r="HA386" i="4"/>
  <c r="FQ386" i="4"/>
  <c r="HA396" i="4"/>
  <c r="FQ396" i="4"/>
  <c r="HA423" i="4"/>
  <c r="FQ423" i="4"/>
  <c r="R348" i="4"/>
  <c r="FQ348" i="4"/>
  <c r="FQ446" i="4"/>
  <c r="M271" i="4"/>
  <c r="M215" i="4"/>
  <c r="M189" i="4"/>
  <c r="M257" i="4"/>
  <c r="FQ74" i="4"/>
  <c r="FR74" i="4" s="1"/>
  <c r="FQ131" i="4"/>
  <c r="FR131" i="4" s="1"/>
  <c r="M218" i="4"/>
  <c r="FQ135" i="4"/>
  <c r="FR135" i="4" s="1"/>
  <c r="M179" i="4"/>
  <c r="M184" i="4"/>
  <c r="FQ129" i="4"/>
  <c r="FR129" i="4" s="1"/>
  <c r="M266" i="4"/>
  <c r="M163" i="4"/>
  <c r="HD125" i="4"/>
  <c r="M125" i="4"/>
  <c r="HD65" i="4"/>
  <c r="M65" i="4"/>
  <c r="HA195" i="4"/>
  <c r="FQ195" i="4"/>
  <c r="FR195" i="4" s="1"/>
  <c r="HA193" i="4"/>
  <c r="FQ193" i="4"/>
  <c r="FR193" i="4" s="1"/>
  <c r="HA262" i="4"/>
  <c r="FQ262" i="4"/>
  <c r="FR262" i="4" s="1"/>
  <c r="HA76" i="4"/>
  <c r="FQ76" i="4"/>
  <c r="FR76" i="4" s="1"/>
  <c r="HA188" i="4"/>
  <c r="FQ188" i="4"/>
  <c r="N245" i="4"/>
  <c r="FQ245" i="4"/>
  <c r="FT269" i="4" s="1"/>
  <c r="HA217" i="4"/>
  <c r="FQ217" i="4"/>
  <c r="FR217" i="4" s="1"/>
  <c r="HA207" i="4"/>
  <c r="FQ207" i="4"/>
  <c r="FR207" i="4" s="1"/>
  <c r="HA176" i="4"/>
  <c r="FQ176" i="4"/>
  <c r="FR176" i="4" s="1"/>
  <c r="HA297" i="4"/>
  <c r="FQ297" i="4"/>
  <c r="FQ292" i="4"/>
  <c r="HA307" i="4"/>
  <c r="FQ307" i="4"/>
  <c r="HA330" i="4"/>
  <c r="FQ330" i="4"/>
  <c r="HA321" i="4"/>
  <c r="FQ321" i="4"/>
  <c r="FQ357" i="4"/>
  <c r="HA356" i="4"/>
  <c r="FQ356" i="4"/>
  <c r="FQ331" i="4"/>
  <c r="HA374" i="4"/>
  <c r="FQ374" i="4"/>
  <c r="HA373" i="4"/>
  <c r="FQ373" i="4"/>
  <c r="HA387" i="4"/>
  <c r="FQ387" i="4"/>
  <c r="HA406" i="4"/>
  <c r="FQ406" i="4"/>
  <c r="HA413" i="4"/>
  <c r="FQ413" i="4"/>
  <c r="N342" i="4"/>
  <c r="FQ342" i="4"/>
  <c r="M222" i="4"/>
  <c r="M239" i="4"/>
  <c r="FQ142" i="4"/>
  <c r="FR142" i="4" s="1"/>
  <c r="FQ65" i="4"/>
  <c r="FR65" i="4" s="1"/>
  <c r="M199" i="4"/>
  <c r="M213" i="4"/>
  <c r="M228" i="4"/>
  <c r="FQ109" i="4"/>
  <c r="FR109" i="4" s="1"/>
  <c r="M105" i="4"/>
  <c r="FQ140" i="4"/>
  <c r="FR140" i="4" s="1"/>
  <c r="M221" i="4"/>
  <c r="M254" i="4"/>
  <c r="FQ94" i="4"/>
  <c r="FR94" i="4" s="1"/>
  <c r="HD120" i="4"/>
  <c r="M120" i="4"/>
  <c r="HD66" i="4"/>
  <c r="M66" i="4"/>
  <c r="HD122" i="4"/>
  <c r="M122" i="4"/>
  <c r="HD69" i="4"/>
  <c r="M69" i="4"/>
  <c r="HD119" i="4"/>
  <c r="M119" i="4"/>
  <c r="N88" i="4"/>
  <c r="FQ88" i="4"/>
  <c r="FR88" i="4" s="1"/>
  <c r="HA86" i="4"/>
  <c r="FQ86" i="4"/>
  <c r="HA205" i="4"/>
  <c r="FQ205" i="4"/>
  <c r="FR205" i="4" s="1"/>
  <c r="N258" i="4"/>
  <c r="FQ258" i="4"/>
  <c r="FR258" i="4" s="1"/>
  <c r="HA239" i="4"/>
  <c r="FQ239" i="4"/>
  <c r="FR239" i="4" s="1"/>
  <c r="N226" i="4"/>
  <c r="FQ226" i="4"/>
  <c r="FR226" i="4" s="1"/>
  <c r="FQ218" i="4"/>
  <c r="FR218" i="4" s="1"/>
  <c r="HA177" i="4"/>
  <c r="FQ177" i="4"/>
  <c r="FR177" i="4" s="1"/>
  <c r="HA85" i="4"/>
  <c r="FQ85" i="4"/>
  <c r="FR85" i="4" s="1"/>
  <c r="P311" i="4"/>
  <c r="FQ311" i="4"/>
  <c r="HA339" i="4"/>
  <c r="FQ339" i="4"/>
  <c r="HA345" i="4"/>
  <c r="FQ345" i="4"/>
  <c r="R369" i="4"/>
  <c r="FQ369" i="4"/>
  <c r="HA383" i="4"/>
  <c r="FQ383" i="4"/>
  <c r="HA397" i="4"/>
  <c r="FQ397" i="4"/>
  <c r="N399" i="4"/>
  <c r="FQ399" i="4"/>
  <c r="HA341" i="4"/>
  <c r="FQ341" i="4"/>
  <c r="HA443" i="4"/>
  <c r="FQ443" i="4"/>
  <c r="M265" i="4"/>
  <c r="M161" i="4"/>
  <c r="M182" i="4"/>
  <c r="M262" i="4"/>
  <c r="FQ119" i="4"/>
  <c r="FR119" i="4" s="1"/>
  <c r="M172" i="4"/>
  <c r="FQ63" i="4"/>
  <c r="FR63" i="4" s="1"/>
  <c r="M247" i="4"/>
  <c r="M100" i="4"/>
  <c r="FQ123" i="4"/>
  <c r="FR123" i="4" s="1"/>
  <c r="M248" i="4"/>
  <c r="M190" i="4"/>
  <c r="HF445" i="4"/>
  <c r="M63" i="4"/>
  <c r="HD118" i="4"/>
  <c r="M118" i="4"/>
  <c r="HA277" i="4"/>
  <c r="FQ277" i="4"/>
  <c r="P215" i="4"/>
  <c r="FQ215" i="4"/>
  <c r="FR215" i="4" s="1"/>
  <c r="FQ212" i="4"/>
  <c r="FR212" i="4" s="1"/>
  <c r="HA241" i="4"/>
  <c r="FQ241" i="4"/>
  <c r="FR241" i="4" s="1"/>
  <c r="N104" i="4"/>
  <c r="FQ104" i="4"/>
  <c r="FR104" i="4" s="1"/>
  <c r="HA199" i="4"/>
  <c r="FQ199" i="4"/>
  <c r="FR199" i="4" s="1"/>
  <c r="HA243" i="4"/>
  <c r="FQ243" i="4"/>
  <c r="FR243" i="4" s="1"/>
  <c r="HA185" i="4"/>
  <c r="FQ185" i="4"/>
  <c r="P163" i="4"/>
  <c r="FQ163" i="4"/>
  <c r="FR163" i="4" s="1"/>
  <c r="HA184" i="4"/>
  <c r="FQ184" i="4"/>
  <c r="FR184" i="4" s="1"/>
  <c r="HA284" i="4"/>
  <c r="FQ284" i="4"/>
  <c r="HA296" i="4"/>
  <c r="FQ296" i="4"/>
  <c r="FQ320" i="4"/>
  <c r="HA335" i="4"/>
  <c r="FQ335" i="4"/>
  <c r="FQ363" i="4"/>
  <c r="FQ349" i="4"/>
  <c r="FQ394" i="4"/>
  <c r="HA425" i="4"/>
  <c r="FQ425" i="4"/>
  <c r="FQ141" i="4"/>
  <c r="FR141" i="4" s="1"/>
  <c r="FQ124" i="4"/>
  <c r="FR124" i="4" s="1"/>
  <c r="M200" i="4"/>
  <c r="M162" i="4"/>
  <c r="FQ127" i="4"/>
  <c r="FR127" i="4" s="1"/>
  <c r="FQ132" i="4"/>
  <c r="FR132" i="4" s="1"/>
  <c r="M224" i="4"/>
  <c r="FQ111" i="4"/>
  <c r="FR111" i="4" s="1"/>
  <c r="FQ134" i="4"/>
  <c r="FR134" i="4" s="1"/>
  <c r="M168" i="4"/>
  <c r="FQ125" i="4"/>
  <c r="FR125" i="4" s="1"/>
  <c r="M227" i="4"/>
  <c r="FQ133" i="4"/>
  <c r="FR133" i="4" s="1"/>
  <c r="FR269" i="4"/>
  <c r="FQ160" i="4"/>
  <c r="FR160" i="4" s="1"/>
  <c r="HA173" i="4"/>
  <c r="FQ173" i="4"/>
  <c r="FR173" i="4" s="1"/>
  <c r="HA221" i="4"/>
  <c r="FQ221" i="4"/>
  <c r="FT221" i="4" s="1"/>
  <c r="HA219" i="4"/>
  <c r="FQ219" i="4"/>
  <c r="FS268" i="4" s="1"/>
  <c r="HA200" i="4"/>
  <c r="FQ200" i="4"/>
  <c r="FR200" i="4" s="1"/>
  <c r="HA79" i="4"/>
  <c r="FQ79" i="4"/>
  <c r="FR79" i="4" s="1"/>
  <c r="HA287" i="4"/>
  <c r="FQ287" i="4"/>
  <c r="HA323" i="4"/>
  <c r="FQ323" i="4"/>
  <c r="HA314" i="4"/>
  <c r="FQ314" i="4"/>
  <c r="FQ288" i="4"/>
  <c r="FQ358" i="4"/>
  <c r="HA384" i="4"/>
  <c r="FQ384" i="4"/>
  <c r="P398" i="4"/>
  <c r="FQ398" i="4"/>
  <c r="R310" i="4"/>
  <c r="FQ310" i="4"/>
  <c r="M160" i="4"/>
  <c r="M99" i="4"/>
  <c r="M241" i="4"/>
  <c r="FQ118" i="4"/>
  <c r="FR118" i="4" s="1"/>
  <c r="M104" i="4"/>
  <c r="FQ156" i="4"/>
  <c r="FR156" i="4" s="1"/>
  <c r="FQ136" i="4"/>
  <c r="FR136" i="4" s="1"/>
  <c r="M186" i="4"/>
  <c r="M169" i="4"/>
  <c r="FQ150" i="4"/>
  <c r="FR150" i="4" s="1"/>
  <c r="FQ112" i="4"/>
  <c r="FR112" i="4" s="1"/>
  <c r="M198" i="4"/>
  <c r="M197" i="4"/>
  <c r="M201" i="4"/>
  <c r="M193" i="4"/>
  <c r="HD107" i="4"/>
  <c r="M107" i="4"/>
  <c r="FQ275" i="4"/>
  <c r="HA98" i="4"/>
  <c r="FQ98" i="4"/>
  <c r="HA161" i="4"/>
  <c r="FQ161" i="4"/>
  <c r="FR161" i="4" s="1"/>
  <c r="HA248" i="4"/>
  <c r="FQ248" i="4"/>
  <c r="FR248" i="4" s="1"/>
  <c r="P196" i="4"/>
  <c r="FQ196" i="4"/>
  <c r="FR196" i="4" s="1"/>
  <c r="HA80" i="4"/>
  <c r="FQ80" i="4"/>
  <c r="FQ250" i="4"/>
  <c r="FR250" i="4" s="1"/>
  <c r="R210" i="4"/>
  <c r="FQ210" i="4"/>
  <c r="FR210" i="4" s="1"/>
  <c r="HA190" i="4"/>
  <c r="FQ190" i="4"/>
  <c r="FQ303" i="4"/>
  <c r="FQ315" i="4"/>
  <c r="R48" i="4"/>
  <c r="FQ48" i="4"/>
  <c r="FR48" i="4" s="1"/>
  <c r="HA346" i="4"/>
  <c r="FQ346" i="4"/>
  <c r="FQ194" i="4"/>
  <c r="FR194" i="4" s="1"/>
  <c r="FQ410" i="4"/>
  <c r="FQ403" i="4"/>
  <c r="FQ415" i="4"/>
  <c r="FQ420" i="4"/>
  <c r="FQ418" i="4"/>
  <c r="FQ419" i="4"/>
  <c r="FQ430" i="4"/>
  <c r="FQ417" i="4"/>
  <c r="FQ421" i="4"/>
  <c r="FQ411" i="4"/>
  <c r="FQ414" i="4"/>
  <c r="FQ426" i="4"/>
  <c r="FQ440" i="4"/>
  <c r="FQ407" i="4"/>
  <c r="FQ429" i="4"/>
  <c r="FQ438" i="4"/>
  <c r="FQ439" i="4"/>
  <c r="FQ428" i="4"/>
  <c r="FQ441" i="4"/>
  <c r="FQ437" i="4"/>
  <c r="FQ435" i="4"/>
  <c r="FQ447" i="4"/>
  <c r="FQ412" i="4"/>
  <c r="FQ404" i="4"/>
  <c r="FQ388" i="4"/>
  <c r="FQ432" i="4"/>
  <c r="FQ362" i="4"/>
  <c r="FQ145" i="4"/>
  <c r="FR145" i="4" s="1"/>
  <c r="FQ237" i="4"/>
  <c r="FR237" i="4" s="1"/>
  <c r="FQ380" i="4"/>
  <c r="FQ402" i="4"/>
  <c r="FQ130" i="4"/>
  <c r="FR130" i="4" s="1"/>
  <c r="FQ333" i="4"/>
  <c r="FQ352" i="4"/>
  <c r="FQ144" i="4"/>
  <c r="FR144" i="4" s="1"/>
  <c r="FQ295" i="4"/>
  <c r="FQ202" i="4"/>
  <c r="FR202" i="4" s="1"/>
  <c r="FQ416" i="4"/>
  <c r="FQ203" i="4"/>
  <c r="FR203" i="4" s="1"/>
  <c r="FQ236" i="4"/>
  <c r="FR236" i="4" s="1"/>
  <c r="FQ103" i="4"/>
  <c r="FQ278" i="4"/>
  <c r="FQ289" i="4"/>
  <c r="FQ322" i="4"/>
  <c r="FQ433" i="4"/>
  <c r="FQ400" i="4"/>
  <c r="FQ376" i="4"/>
  <c r="FQ204" i="4"/>
  <c r="FR204" i="4" s="1"/>
  <c r="FQ294" i="4"/>
  <c r="FQ366" i="4"/>
  <c r="FQ351" i="4"/>
  <c r="FQ312" i="4"/>
  <c r="FQ121" i="4"/>
  <c r="FR121" i="4" s="1"/>
  <c r="FQ126" i="4"/>
  <c r="FR126" i="4" s="1"/>
  <c r="FQ279" i="4"/>
  <c r="FQ92" i="4"/>
  <c r="FR92" i="4" s="1"/>
  <c r="FQ91" i="4"/>
  <c r="FR91" i="4" s="1"/>
  <c r="FQ116" i="4"/>
  <c r="FR116" i="4" s="1"/>
  <c r="FQ106" i="4"/>
  <c r="FR106" i="4" s="1"/>
  <c r="FQ115" i="4"/>
  <c r="FR115" i="4" s="1"/>
  <c r="FQ113" i="4"/>
  <c r="FR113" i="4" s="1"/>
  <c r="FQ97" i="4"/>
  <c r="FQ379" i="4"/>
  <c r="HA401" i="4"/>
  <c r="FQ401" i="4"/>
  <c r="P393" i="4"/>
  <c r="FQ393" i="4"/>
  <c r="HA434" i="4"/>
  <c r="FQ434" i="4"/>
  <c r="HA360" i="4"/>
  <c r="FQ360" i="4"/>
  <c r="FQ448" i="4"/>
  <c r="HA448" i="4"/>
  <c r="FQ143" i="4"/>
  <c r="FR143" i="4" s="1"/>
  <c r="M253" i="4"/>
  <c r="FQ73" i="4"/>
  <c r="FR73" i="4" s="1"/>
  <c r="FQ64" i="4"/>
  <c r="FR64" i="4" s="1"/>
  <c r="FQ90" i="4"/>
  <c r="FR90" i="4" s="1"/>
  <c r="M217" i="4"/>
  <c r="M174" i="4"/>
  <c r="M244" i="4"/>
  <c r="FQ147" i="4"/>
  <c r="FR147" i="4" s="1"/>
  <c r="FQ158" i="4"/>
  <c r="FR158" i="4" s="1"/>
  <c r="FQ148" i="4"/>
  <c r="FR148" i="4" s="1"/>
  <c r="M181" i="4"/>
  <c r="FQ263" i="4"/>
  <c r="FR263" i="4" s="1"/>
  <c r="FQ107" i="4"/>
  <c r="FR107" i="4" s="1"/>
  <c r="HD123" i="4"/>
  <c r="M123" i="4"/>
  <c r="HD68" i="4"/>
  <c r="M68" i="4"/>
  <c r="HD112" i="4"/>
  <c r="M112" i="4"/>
  <c r="HA274" i="4"/>
  <c r="FQ274" i="4"/>
  <c r="EU87" i="4"/>
  <c r="EU103" i="4"/>
  <c r="EX87" i="4"/>
  <c r="EY402" i="4" s="1"/>
  <c r="HA171" i="4"/>
  <c r="FQ171" i="4"/>
  <c r="FR171" i="4" s="1"/>
  <c r="HA169" i="4"/>
  <c r="FQ169" i="4"/>
  <c r="FR169" i="4" s="1"/>
  <c r="R211" i="4"/>
  <c r="FQ211" i="4"/>
  <c r="FR211" i="4" s="1"/>
  <c r="P252" i="4"/>
  <c r="FQ252" i="4"/>
  <c r="FR252" i="4" s="1"/>
  <c r="HA240" i="4"/>
  <c r="FQ240" i="4"/>
  <c r="FR240" i="4" s="1"/>
  <c r="R209" i="4"/>
  <c r="FQ209" i="4"/>
  <c r="FR209" i="4" s="1"/>
  <c r="HA168" i="4"/>
  <c r="FQ168" i="4"/>
  <c r="FR168" i="4" s="1"/>
  <c r="HA246" i="4"/>
  <c r="FQ246" i="4"/>
  <c r="FR246" i="4" s="1"/>
  <c r="HA317" i="4"/>
  <c r="FQ317" i="4"/>
  <c r="FQ318" i="4"/>
  <c r="FS318" i="4" s="1"/>
  <c r="HA391" i="4"/>
  <c r="FQ391" i="4"/>
  <c r="HA381" i="4"/>
  <c r="FQ381" i="4"/>
  <c r="R422" i="4"/>
  <c r="FQ422" i="4"/>
  <c r="HA325" i="4"/>
  <c r="FQ325" i="4"/>
  <c r="EU144" i="4"/>
  <c r="HA444" i="4"/>
  <c r="FQ444" i="4"/>
  <c r="FQ66" i="4"/>
  <c r="FR66" i="4" s="1"/>
  <c r="FQ153" i="4"/>
  <c r="FR153" i="4" s="1"/>
  <c r="M209" i="4"/>
  <c r="M230" i="4"/>
  <c r="FQ283" i="4"/>
  <c r="FQ151" i="4"/>
  <c r="FR151" i="4" s="1"/>
  <c r="M176" i="4"/>
  <c r="FQ114" i="4"/>
  <c r="FR114" i="4" s="1"/>
  <c r="M178" i="4"/>
  <c r="M196" i="4"/>
  <c r="FQ154" i="4"/>
  <c r="FR154" i="4" s="1"/>
  <c r="M231" i="4"/>
  <c r="FQ39" i="4"/>
  <c r="FR39" i="4" s="1"/>
  <c r="M98" i="4"/>
  <c r="M211" i="4"/>
  <c r="FQ157" i="4"/>
  <c r="FR157" i="4" s="1"/>
  <c r="M164" i="4"/>
  <c r="FQ120" i="4"/>
  <c r="FR120" i="4" s="1"/>
  <c r="M214" i="4"/>
  <c r="M205" i="4"/>
  <c r="FR268" i="4"/>
  <c r="FT268" i="4"/>
  <c r="HD74" i="4"/>
  <c r="M74" i="4"/>
  <c r="FQ186" i="4"/>
  <c r="FQ183" i="4"/>
  <c r="FR183" i="4" s="1"/>
  <c r="FQ229" i="4"/>
  <c r="FR229" i="4" s="1"/>
  <c r="R81" i="4"/>
  <c r="FQ81" i="4"/>
  <c r="FR81" i="4" s="1"/>
  <c r="HA78" i="4"/>
  <c r="FQ78" i="4"/>
  <c r="FR78" i="4" s="1"/>
  <c r="R174" i="4"/>
  <c r="FQ174" i="4"/>
  <c r="FR174" i="4" s="1"/>
  <c r="HA247" i="4"/>
  <c r="FQ247" i="4"/>
  <c r="FR247" i="4" s="1"/>
  <c r="N170" i="4"/>
  <c r="FQ170" i="4"/>
  <c r="FR170" i="4" s="1"/>
  <c r="R100" i="4"/>
  <c r="FQ100" i="4"/>
  <c r="P234" i="4"/>
  <c r="FQ234" i="4"/>
  <c r="FR234" i="4" s="1"/>
  <c r="HA282" i="4"/>
  <c r="FQ282" i="4"/>
  <c r="FQ300" i="4"/>
  <c r="FQ326" i="4"/>
  <c r="HA353" i="4"/>
  <c r="FQ353" i="4"/>
  <c r="FQ354" i="4"/>
  <c r="FQ375" i="4"/>
  <c r="HA389" i="4"/>
  <c r="FQ389" i="4"/>
  <c r="HA392" i="4"/>
  <c r="FQ392" i="4"/>
  <c r="HA405" i="4"/>
  <c r="FQ405" i="4"/>
  <c r="HA431" i="4"/>
  <c r="FQ431" i="4"/>
  <c r="P309" i="4"/>
  <c r="FQ309" i="4"/>
  <c r="EU130" i="4"/>
  <c r="M226" i="4"/>
  <c r="FQ137" i="4"/>
  <c r="FR137" i="4" s="1"/>
  <c r="FQ149" i="4"/>
  <c r="FR149" i="4" s="1"/>
  <c r="M185" i="4"/>
  <c r="FQ155" i="4"/>
  <c r="FR155" i="4" s="1"/>
  <c r="M165" i="4"/>
  <c r="M252" i="4"/>
  <c r="M219" i="4"/>
  <c r="M212" i="4"/>
  <c r="M267" i="4"/>
  <c r="M234" i="4"/>
  <c r="FR267" i="4"/>
  <c r="FT267" i="4"/>
  <c r="EI447" i="4"/>
  <c r="HD124" i="4"/>
  <c r="M124" i="4"/>
  <c r="HD70" i="4"/>
  <c r="HF70" i="4" s="1"/>
  <c r="M70" i="4"/>
  <c r="HD72" i="4"/>
  <c r="M72" i="4"/>
  <c r="HA71" i="4"/>
  <c r="FQ71" i="4"/>
  <c r="FR71" i="4" s="1"/>
  <c r="HA191" i="4"/>
  <c r="FQ191" i="4"/>
  <c r="FR191" i="4" s="1"/>
  <c r="HA206" i="4"/>
  <c r="FQ206" i="4"/>
  <c r="FR206" i="4" s="1"/>
  <c r="HA99" i="4"/>
  <c r="FQ99" i="4"/>
  <c r="R251" i="4"/>
  <c r="FQ251" i="4"/>
  <c r="FR251" i="4" s="1"/>
  <c r="HA223" i="4"/>
  <c r="FQ223" i="4"/>
  <c r="HA77" i="4"/>
  <c r="FQ77" i="4"/>
  <c r="FR77" i="4" s="1"/>
  <c r="P181" i="4"/>
  <c r="FQ181" i="4"/>
  <c r="FR181" i="4" s="1"/>
  <c r="HA233" i="4"/>
  <c r="FQ233" i="4"/>
  <c r="HA286" i="4"/>
  <c r="FQ286" i="4"/>
  <c r="HA304" i="4"/>
  <c r="FQ304" i="4"/>
  <c r="HA316" i="4"/>
  <c r="FQ316" i="4"/>
  <c r="HA313" i="4"/>
  <c r="FQ313" i="4"/>
  <c r="FQ298" i="4"/>
  <c r="HA338" i="4"/>
  <c r="FQ338" i="4"/>
  <c r="FQ359" i="4"/>
  <c r="FQ364" i="4"/>
  <c r="HA368" i="4"/>
  <c r="FQ368" i="4"/>
  <c r="HA367" i="4"/>
  <c r="FQ367" i="4"/>
  <c r="P344" i="4"/>
  <c r="FQ344" i="4"/>
  <c r="HA281" i="4"/>
  <c r="FQ281" i="4"/>
  <c r="EL235" i="4"/>
  <c r="DM235" i="4"/>
  <c r="EU120" i="4"/>
  <c r="FQ445" i="4"/>
  <c r="FQ70" i="4"/>
  <c r="FR70" i="4" s="1"/>
  <c r="M77" i="4"/>
  <c r="M102" i="4"/>
  <c r="FQ51" i="4"/>
  <c r="FR51" i="4" s="1"/>
  <c r="M270" i="4"/>
  <c r="M78" i="4"/>
  <c r="M246" i="4"/>
  <c r="FO448" i="4"/>
  <c r="FD448" i="4"/>
  <c r="M171" i="4"/>
  <c r="M79" i="4"/>
  <c r="FQ96" i="4"/>
  <c r="FQ93" i="4"/>
  <c r="FR93" i="4" s="1"/>
  <c r="M170" i="4"/>
  <c r="M188" i="4"/>
  <c r="CZ448" i="4"/>
  <c r="EB448" i="4"/>
  <c r="CL447" i="4"/>
  <c r="DU447" i="4"/>
  <c r="EB447" i="4"/>
  <c r="DB448" i="4"/>
  <c r="DG447" i="4"/>
  <c r="CZ447" i="4"/>
  <c r="DI447" i="4"/>
  <c r="DI448" i="4"/>
  <c r="DD447" i="4"/>
  <c r="DE447" i="4"/>
  <c r="DB447" i="4"/>
  <c r="DU448" i="4"/>
  <c r="DK447" i="4"/>
  <c r="DL447" i="4"/>
  <c r="CL448" i="4"/>
  <c r="DG448" i="4"/>
  <c r="DK448" i="4"/>
  <c r="DL448" i="4"/>
  <c r="DD448" i="4"/>
  <c r="DE448" i="4"/>
  <c r="EI448" i="4"/>
  <c r="DI439" i="4"/>
  <c r="DI440" i="4"/>
  <c r="DI441" i="4"/>
  <c r="EB443" i="4"/>
  <c r="EY4" i="4"/>
  <c r="FO443" i="4"/>
  <c r="FB444" i="4"/>
  <c r="DB443" i="4"/>
  <c r="EB445" i="4"/>
  <c r="FO442" i="4"/>
  <c r="DD441" i="4"/>
  <c r="DE441" i="4"/>
  <c r="DD440" i="4"/>
  <c r="DD439" i="4"/>
  <c r="DE440" i="4"/>
  <c r="DE439" i="4"/>
  <c r="DB440" i="4"/>
  <c r="DB441" i="4"/>
  <c r="DB439" i="4"/>
  <c r="EB444" i="4"/>
  <c r="HF443" i="4"/>
  <c r="CZ442" i="4"/>
  <c r="CL444" i="4"/>
  <c r="DG444" i="4"/>
  <c r="HF442" i="4"/>
  <c r="FO440" i="4"/>
  <c r="FO439" i="4"/>
  <c r="FO441" i="4"/>
  <c r="DK439" i="4"/>
  <c r="DK440" i="4"/>
  <c r="DL440" i="4"/>
  <c r="DK441" i="4"/>
  <c r="DL441" i="4"/>
  <c r="DL439" i="4"/>
  <c r="CZ443" i="4"/>
  <c r="HF441" i="4"/>
  <c r="DU443" i="4"/>
  <c r="DU445" i="4"/>
  <c r="DG442" i="4"/>
  <c r="DU442" i="4"/>
  <c r="DI443" i="4"/>
  <c r="DB444" i="4"/>
  <c r="HF440" i="4"/>
  <c r="DK445" i="4"/>
  <c r="FB442" i="4"/>
  <c r="HF444" i="4"/>
  <c r="DB442" i="4"/>
  <c r="DG445" i="4"/>
  <c r="DI444" i="4"/>
  <c r="HF446" i="4"/>
  <c r="EB442" i="4"/>
  <c r="HA445" i="4"/>
  <c r="EI445" i="4"/>
  <c r="EI446" i="4"/>
  <c r="HA446" i="4"/>
  <c r="CL441" i="4"/>
  <c r="CL440" i="4"/>
  <c r="CL439" i="4"/>
  <c r="DU441" i="4"/>
  <c r="DU439" i="4"/>
  <c r="DU440" i="4"/>
  <c r="CZ444" i="4"/>
  <c r="CL442" i="4"/>
  <c r="DI442" i="4"/>
  <c r="DU444" i="4"/>
  <c r="EI440" i="4"/>
  <c r="EI441" i="4"/>
  <c r="EI439" i="4"/>
  <c r="EB440" i="4"/>
  <c r="EB441" i="4"/>
  <c r="EB439" i="4"/>
  <c r="DG443" i="4"/>
  <c r="DI445" i="4"/>
  <c r="CL443" i="4"/>
  <c r="FO445" i="4"/>
  <c r="FB445" i="4"/>
  <c r="FO446" i="4"/>
  <c r="FL446" i="4"/>
  <c r="DG440" i="4"/>
  <c r="DG439" i="4"/>
  <c r="DG441" i="4"/>
  <c r="CZ439" i="4"/>
  <c r="CZ440" i="4"/>
  <c r="CZ441" i="4"/>
  <c r="DI446" i="4"/>
  <c r="DU446" i="4"/>
  <c r="EB446" i="4"/>
  <c r="DB445" i="4"/>
  <c r="DB446" i="4"/>
  <c r="CL446" i="4"/>
  <c r="DG446" i="4"/>
  <c r="CL445" i="4"/>
  <c r="CZ445" i="4"/>
  <c r="CZ446" i="4"/>
  <c r="EI444" i="4"/>
  <c r="DK444" i="4"/>
  <c r="DL444" i="4"/>
  <c r="DD444" i="4"/>
  <c r="DE444" i="4"/>
  <c r="DE446" i="4"/>
  <c r="DD446" i="4"/>
  <c r="DK446" i="4"/>
  <c r="DL446" i="4"/>
  <c r="DE445" i="4"/>
  <c r="DD445" i="4"/>
  <c r="DL445" i="4"/>
  <c r="DD443" i="4"/>
  <c r="DE443" i="4"/>
  <c r="EI443" i="4"/>
  <c r="HX3" i="4"/>
  <c r="EL443" i="4"/>
  <c r="DK443" i="4"/>
  <c r="DL443" i="4"/>
  <c r="EI442" i="4"/>
  <c r="DD442" i="4"/>
  <c r="DE442" i="4"/>
  <c r="DK442" i="4"/>
  <c r="DL442" i="4"/>
  <c r="BM31" i="4"/>
  <c r="BP377" i="4"/>
  <c r="R384" i="4"/>
  <c r="T9" i="4"/>
  <c r="HA310" i="4"/>
  <c r="FF9" i="4"/>
  <c r="BI208" i="4"/>
  <c r="P434" i="4"/>
  <c r="T208" i="4"/>
  <c r="HA342" i="4"/>
  <c r="FF208" i="4"/>
  <c r="FD305" i="4"/>
  <c r="FL31" i="4"/>
  <c r="R281" i="4"/>
  <c r="FJ15" i="4"/>
  <c r="BB187" i="4"/>
  <c r="HA344" i="4"/>
  <c r="FF235" i="4"/>
  <c r="T187" i="4"/>
  <c r="FB275" i="4"/>
  <c r="BI235" i="4"/>
  <c r="FH187" i="4"/>
  <c r="T235" i="4"/>
  <c r="BI53" i="4"/>
  <c r="FH53" i="4"/>
  <c r="T53" i="4"/>
  <c r="BM15" i="4"/>
  <c r="X15" i="4"/>
  <c r="V427" i="4"/>
  <c r="BB61" i="4"/>
  <c r="FF61" i="4"/>
  <c r="HF439" i="4"/>
  <c r="FO438" i="4"/>
  <c r="AD42" i="4"/>
  <c r="X42" i="4"/>
  <c r="X30" i="4"/>
  <c r="BI7" i="4"/>
  <c r="P431" i="4"/>
  <c r="FF44" i="4"/>
  <c r="P305" i="4"/>
  <c r="FF28" i="4"/>
  <c r="CA60" i="4"/>
  <c r="X60" i="4"/>
  <c r="FL291" i="4"/>
  <c r="FF34" i="4"/>
  <c r="R360" i="4"/>
  <c r="BP28" i="4"/>
  <c r="R395" i="4"/>
  <c r="T28" i="4"/>
  <c r="BP34" i="4"/>
  <c r="FL60" i="4"/>
  <c r="T34" i="4"/>
  <c r="CV242" i="4"/>
  <c r="X270" i="4"/>
  <c r="V22" i="4"/>
  <c r="FH23" i="4"/>
  <c r="T11" i="4"/>
  <c r="FF49" i="4"/>
  <c r="V260" i="4"/>
  <c r="DQ270" i="4"/>
  <c r="R280" i="4"/>
  <c r="HA309" i="4"/>
  <c r="FJ42" i="4"/>
  <c r="V424" i="4"/>
  <c r="HF438" i="4"/>
  <c r="AB424" i="4"/>
  <c r="FJ10" i="4"/>
  <c r="FL54" i="4"/>
  <c r="BM20" i="4"/>
  <c r="BM30" i="4"/>
  <c r="CL438" i="4"/>
  <c r="DU438" i="4"/>
  <c r="X27" i="4"/>
  <c r="T61" i="4"/>
  <c r="FL26" i="4"/>
  <c r="EB438" i="4"/>
  <c r="BM24" i="4"/>
  <c r="FJ27" i="4"/>
  <c r="DG438" i="4"/>
  <c r="CZ438" i="4"/>
  <c r="X24" i="4"/>
  <c r="AR269" i="4"/>
  <c r="P427" i="4"/>
  <c r="DI438" i="4"/>
  <c r="X269" i="4"/>
  <c r="EL4" i="4"/>
  <c r="FL38" i="4"/>
  <c r="V436" i="4"/>
  <c r="EI438" i="4"/>
  <c r="AG264" i="4"/>
  <c r="DD438" i="4"/>
  <c r="DE438" i="4"/>
  <c r="DB438" i="4"/>
  <c r="AP436" i="4"/>
  <c r="T264" i="4"/>
  <c r="BM26" i="4"/>
  <c r="AK266" i="4"/>
  <c r="FF8" i="4"/>
  <c r="BM27" i="4"/>
  <c r="CA38" i="4"/>
  <c r="BI8" i="4"/>
  <c r="X26" i="4"/>
  <c r="DL438" i="4"/>
  <c r="DK438" i="4"/>
  <c r="X266" i="4"/>
  <c r="FF264" i="4"/>
  <c r="FJ266" i="4"/>
  <c r="FJ24" i="4"/>
  <c r="FJ20" i="4"/>
  <c r="FJ30" i="4"/>
  <c r="X38" i="4"/>
  <c r="T8" i="4"/>
  <c r="FJ269" i="4"/>
  <c r="EL377" i="4"/>
  <c r="EN377" i="4" s="1"/>
  <c r="B19" i="16"/>
  <c r="EY322" i="4"/>
  <c r="EW419" i="4"/>
  <c r="EW312" i="4"/>
  <c r="EW204" i="4"/>
  <c r="EW144" i="4"/>
  <c r="EW130" i="4"/>
  <c r="EW295" i="4"/>
  <c r="EW366" i="4"/>
  <c r="EW352" i="4"/>
  <c r="EW103" i="4"/>
  <c r="FA120" i="4"/>
  <c r="AW434" i="4"/>
  <c r="BR288" i="4"/>
  <c r="V288" i="4"/>
  <c r="FD288" i="4"/>
  <c r="T301" i="4"/>
  <c r="BP301" i="4"/>
  <c r="FB43" i="4"/>
  <c r="FH16" i="4"/>
  <c r="BI16" i="4"/>
  <c r="V393" i="4"/>
  <c r="CT43" i="4"/>
  <c r="T16" i="4"/>
  <c r="FH301" i="4"/>
  <c r="V43" i="4"/>
  <c r="ER286" i="4"/>
  <c r="ER260" i="4"/>
  <c r="ER298" i="4"/>
  <c r="ER272" i="4"/>
  <c r="ER114" i="4"/>
  <c r="ER52" i="4"/>
  <c r="ER152" i="4"/>
  <c r="ER66" i="4"/>
  <c r="ER192" i="4"/>
  <c r="ER265" i="4"/>
  <c r="ER43" i="4"/>
  <c r="ER288" i="4"/>
  <c r="ER139" i="4"/>
  <c r="ER334" i="4"/>
  <c r="ER146" i="4"/>
  <c r="ER389" i="4"/>
  <c r="ER22" i="4"/>
  <c r="ER129" i="4"/>
  <c r="ER143" i="4"/>
  <c r="ER142" i="4"/>
  <c r="ER159" i="4"/>
  <c r="EN58" i="4"/>
  <c r="EN17" i="4"/>
  <c r="EN271" i="4"/>
  <c r="EN273" i="4"/>
  <c r="EN18" i="4"/>
  <c r="EN208" i="4"/>
  <c r="EN132" i="4"/>
  <c r="EN9" i="4"/>
  <c r="EN301" i="4"/>
  <c r="EN140" i="4"/>
  <c r="EN39" i="4"/>
  <c r="EN16" i="4"/>
  <c r="EN28" i="4"/>
  <c r="EN96" i="4"/>
  <c r="EN34" i="4"/>
  <c r="EN49" i="4"/>
  <c r="EN23" i="4"/>
  <c r="EN11" i="4"/>
  <c r="EN44" i="4"/>
  <c r="EN70" i="4"/>
  <c r="EN8" i="4"/>
  <c r="EN264" i="4"/>
  <c r="EN359" i="4"/>
  <c r="EN399" i="4"/>
  <c r="EN61" i="4"/>
  <c r="EN53" i="4"/>
  <c r="EN235" i="4"/>
  <c r="EN187" i="4"/>
  <c r="EN33" i="4"/>
  <c r="EN47" i="4"/>
  <c r="EN40" i="4"/>
  <c r="EP31" i="4"/>
  <c r="EP358" i="4"/>
  <c r="EP122" i="4"/>
  <c r="EP408" i="4"/>
  <c r="EP60" i="4"/>
  <c r="EP72" i="4"/>
  <c r="EP147" i="4"/>
  <c r="EP158" i="4"/>
  <c r="EP283" i="4"/>
  <c r="EP238" i="4"/>
  <c r="EP319" i="4"/>
  <c r="EP339" i="4"/>
  <c r="EP348" i="4"/>
  <c r="EP10" i="4"/>
  <c r="EP54" i="4"/>
  <c r="EP42" i="4"/>
  <c r="EP155" i="4"/>
  <c r="EP110" i="4"/>
  <c r="EP27" i="4"/>
  <c r="EP30" i="4"/>
  <c r="EP20" i="4"/>
  <c r="EP26" i="4"/>
  <c r="EP24" i="4"/>
  <c r="EP269" i="4"/>
  <c r="EP266" i="4"/>
  <c r="EP131" i="4"/>
  <c r="EP149" i="4"/>
  <c r="EP15" i="4"/>
  <c r="EP65" i="4"/>
  <c r="EQ4" i="4"/>
  <c r="EP50" i="4"/>
  <c r="EP270" i="4"/>
  <c r="EP95" i="4"/>
  <c r="EP36" i="4"/>
  <c r="EP93" i="4"/>
  <c r="EP12" i="4"/>
  <c r="EP51" i="4"/>
  <c r="EP267" i="4"/>
  <c r="EP220" i="4"/>
  <c r="EP259" i="4"/>
  <c r="EP45" i="4"/>
  <c r="EP134" i="4"/>
  <c r="EO4" i="4"/>
  <c r="V405" i="4"/>
  <c r="X220" i="4"/>
  <c r="AP405" i="4"/>
  <c r="AR259" i="4"/>
  <c r="X259" i="4"/>
  <c r="BM12" i="4"/>
  <c r="FJ270" i="4"/>
  <c r="X12" i="4"/>
  <c r="T423" i="4"/>
  <c r="P405" i="4"/>
  <c r="FJ12" i="4"/>
  <c r="CM265" i="4"/>
  <c r="FB298" i="4"/>
  <c r="T276" i="4"/>
  <c r="CA220" i="4"/>
  <c r="FJ267" i="4"/>
  <c r="BD298" i="4"/>
  <c r="FH276" i="4"/>
  <c r="BI58" i="4"/>
  <c r="V298" i="4"/>
  <c r="DM276" i="4"/>
  <c r="DN407" i="4" s="1"/>
  <c r="FL220" i="4"/>
  <c r="V4" i="4"/>
  <c r="T58" i="4"/>
  <c r="BP273" i="4"/>
  <c r="Z40" i="4"/>
  <c r="FD272" i="4"/>
  <c r="FJ259" i="4"/>
  <c r="FF47" i="4"/>
  <c r="FH17" i="4"/>
  <c r="BT45" i="4"/>
  <c r="BI11" i="4"/>
  <c r="T273" i="4"/>
  <c r="T40" i="4"/>
  <c r="FD22" i="4"/>
  <c r="FL45" i="4"/>
  <c r="FH271" i="4"/>
  <c r="FF40" i="4"/>
  <c r="B4" i="16"/>
  <c r="BK260" i="4"/>
  <c r="BL380" i="4" s="1"/>
  <c r="BT256" i="4"/>
  <c r="V265" i="4"/>
  <c r="FD286" i="4"/>
  <c r="V286" i="4"/>
  <c r="BI17" i="4"/>
  <c r="BI47" i="4"/>
  <c r="Z271" i="4"/>
  <c r="FD260" i="4"/>
  <c r="FF11" i="4"/>
  <c r="P425" i="4"/>
  <c r="T17" i="4"/>
  <c r="T47" i="4"/>
  <c r="AP272" i="4"/>
  <c r="T271" i="4"/>
  <c r="CO267" i="4"/>
  <c r="FB265" i="4"/>
  <c r="FB192" i="4"/>
  <c r="R381" i="4"/>
  <c r="X45" i="4"/>
  <c r="DV286" i="4"/>
  <c r="V272" i="4"/>
  <c r="AI192" i="4"/>
  <c r="AJ369" i="4" s="1"/>
  <c r="X267" i="4"/>
  <c r="FL238" i="4"/>
  <c r="AW299" i="4"/>
  <c r="ET299" i="4"/>
  <c r="EZ299" i="4" s="1"/>
  <c r="FB344" i="4"/>
  <c r="ET344" i="4"/>
  <c r="FB224" i="4"/>
  <c r="ET224" i="4"/>
  <c r="EZ224" i="4" s="1"/>
  <c r="FB201" i="4"/>
  <c r="ET201" i="4"/>
  <c r="FD262" i="4"/>
  <c r="ET262" i="4"/>
  <c r="EZ262" i="4" s="1"/>
  <c r="AK228" i="4"/>
  <c r="EL228" i="4"/>
  <c r="FL191" i="4"/>
  <c r="EL191" i="4"/>
  <c r="FL206" i="4"/>
  <c r="EL206" i="4"/>
  <c r="FH99" i="4"/>
  <c r="EL99" i="4"/>
  <c r="FJ251" i="4"/>
  <c r="EL251" i="4"/>
  <c r="FJ223" i="4"/>
  <c r="EL223" i="4"/>
  <c r="X77" i="4"/>
  <c r="EL77" i="4"/>
  <c r="FB181" i="4"/>
  <c r="EL181" i="4"/>
  <c r="FD233" i="4"/>
  <c r="EL233" i="4"/>
  <c r="FH282" i="4"/>
  <c r="EL282" i="4"/>
  <c r="FL302" i="4"/>
  <c r="EL302" i="4"/>
  <c r="FF306" i="4"/>
  <c r="EL306" i="4"/>
  <c r="X328" i="4"/>
  <c r="EL328" i="4"/>
  <c r="FJ346" i="4"/>
  <c r="EL346" i="4"/>
  <c r="FH364" i="4"/>
  <c r="EL364" i="4"/>
  <c r="AR370" i="4"/>
  <c r="EL370" i="4"/>
  <c r="FH58" i="4"/>
  <c r="B14" i="16"/>
  <c r="EL381" i="4"/>
  <c r="FH423" i="4"/>
  <c r="EL423" i="4"/>
  <c r="B3" i="16"/>
  <c r="EL276" i="4"/>
  <c r="FL102" i="4"/>
  <c r="EL102" i="4"/>
  <c r="AW321" i="4"/>
  <c r="EL321" i="4"/>
  <c r="X6" i="4"/>
  <c r="EL6" i="4"/>
  <c r="FD361" i="4"/>
  <c r="EL361" i="4"/>
  <c r="FH354" i="4"/>
  <c r="EL354" i="4"/>
  <c r="EE378" i="4"/>
  <c r="EL378" i="4"/>
  <c r="FD387" i="4"/>
  <c r="EL387" i="4"/>
  <c r="FF257" i="4"/>
  <c r="EL257" i="4"/>
  <c r="FL165" i="4"/>
  <c r="EL165" i="4"/>
  <c r="FB84" i="4"/>
  <c r="EL84" i="4"/>
  <c r="FF244" i="4"/>
  <c r="EL244" i="4"/>
  <c r="FL253" i="4"/>
  <c r="EL253" i="4"/>
  <c r="V71" i="4"/>
  <c r="EL71" i="4"/>
  <c r="FJ214" i="4"/>
  <c r="EL214" i="4"/>
  <c r="FB167" i="4"/>
  <c r="EL167" i="4"/>
  <c r="FL254" i="4"/>
  <c r="EL254" i="4"/>
  <c r="FL293" i="4"/>
  <c r="EL293" i="4"/>
  <c r="FL332" i="4"/>
  <c r="EL332" i="4"/>
  <c r="FJ317" i="4"/>
  <c r="EL317" i="4"/>
  <c r="R325" i="4"/>
  <c r="CH349" i="4"/>
  <c r="EL349" i="4"/>
  <c r="X371" i="4"/>
  <c r="EL371" i="4"/>
  <c r="FJ379" i="4"/>
  <c r="EL379" i="4"/>
  <c r="AY401" i="4"/>
  <c r="EL401" i="4"/>
  <c r="AD397" i="4"/>
  <c r="EL397" i="4"/>
  <c r="X242" i="4"/>
  <c r="EL242" i="4"/>
  <c r="X256" i="4"/>
  <c r="EL256" i="4"/>
  <c r="FH225" i="4"/>
  <c r="EL225" i="4"/>
  <c r="FB166" i="4"/>
  <c r="EL166" i="4"/>
  <c r="CO101" i="4"/>
  <c r="EL101" i="4"/>
  <c r="FF255" i="4"/>
  <c r="EL255" i="4"/>
  <c r="FB179" i="4"/>
  <c r="EL179" i="4"/>
  <c r="BB182" i="4"/>
  <c r="EL182" i="4"/>
  <c r="FH227" i="4"/>
  <c r="EL227" i="4"/>
  <c r="FB230" i="4"/>
  <c r="EL230" i="4"/>
  <c r="CT172" i="4"/>
  <c r="EL172" i="4"/>
  <c r="FF105" i="4"/>
  <c r="EL105" i="4"/>
  <c r="FL197" i="4"/>
  <c r="EL197" i="4"/>
  <c r="FJ249" i="4"/>
  <c r="EL249" i="4"/>
  <c r="BI296" i="4"/>
  <c r="EL296" i="4"/>
  <c r="CV307" i="4"/>
  <c r="EL307" i="4"/>
  <c r="FB52" i="4"/>
  <c r="K17" i="15"/>
  <c r="Q17" i="15" s="1"/>
  <c r="EL342" i="4"/>
  <c r="FD372" i="4"/>
  <c r="EL372" i="4"/>
  <c r="X385" i="4"/>
  <c r="EL385" i="4"/>
  <c r="B17" i="16"/>
  <c r="EL425" i="4"/>
  <c r="X57" i="4"/>
  <c r="EL57" i="4"/>
  <c r="X274" i="4"/>
  <c r="EL274" i="4"/>
  <c r="FL89" i="4"/>
  <c r="EL89" i="4"/>
  <c r="FL213" i="4"/>
  <c r="EL213" i="4"/>
  <c r="FJ189" i="4"/>
  <c r="EL189" i="4"/>
  <c r="FL222" i="4"/>
  <c r="EL222" i="4"/>
  <c r="FB232" i="4"/>
  <c r="EL232" i="4"/>
  <c r="FB261" i="4"/>
  <c r="EL261" i="4"/>
  <c r="FJ180" i="4"/>
  <c r="EL180" i="4"/>
  <c r="FB216" i="4"/>
  <c r="EL216" i="4"/>
  <c r="BP83" i="4"/>
  <c r="EL83" i="4"/>
  <c r="FF231" i="4"/>
  <c r="EL231" i="4"/>
  <c r="FJ310" i="4"/>
  <c r="EL310" i="4"/>
  <c r="FJ337" i="4"/>
  <c r="EL337" i="4"/>
  <c r="BI14" i="4"/>
  <c r="EL14" i="4"/>
  <c r="FJ369" i="4"/>
  <c r="EL369" i="4"/>
  <c r="FB195" i="4"/>
  <c r="EL195" i="4"/>
  <c r="FL193" i="4"/>
  <c r="EL193" i="4"/>
  <c r="L5" i="15"/>
  <c r="R5" i="15" s="1"/>
  <c r="HC278" i="4" s="1"/>
  <c r="EL76" i="4"/>
  <c r="V188" i="4"/>
  <c r="EL188" i="4"/>
  <c r="FH245" i="4"/>
  <c r="EL245" i="4"/>
  <c r="X48" i="4"/>
  <c r="EL48" i="4"/>
  <c r="FL217" i="4"/>
  <c r="EL217" i="4"/>
  <c r="FH207" i="4"/>
  <c r="EL207" i="4"/>
  <c r="FH176" i="4"/>
  <c r="EL176" i="4"/>
  <c r="V29" i="4"/>
  <c r="EL29" i="4"/>
  <c r="BY303" i="4"/>
  <c r="EL303" i="4"/>
  <c r="CF52" i="4"/>
  <c r="FH316" i="4"/>
  <c r="EL316" i="4"/>
  <c r="FL315" i="4"/>
  <c r="EL315" i="4"/>
  <c r="AR324" i="4"/>
  <c r="EL324" i="4"/>
  <c r="FL320" i="4"/>
  <c r="EL320" i="4"/>
  <c r="FB343" i="4"/>
  <c r="EL343" i="4"/>
  <c r="FL341" i="4"/>
  <c r="EL341" i="4"/>
  <c r="FJ360" i="4"/>
  <c r="EL360" i="4"/>
  <c r="FD374" i="4"/>
  <c r="EL374" i="4"/>
  <c r="BF391" i="4"/>
  <c r="EL391" i="4"/>
  <c r="CO383" i="4"/>
  <c r="EL383" i="4"/>
  <c r="AW406" i="4"/>
  <c r="EL406" i="4"/>
  <c r="FB409" i="4"/>
  <c r="EL409" i="4"/>
  <c r="FD434" i="4"/>
  <c r="EL434" i="4"/>
  <c r="FJ198" i="4"/>
  <c r="EL198" i="4"/>
  <c r="FF88" i="4"/>
  <c r="EL88" i="4"/>
  <c r="FH86" i="4"/>
  <c r="EL86" i="4"/>
  <c r="FJ205" i="4"/>
  <c r="EL205" i="4"/>
  <c r="FF258" i="4"/>
  <c r="EL258" i="4"/>
  <c r="FL239" i="4"/>
  <c r="EL239" i="4"/>
  <c r="FF226" i="4"/>
  <c r="EL226" i="4"/>
  <c r="FJ218" i="4"/>
  <c r="EL218" i="4"/>
  <c r="M15" i="15"/>
  <c r="S15" i="15" s="1"/>
  <c r="HC177" i="4" s="1"/>
  <c r="EL177" i="4"/>
  <c r="FJ85" i="4"/>
  <c r="EL85" i="4"/>
  <c r="X285" i="4"/>
  <c r="EL285" i="4"/>
  <c r="FJ281" i="4"/>
  <c r="EL281" i="4"/>
  <c r="BW304" i="4"/>
  <c r="EL304" i="4"/>
  <c r="V52" i="4"/>
  <c r="AP311" i="4"/>
  <c r="EL311" i="4"/>
  <c r="FH330" i="4"/>
  <c r="EL330" i="4"/>
  <c r="FJ347" i="4"/>
  <c r="EL347" i="4"/>
  <c r="FD357" i="4"/>
  <c r="EL357" i="4"/>
  <c r="FD331" i="4"/>
  <c r="EL331" i="4"/>
  <c r="X373" i="4"/>
  <c r="EL373" i="4"/>
  <c r="FJ50" i="4"/>
  <c r="FL396" i="4"/>
  <c r="EL396" i="4"/>
  <c r="FD398" i="4"/>
  <c r="EL398" i="4"/>
  <c r="X422" i="4"/>
  <c r="EL422" i="4"/>
  <c r="FF175" i="4"/>
  <c r="EL175" i="4"/>
  <c r="FB215" i="4"/>
  <c r="EL215" i="4"/>
  <c r="FF212" i="4"/>
  <c r="EL212" i="4"/>
  <c r="FL241" i="4"/>
  <c r="EL241" i="4"/>
  <c r="FF104" i="4"/>
  <c r="EL104" i="4"/>
  <c r="AB199" i="4"/>
  <c r="AC359" i="4" s="1"/>
  <c r="EL199" i="4"/>
  <c r="FH243" i="4"/>
  <c r="EL243" i="4"/>
  <c r="FJ185" i="4"/>
  <c r="EL185" i="4"/>
  <c r="V163" i="4"/>
  <c r="EL163" i="4"/>
  <c r="FL184" i="4"/>
  <c r="EL184" i="4"/>
  <c r="V284" i="4"/>
  <c r="EL284" i="4"/>
  <c r="FJ280" i="4"/>
  <c r="EL280" i="4"/>
  <c r="V37" i="4"/>
  <c r="EL37" i="4"/>
  <c r="CV46" i="4"/>
  <c r="EL46" i="4"/>
  <c r="T5" i="4"/>
  <c r="U6" i="4" s="1"/>
  <c r="EL5" i="4"/>
  <c r="FL335" i="4"/>
  <c r="EL335" i="4"/>
  <c r="R341" i="4"/>
  <c r="X365" i="4"/>
  <c r="EL365" i="4"/>
  <c r="FJ375" i="4"/>
  <c r="EL375" i="4"/>
  <c r="FJ382" i="4"/>
  <c r="EL382" i="4"/>
  <c r="FB431" i="4"/>
  <c r="EL431" i="4"/>
  <c r="FL82" i="4"/>
  <c r="EL82" i="4"/>
  <c r="FJ160" i="4"/>
  <c r="EL160" i="4"/>
  <c r="FJ173" i="4"/>
  <c r="EL173" i="4"/>
  <c r="FL221" i="4"/>
  <c r="EL221" i="4"/>
  <c r="T69" i="4"/>
  <c r="EL69" i="4"/>
  <c r="FL219" i="4"/>
  <c r="EL219" i="4"/>
  <c r="FL200" i="4"/>
  <c r="EL200" i="4"/>
  <c r="FF79" i="4"/>
  <c r="EL79" i="4"/>
  <c r="FJ292" i="4"/>
  <c r="EL292" i="4"/>
  <c r="FJ323" i="4"/>
  <c r="EL323" i="4"/>
  <c r="FJ308" i="4"/>
  <c r="EL308" i="4"/>
  <c r="CO56" i="4"/>
  <c r="CQ448" i="4" s="1"/>
  <c r="EL56" i="4"/>
  <c r="BW55" i="4"/>
  <c r="BX445" i="4" s="1"/>
  <c r="EL55" i="4"/>
  <c r="DQ41" i="4"/>
  <c r="EL41" i="4"/>
  <c r="CT21" i="4"/>
  <c r="CU441" i="4" s="1"/>
  <c r="EL21" i="4"/>
  <c r="FJ355" i="4"/>
  <c r="EL355" i="4"/>
  <c r="FF363" i="4"/>
  <c r="EL363" i="4"/>
  <c r="X395" i="4"/>
  <c r="EL395" i="4"/>
  <c r="FB413" i="4"/>
  <c r="EL413" i="4"/>
  <c r="BR305" i="4"/>
  <c r="EL305" i="4"/>
  <c r="AG162" i="4"/>
  <c r="AH441" i="4" s="1"/>
  <c r="EL162" i="4"/>
  <c r="FD98" i="4"/>
  <c r="EL98" i="4"/>
  <c r="FD161" i="4"/>
  <c r="EL161" i="4"/>
  <c r="FB248" i="4"/>
  <c r="EL248" i="4"/>
  <c r="BD196" i="4"/>
  <c r="EL196" i="4"/>
  <c r="FJ80" i="4"/>
  <c r="EL80" i="4"/>
  <c r="FD250" i="4"/>
  <c r="EL250" i="4"/>
  <c r="FL210" i="4"/>
  <c r="EL210" i="4"/>
  <c r="FB190" i="4"/>
  <c r="EL190" i="4"/>
  <c r="FL300" i="4"/>
  <c r="EL300" i="4"/>
  <c r="FF326" i="4"/>
  <c r="EL326" i="4"/>
  <c r="FH329" i="4"/>
  <c r="EL329" i="4"/>
  <c r="V345" i="4"/>
  <c r="EL345" i="4"/>
  <c r="FL340" i="4"/>
  <c r="EL340" i="4"/>
  <c r="BD59" i="4"/>
  <c r="BE194" i="4" s="1"/>
  <c r="EL59" i="4"/>
  <c r="FJ368" i="4"/>
  <c r="EL368" i="4"/>
  <c r="FH386" i="4"/>
  <c r="EL386" i="4"/>
  <c r="FB392" i="4"/>
  <c r="EL392" i="4"/>
  <c r="AK384" i="4"/>
  <c r="EL384" i="4"/>
  <c r="CF393" i="4"/>
  <c r="EL393" i="4"/>
  <c r="FJ178" i="4"/>
  <c r="EL178" i="4"/>
  <c r="CA297" i="4"/>
  <c r="EL297" i="4"/>
  <c r="FB171" i="4"/>
  <c r="EL171" i="4"/>
  <c r="FH169" i="4"/>
  <c r="EL169" i="4"/>
  <c r="FJ211" i="4"/>
  <c r="EL211" i="4"/>
  <c r="FD252" i="4"/>
  <c r="EL252" i="4"/>
  <c r="X268" i="4"/>
  <c r="EL268" i="4"/>
  <c r="AU240" i="4"/>
  <c r="AV345" i="4" s="1"/>
  <c r="EL240" i="4"/>
  <c r="FL209" i="4"/>
  <c r="EL209" i="4"/>
  <c r="FL168" i="4"/>
  <c r="EL168" i="4"/>
  <c r="FH246" i="4"/>
  <c r="EL246" i="4"/>
  <c r="BW290" i="4"/>
  <c r="EL290" i="4"/>
  <c r="BT50" i="4"/>
  <c r="FD309" i="4"/>
  <c r="EL309" i="4"/>
  <c r="FL325" i="4"/>
  <c r="EL325" i="4"/>
  <c r="CV356" i="4"/>
  <c r="EL356" i="4"/>
  <c r="DV13" i="4"/>
  <c r="DW429" i="4" s="1"/>
  <c r="EL13" i="4"/>
  <c r="AD35" i="4"/>
  <c r="AE448" i="4" s="1"/>
  <c r="EL35" i="4"/>
  <c r="FB427" i="4"/>
  <c r="EL427" i="4"/>
  <c r="X291" i="4"/>
  <c r="EL291" i="4"/>
  <c r="V275" i="4"/>
  <c r="EL275" i="4"/>
  <c r="AY164" i="4"/>
  <c r="EL164" i="4"/>
  <c r="FL75" i="4"/>
  <c r="EL75" i="4"/>
  <c r="FD186" i="4"/>
  <c r="EL186" i="4"/>
  <c r="FB183" i="4"/>
  <c r="EL183" i="4"/>
  <c r="FJ229" i="4"/>
  <c r="EL229" i="4"/>
  <c r="CV87" i="4"/>
  <c r="EL87" i="4"/>
  <c r="FL81" i="4"/>
  <c r="EL81" i="4"/>
  <c r="FL78" i="4"/>
  <c r="EL78" i="4"/>
  <c r="FL174" i="4"/>
  <c r="EL174" i="4"/>
  <c r="FH247" i="4"/>
  <c r="EL247" i="4"/>
  <c r="FH170" i="4"/>
  <c r="EL170" i="4"/>
  <c r="AD100" i="4"/>
  <c r="EL100" i="4"/>
  <c r="FB234" i="4"/>
  <c r="EL234" i="4"/>
  <c r="X117" i="4"/>
  <c r="EL117" i="4"/>
  <c r="X50" i="4"/>
  <c r="FB327" i="4"/>
  <c r="EL327" i="4"/>
  <c r="FH314" i="4"/>
  <c r="EL314" i="4"/>
  <c r="FL318" i="4"/>
  <c r="EL318" i="4"/>
  <c r="FF313" i="4"/>
  <c r="EL313" i="4"/>
  <c r="BF32" i="4"/>
  <c r="EL32" i="4"/>
  <c r="V353" i="4"/>
  <c r="EL353" i="4"/>
  <c r="BT19" i="4"/>
  <c r="EL19" i="4"/>
  <c r="X367" i="4"/>
  <c r="EL367" i="4"/>
  <c r="X390" i="4"/>
  <c r="EL390" i="4"/>
  <c r="T68" i="4"/>
  <c r="EL68" i="4"/>
  <c r="BT373" i="4"/>
  <c r="DI437" i="4"/>
  <c r="V413" i="4"/>
  <c r="DD437" i="4"/>
  <c r="DE437" i="4"/>
  <c r="DB437" i="4"/>
  <c r="AD346" i="4"/>
  <c r="DK437" i="4"/>
  <c r="DL437" i="4"/>
  <c r="FO437" i="4"/>
  <c r="EI437" i="4"/>
  <c r="X346" i="4"/>
  <c r="CL437" i="4"/>
  <c r="DU437" i="4"/>
  <c r="HF436" i="4"/>
  <c r="EB437" i="4"/>
  <c r="V431" i="4"/>
  <c r="AI431" i="4"/>
  <c r="DG437" i="4"/>
  <c r="CZ437" i="4"/>
  <c r="AW413" i="4"/>
  <c r="FO430" i="4"/>
  <c r="FO435" i="4"/>
  <c r="FO432" i="4"/>
  <c r="FO433" i="4"/>
  <c r="EI435" i="4"/>
  <c r="HF435" i="4"/>
  <c r="HA436" i="4"/>
  <c r="EI436" i="4"/>
  <c r="FO436" i="4"/>
  <c r="FD436" i="4"/>
  <c r="FO434" i="4"/>
  <c r="FO431" i="4"/>
  <c r="EB436" i="4"/>
  <c r="DU436" i="4"/>
  <c r="CL435" i="4"/>
  <c r="DU435" i="4"/>
  <c r="EB435" i="4"/>
  <c r="DG436" i="4"/>
  <c r="DI436" i="4"/>
  <c r="DG435" i="4"/>
  <c r="CZ435" i="4"/>
  <c r="DI435" i="4"/>
  <c r="DD435" i="4"/>
  <c r="DE435" i="4"/>
  <c r="DB435" i="4"/>
  <c r="DB436" i="4"/>
  <c r="CL436" i="4"/>
  <c r="DK435" i="4"/>
  <c r="DL435" i="4"/>
  <c r="CZ436" i="4"/>
  <c r="DK436" i="4"/>
  <c r="DL436" i="4"/>
  <c r="DD436" i="4"/>
  <c r="DE436" i="4"/>
  <c r="FF68" i="4"/>
  <c r="AN68" i="4"/>
  <c r="R368" i="4"/>
  <c r="P345" i="4"/>
  <c r="N423" i="4"/>
  <c r="HF431" i="4"/>
  <c r="EI434" i="4"/>
  <c r="EI430" i="4"/>
  <c r="EI432" i="4"/>
  <c r="EI433" i="4"/>
  <c r="EI431" i="4"/>
  <c r="HF434" i="4"/>
  <c r="HF433" i="4"/>
  <c r="HF432" i="4"/>
  <c r="HF430" i="4"/>
  <c r="CL430" i="4"/>
  <c r="DU430" i="4"/>
  <c r="EB430" i="4"/>
  <c r="DG430" i="4"/>
  <c r="CZ430" i="4"/>
  <c r="DI430" i="4"/>
  <c r="DD430" i="4"/>
  <c r="DE430" i="4"/>
  <c r="DB430" i="4"/>
  <c r="DL430" i="4"/>
  <c r="DK430" i="4"/>
  <c r="CZ434" i="4"/>
  <c r="DU434" i="4"/>
  <c r="CL434" i="4"/>
  <c r="DB434" i="4"/>
  <c r="EB431" i="4"/>
  <c r="EB432" i="4"/>
  <c r="EB433" i="4"/>
  <c r="CL431" i="4"/>
  <c r="CL432" i="4"/>
  <c r="CL433" i="4"/>
  <c r="DB431" i="4"/>
  <c r="DB432" i="4"/>
  <c r="DB433" i="4"/>
  <c r="DD431" i="4"/>
  <c r="DE431" i="4"/>
  <c r="DD432" i="4"/>
  <c r="DE432" i="4"/>
  <c r="DD433" i="4"/>
  <c r="DE433" i="4"/>
  <c r="DL431" i="4"/>
  <c r="DK431" i="4"/>
  <c r="DL432" i="4"/>
  <c r="DK432" i="4"/>
  <c r="DL433" i="4"/>
  <c r="DK433" i="4"/>
  <c r="DG434" i="4"/>
  <c r="DI434" i="4"/>
  <c r="DG431" i="4"/>
  <c r="DG432" i="4"/>
  <c r="DG433" i="4"/>
  <c r="CZ431" i="4"/>
  <c r="CZ432" i="4"/>
  <c r="CZ433" i="4"/>
  <c r="DI431" i="4"/>
  <c r="DI432" i="4"/>
  <c r="DI433" i="4"/>
  <c r="DU431" i="4"/>
  <c r="DU432" i="4"/>
  <c r="DU433" i="4"/>
  <c r="EB434" i="4"/>
  <c r="DD434" i="4"/>
  <c r="DE434" i="4"/>
  <c r="DK434" i="4"/>
  <c r="DL434" i="4"/>
  <c r="V425" i="4"/>
  <c r="BY425" i="4"/>
  <c r="FO426" i="4"/>
  <c r="FO428" i="4"/>
  <c r="FO429" i="4"/>
  <c r="FO427" i="4"/>
  <c r="DI426" i="4"/>
  <c r="HF427" i="4"/>
  <c r="DD426" i="4"/>
  <c r="DE426" i="4"/>
  <c r="DB426" i="4"/>
  <c r="EI426" i="4"/>
  <c r="DK426" i="4"/>
  <c r="DL426" i="4"/>
  <c r="HF428" i="4"/>
  <c r="HF426" i="4"/>
  <c r="CL426" i="4"/>
  <c r="DU426" i="4"/>
  <c r="HF429" i="4"/>
  <c r="EB426" i="4"/>
  <c r="DG426" i="4"/>
  <c r="CZ426" i="4"/>
  <c r="DU427" i="4"/>
  <c r="DU429" i="4"/>
  <c r="DU428" i="4"/>
  <c r="DI427" i="4"/>
  <c r="DI428" i="4"/>
  <c r="DI429" i="4"/>
  <c r="EB427" i="4"/>
  <c r="EB428" i="4"/>
  <c r="EB429" i="4"/>
  <c r="DG427" i="4"/>
  <c r="DG429" i="4"/>
  <c r="DG428" i="4"/>
  <c r="DB427" i="4"/>
  <c r="DB429" i="4"/>
  <c r="DB428" i="4"/>
  <c r="DK429" i="4"/>
  <c r="DL428" i="4"/>
  <c r="DL429" i="4"/>
  <c r="DK428" i="4"/>
  <c r="CL427" i="4"/>
  <c r="CL429" i="4"/>
  <c r="CL428" i="4"/>
  <c r="EI427" i="4"/>
  <c r="EI429" i="4"/>
  <c r="EI428" i="4"/>
  <c r="DE428" i="4"/>
  <c r="DD428" i="4"/>
  <c r="DD429" i="4"/>
  <c r="DE429" i="4"/>
  <c r="CZ427" i="4"/>
  <c r="CZ428" i="4"/>
  <c r="CZ429" i="4"/>
  <c r="DD427" i="4"/>
  <c r="DE427" i="4"/>
  <c r="DK427" i="4"/>
  <c r="DL427" i="4"/>
  <c r="CE194" i="4"/>
  <c r="CO422" i="4"/>
  <c r="FO194" i="4"/>
  <c r="CS194" i="4"/>
  <c r="DL194" i="4"/>
  <c r="DK194" i="4"/>
  <c r="DN194" i="4"/>
  <c r="EF194" i="4"/>
  <c r="AV194" i="4"/>
  <c r="BL194" i="4"/>
  <c r="CL194" i="4"/>
  <c r="DU194" i="4"/>
  <c r="EB194" i="4"/>
  <c r="L2" i="5"/>
  <c r="DG194" i="4"/>
  <c r="CZ194" i="4"/>
  <c r="BQ4" i="4"/>
  <c r="CI4" i="4"/>
  <c r="DI194" i="4"/>
  <c r="AC194" i="4"/>
  <c r="DE194" i="4"/>
  <c r="DD194" i="4"/>
  <c r="DB194" i="4"/>
  <c r="EI194" i="4"/>
  <c r="Y13" i="13"/>
  <c r="C472" i="11" s="1"/>
  <c r="HF423" i="4"/>
  <c r="X401" i="4"/>
  <c r="P424" i="4"/>
  <c r="R324" i="4"/>
  <c r="X397" i="4"/>
  <c r="HW3" i="4"/>
  <c r="HY3" i="4"/>
  <c r="FO421" i="4"/>
  <c r="DK421" i="4"/>
  <c r="DL421" i="4"/>
  <c r="DG424" i="4"/>
  <c r="CZ422" i="4"/>
  <c r="FO422" i="4"/>
  <c r="FJ422" i="4"/>
  <c r="CL425" i="4"/>
  <c r="DB423" i="4"/>
  <c r="DG423" i="4"/>
  <c r="FO425" i="4"/>
  <c r="EB423" i="4"/>
  <c r="CL422" i="4"/>
  <c r="FO424" i="4"/>
  <c r="DU423" i="4"/>
  <c r="DU422" i="4"/>
  <c r="CL421" i="4"/>
  <c r="DU421" i="4"/>
  <c r="DB422" i="4"/>
  <c r="CL424" i="4"/>
  <c r="CZ423" i="4"/>
  <c r="EB422" i="4"/>
  <c r="HF421" i="4"/>
  <c r="EB421" i="4"/>
  <c r="DG425" i="4"/>
  <c r="FO423" i="4"/>
  <c r="DG421" i="4"/>
  <c r="CZ421" i="4"/>
  <c r="DI422" i="4"/>
  <c r="HF425" i="4"/>
  <c r="EI421" i="4"/>
  <c r="DI421" i="4"/>
  <c r="DI423" i="4"/>
  <c r="DG422" i="4"/>
  <c r="HF422" i="4"/>
  <c r="EI422" i="4"/>
  <c r="HA422" i="4"/>
  <c r="DD421" i="4"/>
  <c r="DE421" i="4"/>
  <c r="DB421" i="4"/>
  <c r="CL423" i="4"/>
  <c r="FB425" i="4"/>
  <c r="FB424" i="4"/>
  <c r="Y17" i="13"/>
  <c r="C480" i="11" s="1"/>
  <c r="DU424" i="4"/>
  <c r="CZ424" i="4"/>
  <c r="EB424" i="4"/>
  <c r="CZ425" i="4"/>
  <c r="DB424" i="4"/>
  <c r="DI424" i="4"/>
  <c r="EI423" i="4"/>
  <c r="DE424" i="4"/>
  <c r="DD424" i="4"/>
  <c r="DK424" i="4"/>
  <c r="DL424" i="4"/>
  <c r="EI424" i="4"/>
  <c r="EI425" i="4"/>
  <c r="DU425" i="4"/>
  <c r="EB425" i="4"/>
  <c r="DI425" i="4"/>
  <c r="DB425" i="4"/>
  <c r="DE425" i="4"/>
  <c r="DD425" i="4"/>
  <c r="DK425" i="4"/>
  <c r="DL425" i="4"/>
  <c r="DK423" i="4"/>
  <c r="DL423" i="4"/>
  <c r="DD423" i="4"/>
  <c r="DE423" i="4"/>
  <c r="DK422" i="4"/>
  <c r="DL422" i="4"/>
  <c r="DD422" i="4"/>
  <c r="DE422" i="4"/>
  <c r="V361" i="4"/>
  <c r="V409" i="4"/>
  <c r="FJ6" i="4"/>
  <c r="R391" i="4"/>
  <c r="X396" i="4"/>
  <c r="P413" i="4"/>
  <c r="R383" i="4"/>
  <c r="AD396" i="4"/>
  <c r="HF424" i="4"/>
  <c r="HU3" i="4"/>
  <c r="CA390" i="4"/>
  <c r="X394" i="4"/>
  <c r="AD394" i="4"/>
  <c r="N301" i="4"/>
  <c r="FO419" i="4"/>
  <c r="FO418" i="4"/>
  <c r="FO414" i="4"/>
  <c r="FO417" i="4"/>
  <c r="FO420" i="4"/>
  <c r="FO415" i="4"/>
  <c r="FO416" i="4"/>
  <c r="V372" i="4"/>
  <c r="HA398" i="4"/>
  <c r="R332" i="4"/>
  <c r="HA399" i="4"/>
  <c r="R371" i="4"/>
  <c r="Y10" i="13"/>
  <c r="C471" i="11" s="1"/>
  <c r="Y7" i="13"/>
  <c r="C476" i="11" s="1"/>
  <c r="HF418" i="4"/>
  <c r="DI415" i="4"/>
  <c r="DI414" i="4"/>
  <c r="DI416" i="4"/>
  <c r="DI418" i="4"/>
  <c r="DI420" i="4"/>
  <c r="DI419" i="4"/>
  <c r="DI417" i="4"/>
  <c r="DD415" i="4"/>
  <c r="DE414" i="4"/>
  <c r="DD414" i="4"/>
  <c r="DE415" i="4"/>
  <c r="DD416" i="4"/>
  <c r="DD420" i="4"/>
  <c r="DE416" i="4"/>
  <c r="DE420" i="4"/>
  <c r="DD418" i="4"/>
  <c r="DE418" i="4"/>
  <c r="DD417" i="4"/>
  <c r="DD419" i="4"/>
  <c r="DE417" i="4"/>
  <c r="DE419" i="4"/>
  <c r="DB415" i="4"/>
  <c r="DB414" i="4"/>
  <c r="DB416" i="4"/>
  <c r="DB418" i="4"/>
  <c r="DB417" i="4"/>
  <c r="DB419" i="4"/>
  <c r="DB420" i="4"/>
  <c r="HF416" i="4"/>
  <c r="DK414" i="4"/>
  <c r="DK415" i="4"/>
  <c r="DL414" i="4"/>
  <c r="DL415" i="4"/>
  <c r="DL420" i="4"/>
  <c r="DK416" i="4"/>
  <c r="DK419" i="4"/>
  <c r="DL416" i="4"/>
  <c r="DL419" i="4"/>
  <c r="DK417" i="4"/>
  <c r="DL417" i="4"/>
  <c r="DK418" i="4"/>
  <c r="DK420" i="4"/>
  <c r="DL418" i="4"/>
  <c r="BT367" i="4"/>
  <c r="S5" i="4"/>
  <c r="HF415" i="4"/>
  <c r="HF420" i="4"/>
  <c r="HF417" i="4"/>
  <c r="P409" i="4"/>
  <c r="HF419" i="4"/>
  <c r="X391" i="4"/>
  <c r="HF414" i="4"/>
  <c r="EI414" i="4"/>
  <c r="EI417" i="4"/>
  <c r="EI418" i="4"/>
  <c r="EI420" i="4"/>
  <c r="EI419" i="4"/>
  <c r="EI415" i="4"/>
  <c r="EI416" i="4"/>
  <c r="CL415" i="4"/>
  <c r="CL414" i="4"/>
  <c r="CL419" i="4"/>
  <c r="CL420" i="4"/>
  <c r="CL416" i="4"/>
  <c r="CL417" i="4"/>
  <c r="CL418" i="4"/>
  <c r="DU414" i="4"/>
  <c r="DU415" i="4"/>
  <c r="DU416" i="4"/>
  <c r="DU417" i="4"/>
  <c r="DU418" i="4"/>
  <c r="DU420" i="4"/>
  <c r="DU419" i="4"/>
  <c r="X383" i="4"/>
  <c r="EB415" i="4"/>
  <c r="EB414" i="4"/>
  <c r="EB416" i="4"/>
  <c r="EB417" i="4"/>
  <c r="EB419" i="4"/>
  <c r="EB420" i="4"/>
  <c r="EB418" i="4"/>
  <c r="DG415" i="4"/>
  <c r="DG414" i="4"/>
  <c r="DG416" i="4"/>
  <c r="DG419" i="4"/>
  <c r="DG418" i="4"/>
  <c r="DG417" i="4"/>
  <c r="DG420" i="4"/>
  <c r="CZ414" i="4"/>
  <c r="CZ415" i="4"/>
  <c r="CZ416" i="4"/>
  <c r="CZ418" i="4"/>
  <c r="CZ417" i="4"/>
  <c r="CZ420" i="4"/>
  <c r="CZ419" i="4"/>
  <c r="CA371" i="4"/>
  <c r="BI313" i="4"/>
  <c r="P372" i="4"/>
  <c r="T313" i="4"/>
  <c r="P350" i="4"/>
  <c r="HA393" i="4"/>
  <c r="HF413" i="4"/>
  <c r="FO413" i="4"/>
  <c r="CL408" i="4"/>
  <c r="DU408" i="4"/>
  <c r="EB408" i="4"/>
  <c r="EI407" i="4"/>
  <c r="CW4" i="4"/>
  <c r="AC4" i="4"/>
  <c r="BS5" i="4"/>
  <c r="FJ348" i="4"/>
  <c r="B20" i="16"/>
  <c r="CL409" i="4"/>
  <c r="EI408" i="4"/>
  <c r="R408" i="4"/>
  <c r="FJ358" i="4"/>
  <c r="B12" i="16"/>
  <c r="FB389" i="4"/>
  <c r="B13" i="16"/>
  <c r="HF409" i="4"/>
  <c r="X408" i="4"/>
  <c r="AK408" i="4"/>
  <c r="V338" i="4"/>
  <c r="B8" i="16"/>
  <c r="DU413" i="4"/>
  <c r="FL408" i="4"/>
  <c r="T14" i="4"/>
  <c r="DG407" i="4"/>
  <c r="R401" i="4"/>
  <c r="FO408" i="4"/>
  <c r="HF408" i="4"/>
  <c r="DU409" i="4"/>
  <c r="HF410" i="4"/>
  <c r="V287" i="4"/>
  <c r="B5" i="16"/>
  <c r="FB334" i="4"/>
  <c r="B7" i="16"/>
  <c r="CA328" i="4"/>
  <c r="B22" i="16"/>
  <c r="BY345" i="4"/>
  <c r="B9" i="16"/>
  <c r="FH359" i="4"/>
  <c r="B10" i="16"/>
  <c r="CL412" i="4"/>
  <c r="FO409" i="4"/>
  <c r="FH14" i="4"/>
  <c r="FI14" i="4" s="1"/>
  <c r="FL339" i="4"/>
  <c r="B15" i="16"/>
  <c r="V59" i="4"/>
  <c r="CL407" i="4"/>
  <c r="DU407" i="4"/>
  <c r="FL319" i="4"/>
  <c r="B6" i="16"/>
  <c r="BR350" i="4"/>
  <c r="B11" i="16"/>
  <c r="HF407" i="4"/>
  <c r="FO411" i="4"/>
  <c r="FO410" i="4"/>
  <c r="FO407" i="4"/>
  <c r="FO412" i="4"/>
  <c r="S4" i="4"/>
  <c r="X277" i="4"/>
  <c r="B2" i="16"/>
  <c r="EB407" i="4"/>
  <c r="EB409" i="4"/>
  <c r="DG408" i="4"/>
  <c r="Y14" i="13"/>
  <c r="C475" i="11" s="1"/>
  <c r="Y5" i="13"/>
  <c r="C478" i="11" s="1"/>
  <c r="EI409" i="4"/>
  <c r="EI411" i="4"/>
  <c r="EI412" i="4"/>
  <c r="EI413" i="4"/>
  <c r="EI410" i="4"/>
  <c r="EB410" i="4"/>
  <c r="CL413" i="4"/>
  <c r="DU411" i="4"/>
  <c r="DU412" i="4"/>
  <c r="EB413" i="4"/>
  <c r="DG411" i="4"/>
  <c r="DU410" i="4"/>
  <c r="CL410" i="4"/>
  <c r="EB411" i="4"/>
  <c r="CL411" i="4"/>
  <c r="DW410" i="4"/>
  <c r="DG413" i="4"/>
  <c r="EB412" i="4"/>
  <c r="V406" i="4"/>
  <c r="X384" i="4"/>
  <c r="X41" i="4"/>
  <c r="AK395" i="4"/>
  <c r="FH399" i="4"/>
  <c r="T399" i="4"/>
  <c r="BW399" i="4"/>
  <c r="AC17" i="13"/>
  <c r="FO406" i="4"/>
  <c r="FB406" i="4"/>
  <c r="FO404" i="4"/>
  <c r="FO403" i="4"/>
  <c r="FO402" i="4"/>
  <c r="X19" i="4"/>
  <c r="FJ41" i="4"/>
  <c r="P374" i="4"/>
  <c r="FL19" i="4"/>
  <c r="V21" i="4"/>
  <c r="P406" i="4"/>
  <c r="FO405" i="4"/>
  <c r="FB405" i="4"/>
  <c r="AC9" i="13"/>
  <c r="HF406" i="4"/>
  <c r="AC15" i="13"/>
  <c r="AC7" i="13"/>
  <c r="EI406" i="4"/>
  <c r="V374" i="4"/>
  <c r="BS4" i="4"/>
  <c r="FF5" i="4"/>
  <c r="AB374" i="4"/>
  <c r="AC447" i="4" s="1"/>
  <c r="L4" i="15"/>
  <c r="R4" i="15" s="1"/>
  <c r="BP5" i="4"/>
  <c r="FJ35" i="4"/>
  <c r="R373" i="4"/>
  <c r="AC13" i="13"/>
  <c r="P338" i="4"/>
  <c r="R396" i="4"/>
  <c r="CW5" i="4"/>
  <c r="HF405" i="4"/>
  <c r="Z9" i="15"/>
  <c r="AF9" i="15" s="1"/>
  <c r="HF403" i="4"/>
  <c r="Y5" i="15"/>
  <c r="AE5" i="15" s="1"/>
  <c r="CL406" i="4"/>
  <c r="DW404" i="4"/>
  <c r="DG406" i="4"/>
  <c r="CL404" i="4"/>
  <c r="CL402" i="4"/>
  <c r="CL403" i="4"/>
  <c r="DU404" i="4"/>
  <c r="DU403" i="4"/>
  <c r="DU402" i="4"/>
  <c r="BX4" i="4"/>
  <c r="CL405" i="4"/>
  <c r="EB404" i="4"/>
  <c r="EB402" i="4"/>
  <c r="EB403" i="4"/>
  <c r="DU406" i="4"/>
  <c r="HE62" i="4"/>
  <c r="DG404" i="4"/>
  <c r="DG402" i="4"/>
  <c r="DG403" i="4"/>
  <c r="EI405" i="4"/>
  <c r="EI403" i="4"/>
  <c r="EI404" i="4"/>
  <c r="EI402" i="4"/>
  <c r="EB406" i="4"/>
  <c r="DG405" i="4"/>
  <c r="DU405" i="4"/>
  <c r="EB405" i="4"/>
  <c r="AC10" i="13"/>
  <c r="AC14" i="13"/>
  <c r="P353" i="4"/>
  <c r="R385" i="4"/>
  <c r="FL56" i="4"/>
  <c r="X56" i="4"/>
  <c r="R356" i="4"/>
  <c r="N313" i="4"/>
  <c r="AC5" i="13"/>
  <c r="L11" i="15"/>
  <c r="R11" i="15" s="1"/>
  <c r="AI372" i="4"/>
  <c r="AP361" i="4"/>
  <c r="R397" i="4"/>
  <c r="AK332" i="4"/>
  <c r="FJ46" i="4"/>
  <c r="CL393" i="4"/>
  <c r="DU393" i="4"/>
  <c r="EB393" i="4"/>
  <c r="DG393" i="4"/>
  <c r="FO398" i="4"/>
  <c r="HF401" i="4"/>
  <c r="EI400" i="4"/>
  <c r="CW8" i="4"/>
  <c r="R291" i="4"/>
  <c r="EI394" i="4"/>
  <c r="FO395" i="4"/>
  <c r="FL395" i="4"/>
  <c r="HF393" i="4"/>
  <c r="FO396" i="4"/>
  <c r="CL394" i="4"/>
  <c r="HF394" i="4"/>
  <c r="EI395" i="4"/>
  <c r="FO393" i="4"/>
  <c r="FO401" i="4"/>
  <c r="FJ401" i="4"/>
  <c r="HA394" i="4"/>
  <c r="DG394" i="4"/>
  <c r="EI393" i="4"/>
  <c r="BK398" i="4"/>
  <c r="V398" i="4"/>
  <c r="FO397" i="4"/>
  <c r="FL397" i="4"/>
  <c r="DU394" i="4"/>
  <c r="EI399" i="4"/>
  <c r="CL395" i="4"/>
  <c r="FO394" i="4"/>
  <c r="FL394" i="4"/>
  <c r="EI398" i="4"/>
  <c r="HF400" i="4"/>
  <c r="DG395" i="4"/>
  <c r="EI397" i="4"/>
  <c r="EB395" i="4"/>
  <c r="EB394" i="4"/>
  <c r="EI401" i="4"/>
  <c r="HF395" i="4"/>
  <c r="HF397" i="4"/>
  <c r="FO400" i="4"/>
  <c r="FO399" i="4"/>
  <c r="DU395" i="4"/>
  <c r="CL398" i="4"/>
  <c r="DU399" i="4"/>
  <c r="CL399" i="4"/>
  <c r="EB398" i="4"/>
  <c r="EB399" i="4"/>
  <c r="CL401" i="4"/>
  <c r="DG399" i="4"/>
  <c r="DU398" i="4"/>
  <c r="DG398" i="4"/>
  <c r="DG396" i="4"/>
  <c r="DG400" i="4"/>
  <c r="DU401" i="4"/>
  <c r="DU396" i="4"/>
  <c r="DU400" i="4"/>
  <c r="EB401" i="4"/>
  <c r="CL397" i="4"/>
  <c r="CL396" i="4"/>
  <c r="CL400" i="4"/>
  <c r="DU397" i="4"/>
  <c r="EB397" i="4"/>
  <c r="DW397" i="4"/>
  <c r="EI396" i="4"/>
  <c r="EB396" i="4"/>
  <c r="EB400" i="4"/>
  <c r="DG397" i="4"/>
  <c r="DG401" i="4"/>
  <c r="CW9" i="4"/>
  <c r="FH55" i="4"/>
  <c r="X356" i="4"/>
  <c r="T55" i="4"/>
  <c r="R367" i="4"/>
  <c r="X370" i="4"/>
  <c r="FO382" i="4"/>
  <c r="HF396" i="4"/>
  <c r="FO381" i="4"/>
  <c r="FL381" i="4"/>
  <c r="FO387" i="4"/>
  <c r="FO385" i="4"/>
  <c r="FL385" i="4"/>
  <c r="FO383" i="4"/>
  <c r="FJ383" i="4"/>
  <c r="FO374" i="4"/>
  <c r="FO380" i="4"/>
  <c r="FO388" i="4"/>
  <c r="FO391" i="4"/>
  <c r="FJ391" i="4"/>
  <c r="DG386" i="4"/>
  <c r="FO389" i="4"/>
  <c r="HF386" i="4"/>
  <c r="FO392" i="4"/>
  <c r="FO386" i="4"/>
  <c r="FO384" i="4"/>
  <c r="FL384" i="4"/>
  <c r="FO390" i="4"/>
  <c r="FL390" i="4"/>
  <c r="EB384" i="4"/>
  <c r="DU384" i="4"/>
  <c r="DG381" i="4"/>
  <c r="EI392" i="4"/>
  <c r="P392" i="4"/>
  <c r="HF390" i="4"/>
  <c r="EI384" i="4"/>
  <c r="EI389" i="4"/>
  <c r="P389" i="4"/>
  <c r="AN386" i="4"/>
  <c r="T386" i="4"/>
  <c r="V392" i="4"/>
  <c r="AW392" i="4"/>
  <c r="HF385" i="4"/>
  <c r="BN4" i="4"/>
  <c r="DU381" i="4"/>
  <c r="V389" i="4"/>
  <c r="AW389" i="4"/>
  <c r="EI386" i="4"/>
  <c r="N386" i="4"/>
  <c r="HF387" i="4"/>
  <c r="FO372" i="4"/>
  <c r="HF388" i="4"/>
  <c r="CS4" i="4"/>
  <c r="DK4" i="4"/>
  <c r="EB381" i="4"/>
  <c r="R378" i="4"/>
  <c r="HA378" i="4"/>
  <c r="FO379" i="4"/>
  <c r="HF383" i="4"/>
  <c r="HF380" i="4"/>
  <c r="R379" i="4"/>
  <c r="HA379" i="4"/>
  <c r="N377" i="4"/>
  <c r="HA377" i="4"/>
  <c r="EI382" i="4"/>
  <c r="R382" i="4"/>
  <c r="EI387" i="4"/>
  <c r="P387" i="4"/>
  <c r="EI390" i="4"/>
  <c r="FJ378" i="4"/>
  <c r="ED4" i="4"/>
  <c r="AW4" i="4"/>
  <c r="HV3" i="4"/>
  <c r="CO382" i="4"/>
  <c r="X382" i="4"/>
  <c r="V387" i="4"/>
  <c r="BY387" i="4"/>
  <c r="FO378" i="4"/>
  <c r="BC4" i="4"/>
  <c r="AS4" i="4"/>
  <c r="FO373" i="4"/>
  <c r="FJ373" i="4"/>
  <c r="EI385" i="4"/>
  <c r="HF381" i="4"/>
  <c r="BG4" i="4"/>
  <c r="R375" i="4"/>
  <c r="HA375" i="4"/>
  <c r="HF391" i="4"/>
  <c r="EI383" i="4"/>
  <c r="EI381" i="4"/>
  <c r="CL4" i="4"/>
  <c r="CL380" i="4"/>
  <c r="DU380" i="4"/>
  <c r="AQ4" i="4"/>
  <c r="HF389" i="4"/>
  <c r="HF384" i="4"/>
  <c r="FO376" i="4"/>
  <c r="CL381" i="4"/>
  <c r="CL384" i="4"/>
  <c r="AZ4" i="4"/>
  <c r="CG4" i="4"/>
  <c r="EB5" i="4"/>
  <c r="EB380" i="4"/>
  <c r="AA4" i="4"/>
  <c r="EB385" i="4"/>
  <c r="DU391" i="4"/>
  <c r="DG390" i="4"/>
  <c r="HF392" i="4"/>
  <c r="FO375" i="4"/>
  <c r="FO377" i="4"/>
  <c r="EI388" i="4"/>
  <c r="EI380" i="4"/>
  <c r="DG380" i="4"/>
  <c r="BJ4" i="4"/>
  <c r="CZ4" i="4"/>
  <c r="HF382" i="4"/>
  <c r="EI391" i="4"/>
  <c r="CL385" i="4"/>
  <c r="EB387" i="4"/>
  <c r="CL387" i="4"/>
  <c r="CL383" i="4"/>
  <c r="DG384" i="4"/>
  <c r="DG383" i="4"/>
  <c r="DU387" i="4"/>
  <c r="EB392" i="4"/>
  <c r="CL392" i="4"/>
  <c r="DG389" i="4"/>
  <c r="EB391" i="4"/>
  <c r="DG387" i="4"/>
  <c r="DU382" i="4"/>
  <c r="CL389" i="4"/>
  <c r="CL388" i="4"/>
  <c r="CL382" i="4"/>
  <c r="CL391" i="4"/>
  <c r="CL386" i="4"/>
  <c r="DG382" i="4"/>
  <c r="EB382" i="4"/>
  <c r="DU383" i="4"/>
  <c r="EB390" i="4"/>
  <c r="DU389" i="4"/>
  <c r="EB383" i="4"/>
  <c r="DU392" i="4"/>
  <c r="DG391" i="4"/>
  <c r="CL390" i="4"/>
  <c r="EB389" i="4"/>
  <c r="DG392" i="4"/>
  <c r="DU388" i="4"/>
  <c r="DU386" i="4"/>
  <c r="EB388" i="4"/>
  <c r="DU390" i="4"/>
  <c r="DU385" i="4"/>
  <c r="DG385" i="4"/>
  <c r="EB386" i="4"/>
  <c r="DG388" i="4"/>
  <c r="BS12" i="4"/>
  <c r="AD365" i="4"/>
  <c r="X368" i="4"/>
  <c r="V350" i="4"/>
  <c r="EE368" i="4"/>
  <c r="HA224" i="4"/>
  <c r="FJ371" i="4"/>
  <c r="K19" i="15"/>
  <c r="Q19" i="15" s="1"/>
  <c r="FL365" i="4"/>
  <c r="FL307" i="4"/>
  <c r="FJ328" i="4"/>
  <c r="FJ324" i="4"/>
  <c r="FH304" i="4"/>
  <c r="FJ274" i="4"/>
  <c r="FL87" i="4"/>
  <c r="FH69" i="4"/>
  <c r="FJ297" i="4"/>
  <c r="GM356" i="4"/>
  <c r="FL356" i="4"/>
  <c r="FL277" i="4"/>
  <c r="FJ100" i="4"/>
  <c r="FL228" i="4"/>
  <c r="FL177" i="4"/>
  <c r="FF290" i="4"/>
  <c r="GO336" i="4"/>
  <c r="FH336" i="4"/>
  <c r="FF182" i="4"/>
  <c r="FF342" i="4"/>
  <c r="FL349" i="4"/>
  <c r="FF83" i="4"/>
  <c r="FF162" i="4"/>
  <c r="FJ367" i="4"/>
  <c r="FJ117" i="4"/>
  <c r="FJ268" i="4"/>
  <c r="FL285" i="4"/>
  <c r="FJ370" i="4"/>
  <c r="FL164" i="4"/>
  <c r="FF296" i="4"/>
  <c r="FL48" i="4"/>
  <c r="FL101" i="4"/>
  <c r="FF240" i="4"/>
  <c r="FJ77" i="4"/>
  <c r="EI377" i="4"/>
  <c r="HA222" i="4"/>
  <c r="N290" i="4"/>
  <c r="HA179" i="4"/>
  <c r="N240" i="4"/>
  <c r="EB377" i="4"/>
  <c r="CL367" i="4"/>
  <c r="HF373" i="4"/>
  <c r="X379" i="4"/>
  <c r="AR379" i="4"/>
  <c r="DG375" i="4"/>
  <c r="HF374" i="4"/>
  <c r="HF378" i="4"/>
  <c r="FO367" i="4"/>
  <c r="HF377" i="4"/>
  <c r="DU367" i="4"/>
  <c r="HF379" i="4"/>
  <c r="X378" i="4"/>
  <c r="AR378" i="4"/>
  <c r="DG374" i="4"/>
  <c r="EB367" i="4"/>
  <c r="HF375" i="4"/>
  <c r="X375" i="4"/>
  <c r="AR375" i="4"/>
  <c r="DU374" i="4"/>
  <c r="DG367" i="4"/>
  <c r="HF376" i="4"/>
  <c r="AR368" i="4"/>
  <c r="EB375" i="4"/>
  <c r="DU377" i="4"/>
  <c r="CL375" i="4"/>
  <c r="HF372" i="4"/>
  <c r="Z11" i="15"/>
  <c r="AF11" i="15" s="1"/>
  <c r="CL377" i="4"/>
  <c r="DG377" i="4"/>
  <c r="DU375" i="4"/>
  <c r="EI373" i="4"/>
  <c r="EI375" i="4"/>
  <c r="EB374" i="4"/>
  <c r="AC373" i="4"/>
  <c r="DU373" i="4"/>
  <c r="EB373" i="4"/>
  <c r="CL374" i="4"/>
  <c r="CL373" i="4"/>
  <c r="DG373" i="4"/>
  <c r="EI374" i="4"/>
  <c r="EB376" i="4"/>
  <c r="EB372" i="4"/>
  <c r="DU376" i="4"/>
  <c r="DU372" i="4"/>
  <c r="DG376" i="4"/>
  <c r="DG372" i="4"/>
  <c r="CL376" i="4"/>
  <c r="CL372" i="4"/>
  <c r="EI376" i="4"/>
  <c r="EI378" i="4"/>
  <c r="EI379" i="4"/>
  <c r="EI372" i="4"/>
  <c r="EB378" i="4"/>
  <c r="DU379" i="4"/>
  <c r="DG378" i="4"/>
  <c r="CL379" i="4"/>
  <c r="EB379" i="4"/>
  <c r="CL378" i="4"/>
  <c r="DG379" i="4"/>
  <c r="DU378" i="4"/>
  <c r="EI367" i="4"/>
  <c r="DG369" i="4"/>
  <c r="EI369" i="4"/>
  <c r="HF368" i="4"/>
  <c r="HA369" i="4"/>
  <c r="DU369" i="4"/>
  <c r="EB368" i="4"/>
  <c r="HF370" i="4"/>
  <c r="FO371" i="4"/>
  <c r="DG368" i="4"/>
  <c r="FO366" i="4"/>
  <c r="DU370" i="4"/>
  <c r="DG371" i="4"/>
  <c r="N363" i="4"/>
  <c r="HA363" i="4"/>
  <c r="EI370" i="4"/>
  <c r="HA370" i="4"/>
  <c r="CL369" i="4"/>
  <c r="FO364" i="4"/>
  <c r="FO370" i="4"/>
  <c r="DU371" i="4"/>
  <c r="N364" i="4"/>
  <c r="HA364" i="4"/>
  <c r="FO369" i="4"/>
  <c r="FO363" i="4"/>
  <c r="EI371" i="4"/>
  <c r="EB370" i="4"/>
  <c r="X369" i="4"/>
  <c r="AY369" i="4"/>
  <c r="EB371" i="4"/>
  <c r="DG370" i="4"/>
  <c r="HF371" i="4"/>
  <c r="CL371" i="4"/>
  <c r="CL370" i="4"/>
  <c r="R365" i="4"/>
  <c r="HA365" i="4"/>
  <c r="HF369" i="4"/>
  <c r="FO365" i="4"/>
  <c r="CL368" i="4"/>
  <c r="EB369" i="4"/>
  <c r="DU368" i="4"/>
  <c r="FO368" i="4"/>
  <c r="EI368" i="4"/>
  <c r="HA166" i="4"/>
  <c r="X349" i="4"/>
  <c r="FQ5" i="4"/>
  <c r="HA211" i="4"/>
  <c r="BS10" i="4"/>
  <c r="L15" i="15"/>
  <c r="BL5" i="4"/>
  <c r="BS7" i="4"/>
  <c r="R323" i="4"/>
  <c r="BS9" i="4"/>
  <c r="BS11" i="4"/>
  <c r="CL5" i="4"/>
  <c r="BS6" i="4"/>
  <c r="BS8" i="4"/>
  <c r="P361" i="4"/>
  <c r="AQ6" i="4"/>
  <c r="X324" i="4"/>
  <c r="CF343" i="4"/>
  <c r="HA349" i="4"/>
  <c r="R349" i="4"/>
  <c r="AQ5" i="4"/>
  <c r="HA215" i="4"/>
  <c r="HA226" i="4"/>
  <c r="AQ9" i="4"/>
  <c r="R307" i="4"/>
  <c r="V321" i="4"/>
  <c r="V343" i="4"/>
  <c r="HA182" i="4"/>
  <c r="X46" i="4"/>
  <c r="N336" i="4"/>
  <c r="CW11" i="4"/>
  <c r="CN6" i="4"/>
  <c r="CW6" i="4"/>
  <c r="CW10" i="4"/>
  <c r="CW12" i="4"/>
  <c r="CW7" i="4"/>
  <c r="BY37" i="4"/>
  <c r="V303" i="4"/>
  <c r="CQ5" i="4"/>
  <c r="N176" i="4"/>
  <c r="CN4" i="4"/>
  <c r="X32" i="4"/>
  <c r="CN5" i="4"/>
  <c r="BG5" i="4"/>
  <c r="R346" i="4"/>
  <c r="BL4" i="4"/>
  <c r="CP4" i="4"/>
  <c r="CQ4" i="4"/>
  <c r="V311" i="4"/>
  <c r="CP5" i="4"/>
  <c r="HA196" i="4"/>
  <c r="AQ12" i="4"/>
  <c r="R277" i="4"/>
  <c r="BN8" i="4"/>
  <c r="AQ13" i="4"/>
  <c r="AQ7" i="4"/>
  <c r="AQ11" i="4"/>
  <c r="AQ8" i="4"/>
  <c r="BN5" i="4"/>
  <c r="HA100" i="4"/>
  <c r="AQ10" i="4"/>
  <c r="BN7" i="4"/>
  <c r="CS5" i="4"/>
  <c r="R89" i="4"/>
  <c r="CL6" i="4"/>
  <c r="AC6" i="4"/>
  <c r="V299" i="4"/>
  <c r="HA181" i="4"/>
  <c r="X323" i="4"/>
  <c r="BN9" i="4"/>
  <c r="R189" i="4"/>
  <c r="BN6" i="4"/>
  <c r="HA81" i="4"/>
  <c r="HA244" i="4"/>
  <c r="CL10" i="4"/>
  <c r="HA234" i="4"/>
  <c r="CZ333" i="4"/>
  <c r="AD323" i="4"/>
  <c r="N316" i="4"/>
  <c r="CZ368" i="4"/>
  <c r="BR338" i="4"/>
  <c r="BO4" i="4"/>
  <c r="CI5" i="4"/>
  <c r="P171" i="4"/>
  <c r="AQ18" i="4"/>
  <c r="CL8" i="4"/>
  <c r="V327" i="4"/>
  <c r="BJ6" i="4"/>
  <c r="CI6" i="4"/>
  <c r="CL12" i="4"/>
  <c r="BJ5" i="4"/>
  <c r="AQ14" i="4"/>
  <c r="BO5" i="4"/>
  <c r="CL9" i="4"/>
  <c r="CL7" i="4"/>
  <c r="AQ16" i="4"/>
  <c r="AQ17" i="4"/>
  <c r="AC13" i="4"/>
  <c r="BR327" i="4"/>
  <c r="AA5" i="4"/>
  <c r="CL11" i="4"/>
  <c r="AC5" i="4"/>
  <c r="HA170" i="4"/>
  <c r="FO353" i="4"/>
  <c r="AR360" i="4"/>
  <c r="X360" i="4"/>
  <c r="HF366" i="4"/>
  <c r="AS11" i="4"/>
  <c r="CP8" i="4"/>
  <c r="BU7" i="4"/>
  <c r="CL364" i="4"/>
  <c r="DU363" i="4"/>
  <c r="EB363" i="4"/>
  <c r="P172" i="4"/>
  <c r="CU4" i="4"/>
  <c r="T326" i="4"/>
  <c r="EB365" i="4"/>
  <c r="AC12" i="4"/>
  <c r="CP12" i="4"/>
  <c r="BP316" i="4"/>
  <c r="BU8" i="4"/>
  <c r="P357" i="4"/>
  <c r="HA357" i="4"/>
  <c r="N354" i="4"/>
  <c r="HA354" i="4"/>
  <c r="EI363" i="4"/>
  <c r="T364" i="4"/>
  <c r="BW364" i="4"/>
  <c r="EI364" i="4"/>
  <c r="N105" i="4"/>
  <c r="AC11" i="4"/>
  <c r="AQ15" i="4"/>
  <c r="FO356" i="4"/>
  <c r="FO359" i="4"/>
  <c r="FO350" i="4"/>
  <c r="FB350" i="4"/>
  <c r="CL363" i="4"/>
  <c r="HF363" i="4"/>
  <c r="HA232" i="4"/>
  <c r="AC10" i="4"/>
  <c r="CP10" i="4"/>
  <c r="T316" i="4"/>
  <c r="N359" i="4"/>
  <c r="HA359" i="4"/>
  <c r="FO361" i="4"/>
  <c r="AC20" i="4"/>
  <c r="CL366" i="4"/>
  <c r="DU4" i="4"/>
  <c r="DU366" i="4"/>
  <c r="DW4" i="4"/>
  <c r="HF365" i="4"/>
  <c r="FO354" i="4"/>
  <c r="HA164" i="4"/>
  <c r="AC8" i="4"/>
  <c r="CP7" i="4"/>
  <c r="U4" i="4"/>
  <c r="EB366" i="4"/>
  <c r="AO4" i="4"/>
  <c r="DN4" i="4"/>
  <c r="HA174" i="4"/>
  <c r="AC16" i="4"/>
  <c r="AC30" i="4"/>
  <c r="CP6" i="4"/>
  <c r="CL365" i="4"/>
  <c r="R355" i="4"/>
  <c r="HA355" i="4"/>
  <c r="DU364" i="4"/>
  <c r="EI365" i="4"/>
  <c r="HF364" i="4"/>
  <c r="R78" i="4"/>
  <c r="AC15" i="4"/>
  <c r="AC19" i="4"/>
  <c r="CP11" i="4"/>
  <c r="FB4" i="4"/>
  <c r="FO362" i="4"/>
  <c r="FO352" i="4"/>
  <c r="FO351" i="4"/>
  <c r="FO355" i="4"/>
  <c r="FO360" i="4"/>
  <c r="FO358" i="4"/>
  <c r="FO357" i="4"/>
  <c r="T363" i="4"/>
  <c r="BB363" i="4"/>
  <c r="EI366" i="4"/>
  <c r="AC14" i="4"/>
  <c r="AC7" i="4"/>
  <c r="CP9" i="4"/>
  <c r="Y4" i="4"/>
  <c r="FD338" i="4"/>
  <c r="R358" i="4"/>
  <c r="HA358" i="4"/>
  <c r="EB364" i="4"/>
  <c r="P343" i="4"/>
  <c r="AC9" i="4"/>
  <c r="AC18" i="4"/>
  <c r="AO9" i="4"/>
  <c r="CQ6" i="4"/>
  <c r="DE4" i="4"/>
  <c r="AH4" i="4"/>
  <c r="DB4" i="4"/>
  <c r="AC17" i="4"/>
  <c r="CP55" i="4"/>
  <c r="AF4" i="4"/>
  <c r="DU365" i="4"/>
  <c r="BP326" i="4"/>
  <c r="O4" i="4"/>
  <c r="FO349" i="4"/>
  <c r="FD353" i="4"/>
  <c r="P76" i="4"/>
  <c r="HA252" i="4"/>
  <c r="CG5" i="4"/>
  <c r="CQ10" i="4"/>
  <c r="N304" i="4"/>
  <c r="BL6" i="4"/>
  <c r="HA331" i="4"/>
  <c r="P331" i="4"/>
  <c r="EI349" i="4"/>
  <c r="X297" i="4"/>
  <c r="HF353" i="4"/>
  <c r="CO341" i="4"/>
  <c r="X341" i="4"/>
  <c r="AP331" i="4"/>
  <c r="V331" i="4"/>
  <c r="R347" i="4"/>
  <c r="HA347" i="4"/>
  <c r="HF351" i="4"/>
  <c r="AR358" i="4"/>
  <c r="X358" i="4"/>
  <c r="HF355" i="4"/>
  <c r="FO345" i="4"/>
  <c r="HF352" i="4"/>
  <c r="HF360" i="4"/>
  <c r="HF354" i="4"/>
  <c r="HF350" i="4"/>
  <c r="FO346" i="4"/>
  <c r="Z359" i="4"/>
  <c r="T359" i="4"/>
  <c r="HF348" i="4"/>
  <c r="FO342" i="4"/>
  <c r="EI361" i="4"/>
  <c r="T342" i="4"/>
  <c r="CR342" i="4"/>
  <c r="CS369" i="4" s="1"/>
  <c r="CL350" i="4"/>
  <c r="R340" i="4"/>
  <c r="HA340" i="4"/>
  <c r="FO347" i="4"/>
  <c r="HF356" i="4"/>
  <c r="HF361" i="4"/>
  <c r="BT355" i="4"/>
  <c r="X355" i="4"/>
  <c r="FO348" i="4"/>
  <c r="HF357" i="4"/>
  <c r="HF358" i="4"/>
  <c r="FD345" i="4"/>
  <c r="FO343" i="4"/>
  <c r="FO340" i="4"/>
  <c r="EB341" i="4"/>
  <c r="FO344" i="4"/>
  <c r="AU354" i="4"/>
  <c r="T354" i="4"/>
  <c r="HF359" i="4"/>
  <c r="FO341" i="4"/>
  <c r="V357" i="4"/>
  <c r="EC357" i="4"/>
  <c r="HF362" i="4"/>
  <c r="DU355" i="4"/>
  <c r="EB359" i="4"/>
  <c r="DU361" i="4"/>
  <c r="EB358" i="4"/>
  <c r="EB361" i="4"/>
  <c r="AJ359" i="4"/>
  <c r="EB355" i="4"/>
  <c r="EI358" i="4"/>
  <c r="AC357" i="4"/>
  <c r="CL352" i="4"/>
  <c r="DU357" i="4"/>
  <c r="CL357" i="4"/>
  <c r="EB357" i="4"/>
  <c r="CL353" i="4"/>
  <c r="EI352" i="4"/>
  <c r="EI359" i="4"/>
  <c r="EI356" i="4"/>
  <c r="EI357" i="4"/>
  <c r="EI354" i="4"/>
  <c r="EI350" i="4"/>
  <c r="EI355" i="4"/>
  <c r="AJ360" i="4"/>
  <c r="CL361" i="4"/>
  <c r="AC358" i="4"/>
  <c r="DU358" i="4"/>
  <c r="EB360" i="4"/>
  <c r="DG358" i="4"/>
  <c r="DG360" i="4"/>
  <c r="DU352" i="4"/>
  <c r="DU353" i="4"/>
  <c r="AC353" i="4"/>
  <c r="EI362" i="4"/>
  <c r="EB352" i="4"/>
  <c r="DG350" i="4"/>
  <c r="EB353" i="4"/>
  <c r="DG357" i="4"/>
  <c r="CL360" i="4"/>
  <c r="DG359" i="4"/>
  <c r="DG353" i="4"/>
  <c r="DU360" i="4"/>
  <c r="AJ352" i="4"/>
  <c r="DU350" i="4"/>
  <c r="CL358" i="4"/>
  <c r="EI360" i="4"/>
  <c r="CL359" i="4"/>
  <c r="EB350" i="4"/>
  <c r="EB349" i="4"/>
  <c r="DU359" i="4"/>
  <c r="CL355" i="4"/>
  <c r="DG352" i="4"/>
  <c r="DG356" i="4"/>
  <c r="DG362" i="4"/>
  <c r="DU356" i="4"/>
  <c r="DU362" i="4"/>
  <c r="CL356" i="4"/>
  <c r="CL362" i="4"/>
  <c r="EB356" i="4"/>
  <c r="EB362" i="4"/>
  <c r="BY353" i="4"/>
  <c r="DG354" i="4"/>
  <c r="EI353" i="4"/>
  <c r="EB354" i="4"/>
  <c r="DU354" i="4"/>
  <c r="CL354" i="4"/>
  <c r="AC351" i="4"/>
  <c r="CL351" i="4"/>
  <c r="DG351" i="4"/>
  <c r="DU351" i="4"/>
  <c r="EB351" i="4"/>
  <c r="EI351" i="4"/>
  <c r="CL349" i="4"/>
  <c r="DG349" i="4"/>
  <c r="DU349" i="4"/>
  <c r="HF345" i="4"/>
  <c r="DU341" i="4"/>
  <c r="HF340" i="4"/>
  <c r="EB340" i="4"/>
  <c r="CF344" i="4"/>
  <c r="V344" i="4"/>
  <c r="DG341" i="4"/>
  <c r="CL340" i="4"/>
  <c r="HF343" i="4"/>
  <c r="X348" i="4"/>
  <c r="AR348" i="4"/>
  <c r="HF335" i="4"/>
  <c r="HF344" i="4"/>
  <c r="DG340" i="4"/>
  <c r="CL341" i="4"/>
  <c r="CS335" i="4"/>
  <c r="HF342" i="4"/>
  <c r="CS340" i="4"/>
  <c r="FO336" i="4"/>
  <c r="HF347" i="4"/>
  <c r="HF341" i="4"/>
  <c r="HF346" i="4"/>
  <c r="T336" i="4"/>
  <c r="AJ335" i="4"/>
  <c r="BW336" i="4"/>
  <c r="EI344" i="4"/>
  <c r="DU340" i="4"/>
  <c r="CL335" i="4"/>
  <c r="EI340" i="4"/>
  <c r="FO339" i="4"/>
  <c r="EB335" i="4"/>
  <c r="CO347" i="4"/>
  <c r="X347" i="4"/>
  <c r="FO337" i="4"/>
  <c r="FO338" i="4"/>
  <c r="EB345" i="4"/>
  <c r="DG335" i="4"/>
  <c r="EI341" i="4"/>
  <c r="FO335" i="4"/>
  <c r="EI347" i="4"/>
  <c r="EI348" i="4"/>
  <c r="CS341" i="4"/>
  <c r="X340" i="4"/>
  <c r="AD340" i="4"/>
  <c r="EI342" i="4"/>
  <c r="EB346" i="4"/>
  <c r="DU346" i="4"/>
  <c r="EB343" i="4"/>
  <c r="AJ343" i="4"/>
  <c r="DG342" i="4"/>
  <c r="DU348" i="4"/>
  <c r="DG344" i="4"/>
  <c r="AJ346" i="4"/>
  <c r="EB348" i="4"/>
  <c r="EB342" i="4"/>
  <c r="DU342" i="4"/>
  <c r="DG345" i="4"/>
  <c r="DU344" i="4"/>
  <c r="CL342" i="4"/>
  <c r="CL345" i="4"/>
  <c r="EB344" i="4"/>
  <c r="DU345" i="4"/>
  <c r="CL343" i="4"/>
  <c r="CL344" i="4"/>
  <c r="CL346" i="4"/>
  <c r="AC348" i="4"/>
  <c r="DG348" i="4"/>
  <c r="DG343" i="4"/>
  <c r="CL348" i="4"/>
  <c r="DW345" i="4"/>
  <c r="DG346" i="4"/>
  <c r="DU343" i="4"/>
  <c r="EI346" i="4"/>
  <c r="EI345" i="4"/>
  <c r="EB347" i="4"/>
  <c r="EI343" i="4"/>
  <c r="DG347" i="4"/>
  <c r="DU347" i="4"/>
  <c r="CL347" i="4"/>
  <c r="GM277" i="4"/>
  <c r="GM324" i="4"/>
  <c r="HF336" i="4"/>
  <c r="GM177" i="4"/>
  <c r="GO55" i="4"/>
  <c r="HF337" i="4"/>
  <c r="EI338" i="4"/>
  <c r="DG336" i="4"/>
  <c r="GM56" i="4"/>
  <c r="GM6" i="4"/>
  <c r="GN12" i="4" s="1"/>
  <c r="CL336" i="4"/>
  <c r="HF338" i="4"/>
  <c r="CS336" i="4"/>
  <c r="HF339" i="4"/>
  <c r="DU335" i="4"/>
  <c r="EI337" i="4"/>
  <c r="R337" i="4"/>
  <c r="GM38" i="4"/>
  <c r="EF335" i="4"/>
  <c r="CH337" i="4"/>
  <c r="X337" i="4"/>
  <c r="GM35" i="4"/>
  <c r="AC336" i="4"/>
  <c r="X339" i="4"/>
  <c r="M7" i="15"/>
  <c r="S7" i="15" s="1"/>
  <c r="EE339" i="4"/>
  <c r="EF339" i="4" s="1"/>
  <c r="GM117" i="4"/>
  <c r="GM41" i="4"/>
  <c r="GM268" i="4"/>
  <c r="GM297" i="4"/>
  <c r="EI339" i="4"/>
  <c r="R339" i="4"/>
  <c r="GM48" i="4"/>
  <c r="GM19" i="4"/>
  <c r="DU336" i="4"/>
  <c r="EB336" i="4"/>
  <c r="GM328" i="4"/>
  <c r="EI335" i="4"/>
  <c r="R335" i="4"/>
  <c r="GM274" i="4"/>
  <c r="X335" i="4"/>
  <c r="AR335" i="4"/>
  <c r="GO69" i="4"/>
  <c r="GO14" i="4"/>
  <c r="GO7" i="4"/>
  <c r="GM285" i="4"/>
  <c r="GM307" i="4"/>
  <c r="EI336" i="4"/>
  <c r="CL337" i="4"/>
  <c r="DG339" i="4"/>
  <c r="EF336" i="4"/>
  <c r="DU339" i="4"/>
  <c r="CS339" i="4"/>
  <c r="CL338" i="4"/>
  <c r="CS338" i="4"/>
  <c r="EB338" i="4"/>
  <c r="EB337" i="4"/>
  <c r="DG337" i="4"/>
  <c r="EF337" i="4"/>
  <c r="CL339" i="4"/>
  <c r="EB339" i="4"/>
  <c r="DU337" i="4"/>
  <c r="CS337" i="4"/>
  <c r="DG338" i="4"/>
  <c r="DU338" i="4"/>
  <c r="EF338" i="4"/>
  <c r="FD172" i="4"/>
  <c r="GQ29" i="4"/>
  <c r="FD29" i="4"/>
  <c r="FD196" i="4"/>
  <c r="GQ37" i="4"/>
  <c r="FB37" i="4"/>
  <c r="AA19" i="4"/>
  <c r="BC5" i="4"/>
  <c r="CS8" i="4"/>
  <c r="AC27" i="4"/>
  <c r="GQ284" i="4"/>
  <c r="FB284" i="4"/>
  <c r="FD163" i="4"/>
  <c r="GQ13" i="4"/>
  <c r="FB13" i="4"/>
  <c r="GQ21" i="4"/>
  <c r="FD21" i="4"/>
  <c r="GQ287" i="4"/>
  <c r="FD287" i="4"/>
  <c r="FD311" i="4"/>
  <c r="GQ188" i="4"/>
  <c r="FB188" i="4"/>
  <c r="FB303" i="4"/>
  <c r="GQ71" i="4"/>
  <c r="FD71" i="4"/>
  <c r="FD199" i="4"/>
  <c r="GQ59" i="4"/>
  <c r="FD59" i="4"/>
  <c r="GQ76" i="4"/>
  <c r="FB76" i="4"/>
  <c r="GQ321" i="4"/>
  <c r="FD321" i="4"/>
  <c r="FB299" i="4"/>
  <c r="AA23" i="4"/>
  <c r="CN8" i="4"/>
  <c r="CS7" i="4"/>
  <c r="R239" i="4"/>
  <c r="CN12" i="4"/>
  <c r="CQ11" i="4"/>
  <c r="CS12" i="4"/>
  <c r="CN33" i="4"/>
  <c r="CL21" i="4"/>
  <c r="AC34" i="4"/>
  <c r="HA258" i="4"/>
  <c r="AF5" i="4"/>
  <c r="CN9" i="4"/>
  <c r="CQ12" i="4"/>
  <c r="BO6" i="4"/>
  <c r="AQ73" i="4"/>
  <c r="BL12" i="4"/>
  <c r="AV66" i="4"/>
  <c r="CG21" i="4"/>
  <c r="CE6" i="4"/>
  <c r="AE18" i="4"/>
  <c r="HA48" i="4"/>
  <c r="CN23" i="4"/>
  <c r="CS9" i="4"/>
  <c r="HA162" i="4"/>
  <c r="AE4" i="4"/>
  <c r="CQ9" i="4"/>
  <c r="CS10" i="4"/>
  <c r="CN10" i="4"/>
  <c r="CQ7" i="4"/>
  <c r="AE32" i="4"/>
  <c r="CN22" i="4"/>
  <c r="CS11" i="4"/>
  <c r="AE28" i="4"/>
  <c r="CN13" i="4"/>
  <c r="CN7" i="4"/>
  <c r="CX7" i="4"/>
  <c r="CS6" i="4"/>
  <c r="R241" i="4"/>
  <c r="AE5" i="4"/>
  <c r="CN20" i="4"/>
  <c r="CN19" i="4"/>
  <c r="CQ8" i="4"/>
  <c r="CN21" i="4"/>
  <c r="CN30" i="4"/>
  <c r="CN11" i="4"/>
  <c r="AE13" i="4"/>
  <c r="AE10" i="4"/>
  <c r="AE6" i="4"/>
  <c r="BU5" i="4"/>
  <c r="P29" i="4"/>
  <c r="AY6" i="4"/>
  <c r="AZ447" i="4" s="1"/>
  <c r="AE16" i="4"/>
  <c r="AE21" i="4"/>
  <c r="AE17" i="4"/>
  <c r="BU9" i="4"/>
  <c r="CN49" i="4"/>
  <c r="P321" i="4"/>
  <c r="N243" i="4"/>
  <c r="AE26" i="4"/>
  <c r="AE9" i="4"/>
  <c r="AV4" i="4"/>
  <c r="BU4" i="4"/>
  <c r="CN32" i="4"/>
  <c r="AE14" i="4"/>
  <c r="AE31" i="4"/>
  <c r="AV6" i="4"/>
  <c r="BV4" i="4"/>
  <c r="AC40" i="4"/>
  <c r="AE24" i="4"/>
  <c r="AE20" i="4"/>
  <c r="AF8" i="4"/>
  <c r="AV13" i="4"/>
  <c r="BU6" i="4"/>
  <c r="CN36" i="4"/>
  <c r="CE9" i="4"/>
  <c r="AE12" i="4"/>
  <c r="AE8" i="4"/>
  <c r="AF20" i="4"/>
  <c r="AV20" i="4"/>
  <c r="BL7" i="4"/>
  <c r="AE34" i="4"/>
  <c r="AE30" i="4"/>
  <c r="AV50" i="4"/>
  <c r="CB6" i="4"/>
  <c r="CN38" i="4"/>
  <c r="AE23" i="4"/>
  <c r="AE19" i="4"/>
  <c r="AV57" i="4"/>
  <c r="BL10" i="4"/>
  <c r="AE27" i="4"/>
  <c r="AE11" i="4"/>
  <c r="AE7" i="4"/>
  <c r="AV7" i="4"/>
  <c r="BL22" i="4"/>
  <c r="CB7" i="4"/>
  <c r="AE25" i="4"/>
  <c r="AE33" i="4"/>
  <c r="AE29" i="4"/>
  <c r="AQ68" i="4"/>
  <c r="AV37" i="4"/>
  <c r="CG29" i="4"/>
  <c r="AE15" i="4"/>
  <c r="AE22" i="4"/>
  <c r="AC39" i="4"/>
  <c r="AQ66" i="4"/>
  <c r="BC15" i="4"/>
  <c r="CU12" i="4"/>
  <c r="AS9" i="4"/>
  <c r="P284" i="4"/>
  <c r="AC38" i="4"/>
  <c r="AC46" i="4"/>
  <c r="AC42" i="4"/>
  <c r="AT4" i="4"/>
  <c r="AO8" i="4"/>
  <c r="AQ19" i="4"/>
  <c r="AQ76" i="4"/>
  <c r="AQ63" i="4"/>
  <c r="AQ75" i="4"/>
  <c r="CX12" i="4"/>
  <c r="CU9" i="4"/>
  <c r="P84" i="4"/>
  <c r="AC26" i="4"/>
  <c r="AC28" i="4"/>
  <c r="AC23" i="4"/>
  <c r="AT9" i="4"/>
  <c r="AS25" i="4"/>
  <c r="AO6" i="4"/>
  <c r="AQ34" i="4"/>
  <c r="AQ25" i="4"/>
  <c r="AQ36" i="4"/>
  <c r="AQ50" i="4"/>
  <c r="AQ24" i="4"/>
  <c r="AQ26" i="4"/>
  <c r="CU11" i="4"/>
  <c r="HA210" i="4"/>
  <c r="R168" i="4"/>
  <c r="AC21" i="4"/>
  <c r="AS6" i="4"/>
  <c r="AO10" i="4"/>
  <c r="AQ38" i="4"/>
  <c r="AQ64" i="4"/>
  <c r="AQ61" i="4"/>
  <c r="AQ35" i="4"/>
  <c r="AQ37" i="4"/>
  <c r="AQ39" i="4"/>
  <c r="CX6" i="4"/>
  <c r="CU6" i="4"/>
  <c r="AC51" i="4"/>
  <c r="AC45" i="4"/>
  <c r="AC41" i="4"/>
  <c r="AT5" i="4"/>
  <c r="AT11" i="4"/>
  <c r="AO5" i="4"/>
  <c r="AQ55" i="4"/>
  <c r="AQ72" i="4"/>
  <c r="AQ47" i="4"/>
  <c r="AQ49" i="4"/>
  <c r="AQ51" i="4"/>
  <c r="CX10" i="4"/>
  <c r="CX9" i="4"/>
  <c r="CU14" i="4"/>
  <c r="AS17" i="4"/>
  <c r="AC36" i="4"/>
  <c r="AC33" i="4"/>
  <c r="AC29" i="4"/>
  <c r="AS12" i="4"/>
  <c r="AS13" i="4"/>
  <c r="AO12" i="4"/>
  <c r="AQ22" i="4"/>
  <c r="AQ31" i="4"/>
  <c r="AQ29" i="4"/>
  <c r="AQ33" i="4"/>
  <c r="AQ59" i="4"/>
  <c r="AQ60" i="4"/>
  <c r="AQ62" i="4"/>
  <c r="CX11" i="4"/>
  <c r="CX4" i="4"/>
  <c r="AA12" i="15"/>
  <c r="AG12" i="15" s="1"/>
  <c r="AC25" i="4"/>
  <c r="AC22" i="4"/>
  <c r="AT12" i="4"/>
  <c r="AT6" i="4"/>
  <c r="AO7" i="4"/>
  <c r="AQ43" i="4"/>
  <c r="AQ45" i="4"/>
  <c r="AQ69" i="4"/>
  <c r="AQ71" i="4"/>
  <c r="HA255" i="4"/>
  <c r="AC49" i="4"/>
  <c r="AS7" i="4"/>
  <c r="AS8" i="4"/>
  <c r="AQ27" i="4"/>
  <c r="AQ74" i="4"/>
  <c r="AQ41" i="4"/>
  <c r="AQ57" i="4"/>
  <c r="AQ21" i="4"/>
  <c r="CX8" i="4"/>
  <c r="CU10" i="4"/>
  <c r="AC47" i="4"/>
  <c r="AC43" i="4"/>
  <c r="AS5" i="4"/>
  <c r="AT8" i="4"/>
  <c r="AQ65" i="4"/>
  <c r="AQ46" i="4"/>
  <c r="AQ67" i="4"/>
  <c r="AQ30" i="4"/>
  <c r="AQ32" i="4"/>
  <c r="BC16" i="4"/>
  <c r="CU7" i="4"/>
  <c r="AC44" i="4"/>
  <c r="AC35" i="4"/>
  <c r="AC31" i="4"/>
  <c r="AT10" i="4"/>
  <c r="AS10" i="4"/>
  <c r="AF34" i="4"/>
  <c r="AQ20" i="4"/>
  <c r="AQ48" i="4"/>
  <c r="AQ28" i="4"/>
  <c r="AQ42" i="4"/>
  <c r="AQ44" i="4"/>
  <c r="CX5" i="4"/>
  <c r="CU8" i="4"/>
  <c r="X307" i="4"/>
  <c r="AC37" i="4"/>
  <c r="AC24" i="4"/>
  <c r="AT7" i="4"/>
  <c r="AO11" i="4"/>
  <c r="AQ53" i="4"/>
  <c r="AQ23" i="4"/>
  <c r="AQ40" i="4"/>
  <c r="AQ54" i="4"/>
  <c r="AQ56" i="4"/>
  <c r="CU5" i="4"/>
  <c r="BZ6" i="4"/>
  <c r="AC32" i="4"/>
  <c r="AQ58" i="4"/>
  <c r="AQ70" i="4"/>
  <c r="AQ52" i="4"/>
  <c r="AV109" i="4"/>
  <c r="HR3" i="4"/>
  <c r="AS18" i="4"/>
  <c r="AS16" i="4"/>
  <c r="AS27" i="4"/>
  <c r="AV84" i="4"/>
  <c r="HA88" i="4"/>
  <c r="AS21" i="4"/>
  <c r="AS22" i="4"/>
  <c r="CU17" i="4"/>
  <c r="AS29" i="4"/>
  <c r="AS15" i="4"/>
  <c r="AS33" i="4"/>
  <c r="AS28" i="4"/>
  <c r="AS31" i="4"/>
  <c r="AS24" i="4"/>
  <c r="AV115" i="4"/>
  <c r="AZ5" i="4"/>
  <c r="CI7" i="4"/>
  <c r="AS19" i="4"/>
  <c r="AV99" i="4"/>
  <c r="AS34" i="4"/>
  <c r="AS20" i="4"/>
  <c r="AS30" i="4"/>
  <c r="AS23" i="4"/>
  <c r="AS14" i="4"/>
  <c r="HQ3" i="4"/>
  <c r="AS32" i="4"/>
  <c r="AS26" i="4"/>
  <c r="AV126" i="4"/>
  <c r="AF29" i="4"/>
  <c r="AC99" i="4"/>
  <c r="AO16" i="4"/>
  <c r="BL47" i="4"/>
  <c r="BC28" i="4"/>
  <c r="AA39" i="4"/>
  <c r="AA34" i="4"/>
  <c r="AA30" i="4"/>
  <c r="AF33" i="4"/>
  <c r="AF32" i="4"/>
  <c r="AV11" i="4"/>
  <c r="AV68" i="4"/>
  <c r="AV8" i="4"/>
  <c r="AV38" i="4"/>
  <c r="AV45" i="4"/>
  <c r="AV73" i="4"/>
  <c r="AV176" i="4"/>
  <c r="AV26" i="4"/>
  <c r="AV56" i="4"/>
  <c r="AV217" i="4"/>
  <c r="AV187" i="4"/>
  <c r="AV139" i="4"/>
  <c r="BC32" i="4"/>
  <c r="BC47" i="4"/>
  <c r="CB9" i="4"/>
  <c r="CI9" i="4"/>
  <c r="CG33" i="4"/>
  <c r="CG9" i="4"/>
  <c r="DB5" i="4"/>
  <c r="AA16" i="4"/>
  <c r="AA11" i="4"/>
  <c r="AA7" i="4"/>
  <c r="AF13" i="4"/>
  <c r="AF30" i="4"/>
  <c r="AF21" i="4"/>
  <c r="AV18" i="4"/>
  <c r="AV25" i="4"/>
  <c r="AV31" i="4"/>
  <c r="AV61" i="4"/>
  <c r="AV67" i="4"/>
  <c r="AV94" i="4"/>
  <c r="AV19" i="4"/>
  <c r="AV49" i="4"/>
  <c r="AV77" i="4"/>
  <c r="AV127" i="4"/>
  <c r="AV112" i="4"/>
  <c r="AV121" i="4"/>
  <c r="BC9" i="4"/>
  <c r="BC10" i="4"/>
  <c r="CB16" i="4"/>
  <c r="CI11" i="4"/>
  <c r="CG20" i="4"/>
  <c r="CG17" i="4"/>
  <c r="CG32" i="4"/>
  <c r="CP35" i="4"/>
  <c r="R274" i="4"/>
  <c r="AC59" i="4"/>
  <c r="AA15" i="4"/>
  <c r="AA37" i="4"/>
  <c r="AA33" i="4"/>
  <c r="AF28" i="4"/>
  <c r="AF26" i="4"/>
  <c r="AV29" i="4"/>
  <c r="AV36" i="4"/>
  <c r="AV43" i="4"/>
  <c r="AV72" i="4"/>
  <c r="AV78" i="4"/>
  <c r="AV133" i="4"/>
  <c r="AV30" i="4"/>
  <c r="AV60" i="4"/>
  <c r="AV87" i="4"/>
  <c r="AV140" i="4"/>
  <c r="AV124" i="4"/>
  <c r="AV134" i="4"/>
  <c r="BC33" i="4"/>
  <c r="CC4" i="4"/>
  <c r="BZ8" i="4"/>
  <c r="CI23" i="4"/>
  <c r="CG8" i="4"/>
  <c r="CG28" i="4"/>
  <c r="CB14" i="4"/>
  <c r="AA38" i="4"/>
  <c r="AA26" i="4"/>
  <c r="AA22" i="4"/>
  <c r="AF31" i="4"/>
  <c r="AF25" i="4"/>
  <c r="AF10" i="4"/>
  <c r="AV16" i="4"/>
  <c r="AV41" i="4"/>
  <c r="AV48" i="4"/>
  <c r="AV55" i="4"/>
  <c r="AV82" i="4"/>
  <c r="AV88" i="4"/>
  <c r="AV12" i="4"/>
  <c r="AV42" i="4"/>
  <c r="AV71" i="4"/>
  <c r="AV164" i="4"/>
  <c r="AV137" i="4"/>
  <c r="AV104" i="4"/>
  <c r="BC22" i="4"/>
  <c r="CB11" i="4"/>
  <c r="BZ10" i="4"/>
  <c r="CI13" i="4"/>
  <c r="CG31" i="4"/>
  <c r="CG12" i="4"/>
  <c r="CG16" i="4"/>
  <c r="AC65" i="4"/>
  <c r="AA29" i="4"/>
  <c r="AA14" i="4"/>
  <c r="AA10" i="4"/>
  <c r="AF14" i="4"/>
  <c r="AF22" i="4"/>
  <c r="AF11" i="4"/>
  <c r="AV53" i="4"/>
  <c r="AV65" i="4"/>
  <c r="AV120" i="4"/>
  <c r="AV98" i="4"/>
  <c r="AV24" i="4"/>
  <c r="AV54" i="4"/>
  <c r="AV81" i="4"/>
  <c r="AV111" i="4"/>
  <c r="AV110" i="4"/>
  <c r="AV216" i="4"/>
  <c r="AV116" i="4"/>
  <c r="BC49" i="4"/>
  <c r="BZ5" i="4"/>
  <c r="CI8" i="4"/>
  <c r="CG13" i="4"/>
  <c r="CG24" i="4"/>
  <c r="P327" i="4"/>
  <c r="AA6" i="4"/>
  <c r="AA36" i="4"/>
  <c r="AA32" i="4"/>
  <c r="AF17" i="4"/>
  <c r="AF23" i="4"/>
  <c r="AF9" i="4"/>
  <c r="AV39" i="4"/>
  <c r="AV64" i="4"/>
  <c r="AV70" i="4"/>
  <c r="AV76" i="4"/>
  <c r="AV23" i="4"/>
  <c r="AV5" i="4"/>
  <c r="AV35" i="4"/>
  <c r="AV92" i="4"/>
  <c r="AV123" i="4"/>
  <c r="AV122" i="4"/>
  <c r="AV107" i="4"/>
  <c r="AV128" i="4"/>
  <c r="BC11" i="4"/>
  <c r="BC12" i="4"/>
  <c r="CB18" i="4"/>
  <c r="BZ12" i="4"/>
  <c r="CI15" i="4"/>
  <c r="CG25" i="4"/>
  <c r="CG35" i="4"/>
  <c r="CG11" i="4"/>
  <c r="AC60" i="4"/>
  <c r="AC94" i="4"/>
  <c r="AA28" i="4"/>
  <c r="AA25" i="4"/>
  <c r="AA21" i="4"/>
  <c r="AO36" i="4"/>
  <c r="AF16" i="4"/>
  <c r="AF6" i="4"/>
  <c r="AV51" i="4"/>
  <c r="AV74" i="4"/>
  <c r="AV80" i="4"/>
  <c r="AV34" i="4"/>
  <c r="AV17" i="4"/>
  <c r="AV47" i="4"/>
  <c r="AV75" i="4"/>
  <c r="AV58" i="4"/>
  <c r="AV136" i="4"/>
  <c r="AV135" i="4"/>
  <c r="AV119" i="4"/>
  <c r="BC21" i="4"/>
  <c r="BC7" i="4"/>
  <c r="CB8" i="4"/>
  <c r="BZ7" i="4"/>
  <c r="CI10" i="4"/>
  <c r="CG36" i="4"/>
  <c r="CG7" i="4"/>
  <c r="CG23" i="4"/>
  <c r="DD4" i="4"/>
  <c r="R328" i="4"/>
  <c r="AA27" i="4"/>
  <c r="AA13" i="4"/>
  <c r="AA9" i="4"/>
  <c r="AF7" i="4"/>
  <c r="AF12" i="4"/>
  <c r="AV62" i="4"/>
  <c r="AV85" i="4"/>
  <c r="AV91" i="4"/>
  <c r="AV97" i="4"/>
  <c r="AV46" i="4"/>
  <c r="AV28" i="4"/>
  <c r="AV59" i="4"/>
  <c r="AV86" i="4"/>
  <c r="AV9" i="4"/>
  <c r="AV181" i="4"/>
  <c r="AV180" i="4"/>
  <c r="AV132" i="4"/>
  <c r="BC6" i="4"/>
  <c r="BC54" i="4"/>
  <c r="CB10" i="4"/>
  <c r="BZ9" i="4"/>
  <c r="CG15" i="4"/>
  <c r="CG19" i="4"/>
  <c r="CG34" i="4"/>
  <c r="CP23" i="4"/>
  <c r="CI37" i="4"/>
  <c r="AA35" i="4"/>
  <c r="AA31" i="4"/>
  <c r="AF27" i="4"/>
  <c r="AF18" i="4"/>
  <c r="AV83" i="4"/>
  <c r="AV95" i="4"/>
  <c r="AV108" i="4"/>
  <c r="AV131" i="4"/>
  <c r="AV10" i="4"/>
  <c r="AV40" i="4"/>
  <c r="AV69" i="4"/>
  <c r="AV96" i="4"/>
  <c r="AV21" i="4"/>
  <c r="AV113" i="4"/>
  <c r="AV105" i="4"/>
  <c r="AV101" i="4"/>
  <c r="BC27" i="4"/>
  <c r="BZ4" i="4"/>
  <c r="CI12" i="4"/>
  <c r="CG27" i="4"/>
  <c r="CG30" i="4"/>
  <c r="CG6" i="4"/>
  <c r="AO37" i="4"/>
  <c r="AA18" i="4"/>
  <c r="AA24" i="4"/>
  <c r="AA20" i="4"/>
  <c r="AF15" i="4"/>
  <c r="AF24" i="4"/>
  <c r="AV93" i="4"/>
  <c r="AV100" i="4"/>
  <c r="AV79" i="4"/>
  <c r="AV15" i="4"/>
  <c r="AV22" i="4"/>
  <c r="AV52" i="4"/>
  <c r="AV102" i="4"/>
  <c r="AV32" i="4"/>
  <c r="AV125" i="4"/>
  <c r="AV117" i="4"/>
  <c r="AV114" i="4"/>
  <c r="BC26" i="4"/>
  <c r="BC38" i="4"/>
  <c r="CB12" i="4"/>
  <c r="BZ11" i="4"/>
  <c r="CI35" i="4"/>
  <c r="CG10" i="4"/>
  <c r="CG14" i="4"/>
  <c r="CG18" i="4"/>
  <c r="N296" i="4"/>
  <c r="AA17" i="4"/>
  <c r="AA12" i="4"/>
  <c r="AA8" i="4"/>
  <c r="AF19" i="4"/>
  <c r="AV106" i="4"/>
  <c r="AV118" i="4"/>
  <c r="AV89" i="4"/>
  <c r="AV27" i="4"/>
  <c r="AV33" i="4"/>
  <c r="AV63" i="4"/>
  <c r="AV90" i="4"/>
  <c r="AV14" i="4"/>
  <c r="AV44" i="4"/>
  <c r="AV138" i="4"/>
  <c r="AV129" i="4"/>
  <c r="BC8" i="4"/>
  <c r="CG22" i="4"/>
  <c r="CG26" i="4"/>
  <c r="X325" i="4"/>
  <c r="CO325" i="4"/>
  <c r="HK3" i="4"/>
  <c r="HJ3" i="4"/>
  <c r="HO3" i="4"/>
  <c r="HN3" i="4"/>
  <c r="BL36" i="4"/>
  <c r="BL8" i="4"/>
  <c r="T296" i="4"/>
  <c r="BL42" i="4"/>
  <c r="BL9" i="4"/>
  <c r="BL35" i="4"/>
  <c r="P287" i="4"/>
  <c r="BL11" i="4"/>
  <c r="CN40" i="4"/>
  <c r="X310" i="4"/>
  <c r="BT310" i="4"/>
  <c r="HA298" i="4"/>
  <c r="P298" i="4"/>
  <c r="DU290" i="4"/>
  <c r="CL67" i="4"/>
  <c r="HA288" i="4"/>
  <c r="P288" i="4"/>
  <c r="HA245" i="4"/>
  <c r="CI18" i="4"/>
  <c r="CJ25" i="4"/>
  <c r="CJ5" i="4"/>
  <c r="CE4" i="4"/>
  <c r="CN46" i="4"/>
  <c r="CN14" i="4"/>
  <c r="CQ23" i="4"/>
  <c r="R101" i="4"/>
  <c r="CJ4" i="4"/>
  <c r="CI31" i="4"/>
  <c r="CI21" i="4"/>
  <c r="CE11" i="4"/>
  <c r="CN18" i="4"/>
  <c r="CN15" i="4"/>
  <c r="CN26" i="4"/>
  <c r="CL54" i="4"/>
  <c r="DU296" i="4"/>
  <c r="HA209" i="4"/>
  <c r="CJ8" i="4"/>
  <c r="CI24" i="4"/>
  <c r="CI32" i="4"/>
  <c r="CE34" i="4"/>
  <c r="CN48" i="4"/>
  <c r="CN27" i="4"/>
  <c r="CN37" i="4"/>
  <c r="CI34" i="4"/>
  <c r="CI27" i="4"/>
  <c r="CJ9" i="4"/>
  <c r="CE13" i="4"/>
  <c r="CN50" i="4"/>
  <c r="T304" i="4"/>
  <c r="CJ6" i="4"/>
  <c r="CJ12" i="4"/>
  <c r="CI16" i="4"/>
  <c r="CE45" i="4"/>
  <c r="CE8" i="4"/>
  <c r="CL43" i="4"/>
  <c r="CL58" i="4"/>
  <c r="HA163" i="4"/>
  <c r="CI22" i="4"/>
  <c r="CI19" i="4"/>
  <c r="CE10" i="4"/>
  <c r="CE20" i="4"/>
  <c r="BZ17" i="4"/>
  <c r="CI25" i="4"/>
  <c r="CI33" i="4"/>
  <c r="CI30" i="4"/>
  <c r="CE5" i="4"/>
  <c r="CQ30" i="4"/>
  <c r="CI36" i="4"/>
  <c r="CJ7" i="4"/>
  <c r="CE12" i="4"/>
  <c r="CJ10" i="4"/>
  <c r="CI14" i="4"/>
  <c r="CE7" i="4"/>
  <c r="CQ29" i="4"/>
  <c r="CJ11" i="4"/>
  <c r="CJ13" i="4"/>
  <c r="CI17" i="4"/>
  <c r="CI26" i="4"/>
  <c r="CE49" i="4"/>
  <c r="CI29" i="4"/>
  <c r="CI20" i="4"/>
  <c r="CI28" i="4"/>
  <c r="CN34" i="4"/>
  <c r="CN29" i="4"/>
  <c r="CN42" i="4"/>
  <c r="FO330" i="4"/>
  <c r="FO332" i="4"/>
  <c r="GT5" i="4"/>
  <c r="GT4" i="4"/>
  <c r="N326" i="4"/>
  <c r="HA326" i="4"/>
  <c r="FO333" i="4"/>
  <c r="GP4" i="4"/>
  <c r="CF309" i="4"/>
  <c r="V309" i="4"/>
  <c r="FO331" i="4"/>
  <c r="FO327" i="4"/>
  <c r="FO329" i="4"/>
  <c r="FO328" i="4"/>
  <c r="FO325" i="4"/>
  <c r="FO326" i="4"/>
  <c r="GN4" i="4"/>
  <c r="GN5" i="4"/>
  <c r="FO323" i="4"/>
  <c r="FO324" i="4"/>
  <c r="GV4" i="4"/>
  <c r="FO334" i="4"/>
  <c r="DG296" i="4"/>
  <c r="AC177" i="4"/>
  <c r="CU18" i="4"/>
  <c r="BC55" i="4"/>
  <c r="BS16" i="4"/>
  <c r="CN47" i="4"/>
  <c r="CN43" i="4"/>
  <c r="CQ40" i="4"/>
  <c r="CU13" i="4"/>
  <c r="DG290" i="4"/>
  <c r="HA104" i="4"/>
  <c r="CL127" i="4"/>
  <c r="DG297" i="4"/>
  <c r="AC152" i="4"/>
  <c r="AC120" i="4"/>
  <c r="BZ14" i="4"/>
  <c r="CL91" i="4"/>
  <c r="CL161" i="4"/>
  <c r="AC149" i="4"/>
  <c r="CL95" i="4"/>
  <c r="CL178" i="4"/>
  <c r="CL180" i="4"/>
  <c r="CN25" i="4"/>
  <c r="CN16" i="4"/>
  <c r="CN45" i="4"/>
  <c r="CN44" i="4"/>
  <c r="CL84" i="4"/>
  <c r="CL209" i="4"/>
  <c r="CU16" i="4"/>
  <c r="HA251" i="4"/>
  <c r="AC174" i="4"/>
  <c r="CN35" i="4"/>
  <c r="CN17" i="4"/>
  <c r="CL92" i="4"/>
  <c r="CL143" i="4"/>
  <c r="CQ22" i="4"/>
  <c r="CU15" i="4"/>
  <c r="R297" i="4"/>
  <c r="CN41" i="4"/>
  <c r="CN39" i="4"/>
  <c r="CN28" i="4"/>
  <c r="CL90" i="4"/>
  <c r="CL109" i="4"/>
  <c r="CU19" i="4"/>
  <c r="CN24" i="4"/>
  <c r="CN31" i="4"/>
  <c r="CN51" i="4"/>
  <c r="CU20" i="4"/>
  <c r="AQ96" i="4"/>
  <c r="AC333" i="4"/>
  <c r="AC310" i="4"/>
  <c r="AC331" i="4"/>
  <c r="AC325" i="4"/>
  <c r="DG307" i="4"/>
  <c r="CS326" i="4"/>
  <c r="R293" i="4"/>
  <c r="HA293" i="4"/>
  <c r="CE25" i="4"/>
  <c r="CS328" i="4"/>
  <c r="CL307" i="4"/>
  <c r="CZ326" i="4"/>
  <c r="AV239" i="4"/>
  <c r="EB290" i="4"/>
  <c r="CS30" i="4"/>
  <c r="DU313" i="4"/>
  <c r="CL327" i="4"/>
  <c r="CZ328" i="4"/>
  <c r="AJ325" i="4"/>
  <c r="DG326" i="4"/>
  <c r="P303" i="4"/>
  <c r="HA303" i="4"/>
  <c r="R292" i="4"/>
  <c r="HA292" i="4"/>
  <c r="EB313" i="4"/>
  <c r="CS327" i="4"/>
  <c r="CS333" i="4"/>
  <c r="CS331" i="4"/>
  <c r="CS308" i="4"/>
  <c r="CS309" i="4"/>
  <c r="CS312" i="4"/>
  <c r="CS310" i="4"/>
  <c r="CS306" i="4"/>
  <c r="CS329" i="4"/>
  <c r="CS334" i="4"/>
  <c r="CS325" i="4"/>
  <c r="CL332" i="4"/>
  <c r="CS323" i="4"/>
  <c r="R300" i="4"/>
  <c r="HA300" i="4"/>
  <c r="CZ290" i="4"/>
  <c r="AC85" i="4"/>
  <c r="DG313" i="4"/>
  <c r="CZ327" i="4"/>
  <c r="CS332" i="4"/>
  <c r="CL324" i="4"/>
  <c r="DU326" i="4"/>
  <c r="CL326" i="4"/>
  <c r="CZ323" i="4"/>
  <c r="DU292" i="4"/>
  <c r="CL313" i="4"/>
  <c r="DU328" i="4"/>
  <c r="EF333" i="4"/>
  <c r="EF306" i="4"/>
  <c r="EF309" i="4"/>
  <c r="EF331" i="4"/>
  <c r="EF308" i="4"/>
  <c r="EF334" i="4"/>
  <c r="EF329" i="4"/>
  <c r="EF325" i="4"/>
  <c r="EF310" i="4"/>
  <c r="CS324" i="4"/>
  <c r="EB326" i="4"/>
  <c r="FO312" i="4"/>
  <c r="FO322" i="4"/>
  <c r="FO295" i="4"/>
  <c r="FO294" i="4"/>
  <c r="FO319" i="4"/>
  <c r="FO299" i="4"/>
  <c r="FO316" i="4"/>
  <c r="FO318" i="4"/>
  <c r="FO300" i="4"/>
  <c r="FO290" i="4"/>
  <c r="FO314" i="4"/>
  <c r="FO320" i="4"/>
  <c r="FO309" i="4"/>
  <c r="FO313" i="4"/>
  <c r="FO303" i="4"/>
  <c r="FO293" i="4"/>
  <c r="FO306" i="4"/>
  <c r="FO296" i="4"/>
  <c r="FO311" i="4"/>
  <c r="FO305" i="4"/>
  <c r="FO291" i="4"/>
  <c r="FO315" i="4"/>
  <c r="FO292" i="4"/>
  <c r="FO308" i="4"/>
  <c r="FO304" i="4"/>
  <c r="FO317" i="4"/>
  <c r="FO301" i="4"/>
  <c r="FO298" i="4"/>
  <c r="FO310" i="4"/>
  <c r="FO302" i="4"/>
  <c r="EB328" i="4"/>
  <c r="DG332" i="4"/>
  <c r="CZ324" i="4"/>
  <c r="CS307" i="4"/>
  <c r="AJ326" i="4"/>
  <c r="DU327" i="4"/>
  <c r="CZ307" i="4"/>
  <c r="DU323" i="4"/>
  <c r="CL290" i="4"/>
  <c r="EB327" i="4"/>
  <c r="CL328" i="4"/>
  <c r="DG328" i="4"/>
  <c r="CL333" i="4"/>
  <c r="CL334" i="4"/>
  <c r="CL306" i="4"/>
  <c r="CL329" i="4"/>
  <c r="CL309" i="4"/>
  <c r="CL310" i="4"/>
  <c r="CL308" i="4"/>
  <c r="CL325" i="4"/>
  <c r="DU333" i="4"/>
  <c r="DU308" i="4"/>
  <c r="DU309" i="4"/>
  <c r="DU325" i="4"/>
  <c r="DU306" i="4"/>
  <c r="DU334" i="4"/>
  <c r="DU329" i="4"/>
  <c r="DU310" i="4"/>
  <c r="DU332" i="4"/>
  <c r="EB323" i="4"/>
  <c r="R302" i="4"/>
  <c r="HA302" i="4"/>
  <c r="DG327" i="4"/>
  <c r="EB333" i="4"/>
  <c r="EB334" i="4"/>
  <c r="EB325" i="4"/>
  <c r="EB310" i="4"/>
  <c r="EB308" i="4"/>
  <c r="EB306" i="4"/>
  <c r="EB309" i="4"/>
  <c r="EB329" i="4"/>
  <c r="EB332" i="4"/>
  <c r="DU324" i="4"/>
  <c r="DG323" i="4"/>
  <c r="EI291" i="4"/>
  <c r="EI333" i="4"/>
  <c r="EI322" i="4"/>
  <c r="EI331" i="4"/>
  <c r="EI309" i="4"/>
  <c r="EI310" i="4"/>
  <c r="EI325" i="4"/>
  <c r="CL292" i="4"/>
  <c r="CS313" i="4"/>
  <c r="DG333" i="4"/>
  <c r="DG306" i="4"/>
  <c r="DG308" i="4"/>
  <c r="DG310" i="4"/>
  <c r="DG334" i="4"/>
  <c r="DG329" i="4"/>
  <c r="DG325" i="4"/>
  <c r="DG309" i="4"/>
  <c r="CZ310" i="4"/>
  <c r="CZ308" i="4"/>
  <c r="CZ325" i="4"/>
  <c r="CZ309" i="4"/>
  <c r="CZ312" i="4"/>
  <c r="CZ306" i="4"/>
  <c r="CZ329" i="4"/>
  <c r="EB324" i="4"/>
  <c r="DU307" i="4"/>
  <c r="CL323" i="4"/>
  <c r="HD63" i="4"/>
  <c r="HF326" i="4"/>
  <c r="HF333" i="4"/>
  <c r="HF317" i="4"/>
  <c r="HF325" i="4"/>
  <c r="HF308" i="4"/>
  <c r="HF332" i="4"/>
  <c r="HF316" i="4"/>
  <c r="HF311" i="4"/>
  <c r="HF322" i="4"/>
  <c r="HF312" i="4"/>
  <c r="HF334" i="4"/>
  <c r="HF329" i="4"/>
  <c r="HF315" i="4"/>
  <c r="HF310" i="4"/>
  <c r="HF324" i="4"/>
  <c r="HF321" i="4"/>
  <c r="HF303" i="4"/>
  <c r="HF330" i="4"/>
  <c r="HF314" i="4"/>
  <c r="HF320" i="4"/>
  <c r="HF307" i="4"/>
  <c r="HF327" i="4"/>
  <c r="HF313" i="4"/>
  <c r="HF323" i="4"/>
  <c r="HF318" i="4"/>
  <c r="HF309" i="4"/>
  <c r="CZ313" i="4"/>
  <c r="DG324" i="4"/>
  <c r="EB307" i="4"/>
  <c r="X317" i="4"/>
  <c r="CA317" i="4"/>
  <c r="BY334" i="4"/>
  <c r="V334" i="4"/>
  <c r="CA319" i="4"/>
  <c r="X319" i="4"/>
  <c r="EI320" i="4"/>
  <c r="R320" i="4"/>
  <c r="EI315" i="4"/>
  <c r="R315" i="4"/>
  <c r="HA315" i="4"/>
  <c r="AD320" i="4"/>
  <c r="X320" i="4"/>
  <c r="EI312" i="4"/>
  <c r="X315" i="4"/>
  <c r="CA315" i="4"/>
  <c r="EI328" i="4"/>
  <c r="CS311" i="4"/>
  <c r="X318" i="4"/>
  <c r="BM318" i="4"/>
  <c r="CZ311" i="4"/>
  <c r="EI318" i="4"/>
  <c r="R318" i="4"/>
  <c r="EF312" i="4"/>
  <c r="EI316" i="4"/>
  <c r="EI324" i="4"/>
  <c r="FO307" i="4"/>
  <c r="EI330" i="4"/>
  <c r="N330" i="4"/>
  <c r="FO321" i="4"/>
  <c r="DU311" i="4"/>
  <c r="BW330" i="4"/>
  <c r="T330" i="4"/>
  <c r="EI314" i="4"/>
  <c r="N314" i="4"/>
  <c r="X308" i="4"/>
  <c r="BT308" i="4"/>
  <c r="EI321" i="4"/>
  <c r="EB311" i="4"/>
  <c r="T314" i="4"/>
  <c r="BP314" i="4"/>
  <c r="HA311" i="4"/>
  <c r="HA318" i="4"/>
  <c r="EI308" i="4"/>
  <c r="R308" i="4"/>
  <c r="EI313" i="4"/>
  <c r="DG311" i="4"/>
  <c r="FO297" i="4"/>
  <c r="CL311" i="4"/>
  <c r="EI329" i="4"/>
  <c r="N329" i="4"/>
  <c r="HA320" i="4"/>
  <c r="EI317" i="4"/>
  <c r="R317" i="4"/>
  <c r="T329" i="4"/>
  <c r="Z329" i="4"/>
  <c r="EI334" i="4"/>
  <c r="P334" i="4"/>
  <c r="EI319" i="4"/>
  <c r="R319" i="4"/>
  <c r="EF332" i="4"/>
  <c r="EI332" i="4"/>
  <c r="EF330" i="4"/>
  <c r="CL330" i="4"/>
  <c r="DG331" i="4"/>
  <c r="EB331" i="4"/>
  <c r="CS330" i="4"/>
  <c r="DU331" i="4"/>
  <c r="DU330" i="4"/>
  <c r="EB330" i="4"/>
  <c r="CL331" i="4"/>
  <c r="DG330" i="4"/>
  <c r="EF328" i="4"/>
  <c r="EI327" i="4"/>
  <c r="EF327" i="4"/>
  <c r="EF326" i="4"/>
  <c r="EI326" i="4"/>
  <c r="EF324" i="4"/>
  <c r="EF323" i="4"/>
  <c r="EI323" i="4"/>
  <c r="DG319" i="4"/>
  <c r="EF319" i="4"/>
  <c r="EB319" i="4"/>
  <c r="CS319" i="4"/>
  <c r="AC316" i="4"/>
  <c r="DU319" i="4"/>
  <c r="CZ319" i="4"/>
  <c r="CL319" i="4"/>
  <c r="CL321" i="4"/>
  <c r="CS321" i="4"/>
  <c r="CL316" i="4"/>
  <c r="AJ321" i="4"/>
  <c r="CZ321" i="4"/>
  <c r="EB316" i="4"/>
  <c r="CZ316" i="4"/>
  <c r="EB321" i="4"/>
  <c r="DU321" i="4"/>
  <c r="DG321" i="4"/>
  <c r="CS316" i="4"/>
  <c r="CZ314" i="4"/>
  <c r="DU318" i="4"/>
  <c r="CZ317" i="4"/>
  <c r="DU316" i="4"/>
  <c r="DG316" i="4"/>
  <c r="EF314" i="4"/>
  <c r="CS320" i="4"/>
  <c r="CS322" i="4"/>
  <c r="DG320" i="4"/>
  <c r="EF320" i="4"/>
  <c r="EB315" i="4"/>
  <c r="AJ320" i="4"/>
  <c r="CZ322" i="4"/>
  <c r="DG318" i="4"/>
  <c r="CL318" i="4"/>
  <c r="CL320" i="4"/>
  <c r="DG317" i="4"/>
  <c r="CZ320" i="4"/>
  <c r="EB318" i="4"/>
  <c r="EB314" i="4"/>
  <c r="CS314" i="4"/>
  <c r="DG312" i="4"/>
  <c r="CZ315" i="4"/>
  <c r="EB320" i="4"/>
  <c r="EB317" i="4"/>
  <c r="EF318" i="4"/>
  <c r="CL322" i="4"/>
  <c r="DG322" i="4"/>
  <c r="CS315" i="4"/>
  <c r="CS317" i="4"/>
  <c r="DG314" i="4"/>
  <c r="DW317" i="4"/>
  <c r="DU320" i="4"/>
  <c r="CL312" i="4"/>
  <c r="AC317" i="4"/>
  <c r="EB312" i="4"/>
  <c r="EF322" i="4"/>
  <c r="CS318" i="4"/>
  <c r="DU317" i="4"/>
  <c r="CL317" i="4"/>
  <c r="EF317" i="4"/>
  <c r="EB322" i="4"/>
  <c r="DU312" i="4"/>
  <c r="CZ318" i="4"/>
  <c r="EF315" i="4"/>
  <c r="DU315" i="4"/>
  <c r="CL315" i="4"/>
  <c r="DU322" i="4"/>
  <c r="DG315" i="4"/>
  <c r="AC320" i="4"/>
  <c r="CL314" i="4"/>
  <c r="AC312" i="4"/>
  <c r="DU314" i="4"/>
  <c r="EF321" i="4"/>
  <c r="EF316" i="4"/>
  <c r="EF313" i="4"/>
  <c r="EF311" i="4"/>
  <c r="EI311" i="4"/>
  <c r="EI307" i="4"/>
  <c r="EF307" i="4"/>
  <c r="EI306" i="4"/>
  <c r="N306" i="4"/>
  <c r="T306" i="4"/>
  <c r="Z306" i="4"/>
  <c r="HF306" i="4"/>
  <c r="CA292" i="4"/>
  <c r="X292" i="4"/>
  <c r="HA201" i="4"/>
  <c r="AC62" i="4"/>
  <c r="AC164" i="4"/>
  <c r="AC155" i="4"/>
  <c r="AC153" i="4"/>
  <c r="AC141" i="4"/>
  <c r="AC131" i="4"/>
  <c r="AC184" i="4"/>
  <c r="AC48" i="4"/>
  <c r="AC90" i="4"/>
  <c r="AC137" i="4"/>
  <c r="AC181" i="4"/>
  <c r="AC97" i="4"/>
  <c r="AC158" i="4"/>
  <c r="AC74" i="4"/>
  <c r="AQ80" i="4"/>
  <c r="AV149" i="4"/>
  <c r="AV172" i="4"/>
  <c r="AV148" i="4"/>
  <c r="AV155" i="4"/>
  <c r="AV171" i="4"/>
  <c r="AV198" i="4"/>
  <c r="AV206" i="4"/>
  <c r="AV224" i="4"/>
  <c r="AV233" i="4"/>
  <c r="CJ15" i="4"/>
  <c r="CJ17" i="4"/>
  <c r="CJ19" i="4"/>
  <c r="CJ21" i="4"/>
  <c r="CE28" i="4"/>
  <c r="CE14" i="4"/>
  <c r="CE51" i="4"/>
  <c r="CE36" i="4"/>
  <c r="HD114" i="4"/>
  <c r="V186" i="4"/>
  <c r="CF186" i="4"/>
  <c r="V183" i="4"/>
  <c r="CF183" i="4"/>
  <c r="T212" i="4"/>
  <c r="BW212" i="4"/>
  <c r="V262" i="4"/>
  <c r="AP262" i="4"/>
  <c r="X89" i="4"/>
  <c r="BT89" i="4"/>
  <c r="X213" i="4"/>
  <c r="BM213" i="4"/>
  <c r="X189" i="4"/>
  <c r="CA189" i="4"/>
  <c r="V250" i="4"/>
  <c r="AW250" i="4"/>
  <c r="T226" i="4"/>
  <c r="Z226" i="4"/>
  <c r="X214" i="4"/>
  <c r="AD214" i="4"/>
  <c r="V181" i="4"/>
  <c r="AW181" i="4"/>
  <c r="V233" i="4"/>
  <c r="BY233" i="4"/>
  <c r="T170" i="4"/>
  <c r="BI170" i="4"/>
  <c r="CL294" i="4"/>
  <c r="HF290" i="4"/>
  <c r="CM163" i="4"/>
  <c r="N86" i="4"/>
  <c r="AC127" i="4"/>
  <c r="AC117" i="4"/>
  <c r="AC115" i="4"/>
  <c r="AC105" i="4"/>
  <c r="AC118" i="4"/>
  <c r="AC173" i="4"/>
  <c r="AC124" i="4"/>
  <c r="AC170" i="4"/>
  <c r="AC146" i="4"/>
  <c r="AC64" i="4"/>
  <c r="AQ91" i="4"/>
  <c r="AQ78" i="4"/>
  <c r="AQ77" i="4"/>
  <c r="AV210" i="4"/>
  <c r="AV161" i="4"/>
  <c r="AV183" i="4"/>
  <c r="AV160" i="4"/>
  <c r="AV182" i="4"/>
  <c r="AV211" i="4"/>
  <c r="AV218" i="4"/>
  <c r="AV234" i="4"/>
  <c r="AV229" i="4"/>
  <c r="CE40" i="4"/>
  <c r="CE26" i="4"/>
  <c r="CE48" i="4"/>
  <c r="AV204" i="4"/>
  <c r="X222" i="4"/>
  <c r="DQ222" i="4"/>
  <c r="V232" i="4"/>
  <c r="BY232" i="4"/>
  <c r="X78" i="4"/>
  <c r="CH78" i="4"/>
  <c r="X174" i="4"/>
  <c r="BT174" i="4"/>
  <c r="V234" i="4"/>
  <c r="CM234" i="4"/>
  <c r="X300" i="4"/>
  <c r="CH300" i="4"/>
  <c r="HF302" i="4"/>
  <c r="X293" i="4"/>
  <c r="DQ293" i="4"/>
  <c r="N247" i="4"/>
  <c r="AC92" i="4"/>
  <c r="AC83" i="4"/>
  <c r="AC81" i="4"/>
  <c r="AC106" i="4"/>
  <c r="AC69" i="4"/>
  <c r="AC112" i="4"/>
  <c r="AC161" i="4"/>
  <c r="AC76" i="4"/>
  <c r="AC133" i="4"/>
  <c r="AC189" i="4"/>
  <c r="AC53" i="4"/>
  <c r="AQ88" i="4"/>
  <c r="AQ87" i="4"/>
  <c r="AV146" i="4"/>
  <c r="AV170" i="4"/>
  <c r="AV205" i="4"/>
  <c r="AV153" i="4"/>
  <c r="AV169" i="4"/>
  <c r="AV193" i="4"/>
  <c r="AV222" i="4"/>
  <c r="AV230" i="4"/>
  <c r="CJ16" i="4"/>
  <c r="CJ27" i="4"/>
  <c r="CJ28" i="4"/>
  <c r="CJ30" i="4"/>
  <c r="CJ32" i="4"/>
  <c r="CE22" i="4"/>
  <c r="CE52" i="4"/>
  <c r="CE37" i="4"/>
  <c r="CE23" i="4"/>
  <c r="CS34" i="4"/>
  <c r="HD225" i="4"/>
  <c r="HD240" i="4"/>
  <c r="AC103" i="4"/>
  <c r="X178" i="4"/>
  <c r="BT178" i="4"/>
  <c r="X241" i="4"/>
  <c r="BT241" i="4"/>
  <c r="T88" i="4"/>
  <c r="Z88" i="4"/>
  <c r="T86" i="4"/>
  <c r="BI86" i="4"/>
  <c r="X205" i="4"/>
  <c r="BF205" i="4"/>
  <c r="T247" i="4"/>
  <c r="AN247" i="4"/>
  <c r="X219" i="4"/>
  <c r="CO219" i="4"/>
  <c r="X180" i="4"/>
  <c r="BT180" i="4"/>
  <c r="V216" i="4"/>
  <c r="AW216" i="4"/>
  <c r="V167" i="4"/>
  <c r="AW167" i="4"/>
  <c r="X254" i="4"/>
  <c r="CA254" i="4"/>
  <c r="X198" i="4"/>
  <c r="BM198" i="4"/>
  <c r="X75" i="4"/>
  <c r="CA75" i="4"/>
  <c r="V201" i="4"/>
  <c r="CF201" i="4"/>
  <c r="CA268" i="4"/>
  <c r="CF287" i="4"/>
  <c r="DO76" i="4"/>
  <c r="DP351" i="4" s="1"/>
  <c r="EC29" i="4"/>
  <c r="EG194" i="4" s="1"/>
  <c r="P216" i="4"/>
  <c r="AC129" i="4"/>
  <c r="AC140" i="4"/>
  <c r="AC84" i="4"/>
  <c r="AC139" i="4"/>
  <c r="AC183" i="4"/>
  <c r="AC89" i="4"/>
  <c r="AC136" i="4"/>
  <c r="AC191" i="4"/>
  <c r="AC55" i="4"/>
  <c r="AC108" i="4"/>
  <c r="AC166" i="4"/>
  <c r="AQ95" i="4"/>
  <c r="AQ97" i="4"/>
  <c r="AQ90" i="4"/>
  <c r="AV192" i="4"/>
  <c r="AV158" i="4"/>
  <c r="AV174" i="4"/>
  <c r="AV196" i="4"/>
  <c r="AV238" i="4"/>
  <c r="CE24" i="4"/>
  <c r="CE46" i="4"/>
  <c r="CE31" i="4"/>
  <c r="CS290" i="4"/>
  <c r="V166" i="4"/>
  <c r="BY166" i="4"/>
  <c r="V248" i="4"/>
  <c r="AW248" i="4"/>
  <c r="X82" i="4"/>
  <c r="DQ82" i="4"/>
  <c r="X160" i="4"/>
  <c r="CA160" i="4"/>
  <c r="X173" i="4"/>
  <c r="BT173" i="4"/>
  <c r="T257" i="4"/>
  <c r="AN257" i="4"/>
  <c r="V224" i="4"/>
  <c r="AP224" i="4"/>
  <c r="X218" i="4"/>
  <c r="CA218" i="4"/>
  <c r="T231" i="4"/>
  <c r="BB231" i="4"/>
  <c r="T105" i="4"/>
  <c r="BI105" i="4"/>
  <c r="X197" i="4"/>
  <c r="BT197" i="4"/>
  <c r="T282" i="4"/>
  <c r="AN282" i="4"/>
  <c r="X281" i="4"/>
  <c r="BM281" i="4"/>
  <c r="CA277" i="4"/>
  <c r="T258" i="4"/>
  <c r="AN258" i="4"/>
  <c r="AC102" i="4"/>
  <c r="AC187" i="4"/>
  <c r="AC185" i="4"/>
  <c r="AC104" i="4"/>
  <c r="AC73" i="4"/>
  <c r="AC126" i="4"/>
  <c r="AC172" i="4"/>
  <c r="AC79" i="4"/>
  <c r="AC123" i="4"/>
  <c r="AC179" i="4"/>
  <c r="AC96" i="4"/>
  <c r="AC157" i="4"/>
  <c r="AQ89" i="4"/>
  <c r="AV201" i="4"/>
  <c r="AV167" i="4"/>
  <c r="AV185" i="4"/>
  <c r="AV200" i="4"/>
  <c r="AV209" i="4"/>
  <c r="AV147" i="4"/>
  <c r="AV154" i="4"/>
  <c r="AV232" i="4"/>
  <c r="CJ36" i="4"/>
  <c r="CJ14" i="4"/>
  <c r="CE33" i="4"/>
  <c r="CE35" i="4"/>
  <c r="CE21" i="4"/>
  <c r="CE43" i="4"/>
  <c r="CS31" i="4"/>
  <c r="EB297" i="4"/>
  <c r="X221" i="4"/>
  <c r="DQ221" i="4"/>
  <c r="X249" i="4"/>
  <c r="AR249" i="4"/>
  <c r="X280" i="4"/>
  <c r="AY280" i="4"/>
  <c r="HF297" i="4"/>
  <c r="AR274" i="4"/>
  <c r="V179" i="4"/>
  <c r="AW179" i="4"/>
  <c r="T225" i="4"/>
  <c r="CD225" i="4"/>
  <c r="CE444" i="4" s="1"/>
  <c r="AC93" i="4"/>
  <c r="AC135" i="4"/>
  <c r="AC160" i="4"/>
  <c r="AC154" i="4"/>
  <c r="AC148" i="4"/>
  <c r="AC72" i="4"/>
  <c r="AC63" i="4"/>
  <c r="AC114" i="4"/>
  <c r="AC163" i="4"/>
  <c r="AC68" i="4"/>
  <c r="AC111" i="4"/>
  <c r="AC168" i="4"/>
  <c r="AC86" i="4"/>
  <c r="AC143" i="4"/>
  <c r="AQ81" i="4"/>
  <c r="AV215" i="4"/>
  <c r="AV178" i="4"/>
  <c r="AV214" i="4"/>
  <c r="AV159" i="4"/>
  <c r="AV165" i="4"/>
  <c r="AV228" i="4"/>
  <c r="CJ23" i="4"/>
  <c r="CE15" i="4"/>
  <c r="CE47" i="4"/>
  <c r="CE32" i="4"/>
  <c r="CE18" i="4"/>
  <c r="CL297" i="4"/>
  <c r="CS131" i="4"/>
  <c r="V195" i="4"/>
  <c r="BR195" i="4"/>
  <c r="X102" i="4"/>
  <c r="BT102" i="4"/>
  <c r="X229" i="4"/>
  <c r="CA229" i="4"/>
  <c r="V171" i="4"/>
  <c r="BY171" i="4"/>
  <c r="T169" i="4"/>
  <c r="BI169" i="4"/>
  <c r="X211" i="4"/>
  <c r="BT211" i="4"/>
  <c r="T227" i="4"/>
  <c r="BI227" i="4"/>
  <c r="X223" i="4"/>
  <c r="DQ223" i="4"/>
  <c r="X200" i="4"/>
  <c r="BF200" i="4"/>
  <c r="T79" i="4"/>
  <c r="Z79" i="4"/>
  <c r="AA448" i="4" s="1"/>
  <c r="X85" i="4"/>
  <c r="BT85" i="4"/>
  <c r="X217" i="4"/>
  <c r="BT217" i="4"/>
  <c r="T207" i="4"/>
  <c r="BW207" i="4"/>
  <c r="T176" i="4"/>
  <c r="BI176" i="4"/>
  <c r="HF304" i="4"/>
  <c r="CH302" i="4"/>
  <c r="X302" i="4"/>
  <c r="HF301" i="4"/>
  <c r="AN69" i="4"/>
  <c r="DB408" i="4"/>
  <c r="R180" i="4"/>
  <c r="AC165" i="4"/>
  <c r="AC122" i="4"/>
  <c r="AC116" i="4"/>
  <c r="AC110" i="4"/>
  <c r="AC52" i="4"/>
  <c r="AC101" i="4"/>
  <c r="AC151" i="4"/>
  <c r="AC58" i="4"/>
  <c r="AC98" i="4"/>
  <c r="AC159" i="4"/>
  <c r="AC75" i="4"/>
  <c r="AC132" i="4"/>
  <c r="AQ92" i="4"/>
  <c r="AV190" i="4"/>
  <c r="AV207" i="4"/>
  <c r="AV143" i="4"/>
  <c r="AV152" i="4"/>
  <c r="AV168" i="4"/>
  <c r="AV175" i="4"/>
  <c r="AV226" i="4"/>
  <c r="CJ22" i="4"/>
  <c r="CJ24" i="4"/>
  <c r="CJ26" i="4"/>
  <c r="CE27" i="4"/>
  <c r="CE44" i="4"/>
  <c r="CE29" i="4"/>
  <c r="CS73" i="4"/>
  <c r="CS253" i="4"/>
  <c r="V252" i="4"/>
  <c r="BR252" i="4"/>
  <c r="HF296" i="4"/>
  <c r="HF294" i="4"/>
  <c r="CM188" i="4"/>
  <c r="DX177" i="4"/>
  <c r="DY371" i="4" s="1"/>
  <c r="BM285" i="4"/>
  <c r="EC284" i="4"/>
  <c r="R198" i="4"/>
  <c r="AC128" i="4"/>
  <c r="AC87" i="4"/>
  <c r="AC82" i="4"/>
  <c r="AC77" i="4"/>
  <c r="AC188" i="4"/>
  <c r="AC91" i="4"/>
  <c r="AC138" i="4"/>
  <c r="AC182" i="4"/>
  <c r="AC88" i="4"/>
  <c r="AC147" i="4"/>
  <c r="AC119" i="4"/>
  <c r="AQ79" i="4"/>
  <c r="AQ82" i="4"/>
  <c r="AQ84" i="4"/>
  <c r="AV142" i="4"/>
  <c r="AV212" i="4"/>
  <c r="AV219" i="4"/>
  <c r="AV157" i="4"/>
  <c r="AV179" i="4"/>
  <c r="AV186" i="4"/>
  <c r="AV235" i="4"/>
  <c r="CJ18" i="4"/>
  <c r="CJ20" i="4"/>
  <c r="CE38" i="4"/>
  <c r="CE19" i="4"/>
  <c r="CE41" i="4"/>
  <c r="V215" i="4"/>
  <c r="BR215" i="4"/>
  <c r="T175" i="4"/>
  <c r="Z175" i="4"/>
  <c r="X191" i="4"/>
  <c r="AR191" i="4"/>
  <c r="X206" i="4"/>
  <c r="BT206" i="4"/>
  <c r="T99" i="4"/>
  <c r="BI99" i="4"/>
  <c r="T245" i="4"/>
  <c r="CD245" i="4"/>
  <c r="V230" i="4"/>
  <c r="BY230" i="4"/>
  <c r="X253" i="4"/>
  <c r="BT253" i="4"/>
  <c r="X209" i="4"/>
  <c r="BT209" i="4"/>
  <c r="X185" i="4"/>
  <c r="BT185" i="4"/>
  <c r="X184" i="4"/>
  <c r="BT184" i="4"/>
  <c r="HF292" i="4"/>
  <c r="AK117" i="4"/>
  <c r="AM442" i="4" s="1"/>
  <c r="EJ442" i="4" s="1"/>
  <c r="HF295" i="4"/>
  <c r="DI37" i="4"/>
  <c r="X239" i="4"/>
  <c r="CH239" i="4"/>
  <c r="R205" i="4"/>
  <c r="AC71" i="4"/>
  <c r="AC61" i="4"/>
  <c r="AC56" i="4"/>
  <c r="AC50" i="4"/>
  <c r="AC176" i="4"/>
  <c r="AC80" i="4"/>
  <c r="AC125" i="4"/>
  <c r="AC171" i="4"/>
  <c r="AC78" i="4"/>
  <c r="AC134" i="4"/>
  <c r="AC190" i="4"/>
  <c r="AC54" i="4"/>
  <c r="AC107" i="4"/>
  <c r="AC290" i="4"/>
  <c r="AQ85" i="4"/>
  <c r="AQ94" i="4"/>
  <c r="AQ83" i="4"/>
  <c r="AV221" i="4"/>
  <c r="AV156" i="4"/>
  <c r="AV223" i="4"/>
  <c r="AV166" i="4"/>
  <c r="AV173" i="4"/>
  <c r="AV191" i="4"/>
  <c r="AV231" i="4"/>
  <c r="CJ33" i="4"/>
  <c r="CJ35" i="4"/>
  <c r="CE50" i="4"/>
  <c r="CE30" i="4"/>
  <c r="CE16" i="4"/>
  <c r="CE53" i="4"/>
  <c r="HD177" i="4"/>
  <c r="X251" i="4"/>
  <c r="CA251" i="4"/>
  <c r="T104" i="4"/>
  <c r="BI104" i="4"/>
  <c r="HF293" i="4"/>
  <c r="HF298" i="4"/>
  <c r="HF305" i="4"/>
  <c r="AW71" i="4"/>
  <c r="AC66" i="4"/>
  <c r="AC156" i="4"/>
  <c r="AC70" i="4"/>
  <c r="AC113" i="4"/>
  <c r="AC162" i="4"/>
  <c r="AC67" i="4"/>
  <c r="AC121" i="4"/>
  <c r="AC178" i="4"/>
  <c r="AC95" i="4"/>
  <c r="AQ86" i="4"/>
  <c r="AQ93" i="4"/>
  <c r="AV197" i="4"/>
  <c r="AV188" i="4"/>
  <c r="AV151" i="4"/>
  <c r="AV225" i="4"/>
  <c r="AV150" i="4"/>
  <c r="AV177" i="4"/>
  <c r="AV184" i="4"/>
  <c r="AV199" i="4"/>
  <c r="AV208" i="4"/>
  <c r="AV227" i="4"/>
  <c r="CJ34" i="4"/>
  <c r="CJ29" i="4"/>
  <c r="CJ31" i="4"/>
  <c r="CE42" i="4"/>
  <c r="HD64" i="4"/>
  <c r="HF64" i="4" s="1"/>
  <c r="V98" i="4"/>
  <c r="AP98" i="4"/>
  <c r="AQ134" i="4" s="1"/>
  <c r="V161" i="4"/>
  <c r="AW161" i="4"/>
  <c r="X193" i="4"/>
  <c r="DQ193" i="4"/>
  <c r="T255" i="4"/>
  <c r="BW255" i="4"/>
  <c r="X165" i="4"/>
  <c r="BM165" i="4"/>
  <c r="V84" i="4"/>
  <c r="BR84" i="4"/>
  <c r="BS194" i="4" s="1"/>
  <c r="T243" i="4"/>
  <c r="BW243" i="4"/>
  <c r="V261" i="4"/>
  <c r="BR261" i="4"/>
  <c r="X168" i="4"/>
  <c r="CA168" i="4"/>
  <c r="T246" i="4"/>
  <c r="BW246" i="4"/>
  <c r="X210" i="4"/>
  <c r="BT210" i="4"/>
  <c r="V190" i="4"/>
  <c r="AW190" i="4"/>
  <c r="AR77" i="4"/>
  <c r="AS441" i="4" s="1"/>
  <c r="HF300" i="4"/>
  <c r="HF291" i="4"/>
  <c r="HF299" i="4"/>
  <c r="AC169" i="4"/>
  <c r="AC186" i="4"/>
  <c r="AC180" i="4"/>
  <c r="AC175" i="4"/>
  <c r="AC142" i="4"/>
  <c r="AC100" i="4"/>
  <c r="AC150" i="4"/>
  <c r="AC57" i="4"/>
  <c r="AC109" i="4"/>
  <c r="AC167" i="4"/>
  <c r="AV163" i="4"/>
  <c r="AV141" i="4"/>
  <c r="AV162" i="4"/>
  <c r="AV189" i="4"/>
  <c r="AV195" i="4"/>
  <c r="AV213" i="4"/>
  <c r="AV220" i="4"/>
  <c r="CE17" i="4"/>
  <c r="CE54" i="4"/>
  <c r="CE39" i="4"/>
  <c r="T244" i="4"/>
  <c r="BI244" i="4"/>
  <c r="X81" i="4"/>
  <c r="CA81" i="4"/>
  <c r="X80" i="4"/>
  <c r="BF80" i="4"/>
  <c r="CH48" i="4"/>
  <c r="CS304" i="4"/>
  <c r="CS303" i="4"/>
  <c r="DG303" i="4"/>
  <c r="DU297" i="4"/>
  <c r="CS296" i="4"/>
  <c r="T290" i="4"/>
  <c r="CL295" i="4"/>
  <c r="DU294" i="4"/>
  <c r="EF298" i="4"/>
  <c r="DG298" i="4"/>
  <c r="CZ298" i="4"/>
  <c r="EB298" i="4"/>
  <c r="CZ291" i="4"/>
  <c r="CL293" i="4"/>
  <c r="CS294" i="4"/>
  <c r="CL298" i="4"/>
  <c r="DU293" i="4"/>
  <c r="CS291" i="4"/>
  <c r="CZ297" i="4"/>
  <c r="EF291" i="4"/>
  <c r="EF293" i="4"/>
  <c r="CS295" i="4"/>
  <c r="CZ295" i="4"/>
  <c r="CS292" i="4"/>
  <c r="CZ294" i="4"/>
  <c r="DU291" i="4"/>
  <c r="AC298" i="4"/>
  <c r="CL296" i="4"/>
  <c r="EB299" i="4"/>
  <c r="EI301" i="4"/>
  <c r="EI293" i="4"/>
  <c r="EI295" i="4"/>
  <c r="EI294" i="4"/>
  <c r="EI298" i="4"/>
  <c r="EI302" i="4"/>
  <c r="EI296" i="4"/>
  <c r="EI305" i="4"/>
  <c r="EI304" i="4"/>
  <c r="EI292" i="4"/>
  <c r="EI300" i="4"/>
  <c r="EI303" i="4"/>
  <c r="EF292" i="4"/>
  <c r="DG293" i="4"/>
  <c r="EB293" i="4"/>
  <c r="CZ292" i="4"/>
  <c r="CS298" i="4"/>
  <c r="DG295" i="4"/>
  <c r="DW295" i="4"/>
  <c r="EB295" i="4"/>
  <c r="CZ296" i="4"/>
  <c r="AJ294" i="4"/>
  <c r="DG294" i="4"/>
  <c r="AC295" i="4"/>
  <c r="EB294" i="4"/>
  <c r="CL291" i="4"/>
  <c r="EB296" i="4"/>
  <c r="DG292" i="4"/>
  <c r="EB292" i="4"/>
  <c r="EF294" i="4"/>
  <c r="AC292" i="4"/>
  <c r="CZ293" i="4"/>
  <c r="EF295" i="4"/>
  <c r="DG300" i="4"/>
  <c r="CS297" i="4"/>
  <c r="DW297" i="4"/>
  <c r="CS293" i="4"/>
  <c r="DU295" i="4"/>
  <c r="CZ302" i="4"/>
  <c r="DU298" i="4"/>
  <c r="DG291" i="4"/>
  <c r="EB291" i="4"/>
  <c r="CZ305" i="4"/>
  <c r="DG304" i="4"/>
  <c r="EF305" i="4"/>
  <c r="DU303" i="4"/>
  <c r="EB303" i="4"/>
  <c r="CZ300" i="4"/>
  <c r="CL300" i="4"/>
  <c r="EF300" i="4"/>
  <c r="DG301" i="4"/>
  <c r="CS300" i="4"/>
  <c r="EF302" i="4"/>
  <c r="CL301" i="4"/>
  <c r="CS305" i="4"/>
  <c r="DU304" i="4"/>
  <c r="DG302" i="4"/>
  <c r="CS302" i="4"/>
  <c r="EB301" i="4"/>
  <c r="AC304" i="4"/>
  <c r="CL303" i="4"/>
  <c r="CZ303" i="4"/>
  <c r="DU305" i="4"/>
  <c r="CZ299" i="4"/>
  <c r="EF301" i="4"/>
  <c r="EB305" i="4"/>
  <c r="DU302" i="4"/>
  <c r="EB300" i="4"/>
  <c r="EB302" i="4"/>
  <c r="DU301" i="4"/>
  <c r="CL304" i="4"/>
  <c r="EB304" i="4"/>
  <c r="CZ301" i="4"/>
  <c r="DU300" i="4"/>
  <c r="CZ304" i="4"/>
  <c r="CL302" i="4"/>
  <c r="CL305" i="4"/>
  <c r="CS301" i="4"/>
  <c r="DG305" i="4"/>
  <c r="EF304" i="4"/>
  <c r="EF303" i="4"/>
  <c r="EF297" i="4"/>
  <c r="EI297" i="4"/>
  <c r="CL299" i="4"/>
  <c r="EF296" i="4"/>
  <c r="DG299" i="4"/>
  <c r="DU299" i="4"/>
  <c r="EF290" i="4"/>
  <c r="EI290" i="4"/>
  <c r="CS299" i="4"/>
  <c r="EF299" i="4"/>
  <c r="EI299" i="4"/>
  <c r="P299" i="4"/>
  <c r="CW17" i="4"/>
  <c r="DI11" i="4"/>
  <c r="BZ19" i="4"/>
  <c r="BZ13" i="4"/>
  <c r="BZ21" i="4"/>
  <c r="BZ20" i="4"/>
  <c r="BZ16" i="4"/>
  <c r="CW16" i="4"/>
  <c r="BZ15" i="4"/>
  <c r="BZ18" i="4"/>
  <c r="FO282" i="4"/>
  <c r="FO285" i="4"/>
  <c r="FO284" i="4"/>
  <c r="GQ4" i="4"/>
  <c r="FO289" i="4"/>
  <c r="FO278" i="4"/>
  <c r="FO279" i="4"/>
  <c r="FO283" i="4"/>
  <c r="FO288" i="4"/>
  <c r="FO140" i="4"/>
  <c r="FO280" i="4"/>
  <c r="FO281" i="4"/>
  <c r="FO287" i="4"/>
  <c r="FO286" i="4"/>
  <c r="GO5" i="4"/>
  <c r="FO10" i="4"/>
  <c r="GM32" i="4"/>
  <c r="AV130" i="4"/>
  <c r="M10" i="15"/>
  <c r="S10" i="15" s="1"/>
  <c r="HC443" i="4" s="1"/>
  <c r="X101" i="4"/>
  <c r="M8" i="15"/>
  <c r="S8" i="15" s="1"/>
  <c r="X164" i="4"/>
  <c r="FO225" i="4"/>
  <c r="FO13" i="4"/>
  <c r="FO38" i="4"/>
  <c r="FO57" i="4"/>
  <c r="AV145" i="4"/>
  <c r="AV203" i="4"/>
  <c r="AV202" i="4"/>
  <c r="M17" i="15"/>
  <c r="S17" i="15" s="1"/>
  <c r="X87" i="4"/>
  <c r="K11" i="15"/>
  <c r="T162" i="4"/>
  <c r="L17" i="15"/>
  <c r="R17" i="15" s="1"/>
  <c r="V172" i="4"/>
  <c r="FO43" i="4"/>
  <c r="FO123" i="4"/>
  <c r="FO59" i="4"/>
  <c r="FO179" i="4"/>
  <c r="AV144" i="4"/>
  <c r="M11" i="15"/>
  <c r="S11" i="15" s="1"/>
  <c r="X228" i="4"/>
  <c r="K12" i="15"/>
  <c r="T182" i="4"/>
  <c r="FO100" i="4"/>
  <c r="FO51" i="4"/>
  <c r="FO5" i="4"/>
  <c r="FO39" i="4"/>
  <c r="AV103" i="4"/>
  <c r="FO18" i="4"/>
  <c r="M18" i="15"/>
  <c r="S18" i="15" s="1"/>
  <c r="K8" i="15"/>
  <c r="Q8" i="15" s="1"/>
  <c r="T240" i="4"/>
  <c r="FO234" i="4"/>
  <c r="FO251" i="4"/>
  <c r="V76" i="4"/>
  <c r="AV237" i="4"/>
  <c r="FO83" i="4"/>
  <c r="FO61" i="4"/>
  <c r="FO119" i="4"/>
  <c r="AV236" i="4"/>
  <c r="K18" i="15"/>
  <c r="Q18" i="15" s="1"/>
  <c r="L9" i="15"/>
  <c r="R9" i="15" s="1"/>
  <c r="V199" i="4"/>
  <c r="FO76" i="4"/>
  <c r="X177" i="4"/>
  <c r="K13" i="15"/>
  <c r="T83" i="4"/>
  <c r="FO17" i="4"/>
  <c r="L12" i="15"/>
  <c r="R12" i="15" s="1"/>
  <c r="V196" i="4"/>
  <c r="M9" i="15"/>
  <c r="S9" i="15" s="1"/>
  <c r="X100" i="4"/>
  <c r="FO14" i="4"/>
  <c r="Y5" i="4"/>
  <c r="U8" i="4"/>
  <c r="U7" i="4"/>
  <c r="FO242" i="4"/>
  <c r="FO182" i="4"/>
  <c r="FO199" i="4"/>
  <c r="DG287" i="4"/>
  <c r="L18" i="15"/>
  <c r="R18" i="15" s="1"/>
  <c r="FO264" i="4"/>
  <c r="FO188" i="4"/>
  <c r="FO214" i="4"/>
  <c r="FO135" i="4"/>
  <c r="FO235" i="4"/>
  <c r="FO98" i="4"/>
  <c r="FO250" i="4"/>
  <c r="FO267" i="4"/>
  <c r="FO95" i="4"/>
  <c r="FO201" i="4"/>
  <c r="FO151" i="4"/>
  <c r="FO139" i="4"/>
  <c r="FO94" i="4"/>
  <c r="FO273" i="4"/>
  <c r="FO30" i="4"/>
  <c r="FO205" i="4"/>
  <c r="FO210" i="4"/>
  <c r="FO223" i="4"/>
  <c r="N83" i="4"/>
  <c r="FO174" i="4"/>
  <c r="FO131" i="4"/>
  <c r="FO24" i="4"/>
  <c r="FO164" i="4"/>
  <c r="FO54" i="4"/>
  <c r="FO79" i="4"/>
  <c r="FO66" i="4"/>
  <c r="FO118" i="4"/>
  <c r="FO253" i="4"/>
  <c r="FO73" i="4"/>
  <c r="FO74" i="4"/>
  <c r="FO211" i="4"/>
  <c r="FO81" i="4"/>
  <c r="FO136" i="4"/>
  <c r="FO34" i="4"/>
  <c r="FO228" i="4"/>
  <c r="FO44" i="4"/>
  <c r="FO268" i="4"/>
  <c r="FO270" i="4"/>
  <c r="FO99" i="4"/>
  <c r="FO133" i="4"/>
  <c r="FO217" i="4"/>
  <c r="FO212" i="4"/>
  <c r="FO143" i="4"/>
  <c r="FO246" i="4"/>
  <c r="FO226" i="4"/>
  <c r="FO196" i="4"/>
  <c r="FO160" i="4"/>
  <c r="FO48" i="4"/>
  <c r="FO112" i="4"/>
  <c r="FO263" i="4"/>
  <c r="FO70" i="4"/>
  <c r="FO114" i="4"/>
  <c r="FO127" i="4"/>
  <c r="FO137" i="4"/>
  <c r="FO206" i="4"/>
  <c r="FO141" i="4"/>
  <c r="FO124" i="4"/>
  <c r="FO213" i="4"/>
  <c r="FO258" i="4"/>
  <c r="FO200" i="4"/>
  <c r="FO216" i="4"/>
  <c r="FO247" i="4"/>
  <c r="FO96" i="4"/>
  <c r="FO147" i="4"/>
  <c r="FO29" i="4"/>
  <c r="FO40" i="4"/>
  <c r="FO11" i="4"/>
  <c r="HA276" i="4"/>
  <c r="FO184" i="4"/>
  <c r="FO176" i="4"/>
  <c r="FO192" i="4"/>
  <c r="FO215" i="4"/>
  <c r="FO104" i="4"/>
  <c r="FO20" i="4"/>
  <c r="FO161" i="4"/>
  <c r="FO142" i="4"/>
  <c r="FO162" i="4"/>
  <c r="FO271" i="4"/>
  <c r="FO187" i="4"/>
  <c r="FO93" i="4"/>
  <c r="FO120" i="4"/>
  <c r="FO78" i="4"/>
  <c r="FO58" i="4"/>
  <c r="FO89" i="4"/>
  <c r="FO63" i="4"/>
  <c r="FO128" i="4"/>
  <c r="FO163" i="4"/>
  <c r="FO193" i="4"/>
  <c r="FO36" i="4"/>
  <c r="FO191" i="4"/>
  <c r="FO125" i="4"/>
  <c r="FO224" i="4"/>
  <c r="FO165" i="4"/>
  <c r="FO265" i="4"/>
  <c r="FO68" i="4"/>
  <c r="FO231" i="4"/>
  <c r="FO117" i="4"/>
  <c r="FO84" i="4"/>
  <c r="FO189" i="4"/>
  <c r="FO149" i="4"/>
  <c r="FO274" i="4"/>
  <c r="FO105" i="4"/>
  <c r="FO173" i="4"/>
  <c r="FO90" i="4"/>
  <c r="FO154" i="4"/>
  <c r="FO35" i="4"/>
  <c r="FO238" i="4"/>
  <c r="FO102" i="4"/>
  <c r="FO275" i="4"/>
  <c r="FO232" i="4"/>
  <c r="FO62" i="4"/>
  <c r="FO60" i="4"/>
  <c r="FO101" i="4"/>
  <c r="FO8" i="4"/>
  <c r="FO222" i="4"/>
  <c r="FO218" i="4"/>
  <c r="FO7" i="4"/>
  <c r="FO169" i="4"/>
  <c r="FO243" i="4"/>
  <c r="HA275" i="4"/>
  <c r="L6" i="15"/>
  <c r="R6" i="15" s="1"/>
  <c r="HA82" i="4"/>
  <c r="R173" i="4"/>
  <c r="FO195" i="4"/>
  <c r="FO241" i="4"/>
  <c r="FO88" i="4"/>
  <c r="FO85" i="4"/>
  <c r="FO138" i="4"/>
  <c r="FO16" i="4"/>
  <c r="FO171" i="4"/>
  <c r="FO26" i="4"/>
  <c r="FO244" i="4"/>
  <c r="FO32" i="4"/>
  <c r="FO111" i="4"/>
  <c r="FO109" i="4"/>
  <c r="FO108" i="4"/>
  <c r="FO157" i="4"/>
  <c r="FO75" i="4"/>
  <c r="FO167" i="4"/>
  <c r="FO132" i="4"/>
  <c r="FO22" i="4"/>
  <c r="FO9" i="4"/>
  <c r="HA229" i="4"/>
  <c r="HA87" i="4"/>
  <c r="FO259" i="4"/>
  <c r="FO252" i="4"/>
  <c r="FO45" i="4"/>
  <c r="FO257" i="4"/>
  <c r="FO255" i="4"/>
  <c r="FO53" i="4"/>
  <c r="FO56" i="4"/>
  <c r="FO249" i="4"/>
  <c r="FO248" i="4"/>
  <c r="FO27" i="4"/>
  <c r="FO158" i="4"/>
  <c r="FO146" i="4"/>
  <c r="FO72" i="4"/>
  <c r="FO12" i="4"/>
  <c r="FO65" i="4"/>
  <c r="FO159" i="4"/>
  <c r="FO55" i="4"/>
  <c r="AC130" i="4"/>
  <c r="FO183" i="4"/>
  <c r="FO260" i="4"/>
  <c r="FO233" i="4"/>
  <c r="FO185" i="4"/>
  <c r="FO67" i="4"/>
  <c r="FO155" i="4"/>
  <c r="FO186" i="4"/>
  <c r="FO156" i="4"/>
  <c r="FO129" i="4"/>
  <c r="FO245" i="4"/>
  <c r="FO37" i="4"/>
  <c r="FO21" i="4"/>
  <c r="FO170" i="4"/>
  <c r="FO261" i="4"/>
  <c r="FO122" i="4"/>
  <c r="FO254" i="4"/>
  <c r="FO107" i="4"/>
  <c r="FO168" i="4"/>
  <c r="FO262" i="4"/>
  <c r="FO86" i="4"/>
  <c r="FO166" i="4"/>
  <c r="FO87" i="4"/>
  <c r="FO175" i="4"/>
  <c r="AC145" i="4"/>
  <c r="HA186" i="4"/>
  <c r="N212" i="4"/>
  <c r="FO152" i="4"/>
  <c r="FO69" i="4"/>
  <c r="FO208" i="4"/>
  <c r="FO148" i="4"/>
  <c r="FO177" i="4"/>
  <c r="FO198" i="4"/>
  <c r="FO209" i="4"/>
  <c r="FO181" i="4"/>
  <c r="FO197" i="4"/>
  <c r="FO150" i="4"/>
  <c r="FO31" i="4"/>
  <c r="FO50" i="4"/>
  <c r="FO272" i="4"/>
  <c r="FO153" i="4"/>
  <c r="FO207" i="4"/>
  <c r="FO80" i="4"/>
  <c r="FO220" i="4"/>
  <c r="FO276" i="4"/>
  <c r="FO77" i="4"/>
  <c r="FO23" i="4"/>
  <c r="FO227" i="4"/>
  <c r="FO6" i="4"/>
  <c r="AC144" i="4"/>
  <c r="FO178" i="4"/>
  <c r="FO229" i="4"/>
  <c r="FO15" i="4"/>
  <c r="FO49" i="4"/>
  <c r="FO172" i="4"/>
  <c r="FO28" i="4"/>
  <c r="FO277" i="4"/>
  <c r="FO269" i="4"/>
  <c r="FO47" i="4"/>
  <c r="FO25" i="4"/>
  <c r="FO19" i="4"/>
  <c r="FO64" i="4"/>
  <c r="FO266" i="4"/>
  <c r="FO219" i="4"/>
  <c r="FO180" i="4"/>
  <c r="FO134" i="4"/>
  <c r="FO240" i="4"/>
  <c r="FO230" i="4"/>
  <c r="FO33" i="4"/>
  <c r="FO256" i="4"/>
  <c r="FO71" i="4"/>
  <c r="FO52" i="4"/>
  <c r="FO41" i="4"/>
  <c r="FO239" i="4"/>
  <c r="FO110" i="4"/>
  <c r="FO82" i="4"/>
  <c r="FO221" i="4"/>
  <c r="FO190" i="4"/>
  <c r="FO42" i="4"/>
  <c r="FO4" i="4"/>
  <c r="FO144" i="4"/>
  <c r="FO145" i="4"/>
  <c r="FO236" i="4"/>
  <c r="FO237" i="4"/>
  <c r="FO130" i="4"/>
  <c r="FO202" i="4"/>
  <c r="FO103" i="4"/>
  <c r="FO204" i="4"/>
  <c r="FO203" i="4"/>
  <c r="FO113" i="4"/>
  <c r="FO106" i="4"/>
  <c r="FO126" i="4"/>
  <c r="FO97" i="4"/>
  <c r="FO116" i="4"/>
  <c r="FO121" i="4"/>
  <c r="FO115" i="4"/>
  <c r="FO91" i="4"/>
  <c r="FO92" i="4"/>
  <c r="FO46" i="4"/>
  <c r="CZ284" i="4"/>
  <c r="CS279" i="4"/>
  <c r="CL283" i="4"/>
  <c r="P286" i="4"/>
  <c r="CZ283" i="4"/>
  <c r="DG283" i="4"/>
  <c r="EI283" i="4"/>
  <c r="EB279" i="4"/>
  <c r="EF282" i="4"/>
  <c r="CL284" i="4"/>
  <c r="CZ287" i="4"/>
  <c r="EF283" i="4"/>
  <c r="CL279" i="4"/>
  <c r="DG278" i="4"/>
  <c r="HF284" i="4"/>
  <c r="CZ278" i="4"/>
  <c r="HF282" i="4"/>
  <c r="CS285" i="4"/>
  <c r="CZ285" i="4"/>
  <c r="DU283" i="4"/>
  <c r="CS283" i="4"/>
  <c r="CS284" i="4"/>
  <c r="EB284" i="4"/>
  <c r="EI280" i="4"/>
  <c r="CZ280" i="4"/>
  <c r="EB282" i="4"/>
  <c r="CL278" i="4"/>
  <c r="CZ279" i="4"/>
  <c r="DU280" i="4"/>
  <c r="CL281" i="4"/>
  <c r="HF280" i="4"/>
  <c r="CS287" i="4"/>
  <c r="DG280" i="4"/>
  <c r="CL280" i="4"/>
  <c r="EF281" i="4"/>
  <c r="CZ281" i="4"/>
  <c r="DG282" i="4"/>
  <c r="EF278" i="4"/>
  <c r="DU278" i="4"/>
  <c r="DG285" i="4"/>
  <c r="DU287" i="4"/>
  <c r="AL4" i="4"/>
  <c r="CS282" i="4"/>
  <c r="HF288" i="4"/>
  <c r="HF281" i="4"/>
  <c r="HF278" i="4"/>
  <c r="DG284" i="4"/>
  <c r="EB289" i="4"/>
  <c r="EF286" i="4"/>
  <c r="CZ282" i="4"/>
  <c r="CS278" i="4"/>
  <c r="EB278" i="4"/>
  <c r="N282" i="4"/>
  <c r="HF279" i="4"/>
  <c r="DP4" i="4"/>
  <c r="DG281" i="4"/>
  <c r="DG279" i="4"/>
  <c r="CL282" i="4"/>
  <c r="HF285" i="4"/>
  <c r="EB281" i="4"/>
  <c r="HF289" i="4"/>
  <c r="EF280" i="4"/>
  <c r="EF279" i="4"/>
  <c r="HF283" i="4"/>
  <c r="CS281" i="4"/>
  <c r="DU284" i="4"/>
  <c r="EB285" i="4"/>
  <c r="DU279" i="4"/>
  <c r="DU281" i="4"/>
  <c r="CS280" i="4"/>
  <c r="EB280" i="4"/>
  <c r="HF287" i="4"/>
  <c r="HF286" i="4"/>
  <c r="EB283" i="4"/>
  <c r="DU282" i="4"/>
  <c r="EI278" i="4"/>
  <c r="EI279" i="4"/>
  <c r="EI281" i="4"/>
  <c r="P261" i="4"/>
  <c r="EI282" i="4"/>
  <c r="EI288" i="4"/>
  <c r="CS289" i="4"/>
  <c r="EF289" i="4"/>
  <c r="EF288" i="4"/>
  <c r="CL286" i="4"/>
  <c r="CZ286" i="4"/>
  <c r="CZ289" i="4"/>
  <c r="DG289" i="4"/>
  <c r="DG286" i="4"/>
  <c r="CL287" i="4"/>
  <c r="CL289" i="4"/>
  <c r="EB286" i="4"/>
  <c r="L7" i="15"/>
  <c r="R7" i="15" s="1"/>
  <c r="DU289" i="4"/>
  <c r="CL285" i="4"/>
  <c r="EB287" i="4"/>
  <c r="CZ288" i="4"/>
  <c r="DG288" i="4"/>
  <c r="CL288" i="4"/>
  <c r="CS286" i="4"/>
  <c r="DU288" i="4"/>
  <c r="EB288" i="4"/>
  <c r="EI289" i="4"/>
  <c r="CS288" i="4"/>
  <c r="EI286" i="4"/>
  <c r="DU286" i="4"/>
  <c r="EF287" i="4"/>
  <c r="EI287" i="4"/>
  <c r="EF284" i="4"/>
  <c r="DU285" i="4"/>
  <c r="EI284" i="4"/>
  <c r="EF285" i="4"/>
  <c r="EI285" i="4"/>
  <c r="R285" i="4"/>
  <c r="M5" i="15"/>
  <c r="S5" i="15" s="1"/>
  <c r="M19" i="15"/>
  <c r="S19" i="15" s="1"/>
  <c r="DK16" i="4"/>
  <c r="DW5" i="4"/>
  <c r="DI5" i="4"/>
  <c r="CW45" i="4"/>
  <c r="M4" i="15"/>
  <c r="S4" i="15" s="1"/>
  <c r="HA212" i="4"/>
  <c r="R87" i="4"/>
  <c r="AT18" i="4"/>
  <c r="AT26" i="4"/>
  <c r="AT30" i="4"/>
  <c r="AO38" i="4"/>
  <c r="AO28" i="4"/>
  <c r="AO32" i="4"/>
  <c r="CW28" i="4"/>
  <c r="DI4" i="4"/>
  <c r="L16" i="15"/>
  <c r="R16" i="15" s="1"/>
  <c r="HA218" i="4"/>
  <c r="HA254" i="4"/>
  <c r="R229" i="4"/>
  <c r="AT33" i="4"/>
  <c r="L8" i="15"/>
  <c r="K9" i="15"/>
  <c r="M13" i="15"/>
  <c r="S13" i="15" s="1"/>
  <c r="AT21" i="4"/>
  <c r="AT20" i="4"/>
  <c r="AT17" i="4"/>
  <c r="AO24" i="4"/>
  <c r="AO39" i="4"/>
  <c r="CW34" i="4"/>
  <c r="M14" i="15"/>
  <c r="HA83" i="4"/>
  <c r="R218" i="4"/>
  <c r="R160" i="4"/>
  <c r="AT25" i="4"/>
  <c r="AT23" i="4"/>
  <c r="AO33" i="4"/>
  <c r="AO23" i="4"/>
  <c r="L14" i="15"/>
  <c r="R14" i="15" s="1"/>
  <c r="AT34" i="4"/>
  <c r="AT32" i="4"/>
  <c r="AT28" i="4"/>
  <c r="AO14" i="4"/>
  <c r="AO34" i="4"/>
  <c r="CW29" i="4"/>
  <c r="CW30" i="4"/>
  <c r="HA160" i="4"/>
  <c r="HA183" i="4"/>
  <c r="HA250" i="4"/>
  <c r="P183" i="4"/>
  <c r="AT14" i="4"/>
  <c r="AT13" i="4"/>
  <c r="AO13" i="4"/>
  <c r="AO21" i="4"/>
  <c r="AO18" i="4"/>
  <c r="CW42" i="4"/>
  <c r="L13" i="15"/>
  <c r="R13" i="15" s="1"/>
  <c r="AT15" i="4"/>
  <c r="AT24" i="4"/>
  <c r="AO15" i="4"/>
  <c r="AO27" i="4"/>
  <c r="AO29" i="4"/>
  <c r="CW41" i="4"/>
  <c r="K14" i="15"/>
  <c r="Q14" i="15" s="1"/>
  <c r="AT16" i="4"/>
  <c r="AO19" i="4"/>
  <c r="AO17" i="4"/>
  <c r="AO35" i="4"/>
  <c r="AT31" i="4"/>
  <c r="AO22" i="4"/>
  <c r="AO30" i="4"/>
  <c r="CW21" i="4"/>
  <c r="DK9" i="4"/>
  <c r="AT22" i="4"/>
  <c r="AT19" i="4"/>
  <c r="AO20" i="4"/>
  <c r="AO31" i="4"/>
  <c r="AO26" i="4"/>
  <c r="CW33" i="4"/>
  <c r="K3" i="15"/>
  <c r="K4" i="15"/>
  <c r="AT29" i="4"/>
  <c r="AT27" i="4"/>
  <c r="AO25" i="4"/>
  <c r="DR8" i="4"/>
  <c r="M12" i="15"/>
  <c r="S12" i="15" s="1"/>
  <c r="P195" i="4"/>
  <c r="R102" i="4"/>
  <c r="R80" i="4"/>
  <c r="P230" i="4"/>
  <c r="M6" i="15"/>
  <c r="S6" i="15" s="1"/>
  <c r="N225" i="4"/>
  <c r="R223" i="4"/>
  <c r="R77" i="4"/>
  <c r="N231" i="4"/>
  <c r="R228" i="4"/>
  <c r="N175" i="4"/>
  <c r="L19" i="15"/>
  <c r="R19" i="15" s="1"/>
  <c r="R75" i="4"/>
  <c r="R249" i="4"/>
  <c r="HA268" i="4"/>
  <c r="R82" i="4"/>
  <c r="M16" i="15"/>
  <c r="S16" i="15" s="1"/>
  <c r="R253" i="4"/>
  <c r="R214" i="4"/>
  <c r="P98" i="4"/>
  <c r="P161" i="4"/>
  <c r="R193" i="4"/>
  <c r="P250" i="4"/>
  <c r="FQ4" i="4"/>
  <c r="EI4" i="4"/>
  <c r="N169" i="4"/>
  <c r="R261" i="4"/>
  <c r="P167" i="4"/>
  <c r="P186" i="4"/>
  <c r="P262" i="4"/>
  <c r="R217" i="4"/>
  <c r="N207" i="4"/>
  <c r="R197" i="4"/>
  <c r="R191" i="4"/>
  <c r="R206" i="4"/>
  <c r="N99" i="4"/>
  <c r="R177" i="4"/>
  <c r="N246" i="4"/>
  <c r="L10" i="15"/>
  <c r="R10" i="15" s="1"/>
  <c r="R178" i="4"/>
  <c r="P188" i="4"/>
  <c r="N257" i="4"/>
  <c r="R185" i="4"/>
  <c r="R165" i="4"/>
  <c r="R219" i="4"/>
  <c r="R200" i="4"/>
  <c r="N79" i="4"/>
  <c r="R85" i="4"/>
  <c r="P233" i="4"/>
  <c r="CL128" i="4"/>
  <c r="P248" i="4"/>
  <c r="R221" i="4"/>
  <c r="K6" i="15"/>
  <c r="Q6" i="15" s="1"/>
  <c r="P199" i="4"/>
  <c r="N227" i="4"/>
  <c r="P190" i="4"/>
  <c r="R184" i="4"/>
  <c r="M3" i="15"/>
  <c r="S3" i="15" s="1"/>
  <c r="R213" i="4"/>
  <c r="R254" i="4"/>
  <c r="K16" i="15"/>
  <c r="Q16" i="15" s="1"/>
  <c r="L3" i="15"/>
  <c r="R3" i="15" s="1"/>
  <c r="AL28" i="4"/>
  <c r="CL139" i="4"/>
  <c r="CL26" i="4"/>
  <c r="CL20" i="4"/>
  <c r="CL138" i="4"/>
  <c r="CL78" i="4"/>
  <c r="CL94" i="4"/>
  <c r="CL105" i="4"/>
  <c r="CL32" i="4"/>
  <c r="CL16" i="4"/>
  <c r="CL68" i="4"/>
  <c r="CL170" i="4"/>
  <c r="CL190" i="4"/>
  <c r="CL112" i="4"/>
  <c r="CL157" i="4"/>
  <c r="CL121" i="4"/>
  <c r="CL154" i="4"/>
  <c r="CP51" i="4"/>
  <c r="CP29" i="4"/>
  <c r="CP18" i="4"/>
  <c r="CQ26" i="4"/>
  <c r="CP37" i="4"/>
  <c r="CP36" i="4"/>
  <c r="CP28" i="4"/>
  <c r="CP47" i="4"/>
  <c r="CS17" i="4"/>
  <c r="CS134" i="4"/>
  <c r="CS46" i="4"/>
  <c r="CS55" i="4"/>
  <c r="CS113" i="4"/>
  <c r="CS260" i="4"/>
  <c r="CL130" i="4"/>
  <c r="CL14" i="4"/>
  <c r="CL36" i="4"/>
  <c r="CL37" i="4"/>
  <c r="CL185" i="4"/>
  <c r="CL88" i="4"/>
  <c r="CL102" i="4"/>
  <c r="CL107" i="4"/>
  <c r="CL75" i="4"/>
  <c r="CL44" i="4"/>
  <c r="CL79" i="4"/>
  <c r="CL181" i="4"/>
  <c r="CL212" i="4"/>
  <c r="CL200" i="4"/>
  <c r="CL124" i="4"/>
  <c r="CL166" i="4"/>
  <c r="CL134" i="4"/>
  <c r="CL165" i="4"/>
  <c r="CQ37" i="4"/>
  <c r="CQ51" i="4"/>
  <c r="CQ35" i="4"/>
  <c r="CP32" i="4"/>
  <c r="CQ42" i="4"/>
  <c r="CQ41" i="4"/>
  <c r="CP15" i="4"/>
  <c r="CQ33" i="4"/>
  <c r="CP42" i="4"/>
  <c r="CS171" i="4"/>
  <c r="CS15" i="4"/>
  <c r="CS138" i="4"/>
  <c r="CS246" i="4"/>
  <c r="DK18" i="4"/>
  <c r="CL145" i="4"/>
  <c r="AL30" i="4"/>
  <c r="CL34" i="4"/>
  <c r="CL55" i="4"/>
  <c r="CL70" i="4"/>
  <c r="CL210" i="4"/>
  <c r="CL100" i="4"/>
  <c r="CL140" i="4"/>
  <c r="CL114" i="4"/>
  <c r="CL86" i="4"/>
  <c r="CL56" i="4"/>
  <c r="CL39" i="4"/>
  <c r="CL89" i="4"/>
  <c r="CL192" i="4"/>
  <c r="CL223" i="4"/>
  <c r="CL214" i="4"/>
  <c r="CL137" i="4"/>
  <c r="CL177" i="4"/>
  <c r="CL147" i="4"/>
  <c r="CL175" i="4"/>
  <c r="CQ14" i="4"/>
  <c r="CP39" i="4"/>
  <c r="CP45" i="4"/>
  <c r="CP49" i="4"/>
  <c r="CP48" i="4"/>
  <c r="CQ20" i="4"/>
  <c r="CP40" i="4"/>
  <c r="CQ47" i="4"/>
  <c r="CX18" i="4"/>
  <c r="CS14" i="4"/>
  <c r="CS18" i="4"/>
  <c r="CS27" i="4"/>
  <c r="CS167" i="4"/>
  <c r="DK11" i="4"/>
  <c r="CL144" i="4"/>
  <c r="CL71" i="4"/>
  <c r="CL31" i="4"/>
  <c r="CL176" i="4"/>
  <c r="CL97" i="4"/>
  <c r="CL82" i="4"/>
  <c r="CL113" i="4"/>
  <c r="CL173" i="4"/>
  <c r="CL152" i="4"/>
  <c r="CL96" i="4"/>
  <c r="CL66" i="4"/>
  <c r="CL51" i="4"/>
  <c r="CL101" i="4"/>
  <c r="CL201" i="4"/>
  <c r="CL207" i="4"/>
  <c r="CL117" i="4"/>
  <c r="CL150" i="4"/>
  <c r="CL189" i="4"/>
  <c r="CL159" i="4"/>
  <c r="CL186" i="4"/>
  <c r="CP21" i="4"/>
  <c r="CP44" i="4"/>
  <c r="CQ50" i="4"/>
  <c r="CQ34" i="4"/>
  <c r="CP27" i="4"/>
  <c r="CQ45" i="4"/>
  <c r="CP54" i="4"/>
  <c r="CS33" i="4"/>
  <c r="CS26" i="4"/>
  <c r="CS29" i="4"/>
  <c r="CS50" i="4"/>
  <c r="CS190" i="4"/>
  <c r="DK6" i="4"/>
  <c r="AL5" i="4"/>
  <c r="CL202" i="4"/>
  <c r="CL72" i="4"/>
  <c r="CL18" i="4"/>
  <c r="CL98" i="4"/>
  <c r="CL151" i="4"/>
  <c r="CL188" i="4"/>
  <c r="CL131" i="4"/>
  <c r="CL77" i="4"/>
  <c r="CL62" i="4"/>
  <c r="CL104" i="4"/>
  <c r="CL215" i="4"/>
  <c r="CL219" i="4"/>
  <c r="CL129" i="4"/>
  <c r="CL162" i="4"/>
  <c r="CL198" i="4"/>
  <c r="CL168" i="4"/>
  <c r="CL227" i="4"/>
  <c r="CQ27" i="4"/>
  <c r="CQ38" i="4"/>
  <c r="CQ49" i="4"/>
  <c r="CP41" i="4"/>
  <c r="CQ13" i="4"/>
  <c r="CQ31" i="4"/>
  <c r="CP52" i="4"/>
  <c r="CS155" i="4"/>
  <c r="CS52" i="4"/>
  <c r="CS150" i="4"/>
  <c r="CS41" i="4"/>
  <c r="CS189" i="4"/>
  <c r="CS185" i="4"/>
  <c r="DK13" i="4"/>
  <c r="CS144" i="4"/>
  <c r="CL76" i="4"/>
  <c r="CL29" i="4"/>
  <c r="CL118" i="4"/>
  <c r="CL17" i="4"/>
  <c r="CL24" i="4"/>
  <c r="CL197" i="4"/>
  <c r="CL183" i="4"/>
  <c r="CL87" i="4"/>
  <c r="CL83" i="4"/>
  <c r="CL106" i="4"/>
  <c r="CL108" i="4"/>
  <c r="CL110" i="4"/>
  <c r="CL141" i="4"/>
  <c r="CL171" i="4"/>
  <c r="CL211" i="4"/>
  <c r="CL179" i="4"/>
  <c r="CL208" i="4"/>
  <c r="CP46" i="4"/>
  <c r="CQ21" i="4"/>
  <c r="CQ15" i="4"/>
  <c r="CP16" i="4"/>
  <c r="CQ46" i="4"/>
  <c r="CP20" i="4"/>
  <c r="CP38" i="4"/>
  <c r="CS45" i="4"/>
  <c r="CS107" i="4"/>
  <c r="CS32" i="4"/>
  <c r="CS13" i="4"/>
  <c r="CS211" i="4"/>
  <c r="CS207" i="4"/>
  <c r="DK8" i="4"/>
  <c r="CL38" i="4"/>
  <c r="CL80" i="4"/>
  <c r="CL23" i="4"/>
  <c r="CL41" i="4"/>
  <c r="CL156" i="4"/>
  <c r="CL28" i="4"/>
  <c r="CL35" i="4"/>
  <c r="CL221" i="4"/>
  <c r="CL205" i="4"/>
  <c r="CL93" i="4"/>
  <c r="CL142" i="4"/>
  <c r="CL120" i="4"/>
  <c r="CL122" i="4"/>
  <c r="CL155" i="4"/>
  <c r="CL182" i="4"/>
  <c r="CL222" i="4"/>
  <c r="CL191" i="4"/>
  <c r="CL220" i="4"/>
  <c r="CP22" i="4"/>
  <c r="CQ32" i="4"/>
  <c r="CP53" i="4"/>
  <c r="CQ25" i="4"/>
  <c r="CQ43" i="4"/>
  <c r="CS24" i="4"/>
  <c r="CS25" i="4"/>
  <c r="CS235" i="4"/>
  <c r="DK15" i="4"/>
  <c r="CL103" i="4"/>
  <c r="CL204" i="4"/>
  <c r="CL48" i="4"/>
  <c r="CL15" i="4"/>
  <c r="CL50" i="4"/>
  <c r="CL53" i="4"/>
  <c r="CL172" i="4"/>
  <c r="CL40" i="4"/>
  <c r="CL47" i="4"/>
  <c r="CL125" i="4"/>
  <c r="CL115" i="4"/>
  <c r="CL99" i="4"/>
  <c r="CL111" i="4"/>
  <c r="CL133" i="4"/>
  <c r="CL135" i="4"/>
  <c r="CL193" i="4"/>
  <c r="CL224" i="4"/>
  <c r="CL199" i="4"/>
  <c r="CP34" i="4"/>
  <c r="CQ39" i="4"/>
  <c r="CP31" i="4"/>
  <c r="CP50" i="4"/>
  <c r="CQ17" i="4"/>
  <c r="CS35" i="4"/>
  <c r="CS16" i="4"/>
  <c r="CS36" i="4"/>
  <c r="CS168" i="4"/>
  <c r="CS214" i="4"/>
  <c r="DK12" i="4"/>
  <c r="DK10" i="4"/>
  <c r="CL203" i="4"/>
  <c r="CS236" i="4"/>
  <c r="CL81" i="4"/>
  <c r="CL49" i="4"/>
  <c r="CL164" i="4"/>
  <c r="CL64" i="4"/>
  <c r="CL33" i="4"/>
  <c r="CL52" i="4"/>
  <c r="CL59" i="4"/>
  <c r="CL19" i="4"/>
  <c r="CL163" i="4"/>
  <c r="CL153" i="4"/>
  <c r="CL126" i="4"/>
  <c r="CL123" i="4"/>
  <c r="CL146" i="4"/>
  <c r="CL148" i="4"/>
  <c r="CL216" i="4"/>
  <c r="CL195" i="4"/>
  <c r="CL213" i="4"/>
  <c r="CQ24" i="4"/>
  <c r="CP33" i="4"/>
  <c r="CQ44" i="4"/>
  <c r="CP14" i="4"/>
  <c r="CP13" i="4"/>
  <c r="CQ36" i="4"/>
  <c r="CP24" i="4"/>
  <c r="CS21" i="4"/>
  <c r="CS121" i="4"/>
  <c r="CS208" i="4"/>
  <c r="DK7" i="4"/>
  <c r="DK17" i="4"/>
  <c r="CL27" i="4"/>
  <c r="CL61" i="4"/>
  <c r="CL22" i="4"/>
  <c r="CL13" i="4"/>
  <c r="CL74" i="4"/>
  <c r="CL45" i="4"/>
  <c r="CL63" i="4"/>
  <c r="CL69" i="4"/>
  <c r="CL30" i="4"/>
  <c r="CL174" i="4"/>
  <c r="CL184" i="4"/>
  <c r="CL136" i="4"/>
  <c r="CL158" i="4"/>
  <c r="CL160" i="4"/>
  <c r="CL187" i="4"/>
  <c r="CL119" i="4"/>
  <c r="CL206" i="4"/>
  <c r="CL116" i="4"/>
  <c r="CP30" i="4"/>
  <c r="CQ19" i="4"/>
  <c r="CQ18" i="4"/>
  <c r="CP43" i="4"/>
  <c r="CQ28" i="4"/>
  <c r="CS22" i="4"/>
  <c r="CS196" i="4"/>
  <c r="CS123" i="4"/>
  <c r="CS249" i="4"/>
  <c r="DK14" i="4"/>
  <c r="DK5" i="4"/>
  <c r="CL65" i="4"/>
  <c r="CL25" i="4"/>
  <c r="CL60" i="4"/>
  <c r="CL85" i="4"/>
  <c r="CL57" i="4"/>
  <c r="CL73" i="4"/>
  <c r="CL42" i="4"/>
  <c r="CL217" i="4"/>
  <c r="CL46" i="4"/>
  <c r="CL149" i="4"/>
  <c r="CL167" i="4"/>
  <c r="CL169" i="4"/>
  <c r="CL196" i="4"/>
  <c r="CL132" i="4"/>
  <c r="CL218" i="4"/>
  <c r="CQ16" i="4"/>
  <c r="CP19" i="4"/>
  <c r="CP26" i="4"/>
  <c r="CP25" i="4"/>
  <c r="CQ48" i="4"/>
  <c r="CP17" i="4"/>
  <c r="CX13" i="4"/>
  <c r="CS28" i="4"/>
  <c r="CS19" i="4"/>
  <c r="CS23" i="4"/>
  <c r="CS20" i="4"/>
  <c r="CS106" i="4"/>
  <c r="AA16" i="15"/>
  <c r="AG16" i="15" s="1"/>
  <c r="K2" i="5"/>
  <c r="N69" i="4"/>
  <c r="P71" i="4"/>
  <c r="AL7" i="4"/>
  <c r="AA10" i="15"/>
  <c r="AG10" i="15" s="1"/>
  <c r="DR10" i="4"/>
  <c r="AL11" i="4"/>
  <c r="DR5" i="4"/>
  <c r="AL6" i="4"/>
  <c r="Z17" i="15"/>
  <c r="AF17" i="15" s="1"/>
  <c r="AL8" i="4"/>
  <c r="AL22" i="4"/>
  <c r="DD20" i="4"/>
  <c r="ED9" i="4"/>
  <c r="DK22" i="4"/>
  <c r="CW32" i="4"/>
  <c r="CW18" i="4"/>
  <c r="CW13" i="4"/>
  <c r="CW22" i="4"/>
  <c r="CW19" i="4"/>
  <c r="CW44" i="4"/>
  <c r="DD32" i="4"/>
  <c r="DR15" i="4"/>
  <c r="ED11" i="4"/>
  <c r="AL20" i="4"/>
  <c r="AL12" i="4"/>
  <c r="AL16" i="4"/>
  <c r="CB13" i="4"/>
  <c r="ED6" i="4"/>
  <c r="DR17" i="4"/>
  <c r="AL24" i="4"/>
  <c r="AL19" i="4"/>
  <c r="AL18" i="4"/>
  <c r="CB15" i="4"/>
  <c r="CW25" i="4"/>
  <c r="CW20" i="4"/>
  <c r="CW40" i="4"/>
  <c r="CW14" i="4"/>
  <c r="DR12" i="4"/>
  <c r="AL26" i="4"/>
  <c r="AL27" i="4"/>
  <c r="CW31" i="4"/>
  <c r="CX19" i="4"/>
  <c r="CW39" i="4"/>
  <c r="DR7" i="4"/>
  <c r="AL34" i="4"/>
  <c r="AL14" i="4"/>
  <c r="AL29" i="4"/>
  <c r="DB20" i="4"/>
  <c r="CW43" i="4"/>
  <c r="CW26" i="4"/>
  <c r="DR14" i="4"/>
  <c r="ED8" i="4"/>
  <c r="AL15" i="4"/>
  <c r="AL21" i="4"/>
  <c r="AL25" i="4"/>
  <c r="CB17" i="4"/>
  <c r="CW15" i="4"/>
  <c r="CX20" i="4"/>
  <c r="CX17" i="4"/>
  <c r="CW37" i="4"/>
  <c r="DR6" i="4"/>
  <c r="DR9" i="4"/>
  <c r="ED10" i="4"/>
  <c r="AL10" i="4"/>
  <c r="AL33" i="4"/>
  <c r="CW36" i="4"/>
  <c r="CW27" i="4"/>
  <c r="CW24" i="4"/>
  <c r="CX16" i="4"/>
  <c r="DD14" i="4"/>
  <c r="DR18" i="4"/>
  <c r="DR4" i="4"/>
  <c r="ED12" i="4"/>
  <c r="AL32" i="4"/>
  <c r="AL9" i="4"/>
  <c r="DD17" i="4"/>
  <c r="CW38" i="4"/>
  <c r="CW35" i="4"/>
  <c r="CX14" i="4"/>
  <c r="CW23" i="4"/>
  <c r="DR11" i="4"/>
  <c r="DR16" i="4"/>
  <c r="ED5" i="4"/>
  <c r="AL23" i="4"/>
  <c r="DR13" i="4"/>
  <c r="ED7" i="4"/>
  <c r="AL17" i="4"/>
  <c r="AL31" i="4"/>
  <c r="CX15" i="4"/>
  <c r="AL13" i="4"/>
  <c r="EI275" i="4"/>
  <c r="P275" i="4"/>
  <c r="CS274" i="4"/>
  <c r="HF275" i="4"/>
  <c r="AJ95" i="4"/>
  <c r="EB161" i="4"/>
  <c r="DG275" i="4"/>
  <c r="EI277" i="4"/>
  <c r="EI274" i="4"/>
  <c r="HF277" i="4"/>
  <c r="EI276" i="4"/>
  <c r="N276" i="4"/>
  <c r="Q5" i="15"/>
  <c r="HC276" i="4" s="1"/>
  <c r="HF274" i="4"/>
  <c r="CS277" i="4"/>
  <c r="HF276" i="4"/>
  <c r="AJ165" i="4"/>
  <c r="DG123" i="4"/>
  <c r="DK63" i="4"/>
  <c r="CZ276" i="4"/>
  <c r="DU276" i="4"/>
  <c r="BC14" i="4"/>
  <c r="BC41" i="4"/>
  <c r="BC44" i="4"/>
  <c r="BC50" i="4"/>
  <c r="DP5" i="4"/>
  <c r="EB24" i="4"/>
  <c r="EB275" i="4"/>
  <c r="BC18" i="4"/>
  <c r="BC19" i="4"/>
  <c r="BC51" i="4"/>
  <c r="BC42" i="4"/>
  <c r="BC17" i="4"/>
  <c r="DP9" i="4"/>
  <c r="EB16" i="4"/>
  <c r="EF275" i="4"/>
  <c r="EB14" i="4"/>
  <c r="BC25" i="4"/>
  <c r="BC36" i="4"/>
  <c r="BC30" i="4"/>
  <c r="BC40" i="4"/>
  <c r="DG4" i="4"/>
  <c r="EB82" i="4"/>
  <c r="BC60" i="4"/>
  <c r="BC39" i="4"/>
  <c r="BC52" i="4"/>
  <c r="DG24" i="4"/>
  <c r="DL4" i="4"/>
  <c r="BC23" i="4"/>
  <c r="BC29" i="4"/>
  <c r="BC48" i="4"/>
  <c r="BC20" i="4"/>
  <c r="BC24" i="4"/>
  <c r="CZ13" i="4"/>
  <c r="DG15" i="4"/>
  <c r="BC31" i="4"/>
  <c r="BC13" i="4"/>
  <c r="BC58" i="4"/>
  <c r="BC56" i="4"/>
  <c r="BC35" i="4"/>
  <c r="CZ20" i="4"/>
  <c r="CS275" i="4"/>
  <c r="CL275" i="4"/>
  <c r="CL277" i="4"/>
  <c r="CZ5" i="4"/>
  <c r="BC45" i="4"/>
  <c r="BC34" i="4"/>
  <c r="BC37" i="4"/>
  <c r="BC53" i="4"/>
  <c r="BC59" i="4"/>
  <c r="BC57" i="4"/>
  <c r="BC43" i="4"/>
  <c r="BC46" i="4"/>
  <c r="DU277" i="4"/>
  <c r="DG276" i="4"/>
  <c r="CS276" i="4"/>
  <c r="CZ274" i="4"/>
  <c r="DN274" i="4"/>
  <c r="CL276" i="4"/>
  <c r="DU275" i="4"/>
  <c r="CZ275" i="4"/>
  <c r="EB276" i="4"/>
  <c r="DN275" i="4"/>
  <c r="CZ277" i="4"/>
  <c r="DG274" i="4"/>
  <c r="DU274" i="4"/>
  <c r="EB277" i="4"/>
  <c r="DG277" i="4"/>
  <c r="EB274" i="4"/>
  <c r="EF276" i="4"/>
  <c r="CL274" i="4"/>
  <c r="DY25" i="4"/>
  <c r="DP14" i="4"/>
  <c r="EF277" i="4"/>
  <c r="AG12" i="13"/>
  <c r="EF274" i="4"/>
  <c r="BL54" i="4"/>
  <c r="BL23" i="4"/>
  <c r="BL48" i="4"/>
  <c r="BL33" i="4"/>
  <c r="BS18" i="4"/>
  <c r="AJ159" i="4"/>
  <c r="BL34" i="4"/>
  <c r="BL45" i="4"/>
  <c r="BS13" i="4"/>
  <c r="DY33" i="4"/>
  <c r="AJ81" i="4"/>
  <c r="BL21" i="4"/>
  <c r="BL46" i="4"/>
  <c r="BL20" i="4"/>
  <c r="BL57" i="4"/>
  <c r="DY4" i="4"/>
  <c r="AJ111" i="4"/>
  <c r="BL32" i="4"/>
  <c r="BL58" i="4"/>
  <c r="BL31" i="4"/>
  <c r="BS20" i="4"/>
  <c r="DP13" i="4"/>
  <c r="AJ10" i="4"/>
  <c r="BL37" i="4"/>
  <c r="BL44" i="4"/>
  <c r="BL43" i="4"/>
  <c r="BL17" i="4"/>
  <c r="BS19" i="4"/>
  <c r="BS15" i="4"/>
  <c r="DP15" i="4"/>
  <c r="AJ57" i="4"/>
  <c r="AJ176" i="4"/>
  <c r="BL26" i="4"/>
  <c r="BL56" i="4"/>
  <c r="BL18" i="4"/>
  <c r="BL55" i="4"/>
  <c r="BL28" i="4"/>
  <c r="BS14" i="4"/>
  <c r="AJ35" i="4"/>
  <c r="AJ135" i="4"/>
  <c r="BL49" i="4"/>
  <c r="BL29" i="4"/>
  <c r="BL15" i="4"/>
  <c r="BL40" i="4"/>
  <c r="AJ23" i="4"/>
  <c r="BL14" i="4"/>
  <c r="BL16" i="4"/>
  <c r="BL41" i="4"/>
  <c r="BL27" i="4"/>
  <c r="BL52" i="4"/>
  <c r="BS21" i="4"/>
  <c r="BS17" i="4"/>
  <c r="AJ58" i="4"/>
  <c r="BL53" i="4"/>
  <c r="BL38" i="4"/>
  <c r="AJ36" i="4"/>
  <c r="BL19" i="4"/>
  <c r="BL39" i="4"/>
  <c r="BL13" i="4"/>
  <c r="BL50" i="4"/>
  <c r="BL24" i="4"/>
  <c r="AJ89" i="4"/>
  <c r="BL30" i="4"/>
  <c r="BL51" i="4"/>
  <c r="BL25" i="4"/>
  <c r="AA19" i="15"/>
  <c r="AG19" i="15" s="1"/>
  <c r="Z14" i="15"/>
  <c r="AF14" i="15" s="1"/>
  <c r="Z16" i="15"/>
  <c r="AF16" i="15" s="1"/>
  <c r="Y14" i="15"/>
  <c r="Z8" i="15"/>
  <c r="AF8" i="15" s="1"/>
  <c r="Y13" i="15"/>
  <c r="Y11" i="15"/>
  <c r="AA6" i="15"/>
  <c r="AG6" i="15" s="1"/>
  <c r="AA9" i="15"/>
  <c r="AG9" i="15" s="1"/>
  <c r="Z13" i="15"/>
  <c r="AF13" i="15" s="1"/>
  <c r="Z10" i="15"/>
  <c r="AA17" i="15"/>
  <c r="AG17" i="15" s="1"/>
  <c r="AA5" i="15"/>
  <c r="AG5" i="15" s="1"/>
  <c r="Z12" i="15"/>
  <c r="AF12" i="15" s="1"/>
  <c r="AE17" i="15"/>
  <c r="AA14" i="15"/>
  <c r="AG14" i="15" s="1"/>
  <c r="Z6" i="15"/>
  <c r="AF6" i="15" s="1"/>
  <c r="DG56" i="4"/>
  <c r="DK76" i="4"/>
  <c r="DB13" i="4"/>
  <c r="Y9" i="15"/>
  <c r="Y12" i="15"/>
  <c r="AE12" i="15" s="1"/>
  <c r="Y4" i="15"/>
  <c r="AE4" i="15" s="1"/>
  <c r="DP7" i="4"/>
  <c r="Z19" i="15"/>
  <c r="Z7" i="15"/>
  <c r="DK101" i="4"/>
  <c r="DY29" i="4"/>
  <c r="G336" i="5"/>
  <c r="AJ174" i="4"/>
  <c r="EB15" i="4"/>
  <c r="CZ105" i="4"/>
  <c r="CZ74" i="4"/>
  <c r="DY20" i="4"/>
  <c r="CS78" i="4"/>
  <c r="CS137" i="4"/>
  <c r="CS101" i="4"/>
  <c r="CS105" i="4"/>
  <c r="CS99" i="4"/>
  <c r="CS224" i="4"/>
  <c r="CS177" i="4"/>
  <c r="CS218" i="4"/>
  <c r="CS226" i="4"/>
  <c r="CS100" i="4"/>
  <c r="CS158" i="4"/>
  <c r="CS174" i="4"/>
  <c r="CS180" i="4"/>
  <c r="CS264" i="4"/>
  <c r="CS261" i="4"/>
  <c r="CS250" i="4"/>
  <c r="CZ32" i="4"/>
  <c r="DB8" i="4"/>
  <c r="DG94" i="4"/>
  <c r="DK23" i="4"/>
  <c r="DK20" i="4"/>
  <c r="DS4" i="4"/>
  <c r="DP20" i="4"/>
  <c r="DP19" i="4"/>
  <c r="DY10" i="4"/>
  <c r="DY9" i="4"/>
  <c r="DY13" i="4"/>
  <c r="EB19" i="4"/>
  <c r="EB18" i="4"/>
  <c r="EB27" i="4"/>
  <c r="AJ114" i="4"/>
  <c r="AJ49" i="4"/>
  <c r="AJ19" i="4"/>
  <c r="AJ9" i="4"/>
  <c r="AJ11" i="4"/>
  <c r="AJ13" i="4"/>
  <c r="AJ69" i="4"/>
  <c r="AJ147" i="4"/>
  <c r="AJ84" i="4"/>
  <c r="AJ124" i="4"/>
  <c r="AJ70" i="4"/>
  <c r="AJ98" i="4"/>
  <c r="AJ127" i="4"/>
  <c r="AJ156" i="4"/>
  <c r="AJ122" i="4"/>
  <c r="CS103" i="4"/>
  <c r="CS203" i="4"/>
  <c r="CS237" i="4"/>
  <c r="CS63" i="4"/>
  <c r="CS94" i="4"/>
  <c r="CS141" i="4"/>
  <c r="CS216" i="4"/>
  <c r="CS48" i="4"/>
  <c r="CS43" i="4"/>
  <c r="CS38" i="4"/>
  <c r="CS198" i="4"/>
  <c r="CS159" i="4"/>
  <c r="CS220" i="4"/>
  <c r="CS118" i="4"/>
  <c r="CS125" i="4"/>
  <c r="CS178" i="4"/>
  <c r="CS200" i="4"/>
  <c r="CS238" i="4"/>
  <c r="CS242" i="4"/>
  <c r="CS233" i="4"/>
  <c r="CZ26" i="4"/>
  <c r="DB15" i="4"/>
  <c r="DG96" i="4"/>
  <c r="DK25" i="4"/>
  <c r="DK21" i="4"/>
  <c r="DS6" i="4"/>
  <c r="DP25" i="4"/>
  <c r="DP26" i="4"/>
  <c r="DY5" i="4"/>
  <c r="DY40" i="4"/>
  <c r="DY36" i="4"/>
  <c r="EB26" i="4"/>
  <c r="EB8" i="4"/>
  <c r="EB17" i="4"/>
  <c r="AJ32" i="4"/>
  <c r="AJ66" i="4"/>
  <c r="AJ47" i="4"/>
  <c r="AJ25" i="4"/>
  <c r="AJ78" i="4"/>
  <c r="AJ60" i="4"/>
  <c r="AJ116" i="4"/>
  <c r="AJ171" i="4"/>
  <c r="AJ107" i="4"/>
  <c r="AJ29" i="4"/>
  <c r="AJ92" i="4"/>
  <c r="AJ113" i="4"/>
  <c r="AJ139" i="4"/>
  <c r="AJ151" i="4"/>
  <c r="AJ148" i="4"/>
  <c r="CS202" i="4"/>
  <c r="CS204" i="4"/>
  <c r="CS88" i="4"/>
  <c r="CS124" i="4"/>
  <c r="CS44" i="4"/>
  <c r="CS39" i="4"/>
  <c r="CS58" i="4"/>
  <c r="CS53" i="4"/>
  <c r="CS70" i="4"/>
  <c r="CS65" i="4"/>
  <c r="CS61" i="4"/>
  <c r="CS222" i="4"/>
  <c r="CS179" i="4"/>
  <c r="CS136" i="4"/>
  <c r="CS142" i="4"/>
  <c r="CS151" i="4"/>
  <c r="CS212" i="4"/>
  <c r="CS219" i="4"/>
  <c r="CS259" i="4"/>
  <c r="CS263" i="4"/>
  <c r="CS255" i="4"/>
  <c r="DG155" i="4"/>
  <c r="DK27" i="4"/>
  <c r="DK72" i="4"/>
  <c r="DP27" i="4"/>
  <c r="DP21" i="4"/>
  <c r="DY14" i="4"/>
  <c r="DY37" i="4"/>
  <c r="DY31" i="4"/>
  <c r="EB7" i="4"/>
  <c r="EB23" i="4"/>
  <c r="AM4" i="4"/>
  <c r="EJ4" i="4" s="1"/>
  <c r="AJ82" i="4"/>
  <c r="AJ12" i="4"/>
  <c r="AJ45" i="4"/>
  <c r="AJ112" i="4"/>
  <c r="AJ100" i="4"/>
  <c r="AJ175" i="4"/>
  <c r="AJ99" i="4"/>
  <c r="AJ126" i="4"/>
  <c r="AJ53" i="4"/>
  <c r="AJ143" i="4"/>
  <c r="AJ27" i="4"/>
  <c r="AJ172" i="4"/>
  <c r="AJ169" i="4"/>
  <c r="AJ145" i="4"/>
  <c r="DZ5" i="4"/>
  <c r="DN203" i="4"/>
  <c r="DI18" i="4"/>
  <c r="EG4" i="4"/>
  <c r="CS112" i="4"/>
  <c r="CS104" i="4"/>
  <c r="CS56" i="4"/>
  <c r="CS51" i="4"/>
  <c r="CS68" i="4"/>
  <c r="CS64" i="4"/>
  <c r="CS80" i="4"/>
  <c r="CS76" i="4"/>
  <c r="CS72" i="4"/>
  <c r="CS139" i="4"/>
  <c r="CS191" i="4"/>
  <c r="CS149" i="4"/>
  <c r="CS156" i="4"/>
  <c r="CS163" i="4"/>
  <c r="CS223" i="4"/>
  <c r="CS241" i="4"/>
  <c r="CS225" i="4"/>
  <c r="CS232" i="4"/>
  <c r="CS258" i="4"/>
  <c r="CS267" i="4"/>
  <c r="CZ114" i="4"/>
  <c r="DB9" i="4"/>
  <c r="DB17" i="4"/>
  <c r="DG125" i="4"/>
  <c r="DK24" i="4"/>
  <c r="DK108" i="4"/>
  <c r="DP10" i="4"/>
  <c r="DZ4" i="4"/>
  <c r="DY16" i="4"/>
  <c r="DY32" i="4"/>
  <c r="DY15" i="4"/>
  <c r="EB9" i="4"/>
  <c r="EB10" i="4"/>
  <c r="AJ93" i="4"/>
  <c r="AJ28" i="4"/>
  <c r="AJ14" i="4"/>
  <c r="AJ6" i="4"/>
  <c r="AJ8" i="4"/>
  <c r="AJ123" i="4"/>
  <c r="AJ119" i="4"/>
  <c r="AJ132" i="4"/>
  <c r="AJ64" i="4"/>
  <c r="AJ168" i="4"/>
  <c r="AJ38" i="4"/>
  <c r="AJ173" i="4"/>
  <c r="AJ120" i="4"/>
  <c r="AJ130" i="4"/>
  <c r="AJ177" i="4"/>
  <c r="DW7" i="4"/>
  <c r="CZ127" i="4"/>
  <c r="DB10" i="4"/>
  <c r="CS42" i="4"/>
  <c r="CS37" i="4"/>
  <c r="CS66" i="4"/>
  <c r="CS62" i="4"/>
  <c r="CS79" i="4"/>
  <c r="CS74" i="4"/>
  <c r="CS91" i="4"/>
  <c r="CS82" i="4"/>
  <c r="CS152" i="4"/>
  <c r="CS199" i="4"/>
  <c r="CS161" i="4"/>
  <c r="CS176" i="4"/>
  <c r="CS172" i="4"/>
  <c r="CS102" i="4"/>
  <c r="CS110" i="4"/>
  <c r="CS234" i="4"/>
  <c r="CS245" i="4"/>
  <c r="CS231" i="4"/>
  <c r="CS252" i="4"/>
  <c r="CZ73" i="4"/>
  <c r="DB12" i="4"/>
  <c r="DG120" i="4"/>
  <c r="DG148" i="4"/>
  <c r="DK26" i="4"/>
  <c r="DK114" i="4"/>
  <c r="DP22" i="4"/>
  <c r="DP16" i="4"/>
  <c r="DY11" i="4"/>
  <c r="DY19" i="4"/>
  <c r="DY27" i="4"/>
  <c r="EB22" i="4"/>
  <c r="EB12" i="4"/>
  <c r="AJ15" i="4"/>
  <c r="AJ125" i="4"/>
  <c r="AJ37" i="4"/>
  <c r="AJ21" i="4"/>
  <c r="AJ91" i="4"/>
  <c r="AJ18" i="4"/>
  <c r="AJ20" i="4"/>
  <c r="AJ134" i="4"/>
  <c r="AJ137" i="4"/>
  <c r="AJ140" i="4"/>
  <c r="AJ75" i="4"/>
  <c r="AJ31" i="4"/>
  <c r="AJ50" i="4"/>
  <c r="AJ149" i="4"/>
  <c r="AJ133" i="4"/>
  <c r="AJ103" i="4"/>
  <c r="DK122" i="4"/>
  <c r="AJ54" i="4"/>
  <c r="AJ74" i="4"/>
  <c r="AJ40" i="4"/>
  <c r="AJ96" i="4"/>
  <c r="AJ63" i="4"/>
  <c r="AJ150" i="4"/>
  <c r="AJ88" i="4"/>
  <c r="AJ117" i="4"/>
  <c r="AJ41" i="4"/>
  <c r="AJ104" i="4"/>
  <c r="AJ138" i="4"/>
  <c r="AJ152" i="4"/>
  <c r="AJ163" i="4"/>
  <c r="AJ160" i="4"/>
  <c r="CS57" i="4"/>
  <c r="CS47" i="4"/>
  <c r="CS54" i="4"/>
  <c r="CS49" i="4"/>
  <c r="CS77" i="4"/>
  <c r="CS83" i="4"/>
  <c r="CS89" i="4"/>
  <c r="CS85" i="4"/>
  <c r="CS111" i="4"/>
  <c r="CS97" i="4"/>
  <c r="CS109" i="4"/>
  <c r="CS213" i="4"/>
  <c r="CS170" i="4"/>
  <c r="CS188" i="4"/>
  <c r="CS183" i="4"/>
  <c r="CS115" i="4"/>
  <c r="CS122" i="4"/>
  <c r="CS248" i="4"/>
  <c r="CS244" i="4"/>
  <c r="CS262" i="4"/>
  <c r="CZ65" i="4"/>
  <c r="CZ108" i="4"/>
  <c r="DB16" i="4"/>
  <c r="DB7" i="4"/>
  <c r="DG122" i="4"/>
  <c r="DG157" i="4"/>
  <c r="DK19" i="4"/>
  <c r="DP11" i="4"/>
  <c r="DY6" i="4"/>
  <c r="DY28" i="4"/>
  <c r="DY39" i="4"/>
  <c r="DY38" i="4"/>
  <c r="EB37" i="4"/>
  <c r="EB21" i="4"/>
  <c r="AJ34" i="4"/>
  <c r="AJ141" i="4"/>
  <c r="AJ44" i="4"/>
  <c r="AJ33" i="4"/>
  <c r="AJ153" i="4"/>
  <c r="AJ48" i="4"/>
  <c r="AJ22" i="4"/>
  <c r="AJ162" i="4"/>
  <c r="AJ154" i="4"/>
  <c r="AJ155" i="4"/>
  <c r="AJ86" i="4"/>
  <c r="AJ43" i="4"/>
  <c r="AJ61" i="4"/>
  <c r="AJ161" i="4"/>
  <c r="AJ146" i="4"/>
  <c r="DG260" i="4"/>
  <c r="DY26" i="4"/>
  <c r="CS98" i="4"/>
  <c r="CS40" i="4"/>
  <c r="CS59" i="4"/>
  <c r="CS60" i="4"/>
  <c r="CS87" i="4"/>
  <c r="CS93" i="4"/>
  <c r="CS128" i="4"/>
  <c r="CS95" i="4"/>
  <c r="CS114" i="4"/>
  <c r="CS126" i="4"/>
  <c r="CS147" i="4"/>
  <c r="CS173" i="4"/>
  <c r="CS154" i="4"/>
  <c r="CS181" i="4"/>
  <c r="CS197" i="4"/>
  <c r="CS205" i="4"/>
  <c r="CS127" i="4"/>
  <c r="CS135" i="4"/>
  <c r="CS257" i="4"/>
  <c r="CS266" i="4"/>
  <c r="CS254" i="4"/>
  <c r="DB11" i="4"/>
  <c r="DB19" i="4"/>
  <c r="DK51" i="4"/>
  <c r="DK121" i="4"/>
  <c r="DP17" i="4"/>
  <c r="DP23" i="4"/>
  <c r="DY21" i="4"/>
  <c r="DY7" i="4"/>
  <c r="DY23" i="4"/>
  <c r="EB11" i="4"/>
  <c r="EB113" i="4"/>
  <c r="AJ46" i="4"/>
  <c r="AJ5" i="4"/>
  <c r="AJ52" i="4"/>
  <c r="AJ42" i="4"/>
  <c r="AJ4" i="4"/>
  <c r="AJ79" i="4"/>
  <c r="AJ24" i="4"/>
  <c r="AJ166" i="4"/>
  <c r="AJ68" i="4"/>
  <c r="AJ97" i="4"/>
  <c r="AJ55" i="4"/>
  <c r="AJ72" i="4"/>
  <c r="AJ170" i="4"/>
  <c r="AJ158" i="4"/>
  <c r="CS145" i="4"/>
  <c r="CS84" i="4"/>
  <c r="CS69" i="4"/>
  <c r="CS75" i="4"/>
  <c r="CS71" i="4"/>
  <c r="CS108" i="4"/>
  <c r="CS193" i="4"/>
  <c r="CS117" i="4"/>
  <c r="CS120" i="4"/>
  <c r="CS133" i="4"/>
  <c r="CS143" i="4"/>
  <c r="CS184" i="4"/>
  <c r="CS165" i="4"/>
  <c r="CS192" i="4"/>
  <c r="CS210" i="4"/>
  <c r="CS217" i="4"/>
  <c r="CS140" i="4"/>
  <c r="CS148" i="4"/>
  <c r="CS230" i="4"/>
  <c r="CS228" i="4"/>
  <c r="CS265" i="4"/>
  <c r="DB6" i="4"/>
  <c r="DB14" i="4"/>
  <c r="DK46" i="4"/>
  <c r="DS5" i="4"/>
  <c r="DP12" i="4"/>
  <c r="DP6" i="4"/>
  <c r="DN5" i="4"/>
  <c r="DY30" i="4"/>
  <c r="DY24" i="4"/>
  <c r="DY34" i="4"/>
  <c r="EB4" i="4"/>
  <c r="EB13" i="4"/>
  <c r="AJ59" i="4"/>
  <c r="AJ17" i="4"/>
  <c r="AJ67" i="4"/>
  <c r="AJ16" i="4"/>
  <c r="AJ85" i="4"/>
  <c r="AJ26" i="4"/>
  <c r="AJ51" i="4"/>
  <c r="AJ109" i="4"/>
  <c r="AJ65" i="4"/>
  <c r="AJ83" i="4"/>
  <c r="AJ118" i="4"/>
  <c r="AJ167" i="4"/>
  <c r="CS130" i="4"/>
  <c r="AJ144" i="4"/>
  <c r="CS86" i="4"/>
  <c r="CS81" i="4"/>
  <c r="CS119" i="4"/>
  <c r="CS116" i="4"/>
  <c r="CS209" i="4"/>
  <c r="CS129" i="4"/>
  <c r="CS162" i="4"/>
  <c r="CS157" i="4"/>
  <c r="CS195" i="4"/>
  <c r="CS175" i="4"/>
  <c r="CS201" i="4"/>
  <c r="CS221" i="4"/>
  <c r="CS247" i="4"/>
  <c r="CS153" i="4"/>
  <c r="CS160" i="4"/>
  <c r="CS243" i="4"/>
  <c r="CS240" i="4"/>
  <c r="CS227" i="4"/>
  <c r="DB18" i="4"/>
  <c r="DG33" i="4"/>
  <c r="DP24" i="4"/>
  <c r="DP18" i="4"/>
  <c r="DY22" i="4"/>
  <c r="DY35" i="4"/>
  <c r="DY18" i="4"/>
  <c r="EB20" i="4"/>
  <c r="EB25" i="4"/>
  <c r="AJ76" i="4"/>
  <c r="AJ30" i="4"/>
  <c r="AJ80" i="4"/>
  <c r="AJ71" i="4"/>
  <c r="AJ136" i="4"/>
  <c r="AJ121" i="4"/>
  <c r="AJ62" i="4"/>
  <c r="AJ90" i="4"/>
  <c r="AJ115" i="4"/>
  <c r="AJ77" i="4"/>
  <c r="AJ94" i="4"/>
  <c r="AJ131" i="4"/>
  <c r="AJ164" i="4"/>
  <c r="DG77" i="4"/>
  <c r="DY12" i="4"/>
  <c r="AJ110" i="4"/>
  <c r="CS67" i="4"/>
  <c r="CS90" i="4"/>
  <c r="CS96" i="4"/>
  <c r="CS92" i="4"/>
  <c r="CS182" i="4"/>
  <c r="CS132" i="4"/>
  <c r="CS229" i="4"/>
  <c r="CS187" i="4"/>
  <c r="CS166" i="4"/>
  <c r="CS206" i="4"/>
  <c r="CS186" i="4"/>
  <c r="CS215" i="4"/>
  <c r="CS256" i="4"/>
  <c r="CS146" i="4"/>
  <c r="CS164" i="4"/>
  <c r="CS169" i="4"/>
  <c r="CS251" i="4"/>
  <c r="CS239" i="4"/>
  <c r="DP8" i="4"/>
  <c r="DY8" i="4"/>
  <c r="DY17" i="4"/>
  <c r="EB6" i="4"/>
  <c r="AJ105" i="4"/>
  <c r="AJ39" i="4"/>
  <c r="AJ7" i="4"/>
  <c r="AJ102" i="4"/>
  <c r="AJ108" i="4"/>
  <c r="AJ157" i="4"/>
  <c r="AJ56" i="4"/>
  <c r="AJ128" i="4"/>
  <c r="AJ73" i="4"/>
  <c r="AJ101" i="4"/>
  <c r="AJ129" i="4"/>
  <c r="AJ87" i="4"/>
  <c r="AJ106" i="4"/>
  <c r="AJ142" i="4"/>
  <c r="DN234" i="4"/>
  <c r="DN116" i="4"/>
  <c r="DN26" i="4"/>
  <c r="DN46" i="4"/>
  <c r="DN243" i="4"/>
  <c r="DN216" i="4"/>
  <c r="DN254" i="4"/>
  <c r="EB58" i="4"/>
  <c r="EB70" i="4"/>
  <c r="EB164" i="4"/>
  <c r="EB223" i="4"/>
  <c r="EB189" i="4"/>
  <c r="EB213" i="4"/>
  <c r="EB226" i="4"/>
  <c r="AH5" i="4"/>
  <c r="AH15" i="4"/>
  <c r="EB202" i="4"/>
  <c r="DD26" i="4"/>
  <c r="DD11" i="4"/>
  <c r="DD39" i="4"/>
  <c r="DE5" i="4"/>
  <c r="DI6" i="4"/>
  <c r="DN22" i="4"/>
  <c r="DN192" i="4"/>
  <c r="DN7" i="4"/>
  <c r="DN37" i="4"/>
  <c r="DN32" i="4"/>
  <c r="DN51" i="4"/>
  <c r="DN58" i="4"/>
  <c r="DN74" i="4"/>
  <c r="DN91" i="4"/>
  <c r="DN76" i="4"/>
  <c r="DN210" i="4"/>
  <c r="DN108" i="4"/>
  <c r="DN140" i="4"/>
  <c r="DN169" i="4"/>
  <c r="DN209" i="4"/>
  <c r="DN101" i="4"/>
  <c r="DN109" i="4"/>
  <c r="DN248" i="4"/>
  <c r="DN256" i="4"/>
  <c r="DN265" i="4"/>
  <c r="DN262" i="4"/>
  <c r="EB34" i="4"/>
  <c r="EB49" i="4"/>
  <c r="EB124" i="4"/>
  <c r="EB77" i="4"/>
  <c r="EB68" i="4"/>
  <c r="EB95" i="4"/>
  <c r="EB80" i="4"/>
  <c r="EB97" i="4"/>
  <c r="EB104" i="4"/>
  <c r="EB170" i="4"/>
  <c r="EB217" i="4"/>
  <c r="EB185" i="4"/>
  <c r="EB200" i="4"/>
  <c r="EB265" i="4"/>
  <c r="EB198" i="4"/>
  <c r="EB206" i="4"/>
  <c r="EB224" i="4"/>
  <c r="EB243" i="4"/>
  <c r="EB235" i="4"/>
  <c r="EB241" i="4"/>
  <c r="AM10" i="4"/>
  <c r="AM28" i="4"/>
  <c r="EJ28" i="4" s="1"/>
  <c r="GU28" i="4" s="1"/>
  <c r="AM23" i="4"/>
  <c r="EJ23" i="4" s="1"/>
  <c r="GU23" i="4" s="1"/>
  <c r="AH17" i="4"/>
  <c r="AH16" i="4"/>
  <c r="AH22" i="4"/>
  <c r="EB144" i="4"/>
  <c r="EB203" i="4"/>
  <c r="DN237" i="4"/>
  <c r="DN201" i="4"/>
  <c r="DN247" i="4"/>
  <c r="DD38" i="4"/>
  <c r="DD23" i="4"/>
  <c r="DD43" i="4"/>
  <c r="DD12" i="4"/>
  <c r="DI13" i="4"/>
  <c r="DS18" i="4"/>
  <c r="DS17" i="4"/>
  <c r="DN15" i="4"/>
  <c r="DN17" i="4"/>
  <c r="DN215" i="4"/>
  <c r="DN19" i="4"/>
  <c r="DN49" i="4"/>
  <c r="DN44" i="4"/>
  <c r="DN62" i="4"/>
  <c r="DN68" i="4"/>
  <c r="DN85" i="4"/>
  <c r="DN100" i="4"/>
  <c r="DN221" i="4"/>
  <c r="DN120" i="4"/>
  <c r="DN153" i="4"/>
  <c r="DN180" i="4"/>
  <c r="DN264" i="4"/>
  <c r="DN107" i="4"/>
  <c r="DN114" i="4"/>
  <c r="DN121" i="4"/>
  <c r="DN257" i="4"/>
  <c r="DN227" i="4"/>
  <c r="EB108" i="4"/>
  <c r="EB71" i="4"/>
  <c r="EB87" i="4"/>
  <c r="EB79" i="4"/>
  <c r="EB107" i="4"/>
  <c r="EB91" i="4"/>
  <c r="EB109" i="4"/>
  <c r="EB140" i="4"/>
  <c r="EB28" i="4"/>
  <c r="EB181" i="4"/>
  <c r="EB225" i="4"/>
  <c r="EB214" i="4"/>
  <c r="EB150" i="4"/>
  <c r="EB211" i="4"/>
  <c r="EB218" i="4"/>
  <c r="EB128" i="4"/>
  <c r="EB252" i="4"/>
  <c r="AM7" i="4"/>
  <c r="EJ7" i="4" s="1"/>
  <c r="GU7" i="4" s="1"/>
  <c r="AH30" i="4"/>
  <c r="AH11" i="4"/>
  <c r="AH10" i="4"/>
  <c r="EB103" i="4"/>
  <c r="DN204" i="4"/>
  <c r="DI19" i="4"/>
  <c r="DU21" i="4"/>
  <c r="DN222" i="4"/>
  <c r="DD40" i="4"/>
  <c r="DD31" i="4"/>
  <c r="DD15" i="4"/>
  <c r="DD24" i="4"/>
  <c r="DI8" i="4"/>
  <c r="DN27" i="4"/>
  <c r="DN28" i="4"/>
  <c r="DN12" i="4"/>
  <c r="DN30" i="4"/>
  <c r="DN60" i="4"/>
  <c r="DN56" i="4"/>
  <c r="DN83" i="4"/>
  <c r="DN79" i="4"/>
  <c r="DN95" i="4"/>
  <c r="DN115" i="4"/>
  <c r="DN97" i="4"/>
  <c r="DN259" i="4"/>
  <c r="DN133" i="4"/>
  <c r="DN164" i="4"/>
  <c r="DN99" i="4"/>
  <c r="DN119" i="4"/>
  <c r="DN126" i="4"/>
  <c r="DN134" i="4"/>
  <c r="DN232" i="4"/>
  <c r="DN242" i="4"/>
  <c r="DN239" i="4"/>
  <c r="DU5" i="4"/>
  <c r="EB32" i="4"/>
  <c r="EB35" i="4"/>
  <c r="EB29" i="4"/>
  <c r="EB81" i="4"/>
  <c r="EB89" i="4"/>
  <c r="EB123" i="4"/>
  <c r="EB101" i="4"/>
  <c r="EB116" i="4"/>
  <c r="EB151" i="4"/>
  <c r="EB40" i="4"/>
  <c r="EB192" i="4"/>
  <c r="EB228" i="4"/>
  <c r="EB207" i="4"/>
  <c r="EB129" i="4"/>
  <c r="EB162" i="4"/>
  <c r="EB222" i="4"/>
  <c r="EB261" i="4"/>
  <c r="EB264" i="4"/>
  <c r="EB258" i="4"/>
  <c r="EB262" i="4"/>
  <c r="AM9" i="4"/>
  <c r="EJ9" i="4" s="1"/>
  <c r="GU9" i="4" s="1"/>
  <c r="AH12" i="4"/>
  <c r="AH6" i="4"/>
  <c r="AH31" i="4"/>
  <c r="DN236" i="4"/>
  <c r="DN160" i="4"/>
  <c r="DD42" i="4"/>
  <c r="DD6" i="4"/>
  <c r="DD27" i="4"/>
  <c r="DD34" i="4"/>
  <c r="DI15" i="4"/>
  <c r="DS13" i="4"/>
  <c r="DS12" i="4"/>
  <c r="DN38" i="4"/>
  <c r="DN40" i="4"/>
  <c r="DN24" i="4"/>
  <c r="DN42" i="4"/>
  <c r="DN71" i="4"/>
  <c r="DN66" i="4"/>
  <c r="DN93" i="4"/>
  <c r="DN89" i="4"/>
  <c r="DN106" i="4"/>
  <c r="DN123" i="4"/>
  <c r="DN104" i="4"/>
  <c r="DN125" i="4"/>
  <c r="DN146" i="4"/>
  <c r="DN174" i="4"/>
  <c r="DN200" i="4"/>
  <c r="DN112" i="4"/>
  <c r="DN132" i="4"/>
  <c r="DN139" i="4"/>
  <c r="DN147" i="4"/>
  <c r="DN245" i="4"/>
  <c r="DN253" i="4"/>
  <c r="DN250" i="4"/>
  <c r="DU16" i="4"/>
  <c r="EB44" i="4"/>
  <c r="EB31" i="4"/>
  <c r="EB51" i="4"/>
  <c r="EB92" i="4"/>
  <c r="EB110" i="4"/>
  <c r="EB99" i="4"/>
  <c r="EB136" i="4"/>
  <c r="EB114" i="4"/>
  <c r="EB156" i="4"/>
  <c r="EB45" i="4"/>
  <c r="EB52" i="4"/>
  <c r="EB201" i="4"/>
  <c r="EB231" i="4"/>
  <c r="EB219" i="4"/>
  <c r="EB141" i="4"/>
  <c r="EB171" i="4"/>
  <c r="EB121" i="4"/>
  <c r="EB154" i="4"/>
  <c r="EB232" i="4"/>
  <c r="EB227" i="4"/>
  <c r="AM6" i="4"/>
  <c r="EJ6" i="4" s="1"/>
  <c r="GS6" i="4" s="1"/>
  <c r="AM8" i="4"/>
  <c r="EJ8" i="4" s="1"/>
  <c r="GU8" i="4" s="1"/>
  <c r="AM5" i="4"/>
  <c r="EJ5" i="4" s="1"/>
  <c r="AM19" i="4"/>
  <c r="EJ19" i="4" s="1"/>
  <c r="GS19" i="4" s="1"/>
  <c r="AM29" i="4"/>
  <c r="EJ29" i="4" s="1"/>
  <c r="AH7" i="4"/>
  <c r="AH18" i="4"/>
  <c r="AH28" i="4"/>
  <c r="DN64" i="4"/>
  <c r="DD44" i="4"/>
  <c r="DD18" i="4"/>
  <c r="DD28" i="4"/>
  <c r="DD33" i="4"/>
  <c r="DI10" i="4"/>
  <c r="DS8" i="4"/>
  <c r="DS7" i="4"/>
  <c r="DN78" i="4"/>
  <c r="DN50" i="4"/>
  <c r="DN52" i="4"/>
  <c r="DN35" i="4"/>
  <c r="DN54" i="4"/>
  <c r="DN81" i="4"/>
  <c r="DN77" i="4"/>
  <c r="DN117" i="4"/>
  <c r="DN102" i="4"/>
  <c r="DN165" i="4"/>
  <c r="DN170" i="4"/>
  <c r="DN138" i="4"/>
  <c r="DN158" i="4"/>
  <c r="DN185" i="4"/>
  <c r="DN214" i="4"/>
  <c r="DN124" i="4"/>
  <c r="DN143" i="4"/>
  <c r="DN152" i="4"/>
  <c r="DN159" i="4"/>
  <c r="DN263" i="4"/>
  <c r="DN260" i="4"/>
  <c r="EB62" i="4"/>
  <c r="EB47" i="4"/>
  <c r="EB60" i="4"/>
  <c r="EB102" i="4"/>
  <c r="EB174" i="4"/>
  <c r="EB112" i="4"/>
  <c r="EB176" i="4"/>
  <c r="EB118" i="4"/>
  <c r="EB244" i="4"/>
  <c r="EB57" i="4"/>
  <c r="EB63" i="4"/>
  <c r="EB215" i="4"/>
  <c r="EB133" i="4"/>
  <c r="EB259" i="4"/>
  <c r="EB155" i="4"/>
  <c r="EB182" i="4"/>
  <c r="EB134" i="4"/>
  <c r="EB165" i="4"/>
  <c r="EB245" i="4"/>
  <c r="EB239" i="4"/>
  <c r="AM31" i="4"/>
  <c r="EJ31" i="4" s="1"/>
  <c r="GS31" i="4" s="1"/>
  <c r="AH19" i="4"/>
  <c r="AH13" i="4"/>
  <c r="DN145" i="4"/>
  <c r="EB237" i="4"/>
  <c r="DN149" i="4"/>
  <c r="DN39" i="4"/>
  <c r="DN65" i="4"/>
  <c r="DN127" i="4"/>
  <c r="DN238" i="4"/>
  <c r="EB66" i="4"/>
  <c r="EB85" i="4"/>
  <c r="EB205" i="4"/>
  <c r="EB253" i="4"/>
  <c r="EB195" i="4"/>
  <c r="EB230" i="4"/>
  <c r="EB229" i="4"/>
  <c r="DD9" i="4"/>
  <c r="DD35" i="4"/>
  <c r="DD41" i="4"/>
  <c r="DD45" i="4"/>
  <c r="DL23" i="4"/>
  <c r="DI17" i="4"/>
  <c r="DN45" i="4"/>
  <c r="DN61" i="4"/>
  <c r="DN63" i="4"/>
  <c r="DN47" i="4"/>
  <c r="DN92" i="4"/>
  <c r="DN87" i="4"/>
  <c r="DN154" i="4"/>
  <c r="DN122" i="4"/>
  <c r="DN13" i="4"/>
  <c r="DN249" i="4"/>
  <c r="DN118" i="4"/>
  <c r="DN151" i="4"/>
  <c r="DN167" i="4"/>
  <c r="DN129" i="4"/>
  <c r="DN137" i="4"/>
  <c r="DN157" i="4"/>
  <c r="DN168" i="4"/>
  <c r="DN266" i="4"/>
  <c r="DN226" i="4"/>
  <c r="DN233" i="4"/>
  <c r="DU8" i="4"/>
  <c r="EB119" i="4"/>
  <c r="EB83" i="4"/>
  <c r="EB93" i="4"/>
  <c r="EB115" i="4"/>
  <c r="EB197" i="4"/>
  <c r="EB120" i="4"/>
  <c r="EB234" i="4"/>
  <c r="EB143" i="4"/>
  <c r="EB67" i="4"/>
  <c r="EB73" i="4"/>
  <c r="EB248" i="4"/>
  <c r="EB146" i="4"/>
  <c r="EB122" i="4"/>
  <c r="EB193" i="4"/>
  <c r="EB126" i="4"/>
  <c r="EB147" i="4"/>
  <c r="EB175" i="4"/>
  <c r="EB250" i="4"/>
  <c r="EF4" i="4"/>
  <c r="AM18" i="4"/>
  <c r="AM22" i="4"/>
  <c r="EJ22" i="4" s="1"/>
  <c r="GW22" i="4" s="1"/>
  <c r="AM17" i="4"/>
  <c r="EJ17" i="4" s="1"/>
  <c r="GU17" i="4" s="1"/>
  <c r="AM25" i="4"/>
  <c r="EJ25" i="4" s="1"/>
  <c r="GS25" i="4" s="1"/>
  <c r="AH14" i="4"/>
  <c r="AH29" i="4"/>
  <c r="DN130" i="4"/>
  <c r="EB204" i="4"/>
  <c r="DN196" i="4"/>
  <c r="DD21" i="4"/>
  <c r="DD13" i="4"/>
  <c r="DD10" i="4"/>
  <c r="DI14" i="4"/>
  <c r="DS11" i="4"/>
  <c r="DN67" i="4"/>
  <c r="DN72" i="4"/>
  <c r="DN73" i="4"/>
  <c r="DN59" i="4"/>
  <c r="DN75" i="4"/>
  <c r="DN111" i="4"/>
  <c r="DN220" i="4"/>
  <c r="DN6" i="4"/>
  <c r="DN25" i="4"/>
  <c r="DN8" i="4"/>
  <c r="DN131" i="4"/>
  <c r="DN163" i="4"/>
  <c r="DN178" i="4"/>
  <c r="DN207" i="4"/>
  <c r="DN141" i="4"/>
  <c r="DN150" i="4"/>
  <c r="DN166" i="4"/>
  <c r="DN173" i="4"/>
  <c r="DN179" i="4"/>
  <c r="DN228" i="4"/>
  <c r="DN235" i="4"/>
  <c r="DN246" i="4"/>
  <c r="EB56" i="4"/>
  <c r="EB54" i="4"/>
  <c r="EB221" i="4"/>
  <c r="EB59" i="4"/>
  <c r="EB117" i="4"/>
  <c r="EB105" i="4"/>
  <c r="EB132" i="4"/>
  <c r="EB240" i="4"/>
  <c r="EB78" i="4"/>
  <c r="EB84" i="4"/>
  <c r="EB251" i="4"/>
  <c r="EB158" i="4"/>
  <c r="EB135" i="4"/>
  <c r="EB216" i="4"/>
  <c r="EB139" i="4"/>
  <c r="EB159" i="4"/>
  <c r="EB186" i="4"/>
  <c r="EB266" i="4"/>
  <c r="EB260" i="4"/>
  <c r="AM24" i="4"/>
  <c r="EJ24" i="4" s="1"/>
  <c r="GS24" i="4" s="1"/>
  <c r="AM27" i="4"/>
  <c r="EJ27" i="4" s="1"/>
  <c r="GS27" i="4" s="1"/>
  <c r="AH21" i="4"/>
  <c r="AH8" i="4"/>
  <c r="DN144" i="4"/>
  <c r="EB236" i="4"/>
  <c r="DN80" i="4"/>
  <c r="DD25" i="4"/>
  <c r="DD22" i="4"/>
  <c r="DI9" i="4"/>
  <c r="DI12" i="4"/>
  <c r="DS15" i="4"/>
  <c r="DS14" i="4"/>
  <c r="DN10" i="4"/>
  <c r="DN82" i="4"/>
  <c r="DN84" i="4"/>
  <c r="DN69" i="4"/>
  <c r="DN86" i="4"/>
  <c r="DN105" i="4"/>
  <c r="DN230" i="4"/>
  <c r="DN18" i="4"/>
  <c r="DN36" i="4"/>
  <c r="DN20" i="4"/>
  <c r="DN142" i="4"/>
  <c r="DN172" i="4"/>
  <c r="DN190" i="4"/>
  <c r="DN219" i="4"/>
  <c r="DN155" i="4"/>
  <c r="DN162" i="4"/>
  <c r="DN177" i="4"/>
  <c r="DN184" i="4"/>
  <c r="DN191" i="4"/>
  <c r="DN240" i="4"/>
  <c r="DN255" i="4"/>
  <c r="EB131" i="4"/>
  <c r="EB69" i="4"/>
  <c r="EB127" i="4"/>
  <c r="EB125" i="4"/>
  <c r="EB41" i="4"/>
  <c r="EB43" i="4"/>
  <c r="EB38" i="4"/>
  <c r="EB88" i="4"/>
  <c r="EB94" i="4"/>
  <c r="EB254" i="4"/>
  <c r="EB167" i="4"/>
  <c r="EB148" i="4"/>
  <c r="EB187" i="4"/>
  <c r="EB238" i="4"/>
  <c r="EB152" i="4"/>
  <c r="EB168" i="4"/>
  <c r="EB233" i="4"/>
  <c r="AM26" i="4"/>
  <c r="EJ26" i="4" s="1"/>
  <c r="GS26" i="4" s="1"/>
  <c r="AM30" i="4"/>
  <c r="EJ30" i="4" s="1"/>
  <c r="GS30" i="4" s="1"/>
  <c r="AM16" i="4"/>
  <c r="EJ16" i="4" s="1"/>
  <c r="GU16" i="4" s="1"/>
  <c r="AH9" i="4"/>
  <c r="AH20" i="4"/>
  <c r="DN252" i="4"/>
  <c r="DD7" i="4"/>
  <c r="DD37" i="4"/>
  <c r="DD30" i="4"/>
  <c r="DI16" i="4"/>
  <c r="DI23" i="4"/>
  <c r="DN33" i="4"/>
  <c r="DN98" i="4"/>
  <c r="DN94" i="4"/>
  <c r="DN96" i="4"/>
  <c r="DN186" i="4"/>
  <c r="DN11" i="4"/>
  <c r="DN29" i="4"/>
  <c r="DN48" i="4"/>
  <c r="DN31" i="4"/>
  <c r="DN156" i="4"/>
  <c r="DN183" i="4"/>
  <c r="DN212" i="4"/>
  <c r="DN171" i="4"/>
  <c r="DN189" i="4"/>
  <c r="DN195" i="4"/>
  <c r="DN199" i="4"/>
  <c r="DN251" i="4"/>
  <c r="DN258" i="4"/>
  <c r="DN267" i="4"/>
  <c r="EB39" i="4"/>
  <c r="EB30" i="4"/>
  <c r="EB96" i="4"/>
  <c r="EB138" i="4"/>
  <c r="EB142" i="4"/>
  <c r="EB53" i="4"/>
  <c r="EB36" i="4"/>
  <c r="EB55" i="4"/>
  <c r="EB50" i="4"/>
  <c r="EB98" i="4"/>
  <c r="EB106" i="4"/>
  <c r="EB163" i="4"/>
  <c r="EB178" i="4"/>
  <c r="EB160" i="4"/>
  <c r="EB196" i="4"/>
  <c r="EB242" i="4"/>
  <c r="EB179" i="4"/>
  <c r="EB208" i="4"/>
  <c r="EB247" i="4"/>
  <c r="EB246" i="4"/>
  <c r="AM13" i="4"/>
  <c r="AH23" i="4"/>
  <c r="AH24" i="4"/>
  <c r="DN202" i="4"/>
  <c r="EB130" i="4"/>
  <c r="DN175" i="4"/>
  <c r="DD19" i="4"/>
  <c r="DD16" i="4"/>
  <c r="DD8" i="4"/>
  <c r="DD5" i="4"/>
  <c r="DI7" i="4"/>
  <c r="DS10" i="4"/>
  <c r="DS9" i="4"/>
  <c r="DN57" i="4"/>
  <c r="DN136" i="4"/>
  <c r="DN110" i="4"/>
  <c r="DN90" i="4"/>
  <c r="DN161" i="4"/>
  <c r="DN208" i="4"/>
  <c r="DN16" i="4"/>
  <c r="DN23" i="4"/>
  <c r="DN41" i="4"/>
  <c r="DN43" i="4"/>
  <c r="DN176" i="4"/>
  <c r="DN205" i="4"/>
  <c r="DN223" i="4"/>
  <c r="DN135" i="4"/>
  <c r="DN182" i="4"/>
  <c r="DN198" i="4"/>
  <c r="DN206" i="4"/>
  <c r="DN213" i="4"/>
  <c r="DN261" i="4"/>
  <c r="DN231" i="4"/>
  <c r="DN229" i="4"/>
  <c r="EB86" i="4"/>
  <c r="EB33" i="4"/>
  <c r="EB90" i="4"/>
  <c r="EB153" i="4"/>
  <c r="EB188" i="4"/>
  <c r="EB64" i="4"/>
  <c r="EB48" i="4"/>
  <c r="EB65" i="4"/>
  <c r="EB61" i="4"/>
  <c r="EB111" i="4"/>
  <c r="EB157" i="4"/>
  <c r="EB172" i="4"/>
  <c r="EB190" i="4"/>
  <c r="EB169" i="4"/>
  <c r="EB209" i="4"/>
  <c r="EB166" i="4"/>
  <c r="EB173" i="4"/>
  <c r="EB191" i="4"/>
  <c r="EB220" i="4"/>
  <c r="EB256" i="4"/>
  <c r="EB255" i="4"/>
  <c r="AM20" i="4"/>
  <c r="EJ20" i="4" s="1"/>
  <c r="GS20" i="4" s="1"/>
  <c r="AM15" i="4"/>
  <c r="EJ15" i="4" s="1"/>
  <c r="AM12" i="4"/>
  <c r="EJ12" i="4" s="1"/>
  <c r="GS12" i="4" s="1"/>
  <c r="AM14" i="4"/>
  <c r="EJ14" i="4" s="1"/>
  <c r="GU14" i="4" s="1"/>
  <c r="AM11" i="4"/>
  <c r="EJ11" i="4" s="1"/>
  <c r="GU11" i="4" s="1"/>
  <c r="AH25" i="4"/>
  <c r="AH26" i="4"/>
  <c r="EB145" i="4"/>
  <c r="DN21" i="4"/>
  <c r="DN197" i="4"/>
  <c r="DD36" i="4"/>
  <c r="DD29" i="4"/>
  <c r="DE13" i="4"/>
  <c r="DL14" i="4"/>
  <c r="DL22" i="4"/>
  <c r="DS16" i="4"/>
  <c r="DN88" i="4"/>
  <c r="DN181" i="4"/>
  <c r="DN113" i="4"/>
  <c r="DN128" i="4"/>
  <c r="DN14" i="4"/>
  <c r="DN9" i="4"/>
  <c r="DN34" i="4"/>
  <c r="DN53" i="4"/>
  <c r="DN70" i="4"/>
  <c r="DN55" i="4"/>
  <c r="DN188" i="4"/>
  <c r="DN217" i="4"/>
  <c r="DN225" i="4"/>
  <c r="DN148" i="4"/>
  <c r="DN187" i="4"/>
  <c r="DN193" i="4"/>
  <c r="DN211" i="4"/>
  <c r="DN218" i="4"/>
  <c r="DN224" i="4"/>
  <c r="DN244" i="4"/>
  <c r="DN241" i="4"/>
  <c r="EB42" i="4"/>
  <c r="EB75" i="4"/>
  <c r="EB100" i="4"/>
  <c r="EB210" i="4"/>
  <c r="EB46" i="4"/>
  <c r="EB74" i="4"/>
  <c r="EB76" i="4"/>
  <c r="EB72" i="4"/>
  <c r="EB137" i="4"/>
  <c r="EB149" i="4"/>
  <c r="EB183" i="4"/>
  <c r="EB212" i="4"/>
  <c r="EB180" i="4"/>
  <c r="EB249" i="4"/>
  <c r="EB177" i="4"/>
  <c r="EB184" i="4"/>
  <c r="EB199" i="4"/>
  <c r="EB257" i="4"/>
  <c r="EB263" i="4"/>
  <c r="EB267" i="4"/>
  <c r="AM21" i="4"/>
  <c r="AH27" i="4"/>
  <c r="DN103" i="4"/>
  <c r="DG113" i="4"/>
  <c r="DG108" i="4"/>
  <c r="DG13" i="4"/>
  <c r="DG115" i="4"/>
  <c r="DG19" i="4"/>
  <c r="DG39" i="4"/>
  <c r="DG74" i="4"/>
  <c r="DG118" i="4"/>
  <c r="DG86" i="4"/>
  <c r="DG66" i="4"/>
  <c r="DG165" i="4"/>
  <c r="DG174" i="4"/>
  <c r="DG143" i="4"/>
  <c r="DL12" i="4"/>
  <c r="DK44" i="4"/>
  <c r="DK40" i="4"/>
  <c r="DK81" i="4"/>
  <c r="DK111" i="4"/>
  <c r="DK66" i="4"/>
  <c r="DK139" i="4"/>
  <c r="DK98" i="4"/>
  <c r="DK100" i="4"/>
  <c r="DK96" i="4"/>
  <c r="DK135" i="4"/>
  <c r="DI20" i="4"/>
  <c r="DU14" i="4"/>
  <c r="DU26" i="4"/>
  <c r="DR28" i="4"/>
  <c r="DG6" i="4"/>
  <c r="DG53" i="4"/>
  <c r="DG41" i="4"/>
  <c r="DG73" i="4"/>
  <c r="DG135" i="4"/>
  <c r="DG170" i="4"/>
  <c r="DG121" i="4"/>
  <c r="DG87" i="4"/>
  <c r="DG23" i="4"/>
  <c r="DG138" i="4"/>
  <c r="DG160" i="4"/>
  <c r="DG166" i="4"/>
  <c r="DK48" i="4"/>
  <c r="DK70" i="4"/>
  <c r="DL10" i="4"/>
  <c r="DK89" i="4"/>
  <c r="DK82" i="4"/>
  <c r="DK110" i="4"/>
  <c r="DK124" i="4"/>
  <c r="DK134" i="4"/>
  <c r="DK129" i="4"/>
  <c r="DI22" i="4"/>
  <c r="DU12" i="4"/>
  <c r="DU25" i="4"/>
  <c r="DG11" i="4"/>
  <c r="DG22" i="4"/>
  <c r="DG61" i="4"/>
  <c r="DG29" i="4"/>
  <c r="DG43" i="4"/>
  <c r="DG9" i="4"/>
  <c r="DG110" i="4"/>
  <c r="DG154" i="4"/>
  <c r="DG34" i="4"/>
  <c r="DG151" i="4"/>
  <c r="DG169" i="4"/>
  <c r="DG126" i="4"/>
  <c r="DL5" i="4"/>
  <c r="DK77" i="4"/>
  <c r="DL27" i="4"/>
  <c r="DK50" i="4"/>
  <c r="DK65" i="4"/>
  <c r="DL15" i="4"/>
  <c r="DL17" i="4"/>
  <c r="DK119" i="4"/>
  <c r="DK106" i="4"/>
  <c r="DK116" i="4"/>
  <c r="DK137" i="4"/>
  <c r="DK136" i="4"/>
  <c r="DI25" i="4"/>
  <c r="DU7" i="4"/>
  <c r="DU20" i="4"/>
  <c r="DG16" i="4"/>
  <c r="DG20" i="4"/>
  <c r="DG36" i="4"/>
  <c r="DG80" i="4"/>
  <c r="DG88" i="4"/>
  <c r="DG45" i="4"/>
  <c r="DG7" i="4"/>
  <c r="DG28" i="4"/>
  <c r="DG116" i="4"/>
  <c r="DG37" i="4"/>
  <c r="DG105" i="4"/>
  <c r="DG46" i="4"/>
  <c r="DG163" i="4"/>
  <c r="DG124" i="4"/>
  <c r="DG139" i="4"/>
  <c r="DK97" i="4"/>
  <c r="DK28" i="4"/>
  <c r="DK95" i="4"/>
  <c r="DL11" i="4"/>
  <c r="DK53" i="4"/>
  <c r="DK68" i="4"/>
  <c r="DL19" i="4"/>
  <c r="DK131" i="4"/>
  <c r="DK118" i="4"/>
  <c r="DK73" i="4"/>
  <c r="DK120" i="4"/>
  <c r="DI24" i="4"/>
  <c r="DI21" i="4"/>
  <c r="DU23" i="4"/>
  <c r="DU27" i="4"/>
  <c r="DG18" i="4"/>
  <c r="DG32" i="4"/>
  <c r="DG38" i="4"/>
  <c r="DG100" i="4"/>
  <c r="DG101" i="4"/>
  <c r="DG47" i="4"/>
  <c r="DG25" i="4"/>
  <c r="DG52" i="4"/>
  <c r="DG133" i="4"/>
  <c r="DG49" i="4"/>
  <c r="DG127" i="4"/>
  <c r="DG58" i="4"/>
  <c r="DG172" i="4"/>
  <c r="DG137" i="4"/>
  <c r="DG152" i="4"/>
  <c r="DL21" i="4"/>
  <c r="DL7" i="4"/>
  <c r="DK85" i="4"/>
  <c r="DK105" i="4"/>
  <c r="DL20" i="4"/>
  <c r="DK61" i="4"/>
  <c r="DK91" i="4"/>
  <c r="DK31" i="4"/>
  <c r="DK128" i="4"/>
  <c r="DK123" i="4"/>
  <c r="DK84" i="4"/>
  <c r="DL24" i="4"/>
  <c r="DK133" i="4"/>
  <c r="DU9" i="4"/>
  <c r="DU22" i="4"/>
  <c r="DG30" i="4"/>
  <c r="DG44" i="4"/>
  <c r="DG40" i="4"/>
  <c r="DG8" i="4"/>
  <c r="DG10" i="4"/>
  <c r="DG76" i="4"/>
  <c r="DG84" i="4"/>
  <c r="DG69" i="4"/>
  <c r="DG136" i="4"/>
  <c r="DG60" i="4"/>
  <c r="DG131" i="4"/>
  <c r="DG68" i="4"/>
  <c r="DG146" i="4"/>
  <c r="DG150" i="4"/>
  <c r="DK109" i="4"/>
  <c r="DK71" i="4"/>
  <c r="DK117" i="4"/>
  <c r="DK47" i="4"/>
  <c r="DK33" i="4"/>
  <c r="DK132" i="4"/>
  <c r="DK126" i="4"/>
  <c r="DK94" i="4"/>
  <c r="DK30" i="4"/>
  <c r="DI27" i="4"/>
  <c r="DI26" i="4"/>
  <c r="DU17" i="4"/>
  <c r="DG130" i="4"/>
  <c r="DG48" i="4"/>
  <c r="DG57" i="4"/>
  <c r="DG42" i="4"/>
  <c r="DG26" i="4"/>
  <c r="DG17" i="4"/>
  <c r="DG106" i="4"/>
  <c r="DG97" i="4"/>
  <c r="DG85" i="4"/>
  <c r="DG112" i="4"/>
  <c r="DG71" i="4"/>
  <c r="DG51" i="4"/>
  <c r="DG79" i="4"/>
  <c r="DG158" i="4"/>
  <c r="DG162" i="4"/>
  <c r="DG173" i="4"/>
  <c r="DK35" i="4"/>
  <c r="DL25" i="4"/>
  <c r="DK36" i="4"/>
  <c r="DK80" i="4"/>
  <c r="DL8" i="4"/>
  <c r="DK56" i="4"/>
  <c r="DK37" i="4"/>
  <c r="DK138" i="4"/>
  <c r="DK45" i="4"/>
  <c r="DK112" i="4"/>
  <c r="DK42" i="4"/>
  <c r="DK102" i="4"/>
  <c r="DU11" i="4"/>
  <c r="DU24" i="4"/>
  <c r="DG145" i="4"/>
  <c r="DG50" i="4"/>
  <c r="DG55" i="4"/>
  <c r="DG31" i="4"/>
  <c r="DG156" i="4"/>
  <c r="DG14" i="4"/>
  <c r="DG128" i="4"/>
  <c r="DG114" i="4"/>
  <c r="DG81" i="4"/>
  <c r="DG62" i="4"/>
  <c r="DG89" i="4"/>
  <c r="DG167" i="4"/>
  <c r="DG171" i="4"/>
  <c r="DG134" i="4"/>
  <c r="DK60" i="4"/>
  <c r="DL9" i="4"/>
  <c r="DK38" i="4"/>
  <c r="DK93" i="4"/>
  <c r="DK64" i="4"/>
  <c r="DK39" i="4"/>
  <c r="DK113" i="4"/>
  <c r="DK57" i="4"/>
  <c r="DK59" i="4"/>
  <c r="DK54" i="4"/>
  <c r="DK115" i="4"/>
  <c r="DU6" i="4"/>
  <c r="DU19" i="4"/>
  <c r="DG144" i="4"/>
  <c r="DG59" i="4"/>
  <c r="DG70" i="4"/>
  <c r="DG63" i="4"/>
  <c r="DG65" i="4"/>
  <c r="DG64" i="4"/>
  <c r="DG12" i="4"/>
  <c r="DG27" i="4"/>
  <c r="DG161" i="4"/>
  <c r="DG129" i="4"/>
  <c r="DG92" i="4"/>
  <c r="DG83" i="4"/>
  <c r="DG99" i="4"/>
  <c r="DG140" i="4"/>
  <c r="DG107" i="4"/>
  <c r="DG147" i="4"/>
  <c r="DK52" i="4"/>
  <c r="DL16" i="4"/>
  <c r="DL18" i="4"/>
  <c r="DK55" i="4"/>
  <c r="DK29" i="4"/>
  <c r="DK79" i="4"/>
  <c r="DK41" i="4"/>
  <c r="DK125" i="4"/>
  <c r="DK67" i="4"/>
  <c r="DK69" i="4"/>
  <c r="DK127" i="4"/>
  <c r="DU18" i="4"/>
  <c r="DU13" i="4"/>
  <c r="DG103" i="4"/>
  <c r="DK103" i="4"/>
  <c r="DG82" i="4"/>
  <c r="DG67" i="4"/>
  <c r="DG78" i="4"/>
  <c r="DG98" i="4"/>
  <c r="DG21" i="4"/>
  <c r="DG54" i="4"/>
  <c r="DG175" i="4"/>
  <c r="DG142" i="4"/>
  <c r="DG102" i="4"/>
  <c r="DG93" i="4"/>
  <c r="DG111" i="4"/>
  <c r="DG153" i="4"/>
  <c r="DG119" i="4"/>
  <c r="DG159" i="4"/>
  <c r="DK99" i="4"/>
  <c r="DK74" i="4"/>
  <c r="DK83" i="4"/>
  <c r="DL13" i="4"/>
  <c r="DK49" i="4"/>
  <c r="DK92" i="4"/>
  <c r="DK43" i="4"/>
  <c r="DK78" i="4"/>
  <c r="DK75" i="4"/>
  <c r="DK140" i="4"/>
  <c r="DU10" i="4"/>
  <c r="DU15" i="4"/>
  <c r="DG95" i="4"/>
  <c r="DG104" i="4"/>
  <c r="DG90" i="4"/>
  <c r="DG91" i="4"/>
  <c r="DG5" i="4"/>
  <c r="DG35" i="4"/>
  <c r="DG72" i="4"/>
  <c r="DG141" i="4"/>
  <c r="DG75" i="4"/>
  <c r="DG149" i="4"/>
  <c r="DG109" i="4"/>
  <c r="DG117" i="4"/>
  <c r="DG164" i="4"/>
  <c r="DG132" i="4"/>
  <c r="DG168" i="4"/>
  <c r="DK87" i="4"/>
  <c r="DK32" i="4"/>
  <c r="DK34" i="4"/>
  <c r="DL6" i="4"/>
  <c r="DL26" i="4"/>
  <c r="DK58" i="4"/>
  <c r="DK107" i="4"/>
  <c r="DK62" i="4"/>
  <c r="DK104" i="4"/>
  <c r="DK88" i="4"/>
  <c r="DK90" i="4"/>
  <c r="DK86" i="4"/>
  <c r="EF123" i="4"/>
  <c r="DU227" i="4"/>
  <c r="CZ64" i="4"/>
  <c r="CZ116" i="4"/>
  <c r="CZ8" i="4"/>
  <c r="CZ91" i="4"/>
  <c r="CZ30" i="4"/>
  <c r="CZ61" i="4"/>
  <c r="CZ14" i="4"/>
  <c r="CZ21" i="4"/>
  <c r="CZ119" i="4"/>
  <c r="CZ63" i="4"/>
  <c r="CZ96" i="4"/>
  <c r="DE16" i="4"/>
  <c r="DE15" i="4"/>
  <c r="DZ12" i="4"/>
  <c r="DW9" i="4"/>
  <c r="DU32" i="4"/>
  <c r="DU44" i="4"/>
  <c r="DU134" i="4"/>
  <c r="DU124" i="4"/>
  <c r="DU199" i="4"/>
  <c r="DU179" i="4"/>
  <c r="DU33" i="4"/>
  <c r="DU40" i="4"/>
  <c r="DU59" i="4"/>
  <c r="DU218" i="4"/>
  <c r="DU248" i="4"/>
  <c r="DU244" i="4"/>
  <c r="DU240" i="4"/>
  <c r="DU146" i="4"/>
  <c r="DU185" i="4"/>
  <c r="DU200" i="4"/>
  <c r="DU137" i="4"/>
  <c r="DU239" i="4"/>
  <c r="EF15" i="4"/>
  <c r="EF114" i="4"/>
  <c r="DU56" i="4"/>
  <c r="DU168" i="4"/>
  <c r="DU38" i="4"/>
  <c r="DU52" i="4"/>
  <c r="DU75" i="4"/>
  <c r="DU254" i="4"/>
  <c r="DU266" i="4"/>
  <c r="DU150" i="4"/>
  <c r="DU250" i="4"/>
  <c r="EF175" i="4"/>
  <c r="CZ67" i="4"/>
  <c r="CZ25" i="4"/>
  <c r="CZ39" i="4"/>
  <c r="CZ10" i="4"/>
  <c r="CZ85" i="4"/>
  <c r="CZ38" i="4"/>
  <c r="CZ40" i="4"/>
  <c r="CZ126" i="4"/>
  <c r="CZ84" i="4"/>
  <c r="CZ120" i="4"/>
  <c r="DS20" i="4"/>
  <c r="DZ8" i="4"/>
  <c r="DW11" i="4"/>
  <c r="DU81" i="4"/>
  <c r="DU66" i="4"/>
  <c r="DU177" i="4"/>
  <c r="DU29" i="4"/>
  <c r="DU36" i="4"/>
  <c r="DU31" i="4"/>
  <c r="DU50" i="4"/>
  <c r="DU57" i="4"/>
  <c r="DU63" i="4"/>
  <c r="DU86" i="4"/>
  <c r="DU224" i="4"/>
  <c r="DU261" i="4"/>
  <c r="DU131" i="4"/>
  <c r="DU138" i="4"/>
  <c r="DU167" i="4"/>
  <c r="DU207" i="4"/>
  <c r="DU249" i="4"/>
  <c r="DU162" i="4"/>
  <c r="DU256" i="4"/>
  <c r="DU260" i="4"/>
  <c r="EF167" i="4"/>
  <c r="CZ75" i="4"/>
  <c r="CZ35" i="4"/>
  <c r="CZ47" i="4"/>
  <c r="CZ22" i="4"/>
  <c r="CZ76" i="4"/>
  <c r="CZ122" i="4"/>
  <c r="CZ44" i="4"/>
  <c r="CZ42" i="4"/>
  <c r="CZ121" i="4"/>
  <c r="CZ94" i="4"/>
  <c r="CZ37" i="4"/>
  <c r="DE12" i="4"/>
  <c r="DE14" i="4"/>
  <c r="DW6" i="4"/>
  <c r="DU39" i="4"/>
  <c r="DU77" i="4"/>
  <c r="DU211" i="4"/>
  <c r="DU41" i="4"/>
  <c r="DU48" i="4"/>
  <c r="DU43" i="4"/>
  <c r="DU61" i="4"/>
  <c r="DU67" i="4"/>
  <c r="DU73" i="4"/>
  <c r="DU90" i="4"/>
  <c r="DU96" i="4"/>
  <c r="DU257" i="4"/>
  <c r="DU136" i="4"/>
  <c r="DU142" i="4"/>
  <c r="DU151" i="4"/>
  <c r="DU178" i="4"/>
  <c r="DU219" i="4"/>
  <c r="DU129" i="4"/>
  <c r="DU171" i="4"/>
  <c r="DU233" i="4"/>
  <c r="EF33" i="4"/>
  <c r="CZ95" i="4"/>
  <c r="CZ51" i="4"/>
  <c r="CZ93" i="4"/>
  <c r="CZ28" i="4"/>
  <c r="CZ82" i="4"/>
  <c r="CZ132" i="4"/>
  <c r="CZ46" i="4"/>
  <c r="CZ77" i="4"/>
  <c r="CZ128" i="4"/>
  <c r="CZ106" i="4"/>
  <c r="CZ49" i="4"/>
  <c r="DE11" i="4"/>
  <c r="DE10" i="4"/>
  <c r="DU115" i="4"/>
  <c r="DU37" i="4"/>
  <c r="DU87" i="4"/>
  <c r="DU34" i="4"/>
  <c r="DU53" i="4"/>
  <c r="DU55" i="4"/>
  <c r="DU72" i="4"/>
  <c r="DU78" i="4"/>
  <c r="DU84" i="4"/>
  <c r="DU100" i="4"/>
  <c r="DU108" i="4"/>
  <c r="DU265" i="4"/>
  <c r="DU149" i="4"/>
  <c r="DU156" i="4"/>
  <c r="DU163" i="4"/>
  <c r="DU190" i="4"/>
  <c r="DU232" i="4"/>
  <c r="DU141" i="4"/>
  <c r="DU182" i="4"/>
  <c r="DU242" i="4"/>
  <c r="DU246" i="4"/>
  <c r="CZ103" i="4"/>
  <c r="CZ110" i="4"/>
  <c r="CZ53" i="4"/>
  <c r="CZ117" i="4"/>
  <c r="CZ66" i="4"/>
  <c r="CZ89" i="4"/>
  <c r="CZ7" i="4"/>
  <c r="CZ48" i="4"/>
  <c r="CZ109" i="4"/>
  <c r="CZ78" i="4"/>
  <c r="CZ118" i="4"/>
  <c r="CZ60" i="4"/>
  <c r="DE8" i="4"/>
  <c r="DZ7" i="4"/>
  <c r="DU62" i="4"/>
  <c r="DU46" i="4"/>
  <c r="DU64" i="4"/>
  <c r="DU70" i="4"/>
  <c r="DU65" i="4"/>
  <c r="DU82" i="4"/>
  <c r="DU88" i="4"/>
  <c r="DU94" i="4"/>
  <c r="DU113" i="4"/>
  <c r="DU120" i="4"/>
  <c r="DU154" i="4"/>
  <c r="DU161" i="4"/>
  <c r="DU176" i="4"/>
  <c r="DU172" i="4"/>
  <c r="DU212" i="4"/>
  <c r="DU259" i="4"/>
  <c r="DU155" i="4"/>
  <c r="DU193" i="4"/>
  <c r="DU253" i="4"/>
  <c r="DU255" i="4"/>
  <c r="EF121" i="4"/>
  <c r="CZ134" i="4"/>
  <c r="CZ55" i="4"/>
  <c r="CZ15" i="4"/>
  <c r="CZ68" i="4"/>
  <c r="CZ12" i="4"/>
  <c r="CZ19" i="4"/>
  <c r="CZ50" i="4"/>
  <c r="CZ88" i="4"/>
  <c r="CZ133" i="4"/>
  <c r="CZ71" i="4"/>
  <c r="DE7" i="4"/>
  <c r="DZ10" i="4"/>
  <c r="DU60" i="4"/>
  <c r="DU110" i="4"/>
  <c r="DU58" i="4"/>
  <c r="DU74" i="4"/>
  <c r="DU80" i="4"/>
  <c r="DU76" i="4"/>
  <c r="DU104" i="4"/>
  <c r="DU98" i="4"/>
  <c r="DU106" i="4"/>
  <c r="DU125" i="4"/>
  <c r="DU152" i="4"/>
  <c r="DU165" i="4"/>
  <c r="DU170" i="4"/>
  <c r="DU188" i="4"/>
  <c r="DU183" i="4"/>
  <c r="DU223" i="4"/>
  <c r="DU135" i="4"/>
  <c r="DU216" i="4"/>
  <c r="DU263" i="4"/>
  <c r="DU267" i="4"/>
  <c r="EF84" i="4"/>
  <c r="CZ6" i="4"/>
  <c r="CZ57" i="4"/>
  <c r="CZ27" i="4"/>
  <c r="CZ70" i="4"/>
  <c r="CZ24" i="4"/>
  <c r="CZ36" i="4"/>
  <c r="CZ79" i="4"/>
  <c r="CZ16" i="4"/>
  <c r="CZ98" i="4"/>
  <c r="CZ135" i="4"/>
  <c r="CZ81" i="4"/>
  <c r="DE9" i="4"/>
  <c r="DE6" i="4"/>
  <c r="DE20" i="4"/>
  <c r="DW8" i="4"/>
  <c r="DU102" i="4"/>
  <c r="DU92" i="4"/>
  <c r="DU122" i="4"/>
  <c r="DU68" i="4"/>
  <c r="DU85" i="4"/>
  <c r="DU91" i="4"/>
  <c r="DU116" i="4"/>
  <c r="DU111" i="4"/>
  <c r="DU118" i="4"/>
  <c r="DU198" i="4"/>
  <c r="DU175" i="4"/>
  <c r="DU181" i="4"/>
  <c r="DU197" i="4"/>
  <c r="DU205" i="4"/>
  <c r="DU245" i="4"/>
  <c r="DU148" i="4"/>
  <c r="DU226" i="4"/>
  <c r="DU229" i="4"/>
  <c r="EF108" i="4"/>
  <c r="DU71" i="4"/>
  <c r="DU139" i="4"/>
  <c r="DU45" i="4"/>
  <c r="DU69" i="4"/>
  <c r="DU213" i="4"/>
  <c r="DU251" i="4"/>
  <c r="DU158" i="4"/>
  <c r="DU214" i="4"/>
  <c r="DU247" i="4"/>
  <c r="EF28" i="4"/>
  <c r="CZ11" i="4"/>
  <c r="CZ18" i="4"/>
  <c r="CZ41" i="4"/>
  <c r="CZ34" i="4"/>
  <c r="CZ54" i="4"/>
  <c r="CZ83" i="4"/>
  <c r="CZ29" i="4"/>
  <c r="CZ111" i="4"/>
  <c r="CZ100" i="4"/>
  <c r="CZ92" i="4"/>
  <c r="DE19" i="4"/>
  <c r="DZ11" i="4"/>
  <c r="DW10" i="4"/>
  <c r="DU222" i="4"/>
  <c r="DU83" i="4"/>
  <c r="DU79" i="4"/>
  <c r="DU95" i="4"/>
  <c r="DU101" i="4"/>
  <c r="DU97" i="4"/>
  <c r="DU128" i="4"/>
  <c r="DU123" i="4"/>
  <c r="DU159" i="4"/>
  <c r="DU173" i="4"/>
  <c r="DU186" i="4"/>
  <c r="DU192" i="4"/>
  <c r="DU210" i="4"/>
  <c r="DU217" i="4"/>
  <c r="DU140" i="4"/>
  <c r="DU160" i="4"/>
  <c r="DU187" i="4"/>
  <c r="DU230" i="4"/>
  <c r="DU235" i="4"/>
  <c r="DU241" i="4"/>
  <c r="EF21" i="4"/>
  <c r="DU202" i="4"/>
  <c r="CZ23" i="4"/>
  <c r="CZ33" i="4"/>
  <c r="CZ104" i="4"/>
  <c r="CZ43" i="4"/>
  <c r="CZ101" i="4"/>
  <c r="CZ56" i="4"/>
  <c r="CZ80" i="4"/>
  <c r="CZ97" i="4"/>
  <c r="CZ69" i="4"/>
  <c r="CZ123" i="4"/>
  <c r="CZ113" i="4"/>
  <c r="CZ102" i="4"/>
  <c r="DE18" i="4"/>
  <c r="DE17" i="4"/>
  <c r="DZ9" i="4"/>
  <c r="DU166" i="4"/>
  <c r="DU93" i="4"/>
  <c r="DU89" i="4"/>
  <c r="DU107" i="4"/>
  <c r="DU114" i="4"/>
  <c r="DU109" i="4"/>
  <c r="DU132" i="4"/>
  <c r="DU30" i="4"/>
  <c r="DU184" i="4"/>
  <c r="DU201" i="4"/>
  <c r="DU221" i="4"/>
  <c r="DU228" i="4"/>
  <c r="DU153" i="4"/>
  <c r="DU169" i="4"/>
  <c r="DU196" i="4"/>
  <c r="DU243" i="4"/>
  <c r="DU252" i="4"/>
  <c r="EF51" i="4"/>
  <c r="DU103" i="4"/>
  <c r="CZ31" i="4"/>
  <c r="CZ59" i="4"/>
  <c r="CZ124" i="4"/>
  <c r="CZ45" i="4"/>
  <c r="CZ58" i="4"/>
  <c r="CZ87" i="4"/>
  <c r="CZ112" i="4"/>
  <c r="CZ90" i="4"/>
  <c r="CZ131" i="4"/>
  <c r="CZ125" i="4"/>
  <c r="CZ115" i="4"/>
  <c r="DW12" i="4"/>
  <c r="DU51" i="4"/>
  <c r="DU49" i="4"/>
  <c r="DU105" i="4"/>
  <c r="DU99" i="4"/>
  <c r="DU119" i="4"/>
  <c r="DU126" i="4"/>
  <c r="DU121" i="4"/>
  <c r="DU191" i="4"/>
  <c r="DU35" i="4"/>
  <c r="DU42" i="4"/>
  <c r="DU195" i="4"/>
  <c r="DU208" i="4"/>
  <c r="DU215" i="4"/>
  <c r="DU225" i="4"/>
  <c r="DU164" i="4"/>
  <c r="DU180" i="4"/>
  <c r="DU209" i="4"/>
  <c r="DU258" i="4"/>
  <c r="DU262" i="4"/>
  <c r="EF16" i="4"/>
  <c r="EF89" i="4"/>
  <c r="CZ62" i="4"/>
  <c r="CZ107" i="4"/>
  <c r="CZ129" i="4"/>
  <c r="CZ72" i="4"/>
  <c r="CZ17" i="4"/>
  <c r="CZ99" i="4"/>
  <c r="CZ9" i="4"/>
  <c r="CZ52" i="4"/>
  <c r="CZ86" i="4"/>
  <c r="DZ6" i="4"/>
  <c r="DU127" i="4"/>
  <c r="DU143" i="4"/>
  <c r="DU117" i="4"/>
  <c r="DU112" i="4"/>
  <c r="DU189" i="4"/>
  <c r="DU147" i="4"/>
  <c r="DU157" i="4"/>
  <c r="DU28" i="4"/>
  <c r="DU47" i="4"/>
  <c r="DU54" i="4"/>
  <c r="DU206" i="4"/>
  <c r="DU220" i="4"/>
  <c r="DU234" i="4"/>
  <c r="DU231" i="4"/>
  <c r="DU133" i="4"/>
  <c r="DU174" i="4"/>
  <c r="DU238" i="4"/>
  <c r="DU264" i="4"/>
  <c r="EF52" i="4"/>
  <c r="AJ182" i="4"/>
  <c r="AH36" i="4"/>
  <c r="DU203" i="4"/>
  <c r="DS24" i="4"/>
  <c r="DR34" i="4"/>
  <c r="DS22" i="4"/>
  <c r="DR30" i="4"/>
  <c r="EF6" i="4"/>
  <c r="EG5" i="4"/>
  <c r="EF20" i="4"/>
  <c r="EF18" i="4"/>
  <c r="EF116" i="4"/>
  <c r="EF73" i="4"/>
  <c r="EF96" i="4"/>
  <c r="EF161" i="4"/>
  <c r="EF39" i="4"/>
  <c r="EF79" i="4"/>
  <c r="EF107" i="4"/>
  <c r="EF101" i="4"/>
  <c r="EF165" i="4"/>
  <c r="EF158" i="4"/>
  <c r="EF155" i="4"/>
  <c r="AJ183" i="4"/>
  <c r="AH37" i="4"/>
  <c r="EF144" i="4"/>
  <c r="DR27" i="4"/>
  <c r="DR40" i="4"/>
  <c r="DS21" i="4"/>
  <c r="EF69" i="4"/>
  <c r="EF72" i="4"/>
  <c r="EF24" i="4"/>
  <c r="EF50" i="4"/>
  <c r="EF55" i="4"/>
  <c r="EF152" i="4"/>
  <c r="EF94" i="4"/>
  <c r="EF115" i="4"/>
  <c r="EF32" i="4"/>
  <c r="EF62" i="4"/>
  <c r="EF99" i="4"/>
  <c r="EF133" i="4"/>
  <c r="EF126" i="4"/>
  <c r="EF118" i="4"/>
  <c r="EF164" i="4"/>
  <c r="AM33" i="4"/>
  <c r="AM32" i="4"/>
  <c r="AJ189" i="4"/>
  <c r="AJ181" i="4"/>
  <c r="AH34" i="4"/>
  <c r="DS23" i="4"/>
  <c r="DR38" i="4"/>
  <c r="DS19" i="4"/>
  <c r="EF203" i="4"/>
  <c r="EG6" i="4"/>
  <c r="EG12" i="4"/>
  <c r="EF45" i="4"/>
  <c r="EF82" i="4"/>
  <c r="EF147" i="4"/>
  <c r="EF67" i="4"/>
  <c r="EF106" i="4"/>
  <c r="EF127" i="4"/>
  <c r="EF44" i="4"/>
  <c r="EF83" i="4"/>
  <c r="EF112" i="4"/>
  <c r="EF140" i="4"/>
  <c r="EF170" i="4"/>
  <c r="EF131" i="4"/>
  <c r="EF174" i="4"/>
  <c r="EF124" i="4"/>
  <c r="AH35" i="4"/>
  <c r="AH38" i="4"/>
  <c r="DR25" i="4"/>
  <c r="DR26" i="4"/>
  <c r="DR39" i="4"/>
  <c r="EF8" i="4"/>
  <c r="EF19" i="4"/>
  <c r="EF104" i="4"/>
  <c r="EG9" i="4"/>
  <c r="EF78" i="4"/>
  <c r="EF153" i="4"/>
  <c r="EF49" i="4"/>
  <c r="EF56" i="4"/>
  <c r="EF93" i="4"/>
  <c r="EF136" i="4"/>
  <c r="EF13" i="4"/>
  <c r="EF143" i="4"/>
  <c r="EF142" i="4"/>
  <c r="EF122" i="4"/>
  <c r="EF137" i="4"/>
  <c r="AJ180" i="4"/>
  <c r="AH32" i="4"/>
  <c r="DR29" i="4"/>
  <c r="DR36" i="4"/>
  <c r="DR37" i="4"/>
  <c r="EF29" i="4"/>
  <c r="EF40" i="4"/>
  <c r="EF7" i="4"/>
  <c r="EF11" i="4"/>
  <c r="EF31" i="4"/>
  <c r="EF88" i="4"/>
  <c r="EF100" i="4"/>
  <c r="EF60" i="4"/>
  <c r="EF66" i="4"/>
  <c r="EF105" i="4"/>
  <c r="EF25" i="4"/>
  <c r="EF157" i="4"/>
  <c r="EF156" i="4"/>
  <c r="EF135" i="4"/>
  <c r="EF150" i="4"/>
  <c r="AM34" i="4"/>
  <c r="DU145" i="4"/>
  <c r="DU236" i="4"/>
  <c r="DR22" i="4"/>
  <c r="DR24" i="4"/>
  <c r="EF47" i="4"/>
  <c r="EF5" i="4"/>
  <c r="EF22" i="4"/>
  <c r="EF27" i="4"/>
  <c r="EF43" i="4"/>
  <c r="EF98" i="4"/>
  <c r="EF113" i="4"/>
  <c r="EF71" i="4"/>
  <c r="EF77" i="4"/>
  <c r="EF120" i="4"/>
  <c r="EF41" i="4"/>
  <c r="EF36" i="4"/>
  <c r="EF166" i="4"/>
  <c r="EF176" i="4"/>
  <c r="EF148" i="4"/>
  <c r="EF162" i="4"/>
  <c r="AJ178" i="4"/>
  <c r="AH33" i="4"/>
  <c r="DU130" i="4"/>
  <c r="DS27" i="4"/>
  <c r="DR35" i="4"/>
  <c r="EG8" i="4"/>
  <c r="EF17" i="4"/>
  <c r="EF30" i="4"/>
  <c r="EF35" i="4"/>
  <c r="EF65" i="4"/>
  <c r="EF111" i="4"/>
  <c r="EF42" i="4"/>
  <c r="EF81" i="4"/>
  <c r="EF87" i="4"/>
  <c r="EF23" i="4"/>
  <c r="EF53" i="4"/>
  <c r="EF48" i="4"/>
  <c r="EF159" i="4"/>
  <c r="EF138" i="4"/>
  <c r="EF160" i="4"/>
  <c r="EF171" i="4"/>
  <c r="AJ187" i="4"/>
  <c r="AJ184" i="4"/>
  <c r="AJ190" i="4"/>
  <c r="DR20" i="4"/>
  <c r="DR33" i="4"/>
  <c r="DR21" i="4"/>
  <c r="EF10" i="4"/>
  <c r="EF26" i="4"/>
  <c r="EF37" i="4"/>
  <c r="EF38" i="4"/>
  <c r="EF76" i="4"/>
  <c r="EF119" i="4"/>
  <c r="EF54" i="4"/>
  <c r="EF92" i="4"/>
  <c r="EF34" i="4"/>
  <c r="EF64" i="4"/>
  <c r="EF168" i="4"/>
  <c r="EF151" i="4"/>
  <c r="EF169" i="4"/>
  <c r="AJ179" i="4"/>
  <c r="AJ188" i="4"/>
  <c r="DU144" i="4"/>
  <c r="EF130" i="4"/>
  <c r="DU237" i="4"/>
  <c r="DS25" i="4"/>
  <c r="DS26" i="4"/>
  <c r="EF14" i="4"/>
  <c r="EF57" i="4"/>
  <c r="EF90" i="4"/>
  <c r="EF59" i="4"/>
  <c r="EF134" i="4"/>
  <c r="EF102" i="4"/>
  <c r="EF110" i="4"/>
  <c r="EF46" i="4"/>
  <c r="EF74" i="4"/>
  <c r="EF70" i="4"/>
  <c r="EF128" i="4"/>
  <c r="EF163" i="4"/>
  <c r="EF117" i="4"/>
  <c r="AJ191" i="4"/>
  <c r="EF145" i="4"/>
  <c r="DR31" i="4"/>
  <c r="DR19" i="4"/>
  <c r="DR32" i="4"/>
  <c r="EG10" i="4"/>
  <c r="EG7" i="4"/>
  <c r="EF97" i="4"/>
  <c r="EF173" i="4"/>
  <c r="EF75" i="4"/>
  <c r="EF132" i="4"/>
  <c r="EF125" i="4"/>
  <c r="EF58" i="4"/>
  <c r="EF85" i="4"/>
  <c r="EF80" i="4"/>
  <c r="EF172" i="4"/>
  <c r="EF129" i="4"/>
  <c r="AJ186" i="4"/>
  <c r="AJ185" i="4"/>
  <c r="AH39" i="4"/>
  <c r="EF103" i="4"/>
  <c r="DR23" i="4"/>
  <c r="EF12" i="4"/>
  <c r="EF61" i="4"/>
  <c r="EF9" i="4"/>
  <c r="EG11" i="4"/>
  <c r="EF109" i="4"/>
  <c r="EF63" i="4"/>
  <c r="EF86" i="4"/>
  <c r="EF149" i="4"/>
  <c r="EF139" i="4"/>
  <c r="EF68" i="4"/>
  <c r="EF95" i="4"/>
  <c r="EF91" i="4"/>
  <c r="EF154" i="4"/>
  <c r="EF146" i="4"/>
  <c r="EF141" i="4"/>
  <c r="DU204" i="4"/>
  <c r="CZ235" i="4"/>
  <c r="DU269" i="4"/>
  <c r="EF237" i="4"/>
  <c r="AJ237" i="4"/>
  <c r="AJ204" i="4"/>
  <c r="DN269" i="4"/>
  <c r="CL237" i="4"/>
  <c r="CZ237" i="4"/>
  <c r="AJ236" i="4"/>
  <c r="DG237" i="4"/>
  <c r="CZ204" i="4"/>
  <c r="DG236" i="4"/>
  <c r="EF236" i="4"/>
  <c r="CL236" i="4"/>
  <c r="CZ236" i="4"/>
  <c r="DG204" i="4"/>
  <c r="EF204" i="4"/>
  <c r="EI204" i="4"/>
  <c r="EI236" i="4"/>
  <c r="EI237" i="4"/>
  <c r="CZ203" i="4"/>
  <c r="DG203" i="4"/>
  <c r="EI203" i="4"/>
  <c r="AJ203" i="4"/>
  <c r="CZ145" i="4"/>
  <c r="EI144" i="4"/>
  <c r="EI103" i="4"/>
  <c r="EI202" i="4"/>
  <c r="EI130" i="4"/>
  <c r="EI145" i="4"/>
  <c r="CZ130" i="4"/>
  <c r="DK130" i="4"/>
  <c r="AJ202" i="4"/>
  <c r="CZ202" i="4"/>
  <c r="EF202" i="4"/>
  <c r="CZ144" i="4"/>
  <c r="DG202" i="4"/>
  <c r="AL103" i="4"/>
  <c r="Y12" i="13"/>
  <c r="C473" i="11" s="1"/>
  <c r="AJ192" i="4"/>
  <c r="AJ195" i="4"/>
  <c r="AJ260" i="4"/>
  <c r="AJ196" i="4"/>
  <c r="AJ193" i="4"/>
  <c r="AJ197" i="4"/>
  <c r="AJ198" i="4"/>
  <c r="AL69" i="4"/>
  <c r="AL76" i="4"/>
  <c r="AL94" i="4"/>
  <c r="AL52" i="4"/>
  <c r="AL47" i="4"/>
  <c r="AL102" i="4"/>
  <c r="AL38" i="4"/>
  <c r="AM38" i="4"/>
  <c r="EJ38" i="4" s="1"/>
  <c r="AL39" i="4"/>
  <c r="AL107" i="4"/>
  <c r="AL75" i="4"/>
  <c r="AJ267" i="4"/>
  <c r="AJ233" i="4"/>
  <c r="AJ201" i="4"/>
  <c r="AJ243" i="4"/>
  <c r="AJ259" i="4"/>
  <c r="AJ247" i="4"/>
  <c r="AJ271" i="4"/>
  <c r="AL89" i="4"/>
  <c r="AL43" i="4"/>
  <c r="AL79" i="4"/>
  <c r="AL60" i="4"/>
  <c r="AL99" i="4"/>
  <c r="AL70" i="4"/>
  <c r="AJ221" i="4"/>
  <c r="AJ263" i="4"/>
  <c r="AJ273" i="4"/>
  <c r="AJ215" i="4"/>
  <c r="AJ200" i="4"/>
  <c r="AJ270" i="4"/>
  <c r="AJ256" i="4"/>
  <c r="AL106" i="4"/>
  <c r="AL83" i="4"/>
  <c r="AL67" i="4"/>
  <c r="AL55" i="4"/>
  <c r="AL85" i="4"/>
  <c r="AL51" i="4"/>
  <c r="AL90" i="4"/>
  <c r="AL86" i="4"/>
  <c r="AJ206" i="4"/>
  <c r="AJ207" i="4"/>
  <c r="AJ214" i="4"/>
  <c r="AJ232" i="4"/>
  <c r="AJ268" i="4"/>
  <c r="AH46" i="4"/>
  <c r="AL91" i="4"/>
  <c r="AL58" i="4"/>
  <c r="AL71" i="4"/>
  <c r="AL81" i="4"/>
  <c r="AL116" i="4"/>
  <c r="AJ216" i="4"/>
  <c r="AJ218" i="4"/>
  <c r="AJ219" i="4"/>
  <c r="AJ258" i="4"/>
  <c r="AJ245" i="4"/>
  <c r="AJ231" i="4"/>
  <c r="AL111" i="4"/>
  <c r="AL98" i="4"/>
  <c r="AM35" i="4"/>
  <c r="EJ35" i="4" s="1"/>
  <c r="AL65" i="4"/>
  <c r="AL72" i="4"/>
  <c r="AL110" i="4"/>
  <c r="AL62" i="4"/>
  <c r="AL101" i="4"/>
  <c r="AL97" i="4"/>
  <c r="B337" i="5"/>
  <c r="D337" i="5" s="1"/>
  <c r="F336" i="5"/>
  <c r="H325" i="5" s="1"/>
  <c r="AJ211" i="4"/>
  <c r="AJ225" i="4"/>
  <c r="AJ208" i="4"/>
  <c r="AJ234" i="4"/>
  <c r="AJ229" i="4"/>
  <c r="AJ244" i="4"/>
  <c r="HF66" i="4"/>
  <c r="AL74" i="4"/>
  <c r="AL42" i="4"/>
  <c r="AL96" i="4"/>
  <c r="AL114" i="4"/>
  <c r="AL82" i="4"/>
  <c r="AL92" i="4"/>
  <c r="AJ223" i="4"/>
  <c r="AJ242" i="4"/>
  <c r="AJ220" i="4"/>
  <c r="AJ212" i="4"/>
  <c r="AJ269" i="4"/>
  <c r="AJ241" i="4"/>
  <c r="AJ266" i="4"/>
  <c r="AJ254" i="4"/>
  <c r="AL56" i="4"/>
  <c r="AL87" i="4"/>
  <c r="AL73" i="4"/>
  <c r="AL115" i="4"/>
  <c r="AL41" i="4"/>
  <c r="AL109" i="4"/>
  <c r="AJ209" i="4"/>
  <c r="AJ253" i="4"/>
  <c r="AJ246" i="4"/>
  <c r="AJ264" i="4"/>
  <c r="AJ205" i="4"/>
  <c r="AJ224" i="4"/>
  <c r="AJ252" i="4"/>
  <c r="AJ265" i="4"/>
  <c r="AL54" i="4"/>
  <c r="AL50" i="4"/>
  <c r="AL108" i="4"/>
  <c r="AL93" i="4"/>
  <c r="AL66" i="4"/>
  <c r="AL36" i="4"/>
  <c r="AL104" i="4"/>
  <c r="AJ272" i="4"/>
  <c r="AJ255" i="4"/>
  <c r="AJ217" i="4"/>
  <c r="AJ226" i="4"/>
  <c r="AJ262" i="4"/>
  <c r="AJ240" i="4"/>
  <c r="AL63" i="4"/>
  <c r="AM39" i="4"/>
  <c r="EJ39" i="4" s="1"/>
  <c r="AL84" i="4"/>
  <c r="AL53" i="4"/>
  <c r="AJ235" i="4"/>
  <c r="AJ230" i="4"/>
  <c r="AJ228" i="4"/>
  <c r="AJ251" i="4"/>
  <c r="AJ227" i="4"/>
  <c r="AL46" i="4"/>
  <c r="AL61" i="4"/>
  <c r="AL44" i="4"/>
  <c r="AL40" i="4"/>
  <c r="AL105" i="4"/>
  <c r="AL78" i="4"/>
  <c r="AL48" i="4"/>
  <c r="AL113" i="4"/>
  <c r="AJ199" i="4"/>
  <c r="AJ257" i="4"/>
  <c r="AJ248" i="4"/>
  <c r="AJ261" i="4"/>
  <c r="AJ239" i="4"/>
  <c r="AH156" i="4"/>
  <c r="AL59" i="4"/>
  <c r="AL35" i="4"/>
  <c r="AL80" i="4"/>
  <c r="AL45" i="4"/>
  <c r="AM36" i="4"/>
  <c r="EJ36" i="4" s="1"/>
  <c r="AL95" i="4"/>
  <c r="AL68" i="4"/>
  <c r="AL64" i="4"/>
  <c r="AJ213" i="4"/>
  <c r="AJ210" i="4"/>
  <c r="AJ238" i="4"/>
  <c r="AJ250" i="4"/>
  <c r="AL100" i="4"/>
  <c r="AL77" i="4"/>
  <c r="AL57" i="4"/>
  <c r="AL37" i="4"/>
  <c r="AM37" i="4"/>
  <c r="EJ37" i="4" s="1"/>
  <c r="AL49" i="4"/>
  <c r="AL112" i="4"/>
  <c r="AL88" i="4"/>
  <c r="AM73" i="4"/>
  <c r="EJ73" i="4" s="1"/>
  <c r="AJ222" i="4"/>
  <c r="AJ249" i="4"/>
  <c r="AC12" i="13"/>
  <c r="AH53" i="4"/>
  <c r="CL226" i="4"/>
  <c r="CL241" i="4"/>
  <c r="CL265" i="4"/>
  <c r="CL230" i="4"/>
  <c r="CL248" i="4"/>
  <c r="CL266" i="4"/>
  <c r="CL250" i="4"/>
  <c r="CL254" i="4"/>
  <c r="CL258" i="4"/>
  <c r="HF74" i="4"/>
  <c r="HF186" i="4"/>
  <c r="HF111" i="4"/>
  <c r="HF67" i="4"/>
  <c r="HF71" i="4"/>
  <c r="HF243" i="4"/>
  <c r="HF65" i="4"/>
  <c r="HF223" i="4"/>
  <c r="HF68" i="4"/>
  <c r="HF69" i="4"/>
  <c r="HF168" i="4"/>
  <c r="HF104" i="4"/>
  <c r="HF73" i="4"/>
  <c r="HF210" i="4"/>
  <c r="HF160" i="4"/>
  <c r="HF252" i="4"/>
  <c r="HF183" i="4"/>
  <c r="HF101" i="4"/>
  <c r="HF218" i="4"/>
  <c r="HF272" i="4"/>
  <c r="HF141" i="4"/>
  <c r="HF147" i="4"/>
  <c r="HF119" i="4"/>
  <c r="HF247" i="4"/>
  <c r="HF86" i="4"/>
  <c r="HF209" i="4"/>
  <c r="HF251" i="4"/>
  <c r="HF154" i="4"/>
  <c r="HF80" i="4"/>
  <c r="HF110" i="4"/>
  <c r="HF190" i="4"/>
  <c r="HF188" i="4"/>
  <c r="HF149" i="4"/>
  <c r="HF213" i="4"/>
  <c r="HF140" i="4"/>
  <c r="HF198" i="4"/>
  <c r="HF128" i="4"/>
  <c r="HF229" i="4"/>
  <c r="HF228" i="4"/>
  <c r="HF178" i="4"/>
  <c r="HF112" i="4"/>
  <c r="HF95" i="4"/>
  <c r="HF164" i="4"/>
  <c r="HF261" i="4"/>
  <c r="HF201" i="4"/>
  <c r="HF94" i="4"/>
  <c r="HF105" i="4"/>
  <c r="HF214" i="4"/>
  <c r="HF84" i="4"/>
  <c r="HF219" i="4"/>
  <c r="HF267" i="4"/>
  <c r="HF207" i="4"/>
  <c r="HF199" i="4"/>
  <c r="HF85" i="4"/>
  <c r="HF265" i="4"/>
  <c r="HF211" i="4"/>
  <c r="HF156" i="4"/>
  <c r="HF200" i="4"/>
  <c r="HF139" i="4"/>
  <c r="HF99" i="4"/>
  <c r="HF173" i="4"/>
  <c r="HF77" i="4"/>
  <c r="HF193" i="4"/>
  <c r="HF166" i="4"/>
  <c r="HF76" i="4"/>
  <c r="HF271" i="4"/>
  <c r="HF125" i="4"/>
  <c r="HF182" i="4"/>
  <c r="HF78" i="4"/>
  <c r="HF184" i="4"/>
  <c r="HF124" i="4"/>
  <c r="HF189" i="4"/>
  <c r="HF89" i="4"/>
  <c r="HF138" i="4"/>
  <c r="HF255" i="4"/>
  <c r="HF179" i="4"/>
  <c r="HF122" i="4"/>
  <c r="HF253" i="4"/>
  <c r="HF205" i="4"/>
  <c r="HF102" i="4"/>
  <c r="HF266" i="4"/>
  <c r="HF120" i="4"/>
  <c r="HF142" i="4"/>
  <c r="HF231" i="4"/>
  <c r="HF167" i="4"/>
  <c r="HF109" i="4"/>
  <c r="HF176" i="4"/>
  <c r="HF264" i="4"/>
  <c r="HF170" i="4"/>
  <c r="HF175" i="4"/>
  <c r="HF108" i="4"/>
  <c r="HF227" i="4"/>
  <c r="HF245" i="4"/>
  <c r="HF90" i="4"/>
  <c r="HF234" i="4"/>
  <c r="HF98" i="4"/>
  <c r="HF206" i="4"/>
  <c r="HF239" i="4"/>
  <c r="HF169" i="4"/>
  <c r="HF88" i="4"/>
  <c r="HF134" i="4"/>
  <c r="HF248" i="4"/>
  <c r="HF197" i="4"/>
  <c r="HF132" i="4"/>
  <c r="HF96" i="4"/>
  <c r="HF161" i="4"/>
  <c r="HF171" i="4"/>
  <c r="HF100" i="4"/>
  <c r="HF241" i="4"/>
  <c r="HF217" i="4"/>
  <c r="HF135" i="4"/>
  <c r="HF93" i="4"/>
  <c r="HF232" i="4"/>
  <c r="HF62" i="4"/>
  <c r="HF262" i="4"/>
  <c r="HF246" i="4"/>
  <c r="HF165" i="4"/>
  <c r="HF174" i="4"/>
  <c r="HF270" i="4"/>
  <c r="HF162" i="4"/>
  <c r="HF75" i="4"/>
  <c r="HF143" i="4"/>
  <c r="HF258" i="4"/>
  <c r="HF181" i="4"/>
  <c r="HF82" i="4"/>
  <c r="HF215" i="4"/>
  <c r="HF151" i="4"/>
  <c r="HF230" i="4"/>
  <c r="HF263" i="4"/>
  <c r="HF216" i="4"/>
  <c r="HF163" i="4"/>
  <c r="HF79" i="4"/>
  <c r="HF257" i="4"/>
  <c r="HF180" i="4"/>
  <c r="HF196" i="4"/>
  <c r="HF150" i="4"/>
  <c r="HF244" i="4"/>
  <c r="HF155" i="4"/>
  <c r="HF83" i="4"/>
  <c r="HF133" i="4"/>
  <c r="HF254" i="4"/>
  <c r="HF148" i="4"/>
  <c r="HF195" i="4"/>
  <c r="HF172" i="4"/>
  <c r="HF269" i="4"/>
  <c r="HF136" i="4"/>
  <c r="HF159" i="4"/>
  <c r="HF226" i="4"/>
  <c r="HF137" i="4"/>
  <c r="HF158" i="4"/>
  <c r="HF118" i="4"/>
  <c r="HF222" i="4"/>
  <c r="HF146" i="4"/>
  <c r="HF233" i="4"/>
  <c r="HF107" i="4"/>
  <c r="HF81" i="4"/>
  <c r="HF224" i="4"/>
  <c r="HF129" i="4"/>
  <c r="HF212" i="4"/>
  <c r="HF87" i="4"/>
  <c r="HF191" i="4"/>
  <c r="HF127" i="4"/>
  <c r="HF152" i="4"/>
  <c r="HF221" i="4"/>
  <c r="HF157" i="4"/>
  <c r="HF249" i="4"/>
  <c r="HF185" i="4"/>
  <c r="HF273" i="4"/>
  <c r="EB272" i="4"/>
  <c r="CL257" i="4"/>
  <c r="CL246" i="4"/>
  <c r="CL249" i="4"/>
  <c r="CL267" i="4"/>
  <c r="CL259" i="4"/>
  <c r="CL245" i="4"/>
  <c r="DW269" i="4"/>
  <c r="CL228" i="4"/>
  <c r="CL247" i="4"/>
  <c r="CL252" i="4"/>
  <c r="CL243" i="4"/>
  <c r="CL242" i="4"/>
  <c r="CL231" i="4"/>
  <c r="CL253" i="4"/>
  <c r="CL264" i="4"/>
  <c r="CL263" i="4"/>
  <c r="CL235" i="4"/>
  <c r="CL244" i="4"/>
  <c r="CL234" i="4"/>
  <c r="CL239" i="4"/>
  <c r="EB270" i="4"/>
  <c r="EB273" i="4"/>
  <c r="EF220" i="4"/>
  <c r="EF255" i="4"/>
  <c r="EF233" i="4"/>
  <c r="EF193" i="4"/>
  <c r="EF250" i="4"/>
  <c r="EF262" i="4"/>
  <c r="EF273" i="4"/>
  <c r="EF266" i="4"/>
  <c r="EF235" i="4"/>
  <c r="EF267" i="4"/>
  <c r="EF213" i="4"/>
  <c r="EF231" i="4"/>
  <c r="EF225" i="4"/>
  <c r="EF205" i="4"/>
  <c r="EF265" i="4"/>
  <c r="EF219" i="4"/>
  <c r="EF238" i="4"/>
  <c r="EF259" i="4"/>
  <c r="EF177" i="4"/>
  <c r="EF234" i="4"/>
  <c r="EF228" i="4"/>
  <c r="EF188" i="4"/>
  <c r="EF178" i="4"/>
  <c r="EF187" i="4"/>
  <c r="EF260" i="4"/>
  <c r="EF224" i="4"/>
  <c r="EF244" i="4"/>
  <c r="EF240" i="4"/>
  <c r="EF217" i="4"/>
  <c r="EF246" i="4"/>
  <c r="EF270" i="4"/>
  <c r="EF242" i="4"/>
  <c r="EB269" i="4"/>
  <c r="EF189" i="4"/>
  <c r="EF248" i="4"/>
  <c r="EF197" i="4"/>
  <c r="EF190" i="4"/>
  <c r="EF249" i="4"/>
  <c r="EF180" i="4"/>
  <c r="EF196" i="4"/>
  <c r="EF216" i="4"/>
  <c r="EF271" i="4"/>
  <c r="EF230" i="4"/>
  <c r="EF258" i="4"/>
  <c r="EF251" i="4"/>
  <c r="EF181" i="4"/>
  <c r="EF253" i="4"/>
  <c r="EF206" i="4"/>
  <c r="EF198" i="4"/>
  <c r="EF186" i="4"/>
  <c r="EF210" i="4"/>
  <c r="EF212" i="4"/>
  <c r="EF209" i="4"/>
  <c r="EF229" i="4"/>
  <c r="EF243" i="4"/>
  <c r="EF232" i="4"/>
  <c r="EF247" i="4"/>
  <c r="EF269" i="4"/>
  <c r="EF257" i="4"/>
  <c r="EF254" i="4"/>
  <c r="EF179" i="4"/>
  <c r="EF192" i="4"/>
  <c r="EF263" i="4"/>
  <c r="EF211" i="4"/>
  <c r="EF221" i="4"/>
  <c r="EF223" i="4"/>
  <c r="EF185" i="4"/>
  <c r="EF200" i="4"/>
  <c r="EF227" i="4"/>
  <c r="EF241" i="4"/>
  <c r="EF245" i="4"/>
  <c r="EF256" i="4"/>
  <c r="EB268" i="4"/>
  <c r="EB271" i="4"/>
  <c r="EF191" i="4"/>
  <c r="EF201" i="4"/>
  <c r="EF261" i="4"/>
  <c r="EF272" i="4"/>
  <c r="EF218" i="4"/>
  <c r="EF222" i="4"/>
  <c r="EF208" i="4"/>
  <c r="EF183" i="4"/>
  <c r="EF214" i="4"/>
  <c r="EF182" i="4"/>
  <c r="EF239" i="4"/>
  <c r="EF252" i="4"/>
  <c r="EF264" i="4"/>
  <c r="EF268" i="4"/>
  <c r="EF226" i="4"/>
  <c r="EF195" i="4"/>
  <c r="EF184" i="4"/>
  <c r="EF199" i="4"/>
  <c r="EF215" i="4"/>
  <c r="EF207" i="4"/>
  <c r="DU268" i="4"/>
  <c r="DU270" i="4"/>
  <c r="DU271" i="4"/>
  <c r="DP56" i="4"/>
  <c r="DU272" i="4"/>
  <c r="DU273" i="4"/>
  <c r="DP43" i="4"/>
  <c r="DN268" i="4"/>
  <c r="DS37" i="4"/>
  <c r="DP30" i="4"/>
  <c r="DP60" i="4"/>
  <c r="DS29" i="4"/>
  <c r="DP49" i="4"/>
  <c r="DP44" i="4"/>
  <c r="DP62" i="4"/>
  <c r="DP74" i="4"/>
  <c r="DS39" i="4"/>
  <c r="DP42" i="4"/>
  <c r="DP71" i="4"/>
  <c r="DP66" i="4"/>
  <c r="DS30" i="4"/>
  <c r="DP65" i="4"/>
  <c r="DP36" i="4"/>
  <c r="DP33" i="4"/>
  <c r="DP35" i="4"/>
  <c r="DP54" i="4"/>
  <c r="DS35" i="4"/>
  <c r="DP48" i="4"/>
  <c r="DP45" i="4"/>
  <c r="DP47" i="4"/>
  <c r="DS28" i="4"/>
  <c r="DP38" i="4"/>
  <c r="DP57" i="4"/>
  <c r="DP28" i="4"/>
  <c r="DP59" i="4"/>
  <c r="DP75" i="4"/>
  <c r="DN270" i="4"/>
  <c r="DP70" i="4"/>
  <c r="DP50" i="4"/>
  <c r="DP67" i="4"/>
  <c r="DP40" i="4"/>
  <c r="DP69" i="4"/>
  <c r="DN272" i="4"/>
  <c r="DS40" i="4"/>
  <c r="DP31" i="4"/>
  <c r="DP61" i="4"/>
  <c r="DP52" i="4"/>
  <c r="DP34" i="4"/>
  <c r="DP72" i="4"/>
  <c r="DP63" i="4"/>
  <c r="DP46" i="4"/>
  <c r="DP29" i="4"/>
  <c r="DS32" i="4"/>
  <c r="DP55" i="4"/>
  <c r="DP73" i="4"/>
  <c r="DP58" i="4"/>
  <c r="DP41" i="4"/>
  <c r="DN273" i="4"/>
  <c r="DN271" i="4"/>
  <c r="DS31" i="4"/>
  <c r="DS33" i="4"/>
  <c r="DP39" i="4"/>
  <c r="DP68" i="4"/>
  <c r="DP53" i="4"/>
  <c r="DS34" i="4"/>
  <c r="DS36" i="4"/>
  <c r="DS38" i="4"/>
  <c r="DP37" i="4"/>
  <c r="DP32" i="4"/>
  <c r="DP51" i="4"/>
  <c r="DP64" i="4"/>
  <c r="DG208" i="4"/>
  <c r="DG235" i="4"/>
  <c r="DG193" i="4"/>
  <c r="DG211" i="4"/>
  <c r="DG218" i="4"/>
  <c r="DG225" i="4"/>
  <c r="DG270" i="4"/>
  <c r="DG256" i="4"/>
  <c r="DG271" i="4"/>
  <c r="DG220" i="4"/>
  <c r="DG185" i="4"/>
  <c r="DG222" i="4"/>
  <c r="DG224" i="4"/>
  <c r="DG234" i="4"/>
  <c r="DG245" i="4"/>
  <c r="DG268" i="4"/>
  <c r="DG233" i="4"/>
  <c r="DG192" i="4"/>
  <c r="DG187" i="4"/>
  <c r="DG216" i="4"/>
  <c r="DG238" i="4"/>
  <c r="DG226" i="4"/>
  <c r="DG248" i="4"/>
  <c r="DG246" i="4"/>
  <c r="DG215" i="4"/>
  <c r="DG186" i="4"/>
  <c r="DG178" i="4"/>
  <c r="DG207" i="4"/>
  <c r="DG196" i="4"/>
  <c r="DG258" i="4"/>
  <c r="DG227" i="4"/>
  <c r="DG257" i="4"/>
  <c r="DG266" i="4"/>
  <c r="DG242" i="4"/>
  <c r="DG255" i="4"/>
  <c r="DG201" i="4"/>
  <c r="DG190" i="4"/>
  <c r="DG219" i="4"/>
  <c r="DG209" i="4"/>
  <c r="DG253" i="4"/>
  <c r="DG267" i="4"/>
  <c r="DG212" i="4"/>
  <c r="DG232" i="4"/>
  <c r="DG230" i="4"/>
  <c r="DG228" i="4"/>
  <c r="DG263" i="4"/>
  <c r="DG229" i="4"/>
  <c r="DG181" i="4"/>
  <c r="DG223" i="4"/>
  <c r="DG243" i="4"/>
  <c r="DG240" i="4"/>
  <c r="DG272" i="4"/>
  <c r="DG241" i="4"/>
  <c r="DG188" i="4"/>
  <c r="DG239" i="4"/>
  <c r="DG231" i="4"/>
  <c r="DG251" i="4"/>
  <c r="DG254" i="4"/>
  <c r="DG252" i="4"/>
  <c r="DG210" i="4"/>
  <c r="DG183" i="4"/>
  <c r="DG269" i="4"/>
  <c r="DG180" i="4"/>
  <c r="DG179" i="4"/>
  <c r="DG264" i="4"/>
  <c r="DG261" i="4"/>
  <c r="DG265" i="4"/>
  <c r="DG262" i="4"/>
  <c r="DG176" i="4"/>
  <c r="DG197" i="4"/>
  <c r="DG205" i="4"/>
  <c r="DG177" i="4"/>
  <c r="DG184" i="4"/>
  <c r="DG191" i="4"/>
  <c r="DG273" i="4"/>
  <c r="DG221" i="4"/>
  <c r="DG244" i="4"/>
  <c r="DG217" i="4"/>
  <c r="DG200" i="4"/>
  <c r="DG189" i="4"/>
  <c r="DG195" i="4"/>
  <c r="DG199" i="4"/>
  <c r="DG249" i="4"/>
  <c r="DG250" i="4"/>
  <c r="DG214" i="4"/>
  <c r="DG182" i="4"/>
  <c r="DG198" i="4"/>
  <c r="DG206" i="4"/>
  <c r="DG213" i="4"/>
  <c r="DG259" i="4"/>
  <c r="DG247" i="4"/>
  <c r="CZ248" i="4"/>
  <c r="CZ155" i="4"/>
  <c r="CS271" i="4"/>
  <c r="CZ161" i="4"/>
  <c r="CZ166" i="4"/>
  <c r="CZ138" i="4"/>
  <c r="CZ208" i="4"/>
  <c r="CZ232" i="4"/>
  <c r="CZ186" i="4"/>
  <c r="CZ253" i="4"/>
  <c r="CZ197" i="4"/>
  <c r="CZ190" i="4"/>
  <c r="CZ207" i="4"/>
  <c r="CZ170" i="4"/>
  <c r="CZ175" i="4"/>
  <c r="CZ151" i="4"/>
  <c r="CZ216" i="4"/>
  <c r="CZ193" i="4"/>
  <c r="CZ264" i="4"/>
  <c r="CZ210" i="4"/>
  <c r="CZ212" i="4"/>
  <c r="CZ219" i="4"/>
  <c r="CZ258" i="4"/>
  <c r="CZ243" i="4"/>
  <c r="CZ179" i="4"/>
  <c r="CZ171" i="4"/>
  <c r="CZ234" i="4"/>
  <c r="CZ139" i="4"/>
  <c r="CZ196" i="4"/>
  <c r="CZ181" i="4"/>
  <c r="CZ221" i="4"/>
  <c r="CZ223" i="4"/>
  <c r="CZ238" i="4"/>
  <c r="CZ269" i="4"/>
  <c r="CZ187" i="4"/>
  <c r="CZ177" i="4"/>
  <c r="CZ245" i="4"/>
  <c r="CZ160" i="4"/>
  <c r="CZ137" i="4"/>
  <c r="CZ148" i="4"/>
  <c r="CZ200" i="4"/>
  <c r="CZ192" i="4"/>
  <c r="CZ230" i="4"/>
  <c r="CZ249" i="4"/>
  <c r="CZ246" i="4"/>
  <c r="CZ168" i="4"/>
  <c r="CZ205" i="4"/>
  <c r="CZ213" i="4"/>
  <c r="CZ260" i="4"/>
  <c r="CZ206" i="4"/>
  <c r="CZ162" i="4"/>
  <c r="CZ158" i="4"/>
  <c r="CZ150" i="4"/>
  <c r="CZ263" i="4"/>
  <c r="CZ201" i="4"/>
  <c r="CZ242" i="4"/>
  <c r="CZ240" i="4"/>
  <c r="CZ265" i="4"/>
  <c r="CZ255" i="4"/>
  <c r="CZ173" i="4"/>
  <c r="CZ214" i="4"/>
  <c r="CZ198" i="4"/>
  <c r="CZ152" i="4"/>
  <c r="CZ266" i="4"/>
  <c r="CZ215" i="4"/>
  <c r="CZ267" i="4"/>
  <c r="CZ189" i="4"/>
  <c r="CZ159" i="4"/>
  <c r="CZ182" i="4"/>
  <c r="CZ141" i="4"/>
  <c r="CZ165" i="4"/>
  <c r="CZ154" i="4"/>
  <c r="CZ228" i="4"/>
  <c r="CZ251" i="4"/>
  <c r="CZ140" i="4"/>
  <c r="CZ229" i="4"/>
  <c r="CZ218" i="4"/>
  <c r="CZ143" i="4"/>
  <c r="CZ211" i="4"/>
  <c r="CZ183" i="4"/>
  <c r="CZ224" i="4"/>
  <c r="CZ172" i="4"/>
  <c r="CZ259" i="4"/>
  <c r="CZ257" i="4"/>
  <c r="CZ153" i="4"/>
  <c r="CZ247" i="4"/>
  <c r="CZ241" i="4"/>
  <c r="CZ157" i="4"/>
  <c r="CZ239" i="4"/>
  <c r="CZ147" i="4"/>
  <c r="CZ227" i="4"/>
  <c r="CZ250" i="4"/>
  <c r="CZ191" i="4"/>
  <c r="CZ261" i="4"/>
  <c r="CZ142" i="4"/>
  <c r="CZ164" i="4"/>
  <c r="CZ256" i="4"/>
  <c r="CZ252" i="4"/>
  <c r="CZ222" i="4"/>
  <c r="CZ220" i="4"/>
  <c r="CZ233" i="4"/>
  <c r="CZ149" i="4"/>
  <c r="CZ254" i="4"/>
  <c r="CZ199" i="4"/>
  <c r="CZ270" i="4"/>
  <c r="CZ195" i="4"/>
  <c r="CZ271" i="4"/>
  <c r="CZ156" i="4"/>
  <c r="CZ273" i="4"/>
  <c r="CZ174" i="4"/>
  <c r="CZ268" i="4"/>
  <c r="CZ262" i="4"/>
  <c r="CZ136" i="4"/>
  <c r="CZ169" i="4"/>
  <c r="CZ209" i="4"/>
  <c r="CZ217" i="4"/>
  <c r="CZ272" i="4"/>
  <c r="CZ176" i="4"/>
  <c r="CZ167" i="4"/>
  <c r="CZ185" i="4"/>
  <c r="CZ226" i="4"/>
  <c r="CZ184" i="4"/>
  <c r="CZ163" i="4"/>
  <c r="CZ180" i="4"/>
  <c r="CZ231" i="4"/>
  <c r="CZ225" i="4"/>
  <c r="CZ146" i="4"/>
  <c r="CZ244" i="4"/>
  <c r="CZ188" i="4"/>
  <c r="CZ178" i="4"/>
  <c r="CS269" i="4"/>
  <c r="CS273" i="4"/>
  <c r="CL251" i="4"/>
  <c r="CS268" i="4"/>
  <c r="CL229" i="4"/>
  <c r="CS270" i="4"/>
  <c r="CS272" i="4"/>
  <c r="CL273" i="4"/>
  <c r="CL270" i="4"/>
  <c r="CL232" i="4"/>
  <c r="CL256" i="4"/>
  <c r="CL260" i="4"/>
  <c r="CL268" i="4"/>
  <c r="CL271" i="4"/>
  <c r="CL225" i="4"/>
  <c r="CL233" i="4"/>
  <c r="CL255" i="4"/>
  <c r="CL240" i="4"/>
  <c r="CL272" i="4"/>
  <c r="CL262" i="4"/>
  <c r="CL269" i="4"/>
  <c r="CL238" i="4"/>
  <c r="CL261" i="4"/>
  <c r="AC275" i="4"/>
  <c r="HA272" i="4"/>
  <c r="P272" i="4"/>
  <c r="HA267" i="4"/>
  <c r="R267" i="4"/>
  <c r="HA19" i="4"/>
  <c r="R19" i="4"/>
  <c r="HA14" i="4"/>
  <c r="N14" i="4"/>
  <c r="HA28" i="4"/>
  <c r="N28" i="4"/>
  <c r="HA34" i="4"/>
  <c r="N34" i="4"/>
  <c r="HA60" i="4"/>
  <c r="R60" i="4"/>
  <c r="HA54" i="4"/>
  <c r="R54" i="4"/>
  <c r="HA15" i="4"/>
  <c r="R15" i="4"/>
  <c r="HA42" i="4"/>
  <c r="R42" i="4"/>
  <c r="HA238" i="4"/>
  <c r="R238" i="4"/>
  <c r="HA264" i="4"/>
  <c r="N264" i="4"/>
  <c r="HA256" i="4"/>
  <c r="R256" i="4"/>
  <c r="HA271" i="4"/>
  <c r="N271" i="4"/>
  <c r="HA35" i="4"/>
  <c r="R35" i="4"/>
  <c r="HA6" i="4"/>
  <c r="R6" i="4"/>
  <c r="HA24" i="4"/>
  <c r="R24" i="4"/>
  <c r="HA32" i="4"/>
  <c r="R32" i="4"/>
  <c r="HA13" i="4"/>
  <c r="P13" i="4"/>
  <c r="HA38" i="4"/>
  <c r="R38" i="4"/>
  <c r="HA47" i="4"/>
  <c r="N47" i="4"/>
  <c r="HA27" i="4"/>
  <c r="R27" i="4"/>
  <c r="HA220" i="4"/>
  <c r="R220" i="4"/>
  <c r="HA208" i="4"/>
  <c r="N208" i="4"/>
  <c r="HA270" i="4"/>
  <c r="R270" i="4"/>
  <c r="HA269" i="4"/>
  <c r="R269" i="4"/>
  <c r="HA235" i="4"/>
  <c r="N235" i="4"/>
  <c r="HA266" i="4"/>
  <c r="R266" i="4"/>
  <c r="HA44" i="4"/>
  <c r="N44" i="4"/>
  <c r="HA46" i="4"/>
  <c r="R46" i="4"/>
  <c r="HA41" i="4"/>
  <c r="R41" i="4"/>
  <c r="HA20" i="4"/>
  <c r="R20" i="4"/>
  <c r="HA17" i="4"/>
  <c r="N17" i="4"/>
  <c r="HA52" i="4"/>
  <c r="P52" i="4"/>
  <c r="HA61" i="4"/>
  <c r="N61" i="4"/>
  <c r="HA59" i="4"/>
  <c r="P59" i="4"/>
  <c r="HA242" i="4"/>
  <c r="R242" i="4"/>
  <c r="R10" i="4"/>
  <c r="HA23" i="4"/>
  <c r="N23" i="4"/>
  <c r="HA56" i="4"/>
  <c r="R56" i="4"/>
  <c r="P4" i="4"/>
  <c r="HA50" i="4"/>
  <c r="R50" i="4"/>
  <c r="HA11" i="4"/>
  <c r="N11" i="4"/>
  <c r="HA58" i="4"/>
  <c r="N58" i="4"/>
  <c r="HA57" i="4"/>
  <c r="R57" i="4"/>
  <c r="HA45" i="4"/>
  <c r="R45" i="4"/>
  <c r="R268" i="4"/>
  <c r="HA192" i="4"/>
  <c r="P192" i="4"/>
  <c r="HA273" i="4"/>
  <c r="N273" i="4"/>
  <c r="HA260" i="4"/>
  <c r="P260" i="4"/>
  <c r="HA259" i="4"/>
  <c r="R259" i="4"/>
  <c r="HA8" i="4"/>
  <c r="N8" i="4"/>
  <c r="HA53" i="4"/>
  <c r="N53" i="4"/>
  <c r="HA43" i="4"/>
  <c r="P43" i="4"/>
  <c r="HA40" i="4"/>
  <c r="N40" i="4"/>
  <c r="HA12" i="4"/>
  <c r="R12" i="4"/>
  <c r="HA21" i="4"/>
  <c r="P21" i="4"/>
  <c r="HA49" i="4"/>
  <c r="N49" i="4"/>
  <c r="HA55" i="4"/>
  <c r="N55" i="4"/>
  <c r="HA26" i="4"/>
  <c r="R26" i="4"/>
  <c r="HA265" i="4"/>
  <c r="P265" i="4"/>
  <c r="EI187" i="4"/>
  <c r="N187" i="4"/>
  <c r="HA9" i="4"/>
  <c r="N9" i="4"/>
  <c r="HA16" i="4"/>
  <c r="N16" i="4"/>
  <c r="HA7" i="4"/>
  <c r="N7" i="4"/>
  <c r="HA31" i="4"/>
  <c r="R31" i="4"/>
  <c r="HA30" i="4"/>
  <c r="R30" i="4"/>
  <c r="HA5" i="4"/>
  <c r="HA37" i="4"/>
  <c r="P37" i="4"/>
  <c r="HA22" i="4"/>
  <c r="P22" i="4"/>
  <c r="EI79" i="4"/>
  <c r="HA4" i="4"/>
  <c r="HA187" i="4"/>
  <c r="HA10" i="4"/>
  <c r="EI220" i="4"/>
  <c r="EI208" i="4"/>
  <c r="EI270" i="4"/>
  <c r="EI44" i="4"/>
  <c r="EI46" i="4"/>
  <c r="EI41" i="4"/>
  <c r="EI20" i="4"/>
  <c r="EI154" i="4"/>
  <c r="EI170" i="4"/>
  <c r="EI100" i="4"/>
  <c r="EI149" i="4"/>
  <c r="EI178" i="4"/>
  <c r="EI84" i="4"/>
  <c r="EI150" i="4"/>
  <c r="EI200" i="4"/>
  <c r="EI242" i="4"/>
  <c r="EI266" i="4"/>
  <c r="EI269" i="4"/>
  <c r="EI17" i="4"/>
  <c r="EI52" i="4"/>
  <c r="EI61" i="4"/>
  <c r="EI59" i="4"/>
  <c r="EI258" i="4"/>
  <c r="EI241" i="4"/>
  <c r="EI165" i="4"/>
  <c r="EI179" i="4"/>
  <c r="EI162" i="4"/>
  <c r="EI227" i="4"/>
  <c r="EI175" i="4"/>
  <c r="EI240" i="4"/>
  <c r="EI217" i="4"/>
  <c r="EI10" i="4"/>
  <c r="EI23" i="4"/>
  <c r="EI56" i="4"/>
  <c r="EI91" i="4"/>
  <c r="EI116" i="4"/>
  <c r="EI121" i="4"/>
  <c r="EI126" i="4"/>
  <c r="EI92" i="4"/>
  <c r="EI113" i="4"/>
  <c r="EI115" i="4"/>
  <c r="EI97" i="4"/>
  <c r="EI106" i="4"/>
  <c r="EI141" i="4"/>
  <c r="EI125" i="4"/>
  <c r="EI122" i="4"/>
  <c r="EI159" i="4"/>
  <c r="EI67" i="4"/>
  <c r="EI65" i="4"/>
  <c r="EI108" i="4"/>
  <c r="EI69" i="4"/>
  <c r="EI93" i="4"/>
  <c r="EI111" i="4"/>
  <c r="EI140" i="4"/>
  <c r="EI128" i="4"/>
  <c r="EI110" i="4"/>
  <c r="EI131" i="4"/>
  <c r="EI118" i="4"/>
  <c r="EI96" i="4"/>
  <c r="EI123" i="4"/>
  <c r="EI156" i="4"/>
  <c r="EI124" i="4"/>
  <c r="EI119" i="4"/>
  <c r="EI117" i="4"/>
  <c r="EI153" i="4"/>
  <c r="EI157" i="4"/>
  <c r="EI120" i="4"/>
  <c r="EI74" i="4"/>
  <c r="EI114" i="4"/>
  <c r="EI109" i="4"/>
  <c r="EI143" i="4"/>
  <c r="EI66" i="4"/>
  <c r="EI95" i="4"/>
  <c r="EI62" i="4"/>
  <c r="EI146" i="4"/>
  <c r="EI73" i="4"/>
  <c r="EI142" i="4"/>
  <c r="EI112" i="4"/>
  <c r="EI64" i="4"/>
  <c r="EI94" i="4"/>
  <c r="EI68" i="4"/>
  <c r="EI107" i="4"/>
  <c r="EI139" i="4"/>
  <c r="EI132" i="4"/>
  <c r="EI70" i="4"/>
  <c r="EI129" i="4"/>
  <c r="EI133" i="4"/>
  <c r="EI71" i="4"/>
  <c r="EI137" i="4"/>
  <c r="EI63" i="4"/>
  <c r="EI135" i="4"/>
  <c r="EI50" i="4"/>
  <c r="EI75" i="4"/>
  <c r="EI201" i="4"/>
  <c r="EI229" i="4"/>
  <c r="EI166" i="4"/>
  <c r="EI33" i="4"/>
  <c r="EI189" i="4"/>
  <c r="EI257" i="4"/>
  <c r="EI87" i="4"/>
  <c r="EI260" i="4"/>
  <c r="EI11" i="4"/>
  <c r="EI58" i="4"/>
  <c r="EI57" i="4"/>
  <c r="EI45" i="4"/>
  <c r="EI233" i="4"/>
  <c r="EI138" i="4"/>
  <c r="EI221" i="4"/>
  <c r="EI248" i="4"/>
  <c r="EI213" i="4"/>
  <c r="EI72" i="4"/>
  <c r="EI182" i="4"/>
  <c r="EI245" i="4"/>
  <c r="EI230" i="4"/>
  <c r="EI80" i="4"/>
  <c r="EI184" i="4"/>
  <c r="EI158" i="4"/>
  <c r="EI223" i="4"/>
  <c r="EI209" i="4"/>
  <c r="EI192" i="4"/>
  <c r="EI273" i="4"/>
  <c r="EI8" i="4"/>
  <c r="EI53" i="4"/>
  <c r="EI43" i="4"/>
  <c r="EI40" i="4"/>
  <c r="EI12" i="4"/>
  <c r="EI98" i="4"/>
  <c r="EI105" i="4"/>
  <c r="EI25" i="4"/>
  <c r="EI234" i="4"/>
  <c r="EI89" i="4"/>
  <c r="EI195" i="4"/>
  <c r="EI102" i="4"/>
  <c r="EI36" i="4"/>
  <c r="EI86" i="4"/>
  <c r="EI205" i="4"/>
  <c r="EI251" i="4"/>
  <c r="EI259" i="4"/>
  <c r="EI21" i="4"/>
  <c r="EI49" i="4"/>
  <c r="EI55" i="4"/>
  <c r="EI26" i="4"/>
  <c r="EI254" i="4"/>
  <c r="EI252" i="4"/>
  <c r="EI134" i="4"/>
  <c r="EI76" i="4"/>
  <c r="EI188" i="4"/>
  <c r="EI243" i="4"/>
  <c r="EI263" i="4"/>
  <c r="EI197" i="4"/>
  <c r="EI174" i="4"/>
  <c r="EI246" i="4"/>
  <c r="EI152" i="4"/>
  <c r="EI77" i="4"/>
  <c r="EI168" i="4"/>
  <c r="EI265" i="4"/>
  <c r="EI268" i="4"/>
  <c r="EI9" i="4"/>
  <c r="EI16" i="4"/>
  <c r="EI7" i="4"/>
  <c r="EI31" i="4"/>
  <c r="EI30" i="4"/>
  <c r="EI186" i="4"/>
  <c r="EI207" i="4"/>
  <c r="EI39" i="4"/>
  <c r="EI225" i="4"/>
  <c r="EI88" i="4"/>
  <c r="EI215" i="4"/>
  <c r="EI101" i="4"/>
  <c r="EI160" i="4"/>
  <c r="EI173" i="4"/>
  <c r="EI244" i="4"/>
  <c r="EI136" i="4"/>
  <c r="EI181" i="4"/>
  <c r="EI5" i="4"/>
  <c r="EI37" i="4"/>
  <c r="EI22" i="4"/>
  <c r="EI29" i="4"/>
  <c r="EI231" i="4"/>
  <c r="EI228" i="4"/>
  <c r="EI104" i="4"/>
  <c r="EI250" i="4"/>
  <c r="EI211" i="4"/>
  <c r="EI99" i="4"/>
  <c r="EI261" i="4"/>
  <c r="EI214" i="4"/>
  <c r="EI272" i="4"/>
  <c r="EI19" i="4"/>
  <c r="EI14" i="4"/>
  <c r="EI28" i="4"/>
  <c r="EI34" i="4"/>
  <c r="EI185" i="4"/>
  <c r="EI163" i="4"/>
  <c r="EI249" i="4"/>
  <c r="EI82" i="4"/>
  <c r="EI161" i="4"/>
  <c r="EI193" i="4"/>
  <c r="EI151" i="4"/>
  <c r="EI169" i="4"/>
  <c r="EI90" i="4"/>
  <c r="EI232" i="4"/>
  <c r="EI148" i="4"/>
  <c r="EI180" i="4"/>
  <c r="EI167" i="4"/>
  <c r="EI256" i="4"/>
  <c r="EI267" i="4"/>
  <c r="EI60" i="4"/>
  <c r="EI54" i="4"/>
  <c r="EI15" i="4"/>
  <c r="EI42" i="4"/>
  <c r="EI48" i="4"/>
  <c r="EI155" i="4"/>
  <c r="EI255" i="4"/>
  <c r="EI81" i="4"/>
  <c r="EI199" i="4"/>
  <c r="EI196" i="4"/>
  <c r="EI247" i="4"/>
  <c r="EI85" i="4"/>
  <c r="EI226" i="4"/>
  <c r="EI198" i="4"/>
  <c r="EI216" i="4"/>
  <c r="EI238" i="4"/>
  <c r="EI264" i="4"/>
  <c r="EI35" i="4"/>
  <c r="EI6" i="4"/>
  <c r="EI24" i="4"/>
  <c r="EI32" i="4"/>
  <c r="EI127" i="4"/>
  <c r="EI210" i="4"/>
  <c r="EI190" i="4"/>
  <c r="EI171" i="4"/>
  <c r="EI183" i="4"/>
  <c r="EI212" i="4"/>
  <c r="EI147" i="4"/>
  <c r="EI206" i="4"/>
  <c r="EI18" i="4"/>
  <c r="EI239" i="4"/>
  <c r="EI218" i="4"/>
  <c r="EI83" i="4"/>
  <c r="EI235" i="4"/>
  <c r="EI271" i="4"/>
  <c r="EI13" i="4"/>
  <c r="EI38" i="4"/>
  <c r="EI47" i="4"/>
  <c r="EI27" i="4"/>
  <c r="EI222" i="4"/>
  <c r="EI262" i="4"/>
  <c r="EI191" i="4"/>
  <c r="EI164" i="4"/>
  <c r="EI78" i="4"/>
  <c r="EI253" i="4"/>
  <c r="EI224" i="4"/>
  <c r="EI176" i="4"/>
  <c r="EI51" i="4"/>
  <c r="EI219" i="4"/>
  <c r="EI172" i="4"/>
  <c r="EI177" i="4"/>
  <c r="F316" i="5"/>
  <c r="H305" i="5" s="1"/>
  <c r="G316" i="5"/>
  <c r="B317" i="5"/>
  <c r="D317" i="5" s="1"/>
  <c r="B277" i="5"/>
  <c r="D277" i="5" s="1"/>
  <c r="F276" i="5"/>
  <c r="H265" i="5" s="1"/>
  <c r="G276" i="5"/>
  <c r="F116" i="5"/>
  <c r="H105" i="5" s="1"/>
  <c r="G296" i="5"/>
  <c r="F296" i="5"/>
  <c r="H285" i="5" s="1"/>
  <c r="B297" i="5"/>
  <c r="D297" i="5" s="1"/>
  <c r="B177" i="5"/>
  <c r="D177" i="5" s="1"/>
  <c r="E4" i="13"/>
  <c r="W4" i="13" s="1"/>
  <c r="G96" i="5"/>
  <c r="F56" i="5"/>
  <c r="H45" i="5" s="1"/>
  <c r="F96" i="5"/>
  <c r="H85" i="5" s="1"/>
  <c r="B97" i="5"/>
  <c r="D97" i="5" s="1"/>
  <c r="G256" i="5"/>
  <c r="F256" i="5"/>
  <c r="H245" i="5" s="1"/>
  <c r="D257" i="5"/>
  <c r="F176" i="5"/>
  <c r="H165" i="5" s="1"/>
  <c r="B157" i="5"/>
  <c r="D157" i="5" s="1"/>
  <c r="G216" i="5"/>
  <c r="G156" i="5"/>
  <c r="G176" i="5"/>
  <c r="G236" i="5"/>
  <c r="F196" i="5"/>
  <c r="H185" i="5" s="1"/>
  <c r="F156" i="5"/>
  <c r="H145" i="5" s="1"/>
  <c r="B137" i="5"/>
  <c r="D137" i="5" s="1"/>
  <c r="B237" i="5"/>
  <c r="D237" i="5" s="1"/>
  <c r="B197" i="5"/>
  <c r="D197" i="5" s="1"/>
  <c r="G196" i="5"/>
  <c r="G136" i="5"/>
  <c r="F236" i="5"/>
  <c r="H225" i="5" s="1"/>
  <c r="F76" i="5"/>
  <c r="H65" i="5" s="1"/>
  <c r="F136" i="5"/>
  <c r="H125" i="5" s="1"/>
  <c r="F216" i="5"/>
  <c r="H205" i="5" s="1"/>
  <c r="B217" i="5"/>
  <c r="D217" i="5" s="1"/>
  <c r="D12" i="5"/>
  <c r="E12" i="5"/>
  <c r="C12" i="5"/>
  <c r="B77" i="5"/>
  <c r="D77" i="5" s="1"/>
  <c r="G76" i="5"/>
  <c r="G116" i="5"/>
  <c r="B117" i="5"/>
  <c r="D117" i="5" s="1"/>
  <c r="G56" i="5"/>
  <c r="B57" i="5"/>
  <c r="D57" i="5" s="1"/>
  <c r="H5" i="13"/>
  <c r="G5" i="13" s="1"/>
  <c r="C450" i="11" s="1"/>
  <c r="P5" i="13"/>
  <c r="O5" i="13" s="1"/>
  <c r="C507" i="11" s="1"/>
  <c r="B12" i="5"/>
  <c r="L4" i="13"/>
  <c r="K4" i="13" s="1"/>
  <c r="B16" i="17" s="1"/>
  <c r="AD4" i="13"/>
  <c r="AC4" i="13" s="1"/>
  <c r="B9" i="17" s="1"/>
  <c r="P4" i="13"/>
  <c r="O4" i="13" s="1"/>
  <c r="Z4" i="13"/>
  <c r="Y4" i="13" s="1"/>
  <c r="B15" i="17" s="1"/>
  <c r="H4" i="13"/>
  <c r="G4" i="13" s="1"/>
  <c r="AA13" i="15" l="1"/>
  <c r="AG13" i="15" s="1"/>
  <c r="AA8" i="15"/>
  <c r="AG8" i="15" s="1"/>
  <c r="HF117" i="4"/>
  <c r="FT52" i="4"/>
  <c r="EY418" i="4"/>
  <c r="F4" i="20"/>
  <c r="FS269" i="4"/>
  <c r="E8" i="20"/>
  <c r="E4" i="20"/>
  <c r="F12" i="20"/>
  <c r="F8" i="20"/>
  <c r="E12" i="20"/>
  <c r="BQ447" i="4"/>
  <c r="HF72" i="4"/>
  <c r="HF123" i="4"/>
  <c r="FS267" i="4"/>
  <c r="DW434" i="4"/>
  <c r="FS276" i="4"/>
  <c r="FT266" i="4"/>
  <c r="DW423" i="4"/>
  <c r="EY237" i="4"/>
  <c r="DW402" i="4"/>
  <c r="EY376" i="4"/>
  <c r="EY145" i="4"/>
  <c r="EY388" i="4"/>
  <c r="EY362" i="4"/>
  <c r="EY438" i="4"/>
  <c r="EY333" i="4"/>
  <c r="EY404" i="4"/>
  <c r="EY380" i="4"/>
  <c r="EY407" i="4"/>
  <c r="EY87" i="4"/>
  <c r="EY400" i="4"/>
  <c r="EY428" i="4"/>
  <c r="EY294" i="4"/>
  <c r="EY412" i="4"/>
  <c r="EY447" i="4"/>
  <c r="EY351" i="4"/>
  <c r="EY236" i="4"/>
  <c r="EY441" i="4"/>
  <c r="EY416" i="4"/>
  <c r="EY439" i="4"/>
  <c r="FR185" i="4"/>
  <c r="FT185" i="4"/>
  <c r="FR87" i="4"/>
  <c r="FT87" i="4"/>
  <c r="FR222" i="4"/>
  <c r="FT222" i="4"/>
  <c r="FR224" i="4"/>
  <c r="FT224" i="4"/>
  <c r="FR102" i="4"/>
  <c r="FT102" i="4"/>
  <c r="FR223" i="4"/>
  <c r="FT223" i="4"/>
  <c r="Y6" i="15"/>
  <c r="FR86" i="4"/>
  <c r="FT86" i="4"/>
  <c r="FR188" i="4"/>
  <c r="FT188" i="4"/>
  <c r="FR122" i="4"/>
  <c r="FT122" i="4"/>
  <c r="FR187" i="4"/>
  <c r="FT187" i="4"/>
  <c r="FR103" i="4"/>
  <c r="FT103" i="4"/>
  <c r="FR190" i="4"/>
  <c r="FT190" i="4"/>
  <c r="FR189" i="4"/>
  <c r="FT189" i="4"/>
  <c r="FR110" i="4"/>
  <c r="FT110" i="4"/>
  <c r="FR98" i="4"/>
  <c r="FT98" i="4"/>
  <c r="FR220" i="4"/>
  <c r="FT220" i="4"/>
  <c r="FR99" i="4"/>
  <c r="FT99" i="4"/>
  <c r="FR97" i="4"/>
  <c r="FT97" i="4"/>
  <c r="FR219" i="4"/>
  <c r="FT219" i="4"/>
  <c r="FR96" i="4"/>
  <c r="FT96" i="4"/>
  <c r="FR101" i="4"/>
  <c r="FT101" i="4"/>
  <c r="FR164" i="4"/>
  <c r="FT164" i="4"/>
  <c r="FR100" i="4"/>
  <c r="FT100" i="4"/>
  <c r="FR80" i="4"/>
  <c r="FT80" i="4"/>
  <c r="FR165" i="4"/>
  <c r="FT165" i="4"/>
  <c r="FR186" i="4"/>
  <c r="FT186" i="4"/>
  <c r="CX448" i="4"/>
  <c r="U448" i="4"/>
  <c r="GP442" i="4"/>
  <c r="FT273" i="4"/>
  <c r="S447" i="4"/>
  <c r="O448" i="4"/>
  <c r="U5" i="4"/>
  <c r="FR344" i="4"/>
  <c r="FS344" i="4"/>
  <c r="FT344" i="4"/>
  <c r="FR354" i="4"/>
  <c r="FT354" i="4"/>
  <c r="FS354" i="4"/>
  <c r="FS391" i="4"/>
  <c r="FR391" i="4"/>
  <c r="FT391" i="4"/>
  <c r="FR294" i="4"/>
  <c r="FT294" i="4"/>
  <c r="FR388" i="4"/>
  <c r="FS388" i="4"/>
  <c r="FT388" i="4"/>
  <c r="FS440" i="4"/>
  <c r="FT440" i="4"/>
  <c r="FR440" i="4"/>
  <c r="FS410" i="4"/>
  <c r="FR410" i="4"/>
  <c r="FT410" i="4"/>
  <c r="FR358" i="4"/>
  <c r="FS358" i="4"/>
  <c r="FT358" i="4"/>
  <c r="FR296" i="4"/>
  <c r="FS296" i="4"/>
  <c r="FT296" i="4"/>
  <c r="FS397" i="4"/>
  <c r="FR397" i="4"/>
  <c r="FT397" i="4"/>
  <c r="FT387" i="4"/>
  <c r="FR387" i="4"/>
  <c r="FS387" i="4"/>
  <c r="FR328" i="4"/>
  <c r="FT328" i="4"/>
  <c r="FS328" i="4"/>
  <c r="FS355" i="4"/>
  <c r="FT355" i="4"/>
  <c r="FR355" i="4"/>
  <c r="FR306" i="4"/>
  <c r="FT306" i="4"/>
  <c r="GR447" i="4"/>
  <c r="U446" i="4"/>
  <c r="W442" i="4"/>
  <c r="W447" i="4"/>
  <c r="FR316" i="4"/>
  <c r="FT316" i="4"/>
  <c r="FS316" i="4"/>
  <c r="FS431" i="4"/>
  <c r="FT431" i="4"/>
  <c r="FR431" i="4"/>
  <c r="FT353" i="4"/>
  <c r="FR353" i="4"/>
  <c r="FS353" i="4"/>
  <c r="FS448" i="4"/>
  <c r="FT448" i="4"/>
  <c r="FR448" i="4"/>
  <c r="FR295" i="4"/>
  <c r="FS295" i="4"/>
  <c r="FT295" i="4"/>
  <c r="FS404" i="4"/>
  <c r="FR404" i="4"/>
  <c r="FT404" i="4"/>
  <c r="FR426" i="4"/>
  <c r="FT426" i="4"/>
  <c r="FS426" i="4"/>
  <c r="FR288" i="4"/>
  <c r="FS288" i="4"/>
  <c r="FT288" i="4"/>
  <c r="FR330" i="4"/>
  <c r="FT330" i="4"/>
  <c r="FS330" i="4"/>
  <c r="GN448" i="4"/>
  <c r="FS342" i="4"/>
  <c r="FR293" i="4"/>
  <c r="FT293" i="4"/>
  <c r="FS293" i="4"/>
  <c r="FS371" i="4"/>
  <c r="FR371" i="4"/>
  <c r="FT371" i="4"/>
  <c r="FS408" i="4"/>
  <c r="FT408" i="4"/>
  <c r="FR408" i="4"/>
  <c r="O447" i="4"/>
  <c r="FS266" i="4"/>
  <c r="FT347" i="4"/>
  <c r="FR347" i="4"/>
  <c r="FS347" i="4"/>
  <c r="FS306" i="4"/>
  <c r="FR257" i="4"/>
  <c r="Y442" i="4"/>
  <c r="FR367" i="4"/>
  <c r="FT367" i="4"/>
  <c r="FS367" i="4"/>
  <c r="FS444" i="4"/>
  <c r="FR444" i="4"/>
  <c r="FT444" i="4"/>
  <c r="FR274" i="4"/>
  <c r="FT274" i="4"/>
  <c r="FS274" i="4"/>
  <c r="FS360" i="4"/>
  <c r="FR360" i="4"/>
  <c r="FT360" i="4"/>
  <c r="FR376" i="4"/>
  <c r="FS376" i="4"/>
  <c r="FT376" i="4"/>
  <c r="FR412" i="4"/>
  <c r="FT412" i="4"/>
  <c r="FR414" i="4"/>
  <c r="FT414" i="4"/>
  <c r="FS414" i="4"/>
  <c r="FS346" i="4"/>
  <c r="FR346" i="4"/>
  <c r="FT346" i="4"/>
  <c r="FR314" i="4"/>
  <c r="FS314" i="4"/>
  <c r="FT314" i="4"/>
  <c r="FT284" i="4"/>
  <c r="FR284" i="4"/>
  <c r="FS284" i="4"/>
  <c r="FT383" i="4"/>
  <c r="FR383" i="4"/>
  <c r="FS383" i="4"/>
  <c r="FT396" i="4"/>
  <c r="FS396" i="4"/>
  <c r="FR396" i="4"/>
  <c r="FT290" i="4"/>
  <c r="FR290" i="4"/>
  <c r="FS290" i="4"/>
  <c r="FR308" i="4"/>
  <c r="FS308" i="4"/>
  <c r="FT308" i="4"/>
  <c r="FR332" i="4"/>
  <c r="FS332" i="4"/>
  <c r="FT332" i="4"/>
  <c r="FS305" i="4"/>
  <c r="FR305" i="4"/>
  <c r="FT305" i="4"/>
  <c r="FR337" i="4"/>
  <c r="FS337" i="4"/>
  <c r="FT337" i="4"/>
  <c r="FS302" i="4"/>
  <c r="FT302" i="4"/>
  <c r="FR302" i="4"/>
  <c r="S441" i="4"/>
  <c r="O440" i="4"/>
  <c r="FR304" i="4"/>
  <c r="FS304" i="4"/>
  <c r="FT304" i="4"/>
  <c r="FS405" i="4"/>
  <c r="FT405" i="4"/>
  <c r="FR405" i="4"/>
  <c r="FS326" i="4"/>
  <c r="FT326" i="4"/>
  <c r="FR326" i="4"/>
  <c r="FT318" i="4"/>
  <c r="FR318" i="4"/>
  <c r="FR400" i="4"/>
  <c r="FS400" i="4"/>
  <c r="FT400" i="4"/>
  <c r="FR352" i="4"/>
  <c r="FT352" i="4"/>
  <c r="FS352" i="4"/>
  <c r="FS447" i="4"/>
  <c r="FR447" i="4"/>
  <c r="FT447" i="4"/>
  <c r="FT411" i="4"/>
  <c r="FR411" i="4"/>
  <c r="FS411" i="4"/>
  <c r="FS270" i="4"/>
  <c r="FR221" i="4"/>
  <c r="FT272" i="4"/>
  <c r="FT270" i="4"/>
  <c r="FS373" i="4"/>
  <c r="FR373" i="4"/>
  <c r="FT373" i="4"/>
  <c r="FR307" i="4"/>
  <c r="FT307" i="4"/>
  <c r="FS307" i="4"/>
  <c r="FS294" i="4"/>
  <c r="FR245" i="4"/>
  <c r="FS350" i="4"/>
  <c r="FR350" i="4"/>
  <c r="FT350" i="4"/>
  <c r="FR409" i="4"/>
  <c r="FT409" i="4"/>
  <c r="FS409" i="4"/>
  <c r="Q445" i="4"/>
  <c r="Q447" i="4"/>
  <c r="FT368" i="4"/>
  <c r="FR368" i="4"/>
  <c r="FS368" i="4"/>
  <c r="FS300" i="4"/>
  <c r="FT300" i="4"/>
  <c r="FR300" i="4"/>
  <c r="FT317" i="4"/>
  <c r="FR317" i="4"/>
  <c r="FS317" i="4"/>
  <c r="FT434" i="4"/>
  <c r="FS434" i="4"/>
  <c r="FR434" i="4"/>
  <c r="FR433" i="4"/>
  <c r="FS433" i="4"/>
  <c r="FT433" i="4"/>
  <c r="FR333" i="4"/>
  <c r="FT333" i="4"/>
  <c r="FS333" i="4"/>
  <c r="FT435" i="4"/>
  <c r="FR435" i="4"/>
  <c r="FS435" i="4"/>
  <c r="FR421" i="4"/>
  <c r="FT421" i="4"/>
  <c r="FS421" i="4"/>
  <c r="FS323" i="4"/>
  <c r="FT323" i="4"/>
  <c r="FR323" i="4"/>
  <c r="FS425" i="4"/>
  <c r="FR425" i="4"/>
  <c r="FT425" i="4"/>
  <c r="FS272" i="4"/>
  <c r="FR369" i="4"/>
  <c r="FT369" i="4"/>
  <c r="FS369" i="4"/>
  <c r="FS386" i="4"/>
  <c r="FR386" i="4"/>
  <c r="FT386" i="4"/>
  <c r="FS285" i="4"/>
  <c r="FT285" i="4"/>
  <c r="FR285" i="4"/>
  <c r="FS378" i="4"/>
  <c r="FR329" i="4"/>
  <c r="FS329" i="4"/>
  <c r="FT329" i="4"/>
  <c r="FT299" i="4"/>
  <c r="FS299" i="4"/>
  <c r="FR299" i="4"/>
  <c r="FR286" i="4"/>
  <c r="FS286" i="4"/>
  <c r="FT286" i="4"/>
  <c r="FT392" i="4"/>
  <c r="FR392" i="4"/>
  <c r="FS392" i="4"/>
  <c r="U447" i="4"/>
  <c r="FR325" i="4"/>
  <c r="FT325" i="4"/>
  <c r="FS325" i="4"/>
  <c r="FR322" i="4"/>
  <c r="FS322" i="4"/>
  <c r="FT322" i="4"/>
  <c r="FS437" i="4"/>
  <c r="FR437" i="4"/>
  <c r="FT437" i="4"/>
  <c r="FS417" i="4"/>
  <c r="FT417" i="4"/>
  <c r="FR417" i="4"/>
  <c r="FS310" i="4"/>
  <c r="FR310" i="4"/>
  <c r="FT310" i="4"/>
  <c r="FT374" i="4"/>
  <c r="FR374" i="4"/>
  <c r="FS374" i="4"/>
  <c r="FR292" i="4"/>
  <c r="FS292" i="4"/>
  <c r="FT292" i="4"/>
  <c r="FS361" i="4"/>
  <c r="FR361" i="4"/>
  <c r="FT361" i="4"/>
  <c r="FR280" i="4"/>
  <c r="FS280" i="4"/>
  <c r="FT280" i="4"/>
  <c r="FT395" i="4"/>
  <c r="FR395" i="4"/>
  <c r="FS395" i="4"/>
  <c r="FK447" i="4"/>
  <c r="FR445" i="4"/>
  <c r="FT445" i="4"/>
  <c r="FS445" i="4"/>
  <c r="FR364" i="4"/>
  <c r="FS364" i="4"/>
  <c r="FT364" i="4"/>
  <c r="FR282" i="4"/>
  <c r="FT282" i="4"/>
  <c r="Y447" i="4"/>
  <c r="FS393" i="4"/>
  <c r="FR393" i="4"/>
  <c r="FT393" i="4"/>
  <c r="FS279" i="4"/>
  <c r="FR279" i="4"/>
  <c r="FT279" i="4"/>
  <c r="FR289" i="4"/>
  <c r="FS289" i="4"/>
  <c r="FT289" i="4"/>
  <c r="FR402" i="4"/>
  <c r="FT402" i="4"/>
  <c r="FS402" i="4"/>
  <c r="FT441" i="4"/>
  <c r="FS441" i="4"/>
  <c r="FR441" i="4"/>
  <c r="FR430" i="4"/>
  <c r="FT430" i="4"/>
  <c r="FT315" i="4"/>
  <c r="FR315" i="4"/>
  <c r="FS315" i="4"/>
  <c r="GN447" i="4"/>
  <c r="FS394" i="4"/>
  <c r="FR394" i="4"/>
  <c r="FT394" i="4"/>
  <c r="FT443" i="4"/>
  <c r="FS443" i="4"/>
  <c r="FR443" i="4"/>
  <c r="FS345" i="4"/>
  <c r="FT345" i="4"/>
  <c r="FR345" i="4"/>
  <c r="FR342" i="4"/>
  <c r="FT342" i="4"/>
  <c r="FR297" i="4"/>
  <c r="FT297" i="4"/>
  <c r="FS297" i="4"/>
  <c r="FR378" i="4"/>
  <c r="FT378" i="4"/>
  <c r="FR442" i="4"/>
  <c r="FT442" i="4"/>
  <c r="FS442" i="4"/>
  <c r="FR301" i="4"/>
  <c r="FS301" i="4"/>
  <c r="FT301" i="4"/>
  <c r="FT324" i="4"/>
  <c r="FS324" i="4"/>
  <c r="FR324" i="4"/>
  <c r="FT359" i="4"/>
  <c r="FS359" i="4"/>
  <c r="FR359" i="4"/>
  <c r="FS282" i="4"/>
  <c r="FR233" i="4"/>
  <c r="FS389" i="4"/>
  <c r="FR389" i="4"/>
  <c r="FT389" i="4"/>
  <c r="FT422" i="4"/>
  <c r="FS422" i="4"/>
  <c r="FR422" i="4"/>
  <c r="FS278" i="4"/>
  <c r="FR278" i="4"/>
  <c r="FT278" i="4"/>
  <c r="FT380" i="4"/>
  <c r="FR380" i="4"/>
  <c r="FS380" i="4"/>
  <c r="FT428" i="4"/>
  <c r="FS428" i="4"/>
  <c r="FR428" i="4"/>
  <c r="FT419" i="4"/>
  <c r="FR419" i="4"/>
  <c r="FS419" i="4"/>
  <c r="FT303" i="4"/>
  <c r="FR303" i="4"/>
  <c r="FS303" i="4"/>
  <c r="GR448" i="4"/>
  <c r="FS287" i="4"/>
  <c r="FT287" i="4"/>
  <c r="FR287" i="4"/>
  <c r="FR349" i="4"/>
  <c r="FS349" i="4"/>
  <c r="FT349" i="4"/>
  <c r="FR331" i="4"/>
  <c r="FT331" i="4"/>
  <c r="FS331" i="4"/>
  <c r="FR370" i="4"/>
  <c r="FS370" i="4"/>
  <c r="FT370" i="4"/>
  <c r="FR340" i="4"/>
  <c r="FS340" i="4"/>
  <c r="FT340" i="4"/>
  <c r="FR436" i="4"/>
  <c r="FS436" i="4"/>
  <c r="FT436" i="4"/>
  <c r="FT390" i="4"/>
  <c r="FR390" i="4"/>
  <c r="FS390" i="4"/>
  <c r="FT338" i="4"/>
  <c r="FR338" i="4"/>
  <c r="FS338" i="4"/>
  <c r="FS401" i="4"/>
  <c r="FR401" i="4"/>
  <c r="FT401" i="4"/>
  <c r="FR439" i="4"/>
  <c r="FS439" i="4"/>
  <c r="FT439" i="4"/>
  <c r="FS418" i="4"/>
  <c r="FR418" i="4"/>
  <c r="FT418" i="4"/>
  <c r="FS398" i="4"/>
  <c r="FR398" i="4"/>
  <c r="FT398" i="4"/>
  <c r="FS412" i="4"/>
  <c r="FS363" i="4"/>
  <c r="FR363" i="4"/>
  <c r="FT363" i="4"/>
  <c r="FT341" i="4"/>
  <c r="FR341" i="4"/>
  <c r="FS341" i="4"/>
  <c r="FS339" i="4"/>
  <c r="FR339" i="4"/>
  <c r="FT339" i="4"/>
  <c r="FR413" i="4"/>
  <c r="FT413" i="4"/>
  <c r="FS413" i="4"/>
  <c r="FS356" i="4"/>
  <c r="FR356" i="4"/>
  <c r="FT356" i="4"/>
  <c r="GP447" i="4"/>
  <c r="FT446" i="4"/>
  <c r="FS446" i="4"/>
  <c r="FR446" i="4"/>
  <c r="FR385" i="4"/>
  <c r="FT385" i="4"/>
  <c r="FS385" i="4"/>
  <c r="FS336" i="4"/>
  <c r="FT336" i="4"/>
  <c r="FR336" i="4"/>
  <c r="FR382" i="4"/>
  <c r="FT382" i="4"/>
  <c r="FS382" i="4"/>
  <c r="FR334" i="4"/>
  <c r="FS334" i="4"/>
  <c r="FT334" i="4"/>
  <c r="HE445" i="4"/>
  <c r="FE448" i="4"/>
  <c r="Y448" i="4"/>
  <c r="FR283" i="4"/>
  <c r="FS283" i="4"/>
  <c r="FT283" i="4"/>
  <c r="GP448" i="4"/>
  <c r="FS312" i="4"/>
  <c r="FR312" i="4"/>
  <c r="FT312" i="4"/>
  <c r="FR438" i="4"/>
  <c r="FT438" i="4"/>
  <c r="FS438" i="4"/>
  <c r="FS420" i="4"/>
  <c r="FT420" i="4"/>
  <c r="FR420" i="4"/>
  <c r="FT276" i="4"/>
  <c r="FS335" i="4"/>
  <c r="FT335" i="4"/>
  <c r="FR335" i="4"/>
  <c r="FT277" i="4"/>
  <c r="FR277" i="4"/>
  <c r="FS277" i="4"/>
  <c r="FS348" i="4"/>
  <c r="FR348" i="4"/>
  <c r="FT348" i="4"/>
  <c r="FR343" i="4"/>
  <c r="FT343" i="4"/>
  <c r="FS343" i="4"/>
  <c r="FR427" i="4"/>
  <c r="FT427" i="4"/>
  <c r="FS427" i="4"/>
  <c r="FS291" i="4"/>
  <c r="FR291" i="4"/>
  <c r="FT291" i="4"/>
  <c r="FS271" i="4"/>
  <c r="FS281" i="4"/>
  <c r="FR281" i="4"/>
  <c r="FT281" i="4"/>
  <c r="FR298" i="4"/>
  <c r="FS298" i="4"/>
  <c r="FT298" i="4"/>
  <c r="W448" i="4"/>
  <c r="FS430" i="4"/>
  <c r="FR381" i="4"/>
  <c r="FS381" i="4"/>
  <c r="FT381" i="4"/>
  <c r="FR379" i="4"/>
  <c r="FT379" i="4"/>
  <c r="FS379" i="4"/>
  <c r="FR351" i="4"/>
  <c r="FS351" i="4"/>
  <c r="FT351" i="4"/>
  <c r="FS362" i="4"/>
  <c r="FT362" i="4"/>
  <c r="FR362" i="4"/>
  <c r="FT429" i="4"/>
  <c r="FS429" i="4"/>
  <c r="FR429" i="4"/>
  <c r="FR415" i="4"/>
  <c r="FT415" i="4"/>
  <c r="FS415" i="4"/>
  <c r="FT384" i="4"/>
  <c r="FR384" i="4"/>
  <c r="FS384" i="4"/>
  <c r="FS399" i="4"/>
  <c r="FR399" i="4"/>
  <c r="FT399" i="4"/>
  <c r="FT311" i="4"/>
  <c r="FS311" i="4"/>
  <c r="FR311" i="4"/>
  <c r="FR406" i="4"/>
  <c r="FS406" i="4"/>
  <c r="FT406" i="4"/>
  <c r="FR357" i="4"/>
  <c r="FT357" i="4"/>
  <c r="FS357" i="4"/>
  <c r="Q448" i="4"/>
  <c r="FT377" i="4"/>
  <c r="FR377" i="4"/>
  <c r="FS377" i="4"/>
  <c r="FS327" i="4"/>
  <c r="FR327" i="4"/>
  <c r="FT327" i="4"/>
  <c r="FT271" i="4"/>
  <c r="FR313" i="4"/>
  <c r="FT313" i="4"/>
  <c r="FS313" i="4"/>
  <c r="FS309" i="4"/>
  <c r="FT309" i="4"/>
  <c r="FR309" i="4"/>
  <c r="FR375" i="4"/>
  <c r="FT375" i="4"/>
  <c r="FS375" i="4"/>
  <c r="FR366" i="4"/>
  <c r="FT366" i="4"/>
  <c r="FS366" i="4"/>
  <c r="FS416" i="4"/>
  <c r="FR416" i="4"/>
  <c r="FT416" i="4"/>
  <c r="FR432" i="4"/>
  <c r="FS432" i="4"/>
  <c r="FT432" i="4"/>
  <c r="FS407" i="4"/>
  <c r="FT407" i="4"/>
  <c r="FR407" i="4"/>
  <c r="FT403" i="4"/>
  <c r="FR403" i="4"/>
  <c r="FS403" i="4"/>
  <c r="FS275" i="4"/>
  <c r="FT275" i="4"/>
  <c r="FR275" i="4"/>
  <c r="FR320" i="4"/>
  <c r="FS320" i="4"/>
  <c r="FT320" i="4"/>
  <c r="FR321" i="4"/>
  <c r="FS321" i="4"/>
  <c r="FT321" i="4"/>
  <c r="FS423" i="4"/>
  <c r="FR423" i="4"/>
  <c r="FT423" i="4"/>
  <c r="FS319" i="4"/>
  <c r="FT319" i="4"/>
  <c r="FR319" i="4"/>
  <c r="S448" i="4"/>
  <c r="FR424" i="4"/>
  <c r="FT424" i="4"/>
  <c r="FS424" i="4"/>
  <c r="FT365" i="4"/>
  <c r="FR365" i="4"/>
  <c r="FS365" i="4"/>
  <c r="FS372" i="4"/>
  <c r="FT372" i="4"/>
  <c r="FR372" i="4"/>
  <c r="CB447" i="4"/>
  <c r="CU448" i="4"/>
  <c r="AA447" i="4"/>
  <c r="CB448" i="4"/>
  <c r="EM448" i="4"/>
  <c r="EM322" i="4"/>
  <c r="BJ448" i="4"/>
  <c r="AO448" i="4"/>
  <c r="CW447" i="4"/>
  <c r="EU447" i="4"/>
  <c r="AX445" i="4"/>
  <c r="AX447" i="4"/>
  <c r="DY448" i="4"/>
  <c r="AS448" i="4"/>
  <c r="DZ447" i="4"/>
  <c r="AL447" i="4"/>
  <c r="BX447" i="4"/>
  <c r="CJ440" i="4"/>
  <c r="BZ443" i="4"/>
  <c r="AF448" i="4"/>
  <c r="AL448" i="4"/>
  <c r="DY447" i="4"/>
  <c r="AQ448" i="4"/>
  <c r="CX447" i="4"/>
  <c r="AM447" i="4"/>
  <c r="EJ447" i="4" s="1"/>
  <c r="BS448" i="4"/>
  <c r="AQ447" i="4"/>
  <c r="BQ448" i="4"/>
  <c r="BV446" i="4"/>
  <c r="CG444" i="4"/>
  <c r="BN440" i="4"/>
  <c r="AM448" i="4"/>
  <c r="EJ448" i="4" s="1"/>
  <c r="AO447" i="4"/>
  <c r="DP447" i="4"/>
  <c r="AH447" i="4"/>
  <c r="CJ447" i="4"/>
  <c r="CE448" i="4"/>
  <c r="BX448" i="4"/>
  <c r="AF444" i="4"/>
  <c r="CJ448" i="4"/>
  <c r="BU448" i="4"/>
  <c r="CC447" i="4"/>
  <c r="BO447" i="4"/>
  <c r="CI447" i="4"/>
  <c r="ED448" i="4"/>
  <c r="CB443" i="4"/>
  <c r="BC444" i="4"/>
  <c r="CI448" i="4"/>
  <c r="BV448" i="4"/>
  <c r="BN447" i="4"/>
  <c r="AC448" i="4"/>
  <c r="BZ448" i="4"/>
  <c r="BO448" i="4"/>
  <c r="EF448" i="4"/>
  <c r="AJ447" i="4"/>
  <c r="ED447" i="4"/>
  <c r="EG447" i="4"/>
  <c r="CS448" i="4"/>
  <c r="BL448" i="4"/>
  <c r="CP447" i="4"/>
  <c r="BH440" i="4"/>
  <c r="DS439" i="4"/>
  <c r="AA440" i="4"/>
  <c r="CB440" i="4"/>
  <c r="BN448" i="4"/>
  <c r="CC448" i="4"/>
  <c r="EG448" i="4"/>
  <c r="AV448" i="4"/>
  <c r="AF447" i="4"/>
  <c r="CG448" i="4"/>
  <c r="EF447" i="4"/>
  <c r="DR447" i="4"/>
  <c r="CG447" i="4"/>
  <c r="CQ447" i="4"/>
  <c r="BA448" i="4"/>
  <c r="BG448" i="4"/>
  <c r="CU447" i="4"/>
  <c r="AE447" i="4"/>
  <c r="AJ448" i="4"/>
  <c r="DS447" i="4"/>
  <c r="BA447" i="4"/>
  <c r="DW447" i="4"/>
  <c r="AS447" i="4"/>
  <c r="AZ448" i="4"/>
  <c r="BH448" i="4"/>
  <c r="DN448" i="4"/>
  <c r="CE447" i="4"/>
  <c r="BL447" i="4"/>
  <c r="AT447" i="4"/>
  <c r="BJ440" i="4"/>
  <c r="DR448" i="4"/>
  <c r="BU447" i="4"/>
  <c r="DW448" i="4"/>
  <c r="BC448" i="4"/>
  <c r="BE448" i="4"/>
  <c r="BJ447" i="4"/>
  <c r="BH447" i="4"/>
  <c r="BE447" i="4"/>
  <c r="AZ440" i="4"/>
  <c r="BQ442" i="4"/>
  <c r="AO442" i="4"/>
  <c r="CP439" i="4"/>
  <c r="DS448" i="4"/>
  <c r="CP448" i="4"/>
  <c r="BV447" i="4"/>
  <c r="CS447" i="4"/>
  <c r="BZ447" i="4"/>
  <c r="DP448" i="4"/>
  <c r="AX448" i="4"/>
  <c r="BG447" i="4"/>
  <c r="BC447" i="4"/>
  <c r="CN444" i="4"/>
  <c r="CX440" i="4"/>
  <c r="BC194" i="4"/>
  <c r="DZ448" i="4"/>
  <c r="AT448" i="4"/>
  <c r="CW448" i="4"/>
  <c r="DN447" i="4"/>
  <c r="CN448" i="4"/>
  <c r="BS447" i="4"/>
  <c r="AH448" i="4"/>
  <c r="CN447" i="4"/>
  <c r="AV447" i="4"/>
  <c r="GW442" i="4"/>
  <c r="BA442" i="4"/>
  <c r="DR442" i="4"/>
  <c r="BO442" i="4"/>
  <c r="AF443" i="4"/>
  <c r="DZ443" i="4"/>
  <c r="BV443" i="4"/>
  <c r="CC445" i="4"/>
  <c r="BU445" i="4"/>
  <c r="BU446" i="4"/>
  <c r="CW446" i="4"/>
  <c r="AE446" i="4"/>
  <c r="AE444" i="4"/>
  <c r="W445" i="4"/>
  <c r="CS446" i="4"/>
  <c r="BQ446" i="4"/>
  <c r="S443" i="4"/>
  <c r="DS441" i="4"/>
  <c r="ED444" i="4"/>
  <c r="AA439" i="4"/>
  <c r="BA439" i="4"/>
  <c r="Y444" i="4"/>
  <c r="W443" i="4"/>
  <c r="BG440" i="4"/>
  <c r="DW442" i="4"/>
  <c r="CQ441" i="4"/>
  <c r="BE439" i="4"/>
  <c r="GN443" i="4"/>
  <c r="ED439" i="4"/>
  <c r="GP439" i="4"/>
  <c r="BU439" i="4"/>
  <c r="DY439" i="4"/>
  <c r="AQ444" i="4"/>
  <c r="HE443" i="4"/>
  <c r="FU443" i="4" s="1"/>
  <c r="BZ446" i="4"/>
  <c r="AJ440" i="4"/>
  <c r="CU445" i="4"/>
  <c r="CN442" i="4"/>
  <c r="BZ441" i="4"/>
  <c r="CW440" i="4"/>
  <c r="Q444" i="4"/>
  <c r="U443" i="4"/>
  <c r="CI440" i="4"/>
  <c r="AZ442" i="4"/>
  <c r="DS442" i="4"/>
  <c r="BN442" i="4"/>
  <c r="AE443" i="4"/>
  <c r="DY443" i="4"/>
  <c r="BU443" i="4"/>
  <c r="AL445" i="4"/>
  <c r="BA445" i="4"/>
  <c r="BH446" i="4"/>
  <c r="AM446" i="4"/>
  <c r="EJ446" i="4" s="1"/>
  <c r="DY446" i="4"/>
  <c r="CX444" i="4"/>
  <c r="CS445" i="4"/>
  <c r="BC446" i="4"/>
  <c r="DN443" i="4"/>
  <c r="DR441" i="4"/>
  <c r="Y440" i="4"/>
  <c r="AO443" i="4"/>
  <c r="AA441" i="4"/>
  <c r="AZ439" i="4"/>
  <c r="AO444" i="4"/>
  <c r="BX439" i="4"/>
  <c r="GN440" i="4"/>
  <c r="S444" i="4"/>
  <c r="DW440" i="4"/>
  <c r="CN439" i="4"/>
  <c r="AQ442" i="4"/>
  <c r="CQ440" i="4"/>
  <c r="BC439" i="4"/>
  <c r="AV441" i="4"/>
  <c r="BV439" i="4"/>
  <c r="DZ441" i="4"/>
  <c r="DN442" i="4"/>
  <c r="HE446" i="4"/>
  <c r="FU446" i="4" s="1"/>
  <c r="Q446" i="4"/>
  <c r="DP440" i="4"/>
  <c r="AF440" i="4"/>
  <c r="BS444" i="4"/>
  <c r="AV442" i="4"/>
  <c r="BZ440" i="4"/>
  <c r="CX439" i="4"/>
  <c r="DN444" i="4"/>
  <c r="AX443" i="4"/>
  <c r="CI441" i="4"/>
  <c r="GR439" i="4"/>
  <c r="GR440" i="4"/>
  <c r="GR441" i="4"/>
  <c r="FK441" i="4"/>
  <c r="DR443" i="4"/>
  <c r="BA443" i="4"/>
  <c r="AM445" i="4"/>
  <c r="EJ445" i="4" s="1"/>
  <c r="AZ445" i="4"/>
  <c r="BG446" i="4"/>
  <c r="AL446" i="4"/>
  <c r="DZ446" i="4"/>
  <c r="CG445" i="4"/>
  <c r="CW444" i="4"/>
  <c r="BJ446" i="4"/>
  <c r="AC446" i="4"/>
  <c r="CE442" i="4"/>
  <c r="DS440" i="4"/>
  <c r="Y441" i="4"/>
  <c r="BZ442" i="4"/>
  <c r="CU442" i="4"/>
  <c r="BX441" i="4"/>
  <c r="GN439" i="4"/>
  <c r="CU444" i="4"/>
  <c r="DW441" i="4"/>
  <c r="CN440" i="4"/>
  <c r="BX442" i="4"/>
  <c r="CP441" i="4"/>
  <c r="BC440" i="4"/>
  <c r="BJ444" i="4"/>
  <c r="AV439" i="4"/>
  <c r="CB439" i="4"/>
  <c r="BJ445" i="4"/>
  <c r="BV440" i="4"/>
  <c r="DY441" i="4"/>
  <c r="AC442" i="4"/>
  <c r="DP441" i="4"/>
  <c r="AE440" i="4"/>
  <c r="W444" i="4"/>
  <c r="CS442" i="4"/>
  <c r="BZ439" i="4"/>
  <c r="CW439" i="4"/>
  <c r="CG443" i="4"/>
  <c r="CJ441" i="4"/>
  <c r="EZ201" i="4"/>
  <c r="FA201" i="4" s="1"/>
  <c r="EU439" i="4"/>
  <c r="EU441" i="4"/>
  <c r="DS443" i="4"/>
  <c r="AZ443" i="4"/>
  <c r="DR445" i="4"/>
  <c r="CI446" i="4"/>
  <c r="BO446" i="4"/>
  <c r="BO444" i="4"/>
  <c r="DR444" i="4"/>
  <c r="CQ444" i="4"/>
  <c r="AM444" i="4"/>
  <c r="EJ444" i="4" s="1"/>
  <c r="AO446" i="4"/>
  <c r="BC442" i="4"/>
  <c r="DR440" i="4"/>
  <c r="Y439" i="4"/>
  <c r="CG442" i="4"/>
  <c r="BX440" i="4"/>
  <c r="GN441" i="4"/>
  <c r="U444" i="4"/>
  <c r="DW439" i="4"/>
  <c r="CN441" i="4"/>
  <c r="BX443" i="4"/>
  <c r="CP440" i="4"/>
  <c r="BC441" i="4"/>
  <c r="Y443" i="4"/>
  <c r="AV440" i="4"/>
  <c r="GR442" i="4"/>
  <c r="BE443" i="4"/>
  <c r="BU440" i="4"/>
  <c r="AO439" i="4"/>
  <c r="DP445" i="4"/>
  <c r="BC445" i="4"/>
  <c r="DP439" i="4"/>
  <c r="AF441" i="4"/>
  <c r="GR445" i="4"/>
  <c r="BJ443" i="4"/>
  <c r="BL443" i="4"/>
  <c r="BS440" i="4"/>
  <c r="FC444" i="4"/>
  <c r="AQ446" i="4"/>
  <c r="CJ439" i="4"/>
  <c r="W12" i="4"/>
  <c r="W440" i="4"/>
  <c r="W439" i="4"/>
  <c r="W441" i="4"/>
  <c r="ER4" i="4"/>
  <c r="EM440" i="4"/>
  <c r="AF442" i="4"/>
  <c r="CX442" i="4"/>
  <c r="AT443" i="4"/>
  <c r="CW445" i="4"/>
  <c r="DS445" i="4"/>
  <c r="CJ446" i="4"/>
  <c r="BN446" i="4"/>
  <c r="BN444" i="4"/>
  <c r="DS444" i="4"/>
  <c r="CP444" i="4"/>
  <c r="AL444" i="4"/>
  <c r="CU446" i="4"/>
  <c r="DN446" i="4"/>
  <c r="BE445" i="4"/>
  <c r="FM446" i="4"/>
  <c r="DP444" i="4"/>
  <c r="AQ440" i="4"/>
  <c r="BX444" i="4"/>
  <c r="BL439" i="4"/>
  <c r="U445" i="4"/>
  <c r="AT441" i="4"/>
  <c r="AA442" i="4"/>
  <c r="EF439" i="4"/>
  <c r="GN445" i="4"/>
  <c r="AA443" i="4"/>
  <c r="BV441" i="4"/>
  <c r="AO441" i="4"/>
  <c r="CS443" i="4"/>
  <c r="CS439" i="4"/>
  <c r="Y445" i="4"/>
  <c r="BO441" i="4"/>
  <c r="AE439" i="4"/>
  <c r="CU443" i="4"/>
  <c r="DN445" i="4"/>
  <c r="BS441" i="4"/>
  <c r="U442" i="4"/>
  <c r="CI439" i="4"/>
  <c r="AE442" i="4"/>
  <c r="CW442" i="4"/>
  <c r="AS443" i="4"/>
  <c r="CC443" i="4"/>
  <c r="CX445" i="4"/>
  <c r="BN445" i="4"/>
  <c r="DY445" i="4"/>
  <c r="DS446" i="4"/>
  <c r="EG446" i="4"/>
  <c r="BA446" i="4"/>
  <c r="CG446" i="4"/>
  <c r="BA444" i="4"/>
  <c r="BH444" i="4"/>
  <c r="S446" i="4"/>
  <c r="AO445" i="4"/>
  <c r="CG439" i="4"/>
  <c r="EM446" i="4"/>
  <c r="AJ442" i="4"/>
  <c r="AQ441" i="4"/>
  <c r="AX442" i="4"/>
  <c r="BL441" i="4"/>
  <c r="CC440" i="4"/>
  <c r="BQ445" i="4"/>
  <c r="AT439" i="4"/>
  <c r="CE445" i="4"/>
  <c r="EG440" i="4"/>
  <c r="BE442" i="4"/>
  <c r="BU441" i="4"/>
  <c r="AO440" i="4"/>
  <c r="ED443" i="4"/>
  <c r="CS440" i="4"/>
  <c r="Y446" i="4"/>
  <c r="BN441" i="4"/>
  <c r="AE441" i="4"/>
  <c r="BZ444" i="4"/>
  <c r="AV443" i="4"/>
  <c r="BS439" i="4"/>
  <c r="DW443" i="4"/>
  <c r="BL442" i="4"/>
  <c r="AM441" i="4"/>
  <c r="EJ441" i="4" s="1"/>
  <c r="BQ440" i="4"/>
  <c r="Q440" i="4"/>
  <c r="Q441" i="4"/>
  <c r="Q439" i="4"/>
  <c r="EM4" i="4"/>
  <c r="CB442" i="4"/>
  <c r="BV442" i="4"/>
  <c r="CQ442" i="4"/>
  <c r="BO443" i="4"/>
  <c r="AL443" i="4"/>
  <c r="BG443" i="4"/>
  <c r="BG445" i="4"/>
  <c r="BO445" i="4"/>
  <c r="DZ445" i="4"/>
  <c r="DR446" i="4"/>
  <c r="EF446" i="4"/>
  <c r="AZ446" i="4"/>
  <c r="AT444" i="4"/>
  <c r="W446" i="4"/>
  <c r="AZ444" i="4"/>
  <c r="BG444" i="4"/>
  <c r="AV446" i="4"/>
  <c r="CE446" i="4"/>
  <c r="AQ445" i="4"/>
  <c r="FC445" i="4"/>
  <c r="CG440" i="4"/>
  <c r="EM445" i="4"/>
  <c r="AQ439" i="4"/>
  <c r="BS442" i="4"/>
  <c r="BL440" i="4"/>
  <c r="GP443" i="4"/>
  <c r="AT440" i="4"/>
  <c r="Q442" i="4"/>
  <c r="EG439" i="4"/>
  <c r="O444" i="4"/>
  <c r="AJ443" i="4"/>
  <c r="DN440" i="4"/>
  <c r="CS441" i="4"/>
  <c r="CC441" i="4"/>
  <c r="BO439" i="4"/>
  <c r="AF439" i="4"/>
  <c r="ED442" i="4"/>
  <c r="AA445" i="4"/>
  <c r="AC439" i="4"/>
  <c r="S445" i="4"/>
  <c r="AL441" i="4"/>
  <c r="BQ439" i="4"/>
  <c r="CC442" i="4"/>
  <c r="BU442" i="4"/>
  <c r="CP442" i="4"/>
  <c r="BN443" i="4"/>
  <c r="AM443" i="4"/>
  <c r="EJ443" i="4" s="1"/>
  <c r="BH443" i="4"/>
  <c r="BH445" i="4"/>
  <c r="CI445" i="4"/>
  <c r="EG445" i="4"/>
  <c r="CQ446" i="4"/>
  <c r="AT446" i="4"/>
  <c r="CC444" i="4"/>
  <c r="AS444" i="4"/>
  <c r="DZ444" i="4"/>
  <c r="BX446" i="4"/>
  <c r="O445" i="4"/>
  <c r="BL446" i="4"/>
  <c r="AH443" i="4"/>
  <c r="BJ441" i="4"/>
  <c r="AV445" i="4"/>
  <c r="CG441" i="4"/>
  <c r="S442" i="4"/>
  <c r="CN445" i="4"/>
  <c r="BG439" i="4"/>
  <c r="AS440" i="4"/>
  <c r="CN443" i="4"/>
  <c r="EF440" i="4"/>
  <c r="DN439" i="4"/>
  <c r="CB441" i="4"/>
  <c r="CU440" i="4"/>
  <c r="HE444" i="4"/>
  <c r="FU444" i="4" s="1"/>
  <c r="GP444" i="4"/>
  <c r="AC443" i="4"/>
  <c r="BN439" i="4"/>
  <c r="CE441" i="4"/>
  <c r="AA444" i="4"/>
  <c r="EM444" i="4"/>
  <c r="AH442" i="4"/>
  <c r="AC441" i="4"/>
  <c r="BL445" i="4"/>
  <c r="AL439" i="4"/>
  <c r="BQ441" i="4"/>
  <c r="AX439" i="4"/>
  <c r="AX440" i="4"/>
  <c r="AX441" i="4"/>
  <c r="AS442" i="4"/>
  <c r="CJ442" i="4"/>
  <c r="BG442" i="4"/>
  <c r="CQ443" i="4"/>
  <c r="AS445" i="4"/>
  <c r="CJ445" i="4"/>
  <c r="EF445" i="4"/>
  <c r="CP446" i="4"/>
  <c r="AS446" i="4"/>
  <c r="CB444" i="4"/>
  <c r="BV444" i="4"/>
  <c r="DY444" i="4"/>
  <c r="BS446" i="4"/>
  <c r="CN446" i="4"/>
  <c r="O443" i="4"/>
  <c r="BJ439" i="4"/>
  <c r="DW445" i="4"/>
  <c r="BA441" i="4"/>
  <c r="GR444" i="4"/>
  <c r="BZ445" i="4"/>
  <c r="BH439" i="4"/>
  <c r="BQ444" i="4"/>
  <c r="BC443" i="4"/>
  <c r="AS439" i="4"/>
  <c r="CC439" i="4"/>
  <c r="DP442" i="4"/>
  <c r="EG441" i="4"/>
  <c r="O442" i="4"/>
  <c r="DN441" i="4"/>
  <c r="CU439" i="4"/>
  <c r="HE442" i="4"/>
  <c r="FU442" i="4" s="1"/>
  <c r="BJ442" i="4"/>
  <c r="BS443" i="4"/>
  <c r="BO440" i="4"/>
  <c r="CE439" i="4"/>
  <c r="AX444" i="4"/>
  <c r="GN446" i="4"/>
  <c r="AC440" i="4"/>
  <c r="AC445" i="4"/>
  <c r="AM440" i="4"/>
  <c r="EJ440" i="4" s="1"/>
  <c r="U441" i="4"/>
  <c r="AT442" i="4"/>
  <c r="CI442" i="4"/>
  <c r="BH442" i="4"/>
  <c r="CP443" i="4"/>
  <c r="AT445" i="4"/>
  <c r="AF445" i="4"/>
  <c r="CQ445" i="4"/>
  <c r="CC446" i="4"/>
  <c r="BU444" i="4"/>
  <c r="CJ444" i="4"/>
  <c r="EG444" i="4"/>
  <c r="BS445" i="4"/>
  <c r="ED446" i="4"/>
  <c r="AV444" i="4"/>
  <c r="CE443" i="4"/>
  <c r="BA440" i="4"/>
  <c r="GP445" i="4"/>
  <c r="ED445" i="4"/>
  <c r="FU445" i="4"/>
  <c r="BH441" i="4"/>
  <c r="DP443" i="4"/>
  <c r="FC442" i="4"/>
  <c r="BE446" i="4"/>
  <c r="EF441" i="4"/>
  <c r="O441" i="4"/>
  <c r="DZ440" i="4"/>
  <c r="HE440" i="4"/>
  <c r="FU440" i="4" s="1"/>
  <c r="AJ444" i="4"/>
  <c r="CE440" i="4"/>
  <c r="BQ443" i="4"/>
  <c r="AH439" i="4"/>
  <c r="GR446" i="4"/>
  <c r="S439" i="4"/>
  <c r="CX441" i="4"/>
  <c r="GR443" i="4"/>
  <c r="AX446" i="4"/>
  <c r="AM439" i="4"/>
  <c r="EJ439" i="4" s="1"/>
  <c r="U439" i="4"/>
  <c r="AL442" i="4"/>
  <c r="DZ442" i="4"/>
  <c r="EF442" i="4"/>
  <c r="EG443" i="4"/>
  <c r="CW443" i="4"/>
  <c r="CJ443" i="4"/>
  <c r="AE445" i="4"/>
  <c r="CP445" i="4"/>
  <c r="CB446" i="4"/>
  <c r="AJ446" i="4"/>
  <c r="CI444" i="4"/>
  <c r="EF444" i="4"/>
  <c r="DR439" i="4"/>
  <c r="GN442" i="4"/>
  <c r="DP446" i="4"/>
  <c r="AZ441" i="4"/>
  <c r="BL444" i="4"/>
  <c r="EM442" i="4"/>
  <c r="BG441" i="4"/>
  <c r="CQ439" i="4"/>
  <c r="BE441" i="4"/>
  <c r="ED440" i="4"/>
  <c r="GP441" i="4"/>
  <c r="O439" i="4"/>
  <c r="DY440" i="4"/>
  <c r="GN444" i="4"/>
  <c r="HE441" i="4"/>
  <c r="FU441" i="4" s="1"/>
  <c r="AH444" i="4"/>
  <c r="AJ441" i="4"/>
  <c r="AJ445" i="4"/>
  <c r="AH440" i="4"/>
  <c r="AC444" i="4"/>
  <c r="S440" i="4"/>
  <c r="CW441" i="4"/>
  <c r="AQ443" i="4"/>
  <c r="AL440" i="4"/>
  <c r="U440" i="4"/>
  <c r="FM439" i="4"/>
  <c r="FM440" i="4"/>
  <c r="DY442" i="4"/>
  <c r="EG442" i="4"/>
  <c r="EF443" i="4"/>
  <c r="CX443" i="4"/>
  <c r="CI443" i="4"/>
  <c r="CB445" i="4"/>
  <c r="BV445" i="4"/>
  <c r="CX446" i="4"/>
  <c r="AF446" i="4"/>
  <c r="DW446" i="4"/>
  <c r="AH446" i="4"/>
  <c r="O446" i="4"/>
  <c r="AA446" i="4"/>
  <c r="GP446" i="4"/>
  <c r="Q443" i="4"/>
  <c r="BE440" i="4"/>
  <c r="ED441" i="4"/>
  <c r="GP440" i="4"/>
  <c r="CS444" i="4"/>
  <c r="DZ439" i="4"/>
  <c r="AJ439" i="4"/>
  <c r="AH445" i="4"/>
  <c r="DW444" i="4"/>
  <c r="BE444" i="4"/>
  <c r="FM443" i="4"/>
  <c r="EM443" i="4"/>
  <c r="EP443" i="4"/>
  <c r="HC445" i="4"/>
  <c r="AE194" i="4"/>
  <c r="FE147" i="4"/>
  <c r="HC446" i="4"/>
  <c r="HC447" i="4"/>
  <c r="AJ276" i="4"/>
  <c r="AJ300" i="4"/>
  <c r="AJ292" i="4"/>
  <c r="AJ314" i="4"/>
  <c r="AJ328" i="4"/>
  <c r="AJ290" i="4"/>
  <c r="U9" i="4"/>
  <c r="AJ317" i="4"/>
  <c r="AJ302" i="4"/>
  <c r="AJ305" i="4"/>
  <c r="AJ330" i="4"/>
  <c r="AJ308" i="4"/>
  <c r="AJ349" i="4"/>
  <c r="AJ364" i="4"/>
  <c r="AJ295" i="4"/>
  <c r="AJ296" i="4"/>
  <c r="AJ297" i="4"/>
  <c r="AJ327" i="4"/>
  <c r="AJ334" i="4"/>
  <c r="AJ351" i="4"/>
  <c r="AJ365" i="4"/>
  <c r="AJ303" i="4"/>
  <c r="AJ318" i="4"/>
  <c r="AJ316" i="4"/>
  <c r="AJ307" i="4"/>
  <c r="AJ309" i="4"/>
  <c r="AJ291" i="4"/>
  <c r="AJ298" i="4"/>
  <c r="AJ312" i="4"/>
  <c r="AJ319" i="4"/>
  <c r="AJ331" i="4"/>
  <c r="AJ306" i="4"/>
  <c r="AJ324" i="4"/>
  <c r="AJ338" i="4"/>
  <c r="AJ301" i="4"/>
  <c r="AJ323" i="4"/>
  <c r="AJ329" i="4"/>
  <c r="AJ347" i="4"/>
  <c r="AJ341" i="4"/>
  <c r="AJ304" i="4"/>
  <c r="AJ310" i="4"/>
  <c r="AJ337" i="4"/>
  <c r="AJ340" i="4"/>
  <c r="AJ362" i="4"/>
  <c r="AJ361" i="4"/>
  <c r="AJ299" i="4"/>
  <c r="AJ322" i="4"/>
  <c r="AJ311" i="4"/>
  <c r="AJ333" i="4"/>
  <c r="AJ342" i="4"/>
  <c r="AJ356" i="4"/>
  <c r="AJ350" i="4"/>
  <c r="GP438" i="4"/>
  <c r="AJ293" i="4"/>
  <c r="AJ315" i="4"/>
  <c r="AJ332" i="4"/>
  <c r="AJ313" i="4"/>
  <c r="AV338" i="4"/>
  <c r="U10" i="4"/>
  <c r="AV290" i="4"/>
  <c r="AV267" i="4"/>
  <c r="AV308" i="4"/>
  <c r="AV342" i="4"/>
  <c r="AV273" i="4"/>
  <c r="AV266" i="4"/>
  <c r="AV295" i="4"/>
  <c r="AV257" i="4"/>
  <c r="AV260" i="4"/>
  <c r="FK20" i="4"/>
  <c r="HE439" i="4"/>
  <c r="FU439" i="4" s="1"/>
  <c r="W19" i="4"/>
  <c r="W15" i="4"/>
  <c r="D481" i="11"/>
  <c r="C10" i="18"/>
  <c r="L18" i="17"/>
  <c r="W16" i="4"/>
  <c r="W17" i="4"/>
  <c r="W25" i="4"/>
  <c r="C510" i="11"/>
  <c r="B22" i="17"/>
  <c r="W22" i="4"/>
  <c r="W4" i="4"/>
  <c r="W13" i="4"/>
  <c r="W10" i="4"/>
  <c r="FK6" i="4"/>
  <c r="FK438" i="4"/>
  <c r="D510" i="11"/>
  <c r="C11" i="18"/>
  <c r="M25" i="17"/>
  <c r="W27" i="4"/>
  <c r="W8" i="4"/>
  <c r="W5" i="4"/>
  <c r="W14" i="4"/>
  <c r="W24" i="4"/>
  <c r="W7" i="4"/>
  <c r="W23" i="4"/>
  <c r="W21" i="4"/>
  <c r="W26" i="4"/>
  <c r="GN438" i="4"/>
  <c r="W6" i="4"/>
  <c r="W9" i="4"/>
  <c r="W20" i="4"/>
  <c r="BE293" i="4"/>
  <c r="W18" i="4"/>
  <c r="W11" i="4"/>
  <c r="EM10" i="4"/>
  <c r="GR438" i="4"/>
  <c r="U13" i="4"/>
  <c r="BL350" i="4"/>
  <c r="U11" i="4"/>
  <c r="BL295" i="4"/>
  <c r="BL315" i="4"/>
  <c r="BL366" i="4"/>
  <c r="BL351" i="4"/>
  <c r="U12" i="4"/>
  <c r="BL339" i="4"/>
  <c r="BL323" i="4"/>
  <c r="BL338" i="4"/>
  <c r="BL367" i="4"/>
  <c r="BL306" i="4"/>
  <c r="AH299" i="4"/>
  <c r="AC305" i="4"/>
  <c r="DW293" i="4"/>
  <c r="AC314" i="4"/>
  <c r="AC326" i="4"/>
  <c r="AC306" i="4"/>
  <c r="AC337" i="4"/>
  <c r="AJ336" i="4"/>
  <c r="AJ344" i="4"/>
  <c r="AC361" i="4"/>
  <c r="AJ353" i="4"/>
  <c r="AJ358" i="4"/>
  <c r="DW350" i="4"/>
  <c r="AC365" i="4"/>
  <c r="AC363" i="4"/>
  <c r="AJ370" i="4"/>
  <c r="AC369" i="4"/>
  <c r="DW396" i="4"/>
  <c r="AC342" i="4"/>
  <c r="AC349" i="4"/>
  <c r="AC362" i="4"/>
  <c r="AC360" i="4"/>
  <c r="AC350" i="4"/>
  <c r="AC352" i="4"/>
  <c r="AC366" i="4"/>
  <c r="AC364" i="4"/>
  <c r="AJ194" i="4"/>
  <c r="AC321" i="4"/>
  <c r="AC309" i="4"/>
  <c r="AC341" i="4"/>
  <c r="AC354" i="4"/>
  <c r="AC356" i="4"/>
  <c r="AC370" i="4"/>
  <c r="DW405" i="4"/>
  <c r="AC413" i="4"/>
  <c r="DW301" i="4"/>
  <c r="AC294" i="4"/>
  <c r="AC327" i="4"/>
  <c r="AC328" i="4"/>
  <c r="AC334" i="4"/>
  <c r="AC346" i="4"/>
  <c r="AJ348" i="4"/>
  <c r="AC345" i="4"/>
  <c r="AJ354" i="4"/>
  <c r="AJ355" i="4"/>
  <c r="DW370" i="4"/>
  <c r="AC371" i="4"/>
  <c r="DW386" i="4"/>
  <c r="DW361" i="4"/>
  <c r="DW369" i="4"/>
  <c r="AC367" i="4"/>
  <c r="AC318" i="4"/>
  <c r="AC315" i="4"/>
  <c r="DW319" i="4"/>
  <c r="AC330" i="4"/>
  <c r="DW327" i="4"/>
  <c r="AC313" i="4"/>
  <c r="DW296" i="4"/>
  <c r="AC339" i="4"/>
  <c r="AC355" i="4"/>
  <c r="AJ371" i="4"/>
  <c r="DW426" i="4"/>
  <c r="AC303" i="4"/>
  <c r="AC311" i="4"/>
  <c r="AC324" i="4"/>
  <c r="DW326" i="4"/>
  <c r="AC338" i="4"/>
  <c r="AJ339" i="4"/>
  <c r="AJ363" i="4"/>
  <c r="AC372" i="4"/>
  <c r="AJ393" i="4"/>
  <c r="DW409" i="4"/>
  <c r="AC299" i="4"/>
  <c r="AC300" i="4"/>
  <c r="AC296" i="4"/>
  <c r="AC322" i="4"/>
  <c r="AC319" i="4"/>
  <c r="AC307" i="4"/>
  <c r="AJ345" i="4"/>
  <c r="AC343" i="4"/>
  <c r="DW357" i="4"/>
  <c r="DW389" i="4"/>
  <c r="AC301" i="4"/>
  <c r="AC302" i="4"/>
  <c r="AC291" i="4"/>
  <c r="AC323" i="4"/>
  <c r="AC332" i="4"/>
  <c r="AC308" i="4"/>
  <c r="AC347" i="4"/>
  <c r="AC335" i="4"/>
  <c r="AC340" i="4"/>
  <c r="AC368" i="4"/>
  <c r="AJ367" i="4"/>
  <c r="DW412" i="4"/>
  <c r="AH211" i="4"/>
  <c r="AC293" i="4"/>
  <c r="AC297" i="4"/>
  <c r="AC329" i="4"/>
  <c r="AC344" i="4"/>
  <c r="AJ357" i="4"/>
  <c r="AJ366" i="4"/>
  <c r="AJ368" i="4"/>
  <c r="DW427" i="4"/>
  <c r="AH388" i="4"/>
  <c r="AH365" i="4"/>
  <c r="AH194" i="4"/>
  <c r="AH404" i="4"/>
  <c r="AH425" i="4"/>
  <c r="CW292" i="4"/>
  <c r="Y15" i="4"/>
  <c r="Y11" i="4"/>
  <c r="DN351" i="4"/>
  <c r="DN395" i="4"/>
  <c r="DN310" i="4"/>
  <c r="DN347" i="4"/>
  <c r="DN434" i="4"/>
  <c r="DN292" i="4"/>
  <c r="DN314" i="4"/>
  <c r="DN334" i="4"/>
  <c r="DN398" i="4"/>
  <c r="DN390" i="4"/>
  <c r="DN412" i="4"/>
  <c r="DN357" i="4"/>
  <c r="DN408" i="4"/>
  <c r="CU343" i="4"/>
  <c r="DN364" i="4"/>
  <c r="DN399" i="4"/>
  <c r="DN420" i="4"/>
  <c r="DN424" i="4"/>
  <c r="DN291" i="4"/>
  <c r="DN313" i="4"/>
  <c r="DN338" i="4"/>
  <c r="DN375" i="4"/>
  <c r="DN356" i="4"/>
  <c r="FM48" i="4"/>
  <c r="DN400" i="4"/>
  <c r="DN312" i="4"/>
  <c r="DN358" i="4"/>
  <c r="DN396" i="4"/>
  <c r="CE438" i="4"/>
  <c r="DN339" i="4"/>
  <c r="DN410" i="4"/>
  <c r="AZ438" i="4"/>
  <c r="CU344" i="4"/>
  <c r="CU319" i="4"/>
  <c r="BE355" i="4"/>
  <c r="CU404" i="4"/>
  <c r="CU438" i="4"/>
  <c r="AJ438" i="4"/>
  <c r="CU310" i="4"/>
  <c r="AV438" i="4"/>
  <c r="CW314" i="4"/>
  <c r="FG44" i="4"/>
  <c r="CU355" i="4"/>
  <c r="CU401" i="4"/>
  <c r="CU305" i="4"/>
  <c r="AV291" i="4"/>
  <c r="AV293" i="4"/>
  <c r="AV292" i="4"/>
  <c r="CI438" i="4"/>
  <c r="AV306" i="4"/>
  <c r="AV326" i="4"/>
  <c r="AV353" i="4"/>
  <c r="CW374" i="4"/>
  <c r="CW427" i="4"/>
  <c r="BX438" i="4"/>
  <c r="AV255" i="4"/>
  <c r="AV250" i="4"/>
  <c r="AV300" i="4"/>
  <c r="AV322" i="4"/>
  <c r="CW322" i="4"/>
  <c r="AV328" i="4"/>
  <c r="AV327" i="4"/>
  <c r="AV325" i="4"/>
  <c r="AV313" i="4"/>
  <c r="AV346" i="4"/>
  <c r="FG34" i="4"/>
  <c r="FG39" i="4"/>
  <c r="AV258" i="4"/>
  <c r="AV305" i="4"/>
  <c r="CN438" i="4"/>
  <c r="CW327" i="4"/>
  <c r="AV334" i="4"/>
  <c r="AV332" i="4"/>
  <c r="AV341" i="4"/>
  <c r="AV351" i="4"/>
  <c r="CW372" i="4"/>
  <c r="BE438" i="4"/>
  <c r="AV254" i="4"/>
  <c r="AV261" i="4"/>
  <c r="AV248" i="4"/>
  <c r="AV264" i="4"/>
  <c r="AV298" i="4"/>
  <c r="AA438" i="4"/>
  <c r="AV323" i="4"/>
  <c r="AV333" i="4"/>
  <c r="AV339" i="4"/>
  <c r="AV347" i="4"/>
  <c r="AV344" i="4"/>
  <c r="AV343" i="4"/>
  <c r="CX438" i="4"/>
  <c r="Y438" i="4"/>
  <c r="AV269" i="4"/>
  <c r="AV259" i="4"/>
  <c r="AV271" i="4"/>
  <c r="AV263" i="4"/>
  <c r="AV249" i="4"/>
  <c r="AV256" i="4"/>
  <c r="AV301" i="4"/>
  <c r="AV337" i="4"/>
  <c r="AV350" i="4"/>
  <c r="BU438" i="4"/>
  <c r="BJ438" i="4"/>
  <c r="AV304" i="4"/>
  <c r="AV297" i="4"/>
  <c r="AS438" i="4"/>
  <c r="BC438" i="4"/>
  <c r="CB438" i="4"/>
  <c r="AV314" i="4"/>
  <c r="CW319" i="4"/>
  <c r="AV330" i="4"/>
  <c r="AV311" i="4"/>
  <c r="AF438" i="4"/>
  <c r="S438" i="4"/>
  <c r="AV251" i="4"/>
  <c r="AV303" i="4"/>
  <c r="AM438" i="4"/>
  <c r="EJ438" i="4" s="1"/>
  <c r="AV312" i="4"/>
  <c r="AV318" i="4"/>
  <c r="AV321" i="4"/>
  <c r="CX310" i="4"/>
  <c r="AV336" i="4"/>
  <c r="BZ438" i="4"/>
  <c r="AV270" i="4"/>
  <c r="AV268" i="4"/>
  <c r="O438" i="4"/>
  <c r="AV299" i="4"/>
  <c r="AV302" i="4"/>
  <c r="CW338" i="4"/>
  <c r="BX194" i="4"/>
  <c r="AC438" i="4"/>
  <c r="CG438" i="4"/>
  <c r="BO438" i="4"/>
  <c r="AV247" i="4"/>
  <c r="AV272" i="4"/>
  <c r="AV262" i="4"/>
  <c r="AV294" i="4"/>
  <c r="HE438" i="4"/>
  <c r="FU438" i="4" s="1"/>
  <c r="AV315" i="4"/>
  <c r="AV329" i="4"/>
  <c r="AV340" i="4"/>
  <c r="BH438" i="4"/>
  <c r="AV317" i="4"/>
  <c r="AV316" i="4"/>
  <c r="AV307" i="4"/>
  <c r="AV324" i="4"/>
  <c r="AV310" i="4"/>
  <c r="AV352" i="4"/>
  <c r="AO438" i="4"/>
  <c r="U438" i="4"/>
  <c r="BN438" i="4"/>
  <c r="AV265" i="4"/>
  <c r="AV253" i="4"/>
  <c r="AV296" i="4"/>
  <c r="AV320" i="4"/>
  <c r="AV319" i="4"/>
  <c r="AV331" i="4"/>
  <c r="AV309" i="4"/>
  <c r="AV348" i="4"/>
  <c r="AV335" i="4"/>
  <c r="AV349" i="4"/>
  <c r="AV359" i="4"/>
  <c r="DS438" i="4"/>
  <c r="CP438" i="4"/>
  <c r="HC444" i="4"/>
  <c r="CQ438" i="4"/>
  <c r="BL320" i="4"/>
  <c r="BL311" i="4"/>
  <c r="BL334" i="4"/>
  <c r="BL347" i="4"/>
  <c r="BL359" i="4"/>
  <c r="AH360" i="4"/>
  <c r="AH372" i="4"/>
  <c r="BL377" i="4"/>
  <c r="BL389" i="4"/>
  <c r="BL392" i="4"/>
  <c r="BL387" i="4"/>
  <c r="BL381" i="4"/>
  <c r="BL438" i="4"/>
  <c r="BL301" i="4"/>
  <c r="BL291" i="4"/>
  <c r="AH330" i="4"/>
  <c r="BL329" i="4"/>
  <c r="AH294" i="4"/>
  <c r="BL344" i="4"/>
  <c r="BL362" i="4"/>
  <c r="BL353" i="4"/>
  <c r="BL365" i="4"/>
  <c r="BL378" i="4"/>
  <c r="AH376" i="4"/>
  <c r="CW389" i="4"/>
  <c r="AE438" i="4"/>
  <c r="DP438" i="4"/>
  <c r="BL303" i="4"/>
  <c r="BC424" i="4"/>
  <c r="BL317" i="4"/>
  <c r="BL330" i="4"/>
  <c r="BL332" i="4"/>
  <c r="BL307" i="4"/>
  <c r="BL337" i="4"/>
  <c r="BL342" i="4"/>
  <c r="BL356" i="4"/>
  <c r="BL363" i="4"/>
  <c r="CW371" i="4"/>
  <c r="BL383" i="4"/>
  <c r="AH389" i="4"/>
  <c r="CU380" i="4"/>
  <c r="BL396" i="4"/>
  <c r="BL393" i="4"/>
  <c r="CW420" i="4"/>
  <c r="AT438" i="4"/>
  <c r="CS438" i="4"/>
  <c r="BG438" i="4"/>
  <c r="BA438" i="4"/>
  <c r="BL304" i="4"/>
  <c r="BL293" i="4"/>
  <c r="BL314" i="4"/>
  <c r="BL333" i="4"/>
  <c r="BL327" i="4"/>
  <c r="AH324" i="4"/>
  <c r="BL354" i="4"/>
  <c r="AH356" i="4"/>
  <c r="BL358" i="4"/>
  <c r="BL386" i="4"/>
  <c r="BL395" i="4"/>
  <c r="BL403" i="4"/>
  <c r="BE393" i="4"/>
  <c r="CC438" i="4"/>
  <c r="BL299" i="4"/>
  <c r="BL305" i="4"/>
  <c r="AH298" i="4"/>
  <c r="BL294" i="4"/>
  <c r="BL322" i="4"/>
  <c r="BL313" i="4"/>
  <c r="BL346" i="4"/>
  <c r="AH366" i="4"/>
  <c r="AH390" i="4"/>
  <c r="CW397" i="4"/>
  <c r="W438" i="4"/>
  <c r="DR438" i="4"/>
  <c r="ED438" i="4"/>
  <c r="BL298" i="4"/>
  <c r="BL316" i="4"/>
  <c r="BL326" i="4"/>
  <c r="AH326" i="4"/>
  <c r="AH335" i="4"/>
  <c r="AH354" i="4"/>
  <c r="BL372" i="4"/>
  <c r="BL373" i="4"/>
  <c r="BL382" i="4"/>
  <c r="AH392" i="4"/>
  <c r="BL390" i="4"/>
  <c r="AX438" i="4"/>
  <c r="BL394" i="4"/>
  <c r="BQ311" i="4"/>
  <c r="FA224" i="4"/>
  <c r="BV438" i="4"/>
  <c r="AL438" i="4"/>
  <c r="BL318" i="4"/>
  <c r="BL331" i="4"/>
  <c r="BL290" i="4"/>
  <c r="BL341" i="4"/>
  <c r="BL349" i="4"/>
  <c r="BL369" i="4"/>
  <c r="CW376" i="4"/>
  <c r="BL376" i="4"/>
  <c r="AH391" i="4"/>
  <c r="CW386" i="4"/>
  <c r="AH386" i="4"/>
  <c r="AH383" i="4"/>
  <c r="EG438" i="4"/>
  <c r="BL292" i="4"/>
  <c r="BE317" i="4"/>
  <c r="BL321" i="4"/>
  <c r="BL309" i="4"/>
  <c r="BL324" i="4"/>
  <c r="AH306" i="4"/>
  <c r="BL348" i="4"/>
  <c r="BL345" i="4"/>
  <c r="AH358" i="4"/>
  <c r="BL374" i="4"/>
  <c r="BL391" i="4"/>
  <c r="BL384" i="4"/>
  <c r="BL385" i="4"/>
  <c r="BE380" i="4"/>
  <c r="BE381" i="4"/>
  <c r="AH393" i="4"/>
  <c r="BE403" i="4"/>
  <c r="AH419" i="4"/>
  <c r="AH437" i="4"/>
  <c r="EZ344" i="4"/>
  <c r="FA411" i="4" s="1"/>
  <c r="EU438" i="4"/>
  <c r="DN438" i="4"/>
  <c r="DW438" i="4"/>
  <c r="BS438" i="4"/>
  <c r="CJ438" i="4"/>
  <c r="EF438" i="4"/>
  <c r="Q438" i="4"/>
  <c r="BL302" i="4"/>
  <c r="AH293" i="4"/>
  <c r="BL308" i="4"/>
  <c r="BE307" i="4"/>
  <c r="AH333" i="4"/>
  <c r="AH344" i="4"/>
  <c r="BL335" i="4"/>
  <c r="BL340" i="4"/>
  <c r="AH351" i="4"/>
  <c r="BL361" i="4"/>
  <c r="BL368" i="4"/>
  <c r="BL397" i="4"/>
  <c r="AH395" i="4"/>
  <c r="AH416" i="4"/>
  <c r="DZ438" i="4"/>
  <c r="AH438" i="4"/>
  <c r="BL300" i="4"/>
  <c r="BL312" i="4"/>
  <c r="BL319" i="4"/>
  <c r="BL325" i="4"/>
  <c r="BL296" i="4"/>
  <c r="BE348" i="4"/>
  <c r="AH346" i="4"/>
  <c r="BL360" i="4"/>
  <c r="BL370" i="4"/>
  <c r="BL371" i="4"/>
  <c r="BL379" i="4"/>
  <c r="BL375" i="4"/>
  <c r="CW411" i="4"/>
  <c r="AH429" i="4"/>
  <c r="DY438" i="4"/>
  <c r="CW438" i="4"/>
  <c r="BQ438" i="4"/>
  <c r="AQ438" i="4"/>
  <c r="BL328" i="4"/>
  <c r="AH332" i="4"/>
  <c r="BL310" i="4"/>
  <c r="BL297" i="4"/>
  <c r="BL336" i="4"/>
  <c r="BL343" i="4"/>
  <c r="BL355" i="4"/>
  <c r="BL352" i="4"/>
  <c r="BL357" i="4"/>
  <c r="BL364" i="4"/>
  <c r="BL388" i="4"/>
  <c r="AH403" i="4"/>
  <c r="U34" i="4"/>
  <c r="FA299" i="4"/>
  <c r="FA202" i="4"/>
  <c r="FA262" i="4"/>
  <c r="FA203" i="4"/>
  <c r="ER392" i="4"/>
  <c r="ER305" i="4"/>
  <c r="ER21" i="4"/>
  <c r="ER409" i="4"/>
  <c r="ER216" i="4"/>
  <c r="ER372" i="4"/>
  <c r="ER71" i="4"/>
  <c r="ER387" i="4"/>
  <c r="ER234" i="4"/>
  <c r="ER284" i="4"/>
  <c r="ER398" i="4"/>
  <c r="ER181" i="4"/>
  <c r="ER171" i="4"/>
  <c r="ER196" i="4"/>
  <c r="ER413" i="4"/>
  <c r="ER406" i="4"/>
  <c r="ER303" i="4"/>
  <c r="ER275" i="4"/>
  <c r="ER343" i="4"/>
  <c r="ER172" i="4"/>
  <c r="ER248" i="4"/>
  <c r="ER311" i="4"/>
  <c r="ER29" i="4"/>
  <c r="ER188" i="4"/>
  <c r="ER261" i="4"/>
  <c r="ER309" i="4"/>
  <c r="ER163" i="4"/>
  <c r="ER230" i="4"/>
  <c r="ER166" i="4"/>
  <c r="ER59" i="4"/>
  <c r="ER190" i="4"/>
  <c r="ER161" i="4"/>
  <c r="ER431" i="4"/>
  <c r="ER76" i="4"/>
  <c r="ER232" i="4"/>
  <c r="ER84" i="4"/>
  <c r="ER361" i="4"/>
  <c r="ER183" i="4"/>
  <c r="ER427" i="4"/>
  <c r="ER215" i="4"/>
  <c r="ER327" i="4"/>
  <c r="ER252" i="4"/>
  <c r="ER393" i="4"/>
  <c r="ER98" i="4"/>
  <c r="ER331" i="4"/>
  <c r="ER374" i="4"/>
  <c r="ER425" i="4"/>
  <c r="ER167" i="4"/>
  <c r="ER186" i="4"/>
  <c r="ER37" i="4"/>
  <c r="ER353" i="4"/>
  <c r="ER345" i="4"/>
  <c r="ER250" i="4"/>
  <c r="ER357" i="4"/>
  <c r="ER434" i="4"/>
  <c r="ER195" i="4"/>
  <c r="ER321" i="4"/>
  <c r="ER199" i="4"/>
  <c r="ER179" i="4"/>
  <c r="ER233" i="4"/>
  <c r="EN247" i="4"/>
  <c r="EN304" i="4"/>
  <c r="EN226" i="4"/>
  <c r="EN296" i="4"/>
  <c r="EN227" i="4"/>
  <c r="EN225" i="4"/>
  <c r="EN290" i="4"/>
  <c r="EN363" i="4"/>
  <c r="EN69" i="4"/>
  <c r="EN207" i="4"/>
  <c r="EN231" i="4"/>
  <c r="EN243" i="4"/>
  <c r="EN175" i="4"/>
  <c r="EN182" i="4"/>
  <c r="EN282" i="4"/>
  <c r="EN99" i="4"/>
  <c r="EN246" i="4"/>
  <c r="EN162" i="4"/>
  <c r="EN83" i="4"/>
  <c r="EN257" i="4"/>
  <c r="EM13" i="4"/>
  <c r="ER13" i="4"/>
  <c r="EN258" i="4"/>
  <c r="EN316" i="4"/>
  <c r="EN364" i="4"/>
  <c r="EN169" i="4"/>
  <c r="EN329" i="4"/>
  <c r="EN104" i="4"/>
  <c r="EN105" i="4"/>
  <c r="EN255" i="4"/>
  <c r="EN68" i="4"/>
  <c r="EN313" i="4"/>
  <c r="EN386" i="4"/>
  <c r="EN326" i="4"/>
  <c r="EN79" i="4"/>
  <c r="EN330" i="4"/>
  <c r="EN245" i="4"/>
  <c r="EN14" i="4"/>
  <c r="EN342" i="4"/>
  <c r="EN276" i="4"/>
  <c r="EN86" i="4"/>
  <c r="EN240" i="4"/>
  <c r="EN55" i="4"/>
  <c r="EN244" i="4"/>
  <c r="EN354" i="4"/>
  <c r="EN423" i="4"/>
  <c r="EN170" i="4"/>
  <c r="EN5" i="4"/>
  <c r="EN212" i="4"/>
  <c r="EN88" i="4"/>
  <c r="EN306" i="4"/>
  <c r="EN314" i="4"/>
  <c r="EN176" i="4"/>
  <c r="EP117" i="4"/>
  <c r="EP78" i="4"/>
  <c r="EP75" i="4"/>
  <c r="EP280" i="4"/>
  <c r="EP422" i="4"/>
  <c r="EP285" i="4"/>
  <c r="EP360" i="4"/>
  <c r="EP197" i="4"/>
  <c r="EP242" i="4"/>
  <c r="EP206" i="4"/>
  <c r="EP32" i="4"/>
  <c r="EP168" i="4"/>
  <c r="EP80" i="4"/>
  <c r="EP292" i="4"/>
  <c r="EP173" i="4"/>
  <c r="EP365" i="4"/>
  <c r="EP347" i="4"/>
  <c r="EP48" i="4"/>
  <c r="EP369" i="4"/>
  <c r="EP213" i="4"/>
  <c r="EP317" i="4"/>
  <c r="EP102" i="4"/>
  <c r="EP81" i="4"/>
  <c r="EP164" i="4"/>
  <c r="EP356" i="4"/>
  <c r="EP85" i="4"/>
  <c r="EP205" i="4"/>
  <c r="EP341" i="4"/>
  <c r="EP397" i="4"/>
  <c r="EP346" i="4"/>
  <c r="EP191" i="4"/>
  <c r="EP209" i="4"/>
  <c r="EP41" i="4"/>
  <c r="EP160" i="4"/>
  <c r="EP180" i="4"/>
  <c r="EP89" i="4"/>
  <c r="EP332" i="4"/>
  <c r="EP253" i="4"/>
  <c r="EP378" i="4"/>
  <c r="EP100" i="4"/>
  <c r="EP87" i="4"/>
  <c r="EP325" i="4"/>
  <c r="EP335" i="4"/>
  <c r="EP184" i="4"/>
  <c r="EP241" i="4"/>
  <c r="EP396" i="4"/>
  <c r="EP177" i="4"/>
  <c r="EP101" i="4"/>
  <c r="EP401" i="4"/>
  <c r="EP328" i="4"/>
  <c r="EP77" i="4"/>
  <c r="EP228" i="4"/>
  <c r="EP390" i="4"/>
  <c r="EP318" i="4"/>
  <c r="EP297" i="4"/>
  <c r="EP368" i="4"/>
  <c r="EP300" i="4"/>
  <c r="EP395" i="4"/>
  <c r="EP200" i="4"/>
  <c r="EP82" i="4"/>
  <c r="EP383" i="4"/>
  <c r="EP337" i="4"/>
  <c r="EP274" i="4"/>
  <c r="EP293" i="4"/>
  <c r="EP229" i="4"/>
  <c r="EP291" i="4"/>
  <c r="EP218" i="4"/>
  <c r="EP320" i="4"/>
  <c r="EP307" i="4"/>
  <c r="EP379" i="4"/>
  <c r="EP223" i="4"/>
  <c r="EP367" i="4"/>
  <c r="EP268" i="4"/>
  <c r="EP178" i="4"/>
  <c r="EP56" i="4"/>
  <c r="EP219" i="4"/>
  <c r="EP373" i="4"/>
  <c r="EP391" i="4"/>
  <c r="EP310" i="4"/>
  <c r="EP57" i="4"/>
  <c r="EP254" i="4"/>
  <c r="EP381" i="4"/>
  <c r="EP46" i="4"/>
  <c r="EP185" i="4"/>
  <c r="EP198" i="4"/>
  <c r="EP324" i="4"/>
  <c r="EP371" i="4"/>
  <c r="EP302" i="4"/>
  <c r="EP251" i="4"/>
  <c r="EP19" i="4"/>
  <c r="EP340" i="4"/>
  <c r="EP210" i="4"/>
  <c r="EP308" i="4"/>
  <c r="EP382" i="4"/>
  <c r="EP193" i="4"/>
  <c r="EP222" i="4"/>
  <c r="EP165" i="4"/>
  <c r="EP6" i="4"/>
  <c r="EP174" i="4"/>
  <c r="EP35" i="4"/>
  <c r="EP281" i="4"/>
  <c r="EP239" i="4"/>
  <c r="EP315" i="4"/>
  <c r="EP249" i="4"/>
  <c r="EP256" i="4"/>
  <c r="EP349" i="4"/>
  <c r="Y13" i="4"/>
  <c r="EP370" i="4"/>
  <c r="EP211" i="4"/>
  <c r="EP384" i="4"/>
  <c r="EP355" i="4"/>
  <c r="EP323" i="4"/>
  <c r="EP221" i="4"/>
  <c r="EP375" i="4"/>
  <c r="EP217" i="4"/>
  <c r="EP189" i="4"/>
  <c r="EP385" i="4"/>
  <c r="EP214" i="4"/>
  <c r="CU415" i="4"/>
  <c r="EM12" i="4"/>
  <c r="BE423" i="4"/>
  <c r="CP194" i="4"/>
  <c r="BE303" i="4"/>
  <c r="BE304" i="4"/>
  <c r="BE292" i="4"/>
  <c r="CW315" i="4"/>
  <c r="CW318" i="4"/>
  <c r="CW331" i="4"/>
  <c r="CW334" i="4"/>
  <c r="BE296" i="4"/>
  <c r="BE347" i="4"/>
  <c r="BE343" i="4"/>
  <c r="CW341" i="4"/>
  <c r="BE360" i="4"/>
  <c r="BE357" i="4"/>
  <c r="BE363" i="4"/>
  <c r="BE390" i="4"/>
  <c r="CW401" i="4"/>
  <c r="CW400" i="4"/>
  <c r="BE402" i="4"/>
  <c r="BE416" i="4"/>
  <c r="CW414" i="4"/>
  <c r="CW421" i="4"/>
  <c r="BE429" i="4"/>
  <c r="BE299" i="4"/>
  <c r="CW316" i="4"/>
  <c r="CW317" i="4"/>
  <c r="BE332" i="4"/>
  <c r="CW324" i="4"/>
  <c r="CW291" i="4"/>
  <c r="CW339" i="4"/>
  <c r="CW336" i="4"/>
  <c r="BE336" i="4"/>
  <c r="BE340" i="4"/>
  <c r="BE362" i="4"/>
  <c r="BE358" i="4"/>
  <c r="BE385" i="4"/>
  <c r="CW388" i="4"/>
  <c r="CW380" i="4"/>
  <c r="CW396" i="4"/>
  <c r="BE405" i="4"/>
  <c r="BE404" i="4"/>
  <c r="BE410" i="4"/>
  <c r="BE411" i="4"/>
  <c r="BE419" i="4"/>
  <c r="CW415" i="4"/>
  <c r="BE422" i="4"/>
  <c r="BE428" i="4"/>
  <c r="BE433" i="4"/>
  <c r="BE436" i="4"/>
  <c r="CW290" i="4"/>
  <c r="CW297" i="4"/>
  <c r="BE297" i="4"/>
  <c r="CW321" i="4"/>
  <c r="BE315" i="4"/>
  <c r="BE314" i="4"/>
  <c r="CX328" i="4"/>
  <c r="BE330" i="4"/>
  <c r="BE331" i="4"/>
  <c r="BE327" i="4"/>
  <c r="BE328" i="4"/>
  <c r="CW333" i="4"/>
  <c r="BE356" i="4"/>
  <c r="BE365" i="4"/>
  <c r="BE370" i="4"/>
  <c r="BE374" i="4"/>
  <c r="BE384" i="4"/>
  <c r="BE382" i="4"/>
  <c r="CW405" i="4"/>
  <c r="CW402" i="4"/>
  <c r="CW412" i="4"/>
  <c r="BE412" i="4"/>
  <c r="CW408" i="4"/>
  <c r="BE420" i="4"/>
  <c r="CW422" i="4"/>
  <c r="BE425" i="4"/>
  <c r="BE432" i="4"/>
  <c r="EM8" i="4"/>
  <c r="CW300" i="4"/>
  <c r="CW307" i="4"/>
  <c r="CW323" i="4"/>
  <c r="CW328" i="4"/>
  <c r="CW294" i="4"/>
  <c r="BE310" i="4"/>
  <c r="CW347" i="4"/>
  <c r="BE341" i="4"/>
  <c r="BE349" i="4"/>
  <c r="BE354" i="4"/>
  <c r="BE352" i="4"/>
  <c r="BE364" i="4"/>
  <c r="BE371" i="4"/>
  <c r="CW367" i="4"/>
  <c r="BE391" i="4"/>
  <c r="BE388" i="4"/>
  <c r="BE387" i="4"/>
  <c r="BE394" i="4"/>
  <c r="CW406" i="4"/>
  <c r="CW403" i="4"/>
  <c r="BE409" i="4"/>
  <c r="CW407" i="4"/>
  <c r="BE418" i="4"/>
  <c r="CW428" i="4"/>
  <c r="BE427" i="4"/>
  <c r="BE431" i="4"/>
  <c r="CW430" i="4"/>
  <c r="CW303" i="4"/>
  <c r="CW301" i="4"/>
  <c r="BE302" i="4"/>
  <c r="CX324" i="4"/>
  <c r="BE323" i="4"/>
  <c r="BE306" i="4"/>
  <c r="CX312" i="4"/>
  <c r="BE339" i="4"/>
  <c r="CW342" i="4"/>
  <c r="BE342" i="4"/>
  <c r="CW340" i="4"/>
  <c r="CW381" i="4"/>
  <c r="BE392" i="4"/>
  <c r="BE395" i="4"/>
  <c r="CW393" i="4"/>
  <c r="CW404" i="4"/>
  <c r="BE417" i="4"/>
  <c r="BE421" i="4"/>
  <c r="CW429" i="4"/>
  <c r="CW434" i="4"/>
  <c r="CW299" i="4"/>
  <c r="CW304" i="4"/>
  <c r="BE320" i="4"/>
  <c r="BE313" i="4"/>
  <c r="BE325" i="4"/>
  <c r="CW325" i="4"/>
  <c r="BE338" i="4"/>
  <c r="BE344" i="4"/>
  <c r="BE366" i="4"/>
  <c r="BE373" i="4"/>
  <c r="BE367" i="4"/>
  <c r="CW383" i="4"/>
  <c r="BE386" i="4"/>
  <c r="BE400" i="4"/>
  <c r="BE401" i="4"/>
  <c r="BE407" i="4"/>
  <c r="BE414" i="4"/>
  <c r="BE430" i="4"/>
  <c r="CW437" i="4"/>
  <c r="CW296" i="4"/>
  <c r="CW293" i="4"/>
  <c r="CW332" i="4"/>
  <c r="BE311" i="4"/>
  <c r="BE326" i="4"/>
  <c r="BE309" i="4"/>
  <c r="CW329" i="4"/>
  <c r="BE294" i="4"/>
  <c r="CW335" i="4"/>
  <c r="BE359" i="4"/>
  <c r="BE350" i="4"/>
  <c r="BE368" i="4"/>
  <c r="BE372" i="4"/>
  <c r="BE375" i="4"/>
  <c r="CW384" i="4"/>
  <c r="BE396" i="4"/>
  <c r="BE398" i="4"/>
  <c r="BE415" i="4"/>
  <c r="CW426" i="4"/>
  <c r="CW302" i="4"/>
  <c r="BE295" i="4"/>
  <c r="BE318" i="4"/>
  <c r="BE321" i="4"/>
  <c r="CX331" i="4"/>
  <c r="BE308" i="4"/>
  <c r="BE324" i="4"/>
  <c r="CW308" i="4"/>
  <c r="BE346" i="4"/>
  <c r="BE351" i="4"/>
  <c r="BE379" i="4"/>
  <c r="BE376" i="4"/>
  <c r="CW375" i="4"/>
  <c r="CW385" i="4"/>
  <c r="CW387" i="4"/>
  <c r="CW382" i="4"/>
  <c r="CW392" i="4"/>
  <c r="CW410" i="4"/>
  <c r="CW419" i="4"/>
  <c r="CW423" i="4"/>
  <c r="BE424" i="4"/>
  <c r="CW433" i="4"/>
  <c r="CW436" i="4"/>
  <c r="W51" i="4"/>
  <c r="CX293" i="4"/>
  <c r="BE291" i="4"/>
  <c r="CW311" i="4"/>
  <c r="BE322" i="4"/>
  <c r="BE316" i="4"/>
  <c r="CW326" i="4"/>
  <c r="BE334" i="4"/>
  <c r="CW309" i="4"/>
  <c r="BE290" i="4"/>
  <c r="BE345" i="4"/>
  <c r="BE361" i="4"/>
  <c r="CW378" i="4"/>
  <c r="BE377" i="4"/>
  <c r="CW390" i="4"/>
  <c r="BE389" i="4"/>
  <c r="BE397" i="4"/>
  <c r="CW399" i="4"/>
  <c r="BE406" i="4"/>
  <c r="CW409" i="4"/>
  <c r="CW416" i="4"/>
  <c r="CW432" i="4"/>
  <c r="BE305" i="4"/>
  <c r="BE312" i="4"/>
  <c r="CW320" i="4"/>
  <c r="CW312" i="4"/>
  <c r="BE319" i="4"/>
  <c r="CW330" i="4"/>
  <c r="BE329" i="4"/>
  <c r="CW306" i="4"/>
  <c r="BE337" i="4"/>
  <c r="CW368" i="4"/>
  <c r="CW369" i="4"/>
  <c r="BE369" i="4"/>
  <c r="CW373" i="4"/>
  <c r="CW391" i="4"/>
  <c r="BE383" i="4"/>
  <c r="CW394" i="4"/>
  <c r="CW398" i="4"/>
  <c r="CW413" i="4"/>
  <c r="BE408" i="4"/>
  <c r="CW417" i="4"/>
  <c r="CW424" i="4"/>
  <c r="CW194" i="4"/>
  <c r="BE426" i="4"/>
  <c r="CW431" i="4"/>
  <c r="BE434" i="4"/>
  <c r="CW435" i="4"/>
  <c r="CW305" i="4"/>
  <c r="BE301" i="4"/>
  <c r="BE300" i="4"/>
  <c r="BE298" i="4"/>
  <c r="CW298" i="4"/>
  <c r="CW295" i="4"/>
  <c r="CW313" i="4"/>
  <c r="BE333" i="4"/>
  <c r="CW310" i="4"/>
  <c r="CW337" i="4"/>
  <c r="BE335" i="4"/>
  <c r="BE353" i="4"/>
  <c r="CW370" i="4"/>
  <c r="BE378" i="4"/>
  <c r="CW379" i="4"/>
  <c r="CW377" i="4"/>
  <c r="CW395" i="4"/>
  <c r="BE399" i="4"/>
  <c r="BE413" i="4"/>
  <c r="CW418" i="4"/>
  <c r="CW425" i="4"/>
  <c r="Y9" i="4"/>
  <c r="DN305" i="4"/>
  <c r="DN293" i="4"/>
  <c r="DN296" i="4"/>
  <c r="AM194" i="4"/>
  <c r="EJ194" i="4" s="1"/>
  <c r="AH317" i="4"/>
  <c r="AH315" i="4"/>
  <c r="DN308" i="4"/>
  <c r="DW311" i="4"/>
  <c r="AH325" i="4"/>
  <c r="DN316" i="4"/>
  <c r="AH338" i="4"/>
  <c r="DW337" i="4"/>
  <c r="DW335" i="4"/>
  <c r="DW348" i="4"/>
  <c r="DN344" i="4"/>
  <c r="AH362" i="4"/>
  <c r="DN362" i="4"/>
  <c r="DW353" i="4"/>
  <c r="AH364" i="4"/>
  <c r="AH368" i="4"/>
  <c r="AH378" i="4"/>
  <c r="AH377" i="4"/>
  <c r="AH375" i="4"/>
  <c r="DW387" i="4"/>
  <c r="DN391" i="4"/>
  <c r="DN386" i="4"/>
  <c r="DW392" i="4"/>
  <c r="DW383" i="4"/>
  <c r="DW380" i="4"/>
  <c r="DN380" i="4"/>
  <c r="DW400" i="4"/>
  <c r="AH402" i="4"/>
  <c r="DW403" i="4"/>
  <c r="DN404" i="4"/>
  <c r="AH408" i="4"/>
  <c r="AH417" i="4"/>
  <c r="DW424" i="4"/>
  <c r="AH428" i="4"/>
  <c r="DW428" i="4"/>
  <c r="AH431" i="4"/>
  <c r="DW437" i="4"/>
  <c r="EM28" i="4"/>
  <c r="Y7" i="4"/>
  <c r="DW302" i="4"/>
  <c r="AH301" i="4"/>
  <c r="DN297" i="4"/>
  <c r="DN331" i="4"/>
  <c r="AH328" i="4"/>
  <c r="DW313" i="4"/>
  <c r="DN325" i="4"/>
  <c r="AH337" i="4"/>
  <c r="DN341" i="4"/>
  <c r="DW351" i="4"/>
  <c r="DW358" i="4"/>
  <c r="AH353" i="4"/>
  <c r="AH357" i="4"/>
  <c r="DN385" i="4"/>
  <c r="DN383" i="4"/>
  <c r="Y24" i="4"/>
  <c r="AH412" i="4"/>
  <c r="DW408" i="4"/>
  <c r="DW407" i="4"/>
  <c r="DN409" i="4"/>
  <c r="DN417" i="4"/>
  <c r="AH414" i="4"/>
  <c r="DN425" i="4"/>
  <c r="AH422" i="4"/>
  <c r="AH427" i="4"/>
  <c r="DW436" i="4"/>
  <c r="Y14" i="4"/>
  <c r="AH300" i="4"/>
  <c r="DW305" i="4"/>
  <c r="DW298" i="4"/>
  <c r="DN299" i="4"/>
  <c r="AH302" i="4"/>
  <c r="AH295" i="4"/>
  <c r="AH292" i="4"/>
  <c r="DW318" i="4"/>
  <c r="AH312" i="4"/>
  <c r="DN315" i="4"/>
  <c r="DW322" i="4"/>
  <c r="AH314" i="4"/>
  <c r="AH321" i="4"/>
  <c r="AH319" i="4"/>
  <c r="AH331" i="4"/>
  <c r="DW334" i="4"/>
  <c r="DN332" i="4"/>
  <c r="DN306" i="4"/>
  <c r="AH323" i="4"/>
  <c r="DN327" i="4"/>
  <c r="DW332" i="4"/>
  <c r="DN345" i="4"/>
  <c r="DN340" i="4"/>
  <c r="DN359" i="4"/>
  <c r="DW364" i="4"/>
  <c r="DW374" i="4"/>
  <c r="DN377" i="4"/>
  <c r="AH387" i="4"/>
  <c r="AH385" i="4"/>
  <c r="DN397" i="4"/>
  <c r="DN401" i="4"/>
  <c r="DN405" i="4"/>
  <c r="AH413" i="4"/>
  <c r="DN419" i="4"/>
  <c r="AH415" i="4"/>
  <c r="DN421" i="4"/>
  <c r="DN429" i="4"/>
  <c r="DN430" i="4"/>
  <c r="Y6" i="4"/>
  <c r="DN301" i="4"/>
  <c r="DW294" i="4"/>
  <c r="DN298" i="4"/>
  <c r="DN318" i="4"/>
  <c r="DN320" i="4"/>
  <c r="AH316" i="4"/>
  <c r="DW308" i="4"/>
  <c r="DN329" i="4"/>
  <c r="DN326" i="4"/>
  <c r="AH313" i="4"/>
  <c r="DW344" i="4"/>
  <c r="AH345" i="4"/>
  <c r="AH348" i="4"/>
  <c r="AH350" i="4"/>
  <c r="DW360" i="4"/>
  <c r="DW365" i="4"/>
  <c r="AH363" i="4"/>
  <c r="DW372" i="4"/>
  <c r="DN387" i="4"/>
  <c r="DW384" i="4"/>
  <c r="AH384" i="4"/>
  <c r="AH381" i="4"/>
  <c r="AH401" i="4"/>
  <c r="AH397" i="4"/>
  <c r="DW395" i="4"/>
  <c r="DW394" i="4"/>
  <c r="DW413" i="4"/>
  <c r="DW417" i="4"/>
  <c r="DN416" i="4"/>
  <c r="DW421" i="4"/>
  <c r="DW194" i="4"/>
  <c r="DN428" i="4"/>
  <c r="DN433" i="4"/>
  <c r="AH435" i="4"/>
  <c r="DN437" i="4"/>
  <c r="DW304" i="4"/>
  <c r="DW291" i="4"/>
  <c r="DW292" i="4"/>
  <c r="BG194" i="4"/>
  <c r="DW314" i="4"/>
  <c r="AH320" i="4"/>
  <c r="DW330" i="4"/>
  <c r="DN307" i="4"/>
  <c r="DW325" i="4"/>
  <c r="DN333" i="4"/>
  <c r="AH290" i="4"/>
  <c r="DW290" i="4"/>
  <c r="DW338" i="4"/>
  <c r="DN348" i="4"/>
  <c r="DW342" i="4"/>
  <c r="DN349" i="4"/>
  <c r="DN350" i="4"/>
  <c r="DN360" i="4"/>
  <c r="DN366" i="4"/>
  <c r="DW366" i="4"/>
  <c r="DN365" i="4"/>
  <c r="DW368" i="4"/>
  <c r="DN370" i="4"/>
  <c r="DN379" i="4"/>
  <c r="DW376" i="4"/>
  <c r="AH382" i="4"/>
  <c r="DN384" i="4"/>
  <c r="DN381" i="4"/>
  <c r="DW401" i="4"/>
  <c r="DN394" i="4"/>
  <c r="DW416" i="4"/>
  <c r="DN418" i="4"/>
  <c r="AH424" i="4"/>
  <c r="DN426" i="4"/>
  <c r="DN432" i="4"/>
  <c r="DW433" i="4"/>
  <c r="DN277" i="4"/>
  <c r="Y18" i="4"/>
  <c r="DW300" i="4"/>
  <c r="DW303" i="4"/>
  <c r="AH305" i="4"/>
  <c r="AH296" i="4"/>
  <c r="DW312" i="4"/>
  <c r="AH322" i="4"/>
  <c r="DW316" i="4"/>
  <c r="DW331" i="4"/>
  <c r="AH327" i="4"/>
  <c r="DW328" i="4"/>
  <c r="DW306" i="4"/>
  <c r="DN324" i="4"/>
  <c r="DW307" i="4"/>
  <c r="DW324" i="4"/>
  <c r="AH334" i="4"/>
  <c r="DW339" i="4"/>
  <c r="DN336" i="4"/>
  <c r="DW347" i="4"/>
  <c r="DN361" i="4"/>
  <c r="AH361" i="4"/>
  <c r="DW363" i="4"/>
  <c r="DN371" i="4"/>
  <c r="AH370" i="4"/>
  <c r="DN372" i="4"/>
  <c r="DN367" i="4"/>
  <c r="DN382" i="4"/>
  <c r="AH380" i="4"/>
  <c r="DW398" i="4"/>
  <c r="DW411" i="4"/>
  <c r="DN413" i="4"/>
  <c r="DW420" i="4"/>
  <c r="DN414" i="4"/>
  <c r="DN427" i="4"/>
  <c r="DN431" i="4"/>
  <c r="DW432" i="4"/>
  <c r="DN435" i="4"/>
  <c r="Y17" i="4"/>
  <c r="DN302" i="4"/>
  <c r="AH297" i="4"/>
  <c r="AH318" i="4"/>
  <c r="DN319" i="4"/>
  <c r="AH307" i="4"/>
  <c r="DW310" i="4"/>
  <c r="DN290" i="4"/>
  <c r="AH329" i="4"/>
  <c r="DN337" i="4"/>
  <c r="AH336" i="4"/>
  <c r="AH342" i="4"/>
  <c r="DW340" i="4"/>
  <c r="DW341" i="4"/>
  <c r="AH341" i="4"/>
  <c r="DW355" i="4"/>
  <c r="DN353" i="4"/>
  <c r="DW371" i="4"/>
  <c r="AH371" i="4"/>
  <c r="DN369" i="4"/>
  <c r="DN376" i="4"/>
  <c r="AH373" i="4"/>
  <c r="DW377" i="4"/>
  <c r="DW367" i="4"/>
  <c r="DN388" i="4"/>
  <c r="DW382" i="4"/>
  <c r="AH398" i="4"/>
  <c r="DW399" i="4"/>
  <c r="DW418" i="4"/>
  <c r="DN415" i="4"/>
  <c r="DN422" i="4"/>
  <c r="AH434" i="4"/>
  <c r="DW431" i="4"/>
  <c r="DW430" i="4"/>
  <c r="DW435" i="4"/>
  <c r="EM95" i="4"/>
  <c r="Y16" i="4"/>
  <c r="Y8" i="4"/>
  <c r="DN304" i="4"/>
  <c r="DN294" i="4"/>
  <c r="AH303" i="4"/>
  <c r="DW315" i="4"/>
  <c r="DN321" i="4"/>
  <c r="DW329" i="4"/>
  <c r="AH310" i="4"/>
  <c r="AH339" i="4"/>
  <c r="DW336" i="4"/>
  <c r="DN346" i="4"/>
  <c r="DN342" i="4"/>
  <c r="DW343" i="4"/>
  <c r="DW349" i="4"/>
  <c r="DN354" i="4"/>
  <c r="AH352" i="4"/>
  <c r="DW359" i="4"/>
  <c r="DN352" i="4"/>
  <c r="AH379" i="4"/>
  <c r="DW378" i="4"/>
  <c r="DN374" i="4"/>
  <c r="DW388" i="4"/>
  <c r="DW381" i="4"/>
  <c r="AH399" i="4"/>
  <c r="AH394" i="4"/>
  <c r="DW393" i="4"/>
  <c r="AH406" i="4"/>
  <c r="DW406" i="4"/>
  <c r="AH410" i="4"/>
  <c r="AH411" i="4"/>
  <c r="AH409" i="4"/>
  <c r="AH407" i="4"/>
  <c r="DW419" i="4"/>
  <c r="AH421" i="4"/>
  <c r="AH430" i="4"/>
  <c r="DN436" i="4"/>
  <c r="EM19" i="4"/>
  <c r="EU262" i="4"/>
  <c r="Y12" i="4"/>
  <c r="Y10" i="4"/>
  <c r="GP436" i="4"/>
  <c r="DW299" i="4"/>
  <c r="AH304" i="4"/>
  <c r="DN303" i="4"/>
  <c r="DN295" i="4"/>
  <c r="AH291" i="4"/>
  <c r="DN322" i="4"/>
  <c r="DW321" i="4"/>
  <c r="DN330" i="4"/>
  <c r="DW309" i="4"/>
  <c r="DN311" i="4"/>
  <c r="AH309" i="4"/>
  <c r="DW323" i="4"/>
  <c r="DN335" i="4"/>
  <c r="AH347" i="4"/>
  <c r="DN343" i="4"/>
  <c r="DW354" i="4"/>
  <c r="DW362" i="4"/>
  <c r="DW352" i="4"/>
  <c r="DN355" i="4"/>
  <c r="DN378" i="4"/>
  <c r="DN373" i="4"/>
  <c r="AH374" i="4"/>
  <c r="DW385" i="4"/>
  <c r="AH400" i="4"/>
  <c r="DN393" i="4"/>
  <c r="DN406" i="4"/>
  <c r="DN402" i="4"/>
  <c r="DN411" i="4"/>
  <c r="DW414" i="4"/>
  <c r="AH418" i="4"/>
  <c r="AH423" i="4"/>
  <c r="DN423" i="4"/>
  <c r="AH433" i="4"/>
  <c r="DN300" i="4"/>
  <c r="DW320" i="4"/>
  <c r="DN317" i="4"/>
  <c r="DN328" i="4"/>
  <c r="DW333" i="4"/>
  <c r="AH311" i="4"/>
  <c r="DN309" i="4"/>
  <c r="AH308" i="4"/>
  <c r="DN323" i="4"/>
  <c r="AH343" i="4"/>
  <c r="DW346" i="4"/>
  <c r="AH340" i="4"/>
  <c r="AH349" i="4"/>
  <c r="DW356" i="4"/>
  <c r="AH359" i="4"/>
  <c r="AH355" i="4"/>
  <c r="DN363" i="4"/>
  <c r="DN368" i="4"/>
  <c r="AH369" i="4"/>
  <c r="DW379" i="4"/>
  <c r="DW373" i="4"/>
  <c r="AH367" i="4"/>
  <c r="DW375" i="4"/>
  <c r="DW390" i="4"/>
  <c r="DN389" i="4"/>
  <c r="DW391" i="4"/>
  <c r="DN392" i="4"/>
  <c r="AH396" i="4"/>
  <c r="AH405" i="4"/>
  <c r="DN403" i="4"/>
  <c r="DW415" i="4"/>
  <c r="AH420" i="4"/>
  <c r="DW425" i="4"/>
  <c r="DW422" i="4"/>
  <c r="AH426" i="4"/>
  <c r="AH432" i="4"/>
  <c r="AH436" i="4"/>
  <c r="U15" i="4"/>
  <c r="CX290" i="4"/>
  <c r="CU304" i="4"/>
  <c r="CU303" i="4"/>
  <c r="CU322" i="4"/>
  <c r="CX323" i="4"/>
  <c r="CX332" i="4"/>
  <c r="CU325" i="4"/>
  <c r="CU363" i="4"/>
  <c r="CU378" i="4"/>
  <c r="CU375" i="4"/>
  <c r="CU390" i="4"/>
  <c r="CU382" i="4"/>
  <c r="CU381" i="4"/>
  <c r="CU383" i="4"/>
  <c r="CU402" i="4"/>
  <c r="CU410" i="4"/>
  <c r="CU407" i="4"/>
  <c r="CU414" i="4"/>
  <c r="CU425" i="4"/>
  <c r="CX194" i="4"/>
  <c r="CU430" i="4"/>
  <c r="CU436" i="4"/>
  <c r="CX299" i="4"/>
  <c r="CU298" i="4"/>
  <c r="CU292" i="4"/>
  <c r="CX307" i="4"/>
  <c r="CU314" i="4"/>
  <c r="CU307" i="4"/>
  <c r="CU332" i="4"/>
  <c r="CU329" i="4"/>
  <c r="CX330" i="4"/>
  <c r="CU360" i="4"/>
  <c r="CU374" i="4"/>
  <c r="CU423" i="4"/>
  <c r="EM283" i="4"/>
  <c r="EM405" i="4"/>
  <c r="U29" i="4"/>
  <c r="CX302" i="4"/>
  <c r="CU296" i="4"/>
  <c r="CX294" i="4"/>
  <c r="CX316" i="4"/>
  <c r="CU317" i="4"/>
  <c r="CU327" i="4"/>
  <c r="CU334" i="4"/>
  <c r="CU326" i="4"/>
  <c r="CX334" i="4"/>
  <c r="CU336" i="4"/>
  <c r="CU349" i="4"/>
  <c r="CU350" i="4"/>
  <c r="CU365" i="4"/>
  <c r="CU372" i="4"/>
  <c r="CU399" i="4"/>
  <c r="CU409" i="4"/>
  <c r="CU429" i="4"/>
  <c r="CU433" i="4"/>
  <c r="CU437" i="4"/>
  <c r="EM132" i="4"/>
  <c r="EM35" i="4"/>
  <c r="CX297" i="4"/>
  <c r="CU301" i="4"/>
  <c r="CP297" i="4"/>
  <c r="CU309" i="4"/>
  <c r="CX340" i="4"/>
  <c r="CU351" i="4"/>
  <c r="CU353" i="4"/>
  <c r="CU364" i="4"/>
  <c r="CU366" i="4"/>
  <c r="CU368" i="4"/>
  <c r="CU376" i="4"/>
  <c r="CU377" i="4"/>
  <c r="CU389" i="4"/>
  <c r="CU398" i="4"/>
  <c r="CU395" i="4"/>
  <c r="CU411" i="4"/>
  <c r="CU424" i="4"/>
  <c r="CU421" i="4"/>
  <c r="CU428" i="4"/>
  <c r="CU432" i="4"/>
  <c r="EU201" i="4"/>
  <c r="EU419" i="4"/>
  <c r="EU204" i="4"/>
  <c r="EU414" i="4"/>
  <c r="EU362" i="4"/>
  <c r="EU237" i="4"/>
  <c r="EU404" i="4"/>
  <c r="EU351" i="4"/>
  <c r="EU416" i="4"/>
  <c r="EU421" i="4"/>
  <c r="EU376" i="4"/>
  <c r="EU295" i="4"/>
  <c r="EU435" i="4"/>
  <c r="EU352" i="4"/>
  <c r="EU420" i="4"/>
  <c r="EU432" i="4"/>
  <c r="EU426" i="4"/>
  <c r="EU433" i="4"/>
  <c r="EU236" i="4"/>
  <c r="EU294" i="4"/>
  <c r="EU380" i="4"/>
  <c r="EU388" i="4"/>
  <c r="EU366" i="4"/>
  <c r="EU322" i="4"/>
  <c r="EU400" i="4"/>
  <c r="EU430" i="4"/>
  <c r="EU402" i="4"/>
  <c r="EU333" i="4"/>
  <c r="EU403" i="4"/>
  <c r="EU312" i="4"/>
  <c r="EU415" i="4"/>
  <c r="EU203" i="4"/>
  <c r="EU202" i="4"/>
  <c r="Y28" i="4"/>
  <c r="CX296" i="4"/>
  <c r="CU291" i="4"/>
  <c r="CX298" i="4"/>
  <c r="CX321" i="4"/>
  <c r="CU321" i="4"/>
  <c r="CX319" i="4"/>
  <c r="CU306" i="4"/>
  <c r="CX325" i="4"/>
  <c r="CX333" i="4"/>
  <c r="CU339" i="4"/>
  <c r="CU345" i="4"/>
  <c r="CU342" i="4"/>
  <c r="CU346" i="4"/>
  <c r="CU340" i="4"/>
  <c r="CU358" i="4"/>
  <c r="CU388" i="4"/>
  <c r="CU394" i="4"/>
  <c r="CU393" i="4"/>
  <c r="CU431" i="4"/>
  <c r="EM313" i="4"/>
  <c r="U43" i="4"/>
  <c r="CX303" i="4"/>
  <c r="CU318" i="4"/>
  <c r="CX318" i="4"/>
  <c r="CU315" i="4"/>
  <c r="CX326" i="4"/>
  <c r="CU311" i="4"/>
  <c r="CU308" i="4"/>
  <c r="CX329" i="4"/>
  <c r="CX338" i="4"/>
  <c r="CX336" i="4"/>
  <c r="CU347" i="4"/>
  <c r="CU361" i="4"/>
  <c r="CU359" i="4"/>
  <c r="CU397" i="4"/>
  <c r="CU405" i="4"/>
  <c r="CU413" i="4"/>
  <c r="CU412" i="4"/>
  <c r="CU418" i="4"/>
  <c r="CU422" i="4"/>
  <c r="CU427" i="4"/>
  <c r="EU224" i="4"/>
  <c r="CX300" i="4"/>
  <c r="CU295" i="4"/>
  <c r="CX320" i="4"/>
  <c r="CX322" i="4"/>
  <c r="CX317" i="4"/>
  <c r="CU330" i="4"/>
  <c r="CU333" i="4"/>
  <c r="CU341" i="4"/>
  <c r="CU354" i="4"/>
  <c r="CU369" i="4"/>
  <c r="CU367" i="4"/>
  <c r="CU386" i="4"/>
  <c r="CU385" i="4"/>
  <c r="CU420" i="4"/>
  <c r="CU435" i="4"/>
  <c r="EM107" i="4"/>
  <c r="U26" i="4"/>
  <c r="CU293" i="4"/>
  <c r="CX295" i="4"/>
  <c r="CX311" i="4"/>
  <c r="CU320" i="4"/>
  <c r="CU324" i="4"/>
  <c r="CU313" i="4"/>
  <c r="CX308" i="4"/>
  <c r="CU338" i="4"/>
  <c r="CU337" i="4"/>
  <c r="CX335" i="4"/>
  <c r="CX341" i="4"/>
  <c r="CU362" i="4"/>
  <c r="CU379" i="4"/>
  <c r="CU387" i="4"/>
  <c r="CU392" i="4"/>
  <c r="CU408" i="4"/>
  <c r="CU417" i="4"/>
  <c r="CU426" i="4"/>
  <c r="CU434" i="4"/>
  <c r="EM170" i="4"/>
  <c r="EM25" i="4"/>
  <c r="EM7" i="4"/>
  <c r="EU344" i="4"/>
  <c r="EU428" i="4"/>
  <c r="EU437" i="4"/>
  <c r="EU429" i="4"/>
  <c r="EU411" i="4"/>
  <c r="EU412" i="4"/>
  <c r="EU410" i="4"/>
  <c r="EU418" i="4"/>
  <c r="EU417" i="4"/>
  <c r="EU407" i="4"/>
  <c r="CU299" i="4"/>
  <c r="CX304" i="4"/>
  <c r="CU316" i="4"/>
  <c r="CX306" i="4"/>
  <c r="CX292" i="4"/>
  <c r="CU290" i="4"/>
  <c r="CX339" i="4"/>
  <c r="CX337" i="4"/>
  <c r="CU356" i="4"/>
  <c r="N15" i="15"/>
  <c r="T15" i="15" s="1"/>
  <c r="CU371" i="4"/>
  <c r="CU400" i="4"/>
  <c r="CU406" i="4"/>
  <c r="CU419" i="4"/>
  <c r="CU194" i="4"/>
  <c r="CU302" i="4"/>
  <c r="CU294" i="4"/>
  <c r="CX314" i="4"/>
  <c r="CX315" i="4"/>
  <c r="CX327" i="4"/>
  <c r="CU331" i="4"/>
  <c r="CU323" i="4"/>
  <c r="CU370" i="4"/>
  <c r="CU373" i="4"/>
  <c r="CU391" i="4"/>
  <c r="CU384" i="4"/>
  <c r="CU396" i="4"/>
  <c r="CU416" i="4"/>
  <c r="EM247" i="4"/>
  <c r="BE437" i="4"/>
  <c r="EU299" i="4"/>
  <c r="CX305" i="4"/>
  <c r="CU300" i="4"/>
  <c r="CU297" i="4"/>
  <c r="CX301" i="4"/>
  <c r="CX291" i="4"/>
  <c r="CX313" i="4"/>
  <c r="CU312" i="4"/>
  <c r="CU328" i="4"/>
  <c r="CX309" i="4"/>
  <c r="CU348" i="4"/>
  <c r="CU335" i="4"/>
  <c r="CU352" i="4"/>
  <c r="CU357" i="4"/>
  <c r="CU403" i="4"/>
  <c r="EM96" i="4"/>
  <c r="EM327" i="4"/>
  <c r="EM138" i="4"/>
  <c r="EM287" i="4"/>
  <c r="EM157" i="4"/>
  <c r="EM74" i="4"/>
  <c r="EM127" i="4"/>
  <c r="EM355" i="4"/>
  <c r="EM323" i="4"/>
  <c r="EM221" i="4"/>
  <c r="EM109" i="4"/>
  <c r="EM46" i="4"/>
  <c r="EM185" i="4"/>
  <c r="EM215" i="4"/>
  <c r="EM156" i="4"/>
  <c r="EM304" i="4"/>
  <c r="EM226" i="4"/>
  <c r="EM106" i="4"/>
  <c r="EM194" i="4"/>
  <c r="EM207" i="4"/>
  <c r="EM193" i="4"/>
  <c r="EM273" i="4"/>
  <c r="EM310" i="4"/>
  <c r="EM296" i="4"/>
  <c r="EM227" i="4"/>
  <c r="EM225" i="4"/>
  <c r="EM40" i="4"/>
  <c r="EM214" i="4"/>
  <c r="EM257" i="4"/>
  <c r="EM354" i="4"/>
  <c r="EM11" i="4"/>
  <c r="HC76" i="4"/>
  <c r="EM53" i="4"/>
  <c r="EM174" i="4"/>
  <c r="EM186" i="4"/>
  <c r="EM275" i="4"/>
  <c r="EM246" i="4"/>
  <c r="EM211" i="4"/>
  <c r="EM124" i="4"/>
  <c r="EM384" i="4"/>
  <c r="EM345" i="4"/>
  <c r="EM250" i="4"/>
  <c r="EM162" i="4"/>
  <c r="EM301" i="4"/>
  <c r="EM36" i="4"/>
  <c r="EM375" i="4"/>
  <c r="EM152" i="4"/>
  <c r="EM331" i="4"/>
  <c r="EM198" i="4"/>
  <c r="EM409" i="4"/>
  <c r="EM113" i="4"/>
  <c r="EM315" i="4"/>
  <c r="EM149" i="4"/>
  <c r="EM232" i="4"/>
  <c r="EM57" i="4"/>
  <c r="EM385" i="4"/>
  <c r="EM17" i="4"/>
  <c r="EM93" i="4"/>
  <c r="EM370" i="4"/>
  <c r="EM302" i="4"/>
  <c r="EM251" i="4"/>
  <c r="HC279" i="4"/>
  <c r="EM49" i="4"/>
  <c r="EM353" i="4"/>
  <c r="EM269" i="4"/>
  <c r="EM424" i="4"/>
  <c r="EM21" i="4"/>
  <c r="EM292" i="4"/>
  <c r="EM173" i="4"/>
  <c r="EM26" i="4"/>
  <c r="EM37" i="4"/>
  <c r="EM243" i="4"/>
  <c r="EM175" i="4"/>
  <c r="EM159" i="4"/>
  <c r="EM281" i="4"/>
  <c r="EM277" i="4"/>
  <c r="EM97" i="4"/>
  <c r="EM360" i="4"/>
  <c r="EM217" i="4"/>
  <c r="EM195" i="4"/>
  <c r="EM131" i="4"/>
  <c r="EM319" i="4"/>
  <c r="EM249" i="4"/>
  <c r="EM182" i="4"/>
  <c r="EM136" i="4"/>
  <c r="EM70" i="4"/>
  <c r="EM317" i="4"/>
  <c r="EM71" i="4"/>
  <c r="EM52" i="4"/>
  <c r="EM361" i="4"/>
  <c r="EM235" i="4"/>
  <c r="EM112" i="4"/>
  <c r="EM117" i="4"/>
  <c r="EM78" i="4"/>
  <c r="EM75" i="4"/>
  <c r="EM18" i="4"/>
  <c r="EM356" i="4"/>
  <c r="EM168" i="4"/>
  <c r="EM169" i="4"/>
  <c r="EM265" i="4"/>
  <c r="EM392" i="4"/>
  <c r="EM329" i="4"/>
  <c r="EM80" i="4"/>
  <c r="EM15" i="4"/>
  <c r="EM413" i="4"/>
  <c r="EM63" i="4"/>
  <c r="EM153" i="4"/>
  <c r="EM357" i="4"/>
  <c r="EM239" i="4"/>
  <c r="EM9" i="4"/>
  <c r="EM406" i="4"/>
  <c r="EM116" i="4"/>
  <c r="EM316" i="4"/>
  <c r="EM408" i="4"/>
  <c r="EM231" i="4"/>
  <c r="EM222" i="4"/>
  <c r="EM271" i="4"/>
  <c r="EM372" i="4"/>
  <c r="EM256" i="4"/>
  <c r="EM397" i="4"/>
  <c r="EM147" i="4"/>
  <c r="EM270" i="4"/>
  <c r="EM364" i="4"/>
  <c r="EM282" i="4"/>
  <c r="EM99" i="4"/>
  <c r="EM238" i="4"/>
  <c r="EM72" i="4"/>
  <c r="EM32" i="4"/>
  <c r="EM90" i="4"/>
  <c r="EM114" i="4"/>
  <c r="EM154" i="4"/>
  <c r="EM41" i="4"/>
  <c r="EM79" i="4"/>
  <c r="EM160" i="4"/>
  <c r="EM365" i="4"/>
  <c r="EM280" i="4"/>
  <c r="EM199" i="4"/>
  <c r="EM266" i="4"/>
  <c r="EM422" i="4"/>
  <c r="EM285" i="4"/>
  <c r="EM38" i="4"/>
  <c r="EM115" i="4"/>
  <c r="EM341" i="4"/>
  <c r="EM48" i="4"/>
  <c r="EM264" i="4"/>
  <c r="EM389" i="4"/>
  <c r="EM54" i="4"/>
  <c r="EM197" i="4"/>
  <c r="EM179" i="4"/>
  <c r="EM332" i="4"/>
  <c r="EM253" i="4"/>
  <c r="EM50" i="4"/>
  <c r="EM6" i="4"/>
  <c r="EM122" i="4"/>
  <c r="BE435" i="4"/>
  <c r="EM94" i="4"/>
  <c r="EM68" i="4"/>
  <c r="EM234" i="4"/>
  <c r="EM81" i="4"/>
  <c r="EM164" i="4"/>
  <c r="EM108" i="4"/>
  <c r="EM325" i="4"/>
  <c r="EM209" i="4"/>
  <c r="EM171" i="4"/>
  <c r="EM140" i="4"/>
  <c r="EM386" i="4"/>
  <c r="EM326" i="4"/>
  <c r="EM196" i="4"/>
  <c r="EM27" i="4"/>
  <c r="EM399" i="4"/>
  <c r="EM208" i="4"/>
  <c r="EM61" i="4"/>
  <c r="EM347" i="4"/>
  <c r="EM258" i="4"/>
  <c r="EM298" i="4"/>
  <c r="EM383" i="4"/>
  <c r="EM91" i="4"/>
  <c r="EM30" i="4"/>
  <c r="EM369" i="4"/>
  <c r="EM83" i="4"/>
  <c r="EM189" i="4"/>
  <c r="EM137" i="4"/>
  <c r="EM342" i="4"/>
  <c r="EM44" i="4"/>
  <c r="EM401" i="4"/>
  <c r="EM58" i="4"/>
  <c r="EM276" i="4"/>
  <c r="EM358" i="4"/>
  <c r="EM233" i="4"/>
  <c r="EM206" i="4"/>
  <c r="EM291" i="4"/>
  <c r="EM288" i="4"/>
  <c r="EM305" i="4"/>
  <c r="EM395" i="4"/>
  <c r="EM55" i="4"/>
  <c r="EM200" i="4"/>
  <c r="EM82" i="4"/>
  <c r="EM62" i="4"/>
  <c r="EM284" i="4"/>
  <c r="EM104" i="4"/>
  <c r="EM39" i="4"/>
  <c r="EM398" i="4"/>
  <c r="EM85" i="4"/>
  <c r="EM119" i="4"/>
  <c r="EM92" i="4"/>
  <c r="EM359" i="4"/>
  <c r="EM303" i="4"/>
  <c r="EM245" i="4"/>
  <c r="EM134" i="4"/>
  <c r="EM142" i="4"/>
  <c r="EM105" i="4"/>
  <c r="EM255" i="4"/>
  <c r="EM146" i="4"/>
  <c r="EM293" i="4"/>
  <c r="EM244" i="4"/>
  <c r="EM155" i="4"/>
  <c r="EM321" i="4"/>
  <c r="EM346" i="4"/>
  <c r="EM187" i="4"/>
  <c r="EM394" i="4"/>
  <c r="EM100" i="4"/>
  <c r="EM87" i="4"/>
  <c r="EM148" i="4"/>
  <c r="EM309" i="4"/>
  <c r="EM240" i="4"/>
  <c r="EM297" i="4"/>
  <c r="EM20" i="4"/>
  <c r="EM368" i="4"/>
  <c r="EM300" i="4"/>
  <c r="EM248" i="4"/>
  <c r="EM43" i="4"/>
  <c r="EM350" i="4"/>
  <c r="EM64" i="4"/>
  <c r="EM330" i="4"/>
  <c r="EM205" i="4"/>
  <c r="EM220" i="4"/>
  <c r="EM391" i="4"/>
  <c r="EM126" i="4"/>
  <c r="EM343" i="4"/>
  <c r="EM129" i="4"/>
  <c r="EM14" i="4"/>
  <c r="EM216" i="4"/>
  <c r="EM213" i="4"/>
  <c r="EM47" i="4"/>
  <c r="EM348" i="4"/>
  <c r="EM242" i="4"/>
  <c r="EM379" i="4"/>
  <c r="EM33" i="4"/>
  <c r="EM423" i="4"/>
  <c r="EM181" i="4"/>
  <c r="EM191" i="4"/>
  <c r="EM377" i="4"/>
  <c r="EM390" i="4"/>
  <c r="EM318" i="4"/>
  <c r="EM436" i="4"/>
  <c r="EM393" i="4"/>
  <c r="EM128" i="4"/>
  <c r="EM56" i="4"/>
  <c r="EM219" i="4"/>
  <c r="EM16" i="4"/>
  <c r="EM286" i="4"/>
  <c r="EM335" i="4"/>
  <c r="EM184" i="4"/>
  <c r="EM241" i="4"/>
  <c r="EM259" i="4"/>
  <c r="EM396" i="4"/>
  <c r="EM177" i="4"/>
  <c r="EM121" i="4"/>
  <c r="EM29" i="4"/>
  <c r="EM188" i="4"/>
  <c r="EM260" i="4"/>
  <c r="EM23" i="4"/>
  <c r="EM339" i="4"/>
  <c r="EM172" i="4"/>
  <c r="EM101" i="4"/>
  <c r="EM254" i="4"/>
  <c r="EM84" i="4"/>
  <c r="EM387" i="4"/>
  <c r="EM334" i="4"/>
  <c r="EM338" i="4"/>
  <c r="EM229" i="4"/>
  <c r="EM427" i="4"/>
  <c r="EM268" i="4"/>
  <c r="EM178" i="4"/>
  <c r="EM59" i="4"/>
  <c r="EM190" i="4"/>
  <c r="EM161" i="4"/>
  <c r="EM125" i="4"/>
  <c r="EM65" i="4"/>
  <c r="EM431" i="4"/>
  <c r="EM42" i="4"/>
  <c r="EM311" i="4"/>
  <c r="EM86" i="4"/>
  <c r="EM135" i="4"/>
  <c r="EM374" i="4"/>
  <c r="EM279" i="4"/>
  <c r="EM320" i="4"/>
  <c r="EM22" i="4"/>
  <c r="EM337" i="4"/>
  <c r="EM180" i="4"/>
  <c r="EM89" i="4"/>
  <c r="EM45" i="4"/>
  <c r="EM34" i="4"/>
  <c r="EM371" i="4"/>
  <c r="EM102" i="4"/>
  <c r="EM328" i="4"/>
  <c r="EM77" i="4"/>
  <c r="EM228" i="4"/>
  <c r="EM158" i="4"/>
  <c r="EM367" i="4"/>
  <c r="EM314" i="4"/>
  <c r="EM24" i="4"/>
  <c r="EM290" i="4"/>
  <c r="EM118" i="4"/>
  <c r="EM51" i="4"/>
  <c r="EM363" i="4"/>
  <c r="EM308" i="4"/>
  <c r="EM69" i="4"/>
  <c r="EM139" i="4"/>
  <c r="EM5" i="4"/>
  <c r="EM150" i="4"/>
  <c r="EM133" i="4"/>
  <c r="EM111" i="4"/>
  <c r="EM123" i="4"/>
  <c r="EM163" i="4"/>
  <c r="EM212" i="4"/>
  <c r="EM192" i="4"/>
  <c r="EM218" i="4"/>
  <c r="EM31" i="4"/>
  <c r="EM278" i="4"/>
  <c r="EM176" i="4"/>
  <c r="EM76" i="4"/>
  <c r="EM272" i="4"/>
  <c r="EM141" i="4"/>
  <c r="EM307" i="4"/>
  <c r="EM230" i="4"/>
  <c r="EM166" i="4"/>
  <c r="EM110" i="4"/>
  <c r="EM167" i="4"/>
  <c r="EM165" i="4"/>
  <c r="EM378" i="4"/>
  <c r="EM381" i="4"/>
  <c r="EM183" i="4"/>
  <c r="EM252" i="4"/>
  <c r="EM60" i="4"/>
  <c r="EM340" i="4"/>
  <c r="EM210" i="4"/>
  <c r="EM98" i="4"/>
  <c r="EM73" i="4"/>
  <c r="EM263" i="4"/>
  <c r="EM382" i="4"/>
  <c r="EM66" i="4"/>
  <c r="EM373" i="4"/>
  <c r="EM88" i="4"/>
  <c r="EM434" i="4"/>
  <c r="EM289" i="4"/>
  <c r="EM324" i="4"/>
  <c r="EM143" i="4"/>
  <c r="EM336" i="4"/>
  <c r="EM261" i="4"/>
  <c r="EM274" i="4"/>
  <c r="EM425" i="4"/>
  <c r="EM67" i="4"/>
  <c r="EM349" i="4"/>
  <c r="EM267" i="4"/>
  <c r="EM306" i="4"/>
  <c r="EM223" i="4"/>
  <c r="EM151" i="4"/>
  <c r="D474" i="11"/>
  <c r="HC437" i="4"/>
  <c r="HC234" i="4"/>
  <c r="HC275" i="4"/>
  <c r="HC265" i="4"/>
  <c r="HC163" i="4"/>
  <c r="HC188" i="4"/>
  <c r="HC154" i="4"/>
  <c r="HC172" i="4"/>
  <c r="HC43" i="4"/>
  <c r="HC146" i="4"/>
  <c r="HC21" i="4"/>
  <c r="HC289" i="4"/>
  <c r="HC339" i="4"/>
  <c r="D478" i="11"/>
  <c r="HC159" i="4"/>
  <c r="HC398" i="4"/>
  <c r="HC260" i="4"/>
  <c r="HC140" i="4"/>
  <c r="HC386" i="4"/>
  <c r="HC257" i="4"/>
  <c r="HC263" i="4"/>
  <c r="HC258" i="4"/>
  <c r="HC247" i="4"/>
  <c r="HC282" i="4"/>
  <c r="HC68" i="4"/>
  <c r="HC69" i="4"/>
  <c r="HC407" i="4"/>
  <c r="HC388" i="4"/>
  <c r="HC362" i="4"/>
  <c r="HC380" i="4"/>
  <c r="HC237" i="4"/>
  <c r="HC333" i="4"/>
  <c r="HC145" i="4"/>
  <c r="HC294" i="4"/>
  <c r="HC322" i="4"/>
  <c r="HC400" i="4"/>
  <c r="HC351" i="4"/>
  <c r="HC376" i="4"/>
  <c r="HC236" i="4"/>
  <c r="HC416" i="4"/>
  <c r="HC402" i="4"/>
  <c r="HC141" i="4"/>
  <c r="HC228" i="4"/>
  <c r="HC266" i="4"/>
  <c r="HC384" i="4"/>
  <c r="HC395" i="4"/>
  <c r="HC408" i="4"/>
  <c r="HC117" i="4"/>
  <c r="HC332" i="4"/>
  <c r="W437" i="4"/>
  <c r="HC136" i="4"/>
  <c r="HC342" i="4"/>
  <c r="AA436" i="4"/>
  <c r="AE437" i="4"/>
  <c r="HC194" i="4"/>
  <c r="HC426" i="4"/>
  <c r="HC435" i="4"/>
  <c r="HC202" i="4"/>
  <c r="HC432" i="4"/>
  <c r="HC203" i="4"/>
  <c r="HC433" i="4"/>
  <c r="HC192" i="4"/>
  <c r="HC372" i="4"/>
  <c r="HC427" i="4"/>
  <c r="HC431" i="4"/>
  <c r="HC441" i="4"/>
  <c r="HC36" i="4"/>
  <c r="HC164" i="4"/>
  <c r="HC111" i="4"/>
  <c r="HC72" i="4"/>
  <c r="HC54" i="4"/>
  <c r="HC369" i="4"/>
  <c r="HC155" i="4"/>
  <c r="HC280" i="4"/>
  <c r="HC6" i="4"/>
  <c r="HC401" i="4"/>
  <c r="HC200" i="4"/>
  <c r="HC205" i="4"/>
  <c r="HC80" i="4"/>
  <c r="HC32" i="4"/>
  <c r="HC391" i="4"/>
  <c r="HC381" i="4"/>
  <c r="HC291" i="4"/>
  <c r="HC193" i="4"/>
  <c r="HC82" i="4"/>
  <c r="HC221" i="4"/>
  <c r="HC138" i="4"/>
  <c r="HC135" i="4"/>
  <c r="HC293" i="4"/>
  <c r="HC222" i="4"/>
  <c r="HC223" i="4"/>
  <c r="HC150" i="4"/>
  <c r="HC270" i="4"/>
  <c r="HC110" i="4"/>
  <c r="HC41" i="4"/>
  <c r="HC414" i="4"/>
  <c r="HC421" i="4"/>
  <c r="HC430" i="4"/>
  <c r="HC411" i="4"/>
  <c r="HC417" i="4"/>
  <c r="HC410" i="4"/>
  <c r="HC262" i="4"/>
  <c r="HC98" i="4"/>
  <c r="HC224" i="4"/>
  <c r="HC331" i="4"/>
  <c r="HC272" i="4"/>
  <c r="HC361" i="4"/>
  <c r="HC311" i="4"/>
  <c r="HC436" i="4"/>
  <c r="HC409" i="4"/>
  <c r="HC405" i="4"/>
  <c r="HC404" i="4"/>
  <c r="HC340" i="4"/>
  <c r="HC93" i="4"/>
  <c r="HC42" i="4"/>
  <c r="HC90" i="4"/>
  <c r="HC320" i="4"/>
  <c r="HC131" i="4"/>
  <c r="HC100" i="4"/>
  <c r="HC214" i="4"/>
  <c r="HC394" i="4"/>
  <c r="HC396" i="4"/>
  <c r="HC346" i="4"/>
  <c r="HC397" i="4"/>
  <c r="HC35" i="4"/>
  <c r="HC365" i="4"/>
  <c r="HC323" i="4"/>
  <c r="HC134" i="4"/>
  <c r="HC347" i="4"/>
  <c r="HC267" i="4"/>
  <c r="HC341" i="4"/>
  <c r="HC94" i="4"/>
  <c r="HC101" i="4"/>
  <c r="HC382" i="4"/>
  <c r="HC133" i="4"/>
  <c r="HC219" i="4"/>
  <c r="HC325" i="4"/>
  <c r="HC56" i="4"/>
  <c r="HC383" i="4"/>
  <c r="HC422" i="4"/>
  <c r="HC242" i="4"/>
  <c r="HC148" i="4"/>
  <c r="HC87" i="4"/>
  <c r="HC119" i="4"/>
  <c r="HC307" i="4"/>
  <c r="HC46" i="4"/>
  <c r="HC356" i="4"/>
  <c r="HC232" i="4"/>
  <c r="HC171" i="4"/>
  <c r="HC166" i="4"/>
  <c r="HC334" i="4"/>
  <c r="HC233" i="4"/>
  <c r="HC387" i="4"/>
  <c r="HC230" i="4"/>
  <c r="HC353" i="4"/>
  <c r="HC37" i="4"/>
  <c r="HC345" i="4"/>
  <c r="HC303" i="4"/>
  <c r="HC425" i="4"/>
  <c r="HC124" i="4"/>
  <c r="HC129" i="4"/>
  <c r="HC357" i="4"/>
  <c r="HC284" i="4"/>
  <c r="HC29" i="4"/>
  <c r="HC245" i="4"/>
  <c r="HC225" i="4"/>
  <c r="HC418" i="4"/>
  <c r="HC440" i="4"/>
  <c r="HC428" i="4"/>
  <c r="HC92" i="4"/>
  <c r="HC379" i="4"/>
  <c r="HC358" i="4"/>
  <c r="HC360" i="4"/>
  <c r="HC122" i="4"/>
  <c r="HC335" i="4"/>
  <c r="HC259" i="4"/>
  <c r="HC348" i="4"/>
  <c r="HC269" i="4"/>
  <c r="HC375" i="4"/>
  <c r="HC249" i="4"/>
  <c r="HC191" i="4"/>
  <c r="HC378" i="4"/>
  <c r="HC324" i="4"/>
  <c r="HC370" i="4"/>
  <c r="HC77" i="4"/>
  <c r="HC274" i="4"/>
  <c r="HC368" i="4"/>
  <c r="D472" i="11"/>
  <c r="HC196" i="4"/>
  <c r="HC152" i="4"/>
  <c r="HC298" i="4"/>
  <c r="HC108" i="4"/>
  <c r="HC59" i="4"/>
  <c r="HC403" i="4"/>
  <c r="HC415" i="4"/>
  <c r="HC429" i="4"/>
  <c r="HC142" i="4"/>
  <c r="HC199" i="4"/>
  <c r="HC374" i="4"/>
  <c r="HC424" i="4"/>
  <c r="HC438" i="4"/>
  <c r="HC412" i="4"/>
  <c r="HC113" i="4"/>
  <c r="HC115" i="4"/>
  <c r="HC126" i="4"/>
  <c r="HC153" i="4"/>
  <c r="HC209" i="4"/>
  <c r="HC65" i="4"/>
  <c r="HC89" i="4"/>
  <c r="HC178" i="4"/>
  <c r="HC210" i="4"/>
  <c r="HC149" i="4"/>
  <c r="HC217" i="4"/>
  <c r="HC211" i="4"/>
  <c r="HC184" i="4"/>
  <c r="HC241" i="4"/>
  <c r="HC206" i="4"/>
  <c r="HC50" i="4"/>
  <c r="HC197" i="4"/>
  <c r="HC173" i="4"/>
  <c r="HC253" i="4"/>
  <c r="HC45" i="4"/>
  <c r="HC185" i="4"/>
  <c r="HC355" i="4"/>
  <c r="HC57" i="4"/>
  <c r="HC85" i="4"/>
  <c r="HC174" i="4"/>
  <c r="HC107" i="4"/>
  <c r="HC308" i="4"/>
  <c r="HC123" i="4"/>
  <c r="HC109" i="4"/>
  <c r="HC95" i="4"/>
  <c r="HC256" i="4"/>
  <c r="HC180" i="4"/>
  <c r="HC67" i="4"/>
  <c r="HC310" i="4"/>
  <c r="HC102" i="4"/>
  <c r="HC373" i="4"/>
  <c r="HC19" i="4"/>
  <c r="HC367" i="4"/>
  <c r="D475" i="11"/>
  <c r="HC420" i="4"/>
  <c r="HC116" i="4"/>
  <c r="HC252" i="4"/>
  <c r="HC195" i="4"/>
  <c r="HC215" i="4"/>
  <c r="HC84" i="4"/>
  <c r="HC66" i="4"/>
  <c r="HC288" i="4"/>
  <c r="HC305" i="4"/>
  <c r="HC22" i="4"/>
  <c r="HC118" i="4"/>
  <c r="HC261" i="4"/>
  <c r="HC338" i="4"/>
  <c r="HC350" i="4"/>
  <c r="HC327" i="4"/>
  <c r="D480" i="11"/>
  <c r="HC344" i="4"/>
  <c r="HC120" i="4"/>
  <c r="HC183" i="4"/>
  <c r="HC393" i="4"/>
  <c r="HC128" i="4"/>
  <c r="HC156" i="4"/>
  <c r="HC143" i="4"/>
  <c r="HC186" i="4"/>
  <c r="HC52" i="4"/>
  <c r="HC201" i="4"/>
  <c r="HC309" i="4"/>
  <c r="HC139" i="4"/>
  <c r="HC343" i="4"/>
  <c r="HC287" i="4"/>
  <c r="HC121" i="4"/>
  <c r="HC399" i="4"/>
  <c r="HC364" i="4"/>
  <c r="HC246" i="4"/>
  <c r="HC330" i="4"/>
  <c r="HC243" i="4"/>
  <c r="HC212" i="4"/>
  <c r="HC255" i="4"/>
  <c r="HC207" i="4"/>
  <c r="HC55" i="4"/>
  <c r="HC304" i="4"/>
  <c r="HC290" i="4"/>
  <c r="HC336" i="4"/>
  <c r="D509" i="11"/>
  <c r="HC300" i="4"/>
  <c r="HC302" i="4"/>
  <c r="HC112" i="4"/>
  <c r="HC78" i="4"/>
  <c r="HC337" i="4"/>
  <c r="HC283" i="4"/>
  <c r="HC125" i="4"/>
  <c r="HC239" i="4"/>
  <c r="HC349" i="4"/>
  <c r="HC48" i="4"/>
  <c r="D507" i="11"/>
  <c r="HC24" i="4"/>
  <c r="HC31" i="4"/>
  <c r="HC165" i="4"/>
  <c r="HC30" i="4"/>
  <c r="HC25" i="4"/>
  <c r="HC281" i="4"/>
  <c r="HC26" i="4"/>
  <c r="HC27" i="4"/>
  <c r="HC20" i="4"/>
  <c r="HC74" i="4"/>
  <c r="HC15" i="4"/>
  <c r="HC63" i="4"/>
  <c r="HC198" i="4"/>
  <c r="HC213" i="4"/>
  <c r="HC318" i="4"/>
  <c r="HC10" i="4"/>
  <c r="HC64" i="4"/>
  <c r="HC12" i="4"/>
  <c r="HC285" i="4"/>
  <c r="HC419" i="4"/>
  <c r="HC240" i="4"/>
  <c r="HC354" i="4"/>
  <c r="HC423" i="4"/>
  <c r="Y437" i="4"/>
  <c r="AO437" i="4"/>
  <c r="CJ437" i="4"/>
  <c r="BU437" i="4"/>
  <c r="BA437" i="4"/>
  <c r="CE437" i="4"/>
  <c r="BJ437" i="4"/>
  <c r="BZ437" i="4"/>
  <c r="CN437" i="4"/>
  <c r="AT437" i="4"/>
  <c r="CG437" i="4"/>
  <c r="DS437" i="4"/>
  <c r="CC437" i="4"/>
  <c r="BN437" i="4"/>
  <c r="HE435" i="4"/>
  <c r="FU435" i="4" s="1"/>
  <c r="AA437" i="4"/>
  <c r="CQ437" i="4"/>
  <c r="EG437" i="4"/>
  <c r="O435" i="4"/>
  <c r="GP437" i="4"/>
  <c r="CP437" i="4"/>
  <c r="AX437" i="4"/>
  <c r="CB437" i="4"/>
  <c r="U437" i="4"/>
  <c r="AS437" i="4"/>
  <c r="BV437" i="4"/>
  <c r="BO437" i="4"/>
  <c r="Q435" i="4"/>
  <c r="Q437" i="4"/>
  <c r="S435" i="4"/>
  <c r="BX435" i="4"/>
  <c r="AZ437" i="4"/>
  <c r="S437" i="4"/>
  <c r="DR437" i="4"/>
  <c r="AJ437" i="4"/>
  <c r="O437" i="4"/>
  <c r="BL437" i="4"/>
  <c r="BC437" i="4"/>
  <c r="DZ437" i="4"/>
  <c r="AF437" i="4"/>
  <c r="BG437" i="4"/>
  <c r="DY437" i="4"/>
  <c r="AL437" i="4"/>
  <c r="GR431" i="4"/>
  <c r="GR437" i="4"/>
  <c r="CX437" i="4"/>
  <c r="BH437" i="4"/>
  <c r="DP437" i="4"/>
  <c r="BS437" i="4"/>
  <c r="AM437" i="4"/>
  <c r="EJ437" i="4" s="1"/>
  <c r="CI437" i="4"/>
  <c r="BX437" i="4"/>
  <c r="ED437" i="4"/>
  <c r="AQ437" i="4"/>
  <c r="AV437" i="4"/>
  <c r="BQ437" i="4"/>
  <c r="FE437" i="4"/>
  <c r="W435" i="4"/>
  <c r="AC437" i="4"/>
  <c r="EF437" i="4"/>
  <c r="CS437" i="4"/>
  <c r="GN437" i="4"/>
  <c r="W436" i="4"/>
  <c r="GN435" i="4"/>
  <c r="O436" i="4"/>
  <c r="FE435" i="4"/>
  <c r="GN431" i="4"/>
  <c r="GN430" i="4"/>
  <c r="GP431" i="4"/>
  <c r="GN434" i="4"/>
  <c r="S436" i="4"/>
  <c r="GP433" i="4"/>
  <c r="GP434" i="4"/>
  <c r="GP432" i="4"/>
  <c r="FC430" i="4"/>
  <c r="FC432" i="4"/>
  <c r="FC433" i="4"/>
  <c r="HE436" i="4"/>
  <c r="FU436" i="4" s="1"/>
  <c r="GP435" i="4"/>
  <c r="GN436" i="4"/>
  <c r="GP430" i="4"/>
  <c r="U436" i="4"/>
  <c r="U435" i="4"/>
  <c r="Y436" i="4"/>
  <c r="Q436" i="4"/>
  <c r="Y435" i="4"/>
  <c r="GR430" i="4"/>
  <c r="GR435" i="4"/>
  <c r="GR432" i="4"/>
  <c r="GR433" i="4"/>
  <c r="GR436" i="4"/>
  <c r="GR434" i="4"/>
  <c r="FE436" i="4"/>
  <c r="GN433" i="4"/>
  <c r="FC431" i="4"/>
  <c r="GN432" i="4"/>
  <c r="FE434" i="4"/>
  <c r="D506" i="11"/>
  <c r="DR435" i="4"/>
  <c r="CB435" i="4"/>
  <c r="CG436" i="4"/>
  <c r="CE435" i="4"/>
  <c r="BJ436" i="4"/>
  <c r="BZ436" i="4"/>
  <c r="BN436" i="4"/>
  <c r="DR436" i="4"/>
  <c r="CJ435" i="4"/>
  <c r="BU435" i="4"/>
  <c r="AZ436" i="4"/>
  <c r="AF435" i="4"/>
  <c r="CX435" i="4"/>
  <c r="BZ435" i="4"/>
  <c r="CN435" i="4"/>
  <c r="CQ435" i="4"/>
  <c r="AO435" i="4"/>
  <c r="AS435" i="4"/>
  <c r="CG435" i="4"/>
  <c r="AC436" i="4"/>
  <c r="AA435" i="4"/>
  <c r="CN436" i="4"/>
  <c r="AV436" i="4"/>
  <c r="CE436" i="4"/>
  <c r="AO436" i="4"/>
  <c r="DS436" i="4"/>
  <c r="AS436" i="4"/>
  <c r="AJ436" i="4"/>
  <c r="BO435" i="4"/>
  <c r="DS435" i="4"/>
  <c r="BX436" i="4"/>
  <c r="CP435" i="4"/>
  <c r="AX435" i="4"/>
  <c r="BO436" i="4"/>
  <c r="BV436" i="4"/>
  <c r="AF436" i="4"/>
  <c r="DP435" i="4"/>
  <c r="BN435" i="4"/>
  <c r="BQ436" i="4"/>
  <c r="AZ435" i="4"/>
  <c r="BS436" i="4"/>
  <c r="BL435" i="4"/>
  <c r="AT435" i="4"/>
  <c r="AT436" i="4"/>
  <c r="BU436" i="4"/>
  <c r="AE436" i="4"/>
  <c r="AJ435" i="4"/>
  <c r="BA435" i="4"/>
  <c r="BG435" i="4"/>
  <c r="AQ436" i="4"/>
  <c r="CQ436" i="4"/>
  <c r="BA436" i="4"/>
  <c r="BG436" i="4"/>
  <c r="AE435" i="4"/>
  <c r="AL435" i="4"/>
  <c r="BJ435" i="4"/>
  <c r="BH435" i="4"/>
  <c r="CP436" i="4"/>
  <c r="BH436" i="4"/>
  <c r="AM435" i="4"/>
  <c r="EJ435" i="4" s="1"/>
  <c r="AQ435" i="4"/>
  <c r="BC435" i="4"/>
  <c r="CJ436" i="4"/>
  <c r="CB436" i="4"/>
  <c r="DZ436" i="4"/>
  <c r="CS435" i="4"/>
  <c r="CC435" i="4"/>
  <c r="CI430" i="4"/>
  <c r="CI436" i="4"/>
  <c r="CC436" i="4"/>
  <c r="DY436" i="4"/>
  <c r="ED436" i="4"/>
  <c r="CI435" i="4"/>
  <c r="ED435" i="4"/>
  <c r="AO194" i="4"/>
  <c r="AL436" i="4"/>
  <c r="EG436" i="4"/>
  <c r="BV435" i="4"/>
  <c r="BL436" i="4"/>
  <c r="BQ435" i="4"/>
  <c r="DY435" i="4"/>
  <c r="AV435" i="4"/>
  <c r="CX436" i="4"/>
  <c r="AM436" i="4"/>
  <c r="EJ436" i="4" s="1"/>
  <c r="EF436" i="4"/>
  <c r="BS435" i="4"/>
  <c r="DZ435" i="4"/>
  <c r="AX436" i="4"/>
  <c r="EG435" i="4"/>
  <c r="CS436" i="4"/>
  <c r="AC435" i="4"/>
  <c r="DP436" i="4"/>
  <c r="BC436" i="4"/>
  <c r="EF435" i="4"/>
  <c r="D504" i="11"/>
  <c r="U50" i="4"/>
  <c r="U45" i="4"/>
  <c r="Y29" i="4"/>
  <c r="U16" i="4"/>
  <c r="U46" i="4"/>
  <c r="U31" i="4"/>
  <c r="Y23" i="4"/>
  <c r="Y45" i="4"/>
  <c r="U39" i="4"/>
  <c r="U20" i="4"/>
  <c r="U27" i="4"/>
  <c r="U41" i="4"/>
  <c r="Y27" i="4"/>
  <c r="U19" i="4"/>
  <c r="U37" i="4"/>
  <c r="U21" i="4"/>
  <c r="U53" i="4"/>
  <c r="Y19" i="4"/>
  <c r="U55" i="4"/>
  <c r="Y22" i="4"/>
  <c r="U44" i="4"/>
  <c r="U36" i="4"/>
  <c r="U30" i="4"/>
  <c r="U24" i="4"/>
  <c r="Y21" i="4"/>
  <c r="U25" i="4"/>
  <c r="U49" i="4"/>
  <c r="U23" i="4"/>
  <c r="U14" i="4"/>
  <c r="Y30" i="4"/>
  <c r="U28" i="4"/>
  <c r="U48" i="4"/>
  <c r="U52" i="4"/>
  <c r="U38" i="4"/>
  <c r="U17" i="4"/>
  <c r="Y31" i="4"/>
  <c r="Y26" i="4"/>
  <c r="U40" i="4"/>
  <c r="U32" i="4"/>
  <c r="U18" i="4"/>
  <c r="Y20" i="4"/>
  <c r="U33" i="4"/>
  <c r="U47" i="4"/>
  <c r="U42" i="4"/>
  <c r="U22" i="4"/>
  <c r="Y25" i="4"/>
  <c r="U54" i="4"/>
  <c r="U35" i="4"/>
  <c r="U51" i="4"/>
  <c r="W433" i="4"/>
  <c r="O434" i="4"/>
  <c r="HE431" i="4"/>
  <c r="FU431" i="4" s="1"/>
  <c r="Q434" i="4"/>
  <c r="S430" i="4"/>
  <c r="W431" i="4"/>
  <c r="Y431" i="4"/>
  <c r="U431" i="4"/>
  <c r="FM101" i="4"/>
  <c r="U66" i="4"/>
  <c r="S431" i="4"/>
  <c r="W432" i="4"/>
  <c r="O430" i="4"/>
  <c r="U430" i="4"/>
  <c r="U69" i="4"/>
  <c r="U64" i="4"/>
  <c r="FK10" i="4"/>
  <c r="FK12" i="4"/>
  <c r="Q433" i="4"/>
  <c r="W434" i="4"/>
  <c r="S434" i="4"/>
  <c r="U71" i="4"/>
  <c r="U73" i="4"/>
  <c r="FK25" i="4"/>
  <c r="FK24" i="4"/>
  <c r="Q432" i="4"/>
  <c r="HE430" i="4"/>
  <c r="FU430" i="4" s="1"/>
  <c r="U61" i="4"/>
  <c r="Q431" i="4"/>
  <c r="HE433" i="4"/>
  <c r="FU433" i="4" s="1"/>
  <c r="U74" i="4"/>
  <c r="O433" i="4"/>
  <c r="HE434" i="4"/>
  <c r="FU434" i="4" s="1"/>
  <c r="U77" i="4"/>
  <c r="U58" i="4"/>
  <c r="U78" i="4"/>
  <c r="GP424" i="4"/>
  <c r="FK30" i="4"/>
  <c r="O432" i="4"/>
  <c r="Y434" i="4"/>
  <c r="HE432" i="4"/>
  <c r="FU432" i="4" s="1"/>
  <c r="Y430" i="4"/>
  <c r="U60" i="4"/>
  <c r="U56" i="4"/>
  <c r="U72" i="4"/>
  <c r="U76" i="4"/>
  <c r="FK15" i="4"/>
  <c r="O431" i="4"/>
  <c r="Y433" i="4"/>
  <c r="U433" i="4"/>
  <c r="U70" i="4"/>
  <c r="U67" i="4"/>
  <c r="U79" i="4"/>
  <c r="Y432" i="4"/>
  <c r="U432" i="4"/>
  <c r="U434" i="4"/>
  <c r="U59" i="4"/>
  <c r="U75" i="4"/>
  <c r="U65" i="4"/>
  <c r="W430" i="4"/>
  <c r="U62" i="4"/>
  <c r="U68" i="4"/>
  <c r="U57" i="4"/>
  <c r="CN430" i="4"/>
  <c r="FK27" i="4"/>
  <c r="S433" i="4"/>
  <c r="Q430" i="4"/>
  <c r="U63" i="4"/>
  <c r="FK32" i="4"/>
  <c r="S432" i="4"/>
  <c r="BX432" i="4"/>
  <c r="DR434" i="4"/>
  <c r="CC432" i="4"/>
  <c r="BO431" i="4"/>
  <c r="BV430" i="4"/>
  <c r="AZ434" i="4"/>
  <c r="AA433" i="4"/>
  <c r="CE431" i="4"/>
  <c r="BJ434" i="4"/>
  <c r="BZ434" i="4"/>
  <c r="AX432" i="4"/>
  <c r="AS430" i="4"/>
  <c r="CG430" i="4"/>
  <c r="BU434" i="4"/>
  <c r="AL434" i="4"/>
  <c r="BX431" i="4"/>
  <c r="DZ433" i="4"/>
  <c r="BC434" i="4"/>
  <c r="AQ434" i="4"/>
  <c r="DS433" i="4"/>
  <c r="AJ433" i="4"/>
  <c r="CB432" i="4"/>
  <c r="BZ433" i="4"/>
  <c r="BL433" i="4"/>
  <c r="AX433" i="4"/>
  <c r="CN433" i="4"/>
  <c r="BO430" i="4"/>
  <c r="BZ430" i="4"/>
  <c r="CE430" i="4"/>
  <c r="BA430" i="4"/>
  <c r="AF194" i="4"/>
  <c r="AF434" i="4"/>
  <c r="BO434" i="4"/>
  <c r="EG431" i="4"/>
  <c r="DY433" i="4"/>
  <c r="DR433" i="4"/>
  <c r="AA432" i="4"/>
  <c r="AJ432" i="4"/>
  <c r="CC431" i="4"/>
  <c r="BZ432" i="4"/>
  <c r="CG433" i="4"/>
  <c r="BL432" i="4"/>
  <c r="CN432" i="4"/>
  <c r="DZ430" i="4"/>
  <c r="BN430" i="4"/>
  <c r="BS430" i="4"/>
  <c r="AZ430" i="4"/>
  <c r="AX430" i="4"/>
  <c r="AE434" i="4"/>
  <c r="BN434" i="4"/>
  <c r="AT433" i="4"/>
  <c r="DZ432" i="4"/>
  <c r="AQ433" i="4"/>
  <c r="AO434" i="4"/>
  <c r="DS432" i="4"/>
  <c r="AA431" i="4"/>
  <c r="AJ431" i="4"/>
  <c r="CB431" i="4"/>
  <c r="BZ431" i="4"/>
  <c r="CG432" i="4"/>
  <c r="BL431" i="4"/>
  <c r="AX431" i="4"/>
  <c r="CN431" i="4"/>
  <c r="CB430" i="4"/>
  <c r="DY430" i="4"/>
  <c r="AJ430" i="4"/>
  <c r="AC430" i="4"/>
  <c r="DR430" i="4"/>
  <c r="BX430" i="4"/>
  <c r="CQ434" i="4"/>
  <c r="EG434" i="4"/>
  <c r="AS433" i="4"/>
  <c r="EG432" i="4"/>
  <c r="BS433" i="4"/>
  <c r="DY432" i="4"/>
  <c r="AC433" i="4"/>
  <c r="AQ432" i="4"/>
  <c r="DR432" i="4"/>
  <c r="BQ434" i="4"/>
  <c r="DP434" i="4"/>
  <c r="CG431" i="4"/>
  <c r="DP433" i="4"/>
  <c r="CG434" i="4"/>
  <c r="AF430" i="4"/>
  <c r="CX430" i="4"/>
  <c r="DS430" i="4"/>
  <c r="AQ430" i="4"/>
  <c r="CP434" i="4"/>
  <c r="EF434" i="4"/>
  <c r="AT432" i="4"/>
  <c r="BJ433" i="4"/>
  <c r="BN433" i="4"/>
  <c r="BS432" i="4"/>
  <c r="DY431" i="4"/>
  <c r="AC432" i="4"/>
  <c r="AQ431" i="4"/>
  <c r="DS431" i="4"/>
  <c r="CX433" i="4"/>
  <c r="BA433" i="4"/>
  <c r="BL434" i="4"/>
  <c r="DP432" i="4"/>
  <c r="EG433" i="4"/>
  <c r="CE434" i="4"/>
  <c r="DP430" i="4"/>
  <c r="AE430" i="4"/>
  <c r="CC434" i="4"/>
  <c r="DZ434" i="4"/>
  <c r="CJ434" i="4"/>
  <c r="AS432" i="4"/>
  <c r="BJ432" i="4"/>
  <c r="BO433" i="4"/>
  <c r="BS431" i="4"/>
  <c r="DZ431" i="4"/>
  <c r="AC431" i="4"/>
  <c r="BV433" i="4"/>
  <c r="BQ433" i="4"/>
  <c r="DR431" i="4"/>
  <c r="CX432" i="4"/>
  <c r="CN434" i="4"/>
  <c r="AZ433" i="4"/>
  <c r="DP431" i="4"/>
  <c r="CS434" i="4"/>
  <c r="ED430" i="4"/>
  <c r="EF433" i="4"/>
  <c r="AO430" i="4"/>
  <c r="BJ430" i="4"/>
  <c r="CB434" i="4"/>
  <c r="DY434" i="4"/>
  <c r="CI434" i="4"/>
  <c r="AS431" i="4"/>
  <c r="BJ431" i="4"/>
  <c r="BO432" i="4"/>
  <c r="BC433" i="4"/>
  <c r="AF433" i="4"/>
  <c r="BU433" i="4"/>
  <c r="BQ432" i="4"/>
  <c r="CJ433" i="4"/>
  <c r="CQ433" i="4"/>
  <c r="BA432" i="4"/>
  <c r="AM433" i="4"/>
  <c r="EJ433" i="4" s="1"/>
  <c r="BH433" i="4"/>
  <c r="AV430" i="4"/>
  <c r="CX434" i="4"/>
  <c r="DS434" i="4"/>
  <c r="AT434" i="4"/>
  <c r="AT431" i="4"/>
  <c r="CS433" i="4"/>
  <c r="BN432" i="4"/>
  <c r="BC432" i="4"/>
  <c r="AE433" i="4"/>
  <c r="BV432" i="4"/>
  <c r="BQ431" i="4"/>
  <c r="CI433" i="4"/>
  <c r="CP433" i="4"/>
  <c r="CX431" i="4"/>
  <c r="AZ432" i="4"/>
  <c r="AL433" i="4"/>
  <c r="BG433" i="4"/>
  <c r="EF430" i="4"/>
  <c r="AM430" i="4"/>
  <c r="EJ430" i="4" s="1"/>
  <c r="AT430" i="4"/>
  <c r="BL430" i="4"/>
  <c r="AS434" i="4"/>
  <c r="CS432" i="4"/>
  <c r="BN431" i="4"/>
  <c r="BC431" i="4"/>
  <c r="AF432" i="4"/>
  <c r="BU432" i="4"/>
  <c r="CJ432" i="4"/>
  <c r="CQ432" i="4"/>
  <c r="AZ431" i="4"/>
  <c r="AM432" i="4"/>
  <c r="EJ432" i="4" s="1"/>
  <c r="BG432" i="4"/>
  <c r="EG430" i="4"/>
  <c r="CS430" i="4"/>
  <c r="AL430" i="4"/>
  <c r="BH430" i="4"/>
  <c r="BA434" i="4"/>
  <c r="BH434" i="4"/>
  <c r="BS434" i="4"/>
  <c r="CS431" i="4"/>
  <c r="AJ434" i="4"/>
  <c r="ED433" i="4"/>
  <c r="AE432" i="4"/>
  <c r="CE433" i="4"/>
  <c r="BU431" i="4"/>
  <c r="CI432" i="4"/>
  <c r="CP432" i="4"/>
  <c r="AO433" i="4"/>
  <c r="CC433" i="4"/>
  <c r="AV433" i="4"/>
  <c r="BA431" i="4"/>
  <c r="AL432" i="4"/>
  <c r="BH432" i="4"/>
  <c r="BX434" i="4"/>
  <c r="CC430" i="4"/>
  <c r="BC430" i="4"/>
  <c r="CJ430" i="4"/>
  <c r="AA430" i="4"/>
  <c r="BG430" i="4"/>
  <c r="BG434" i="4"/>
  <c r="BX433" i="4"/>
  <c r="AC434" i="4"/>
  <c r="AV434" i="4"/>
  <c r="ED432" i="4"/>
  <c r="AE431" i="4"/>
  <c r="CE432" i="4"/>
  <c r="BV431" i="4"/>
  <c r="CJ431" i="4"/>
  <c r="CP431" i="4"/>
  <c r="AO432" i="4"/>
  <c r="CB433" i="4"/>
  <c r="AV432" i="4"/>
  <c r="AM431" i="4"/>
  <c r="EJ431" i="4" s="1"/>
  <c r="BH431" i="4"/>
  <c r="BU430" i="4"/>
  <c r="EF432" i="4"/>
  <c r="CQ430" i="4"/>
  <c r="CJ194" i="4"/>
  <c r="BV434" i="4"/>
  <c r="AM434" i="4"/>
  <c r="EJ434" i="4" s="1"/>
  <c r="AX434" i="4"/>
  <c r="AA434" i="4"/>
  <c r="ED431" i="4"/>
  <c r="AF431" i="4"/>
  <c r="CI431" i="4"/>
  <c r="CQ431" i="4"/>
  <c r="AO431" i="4"/>
  <c r="AV431" i="4"/>
  <c r="AL431" i="4"/>
  <c r="BG431" i="4"/>
  <c r="ED434" i="4"/>
  <c r="CP430" i="4"/>
  <c r="BQ430" i="4"/>
  <c r="EF431" i="4"/>
  <c r="CE426" i="4"/>
  <c r="FM177" i="4"/>
  <c r="GR427" i="4"/>
  <c r="D501" i="11"/>
  <c r="FM78" i="4"/>
  <c r="FM428" i="4"/>
  <c r="GP427" i="4"/>
  <c r="BJ427" i="4"/>
  <c r="BZ427" i="4"/>
  <c r="AX429" i="4"/>
  <c r="O429" i="4"/>
  <c r="Y427" i="4"/>
  <c r="U426" i="4"/>
  <c r="GP426" i="4"/>
  <c r="CN427" i="4"/>
  <c r="HE428" i="4"/>
  <c r="FU428" i="4" s="1"/>
  <c r="GP428" i="4"/>
  <c r="S426" i="4"/>
  <c r="CG426" i="4"/>
  <c r="GP429" i="4"/>
  <c r="GN426" i="4"/>
  <c r="BX426" i="4"/>
  <c r="DS426" i="4"/>
  <c r="CB426" i="4"/>
  <c r="FC429" i="4"/>
  <c r="FC426" i="4"/>
  <c r="GN428" i="4"/>
  <c r="GN429" i="4"/>
  <c r="GR194" i="4"/>
  <c r="GR426" i="4"/>
  <c r="GR428" i="4"/>
  <c r="GR429" i="4"/>
  <c r="BA429" i="4"/>
  <c r="W429" i="4"/>
  <c r="GN427" i="4"/>
  <c r="FC427" i="4"/>
  <c r="FM164" i="4"/>
  <c r="FM397" i="4"/>
  <c r="FM408" i="4"/>
  <c r="AT427" i="4"/>
  <c r="AM427" i="4"/>
  <c r="EJ427" i="4" s="1"/>
  <c r="CB428" i="4"/>
  <c r="BQ427" i="4"/>
  <c r="W428" i="4"/>
  <c r="DS429" i="4"/>
  <c r="AZ429" i="4"/>
  <c r="BS428" i="4"/>
  <c r="CE429" i="4"/>
  <c r="AO429" i="4"/>
  <c r="S429" i="4"/>
  <c r="CJ429" i="4"/>
  <c r="BJ426" i="4"/>
  <c r="BA426" i="4"/>
  <c r="FM89" i="4"/>
  <c r="FM165" i="4"/>
  <c r="FM26" i="4"/>
  <c r="DP426" i="4"/>
  <c r="BO426" i="4"/>
  <c r="CC426" i="4"/>
  <c r="FM138" i="4"/>
  <c r="FM82" i="4"/>
  <c r="Q426" i="4"/>
  <c r="FM390" i="4"/>
  <c r="AS427" i="4"/>
  <c r="AL427" i="4"/>
  <c r="CC428" i="4"/>
  <c r="BX429" i="4"/>
  <c r="DR429" i="4"/>
  <c r="BA428" i="4"/>
  <c r="BS429" i="4"/>
  <c r="CE428" i="4"/>
  <c r="AO428" i="4"/>
  <c r="BL427" i="4"/>
  <c r="O427" i="4"/>
  <c r="S428" i="4"/>
  <c r="CJ428" i="4"/>
  <c r="AZ426" i="4"/>
  <c r="FM31" i="4"/>
  <c r="FM220" i="4"/>
  <c r="FM320" i="4"/>
  <c r="BN426" i="4"/>
  <c r="FM150" i="4"/>
  <c r="FM54" i="4"/>
  <c r="FM125" i="4"/>
  <c r="FM285" i="4"/>
  <c r="FM87" i="4"/>
  <c r="BA427" i="4"/>
  <c r="BV427" i="4"/>
  <c r="CQ429" i="4"/>
  <c r="CC429" i="4"/>
  <c r="BX428" i="4"/>
  <c r="W427" i="4"/>
  <c r="CG428" i="4"/>
  <c r="DS428" i="4"/>
  <c r="DP428" i="4"/>
  <c r="Q428" i="4"/>
  <c r="U429" i="4"/>
  <c r="AA429" i="4"/>
  <c r="CI429" i="4"/>
  <c r="BC429" i="4"/>
  <c r="FM109" i="4"/>
  <c r="FM239" i="4"/>
  <c r="FM293" i="4"/>
  <c r="FM148" i="4"/>
  <c r="FM122" i="4"/>
  <c r="FM45" i="4"/>
  <c r="FM315" i="4"/>
  <c r="AJ426" i="4"/>
  <c r="FM332" i="4"/>
  <c r="FM60" i="4"/>
  <c r="O426" i="4"/>
  <c r="FM384" i="4"/>
  <c r="FM395" i="4"/>
  <c r="AZ427" i="4"/>
  <c r="BU427" i="4"/>
  <c r="CQ428" i="4"/>
  <c r="CB429" i="4"/>
  <c r="BH429" i="4"/>
  <c r="CG429" i="4"/>
  <c r="DR428" i="4"/>
  <c r="DP429" i="4"/>
  <c r="Q429" i="4"/>
  <c r="BS427" i="4"/>
  <c r="CE427" i="4"/>
  <c r="AO427" i="4"/>
  <c r="U428" i="4"/>
  <c r="AA428" i="4"/>
  <c r="S427" i="4"/>
  <c r="CI428" i="4"/>
  <c r="BC428" i="4"/>
  <c r="FM107" i="4"/>
  <c r="FM153" i="4"/>
  <c r="FM217" i="4"/>
  <c r="FM335" i="4"/>
  <c r="CP426" i="4"/>
  <c r="BV426" i="4"/>
  <c r="AE426" i="4"/>
  <c r="FM38" i="4"/>
  <c r="BZ426" i="4"/>
  <c r="FM339" i="4"/>
  <c r="CJ427" i="4"/>
  <c r="CC427" i="4"/>
  <c r="CP428" i="4"/>
  <c r="BX427" i="4"/>
  <c r="BG429" i="4"/>
  <c r="AJ429" i="4"/>
  <c r="AQ429" i="4"/>
  <c r="CS429" i="4"/>
  <c r="AT429" i="4"/>
  <c r="BJ428" i="4"/>
  <c r="FM291" i="4"/>
  <c r="FM57" i="4"/>
  <c r="FM193" i="4"/>
  <c r="CQ426" i="4"/>
  <c r="FM341" i="4"/>
  <c r="BU426" i="4"/>
  <c r="CS426" i="4"/>
  <c r="AF426" i="4"/>
  <c r="BS426" i="4"/>
  <c r="AL426" i="4"/>
  <c r="CI427" i="4"/>
  <c r="CB427" i="4"/>
  <c r="CP429" i="4"/>
  <c r="DY429" i="4"/>
  <c r="BH428" i="4"/>
  <c r="CG427" i="4"/>
  <c r="AJ428" i="4"/>
  <c r="DP427" i="4"/>
  <c r="Q427" i="4"/>
  <c r="AQ428" i="4"/>
  <c r="CS428" i="4"/>
  <c r="AS429" i="4"/>
  <c r="U427" i="4"/>
  <c r="AA427" i="4"/>
  <c r="BJ429" i="4"/>
  <c r="BC427" i="4"/>
  <c r="FM141" i="4"/>
  <c r="FM256" i="4"/>
  <c r="AS426" i="4"/>
  <c r="ED426" i="4"/>
  <c r="Y426" i="4"/>
  <c r="HE427" i="4"/>
  <c r="FU427" i="4" s="1"/>
  <c r="AC426" i="4"/>
  <c r="AM426" i="4"/>
  <c r="EJ426" i="4" s="1"/>
  <c r="FM228" i="4"/>
  <c r="FM385" i="4"/>
  <c r="BO427" i="4"/>
  <c r="AF427" i="4"/>
  <c r="DZ429" i="4"/>
  <c r="BG428" i="4"/>
  <c r="AE428" i="4"/>
  <c r="Y429" i="4"/>
  <c r="BO429" i="4"/>
  <c r="AT428" i="4"/>
  <c r="BV428" i="4"/>
  <c r="BZ429" i="4"/>
  <c r="FM90" i="4"/>
  <c r="FM242" i="4"/>
  <c r="BL426" i="4"/>
  <c r="AT426" i="4"/>
  <c r="AV426" i="4"/>
  <c r="DY426" i="4"/>
  <c r="FM174" i="4"/>
  <c r="CJ426" i="4"/>
  <c r="FM394" i="4"/>
  <c r="BN427" i="4"/>
  <c r="CX427" i="4"/>
  <c r="AE427" i="4"/>
  <c r="DY428" i="4"/>
  <c r="AF429" i="4"/>
  <c r="Y428" i="4"/>
  <c r="AJ427" i="4"/>
  <c r="BN429" i="4"/>
  <c r="CX428" i="4"/>
  <c r="AQ427" i="4"/>
  <c r="CS427" i="4"/>
  <c r="AS428" i="4"/>
  <c r="BU428" i="4"/>
  <c r="BZ428" i="4"/>
  <c r="FM325" i="4"/>
  <c r="FM238" i="4"/>
  <c r="AQ426" i="4"/>
  <c r="BG426" i="4"/>
  <c r="EF426" i="4"/>
  <c r="DZ426" i="4"/>
  <c r="HE429" i="4"/>
  <c r="FU429" i="4" s="1"/>
  <c r="CX426" i="4"/>
  <c r="CI426" i="4"/>
  <c r="FM277" i="4"/>
  <c r="FM19" i="4"/>
  <c r="FM158" i="4"/>
  <c r="FM404" i="4"/>
  <c r="FM388" i="4"/>
  <c r="FM376" i="4"/>
  <c r="FM402" i="4"/>
  <c r="FM322" i="4"/>
  <c r="FM145" i="4"/>
  <c r="FM155" i="4"/>
  <c r="FM113" i="4"/>
  <c r="FM72" i="4"/>
  <c r="FM126" i="4"/>
  <c r="FM149" i="4"/>
  <c r="FM407" i="4"/>
  <c r="FM319" i="4"/>
  <c r="DZ427" i="4"/>
  <c r="BH427" i="4"/>
  <c r="DS427" i="4"/>
  <c r="AM429" i="4"/>
  <c r="EJ429" i="4" s="1"/>
  <c r="CN428" i="4"/>
  <c r="DZ428" i="4"/>
  <c r="AE429" i="4"/>
  <c r="AC429" i="4"/>
  <c r="AX428" i="4"/>
  <c r="BO428" i="4"/>
  <c r="EG428" i="4"/>
  <c r="CX429" i="4"/>
  <c r="ED428" i="4"/>
  <c r="AV429" i="4"/>
  <c r="BV429" i="4"/>
  <c r="FM318" i="4"/>
  <c r="FM340" i="4"/>
  <c r="BH426" i="4"/>
  <c r="BC426" i="4"/>
  <c r="EG426" i="4"/>
  <c r="FM300" i="4"/>
  <c r="FM81" i="4"/>
  <c r="HE426" i="4"/>
  <c r="FU426" i="4" s="1"/>
  <c r="W426" i="4"/>
  <c r="AO426" i="4"/>
  <c r="BQ426" i="4"/>
  <c r="FM349" i="4"/>
  <c r="FM381" i="4"/>
  <c r="DY427" i="4"/>
  <c r="BG427" i="4"/>
  <c r="DR427" i="4"/>
  <c r="AL429" i="4"/>
  <c r="CN429" i="4"/>
  <c r="BQ429" i="4"/>
  <c r="AF428" i="4"/>
  <c r="AC428" i="4"/>
  <c r="BN428" i="4"/>
  <c r="EF428" i="4"/>
  <c r="ED429" i="4"/>
  <c r="AV428" i="4"/>
  <c r="BU429" i="4"/>
  <c r="DR426" i="4"/>
  <c r="AA426" i="4"/>
  <c r="CN426" i="4"/>
  <c r="FM75" i="4"/>
  <c r="FM206" i="4"/>
  <c r="FM210" i="4"/>
  <c r="FM200" i="4"/>
  <c r="FM356" i="4"/>
  <c r="FM307" i="4"/>
  <c r="AX426" i="4"/>
  <c r="FM56" i="4"/>
  <c r="EG427" i="4"/>
  <c r="CQ427" i="4"/>
  <c r="AM428" i="4"/>
  <c r="EJ428" i="4" s="1"/>
  <c r="BQ428" i="4"/>
  <c r="AZ428" i="4"/>
  <c r="EG429" i="4"/>
  <c r="BL429" i="4"/>
  <c r="O428" i="4"/>
  <c r="FM222" i="4"/>
  <c r="FM302" i="4"/>
  <c r="FM254" i="4"/>
  <c r="FM102" i="4"/>
  <c r="FM191" i="4"/>
  <c r="FM396" i="4"/>
  <c r="FM168" i="4"/>
  <c r="FM219" i="4"/>
  <c r="FM184" i="4"/>
  <c r="FM365" i="4"/>
  <c r="EF427" i="4"/>
  <c r="CP427" i="4"/>
  <c r="AL428" i="4"/>
  <c r="AC427" i="4"/>
  <c r="AX427" i="4"/>
  <c r="EF429" i="4"/>
  <c r="ED427" i="4"/>
  <c r="AV427" i="4"/>
  <c r="BL428" i="4"/>
  <c r="FM213" i="4"/>
  <c r="FM197" i="4"/>
  <c r="FM253" i="4"/>
  <c r="FM111" i="4"/>
  <c r="FM127" i="4"/>
  <c r="FM135" i="4"/>
  <c r="FM209" i="4"/>
  <c r="FM221" i="4"/>
  <c r="FM241" i="4"/>
  <c r="FG9" i="4"/>
  <c r="HE421" i="4"/>
  <c r="FU421" i="4" s="1"/>
  <c r="DS194" i="4"/>
  <c r="CC194" i="4"/>
  <c r="BO194" i="4"/>
  <c r="BU194" i="4"/>
  <c r="BA194" i="4"/>
  <c r="W194" i="4"/>
  <c r="BJ194" i="4"/>
  <c r="BZ194" i="4"/>
  <c r="O194" i="4"/>
  <c r="CN194" i="4"/>
  <c r="H4" i="18"/>
  <c r="D4" i="18"/>
  <c r="S194" i="4"/>
  <c r="AT194" i="4"/>
  <c r="CG194" i="4"/>
  <c r="GW194" i="4"/>
  <c r="FE194" i="4"/>
  <c r="AX194" i="4"/>
  <c r="GN194" i="4"/>
  <c r="FS194" i="4"/>
  <c r="FT194" i="4"/>
  <c r="U194" i="4"/>
  <c r="Y194" i="4"/>
  <c r="DR194" i="4"/>
  <c r="BV194" i="4"/>
  <c r="Q194" i="4"/>
  <c r="CQ194" i="4"/>
  <c r="CB194" i="4"/>
  <c r="AQ194" i="4"/>
  <c r="AS194" i="4"/>
  <c r="DZ194" i="4"/>
  <c r="F4" i="18"/>
  <c r="AL194" i="4"/>
  <c r="DY194" i="4"/>
  <c r="DP194" i="4"/>
  <c r="CI194" i="4"/>
  <c r="AA194" i="4"/>
  <c r="GP194" i="4"/>
  <c r="BN194" i="4"/>
  <c r="BH194" i="4"/>
  <c r="ED194" i="4"/>
  <c r="BQ194" i="4"/>
  <c r="AZ194" i="4"/>
  <c r="C481" i="11"/>
  <c r="C453" i="11"/>
  <c r="B8" i="17"/>
  <c r="AM425" i="4"/>
  <c r="EJ425" i="4" s="1"/>
  <c r="GW425" i="4" s="1"/>
  <c r="CN422" i="4"/>
  <c r="GR421" i="4"/>
  <c r="FG61" i="4"/>
  <c r="W423" i="4"/>
  <c r="FG47" i="4"/>
  <c r="O424" i="4"/>
  <c r="FG83" i="4"/>
  <c r="FG8" i="4"/>
  <c r="FG40" i="4"/>
  <c r="FG7" i="4"/>
  <c r="HE423" i="4"/>
  <c r="FU423" i="4" s="1"/>
  <c r="FG79" i="4"/>
  <c r="Y421" i="4"/>
  <c r="S421" i="4"/>
  <c r="FG49" i="4"/>
  <c r="FG28" i="4"/>
  <c r="U423" i="4"/>
  <c r="FG33" i="4"/>
  <c r="FG68" i="4"/>
  <c r="FG11" i="4"/>
  <c r="CJ421" i="4"/>
  <c r="AS425" i="4"/>
  <c r="AE424" i="4"/>
  <c r="DS423" i="4"/>
  <c r="BU423" i="4"/>
  <c r="BA423" i="4"/>
  <c r="BH422" i="4"/>
  <c r="AO421" i="4"/>
  <c r="AA425" i="4"/>
  <c r="CE423" i="4"/>
  <c r="ED425" i="4"/>
  <c r="BJ421" i="4"/>
  <c r="CG423" i="4"/>
  <c r="BS423" i="4"/>
  <c r="BZ423" i="4"/>
  <c r="BX423" i="4"/>
  <c r="CB424" i="4"/>
  <c r="BO425" i="4"/>
  <c r="AX423" i="4"/>
  <c r="Q421" i="4"/>
  <c r="DS422" i="4"/>
  <c r="DR423" i="4"/>
  <c r="AZ423" i="4"/>
  <c r="AS423" i="4"/>
  <c r="CP425" i="4"/>
  <c r="AL425" i="4"/>
  <c r="AT425" i="4"/>
  <c r="AC425" i="4"/>
  <c r="AJ425" i="4"/>
  <c r="DZ424" i="4"/>
  <c r="BA424" i="4"/>
  <c r="AM424" i="4"/>
  <c r="EJ424" i="4" s="1"/>
  <c r="BZ424" i="4"/>
  <c r="BJ424" i="4"/>
  <c r="AQ424" i="4"/>
  <c r="AO425" i="4"/>
  <c r="FC424" i="4"/>
  <c r="O423" i="4"/>
  <c r="AO423" i="4"/>
  <c r="BQ422" i="4"/>
  <c r="AA421" i="4"/>
  <c r="BX421" i="4"/>
  <c r="DP424" i="4"/>
  <c r="U421" i="4"/>
  <c r="CS423" i="4"/>
  <c r="EG422" i="4"/>
  <c r="AT422" i="4"/>
  <c r="BH423" i="4"/>
  <c r="DZ423" i="4"/>
  <c r="AF423" i="4"/>
  <c r="BV425" i="4"/>
  <c r="EG425" i="4"/>
  <c r="BJ423" i="4"/>
  <c r="Y425" i="4"/>
  <c r="BH424" i="4"/>
  <c r="AZ424" i="4"/>
  <c r="AL424" i="4"/>
  <c r="Y424" i="4"/>
  <c r="AA423" i="4"/>
  <c r="FC425" i="4"/>
  <c r="O421" i="4"/>
  <c r="GP425" i="4"/>
  <c r="AQ421" i="4"/>
  <c r="BL421" i="4"/>
  <c r="BL422" i="4"/>
  <c r="BV421" i="4"/>
  <c r="EF422" i="4"/>
  <c r="AS422" i="4"/>
  <c r="BG423" i="4"/>
  <c r="DY423" i="4"/>
  <c r="AE423" i="4"/>
  <c r="BU425" i="4"/>
  <c r="EF425" i="4"/>
  <c r="BJ425" i="4"/>
  <c r="BG424" i="4"/>
  <c r="BV424" i="4"/>
  <c r="O425" i="4"/>
  <c r="AX424" i="4"/>
  <c r="BS425" i="4"/>
  <c r="BO421" i="4"/>
  <c r="W421" i="4"/>
  <c r="BZ421" i="4"/>
  <c r="BS422" i="4"/>
  <c r="GN423" i="4"/>
  <c r="CG421" i="4"/>
  <c r="AJ424" i="4"/>
  <c r="BG421" i="4"/>
  <c r="CG422" i="4"/>
  <c r="BU421" i="4"/>
  <c r="AJ423" i="4"/>
  <c r="AL422" i="4"/>
  <c r="CJ422" i="4"/>
  <c r="BO422" i="4"/>
  <c r="AM423" i="4"/>
  <c r="EJ423" i="4" s="1"/>
  <c r="CC423" i="4"/>
  <c r="CJ423" i="4"/>
  <c r="DY425" i="4"/>
  <c r="BH425" i="4"/>
  <c r="AC423" i="4"/>
  <c r="CE425" i="4"/>
  <c r="CI424" i="4"/>
  <c r="BU424" i="4"/>
  <c r="DR424" i="4"/>
  <c r="BQ424" i="4"/>
  <c r="W425" i="4"/>
  <c r="BN421" i="4"/>
  <c r="CC421" i="4"/>
  <c r="BS421" i="4"/>
  <c r="AM421" i="4"/>
  <c r="EJ421" i="4" s="1"/>
  <c r="DP425" i="4"/>
  <c r="AC422" i="4"/>
  <c r="BA421" i="4"/>
  <c r="BH421" i="4"/>
  <c r="CQ421" i="4"/>
  <c r="GR424" i="4"/>
  <c r="AM422" i="4"/>
  <c r="EJ422" i="4" s="1"/>
  <c r="CI422" i="4"/>
  <c r="BN422" i="4"/>
  <c r="AL423" i="4"/>
  <c r="CB423" i="4"/>
  <c r="CI423" i="4"/>
  <c r="DZ425" i="4"/>
  <c r="BG425" i="4"/>
  <c r="BZ425" i="4"/>
  <c r="CN425" i="4"/>
  <c r="CJ424" i="4"/>
  <c r="AS424" i="4"/>
  <c r="DS424" i="4"/>
  <c r="W424" i="4"/>
  <c r="AO424" i="4"/>
  <c r="AJ421" i="4"/>
  <c r="BX422" i="4"/>
  <c r="AC421" i="4"/>
  <c r="AL421" i="4"/>
  <c r="CN423" i="4"/>
  <c r="BJ422" i="4"/>
  <c r="AZ421" i="4"/>
  <c r="O422" i="4"/>
  <c r="GN425" i="4"/>
  <c r="CN421" i="4"/>
  <c r="CP421" i="4"/>
  <c r="S423" i="4"/>
  <c r="DP423" i="4"/>
  <c r="DY421" i="4"/>
  <c r="AX421" i="4"/>
  <c r="CQ422" i="4"/>
  <c r="BG422" i="4"/>
  <c r="DZ422" i="4"/>
  <c r="CX423" i="4"/>
  <c r="EG423" i="4"/>
  <c r="CI425" i="4"/>
  <c r="AV425" i="4"/>
  <c r="BQ425" i="4"/>
  <c r="CQ424" i="4"/>
  <c r="AT424" i="4"/>
  <c r="U424" i="4"/>
  <c r="AF421" i="4"/>
  <c r="CE422" i="4"/>
  <c r="CI421" i="4"/>
  <c r="BZ422" i="4"/>
  <c r="GN421" i="4"/>
  <c r="Y422" i="4"/>
  <c r="AT421" i="4"/>
  <c r="BL423" i="4"/>
  <c r="DZ421" i="4"/>
  <c r="DP421" i="4"/>
  <c r="CP422" i="4"/>
  <c r="DY422" i="4"/>
  <c r="EF423" i="4"/>
  <c r="CJ425" i="4"/>
  <c r="CP424" i="4"/>
  <c r="AC424" i="4"/>
  <c r="CE424" i="4"/>
  <c r="AA424" i="4"/>
  <c r="BL424" i="4"/>
  <c r="AE421" i="4"/>
  <c r="AO422" i="4"/>
  <c r="CX421" i="4"/>
  <c r="DS421" i="4"/>
  <c r="AS421" i="4"/>
  <c r="AV422" i="4"/>
  <c r="FK422" i="4"/>
  <c r="AF422" i="4"/>
  <c r="CB422" i="4"/>
  <c r="BO423" i="4"/>
  <c r="AF425" i="4"/>
  <c r="DS425" i="4"/>
  <c r="CX425" i="4"/>
  <c r="Q423" i="4"/>
  <c r="CS425" i="4"/>
  <c r="BX425" i="4"/>
  <c r="AV424" i="4"/>
  <c r="BC425" i="4"/>
  <c r="HE422" i="4"/>
  <c r="FU422" i="4" s="1"/>
  <c r="BQ421" i="4"/>
  <c r="DR421" i="4"/>
  <c r="CS424" i="4"/>
  <c r="GR425" i="4"/>
  <c r="ED423" i="4"/>
  <c r="ED422" i="4"/>
  <c r="GP423" i="4"/>
  <c r="Q422" i="4"/>
  <c r="AE422" i="4"/>
  <c r="CC422" i="4"/>
  <c r="BN423" i="4"/>
  <c r="AE425" i="4"/>
  <c r="DR425" i="4"/>
  <c r="Q425" i="4"/>
  <c r="AQ425" i="4"/>
  <c r="S425" i="4"/>
  <c r="BN424" i="4"/>
  <c r="EG424" i="4"/>
  <c r="ED424" i="4"/>
  <c r="BL425" i="4"/>
  <c r="BS424" i="4"/>
  <c r="BC422" i="4"/>
  <c r="HE425" i="4"/>
  <c r="FU425" i="4" s="1"/>
  <c r="S422" i="4"/>
  <c r="CB421" i="4"/>
  <c r="CE421" i="4"/>
  <c r="CG424" i="4"/>
  <c r="BC423" i="4"/>
  <c r="W422" i="4"/>
  <c r="GR423" i="4"/>
  <c r="BC421" i="4"/>
  <c r="ED421" i="4"/>
  <c r="GN422" i="4"/>
  <c r="BA422" i="4"/>
  <c r="CX422" i="4"/>
  <c r="BV422" i="4"/>
  <c r="CQ423" i="4"/>
  <c r="BV423" i="4"/>
  <c r="BN425" i="4"/>
  <c r="BA425" i="4"/>
  <c r="CC425" i="4"/>
  <c r="U425" i="4"/>
  <c r="CG425" i="4"/>
  <c r="CX424" i="4"/>
  <c r="BO424" i="4"/>
  <c r="EF424" i="4"/>
  <c r="Q424" i="4"/>
  <c r="CN424" i="4"/>
  <c r="CS422" i="4"/>
  <c r="BQ423" i="4"/>
  <c r="U422" i="4"/>
  <c r="S424" i="4"/>
  <c r="GP421" i="4"/>
  <c r="AV421" i="4"/>
  <c r="GP422" i="4"/>
  <c r="CS421" i="4"/>
  <c r="AZ422" i="4"/>
  <c r="BU422" i="4"/>
  <c r="CP423" i="4"/>
  <c r="AZ425" i="4"/>
  <c r="CB425" i="4"/>
  <c r="AV423" i="4"/>
  <c r="AX425" i="4"/>
  <c r="AF424" i="4"/>
  <c r="CC424" i="4"/>
  <c r="AA422" i="4"/>
  <c r="AJ422" i="4"/>
  <c r="AX422" i="4"/>
  <c r="DP422" i="4"/>
  <c r="AQ423" i="4"/>
  <c r="EG421" i="4"/>
  <c r="Y423" i="4"/>
  <c r="GN424" i="4"/>
  <c r="FE421" i="4"/>
  <c r="DR422" i="4"/>
  <c r="AT423" i="4"/>
  <c r="CQ425" i="4"/>
  <c r="DY424" i="4"/>
  <c r="BX424" i="4"/>
  <c r="AQ422" i="4"/>
  <c r="GR422" i="4"/>
  <c r="EF421" i="4"/>
  <c r="FI423" i="4"/>
  <c r="GP418" i="4"/>
  <c r="D500" i="11"/>
  <c r="D505" i="11"/>
  <c r="AC392" i="4"/>
  <c r="AC389" i="4"/>
  <c r="AC396" i="4"/>
  <c r="AC376" i="4"/>
  <c r="AC390" i="4"/>
  <c r="AC404" i="4"/>
  <c r="AC377" i="4"/>
  <c r="AC406" i="4"/>
  <c r="AC394" i="4"/>
  <c r="FK418" i="4"/>
  <c r="CN416" i="4"/>
  <c r="HE424" i="4"/>
  <c r="FU424" i="4" s="1"/>
  <c r="GP416" i="4"/>
  <c r="BC368" i="4"/>
  <c r="BQ290" i="4"/>
  <c r="FK36" i="4"/>
  <c r="FK416" i="4"/>
  <c r="BQ304" i="4"/>
  <c r="GN416" i="4"/>
  <c r="GP417" i="4"/>
  <c r="DP189" i="4"/>
  <c r="BQ300" i="4"/>
  <c r="FK35" i="4"/>
  <c r="GN420" i="4"/>
  <c r="GP415" i="4"/>
  <c r="FG5" i="4"/>
  <c r="FG419" i="4"/>
  <c r="GN419" i="4"/>
  <c r="GP414" i="4"/>
  <c r="GN417" i="4"/>
  <c r="GP419" i="4"/>
  <c r="GR414" i="4"/>
  <c r="GR419" i="4"/>
  <c r="GR418" i="4"/>
  <c r="GR417" i="4"/>
  <c r="GR420" i="4"/>
  <c r="GR415" i="4"/>
  <c r="GR416" i="4"/>
  <c r="GN415" i="4"/>
  <c r="GP420" i="4"/>
  <c r="BQ303" i="4"/>
  <c r="GN414" i="4"/>
  <c r="CI419" i="4"/>
  <c r="GN418" i="4"/>
  <c r="DP208" i="4"/>
  <c r="BG420" i="4"/>
  <c r="FC4" i="4"/>
  <c r="FC415" i="4"/>
  <c r="FC420" i="4"/>
  <c r="FC417" i="4"/>
  <c r="FC414" i="4"/>
  <c r="BN420" i="4"/>
  <c r="CG417" i="4"/>
  <c r="AS418" i="4"/>
  <c r="AL406" i="4"/>
  <c r="BS415" i="4"/>
  <c r="CG415" i="4"/>
  <c r="BX414" i="4"/>
  <c r="W415" i="4"/>
  <c r="BL418" i="4"/>
  <c r="DR414" i="4"/>
  <c r="CB419" i="4"/>
  <c r="BZ415" i="4"/>
  <c r="BU415" i="4"/>
  <c r="Y420" i="4"/>
  <c r="DP414" i="4"/>
  <c r="S414" i="4"/>
  <c r="O414" i="4"/>
  <c r="AO414" i="4"/>
  <c r="AA419" i="4"/>
  <c r="CE415" i="4"/>
  <c r="BA417" i="4"/>
  <c r="U416" i="4"/>
  <c r="ED418" i="4"/>
  <c r="BJ416" i="4"/>
  <c r="AF415" i="4"/>
  <c r="HE419" i="4"/>
  <c r="FU419" i="4" s="1"/>
  <c r="AZ418" i="4"/>
  <c r="D473" i="11"/>
  <c r="D479" i="11"/>
  <c r="D471" i="11"/>
  <c r="D503" i="11"/>
  <c r="D476" i="11"/>
  <c r="FI16" i="4"/>
  <c r="FI53" i="4"/>
  <c r="DR417" i="4"/>
  <c r="BJ414" i="4"/>
  <c r="AA417" i="4"/>
  <c r="BA416" i="4"/>
  <c r="BX416" i="4"/>
  <c r="AQ415" i="4"/>
  <c r="DP416" i="4"/>
  <c r="BL420" i="4"/>
  <c r="BG419" i="4"/>
  <c r="CN414" i="4"/>
  <c r="CP414" i="4"/>
  <c r="AT417" i="4"/>
  <c r="BC420" i="4"/>
  <c r="ED417" i="4"/>
  <c r="AV414" i="4"/>
  <c r="EG414" i="4"/>
  <c r="BV419" i="4"/>
  <c r="BV414" i="4"/>
  <c r="DY420" i="4"/>
  <c r="CS414" i="4"/>
  <c r="BO416" i="4"/>
  <c r="AJ414" i="4"/>
  <c r="AF414" i="4"/>
  <c r="U418" i="4"/>
  <c r="CB416" i="4"/>
  <c r="AO418" i="4"/>
  <c r="AL417" i="4"/>
  <c r="CJ420" i="4"/>
  <c r="BQ414" i="4"/>
  <c r="Y417" i="4"/>
  <c r="DS419" i="4"/>
  <c r="BJ415" i="4"/>
  <c r="AA418" i="4"/>
  <c r="BX419" i="4"/>
  <c r="AQ414" i="4"/>
  <c r="O420" i="4"/>
  <c r="BH417" i="4"/>
  <c r="CN415" i="4"/>
  <c r="CQ417" i="4"/>
  <c r="CQ415" i="4"/>
  <c r="AT415" i="4"/>
  <c r="BC417" i="4"/>
  <c r="ED419" i="4"/>
  <c r="EG418" i="4"/>
  <c r="EG415" i="4"/>
  <c r="BU419" i="4"/>
  <c r="BU414" i="4"/>
  <c r="DZ418" i="4"/>
  <c r="S420" i="4"/>
  <c r="CS415" i="4"/>
  <c r="BN416" i="4"/>
  <c r="AF418" i="4"/>
  <c r="AE414" i="4"/>
  <c r="U419" i="4"/>
  <c r="AO419" i="4"/>
  <c r="AM414" i="4"/>
  <c r="EJ414" i="4" s="1"/>
  <c r="CI420" i="4"/>
  <c r="BQ415" i="4"/>
  <c r="Y419" i="4"/>
  <c r="DR419" i="4"/>
  <c r="AA420" i="4"/>
  <c r="CG419" i="4"/>
  <c r="AZ416" i="4"/>
  <c r="BX420" i="4"/>
  <c r="O419" i="4"/>
  <c r="DP415" i="4"/>
  <c r="BL416" i="4"/>
  <c r="BG417" i="4"/>
  <c r="CQ416" i="4"/>
  <c r="CP415" i="4"/>
  <c r="AS415" i="4"/>
  <c r="BC418" i="4"/>
  <c r="CX420" i="4"/>
  <c r="ED420" i="4"/>
  <c r="EF419" i="4"/>
  <c r="EF415" i="4"/>
  <c r="BU420" i="4"/>
  <c r="DY418" i="4"/>
  <c r="S418" i="4"/>
  <c r="CC416" i="4"/>
  <c r="BN415" i="4"/>
  <c r="AE417" i="4"/>
  <c r="AE415" i="4"/>
  <c r="U420" i="4"/>
  <c r="AO420" i="4"/>
  <c r="AL414" i="4"/>
  <c r="CJ418" i="4"/>
  <c r="CE417" i="4"/>
  <c r="Y415" i="4"/>
  <c r="DR416" i="4"/>
  <c r="AA416" i="4"/>
  <c r="CG418" i="4"/>
  <c r="AZ417" i="4"/>
  <c r="BX417" i="4"/>
  <c r="O418" i="4"/>
  <c r="BL414" i="4"/>
  <c r="BH414" i="4"/>
  <c r="CB418" i="4"/>
  <c r="CP418" i="4"/>
  <c r="AS417" i="4"/>
  <c r="AT414" i="4"/>
  <c r="BC419" i="4"/>
  <c r="CX419" i="4"/>
  <c r="ED416" i="4"/>
  <c r="EG416" i="4"/>
  <c r="AC418" i="4"/>
  <c r="BV416" i="4"/>
  <c r="DZ419" i="4"/>
  <c r="S417" i="4"/>
  <c r="BN414" i="4"/>
  <c r="AE418" i="4"/>
  <c r="HE416" i="4"/>
  <c r="FU416" i="4" s="1"/>
  <c r="U415" i="4"/>
  <c r="AO417" i="4"/>
  <c r="AL416" i="4"/>
  <c r="AM415" i="4"/>
  <c r="EJ415" i="4" s="1"/>
  <c r="CJ414" i="4"/>
  <c r="CE420" i="4"/>
  <c r="Y414" i="4"/>
  <c r="DS420" i="4"/>
  <c r="AA414" i="4"/>
  <c r="CG420" i="4"/>
  <c r="AZ419" i="4"/>
  <c r="BX418" i="4"/>
  <c r="O417" i="4"/>
  <c r="BL415" i="4"/>
  <c r="BG414" i="4"/>
  <c r="CP416" i="4"/>
  <c r="AT416" i="4"/>
  <c r="AS414" i="4"/>
  <c r="BC416" i="4"/>
  <c r="ED414" i="4"/>
  <c r="EF418" i="4"/>
  <c r="AC417" i="4"/>
  <c r="BU416" i="4"/>
  <c r="DY419" i="4"/>
  <c r="S419" i="4"/>
  <c r="BO419" i="4"/>
  <c r="BO414" i="4"/>
  <c r="AE419" i="4"/>
  <c r="HE417" i="4"/>
  <c r="FU417" i="4" s="1"/>
  <c r="U414" i="4"/>
  <c r="AO416" i="4"/>
  <c r="AM420" i="4"/>
  <c r="EJ420" i="4" s="1"/>
  <c r="AL415" i="4"/>
  <c r="CI415" i="4"/>
  <c r="CE418" i="4"/>
  <c r="BS420" i="4"/>
  <c r="FI18" i="4"/>
  <c r="FI23" i="4"/>
  <c r="DS416" i="4"/>
  <c r="AA415" i="4"/>
  <c r="CG416" i="4"/>
  <c r="BA420" i="4"/>
  <c r="BX415" i="4"/>
  <c r="O416" i="4"/>
  <c r="BH418" i="4"/>
  <c r="BG415" i="4"/>
  <c r="CP419" i="4"/>
  <c r="AS416" i="4"/>
  <c r="BC415" i="4"/>
  <c r="CX414" i="4"/>
  <c r="ED415" i="4"/>
  <c r="EF416" i="4"/>
  <c r="AC419" i="4"/>
  <c r="BV418" i="4"/>
  <c r="DZ417" i="4"/>
  <c r="S416" i="4"/>
  <c r="BN419" i="4"/>
  <c r="BO415" i="4"/>
  <c r="AE420" i="4"/>
  <c r="HE420" i="4"/>
  <c r="FU420" i="4" s="1"/>
  <c r="BZ420" i="4"/>
  <c r="W419" i="4"/>
  <c r="AO415" i="4"/>
  <c r="AM416" i="4"/>
  <c r="EJ416" i="4" s="1"/>
  <c r="CJ416" i="4"/>
  <c r="CI414" i="4"/>
  <c r="CE419" i="4"/>
  <c r="BS418" i="4"/>
  <c r="FI58" i="4"/>
  <c r="DR420" i="4"/>
  <c r="CG414" i="4"/>
  <c r="BA415" i="4"/>
  <c r="O415" i="4"/>
  <c r="BG418" i="4"/>
  <c r="BH415" i="4"/>
  <c r="CP417" i="4"/>
  <c r="AT420" i="4"/>
  <c r="BC414" i="4"/>
  <c r="AV418" i="4"/>
  <c r="EG420" i="4"/>
  <c r="AC420" i="4"/>
  <c r="BU418" i="4"/>
  <c r="DY417" i="4"/>
  <c r="S415" i="4"/>
  <c r="BO418" i="4"/>
  <c r="AJ418" i="4"/>
  <c r="AF416" i="4"/>
  <c r="HE415" i="4"/>
  <c r="FU415" i="4" s="1"/>
  <c r="BZ419" i="4"/>
  <c r="W417" i="4"/>
  <c r="AM418" i="4"/>
  <c r="EJ418" i="4" s="1"/>
  <c r="CI416" i="4"/>
  <c r="CJ415" i="4"/>
  <c r="CE416" i="4"/>
  <c r="BS419" i="4"/>
  <c r="DS418" i="4"/>
  <c r="BJ418" i="4"/>
  <c r="AZ415" i="4"/>
  <c r="AQ417" i="4"/>
  <c r="BG416" i="4"/>
  <c r="CN419" i="4"/>
  <c r="CQ420" i="4"/>
  <c r="AT419" i="4"/>
  <c r="AV417" i="4"/>
  <c r="EF420" i="4"/>
  <c r="AC416" i="4"/>
  <c r="BV420" i="4"/>
  <c r="DY415" i="4"/>
  <c r="CS417" i="4"/>
  <c r="BN418" i="4"/>
  <c r="AJ420" i="4"/>
  <c r="AE416" i="4"/>
  <c r="HE418" i="4"/>
  <c r="FU418" i="4" s="1"/>
  <c r="BZ417" i="4"/>
  <c r="W418" i="4"/>
  <c r="CB417" i="4"/>
  <c r="AL420" i="4"/>
  <c r="CJ417" i="4"/>
  <c r="BQ418" i="4"/>
  <c r="CE414" i="4"/>
  <c r="BS417" i="4"/>
  <c r="CB414" i="4"/>
  <c r="DS415" i="4"/>
  <c r="BJ417" i="4"/>
  <c r="AZ420" i="4"/>
  <c r="BA414" i="4"/>
  <c r="AQ418" i="4"/>
  <c r="DP420" i="4"/>
  <c r="BH416" i="4"/>
  <c r="CN420" i="4"/>
  <c r="CP420" i="4"/>
  <c r="AT418" i="4"/>
  <c r="CX417" i="4"/>
  <c r="CX415" i="4"/>
  <c r="AV416" i="4"/>
  <c r="EG417" i="4"/>
  <c r="AC415" i="4"/>
  <c r="BV417" i="4"/>
  <c r="DZ414" i="4"/>
  <c r="CS416" i="4"/>
  <c r="BO417" i="4"/>
  <c r="AJ416" i="4"/>
  <c r="AF417" i="4"/>
  <c r="HE414" i="4"/>
  <c r="FU414" i="4" s="1"/>
  <c r="BZ418" i="4"/>
  <c r="W420" i="4"/>
  <c r="AL418" i="4"/>
  <c r="CI418" i="4"/>
  <c r="BQ420" i="4"/>
  <c r="BS416" i="4"/>
  <c r="FI17" i="4"/>
  <c r="CC419" i="4"/>
  <c r="DR415" i="4"/>
  <c r="BJ420" i="4"/>
  <c r="CC414" i="4"/>
  <c r="BA419" i="4"/>
  <c r="AZ414" i="4"/>
  <c r="AQ420" i="4"/>
  <c r="DP419" i="4"/>
  <c r="BH419" i="4"/>
  <c r="CN417" i="4"/>
  <c r="CQ418" i="4"/>
  <c r="AS419" i="4"/>
  <c r="CB420" i="4"/>
  <c r="AV420" i="4"/>
  <c r="EG419" i="4"/>
  <c r="AC414" i="4"/>
  <c r="BU417" i="4"/>
  <c r="DZ416" i="4"/>
  <c r="DY414" i="4"/>
  <c r="CS419" i="4"/>
  <c r="BO420" i="4"/>
  <c r="AJ417" i="4"/>
  <c r="AF420" i="4"/>
  <c r="BZ416" i="4"/>
  <c r="W416" i="4"/>
  <c r="AM419" i="4"/>
  <c r="EJ419" i="4" s="1"/>
  <c r="CI417" i="4"/>
  <c r="BQ416" i="4"/>
  <c r="Y418" i="4"/>
  <c r="BS414" i="4"/>
  <c r="DR418" i="4"/>
  <c r="DS414" i="4"/>
  <c r="BJ419" i="4"/>
  <c r="CC417" i="4"/>
  <c r="BA418" i="4"/>
  <c r="AQ419" i="4"/>
  <c r="DP417" i="4"/>
  <c r="BL417" i="4"/>
  <c r="BH420" i="4"/>
  <c r="CN418" i="4"/>
  <c r="CQ419" i="4"/>
  <c r="AS420" i="4"/>
  <c r="CX418" i="4"/>
  <c r="AV419" i="4"/>
  <c r="EF417" i="4"/>
  <c r="CC418" i="4"/>
  <c r="BV415" i="4"/>
  <c r="DZ420" i="4"/>
  <c r="DZ415" i="4"/>
  <c r="CS420" i="4"/>
  <c r="BN417" i="4"/>
  <c r="AJ419" i="4"/>
  <c r="AF419" i="4"/>
  <c r="U417" i="4"/>
  <c r="BZ414" i="4"/>
  <c r="W414" i="4"/>
  <c r="AL419" i="4"/>
  <c r="CJ419" i="4"/>
  <c r="BQ417" i="4"/>
  <c r="Y416" i="4"/>
  <c r="Q414" i="4"/>
  <c r="Q415" i="4"/>
  <c r="Q416" i="4"/>
  <c r="Q419" i="4"/>
  <c r="Q417" i="4"/>
  <c r="Q420" i="4"/>
  <c r="Q418" i="4"/>
  <c r="AX415" i="4"/>
  <c r="AX414" i="4"/>
  <c r="AX416" i="4"/>
  <c r="AX419" i="4"/>
  <c r="AX420" i="4"/>
  <c r="AX417" i="4"/>
  <c r="AX418" i="4"/>
  <c r="DS417" i="4"/>
  <c r="CC415" i="4"/>
  <c r="AQ416" i="4"/>
  <c r="CB415" i="4"/>
  <c r="DP418" i="4"/>
  <c r="BL419" i="4"/>
  <c r="CQ414" i="4"/>
  <c r="CX416" i="4"/>
  <c r="AV415" i="4"/>
  <c r="EF414" i="4"/>
  <c r="DY416" i="4"/>
  <c r="CC420" i="4"/>
  <c r="CS418" i="4"/>
  <c r="AJ415" i="4"/>
  <c r="AM417" i="4"/>
  <c r="EJ417" i="4" s="1"/>
  <c r="BQ419" i="4"/>
  <c r="BQ295" i="4"/>
  <c r="GP404" i="4"/>
  <c r="BQ299" i="4"/>
  <c r="BQ296" i="4"/>
  <c r="BQ314" i="4"/>
  <c r="BQ313" i="4"/>
  <c r="BQ305" i="4"/>
  <c r="BQ301" i="4"/>
  <c r="BQ298" i="4"/>
  <c r="BQ291" i="4"/>
  <c r="BQ310" i="4"/>
  <c r="BQ302" i="4"/>
  <c r="BQ297" i="4"/>
  <c r="BQ309" i="4"/>
  <c r="BQ308" i="4"/>
  <c r="BQ306" i="4"/>
  <c r="BQ292" i="4"/>
  <c r="BQ294" i="4"/>
  <c r="BQ293" i="4"/>
  <c r="BQ307" i="4"/>
  <c r="BQ312" i="4"/>
  <c r="FK64" i="4"/>
  <c r="AC380" i="4"/>
  <c r="AC400" i="4"/>
  <c r="FK46" i="4"/>
  <c r="AC402" i="4"/>
  <c r="AC386" i="4"/>
  <c r="AC381" i="4"/>
  <c r="AC393" i="4"/>
  <c r="AC379" i="4"/>
  <c r="AC398" i="4"/>
  <c r="FI55" i="4"/>
  <c r="AC383" i="4"/>
  <c r="AC374" i="4"/>
  <c r="AC388" i="4"/>
  <c r="AC395" i="4"/>
  <c r="AC378" i="4"/>
  <c r="AC387" i="4"/>
  <c r="AC382" i="4"/>
  <c r="AC397" i="4"/>
  <c r="AC384" i="4"/>
  <c r="AC399" i="4"/>
  <c r="AC375" i="4"/>
  <c r="AC385" i="4"/>
  <c r="AC391" i="4"/>
  <c r="AC401" i="4"/>
  <c r="FK51" i="4"/>
  <c r="FK41" i="4"/>
  <c r="FK42" i="4"/>
  <c r="FK67" i="4"/>
  <c r="FI69" i="4"/>
  <c r="FK50" i="4"/>
  <c r="FK65" i="4"/>
  <c r="AE408" i="4"/>
  <c r="FK63" i="4"/>
  <c r="DP291" i="4"/>
  <c r="FK74" i="4"/>
  <c r="FK77" i="4"/>
  <c r="GR409" i="4"/>
  <c r="AJ379" i="4"/>
  <c r="AJ378" i="4"/>
  <c r="AJ392" i="4"/>
  <c r="AJ372" i="4"/>
  <c r="AC405" i="4"/>
  <c r="AJ373" i="4"/>
  <c r="AJ375" i="4"/>
  <c r="BL401" i="4"/>
  <c r="BL398" i="4"/>
  <c r="DG410" i="4"/>
  <c r="DG412" i="4"/>
  <c r="BL400" i="4"/>
  <c r="CE412" i="4"/>
  <c r="ED407" i="4"/>
  <c r="DS407" i="4"/>
  <c r="CG412" i="4"/>
  <c r="AO411" i="4"/>
  <c r="BJ408" i="4"/>
  <c r="S409" i="4"/>
  <c r="BH386" i="4"/>
  <c r="AZ413" i="4"/>
  <c r="AX409" i="4"/>
  <c r="BV408" i="4"/>
  <c r="FK412" i="4"/>
  <c r="AA407" i="4"/>
  <c r="BQ411" i="4"/>
  <c r="U408" i="4"/>
  <c r="AT407" i="4"/>
  <c r="CB412" i="4"/>
  <c r="Y412" i="4"/>
  <c r="AC411" i="4"/>
  <c r="BS413" i="4"/>
  <c r="HE408" i="4"/>
  <c r="FU408" i="4" s="1"/>
  <c r="AC403" i="4"/>
  <c r="W409" i="4"/>
  <c r="FE410" i="4"/>
  <c r="U412" i="4"/>
  <c r="BN408" i="4"/>
  <c r="FC409" i="4"/>
  <c r="CJ407" i="4"/>
  <c r="BX413" i="4"/>
  <c r="DD408" i="4"/>
  <c r="CN409" i="4"/>
  <c r="O407" i="4"/>
  <c r="BZ408" i="4"/>
  <c r="Y411" i="4"/>
  <c r="Q407" i="4"/>
  <c r="Q408" i="4"/>
  <c r="BA409" i="4"/>
  <c r="EG409" i="4"/>
  <c r="BV409" i="4"/>
  <c r="BO413" i="4"/>
  <c r="AT413" i="4"/>
  <c r="DP411" i="4"/>
  <c r="U413" i="4"/>
  <c r="BX411" i="4"/>
  <c r="AE412" i="4"/>
  <c r="CS411" i="4"/>
  <c r="AO412" i="4"/>
  <c r="U411" i="4"/>
  <c r="O412" i="4"/>
  <c r="DE410" i="4"/>
  <c r="BN411" i="4"/>
  <c r="CX412" i="4"/>
  <c r="AJ411" i="4"/>
  <c r="CG409" i="4"/>
  <c r="CI407" i="4"/>
  <c r="DB407" i="4"/>
  <c r="DR407" i="4"/>
  <c r="BS409" i="4"/>
  <c r="AS408" i="4"/>
  <c r="DI413" i="4"/>
  <c r="AS407" i="4"/>
  <c r="EF408" i="4"/>
  <c r="AV407" i="4"/>
  <c r="GP409" i="4"/>
  <c r="HE410" i="4"/>
  <c r="FU410" i="4" s="1"/>
  <c r="AF407" i="4"/>
  <c r="GP413" i="4"/>
  <c r="AC407" i="4"/>
  <c r="AA408" i="4"/>
  <c r="O408" i="4"/>
  <c r="AZ409" i="4"/>
  <c r="EF409" i="4"/>
  <c r="BU409" i="4"/>
  <c r="BN413" i="4"/>
  <c r="AS413" i="4"/>
  <c r="BJ412" i="4"/>
  <c r="BO411" i="4"/>
  <c r="O413" i="4"/>
  <c r="BX412" i="4"/>
  <c r="DB411" i="4"/>
  <c r="BZ411" i="4"/>
  <c r="DB410" i="4"/>
  <c r="AE410" i="4"/>
  <c r="BX410" i="4"/>
  <c r="CC411" i="4"/>
  <c r="DK410" i="4"/>
  <c r="CS412" i="4"/>
  <c r="DE411" i="4"/>
  <c r="BH411" i="4"/>
  <c r="DE412" i="4"/>
  <c r="AJ412" i="4"/>
  <c r="BO410" i="4"/>
  <c r="CJ410" i="4"/>
  <c r="BQ407" i="4"/>
  <c r="CZ407" i="4"/>
  <c r="DG409" i="4"/>
  <c r="CP408" i="4"/>
  <c r="GP411" i="4"/>
  <c r="GN409" i="4"/>
  <c r="BZ409" i="4"/>
  <c r="EG407" i="4"/>
  <c r="BQ409" i="4"/>
  <c r="BJ409" i="4"/>
  <c r="AE407" i="4"/>
  <c r="AA409" i="4"/>
  <c r="CG408" i="4"/>
  <c r="DP408" i="4"/>
  <c r="DE409" i="4"/>
  <c r="DZ409" i="4"/>
  <c r="DE413" i="4"/>
  <c r="DL413" i="4"/>
  <c r="CX413" i="4"/>
  <c r="BL413" i="4"/>
  <c r="BH410" i="4"/>
  <c r="BG411" i="4"/>
  <c r="BZ410" i="4"/>
  <c r="AF410" i="4"/>
  <c r="AM411" i="4"/>
  <c r="EJ411" i="4" s="1"/>
  <c r="DB412" i="4"/>
  <c r="Y413" i="4"/>
  <c r="AV410" i="4"/>
  <c r="DR410" i="4"/>
  <c r="AV411" i="4"/>
  <c r="S410" i="4"/>
  <c r="BC410" i="4"/>
  <c r="S411" i="4"/>
  <c r="BN412" i="4"/>
  <c r="DD410" i="4"/>
  <c r="Q413" i="4"/>
  <c r="AJ409" i="4"/>
  <c r="AC408" i="4"/>
  <c r="BJ407" i="4"/>
  <c r="GN413" i="4"/>
  <c r="CS413" i="4"/>
  <c r="Y408" i="4"/>
  <c r="BC407" i="4"/>
  <c r="DR412" i="4"/>
  <c r="EF407" i="4"/>
  <c r="CE409" i="4"/>
  <c r="DL407" i="4"/>
  <c r="DB409" i="4"/>
  <c r="CE407" i="4"/>
  <c r="CP412" i="4"/>
  <c r="CX407" i="4"/>
  <c r="AZ408" i="4"/>
  <c r="EG408" i="4"/>
  <c r="DD409" i="4"/>
  <c r="DY409" i="4"/>
  <c r="DD413" i="4"/>
  <c r="DK413" i="4"/>
  <c r="AJ410" i="4"/>
  <c r="O410" i="4"/>
  <c r="AA411" i="4"/>
  <c r="AA412" i="4"/>
  <c r="BU412" i="4"/>
  <c r="BC412" i="4"/>
  <c r="AQ411" i="4"/>
  <c r="U410" i="4"/>
  <c r="AQ410" i="4"/>
  <c r="AL412" i="4"/>
  <c r="AL411" i="4"/>
  <c r="BG412" i="4"/>
  <c r="S412" i="4"/>
  <c r="BU410" i="4"/>
  <c r="AS410" i="4"/>
  <c r="CJ411" i="4"/>
  <c r="CC408" i="4"/>
  <c r="U409" i="4"/>
  <c r="BJ413" i="4"/>
  <c r="HE413" i="4"/>
  <c r="FU413" i="4" s="1"/>
  <c r="Q409" i="4"/>
  <c r="W407" i="4"/>
  <c r="DR408" i="4"/>
  <c r="DK407" i="4"/>
  <c r="AA413" i="4"/>
  <c r="DD407" i="4"/>
  <c r="DP409" i="4"/>
  <c r="AC409" i="4"/>
  <c r="CI408" i="4"/>
  <c r="FC413" i="4"/>
  <c r="AX407" i="4"/>
  <c r="AX408" i="4"/>
  <c r="CQ409" i="4"/>
  <c r="CX409" i="4"/>
  <c r="DS413" i="4"/>
  <c r="DZ413" i="4"/>
  <c r="CJ413" i="4"/>
  <c r="O411" i="4"/>
  <c r="AA410" i="4"/>
  <c r="AC412" i="4"/>
  <c r="AZ412" i="4"/>
  <c r="DD412" i="4"/>
  <c r="BO412" i="4"/>
  <c r="CI412" i="4"/>
  <c r="CQ411" i="4"/>
  <c r="CX410" i="4"/>
  <c r="BS412" i="4"/>
  <c r="W413" i="4"/>
  <c r="CE410" i="4"/>
  <c r="CC410" i="4"/>
  <c r="AO409" i="4"/>
  <c r="DY408" i="4"/>
  <c r="AO407" i="4"/>
  <c r="AJ413" i="4"/>
  <c r="O409" i="4"/>
  <c r="BS411" i="4"/>
  <c r="DK408" i="4"/>
  <c r="HE409" i="4"/>
  <c r="FU409" i="4" s="1"/>
  <c r="BV410" i="4"/>
  <c r="CS407" i="4"/>
  <c r="DE407" i="4"/>
  <c r="BQ413" i="4"/>
  <c r="Y409" i="4"/>
  <c r="BX408" i="4"/>
  <c r="BU408" i="4"/>
  <c r="CP409" i="4"/>
  <c r="DR413" i="4"/>
  <c r="DY413" i="4"/>
  <c r="CI413" i="4"/>
  <c r="CQ412" i="4"/>
  <c r="AC410" i="4"/>
  <c r="ED411" i="4"/>
  <c r="DY411" i="4"/>
  <c r="AL410" i="4"/>
  <c r="BU411" i="4"/>
  <c r="BZ412" i="4"/>
  <c r="S413" i="4"/>
  <c r="BH412" i="4"/>
  <c r="W410" i="4"/>
  <c r="BL411" i="4"/>
  <c r="CP411" i="4"/>
  <c r="AT411" i="4"/>
  <c r="GP408" i="4"/>
  <c r="CG413" i="4"/>
  <c r="U407" i="4"/>
  <c r="BL409" i="4"/>
  <c r="BX407" i="4"/>
  <c r="BO408" i="4"/>
  <c r="AF408" i="4"/>
  <c r="BV407" i="4"/>
  <c r="BX409" i="4"/>
  <c r="CE413" i="4"/>
  <c r="AQ408" i="4"/>
  <c r="AM408" i="4"/>
  <c r="EJ408" i="4" s="1"/>
  <c r="AF409" i="4"/>
  <c r="CJ409" i="4"/>
  <c r="AM409" i="4"/>
  <c r="EJ409" i="4" s="1"/>
  <c r="BH413" i="4"/>
  <c r="CQ413" i="4"/>
  <c r="AF413" i="4"/>
  <c r="ED410" i="4"/>
  <c r="BS410" i="4"/>
  <c r="ED412" i="4"/>
  <c r="CG411" i="4"/>
  <c r="BL410" i="4"/>
  <c r="AM412" i="4"/>
  <c r="EJ412" i="4" s="1"/>
  <c r="DD411" i="4"/>
  <c r="BC411" i="4"/>
  <c r="CZ412" i="4"/>
  <c r="BA411" i="4"/>
  <c r="BA412" i="4"/>
  <c r="W412" i="4"/>
  <c r="W411" i="4"/>
  <c r="EG412" i="4"/>
  <c r="Q412" i="4"/>
  <c r="AX413" i="4"/>
  <c r="BN410" i="4"/>
  <c r="W408" i="4"/>
  <c r="CZ409" i="4"/>
  <c r="AQ407" i="4"/>
  <c r="AT408" i="4"/>
  <c r="CS409" i="4"/>
  <c r="HE407" i="4"/>
  <c r="FU407" i="4" s="1"/>
  <c r="BC413" i="4"/>
  <c r="BU407" i="4"/>
  <c r="DS408" i="4"/>
  <c r="BH408" i="4"/>
  <c r="GR405" i="4"/>
  <c r="GR412" i="4"/>
  <c r="GR410" i="4"/>
  <c r="GR407" i="4"/>
  <c r="GR411" i="4"/>
  <c r="GR408" i="4"/>
  <c r="AE409" i="4"/>
  <c r="CI409" i="4"/>
  <c r="AL409" i="4"/>
  <c r="BG413" i="4"/>
  <c r="CP413" i="4"/>
  <c r="AE413" i="4"/>
  <c r="DI411" i="4"/>
  <c r="DL412" i="4"/>
  <c r="DI412" i="4"/>
  <c r="AZ410" i="4"/>
  <c r="CP410" i="4"/>
  <c r="AM410" i="4"/>
  <c r="EJ410" i="4" s="1"/>
  <c r="CX411" i="4"/>
  <c r="DY412" i="4"/>
  <c r="DP410" i="4"/>
  <c r="DZ412" i="4"/>
  <c r="DP412" i="4"/>
  <c r="EF412" i="4"/>
  <c r="Y410" i="4"/>
  <c r="CS408" i="4"/>
  <c r="AO413" i="4"/>
  <c r="GN407" i="4"/>
  <c r="AS412" i="4"/>
  <c r="CQ408" i="4"/>
  <c r="BL407" i="4"/>
  <c r="BC409" i="4"/>
  <c r="Y407" i="4"/>
  <c r="DK412" i="4"/>
  <c r="S407" i="4"/>
  <c r="CZ408" i="4"/>
  <c r="CN408" i="4"/>
  <c r="CE408" i="4"/>
  <c r="BL399" i="4"/>
  <c r="DL409" i="4"/>
  <c r="BO409" i="4"/>
  <c r="CC409" i="4"/>
  <c r="AM413" i="4"/>
  <c r="EJ413" i="4" s="1"/>
  <c r="BV413" i="4"/>
  <c r="CC413" i="4"/>
  <c r="BJ411" i="4"/>
  <c r="BJ410" i="4"/>
  <c r="DR411" i="4"/>
  <c r="EG410" i="4"/>
  <c r="CG410" i="4"/>
  <c r="DZ411" i="4"/>
  <c r="BV412" i="4"/>
  <c r="BV411" i="4"/>
  <c r="AT410" i="4"/>
  <c r="AX411" i="4"/>
  <c r="AS411" i="4"/>
  <c r="AX410" i="4"/>
  <c r="Q411" i="4"/>
  <c r="DI407" i="4"/>
  <c r="GN412" i="4"/>
  <c r="AQ409" i="4"/>
  <c r="BL408" i="4"/>
  <c r="CG407" i="4"/>
  <c r="ED408" i="4"/>
  <c r="DP413" i="4"/>
  <c r="BH407" i="4"/>
  <c r="AV409" i="4"/>
  <c r="CB407" i="4"/>
  <c r="CC407" i="4"/>
  <c r="DZ407" i="4"/>
  <c r="BN407" i="4"/>
  <c r="S408" i="4"/>
  <c r="DI408" i="4"/>
  <c r="DK409" i="4"/>
  <c r="BN409" i="4"/>
  <c r="CB409" i="4"/>
  <c r="AL413" i="4"/>
  <c r="BU413" i="4"/>
  <c r="CB413" i="4"/>
  <c r="DL411" i="4"/>
  <c r="EF411" i="4"/>
  <c r="AF411" i="4"/>
  <c r="CN412" i="4"/>
  <c r="CB411" i="4"/>
  <c r="CN410" i="4"/>
  <c r="DI410" i="4"/>
  <c r="AT412" i="4"/>
  <c r="CZ411" i="4"/>
  <c r="BL412" i="4"/>
  <c r="CZ410" i="4"/>
  <c r="DS410" i="4"/>
  <c r="EF410" i="4"/>
  <c r="Q410" i="4"/>
  <c r="EG411" i="4"/>
  <c r="CE411" i="4"/>
  <c r="DS411" i="4"/>
  <c r="CI411" i="4"/>
  <c r="AM407" i="4"/>
  <c r="EJ407" i="4" s="1"/>
  <c r="GN411" i="4"/>
  <c r="DI409" i="4"/>
  <c r="CB408" i="4"/>
  <c r="AZ407" i="4"/>
  <c r="AV408" i="4"/>
  <c r="DB413" i="4"/>
  <c r="GP407" i="4"/>
  <c r="GR413" i="4"/>
  <c r="BG407" i="4"/>
  <c r="ED409" i="4"/>
  <c r="CQ407" i="4"/>
  <c r="AJ408" i="4"/>
  <c r="DY407" i="4"/>
  <c r="BO407" i="4"/>
  <c r="BZ407" i="4"/>
  <c r="CJ408" i="4"/>
  <c r="BQ408" i="4"/>
  <c r="BC408" i="4"/>
  <c r="BH409" i="4"/>
  <c r="AT409" i="4"/>
  <c r="DS409" i="4"/>
  <c r="EG413" i="4"/>
  <c r="BA413" i="4"/>
  <c r="CC412" i="4"/>
  <c r="CN411" i="4"/>
  <c r="CB410" i="4"/>
  <c r="AO410" i="4"/>
  <c r="DL410" i="4"/>
  <c r="BA410" i="4"/>
  <c r="AZ411" i="4"/>
  <c r="BQ410" i="4"/>
  <c r="CJ412" i="4"/>
  <c r="CS410" i="4"/>
  <c r="BQ412" i="4"/>
  <c r="CN413" i="4"/>
  <c r="CQ410" i="4"/>
  <c r="BA408" i="4"/>
  <c r="AL407" i="4"/>
  <c r="GN410" i="4"/>
  <c r="BZ413" i="4"/>
  <c r="DZ408" i="4"/>
  <c r="BA407" i="4"/>
  <c r="BS408" i="4"/>
  <c r="AV413" i="4"/>
  <c r="GP412" i="4"/>
  <c r="CN407" i="4"/>
  <c r="CP407" i="4"/>
  <c r="BG408" i="4"/>
  <c r="DP407" i="4"/>
  <c r="CX408" i="4"/>
  <c r="ED413" i="4"/>
  <c r="AJ407" i="4"/>
  <c r="BS407" i="4"/>
  <c r="AO408" i="4"/>
  <c r="FC411" i="4"/>
  <c r="BG409" i="4"/>
  <c r="AS409" i="4"/>
  <c r="DR409" i="4"/>
  <c r="EF413" i="4"/>
  <c r="AF412" i="4"/>
  <c r="AQ412" i="4"/>
  <c r="AE411" i="4"/>
  <c r="DS412" i="4"/>
  <c r="DY410" i="4"/>
  <c r="AX412" i="4"/>
  <c r="DZ410" i="4"/>
  <c r="AV412" i="4"/>
  <c r="CZ413" i="4"/>
  <c r="CI410" i="4"/>
  <c r="DK411" i="4"/>
  <c r="DE408" i="4"/>
  <c r="AL408" i="4"/>
  <c r="GP410" i="4"/>
  <c r="AQ413" i="4"/>
  <c r="DL408" i="4"/>
  <c r="BG410" i="4"/>
  <c r="GN408" i="4"/>
  <c r="D502" i="11"/>
  <c r="GP403" i="4"/>
  <c r="GN405" i="4"/>
  <c r="FC405" i="4"/>
  <c r="GP405" i="4"/>
  <c r="FC406" i="4"/>
  <c r="GN406" i="4"/>
  <c r="GR406" i="4"/>
  <c r="GP406" i="4"/>
  <c r="GN402" i="4"/>
  <c r="FC403" i="4"/>
  <c r="GP402" i="4"/>
  <c r="GN404" i="4"/>
  <c r="GR403" i="4"/>
  <c r="GR404" i="4"/>
  <c r="GR402" i="4"/>
  <c r="GN403" i="4"/>
  <c r="HE406" i="4"/>
  <c r="FU406" i="4" s="1"/>
  <c r="AJ382" i="4"/>
  <c r="AE406" i="4"/>
  <c r="HE64" i="4"/>
  <c r="FU64" i="4" s="1"/>
  <c r="BJ404" i="4"/>
  <c r="CN404" i="4"/>
  <c r="AJ384" i="4"/>
  <c r="AJ380" i="4"/>
  <c r="AJ397" i="4"/>
  <c r="BV404" i="4"/>
  <c r="Y406" i="4"/>
  <c r="CG404" i="4"/>
  <c r="AA405" i="4"/>
  <c r="S403" i="4"/>
  <c r="AT406" i="4"/>
  <c r="AJ399" i="4"/>
  <c r="BS406" i="4"/>
  <c r="AJ383" i="4"/>
  <c r="AJ387" i="4"/>
  <c r="CB403" i="4"/>
  <c r="BA406" i="4"/>
  <c r="BZ405" i="4"/>
  <c r="AJ401" i="4"/>
  <c r="CJ404" i="4"/>
  <c r="BN404" i="4"/>
  <c r="AJ377" i="4"/>
  <c r="AJ388" i="4"/>
  <c r="U404" i="4"/>
  <c r="AJ395" i="4"/>
  <c r="AJ385" i="4"/>
  <c r="AJ400" i="4"/>
  <c r="AJ394" i="4"/>
  <c r="O406" i="4"/>
  <c r="BX406" i="4"/>
  <c r="DD406" i="4"/>
  <c r="HE154" i="4"/>
  <c r="FU154" i="4" s="1"/>
  <c r="AJ376" i="4"/>
  <c r="AJ389" i="4"/>
  <c r="AX405" i="4"/>
  <c r="AJ396" i="4"/>
  <c r="CE404" i="4"/>
  <c r="AJ390" i="4"/>
  <c r="AJ391" i="4"/>
  <c r="AJ381" i="4"/>
  <c r="DB395" i="4"/>
  <c r="AO402" i="4"/>
  <c r="DR402" i="4"/>
  <c r="ED406" i="4"/>
  <c r="AJ374" i="4"/>
  <c r="AJ386" i="4"/>
  <c r="AJ398" i="4"/>
  <c r="Y16" i="15"/>
  <c r="AE16" i="15" s="1"/>
  <c r="HE225" i="4"/>
  <c r="FU225" i="4" s="1"/>
  <c r="AS405" i="4"/>
  <c r="DS405" i="4"/>
  <c r="AS406" i="4"/>
  <c r="DK406" i="4"/>
  <c r="AZ406" i="4"/>
  <c r="HE146" i="4"/>
  <c r="FU146" i="4" s="1"/>
  <c r="CE406" i="4"/>
  <c r="DL402" i="4"/>
  <c r="HE179" i="4"/>
  <c r="CC404" i="4"/>
  <c r="CS405" i="4"/>
  <c r="AF403" i="4"/>
  <c r="HE111" i="4"/>
  <c r="HE378" i="4"/>
  <c r="FU378" i="4" s="1"/>
  <c r="DI405" i="4"/>
  <c r="HE216" i="4"/>
  <c r="HE274" i="4"/>
  <c r="FU274" i="4" s="1"/>
  <c r="CX402" i="4"/>
  <c r="HE175" i="4"/>
  <c r="FU175" i="4" s="1"/>
  <c r="HE286" i="4"/>
  <c r="DI404" i="4"/>
  <c r="CI404" i="4"/>
  <c r="HE65" i="4"/>
  <c r="FU65" i="4" s="1"/>
  <c r="HE377" i="4"/>
  <c r="FU377" i="4" s="1"/>
  <c r="DS403" i="4"/>
  <c r="HE351" i="4"/>
  <c r="FU351" i="4" s="1"/>
  <c r="AO404" i="4"/>
  <c r="HE68" i="4"/>
  <c r="FU68" i="4" s="1"/>
  <c r="HE379" i="4"/>
  <c r="FU379" i="4" s="1"/>
  <c r="S402" i="4"/>
  <c r="BA403" i="4"/>
  <c r="HE104" i="4"/>
  <c r="HE383" i="4"/>
  <c r="FU383" i="4" s="1"/>
  <c r="DP404" i="4"/>
  <c r="HE324" i="4"/>
  <c r="FU324" i="4" s="1"/>
  <c r="HE96" i="4"/>
  <c r="FU96" i="4" s="1"/>
  <c r="BL402" i="4"/>
  <c r="HE226" i="4"/>
  <c r="FU226" i="4" s="1"/>
  <c r="HE332" i="4"/>
  <c r="HE397" i="4"/>
  <c r="FU397" i="4" s="1"/>
  <c r="CP402" i="4"/>
  <c r="HE161" i="4"/>
  <c r="FU161" i="4" s="1"/>
  <c r="BX405" i="4"/>
  <c r="EF402" i="4"/>
  <c r="HE254" i="4"/>
  <c r="FU254" i="4" s="1"/>
  <c r="HE156" i="4"/>
  <c r="FU156" i="4" s="1"/>
  <c r="DP406" i="4"/>
  <c r="BU404" i="4"/>
  <c r="AF405" i="4"/>
  <c r="AL405" i="4"/>
  <c r="DZ406" i="4"/>
  <c r="EG406" i="4"/>
  <c r="BV406" i="4"/>
  <c r="HE350" i="4"/>
  <c r="FU350" i="4" s="1"/>
  <c r="AO406" i="4"/>
  <c r="DK404" i="4"/>
  <c r="HE264" i="4"/>
  <c r="FU264" i="4" s="1"/>
  <c r="HE353" i="4"/>
  <c r="FU353" i="4" s="1"/>
  <c r="BJ405" i="4"/>
  <c r="AE403" i="4"/>
  <c r="HE218" i="4"/>
  <c r="CB404" i="4"/>
  <c r="DD403" i="4"/>
  <c r="HE244" i="4"/>
  <c r="FU244" i="4" s="1"/>
  <c r="CC403" i="4"/>
  <c r="O405" i="4"/>
  <c r="HE272" i="4"/>
  <c r="FU272" i="4" s="1"/>
  <c r="HE311" i="4"/>
  <c r="AM403" i="4"/>
  <c r="EJ403" i="4" s="1"/>
  <c r="BQ403" i="4"/>
  <c r="HE120" i="4"/>
  <c r="FU120" i="4" s="1"/>
  <c r="HE386" i="4"/>
  <c r="FU386" i="4" s="1"/>
  <c r="DR403" i="4"/>
  <c r="HE400" i="4"/>
  <c r="FU400" i="4" s="1"/>
  <c r="HE205" i="4"/>
  <c r="W403" i="4"/>
  <c r="HE405" i="4"/>
  <c r="FU405" i="4" s="1"/>
  <c r="S404" i="4"/>
  <c r="AZ403" i="4"/>
  <c r="HE183" i="4"/>
  <c r="HE309" i="4"/>
  <c r="FU309" i="4" s="1"/>
  <c r="BX403" i="4"/>
  <c r="HE95" i="4"/>
  <c r="HE389" i="4"/>
  <c r="FU389" i="4" s="1"/>
  <c r="BL404" i="4"/>
  <c r="HE173" i="4"/>
  <c r="FU173" i="4" s="1"/>
  <c r="HE251" i="4"/>
  <c r="DI406" i="4"/>
  <c r="CP403" i="4"/>
  <c r="BC403" i="4"/>
  <c r="HE172" i="4"/>
  <c r="HE345" i="4"/>
  <c r="FU345" i="4" s="1"/>
  <c r="EG402" i="4"/>
  <c r="HE176" i="4"/>
  <c r="FU176" i="4" s="1"/>
  <c r="HE355" i="4"/>
  <c r="FU355" i="4" s="1"/>
  <c r="AX406" i="4"/>
  <c r="Q404" i="4"/>
  <c r="Q402" i="4"/>
  <c r="Q403" i="4"/>
  <c r="AE405" i="4"/>
  <c r="AM405" i="4"/>
  <c r="EJ405" i="4" s="1"/>
  <c r="DY406" i="4"/>
  <c r="EF406" i="4"/>
  <c r="BU406" i="4"/>
  <c r="HE128" i="4"/>
  <c r="FU128" i="4" s="1"/>
  <c r="DP405" i="4"/>
  <c r="DL404" i="4"/>
  <c r="HE213" i="4"/>
  <c r="HE291" i="4"/>
  <c r="AF402" i="4"/>
  <c r="HE191" i="4"/>
  <c r="HE370" i="4"/>
  <c r="FU370" i="4" s="1"/>
  <c r="AO405" i="4"/>
  <c r="DE402" i="4"/>
  <c r="HE374" i="4"/>
  <c r="FU374" i="4" s="1"/>
  <c r="BZ403" i="4"/>
  <c r="HE190" i="4"/>
  <c r="FU190" i="4" s="1"/>
  <c r="HE314" i="4"/>
  <c r="FU314" i="4" s="1"/>
  <c r="HE335" i="4"/>
  <c r="FU335" i="4" s="1"/>
  <c r="AL403" i="4"/>
  <c r="BQ402" i="4"/>
  <c r="HE170" i="4"/>
  <c r="FU170" i="4" s="1"/>
  <c r="HE292" i="4"/>
  <c r="DS402" i="4"/>
  <c r="HE283" i="4"/>
  <c r="FU283" i="4" s="1"/>
  <c r="HE333" i="4"/>
  <c r="FU333" i="4" s="1"/>
  <c r="HE77" i="4"/>
  <c r="W402" i="4"/>
  <c r="HE306" i="4"/>
  <c r="FU306" i="4" s="1"/>
  <c r="BA402" i="4"/>
  <c r="HE184" i="4"/>
  <c r="FU184" i="4" s="1"/>
  <c r="HE150" i="4"/>
  <c r="BX402" i="4"/>
  <c r="HE381" i="4"/>
  <c r="FU381" i="4" s="1"/>
  <c r="BG402" i="4"/>
  <c r="HE180" i="4"/>
  <c r="FU180" i="4" s="1"/>
  <c r="HE384" i="4"/>
  <c r="FU384" i="4" s="1"/>
  <c r="CP404" i="4"/>
  <c r="BC402" i="4"/>
  <c r="HE101" i="4"/>
  <c r="FU101" i="4" s="1"/>
  <c r="HE142" i="4"/>
  <c r="FU142" i="4" s="1"/>
  <c r="DB405" i="4"/>
  <c r="EG404" i="4"/>
  <c r="HE167" i="4"/>
  <c r="HE86" i="4"/>
  <c r="U406" i="4"/>
  <c r="CJ405" i="4"/>
  <c r="DL405" i="4"/>
  <c r="CX406" i="4"/>
  <c r="CC406" i="4"/>
  <c r="DS406" i="4"/>
  <c r="HE358" i="4"/>
  <c r="FU358" i="4" s="1"/>
  <c r="CS403" i="4"/>
  <c r="HE188" i="4"/>
  <c r="FU188" i="4" s="1"/>
  <c r="HE288" i="4"/>
  <c r="BO403" i="4"/>
  <c r="AE402" i="4"/>
  <c r="HE255" i="4"/>
  <c r="FU255" i="4" s="1"/>
  <c r="HE326" i="4"/>
  <c r="FU326" i="4" s="1"/>
  <c r="O402" i="4"/>
  <c r="DD402" i="4"/>
  <c r="HE262" i="4"/>
  <c r="HE323" i="4"/>
  <c r="BZ402" i="4"/>
  <c r="CX404" i="4"/>
  <c r="HE243" i="4"/>
  <c r="FU243" i="4" s="1"/>
  <c r="HE76" i="4"/>
  <c r="AM402" i="4"/>
  <c r="EJ402" i="4" s="1"/>
  <c r="BQ404" i="4"/>
  <c r="HE300" i="4"/>
  <c r="FU300" i="4" s="1"/>
  <c r="HE336" i="4"/>
  <c r="FU336" i="4" s="1"/>
  <c r="DS404" i="4"/>
  <c r="HE278" i="4"/>
  <c r="FU278" i="4" s="1"/>
  <c r="HE352" i="4"/>
  <c r="FU352" i="4" s="1"/>
  <c r="HE269" i="4"/>
  <c r="FU269" i="4" s="1"/>
  <c r="W404" i="4"/>
  <c r="HE139" i="4"/>
  <c r="FU139" i="4" s="1"/>
  <c r="AA403" i="4"/>
  <c r="AZ402" i="4"/>
  <c r="HE301" i="4"/>
  <c r="HE356" i="4"/>
  <c r="FU356" i="4" s="1"/>
  <c r="BX404" i="4"/>
  <c r="HE210" i="4"/>
  <c r="HE337" i="4"/>
  <c r="FU337" i="4" s="1"/>
  <c r="S406" i="4"/>
  <c r="BH403" i="4"/>
  <c r="HE209" i="4"/>
  <c r="HE369" i="4"/>
  <c r="FU369" i="4" s="1"/>
  <c r="BC406" i="4"/>
  <c r="CQ404" i="4"/>
  <c r="BC404" i="4"/>
  <c r="HE206" i="4"/>
  <c r="HE340" i="4"/>
  <c r="FU340" i="4" s="1"/>
  <c r="ED405" i="4"/>
  <c r="EF404" i="4"/>
  <c r="HE193" i="4"/>
  <c r="FU193" i="4" s="1"/>
  <c r="HE347" i="4"/>
  <c r="FU347" i="4" s="1"/>
  <c r="S405" i="4"/>
  <c r="AA18" i="15"/>
  <c r="AG18" i="15" s="1"/>
  <c r="CI405" i="4"/>
  <c r="DK405" i="4"/>
  <c r="CX405" i="4"/>
  <c r="CB406" i="4"/>
  <c r="DR406" i="4"/>
  <c r="HE302" i="4"/>
  <c r="BS405" i="4"/>
  <c r="CS402" i="4"/>
  <c r="HE230" i="4"/>
  <c r="HE273" i="4"/>
  <c r="FU273" i="4" s="1"/>
  <c r="BN403" i="4"/>
  <c r="AF404" i="4"/>
  <c r="HE196" i="4"/>
  <c r="FU196" i="4" s="1"/>
  <c r="HE299" i="4"/>
  <c r="FU299" i="4" s="1"/>
  <c r="O403" i="4"/>
  <c r="DE403" i="4"/>
  <c r="HE266" i="4"/>
  <c r="BZ404" i="4"/>
  <c r="HE246" i="4"/>
  <c r="FU246" i="4" s="1"/>
  <c r="HE297" i="4"/>
  <c r="FU297" i="4" s="1"/>
  <c r="CE405" i="4"/>
  <c r="AL402" i="4"/>
  <c r="HE354" i="4"/>
  <c r="FU354" i="4" s="1"/>
  <c r="BZ406" i="4"/>
  <c r="DR404" i="4"/>
  <c r="HE132" i="4"/>
  <c r="FU132" i="4" s="1"/>
  <c r="HE376" i="4"/>
  <c r="FU376" i="4" s="1"/>
  <c r="HE258" i="4"/>
  <c r="HE348" i="4"/>
  <c r="AA402" i="4"/>
  <c r="AZ404" i="4"/>
  <c r="HE395" i="4"/>
  <c r="FU395" i="4" s="1"/>
  <c r="CZ406" i="4"/>
  <c r="HE107" i="4"/>
  <c r="FU107" i="4" s="1"/>
  <c r="HE321" i="4"/>
  <c r="BG403" i="4"/>
  <c r="HE186" i="4"/>
  <c r="FU186" i="4" s="1"/>
  <c r="HE330" i="4"/>
  <c r="FU330" i="4" s="1"/>
  <c r="CS406" i="4"/>
  <c r="AT403" i="4"/>
  <c r="U403" i="4"/>
  <c r="HE83" i="4"/>
  <c r="ED403" i="4"/>
  <c r="CE403" i="4"/>
  <c r="HE182" i="4"/>
  <c r="FU182" i="4" s="1"/>
  <c r="HE275" i="4"/>
  <c r="FU275" i="4" s="1"/>
  <c r="BC405" i="4"/>
  <c r="DZ403" i="4"/>
  <c r="HE114" i="4"/>
  <c r="FU114" i="4" s="1"/>
  <c r="CQ405" i="4"/>
  <c r="BO405" i="4"/>
  <c r="BA405" i="4"/>
  <c r="CJ406" i="4"/>
  <c r="CQ406" i="4"/>
  <c r="BH406" i="4"/>
  <c r="HE284" i="4"/>
  <c r="FU284" i="4" s="1"/>
  <c r="W405" i="4"/>
  <c r="CS404" i="4"/>
  <c r="HE257" i="4"/>
  <c r="HE147" i="4"/>
  <c r="BO402" i="4"/>
  <c r="AE404" i="4"/>
  <c r="HE248" i="4"/>
  <c r="FU248" i="4" s="1"/>
  <c r="HE313" i="4"/>
  <c r="O404" i="4"/>
  <c r="DD404" i="4"/>
  <c r="HE215" i="4"/>
  <c r="FU215" i="4" s="1"/>
  <c r="HE338" i="4"/>
  <c r="FU338" i="4" s="1"/>
  <c r="BS403" i="4"/>
  <c r="Y402" i="4"/>
  <c r="HE66" i="4"/>
  <c r="HE307" i="4"/>
  <c r="FU307" i="4" s="1"/>
  <c r="CN405" i="4"/>
  <c r="AM404" i="4"/>
  <c r="EJ404" i="4" s="1"/>
  <c r="HE72" i="4"/>
  <c r="HE329" i="4"/>
  <c r="AQ406" i="4"/>
  <c r="CZ403" i="4"/>
  <c r="HE279" i="4"/>
  <c r="FU279" i="4" s="1"/>
  <c r="HE322" i="4"/>
  <c r="FU322" i="4" s="1"/>
  <c r="HE229" i="4"/>
  <c r="FU229" i="4" s="1"/>
  <c r="HE343" i="4"/>
  <c r="FU343" i="4" s="1"/>
  <c r="AA404" i="4"/>
  <c r="BA404" i="4"/>
  <c r="HE344" i="4"/>
  <c r="FU344" i="4" s="1"/>
  <c r="W406" i="4"/>
  <c r="AQ403" i="4"/>
  <c r="HE105" i="4"/>
  <c r="HE396" i="4"/>
  <c r="FU396" i="4" s="1"/>
  <c r="BH402" i="4"/>
  <c r="HE198" i="4"/>
  <c r="FU198" i="4" s="1"/>
  <c r="HE89" i="4"/>
  <c r="FU89" i="4" s="1"/>
  <c r="AS403" i="4"/>
  <c r="HE234" i="4"/>
  <c r="FU234" i="4" s="1"/>
  <c r="U402" i="4"/>
  <c r="HE127" i="4"/>
  <c r="ED402" i="4"/>
  <c r="CE402" i="4"/>
  <c r="HE199" i="4"/>
  <c r="FU199" i="4" s="1"/>
  <c r="HE155" i="4"/>
  <c r="U405" i="4"/>
  <c r="DY403" i="4"/>
  <c r="CP405" i="4"/>
  <c r="BN405" i="4"/>
  <c r="AZ405" i="4"/>
  <c r="CI406" i="4"/>
  <c r="CP406" i="4"/>
  <c r="BG406" i="4"/>
  <c r="HE152" i="4"/>
  <c r="FU152" i="4" s="1"/>
  <c r="HE304" i="4"/>
  <c r="FU304" i="4" s="1"/>
  <c r="HE135" i="4"/>
  <c r="FU135" i="4" s="1"/>
  <c r="HE375" i="4"/>
  <c r="FU375" i="4" s="1"/>
  <c r="BN402" i="4"/>
  <c r="HE102" i="4"/>
  <c r="HE122" i="4"/>
  <c r="HE232" i="4"/>
  <c r="FU232" i="4" s="1"/>
  <c r="HE310" i="4"/>
  <c r="FU310" i="4" s="1"/>
  <c r="DE404" i="4"/>
  <c r="HE224" i="4"/>
  <c r="HE285" i="4"/>
  <c r="FU285" i="4" s="1"/>
  <c r="BS402" i="4"/>
  <c r="Y403" i="4"/>
  <c r="HE239" i="4"/>
  <c r="FU239" i="4" s="1"/>
  <c r="CB402" i="4"/>
  <c r="AJ405" i="4"/>
  <c r="AL404" i="4"/>
  <c r="HE233" i="4"/>
  <c r="FU233" i="4" s="1"/>
  <c r="Q406" i="4"/>
  <c r="CZ402" i="4"/>
  <c r="HE295" i="4"/>
  <c r="FU295" i="4" s="1"/>
  <c r="HE380" i="4"/>
  <c r="FU380" i="4" s="1"/>
  <c r="HE162" i="4"/>
  <c r="HE325" i="4"/>
  <c r="FU325" i="4" s="1"/>
  <c r="BQ406" i="4"/>
  <c r="HE207" i="4"/>
  <c r="FU207" i="4" s="1"/>
  <c r="HE334" i="4"/>
  <c r="AQ402" i="4"/>
  <c r="HE200" i="4"/>
  <c r="HE281" i="4"/>
  <c r="FU281" i="4" s="1"/>
  <c r="CZ405" i="4"/>
  <c r="BH404" i="4"/>
  <c r="HE123" i="4"/>
  <c r="FU123" i="4" s="1"/>
  <c r="HE339" i="4"/>
  <c r="FU339" i="4" s="1"/>
  <c r="AT402" i="4"/>
  <c r="HE178" i="4"/>
  <c r="FU178" i="4" s="1"/>
  <c r="HE149" i="4"/>
  <c r="FU149" i="4" s="1"/>
  <c r="ED404" i="4"/>
  <c r="HE140" i="4"/>
  <c r="HE290" i="4"/>
  <c r="DZ402" i="4"/>
  <c r="CB405" i="4"/>
  <c r="DZ405" i="4"/>
  <c r="DE405" i="4"/>
  <c r="BO406" i="4"/>
  <c r="DE406" i="4"/>
  <c r="HE90" i="4"/>
  <c r="HE98" i="4"/>
  <c r="FU98" i="4" s="1"/>
  <c r="HE373" i="4"/>
  <c r="FU373" i="4" s="1"/>
  <c r="HE81" i="4"/>
  <c r="FU81" i="4" s="1"/>
  <c r="BO404" i="4"/>
  <c r="HE392" i="4"/>
  <c r="FU392" i="4" s="1"/>
  <c r="DB403" i="4"/>
  <c r="HE305" i="4"/>
  <c r="FU305" i="4" s="1"/>
  <c r="HE263" i="4"/>
  <c r="FU263" i="4" s="1"/>
  <c r="HE315" i="4"/>
  <c r="FU315" i="4" s="1"/>
  <c r="BS404" i="4"/>
  <c r="Y404" i="4"/>
  <c r="HE271" i="4"/>
  <c r="FU271" i="4" s="1"/>
  <c r="HE393" i="4"/>
  <c r="FU393" i="4" s="1"/>
  <c r="CI402" i="4"/>
  <c r="HE222" i="4"/>
  <c r="HE308" i="4"/>
  <c r="FU308" i="4" s="1"/>
  <c r="CG405" i="4"/>
  <c r="CZ404" i="4"/>
  <c r="HE294" i="4"/>
  <c r="FU294" i="4" s="1"/>
  <c r="HE388" i="4"/>
  <c r="FU388" i="4" s="1"/>
  <c r="HE70" i="4"/>
  <c r="FU70" i="4" s="1"/>
  <c r="HE320" i="4"/>
  <c r="FU320" i="4" s="1"/>
  <c r="HE112" i="4"/>
  <c r="FU112" i="4" s="1"/>
  <c r="HE327" i="4"/>
  <c r="FU327" i="4" s="1"/>
  <c r="AQ405" i="4"/>
  <c r="AQ404" i="4"/>
  <c r="HE158" i="4"/>
  <c r="HE372" i="4"/>
  <c r="FU372" i="4" s="1"/>
  <c r="BG404" i="4"/>
  <c r="HE124" i="4"/>
  <c r="FU124" i="4" s="1"/>
  <c r="HE137" i="4"/>
  <c r="FU137" i="4" s="1"/>
  <c r="AS402" i="4"/>
  <c r="HE118" i="4"/>
  <c r="FU118" i="4" s="1"/>
  <c r="HE168" i="4"/>
  <c r="FU168" i="4" s="1"/>
  <c r="AV403" i="4"/>
  <c r="HE73" i="4"/>
  <c r="FU73" i="4" s="1"/>
  <c r="HE181" i="4"/>
  <c r="FU181" i="4" s="1"/>
  <c r="BV403" i="4"/>
  <c r="DY402" i="4"/>
  <c r="Z18" i="15"/>
  <c r="AF18" i="15" s="1"/>
  <c r="HF63" i="4"/>
  <c r="HE63" i="4"/>
  <c r="AX404" i="4"/>
  <c r="AX402" i="4"/>
  <c r="AX403" i="4"/>
  <c r="CC405" i="4"/>
  <c r="DY405" i="4"/>
  <c r="DD405" i="4"/>
  <c r="BN406" i="4"/>
  <c r="HE88" i="4"/>
  <c r="HE368" i="4"/>
  <c r="FU368" i="4" s="1"/>
  <c r="HE117" i="4"/>
  <c r="HE293" i="4"/>
  <c r="AA406" i="4"/>
  <c r="HE227" i="4"/>
  <c r="FU227" i="4" s="1"/>
  <c r="HE80" i="4"/>
  <c r="FU80" i="4" s="1"/>
  <c r="HE277" i="4"/>
  <c r="FU277" i="4" s="1"/>
  <c r="DB402" i="4"/>
  <c r="HE160" i="4"/>
  <c r="FU160" i="4" s="1"/>
  <c r="HE316" i="4"/>
  <c r="FU316" i="4" s="1"/>
  <c r="AV406" i="4"/>
  <c r="HE163" i="4"/>
  <c r="HE365" i="4"/>
  <c r="FU365" i="4" s="1"/>
  <c r="CI403" i="4"/>
  <c r="HE201" i="4"/>
  <c r="FU201" i="4" s="1"/>
  <c r="HE371" i="4"/>
  <c r="FU371" i="4" s="1"/>
  <c r="Y405" i="4"/>
  <c r="BJ403" i="4"/>
  <c r="HE289" i="4"/>
  <c r="FU289" i="4" s="1"/>
  <c r="HE366" i="4"/>
  <c r="FU366" i="4" s="1"/>
  <c r="HE390" i="4"/>
  <c r="FU390" i="4" s="1"/>
  <c r="BL405" i="4"/>
  <c r="HE241" i="4"/>
  <c r="HE385" i="4"/>
  <c r="FU385" i="4" s="1"/>
  <c r="HE109" i="4"/>
  <c r="FU109" i="4" s="1"/>
  <c r="HE134" i="4"/>
  <c r="FU134" i="4" s="1"/>
  <c r="CN403" i="4"/>
  <c r="HE245" i="4"/>
  <c r="FU245" i="4" s="1"/>
  <c r="HE151" i="4"/>
  <c r="FU151" i="4" s="1"/>
  <c r="HE276" i="4"/>
  <c r="FU276" i="4" s="1"/>
  <c r="AT404" i="4"/>
  <c r="HE99" i="4"/>
  <c r="FU99" i="4" s="1"/>
  <c r="HE164" i="4"/>
  <c r="FU164" i="4" s="1"/>
  <c r="HE364" i="4"/>
  <c r="FU364" i="4" s="1"/>
  <c r="AV402" i="4"/>
  <c r="HE267" i="4"/>
  <c r="HE252" i="4"/>
  <c r="FU252" i="4" s="1"/>
  <c r="HE363" i="4"/>
  <c r="FU363" i="4" s="1"/>
  <c r="BU403" i="4"/>
  <c r="DZ404" i="4"/>
  <c r="AA15" i="15"/>
  <c r="AG15" i="15" s="1"/>
  <c r="HE177" i="4"/>
  <c r="EG405" i="4"/>
  <c r="BG405" i="4"/>
  <c r="BV405" i="4"/>
  <c r="AF406" i="4"/>
  <c r="AM406" i="4"/>
  <c r="EJ406" i="4" s="1"/>
  <c r="HE341" i="4"/>
  <c r="FU341" i="4" s="1"/>
  <c r="HE87" i="4"/>
  <c r="DL403" i="4"/>
  <c r="HE217" i="4"/>
  <c r="HE143" i="4"/>
  <c r="FU143" i="4" s="1"/>
  <c r="CN406" i="4"/>
  <c r="AJ402" i="4"/>
  <c r="HE189" i="4"/>
  <c r="FU189" i="4" s="1"/>
  <c r="HE303" i="4"/>
  <c r="FU303" i="4" s="1"/>
  <c r="DB404" i="4"/>
  <c r="HE214" i="4"/>
  <c r="HE317" i="4"/>
  <c r="HE212" i="4"/>
  <c r="HE360" i="4"/>
  <c r="FU360" i="4" s="1"/>
  <c r="CJ403" i="4"/>
  <c r="HE261" i="4"/>
  <c r="CC402" i="4"/>
  <c r="BL406" i="4"/>
  <c r="BJ402" i="4"/>
  <c r="HE312" i="4"/>
  <c r="FU312" i="4" s="1"/>
  <c r="HE265" i="4"/>
  <c r="FU265" i="4" s="1"/>
  <c r="Q405" i="4"/>
  <c r="CG403" i="4"/>
  <c r="HE249" i="4"/>
  <c r="FU249" i="4" s="1"/>
  <c r="HE282" i="4"/>
  <c r="FU282" i="4" s="1"/>
  <c r="AV405" i="4"/>
  <c r="HE166" i="4"/>
  <c r="FU166" i="4" s="1"/>
  <c r="HE401" i="4"/>
  <c r="FU401" i="4" s="1"/>
  <c r="CN402" i="4"/>
  <c r="HE110" i="4"/>
  <c r="FU110" i="4" s="1"/>
  <c r="HE394" i="4"/>
  <c r="FU394" i="4" s="1"/>
  <c r="AS404" i="4"/>
  <c r="HE223" i="4"/>
  <c r="FU223" i="4" s="1"/>
  <c r="HE318" i="4"/>
  <c r="HE84" i="4"/>
  <c r="AV404" i="4"/>
  <c r="HE185" i="4"/>
  <c r="FU185" i="4" s="1"/>
  <c r="HE346" i="4"/>
  <c r="HE75" i="4"/>
  <c r="FU75" i="4" s="1"/>
  <c r="BV402" i="4"/>
  <c r="DY404" i="4"/>
  <c r="Y18" i="15"/>
  <c r="AE18" i="15" s="1"/>
  <c r="EF405" i="4"/>
  <c r="BH405" i="4"/>
  <c r="BU405" i="4"/>
  <c r="HE280" i="4"/>
  <c r="CG406" i="4"/>
  <c r="DK403" i="4"/>
  <c r="HE169" i="4"/>
  <c r="FU169" i="4" s="1"/>
  <c r="HE157" i="4"/>
  <c r="FU157" i="4" s="1"/>
  <c r="AJ403" i="4"/>
  <c r="HE108" i="4"/>
  <c r="HE133" i="4"/>
  <c r="HE171" i="4"/>
  <c r="FU171" i="4" s="1"/>
  <c r="HE85" i="4"/>
  <c r="BJ406" i="4"/>
  <c r="HE247" i="4"/>
  <c r="FU247" i="4" s="1"/>
  <c r="HE359" i="4"/>
  <c r="FU359" i="4" s="1"/>
  <c r="DI403" i="4"/>
  <c r="CJ402" i="4"/>
  <c r="HE67" i="4"/>
  <c r="FU67" i="4" s="1"/>
  <c r="HE159" i="4"/>
  <c r="FU159" i="4" s="1"/>
  <c r="HE403" i="4"/>
  <c r="FU403" i="4" s="1"/>
  <c r="AO403" i="4"/>
  <c r="HE71" i="4"/>
  <c r="HE94" i="4"/>
  <c r="FU94" i="4" s="1"/>
  <c r="BQ405" i="4"/>
  <c r="CG402" i="4"/>
  <c r="HE74" i="4"/>
  <c r="FU74" i="4" s="1"/>
  <c r="HE141" i="4"/>
  <c r="DP403" i="4"/>
  <c r="HE78" i="4"/>
  <c r="FU78" i="4" s="1"/>
  <c r="HE82" i="4"/>
  <c r="FU82" i="4" s="1"/>
  <c r="HE197" i="4"/>
  <c r="FU197" i="4" s="1"/>
  <c r="HE357" i="4"/>
  <c r="FU357" i="4" s="1"/>
  <c r="CQ403" i="4"/>
  <c r="HE221" i="4"/>
  <c r="FU221" i="4" s="1"/>
  <c r="HE93" i="4"/>
  <c r="FU93" i="4" s="1"/>
  <c r="DB406" i="4"/>
  <c r="EF403" i="4"/>
  <c r="HE119" i="4"/>
  <c r="FU119" i="4" s="1"/>
  <c r="HE148" i="4"/>
  <c r="BU402" i="4"/>
  <c r="HE270" i="4"/>
  <c r="FU270" i="4" s="1"/>
  <c r="HF240" i="4"/>
  <c r="HE240" i="4"/>
  <c r="FU240" i="4" s="1"/>
  <c r="AT405" i="4"/>
  <c r="DR405" i="4"/>
  <c r="DL406" i="4"/>
  <c r="HE129" i="4"/>
  <c r="FU129" i="4" s="1"/>
  <c r="DK402" i="4"/>
  <c r="HE100" i="4"/>
  <c r="FU100" i="4" s="1"/>
  <c r="HE361" i="4"/>
  <c r="FU361" i="4" s="1"/>
  <c r="AJ404" i="4"/>
  <c r="HE165" i="4"/>
  <c r="HE287" i="4"/>
  <c r="FU287" i="4" s="1"/>
  <c r="HE219" i="4"/>
  <c r="FU219" i="4" s="1"/>
  <c r="HE296" i="4"/>
  <c r="FU296" i="4" s="1"/>
  <c r="CX403" i="4"/>
  <c r="HE228" i="4"/>
  <c r="HE211" i="4"/>
  <c r="FU211" i="4" s="1"/>
  <c r="HE298" i="4"/>
  <c r="FU298" i="4" s="1"/>
  <c r="DI402" i="4"/>
  <c r="HE231" i="4"/>
  <c r="FU231" i="4" s="1"/>
  <c r="HE387" i="4"/>
  <c r="FU387" i="4" s="1"/>
  <c r="HE362" i="4"/>
  <c r="FU362" i="4" s="1"/>
  <c r="HE125" i="4"/>
  <c r="HE382" i="4"/>
  <c r="FU382" i="4" s="1"/>
  <c r="HE391" i="4"/>
  <c r="FU391" i="4" s="1"/>
  <c r="DP402" i="4"/>
  <c r="HE69" i="4"/>
  <c r="FU69" i="4" s="1"/>
  <c r="HE342" i="4"/>
  <c r="FU342" i="4" s="1"/>
  <c r="HE195" i="4"/>
  <c r="FU195" i="4" s="1"/>
  <c r="HE79" i="4"/>
  <c r="FU79" i="4" s="1"/>
  <c r="HE138" i="4"/>
  <c r="FU138" i="4" s="1"/>
  <c r="CQ402" i="4"/>
  <c r="HE174" i="4"/>
  <c r="FU174" i="4" s="1"/>
  <c r="HE136" i="4"/>
  <c r="EG403" i="4"/>
  <c r="HE253" i="4"/>
  <c r="FU253" i="4" s="1"/>
  <c r="AJ406" i="4"/>
  <c r="D452" i="11"/>
  <c r="D451" i="11"/>
  <c r="D448" i="11"/>
  <c r="D449" i="11"/>
  <c r="AL350" i="4"/>
  <c r="AE393" i="4"/>
  <c r="DI53" i="4"/>
  <c r="DI35" i="4"/>
  <c r="Y47" i="4"/>
  <c r="Y63" i="4"/>
  <c r="DP112" i="4"/>
  <c r="DP76" i="4"/>
  <c r="DP117" i="4"/>
  <c r="DP186" i="4"/>
  <c r="DP193" i="4"/>
  <c r="DP197" i="4"/>
  <c r="GR396" i="4"/>
  <c r="DP94" i="4"/>
  <c r="DK144" i="4"/>
  <c r="DP140" i="4"/>
  <c r="DP98" i="4"/>
  <c r="DP175" i="4"/>
  <c r="DK153" i="4"/>
  <c r="DP139" i="4"/>
  <c r="DP121" i="4"/>
  <c r="DP93" i="4"/>
  <c r="DK158" i="4"/>
  <c r="DP178" i="4"/>
  <c r="DS121" i="4"/>
  <c r="DK148" i="4"/>
  <c r="ED397" i="4"/>
  <c r="CG399" i="4"/>
  <c r="AA395" i="4"/>
  <c r="O396" i="4"/>
  <c r="AT399" i="4"/>
  <c r="FC393" i="4"/>
  <c r="BS398" i="4"/>
  <c r="CB400" i="4"/>
  <c r="BA394" i="4"/>
  <c r="BZ400" i="4"/>
  <c r="CI398" i="4"/>
  <c r="BN395" i="4"/>
  <c r="U396" i="4"/>
  <c r="BX395" i="4"/>
  <c r="DD401" i="4"/>
  <c r="FI399" i="4"/>
  <c r="CE395" i="4"/>
  <c r="AO394" i="4"/>
  <c r="DR399" i="4"/>
  <c r="S397" i="4"/>
  <c r="BJ394" i="4"/>
  <c r="CN398" i="4"/>
  <c r="BU396" i="4"/>
  <c r="FE398" i="4"/>
  <c r="Y393" i="4"/>
  <c r="CQ394" i="4"/>
  <c r="DS394" i="4"/>
  <c r="BO395" i="4"/>
  <c r="CX395" i="4"/>
  <c r="DS395" i="4"/>
  <c r="CC397" i="4"/>
  <c r="AE397" i="4"/>
  <c r="CP397" i="4"/>
  <c r="CP401" i="4"/>
  <c r="CI401" i="4"/>
  <c r="BZ396" i="4"/>
  <c r="DZ400" i="4"/>
  <c r="BJ397" i="4"/>
  <c r="AF400" i="4"/>
  <c r="BX396" i="4"/>
  <c r="CS397" i="4"/>
  <c r="BV396" i="4"/>
  <c r="W396" i="4"/>
  <c r="CS396" i="4"/>
  <c r="CB396" i="4"/>
  <c r="AT396" i="4"/>
  <c r="CN397" i="4"/>
  <c r="DS396" i="4"/>
  <c r="O399" i="4"/>
  <c r="AF399" i="4"/>
  <c r="DS398" i="4"/>
  <c r="AV398" i="4"/>
  <c r="CZ398" i="4"/>
  <c r="ED395" i="4"/>
  <c r="BZ401" i="4"/>
  <c r="GP396" i="4"/>
  <c r="GP398" i="4"/>
  <c r="CG395" i="4"/>
  <c r="CX399" i="4"/>
  <c r="GN397" i="4"/>
  <c r="AQ395" i="4"/>
  <c r="BQ394" i="4"/>
  <c r="BN393" i="4"/>
  <c r="AV395" i="4"/>
  <c r="CZ394" i="4"/>
  <c r="W393" i="4"/>
  <c r="AO393" i="4"/>
  <c r="AX393" i="4"/>
  <c r="BH394" i="4"/>
  <c r="CB394" i="4"/>
  <c r="EF395" i="4"/>
  <c r="DK395" i="4"/>
  <c r="DY395" i="4"/>
  <c r="BG397" i="4"/>
  <c r="BV397" i="4"/>
  <c r="BA397" i="4"/>
  <c r="DZ401" i="4"/>
  <c r="EG401" i="4"/>
  <c r="DY400" i="4"/>
  <c r="AE396" i="4"/>
  <c r="EF400" i="4"/>
  <c r="BC397" i="4"/>
  <c r="BS400" i="4"/>
  <c r="DB400" i="4"/>
  <c r="DI401" i="4"/>
  <c r="Y397" i="4"/>
  <c r="CX396" i="4"/>
  <c r="CC396" i="4"/>
  <c r="AM400" i="4"/>
  <c r="EJ400" i="4" s="1"/>
  <c r="AX401" i="4"/>
  <c r="BQ400" i="4"/>
  <c r="ED398" i="4"/>
  <c r="AV399" i="4"/>
  <c r="CQ399" i="4"/>
  <c r="BN398" i="4"/>
  <c r="AA399" i="4"/>
  <c r="Y399" i="4"/>
  <c r="BZ399" i="4"/>
  <c r="Y398" i="4"/>
  <c r="Y395" i="4"/>
  <c r="GP393" i="4"/>
  <c r="AZ398" i="4"/>
  <c r="U395" i="4"/>
  <c r="AA394" i="4"/>
  <c r="GN396" i="4"/>
  <c r="S394" i="4"/>
  <c r="W395" i="4"/>
  <c r="CS394" i="4"/>
  <c r="BH393" i="4"/>
  <c r="AO395" i="4"/>
  <c r="BQ395" i="4"/>
  <c r="BZ394" i="4"/>
  <c r="DP393" i="4"/>
  <c r="DR393" i="4"/>
  <c r="BG394" i="4"/>
  <c r="CC394" i="4"/>
  <c r="EG395" i="4"/>
  <c r="DL395" i="4"/>
  <c r="DZ395" i="4"/>
  <c r="BH397" i="4"/>
  <c r="BU397" i="4"/>
  <c r="AZ397" i="4"/>
  <c r="DY401" i="4"/>
  <c r="EF401" i="4"/>
  <c r="AO397" i="4"/>
  <c r="DY396" i="4"/>
  <c r="AF396" i="4"/>
  <c r="EG400" i="4"/>
  <c r="BS396" i="4"/>
  <c r="DB396" i="4"/>
  <c r="DP397" i="4"/>
  <c r="AL400" i="4"/>
  <c r="AA400" i="4"/>
  <c r="BQ396" i="4"/>
  <c r="DD398" i="4"/>
  <c r="DE398" i="4"/>
  <c r="AO398" i="4"/>
  <c r="AQ398" i="4"/>
  <c r="U398" i="4"/>
  <c r="O395" i="4"/>
  <c r="GN393" i="4"/>
  <c r="O394" i="4"/>
  <c r="CE394" i="4"/>
  <c r="GP395" i="4"/>
  <c r="Y394" i="4"/>
  <c r="CN395" i="4"/>
  <c r="BC394" i="4"/>
  <c r="FK401" i="4"/>
  <c r="AX395" i="4"/>
  <c r="GP400" i="4"/>
  <c r="BX394" i="4"/>
  <c r="DB393" i="4"/>
  <c r="CZ393" i="4"/>
  <c r="BG393" i="4"/>
  <c r="Q393" i="4"/>
  <c r="CJ394" i="4"/>
  <c r="EF394" i="4"/>
  <c r="DK394" i="4"/>
  <c r="CP395" i="4"/>
  <c r="AE395" i="4"/>
  <c r="CI395" i="4"/>
  <c r="DY397" i="4"/>
  <c r="DD397" i="4"/>
  <c r="AL401" i="4"/>
  <c r="BA401" i="4"/>
  <c r="W397" i="4"/>
  <c r="DZ396" i="4"/>
  <c r="CS401" i="4"/>
  <c r="EF396" i="4"/>
  <c r="CG397" i="4"/>
  <c r="BO400" i="4"/>
  <c r="BJ401" i="4"/>
  <c r="CP400" i="4"/>
  <c r="CN401" i="4"/>
  <c r="ED401" i="4"/>
  <c r="AL396" i="4"/>
  <c r="AA396" i="4"/>
  <c r="BC398" i="4"/>
  <c r="BJ399" i="4"/>
  <c r="CI399" i="4"/>
  <c r="BZ395" i="4"/>
  <c r="BA398" i="4"/>
  <c r="BS401" i="4"/>
  <c r="BG399" i="4"/>
  <c r="BJ398" i="4"/>
  <c r="CP399" i="4"/>
  <c r="DY393" i="4"/>
  <c r="Q395" i="4"/>
  <c r="AX394" i="4"/>
  <c r="BJ395" i="4"/>
  <c r="GR397" i="4"/>
  <c r="BU399" i="4"/>
  <c r="DE393" i="4"/>
  <c r="BJ393" i="4"/>
  <c r="CN393" i="4"/>
  <c r="CI394" i="4"/>
  <c r="EG394" i="4"/>
  <c r="DL394" i="4"/>
  <c r="CQ395" i="4"/>
  <c r="AF395" i="4"/>
  <c r="CJ395" i="4"/>
  <c r="DZ397" i="4"/>
  <c r="DE397" i="4"/>
  <c r="AM401" i="4"/>
  <c r="EJ401" i="4" s="1"/>
  <c r="AZ401" i="4"/>
  <c r="CX401" i="4"/>
  <c r="AQ401" i="4"/>
  <c r="EG396" i="4"/>
  <c r="S401" i="4"/>
  <c r="BN400" i="4"/>
  <c r="BX397" i="4"/>
  <c r="CQ400" i="4"/>
  <c r="BC400" i="4"/>
  <c r="CG401" i="4"/>
  <c r="AM396" i="4"/>
  <c r="EJ396" i="4" s="1"/>
  <c r="BH400" i="4"/>
  <c r="U401" i="4"/>
  <c r="CZ399" i="4"/>
  <c r="AQ399" i="4"/>
  <c r="CJ398" i="4"/>
  <c r="EG398" i="4"/>
  <c r="AV397" i="4"/>
  <c r="BN399" i="4"/>
  <c r="BH399" i="4"/>
  <c r="BA399" i="4"/>
  <c r="U399" i="4"/>
  <c r="S398" i="4"/>
  <c r="CJ399" i="4"/>
  <c r="ED394" i="4"/>
  <c r="GN398" i="4"/>
  <c r="GN395" i="4"/>
  <c r="CX393" i="4"/>
  <c r="BC395" i="4"/>
  <c r="DI395" i="4"/>
  <c r="U393" i="4"/>
  <c r="O393" i="4"/>
  <c r="GN399" i="4"/>
  <c r="AT394" i="4"/>
  <c r="AL394" i="4"/>
  <c r="AF394" i="4"/>
  <c r="BG395" i="4"/>
  <c r="AZ395" i="4"/>
  <c r="DD395" i="4"/>
  <c r="DL397" i="4"/>
  <c r="AL397" i="4"/>
  <c r="DL401" i="4"/>
  <c r="AT401" i="4"/>
  <c r="BO401" i="4"/>
  <c r="O401" i="4"/>
  <c r="CE400" i="4"/>
  <c r="Q401" i="4"/>
  <c r="BA400" i="4"/>
  <c r="DP401" i="4"/>
  <c r="BN396" i="4"/>
  <c r="O397" i="4"/>
  <c r="CP396" i="4"/>
  <c r="BC396" i="4"/>
  <c r="AX397" i="4"/>
  <c r="O400" i="4"/>
  <c r="BG400" i="4"/>
  <c r="CZ400" i="4"/>
  <c r="CX398" i="4"/>
  <c r="DZ398" i="4"/>
  <c r="CE399" i="4"/>
  <c r="O398" i="4"/>
  <c r="DI397" i="4"/>
  <c r="CB399" i="4"/>
  <c r="AZ399" i="4"/>
  <c r="BV399" i="4"/>
  <c r="AX398" i="4"/>
  <c r="AO399" i="4"/>
  <c r="DZ399" i="4"/>
  <c r="AV394" i="4"/>
  <c r="DD393" i="4"/>
  <c r="Q394" i="4"/>
  <c r="CN394" i="4"/>
  <c r="AZ393" i="4"/>
  <c r="GR401" i="4"/>
  <c r="BV393" i="4"/>
  <c r="BZ393" i="4"/>
  <c r="AA393" i="4"/>
  <c r="CQ393" i="4"/>
  <c r="AS394" i="4"/>
  <c r="AM394" i="4"/>
  <c r="EJ394" i="4" s="1"/>
  <c r="AE394" i="4"/>
  <c r="BH395" i="4"/>
  <c r="BA395" i="4"/>
  <c r="DE395" i="4"/>
  <c r="DK397" i="4"/>
  <c r="AM397" i="4"/>
  <c r="EJ397" i="4" s="1"/>
  <c r="DK401" i="4"/>
  <c r="AS401" i="4"/>
  <c r="BN401" i="4"/>
  <c r="AV401" i="4"/>
  <c r="S400" i="4"/>
  <c r="CE396" i="4"/>
  <c r="Q397" i="4"/>
  <c r="AZ400" i="4"/>
  <c r="W401" i="4"/>
  <c r="BO396" i="4"/>
  <c r="CZ397" i="4"/>
  <c r="CQ396" i="4"/>
  <c r="CJ400" i="4"/>
  <c r="DE400" i="4"/>
  <c r="BX401" i="4"/>
  <c r="DP400" i="4"/>
  <c r="BH396" i="4"/>
  <c r="CZ396" i="4"/>
  <c r="BS399" i="4"/>
  <c r="DY398" i="4"/>
  <c r="AL398" i="4"/>
  <c r="DB398" i="4"/>
  <c r="BS397" i="4"/>
  <c r="EG399" i="4"/>
  <c r="CP398" i="4"/>
  <c r="CQ398" i="4"/>
  <c r="DB399" i="4"/>
  <c r="DD399" i="4"/>
  <c r="DI394" i="4"/>
  <c r="CB398" i="4"/>
  <c r="CS395" i="4"/>
  <c r="AF393" i="4"/>
  <c r="W398" i="4"/>
  <c r="CS399" i="4"/>
  <c r="DZ393" i="4"/>
  <c r="BS393" i="4"/>
  <c r="CG393" i="4"/>
  <c r="AT393" i="4"/>
  <c r="DD394" i="4"/>
  <c r="BU394" i="4"/>
  <c r="CB395" i="4"/>
  <c r="AM395" i="4"/>
  <c r="EJ395" i="4" s="1"/>
  <c r="BN397" i="4"/>
  <c r="CI397" i="4"/>
  <c r="BG401" i="4"/>
  <c r="BV401" i="4"/>
  <c r="CB401" i="4"/>
  <c r="Y401" i="4"/>
  <c r="S396" i="4"/>
  <c r="DK400" i="4"/>
  <c r="AZ396" i="4"/>
  <c r="Y400" i="4"/>
  <c r="BQ401" i="4"/>
  <c r="CE401" i="4"/>
  <c r="CI400" i="4"/>
  <c r="DD400" i="4"/>
  <c r="DB401" i="4"/>
  <c r="DP396" i="4"/>
  <c r="BJ400" i="4"/>
  <c r="DB397" i="4"/>
  <c r="BG396" i="4"/>
  <c r="AV400" i="4"/>
  <c r="DI399" i="4"/>
  <c r="BQ399" i="4"/>
  <c r="BX398" i="4"/>
  <c r="W399" i="4"/>
  <c r="CE398" i="4"/>
  <c r="DR398" i="4"/>
  <c r="BU398" i="4"/>
  <c r="BV398" i="4"/>
  <c r="AM399" i="4"/>
  <c r="EJ399" i="4" s="1"/>
  <c r="DY399" i="4"/>
  <c r="DL398" i="4"/>
  <c r="DP395" i="4"/>
  <c r="CP393" i="4"/>
  <c r="BS395" i="4"/>
  <c r="GN394" i="4"/>
  <c r="CB393" i="4"/>
  <c r="BU393" i="4"/>
  <c r="GN400" i="4"/>
  <c r="DK393" i="4"/>
  <c r="DL399" i="4"/>
  <c r="CI393" i="4"/>
  <c r="DL393" i="4"/>
  <c r="BA393" i="4"/>
  <c r="BC393" i="4"/>
  <c r="CX394" i="4"/>
  <c r="DE394" i="4"/>
  <c r="BV394" i="4"/>
  <c r="CC395" i="4"/>
  <c r="AL395" i="4"/>
  <c r="CX397" i="4"/>
  <c r="BO397" i="4"/>
  <c r="CJ397" i="4"/>
  <c r="BH401" i="4"/>
  <c r="BU401" i="4"/>
  <c r="CC401" i="4"/>
  <c r="CN400" i="4"/>
  <c r="DL400" i="4"/>
  <c r="BA396" i="4"/>
  <c r="Y396" i="4"/>
  <c r="AA401" i="4"/>
  <c r="CI396" i="4"/>
  <c r="DD396" i="4"/>
  <c r="CZ401" i="4"/>
  <c r="Q400" i="4"/>
  <c r="BJ396" i="4"/>
  <c r="AA397" i="4"/>
  <c r="CG400" i="4"/>
  <c r="AV396" i="4"/>
  <c r="Q398" i="4"/>
  <c r="CS398" i="4"/>
  <c r="Q399" i="4"/>
  <c r="S399" i="4"/>
  <c r="BO398" i="4"/>
  <c r="AE398" i="4"/>
  <c r="AF398" i="4"/>
  <c r="AS399" i="4"/>
  <c r="DS399" i="4"/>
  <c r="AS393" i="4"/>
  <c r="U394" i="4"/>
  <c r="BS394" i="4"/>
  <c r="CC393" i="4"/>
  <c r="W394" i="4"/>
  <c r="EF398" i="4"/>
  <c r="GP397" i="4"/>
  <c r="AL393" i="4"/>
  <c r="CS393" i="4"/>
  <c r="DI393" i="4"/>
  <c r="S393" i="4"/>
  <c r="GR384" i="4"/>
  <c r="GR400" i="4"/>
  <c r="GR398" i="4"/>
  <c r="GR399" i="4"/>
  <c r="GR393" i="4"/>
  <c r="DY394" i="4"/>
  <c r="BN394" i="4"/>
  <c r="AZ394" i="4"/>
  <c r="BV395" i="4"/>
  <c r="AS395" i="4"/>
  <c r="DR397" i="4"/>
  <c r="EG397" i="4"/>
  <c r="AS397" i="4"/>
  <c r="AF401" i="4"/>
  <c r="DE401" i="4"/>
  <c r="DR401" i="4"/>
  <c r="CN396" i="4"/>
  <c r="DK396" i="4"/>
  <c r="AX400" i="4"/>
  <c r="BU400" i="4"/>
  <c r="U400" i="4"/>
  <c r="AO400" i="4"/>
  <c r="CE397" i="4"/>
  <c r="CJ396" i="4"/>
  <c r="DE396" i="4"/>
  <c r="BQ397" i="4"/>
  <c r="Q396" i="4"/>
  <c r="AT400" i="4"/>
  <c r="U397" i="4"/>
  <c r="CG396" i="4"/>
  <c r="DS400" i="4"/>
  <c r="DI398" i="4"/>
  <c r="AA398" i="4"/>
  <c r="CN399" i="4"/>
  <c r="AT398" i="4"/>
  <c r="BZ397" i="4"/>
  <c r="DK399" i="4"/>
  <c r="DE399" i="4"/>
  <c r="S395" i="4"/>
  <c r="AS398" i="4"/>
  <c r="DS393" i="4"/>
  <c r="BG398" i="4"/>
  <c r="AM398" i="4"/>
  <c r="EJ398" i="4" s="1"/>
  <c r="BO399" i="4"/>
  <c r="BZ398" i="4"/>
  <c r="CE393" i="4"/>
  <c r="AM393" i="4"/>
  <c r="EJ393" i="4" s="1"/>
  <c r="ED393" i="4"/>
  <c r="DZ394" i="4"/>
  <c r="BO394" i="4"/>
  <c r="BU395" i="4"/>
  <c r="AT395" i="4"/>
  <c r="DS397" i="4"/>
  <c r="EF397" i="4"/>
  <c r="AT397" i="4"/>
  <c r="AE401" i="4"/>
  <c r="DS401" i="4"/>
  <c r="AQ400" i="4"/>
  <c r="DL396" i="4"/>
  <c r="BC401" i="4"/>
  <c r="AX396" i="4"/>
  <c r="BV400" i="4"/>
  <c r="AO396" i="4"/>
  <c r="DI400" i="4"/>
  <c r="ED400" i="4"/>
  <c r="CX400" i="4"/>
  <c r="CC400" i="4"/>
  <c r="AS400" i="4"/>
  <c r="AQ397" i="4"/>
  <c r="DR400" i="4"/>
  <c r="DP398" i="4"/>
  <c r="DP399" i="4"/>
  <c r="BX399" i="4"/>
  <c r="BC399" i="4"/>
  <c r="ED399" i="4"/>
  <c r="CC398" i="4"/>
  <c r="DK398" i="4"/>
  <c r="GP401" i="4"/>
  <c r="AQ394" i="4"/>
  <c r="AX399" i="4"/>
  <c r="GR394" i="4"/>
  <c r="CG394" i="4"/>
  <c r="DB394" i="4"/>
  <c r="CC399" i="4"/>
  <c r="AL399" i="4"/>
  <c r="BO393" i="4"/>
  <c r="CJ393" i="4"/>
  <c r="BX393" i="4"/>
  <c r="AV393" i="4"/>
  <c r="CP394" i="4"/>
  <c r="DR394" i="4"/>
  <c r="DR395" i="4"/>
  <c r="CB397" i="4"/>
  <c r="AF397" i="4"/>
  <c r="CQ397" i="4"/>
  <c r="CQ401" i="4"/>
  <c r="CJ401" i="4"/>
  <c r="AQ396" i="4"/>
  <c r="AE400" i="4"/>
  <c r="BX400" i="4"/>
  <c r="W400" i="4"/>
  <c r="CS400" i="4"/>
  <c r="DI396" i="4"/>
  <c r="ED396" i="4"/>
  <c r="AS396" i="4"/>
  <c r="AO401" i="4"/>
  <c r="DR396" i="4"/>
  <c r="CG398" i="4"/>
  <c r="BQ398" i="4"/>
  <c r="EF399" i="4"/>
  <c r="BH398" i="4"/>
  <c r="CZ395" i="4"/>
  <c r="GR395" i="4"/>
  <c r="GP399" i="4"/>
  <c r="GP394" i="4"/>
  <c r="GN401" i="4"/>
  <c r="FK400" i="4"/>
  <c r="DP394" i="4"/>
  <c r="EF393" i="4"/>
  <c r="AE399" i="4"/>
  <c r="BQ393" i="4"/>
  <c r="AQ393" i="4"/>
  <c r="EG393" i="4"/>
  <c r="CE391" i="4"/>
  <c r="FE387" i="4"/>
  <c r="FC392" i="4"/>
  <c r="Q391" i="4"/>
  <c r="CI389" i="4"/>
  <c r="BN392" i="4"/>
  <c r="GP382" i="4"/>
  <c r="GN384" i="4"/>
  <c r="GR385" i="4"/>
  <c r="FK382" i="4"/>
  <c r="GR390" i="4"/>
  <c r="GR391" i="4"/>
  <c r="GP386" i="4"/>
  <c r="BX383" i="4"/>
  <c r="DD389" i="4"/>
  <c r="GP383" i="4"/>
  <c r="GN383" i="4"/>
  <c r="GN387" i="4"/>
  <c r="GN390" i="4"/>
  <c r="DB389" i="4"/>
  <c r="AO384" i="4"/>
  <c r="DR389" i="4"/>
  <c r="ED392" i="4"/>
  <c r="GP391" i="4"/>
  <c r="GP392" i="4"/>
  <c r="GP384" i="4"/>
  <c r="S391" i="4"/>
  <c r="BJ384" i="4"/>
  <c r="CN391" i="4"/>
  <c r="GN388" i="4"/>
  <c r="GN385" i="4"/>
  <c r="GP381" i="4"/>
  <c r="GR381" i="4"/>
  <c r="AX386" i="4"/>
  <c r="BU386" i="4"/>
  <c r="FE374" i="4"/>
  <c r="Y381" i="4"/>
  <c r="GN392" i="4"/>
  <c r="GN386" i="4"/>
  <c r="GN380" i="4"/>
  <c r="GP387" i="4"/>
  <c r="GP380" i="4"/>
  <c r="CG391" i="4"/>
  <c r="GP389" i="4"/>
  <c r="FC389" i="4"/>
  <c r="AA392" i="4"/>
  <c r="GP388" i="4"/>
  <c r="GN382" i="4"/>
  <c r="GR383" i="4"/>
  <c r="GP385" i="4"/>
  <c r="O390" i="4"/>
  <c r="AS389" i="4"/>
  <c r="GN389" i="4"/>
  <c r="GN391" i="4"/>
  <c r="GR380" i="4"/>
  <c r="GR389" i="4"/>
  <c r="GR387" i="4"/>
  <c r="GR386" i="4"/>
  <c r="GR382" i="4"/>
  <c r="GR388" i="4"/>
  <c r="GR392" i="4"/>
  <c r="BS380" i="4"/>
  <c r="GP390" i="4"/>
  <c r="FK391" i="4"/>
  <c r="FK383" i="4"/>
  <c r="CC387" i="4"/>
  <c r="AZ392" i="4"/>
  <c r="BZ381" i="4"/>
  <c r="GN381" i="4"/>
  <c r="FK380" i="4"/>
  <c r="FI386" i="4"/>
  <c r="EG381" i="4"/>
  <c r="DZ381" i="4"/>
  <c r="CB383" i="4"/>
  <c r="BA383" i="4"/>
  <c r="BO384" i="4"/>
  <c r="DS384" i="4"/>
  <c r="CX384" i="4"/>
  <c r="AE385" i="4"/>
  <c r="CC385" i="4"/>
  <c r="CX385" i="4"/>
  <c r="BH390" i="4"/>
  <c r="DS390" i="4"/>
  <c r="AE391" i="4"/>
  <c r="AZ391" i="4"/>
  <c r="DD391" i="4"/>
  <c r="CE392" i="4"/>
  <c r="BS382" i="4"/>
  <c r="BX387" i="4"/>
  <c r="DS389" i="4"/>
  <c r="CS386" i="4"/>
  <c r="BJ388" i="4"/>
  <c r="CQ392" i="4"/>
  <c r="AA391" i="4"/>
  <c r="U389" i="4"/>
  <c r="CN387" i="4"/>
  <c r="BG387" i="4"/>
  <c r="CS385" i="4"/>
  <c r="AX388" i="4"/>
  <c r="DL387" i="4"/>
  <c r="BX385" i="4"/>
  <c r="CJ389" i="4"/>
  <c r="CS382" i="4"/>
  <c r="DE387" i="4"/>
  <c r="BZ388" i="4"/>
  <c r="AA389" i="4"/>
  <c r="CI386" i="4"/>
  <c r="BC385" i="4"/>
  <c r="BO388" i="4"/>
  <c r="BA392" i="4"/>
  <c r="O382" i="4"/>
  <c r="DS388" i="4"/>
  <c r="DZ389" i="4"/>
  <c r="AX390" i="4"/>
  <c r="ED389" i="4"/>
  <c r="CS392" i="4"/>
  <c r="CJ388" i="4"/>
  <c r="AS387" i="4"/>
  <c r="BX381" i="4"/>
  <c r="AM392" i="4"/>
  <c r="EJ392" i="4" s="1"/>
  <c r="AT387" i="4"/>
  <c r="CG380" i="4"/>
  <c r="W390" i="4"/>
  <c r="BC381" i="4"/>
  <c r="Y380" i="4"/>
  <c r="BC380" i="4"/>
  <c r="AX380" i="4"/>
  <c r="DY380" i="4"/>
  <c r="GN374" i="4"/>
  <c r="AX384" i="4"/>
  <c r="S380" i="4"/>
  <c r="W380" i="4"/>
  <c r="DD380" i="4"/>
  <c r="AO385" i="4"/>
  <c r="FE372" i="4"/>
  <c r="AZ381" i="4"/>
  <c r="AT381" i="4"/>
  <c r="BU383" i="4"/>
  <c r="DS383" i="4"/>
  <c r="CX383" i="4"/>
  <c r="CI384" i="4"/>
  <c r="AL384" i="4"/>
  <c r="CQ384" i="4"/>
  <c r="BG385" i="4"/>
  <c r="DD385" i="4"/>
  <c r="CP390" i="4"/>
  <c r="DD390" i="4"/>
  <c r="AL390" i="4"/>
  <c r="EG391" i="4"/>
  <c r="DY391" i="4"/>
  <c r="DR391" i="4"/>
  <c r="CQ389" i="4"/>
  <c r="AO392" i="4"/>
  <c r="EF388" i="4"/>
  <c r="BO389" i="4"/>
  <c r="AX387" i="4"/>
  <c r="EG389" i="4"/>
  <c r="Q386" i="4"/>
  <c r="AQ387" i="4"/>
  <c r="DK386" i="4"/>
  <c r="AX392" i="4"/>
  <c r="BA388" i="4"/>
  <c r="BO387" i="4"/>
  <c r="CE385" i="4"/>
  <c r="DI382" i="4"/>
  <c r="AZ387" i="4"/>
  <c r="Q385" i="4"/>
  <c r="BX382" i="4"/>
  <c r="AM387" i="4"/>
  <c r="EJ387" i="4" s="1"/>
  <c r="AQ388" i="4"/>
  <c r="BU382" i="4"/>
  <c r="DR388" i="4"/>
  <c r="DY389" i="4"/>
  <c r="DK389" i="4"/>
  <c r="BZ390" i="4"/>
  <c r="BZ384" i="4"/>
  <c r="BQ387" i="4"/>
  <c r="DE388" i="4"/>
  <c r="DP386" i="4"/>
  <c r="AM386" i="4"/>
  <c r="EJ386" i="4" s="1"/>
  <c r="U383" i="4"/>
  <c r="DI380" i="4"/>
  <c r="BS381" i="4"/>
  <c r="AA390" i="4"/>
  <c r="BS383" i="4"/>
  <c r="DI381" i="4"/>
  <c r="DP383" i="4"/>
  <c r="GR374" i="4"/>
  <c r="CZ381" i="4"/>
  <c r="AV381" i="4"/>
  <c r="AV384" i="4"/>
  <c r="AO381" i="4"/>
  <c r="O381" i="4"/>
  <c r="AV385" i="4"/>
  <c r="CX380" i="4"/>
  <c r="BA381" i="4"/>
  <c r="AS381" i="4"/>
  <c r="BV383" i="4"/>
  <c r="DR383" i="4"/>
  <c r="CJ384" i="4"/>
  <c r="AM384" i="4"/>
  <c r="EJ384" i="4" s="1"/>
  <c r="CP384" i="4"/>
  <c r="BH385" i="4"/>
  <c r="DE385" i="4"/>
  <c r="CQ390" i="4"/>
  <c r="DE390" i="4"/>
  <c r="AM390" i="4"/>
  <c r="EJ390" i="4" s="1"/>
  <c r="EF391" i="4"/>
  <c r="DZ391" i="4"/>
  <c r="DS391" i="4"/>
  <c r="CS388" i="4"/>
  <c r="CX387" i="4"/>
  <c r="DI385" i="4"/>
  <c r="O386" i="4"/>
  <c r="BS385" i="4"/>
  <c r="Q382" i="4"/>
  <c r="CQ387" i="4"/>
  <c r="BJ385" i="4"/>
  <c r="AX389" i="4"/>
  <c r="AF388" i="4"/>
  <c r="EF386" i="4"/>
  <c r="AQ383" i="4"/>
  <c r="Q388" i="4"/>
  <c r="AQ392" i="4"/>
  <c r="DE386" i="4"/>
  <c r="BZ385" i="4"/>
  <c r="AX382" i="4"/>
  <c r="BQ386" i="4"/>
  <c r="DK387" i="4"/>
  <c r="CN382" i="4"/>
  <c r="BQ388" i="4"/>
  <c r="BV387" i="4"/>
  <c r="CN385" i="4"/>
  <c r="Y383" i="4"/>
  <c r="BO382" i="4"/>
  <c r="CE389" i="4"/>
  <c r="DL389" i="4"/>
  <c r="BZ389" i="4"/>
  <c r="CB388" i="4"/>
  <c r="AZ389" i="4"/>
  <c r="U384" i="4"/>
  <c r="ED386" i="4"/>
  <c r="U386" i="4"/>
  <c r="BU388" i="4"/>
  <c r="DZ386" i="4"/>
  <c r="GN377" i="4"/>
  <c r="AM380" i="4"/>
  <c r="EJ380" i="4" s="1"/>
  <c r="CB387" i="4"/>
  <c r="BQ381" i="4"/>
  <c r="W381" i="4"/>
  <c r="BQ383" i="4"/>
  <c r="BA380" i="4"/>
  <c r="S390" i="4"/>
  <c r="CC386" i="4"/>
  <c r="ED381" i="4"/>
  <c r="AX383" i="4"/>
  <c r="CI392" i="4"/>
  <c r="BV389" i="4"/>
  <c r="CE380" i="4"/>
  <c r="BN389" i="4"/>
  <c r="DP380" i="4"/>
  <c r="FK379" i="4"/>
  <c r="BV381" i="4"/>
  <c r="DR381" i="4"/>
  <c r="EF383" i="4"/>
  <c r="AS383" i="4"/>
  <c r="CP383" i="4"/>
  <c r="DD384" i="4"/>
  <c r="BG384" i="4"/>
  <c r="AT384" i="4"/>
  <c r="DR385" i="4"/>
  <c r="EF385" i="4"/>
  <c r="CJ390" i="4"/>
  <c r="AZ390" i="4"/>
  <c r="DK390" i="4"/>
  <c r="BN391" i="4"/>
  <c r="AM391" i="4"/>
  <c r="EJ391" i="4" s="1"/>
  <c r="CZ388" i="4"/>
  <c r="DR386" i="4"/>
  <c r="S388" i="4"/>
  <c r="BJ387" i="4"/>
  <c r="EF387" i="4"/>
  <c r="AA385" i="4"/>
  <c r="BJ382" i="4"/>
  <c r="AF387" i="4"/>
  <c r="DP385" i="4"/>
  <c r="BX388" i="4"/>
  <c r="O389" i="4"/>
  <c r="AS386" i="4"/>
  <c r="CN390" i="4"/>
  <c r="AQ389" i="4"/>
  <c r="AO387" i="4"/>
  <c r="BA386" i="4"/>
  <c r="BS392" i="4"/>
  <c r="BN387" i="4"/>
  <c r="DB385" i="4"/>
  <c r="U392" i="4"/>
  <c r="BG386" i="4"/>
  <c r="AV383" i="4"/>
  <c r="Y390" i="4"/>
  <c r="AV389" i="4"/>
  <c r="AT392" i="4"/>
  <c r="EF382" i="4"/>
  <c r="U382" i="4"/>
  <c r="W388" i="4"/>
  <c r="BA389" i="4"/>
  <c r="AV382" i="4"/>
  <c r="CG387" i="4"/>
  <c r="DY387" i="4"/>
  <c r="BJ391" i="4"/>
  <c r="S383" i="4"/>
  <c r="CZ389" i="4"/>
  <c r="BC389" i="4"/>
  <c r="BV386" i="4"/>
  <c r="AL380" i="4"/>
  <c r="DS380" i="4"/>
  <c r="GN378" i="4"/>
  <c r="AO391" i="4"/>
  <c r="CZ383" i="4"/>
  <c r="AZ380" i="4"/>
  <c r="S381" i="4"/>
  <c r="CE381" i="4"/>
  <c r="AX381" i="4"/>
  <c r="GP377" i="4"/>
  <c r="CQ388" i="4"/>
  <c r="CB380" i="4"/>
  <c r="DP381" i="4"/>
  <c r="CC380" i="4"/>
  <c r="GR373" i="4"/>
  <c r="DB381" i="4"/>
  <c r="GP376" i="4"/>
  <c r="AO383" i="4"/>
  <c r="CN383" i="4"/>
  <c r="CG381" i="4"/>
  <c r="CI382" i="4"/>
  <c r="BU381" i="4"/>
  <c r="DS381" i="4"/>
  <c r="EG383" i="4"/>
  <c r="AT383" i="4"/>
  <c r="CQ383" i="4"/>
  <c r="DE384" i="4"/>
  <c r="BH384" i="4"/>
  <c r="AS384" i="4"/>
  <c r="DS385" i="4"/>
  <c r="EG385" i="4"/>
  <c r="CI390" i="4"/>
  <c r="BA390" i="4"/>
  <c r="DL390" i="4"/>
  <c r="CX391" i="4"/>
  <c r="BO391" i="4"/>
  <c r="AL391" i="4"/>
  <c r="BZ392" i="4"/>
  <c r="CC382" i="4"/>
  <c r="BJ383" i="4"/>
  <c r="DK388" i="4"/>
  <c r="CP388" i="4"/>
  <c r="DS386" i="4"/>
  <c r="CG383" i="4"/>
  <c r="S382" i="4"/>
  <c r="EG388" i="4"/>
  <c r="BH387" i="4"/>
  <c r="O384" i="4"/>
  <c r="AM388" i="4"/>
  <c r="EJ388" i="4" s="1"/>
  <c r="ED384" i="4"/>
  <c r="BS386" i="4"/>
  <c r="AO386" i="4"/>
  <c r="Q389" i="4"/>
  <c r="AV387" i="4"/>
  <c r="DD386" i="4"/>
  <c r="CZ387" i="4"/>
  <c r="CJ386" i="4"/>
  <c r="DB383" i="4"/>
  <c r="AO390" i="4"/>
  <c r="BN388" i="4"/>
  <c r="DZ392" i="4"/>
  <c r="CN384" i="4"/>
  <c r="BC387" i="4"/>
  <c r="DZ387" i="4"/>
  <c r="CI388" i="4"/>
  <c r="DR387" i="4"/>
  <c r="DP391" i="4"/>
  <c r="BV388" i="4"/>
  <c r="CG388" i="4"/>
  <c r="AV386" i="4"/>
  <c r="CJ382" i="4"/>
  <c r="CJ380" i="4"/>
  <c r="DR380" i="4"/>
  <c r="BU392" i="4"/>
  <c r="DL392" i="4"/>
  <c r="O383" i="4"/>
  <c r="BX380" i="4"/>
  <c r="FK373" i="4"/>
  <c r="GN372" i="4"/>
  <c r="AA386" i="4"/>
  <c r="Q380" i="4"/>
  <c r="Q392" i="4"/>
  <c r="CP381" i="4"/>
  <c r="BO381" i="4"/>
  <c r="AL381" i="4"/>
  <c r="BN383" i="4"/>
  <c r="DK383" i="4"/>
  <c r="DD383" i="4"/>
  <c r="DK384" i="4"/>
  <c r="CB384" i="4"/>
  <c r="BN385" i="4"/>
  <c r="AL385" i="4"/>
  <c r="CP385" i="4"/>
  <c r="AT390" i="4"/>
  <c r="AF390" i="4"/>
  <c r="CP391" i="4"/>
  <c r="AS391" i="4"/>
  <c r="W389" i="4"/>
  <c r="BQ389" i="4"/>
  <c r="AF382" i="4"/>
  <c r="CG384" i="4"/>
  <c r="CB386" i="4"/>
  <c r="DI383" i="4"/>
  <c r="DP382" i="4"/>
  <c r="O388" i="4"/>
  <c r="DL386" i="4"/>
  <c r="BQ384" i="4"/>
  <c r="CB392" i="4"/>
  <c r="CP382" i="4"/>
  <c r="DP384" i="4"/>
  <c r="AL388" i="4"/>
  <c r="Y386" i="4"/>
  <c r="DD382" i="4"/>
  <c r="BC384" i="4"/>
  <c r="AO388" i="4"/>
  <c r="AZ386" i="4"/>
  <c r="BC383" i="4"/>
  <c r="BZ386" i="4"/>
  <c r="CG389" i="4"/>
  <c r="BV382" i="4"/>
  <c r="CS390" i="4"/>
  <c r="CS387" i="4"/>
  <c r="BC390" i="4"/>
  <c r="CE388" i="4"/>
  <c r="DS387" i="4"/>
  <c r="DD388" i="4"/>
  <c r="CJ387" i="4"/>
  <c r="CZ385" i="4"/>
  <c r="O385" i="4"/>
  <c r="AE392" i="4"/>
  <c r="S392" i="4"/>
  <c r="BV392" i="4"/>
  <c r="DL382" i="4"/>
  <c r="BH389" i="4"/>
  <c r="CI380" i="4"/>
  <c r="CZ380" i="4"/>
  <c r="CZ391" i="4"/>
  <c r="AF386" i="4"/>
  <c r="AQ380" i="4"/>
  <c r="AQ381" i="4"/>
  <c r="ED380" i="4"/>
  <c r="GP375" i="4"/>
  <c r="BO380" i="4"/>
  <c r="DI384" i="4"/>
  <c r="CQ381" i="4"/>
  <c r="BN381" i="4"/>
  <c r="AM381" i="4"/>
  <c r="EJ381" i="4" s="1"/>
  <c r="BO383" i="4"/>
  <c r="DL383" i="4"/>
  <c r="DE383" i="4"/>
  <c r="DL384" i="4"/>
  <c r="CC384" i="4"/>
  <c r="BO385" i="4"/>
  <c r="AM385" i="4"/>
  <c r="EJ385" i="4" s="1"/>
  <c r="CQ385" i="4"/>
  <c r="CX390" i="4"/>
  <c r="AS390" i="4"/>
  <c r="AE390" i="4"/>
  <c r="CQ391" i="4"/>
  <c r="AT391" i="4"/>
  <c r="AO382" i="4"/>
  <c r="AA388" i="4"/>
  <c r="DS382" i="4"/>
  <c r="CS384" i="4"/>
  <c r="CG392" i="4"/>
  <c r="AE386" i="4"/>
  <c r="BX384" i="4"/>
  <c r="S387" i="4"/>
  <c r="EG386" i="4"/>
  <c r="S389" i="4"/>
  <c r="BC386" i="4"/>
  <c r="CP392" i="4"/>
  <c r="CE390" i="4"/>
  <c r="AA383" i="4"/>
  <c r="DP389" i="4"/>
  <c r="BZ387" i="4"/>
  <c r="AT382" i="4"/>
  <c r="AA384" i="4"/>
  <c r="BS388" i="4"/>
  <c r="Y388" i="4"/>
  <c r="CX386" i="4"/>
  <c r="U390" i="4"/>
  <c r="W392" i="4"/>
  <c r="AQ386" i="4"/>
  <c r="BN382" i="4"/>
  <c r="CG390" i="4"/>
  <c r="Q387" i="4"/>
  <c r="AF389" i="4"/>
  <c r="DI390" i="4"/>
  <c r="CI387" i="4"/>
  <c r="BN386" i="4"/>
  <c r="BQ385" i="4"/>
  <c r="CS391" i="4"/>
  <c r="AL386" i="4"/>
  <c r="EG392" i="4"/>
  <c r="BH382" i="4"/>
  <c r="BQ380" i="4"/>
  <c r="AL389" i="4"/>
  <c r="BH380" i="4"/>
  <c r="U388" i="4"/>
  <c r="CQ380" i="4"/>
  <c r="EG387" i="4"/>
  <c r="DP388" i="4"/>
  <c r="DL380" i="4"/>
  <c r="BN380" i="4"/>
  <c r="BH392" i="4"/>
  <c r="U380" i="4"/>
  <c r="CC381" i="4"/>
  <c r="BH381" i="4"/>
  <c r="DL381" i="4"/>
  <c r="DY383" i="4"/>
  <c r="AM383" i="4"/>
  <c r="EJ383" i="4" s="1"/>
  <c r="CI383" i="4"/>
  <c r="AF384" i="4"/>
  <c r="BA384" i="4"/>
  <c r="AZ385" i="4"/>
  <c r="DY385" i="4"/>
  <c r="CI385" i="4"/>
  <c r="EF390" i="4"/>
  <c r="DZ390" i="4"/>
  <c r="CB390" i="4"/>
  <c r="CJ391" i="4"/>
  <c r="BG391" i="4"/>
  <c r="Y389" i="4"/>
  <c r="Y384" i="4"/>
  <c r="CX388" i="4"/>
  <c r="CB382" i="4"/>
  <c r="CE384" i="4"/>
  <c r="DL388" i="4"/>
  <c r="AT386" i="4"/>
  <c r="AL392" i="4"/>
  <c r="BS391" i="4"/>
  <c r="O391" i="4"/>
  <c r="BC388" i="4"/>
  <c r="CX392" i="4"/>
  <c r="DB390" i="4"/>
  <c r="O392" i="4"/>
  <c r="CE387" i="4"/>
  <c r="DE382" i="4"/>
  <c r="Y385" i="4"/>
  <c r="AA387" i="4"/>
  <c r="DI387" i="4"/>
  <c r="EG382" i="4"/>
  <c r="CZ384" i="4"/>
  <c r="BQ382" i="4"/>
  <c r="W386" i="4"/>
  <c r="BU389" i="4"/>
  <c r="BZ391" i="4"/>
  <c r="DB392" i="4"/>
  <c r="AV392" i="4"/>
  <c r="BO386" i="4"/>
  <c r="DI389" i="4"/>
  <c r="CP386" i="4"/>
  <c r="BS384" i="4"/>
  <c r="DK382" i="4"/>
  <c r="BX389" i="4"/>
  <c r="AF392" i="4"/>
  <c r="BC391" i="4"/>
  <c r="BJ380" i="4"/>
  <c r="BJ381" i="4"/>
  <c r="FI377" i="4"/>
  <c r="GP379" i="4"/>
  <c r="BG380" i="4"/>
  <c r="O380" i="4"/>
  <c r="CP380" i="4"/>
  <c r="AV380" i="4"/>
  <c r="AZ388" i="4"/>
  <c r="DK380" i="4"/>
  <c r="CN381" i="4"/>
  <c r="AA381" i="4"/>
  <c r="U381" i="4"/>
  <c r="GN379" i="4"/>
  <c r="CB381" i="4"/>
  <c r="BG381" i="4"/>
  <c r="DK381" i="4"/>
  <c r="DZ383" i="4"/>
  <c r="AL383" i="4"/>
  <c r="CJ383" i="4"/>
  <c r="AE384" i="4"/>
  <c r="AZ384" i="4"/>
  <c r="BA385" i="4"/>
  <c r="DZ385" i="4"/>
  <c r="CJ385" i="4"/>
  <c r="EG390" i="4"/>
  <c r="DY390" i="4"/>
  <c r="CC390" i="4"/>
  <c r="CI391" i="4"/>
  <c r="BH391" i="4"/>
  <c r="Y387" i="4"/>
  <c r="ED388" i="4"/>
  <c r="BX390" i="4"/>
  <c r="DB386" i="4"/>
  <c r="BG392" i="4"/>
  <c r="AE382" i="4"/>
  <c r="U385" i="4"/>
  <c r="BX386" i="4"/>
  <c r="AE388" i="4"/>
  <c r="CX382" i="4"/>
  <c r="CZ382" i="4"/>
  <c r="EF389" i="4"/>
  <c r="BX391" i="4"/>
  <c r="DS392" i="4"/>
  <c r="Q390" i="4"/>
  <c r="BJ389" i="4"/>
  <c r="DD392" i="4"/>
  <c r="AS382" i="4"/>
  <c r="S384" i="4"/>
  <c r="BH388" i="4"/>
  <c r="AS392" i="4"/>
  <c r="ED387" i="4"/>
  <c r="DD387" i="4"/>
  <c r="DB387" i="4"/>
  <c r="CQ386" i="4"/>
  <c r="CG386" i="4"/>
  <c r="AT388" i="4"/>
  <c r="AL382" i="4"/>
  <c r="CE383" i="4"/>
  <c r="W382" i="4"/>
  <c r="U387" i="4"/>
  <c r="DE389" i="4"/>
  <c r="GP378" i="4"/>
  <c r="ED383" i="4"/>
  <c r="ED385" i="4"/>
  <c r="AA380" i="4"/>
  <c r="GN375" i="4"/>
  <c r="AT380" i="4"/>
  <c r="GP372" i="4"/>
  <c r="EF380" i="4"/>
  <c r="BV380" i="4"/>
  <c r="DE392" i="4"/>
  <c r="W384" i="4"/>
  <c r="CJ381" i="4"/>
  <c r="DD381" i="4"/>
  <c r="AF381" i="4"/>
  <c r="BH383" i="4"/>
  <c r="AE383" i="4"/>
  <c r="DY384" i="4"/>
  <c r="EF384" i="4"/>
  <c r="BU384" i="4"/>
  <c r="AS385" i="4"/>
  <c r="DK385" i="4"/>
  <c r="BU385" i="4"/>
  <c r="BN390" i="4"/>
  <c r="BU390" i="4"/>
  <c r="DK391" i="4"/>
  <c r="BU391" i="4"/>
  <c r="CC391" i="4"/>
  <c r="AA382" i="4"/>
  <c r="BJ392" i="4"/>
  <c r="BQ390" i="4"/>
  <c r="BS387" i="4"/>
  <c r="BJ386" i="4"/>
  <c r="CJ392" i="4"/>
  <c r="DR382" i="4"/>
  <c r="W385" i="4"/>
  <c r="O387" i="4"/>
  <c r="CQ382" i="4"/>
  <c r="Y382" i="4"/>
  <c r="DI386" i="4"/>
  <c r="AT389" i="4"/>
  <c r="BQ391" i="4"/>
  <c r="BZ382" i="4"/>
  <c r="CZ392" i="4"/>
  <c r="CB389" i="4"/>
  <c r="AV390" i="4"/>
  <c r="S385" i="4"/>
  <c r="BG388" i="4"/>
  <c r="U391" i="4"/>
  <c r="CN388" i="4"/>
  <c r="DY392" i="4"/>
  <c r="BJ390" i="4"/>
  <c r="CE386" i="4"/>
  <c r="AL387" i="4"/>
  <c r="AV391" i="4"/>
  <c r="AS388" i="4"/>
  <c r="AM382" i="4"/>
  <c r="EJ382" i="4" s="1"/>
  <c r="BS389" i="4"/>
  <c r="DZ382" i="4"/>
  <c r="Y391" i="4"/>
  <c r="CG382" i="4"/>
  <c r="AM389" i="4"/>
  <c r="EJ389" i="4" s="1"/>
  <c r="DY388" i="4"/>
  <c r="BZ383" i="4"/>
  <c r="W387" i="4"/>
  <c r="BG382" i="4"/>
  <c r="CN380" i="4"/>
  <c r="GP374" i="4"/>
  <c r="AS380" i="4"/>
  <c r="EG380" i="4"/>
  <c r="BU380" i="4"/>
  <c r="GP373" i="4"/>
  <c r="CS380" i="4"/>
  <c r="AF380" i="4"/>
  <c r="DB380" i="4"/>
  <c r="Q381" i="4"/>
  <c r="AV388" i="4"/>
  <c r="CI381" i="4"/>
  <c r="DE381" i="4"/>
  <c r="AE381" i="4"/>
  <c r="BG383" i="4"/>
  <c r="AF383" i="4"/>
  <c r="DZ384" i="4"/>
  <c r="EG384" i="4"/>
  <c r="BV384" i="4"/>
  <c r="AT385" i="4"/>
  <c r="DL385" i="4"/>
  <c r="BV385" i="4"/>
  <c r="BO390" i="4"/>
  <c r="BV390" i="4"/>
  <c r="DL391" i="4"/>
  <c r="BV391" i="4"/>
  <c r="CB391" i="4"/>
  <c r="S386" i="4"/>
  <c r="AO389" i="4"/>
  <c r="AQ391" i="4"/>
  <c r="Y392" i="4"/>
  <c r="DK392" i="4"/>
  <c r="Q383" i="4"/>
  <c r="CN389" i="4"/>
  <c r="DI392" i="4"/>
  <c r="CP387" i="4"/>
  <c r="CG385" i="4"/>
  <c r="CE382" i="4"/>
  <c r="DI388" i="4"/>
  <c r="ED391" i="4"/>
  <c r="CN386" i="4"/>
  <c r="DR392" i="4"/>
  <c r="ED390" i="4"/>
  <c r="CX389" i="4"/>
  <c r="DP390" i="4"/>
  <c r="W391" i="4"/>
  <c r="BU387" i="4"/>
  <c r="AX385" i="4"/>
  <c r="CN392" i="4"/>
  <c r="DY382" i="4"/>
  <c r="CS389" i="4"/>
  <c r="BO392" i="4"/>
  <c r="AZ382" i="4"/>
  <c r="CZ386" i="4"/>
  <c r="BX392" i="4"/>
  <c r="CC388" i="4"/>
  <c r="BG389" i="4"/>
  <c r="DI391" i="4"/>
  <c r="DB384" i="4"/>
  <c r="DY386" i="4"/>
  <c r="CS381" i="4"/>
  <c r="AO380" i="4"/>
  <c r="GN376" i="4"/>
  <c r="DP392" i="4"/>
  <c r="GN373" i="4"/>
  <c r="AE380" i="4"/>
  <c r="AX391" i="4"/>
  <c r="BZ380" i="4"/>
  <c r="EF392" i="4"/>
  <c r="GR376" i="4"/>
  <c r="GR375" i="4"/>
  <c r="GR379" i="4"/>
  <c r="GR378" i="4"/>
  <c r="GR377" i="4"/>
  <c r="EF381" i="4"/>
  <c r="DY381" i="4"/>
  <c r="CX381" i="4"/>
  <c r="CC383" i="4"/>
  <c r="AZ383" i="4"/>
  <c r="BN384" i="4"/>
  <c r="DR384" i="4"/>
  <c r="AF385" i="4"/>
  <c r="CB385" i="4"/>
  <c r="BG390" i="4"/>
  <c r="DR390" i="4"/>
  <c r="AF391" i="4"/>
  <c r="BA391" i="4"/>
  <c r="DE391" i="4"/>
  <c r="DB391" i="4"/>
  <c r="AQ382" i="4"/>
  <c r="CP389" i="4"/>
  <c r="CZ390" i="4"/>
  <c r="DB388" i="4"/>
  <c r="CC392" i="4"/>
  <c r="CS383" i="4"/>
  <c r="AE387" i="4"/>
  <c r="BC392" i="4"/>
  <c r="BA387" i="4"/>
  <c r="ED382" i="4"/>
  <c r="CC389" i="4"/>
  <c r="BS390" i="4"/>
  <c r="DB382" i="4"/>
  <c r="DZ388" i="4"/>
  <c r="AE389" i="4"/>
  <c r="Q384" i="4"/>
  <c r="DP387" i="4"/>
  <c r="BQ392" i="4"/>
  <c r="BA382" i="4"/>
  <c r="AQ390" i="4"/>
  <c r="BC382" i="4"/>
  <c r="W383" i="4"/>
  <c r="GR372" i="4"/>
  <c r="FK378" i="4"/>
  <c r="DZ380" i="4"/>
  <c r="AQ384" i="4"/>
  <c r="DE380" i="4"/>
  <c r="AQ385" i="4"/>
  <c r="FK375" i="4"/>
  <c r="BG371" i="4"/>
  <c r="DB369" i="4"/>
  <c r="AL219" i="4"/>
  <c r="AL272" i="4"/>
  <c r="AL160" i="4"/>
  <c r="AL139" i="4"/>
  <c r="AL168" i="4"/>
  <c r="AL262" i="4"/>
  <c r="AL122" i="4"/>
  <c r="AL192" i="4"/>
  <c r="AL190" i="4"/>
  <c r="AL251" i="4"/>
  <c r="AL167" i="4"/>
  <c r="FG144" i="4"/>
  <c r="DP207" i="4"/>
  <c r="DP170" i="4"/>
  <c r="DP214" i="4"/>
  <c r="DP201" i="4"/>
  <c r="DP210" i="4"/>
  <c r="DP198" i="4"/>
  <c r="DP81" i="4"/>
  <c r="DP95" i="4"/>
  <c r="DP143" i="4"/>
  <c r="DK165" i="4"/>
  <c r="DK145" i="4"/>
  <c r="DP119" i="4"/>
  <c r="DP116" i="4"/>
  <c r="DP138" i="4"/>
  <c r="DP152" i="4"/>
  <c r="DP153" i="4"/>
  <c r="DP182" i="4"/>
  <c r="DP137" i="4"/>
  <c r="DK162" i="4"/>
  <c r="DK154" i="4"/>
  <c r="DP181" i="4"/>
  <c r="DK156" i="4"/>
  <c r="DP151" i="4"/>
  <c r="DP229" i="4"/>
  <c r="DP82" i="4"/>
  <c r="DP165" i="4"/>
  <c r="DP154" i="4"/>
  <c r="DP171" i="4"/>
  <c r="DP162" i="4"/>
  <c r="DP206" i="4"/>
  <c r="DK150" i="4"/>
  <c r="DK147" i="4"/>
  <c r="DP203" i="4"/>
  <c r="DP101" i="4"/>
  <c r="DP223" i="4"/>
  <c r="DK157" i="4"/>
  <c r="DP106" i="4"/>
  <c r="DP209" i="4"/>
  <c r="DP88" i="4"/>
  <c r="DP78" i="4"/>
  <c r="DP111" i="4"/>
  <c r="DP199" i="4"/>
  <c r="DP148" i="4"/>
  <c r="DP141" i="4"/>
  <c r="DP123" i="4"/>
  <c r="DK143" i="4"/>
  <c r="DK151" i="4"/>
  <c r="DP220" i="4"/>
  <c r="DP218" i="4"/>
  <c r="DP200" i="4"/>
  <c r="DP108" i="4"/>
  <c r="DP217" i="4"/>
  <c r="DP135" i="4"/>
  <c r="DP230" i="4"/>
  <c r="DP232" i="4"/>
  <c r="DK161" i="4"/>
  <c r="DP90" i="4"/>
  <c r="DP191" i="4"/>
  <c r="DP224" i="4"/>
  <c r="DP84" i="4"/>
  <c r="DP167" i="4"/>
  <c r="DP216" i="4"/>
  <c r="DP91" i="4"/>
  <c r="DP80" i="4"/>
  <c r="DP176" i="4"/>
  <c r="DP156" i="4"/>
  <c r="DP129" i="4"/>
  <c r="DP124" i="4"/>
  <c r="DP102" i="4"/>
  <c r="DK149" i="4"/>
  <c r="DP173" i="4"/>
  <c r="DP177" i="4"/>
  <c r="DP79" i="4"/>
  <c r="DP233" i="4"/>
  <c r="DP113" i="4"/>
  <c r="DP125" i="4"/>
  <c r="DP196" i="4"/>
  <c r="DP187" i="4"/>
  <c r="DP179" i="4"/>
  <c r="DP128" i="4"/>
  <c r="DP225" i="4"/>
  <c r="DP219" i="4"/>
  <c r="DP184" i="4"/>
  <c r="DK155" i="4"/>
  <c r="DP130" i="4"/>
  <c r="DK152" i="4"/>
  <c r="FG96" i="4"/>
  <c r="DP96" i="4"/>
  <c r="DP107" i="4"/>
  <c r="DP115" i="4"/>
  <c r="DP215" i="4"/>
  <c r="DP174" i="4"/>
  <c r="DP164" i="4"/>
  <c r="DP92" i="4"/>
  <c r="DP134" i="4"/>
  <c r="DP183" i="4"/>
  <c r="DP212" i="4"/>
  <c r="DP213" i="4"/>
  <c r="DK163" i="4"/>
  <c r="DP172" i="4"/>
  <c r="DP99" i="4"/>
  <c r="DP158" i="4"/>
  <c r="DP146" i="4"/>
  <c r="DP77" i="4"/>
  <c r="DP142" i="4"/>
  <c r="DI62" i="4"/>
  <c r="DI47" i="4"/>
  <c r="DI68" i="4"/>
  <c r="DI88" i="4"/>
  <c r="DL57" i="4"/>
  <c r="DI54" i="4"/>
  <c r="DL68" i="4"/>
  <c r="DL44" i="4"/>
  <c r="GP370" i="4"/>
  <c r="DL97" i="4"/>
  <c r="FI140" i="4"/>
  <c r="FG162" i="4"/>
  <c r="FI263" i="4"/>
  <c r="FI271" i="4"/>
  <c r="FI73" i="4"/>
  <c r="DK167" i="4"/>
  <c r="FG97" i="4"/>
  <c r="FI121" i="4"/>
  <c r="FG240" i="4"/>
  <c r="FI86" i="4"/>
  <c r="FI314" i="4"/>
  <c r="FI169" i="4"/>
  <c r="FI336" i="4"/>
  <c r="FI301" i="4"/>
  <c r="FI157" i="4"/>
  <c r="FI247" i="4"/>
  <c r="FI176" i="4"/>
  <c r="FI207" i="4"/>
  <c r="FG105" i="4"/>
  <c r="FG182" i="4"/>
  <c r="FG235" i="4"/>
  <c r="FI187" i="4"/>
  <c r="FG132" i="4"/>
  <c r="FI276" i="4"/>
  <c r="FG130" i="4"/>
  <c r="FG91" i="4"/>
  <c r="FI204" i="4"/>
  <c r="FK259" i="4"/>
  <c r="FG295" i="4"/>
  <c r="FK94" i="4"/>
  <c r="FG363" i="4"/>
  <c r="FK280" i="4"/>
  <c r="FG326" i="4"/>
  <c r="FI359" i="4"/>
  <c r="FK173" i="4"/>
  <c r="FK92" i="4"/>
  <c r="FG264" i="4"/>
  <c r="FK269" i="4"/>
  <c r="FK362" i="4"/>
  <c r="FK371" i="4"/>
  <c r="FK348" i="4"/>
  <c r="FK292" i="4"/>
  <c r="FI364" i="4"/>
  <c r="FK160" i="4"/>
  <c r="FG312" i="4"/>
  <c r="FK289" i="4"/>
  <c r="FK85" i="4"/>
  <c r="FK281" i="4"/>
  <c r="FG226" i="4"/>
  <c r="FK337" i="4"/>
  <c r="FK367" i="4"/>
  <c r="FK110" i="4"/>
  <c r="FK223" i="4"/>
  <c r="FK249" i="4"/>
  <c r="FK80" i="4"/>
  <c r="FI354" i="4"/>
  <c r="AO378" i="4"/>
  <c r="ED379" i="4"/>
  <c r="FK131" i="4"/>
  <c r="FG290" i="4"/>
  <c r="FK236" i="4"/>
  <c r="FK266" i="4"/>
  <c r="FK205" i="4"/>
  <c r="FG306" i="4"/>
  <c r="FG231" i="4"/>
  <c r="FI282" i="4"/>
  <c r="FI316" i="4"/>
  <c r="FI246" i="4"/>
  <c r="FK115" i="4"/>
  <c r="FK351" i="4"/>
  <c r="FK297" i="4"/>
  <c r="FK133" i="4"/>
  <c r="FG244" i="4"/>
  <c r="FK218" i="4"/>
  <c r="FI99" i="4"/>
  <c r="FK180" i="4"/>
  <c r="FK214" i="4"/>
  <c r="FG296" i="4"/>
  <c r="FK370" i="4"/>
  <c r="FK147" i="4"/>
  <c r="FK100" i="4"/>
  <c r="FG88" i="4"/>
  <c r="FG255" i="4"/>
  <c r="FK251" i="4"/>
  <c r="FI245" i="4"/>
  <c r="Y67" i="4"/>
  <c r="FG208" i="4"/>
  <c r="FK93" i="4"/>
  <c r="FK283" i="4"/>
  <c r="FK324" i="4"/>
  <c r="FK185" i="4"/>
  <c r="FG175" i="4"/>
  <c r="FI330" i="4"/>
  <c r="FI227" i="4"/>
  <c r="FK106" i="4"/>
  <c r="FG136" i="4"/>
  <c r="FG273" i="4"/>
  <c r="FI366" i="4"/>
  <c r="FK358" i="4"/>
  <c r="FG257" i="4"/>
  <c r="FK189" i="4"/>
  <c r="FK360" i="4"/>
  <c r="FK368" i="4"/>
  <c r="FI225" i="4"/>
  <c r="FK369" i="4"/>
  <c r="FK268" i="4"/>
  <c r="FK112" i="4"/>
  <c r="FK137" i="4"/>
  <c r="FI70" i="4"/>
  <c r="FK237" i="4"/>
  <c r="FK274" i="4"/>
  <c r="FK355" i="4"/>
  <c r="FK310" i="4"/>
  <c r="FK198" i="4"/>
  <c r="FK347" i="4"/>
  <c r="FG258" i="4"/>
  <c r="FK117" i="4"/>
  <c r="FG342" i="4"/>
  <c r="FK95" i="4"/>
  <c r="FK267" i="4"/>
  <c r="FI304" i="4"/>
  <c r="FG313" i="4"/>
  <c r="FG212" i="4"/>
  <c r="FK346" i="4"/>
  <c r="FI243" i="4"/>
  <c r="FG104" i="4"/>
  <c r="FI170" i="4"/>
  <c r="FK123" i="4"/>
  <c r="FK270" i="4"/>
  <c r="FG103" i="4"/>
  <c r="FK119" i="4"/>
  <c r="FK333" i="4"/>
  <c r="FK328" i="4"/>
  <c r="FI352" i="4"/>
  <c r="FK134" i="4"/>
  <c r="FK294" i="4"/>
  <c r="FK317" i="4"/>
  <c r="FK308" i="4"/>
  <c r="FI329" i="4"/>
  <c r="FK323" i="4"/>
  <c r="FK229" i="4"/>
  <c r="FK211" i="4"/>
  <c r="FK178" i="4"/>
  <c r="CE374" i="4"/>
  <c r="AX375" i="4"/>
  <c r="AM377" i="4"/>
  <c r="EJ377" i="4" s="1"/>
  <c r="BS379" i="4"/>
  <c r="BA377" i="4"/>
  <c r="BZ373" i="4"/>
  <c r="BX375" i="4"/>
  <c r="DD375" i="4"/>
  <c r="Y72" i="4"/>
  <c r="Y56" i="4"/>
  <c r="Y34" i="4"/>
  <c r="Y54" i="4"/>
  <c r="DL375" i="4"/>
  <c r="BJ367" i="4"/>
  <c r="CN373" i="4"/>
  <c r="BX378" i="4"/>
  <c r="BZ372" i="4"/>
  <c r="Y376" i="4"/>
  <c r="BU373" i="4"/>
  <c r="Y36" i="4"/>
  <c r="Y55" i="4"/>
  <c r="Y70" i="4"/>
  <c r="Y38" i="4"/>
  <c r="Y41" i="4"/>
  <c r="CG367" i="4"/>
  <c r="DI372" i="4"/>
  <c r="DK175" i="4"/>
  <c r="Y43" i="4"/>
  <c r="Y66" i="4"/>
  <c r="Y62" i="4"/>
  <c r="EG376" i="4"/>
  <c r="BC376" i="4"/>
  <c r="CE375" i="4"/>
  <c r="S367" i="4"/>
  <c r="Y65" i="4"/>
  <c r="Y46" i="4"/>
  <c r="Y74" i="4"/>
  <c r="AT372" i="4"/>
  <c r="Q367" i="4"/>
  <c r="Y71" i="4"/>
  <c r="Y59" i="4"/>
  <c r="Y73" i="4"/>
  <c r="Y57" i="4"/>
  <c r="GR370" i="4"/>
  <c r="BS371" i="4"/>
  <c r="Y60" i="4"/>
  <c r="Y32" i="4"/>
  <c r="Y50" i="4"/>
  <c r="Y39" i="4"/>
  <c r="CB376" i="4"/>
  <c r="AZ373" i="4"/>
  <c r="BZ378" i="4"/>
  <c r="AQ379" i="4"/>
  <c r="DD372" i="4"/>
  <c r="DI377" i="4"/>
  <c r="Y42" i="4"/>
  <c r="Y40" i="4"/>
  <c r="Y53" i="4"/>
  <c r="CJ375" i="4"/>
  <c r="BN378" i="4"/>
  <c r="AS379" i="4"/>
  <c r="DR373" i="4"/>
  <c r="CB367" i="4"/>
  <c r="Y76" i="4"/>
  <c r="W373" i="4"/>
  <c r="CN377" i="4"/>
  <c r="AA367" i="4"/>
  <c r="U374" i="4"/>
  <c r="CG374" i="4"/>
  <c r="DK379" i="4"/>
  <c r="DK374" i="4"/>
  <c r="DL377" i="4"/>
  <c r="HF225" i="4"/>
  <c r="Y48" i="4"/>
  <c r="EF374" i="4"/>
  <c r="DB367" i="4"/>
  <c r="BC375" i="4"/>
  <c r="Y44" i="4"/>
  <c r="Y69" i="4"/>
  <c r="Y58" i="4"/>
  <c r="Y33" i="4"/>
  <c r="Y52" i="4"/>
  <c r="BX374" i="4"/>
  <c r="DE374" i="4"/>
  <c r="DY367" i="4"/>
  <c r="BZ379" i="4"/>
  <c r="O377" i="4"/>
  <c r="Y68" i="4"/>
  <c r="Y35" i="4"/>
  <c r="Y37" i="4"/>
  <c r="Y64" i="4"/>
  <c r="CE372" i="4"/>
  <c r="AF372" i="4"/>
  <c r="CP375" i="4"/>
  <c r="BX377" i="4"/>
  <c r="Y49" i="4"/>
  <c r="Y61" i="4"/>
  <c r="Y51" i="4"/>
  <c r="AO375" i="4"/>
  <c r="DS378" i="4"/>
  <c r="BX376" i="4"/>
  <c r="DK377" i="4"/>
  <c r="BG367" i="4"/>
  <c r="CQ367" i="4"/>
  <c r="AE376" i="4"/>
  <c r="CX376" i="4"/>
  <c r="DL378" i="4"/>
  <c r="AE379" i="4"/>
  <c r="BA379" i="4"/>
  <c r="Y379" i="4"/>
  <c r="BX379" i="4"/>
  <c r="O378" i="4"/>
  <c r="DE376" i="4"/>
  <c r="DY376" i="4"/>
  <c r="CP376" i="4"/>
  <c r="CE376" i="4"/>
  <c r="AT379" i="4"/>
  <c r="BC372" i="4"/>
  <c r="AO376" i="4"/>
  <c r="AF378" i="4"/>
  <c r="BX372" i="4"/>
  <c r="BH379" i="4"/>
  <c r="U372" i="4"/>
  <c r="AV376" i="4"/>
  <c r="BH373" i="4"/>
  <c r="BA373" i="4"/>
  <c r="BV373" i="4"/>
  <c r="AL374" i="4"/>
  <c r="BH374" i="4"/>
  <c r="DI374" i="4"/>
  <c r="CE373" i="4"/>
  <c r="DD377" i="4"/>
  <c r="BC377" i="4"/>
  <c r="BN377" i="4"/>
  <c r="Q375" i="4"/>
  <c r="BJ377" i="4"/>
  <c r="BU375" i="4"/>
  <c r="AA377" i="4"/>
  <c r="CI377" i="4"/>
  <c r="AV367" i="4"/>
  <c r="AS375" i="4"/>
  <c r="AX377" i="4"/>
  <c r="CG377" i="4"/>
  <c r="W367" i="4"/>
  <c r="BQ374" i="4"/>
  <c r="AS378" i="4"/>
  <c r="CN379" i="4"/>
  <c r="AT376" i="4"/>
  <c r="CQ376" i="4"/>
  <c r="Q372" i="4"/>
  <c r="U376" i="4"/>
  <c r="W372" i="4"/>
  <c r="AF373" i="4"/>
  <c r="CN375" i="4"/>
  <c r="U373" i="4"/>
  <c r="DZ367" i="4"/>
  <c r="CC367" i="4"/>
  <c r="Q378" i="4"/>
  <c r="Y378" i="4"/>
  <c r="EF376" i="4"/>
  <c r="CB378" i="4"/>
  <c r="CC379" i="4"/>
  <c r="BS378" i="4"/>
  <c r="Q379" i="4"/>
  <c r="S379" i="4"/>
  <c r="CN378" i="4"/>
  <c r="AS376" i="4"/>
  <c r="AZ376" i="4"/>
  <c r="Q376" i="4"/>
  <c r="DE372" i="4"/>
  <c r="BZ376" i="4"/>
  <c r="CS372" i="4"/>
  <c r="BJ378" i="4"/>
  <c r="DI376" i="4"/>
  <c r="BN372" i="4"/>
  <c r="W376" i="4"/>
  <c r="DS373" i="4"/>
  <c r="AE373" i="4"/>
  <c r="DL374" i="4"/>
  <c r="EG374" i="4"/>
  <c r="CS374" i="4"/>
  <c r="BX373" i="4"/>
  <c r="AV374" i="4"/>
  <c r="AE375" i="4"/>
  <c r="BQ377" i="4"/>
  <c r="CB375" i="4"/>
  <c r="CX377" i="4"/>
  <c r="BV377" i="4"/>
  <c r="CS367" i="4"/>
  <c r="AA374" i="4"/>
  <c r="CS375" i="4"/>
  <c r="AQ377" i="4"/>
  <c r="GR367" i="4"/>
  <c r="Y375" i="4"/>
  <c r="W377" i="4"/>
  <c r="BV367" i="4"/>
  <c r="BN367" i="4"/>
  <c r="CX367" i="4"/>
  <c r="AA378" i="4"/>
  <c r="BG376" i="4"/>
  <c r="DK378" i="4"/>
  <c r="DE378" i="4"/>
  <c r="BN379" i="4"/>
  <c r="BQ378" i="4"/>
  <c r="BA376" i="4"/>
  <c r="CZ372" i="4"/>
  <c r="CS376" i="4"/>
  <c r="AZ372" i="4"/>
  <c r="EF372" i="4"/>
  <c r="DR372" i="4"/>
  <c r="BO372" i="4"/>
  <c r="DK373" i="4"/>
  <c r="CX373" i="4"/>
  <c r="CB374" i="4"/>
  <c r="AF374" i="4"/>
  <c r="DY374" i="4"/>
  <c r="AO373" i="4"/>
  <c r="BZ374" i="4"/>
  <c r="DB374" i="4"/>
  <c r="BO377" i="4"/>
  <c r="AE377" i="4"/>
  <c r="U375" i="4"/>
  <c r="Q373" i="4"/>
  <c r="AS377" i="4"/>
  <c r="AL375" i="4"/>
  <c r="AO367" i="4"/>
  <c r="CQ375" i="4"/>
  <c r="CZ367" i="4"/>
  <c r="BX367" i="4"/>
  <c r="BU367" i="4"/>
  <c r="BO367" i="4"/>
  <c r="DE379" i="4"/>
  <c r="BJ379" i="4"/>
  <c r="BH376" i="4"/>
  <c r="DS376" i="4"/>
  <c r="EG378" i="4"/>
  <c r="AZ379" i="4"/>
  <c r="CI379" i="4"/>
  <c r="W379" i="4"/>
  <c r="DI379" i="4"/>
  <c r="DR378" i="4"/>
  <c r="CZ376" i="4"/>
  <c r="CP372" i="4"/>
  <c r="BA372" i="4"/>
  <c r="EG372" i="4"/>
  <c r="DS372" i="4"/>
  <c r="BO379" i="4"/>
  <c r="BU372" i="4"/>
  <c r="DL373" i="4"/>
  <c r="CE379" i="4"/>
  <c r="CB373" i="4"/>
  <c r="CC374" i="4"/>
  <c r="AE374" i="4"/>
  <c r="DZ374" i="4"/>
  <c r="O373" i="4"/>
  <c r="DK375" i="4"/>
  <c r="CP377" i="4"/>
  <c r="BZ375" i="4"/>
  <c r="BJ374" i="4"/>
  <c r="EG377" i="4"/>
  <c r="BQ375" i="4"/>
  <c r="S378" i="4"/>
  <c r="BZ367" i="4"/>
  <c r="EF375" i="4"/>
  <c r="CS377" i="4"/>
  <c r="BS367" i="4"/>
  <c r="DB375" i="4"/>
  <c r="ED368" i="4"/>
  <c r="AM367" i="4"/>
  <c r="EJ367" i="4" s="1"/>
  <c r="GS367" i="4" s="1"/>
  <c r="DK367" i="4"/>
  <c r="EF367" i="4"/>
  <c r="DZ379" i="4"/>
  <c r="AQ378" i="4"/>
  <c r="CG378" i="4"/>
  <c r="DR376" i="4"/>
  <c r="BV378" i="4"/>
  <c r="CB379" i="4"/>
  <c r="CJ379" i="4"/>
  <c r="BG379" i="4"/>
  <c r="CP379" i="4"/>
  <c r="BS372" i="4"/>
  <c r="O372" i="4"/>
  <c r="CQ372" i="4"/>
  <c r="AQ372" i="4"/>
  <c r="EF379" i="4"/>
  <c r="DS379" i="4"/>
  <c r="BV372" i="4"/>
  <c r="AM373" i="4"/>
  <c r="EJ373" i="4" s="1"/>
  <c r="EF373" i="4"/>
  <c r="CC373" i="4"/>
  <c r="DR374" i="4"/>
  <c r="CI374" i="4"/>
  <c r="AS374" i="4"/>
  <c r="S373" i="4"/>
  <c r="DI373" i="4"/>
  <c r="DP373" i="4"/>
  <c r="DY377" i="4"/>
  <c r="DR375" i="4"/>
  <c r="DR377" i="4"/>
  <c r="AV375" i="4"/>
  <c r="BH375" i="4"/>
  <c r="AQ367" i="4"/>
  <c r="O367" i="4"/>
  <c r="BC367" i="4"/>
  <c r="AZ375" i="4"/>
  <c r="CZ374" i="4"/>
  <c r="CE367" i="4"/>
  <c r="CN367" i="4"/>
  <c r="BS377" i="4"/>
  <c r="AL367" i="4"/>
  <c r="DL367" i="4"/>
  <c r="EG367" i="4"/>
  <c r="AL378" i="4"/>
  <c r="U379" i="4"/>
  <c r="AX378" i="4"/>
  <c r="BC378" i="4"/>
  <c r="DP379" i="4"/>
  <c r="BN376" i="4"/>
  <c r="DD378" i="4"/>
  <c r="BH378" i="4"/>
  <c r="BG378" i="4"/>
  <c r="AL379" i="4"/>
  <c r="O379" i="4"/>
  <c r="BS376" i="4"/>
  <c r="AL372" i="4"/>
  <c r="O376" i="4"/>
  <c r="S372" i="4"/>
  <c r="AQ376" i="4"/>
  <c r="CX372" i="4"/>
  <c r="DP372" i="4"/>
  <c r="BV379" i="4"/>
  <c r="AL373" i="4"/>
  <c r="EG373" i="4"/>
  <c r="BN373" i="4"/>
  <c r="DS374" i="4"/>
  <c r="CJ374" i="4"/>
  <c r="AT374" i="4"/>
  <c r="AQ374" i="4"/>
  <c r="CZ373" i="4"/>
  <c r="BS373" i="4"/>
  <c r="DE377" i="4"/>
  <c r="BJ373" i="4"/>
  <c r="AF377" i="4"/>
  <c r="ED375" i="4"/>
  <c r="AA375" i="4"/>
  <c r="AQ375" i="4"/>
  <c r="CG375" i="4"/>
  <c r="Q377" i="4"/>
  <c r="CN374" i="4"/>
  <c r="DE375" i="4"/>
  <c r="DY375" i="4"/>
  <c r="BC374" i="4"/>
  <c r="CC375" i="4"/>
  <c r="DP367" i="4"/>
  <c r="BJ375" i="4"/>
  <c r="DI375" i="4"/>
  <c r="ED367" i="4"/>
  <c r="BU377" i="4"/>
  <c r="DR367" i="4"/>
  <c r="AE367" i="4"/>
  <c r="CI367" i="4"/>
  <c r="BA378" i="4"/>
  <c r="AV379" i="4"/>
  <c r="CZ378" i="4"/>
  <c r="CE378" i="4"/>
  <c r="BO376" i="4"/>
  <c r="EF378" i="4"/>
  <c r="CJ378" i="4"/>
  <c r="CI378" i="4"/>
  <c r="CP378" i="4"/>
  <c r="CQ379" i="4"/>
  <c r="BC379" i="4"/>
  <c r="CI372" i="4"/>
  <c r="AM372" i="4"/>
  <c r="EJ372" i="4" s="1"/>
  <c r="AA372" i="4"/>
  <c r="S376" i="4"/>
  <c r="CB372" i="4"/>
  <c r="CX379" i="4"/>
  <c r="DP376" i="4"/>
  <c r="DB372" i="4"/>
  <c r="DY373" i="4"/>
  <c r="DD373" i="4"/>
  <c r="BO373" i="4"/>
  <c r="BN374" i="4"/>
  <c r="BU374" i="4"/>
  <c r="DR379" i="4"/>
  <c r="AA373" i="4"/>
  <c r="BQ373" i="4"/>
  <c r="CJ377" i="4"/>
  <c r="CQ377" i="4"/>
  <c r="CZ375" i="4"/>
  <c r="S377" i="4"/>
  <c r="O375" i="4"/>
  <c r="AT377" i="4"/>
  <c r="AO374" i="4"/>
  <c r="AF375" i="4"/>
  <c r="U367" i="4"/>
  <c r="BH377" i="4"/>
  <c r="DS375" i="4"/>
  <c r="AX367" i="4"/>
  <c r="DB377" i="4"/>
  <c r="AL377" i="4"/>
  <c r="DS367" i="4"/>
  <c r="AF367" i="4"/>
  <c r="CJ367" i="4"/>
  <c r="AE378" i="4"/>
  <c r="DD379" i="4"/>
  <c r="AA379" i="4"/>
  <c r="DK376" i="4"/>
  <c r="BU378" i="4"/>
  <c r="DZ378" i="4"/>
  <c r="DY378" i="4"/>
  <c r="BO378" i="4"/>
  <c r="BU379" i="4"/>
  <c r="CS379" i="4"/>
  <c r="CJ372" i="4"/>
  <c r="AM379" i="4"/>
  <c r="EJ379" i="4" s="1"/>
  <c r="DY372" i="4"/>
  <c r="AA376" i="4"/>
  <c r="CN372" i="4"/>
  <c r="CC372" i="4"/>
  <c r="ED372" i="4"/>
  <c r="BJ372" i="4"/>
  <c r="DB376" i="4"/>
  <c r="DZ373" i="4"/>
  <c r="DE373" i="4"/>
  <c r="CI373" i="4"/>
  <c r="BO374" i="4"/>
  <c r="BV374" i="4"/>
  <c r="CP374" i="4"/>
  <c r="Y374" i="4"/>
  <c r="W374" i="4"/>
  <c r="DP374" i="4"/>
  <c r="CE377" i="4"/>
  <c r="DS377" i="4"/>
  <c r="W375" i="4"/>
  <c r="CC377" i="4"/>
  <c r="BQ367" i="4"/>
  <c r="BZ377" i="4"/>
  <c r="AT375" i="4"/>
  <c r="Y367" i="4"/>
  <c r="DP375" i="4"/>
  <c r="BN375" i="4"/>
  <c r="GP367" i="4"/>
  <c r="DE367" i="4"/>
  <c r="AZ367" i="4"/>
  <c r="AS367" i="4"/>
  <c r="CG379" i="4"/>
  <c r="CC376" i="4"/>
  <c r="DY379" i="4"/>
  <c r="AF379" i="4"/>
  <c r="U378" i="4"/>
  <c r="CZ379" i="4"/>
  <c r="DL376" i="4"/>
  <c r="BU376" i="4"/>
  <c r="DB378" i="4"/>
  <c r="CI376" i="4"/>
  <c r="AM376" i="4"/>
  <c r="EJ376" i="4" s="1"/>
  <c r="CQ378" i="4"/>
  <c r="CG372" i="4"/>
  <c r="BQ372" i="4"/>
  <c r="DZ372" i="4"/>
  <c r="W378" i="4"/>
  <c r="CN376" i="4"/>
  <c r="CC378" i="4"/>
  <c r="ED376" i="4"/>
  <c r="BJ376" i="4"/>
  <c r="DL372" i="4"/>
  <c r="AS373" i="4"/>
  <c r="CP373" i="4"/>
  <c r="CJ373" i="4"/>
  <c r="AZ374" i="4"/>
  <c r="CQ374" i="4"/>
  <c r="AQ373" i="4"/>
  <c r="O374" i="4"/>
  <c r="CG373" i="4"/>
  <c r="EF377" i="4"/>
  <c r="BO375" i="4"/>
  <c r="ED373" i="4"/>
  <c r="BA375" i="4"/>
  <c r="AO377" i="4"/>
  <c r="U377" i="4"/>
  <c r="CZ377" i="4"/>
  <c r="CB377" i="4"/>
  <c r="AV377" i="4"/>
  <c r="BV375" i="4"/>
  <c r="DD367" i="4"/>
  <c r="BA367" i="4"/>
  <c r="AT367" i="4"/>
  <c r="AM378" i="4"/>
  <c r="EJ378" i="4" s="1"/>
  <c r="EG379" i="4"/>
  <c r="CS378" i="4"/>
  <c r="AV378" i="4"/>
  <c r="BV376" i="4"/>
  <c r="AX379" i="4"/>
  <c r="CJ376" i="4"/>
  <c r="AL376" i="4"/>
  <c r="CX378" i="4"/>
  <c r="CG376" i="4"/>
  <c r="BQ376" i="4"/>
  <c r="AS372" i="4"/>
  <c r="DI378" i="4"/>
  <c r="AE372" i="4"/>
  <c r="AX372" i="4"/>
  <c r="BH372" i="4"/>
  <c r="Y372" i="4"/>
  <c r="DK372" i="4"/>
  <c r="AT373" i="4"/>
  <c r="CQ373" i="4"/>
  <c r="CX374" i="4"/>
  <c r="BA374" i="4"/>
  <c r="DD374" i="4"/>
  <c r="Q374" i="4"/>
  <c r="AV373" i="4"/>
  <c r="BC373" i="4"/>
  <c r="Y373" i="4"/>
  <c r="DZ375" i="4"/>
  <c r="ED374" i="4"/>
  <c r="AZ377" i="4"/>
  <c r="AX373" i="4"/>
  <c r="AM375" i="4"/>
  <c r="EJ375" i="4" s="1"/>
  <c r="Y377" i="4"/>
  <c r="EG375" i="4"/>
  <c r="DI367" i="4"/>
  <c r="GN367" i="4"/>
  <c r="CX375" i="4"/>
  <c r="S375" i="4"/>
  <c r="BH367" i="4"/>
  <c r="CP367" i="4"/>
  <c r="DP378" i="4"/>
  <c r="AF376" i="4"/>
  <c r="AZ378" i="4"/>
  <c r="AT378" i="4"/>
  <c r="DB379" i="4"/>
  <c r="AO379" i="4"/>
  <c r="ED378" i="4"/>
  <c r="BQ379" i="4"/>
  <c r="DD376" i="4"/>
  <c r="DZ376" i="4"/>
  <c r="AO372" i="4"/>
  <c r="AX376" i="4"/>
  <c r="BG372" i="4"/>
  <c r="DL379" i="4"/>
  <c r="AV372" i="4"/>
  <c r="BG373" i="4"/>
  <c r="AM374" i="4"/>
  <c r="EJ374" i="4" s="1"/>
  <c r="BG374" i="4"/>
  <c r="S374" i="4"/>
  <c r="DB373" i="4"/>
  <c r="CS373" i="4"/>
  <c r="DZ377" i="4"/>
  <c r="AX374" i="4"/>
  <c r="BG377" i="4"/>
  <c r="CI375" i="4"/>
  <c r="BG375" i="4"/>
  <c r="BS375" i="4"/>
  <c r="ED377" i="4"/>
  <c r="BS374" i="4"/>
  <c r="DP377" i="4"/>
  <c r="BX369" i="4"/>
  <c r="DE369" i="4"/>
  <c r="O370" i="4"/>
  <c r="CE369" i="4"/>
  <c r="AF369" i="4"/>
  <c r="AO369" i="4"/>
  <c r="DS371" i="4"/>
  <c r="DK371" i="4"/>
  <c r="BJ368" i="4"/>
  <c r="CN370" i="4"/>
  <c r="AX371" i="4"/>
  <c r="BV369" i="4"/>
  <c r="Y370" i="4"/>
  <c r="CG369" i="4"/>
  <c r="Q368" i="4"/>
  <c r="AA371" i="4"/>
  <c r="S368" i="4"/>
  <c r="AS371" i="4"/>
  <c r="CC369" i="4"/>
  <c r="AZ368" i="4"/>
  <c r="BZ370" i="4"/>
  <c r="CI370" i="4"/>
  <c r="BO369" i="4"/>
  <c r="FS134" i="4"/>
  <c r="FT134" i="4"/>
  <c r="FS258" i="4"/>
  <c r="FT258" i="4"/>
  <c r="FS217" i="4"/>
  <c r="FT217" i="4"/>
  <c r="FS154" i="4"/>
  <c r="FT154" i="4"/>
  <c r="FS90" i="4"/>
  <c r="FT90" i="4"/>
  <c r="FS140" i="4"/>
  <c r="FT140" i="4"/>
  <c r="FS64" i="4"/>
  <c r="FT64" i="4"/>
  <c r="FS161" i="4"/>
  <c r="FT161" i="4"/>
  <c r="FS243" i="4"/>
  <c r="FT243" i="4"/>
  <c r="FS67" i="4"/>
  <c r="FT67" i="4"/>
  <c r="FS100" i="4"/>
  <c r="FS196" i="4"/>
  <c r="FT196" i="4"/>
  <c r="CB368" i="4"/>
  <c r="AE368" i="4"/>
  <c r="DY370" i="4"/>
  <c r="BH370" i="4"/>
  <c r="AE370" i="4"/>
  <c r="DE371" i="4"/>
  <c r="BH371" i="4"/>
  <c r="DL371" i="4"/>
  <c r="O368" i="4"/>
  <c r="ED369" i="4"/>
  <c r="CN371" i="4"/>
  <c r="DB368" i="4"/>
  <c r="EF369" i="4"/>
  <c r="Y368" i="4"/>
  <c r="BJ370" i="4"/>
  <c r="W368" i="4"/>
  <c r="CZ370" i="4"/>
  <c r="GN365" i="4"/>
  <c r="CZ369" i="4"/>
  <c r="AQ369" i="4"/>
  <c r="EG369" i="4"/>
  <c r="DI369" i="4"/>
  <c r="FS95" i="4"/>
  <c r="FT95" i="4"/>
  <c r="FS227" i="4"/>
  <c r="FT227" i="4"/>
  <c r="FS79" i="4"/>
  <c r="FT79" i="4"/>
  <c r="FS139" i="4"/>
  <c r="FT139" i="4"/>
  <c r="FS114" i="4"/>
  <c r="FT114" i="4"/>
  <c r="FS157" i="4"/>
  <c r="FT157" i="4"/>
  <c r="FS158" i="4"/>
  <c r="FT158" i="4"/>
  <c r="FS191" i="4"/>
  <c r="FT191" i="4"/>
  <c r="FS232" i="4"/>
  <c r="FT232" i="4"/>
  <c r="FS167" i="4"/>
  <c r="FT167" i="4"/>
  <c r="FS127" i="4"/>
  <c r="FT127" i="4"/>
  <c r="FS107" i="4"/>
  <c r="FT107" i="4"/>
  <c r="FS253" i="4"/>
  <c r="FT253" i="4"/>
  <c r="FT174" i="4"/>
  <c r="FS174" i="4"/>
  <c r="FS103" i="4"/>
  <c r="FS117" i="4"/>
  <c r="FT117" i="4"/>
  <c r="FS170" i="4"/>
  <c r="FT170" i="4"/>
  <c r="FS81" i="4"/>
  <c r="FT81" i="4"/>
  <c r="CC368" i="4"/>
  <c r="AF368" i="4"/>
  <c r="DZ370" i="4"/>
  <c r="BG370" i="4"/>
  <c r="AF370" i="4"/>
  <c r="CJ371" i="4"/>
  <c r="AE371" i="4"/>
  <c r="GP363" i="4"/>
  <c r="AO370" i="4"/>
  <c r="AZ369" i="4"/>
  <c r="CB369" i="4"/>
  <c r="DL369" i="4"/>
  <c r="W371" i="4"/>
  <c r="CZ371" i="4"/>
  <c r="AQ368" i="4"/>
  <c r="BJ369" i="4"/>
  <c r="BS368" i="4"/>
  <c r="BC370" i="4"/>
  <c r="DZ369" i="4"/>
  <c r="BS369" i="4"/>
  <c r="FS234" i="4"/>
  <c r="FT234" i="4"/>
  <c r="FS166" i="4"/>
  <c r="FT166" i="4"/>
  <c r="FS130" i="4"/>
  <c r="FT130" i="4"/>
  <c r="FS241" i="4"/>
  <c r="FT241" i="4"/>
  <c r="FS246" i="4"/>
  <c r="FT246" i="4"/>
  <c r="FS222" i="4"/>
  <c r="FS145" i="4"/>
  <c r="FT145" i="4"/>
  <c r="FS250" i="4"/>
  <c r="FT250" i="4"/>
  <c r="FS98" i="4"/>
  <c r="FS78" i="4"/>
  <c r="FT78" i="4"/>
  <c r="FS205" i="4"/>
  <c r="FT205" i="4"/>
  <c r="FT118" i="4"/>
  <c r="FS118" i="4"/>
  <c r="FS159" i="4"/>
  <c r="FT159" i="4"/>
  <c r="FS57" i="4"/>
  <c r="FT57" i="4"/>
  <c r="FS238" i="4"/>
  <c r="FT238" i="4"/>
  <c r="DD368" i="4"/>
  <c r="AL368" i="4"/>
  <c r="CQ368" i="4"/>
  <c r="DD370" i="4"/>
  <c r="CC370" i="4"/>
  <c r="AS370" i="4"/>
  <c r="CI371" i="4"/>
  <c r="AF371" i="4"/>
  <c r="BN369" i="4"/>
  <c r="CS370" i="4"/>
  <c r="AS369" i="4"/>
  <c r="DD369" i="4"/>
  <c r="CS371" i="4"/>
  <c r="BJ371" i="4"/>
  <c r="Q370" i="4"/>
  <c r="CE371" i="4"/>
  <c r="CG370" i="4"/>
  <c r="CX369" i="4"/>
  <c r="FS184" i="4"/>
  <c r="FT184" i="4"/>
  <c r="FS199" i="4"/>
  <c r="FT199" i="4"/>
  <c r="FS203" i="4"/>
  <c r="FT203" i="4"/>
  <c r="FS200" i="4"/>
  <c r="FT200" i="4"/>
  <c r="FS97" i="4"/>
  <c r="FS120" i="4"/>
  <c r="FT120" i="4"/>
  <c r="FS263" i="4"/>
  <c r="FT263" i="4"/>
  <c r="FS73" i="4"/>
  <c r="FT73" i="4"/>
  <c r="FS216" i="4"/>
  <c r="FT216" i="4"/>
  <c r="FS115" i="4"/>
  <c r="FT115" i="4"/>
  <c r="FS249" i="4"/>
  <c r="FT249" i="4"/>
  <c r="FS164" i="4"/>
  <c r="FS111" i="4"/>
  <c r="FT111" i="4"/>
  <c r="FS86" i="4"/>
  <c r="FS153" i="4"/>
  <c r="FT153" i="4"/>
  <c r="FS252" i="4"/>
  <c r="FT252" i="4"/>
  <c r="FS58" i="4"/>
  <c r="FT58" i="4"/>
  <c r="DE368" i="4"/>
  <c r="AM368" i="4"/>
  <c r="EJ368" i="4" s="1"/>
  <c r="CP368" i="4"/>
  <c r="DE370" i="4"/>
  <c r="CB370" i="4"/>
  <c r="AT370" i="4"/>
  <c r="CB371" i="4"/>
  <c r="AZ371" i="4"/>
  <c r="S369" i="4"/>
  <c r="DY369" i="4"/>
  <c r="AA370" i="4"/>
  <c r="GP365" i="4"/>
  <c r="DI370" i="4"/>
  <c r="BC369" i="4"/>
  <c r="BS370" i="4"/>
  <c r="DP369" i="4"/>
  <c r="FS209" i="4"/>
  <c r="FT209" i="4"/>
  <c r="FS126" i="4"/>
  <c r="FT126" i="4"/>
  <c r="FS112" i="4"/>
  <c r="FT112" i="4"/>
  <c r="FS83" i="4"/>
  <c r="FT83" i="4"/>
  <c r="FS144" i="4"/>
  <c r="FT144" i="4"/>
  <c r="FS63" i="4"/>
  <c r="FT63" i="4"/>
  <c r="FS262" i="4"/>
  <c r="FT262" i="4"/>
  <c r="FS180" i="4"/>
  <c r="FT180" i="4"/>
  <c r="FS94" i="4"/>
  <c r="FT94" i="4"/>
  <c r="FS236" i="4"/>
  <c r="FT236" i="4"/>
  <c r="FS150" i="4"/>
  <c r="FT150" i="4"/>
  <c r="FS148" i="4"/>
  <c r="FT148" i="4"/>
  <c r="FS231" i="4"/>
  <c r="FT231" i="4"/>
  <c r="FS88" i="4"/>
  <c r="FT88" i="4"/>
  <c r="FS87" i="4"/>
  <c r="FS96" i="4"/>
  <c r="FS259" i="4"/>
  <c r="FT259" i="4"/>
  <c r="BN368" i="4"/>
  <c r="BV368" i="4"/>
  <c r="DY368" i="4"/>
  <c r="BN370" i="4"/>
  <c r="DS370" i="4"/>
  <c r="AZ370" i="4"/>
  <c r="CC371" i="4"/>
  <c r="BA371" i="4"/>
  <c r="BA369" i="4"/>
  <c r="CG371" i="4"/>
  <c r="Y371" i="4"/>
  <c r="GR368" i="4"/>
  <c r="DK369" i="4"/>
  <c r="BZ371" i="4"/>
  <c r="CN368" i="4"/>
  <c r="DD371" i="4"/>
  <c r="CQ369" i="4"/>
  <c r="DB371" i="4"/>
  <c r="GN364" i="4"/>
  <c r="O369" i="4"/>
  <c r="FS240" i="4"/>
  <c r="FT240" i="4"/>
  <c r="FS190" i="4"/>
  <c r="FS104" i="4"/>
  <c r="FT104" i="4"/>
  <c r="FS219" i="4"/>
  <c r="FS224" i="4"/>
  <c r="FS177" i="4"/>
  <c r="FT177" i="4"/>
  <c r="FS108" i="4"/>
  <c r="FT108" i="4"/>
  <c r="FS261" i="4"/>
  <c r="FT261" i="4"/>
  <c r="FS162" i="4"/>
  <c r="FT162" i="4"/>
  <c r="FS116" i="4"/>
  <c r="FT116" i="4"/>
  <c r="FS173" i="4"/>
  <c r="FT173" i="4"/>
  <c r="FS201" i="4"/>
  <c r="FT201" i="4"/>
  <c r="FS251" i="4"/>
  <c r="FT251" i="4"/>
  <c r="FS202" i="4"/>
  <c r="FT202" i="4"/>
  <c r="FS72" i="4"/>
  <c r="FT72" i="4"/>
  <c r="FS229" i="4"/>
  <c r="FT229" i="4"/>
  <c r="FS235" i="4"/>
  <c r="FT235" i="4"/>
  <c r="FS56" i="4"/>
  <c r="FT56" i="4"/>
  <c r="FS265" i="4"/>
  <c r="FT265" i="4"/>
  <c r="FS70" i="4"/>
  <c r="FT70" i="4"/>
  <c r="FS54" i="4"/>
  <c r="FT54" i="4"/>
  <c r="BO368" i="4"/>
  <c r="BU368" i="4"/>
  <c r="DZ368" i="4"/>
  <c r="BO370" i="4"/>
  <c r="DR370" i="4"/>
  <c r="BA370" i="4"/>
  <c r="BO371" i="4"/>
  <c r="AL371" i="4"/>
  <c r="AT369" i="4"/>
  <c r="U370" i="4"/>
  <c r="AA369" i="4"/>
  <c r="DI371" i="4"/>
  <c r="CS368" i="4"/>
  <c r="AE369" i="4"/>
  <c r="DR369" i="4"/>
  <c r="ED370" i="4"/>
  <c r="AX368" i="4"/>
  <c r="BU369" i="4"/>
  <c r="AM369" i="4"/>
  <c r="EJ369" i="4" s="1"/>
  <c r="U368" i="4"/>
  <c r="AX369" i="4"/>
  <c r="DS369" i="4"/>
  <c r="Q369" i="4"/>
  <c r="FS189" i="4"/>
  <c r="FS260" i="4"/>
  <c r="FT260" i="4"/>
  <c r="FS257" i="4"/>
  <c r="FT257" i="4"/>
  <c r="FS178" i="4"/>
  <c r="FT178" i="4"/>
  <c r="FS55" i="4"/>
  <c r="FT55" i="4"/>
  <c r="FS143" i="4"/>
  <c r="FT143" i="4"/>
  <c r="FS212" i="4"/>
  <c r="FT212" i="4"/>
  <c r="FS179" i="4"/>
  <c r="FT179" i="4"/>
  <c r="FS119" i="4"/>
  <c r="FT119" i="4"/>
  <c r="FS160" i="4"/>
  <c r="FT160" i="4"/>
  <c r="FS75" i="4"/>
  <c r="FT75" i="4"/>
  <c r="FS175" i="4"/>
  <c r="FT175" i="4"/>
  <c r="FS168" i="4"/>
  <c r="FT168" i="4"/>
  <c r="FS151" i="4"/>
  <c r="FT151" i="4"/>
  <c r="FS102" i="4"/>
  <c r="FS192" i="4"/>
  <c r="FT192" i="4"/>
  <c r="FS256" i="4"/>
  <c r="FT256" i="4"/>
  <c r="FS71" i="4"/>
  <c r="FT71" i="4"/>
  <c r="FS187" i="4"/>
  <c r="FS60" i="4"/>
  <c r="FT60" i="4"/>
  <c r="FS93" i="4"/>
  <c r="FT93" i="4"/>
  <c r="EG368" i="4"/>
  <c r="AS368" i="4"/>
  <c r="CX370" i="4"/>
  <c r="AM370" i="4"/>
  <c r="EJ370" i="4" s="1"/>
  <c r="CP371" i="4"/>
  <c r="BN371" i="4"/>
  <c r="AM371" i="4"/>
  <c r="EJ371" i="4" s="1"/>
  <c r="AX370" i="4"/>
  <c r="GP366" i="4"/>
  <c r="W370" i="4"/>
  <c r="AA368" i="4"/>
  <c r="AO368" i="4"/>
  <c r="BH369" i="4"/>
  <c r="BG369" i="4"/>
  <c r="GP369" i="4"/>
  <c r="BZ368" i="4"/>
  <c r="S371" i="4"/>
  <c r="BQ370" i="4"/>
  <c r="AQ371" i="4"/>
  <c r="AL369" i="4"/>
  <c r="FS213" i="4"/>
  <c r="FT213" i="4"/>
  <c r="FS210" i="4"/>
  <c r="FT210" i="4"/>
  <c r="FS221" i="4"/>
  <c r="FS128" i="4"/>
  <c r="FT128" i="4"/>
  <c r="FS218" i="4"/>
  <c r="FT218" i="4"/>
  <c r="FS264" i="4"/>
  <c r="FT264" i="4"/>
  <c r="FS247" i="4"/>
  <c r="FT247" i="4"/>
  <c r="FS183" i="4"/>
  <c r="FT183" i="4"/>
  <c r="FS68" i="4"/>
  <c r="FT68" i="4"/>
  <c r="FS105" i="4"/>
  <c r="FT105" i="4"/>
  <c r="FS244" i="4"/>
  <c r="FT244" i="4"/>
  <c r="FS132" i="4"/>
  <c r="FT132" i="4"/>
  <c r="FS82" i="4"/>
  <c r="FT82" i="4"/>
  <c r="FS77" i="4"/>
  <c r="FT77" i="4"/>
  <c r="FS230" i="4"/>
  <c r="FT230" i="4"/>
  <c r="FS62" i="4"/>
  <c r="FT62" i="4"/>
  <c r="FS220" i="4"/>
  <c r="FS92" i="4"/>
  <c r="FT92" i="4"/>
  <c r="CX368" i="4"/>
  <c r="EF368" i="4"/>
  <c r="AT368" i="4"/>
  <c r="AL370" i="4"/>
  <c r="CQ371" i="4"/>
  <c r="CX371" i="4"/>
  <c r="BU371" i="4"/>
  <c r="BX370" i="4"/>
  <c r="GN371" i="4"/>
  <c r="CG368" i="4"/>
  <c r="GN366" i="4"/>
  <c r="U371" i="4"/>
  <c r="CI369" i="4"/>
  <c r="GN369" i="4"/>
  <c r="BQ371" i="4"/>
  <c r="DP371" i="4"/>
  <c r="GN368" i="4"/>
  <c r="CP369" i="4"/>
  <c r="U369" i="4"/>
  <c r="CJ369" i="4"/>
  <c r="FS124" i="4"/>
  <c r="FT124" i="4"/>
  <c r="FS152" i="4"/>
  <c r="FT152" i="4"/>
  <c r="FS146" i="4"/>
  <c r="FT146" i="4"/>
  <c r="FS188" i="4"/>
  <c r="FS237" i="4"/>
  <c r="FT237" i="4"/>
  <c r="FS226" i="4"/>
  <c r="FT226" i="4"/>
  <c r="FS197" i="4"/>
  <c r="FT197" i="4"/>
  <c r="FS156" i="4"/>
  <c r="FT156" i="4"/>
  <c r="FS186" i="4"/>
  <c r="FS211" i="4"/>
  <c r="FT211" i="4"/>
  <c r="FS172" i="4"/>
  <c r="FT172" i="4"/>
  <c r="FS137" i="4"/>
  <c r="FT137" i="4"/>
  <c r="FS198" i="4"/>
  <c r="FT198" i="4"/>
  <c r="FS228" i="4"/>
  <c r="FT228" i="4"/>
  <c r="FS195" i="4"/>
  <c r="FT195" i="4"/>
  <c r="FS242" i="4"/>
  <c r="FT242" i="4"/>
  <c r="FS69" i="4"/>
  <c r="FT69" i="4"/>
  <c r="FS74" i="4"/>
  <c r="FT74" i="4"/>
  <c r="FS208" i="4"/>
  <c r="FT208" i="4"/>
  <c r="GR363" i="4"/>
  <c r="GR364" i="4"/>
  <c r="GR369" i="4"/>
  <c r="GR366" i="4"/>
  <c r="DR368" i="4"/>
  <c r="BA368" i="4"/>
  <c r="EF370" i="4"/>
  <c r="BU370" i="4"/>
  <c r="EF371" i="4"/>
  <c r="BV371" i="4"/>
  <c r="DB370" i="4"/>
  <c r="GP371" i="4"/>
  <c r="GR365" i="4"/>
  <c r="Q371" i="4"/>
  <c r="AV370" i="4"/>
  <c r="CE368" i="4"/>
  <c r="CE370" i="4"/>
  <c r="GN363" i="4"/>
  <c r="GN370" i="4"/>
  <c r="CN369" i="4"/>
  <c r="BZ369" i="4"/>
  <c r="BQ369" i="4"/>
  <c r="FS89" i="4"/>
  <c r="FT89" i="4"/>
  <c r="FS248" i="4"/>
  <c r="FT248" i="4"/>
  <c r="FS233" i="4"/>
  <c r="FT233" i="4"/>
  <c r="FS84" i="4"/>
  <c r="FT84" i="4"/>
  <c r="FS176" i="4"/>
  <c r="FT176" i="4"/>
  <c r="FS91" i="4"/>
  <c r="FT91" i="4"/>
  <c r="FS99" i="4"/>
  <c r="FS182" i="4"/>
  <c r="FT182" i="4"/>
  <c r="FS169" i="4"/>
  <c r="FT169" i="4"/>
  <c r="FS255" i="4"/>
  <c r="FT255" i="4"/>
  <c r="FS129" i="4"/>
  <c r="FT129" i="4"/>
  <c r="FS123" i="4"/>
  <c r="FT123" i="4"/>
  <c r="FS110" i="4"/>
  <c r="FS223" i="4"/>
  <c r="FS225" i="4"/>
  <c r="FT225" i="4"/>
  <c r="FS245" i="4"/>
  <c r="FT245" i="4"/>
  <c r="FS65" i="4"/>
  <c r="FT65" i="4"/>
  <c r="DS368" i="4"/>
  <c r="EG370" i="4"/>
  <c r="BV370" i="4"/>
  <c r="EG371" i="4"/>
  <c r="DR371" i="4"/>
  <c r="DZ371" i="4"/>
  <c r="BX371" i="4"/>
  <c r="S370" i="4"/>
  <c r="GR371" i="4"/>
  <c r="GP368" i="4"/>
  <c r="AO371" i="4"/>
  <c r="BX368" i="4"/>
  <c r="GP364" i="4"/>
  <c r="FS149" i="4"/>
  <c r="FT149" i="4"/>
  <c r="FS121" i="4"/>
  <c r="FT121" i="4"/>
  <c r="FS122" i="4"/>
  <c r="FS165" i="4"/>
  <c r="FS163" i="4"/>
  <c r="FT163" i="4"/>
  <c r="FS76" i="4"/>
  <c r="FT76" i="4"/>
  <c r="FS155" i="4"/>
  <c r="FT155" i="4"/>
  <c r="FS207" i="4"/>
  <c r="FT207" i="4"/>
  <c r="FS106" i="4"/>
  <c r="FT106" i="4"/>
  <c r="FS131" i="4"/>
  <c r="FT131" i="4"/>
  <c r="FS193" i="4"/>
  <c r="FT193" i="4"/>
  <c r="FS181" i="4"/>
  <c r="FT181" i="4"/>
  <c r="FT59" i="4"/>
  <c r="FS59" i="4"/>
  <c r="FS101" i="4"/>
  <c r="FS80" i="4"/>
  <c r="FS204" i="4"/>
  <c r="FT204" i="4"/>
  <c r="FS61" i="4"/>
  <c r="FT61" i="4"/>
  <c r="CI368" i="4"/>
  <c r="BG368" i="4"/>
  <c r="DL368" i="4"/>
  <c r="CJ370" i="4"/>
  <c r="CP370" i="4"/>
  <c r="DK370" i="4"/>
  <c r="AT371" i="4"/>
  <c r="BC371" i="4"/>
  <c r="AV371" i="4"/>
  <c r="DP370" i="4"/>
  <c r="ED371" i="4"/>
  <c r="BQ368" i="4"/>
  <c r="O371" i="4"/>
  <c r="W369" i="4"/>
  <c r="FS254" i="4"/>
  <c r="FT254" i="4"/>
  <c r="FS109" i="4"/>
  <c r="FT109" i="4"/>
  <c r="FS141" i="4"/>
  <c r="FT141" i="4"/>
  <c r="FS85" i="4"/>
  <c r="FT85" i="4"/>
  <c r="FS185" i="4"/>
  <c r="FS239" i="4"/>
  <c r="FT239" i="4"/>
  <c r="FS138" i="4"/>
  <c r="FT138" i="4"/>
  <c r="FS206" i="4"/>
  <c r="FT206" i="4"/>
  <c r="FS125" i="4"/>
  <c r="FT125" i="4"/>
  <c r="FS171" i="4"/>
  <c r="FT171" i="4"/>
  <c r="FS136" i="4"/>
  <c r="FT136" i="4"/>
  <c r="FS214" i="4"/>
  <c r="FT214" i="4"/>
  <c r="FS142" i="4"/>
  <c r="FT142" i="4"/>
  <c r="FS215" i="4"/>
  <c r="FT215" i="4"/>
  <c r="FS133" i="4"/>
  <c r="FT133" i="4"/>
  <c r="FS135" i="4"/>
  <c r="FT135" i="4"/>
  <c r="FS66" i="4"/>
  <c r="FT66" i="4"/>
  <c r="FS113" i="4"/>
  <c r="FT113" i="4"/>
  <c r="FS147" i="4"/>
  <c r="FT147" i="4"/>
  <c r="CJ368" i="4"/>
  <c r="BH368" i="4"/>
  <c r="DK368" i="4"/>
  <c r="CQ370" i="4"/>
  <c r="DL370" i="4"/>
  <c r="DP368" i="4"/>
  <c r="AQ370" i="4"/>
  <c r="AV368" i="4"/>
  <c r="Y369" i="4"/>
  <c r="DI368" i="4"/>
  <c r="AV369" i="4"/>
  <c r="R15" i="15"/>
  <c r="W69" i="4"/>
  <c r="U82" i="4"/>
  <c r="AV362" i="4"/>
  <c r="AV356" i="4"/>
  <c r="W30" i="4"/>
  <c r="AV360" i="4"/>
  <c r="AV354" i="4"/>
  <c r="U81" i="4"/>
  <c r="U80" i="4"/>
  <c r="CE277" i="4"/>
  <c r="DL138" i="4"/>
  <c r="AL188" i="4"/>
  <c r="AL141" i="4"/>
  <c r="AL243" i="4"/>
  <c r="AL241" i="4"/>
  <c r="AL217" i="4"/>
  <c r="AL136" i="4"/>
  <c r="AL245" i="4"/>
  <c r="AL186" i="4"/>
  <c r="AL252" i="4"/>
  <c r="AL239" i="4"/>
  <c r="AL256" i="4"/>
  <c r="AL144" i="4"/>
  <c r="AM297" i="4"/>
  <c r="EJ297" i="4" s="1"/>
  <c r="AL247" i="4"/>
  <c r="AL240" i="4"/>
  <c r="AL266" i="4"/>
  <c r="AL249" i="4"/>
  <c r="AL155" i="4"/>
  <c r="AL156" i="4"/>
  <c r="AL222" i="4"/>
  <c r="AL125" i="4"/>
  <c r="AL233" i="4"/>
  <c r="AL120" i="4"/>
  <c r="AL169" i="4"/>
  <c r="AL218" i="4"/>
  <c r="AL145" i="4"/>
  <c r="AM304" i="4"/>
  <c r="EJ304" i="4" s="1"/>
  <c r="CS357" i="4"/>
  <c r="DI129" i="4"/>
  <c r="AL165" i="4"/>
  <c r="AL163" i="4"/>
  <c r="AL228" i="4"/>
  <c r="AL230" i="4"/>
  <c r="AL124" i="4"/>
  <c r="AL140" i="4"/>
  <c r="AL199" i="4"/>
  <c r="AL161" i="4"/>
  <c r="AL258" i="4"/>
  <c r="AL119" i="4"/>
  <c r="AL246" i="4"/>
  <c r="AL127" i="4"/>
  <c r="AL131" i="4"/>
  <c r="AL248" i="4"/>
  <c r="AL117" i="4"/>
  <c r="AL211" i="4"/>
  <c r="AL137" i="4"/>
  <c r="AL227" i="4"/>
  <c r="AL207" i="4"/>
  <c r="AL263" i="4"/>
  <c r="AL184" i="4"/>
  <c r="AL128" i="4"/>
  <c r="AL273" i="4"/>
  <c r="AL151" i="4"/>
  <c r="AL255" i="4"/>
  <c r="AL179" i="4"/>
  <c r="AL183" i="4"/>
  <c r="AM143" i="4"/>
  <c r="EJ143" i="4" s="1"/>
  <c r="GW143" i="4" s="1"/>
  <c r="AL130" i="4"/>
  <c r="AL236" i="4"/>
  <c r="CE292" i="4"/>
  <c r="AL271" i="4"/>
  <c r="AL196" i="4"/>
  <c r="AL159" i="4"/>
  <c r="AL181" i="4"/>
  <c r="AL231" i="4"/>
  <c r="AL254" i="4"/>
  <c r="AL177" i="4"/>
  <c r="AL268" i="4"/>
  <c r="AL250" i="4"/>
  <c r="AL162" i="4"/>
  <c r="AL225" i="4"/>
  <c r="AL197" i="4"/>
  <c r="AL121" i="4"/>
  <c r="AL143" i="4"/>
  <c r="AL176" i="4"/>
  <c r="HF177" i="4"/>
  <c r="AL138" i="4"/>
  <c r="AL206" i="4"/>
  <c r="AL220" i="4"/>
  <c r="AL158" i="4"/>
  <c r="AL166" i="4"/>
  <c r="AL261" i="4"/>
  <c r="AL171" i="4"/>
  <c r="AL212" i="4"/>
  <c r="AL123" i="4"/>
  <c r="AL242" i="4"/>
  <c r="AL221" i="4"/>
  <c r="AL223" i="4"/>
  <c r="AL201" i="4"/>
  <c r="AL237" i="4"/>
  <c r="AL286" i="4"/>
  <c r="DI214" i="4"/>
  <c r="DI200" i="4"/>
  <c r="AL198" i="4"/>
  <c r="AL154" i="4"/>
  <c r="AL265" i="4"/>
  <c r="AL157" i="4"/>
  <c r="AL170" i="4"/>
  <c r="AL269" i="4"/>
  <c r="AL229" i="4"/>
  <c r="AL133" i="4"/>
  <c r="AL232" i="4"/>
  <c r="AL173" i="4"/>
  <c r="AL175" i="4"/>
  <c r="AL185" i="4"/>
  <c r="AL164" i="4"/>
  <c r="AL202" i="4"/>
  <c r="AL129" i="4"/>
  <c r="AL193" i="4"/>
  <c r="AL213" i="4"/>
  <c r="AL208" i="4"/>
  <c r="AL238" i="4"/>
  <c r="AL214" i="4"/>
  <c r="AL205" i="4"/>
  <c r="AL257" i="4"/>
  <c r="AL216" i="4"/>
  <c r="AL235" i="4"/>
  <c r="AL299" i="4"/>
  <c r="AL234" i="4"/>
  <c r="AL267" i="4"/>
  <c r="AL147" i="4"/>
  <c r="AL260" i="4"/>
  <c r="AL148" i="4"/>
  <c r="AL142" i="4"/>
  <c r="AL210" i="4"/>
  <c r="AL180" i="4"/>
  <c r="AL200" i="4"/>
  <c r="AL150" i="4"/>
  <c r="AL270" i="4"/>
  <c r="AL204" i="4"/>
  <c r="AM290" i="4"/>
  <c r="EJ290" i="4" s="1"/>
  <c r="AL244" i="4"/>
  <c r="AL226" i="4"/>
  <c r="AL135" i="4"/>
  <c r="AL187" i="4"/>
  <c r="AL195" i="4"/>
  <c r="AL182" i="4"/>
  <c r="AL224" i="4"/>
  <c r="AL132" i="4"/>
  <c r="AL191" i="4"/>
  <c r="AL215" i="4"/>
  <c r="AL126" i="4"/>
  <c r="AL209" i="4"/>
  <c r="AL178" i="4"/>
  <c r="AL203" i="4"/>
  <c r="AL172" i="4"/>
  <c r="AL259" i="4"/>
  <c r="AL189" i="4"/>
  <c r="AL146" i="4"/>
  <c r="AL134" i="4"/>
  <c r="AL253" i="4"/>
  <c r="AL174" i="4"/>
  <c r="AL149" i="4"/>
  <c r="AL264" i="4"/>
  <c r="AL152" i="4"/>
  <c r="AL153" i="4"/>
  <c r="AL118" i="4"/>
  <c r="CS347" i="4"/>
  <c r="CZ336" i="4"/>
  <c r="CZ337" i="4"/>
  <c r="CZ331" i="4"/>
  <c r="CZ334" i="4"/>
  <c r="DP305" i="4"/>
  <c r="CZ332" i="4"/>
  <c r="CZ335" i="4"/>
  <c r="CZ330" i="4"/>
  <c r="CZ366" i="4"/>
  <c r="CP296" i="4"/>
  <c r="CP300" i="4"/>
  <c r="CS352" i="4"/>
  <c r="CP303" i="4"/>
  <c r="CX347" i="4"/>
  <c r="CW343" i="4"/>
  <c r="CX345" i="4"/>
  <c r="CW345" i="4"/>
  <c r="CW346" i="4"/>
  <c r="AQ130" i="4"/>
  <c r="AQ159" i="4"/>
  <c r="BQ317" i="4"/>
  <c r="DL128" i="4"/>
  <c r="DI222" i="4"/>
  <c r="DI220" i="4"/>
  <c r="DL126" i="4"/>
  <c r="DL143" i="4"/>
  <c r="DI81" i="4"/>
  <c r="DL137" i="4"/>
  <c r="DI228" i="4"/>
  <c r="DL66" i="4"/>
  <c r="DI231" i="4"/>
  <c r="DI69" i="4"/>
  <c r="DL101" i="4"/>
  <c r="DI39" i="4"/>
  <c r="DL55" i="4"/>
  <c r="DL41" i="4"/>
  <c r="DL33" i="4"/>
  <c r="DL56" i="4"/>
  <c r="DP299" i="4"/>
  <c r="DI178" i="4"/>
  <c r="DL129" i="4"/>
  <c r="DL63" i="4"/>
  <c r="DI136" i="4"/>
  <c r="DI64" i="4"/>
  <c r="DL75" i="4"/>
  <c r="DI146" i="4"/>
  <c r="DI218" i="4"/>
  <c r="DI206" i="4"/>
  <c r="DI67" i="4"/>
  <c r="DI55" i="4"/>
  <c r="DI49" i="4"/>
  <c r="DL45" i="4"/>
  <c r="DL54" i="4"/>
  <c r="DI36" i="4"/>
  <c r="DI42" i="4"/>
  <c r="DL31" i="4"/>
  <c r="DI153" i="4"/>
  <c r="DL92" i="4"/>
  <c r="DI171" i="4"/>
  <c r="DL82" i="4"/>
  <c r="DI75" i="4"/>
  <c r="DI91" i="4"/>
  <c r="DI82" i="4"/>
  <c r="DL99" i="4"/>
  <c r="DI60" i="4"/>
  <c r="DL100" i="4"/>
  <c r="DI48" i="4"/>
  <c r="DI32" i="4"/>
  <c r="DL48" i="4"/>
  <c r="DI40" i="4"/>
  <c r="DI52" i="4"/>
  <c r="DL59" i="4"/>
  <c r="DL49" i="4"/>
  <c r="DI41" i="4"/>
  <c r="CZ350" i="4"/>
  <c r="DI158" i="4"/>
  <c r="DI61" i="4"/>
  <c r="DL42" i="4"/>
  <c r="DL140" i="4"/>
  <c r="DI46" i="4"/>
  <c r="DL43" i="4"/>
  <c r="DL51" i="4"/>
  <c r="DI34" i="4"/>
  <c r="DL47" i="4"/>
  <c r="W35" i="4"/>
  <c r="DI73" i="4"/>
  <c r="DI149" i="4"/>
  <c r="DI76" i="4"/>
  <c r="DL78" i="4"/>
  <c r="DI84" i="4"/>
  <c r="DL90" i="4"/>
  <c r="DI211" i="4"/>
  <c r="DI131" i="4"/>
  <c r="DI79" i="4"/>
  <c r="DL69" i="4"/>
  <c r="DI137" i="4"/>
  <c r="DL118" i="4"/>
  <c r="DI183" i="4"/>
  <c r="DI99" i="4"/>
  <c r="DI83" i="4"/>
  <c r="DL96" i="4"/>
  <c r="DI180" i="4"/>
  <c r="DI50" i="4"/>
  <c r="DL35" i="4"/>
  <c r="DI59" i="4"/>
  <c r="DL39" i="4"/>
  <c r="DL29" i="4"/>
  <c r="DL32" i="4"/>
  <c r="DI103" i="4"/>
  <c r="DL127" i="4"/>
  <c r="DL30" i="4"/>
  <c r="DL165" i="4"/>
  <c r="DL162" i="4"/>
  <c r="DL73" i="4"/>
  <c r="DI160" i="4"/>
  <c r="DI86" i="4"/>
  <c r="DI80" i="4"/>
  <c r="DL88" i="4"/>
  <c r="DI217" i="4"/>
  <c r="DL61" i="4"/>
  <c r="DI71" i="4"/>
  <c r="DI70" i="4"/>
  <c r="DL77" i="4"/>
  <c r="DI181" i="4"/>
  <c r="DL40" i="4"/>
  <c r="DI38" i="4"/>
  <c r="DI51" i="4"/>
  <c r="DP304" i="4"/>
  <c r="DP301" i="4"/>
  <c r="CZ352" i="4"/>
  <c r="DL81" i="4"/>
  <c r="DI45" i="4"/>
  <c r="DL86" i="4"/>
  <c r="DI31" i="4"/>
  <c r="DI268" i="4"/>
  <c r="DL83" i="4"/>
  <c r="DI221" i="4"/>
  <c r="DI89" i="4"/>
  <c r="DL120" i="4"/>
  <c r="DL72" i="4"/>
  <c r="DI77" i="4"/>
  <c r="DL64" i="4"/>
  <c r="DI100" i="4"/>
  <c r="DI72" i="4"/>
  <c r="DL121" i="4"/>
  <c r="DL60" i="4"/>
  <c r="DI184" i="4"/>
  <c r="DL46" i="4"/>
  <c r="DI57" i="4"/>
  <c r="DI29" i="4"/>
  <c r="DL122" i="4"/>
  <c r="DI97" i="4"/>
  <c r="DL84" i="4"/>
  <c r="DL58" i="4"/>
  <c r="DL87" i="4"/>
  <c r="DL85" i="4"/>
  <c r="DI127" i="4"/>
  <c r="DI93" i="4"/>
  <c r="DL79" i="4"/>
  <c r="DI117" i="4"/>
  <c r="DL156" i="4"/>
  <c r="DI92" i="4"/>
  <c r="DI157" i="4"/>
  <c r="DL65" i="4"/>
  <c r="DI94" i="4"/>
  <c r="DL94" i="4"/>
  <c r="DI63" i="4"/>
  <c r="DI44" i="4"/>
  <c r="DL53" i="4"/>
  <c r="DL38" i="4"/>
  <c r="DI28" i="4"/>
  <c r="CZ341" i="4"/>
  <c r="DI96" i="4"/>
  <c r="DI85" i="4"/>
  <c r="DL91" i="4"/>
  <c r="DI188" i="4"/>
  <c r="DL70" i="4"/>
  <c r="DI78" i="4"/>
  <c r="DI205" i="4"/>
  <c r="DL93" i="4"/>
  <c r="DI65" i="4"/>
  <c r="DL67" i="4"/>
  <c r="DL71" i="4"/>
  <c r="DI223" i="4"/>
  <c r="DL116" i="4"/>
  <c r="DI56" i="4"/>
  <c r="DI30" i="4"/>
  <c r="DL36" i="4"/>
  <c r="DL50" i="4"/>
  <c r="DI130" i="4"/>
  <c r="CZ339" i="4"/>
  <c r="DI90" i="4"/>
  <c r="DI43" i="4"/>
  <c r="DI33" i="4"/>
  <c r="DL153" i="4"/>
  <c r="DL74" i="4"/>
  <c r="DI87" i="4"/>
  <c r="DL95" i="4"/>
  <c r="DI95" i="4"/>
  <c r="DI66" i="4"/>
  <c r="DL89" i="4"/>
  <c r="DI74" i="4"/>
  <c r="DL80" i="4"/>
  <c r="DL62" i="4"/>
  <c r="DI195" i="4"/>
  <c r="DL76" i="4"/>
  <c r="DI58" i="4"/>
  <c r="DL52" i="4"/>
  <c r="DL34" i="4"/>
  <c r="DL28" i="4"/>
  <c r="DL37" i="4"/>
  <c r="CZ355" i="4"/>
  <c r="GN17" i="4"/>
  <c r="GN26" i="4"/>
  <c r="CZ346" i="4"/>
  <c r="CZ360" i="4"/>
  <c r="CZ344" i="4"/>
  <c r="CZ365" i="4"/>
  <c r="GN11" i="4"/>
  <c r="CZ345" i="4"/>
  <c r="CZ362" i="4"/>
  <c r="CZ358" i="4"/>
  <c r="CZ361" i="4"/>
  <c r="GN10" i="4"/>
  <c r="CZ348" i="4"/>
  <c r="CZ356" i="4"/>
  <c r="CZ359" i="4"/>
  <c r="CZ338" i="4"/>
  <c r="CZ347" i="4"/>
  <c r="GN7" i="4"/>
  <c r="CZ351" i="4"/>
  <c r="CZ354" i="4"/>
  <c r="CZ342" i="4"/>
  <c r="CZ349" i="4"/>
  <c r="CZ353" i="4"/>
  <c r="CZ357" i="4"/>
  <c r="CZ343" i="4"/>
  <c r="CZ340" i="4"/>
  <c r="CZ364" i="4"/>
  <c r="CZ363" i="4"/>
  <c r="CE291" i="4"/>
  <c r="CX343" i="4"/>
  <c r="CX342" i="4"/>
  <c r="CS346" i="4"/>
  <c r="CS358" i="4"/>
  <c r="CX346" i="4"/>
  <c r="CS342" i="4"/>
  <c r="CS343" i="4"/>
  <c r="CS353" i="4"/>
  <c r="CS344" i="4"/>
  <c r="CS345" i="4"/>
  <c r="CS361" i="4"/>
  <c r="CS349" i="4"/>
  <c r="CS351" i="4"/>
  <c r="CS360" i="4"/>
  <c r="GN237" i="4"/>
  <c r="CS348" i="4"/>
  <c r="CS362" i="4"/>
  <c r="CS354" i="4"/>
  <c r="CS356" i="4"/>
  <c r="AE366" i="4"/>
  <c r="DE296" i="4"/>
  <c r="GN18" i="4"/>
  <c r="GN23" i="4"/>
  <c r="GN29" i="4"/>
  <c r="GN22" i="4"/>
  <c r="GN15" i="4"/>
  <c r="GN16" i="4"/>
  <c r="GN14" i="4"/>
  <c r="GN28" i="4"/>
  <c r="GN21" i="4"/>
  <c r="GN27" i="4"/>
  <c r="GN9" i="4"/>
  <c r="GN25" i="4"/>
  <c r="GN31" i="4"/>
  <c r="AE299" i="4"/>
  <c r="GN13" i="4"/>
  <c r="GN8" i="4"/>
  <c r="GN6" i="4"/>
  <c r="DP292" i="4"/>
  <c r="DB299" i="4"/>
  <c r="EG305" i="4"/>
  <c r="CI296" i="4"/>
  <c r="DP294" i="4"/>
  <c r="DD296" i="4"/>
  <c r="DP300" i="4"/>
  <c r="CS359" i="4"/>
  <c r="GN19" i="4"/>
  <c r="DP302" i="4"/>
  <c r="DE290" i="4"/>
  <c r="DI190" i="4"/>
  <c r="CX344" i="4"/>
  <c r="CX348" i="4"/>
  <c r="DI175" i="4"/>
  <c r="DI155" i="4"/>
  <c r="DI168" i="4"/>
  <c r="DI148" i="4"/>
  <c r="DI128" i="4"/>
  <c r="DL109" i="4"/>
  <c r="DI162" i="4"/>
  <c r="DI225" i="4"/>
  <c r="DI109" i="4"/>
  <c r="DI219" i="4"/>
  <c r="DL123" i="4"/>
  <c r="DI207" i="4"/>
  <c r="DL160" i="4"/>
  <c r="DI209" i="4"/>
  <c r="DI125" i="4"/>
  <c r="DI196" i="4"/>
  <c r="DI187" i="4"/>
  <c r="DL152" i="4"/>
  <c r="DI138" i="4"/>
  <c r="DL107" i="4"/>
  <c r="GP347" i="4"/>
  <c r="DZ299" i="4"/>
  <c r="DZ290" i="4"/>
  <c r="DE297" i="4"/>
  <c r="AL304" i="4"/>
  <c r="AM295" i="4"/>
  <c r="EJ295" i="4" s="1"/>
  <c r="CP295" i="4"/>
  <c r="DI193" i="4"/>
  <c r="DL164" i="4"/>
  <c r="DI167" i="4"/>
  <c r="DL133" i="4"/>
  <c r="DI210" i="4"/>
  <c r="DI135" i="4"/>
  <c r="DI115" i="4"/>
  <c r="DI123" i="4"/>
  <c r="DI176" i="4"/>
  <c r="DI156" i="4"/>
  <c r="DL173" i="4"/>
  <c r="DI185" i="4"/>
  <c r="DL148" i="4"/>
  <c r="DI174" i="4"/>
  <c r="DL158" i="4"/>
  <c r="DI212" i="4"/>
  <c r="DI208" i="4"/>
  <c r="DI202" i="4"/>
  <c r="CE299" i="4"/>
  <c r="AL303" i="4"/>
  <c r="DY302" i="4"/>
  <c r="DZ300" i="4"/>
  <c r="DZ305" i="4"/>
  <c r="DL114" i="4"/>
  <c r="DI227" i="4"/>
  <c r="DI226" i="4"/>
  <c r="DL112" i="4"/>
  <c r="DI213" i="4"/>
  <c r="DI172" i="4"/>
  <c r="DI163" i="4"/>
  <c r="DL163" i="4"/>
  <c r="DI151" i="4"/>
  <c r="DL142" i="4"/>
  <c r="DI179" i="4"/>
  <c r="DL103" i="4"/>
  <c r="DY297" i="4"/>
  <c r="AM303" i="4"/>
  <c r="EJ303" i="4" s="1"/>
  <c r="AM305" i="4"/>
  <c r="EJ305" i="4" s="1"/>
  <c r="DI169" i="4"/>
  <c r="DL139" i="4"/>
  <c r="DI161" i="4"/>
  <c r="DL110" i="4"/>
  <c r="DI107" i="4"/>
  <c r="DL154" i="4"/>
  <c r="DI197" i="4"/>
  <c r="DI113" i="4"/>
  <c r="DI102" i="4"/>
  <c r="DL155" i="4"/>
  <c r="DI199" i="4"/>
  <c r="DI215" i="4"/>
  <c r="DL124" i="4"/>
  <c r="DI201" i="4"/>
  <c r="DL149" i="4"/>
  <c r="DI192" i="4"/>
  <c r="DL106" i="4"/>
  <c r="DI140" i="4"/>
  <c r="DI144" i="4"/>
  <c r="CP299" i="4"/>
  <c r="AL290" i="4"/>
  <c r="DZ297" i="4"/>
  <c r="DY303" i="4"/>
  <c r="DY291" i="4"/>
  <c r="DY300" i="4"/>
  <c r="DI134" i="4"/>
  <c r="DL125" i="4"/>
  <c r="DI159" i="4"/>
  <c r="DI114" i="4"/>
  <c r="DI104" i="4"/>
  <c r="DI173" i="4"/>
  <c r="DI154" i="4"/>
  <c r="DL111" i="4"/>
  <c r="DI120" i="4"/>
  <c r="AM299" i="4"/>
  <c r="EJ299" i="4" s="1"/>
  <c r="AL296" i="4"/>
  <c r="CP302" i="4"/>
  <c r="CP301" i="4"/>
  <c r="DI170" i="4"/>
  <c r="DL132" i="4"/>
  <c r="DI116" i="4"/>
  <c r="DI186" i="4"/>
  <c r="DL141" i="4"/>
  <c r="DI142" i="4"/>
  <c r="DI119" i="4"/>
  <c r="DI126" i="4"/>
  <c r="DL136" i="4"/>
  <c r="DI112" i="4"/>
  <c r="DI110" i="4"/>
  <c r="DL104" i="4"/>
  <c r="DL113" i="4"/>
  <c r="DL119" i="4"/>
  <c r="DL130" i="4"/>
  <c r="AM296" i="4"/>
  <c r="EJ296" i="4" s="1"/>
  <c r="AM300" i="4"/>
  <c r="EJ300" i="4" s="1"/>
  <c r="CE304" i="4"/>
  <c r="DZ302" i="4"/>
  <c r="DI164" i="4"/>
  <c r="DL102" i="4"/>
  <c r="DI230" i="4"/>
  <c r="DL98" i="4"/>
  <c r="DI177" i="4"/>
  <c r="DI229" i="4"/>
  <c r="DI118" i="4"/>
  <c r="DI106" i="4"/>
  <c r="DL157" i="4"/>
  <c r="DI143" i="4"/>
  <c r="DL161" i="4"/>
  <c r="DI139" i="4"/>
  <c r="DL146" i="4"/>
  <c r="DI145" i="4"/>
  <c r="DI203" i="4"/>
  <c r="CP290" i="4"/>
  <c r="DY296" i="4"/>
  <c r="DY304" i="4"/>
  <c r="CE300" i="4"/>
  <c r="DI366" i="4"/>
  <c r="DI121" i="4"/>
  <c r="DI232" i="4"/>
  <c r="DI108" i="4"/>
  <c r="DL117" i="4"/>
  <c r="DI198" i="4"/>
  <c r="DI165" i="4"/>
  <c r="DI133" i="4"/>
  <c r="DL105" i="4"/>
  <c r="DI150" i="4"/>
  <c r="DL150" i="4"/>
  <c r="DI166" i="4"/>
  <c r="DL134" i="4"/>
  <c r="DL147" i="4"/>
  <c r="DI191" i="4"/>
  <c r="DL131" i="4"/>
  <c r="DI147" i="4"/>
  <c r="DL115" i="4"/>
  <c r="DL151" i="4"/>
  <c r="DI204" i="4"/>
  <c r="DZ296" i="4"/>
  <c r="AL297" i="4"/>
  <c r="DZ304" i="4"/>
  <c r="AL302" i="4"/>
  <c r="AZ318" i="4"/>
  <c r="CP350" i="4"/>
  <c r="DI152" i="4"/>
  <c r="DI182" i="4"/>
  <c r="DI111" i="4"/>
  <c r="DI141" i="4"/>
  <c r="DI98" i="4"/>
  <c r="DI189" i="4"/>
  <c r="DI122" i="4"/>
  <c r="DI105" i="4"/>
  <c r="DL108" i="4"/>
  <c r="DI124" i="4"/>
  <c r="DI224" i="4"/>
  <c r="DI132" i="4"/>
  <c r="DI233" i="4"/>
  <c r="DI101" i="4"/>
  <c r="DI216" i="4"/>
  <c r="DL135" i="4"/>
  <c r="DY299" i="4"/>
  <c r="DY290" i="4"/>
  <c r="CP304" i="4"/>
  <c r="CE301" i="4"/>
  <c r="DG363" i="4"/>
  <c r="DG366" i="4"/>
  <c r="DG364" i="4"/>
  <c r="DG361" i="4"/>
  <c r="DG355" i="4"/>
  <c r="DG365" i="4"/>
  <c r="AQ349" i="4"/>
  <c r="GN30" i="4"/>
  <c r="DD302" i="4"/>
  <c r="AV355" i="4"/>
  <c r="AV358" i="4"/>
  <c r="GN24" i="4"/>
  <c r="GN20" i="4"/>
  <c r="FE361" i="4"/>
  <c r="O364" i="4"/>
  <c r="GN355" i="4"/>
  <c r="DD301" i="4"/>
  <c r="DR366" i="4"/>
  <c r="DI299" i="4"/>
  <c r="DI300" i="4"/>
  <c r="DI301" i="4"/>
  <c r="CS355" i="4"/>
  <c r="BH297" i="4"/>
  <c r="DB366" i="4"/>
  <c r="CC366" i="4"/>
  <c r="ED303" i="4"/>
  <c r="CN291" i="4"/>
  <c r="CW365" i="4"/>
  <c r="AV366" i="4"/>
  <c r="DP293" i="4"/>
  <c r="DP303" i="4"/>
  <c r="AX366" i="4"/>
  <c r="BX365" i="4"/>
  <c r="AO300" i="4"/>
  <c r="CX365" i="4"/>
  <c r="BQ365" i="4"/>
  <c r="CE365" i="4"/>
  <c r="AO366" i="4"/>
  <c r="CX363" i="4"/>
  <c r="AT363" i="4"/>
  <c r="BQ364" i="4"/>
  <c r="BS364" i="4"/>
  <c r="BU366" i="4"/>
  <c r="CS350" i="4"/>
  <c r="BH290" i="4"/>
  <c r="CI366" i="4"/>
  <c r="BQ366" i="4"/>
  <c r="BO364" i="4"/>
  <c r="AA364" i="4"/>
  <c r="BZ365" i="4"/>
  <c r="DI302" i="4"/>
  <c r="CG366" i="4"/>
  <c r="S364" i="4"/>
  <c r="Q366" i="4"/>
  <c r="Q364" i="4"/>
  <c r="Q363" i="4"/>
  <c r="W65" i="4"/>
  <c r="W33" i="4"/>
  <c r="W72" i="4"/>
  <c r="EG290" i="4"/>
  <c r="DD297" i="4"/>
  <c r="DD304" i="4"/>
  <c r="CC365" i="4"/>
  <c r="AL365" i="4"/>
  <c r="BO365" i="4"/>
  <c r="CC364" i="4"/>
  <c r="DI365" i="4"/>
  <c r="EF364" i="4"/>
  <c r="CJ366" i="4"/>
  <c r="GP358" i="4"/>
  <c r="EG363" i="4"/>
  <c r="GR353" i="4"/>
  <c r="BJ366" i="4"/>
  <c r="GN362" i="4"/>
  <c r="CQ366" i="4"/>
  <c r="GP355" i="4"/>
  <c r="CP364" i="4"/>
  <c r="GP362" i="4"/>
  <c r="Q365" i="4"/>
  <c r="BX363" i="4"/>
  <c r="DL364" i="4"/>
  <c r="DR365" i="4"/>
  <c r="FE353" i="4"/>
  <c r="CI364" i="4"/>
  <c r="BN364" i="4"/>
  <c r="CE363" i="4"/>
  <c r="AF364" i="4"/>
  <c r="S366" i="4"/>
  <c r="U366" i="4"/>
  <c r="CN363" i="4"/>
  <c r="DL363" i="4"/>
  <c r="CP366" i="4"/>
  <c r="BC366" i="4"/>
  <c r="BH363" i="4"/>
  <c r="BU364" i="4"/>
  <c r="DP363" i="4"/>
  <c r="ED365" i="4"/>
  <c r="AE363" i="4"/>
  <c r="CN301" i="4"/>
  <c r="DS365" i="4"/>
  <c r="CQ363" i="4"/>
  <c r="O366" i="4"/>
  <c r="CB364" i="4"/>
  <c r="DD366" i="4"/>
  <c r="U364" i="4"/>
  <c r="BJ364" i="4"/>
  <c r="GN350" i="4"/>
  <c r="Y363" i="4"/>
  <c r="CG364" i="4"/>
  <c r="GP361" i="4"/>
  <c r="GN358" i="4"/>
  <c r="DP364" i="4"/>
  <c r="AS363" i="4"/>
  <c r="DR364" i="4"/>
  <c r="EG366" i="4"/>
  <c r="BQ363" i="4"/>
  <c r="AX365" i="4"/>
  <c r="BS363" i="4"/>
  <c r="BA364" i="4"/>
  <c r="AO364" i="4"/>
  <c r="DK164" i="4"/>
  <c r="DK141" i="4"/>
  <c r="W68" i="4"/>
  <c r="Y77" i="4"/>
  <c r="W71" i="4"/>
  <c r="W36" i="4"/>
  <c r="GR362" i="4"/>
  <c r="GR352" i="4"/>
  <c r="GR351" i="4"/>
  <c r="GR354" i="4"/>
  <c r="GR355" i="4"/>
  <c r="GR349" i="4"/>
  <c r="GR359" i="4"/>
  <c r="GR357" i="4"/>
  <c r="GR358" i="4"/>
  <c r="GR360" i="4"/>
  <c r="DD303" i="4"/>
  <c r="ED305" i="4"/>
  <c r="DP298" i="4"/>
  <c r="EF365" i="4"/>
  <c r="DK365" i="4"/>
  <c r="S363" i="4"/>
  <c r="CJ363" i="4"/>
  <c r="DE366" i="4"/>
  <c r="GN360" i="4"/>
  <c r="CE364" i="4"/>
  <c r="BS366" i="4"/>
  <c r="CN365" i="4"/>
  <c r="DD364" i="4"/>
  <c r="BJ365" i="4"/>
  <c r="CG365" i="4"/>
  <c r="AX364" i="4"/>
  <c r="Y364" i="4"/>
  <c r="BH366" i="4"/>
  <c r="BZ364" i="4"/>
  <c r="FE357" i="4"/>
  <c r="GP360" i="4"/>
  <c r="EF366" i="4"/>
  <c r="DB364" i="4"/>
  <c r="BN366" i="4"/>
  <c r="CW364" i="4"/>
  <c r="W46" i="4"/>
  <c r="W59" i="4"/>
  <c r="W70" i="4"/>
  <c r="W61" i="4"/>
  <c r="EG365" i="4"/>
  <c r="DL365" i="4"/>
  <c r="GP354" i="4"/>
  <c r="DY363" i="4"/>
  <c r="S365" i="4"/>
  <c r="CP363" i="4"/>
  <c r="GN361" i="4"/>
  <c r="CX364" i="4"/>
  <c r="BC363" i="4"/>
  <c r="AZ363" i="4"/>
  <c r="DB365" i="4"/>
  <c r="GP349" i="4"/>
  <c r="U365" i="4"/>
  <c r="AQ363" i="4"/>
  <c r="AS364" i="4"/>
  <c r="BX366" i="4"/>
  <c r="GN354" i="4"/>
  <c r="CS363" i="4"/>
  <c r="AL364" i="4"/>
  <c r="BG366" i="4"/>
  <c r="BV364" i="4"/>
  <c r="GP353" i="4"/>
  <c r="DD363" i="4"/>
  <c r="GN349" i="4"/>
  <c r="BO366" i="4"/>
  <c r="CQ364" i="4"/>
  <c r="W34" i="4"/>
  <c r="W63" i="4"/>
  <c r="W31" i="4"/>
  <c r="W53" i="4"/>
  <c r="W38" i="4"/>
  <c r="W74" i="4"/>
  <c r="BG365" i="4"/>
  <c r="AE365" i="4"/>
  <c r="DB363" i="4"/>
  <c r="BO363" i="4"/>
  <c r="DY366" i="4"/>
  <c r="CI363" i="4"/>
  <c r="CG363" i="4"/>
  <c r="EG364" i="4"/>
  <c r="CX366" i="4"/>
  <c r="U363" i="4"/>
  <c r="BU363" i="4"/>
  <c r="AQ365" i="4"/>
  <c r="ED363" i="4"/>
  <c r="DZ364" i="4"/>
  <c r="CN366" i="4"/>
  <c r="DS364" i="4"/>
  <c r="AF363" i="4"/>
  <c r="W364" i="4"/>
  <c r="DL366" i="4"/>
  <c r="DS363" i="4"/>
  <c r="BG364" i="4"/>
  <c r="DK146" i="4"/>
  <c r="Y75" i="4"/>
  <c r="W56" i="4"/>
  <c r="W48" i="4"/>
  <c r="W55" i="4"/>
  <c r="W39" i="4"/>
  <c r="W54" i="4"/>
  <c r="W66" i="4"/>
  <c r="DD290" i="4"/>
  <c r="AT365" i="4"/>
  <c r="BH365" i="4"/>
  <c r="AF365" i="4"/>
  <c r="DZ366" i="4"/>
  <c r="GP357" i="4"/>
  <c r="AV365" i="4"/>
  <c r="CW366" i="4"/>
  <c r="BS365" i="4"/>
  <c r="AV364" i="4"/>
  <c r="AQ366" i="4"/>
  <c r="DR363" i="4"/>
  <c r="AZ364" i="4"/>
  <c r="DK366" i="4"/>
  <c r="AM363" i="4"/>
  <c r="EJ363" i="4" s="1"/>
  <c r="CN364" i="4"/>
  <c r="AX363" i="4"/>
  <c r="W40" i="4"/>
  <c r="W37" i="4"/>
  <c r="W42" i="4"/>
  <c r="W28" i="4"/>
  <c r="W52" i="4"/>
  <c r="CW348" i="4"/>
  <c r="AV357" i="4"/>
  <c r="CI365" i="4"/>
  <c r="BU365" i="4"/>
  <c r="DD365" i="4"/>
  <c r="BN363" i="4"/>
  <c r="DP365" i="4"/>
  <c r="Y366" i="4"/>
  <c r="W366" i="4"/>
  <c r="DS366" i="4"/>
  <c r="O363" i="4"/>
  <c r="AL363" i="4"/>
  <c r="GP350" i="4"/>
  <c r="BA366" i="4"/>
  <c r="DK363" i="4"/>
  <c r="FC350" i="4"/>
  <c r="AA365" i="4"/>
  <c r="DK364" i="4"/>
  <c r="CS366" i="4"/>
  <c r="DL159" i="4"/>
  <c r="DK142" i="4"/>
  <c r="DK159" i="4"/>
  <c r="DL145" i="4"/>
  <c r="DL144" i="4"/>
  <c r="DK160" i="4"/>
  <c r="W43" i="4"/>
  <c r="W32" i="4"/>
  <c r="W60" i="4"/>
  <c r="W62" i="4"/>
  <c r="W67" i="4"/>
  <c r="W44" i="4"/>
  <c r="W57" i="4"/>
  <c r="DD299" i="4"/>
  <c r="DP297" i="4"/>
  <c r="CW344" i="4"/>
  <c r="CJ365" i="4"/>
  <c r="BV365" i="4"/>
  <c r="DE365" i="4"/>
  <c r="CB366" i="4"/>
  <c r="CS364" i="4"/>
  <c r="AA363" i="4"/>
  <c r="CS365" i="4"/>
  <c r="BC364" i="4"/>
  <c r="EF363" i="4"/>
  <c r="AZ366" i="4"/>
  <c r="AO363" i="4"/>
  <c r="GR356" i="4"/>
  <c r="DE363" i="4"/>
  <c r="BX364" i="4"/>
  <c r="CJ364" i="4"/>
  <c r="GR350" i="4"/>
  <c r="GP359" i="4"/>
  <c r="CC363" i="4"/>
  <c r="W47" i="4"/>
  <c r="W41" i="4"/>
  <c r="W73" i="4"/>
  <c r="DE299" i="4"/>
  <c r="DD300" i="4"/>
  <c r="CP365" i="4"/>
  <c r="AZ365" i="4"/>
  <c r="DY365" i="4"/>
  <c r="GN357" i="4"/>
  <c r="ED364" i="4"/>
  <c r="BZ366" i="4"/>
  <c r="W363" i="4"/>
  <c r="BA363" i="4"/>
  <c r="BJ363" i="4"/>
  <c r="AM366" i="4"/>
  <c r="EJ366" i="4" s="1"/>
  <c r="AT364" i="4"/>
  <c r="GP356" i="4"/>
  <c r="CE366" i="4"/>
  <c r="AM364" i="4"/>
  <c r="EJ364" i="4" s="1"/>
  <c r="ED366" i="4"/>
  <c r="O365" i="4"/>
  <c r="CB363" i="4"/>
  <c r="Y365" i="4"/>
  <c r="W49" i="4"/>
  <c r="Y79" i="4"/>
  <c r="Y78" i="4"/>
  <c r="W50" i="4"/>
  <c r="W58" i="4"/>
  <c r="W75" i="4"/>
  <c r="DI304" i="4"/>
  <c r="DI364" i="4"/>
  <c r="DI363" i="4"/>
  <c r="CQ365" i="4"/>
  <c r="BA365" i="4"/>
  <c r="DZ365" i="4"/>
  <c r="AF366" i="4"/>
  <c r="AQ364" i="4"/>
  <c r="BV363" i="4"/>
  <c r="BZ363" i="4"/>
  <c r="AS365" i="4"/>
  <c r="AL366" i="4"/>
  <c r="AE364" i="4"/>
  <c r="AA366" i="4"/>
  <c r="GN352" i="4"/>
  <c r="W365" i="4"/>
  <c r="AV363" i="4"/>
  <c r="AO365" i="4"/>
  <c r="AS366" i="4"/>
  <c r="BV366" i="4"/>
  <c r="GP352" i="4"/>
  <c r="BG363" i="4"/>
  <c r="GN359" i="4"/>
  <c r="DE364" i="4"/>
  <c r="W45" i="4"/>
  <c r="W64" i="4"/>
  <c r="W29" i="4"/>
  <c r="Y81" i="4"/>
  <c r="CB365" i="4"/>
  <c r="AM365" i="4"/>
  <c r="EJ365" i="4" s="1"/>
  <c r="BN365" i="4"/>
  <c r="BC365" i="4"/>
  <c r="CW363" i="4"/>
  <c r="GR361" i="4"/>
  <c r="GN351" i="4"/>
  <c r="DY364" i="4"/>
  <c r="GN353" i="4"/>
  <c r="GN356" i="4"/>
  <c r="AT366" i="4"/>
  <c r="BH364" i="4"/>
  <c r="GP351" i="4"/>
  <c r="DZ363" i="4"/>
  <c r="DP366" i="4"/>
  <c r="BX349" i="4"/>
  <c r="BG296" i="4"/>
  <c r="S349" i="4"/>
  <c r="DB351" i="4"/>
  <c r="BQ316" i="4"/>
  <c r="Y351" i="4"/>
  <c r="CE349" i="4"/>
  <c r="W351" i="4"/>
  <c r="DD291" i="4"/>
  <c r="BJ349" i="4"/>
  <c r="CE305" i="4"/>
  <c r="DD305" i="4"/>
  <c r="EG351" i="4"/>
  <c r="AV361" i="4"/>
  <c r="DE303" i="4"/>
  <c r="CJ358" i="4"/>
  <c r="CI357" i="4"/>
  <c r="CJ362" i="4"/>
  <c r="CI354" i="4"/>
  <c r="CI360" i="4"/>
  <c r="CI362" i="4"/>
  <c r="CI355" i="4"/>
  <c r="CJ361" i="4"/>
  <c r="CJ360" i="4"/>
  <c r="CI359" i="4"/>
  <c r="CJ349" i="4"/>
  <c r="CI361" i="4"/>
  <c r="CI358" i="4"/>
  <c r="CI352" i="4"/>
  <c r="CI353" i="4"/>
  <c r="CJ359" i="4"/>
  <c r="CJ352" i="4"/>
  <c r="CJ353" i="4"/>
  <c r="CJ357" i="4"/>
  <c r="CJ354" i="4"/>
  <c r="CJ355" i="4"/>
  <c r="CI356" i="4"/>
  <c r="CJ356" i="4"/>
  <c r="CN360" i="4"/>
  <c r="CN358" i="4"/>
  <c r="CN359" i="4"/>
  <c r="CN350" i="4"/>
  <c r="CN354" i="4"/>
  <c r="CN353" i="4"/>
  <c r="CN357" i="4"/>
  <c r="CN356" i="4"/>
  <c r="CN361" i="4"/>
  <c r="CN355" i="4"/>
  <c r="CN362" i="4"/>
  <c r="CN352" i="4"/>
  <c r="GP342" i="4"/>
  <c r="GR340" i="4"/>
  <c r="CG349" i="4"/>
  <c r="BV349" i="4"/>
  <c r="AO349" i="4"/>
  <c r="BU350" i="4"/>
  <c r="AS350" i="4"/>
  <c r="CW350" i="4"/>
  <c r="BU351" i="4"/>
  <c r="AM351" i="4"/>
  <c r="EJ351" i="4" s="1"/>
  <c r="Q360" i="4"/>
  <c r="Q358" i="4"/>
  <c r="Q361" i="4"/>
  <c r="Q350" i="4"/>
  <c r="Q353" i="4"/>
  <c r="Q356" i="4"/>
  <c r="Q362" i="4"/>
  <c r="Q355" i="4"/>
  <c r="Q354" i="4"/>
  <c r="Q359" i="4"/>
  <c r="Q352" i="4"/>
  <c r="Q357" i="4"/>
  <c r="BN336" i="4"/>
  <c r="BN360" i="4"/>
  <c r="BO359" i="4"/>
  <c r="BO355" i="4"/>
  <c r="BN362" i="4"/>
  <c r="BN351" i="4"/>
  <c r="BO362" i="4"/>
  <c r="BO360" i="4"/>
  <c r="BN355" i="4"/>
  <c r="BN354" i="4"/>
  <c r="BN349" i="4"/>
  <c r="BO361" i="4"/>
  <c r="BN352" i="4"/>
  <c r="BN361" i="4"/>
  <c r="BO352" i="4"/>
  <c r="BO357" i="4"/>
  <c r="BN357" i="4"/>
  <c r="BO358" i="4"/>
  <c r="BN353" i="4"/>
  <c r="BN358" i="4"/>
  <c r="BO353" i="4"/>
  <c r="BN359" i="4"/>
  <c r="BN356" i="4"/>
  <c r="BO354" i="4"/>
  <c r="BO356" i="4"/>
  <c r="AA298" i="4"/>
  <c r="AA360" i="4"/>
  <c r="AA352" i="4"/>
  <c r="AA359" i="4"/>
  <c r="AA358" i="4"/>
  <c r="AA355" i="4"/>
  <c r="AA353" i="4"/>
  <c r="AA356" i="4"/>
  <c r="AA361" i="4"/>
  <c r="AA362" i="4"/>
  <c r="AA354" i="4"/>
  <c r="AA350" i="4"/>
  <c r="AA357" i="4"/>
  <c r="BZ355" i="4"/>
  <c r="BZ352" i="4"/>
  <c r="BZ358" i="4"/>
  <c r="BZ360" i="4"/>
  <c r="BZ357" i="4"/>
  <c r="BZ359" i="4"/>
  <c r="BZ361" i="4"/>
  <c r="BZ350" i="4"/>
  <c r="BZ356" i="4"/>
  <c r="BZ362" i="4"/>
  <c r="EF344" i="4"/>
  <c r="EG357" i="4"/>
  <c r="EF361" i="4"/>
  <c r="EG361" i="4"/>
  <c r="EG354" i="4"/>
  <c r="EG358" i="4"/>
  <c r="EF353" i="4"/>
  <c r="EG353" i="4"/>
  <c r="EF359" i="4"/>
  <c r="EF355" i="4"/>
  <c r="EG356" i="4"/>
  <c r="EG355" i="4"/>
  <c r="EF356" i="4"/>
  <c r="EF360" i="4"/>
  <c r="EG359" i="4"/>
  <c r="EF358" i="4"/>
  <c r="EF362" i="4"/>
  <c r="EF357" i="4"/>
  <c r="EG362" i="4"/>
  <c r="EG360" i="4"/>
  <c r="EF354" i="4"/>
  <c r="EG349" i="4"/>
  <c r="EF352" i="4"/>
  <c r="EG352" i="4"/>
  <c r="GR342" i="4"/>
  <c r="CW349" i="4"/>
  <c r="AA349" i="4"/>
  <c r="BV350" i="4"/>
  <c r="AT350" i="4"/>
  <c r="CX350" i="4"/>
  <c r="BV351" i="4"/>
  <c r="CN351" i="4"/>
  <c r="U350" i="4"/>
  <c r="U355" i="4"/>
  <c r="U357" i="4"/>
  <c r="U354" i="4"/>
  <c r="U352" i="4"/>
  <c r="U359" i="4"/>
  <c r="U361" i="4"/>
  <c r="U356" i="4"/>
  <c r="U360" i="4"/>
  <c r="U353" i="4"/>
  <c r="U362" i="4"/>
  <c r="U358" i="4"/>
  <c r="GN342" i="4"/>
  <c r="GP341" i="4"/>
  <c r="BS349" i="4"/>
  <c r="Q349" i="4"/>
  <c r="DR349" i="4"/>
  <c r="BN350" i="4"/>
  <c r="DR350" i="4"/>
  <c r="CI350" i="4"/>
  <c r="AQ351" i="4"/>
  <c r="BH335" i="4"/>
  <c r="BG352" i="4"/>
  <c r="BH354" i="4"/>
  <c r="BH362" i="4"/>
  <c r="BH352" i="4"/>
  <c r="BG362" i="4"/>
  <c r="BG360" i="4"/>
  <c r="BG355" i="4"/>
  <c r="BH361" i="4"/>
  <c r="BG361" i="4"/>
  <c r="BG358" i="4"/>
  <c r="BH360" i="4"/>
  <c r="BG353" i="4"/>
  <c r="BH359" i="4"/>
  <c r="BG357" i="4"/>
  <c r="BH353" i="4"/>
  <c r="BG359" i="4"/>
  <c r="BH357" i="4"/>
  <c r="BH351" i="4"/>
  <c r="BH358" i="4"/>
  <c r="BH356" i="4"/>
  <c r="BH349" i="4"/>
  <c r="BG354" i="4"/>
  <c r="BH355" i="4"/>
  <c r="BG356" i="4"/>
  <c r="DI361" i="4"/>
  <c r="DI358" i="4"/>
  <c r="DI356" i="4"/>
  <c r="DI352" i="4"/>
  <c r="DI362" i="4"/>
  <c r="DI360" i="4"/>
  <c r="DI353" i="4"/>
  <c r="DI359" i="4"/>
  <c r="DI350" i="4"/>
  <c r="DI355" i="4"/>
  <c r="DI354" i="4"/>
  <c r="DI357" i="4"/>
  <c r="GR348" i="4"/>
  <c r="DY349" i="4"/>
  <c r="DP349" i="4"/>
  <c r="CI349" i="4"/>
  <c r="BO350" i="4"/>
  <c r="DS350" i="4"/>
  <c r="CJ350" i="4"/>
  <c r="AZ351" i="4"/>
  <c r="CG338" i="4"/>
  <c r="CG356" i="4"/>
  <c r="CG354" i="4"/>
  <c r="CG362" i="4"/>
  <c r="CG351" i="4"/>
  <c r="CG353" i="4"/>
  <c r="CG361" i="4"/>
  <c r="CG352" i="4"/>
  <c r="CG357" i="4"/>
  <c r="CG360" i="4"/>
  <c r="CG359" i="4"/>
  <c r="CG350" i="4"/>
  <c r="CG358" i="4"/>
  <c r="CG355" i="4"/>
  <c r="GN343" i="4"/>
  <c r="DD349" i="4"/>
  <c r="W349" i="4"/>
  <c r="DB349" i="4"/>
  <c r="BJ351" i="4"/>
  <c r="BA351" i="4"/>
  <c r="U351" i="4"/>
  <c r="O351" i="4"/>
  <c r="O361" i="4"/>
  <c r="O358" i="4"/>
  <c r="O360" i="4"/>
  <c r="O352" i="4"/>
  <c r="O357" i="4"/>
  <c r="O356" i="4"/>
  <c r="O355" i="4"/>
  <c r="O359" i="4"/>
  <c r="O362" i="4"/>
  <c r="O354" i="4"/>
  <c r="O350" i="4"/>
  <c r="O353" i="4"/>
  <c r="DB359" i="4"/>
  <c r="DB350" i="4"/>
  <c r="DB357" i="4"/>
  <c r="DB355" i="4"/>
  <c r="DB354" i="4"/>
  <c r="DB358" i="4"/>
  <c r="DB361" i="4"/>
  <c r="DB360" i="4"/>
  <c r="DB352" i="4"/>
  <c r="DB353" i="4"/>
  <c r="DB356" i="4"/>
  <c r="DB362" i="4"/>
  <c r="AM318" i="4"/>
  <c r="EJ318" i="4" s="1"/>
  <c r="AL349" i="4"/>
  <c r="AL352" i="4"/>
  <c r="AM357" i="4"/>
  <c r="EJ357" i="4" s="1"/>
  <c r="AM352" i="4"/>
  <c r="EJ352" i="4" s="1"/>
  <c r="AL358" i="4"/>
  <c r="AM353" i="4"/>
  <c r="EJ353" i="4" s="1"/>
  <c r="AL355" i="4"/>
  <c r="AL353" i="4"/>
  <c r="AM360" i="4"/>
  <c r="EJ360" i="4" s="1"/>
  <c r="AM356" i="4"/>
  <c r="EJ356" i="4" s="1"/>
  <c r="AL357" i="4"/>
  <c r="AM358" i="4"/>
  <c r="EJ358" i="4" s="1"/>
  <c r="AL356" i="4"/>
  <c r="AM361" i="4"/>
  <c r="EJ361" i="4" s="1"/>
  <c r="AL362" i="4"/>
  <c r="AL351" i="4"/>
  <c r="AL361" i="4"/>
  <c r="AM362" i="4"/>
  <c r="EJ362" i="4" s="1"/>
  <c r="AL354" i="4"/>
  <c r="AL359" i="4"/>
  <c r="AM359" i="4"/>
  <c r="EJ359" i="4" s="1"/>
  <c r="AL360" i="4"/>
  <c r="AM354" i="4"/>
  <c r="EJ354" i="4" s="1"/>
  <c r="AM349" i="4"/>
  <c r="EJ349" i="4" s="1"/>
  <c r="AM355" i="4"/>
  <c r="EJ355" i="4" s="1"/>
  <c r="CC349" i="4"/>
  <c r="CC357" i="4"/>
  <c r="CB359" i="4"/>
  <c r="CC355" i="4"/>
  <c r="CB362" i="4"/>
  <c r="CC354" i="4"/>
  <c r="CB353" i="4"/>
  <c r="CB352" i="4"/>
  <c r="CC358" i="4"/>
  <c r="CC362" i="4"/>
  <c r="CC353" i="4"/>
  <c r="CC352" i="4"/>
  <c r="CC361" i="4"/>
  <c r="CB358" i="4"/>
  <c r="CB355" i="4"/>
  <c r="CC351" i="4"/>
  <c r="CB361" i="4"/>
  <c r="CB354" i="4"/>
  <c r="CC359" i="4"/>
  <c r="CB360" i="4"/>
  <c r="CB351" i="4"/>
  <c r="CB357" i="4"/>
  <c r="CC356" i="4"/>
  <c r="CC360" i="4"/>
  <c r="CB356" i="4"/>
  <c r="CP311" i="4"/>
  <c r="CP360" i="4"/>
  <c r="CQ352" i="4"/>
  <c r="CP362" i="4"/>
  <c r="CP355" i="4"/>
  <c r="CQ362" i="4"/>
  <c r="CP353" i="4"/>
  <c r="CQ358" i="4"/>
  <c r="CQ353" i="4"/>
  <c r="CP359" i="4"/>
  <c r="CQ360" i="4"/>
  <c r="CQ354" i="4"/>
  <c r="CP357" i="4"/>
  <c r="CP354" i="4"/>
  <c r="CQ355" i="4"/>
  <c r="CP349" i="4"/>
  <c r="CQ359" i="4"/>
  <c r="CP361" i="4"/>
  <c r="CQ356" i="4"/>
  <c r="CP358" i="4"/>
  <c r="CQ357" i="4"/>
  <c r="CQ349" i="4"/>
  <c r="CP352" i="4"/>
  <c r="CQ361" i="4"/>
  <c r="CP356" i="4"/>
  <c r="GN348" i="4"/>
  <c r="CN349" i="4"/>
  <c r="BG349" i="4"/>
  <c r="CQ350" i="4"/>
  <c r="AM350" i="4"/>
  <c r="EJ350" i="4" s="1"/>
  <c r="DL355" i="4"/>
  <c r="DL356" i="4"/>
  <c r="DK353" i="4"/>
  <c r="DK360" i="4"/>
  <c r="DK356" i="4"/>
  <c r="DL353" i="4"/>
  <c r="DK354" i="4"/>
  <c r="DK362" i="4"/>
  <c r="DL360" i="4"/>
  <c r="DK361" i="4"/>
  <c r="DL362" i="4"/>
  <c r="DL361" i="4"/>
  <c r="DK355" i="4"/>
  <c r="DL349" i="4"/>
  <c r="DK359" i="4"/>
  <c r="DK352" i="4"/>
  <c r="DK358" i="4"/>
  <c r="DK357" i="4"/>
  <c r="DL352" i="4"/>
  <c r="DL359" i="4"/>
  <c r="DL358" i="4"/>
  <c r="DL357" i="4"/>
  <c r="DL354" i="4"/>
  <c r="Y360" i="4"/>
  <c r="Y359" i="4"/>
  <c r="Y354" i="4"/>
  <c r="Y355" i="4"/>
  <c r="Y353" i="4"/>
  <c r="Y352" i="4"/>
  <c r="Y361" i="4"/>
  <c r="Y356" i="4"/>
  <c r="Y362" i="4"/>
  <c r="Y358" i="4"/>
  <c r="Y357" i="4"/>
  <c r="Y350" i="4"/>
  <c r="BA340" i="4"/>
  <c r="AZ359" i="4"/>
  <c r="AZ361" i="4"/>
  <c r="AZ353" i="4"/>
  <c r="AZ355" i="4"/>
  <c r="BA360" i="4"/>
  <c r="BA361" i="4"/>
  <c r="BA353" i="4"/>
  <c r="BA356" i="4"/>
  <c r="BA357" i="4"/>
  <c r="AZ356" i="4"/>
  <c r="BA358" i="4"/>
  <c r="AZ362" i="4"/>
  <c r="BA362" i="4"/>
  <c r="AZ354" i="4"/>
  <c r="BA354" i="4"/>
  <c r="AZ349" i="4"/>
  <c r="BA355" i="4"/>
  <c r="AZ352" i="4"/>
  <c r="AZ360" i="4"/>
  <c r="BA352" i="4"/>
  <c r="AZ358" i="4"/>
  <c r="AZ357" i="4"/>
  <c r="BA359" i="4"/>
  <c r="CW357" i="4"/>
  <c r="CW362" i="4"/>
  <c r="CX354" i="4"/>
  <c r="CX362" i="4"/>
  <c r="CX355" i="4"/>
  <c r="CW354" i="4"/>
  <c r="CW360" i="4"/>
  <c r="CX358" i="4"/>
  <c r="CX359" i="4"/>
  <c r="CW359" i="4"/>
  <c r="CW351" i="4"/>
  <c r="CX357" i="4"/>
  <c r="CX351" i="4"/>
  <c r="CX360" i="4"/>
  <c r="CX349" i="4"/>
  <c r="CW352" i="4"/>
  <c r="CW358" i="4"/>
  <c r="CX352" i="4"/>
  <c r="CW355" i="4"/>
  <c r="CX361" i="4"/>
  <c r="CX356" i="4"/>
  <c r="CW353" i="4"/>
  <c r="CW361" i="4"/>
  <c r="CW356" i="4"/>
  <c r="CX353" i="4"/>
  <c r="GN344" i="4"/>
  <c r="BC349" i="4"/>
  <c r="EF349" i="4"/>
  <c r="BG350" i="4"/>
  <c r="DK350" i="4"/>
  <c r="CJ351" i="4"/>
  <c r="CP351" i="4"/>
  <c r="BZ351" i="4"/>
  <c r="DK351" i="4"/>
  <c r="DI351" i="4"/>
  <c r="AX341" i="4"/>
  <c r="AX354" i="4"/>
  <c r="AX356" i="4"/>
  <c r="AX353" i="4"/>
  <c r="AX362" i="4"/>
  <c r="AX352" i="4"/>
  <c r="AX350" i="4"/>
  <c r="AX360" i="4"/>
  <c r="AX355" i="4"/>
  <c r="AX358" i="4"/>
  <c r="AX357" i="4"/>
  <c r="AX359" i="4"/>
  <c r="AX361" i="4"/>
  <c r="BX350" i="4"/>
  <c r="BX354" i="4"/>
  <c r="BX356" i="4"/>
  <c r="BX361" i="4"/>
  <c r="BX362" i="4"/>
  <c r="BX360" i="4"/>
  <c r="BX352" i="4"/>
  <c r="BX359" i="4"/>
  <c r="BX353" i="4"/>
  <c r="BX355" i="4"/>
  <c r="BX358" i="4"/>
  <c r="BX357" i="4"/>
  <c r="DE361" i="4"/>
  <c r="DE354" i="4"/>
  <c r="DE359" i="4"/>
  <c r="DD361" i="4"/>
  <c r="DD355" i="4"/>
  <c r="DE349" i="4"/>
  <c r="DE358" i="4"/>
  <c r="DD352" i="4"/>
  <c r="DE352" i="4"/>
  <c r="DD357" i="4"/>
  <c r="DD354" i="4"/>
  <c r="DD360" i="4"/>
  <c r="DD351" i="4"/>
  <c r="DE355" i="4"/>
  <c r="DE356" i="4"/>
  <c r="DD358" i="4"/>
  <c r="DE360" i="4"/>
  <c r="DD356" i="4"/>
  <c r="DE357" i="4"/>
  <c r="DD362" i="4"/>
  <c r="DD353" i="4"/>
  <c r="DD359" i="4"/>
  <c r="DE362" i="4"/>
  <c r="DE353" i="4"/>
  <c r="BQ328" i="4"/>
  <c r="BQ349" i="4"/>
  <c r="BQ353" i="4"/>
  <c r="BQ354" i="4"/>
  <c r="BQ361" i="4"/>
  <c r="BQ355" i="4"/>
  <c r="BQ356" i="4"/>
  <c r="BQ362" i="4"/>
  <c r="BQ350" i="4"/>
  <c r="BQ357" i="4"/>
  <c r="BQ352" i="4"/>
  <c r="BQ351" i="4"/>
  <c r="BQ360" i="4"/>
  <c r="BQ359" i="4"/>
  <c r="BQ358" i="4"/>
  <c r="FC343" i="4"/>
  <c r="FC344" i="4"/>
  <c r="GP340" i="4"/>
  <c r="GN340" i="4"/>
  <c r="AX349" i="4"/>
  <c r="AE349" i="4"/>
  <c r="BO349" i="4"/>
  <c r="BH350" i="4"/>
  <c r="DL350" i="4"/>
  <c r="CI351" i="4"/>
  <c r="AO351" i="4"/>
  <c r="CQ351" i="4"/>
  <c r="BC351" i="4"/>
  <c r="DL351" i="4"/>
  <c r="DY321" i="4"/>
  <c r="DY351" i="4"/>
  <c r="DZ351" i="4"/>
  <c r="DZ356" i="4"/>
  <c r="DZ355" i="4"/>
  <c r="DY360" i="4"/>
  <c r="DY356" i="4"/>
  <c r="DY362" i="4"/>
  <c r="DZ358" i="4"/>
  <c r="DZ349" i="4"/>
  <c r="DY359" i="4"/>
  <c r="DZ362" i="4"/>
  <c r="DY354" i="4"/>
  <c r="DY352" i="4"/>
  <c r="DY353" i="4"/>
  <c r="DZ352" i="4"/>
  <c r="DY355" i="4"/>
  <c r="DZ354" i="4"/>
  <c r="DZ359" i="4"/>
  <c r="DZ353" i="4"/>
  <c r="DZ360" i="4"/>
  <c r="DZ361" i="4"/>
  <c r="DY361" i="4"/>
  <c r="DZ357" i="4"/>
  <c r="DY357" i="4"/>
  <c r="DY358" i="4"/>
  <c r="CE341" i="4"/>
  <c r="CE354" i="4"/>
  <c r="CE351" i="4"/>
  <c r="CE353" i="4"/>
  <c r="CE358" i="4"/>
  <c r="CE350" i="4"/>
  <c r="CE361" i="4"/>
  <c r="CE355" i="4"/>
  <c r="CE352" i="4"/>
  <c r="CE357" i="4"/>
  <c r="CE360" i="4"/>
  <c r="CE356" i="4"/>
  <c r="CE362" i="4"/>
  <c r="CE359" i="4"/>
  <c r="GN341" i="4"/>
  <c r="GN347" i="4"/>
  <c r="O349" i="4"/>
  <c r="U349" i="4"/>
  <c r="DK349" i="4"/>
  <c r="Y349" i="4"/>
  <c r="EF350" i="4"/>
  <c r="DD350" i="4"/>
  <c r="AF350" i="4"/>
  <c r="AF351" i="4"/>
  <c r="BX351" i="4"/>
  <c r="GR346" i="4"/>
  <c r="GR345" i="4"/>
  <c r="GR341" i="4"/>
  <c r="GR343" i="4"/>
  <c r="AQ144" i="4"/>
  <c r="AQ350" i="4"/>
  <c r="AQ357" i="4"/>
  <c r="AQ361" i="4"/>
  <c r="AQ356" i="4"/>
  <c r="AQ362" i="4"/>
  <c r="AQ360" i="4"/>
  <c r="AQ352" i="4"/>
  <c r="AQ355" i="4"/>
  <c r="AQ359" i="4"/>
  <c r="AQ353" i="4"/>
  <c r="AQ354" i="4"/>
  <c r="AQ358" i="4"/>
  <c r="AO346" i="4"/>
  <c r="AO355" i="4"/>
  <c r="AO353" i="4"/>
  <c r="AO352" i="4"/>
  <c r="AO359" i="4"/>
  <c r="AO358" i="4"/>
  <c r="AO360" i="4"/>
  <c r="AO356" i="4"/>
  <c r="AO362" i="4"/>
  <c r="AO361" i="4"/>
  <c r="AO357" i="4"/>
  <c r="AO350" i="4"/>
  <c r="AO354" i="4"/>
  <c r="BC291" i="4"/>
  <c r="BC356" i="4"/>
  <c r="BC358" i="4"/>
  <c r="BC362" i="4"/>
  <c r="BC353" i="4"/>
  <c r="BC359" i="4"/>
  <c r="BC360" i="4"/>
  <c r="BC352" i="4"/>
  <c r="BC354" i="4"/>
  <c r="BC355" i="4"/>
  <c r="BC361" i="4"/>
  <c r="BC357" i="4"/>
  <c r="BC350" i="4"/>
  <c r="DR341" i="4"/>
  <c r="DS360" i="4"/>
  <c r="DS359" i="4"/>
  <c r="DS349" i="4"/>
  <c r="DS358" i="4"/>
  <c r="DR352" i="4"/>
  <c r="DS352" i="4"/>
  <c r="DS356" i="4"/>
  <c r="DR358" i="4"/>
  <c r="DS357" i="4"/>
  <c r="DR356" i="4"/>
  <c r="DS354" i="4"/>
  <c r="DR360" i="4"/>
  <c r="DR361" i="4"/>
  <c r="DR362" i="4"/>
  <c r="DS361" i="4"/>
  <c r="DS362" i="4"/>
  <c r="DR355" i="4"/>
  <c r="DR353" i="4"/>
  <c r="DR354" i="4"/>
  <c r="DS353" i="4"/>
  <c r="DS355" i="4"/>
  <c r="DR359" i="4"/>
  <c r="DR357" i="4"/>
  <c r="GN345" i="4"/>
  <c r="BA349" i="4"/>
  <c r="EG350" i="4"/>
  <c r="DE350" i="4"/>
  <c r="AE350" i="4"/>
  <c r="AA351" i="4"/>
  <c r="BO351" i="4"/>
  <c r="AX351" i="4"/>
  <c r="GP174" i="4"/>
  <c r="GP345" i="4"/>
  <c r="GP346" i="4"/>
  <c r="GP344" i="4"/>
  <c r="GP343" i="4"/>
  <c r="AS358" i="4"/>
  <c r="AS356" i="4"/>
  <c r="AT355" i="4"/>
  <c r="AS359" i="4"/>
  <c r="AT356" i="4"/>
  <c r="AS349" i="4"/>
  <c r="AS362" i="4"/>
  <c r="AS352" i="4"/>
  <c r="AS360" i="4"/>
  <c r="AT362" i="4"/>
  <c r="AT352" i="4"/>
  <c r="AT360" i="4"/>
  <c r="AS357" i="4"/>
  <c r="AT357" i="4"/>
  <c r="AT359" i="4"/>
  <c r="AT354" i="4"/>
  <c r="AT353" i="4"/>
  <c r="AS351" i="4"/>
  <c r="AS355" i="4"/>
  <c r="AT351" i="4"/>
  <c r="AT361" i="4"/>
  <c r="AT358" i="4"/>
  <c r="AS361" i="4"/>
  <c r="AS354" i="4"/>
  <c r="ED342" i="4"/>
  <c r="ED361" i="4"/>
  <c r="ED358" i="4"/>
  <c r="ED351" i="4"/>
  <c r="ED359" i="4"/>
  <c r="ED357" i="4"/>
  <c r="ED353" i="4"/>
  <c r="ED356" i="4"/>
  <c r="ED362" i="4"/>
  <c r="ED360" i="4"/>
  <c r="ED350" i="4"/>
  <c r="ED352" i="4"/>
  <c r="ED354" i="4"/>
  <c r="ED355" i="4"/>
  <c r="AE320" i="4"/>
  <c r="AF359" i="4"/>
  <c r="AF357" i="4"/>
  <c r="AE360" i="4"/>
  <c r="AE359" i="4"/>
  <c r="AF358" i="4"/>
  <c r="AE355" i="4"/>
  <c r="AF360" i="4"/>
  <c r="AE361" i="4"/>
  <c r="AF355" i="4"/>
  <c r="AF361" i="4"/>
  <c r="AF349" i="4"/>
  <c r="AE358" i="4"/>
  <c r="AF356" i="4"/>
  <c r="AE351" i="4"/>
  <c r="AE352" i="4"/>
  <c r="AE354" i="4"/>
  <c r="AE356" i="4"/>
  <c r="AF352" i="4"/>
  <c r="AF362" i="4"/>
  <c r="AF354" i="4"/>
  <c r="AE362" i="4"/>
  <c r="AE357" i="4"/>
  <c r="AE353" i="4"/>
  <c r="AF353" i="4"/>
  <c r="W359" i="4"/>
  <c r="W358" i="4"/>
  <c r="W355" i="4"/>
  <c r="W357" i="4"/>
  <c r="W361" i="4"/>
  <c r="W360" i="4"/>
  <c r="W356" i="4"/>
  <c r="W353" i="4"/>
  <c r="W350" i="4"/>
  <c r="W352" i="4"/>
  <c r="W362" i="4"/>
  <c r="W354" i="4"/>
  <c r="GR344" i="4"/>
  <c r="GP348" i="4"/>
  <c r="ED349" i="4"/>
  <c r="CB349" i="4"/>
  <c r="DI349" i="4"/>
  <c r="AZ350" i="4"/>
  <c r="DY350" i="4"/>
  <c r="CB350" i="4"/>
  <c r="DS351" i="4"/>
  <c r="Q351" i="4"/>
  <c r="S358" i="4"/>
  <c r="S352" i="4"/>
  <c r="S360" i="4"/>
  <c r="S356" i="4"/>
  <c r="S357" i="4"/>
  <c r="S359" i="4"/>
  <c r="S362" i="4"/>
  <c r="S353" i="4"/>
  <c r="S350" i="4"/>
  <c r="S354" i="4"/>
  <c r="S351" i="4"/>
  <c r="S355" i="4"/>
  <c r="S361" i="4"/>
  <c r="AL295" i="4"/>
  <c r="BS342" i="4"/>
  <c r="BS359" i="4"/>
  <c r="BS355" i="4"/>
  <c r="BS354" i="4"/>
  <c r="BS350" i="4"/>
  <c r="BS353" i="4"/>
  <c r="BS351" i="4"/>
  <c r="BS360" i="4"/>
  <c r="BS357" i="4"/>
  <c r="BS356" i="4"/>
  <c r="BS362" i="4"/>
  <c r="BS352" i="4"/>
  <c r="BS361" i="4"/>
  <c r="BS358" i="4"/>
  <c r="BU352" i="4"/>
  <c r="BV356" i="4"/>
  <c r="BU360" i="4"/>
  <c r="BV352" i="4"/>
  <c r="BV358" i="4"/>
  <c r="BU356" i="4"/>
  <c r="BV357" i="4"/>
  <c r="BU362" i="4"/>
  <c r="BU359" i="4"/>
  <c r="BV362" i="4"/>
  <c r="BU353" i="4"/>
  <c r="BU358" i="4"/>
  <c r="BV353" i="4"/>
  <c r="BU355" i="4"/>
  <c r="BU354" i="4"/>
  <c r="BV360" i="4"/>
  <c r="BU361" i="4"/>
  <c r="BV355" i="4"/>
  <c r="BU357" i="4"/>
  <c r="BV359" i="4"/>
  <c r="BV361" i="4"/>
  <c r="BV354" i="4"/>
  <c r="BU349" i="4"/>
  <c r="DP318" i="4"/>
  <c r="DP359" i="4"/>
  <c r="DP358" i="4"/>
  <c r="DP352" i="4"/>
  <c r="DP356" i="4"/>
  <c r="DP362" i="4"/>
  <c r="DP361" i="4"/>
  <c r="DP354" i="4"/>
  <c r="DP353" i="4"/>
  <c r="DP360" i="4"/>
  <c r="DP350" i="4"/>
  <c r="DP357" i="4"/>
  <c r="DP355" i="4"/>
  <c r="BJ340" i="4"/>
  <c r="BJ350" i="4"/>
  <c r="BJ352" i="4"/>
  <c r="BJ356" i="4"/>
  <c r="BJ353" i="4"/>
  <c r="BJ362" i="4"/>
  <c r="BJ355" i="4"/>
  <c r="BJ354" i="4"/>
  <c r="BJ357" i="4"/>
  <c r="BJ359" i="4"/>
  <c r="BJ358" i="4"/>
  <c r="BJ361" i="4"/>
  <c r="BJ360" i="4"/>
  <c r="GR347" i="4"/>
  <c r="GN346" i="4"/>
  <c r="BZ349" i="4"/>
  <c r="AT349" i="4"/>
  <c r="BA350" i="4"/>
  <c r="DZ350" i="4"/>
  <c r="CC350" i="4"/>
  <c r="EF351" i="4"/>
  <c r="BG351" i="4"/>
  <c r="DE351" i="4"/>
  <c r="DR351" i="4"/>
  <c r="AS353" i="4"/>
  <c r="FE345" i="4"/>
  <c r="BZ353" i="4"/>
  <c r="BZ354" i="4"/>
  <c r="Q345" i="4"/>
  <c r="W341" i="4"/>
  <c r="DS343" i="4"/>
  <c r="DR345" i="4"/>
  <c r="DY346" i="4"/>
  <c r="AX347" i="4"/>
  <c r="BG347" i="4"/>
  <c r="ED345" i="4"/>
  <c r="CG346" i="4"/>
  <c r="CG342" i="4"/>
  <c r="AO345" i="4"/>
  <c r="AM348" i="4"/>
  <c r="EJ348" i="4" s="1"/>
  <c r="DR342" i="4"/>
  <c r="CE345" i="4"/>
  <c r="AM340" i="4"/>
  <c r="EJ340" i="4" s="1"/>
  <c r="BC346" i="4"/>
  <c r="DB336" i="4"/>
  <c r="CB336" i="4"/>
  <c r="AL343" i="4"/>
  <c r="AL345" i="4"/>
  <c r="DZ346" i="4"/>
  <c r="BC347" i="4"/>
  <c r="AX345" i="4"/>
  <c r="AQ348" i="4"/>
  <c r="DZ344" i="4"/>
  <c r="AQ346" i="4"/>
  <c r="DS342" i="4"/>
  <c r="DS344" i="4"/>
  <c r="ED341" i="4"/>
  <c r="DY340" i="4"/>
  <c r="BS341" i="4"/>
  <c r="DL337" i="4"/>
  <c r="BN348" i="4"/>
  <c r="AE341" i="4"/>
  <c r="AZ335" i="4"/>
  <c r="AM343" i="4"/>
  <c r="EJ343" i="4" s="1"/>
  <c r="AM345" i="4"/>
  <c r="EJ345" i="4" s="1"/>
  <c r="DS346" i="4"/>
  <c r="ED344" i="4"/>
  <c r="ED348" i="4"/>
  <c r="BS346" i="4"/>
  <c r="BS343" i="4"/>
  <c r="AO342" i="4"/>
  <c r="BH342" i="4"/>
  <c r="BC348" i="4"/>
  <c r="CE342" i="4"/>
  <c r="AM344" i="4"/>
  <c r="EJ344" i="4" s="1"/>
  <c r="AL341" i="4"/>
  <c r="BA344" i="4"/>
  <c r="S338" i="4"/>
  <c r="AX337" i="4"/>
  <c r="BX339" i="4"/>
  <c r="DE335" i="4"/>
  <c r="DE341" i="4"/>
  <c r="BZ341" i="4"/>
  <c r="BA343" i="4"/>
  <c r="DR346" i="4"/>
  <c r="ED347" i="4"/>
  <c r="AL347" i="4"/>
  <c r="CN347" i="4"/>
  <c r="DY347" i="4"/>
  <c r="AQ345" i="4"/>
  <c r="DZ342" i="4"/>
  <c r="CN342" i="4"/>
  <c r="AZ342" i="4"/>
  <c r="BH344" i="4"/>
  <c r="AQ344" i="4"/>
  <c r="BG348" i="4"/>
  <c r="DY341" i="4"/>
  <c r="DP341" i="4"/>
  <c r="BC341" i="4"/>
  <c r="CE335" i="4"/>
  <c r="S347" i="4"/>
  <c r="GP338" i="4"/>
  <c r="AZ343" i="4"/>
  <c r="BH346" i="4"/>
  <c r="BJ347" i="4"/>
  <c r="AQ347" i="4"/>
  <c r="DZ347" i="4"/>
  <c r="DS347" i="4"/>
  <c r="CN348" i="4"/>
  <c r="BC345" i="4"/>
  <c r="CE343" i="4"/>
  <c r="AM342" i="4"/>
  <c r="EJ342" i="4" s="1"/>
  <c r="AX344" i="4"/>
  <c r="DR348" i="4"/>
  <c r="AL340" i="4"/>
  <c r="DZ340" i="4"/>
  <c r="CN341" i="4"/>
  <c r="BJ341" i="4"/>
  <c r="CN340" i="4"/>
  <c r="AO335" i="4"/>
  <c r="DS335" i="4"/>
  <c r="O342" i="4"/>
  <c r="CQ344" i="4"/>
  <c r="EG343" i="4"/>
  <c r="BA345" i="4"/>
  <c r="AL346" i="4"/>
  <c r="BG346" i="4"/>
  <c r="AM347" i="4"/>
  <c r="EJ347" i="4" s="1"/>
  <c r="CE344" i="4"/>
  <c r="AQ342" i="4"/>
  <c r="CG343" i="4"/>
  <c r="CG348" i="4"/>
  <c r="AL348" i="4"/>
  <c r="AQ343" i="4"/>
  <c r="AZ344" i="4"/>
  <c r="CG345" i="4"/>
  <c r="DR340" i="4"/>
  <c r="AO341" i="4"/>
  <c r="AQ341" i="4"/>
  <c r="BA341" i="4"/>
  <c r="AO340" i="4"/>
  <c r="Q336" i="4"/>
  <c r="ED338" i="4"/>
  <c r="FE338" i="4"/>
  <c r="EF343" i="4"/>
  <c r="AZ345" i="4"/>
  <c r="AM346" i="4"/>
  <c r="EJ346" i="4" s="1"/>
  <c r="DZ348" i="4"/>
  <c r="BC343" i="4"/>
  <c r="BJ344" i="4"/>
  <c r="ED346" i="4"/>
  <c r="DY344" i="4"/>
  <c r="BG344" i="4"/>
  <c r="DY348" i="4"/>
  <c r="BC340" i="4"/>
  <c r="AX340" i="4"/>
  <c r="AM341" i="4"/>
  <c r="EJ341" i="4" s="1"/>
  <c r="O336" i="4"/>
  <c r="BU335" i="4"/>
  <c r="BH343" i="4"/>
  <c r="BH345" i="4"/>
  <c r="CE347" i="4"/>
  <c r="AX348" i="4"/>
  <c r="BC342" i="4"/>
  <c r="AX346" i="4"/>
  <c r="BG342" i="4"/>
  <c r="DP346" i="4"/>
  <c r="AL342" i="4"/>
  <c r="AX342" i="4"/>
  <c r="AQ340" i="4"/>
  <c r="AZ341" i="4"/>
  <c r="CE340" i="4"/>
  <c r="DS341" i="4"/>
  <c r="DZ303" i="4"/>
  <c r="CE303" i="4"/>
  <c r="DP295" i="4"/>
  <c r="CJ337" i="4"/>
  <c r="CN338" i="4"/>
  <c r="CB342" i="4"/>
  <c r="BG343" i="4"/>
  <c r="BG345" i="4"/>
  <c r="BH347" i="4"/>
  <c r="CG347" i="4"/>
  <c r="AO343" i="4"/>
  <c r="BH348" i="4"/>
  <c r="BA342" i="4"/>
  <c r="CN344" i="4"/>
  <c r="BH341" i="4"/>
  <c r="CG341" i="4"/>
  <c r="BX340" i="4"/>
  <c r="DY343" i="4"/>
  <c r="DY345" i="4"/>
  <c r="EG346" i="4"/>
  <c r="DR347" i="4"/>
  <c r="BA347" i="4"/>
  <c r="BJ345" i="4"/>
  <c r="AL344" i="4"/>
  <c r="DP342" i="4"/>
  <c r="DP348" i="4"/>
  <c r="CN345" i="4"/>
  <c r="AX343" i="4"/>
  <c r="AO348" i="4"/>
  <c r="BJ346" i="4"/>
  <c r="BJ343" i="4"/>
  <c r="CG344" i="4"/>
  <c r="BS340" i="4"/>
  <c r="CG340" i="4"/>
  <c r="BG341" i="4"/>
  <c r="AZ340" i="4"/>
  <c r="U338" i="4"/>
  <c r="AA347" i="4"/>
  <c r="BV343" i="4"/>
  <c r="AT341" i="4"/>
  <c r="GN339" i="4"/>
  <c r="DZ343" i="4"/>
  <c r="DZ345" i="4"/>
  <c r="BA346" i="4"/>
  <c r="BS347" i="4"/>
  <c r="AZ347" i="4"/>
  <c r="CN346" i="4"/>
  <c r="CN343" i="4"/>
  <c r="DP345" i="4"/>
  <c r="DR344" i="4"/>
  <c r="BS344" i="4"/>
  <c r="DP344" i="4"/>
  <c r="AO344" i="4"/>
  <c r="BC344" i="4"/>
  <c r="DP343" i="4"/>
  <c r="DS348" i="4"/>
  <c r="BG340" i="4"/>
  <c r="DP340" i="4"/>
  <c r="ED340" i="4"/>
  <c r="DL341" i="4"/>
  <c r="Y346" i="4"/>
  <c r="DR343" i="4"/>
  <c r="DS345" i="4"/>
  <c r="AZ346" i="4"/>
  <c r="AO347" i="4"/>
  <c r="DP347" i="4"/>
  <c r="BJ342" i="4"/>
  <c r="DY342" i="4"/>
  <c r="BJ348" i="4"/>
  <c r="CE348" i="4"/>
  <c r="CE346" i="4"/>
  <c r="BS348" i="4"/>
  <c r="ED343" i="4"/>
  <c r="BS345" i="4"/>
  <c r="AZ348" i="4"/>
  <c r="BA348" i="4"/>
  <c r="DS340" i="4"/>
  <c r="BH340" i="4"/>
  <c r="DZ341" i="4"/>
  <c r="FU348" i="4"/>
  <c r="W335" i="4"/>
  <c r="CC343" i="4"/>
  <c r="CQ345" i="4"/>
  <c r="AT345" i="4"/>
  <c r="DK347" i="4"/>
  <c r="BX347" i="4"/>
  <c r="AF347" i="4"/>
  <c r="U344" i="4"/>
  <c r="BO344" i="4"/>
  <c r="BQ348" i="4"/>
  <c r="DE342" i="4"/>
  <c r="U342" i="4"/>
  <c r="AE344" i="4"/>
  <c r="DB342" i="4"/>
  <c r="DK344" i="4"/>
  <c r="EG344" i="4"/>
  <c r="S346" i="4"/>
  <c r="GP339" i="4"/>
  <c r="CQ341" i="4"/>
  <c r="BX342" i="4"/>
  <c r="AT340" i="4"/>
  <c r="GP337" i="4"/>
  <c r="BQ315" i="4"/>
  <c r="BQ321" i="4"/>
  <c r="CQ343" i="4"/>
  <c r="AS343" i="4"/>
  <c r="BV345" i="4"/>
  <c r="AS346" i="4"/>
  <c r="CQ346" i="4"/>
  <c r="BN346" i="4"/>
  <c r="U347" i="4"/>
  <c r="O347" i="4"/>
  <c r="CC347" i="4"/>
  <c r="BU347" i="4"/>
  <c r="CB347" i="4"/>
  <c r="AT342" i="4"/>
  <c r="CC344" i="4"/>
  <c r="EG342" i="4"/>
  <c r="AF342" i="4"/>
  <c r="Y345" i="4"/>
  <c r="CC342" i="4"/>
  <c r="S343" i="4"/>
  <c r="GR339" i="4"/>
  <c r="GR336" i="4"/>
  <c r="DE340" i="4"/>
  <c r="BU348" i="4"/>
  <c r="W340" i="4"/>
  <c r="AF341" i="4"/>
  <c r="BX341" i="4"/>
  <c r="CP343" i="4"/>
  <c r="AT343" i="4"/>
  <c r="BU345" i="4"/>
  <c r="AT346" i="4"/>
  <c r="CP346" i="4"/>
  <c r="BO346" i="4"/>
  <c r="DD347" i="4"/>
  <c r="CP347" i="4"/>
  <c r="DI347" i="4"/>
  <c r="BO347" i="4"/>
  <c r="CQ347" i="4"/>
  <c r="BO342" i="4"/>
  <c r="CP348" i="4"/>
  <c r="DB345" i="4"/>
  <c r="DI346" i="4"/>
  <c r="DB344" i="4"/>
  <c r="O345" i="4"/>
  <c r="BQ344" i="4"/>
  <c r="BX344" i="4"/>
  <c r="O340" i="4"/>
  <c r="DD341" i="4"/>
  <c r="EG341" i="4"/>
  <c r="DB341" i="4"/>
  <c r="AA340" i="4"/>
  <c r="BQ320" i="4"/>
  <c r="CI343" i="4"/>
  <c r="BN345" i="4"/>
  <c r="CI346" i="4"/>
  <c r="CI347" i="4"/>
  <c r="BQ347" i="4"/>
  <c r="DB347" i="4"/>
  <c r="AE347" i="4"/>
  <c r="CP342" i="4"/>
  <c r="U345" i="4"/>
  <c r="EF348" i="4"/>
  <c r="CC348" i="4"/>
  <c r="DI345" i="4"/>
  <c r="W346" i="4"/>
  <c r="DK348" i="4"/>
  <c r="DI348" i="4"/>
  <c r="DB348" i="4"/>
  <c r="CI342" i="4"/>
  <c r="S345" i="4"/>
  <c r="AE342" i="4"/>
  <c r="GN337" i="4"/>
  <c r="CP341" i="4"/>
  <c r="O341" i="4"/>
  <c r="BX346" i="4"/>
  <c r="U346" i="4"/>
  <c r="CJ341" i="4"/>
  <c r="AA341" i="4"/>
  <c r="BQ341" i="4"/>
  <c r="BU340" i="4"/>
  <c r="BU341" i="4"/>
  <c r="BV340" i="4"/>
  <c r="BV341" i="4"/>
  <c r="BU343" i="4"/>
  <c r="CJ343" i="4"/>
  <c r="BO345" i="4"/>
  <c r="CJ346" i="4"/>
  <c r="BZ347" i="4"/>
  <c r="BQ342" i="4"/>
  <c r="Q348" i="4"/>
  <c r="CI344" i="4"/>
  <c r="DD348" i="4"/>
  <c r="BZ342" i="4"/>
  <c r="S344" i="4"/>
  <c r="W345" i="4"/>
  <c r="AA345" i="4"/>
  <c r="CJ342" i="4"/>
  <c r="AA343" i="4"/>
  <c r="AS340" i="4"/>
  <c r="GR337" i="4"/>
  <c r="BQ340" i="4"/>
  <c r="CB341" i="4"/>
  <c r="U343" i="4"/>
  <c r="CJ340" i="4"/>
  <c r="EF341" i="4"/>
  <c r="DL340" i="4"/>
  <c r="Y341" i="4"/>
  <c r="BN343" i="4"/>
  <c r="CI345" i="4"/>
  <c r="DK345" i="4"/>
  <c r="DD346" i="4"/>
  <c r="Y347" i="4"/>
  <c r="DE347" i="4"/>
  <c r="BV347" i="4"/>
  <c r="W348" i="4"/>
  <c r="BN344" i="4"/>
  <c r="BZ344" i="4"/>
  <c r="EF347" i="4"/>
  <c r="AT344" i="4"/>
  <c r="S342" i="4"/>
  <c r="DI342" i="4"/>
  <c r="AF344" i="4"/>
  <c r="AA346" i="4"/>
  <c r="AA344" i="4"/>
  <c r="DB346" i="4"/>
  <c r="GN336" i="4"/>
  <c r="BZ340" i="4"/>
  <c r="CC340" i="4"/>
  <c r="DI340" i="4"/>
  <c r="BN341" i="4"/>
  <c r="DK340" i="4"/>
  <c r="O343" i="4"/>
  <c r="U341" i="4"/>
  <c r="S341" i="4"/>
  <c r="GR335" i="4"/>
  <c r="BO343" i="4"/>
  <c r="CJ345" i="4"/>
  <c r="DL345" i="4"/>
  <c r="DE346" i="4"/>
  <c r="EF346" i="4"/>
  <c r="W347" i="4"/>
  <c r="Q347" i="4"/>
  <c r="O348" i="4"/>
  <c r="BN342" i="4"/>
  <c r="Q342" i="4"/>
  <c r="BZ346" i="4"/>
  <c r="Y342" i="4"/>
  <c r="CP344" i="4"/>
  <c r="AA348" i="4"/>
  <c r="AF348" i="4"/>
  <c r="CB344" i="4"/>
  <c r="BZ345" i="4"/>
  <c r="S348" i="4"/>
  <c r="DB343" i="4"/>
  <c r="Y348" i="4"/>
  <c r="S340" i="4"/>
  <c r="GR338" i="4"/>
  <c r="EF342" i="4"/>
  <c r="AS341" i="4"/>
  <c r="GP335" i="4"/>
  <c r="AE340" i="4"/>
  <c r="CP340" i="4"/>
  <c r="GN335" i="4"/>
  <c r="DI341" i="4"/>
  <c r="DL343" i="4"/>
  <c r="EF345" i="4"/>
  <c r="DD345" i="4"/>
  <c r="AF345" i="4"/>
  <c r="AF346" i="4"/>
  <c r="DL346" i="4"/>
  <c r="O344" i="4"/>
  <c r="W342" i="4"/>
  <c r="CQ342" i="4"/>
  <c r="BV344" i="4"/>
  <c r="AS344" i="4"/>
  <c r="DI343" i="4"/>
  <c r="BZ348" i="4"/>
  <c r="U348" i="4"/>
  <c r="AS342" i="4"/>
  <c r="BX345" i="4"/>
  <c r="BQ345" i="4"/>
  <c r="EG340" i="4"/>
  <c r="BN340" i="4"/>
  <c r="Q340" i="4"/>
  <c r="BO340" i="4"/>
  <c r="AF340" i="4"/>
  <c r="DK343" i="4"/>
  <c r="EG345" i="4"/>
  <c r="DE345" i="4"/>
  <c r="AE345" i="4"/>
  <c r="AE346" i="4"/>
  <c r="DK346" i="4"/>
  <c r="BN347" i="4"/>
  <c r="CJ347" i="4"/>
  <c r="AS347" i="4"/>
  <c r="CQ348" i="4"/>
  <c r="W343" i="4"/>
  <c r="DD342" i="4"/>
  <c r="BU342" i="4"/>
  <c r="BU344" i="4"/>
  <c r="BV348" i="4"/>
  <c r="AT348" i="4"/>
  <c r="Q343" i="4"/>
  <c r="AA342" i="4"/>
  <c r="Y340" i="4"/>
  <c r="DK342" i="4"/>
  <c r="U340" i="4"/>
  <c r="BQ343" i="4"/>
  <c r="GN338" i="4"/>
  <c r="CQ340" i="4"/>
  <c r="DD343" i="4"/>
  <c r="AF343" i="4"/>
  <c r="CC345" i="4"/>
  <c r="CC346" i="4"/>
  <c r="BV346" i="4"/>
  <c r="AT347" i="4"/>
  <c r="O346" i="4"/>
  <c r="CB348" i="4"/>
  <c r="DL342" i="4"/>
  <c r="CJ348" i="4"/>
  <c r="Y344" i="4"/>
  <c r="AS348" i="4"/>
  <c r="DL344" i="4"/>
  <c r="BO348" i="4"/>
  <c r="AE348" i="4"/>
  <c r="CI340" i="4"/>
  <c r="CI348" i="4"/>
  <c r="CC341" i="4"/>
  <c r="DD340" i="4"/>
  <c r="GP336" i="4"/>
  <c r="DK341" i="4"/>
  <c r="CI341" i="4"/>
  <c r="CB340" i="4"/>
  <c r="DE343" i="4"/>
  <c r="AE343" i="4"/>
  <c r="CB345" i="4"/>
  <c r="CB346" i="4"/>
  <c r="BU346" i="4"/>
  <c r="EG347" i="4"/>
  <c r="EG348" i="4"/>
  <c r="Q346" i="4"/>
  <c r="DE348" i="4"/>
  <c r="BV342" i="4"/>
  <c r="Y343" i="4"/>
  <c r="DL348" i="4"/>
  <c r="BX348" i="4"/>
  <c r="Q341" i="4"/>
  <c r="BO341" i="4"/>
  <c r="BX343" i="4"/>
  <c r="EF340" i="4"/>
  <c r="DB340" i="4"/>
  <c r="CB343" i="4"/>
  <c r="CP345" i="4"/>
  <c r="AS345" i="4"/>
  <c r="DL347" i="4"/>
  <c r="Q344" i="4"/>
  <c r="CJ344" i="4"/>
  <c r="DI344" i="4"/>
  <c r="W344" i="4"/>
  <c r="BZ343" i="4"/>
  <c r="DE344" i="4"/>
  <c r="DD344" i="4"/>
  <c r="BQ346" i="4"/>
  <c r="FU346" i="4"/>
  <c r="FC13" i="4"/>
  <c r="EG338" i="4"/>
  <c r="DL338" i="4"/>
  <c r="CI338" i="4"/>
  <c r="BZ338" i="4"/>
  <c r="AZ337" i="4"/>
  <c r="CE337" i="4"/>
  <c r="AM336" i="4"/>
  <c r="EJ336" i="4" s="1"/>
  <c r="CP339" i="4"/>
  <c r="Y339" i="4"/>
  <c r="CC336" i="4"/>
  <c r="AL339" i="4"/>
  <c r="DI339" i="4"/>
  <c r="BG337" i="4"/>
  <c r="BO336" i="4"/>
  <c r="BA339" i="4"/>
  <c r="S337" i="4"/>
  <c r="CB335" i="4"/>
  <c r="S336" i="4"/>
  <c r="O335" i="4"/>
  <c r="AM335" i="4"/>
  <c r="EJ335" i="4" s="1"/>
  <c r="CP335" i="4"/>
  <c r="DE338" i="4"/>
  <c r="AF338" i="4"/>
  <c r="BU338" i="4"/>
  <c r="BX338" i="4"/>
  <c r="Y338" i="4"/>
  <c r="DY336" i="4"/>
  <c r="DB339" i="4"/>
  <c r="O338" i="4"/>
  <c r="DB337" i="4"/>
  <c r="AQ339" i="4"/>
  <c r="BU337" i="4"/>
  <c r="DK339" i="4"/>
  <c r="BX337" i="4"/>
  <c r="CC335" i="4"/>
  <c r="U335" i="4"/>
  <c r="CP337" i="4"/>
  <c r="CJ335" i="4"/>
  <c r="BG335" i="4"/>
  <c r="DD338" i="4"/>
  <c r="AE338" i="4"/>
  <c r="BV338" i="4"/>
  <c r="AX338" i="4"/>
  <c r="BC338" i="4"/>
  <c r="AS337" i="4"/>
  <c r="Q337" i="4"/>
  <c r="DZ336" i="4"/>
  <c r="S339" i="4"/>
  <c r="DB338" i="4"/>
  <c r="U337" i="4"/>
  <c r="CI337" i="4"/>
  <c r="CG339" i="4"/>
  <c r="BJ339" i="4"/>
  <c r="CG337" i="4"/>
  <c r="BA337" i="4"/>
  <c r="CC339" i="4"/>
  <c r="DK335" i="4"/>
  <c r="DD337" i="4"/>
  <c r="DR337" i="4"/>
  <c r="BO335" i="4"/>
  <c r="BQ335" i="4"/>
  <c r="CN335" i="4"/>
  <c r="ED293" i="4"/>
  <c r="BQ322" i="4"/>
  <c r="BQ319" i="4"/>
  <c r="DY338" i="4"/>
  <c r="CB338" i="4"/>
  <c r="AO338" i="4"/>
  <c r="BJ338" i="4"/>
  <c r="ED337" i="4"/>
  <c r="AS336" i="4"/>
  <c r="BN339" i="4"/>
  <c r="AO339" i="4"/>
  <c r="W339" i="4"/>
  <c r="CC337" i="4"/>
  <c r="BJ337" i="4"/>
  <c r="BG339" i="4"/>
  <c r="DY339" i="4"/>
  <c r="CQ337" i="4"/>
  <c r="AS339" i="4"/>
  <c r="DB335" i="4"/>
  <c r="BA335" i="4"/>
  <c r="DI336" i="4"/>
  <c r="DZ337" i="4"/>
  <c r="BS336" i="4"/>
  <c r="AL335" i="4"/>
  <c r="ED336" i="4"/>
  <c r="AQ336" i="4"/>
  <c r="DL335" i="4"/>
  <c r="DZ338" i="4"/>
  <c r="CC338" i="4"/>
  <c r="CE338" i="4"/>
  <c r="DE339" i="4"/>
  <c r="BN337" i="4"/>
  <c r="AT336" i="4"/>
  <c r="AE339" i="4"/>
  <c r="AQ337" i="4"/>
  <c r="AO337" i="4"/>
  <c r="O339" i="4"/>
  <c r="EG336" i="4"/>
  <c r="BU339" i="4"/>
  <c r="DP337" i="4"/>
  <c r="DP336" i="4"/>
  <c r="BC336" i="4"/>
  <c r="S335" i="4"/>
  <c r="CN336" i="4"/>
  <c r="CE336" i="4"/>
  <c r="BZ336" i="4"/>
  <c r="DR335" i="4"/>
  <c r="AX336" i="4"/>
  <c r="BQ336" i="4"/>
  <c r="AX335" i="4"/>
  <c r="AA335" i="4"/>
  <c r="DP335" i="4"/>
  <c r="DZ301" i="4"/>
  <c r="DD292" i="4"/>
  <c r="BC300" i="4"/>
  <c r="AT338" i="4"/>
  <c r="W338" i="4"/>
  <c r="O337" i="4"/>
  <c r="CJ339" i="4"/>
  <c r="EG337" i="4"/>
  <c r="CQ339" i="4"/>
  <c r="Q339" i="4"/>
  <c r="BZ337" i="4"/>
  <c r="CP336" i="4"/>
  <c r="CB339" i="4"/>
  <c r="AL337" i="4"/>
  <c r="AZ336" i="4"/>
  <c r="AX339" i="4"/>
  <c r="DP339" i="4"/>
  <c r="AZ339" i="4"/>
  <c r="W336" i="4"/>
  <c r="CI335" i="4"/>
  <c r="BX336" i="4"/>
  <c r="AS335" i="4"/>
  <c r="BZ335" i="4"/>
  <c r="BJ335" i="4"/>
  <c r="ED335" i="4"/>
  <c r="BQ318" i="4"/>
  <c r="AS338" i="4"/>
  <c r="DI338" i="4"/>
  <c r="BS337" i="4"/>
  <c r="BZ339" i="4"/>
  <c r="DK337" i="4"/>
  <c r="DI337" i="4"/>
  <c r="CQ336" i="4"/>
  <c r="AT339" i="4"/>
  <c r="BA336" i="4"/>
  <c r="DS339" i="4"/>
  <c r="BJ336" i="4"/>
  <c r="CG336" i="4"/>
  <c r="AO336" i="4"/>
  <c r="Y336" i="4"/>
  <c r="AE337" i="4"/>
  <c r="AA336" i="4"/>
  <c r="BN335" i="4"/>
  <c r="DZ335" i="4"/>
  <c r="BX335" i="4"/>
  <c r="AT335" i="4"/>
  <c r="DD298" i="4"/>
  <c r="BO338" i="4"/>
  <c r="DS338" i="4"/>
  <c r="AZ338" i="4"/>
  <c r="BS338" i="4"/>
  <c r="AA338" i="4"/>
  <c r="AQ338" i="4"/>
  <c r="Y337" i="4"/>
  <c r="AT337" i="4"/>
  <c r="CN337" i="4"/>
  <c r="DK336" i="4"/>
  <c r="DY337" i="4"/>
  <c r="W337" i="4"/>
  <c r="DZ339" i="4"/>
  <c r="AA339" i="4"/>
  <c r="AM339" i="4"/>
  <c r="EJ339" i="4" s="1"/>
  <c r="CQ335" i="4"/>
  <c r="DI335" i="4"/>
  <c r="CG335" i="4"/>
  <c r="BC335" i="4"/>
  <c r="BN338" i="4"/>
  <c r="DR338" i="4"/>
  <c r="BA338" i="4"/>
  <c r="Q338" i="4"/>
  <c r="BQ338" i="4"/>
  <c r="DD336" i="4"/>
  <c r="BQ337" i="4"/>
  <c r="DL336" i="4"/>
  <c r="CN339" i="4"/>
  <c r="U339" i="4"/>
  <c r="CE339" i="4"/>
  <c r="BU336" i="4"/>
  <c r="DD335" i="4"/>
  <c r="BS335" i="4"/>
  <c r="EG335" i="4"/>
  <c r="BG338" i="4"/>
  <c r="AM338" i="4"/>
  <c r="EJ338" i="4" s="1"/>
  <c r="CP338" i="4"/>
  <c r="DE336" i="4"/>
  <c r="DD339" i="4"/>
  <c r="DR336" i="4"/>
  <c r="AF337" i="4"/>
  <c r="AE336" i="4"/>
  <c r="BC339" i="4"/>
  <c r="BH337" i="4"/>
  <c r="BC337" i="4"/>
  <c r="CI336" i="4"/>
  <c r="CB337" i="4"/>
  <c r="AA337" i="4"/>
  <c r="BV336" i="4"/>
  <c r="ED339" i="4"/>
  <c r="DL339" i="4"/>
  <c r="U336" i="4"/>
  <c r="Y335" i="4"/>
  <c r="BV335" i="4"/>
  <c r="BH338" i="4"/>
  <c r="AL338" i="4"/>
  <c r="CQ338" i="4"/>
  <c r="DP338" i="4"/>
  <c r="DE337" i="4"/>
  <c r="CI339" i="4"/>
  <c r="DS336" i="4"/>
  <c r="BO339" i="4"/>
  <c r="AF336" i="4"/>
  <c r="BQ339" i="4"/>
  <c r="BV337" i="4"/>
  <c r="CJ336" i="4"/>
  <c r="BH339" i="4"/>
  <c r="BG336" i="4"/>
  <c r="EG339" i="4"/>
  <c r="AE335" i="4"/>
  <c r="AQ335" i="4"/>
  <c r="DY335" i="4"/>
  <c r="Q335" i="4"/>
  <c r="DK338" i="4"/>
  <c r="CJ338" i="4"/>
  <c r="BO337" i="4"/>
  <c r="AL336" i="4"/>
  <c r="AF339" i="4"/>
  <c r="DS337" i="4"/>
  <c r="DR339" i="4"/>
  <c r="AM337" i="4"/>
  <c r="EJ337" i="4" s="1"/>
  <c r="BV339" i="4"/>
  <c r="BS339" i="4"/>
  <c r="BH336" i="4"/>
  <c r="AF335" i="4"/>
  <c r="HP3" i="4"/>
  <c r="HL3" i="4"/>
  <c r="FE59" i="4"/>
  <c r="FC108" i="4"/>
  <c r="FC118" i="4"/>
  <c r="FC203" i="4"/>
  <c r="FE309" i="4"/>
  <c r="FE22" i="4"/>
  <c r="FE152" i="4"/>
  <c r="FE196" i="4"/>
  <c r="FE143" i="4"/>
  <c r="FC181" i="4"/>
  <c r="FE331" i="4"/>
  <c r="FE124" i="4"/>
  <c r="FE142" i="4"/>
  <c r="FC167" i="4"/>
  <c r="FE161" i="4"/>
  <c r="FE71" i="4"/>
  <c r="FE287" i="4"/>
  <c r="FE286" i="4"/>
  <c r="FC232" i="4"/>
  <c r="FE98" i="4"/>
  <c r="FE29" i="4"/>
  <c r="FE252" i="4"/>
  <c r="FE262" i="4"/>
  <c r="FE288" i="4"/>
  <c r="FC303" i="4"/>
  <c r="FE21" i="4"/>
  <c r="FE279" i="4"/>
  <c r="FE163" i="4"/>
  <c r="FC195" i="4"/>
  <c r="FC183" i="4"/>
  <c r="FE146" i="4"/>
  <c r="FC188" i="4"/>
  <c r="FC284" i="4"/>
  <c r="FC171" i="4"/>
  <c r="FC216" i="4"/>
  <c r="FC261" i="4"/>
  <c r="FC275" i="4"/>
  <c r="FC37" i="4"/>
  <c r="FE186" i="4"/>
  <c r="FC84" i="4"/>
  <c r="FC265" i="4"/>
  <c r="FE311" i="4"/>
  <c r="FC154" i="4"/>
  <c r="FC327" i="4"/>
  <c r="FC299" i="4"/>
  <c r="FE199" i="4"/>
  <c r="FC192" i="4"/>
  <c r="FC139" i="4"/>
  <c r="FC52" i="4"/>
  <c r="FC151" i="4"/>
  <c r="FC248" i="4"/>
  <c r="FC201" i="4"/>
  <c r="FC215" i="4"/>
  <c r="FE321" i="4"/>
  <c r="FC116" i="4"/>
  <c r="FE159" i="4"/>
  <c r="FC128" i="4"/>
  <c r="FE272" i="4"/>
  <c r="FC43" i="4"/>
  <c r="FC166" i="4"/>
  <c r="FE250" i="4"/>
  <c r="FC334" i="4"/>
  <c r="DY292" i="4"/>
  <c r="AO305" i="4"/>
  <c r="BS299" i="4"/>
  <c r="FC278" i="4"/>
  <c r="FC120" i="4"/>
  <c r="FC66" i="4"/>
  <c r="FE260" i="4"/>
  <c r="FC129" i="4"/>
  <c r="FC224" i="4"/>
  <c r="FC234" i="4"/>
  <c r="FC190" i="4"/>
  <c r="DK303" i="4"/>
  <c r="FC76" i="4"/>
  <c r="FC202" i="4"/>
  <c r="FE305" i="4"/>
  <c r="FC298" i="4"/>
  <c r="FE156" i="4"/>
  <c r="FC114" i="4"/>
  <c r="FE172" i="4"/>
  <c r="FC179" i="4"/>
  <c r="FE233" i="4"/>
  <c r="FC230" i="4"/>
  <c r="DL179" i="4"/>
  <c r="DL180" i="4"/>
  <c r="DL170" i="4"/>
  <c r="DK189" i="4"/>
  <c r="ED300" i="4"/>
  <c r="AE301" i="4"/>
  <c r="AE300" i="4"/>
  <c r="AE298" i="4"/>
  <c r="BG304" i="4"/>
  <c r="DL171" i="4"/>
  <c r="DL188" i="4"/>
  <c r="DK171" i="4"/>
  <c r="EG299" i="4"/>
  <c r="AE297" i="4"/>
  <c r="EG300" i="4"/>
  <c r="EG294" i="4"/>
  <c r="EG292" i="4"/>
  <c r="AE294" i="4"/>
  <c r="DK169" i="4"/>
  <c r="DK172" i="4"/>
  <c r="DK297" i="4"/>
  <c r="ED304" i="4"/>
  <c r="DL169" i="4"/>
  <c r="DL185" i="4"/>
  <c r="DK168" i="4"/>
  <c r="DK188" i="4"/>
  <c r="ED299" i="4"/>
  <c r="DL297" i="4"/>
  <c r="EG304" i="4"/>
  <c r="EG295" i="4"/>
  <c r="EG293" i="4"/>
  <c r="ED294" i="4"/>
  <c r="DL190" i="4"/>
  <c r="DL186" i="4"/>
  <c r="DL174" i="4"/>
  <c r="DK180" i="4"/>
  <c r="ED291" i="4"/>
  <c r="DL176" i="4"/>
  <c r="DL178" i="4"/>
  <c r="DL175" i="4"/>
  <c r="DL191" i="4"/>
  <c r="DK174" i="4"/>
  <c r="DK176" i="4"/>
  <c r="DK177" i="4"/>
  <c r="DK178" i="4"/>
  <c r="DK191" i="4"/>
  <c r="DK290" i="4"/>
  <c r="DK296" i="4"/>
  <c r="ED298" i="4"/>
  <c r="ED296" i="4"/>
  <c r="EG291" i="4"/>
  <c r="AE291" i="4"/>
  <c r="EG298" i="4"/>
  <c r="DL181" i="4"/>
  <c r="DL167" i="4"/>
  <c r="DL187" i="4"/>
  <c r="DK186" i="4"/>
  <c r="DK179" i="4"/>
  <c r="Y3" i="15"/>
  <c r="AE3" i="15" s="1"/>
  <c r="DL290" i="4"/>
  <c r="DL296" i="4"/>
  <c r="AE302" i="4"/>
  <c r="Y82" i="4"/>
  <c r="DL177" i="4"/>
  <c r="DL168" i="4"/>
  <c r="DL183" i="4"/>
  <c r="DL172" i="4"/>
  <c r="DK184" i="4"/>
  <c r="AE303" i="4"/>
  <c r="DL304" i="4"/>
  <c r="ED301" i="4"/>
  <c r="DL166" i="4"/>
  <c r="DL184" i="4"/>
  <c r="DK187" i="4"/>
  <c r="DK190" i="4"/>
  <c r="DL299" i="4"/>
  <c r="EG296" i="4"/>
  <c r="EG303" i="4"/>
  <c r="AE304" i="4"/>
  <c r="EG302" i="4"/>
  <c r="DK185" i="4"/>
  <c r="DK183" i="4"/>
  <c r="DK181" i="4"/>
  <c r="DK170" i="4"/>
  <c r="DK299" i="4"/>
  <c r="AE290" i="4"/>
  <c r="AE296" i="4"/>
  <c r="AE295" i="4"/>
  <c r="AE305" i="4"/>
  <c r="DL189" i="4"/>
  <c r="DL182" i="4"/>
  <c r="DK182" i="4"/>
  <c r="DK173" i="4"/>
  <c r="DK166" i="4"/>
  <c r="EG297" i="4"/>
  <c r="ED302" i="4"/>
  <c r="EG301" i="4"/>
  <c r="ED295" i="4"/>
  <c r="BG290" i="4"/>
  <c r="BG297" i="4"/>
  <c r="BG303" i="4"/>
  <c r="BH304" i="4"/>
  <c r="BS291" i="4"/>
  <c r="BC292" i="4"/>
  <c r="AQ137" i="4"/>
  <c r="BH296" i="4"/>
  <c r="CN305" i="4"/>
  <c r="AO301" i="4"/>
  <c r="CN302" i="4"/>
  <c r="CN304" i="4"/>
  <c r="CQ293" i="4"/>
  <c r="CN292" i="4"/>
  <c r="BC293" i="4"/>
  <c r="CN294" i="4"/>
  <c r="AQ155" i="4"/>
  <c r="CQ290" i="4"/>
  <c r="CN300" i="4"/>
  <c r="BS300" i="4"/>
  <c r="CQ305" i="4"/>
  <c r="BC295" i="4"/>
  <c r="CN298" i="4"/>
  <c r="AQ105" i="4"/>
  <c r="BS305" i="4"/>
  <c r="BG299" i="4"/>
  <c r="BG300" i="4"/>
  <c r="AQ302" i="4"/>
  <c r="BH299" i="4"/>
  <c r="CQ303" i="4"/>
  <c r="CQ304" i="4"/>
  <c r="AO302" i="4"/>
  <c r="BC298" i="4"/>
  <c r="BC299" i="4"/>
  <c r="BC302" i="4"/>
  <c r="BG302" i="4"/>
  <c r="CQ302" i="4"/>
  <c r="AO294" i="4"/>
  <c r="CN293" i="4"/>
  <c r="CN295" i="4"/>
  <c r="BG321" i="4"/>
  <c r="CQ296" i="4"/>
  <c r="BC305" i="4"/>
  <c r="CN303" i="4"/>
  <c r="AQ140" i="4"/>
  <c r="CQ297" i="4"/>
  <c r="CQ295" i="4"/>
  <c r="CN297" i="4"/>
  <c r="AO299" i="4"/>
  <c r="BC304" i="4"/>
  <c r="BC303" i="4"/>
  <c r="AQ172" i="4"/>
  <c r="CQ299" i="4"/>
  <c r="CN299" i="4"/>
  <c r="BH303" i="4"/>
  <c r="BC301" i="4"/>
  <c r="CQ301" i="4"/>
  <c r="BC294" i="4"/>
  <c r="CN296" i="4"/>
  <c r="BG301" i="4"/>
  <c r="BH302" i="4"/>
  <c r="BZ292" i="4"/>
  <c r="BG305" i="4"/>
  <c r="AS297" i="4"/>
  <c r="CE293" i="4"/>
  <c r="DI291" i="4"/>
  <c r="BH305" i="4"/>
  <c r="HS3" i="4"/>
  <c r="BV290" i="4"/>
  <c r="BO297" i="4"/>
  <c r="CB301" i="4"/>
  <c r="CG295" i="4"/>
  <c r="AZ297" i="4"/>
  <c r="Y86" i="4"/>
  <c r="AS299" i="4"/>
  <c r="AZ304" i="4"/>
  <c r="BQ330" i="4"/>
  <c r="DE300" i="4"/>
  <c r="Y84" i="4"/>
  <c r="Y80" i="4"/>
  <c r="Y93" i="4"/>
  <c r="AS305" i="4"/>
  <c r="DY305" i="4"/>
  <c r="DY301" i="4"/>
  <c r="CE302" i="4"/>
  <c r="DY298" i="4"/>
  <c r="AS290" i="4"/>
  <c r="Y83" i="4"/>
  <c r="AZ303" i="4"/>
  <c r="AZ302" i="4"/>
  <c r="Y85" i="4"/>
  <c r="AZ299" i="4"/>
  <c r="AZ290" i="4"/>
  <c r="AZ296" i="4"/>
  <c r="HM3" i="4"/>
  <c r="HT3" i="4"/>
  <c r="BQ331" i="4"/>
  <c r="AA299" i="4"/>
  <c r="AF303" i="4"/>
  <c r="AF290" i="4"/>
  <c r="CJ296" i="4"/>
  <c r="BV297" i="4"/>
  <c r="BU304" i="4"/>
  <c r="AF299" i="4"/>
  <c r="CG299" i="4"/>
  <c r="CI290" i="4"/>
  <c r="CI303" i="4"/>
  <c r="CB290" i="4"/>
  <c r="BV303" i="4"/>
  <c r="CG305" i="4"/>
  <c r="AF292" i="4"/>
  <c r="BV299" i="4"/>
  <c r="BU303" i="4"/>
  <c r="CG293" i="4"/>
  <c r="AA295" i="4"/>
  <c r="CJ299" i="4"/>
  <c r="BU299" i="4"/>
  <c r="AF296" i="4"/>
  <c r="CI297" i="4"/>
  <c r="CI299" i="4"/>
  <c r="CJ297" i="4"/>
  <c r="BU296" i="4"/>
  <c r="BN302" i="4"/>
  <c r="BU290" i="4"/>
  <c r="BV296" i="4"/>
  <c r="AF304" i="4"/>
  <c r="AA304" i="4"/>
  <c r="AA302" i="4"/>
  <c r="AF297" i="4"/>
  <c r="AA301" i="4"/>
  <c r="BZ291" i="4"/>
  <c r="BH300" i="4"/>
  <c r="AQ295" i="4"/>
  <c r="AS304" i="4"/>
  <c r="BO291" i="4"/>
  <c r="CG292" i="4"/>
  <c r="ED297" i="4"/>
  <c r="DI292" i="4"/>
  <c r="CJ301" i="4"/>
  <c r="BH291" i="4"/>
  <c r="BH292" i="4"/>
  <c r="CG304" i="4"/>
  <c r="AM293" i="4"/>
  <c r="EJ293" i="4" s="1"/>
  <c r="CG302" i="4"/>
  <c r="CG298" i="4"/>
  <c r="DE304" i="4"/>
  <c r="AM301" i="4"/>
  <c r="EJ301" i="4" s="1"/>
  <c r="AL301" i="4"/>
  <c r="CP305" i="4"/>
  <c r="BA305" i="4"/>
  <c r="CQ300" i="4"/>
  <c r="CQ294" i="4"/>
  <c r="AZ298" i="4"/>
  <c r="DE292" i="4"/>
  <c r="AM292" i="4"/>
  <c r="EJ292" i="4" s="1"/>
  <c r="AL305" i="4"/>
  <c r="DB304" i="4"/>
  <c r="CG300" i="4"/>
  <c r="DE305" i="4"/>
  <c r="CP293" i="4"/>
  <c r="AZ295" i="4"/>
  <c r="AL298" i="4"/>
  <c r="AM302" i="4"/>
  <c r="EJ302" i="4" s="1"/>
  <c r="AZ300" i="4"/>
  <c r="AZ301" i="4"/>
  <c r="AZ293" i="4"/>
  <c r="CP291" i="4"/>
  <c r="AM291" i="4"/>
  <c r="EJ291" i="4" s="1"/>
  <c r="AL300" i="4"/>
  <c r="CQ292" i="4"/>
  <c r="CG291" i="4"/>
  <c r="CP294" i="4"/>
  <c r="AM298" i="4"/>
  <c r="EJ298" i="4" s="1"/>
  <c r="AL292" i="4"/>
  <c r="CP298" i="4"/>
  <c r="CG301" i="4"/>
  <c r="DI305" i="4"/>
  <c r="CP292" i="4"/>
  <c r="AZ294" i="4"/>
  <c r="CQ291" i="4"/>
  <c r="CG294" i="4"/>
  <c r="AZ305" i="4"/>
  <c r="AL293" i="4"/>
  <c r="AO291" i="4"/>
  <c r="BJ298" i="4"/>
  <c r="BS294" i="4"/>
  <c r="DI293" i="4"/>
  <c r="CI318" i="4"/>
  <c r="GT6" i="4"/>
  <c r="GT7" i="4"/>
  <c r="GT8" i="4"/>
  <c r="GT9" i="4"/>
  <c r="AQ314" i="4"/>
  <c r="GP326" i="4"/>
  <c r="GN236" i="4"/>
  <c r="GN255" i="4"/>
  <c r="DI298" i="4"/>
  <c r="GN333" i="4"/>
  <c r="GN243" i="4"/>
  <c r="GN241" i="4"/>
  <c r="DI294" i="4"/>
  <c r="GN316" i="4"/>
  <c r="GN209" i="4"/>
  <c r="GN214" i="4"/>
  <c r="GN170" i="4"/>
  <c r="GN175" i="4"/>
  <c r="GN230" i="4"/>
  <c r="GN245" i="4"/>
  <c r="GP322" i="4"/>
  <c r="GN295" i="4"/>
  <c r="GN293" i="4"/>
  <c r="GN307" i="4"/>
  <c r="GN264" i="4"/>
  <c r="GN249" i="4"/>
  <c r="GN271" i="4"/>
  <c r="GN231" i="4"/>
  <c r="GN234" i="4"/>
  <c r="GN167" i="4"/>
  <c r="GN217" i="4"/>
  <c r="GN127" i="4"/>
  <c r="GN65" i="4"/>
  <c r="GN78" i="4"/>
  <c r="GN109" i="4"/>
  <c r="GN45" i="4"/>
  <c r="GN58" i="4"/>
  <c r="GN150" i="4"/>
  <c r="GN69" i="4"/>
  <c r="GN51" i="4"/>
  <c r="GN90" i="4"/>
  <c r="GN114" i="4"/>
  <c r="GN95" i="4"/>
  <c r="GN304" i="4"/>
  <c r="GN290" i="4"/>
  <c r="GN211" i="4"/>
  <c r="GN247" i="4"/>
  <c r="GN187" i="4"/>
  <c r="GN278" i="4"/>
  <c r="GN193" i="4"/>
  <c r="GN197" i="4"/>
  <c r="GN284" i="4"/>
  <c r="GN253" i="4"/>
  <c r="GN266" i="4"/>
  <c r="GN191" i="4"/>
  <c r="GN270" i="4"/>
  <c r="GN332" i="4"/>
  <c r="GN166" i="4"/>
  <c r="GN330" i="4"/>
  <c r="GN75" i="4"/>
  <c r="GN39" i="4"/>
  <c r="GN76" i="4"/>
  <c r="GN110" i="4"/>
  <c r="GN121" i="4"/>
  <c r="GN67" i="4"/>
  <c r="GN68" i="4"/>
  <c r="GN163" i="4"/>
  <c r="GN101" i="4"/>
  <c r="GN105" i="4"/>
  <c r="GN126" i="4"/>
  <c r="GN118" i="4"/>
  <c r="GN292" i="4"/>
  <c r="GN221" i="4"/>
  <c r="GN200" i="4"/>
  <c r="GN309" i="4"/>
  <c r="GN310" i="4"/>
  <c r="GN273" i="4"/>
  <c r="GN183" i="4"/>
  <c r="GN177" i="4"/>
  <c r="GN208" i="4"/>
  <c r="GN218" i="4"/>
  <c r="GN258" i="4"/>
  <c r="GN246" i="4"/>
  <c r="GN261" i="4"/>
  <c r="GN324" i="4"/>
  <c r="GN174" i="4"/>
  <c r="GN326" i="4"/>
  <c r="GN85" i="4"/>
  <c r="GN82" i="4"/>
  <c r="GN86" i="4"/>
  <c r="GN122" i="4"/>
  <c r="GN133" i="4"/>
  <c r="GN134" i="4"/>
  <c r="GN79" i="4"/>
  <c r="GN140" i="4"/>
  <c r="GN89" i="4"/>
  <c r="GN113" i="4"/>
  <c r="GN84" i="4"/>
  <c r="GN138" i="4"/>
  <c r="GN62" i="4"/>
  <c r="GN282" i="4"/>
  <c r="GN274" i="4"/>
  <c r="GN181" i="4"/>
  <c r="GN228" i="4"/>
  <c r="GN302" i="4"/>
  <c r="GN219" i="4"/>
  <c r="GN185" i="4"/>
  <c r="GN227" i="4"/>
  <c r="GN210" i="4"/>
  <c r="GN222" i="4"/>
  <c r="GN291" i="4"/>
  <c r="GN235" i="4"/>
  <c r="GN252" i="4"/>
  <c r="GN259" i="4"/>
  <c r="GN334" i="4"/>
  <c r="GN96" i="4"/>
  <c r="GN151" i="4"/>
  <c r="GN97" i="4"/>
  <c r="GN144" i="4"/>
  <c r="GN93" i="4"/>
  <c r="GN88" i="4"/>
  <c r="GN40" i="4"/>
  <c r="GN100" i="4"/>
  <c r="GN83" i="4"/>
  <c r="GN125" i="4"/>
  <c r="GN149" i="4"/>
  <c r="GN116" i="4"/>
  <c r="GN263" i="4"/>
  <c r="GN186" i="4"/>
  <c r="GN306" i="4"/>
  <c r="GN178" i="4"/>
  <c r="GN189" i="4"/>
  <c r="GN260" i="4"/>
  <c r="GN244" i="4"/>
  <c r="GN328" i="4"/>
  <c r="GN283" i="4"/>
  <c r="GN303" i="4"/>
  <c r="GN107" i="4"/>
  <c r="GN63" i="4"/>
  <c r="GN108" i="4"/>
  <c r="GN156" i="4"/>
  <c r="GN52" i="4"/>
  <c r="GN99" i="4"/>
  <c r="GN129" i="4"/>
  <c r="GN112" i="4"/>
  <c r="GN106" i="4"/>
  <c r="GN137" i="4"/>
  <c r="GN161" i="4"/>
  <c r="GN199" i="4"/>
  <c r="GN179" i="4"/>
  <c r="GN298" i="4"/>
  <c r="GN256" i="4"/>
  <c r="GN223" i="4"/>
  <c r="GN254" i="4"/>
  <c r="GN287" i="4"/>
  <c r="GN180" i="4"/>
  <c r="GN168" i="4"/>
  <c r="GN173" i="4"/>
  <c r="GN327" i="4"/>
  <c r="GN119" i="4"/>
  <c r="GN120" i="4"/>
  <c r="GN32" i="4"/>
  <c r="GN94" i="4"/>
  <c r="GN111" i="4"/>
  <c r="GN41" i="4"/>
  <c r="GN124" i="4"/>
  <c r="GN148" i="4"/>
  <c r="GN37" i="4"/>
  <c r="GN74" i="4"/>
  <c r="GN305" i="4"/>
  <c r="GN204" i="4"/>
  <c r="GN242" i="4"/>
  <c r="GN212" i="4"/>
  <c r="GN225" i="4"/>
  <c r="GN196" i="4"/>
  <c r="GN176" i="4"/>
  <c r="GN213" i="4"/>
  <c r="GN220" i="4"/>
  <c r="GN169" i="4"/>
  <c r="GN300" i="4"/>
  <c r="GN277" i="4"/>
  <c r="GN131" i="4"/>
  <c r="GN132" i="4"/>
  <c r="GN44" i="4"/>
  <c r="GN123" i="4"/>
  <c r="GN153" i="4"/>
  <c r="GN136" i="4"/>
  <c r="GN160" i="4"/>
  <c r="GN49" i="4"/>
  <c r="GN61" i="4"/>
  <c r="GN152" i="4"/>
  <c r="GN320" i="4"/>
  <c r="GN239" i="4"/>
  <c r="GN296" i="4"/>
  <c r="GN192" i="4"/>
  <c r="GN215" i="4"/>
  <c r="GN188" i="4"/>
  <c r="GN202" i="4"/>
  <c r="GN198" i="4"/>
  <c r="GN279" i="4"/>
  <c r="GN289" i="4"/>
  <c r="GN286" i="4"/>
  <c r="GN325" i="4"/>
  <c r="GN172" i="4"/>
  <c r="GN142" i="4"/>
  <c r="GN143" i="4"/>
  <c r="GN56" i="4"/>
  <c r="GN98" i="4"/>
  <c r="GN130" i="4"/>
  <c r="GN135" i="4"/>
  <c r="GN147" i="4"/>
  <c r="GN36" i="4"/>
  <c r="GN60" i="4"/>
  <c r="GN103" i="4"/>
  <c r="GN297" i="4"/>
  <c r="GN281" i="4"/>
  <c r="GN206" i="4"/>
  <c r="GN315" i="4"/>
  <c r="GN280" i="4"/>
  <c r="GN311" i="4"/>
  <c r="GN275" i="4"/>
  <c r="GN203" i="4"/>
  <c r="GN232" i="4"/>
  <c r="GN240" i="4"/>
  <c r="GN308" i="4"/>
  <c r="GN267" i="4"/>
  <c r="GN323" i="4"/>
  <c r="GN154" i="4"/>
  <c r="GN155" i="4"/>
  <c r="GN66" i="4"/>
  <c r="GN145" i="4"/>
  <c r="GN146" i="4"/>
  <c r="GN159" i="4"/>
  <c r="GN48" i="4"/>
  <c r="GN81" i="4"/>
  <c r="GN71" i="4"/>
  <c r="GN104" i="4"/>
  <c r="GN164" i="4"/>
  <c r="GN288" i="4"/>
  <c r="GN322" i="4"/>
  <c r="GN205" i="4"/>
  <c r="GN165" i="4"/>
  <c r="GN77" i="4"/>
  <c r="GN162" i="4"/>
  <c r="GN158" i="4"/>
  <c r="GN35" i="4"/>
  <c r="GN38" i="4"/>
  <c r="GN139" i="4"/>
  <c r="GN80" i="4"/>
  <c r="GN117" i="4"/>
  <c r="GN195" i="4"/>
  <c r="GN301" i="4"/>
  <c r="GN317" i="4"/>
  <c r="GN314" i="4"/>
  <c r="GN216" i="4"/>
  <c r="GN251" i="4"/>
  <c r="GN233" i="4"/>
  <c r="GN331" i="4"/>
  <c r="GN42" i="4"/>
  <c r="GN87" i="4"/>
  <c r="GN43" i="4"/>
  <c r="GN33" i="4"/>
  <c r="GN34" i="4"/>
  <c r="GN50" i="4"/>
  <c r="GN47" i="4"/>
  <c r="GN72" i="4"/>
  <c r="GN70" i="4"/>
  <c r="GN73" i="4"/>
  <c r="GN91" i="4"/>
  <c r="GN64" i="4"/>
  <c r="GN229" i="4"/>
  <c r="GN313" i="4"/>
  <c r="GN276" i="4"/>
  <c r="GN250" i="4"/>
  <c r="GN248" i="4"/>
  <c r="GN224" i="4"/>
  <c r="GN321" i="4"/>
  <c r="GN238" i="4"/>
  <c r="GN329" i="4"/>
  <c r="GN54" i="4"/>
  <c r="GN157" i="4"/>
  <c r="GN55" i="4"/>
  <c r="GN57" i="4"/>
  <c r="GN46" i="4"/>
  <c r="GN92" i="4"/>
  <c r="GN59" i="4"/>
  <c r="GN115" i="4"/>
  <c r="GN128" i="4"/>
  <c r="GN102" i="4"/>
  <c r="GN53" i="4"/>
  <c r="GN141" i="4"/>
  <c r="GN319" i="4"/>
  <c r="GN272" i="4"/>
  <c r="GN299" i="4"/>
  <c r="GN312" i="4"/>
  <c r="GN257" i="4"/>
  <c r="GN201" i="4"/>
  <c r="GN207" i="4"/>
  <c r="GN182" i="4"/>
  <c r="GN226" i="4"/>
  <c r="GN268" i="4"/>
  <c r="GN294" i="4"/>
  <c r="GN262" i="4"/>
  <c r="GN265" i="4"/>
  <c r="GN190" i="4"/>
  <c r="GN318" i="4"/>
  <c r="GN171" i="4"/>
  <c r="GR168" i="4"/>
  <c r="GR181" i="4"/>
  <c r="GR166" i="4"/>
  <c r="GR275" i="4"/>
  <c r="GR170" i="4"/>
  <c r="GR333" i="4"/>
  <c r="GR329" i="4"/>
  <c r="GR319" i="4"/>
  <c r="GR324" i="4"/>
  <c r="GR169" i="4"/>
  <c r="GR330" i="4"/>
  <c r="GR326" i="4"/>
  <c r="GR323" i="4"/>
  <c r="GR5" i="4"/>
  <c r="GR17" i="4"/>
  <c r="GR28" i="4"/>
  <c r="GR40" i="4"/>
  <c r="GR52" i="4"/>
  <c r="GR63" i="4"/>
  <c r="GR74" i="4"/>
  <c r="GR83" i="4"/>
  <c r="GR94" i="4"/>
  <c r="GR105" i="4"/>
  <c r="GR117" i="4"/>
  <c r="GR129" i="4"/>
  <c r="GR152" i="4"/>
  <c r="GR49" i="4"/>
  <c r="GR149" i="4"/>
  <c r="GR15" i="4"/>
  <c r="GR103" i="4"/>
  <c r="GR140" i="4"/>
  <c r="GR6" i="4"/>
  <c r="GR18" i="4"/>
  <c r="GR29" i="4"/>
  <c r="GR41" i="4"/>
  <c r="GR53" i="4"/>
  <c r="GR64" i="4"/>
  <c r="GR84" i="4"/>
  <c r="GR95" i="4"/>
  <c r="GR106" i="4"/>
  <c r="GR118" i="4"/>
  <c r="GR130" i="4"/>
  <c r="GR141" i="4"/>
  <c r="GR153" i="4"/>
  <c r="GR164" i="4"/>
  <c r="GR7" i="4"/>
  <c r="GR19" i="4"/>
  <c r="GR30" i="4"/>
  <c r="GR42" i="4"/>
  <c r="GR54" i="4"/>
  <c r="GR75" i="4"/>
  <c r="GR85" i="4"/>
  <c r="GR96" i="4"/>
  <c r="GR107" i="4"/>
  <c r="GR119" i="4"/>
  <c r="GR131" i="4"/>
  <c r="GR142" i="4"/>
  <c r="GR154" i="4"/>
  <c r="GR165" i="4"/>
  <c r="GR80" i="4"/>
  <c r="GR8" i="4"/>
  <c r="GR20" i="4"/>
  <c r="GR31" i="4"/>
  <c r="GR43" i="4"/>
  <c r="GR55" i="4"/>
  <c r="GR65" i="4"/>
  <c r="GR76" i="4"/>
  <c r="GR86" i="4"/>
  <c r="GR97" i="4"/>
  <c r="GR108" i="4"/>
  <c r="GR120" i="4"/>
  <c r="GR132" i="4"/>
  <c r="GR143" i="4"/>
  <c r="GR155" i="4"/>
  <c r="GR50" i="4"/>
  <c r="GR115" i="4"/>
  <c r="GR82" i="4"/>
  <c r="GR9" i="4"/>
  <c r="GR21" i="4"/>
  <c r="GR32" i="4"/>
  <c r="GR44" i="4"/>
  <c r="GR56" i="4"/>
  <c r="GR66" i="4"/>
  <c r="GR77" i="4"/>
  <c r="GR109" i="4"/>
  <c r="GR121" i="4"/>
  <c r="GR133" i="4"/>
  <c r="GR144" i="4"/>
  <c r="GR156" i="4"/>
  <c r="GR4" i="4"/>
  <c r="GR25" i="4"/>
  <c r="GR37" i="4"/>
  <c r="GR27" i="4"/>
  <c r="GR81" i="4"/>
  <c r="GR150" i="4"/>
  <c r="GR104" i="4"/>
  <c r="GR10" i="4"/>
  <c r="GR22" i="4"/>
  <c r="GR33" i="4"/>
  <c r="GR45" i="4"/>
  <c r="GR57" i="4"/>
  <c r="GR67" i="4"/>
  <c r="GR78" i="4"/>
  <c r="GR87" i="4"/>
  <c r="GR98" i="4"/>
  <c r="GR110" i="4"/>
  <c r="GR122" i="4"/>
  <c r="GR134" i="4"/>
  <c r="GR145" i="4"/>
  <c r="GR157" i="4"/>
  <c r="GR90" i="4"/>
  <c r="GR125" i="4"/>
  <c r="GR160" i="4"/>
  <c r="GR60" i="4"/>
  <c r="GR92" i="4"/>
  <c r="GR116" i="4"/>
  <c r="GR11" i="4"/>
  <c r="GR23" i="4"/>
  <c r="GR34" i="4"/>
  <c r="GR46" i="4"/>
  <c r="GR58" i="4"/>
  <c r="GR68" i="4"/>
  <c r="GR79" i="4"/>
  <c r="GR88" i="4"/>
  <c r="GR99" i="4"/>
  <c r="GR111" i="4"/>
  <c r="GR123" i="4"/>
  <c r="GR135" i="4"/>
  <c r="GR146" i="4"/>
  <c r="GR158" i="4"/>
  <c r="GR48" i="4"/>
  <c r="GR113" i="4"/>
  <c r="GR148" i="4"/>
  <c r="GR71" i="4"/>
  <c r="GR61" i="4"/>
  <c r="GR162" i="4"/>
  <c r="GR73" i="4"/>
  <c r="GR12" i="4"/>
  <c r="GR24" i="4"/>
  <c r="GR35" i="4"/>
  <c r="GR47" i="4"/>
  <c r="GR59" i="4"/>
  <c r="GR69" i="4"/>
  <c r="GR89" i="4"/>
  <c r="GR100" i="4"/>
  <c r="GR112" i="4"/>
  <c r="GR124" i="4"/>
  <c r="GR136" i="4"/>
  <c r="GR147" i="4"/>
  <c r="GR159" i="4"/>
  <c r="GR36" i="4"/>
  <c r="GR70" i="4"/>
  <c r="GR101" i="4"/>
  <c r="GR137" i="4"/>
  <c r="GR26" i="4"/>
  <c r="GR127" i="4"/>
  <c r="GR151" i="4"/>
  <c r="GR13" i="4"/>
  <c r="GR14" i="4"/>
  <c r="GR91" i="4"/>
  <c r="GR102" i="4"/>
  <c r="GR114" i="4"/>
  <c r="GR126" i="4"/>
  <c r="GR138" i="4"/>
  <c r="GR161" i="4"/>
  <c r="GR38" i="4"/>
  <c r="GR72" i="4"/>
  <c r="GR139" i="4"/>
  <c r="GR93" i="4"/>
  <c r="GR16" i="4"/>
  <c r="GR39" i="4"/>
  <c r="GR51" i="4"/>
  <c r="GR62" i="4"/>
  <c r="GR128" i="4"/>
  <c r="GR163" i="4"/>
  <c r="GR203" i="4"/>
  <c r="GR195" i="4"/>
  <c r="GR174" i="4"/>
  <c r="GR219" i="4"/>
  <c r="GR197" i="4"/>
  <c r="GR177" i="4"/>
  <c r="GR303" i="4"/>
  <c r="GR294" i="4"/>
  <c r="GR202" i="4"/>
  <c r="GR256" i="4"/>
  <c r="GR271" i="4"/>
  <c r="GR243" i="4"/>
  <c r="GR245" i="4"/>
  <c r="GR201" i="4"/>
  <c r="GR307" i="4"/>
  <c r="GR302" i="4"/>
  <c r="GR300" i="4"/>
  <c r="GR213" i="4"/>
  <c r="GR286" i="4"/>
  <c r="GR215" i="4"/>
  <c r="GR204" i="4"/>
  <c r="GR185" i="4"/>
  <c r="GR206" i="4"/>
  <c r="GR208" i="4"/>
  <c r="GR189" i="4"/>
  <c r="GR312" i="4"/>
  <c r="GR304" i="4"/>
  <c r="GR180" i="4"/>
  <c r="GR214" i="4"/>
  <c r="GR171" i="4"/>
  <c r="GR252" i="4"/>
  <c r="GR199" i="4"/>
  <c r="GR249" i="4"/>
  <c r="GR276" i="4"/>
  <c r="GR299" i="4"/>
  <c r="GR278" i="4"/>
  <c r="GR263" i="4"/>
  <c r="GR296" i="4"/>
  <c r="GR310" i="4"/>
  <c r="GR244" i="4"/>
  <c r="GR176" i="4"/>
  <c r="GR297" i="4"/>
  <c r="GR317" i="4"/>
  <c r="GR216" i="4"/>
  <c r="GR218" i="4"/>
  <c r="GR240" i="4"/>
  <c r="GR220" i="4"/>
  <c r="GR198" i="4"/>
  <c r="GR178" i="4"/>
  <c r="GR313" i="4"/>
  <c r="GR226" i="4"/>
  <c r="GR257" i="4"/>
  <c r="GR250" i="4"/>
  <c r="GR222" i="4"/>
  <c r="GR277" i="4"/>
  <c r="GR282" i="4"/>
  <c r="GR288" i="4"/>
  <c r="GR270" i="4"/>
  <c r="GR264" i="4"/>
  <c r="GR175" i="4"/>
  <c r="GR283" i="4"/>
  <c r="GR267" i="4"/>
  <c r="GR236" i="4"/>
  <c r="GR227" i="4"/>
  <c r="GR205" i="4"/>
  <c r="GR229" i="4"/>
  <c r="GR251" i="4"/>
  <c r="GR230" i="4"/>
  <c r="GR209" i="4"/>
  <c r="GR190" i="4"/>
  <c r="GR179" i="4"/>
  <c r="GR200" i="4"/>
  <c r="GR235" i="4"/>
  <c r="GR295" i="4"/>
  <c r="GR298" i="4"/>
  <c r="GR273" i="4"/>
  <c r="GR314" i="4"/>
  <c r="GR248" i="4"/>
  <c r="GR237" i="4"/>
  <c r="GR217" i="4"/>
  <c r="GR239" i="4"/>
  <c r="GR261" i="4"/>
  <c r="GR241" i="4"/>
  <c r="GR221" i="4"/>
  <c r="GR210" i="4"/>
  <c r="GR191" i="4"/>
  <c r="GR212" i="4"/>
  <c r="GR247" i="4"/>
  <c r="GR315" i="4"/>
  <c r="GR305" i="4"/>
  <c r="GR246" i="4"/>
  <c r="GR228" i="4"/>
  <c r="GR231" i="4"/>
  <c r="GR224" i="4"/>
  <c r="GR320" i="4"/>
  <c r="GR225" i="4"/>
  <c r="GR285" i="4"/>
  <c r="GR259" i="4"/>
  <c r="GR187" i="4"/>
  <c r="GR266" i="4"/>
  <c r="GR196" i="4"/>
  <c r="GR182" i="4"/>
  <c r="GR234" i="4"/>
  <c r="GR318" i="4"/>
  <c r="GR280" i="4"/>
  <c r="GR287" i="4"/>
  <c r="GR309" i="4"/>
  <c r="GR258" i="4"/>
  <c r="GR238" i="4"/>
  <c r="GR260" i="4"/>
  <c r="GR281" i="4"/>
  <c r="GR262" i="4"/>
  <c r="GR242" i="4"/>
  <c r="GR232" i="4"/>
  <c r="GR211" i="4"/>
  <c r="GR268" i="4"/>
  <c r="GR308" i="4"/>
  <c r="GR316" i="4"/>
  <c r="GR269" i="4"/>
  <c r="GR292" i="4"/>
  <c r="GR253" i="4"/>
  <c r="GR223" i="4"/>
  <c r="GR289" i="4"/>
  <c r="GR301" i="4"/>
  <c r="GR233" i="4"/>
  <c r="GR290" i="4"/>
  <c r="GR272" i="4"/>
  <c r="GR274" i="4"/>
  <c r="GR254" i="4"/>
  <c r="GR192" i="4"/>
  <c r="GR255" i="4"/>
  <c r="GR186" i="4"/>
  <c r="GR293" i="4"/>
  <c r="GR265" i="4"/>
  <c r="GR183" i="4"/>
  <c r="GR207" i="4"/>
  <c r="GR311" i="4"/>
  <c r="GR193" i="4"/>
  <c r="GR321" i="4"/>
  <c r="GR184" i="4"/>
  <c r="GR188" i="4"/>
  <c r="GR284" i="4"/>
  <c r="GR322" i="4"/>
  <c r="GR306" i="4"/>
  <c r="GR291" i="4"/>
  <c r="GR173" i="4"/>
  <c r="GR167" i="4"/>
  <c r="GR279" i="4"/>
  <c r="GR331" i="4"/>
  <c r="GR172" i="4"/>
  <c r="GR334" i="4"/>
  <c r="GR325" i="4"/>
  <c r="GR332" i="4"/>
  <c r="GR327" i="4"/>
  <c r="GR328" i="4"/>
  <c r="GN285" i="4"/>
  <c r="GN184" i="4"/>
  <c r="GP329" i="4"/>
  <c r="GP292" i="4"/>
  <c r="GP12" i="4"/>
  <c r="GP147" i="4"/>
  <c r="GP36" i="4"/>
  <c r="GP150" i="4"/>
  <c r="GP138" i="4"/>
  <c r="GP103" i="4"/>
  <c r="GP51" i="4"/>
  <c r="GP120" i="4"/>
  <c r="GP74" i="4"/>
  <c r="GP155" i="4"/>
  <c r="GP84" i="4"/>
  <c r="GP144" i="4"/>
  <c r="GP107" i="4"/>
  <c r="GP134" i="4"/>
  <c r="GP34" i="4"/>
  <c r="GP179" i="4"/>
  <c r="GP317" i="4"/>
  <c r="GP296" i="4"/>
  <c r="GP268" i="4"/>
  <c r="GP222" i="4"/>
  <c r="GP217" i="4"/>
  <c r="GP220" i="4"/>
  <c r="GP192" i="4"/>
  <c r="GP226" i="4"/>
  <c r="GP213" i="4"/>
  <c r="GP324" i="4"/>
  <c r="GP24" i="4"/>
  <c r="GP159" i="4"/>
  <c r="GP48" i="4"/>
  <c r="GP14" i="4"/>
  <c r="GP149" i="4"/>
  <c r="GP115" i="4"/>
  <c r="GP62" i="4"/>
  <c r="GP66" i="4"/>
  <c r="GP83" i="4"/>
  <c r="GP77" i="4"/>
  <c r="GP95" i="4"/>
  <c r="GP87" i="4"/>
  <c r="GP119" i="4"/>
  <c r="GP58" i="4"/>
  <c r="GP46" i="4"/>
  <c r="GP305" i="4"/>
  <c r="GP275" i="4"/>
  <c r="GP248" i="4"/>
  <c r="GP199" i="4"/>
  <c r="GP212" i="4"/>
  <c r="GP206" i="4"/>
  <c r="GP289" i="4"/>
  <c r="GP253" i="4"/>
  <c r="GP214" i="4"/>
  <c r="GP255" i="4"/>
  <c r="GP258" i="4"/>
  <c r="GP235" i="4"/>
  <c r="GP169" i="4"/>
  <c r="GP257" i="4"/>
  <c r="GP168" i="4"/>
  <c r="GP35" i="4"/>
  <c r="GP127" i="4"/>
  <c r="GP26" i="4"/>
  <c r="GP161" i="4"/>
  <c r="GP139" i="4"/>
  <c r="GP73" i="4"/>
  <c r="GP57" i="4"/>
  <c r="GP94" i="4"/>
  <c r="GP10" i="4"/>
  <c r="GP106" i="4"/>
  <c r="GP111" i="4"/>
  <c r="GP131" i="4"/>
  <c r="GP79" i="4"/>
  <c r="GP68" i="4"/>
  <c r="GP286" i="4"/>
  <c r="GP178" i="4"/>
  <c r="GP204" i="4"/>
  <c r="GP175" i="4"/>
  <c r="GP180" i="4"/>
  <c r="GP187" i="4"/>
  <c r="GP265" i="4"/>
  <c r="GP243" i="4"/>
  <c r="GP167" i="4"/>
  <c r="GP297" i="4"/>
  <c r="GP269" i="4"/>
  <c r="GP177" i="4"/>
  <c r="GP277" i="4"/>
  <c r="GP171" i="4"/>
  <c r="GP236" i="4"/>
  <c r="GP47" i="4"/>
  <c r="GP76" i="4"/>
  <c r="GP70" i="4"/>
  <c r="GP37" i="4"/>
  <c r="GP162" i="4"/>
  <c r="GP82" i="4"/>
  <c r="GP98" i="4"/>
  <c r="GP105" i="4"/>
  <c r="GP78" i="4"/>
  <c r="GP118" i="4"/>
  <c r="GP7" i="4"/>
  <c r="GP142" i="4"/>
  <c r="GP158" i="4"/>
  <c r="GP88" i="4"/>
  <c r="GP267" i="4"/>
  <c r="GP318" i="4"/>
  <c r="GP282" i="4"/>
  <c r="GP311" i="4"/>
  <c r="GP301" i="4"/>
  <c r="GP208" i="4"/>
  <c r="GP223" i="4"/>
  <c r="GP240" i="4"/>
  <c r="GP249" i="4"/>
  <c r="GP306" i="4"/>
  <c r="GP293" i="4"/>
  <c r="GP331" i="4"/>
  <c r="GP183" i="4"/>
  <c r="GP321" i="4"/>
  <c r="GP59" i="4"/>
  <c r="GP32" i="4"/>
  <c r="GP49" i="4"/>
  <c r="GP15" i="4"/>
  <c r="GP109" i="4"/>
  <c r="GP93" i="4"/>
  <c r="GP157" i="4"/>
  <c r="GP117" i="4"/>
  <c r="GP146" i="4"/>
  <c r="GP130" i="4"/>
  <c r="GP19" i="4"/>
  <c r="GP154" i="4"/>
  <c r="GP21" i="4"/>
  <c r="GP86" i="4"/>
  <c r="GP195" i="4"/>
  <c r="GP229" i="4"/>
  <c r="GP291" i="4"/>
  <c r="GP182" i="4"/>
  <c r="GP260" i="4"/>
  <c r="GP242" i="4"/>
  <c r="GP302" i="4"/>
  <c r="GP200" i="4"/>
  <c r="GP247" i="4"/>
  <c r="GP239" i="4"/>
  <c r="GP259" i="4"/>
  <c r="GP278" i="4"/>
  <c r="GP315" i="4"/>
  <c r="GP328" i="4"/>
  <c r="GP69" i="4"/>
  <c r="GP90" i="4"/>
  <c r="GP60" i="4"/>
  <c r="GP27" i="4"/>
  <c r="GP22" i="4"/>
  <c r="GP104" i="4"/>
  <c r="GP99" i="4"/>
  <c r="GP129" i="4"/>
  <c r="GP6" i="4"/>
  <c r="GP141" i="4"/>
  <c r="GP30" i="4"/>
  <c r="GP165" i="4"/>
  <c r="GP56" i="4"/>
  <c r="GP166" i="4"/>
  <c r="GP203" i="4"/>
  <c r="GP186" i="4"/>
  <c r="GP262" i="4"/>
  <c r="GP274" i="4"/>
  <c r="GP216" i="4"/>
  <c r="GP225" i="4"/>
  <c r="GP232" i="4"/>
  <c r="GP181" i="4"/>
  <c r="GP271" i="4"/>
  <c r="GP219" i="4"/>
  <c r="GP250" i="4"/>
  <c r="GP303" i="4"/>
  <c r="GP170" i="4"/>
  <c r="GP287" i="4"/>
  <c r="GP133" i="4"/>
  <c r="GP101" i="4"/>
  <c r="GP71" i="4"/>
  <c r="GP38" i="4"/>
  <c r="GP67" i="4"/>
  <c r="GP116" i="4"/>
  <c r="GP5" i="4"/>
  <c r="GP18" i="4"/>
  <c r="GP153" i="4"/>
  <c r="GP42" i="4"/>
  <c r="GP8" i="4"/>
  <c r="GP121" i="4"/>
  <c r="GP185" i="4"/>
  <c r="GP173" i="4"/>
  <c r="GP309" i="4"/>
  <c r="GP245" i="4"/>
  <c r="GP320" i="4"/>
  <c r="GP279" i="4"/>
  <c r="GP211" i="4"/>
  <c r="GP246" i="4"/>
  <c r="GP202" i="4"/>
  <c r="GP294" i="4"/>
  <c r="GP241" i="4"/>
  <c r="GP307" i="4"/>
  <c r="GP323" i="4"/>
  <c r="GP215" i="4"/>
  <c r="GP89" i="4"/>
  <c r="GP33" i="4"/>
  <c r="GP113" i="4"/>
  <c r="GP80" i="4"/>
  <c r="GP50" i="4"/>
  <c r="GP145" i="4"/>
  <c r="GP128" i="4"/>
  <c r="GP17" i="4"/>
  <c r="GP152" i="4"/>
  <c r="GP29" i="4"/>
  <c r="GP164" i="4"/>
  <c r="GP54" i="4"/>
  <c r="GP43" i="4"/>
  <c r="GP308" i="4"/>
  <c r="GP270" i="4"/>
  <c r="GP188" i="4"/>
  <c r="GP281" i="4"/>
  <c r="GP205" i="4"/>
  <c r="GP276" i="4"/>
  <c r="GP198" i="4"/>
  <c r="GP237" i="4"/>
  <c r="GP256" i="4"/>
  <c r="GP272" i="4"/>
  <c r="GP252" i="4"/>
  <c r="GP304" i="4"/>
  <c r="GP327" i="4"/>
  <c r="GP334" i="4"/>
  <c r="GP100" i="4"/>
  <c r="GP122" i="4"/>
  <c r="GP125" i="4"/>
  <c r="GP91" i="4"/>
  <c r="GP61" i="4"/>
  <c r="GP135" i="4"/>
  <c r="GP140" i="4"/>
  <c r="GP28" i="4"/>
  <c r="GP41" i="4"/>
  <c r="GP55" i="4"/>
  <c r="GP97" i="4"/>
  <c r="GP45" i="4"/>
  <c r="GP300" i="4"/>
  <c r="GP284" i="4"/>
  <c r="GP221" i="4"/>
  <c r="GP251" i="4"/>
  <c r="GP234" i="4"/>
  <c r="GP238" i="4"/>
  <c r="GP261" i="4"/>
  <c r="GP264" i="4"/>
  <c r="GP283" i="4"/>
  <c r="GP299" i="4"/>
  <c r="GP172" i="4"/>
  <c r="GP310" i="4"/>
  <c r="GP112" i="4"/>
  <c r="GP123" i="4"/>
  <c r="GP137" i="4"/>
  <c r="GP102" i="4"/>
  <c r="GP72" i="4"/>
  <c r="GP16" i="4"/>
  <c r="GP151" i="4"/>
  <c r="GP40" i="4"/>
  <c r="GP31" i="4"/>
  <c r="GP53" i="4"/>
  <c r="GP132" i="4"/>
  <c r="GP75" i="4"/>
  <c r="GP143" i="4"/>
  <c r="GP110" i="4"/>
  <c r="GP176" i="4"/>
  <c r="GP280" i="4"/>
  <c r="GP210" i="4"/>
  <c r="GP189" i="4"/>
  <c r="GP193" i="4"/>
  <c r="GP228" i="4"/>
  <c r="GP207" i="4"/>
  <c r="GP244" i="4"/>
  <c r="GP273" i="4"/>
  <c r="GP288" i="4"/>
  <c r="GP325" i="4"/>
  <c r="GP124" i="4"/>
  <c r="GP13" i="4"/>
  <c r="GP148" i="4"/>
  <c r="GP114" i="4"/>
  <c r="GP81" i="4"/>
  <c r="GP163" i="4"/>
  <c r="GP52" i="4"/>
  <c r="GP65" i="4"/>
  <c r="GP64" i="4"/>
  <c r="GP9" i="4"/>
  <c r="GP85" i="4"/>
  <c r="GP44" i="4"/>
  <c r="GP11" i="4"/>
  <c r="GP209" i="4"/>
  <c r="GP285" i="4"/>
  <c r="GP191" i="4"/>
  <c r="GP290" i="4"/>
  <c r="GP197" i="4"/>
  <c r="GP319" i="4"/>
  <c r="GP266" i="4"/>
  <c r="GP227" i="4"/>
  <c r="GP218" i="4"/>
  <c r="GP263" i="4"/>
  <c r="GP313" i="4"/>
  <c r="GP224" i="4"/>
  <c r="GP254" i="4"/>
  <c r="GP330" i="4"/>
  <c r="GP332" i="4"/>
  <c r="GP333" i="4"/>
  <c r="GP136" i="4"/>
  <c r="GP25" i="4"/>
  <c r="GP160" i="4"/>
  <c r="GP126" i="4"/>
  <c r="GP92" i="4"/>
  <c r="GP39" i="4"/>
  <c r="GP20" i="4"/>
  <c r="GP63" i="4"/>
  <c r="GP108" i="4"/>
  <c r="GP96" i="4"/>
  <c r="GP156" i="4"/>
  <c r="GP23" i="4"/>
  <c r="GP190" i="4"/>
  <c r="GP298" i="4"/>
  <c r="GP314" i="4"/>
  <c r="GP312" i="4"/>
  <c r="GP231" i="4"/>
  <c r="GP230" i="4"/>
  <c r="GP295" i="4"/>
  <c r="GP316" i="4"/>
  <c r="GP196" i="4"/>
  <c r="GP233" i="4"/>
  <c r="GP184" i="4"/>
  <c r="GP201" i="4"/>
  <c r="GN269" i="4"/>
  <c r="U299" i="4"/>
  <c r="EG307" i="4"/>
  <c r="DL294" i="4"/>
  <c r="AS318" i="4"/>
  <c r="CE312" i="4"/>
  <c r="BV301" i="4"/>
  <c r="W313" i="4"/>
  <c r="CI304" i="4"/>
  <c r="BV304" i="4"/>
  <c r="DL301" i="4"/>
  <c r="DK305" i="4"/>
  <c r="CJ305" i="4"/>
  <c r="CI301" i="4"/>
  <c r="DK293" i="4"/>
  <c r="AZ291" i="4"/>
  <c r="BX315" i="4"/>
  <c r="DE320" i="4"/>
  <c r="DL303" i="4"/>
  <c r="CJ304" i="4"/>
  <c r="BU300" i="4"/>
  <c r="DL300" i="4"/>
  <c r="DK302" i="4"/>
  <c r="DK301" i="4"/>
  <c r="BS292" i="4"/>
  <c r="CE298" i="4"/>
  <c r="CC315" i="4"/>
  <c r="CG322" i="4"/>
  <c r="O322" i="4"/>
  <c r="Y292" i="4"/>
  <c r="CI300" i="4"/>
  <c r="DK298" i="4"/>
  <c r="DL293" i="4"/>
  <c r="BS315" i="4"/>
  <c r="AO322" i="4"/>
  <c r="Y317" i="4"/>
  <c r="S322" i="4"/>
  <c r="Y99" i="4"/>
  <c r="DK300" i="4"/>
  <c r="CJ293" i="4"/>
  <c r="DK294" i="4"/>
  <c r="AM294" i="4"/>
  <c r="EJ294" i="4" s="1"/>
  <c r="BN321" i="4"/>
  <c r="BU321" i="4"/>
  <c r="Y92" i="4"/>
  <c r="CJ290" i="4"/>
  <c r="BU297" i="4"/>
  <c r="DK304" i="4"/>
  <c r="DL298" i="4"/>
  <c r="AO296" i="4"/>
  <c r="BG293" i="4"/>
  <c r="DP296" i="4"/>
  <c r="DL305" i="4"/>
  <c r="CI305" i="4"/>
  <c r="DL295" i="4"/>
  <c r="CJ298" i="4"/>
  <c r="AA317" i="4"/>
  <c r="ED320" i="4"/>
  <c r="CI293" i="4"/>
  <c r="DK292" i="4"/>
  <c r="U314" i="4"/>
  <c r="BJ317" i="4"/>
  <c r="BQ326" i="4"/>
  <c r="Q316" i="4"/>
  <c r="CJ303" i="4"/>
  <c r="BV300" i="4"/>
  <c r="CJ302" i="4"/>
  <c r="DL292" i="4"/>
  <c r="CI298" i="4"/>
  <c r="DS295" i="4"/>
  <c r="DI315" i="4"/>
  <c r="CI302" i="4"/>
  <c r="BZ321" i="4"/>
  <c r="DL291" i="4"/>
  <c r="DK291" i="4"/>
  <c r="DK317" i="4"/>
  <c r="AT291" i="4"/>
  <c r="CN312" i="4"/>
  <c r="DL302" i="4"/>
  <c r="CJ294" i="4"/>
  <c r="DK295" i="4"/>
  <c r="CI295" i="4"/>
  <c r="AX322" i="4"/>
  <c r="CI291" i="4"/>
  <c r="CG290" i="4"/>
  <c r="O298" i="4"/>
  <c r="S298" i="4"/>
  <c r="BS301" i="4"/>
  <c r="AX298" i="4"/>
  <c r="BS295" i="4"/>
  <c r="DE302" i="4"/>
  <c r="Y297" i="4"/>
  <c r="Y294" i="4"/>
  <c r="BC307" i="4"/>
  <c r="BC306" i="4"/>
  <c r="BC310" i="4"/>
  <c r="BC323" i="4"/>
  <c r="BC334" i="4"/>
  <c r="BC309" i="4"/>
  <c r="BC332" i="4"/>
  <c r="BC327" i="4"/>
  <c r="BC324" i="4"/>
  <c r="BC312" i="4"/>
  <c r="BC333" i="4"/>
  <c r="BC330" i="4"/>
  <c r="BC308" i="4"/>
  <c r="BC313" i="4"/>
  <c r="BC328" i="4"/>
  <c r="BC325" i="4"/>
  <c r="BC311" i="4"/>
  <c r="BC316" i="4"/>
  <c r="BC329" i="4"/>
  <c r="BC326" i="4"/>
  <c r="BC320" i="4"/>
  <c r="BC331" i="4"/>
  <c r="BC319" i="4"/>
  <c r="BC321" i="4"/>
  <c r="BC322" i="4"/>
  <c r="DR308" i="4"/>
  <c r="DS306" i="4"/>
  <c r="DR333" i="4"/>
  <c r="DS333" i="4"/>
  <c r="DR306" i="4"/>
  <c r="DS329" i="4"/>
  <c r="DS325" i="4"/>
  <c r="DS309" i="4"/>
  <c r="DS334" i="4"/>
  <c r="DR325" i="4"/>
  <c r="DR329" i="4"/>
  <c r="DR309" i="4"/>
  <c r="DR310" i="4"/>
  <c r="DS331" i="4"/>
  <c r="DS308" i="4"/>
  <c r="DS332" i="4"/>
  <c r="DR331" i="4"/>
  <c r="DS326" i="4"/>
  <c r="DR330" i="4"/>
  <c r="DR326" i="4"/>
  <c r="DR318" i="4"/>
  <c r="DR317" i="4"/>
  <c r="DR320" i="4"/>
  <c r="DS330" i="4"/>
  <c r="DR328" i="4"/>
  <c r="DS319" i="4"/>
  <c r="DS328" i="4"/>
  <c r="DS323" i="4"/>
  <c r="DR319" i="4"/>
  <c r="DS320" i="4"/>
  <c r="DS324" i="4"/>
  <c r="DR323" i="4"/>
  <c r="DS315" i="4"/>
  <c r="DR324" i="4"/>
  <c r="DS310" i="4"/>
  <c r="DS327" i="4"/>
  <c r="DR334" i="4"/>
  <c r="DR332" i="4"/>
  <c r="DR327" i="4"/>
  <c r="DS314" i="4"/>
  <c r="CB307" i="4"/>
  <c r="BO307" i="4"/>
  <c r="CJ311" i="4"/>
  <c r="AM311" i="4"/>
  <c r="EG311" i="4"/>
  <c r="CQ313" i="4"/>
  <c r="BA316" i="4"/>
  <c r="BH316" i="4"/>
  <c r="CC316" i="4"/>
  <c r="DD321" i="4"/>
  <c r="CI321" i="4"/>
  <c r="Y320" i="4"/>
  <c r="AT315" i="4"/>
  <c r="W320" i="4"/>
  <c r="BU317" i="4"/>
  <c r="BJ318" i="4"/>
  <c r="AS322" i="4"/>
  <c r="Y312" i="4"/>
  <c r="AO317" i="4"/>
  <c r="BU320" i="4"/>
  <c r="CP322" i="4"/>
  <c r="CJ315" i="4"/>
  <c r="DD322" i="4"/>
  <c r="DR314" i="4"/>
  <c r="CC320" i="4"/>
  <c r="O312" i="4"/>
  <c r="BX312" i="4"/>
  <c r="DY314" i="4"/>
  <c r="BC314" i="4"/>
  <c r="DR322" i="4"/>
  <c r="CQ314" i="4"/>
  <c r="BA312" i="4"/>
  <c r="BS304" i="4"/>
  <c r="DZ298" i="4"/>
  <c r="DB311" i="4"/>
  <c r="DB333" i="4"/>
  <c r="DB329" i="4"/>
  <c r="DB323" i="4"/>
  <c r="DB334" i="4"/>
  <c r="DB306" i="4"/>
  <c r="DB328" i="4"/>
  <c r="DB308" i="4"/>
  <c r="DB326" i="4"/>
  <c r="DB325" i="4"/>
  <c r="DB310" i="4"/>
  <c r="DB327" i="4"/>
  <c r="DB332" i="4"/>
  <c r="DB307" i="4"/>
  <c r="DB309" i="4"/>
  <c r="DB313" i="4"/>
  <c r="DB324" i="4"/>
  <c r="DB331" i="4"/>
  <c r="DB321" i="4"/>
  <c r="DB319" i="4"/>
  <c r="DB330" i="4"/>
  <c r="DB312" i="4"/>
  <c r="DB316" i="4"/>
  <c r="BU301" i="4"/>
  <c r="AA323" i="4"/>
  <c r="AA310" i="4"/>
  <c r="AA324" i="4"/>
  <c r="AA333" i="4"/>
  <c r="AA332" i="4"/>
  <c r="AA327" i="4"/>
  <c r="AA326" i="4"/>
  <c r="AA328" i="4"/>
  <c r="AA334" i="4"/>
  <c r="AA308" i="4"/>
  <c r="AA307" i="4"/>
  <c r="AA313" i="4"/>
  <c r="AA325" i="4"/>
  <c r="AA311" i="4"/>
  <c r="AA309" i="4"/>
  <c r="AA321" i="4"/>
  <c r="AA330" i="4"/>
  <c r="AA331" i="4"/>
  <c r="AA320" i="4"/>
  <c r="AA318" i="4"/>
  <c r="AA319" i="4"/>
  <c r="CC307" i="4"/>
  <c r="BN307" i="4"/>
  <c r="BG311" i="4"/>
  <c r="DR311" i="4"/>
  <c r="DK313" i="4"/>
  <c r="BA313" i="4"/>
  <c r="CI313" i="4"/>
  <c r="DK316" i="4"/>
  <c r="BU316" i="4"/>
  <c r="DE321" i="4"/>
  <c r="CJ321" i="4"/>
  <c r="ED318" i="4"/>
  <c r="DZ315" i="4"/>
  <c r="S318" i="4"/>
  <c r="CI312" i="4"/>
  <c r="Y314" i="4"/>
  <c r="EG312" i="4"/>
  <c r="Y313" i="4"/>
  <c r="AM315" i="4"/>
  <c r="CN320" i="4"/>
  <c r="BU314" i="4"/>
  <c r="U322" i="4"/>
  <c r="BH320" i="4"/>
  <c r="CB314" i="4"/>
  <c r="AE322" i="4"/>
  <c r="BS320" i="4"/>
  <c r="AF314" i="4"/>
  <c r="AO314" i="4"/>
  <c r="CJ300" i="4"/>
  <c r="DK329" i="4"/>
  <c r="DL331" i="4"/>
  <c r="DL306" i="4"/>
  <c r="DL310" i="4"/>
  <c r="DK325" i="4"/>
  <c r="DK306" i="4"/>
  <c r="DK308" i="4"/>
  <c r="DK310" i="4"/>
  <c r="DL334" i="4"/>
  <c r="DK334" i="4"/>
  <c r="DL309" i="4"/>
  <c r="DK309" i="4"/>
  <c r="DK333" i="4"/>
  <c r="DL333" i="4"/>
  <c r="DL325" i="4"/>
  <c r="DL329" i="4"/>
  <c r="DL308" i="4"/>
  <c r="DL330" i="4"/>
  <c r="DK322" i="4"/>
  <c r="DK332" i="4"/>
  <c r="DK330" i="4"/>
  <c r="DL323" i="4"/>
  <c r="DL332" i="4"/>
  <c r="DK331" i="4"/>
  <c r="DK323" i="4"/>
  <c r="DK328" i="4"/>
  <c r="DL327" i="4"/>
  <c r="DK319" i="4"/>
  <c r="DL328" i="4"/>
  <c r="DK327" i="4"/>
  <c r="DL326" i="4"/>
  <c r="DL324" i="4"/>
  <c r="DK326" i="4"/>
  <c r="DK324" i="4"/>
  <c r="DL319" i="4"/>
  <c r="DI325" i="4"/>
  <c r="DI323" i="4"/>
  <c r="DI329" i="4"/>
  <c r="DI306" i="4"/>
  <c r="DI333" i="4"/>
  <c r="DI328" i="4"/>
  <c r="DI310" i="4"/>
  <c r="DI327" i="4"/>
  <c r="DI326" i="4"/>
  <c r="DI324" i="4"/>
  <c r="DI308" i="4"/>
  <c r="DI307" i="4"/>
  <c r="DI334" i="4"/>
  <c r="DI313" i="4"/>
  <c r="DI330" i="4"/>
  <c r="DI309" i="4"/>
  <c r="DI332" i="4"/>
  <c r="DI316" i="4"/>
  <c r="DI311" i="4"/>
  <c r="DI321" i="4"/>
  <c r="DI319" i="4"/>
  <c r="DI331" i="4"/>
  <c r="U326" i="4"/>
  <c r="U327" i="4"/>
  <c r="U334" i="4"/>
  <c r="U325" i="4"/>
  <c r="U310" i="4"/>
  <c r="U323" i="4"/>
  <c r="U324" i="4"/>
  <c r="U331" i="4"/>
  <c r="U328" i="4"/>
  <c r="U333" i="4"/>
  <c r="U311" i="4"/>
  <c r="U309" i="4"/>
  <c r="U308" i="4"/>
  <c r="U307" i="4"/>
  <c r="U332" i="4"/>
  <c r="U320" i="4"/>
  <c r="U319" i="4"/>
  <c r="U330" i="4"/>
  <c r="U313" i="4"/>
  <c r="EG329" i="4"/>
  <c r="ED332" i="4"/>
  <c r="ED307" i="4"/>
  <c r="ED306" i="4"/>
  <c r="ED328" i="4"/>
  <c r="EG325" i="4"/>
  <c r="ED329" i="4"/>
  <c r="ED323" i="4"/>
  <c r="EG331" i="4"/>
  <c r="EG310" i="4"/>
  <c r="ED309" i="4"/>
  <c r="ED334" i="4"/>
  <c r="EG308" i="4"/>
  <c r="ED308" i="4"/>
  <c r="ED324" i="4"/>
  <c r="ED326" i="4"/>
  <c r="ED325" i="4"/>
  <c r="ED327" i="4"/>
  <c r="EG334" i="4"/>
  <c r="ED333" i="4"/>
  <c r="ED330" i="4"/>
  <c r="EG330" i="4"/>
  <c r="EG333" i="4"/>
  <c r="EG306" i="4"/>
  <c r="ED313" i="4"/>
  <c r="ED311" i="4"/>
  <c r="ED316" i="4"/>
  <c r="EG309" i="4"/>
  <c r="ED310" i="4"/>
  <c r="ED331" i="4"/>
  <c r="EG323" i="4"/>
  <c r="EG319" i="4"/>
  <c r="ED314" i="4"/>
  <c r="EG326" i="4"/>
  <c r="EG324" i="4"/>
  <c r="ED319" i="4"/>
  <c r="EG314" i="4"/>
  <c r="EG332" i="4"/>
  <c r="EG320" i="4"/>
  <c r="EG327" i="4"/>
  <c r="ED321" i="4"/>
  <c r="EG328" i="4"/>
  <c r="BO294" i="4"/>
  <c r="AS307" i="4"/>
  <c r="BG307" i="4"/>
  <c r="BH311" i="4"/>
  <c r="DS311" i="4"/>
  <c r="DL313" i="4"/>
  <c r="AZ313" i="4"/>
  <c r="CJ313" i="4"/>
  <c r="EG316" i="4"/>
  <c r="DL316" i="4"/>
  <c r="BV316" i="4"/>
  <c r="AZ321" i="4"/>
  <c r="AM314" i="4"/>
  <c r="DK312" i="4"/>
  <c r="AM312" i="4"/>
  <c r="AZ317" i="4"/>
  <c r="S312" i="4"/>
  <c r="DB315" i="4"/>
  <c r="DL314" i="4"/>
  <c r="DL312" i="4"/>
  <c r="AA312" i="4"/>
  <c r="DY320" i="4"/>
  <c r="DY322" i="4"/>
  <c r="BV314" i="4"/>
  <c r="AZ320" i="4"/>
  <c r="AS314" i="4"/>
  <c r="DS322" i="4"/>
  <c r="CQ318" i="4"/>
  <c r="CE322" i="4"/>
  <c r="DD312" i="4"/>
  <c r="Y321" i="4"/>
  <c r="O314" i="4"/>
  <c r="BO314" i="4"/>
  <c r="BO312" i="4"/>
  <c r="O320" i="4"/>
  <c r="AX309" i="4"/>
  <c r="AX326" i="4"/>
  <c r="AX332" i="4"/>
  <c r="AX307" i="4"/>
  <c r="AX328" i="4"/>
  <c r="AX323" i="4"/>
  <c r="AX329" i="4"/>
  <c r="AX325" i="4"/>
  <c r="AX334" i="4"/>
  <c r="AX324" i="4"/>
  <c r="AX306" i="4"/>
  <c r="AX308" i="4"/>
  <c r="AX313" i="4"/>
  <c r="AX333" i="4"/>
  <c r="AX311" i="4"/>
  <c r="AX327" i="4"/>
  <c r="AX310" i="4"/>
  <c r="AX316" i="4"/>
  <c r="AX331" i="4"/>
  <c r="AX330" i="4"/>
  <c r="AX321" i="4"/>
  <c r="AX319" i="4"/>
  <c r="AX314" i="4"/>
  <c r="DP290" i="4"/>
  <c r="DP308" i="4"/>
  <c r="DP311" i="4"/>
  <c r="DP307" i="4"/>
  <c r="DP327" i="4"/>
  <c r="DP329" i="4"/>
  <c r="DP332" i="4"/>
  <c r="DP328" i="4"/>
  <c r="DP306" i="4"/>
  <c r="DP324" i="4"/>
  <c r="DP325" i="4"/>
  <c r="DP309" i="4"/>
  <c r="DP323" i="4"/>
  <c r="DP334" i="4"/>
  <c r="DP310" i="4"/>
  <c r="DP333" i="4"/>
  <c r="DP326" i="4"/>
  <c r="DP313" i="4"/>
  <c r="DP319" i="4"/>
  <c r="DP321" i="4"/>
  <c r="DP330" i="4"/>
  <c r="DP316" i="4"/>
  <c r="DP331" i="4"/>
  <c r="BV307" i="4"/>
  <c r="AT307" i="4"/>
  <c r="BH307" i="4"/>
  <c r="AS311" i="4"/>
  <c r="AE311" i="4"/>
  <c r="CB311" i="4"/>
  <c r="AL313" i="4"/>
  <c r="BH313" i="4"/>
  <c r="AS316" i="4"/>
  <c r="DD316" i="4"/>
  <c r="BN316" i="4"/>
  <c r="BA321" i="4"/>
  <c r="S320" i="4"/>
  <c r="CJ314" i="4"/>
  <c r="BG312" i="4"/>
  <c r="AO315" i="4"/>
  <c r="BV315" i="4"/>
  <c r="Y315" i="4"/>
  <c r="AX318" i="4"/>
  <c r="BV320" i="4"/>
  <c r="BH312" i="4"/>
  <c r="O315" i="4"/>
  <c r="BG318" i="4"/>
  <c r="DP312" i="4"/>
  <c r="ED312" i="4"/>
  <c r="AT314" i="4"/>
  <c r="DD320" i="4"/>
  <c r="CQ322" i="4"/>
  <c r="BC317" i="4"/>
  <c r="BO322" i="4"/>
  <c r="CB321" i="4"/>
  <c r="U316" i="4"/>
  <c r="AS320" i="4"/>
  <c r="BX314" i="4"/>
  <c r="FU62" i="4"/>
  <c r="BS293" i="4"/>
  <c r="BS298" i="4"/>
  <c r="BH294" i="4"/>
  <c r="AL333" i="4"/>
  <c r="AM333" i="4"/>
  <c r="EJ333" i="4" s="1"/>
  <c r="AL310" i="4"/>
  <c r="AL334" i="4"/>
  <c r="AM309" i="4"/>
  <c r="AL312" i="4"/>
  <c r="AL309" i="4"/>
  <c r="AM325" i="4"/>
  <c r="EJ325" i="4" s="1"/>
  <c r="AL329" i="4"/>
  <c r="AL330" i="4"/>
  <c r="AM308" i="4"/>
  <c r="AL325" i="4"/>
  <c r="AM329" i="4"/>
  <c r="EJ329" i="4" s="1"/>
  <c r="AM306" i="4"/>
  <c r="AL308" i="4"/>
  <c r="AM331" i="4"/>
  <c r="EJ331" i="4" s="1"/>
  <c r="AM310" i="4"/>
  <c r="AL306" i="4"/>
  <c r="AM334" i="4"/>
  <c r="EJ334" i="4" s="1"/>
  <c r="AL320" i="4"/>
  <c r="AM326" i="4"/>
  <c r="EJ326" i="4" s="1"/>
  <c r="AL326" i="4"/>
  <c r="AM328" i="4"/>
  <c r="EJ328" i="4" s="1"/>
  <c r="AL328" i="4"/>
  <c r="AL322" i="4"/>
  <c r="AM323" i="4"/>
  <c r="EJ323" i="4" s="1"/>
  <c r="AM320" i="4"/>
  <c r="AL331" i="4"/>
  <c r="AM327" i="4"/>
  <c r="EJ327" i="4" s="1"/>
  <c r="AL323" i="4"/>
  <c r="AM332" i="4"/>
  <c r="EJ332" i="4" s="1"/>
  <c r="AL327" i="4"/>
  <c r="AM319" i="4"/>
  <c r="AL332" i="4"/>
  <c r="AM324" i="4"/>
  <c r="EJ324" i="4" s="1"/>
  <c r="AM330" i="4"/>
  <c r="EJ330" i="4" s="1"/>
  <c r="AL324" i="4"/>
  <c r="AL319" i="4"/>
  <c r="BZ333" i="4"/>
  <c r="BZ327" i="4"/>
  <c r="BZ332" i="4"/>
  <c r="BZ324" i="4"/>
  <c r="BZ323" i="4"/>
  <c r="BZ310" i="4"/>
  <c r="BZ306" i="4"/>
  <c r="BZ309" i="4"/>
  <c r="BZ326" i="4"/>
  <c r="BZ311" i="4"/>
  <c r="BZ308" i="4"/>
  <c r="BZ325" i="4"/>
  <c r="BZ307" i="4"/>
  <c r="BZ329" i="4"/>
  <c r="BZ328" i="4"/>
  <c r="BZ319" i="4"/>
  <c r="BZ330" i="4"/>
  <c r="BZ331" i="4"/>
  <c r="BJ306" i="4"/>
  <c r="BJ323" i="4"/>
  <c r="BJ313" i="4"/>
  <c r="BJ327" i="4"/>
  <c r="BJ333" i="4"/>
  <c r="BJ311" i="4"/>
  <c r="BJ307" i="4"/>
  <c r="BJ329" i="4"/>
  <c r="BJ326" i="4"/>
  <c r="BJ328" i="4"/>
  <c r="BJ310" i="4"/>
  <c r="BJ324" i="4"/>
  <c r="BJ325" i="4"/>
  <c r="BJ334" i="4"/>
  <c r="BJ308" i="4"/>
  <c r="BJ332" i="4"/>
  <c r="BJ309" i="4"/>
  <c r="BJ321" i="4"/>
  <c r="BJ319" i="4"/>
  <c r="BJ316" i="4"/>
  <c r="BJ330" i="4"/>
  <c r="BJ331" i="4"/>
  <c r="AE292" i="4"/>
  <c r="AF333" i="4"/>
  <c r="AF308" i="4"/>
  <c r="AF330" i="4"/>
  <c r="AE306" i="4"/>
  <c r="AF334" i="4"/>
  <c r="AF310" i="4"/>
  <c r="AE308" i="4"/>
  <c r="AE309" i="4"/>
  <c r="AE334" i="4"/>
  <c r="AE310" i="4"/>
  <c r="AF329" i="4"/>
  <c r="AF309" i="4"/>
  <c r="AE329" i="4"/>
  <c r="AE325" i="4"/>
  <c r="AF325" i="4"/>
  <c r="AE333" i="4"/>
  <c r="AF332" i="4"/>
  <c r="AF328" i="4"/>
  <c r="AE328" i="4"/>
  <c r="AF331" i="4"/>
  <c r="AE323" i="4"/>
  <c r="AF319" i="4"/>
  <c r="AE318" i="4"/>
  <c r="AE331" i="4"/>
  <c r="AE327" i="4"/>
  <c r="AF326" i="4"/>
  <c r="AF323" i="4"/>
  <c r="AF320" i="4"/>
  <c r="AF322" i="4"/>
  <c r="AF327" i="4"/>
  <c r="AE326" i="4"/>
  <c r="AE319" i="4"/>
  <c r="AF315" i="4"/>
  <c r="AE330" i="4"/>
  <c r="AF324" i="4"/>
  <c r="AE324" i="4"/>
  <c r="AE315" i="4"/>
  <c r="AE332" i="4"/>
  <c r="BS290" i="4"/>
  <c r="CI307" i="4"/>
  <c r="DK307" i="4"/>
  <c r="AF307" i="4"/>
  <c r="AT311" i="4"/>
  <c r="AF311" i="4"/>
  <c r="CC311" i="4"/>
  <c r="AM313" i="4"/>
  <c r="EG313" i="4"/>
  <c r="BG313" i="4"/>
  <c r="AT316" i="4"/>
  <c r="DE316" i="4"/>
  <c r="BO316" i="4"/>
  <c r="AS321" i="4"/>
  <c r="AT312" i="4"/>
  <c r="DI320" i="4"/>
  <c r="AS315" i="4"/>
  <c r="AS312" i="4"/>
  <c r="BZ313" i="4"/>
  <c r="Y318" i="4"/>
  <c r="U312" i="4"/>
  <c r="CC318" i="4"/>
  <c r="CE321" i="4"/>
  <c r="W312" i="4"/>
  <c r="CJ318" i="4"/>
  <c r="BJ322" i="4"/>
  <c r="BG320" i="4"/>
  <c r="AX312" i="4"/>
  <c r="BS314" i="4"/>
  <c r="BJ314" i="4"/>
  <c r="AF318" i="4"/>
  <c r="AA316" i="4"/>
  <c r="AE317" i="4"/>
  <c r="Q297" i="4"/>
  <c r="Q333" i="4"/>
  <c r="Q306" i="4"/>
  <c r="Q325" i="4"/>
  <c r="Q310" i="4"/>
  <c r="Q308" i="4"/>
  <c r="Q329" i="4"/>
  <c r="Q309" i="4"/>
  <c r="Q324" i="4"/>
  <c r="Q323" i="4"/>
  <c r="Q307" i="4"/>
  <c r="Q326" i="4"/>
  <c r="Q327" i="4"/>
  <c r="Q328" i="4"/>
  <c r="Q332" i="4"/>
  <c r="Q311" i="4"/>
  <c r="Q319" i="4"/>
  <c r="Q312" i="4"/>
  <c r="Q331" i="4"/>
  <c r="Q330" i="4"/>
  <c r="Q322" i="4"/>
  <c r="BG295" i="4"/>
  <c r="DZ294" i="4"/>
  <c r="BX295" i="4"/>
  <c r="AQ313" i="4"/>
  <c r="AQ306" i="4"/>
  <c r="AQ324" i="4"/>
  <c r="AQ334" i="4"/>
  <c r="AQ333" i="4"/>
  <c r="AQ332" i="4"/>
  <c r="AQ308" i="4"/>
  <c r="AQ326" i="4"/>
  <c r="AQ329" i="4"/>
  <c r="AQ328" i="4"/>
  <c r="AQ327" i="4"/>
  <c r="AQ323" i="4"/>
  <c r="AQ311" i="4"/>
  <c r="AQ325" i="4"/>
  <c r="AQ310" i="4"/>
  <c r="AQ307" i="4"/>
  <c r="AQ309" i="4"/>
  <c r="AQ315" i="4"/>
  <c r="AQ312" i="4"/>
  <c r="AQ322" i="4"/>
  <c r="AQ316" i="4"/>
  <c r="AQ319" i="4"/>
  <c r="AQ331" i="4"/>
  <c r="AQ321" i="4"/>
  <c r="AQ330" i="4"/>
  <c r="BJ304" i="4"/>
  <c r="DS291" i="4"/>
  <c r="CC301" i="4"/>
  <c r="AZ292" i="4"/>
  <c r="AZ310" i="4"/>
  <c r="AZ325" i="4"/>
  <c r="BA308" i="4"/>
  <c r="BA306" i="4"/>
  <c r="BA334" i="4"/>
  <c r="BA309" i="4"/>
  <c r="AZ306" i="4"/>
  <c r="AZ308" i="4"/>
  <c r="AZ309" i="4"/>
  <c r="BA314" i="4"/>
  <c r="AZ333" i="4"/>
  <c r="AZ312" i="4"/>
  <c r="BA333" i="4"/>
  <c r="AZ334" i="4"/>
  <c r="BA329" i="4"/>
  <c r="BA310" i="4"/>
  <c r="AZ329" i="4"/>
  <c r="BA325" i="4"/>
  <c r="BA331" i="4"/>
  <c r="BA322" i="4"/>
  <c r="BA323" i="4"/>
  <c r="AZ315" i="4"/>
  <c r="AZ331" i="4"/>
  <c r="AZ323" i="4"/>
  <c r="AZ322" i="4"/>
  <c r="AZ332" i="4"/>
  <c r="BA319" i="4"/>
  <c r="BA332" i="4"/>
  <c r="AZ328" i="4"/>
  <c r="BA327" i="4"/>
  <c r="BA324" i="4"/>
  <c r="BA328" i="4"/>
  <c r="AZ327" i="4"/>
  <c r="AZ324" i="4"/>
  <c r="BA330" i="4"/>
  <c r="BA326" i="4"/>
  <c r="AZ330" i="4"/>
  <c r="AZ326" i="4"/>
  <c r="AZ319" i="4"/>
  <c r="BA315" i="4"/>
  <c r="CJ307" i="4"/>
  <c r="DL307" i="4"/>
  <c r="AE307" i="4"/>
  <c r="DY311" i="4"/>
  <c r="DD311" i="4"/>
  <c r="BU311" i="4"/>
  <c r="BV313" i="4"/>
  <c r="AS313" i="4"/>
  <c r="AE313" i="4"/>
  <c r="DY316" i="4"/>
  <c r="CC321" i="4"/>
  <c r="EG321" i="4"/>
  <c r="AT321" i="4"/>
  <c r="U317" i="4"/>
  <c r="BJ320" i="4"/>
  <c r="BZ312" i="4"/>
  <c r="DY315" i="4"/>
  <c r="AQ318" i="4"/>
  <c r="Q315" i="4"/>
  <c r="DZ320" i="4"/>
  <c r="W318" i="4"/>
  <c r="CB317" i="4"/>
  <c r="BA320" i="4"/>
  <c r="CE313" i="4"/>
  <c r="CP312" i="4"/>
  <c r="DK318" i="4"/>
  <c r="DY312" i="4"/>
  <c r="DI312" i="4"/>
  <c r="CQ317" i="4"/>
  <c r="BS317" i="4"/>
  <c r="BU312" i="4"/>
  <c r="CP318" i="4"/>
  <c r="AX315" i="4"/>
  <c r="DE312" i="4"/>
  <c r="BU322" i="4"/>
  <c r="BZ314" i="4"/>
  <c r="AE314" i="4"/>
  <c r="W324" i="4"/>
  <c r="W328" i="4"/>
  <c r="W308" i="4"/>
  <c r="W332" i="4"/>
  <c r="W307" i="4"/>
  <c r="W330" i="4"/>
  <c r="W331" i="4"/>
  <c r="W319" i="4"/>
  <c r="W316" i="4"/>
  <c r="W315" i="4"/>
  <c r="BS297" i="4"/>
  <c r="CE295" i="4"/>
  <c r="AS295" i="4"/>
  <c r="AS334" i="4"/>
  <c r="AS325" i="4"/>
  <c r="AT308" i="4"/>
  <c r="AT309" i="4"/>
  <c r="AT334" i="4"/>
  <c r="AS309" i="4"/>
  <c r="AT329" i="4"/>
  <c r="AS329" i="4"/>
  <c r="AT306" i="4"/>
  <c r="AT310" i="4"/>
  <c r="AS310" i="4"/>
  <c r="AS333" i="4"/>
  <c r="AT325" i="4"/>
  <c r="AT333" i="4"/>
  <c r="AS330" i="4"/>
  <c r="AS308" i="4"/>
  <c r="AS306" i="4"/>
  <c r="AT319" i="4"/>
  <c r="AT327" i="4"/>
  <c r="AT326" i="4"/>
  <c r="AS323" i="4"/>
  <c r="AS332" i="4"/>
  <c r="AT330" i="4"/>
  <c r="AS327" i="4"/>
  <c r="AS326" i="4"/>
  <c r="AT332" i="4"/>
  <c r="AT324" i="4"/>
  <c r="AS319" i="4"/>
  <c r="AT318" i="4"/>
  <c r="AS324" i="4"/>
  <c r="AT322" i="4"/>
  <c r="AS328" i="4"/>
  <c r="AS331" i="4"/>
  <c r="AT328" i="4"/>
  <c r="AT331" i="4"/>
  <c r="AT323" i="4"/>
  <c r="AA292" i="4"/>
  <c r="CN328" i="4"/>
  <c r="CN308" i="4"/>
  <c r="CN311" i="4"/>
  <c r="CN310" i="4"/>
  <c r="CN309" i="4"/>
  <c r="CN323" i="4"/>
  <c r="CN324" i="4"/>
  <c r="CN326" i="4"/>
  <c r="CN307" i="4"/>
  <c r="CN327" i="4"/>
  <c r="CN325" i="4"/>
  <c r="CN306" i="4"/>
  <c r="CN333" i="4"/>
  <c r="CN334" i="4"/>
  <c r="CN332" i="4"/>
  <c r="CN313" i="4"/>
  <c r="CN329" i="4"/>
  <c r="CN314" i="4"/>
  <c r="CN321" i="4"/>
  <c r="CN331" i="4"/>
  <c r="CN319" i="4"/>
  <c r="CN316" i="4"/>
  <c r="CN322" i="4"/>
  <c r="CN330" i="4"/>
  <c r="AL307" i="4"/>
  <c r="CP307" i="4"/>
  <c r="DZ311" i="4"/>
  <c r="DE311" i="4"/>
  <c r="BV311" i="4"/>
  <c r="BU313" i="4"/>
  <c r="AT313" i="4"/>
  <c r="AF313" i="4"/>
  <c r="DZ316" i="4"/>
  <c r="CP321" i="4"/>
  <c r="AL321" i="4"/>
  <c r="W317" i="4"/>
  <c r="AQ320" i="4"/>
  <c r="BZ322" i="4"/>
  <c r="BZ318" i="4"/>
  <c r="S314" i="4"/>
  <c r="AL314" i="4"/>
  <c r="AA322" i="4"/>
  <c r="BH318" i="4"/>
  <c r="EG322" i="4"/>
  <c r="BG317" i="4"/>
  <c r="DB317" i="4"/>
  <c r="BZ320" i="4"/>
  <c r="DS317" i="4"/>
  <c r="DI317" i="4"/>
  <c r="AL318" i="4"/>
  <c r="BJ315" i="4"/>
  <c r="AT320" i="4"/>
  <c r="CG318" i="4"/>
  <c r="AT317" i="4"/>
  <c r="AF312" i="4"/>
  <c r="BU318" i="4"/>
  <c r="O297" i="4"/>
  <c r="O325" i="4"/>
  <c r="O333" i="4"/>
  <c r="O309" i="4"/>
  <c r="O308" i="4"/>
  <c r="O334" i="4"/>
  <c r="O310" i="4"/>
  <c r="O313" i="4"/>
  <c r="O311" i="4"/>
  <c r="O323" i="4"/>
  <c r="O326" i="4"/>
  <c r="O328" i="4"/>
  <c r="O327" i="4"/>
  <c r="O324" i="4"/>
  <c r="O332" i="4"/>
  <c r="O307" i="4"/>
  <c r="O316" i="4"/>
  <c r="O321" i="4"/>
  <c r="O330" i="4"/>
  <c r="O331" i="4"/>
  <c r="O319" i="4"/>
  <c r="O318" i="4"/>
  <c r="FU63" i="4"/>
  <c r="BS328" i="4"/>
  <c r="BS324" i="4"/>
  <c r="BS313" i="4"/>
  <c r="BS309" i="4"/>
  <c r="BS327" i="4"/>
  <c r="BS333" i="4"/>
  <c r="BS307" i="4"/>
  <c r="BS306" i="4"/>
  <c r="BS310" i="4"/>
  <c r="BS325" i="4"/>
  <c r="BS326" i="4"/>
  <c r="BS308" i="4"/>
  <c r="BS332" i="4"/>
  <c r="BS311" i="4"/>
  <c r="BS329" i="4"/>
  <c r="BS334" i="4"/>
  <c r="BS323" i="4"/>
  <c r="BS316" i="4"/>
  <c r="BS322" i="4"/>
  <c r="BS321" i="4"/>
  <c r="BS331" i="4"/>
  <c r="BS330" i="4"/>
  <c r="BS319" i="4"/>
  <c r="FU318" i="4"/>
  <c r="FU317" i="4"/>
  <c r="FU321" i="4"/>
  <c r="FU313" i="4"/>
  <c r="DZ291" i="4"/>
  <c r="DZ308" i="4"/>
  <c r="DZ310" i="4"/>
  <c r="DZ309" i="4"/>
  <c r="DZ306" i="4"/>
  <c r="DY310" i="4"/>
  <c r="DY309" i="4"/>
  <c r="DY333" i="4"/>
  <c r="DY306" i="4"/>
  <c r="DZ333" i="4"/>
  <c r="DZ329" i="4"/>
  <c r="DZ331" i="4"/>
  <c r="DZ334" i="4"/>
  <c r="DZ325" i="4"/>
  <c r="DY329" i="4"/>
  <c r="DY334" i="4"/>
  <c r="DY331" i="4"/>
  <c r="DY308" i="4"/>
  <c r="DY325" i="4"/>
  <c r="DY330" i="4"/>
  <c r="DZ330" i="4"/>
  <c r="DZ326" i="4"/>
  <c r="DZ324" i="4"/>
  <c r="DY323" i="4"/>
  <c r="DY326" i="4"/>
  <c r="DY324" i="4"/>
  <c r="DZ317" i="4"/>
  <c r="DZ312" i="4"/>
  <c r="DZ327" i="4"/>
  <c r="DY317" i="4"/>
  <c r="DY332" i="4"/>
  <c r="DY327" i="4"/>
  <c r="DZ319" i="4"/>
  <c r="DZ332" i="4"/>
  <c r="DZ318" i="4"/>
  <c r="DY328" i="4"/>
  <c r="DZ328" i="4"/>
  <c r="DZ323" i="4"/>
  <c r="DY319" i="4"/>
  <c r="BX310" i="4"/>
  <c r="BX324" i="4"/>
  <c r="BX329" i="4"/>
  <c r="BX334" i="4"/>
  <c r="BX325" i="4"/>
  <c r="BX326" i="4"/>
  <c r="BX323" i="4"/>
  <c r="BX311" i="4"/>
  <c r="BX308" i="4"/>
  <c r="BX307" i="4"/>
  <c r="BX333" i="4"/>
  <c r="BX328" i="4"/>
  <c r="BX332" i="4"/>
  <c r="BX327" i="4"/>
  <c r="BX306" i="4"/>
  <c r="BX313" i="4"/>
  <c r="BX309" i="4"/>
  <c r="BX316" i="4"/>
  <c r="BX317" i="4"/>
  <c r="BX319" i="4"/>
  <c r="BX321" i="4"/>
  <c r="BX330" i="4"/>
  <c r="BX320" i="4"/>
  <c r="BX331" i="4"/>
  <c r="DD334" i="4"/>
  <c r="DE308" i="4"/>
  <c r="DD333" i="4"/>
  <c r="DE329" i="4"/>
  <c r="DE333" i="4"/>
  <c r="DE325" i="4"/>
  <c r="DE310" i="4"/>
  <c r="DD329" i="4"/>
  <c r="DE331" i="4"/>
  <c r="DD325" i="4"/>
  <c r="DD310" i="4"/>
  <c r="DE306" i="4"/>
  <c r="DE309" i="4"/>
  <c r="DD306" i="4"/>
  <c r="DE334" i="4"/>
  <c r="DD309" i="4"/>
  <c r="DD308" i="4"/>
  <c r="DD330" i="4"/>
  <c r="DD328" i="4"/>
  <c r="DD319" i="4"/>
  <c r="DE328" i="4"/>
  <c r="DE330" i="4"/>
  <c r="DD317" i="4"/>
  <c r="DE327" i="4"/>
  <c r="DE324" i="4"/>
  <c r="DD332" i="4"/>
  <c r="DD327" i="4"/>
  <c r="DD324" i="4"/>
  <c r="DE332" i="4"/>
  <c r="DE319" i="4"/>
  <c r="DD314" i="4"/>
  <c r="DE326" i="4"/>
  <c r="DD326" i="4"/>
  <c r="DE323" i="4"/>
  <c r="DD323" i="4"/>
  <c r="DE318" i="4"/>
  <c r="DD331" i="4"/>
  <c r="DE317" i="4"/>
  <c r="DZ295" i="4"/>
  <c r="AM307" i="4"/>
  <c r="CQ307" i="4"/>
  <c r="DK311" i="4"/>
  <c r="BO313" i="4"/>
  <c r="DY313" i="4"/>
  <c r="CC313" i="4"/>
  <c r="AL316" i="4"/>
  <c r="CP316" i="4"/>
  <c r="DZ321" i="4"/>
  <c r="CQ321" i="4"/>
  <c r="AM321" i="4"/>
  <c r="AA315" i="4"/>
  <c r="CI320" i="4"/>
  <c r="CI314" i="4"/>
  <c r="CN317" i="4"/>
  <c r="CJ322" i="4"/>
  <c r="BA318" i="4"/>
  <c r="BX318" i="4"/>
  <c r="CN315" i="4"/>
  <c r="CB318" i="4"/>
  <c r="DZ322" i="4"/>
  <c r="W322" i="4"/>
  <c r="CI317" i="4"/>
  <c r="BJ312" i="4"/>
  <c r="DK315" i="4"/>
  <c r="DB322" i="4"/>
  <c r="BC315" i="4"/>
  <c r="BZ315" i="4"/>
  <c r="BH315" i="4"/>
  <c r="DR315" i="4"/>
  <c r="S290" i="4"/>
  <c r="S333" i="4"/>
  <c r="S310" i="4"/>
  <c r="S309" i="4"/>
  <c r="S325" i="4"/>
  <c r="S329" i="4"/>
  <c r="S334" i="4"/>
  <c r="S306" i="4"/>
  <c r="S311" i="4"/>
  <c r="S327" i="4"/>
  <c r="S313" i="4"/>
  <c r="S324" i="4"/>
  <c r="S332" i="4"/>
  <c r="S323" i="4"/>
  <c r="S326" i="4"/>
  <c r="S307" i="4"/>
  <c r="S328" i="4"/>
  <c r="S315" i="4"/>
  <c r="S330" i="4"/>
  <c r="S321" i="4"/>
  <c r="S316" i="4"/>
  <c r="S331" i="4"/>
  <c r="S319" i="4"/>
  <c r="CE297" i="4"/>
  <c r="DD295" i="4"/>
  <c r="CJ295" i="4"/>
  <c r="CJ325" i="4"/>
  <c r="CI309" i="4"/>
  <c r="CI334" i="4"/>
  <c r="CJ330" i="4"/>
  <c r="CI331" i="4"/>
  <c r="CJ329" i="4"/>
  <c r="CI325" i="4"/>
  <c r="CI308" i="4"/>
  <c r="CJ306" i="4"/>
  <c r="CJ334" i="4"/>
  <c r="CI329" i="4"/>
  <c r="CJ308" i="4"/>
  <c r="CJ331" i="4"/>
  <c r="CI333" i="4"/>
  <c r="CJ310" i="4"/>
  <c r="CI306" i="4"/>
  <c r="CJ333" i="4"/>
  <c r="CI330" i="4"/>
  <c r="CJ309" i="4"/>
  <c r="CI310" i="4"/>
  <c r="CI328" i="4"/>
  <c r="CJ327" i="4"/>
  <c r="CJ328" i="4"/>
  <c r="CI327" i="4"/>
  <c r="CJ324" i="4"/>
  <c r="CI332" i="4"/>
  <c r="CI324" i="4"/>
  <c r="CJ332" i="4"/>
  <c r="CJ323" i="4"/>
  <c r="CJ326" i="4"/>
  <c r="CI323" i="4"/>
  <c r="CI322" i="4"/>
  <c r="CI326" i="4"/>
  <c r="CJ319" i="4"/>
  <c r="CI319" i="4"/>
  <c r="BV294" i="4"/>
  <c r="DR307" i="4"/>
  <c r="DD307" i="4"/>
  <c r="DL311" i="4"/>
  <c r="BN313" i="4"/>
  <c r="DZ313" i="4"/>
  <c r="CB313" i="4"/>
  <c r="AM316" i="4"/>
  <c r="CQ316" i="4"/>
  <c r="DR321" i="4"/>
  <c r="AE321" i="4"/>
  <c r="DB320" i="4"/>
  <c r="Q317" i="4"/>
  <c r="CJ320" i="4"/>
  <c r="DI314" i="4"/>
  <c r="U318" i="4"/>
  <c r="CP320" i="4"/>
  <c r="W321" i="4"/>
  <c r="CC317" i="4"/>
  <c r="U315" i="4"/>
  <c r="Y322" i="4"/>
  <c r="AA314" i="4"/>
  <c r="DP315" i="4"/>
  <c r="DL318" i="4"/>
  <c r="DP322" i="4"/>
  <c r="DI322" i="4"/>
  <c r="AL317" i="4"/>
  <c r="BC318" i="4"/>
  <c r="BX322" i="4"/>
  <c r="DE315" i="4"/>
  <c r="DB318" i="4"/>
  <c r="ED315" i="4"/>
  <c r="CP317" i="4"/>
  <c r="AX320" i="4"/>
  <c r="DS318" i="4"/>
  <c r="AQ317" i="4"/>
  <c r="DR312" i="4"/>
  <c r="BZ316" i="4"/>
  <c r="BG292" i="4"/>
  <c r="CE294" i="4"/>
  <c r="DD293" i="4"/>
  <c r="BH301" i="4"/>
  <c r="DY293" i="4"/>
  <c r="BO310" i="4"/>
  <c r="BN310" i="4"/>
  <c r="BN308" i="4"/>
  <c r="BO330" i="4"/>
  <c r="BN331" i="4"/>
  <c r="BN314" i="4"/>
  <c r="BO325" i="4"/>
  <c r="BO309" i="4"/>
  <c r="BO308" i="4"/>
  <c r="BO329" i="4"/>
  <c r="BN330" i="4"/>
  <c r="BN329" i="4"/>
  <c r="BO331" i="4"/>
  <c r="BN333" i="4"/>
  <c r="BN325" i="4"/>
  <c r="BO306" i="4"/>
  <c r="BO333" i="4"/>
  <c r="BN309" i="4"/>
  <c r="BN306" i="4"/>
  <c r="BO334" i="4"/>
  <c r="BN334" i="4"/>
  <c r="BO324" i="4"/>
  <c r="BO317" i="4"/>
  <c r="BN318" i="4"/>
  <c r="BN332" i="4"/>
  <c r="BN324" i="4"/>
  <c r="BN315" i="4"/>
  <c r="BN312" i="4"/>
  <c r="BO332" i="4"/>
  <c r="BN328" i="4"/>
  <c r="BO327" i="4"/>
  <c r="BO328" i="4"/>
  <c r="BN327" i="4"/>
  <c r="BO323" i="4"/>
  <c r="BN319" i="4"/>
  <c r="BO326" i="4"/>
  <c r="BN323" i="4"/>
  <c r="BN326" i="4"/>
  <c r="BO315" i="4"/>
  <c r="BO319" i="4"/>
  <c r="BN322" i="4"/>
  <c r="BN320" i="4"/>
  <c r="BO320" i="4"/>
  <c r="AO325" i="4"/>
  <c r="AO323" i="4"/>
  <c r="AO324" i="4"/>
  <c r="AO334" i="4"/>
  <c r="AO332" i="4"/>
  <c r="AO327" i="4"/>
  <c r="AO306" i="4"/>
  <c r="AO313" i="4"/>
  <c r="AO328" i="4"/>
  <c r="AO329" i="4"/>
  <c r="AO326" i="4"/>
  <c r="AO330" i="4"/>
  <c r="AO308" i="4"/>
  <c r="AO310" i="4"/>
  <c r="AO333" i="4"/>
  <c r="AO309" i="4"/>
  <c r="AO307" i="4"/>
  <c r="AO319" i="4"/>
  <c r="AO318" i="4"/>
  <c r="AO321" i="4"/>
  <c r="AO311" i="4"/>
  <c r="AO331" i="4"/>
  <c r="AO316" i="4"/>
  <c r="AO312" i="4"/>
  <c r="CE290" i="4"/>
  <c r="CE333" i="4"/>
  <c r="CE306" i="4"/>
  <c r="CE324" i="4"/>
  <c r="CE308" i="4"/>
  <c r="CE323" i="4"/>
  <c r="CE330" i="4"/>
  <c r="CE332" i="4"/>
  <c r="CE328" i="4"/>
  <c r="CE309" i="4"/>
  <c r="CE334" i="4"/>
  <c r="CE319" i="4"/>
  <c r="CE327" i="4"/>
  <c r="CE310" i="4"/>
  <c r="CE307" i="4"/>
  <c r="CE325" i="4"/>
  <c r="CE326" i="4"/>
  <c r="CE329" i="4"/>
  <c r="CE311" i="4"/>
  <c r="CE331" i="4"/>
  <c r="W290" i="4"/>
  <c r="FU311" i="4"/>
  <c r="DS307" i="4"/>
  <c r="DE307" i="4"/>
  <c r="BN311" i="4"/>
  <c r="AZ311" i="4"/>
  <c r="DR313" i="4"/>
  <c r="DD313" i="4"/>
  <c r="AE316" i="4"/>
  <c r="DR316" i="4"/>
  <c r="CI316" i="4"/>
  <c r="DS321" i="4"/>
  <c r="BO321" i="4"/>
  <c r="AF321" i="4"/>
  <c r="DL320" i="4"/>
  <c r="W314" i="4"/>
  <c r="DK320" i="4"/>
  <c r="O317" i="4"/>
  <c r="BH317" i="4"/>
  <c r="CE318" i="4"/>
  <c r="EG318" i="4"/>
  <c r="CE320" i="4"/>
  <c r="AF317" i="4"/>
  <c r="ED317" i="4"/>
  <c r="S317" i="4"/>
  <c r="DZ314" i="4"/>
  <c r="DP317" i="4"/>
  <c r="DS312" i="4"/>
  <c r="BN317" i="4"/>
  <c r="BO318" i="4"/>
  <c r="AZ314" i="4"/>
  <c r="CE316" i="4"/>
  <c r="Q313" i="4"/>
  <c r="DP320" i="4"/>
  <c r="BS302" i="4"/>
  <c r="BG291" i="4"/>
  <c r="BH295" i="4"/>
  <c r="AO293" i="4"/>
  <c r="BJ295" i="4"/>
  <c r="CB308" i="4"/>
  <c r="CC306" i="4"/>
  <c r="CB334" i="4"/>
  <c r="CB333" i="4"/>
  <c r="CC333" i="4"/>
  <c r="CB306" i="4"/>
  <c r="CC330" i="4"/>
  <c r="CC329" i="4"/>
  <c r="CB329" i="4"/>
  <c r="CC310" i="4"/>
  <c r="CB325" i="4"/>
  <c r="CC309" i="4"/>
  <c r="CC331" i="4"/>
  <c r="CC334" i="4"/>
  <c r="CB310" i="4"/>
  <c r="CC308" i="4"/>
  <c r="CC325" i="4"/>
  <c r="CB309" i="4"/>
  <c r="CC324" i="4"/>
  <c r="CB324" i="4"/>
  <c r="CC319" i="4"/>
  <c r="CB319" i="4"/>
  <c r="CB330" i="4"/>
  <c r="CB328" i="4"/>
  <c r="CC326" i="4"/>
  <c r="CC328" i="4"/>
  <c r="CB326" i="4"/>
  <c r="CC322" i="4"/>
  <c r="CB312" i="4"/>
  <c r="CC327" i="4"/>
  <c r="CB327" i="4"/>
  <c r="CC312" i="4"/>
  <c r="CB322" i="4"/>
  <c r="CB320" i="4"/>
  <c r="CB332" i="4"/>
  <c r="CC323" i="4"/>
  <c r="CC332" i="4"/>
  <c r="CB331" i="4"/>
  <c r="CB323" i="4"/>
  <c r="CQ298" i="4"/>
  <c r="CQ309" i="4"/>
  <c r="CP314" i="4"/>
  <c r="CP306" i="4"/>
  <c r="CP310" i="4"/>
  <c r="CP329" i="4"/>
  <c r="CP308" i="4"/>
  <c r="CP309" i="4"/>
  <c r="CQ325" i="4"/>
  <c r="CP331" i="4"/>
  <c r="CP325" i="4"/>
  <c r="CQ334" i="4"/>
  <c r="CP333" i="4"/>
  <c r="CQ306" i="4"/>
  <c r="CQ333" i="4"/>
  <c r="CQ310" i="4"/>
  <c r="CP334" i="4"/>
  <c r="CQ308" i="4"/>
  <c r="CP330" i="4"/>
  <c r="CQ329" i="4"/>
  <c r="CQ332" i="4"/>
  <c r="CP323" i="4"/>
  <c r="CQ315" i="4"/>
  <c r="CP315" i="4"/>
  <c r="CP319" i="4"/>
  <c r="CQ331" i="4"/>
  <c r="CP328" i="4"/>
  <c r="CQ326" i="4"/>
  <c r="CQ328" i="4"/>
  <c r="CP326" i="4"/>
  <c r="CQ319" i="4"/>
  <c r="CQ320" i="4"/>
  <c r="CQ327" i="4"/>
  <c r="CQ324" i="4"/>
  <c r="CP332" i="4"/>
  <c r="CQ330" i="4"/>
  <c r="CP327" i="4"/>
  <c r="CP324" i="4"/>
  <c r="CQ323" i="4"/>
  <c r="CG310" i="4"/>
  <c r="CG328" i="4"/>
  <c r="CG323" i="4"/>
  <c r="CG329" i="4"/>
  <c r="CG307" i="4"/>
  <c r="CG311" i="4"/>
  <c r="CG308" i="4"/>
  <c r="CG313" i="4"/>
  <c r="CG309" i="4"/>
  <c r="CG327" i="4"/>
  <c r="CG333" i="4"/>
  <c r="CG334" i="4"/>
  <c r="CG325" i="4"/>
  <c r="CG332" i="4"/>
  <c r="CG324" i="4"/>
  <c r="CG306" i="4"/>
  <c r="CG326" i="4"/>
  <c r="CG330" i="4"/>
  <c r="CG315" i="4"/>
  <c r="CG321" i="4"/>
  <c r="CG314" i="4"/>
  <c r="CG331" i="4"/>
  <c r="CG316" i="4"/>
  <c r="CG319" i="4"/>
  <c r="CG320" i="4"/>
  <c r="BA307" i="4"/>
  <c r="DY307" i="4"/>
  <c r="CQ311" i="4"/>
  <c r="BO311" i="4"/>
  <c r="BA311" i="4"/>
  <c r="DS313" i="4"/>
  <c r="DE313" i="4"/>
  <c r="AF316" i="4"/>
  <c r="DS316" i="4"/>
  <c r="CJ316" i="4"/>
  <c r="DK321" i="4"/>
  <c r="Q314" i="4"/>
  <c r="DL317" i="4"/>
  <c r="CE317" i="4"/>
  <c r="DD318" i="4"/>
  <c r="Q321" i="4"/>
  <c r="DL322" i="4"/>
  <c r="EG317" i="4"/>
  <c r="ED322" i="4"/>
  <c r="EG315" i="4"/>
  <c r="CJ317" i="4"/>
  <c r="BZ317" i="4"/>
  <c r="CG312" i="4"/>
  <c r="CI315" i="4"/>
  <c r="DE322" i="4"/>
  <c r="CC314" i="4"/>
  <c r="CQ312" i="4"/>
  <c r="DL315" i="4"/>
  <c r="Q320" i="4"/>
  <c r="CE315" i="4"/>
  <c r="AE312" i="4"/>
  <c r="U321" i="4"/>
  <c r="CJ312" i="4"/>
  <c r="W164" i="4"/>
  <c r="Y106" i="4"/>
  <c r="BV302" i="4"/>
  <c r="AX291" i="4"/>
  <c r="BS303" i="4"/>
  <c r="DE293" i="4"/>
  <c r="DY294" i="4"/>
  <c r="DZ292" i="4"/>
  <c r="DD294" i="4"/>
  <c r="CE296" i="4"/>
  <c r="BH293" i="4"/>
  <c r="BH306" i="4"/>
  <c r="BH308" i="4"/>
  <c r="BG329" i="4"/>
  <c r="BH331" i="4"/>
  <c r="BG306" i="4"/>
  <c r="BH310" i="4"/>
  <c r="BG308" i="4"/>
  <c r="BH309" i="4"/>
  <c r="BG333" i="4"/>
  <c r="BG310" i="4"/>
  <c r="BH333" i="4"/>
  <c r="BG309" i="4"/>
  <c r="BG325" i="4"/>
  <c r="BH334" i="4"/>
  <c r="BH325" i="4"/>
  <c r="BG334" i="4"/>
  <c r="BH329" i="4"/>
  <c r="BG328" i="4"/>
  <c r="BH328" i="4"/>
  <c r="BH327" i="4"/>
  <c r="BG327" i="4"/>
  <c r="BG314" i="4"/>
  <c r="BG322" i="4"/>
  <c r="BH324" i="4"/>
  <c r="BH319" i="4"/>
  <c r="BG332" i="4"/>
  <c r="BG330" i="4"/>
  <c r="BH330" i="4"/>
  <c r="BG324" i="4"/>
  <c r="BH323" i="4"/>
  <c r="BH332" i="4"/>
  <c r="BG323" i="4"/>
  <c r="BG319" i="4"/>
  <c r="BG315" i="4"/>
  <c r="BG331" i="4"/>
  <c r="BH314" i="4"/>
  <c r="BG326" i="4"/>
  <c r="BH326" i="4"/>
  <c r="BJ293" i="4"/>
  <c r="DZ293" i="4"/>
  <c r="BU293" i="4"/>
  <c r="BU307" i="4"/>
  <c r="BU310" i="4"/>
  <c r="BV334" i="4"/>
  <c r="BU334" i="4"/>
  <c r="BV309" i="4"/>
  <c r="BV331" i="4"/>
  <c r="BV325" i="4"/>
  <c r="BU309" i="4"/>
  <c r="BU325" i="4"/>
  <c r="BV329" i="4"/>
  <c r="BV308" i="4"/>
  <c r="BV306" i="4"/>
  <c r="BU329" i="4"/>
  <c r="BV310" i="4"/>
  <c r="BU308" i="4"/>
  <c r="BU333" i="4"/>
  <c r="BU306" i="4"/>
  <c r="BV333" i="4"/>
  <c r="BV322" i="4"/>
  <c r="BV318" i="4"/>
  <c r="BU331" i="4"/>
  <c r="BV323" i="4"/>
  <c r="BU328" i="4"/>
  <c r="BV327" i="4"/>
  <c r="BU323" i="4"/>
  <c r="BU332" i="4"/>
  <c r="BV328" i="4"/>
  <c r="BU327" i="4"/>
  <c r="BV332" i="4"/>
  <c r="BU330" i="4"/>
  <c r="BV330" i="4"/>
  <c r="BV319" i="4"/>
  <c r="BV324" i="4"/>
  <c r="BU324" i="4"/>
  <c r="BV312" i="4"/>
  <c r="BV326" i="4"/>
  <c r="BU319" i="4"/>
  <c r="BU315" i="4"/>
  <c r="BV317" i="4"/>
  <c r="BU326" i="4"/>
  <c r="Y293" i="4"/>
  <c r="Y307" i="4"/>
  <c r="Y327" i="4"/>
  <c r="Y333" i="4"/>
  <c r="Y310" i="4"/>
  <c r="Y324" i="4"/>
  <c r="Y334" i="4"/>
  <c r="Y306" i="4"/>
  <c r="Y328" i="4"/>
  <c r="Y311" i="4"/>
  <c r="Y309" i="4"/>
  <c r="Y329" i="4"/>
  <c r="Y323" i="4"/>
  <c r="Y325" i="4"/>
  <c r="Y332" i="4"/>
  <c r="Y326" i="4"/>
  <c r="Y316" i="4"/>
  <c r="Y330" i="4"/>
  <c r="Y319" i="4"/>
  <c r="Y331" i="4"/>
  <c r="AZ307" i="4"/>
  <c r="DZ307" i="4"/>
  <c r="CI311" i="4"/>
  <c r="AL311" i="4"/>
  <c r="CP313" i="4"/>
  <c r="AZ316" i="4"/>
  <c r="BG316" i="4"/>
  <c r="CB316" i="4"/>
  <c r="BV321" i="4"/>
  <c r="DL321" i="4"/>
  <c r="BH321" i="4"/>
  <c r="AX317" i="4"/>
  <c r="BA317" i="4"/>
  <c r="DY318" i="4"/>
  <c r="CE314" i="4"/>
  <c r="BH322" i="4"/>
  <c r="CB315" i="4"/>
  <c r="DI318" i="4"/>
  <c r="DP314" i="4"/>
  <c r="AO320" i="4"/>
  <c r="DK314" i="4"/>
  <c r="AM317" i="4"/>
  <c r="CG317" i="4"/>
  <c r="Q318" i="4"/>
  <c r="AL315" i="4"/>
  <c r="DB314" i="4"/>
  <c r="BS318" i="4"/>
  <c r="DE314" i="4"/>
  <c r="DD315" i="4"/>
  <c r="CN318" i="4"/>
  <c r="AS317" i="4"/>
  <c r="BS312" i="4"/>
  <c r="AM322" i="4"/>
  <c r="AA329" i="4"/>
  <c r="U329" i="4"/>
  <c r="BZ334" i="4"/>
  <c r="S308" i="4"/>
  <c r="BQ332" i="4"/>
  <c r="W323" i="4"/>
  <c r="W333" i="4"/>
  <c r="W326" i="4"/>
  <c r="BQ333" i="4"/>
  <c r="FU323" i="4"/>
  <c r="BQ329" i="4"/>
  <c r="BQ325" i="4"/>
  <c r="W310" i="4"/>
  <c r="O329" i="4"/>
  <c r="W329" i="4"/>
  <c r="FU329" i="4"/>
  <c r="W327" i="4"/>
  <c r="BQ323" i="4"/>
  <c r="BQ327" i="4"/>
  <c r="FU334" i="4"/>
  <c r="BQ334" i="4"/>
  <c r="W309" i="4"/>
  <c r="FU332" i="4"/>
  <c r="BQ324" i="4"/>
  <c r="W311" i="4"/>
  <c r="W325" i="4"/>
  <c r="Y308" i="4"/>
  <c r="W306" i="4"/>
  <c r="Q334" i="4"/>
  <c r="W334" i="4"/>
  <c r="U306" i="4"/>
  <c r="O306" i="4"/>
  <c r="AA306" i="4"/>
  <c r="AF306" i="4"/>
  <c r="S303" i="4"/>
  <c r="Q296" i="4"/>
  <c r="AQ111" i="4"/>
  <c r="AQ202" i="4"/>
  <c r="AQ173" i="4"/>
  <c r="AQ138" i="4"/>
  <c r="AQ126" i="4"/>
  <c r="AQ186" i="4"/>
  <c r="AQ117" i="4"/>
  <c r="AQ161" i="4"/>
  <c r="BZ299" i="4"/>
  <c r="BN297" i="4"/>
  <c r="CC304" i="4"/>
  <c r="W303" i="4"/>
  <c r="AQ301" i="4"/>
  <c r="BN300" i="4"/>
  <c r="AQ300" i="4"/>
  <c r="BJ300" i="4"/>
  <c r="AX302" i="4"/>
  <c r="BJ302" i="4"/>
  <c r="DR305" i="4"/>
  <c r="BJ303" i="4"/>
  <c r="BX300" i="4"/>
  <c r="BU298" i="4"/>
  <c r="AA291" i="4"/>
  <c r="BX292" i="4"/>
  <c r="AQ291" i="4"/>
  <c r="BN298" i="4"/>
  <c r="AQ292" i="4"/>
  <c r="BO292" i="4"/>
  <c r="CB294" i="4"/>
  <c r="BX298" i="4"/>
  <c r="DB290" i="4"/>
  <c r="DB297" i="4"/>
  <c r="DB295" i="4"/>
  <c r="DB303" i="4"/>
  <c r="DB294" i="4"/>
  <c r="DB293" i="4"/>
  <c r="DB296" i="4"/>
  <c r="BJ290" i="4"/>
  <c r="AQ290" i="4"/>
  <c r="BA291" i="4"/>
  <c r="AQ142" i="4"/>
  <c r="DR299" i="4"/>
  <c r="CC290" i="4"/>
  <c r="BJ299" i="4"/>
  <c r="DR290" i="4"/>
  <c r="BN296" i="4"/>
  <c r="CB296" i="4"/>
  <c r="Y299" i="4"/>
  <c r="BA304" i="4"/>
  <c r="DS300" i="4"/>
  <c r="DR301" i="4"/>
  <c r="BX302" i="4"/>
  <c r="CB302" i="4"/>
  <c r="Y305" i="4"/>
  <c r="BZ302" i="4"/>
  <c r="AX300" i="4"/>
  <c r="DS305" i="4"/>
  <c r="Y291" i="4"/>
  <c r="CB293" i="4"/>
  <c r="AT293" i="4"/>
  <c r="Q292" i="4"/>
  <c r="BA294" i="4"/>
  <c r="AT292" i="4"/>
  <c r="AS296" i="4"/>
  <c r="AS298" i="4"/>
  <c r="Y8" i="15"/>
  <c r="AE8" i="15" s="1"/>
  <c r="AQ293" i="4"/>
  <c r="Z15" i="15"/>
  <c r="O299" i="4"/>
  <c r="FU290" i="4"/>
  <c r="FU301" i="4"/>
  <c r="AQ121" i="4"/>
  <c r="AQ169" i="4"/>
  <c r="AQ177" i="4"/>
  <c r="AQ114" i="4"/>
  <c r="AQ171" i="4"/>
  <c r="AQ164" i="4"/>
  <c r="AQ106" i="4"/>
  <c r="AQ99" i="4"/>
  <c r="DS299" i="4"/>
  <c r="BN290" i="4"/>
  <c r="DS290" i="4"/>
  <c r="BO296" i="4"/>
  <c r="CC296" i="4"/>
  <c r="DR304" i="4"/>
  <c r="BO304" i="4"/>
  <c r="U301" i="4"/>
  <c r="CB300" i="4"/>
  <c r="W300" i="4"/>
  <c r="BO300" i="4"/>
  <c r="DB300" i="4"/>
  <c r="AT301" i="4"/>
  <c r="BU305" i="4"/>
  <c r="Y303" i="4"/>
  <c r="W295" i="4"/>
  <c r="BV291" i="4"/>
  <c r="W304" i="4"/>
  <c r="W297" i="4"/>
  <c r="AO297" i="4"/>
  <c r="S292" i="4"/>
  <c r="BA292" i="4"/>
  <c r="S295" i="4"/>
  <c r="AX295" i="4"/>
  <c r="DR293" i="4"/>
  <c r="BS296" i="4"/>
  <c r="BX303" i="4"/>
  <c r="FU293" i="4"/>
  <c r="AO290" i="4"/>
  <c r="BX296" i="4"/>
  <c r="BX290" i="4"/>
  <c r="DE294" i="4"/>
  <c r="CN290" i="4"/>
  <c r="AQ166" i="4"/>
  <c r="AQ178" i="4"/>
  <c r="AQ160" i="4"/>
  <c r="AQ125" i="4"/>
  <c r="AQ110" i="4"/>
  <c r="AQ176" i="4"/>
  <c r="AQ133" i="4"/>
  <c r="AQ108" i="4"/>
  <c r="AQ145" i="4"/>
  <c r="AT299" i="4"/>
  <c r="CB299" i="4"/>
  <c r="BO290" i="4"/>
  <c r="AX299" i="4"/>
  <c r="S299" i="4"/>
  <c r="BA297" i="4"/>
  <c r="DR297" i="4"/>
  <c r="BA303" i="4"/>
  <c r="CC303" i="4"/>
  <c r="DS304" i="4"/>
  <c r="BN304" i="4"/>
  <c r="BZ300" i="4"/>
  <c r="U302" i="4"/>
  <c r="Y301" i="4"/>
  <c r="O301" i="4"/>
  <c r="AX304" i="4"/>
  <c r="S304" i="4"/>
  <c r="BO295" i="4"/>
  <c r="AS300" i="4"/>
  <c r="BA302" i="4"/>
  <c r="CC298" i="4"/>
  <c r="AQ298" i="4"/>
  <c r="AF298" i="4"/>
  <c r="DB298" i="4"/>
  <c r="AF295" i="4"/>
  <c r="DR291" i="4"/>
  <c r="BA298" i="4"/>
  <c r="CB295" i="4"/>
  <c r="BX291" i="4"/>
  <c r="Q295" i="4"/>
  <c r="CB292" i="4"/>
  <c r="BN305" i="4"/>
  <c r="AT298" i="4"/>
  <c r="DS293" i="4"/>
  <c r="AA294" i="4"/>
  <c r="O304" i="4"/>
  <c r="BU294" i="4"/>
  <c r="BA293" i="4"/>
  <c r="BC297" i="4"/>
  <c r="BC290" i="4"/>
  <c r="BC296" i="4"/>
  <c r="DR295" i="4"/>
  <c r="AQ143" i="4"/>
  <c r="AQ168" i="4"/>
  <c r="AQ118" i="4"/>
  <c r="AQ167" i="4"/>
  <c r="AQ148" i="4"/>
  <c r="AQ120" i="4"/>
  <c r="AQ165" i="4"/>
  <c r="AQ116" i="4"/>
  <c r="AQ100" i="4"/>
  <c r="W115" i="4"/>
  <c r="CC299" i="4"/>
  <c r="CB297" i="4"/>
  <c r="DS297" i="4"/>
  <c r="CB303" i="4"/>
  <c r="O302" i="4"/>
  <c r="DR300" i="4"/>
  <c r="BJ301" i="4"/>
  <c r="U300" i="4"/>
  <c r="AF302" i="4"/>
  <c r="O305" i="4"/>
  <c r="AT302" i="4"/>
  <c r="AO303" i="4"/>
  <c r="S293" i="4"/>
  <c r="BX301" i="4"/>
  <c r="W298" i="4"/>
  <c r="BX293" i="4"/>
  <c r="O295" i="4"/>
  <c r="AT294" i="4"/>
  <c r="CB298" i="4"/>
  <c r="BZ293" i="4"/>
  <c r="BJ292" i="4"/>
  <c r="AQ297" i="4"/>
  <c r="BO298" i="4"/>
  <c r="Q293" i="4"/>
  <c r="AF294" i="4"/>
  <c r="DB292" i="4"/>
  <c r="CC291" i="4"/>
  <c r="BG294" i="4"/>
  <c r="S294" i="4"/>
  <c r="BG298" i="4"/>
  <c r="AF293" i="4"/>
  <c r="O303" i="4"/>
  <c r="BN293" i="4"/>
  <c r="BN295" i="4"/>
  <c r="AX290" i="4"/>
  <c r="AX297" i="4"/>
  <c r="AX294" i="4"/>
  <c r="W296" i="4"/>
  <c r="CG303" i="4"/>
  <c r="BJ296" i="4"/>
  <c r="AQ296" i="4"/>
  <c r="FU302" i="4"/>
  <c r="BJ297" i="4"/>
  <c r="BU295" i="4"/>
  <c r="AQ107" i="4"/>
  <c r="AQ189" i="4"/>
  <c r="AQ181" i="4"/>
  <c r="AQ158" i="4"/>
  <c r="AQ136" i="4"/>
  <c r="AQ101" i="4"/>
  <c r="AQ175" i="4"/>
  <c r="U89" i="4"/>
  <c r="BA290" i="4"/>
  <c r="CC297" i="4"/>
  <c r="BO303" i="4"/>
  <c r="AT303" i="4"/>
  <c r="AT304" i="4"/>
  <c r="CB305" i="4"/>
  <c r="AQ305" i="4"/>
  <c r="Y300" i="4"/>
  <c r="BX305" i="4"/>
  <c r="AA303" i="4"/>
  <c r="BO301" i="4"/>
  <c r="AF305" i="4"/>
  <c r="W293" i="4"/>
  <c r="W294" i="4"/>
  <c r="BN291" i="4"/>
  <c r="Q298" i="4"/>
  <c r="CC293" i="4"/>
  <c r="BZ294" i="4"/>
  <c r="DR292" i="4"/>
  <c r="O294" i="4"/>
  <c r="AT295" i="4"/>
  <c r="O291" i="4"/>
  <c r="DE298" i="4"/>
  <c r="AQ294" i="4"/>
  <c r="BN292" i="4"/>
  <c r="BJ294" i="4"/>
  <c r="Y298" i="4"/>
  <c r="AX292" i="4"/>
  <c r="DR294" i="4"/>
  <c r="CI294" i="4"/>
  <c r="AQ153" i="4"/>
  <c r="Y290" i="4"/>
  <c r="CC292" i="4"/>
  <c r="CC294" i="4"/>
  <c r="CB291" i="4"/>
  <c r="Y296" i="4"/>
  <c r="AL291" i="4"/>
  <c r="AQ146" i="4"/>
  <c r="AQ180" i="4"/>
  <c r="AQ187" i="4"/>
  <c r="AQ170" i="4"/>
  <c r="AQ98" i="4"/>
  <c r="AQ109" i="4"/>
  <c r="AQ104" i="4"/>
  <c r="AQ103" i="4"/>
  <c r="U110" i="4"/>
  <c r="Q299" i="4"/>
  <c r="AT290" i="4"/>
  <c r="DR296" i="4"/>
  <c r="BN303" i="4"/>
  <c r="AS303" i="4"/>
  <c r="S301" i="4"/>
  <c r="S300" i="4"/>
  <c r="CC305" i="4"/>
  <c r="AX305" i="4"/>
  <c r="BZ303" i="4"/>
  <c r="BZ301" i="4"/>
  <c r="DE301" i="4"/>
  <c r="DB302" i="4"/>
  <c r="DS302" i="4"/>
  <c r="U305" i="4"/>
  <c r="U304" i="4"/>
  <c r="DS298" i="4"/>
  <c r="S296" i="4"/>
  <c r="S291" i="4"/>
  <c r="BZ298" i="4"/>
  <c r="Q294" i="4"/>
  <c r="W291" i="4"/>
  <c r="AO298" i="4"/>
  <c r="BN294" i="4"/>
  <c r="CI292" i="4"/>
  <c r="BV295" i="4"/>
  <c r="U297" i="4"/>
  <c r="BH298" i="4"/>
  <c r="Q290" i="4"/>
  <c r="BV292" i="4"/>
  <c r="AL294" i="4"/>
  <c r="AQ156" i="4"/>
  <c r="AQ190" i="4"/>
  <c r="AQ157" i="4"/>
  <c r="AQ139" i="4"/>
  <c r="AQ147" i="4"/>
  <c r="AQ162" i="4"/>
  <c r="AQ135" i="4"/>
  <c r="AQ127" i="4"/>
  <c r="BA299" i="4"/>
  <c r="BO299" i="4"/>
  <c r="BA296" i="4"/>
  <c r="DS296" i="4"/>
  <c r="DS303" i="4"/>
  <c r="BJ305" i="4"/>
  <c r="W305" i="4"/>
  <c r="AA305" i="4"/>
  <c r="BO302" i="4"/>
  <c r="S302" i="4"/>
  <c r="W302" i="4"/>
  <c r="AO304" i="4"/>
  <c r="BA300" i="4"/>
  <c r="BZ305" i="4"/>
  <c r="BA301" i="4"/>
  <c r="BX294" i="4"/>
  <c r="Q291" i="4"/>
  <c r="BA295" i="4"/>
  <c r="AS292" i="4"/>
  <c r="DS301" i="4"/>
  <c r="Y295" i="4"/>
  <c r="AS293" i="4"/>
  <c r="AA293" i="4"/>
  <c r="CJ291" i="4"/>
  <c r="U296" i="4"/>
  <c r="DR302" i="4"/>
  <c r="O296" i="4"/>
  <c r="FU291" i="4"/>
  <c r="BZ297" i="4"/>
  <c r="BZ296" i="4"/>
  <c r="BZ290" i="4"/>
  <c r="ED292" i="4"/>
  <c r="ED290" i="4"/>
  <c r="AE293" i="4"/>
  <c r="AQ123" i="4"/>
  <c r="AQ112" i="4"/>
  <c r="AQ154" i="4"/>
  <c r="AQ131" i="4"/>
  <c r="AQ150" i="4"/>
  <c r="AQ129" i="4"/>
  <c r="AQ113" i="4"/>
  <c r="AQ151" i="4"/>
  <c r="AQ119" i="4"/>
  <c r="AQ149" i="4"/>
  <c r="BN299" i="4"/>
  <c r="BX299" i="4"/>
  <c r="AT297" i="4"/>
  <c r="DR303" i="4"/>
  <c r="BX304" i="4"/>
  <c r="CC302" i="4"/>
  <c r="S305" i="4"/>
  <c r="BN301" i="4"/>
  <c r="DB301" i="4"/>
  <c r="AQ304" i="4"/>
  <c r="AO295" i="4"/>
  <c r="BX297" i="4"/>
  <c r="BV298" i="4"/>
  <c r="AS294" i="4"/>
  <c r="O293" i="4"/>
  <c r="AS291" i="4"/>
  <c r="DE291" i="4"/>
  <c r="U303" i="4"/>
  <c r="DB291" i="4"/>
  <c r="BO293" i="4"/>
  <c r="DE295" i="4"/>
  <c r="AO292" i="4"/>
  <c r="BU292" i="4"/>
  <c r="CC300" i="4"/>
  <c r="AS302" i="4"/>
  <c r="S297" i="4"/>
  <c r="O290" i="4"/>
  <c r="AA297" i="4"/>
  <c r="AA296" i="4"/>
  <c r="AA290" i="4"/>
  <c r="CG296" i="4"/>
  <c r="AQ152" i="4"/>
  <c r="HF114" i="4"/>
  <c r="AQ184" i="4"/>
  <c r="AQ191" i="4"/>
  <c r="AQ141" i="4"/>
  <c r="AQ115" i="4"/>
  <c r="AQ102" i="4"/>
  <c r="AQ185" i="4"/>
  <c r="AQ122" i="4"/>
  <c r="AQ128" i="4"/>
  <c r="U83" i="4"/>
  <c r="W299" i="4"/>
  <c r="AQ299" i="4"/>
  <c r="W301" i="4"/>
  <c r="AF301" i="4"/>
  <c r="DB305" i="4"/>
  <c r="AS301" i="4"/>
  <c r="BV305" i="4"/>
  <c r="BO305" i="4"/>
  <c r="AX301" i="4"/>
  <c r="AF300" i="4"/>
  <c r="BZ304" i="4"/>
  <c r="DS294" i="4"/>
  <c r="DR298" i="4"/>
  <c r="O292" i="4"/>
  <c r="BZ295" i="4"/>
  <c r="DS292" i="4"/>
  <c r="AA300" i="4"/>
  <c r="AF291" i="4"/>
  <c r="CJ292" i="4"/>
  <c r="FU292" i="4"/>
  <c r="DI290" i="4"/>
  <c r="DI303" i="4"/>
  <c r="DI295" i="4"/>
  <c r="DI296" i="4"/>
  <c r="DI297" i="4"/>
  <c r="DY295" i="4"/>
  <c r="AQ303" i="4"/>
  <c r="AQ182" i="4"/>
  <c r="AQ179" i="4"/>
  <c r="AQ163" i="4"/>
  <c r="AQ132" i="4"/>
  <c r="AQ124" i="4"/>
  <c r="AQ183" i="4"/>
  <c r="AQ174" i="4"/>
  <c r="AQ188" i="4"/>
  <c r="Z3" i="15"/>
  <c r="AF3" i="15" s="1"/>
  <c r="AT296" i="4"/>
  <c r="CB304" i="4"/>
  <c r="Y302" i="4"/>
  <c r="BU302" i="4"/>
  <c r="AX303" i="4"/>
  <c r="O300" i="4"/>
  <c r="AT305" i="4"/>
  <c r="AT300" i="4"/>
  <c r="Y304" i="4"/>
  <c r="BJ291" i="4"/>
  <c r="W292" i="4"/>
  <c r="AX296" i="4"/>
  <c r="AX293" i="4"/>
  <c r="BU291" i="4"/>
  <c r="CC295" i="4"/>
  <c r="BV293" i="4"/>
  <c r="CG297" i="4"/>
  <c r="Q303" i="4"/>
  <c r="Q302" i="4"/>
  <c r="Q301" i="4"/>
  <c r="Q300" i="4"/>
  <c r="Q305" i="4"/>
  <c r="Q304" i="4"/>
  <c r="U290" i="4"/>
  <c r="U293" i="4"/>
  <c r="U292" i="4"/>
  <c r="U294" i="4"/>
  <c r="U295" i="4"/>
  <c r="U291" i="4"/>
  <c r="U298" i="4"/>
  <c r="U141" i="4"/>
  <c r="U116" i="4"/>
  <c r="U127" i="4"/>
  <c r="U107" i="4"/>
  <c r="U160" i="4"/>
  <c r="U136" i="4"/>
  <c r="U96" i="4"/>
  <c r="U85" i="4"/>
  <c r="U139" i="4"/>
  <c r="U154" i="4"/>
  <c r="U131" i="4"/>
  <c r="U158" i="4"/>
  <c r="U113" i="4"/>
  <c r="U146" i="4"/>
  <c r="U145" i="4"/>
  <c r="U115" i="4"/>
  <c r="U105" i="4"/>
  <c r="U129" i="4"/>
  <c r="W139" i="4"/>
  <c r="U135" i="4"/>
  <c r="U153" i="4"/>
  <c r="U152" i="4"/>
  <c r="U84" i="4"/>
  <c r="U94" i="4"/>
  <c r="U119" i="4"/>
  <c r="U104" i="4"/>
  <c r="U134" i="4"/>
  <c r="U137" i="4"/>
  <c r="U98" i="4"/>
  <c r="U106" i="4"/>
  <c r="U148" i="4"/>
  <c r="U100" i="4"/>
  <c r="U112" i="4"/>
  <c r="U124" i="4"/>
  <c r="U101" i="4"/>
  <c r="W171" i="4"/>
  <c r="U123" i="4"/>
  <c r="U156" i="4"/>
  <c r="U111" i="4"/>
  <c r="U90" i="4"/>
  <c r="U114" i="4"/>
  <c r="U149" i="4"/>
  <c r="U87" i="4"/>
  <c r="U122" i="4"/>
  <c r="U161" i="4"/>
  <c r="U99" i="4"/>
  <c r="U91" i="4"/>
  <c r="U102" i="4"/>
  <c r="U103" i="4"/>
  <c r="U92" i="4"/>
  <c r="U117" i="4"/>
  <c r="U138" i="4"/>
  <c r="U128" i="4"/>
  <c r="U157" i="4"/>
  <c r="U120" i="4"/>
  <c r="U140" i="4"/>
  <c r="U150" i="4"/>
  <c r="U167" i="4"/>
  <c r="U108" i="4"/>
  <c r="U126" i="4"/>
  <c r="U143" i="4"/>
  <c r="U144" i="4"/>
  <c r="U97" i="4"/>
  <c r="U142" i="4"/>
  <c r="U133" i="4"/>
  <c r="W89" i="4"/>
  <c r="U256" i="4"/>
  <c r="U235" i="4"/>
  <c r="W157" i="4"/>
  <c r="W83" i="4"/>
  <c r="W107" i="4"/>
  <c r="W122" i="4"/>
  <c r="W76" i="4"/>
  <c r="W95" i="4"/>
  <c r="W101" i="4"/>
  <c r="W98" i="4"/>
  <c r="W154" i="4"/>
  <c r="W114" i="4"/>
  <c r="W147" i="4"/>
  <c r="W143" i="4"/>
  <c r="W161" i="4"/>
  <c r="W163" i="4"/>
  <c r="U159" i="4"/>
  <c r="W116" i="4"/>
  <c r="W138" i="4"/>
  <c r="Y258" i="4"/>
  <c r="U177" i="4"/>
  <c r="U173" i="4"/>
  <c r="Y97" i="4"/>
  <c r="Y133" i="4"/>
  <c r="U147" i="4"/>
  <c r="W84" i="4"/>
  <c r="W123" i="4"/>
  <c r="W97" i="4"/>
  <c r="AV274" i="4"/>
  <c r="W78" i="4"/>
  <c r="U88" i="4"/>
  <c r="U95" i="4"/>
  <c r="U118" i="4"/>
  <c r="U130" i="4"/>
  <c r="U125" i="4"/>
  <c r="Y111" i="4"/>
  <c r="W152" i="4"/>
  <c r="W146" i="4"/>
  <c r="W118" i="4"/>
  <c r="W131" i="4"/>
  <c r="W125" i="4"/>
  <c r="U151" i="4"/>
  <c r="U132" i="4"/>
  <c r="U175" i="4"/>
  <c r="Y142" i="4"/>
  <c r="Y223" i="4"/>
  <c r="U180" i="4"/>
  <c r="Y162" i="4"/>
  <c r="Y159" i="4"/>
  <c r="Y242" i="4"/>
  <c r="Y157" i="4"/>
  <c r="Y276" i="4"/>
  <c r="Y288" i="4"/>
  <c r="Y149" i="4"/>
  <c r="Y245" i="4"/>
  <c r="Y185" i="4"/>
  <c r="U162" i="4"/>
  <c r="U93" i="4"/>
  <c r="U121" i="4"/>
  <c r="U155" i="4"/>
  <c r="W198" i="4"/>
  <c r="W129" i="4"/>
  <c r="W158" i="4"/>
  <c r="U109" i="4"/>
  <c r="U174" i="4"/>
  <c r="Y103" i="4"/>
  <c r="Y239" i="4"/>
  <c r="Y225" i="4"/>
  <c r="Y285" i="4"/>
  <c r="Y173" i="4"/>
  <c r="Y138" i="4"/>
  <c r="Y163" i="4"/>
  <c r="Y174" i="4"/>
  <c r="U279" i="4"/>
  <c r="U163" i="4"/>
  <c r="U192" i="4"/>
  <c r="U169" i="4"/>
  <c r="Y248" i="4"/>
  <c r="Y186" i="4"/>
  <c r="Y160" i="4"/>
  <c r="Y201" i="4"/>
  <c r="Y244" i="4"/>
  <c r="Y283" i="4"/>
  <c r="Y101" i="4"/>
  <c r="Y98" i="4"/>
  <c r="Y128" i="4"/>
  <c r="W201" i="4"/>
  <c r="Y184" i="4"/>
  <c r="Y251" i="4"/>
  <c r="Y235" i="4"/>
  <c r="Y274" i="4"/>
  <c r="Y175" i="4"/>
  <c r="Y255" i="4"/>
  <c r="Y164" i="4"/>
  <c r="U183" i="4"/>
  <c r="Y190" i="4"/>
  <c r="Y272" i="4"/>
  <c r="Y232" i="4"/>
  <c r="Y261" i="4"/>
  <c r="Y154" i="4"/>
  <c r="Y234" i="4"/>
  <c r="Y95" i="4"/>
  <c r="Y151" i="4"/>
  <c r="Y166" i="4"/>
  <c r="Y237" i="4"/>
  <c r="Y253" i="4"/>
  <c r="Y262" i="4"/>
  <c r="Y188" i="4"/>
  <c r="Y210" i="4"/>
  <c r="Y252" i="4"/>
  <c r="Y176" i="4"/>
  <c r="Y187" i="4"/>
  <c r="U164" i="4"/>
  <c r="U168" i="4"/>
  <c r="Y198" i="4"/>
  <c r="Y203" i="4"/>
  <c r="Y231" i="4"/>
  <c r="Y241" i="4"/>
  <c r="Y197" i="4"/>
  <c r="Y123" i="4"/>
  <c r="Y230" i="4"/>
  <c r="Y279" i="4"/>
  <c r="Y87" i="4"/>
  <c r="U236" i="4"/>
  <c r="U190" i="4"/>
  <c r="Y156" i="4"/>
  <c r="Y216" i="4"/>
  <c r="Y284" i="4"/>
  <c r="Y220" i="4"/>
  <c r="Y270" i="4"/>
  <c r="Y91" i="4"/>
  <c r="Y135" i="4"/>
  <c r="Y120" i="4"/>
  <c r="Y259" i="4"/>
  <c r="Y227" i="4"/>
  <c r="Y109" i="4"/>
  <c r="U165" i="4"/>
  <c r="U281" i="4"/>
  <c r="U181" i="4"/>
  <c r="Y121" i="4"/>
  <c r="Y264" i="4"/>
  <c r="Y249" i="4"/>
  <c r="Y115" i="4"/>
  <c r="Y146" i="4"/>
  <c r="Y229" i="4"/>
  <c r="Y143" i="4"/>
  <c r="Y140" i="4"/>
  <c r="Y94" i="4"/>
  <c r="U251" i="4"/>
  <c r="U176" i="4"/>
  <c r="Y147" i="4"/>
  <c r="Y243" i="4"/>
  <c r="Y205" i="4"/>
  <c r="Y107" i="4"/>
  <c r="Y127" i="4"/>
  <c r="Y132" i="4"/>
  <c r="Y100" i="4"/>
  <c r="Y118" i="4"/>
  <c r="U267" i="4"/>
  <c r="U178" i="4"/>
  <c r="Y112" i="4"/>
  <c r="Y222" i="4"/>
  <c r="Y88" i="4"/>
  <c r="Y280" i="4"/>
  <c r="Y119" i="4"/>
  <c r="Y114" i="4"/>
  <c r="DY288" i="4"/>
  <c r="U171" i="4"/>
  <c r="Y148" i="4"/>
  <c r="Y96" i="4"/>
  <c r="Y137" i="4"/>
  <c r="Y136" i="4"/>
  <c r="Y260" i="4"/>
  <c r="Y287" i="4"/>
  <c r="Y171" i="4"/>
  <c r="Y131" i="4"/>
  <c r="Y126" i="4"/>
  <c r="Y90" i="4"/>
  <c r="Y89" i="4"/>
  <c r="Y168" i="4"/>
  <c r="CG281" i="4"/>
  <c r="W224" i="4"/>
  <c r="U257" i="4"/>
  <c r="U203" i="4"/>
  <c r="U287" i="4"/>
  <c r="U196" i="4"/>
  <c r="U193" i="4"/>
  <c r="U250" i="4"/>
  <c r="U188" i="4"/>
  <c r="U258" i="4"/>
  <c r="U247" i="4"/>
  <c r="Y271" i="4"/>
  <c r="Y257" i="4"/>
  <c r="Y275" i="4"/>
  <c r="Y105" i="4"/>
  <c r="Y172" i="4"/>
  <c r="W166" i="4"/>
  <c r="W252" i="4"/>
  <c r="W249" i="4"/>
  <c r="U259" i="4"/>
  <c r="U215" i="4"/>
  <c r="U246" i="4"/>
  <c r="U261" i="4"/>
  <c r="U184" i="4"/>
  <c r="U260" i="4"/>
  <c r="U269" i="4"/>
  <c r="U262" i="4"/>
  <c r="U238" i="4"/>
  <c r="U207" i="4"/>
  <c r="U225" i="4"/>
  <c r="U285" i="4"/>
  <c r="U240" i="4"/>
  <c r="U288" i="4"/>
  <c r="U278" i="4"/>
  <c r="U282" i="4"/>
  <c r="Y256" i="4"/>
  <c r="Y193" i="4"/>
  <c r="Y108" i="4"/>
  <c r="Y204" i="4"/>
  <c r="Y213" i="4"/>
  <c r="Y233" i="4"/>
  <c r="Y129" i="4"/>
  <c r="Y116" i="4"/>
  <c r="Y167" i="4"/>
  <c r="W188" i="4"/>
  <c r="W176" i="4"/>
  <c r="W96" i="4"/>
  <c r="W104" i="4"/>
  <c r="U254" i="4"/>
  <c r="U217" i="4"/>
  <c r="U275" i="4"/>
  <c r="U201" i="4"/>
  <c r="U265" i="4"/>
  <c r="U219" i="4"/>
  <c r="U189" i="4"/>
  <c r="U264" i="4"/>
  <c r="U204" i="4"/>
  <c r="U286" i="4"/>
  <c r="W185" i="4"/>
  <c r="W235" i="4"/>
  <c r="W217" i="4"/>
  <c r="U255" i="4"/>
  <c r="U244" i="4"/>
  <c r="U182" i="4"/>
  <c r="U200" i="4"/>
  <c r="U271" i="4"/>
  <c r="U216" i="4"/>
  <c r="Y144" i="4"/>
  <c r="Y228" i="4"/>
  <c r="Y214" i="4"/>
  <c r="Y265" i="4"/>
  <c r="Y139" i="4"/>
  <c r="Y219" i="4"/>
  <c r="Y268" i="4"/>
  <c r="Y200" i="4"/>
  <c r="Y153" i="4"/>
  <c r="Y192" i="4"/>
  <c r="U233" i="4"/>
  <c r="U234" i="4"/>
  <c r="U270" i="4"/>
  <c r="U223" i="4"/>
  <c r="U198" i="4"/>
  <c r="U206" i="4"/>
  <c r="U273" i="4"/>
  <c r="U222" i="4"/>
  <c r="U213" i="4"/>
  <c r="U272" i="4"/>
  <c r="U249" i="4"/>
  <c r="U199" i="4"/>
  <c r="U283" i="4"/>
  <c r="U191" i="4"/>
  <c r="U212" i="4"/>
  <c r="U284" i="4"/>
  <c r="U232" i="4"/>
  <c r="Y110" i="4"/>
  <c r="W132" i="4"/>
  <c r="U197" i="4"/>
  <c r="U253" i="4"/>
  <c r="U228" i="4"/>
  <c r="U263" i="4"/>
  <c r="U218" i="4"/>
  <c r="U237" i="4"/>
  <c r="U208" i="4"/>
  <c r="W108" i="4"/>
  <c r="W87" i="4"/>
  <c r="W178" i="4"/>
  <c r="U211" i="4"/>
  <c r="U231" i="4"/>
  <c r="U205" i="4"/>
  <c r="U242" i="4"/>
  <c r="U229" i="4"/>
  <c r="U243" i="4"/>
  <c r="U220" i="4"/>
  <c r="Y195" i="4"/>
  <c r="W182" i="4"/>
  <c r="AH281" i="4"/>
  <c r="W222" i="4"/>
  <c r="U209" i="4"/>
  <c r="U248" i="4"/>
  <c r="U221" i="4"/>
  <c r="U239" i="4"/>
  <c r="U268" i="4"/>
  <c r="U226" i="4"/>
  <c r="Y207" i="4"/>
  <c r="Y218" i="4"/>
  <c r="Y267" i="4"/>
  <c r="Y221" i="4"/>
  <c r="Y238" i="4"/>
  <c r="Y125" i="4"/>
  <c r="Y179" i="4"/>
  <c r="Y130" i="4"/>
  <c r="Y152" i="4"/>
  <c r="W189" i="4"/>
  <c r="W187" i="4"/>
  <c r="W120" i="4"/>
  <c r="W268" i="4"/>
  <c r="U277" i="4"/>
  <c r="U245" i="4"/>
  <c r="U276" i="4"/>
  <c r="Y278" i="4"/>
  <c r="Y124" i="4"/>
  <c r="Y209" i="4"/>
  <c r="Y282" i="4"/>
  <c r="Y246" i="4"/>
  <c r="Y102" i="4"/>
  <c r="Y273" i="4"/>
  <c r="Y150" i="4"/>
  <c r="Y158" i="4"/>
  <c r="Y217" i="4"/>
  <c r="Y178" i="4"/>
  <c r="Y180" i="4"/>
  <c r="Y170" i="4"/>
  <c r="W208" i="4"/>
  <c r="W133" i="4"/>
  <c r="W160" i="4"/>
  <c r="W126" i="4"/>
  <c r="W106" i="4"/>
  <c r="DE282" i="4"/>
  <c r="U266" i="4"/>
  <c r="U230" i="4"/>
  <c r="Y199" i="4"/>
  <c r="Y281" i="4"/>
  <c r="Y250" i="4"/>
  <c r="Y165" i="4"/>
  <c r="Y113" i="4"/>
  <c r="Y226" i="4"/>
  <c r="Y286" i="4"/>
  <c r="Y145" i="4"/>
  <c r="Y191" i="4"/>
  <c r="W264" i="4"/>
  <c r="W144" i="4"/>
  <c r="W150" i="4"/>
  <c r="W86" i="4"/>
  <c r="W112" i="4"/>
  <c r="W190" i="4"/>
  <c r="W153" i="4"/>
  <c r="Y289" i="4"/>
  <c r="AT279" i="4"/>
  <c r="W210" i="4"/>
  <c r="W242" i="4"/>
  <c r="W207" i="4"/>
  <c r="W272" i="4"/>
  <c r="W233" i="4"/>
  <c r="GY4" i="4"/>
  <c r="GW4" i="4"/>
  <c r="U274" i="4"/>
  <c r="U241" i="4"/>
  <c r="Y196" i="4"/>
  <c r="Y240" i="4"/>
  <c r="Y206" i="4"/>
  <c r="Y277" i="4"/>
  <c r="Y161" i="4"/>
  <c r="Y155" i="4"/>
  <c r="Y224" i="4"/>
  <c r="Y104" i="4"/>
  <c r="Y134" i="4"/>
  <c r="Y117" i="4"/>
  <c r="W121" i="4"/>
  <c r="W128" i="4"/>
  <c r="W140" i="4"/>
  <c r="W247" i="4"/>
  <c r="W212" i="4"/>
  <c r="W180" i="4"/>
  <c r="W124" i="4"/>
  <c r="W127" i="4"/>
  <c r="Y169" i="4"/>
  <c r="W275" i="4"/>
  <c r="W191" i="4"/>
  <c r="W100" i="4"/>
  <c r="W136" i="4"/>
  <c r="U179" i="4"/>
  <c r="U227" i="4"/>
  <c r="U185" i="4"/>
  <c r="U252" i="4"/>
  <c r="Y212" i="4"/>
  <c r="Y263" i="4"/>
  <c r="Y215" i="4"/>
  <c r="Y141" i="4"/>
  <c r="Y122" i="4"/>
  <c r="W77" i="4"/>
  <c r="W196" i="4"/>
  <c r="W199" i="4"/>
  <c r="W151" i="4"/>
  <c r="W237" i="4"/>
  <c r="W238" i="4"/>
  <c r="W288" i="4"/>
  <c r="W286" i="4"/>
  <c r="W287" i="4"/>
  <c r="W119" i="4"/>
  <c r="W236" i="4"/>
  <c r="W230" i="4"/>
  <c r="W81" i="4"/>
  <c r="W167" i="4"/>
  <c r="W82" i="4"/>
  <c r="W103" i="4"/>
  <c r="W111" i="4"/>
  <c r="W261" i="4"/>
  <c r="AV275" i="4"/>
  <c r="W206" i="4"/>
  <c r="W271" i="4"/>
  <c r="W248" i="4"/>
  <c r="W149" i="4"/>
  <c r="W259" i="4"/>
  <c r="W172" i="4"/>
  <c r="W88" i="4"/>
  <c r="W240" i="4"/>
  <c r="W135" i="4"/>
  <c r="W159" i="4"/>
  <c r="W113" i="4"/>
  <c r="W209" i="4"/>
  <c r="W244" i="4"/>
  <c r="W145" i="4"/>
  <c r="W109" i="4"/>
  <c r="W192" i="4"/>
  <c r="W181" i="4"/>
  <c r="W183" i="4"/>
  <c r="W216" i="4"/>
  <c r="W225" i="4"/>
  <c r="W221" i="4"/>
  <c r="W260" i="4"/>
  <c r="W213" i="4"/>
  <c r="W250" i="4"/>
  <c r="Y266" i="4"/>
  <c r="W279" i="4"/>
  <c r="W200" i="4"/>
  <c r="W220" i="4"/>
  <c r="W269" i="4"/>
  <c r="W79" i="4"/>
  <c r="W177" i="4"/>
  <c r="W156" i="4"/>
  <c r="W134" i="4"/>
  <c r="W91" i="4"/>
  <c r="W205" i="4"/>
  <c r="W162" i="4"/>
  <c r="W137" i="4"/>
  <c r="W254" i="4"/>
  <c r="W251" i="4"/>
  <c r="W277" i="4"/>
  <c r="U166" i="4"/>
  <c r="W204" i="4"/>
  <c r="W226" i="4"/>
  <c r="W142" i="4"/>
  <c r="W284" i="4"/>
  <c r="W281" i="4"/>
  <c r="W266" i="4"/>
  <c r="W173" i="4"/>
  <c r="DB279" i="4"/>
  <c r="Y247" i="4"/>
  <c r="Y182" i="4"/>
  <c r="Y181" i="4"/>
  <c r="Y177" i="4"/>
  <c r="W218" i="4"/>
  <c r="W280" i="4"/>
  <c r="W267" i="4"/>
  <c r="W278" i="4"/>
  <c r="W283" i="4"/>
  <c r="W241" i="4"/>
  <c r="W202" i="4"/>
  <c r="W262" i="4"/>
  <c r="W239" i="4"/>
  <c r="W141" i="4"/>
  <c r="W148" i="4"/>
  <c r="W227" i="4"/>
  <c r="W285" i="4"/>
  <c r="W169" i="4"/>
  <c r="U289" i="4"/>
  <c r="W258" i="4"/>
  <c r="W197" i="4"/>
  <c r="W215" i="4"/>
  <c r="W253" i="4"/>
  <c r="W243" i="4"/>
  <c r="W223" i="4"/>
  <c r="W168" i="4"/>
  <c r="W92" i="4"/>
  <c r="W274" i="4"/>
  <c r="W110" i="4"/>
  <c r="W117" i="4"/>
  <c r="W273" i="4"/>
  <c r="W93" i="4"/>
  <c r="ED275" i="4"/>
  <c r="U224" i="4"/>
  <c r="U280" i="4"/>
  <c r="U170" i="4"/>
  <c r="U202" i="4"/>
  <c r="Y236" i="4"/>
  <c r="Y202" i="4"/>
  <c r="Y254" i="4"/>
  <c r="Y189" i="4"/>
  <c r="Y183" i="4"/>
  <c r="W270" i="4"/>
  <c r="U86" i="4"/>
  <c r="W282" i="4"/>
  <c r="W263" i="4"/>
  <c r="W174" i="4"/>
  <c r="U195" i="4"/>
  <c r="W231" i="4"/>
  <c r="W165" i="4"/>
  <c r="W193" i="4"/>
  <c r="W175" i="4"/>
  <c r="W80" i="4"/>
  <c r="W232" i="4"/>
  <c r="W265" i="4"/>
  <c r="W229" i="4"/>
  <c r="W255" i="4"/>
  <c r="W245" i="4"/>
  <c r="W276" i="4"/>
  <c r="W186" i="4"/>
  <c r="W99" i="4"/>
  <c r="AX285" i="4"/>
  <c r="U186" i="4"/>
  <c r="U210" i="4"/>
  <c r="U172" i="4"/>
  <c r="U214" i="4"/>
  <c r="U187" i="4"/>
  <c r="Y208" i="4"/>
  <c r="Y269" i="4"/>
  <c r="Y211" i="4"/>
  <c r="W246" i="4"/>
  <c r="W289" i="4"/>
  <c r="W214" i="4"/>
  <c r="W170" i="4"/>
  <c r="W203" i="4"/>
  <c r="W90" i="4"/>
  <c r="W234" i="4"/>
  <c r="W184" i="4"/>
  <c r="W219" i="4"/>
  <c r="W105" i="4"/>
  <c r="W195" i="4"/>
  <c r="W257" i="4"/>
  <c r="W130" i="4"/>
  <c r="W155" i="4"/>
  <c r="W102" i="4"/>
  <c r="W228" i="4"/>
  <c r="W256" i="4"/>
  <c r="W94" i="4"/>
  <c r="W211" i="4"/>
  <c r="W179" i="4"/>
  <c r="W85" i="4"/>
  <c r="AV285" i="4"/>
  <c r="AV277" i="4"/>
  <c r="BC283" i="4"/>
  <c r="AV276" i="4"/>
  <c r="AO279" i="4"/>
  <c r="AF282" i="4"/>
  <c r="Q288" i="4"/>
  <c r="BE288" i="4"/>
  <c r="BA289" i="4"/>
  <c r="BG289" i="4"/>
  <c r="CX280" i="4"/>
  <c r="BV281" i="4"/>
  <c r="CC279" i="4"/>
  <c r="O289" i="4"/>
  <c r="BN288" i="4"/>
  <c r="CN279" i="4"/>
  <c r="BL281" i="4"/>
  <c r="BZ284" i="4"/>
  <c r="AA285" i="4"/>
  <c r="BJ287" i="4"/>
  <c r="BS281" i="4"/>
  <c r="CU282" i="4"/>
  <c r="BX289" i="4"/>
  <c r="CJ289" i="4"/>
  <c r="CQ278" i="4"/>
  <c r="BQ281" i="4"/>
  <c r="BQ278" i="4"/>
  <c r="BQ279" i="4"/>
  <c r="BQ282" i="4"/>
  <c r="BQ283" i="4"/>
  <c r="BQ280" i="4"/>
  <c r="AZ285" i="4"/>
  <c r="CQ285" i="4"/>
  <c r="CB285" i="4"/>
  <c r="DE284" i="4"/>
  <c r="CB284" i="4"/>
  <c r="BV284" i="4"/>
  <c r="BA284" i="4"/>
  <c r="CC287" i="4"/>
  <c r="BH287" i="4"/>
  <c r="BA287" i="4"/>
  <c r="AV286" i="4"/>
  <c r="BS288" i="4"/>
  <c r="O288" i="4"/>
  <c r="BA286" i="4"/>
  <c r="BJ288" i="4"/>
  <c r="DL289" i="4"/>
  <c r="DD288" i="4"/>
  <c r="CP289" i="4"/>
  <c r="BN286" i="4"/>
  <c r="AC288" i="4"/>
  <c r="AM288" i="4"/>
  <c r="EJ288" i="4" s="1"/>
  <c r="CC288" i="4"/>
  <c r="CB278" i="4"/>
  <c r="CB280" i="4"/>
  <c r="DN281" i="4"/>
  <c r="DE280" i="4"/>
  <c r="CU283" i="4"/>
  <c r="EG280" i="4"/>
  <c r="DD282" i="4"/>
  <c r="AH280" i="4"/>
  <c r="AT282" i="4"/>
  <c r="DP280" i="4"/>
  <c r="DR281" i="4"/>
  <c r="CN280" i="4"/>
  <c r="AV281" i="4"/>
  <c r="AL278" i="4"/>
  <c r="BC287" i="4"/>
  <c r="CP281" i="4"/>
  <c r="AA278" i="4"/>
  <c r="DP283" i="4"/>
  <c r="CE287" i="4"/>
  <c r="BZ282" i="4"/>
  <c r="DK281" i="4"/>
  <c r="DB282" i="4"/>
  <c r="DZ280" i="4"/>
  <c r="CN282" i="4"/>
  <c r="AC283" i="4"/>
  <c r="BC279" i="4"/>
  <c r="AH279" i="4"/>
  <c r="CQ280" i="4"/>
  <c r="AE281" i="4"/>
  <c r="CU281" i="4"/>
  <c r="BX282" i="4"/>
  <c r="BX279" i="4"/>
  <c r="BX280" i="4"/>
  <c r="BX281" i="4"/>
  <c r="BX278" i="4"/>
  <c r="BX283" i="4"/>
  <c r="DK285" i="4"/>
  <c r="BU285" i="4"/>
  <c r="AS285" i="4"/>
  <c r="CW284" i="4"/>
  <c r="CC284" i="4"/>
  <c r="AL287" i="4"/>
  <c r="AT287" i="4"/>
  <c r="CP287" i="4"/>
  <c r="BL288" i="4"/>
  <c r="DE289" i="4"/>
  <c r="BZ287" i="4"/>
  <c r="AQ289" i="4"/>
  <c r="AV287" i="4"/>
  <c r="BQ286" i="4"/>
  <c r="DZ289" i="4"/>
  <c r="EG288" i="4"/>
  <c r="CG286" i="4"/>
  <c r="AE286" i="4"/>
  <c r="BH288" i="4"/>
  <c r="DW288" i="4"/>
  <c r="DE286" i="4"/>
  <c r="CC278" i="4"/>
  <c r="CE281" i="4"/>
  <c r="DS280" i="4"/>
  <c r="CX278" i="4"/>
  <c r="AF281" i="4"/>
  <c r="DS281" i="4"/>
  <c r="CG282" i="4"/>
  <c r="DZ279" i="4"/>
  <c r="AM286" i="4"/>
  <c r="EJ286" i="4" s="1"/>
  <c r="AA283" i="4"/>
  <c r="AC284" i="4"/>
  <c r="EG278" i="4"/>
  <c r="AO278" i="4"/>
  <c r="DE283" i="4"/>
  <c r="BX284" i="4"/>
  <c r="AA281" i="4"/>
  <c r="DY281" i="4"/>
  <c r="BZ280" i="4"/>
  <c r="DB280" i="4"/>
  <c r="CN287" i="4"/>
  <c r="BC280" i="4"/>
  <c r="DK280" i="4"/>
  <c r="AQ282" i="4"/>
  <c r="DY279" i="4"/>
  <c r="CJ282" i="4"/>
  <c r="CJ281" i="4"/>
  <c r="CI278" i="4"/>
  <c r="CI282" i="4"/>
  <c r="CI281" i="4"/>
  <c r="CJ279" i="4"/>
  <c r="CI279" i="4"/>
  <c r="CJ280" i="4"/>
  <c r="CI280" i="4"/>
  <c r="CI283" i="4"/>
  <c r="CJ283" i="4"/>
  <c r="CJ278" i="4"/>
  <c r="BE280" i="4"/>
  <c r="BE281" i="4"/>
  <c r="BE282" i="4"/>
  <c r="BE279" i="4"/>
  <c r="BE278" i="4"/>
  <c r="BE283" i="4"/>
  <c r="DL285" i="4"/>
  <c r="BV285" i="4"/>
  <c r="AT285" i="4"/>
  <c r="CX284" i="4"/>
  <c r="BQ285" i="4"/>
  <c r="O285" i="4"/>
  <c r="AM287" i="4"/>
  <c r="EJ287" i="4" s="1"/>
  <c r="AS287" i="4"/>
  <c r="CQ287" i="4"/>
  <c r="BE286" i="4"/>
  <c r="BQ288" i="4"/>
  <c r="BC288" i="4"/>
  <c r="AC287" i="4"/>
  <c r="DP286" i="4"/>
  <c r="AO289" i="4"/>
  <c r="AO287" i="4"/>
  <c r="CI289" i="4"/>
  <c r="AE289" i="4"/>
  <c r="CW286" i="4"/>
  <c r="CB286" i="4"/>
  <c r="DL288" i="4"/>
  <c r="DW289" i="4"/>
  <c r="BO289" i="4"/>
  <c r="DZ286" i="4"/>
  <c r="AL289" i="4"/>
  <c r="BS282" i="4"/>
  <c r="BU278" i="4"/>
  <c r="DS286" i="4"/>
  <c r="DN280" i="4"/>
  <c r="DD280" i="4"/>
  <c r="AH282" i="4"/>
  <c r="DP279" i="4"/>
  <c r="BZ278" i="4"/>
  <c r="AC282" i="4"/>
  <c r="DP282" i="4"/>
  <c r="DI279" i="4"/>
  <c r="AQ285" i="4"/>
  <c r="AJ282" i="4"/>
  <c r="CW281" i="4"/>
  <c r="CQ279" i="4"/>
  <c r="DZ282" i="4"/>
  <c r="BE284" i="4"/>
  <c r="CP279" i="4"/>
  <c r="AE280" i="4"/>
  <c r="AC278" i="4"/>
  <c r="CU280" i="4"/>
  <c r="CQ283" i="4"/>
  <c r="CI288" i="4"/>
  <c r="BL279" i="4"/>
  <c r="AH284" i="4"/>
  <c r="AA279" i="4"/>
  <c r="BZ279" i="4"/>
  <c r="AX283" i="4"/>
  <c r="AX278" i="4"/>
  <c r="AX282" i="4"/>
  <c r="AX279" i="4"/>
  <c r="AX281" i="4"/>
  <c r="AX280" i="4"/>
  <c r="S287" i="4"/>
  <c r="DY285" i="4"/>
  <c r="AL285" i="4"/>
  <c r="AS284" i="4"/>
  <c r="ED285" i="4"/>
  <c r="AO285" i="4"/>
  <c r="AH285" i="4"/>
  <c r="DK287" i="4"/>
  <c r="BN287" i="4"/>
  <c r="AC289" i="4"/>
  <c r="BS289" i="4"/>
  <c r="BX288" i="4"/>
  <c r="CB288" i="4"/>
  <c r="BQ289" i="4"/>
  <c r="CU286" i="4"/>
  <c r="ED289" i="4"/>
  <c r="CG288" i="4"/>
  <c r="AT286" i="4"/>
  <c r="BL287" i="4"/>
  <c r="AF288" i="4"/>
  <c r="CB289" i="4"/>
  <c r="CC289" i="4"/>
  <c r="EG289" i="4"/>
  <c r="BV283" i="4"/>
  <c r="BV278" i="4"/>
  <c r="DW279" i="4"/>
  <c r="DB287" i="4"/>
  <c r="DR280" i="4"/>
  <c r="AO281" i="4"/>
  <c r="CP278" i="4"/>
  <c r="DP284" i="4"/>
  <c r="BL280" i="4"/>
  <c r="AE279" i="4"/>
  <c r="O284" i="4"/>
  <c r="AC281" i="4"/>
  <c r="AH288" i="4"/>
  <c r="BC278" i="4"/>
  <c r="AS281" i="4"/>
  <c r="AV284" i="4"/>
  <c r="AL279" i="4"/>
  <c r="AL280" i="4"/>
  <c r="AQ281" i="4"/>
  <c r="DI285" i="4"/>
  <c r="AF279" i="4"/>
  <c r="EG283" i="4"/>
  <c r="BS287" i="4"/>
  <c r="DW283" i="4"/>
  <c r="ED284" i="4"/>
  <c r="DI283" i="4"/>
  <c r="BA282" i="4"/>
  <c r="AZ282" i="4"/>
  <c r="BA278" i="4"/>
  <c r="BA281" i="4"/>
  <c r="BA280" i="4"/>
  <c r="AZ279" i="4"/>
  <c r="AZ281" i="4"/>
  <c r="AZ280" i="4"/>
  <c r="BA283" i="4"/>
  <c r="AZ283" i="4"/>
  <c r="AZ278" i="4"/>
  <c r="BA279" i="4"/>
  <c r="DZ285" i="4"/>
  <c r="AM285" i="4"/>
  <c r="EJ285" i="4" s="1"/>
  <c r="AT284" i="4"/>
  <c r="BE285" i="4"/>
  <c r="AJ285" i="4"/>
  <c r="DL287" i="4"/>
  <c r="BO287" i="4"/>
  <c r="AX288" i="4"/>
  <c r="DN289" i="4"/>
  <c r="DY289" i="4"/>
  <c r="CE286" i="4"/>
  <c r="BU288" i="4"/>
  <c r="BL286" i="4"/>
  <c r="DB288" i="4"/>
  <c r="CW288" i="4"/>
  <c r="CU289" i="4"/>
  <c r="AH287" i="4"/>
  <c r="AX289" i="4"/>
  <c r="DN286" i="4"/>
  <c r="BO286" i="4"/>
  <c r="DR289" i="4"/>
  <c r="CX289" i="4"/>
  <c r="AX287" i="4"/>
  <c r="BV282" i="4"/>
  <c r="BS280" i="4"/>
  <c r="BV279" i="4"/>
  <c r="CU284" i="4"/>
  <c r="DW280" i="4"/>
  <c r="AM278" i="4"/>
  <c r="EJ278" i="4" s="1"/>
  <c r="DP285" i="4"/>
  <c r="DL279" i="4"/>
  <c r="AJ284" i="4"/>
  <c r="BL282" i="4"/>
  <c r="AC286" i="4"/>
  <c r="AV283" i="4"/>
  <c r="ED283" i="4"/>
  <c r="DI284" i="4"/>
  <c r="AF278" i="4"/>
  <c r="DL281" i="4"/>
  <c r="DP278" i="4"/>
  <c r="AS279" i="4"/>
  <c r="DB285" i="4"/>
  <c r="DY278" i="4"/>
  <c r="AQ279" i="4"/>
  <c r="CP282" i="4"/>
  <c r="BJ285" i="4"/>
  <c r="DI278" i="4"/>
  <c r="CP283" i="4"/>
  <c r="CW283" i="4"/>
  <c r="AM280" i="4"/>
  <c r="EJ280" i="4" s="1"/>
  <c r="BG283" i="4"/>
  <c r="BG279" i="4"/>
  <c r="BH283" i="4"/>
  <c r="BH286" i="4"/>
  <c r="BH280" i="4"/>
  <c r="BH278" i="4"/>
  <c r="BG280" i="4"/>
  <c r="BH282" i="4"/>
  <c r="BH279" i="4"/>
  <c r="BG282" i="4"/>
  <c r="BG281" i="4"/>
  <c r="BH281" i="4"/>
  <c r="BG278" i="4"/>
  <c r="CI285" i="4"/>
  <c r="DD285" i="4"/>
  <c r="AL284" i="4"/>
  <c r="DW285" i="4"/>
  <c r="CE285" i="4"/>
  <c r="EG284" i="4"/>
  <c r="DD287" i="4"/>
  <c r="DY287" i="4"/>
  <c r="DR287" i="4"/>
  <c r="CQ288" i="4"/>
  <c r="CN288" i="4"/>
  <c r="BV289" i="4"/>
  <c r="BO288" i="4"/>
  <c r="AO288" i="4"/>
  <c r="ED288" i="4"/>
  <c r="DR288" i="4"/>
  <c r="BZ289" i="4"/>
  <c r="BJ286" i="4"/>
  <c r="DW286" i="4"/>
  <c r="AF286" i="4"/>
  <c r="AA289" i="4"/>
  <c r="AV289" i="4"/>
  <c r="CQ289" i="4"/>
  <c r="BV286" i="4"/>
  <c r="BV280" i="4"/>
  <c r="BU279" i="4"/>
  <c r="CU279" i="4"/>
  <c r="BJ284" i="4"/>
  <c r="BC282" i="4"/>
  <c r="DD286" i="4"/>
  <c r="EG279" i="4"/>
  <c r="CG284" i="4"/>
  <c r="CX288" i="4"/>
  <c r="AH283" i="4"/>
  <c r="DB284" i="4"/>
  <c r="AE283" i="4"/>
  <c r="AA280" i="4"/>
  <c r="DI287" i="4"/>
  <c r="AE278" i="4"/>
  <c r="DZ281" i="4"/>
  <c r="CW278" i="4"/>
  <c r="DK278" i="4"/>
  <c r="AA284" i="4"/>
  <c r="AO282" i="4"/>
  <c r="CW282" i="4"/>
  <c r="BH289" i="4"/>
  <c r="DB281" i="4"/>
  <c r="CG279" i="4"/>
  <c r="DW278" i="4"/>
  <c r="EG285" i="4"/>
  <c r="CJ285" i="4"/>
  <c r="DE285" i="4"/>
  <c r="AM284" i="4"/>
  <c r="EJ284" i="4" s="1"/>
  <c r="DY284" i="4"/>
  <c r="DK284" i="4"/>
  <c r="DR284" i="4"/>
  <c r="DE287" i="4"/>
  <c r="DZ287" i="4"/>
  <c r="DS287" i="4"/>
  <c r="CP288" i="4"/>
  <c r="BC286" i="4"/>
  <c r="CI286" i="4"/>
  <c r="AJ289" i="4"/>
  <c r="DN288" i="4"/>
  <c r="CX286" i="4"/>
  <c r="BX287" i="4"/>
  <c r="AM289" i="4"/>
  <c r="EJ289" i="4" s="1"/>
  <c r="CC286" i="4"/>
  <c r="BG288" i="4"/>
  <c r="CN289" i="4"/>
  <c r="BS279" i="4"/>
  <c r="CC283" i="4"/>
  <c r="AS283" i="4"/>
  <c r="AZ286" i="4"/>
  <c r="CU285" i="4"/>
  <c r="ED279" i="4"/>
  <c r="BC284" i="4"/>
  <c r="AS278" i="4"/>
  <c r="CN284" i="4"/>
  <c r="CC280" i="4"/>
  <c r="DN278" i="4"/>
  <c r="DZ283" i="4"/>
  <c r="DW284" i="4"/>
  <c r="CE282" i="4"/>
  <c r="DD279" i="4"/>
  <c r="ED282" i="4"/>
  <c r="AJ280" i="4"/>
  <c r="AF280" i="4"/>
  <c r="AQ287" i="4"/>
  <c r="DN279" i="4"/>
  <c r="AS280" i="4"/>
  <c r="AX284" i="4"/>
  <c r="AA282" i="4"/>
  <c r="CX283" i="4"/>
  <c r="CG285" i="4"/>
  <c r="AV278" i="4"/>
  <c r="CW285" i="4"/>
  <c r="DR285" i="4"/>
  <c r="BH285" i="4"/>
  <c r="CP284" i="4"/>
  <c r="DZ284" i="4"/>
  <c r="DL284" i="4"/>
  <c r="DS284" i="4"/>
  <c r="AE287" i="4"/>
  <c r="CI287" i="4"/>
  <c r="BC285" i="4"/>
  <c r="CJ288" i="4"/>
  <c r="BC289" i="4"/>
  <c r="AO286" i="4"/>
  <c r="CQ286" i="4"/>
  <c r="DS288" i="4"/>
  <c r="AH286" i="4"/>
  <c r="AS286" i="4"/>
  <c r="AQ288" i="4"/>
  <c r="BA288" i="4"/>
  <c r="AA288" i="4"/>
  <c r="ED287" i="4"/>
  <c r="DK288" i="4"/>
  <c r="AX286" i="4"/>
  <c r="BS283" i="4"/>
  <c r="BS278" i="4"/>
  <c r="CB282" i="4"/>
  <c r="AL282" i="4"/>
  <c r="AO284" i="4"/>
  <c r="BX285" i="4"/>
  <c r="DZ278" i="4"/>
  <c r="BQ284" i="4"/>
  <c r="AF283" i="4"/>
  <c r="BS284" i="4"/>
  <c r="CW279" i="4"/>
  <c r="DL282" i="4"/>
  <c r="CE280" i="4"/>
  <c r="AJ279" i="4"/>
  <c r="AT278" i="4"/>
  <c r="AQ280" i="4"/>
  <c r="AL288" i="4"/>
  <c r="DE279" i="4"/>
  <c r="DN283" i="4"/>
  <c r="DI282" i="4"/>
  <c r="DY280" i="4"/>
  <c r="AA287" i="4"/>
  <c r="CE283" i="4"/>
  <c r="AM282" i="4"/>
  <c r="EJ282" i="4" s="1"/>
  <c r="CG287" i="4"/>
  <c r="DD278" i="4"/>
  <c r="DR279" i="4"/>
  <c r="O286" i="4"/>
  <c r="O281" i="4"/>
  <c r="O280" i="4"/>
  <c r="O283" i="4"/>
  <c r="O278" i="4"/>
  <c r="O279" i="4"/>
  <c r="O282" i="4"/>
  <c r="CX285" i="4"/>
  <c r="DS285" i="4"/>
  <c r="BG285" i="4"/>
  <c r="CQ284" i="4"/>
  <c r="AE284" i="4"/>
  <c r="CI284" i="4"/>
  <c r="BL285" i="4"/>
  <c r="AF287" i="4"/>
  <c r="EG287" i="4"/>
  <c r="CJ287" i="4"/>
  <c r="AA286" i="4"/>
  <c r="AV288" i="4"/>
  <c r="AJ287" i="4"/>
  <c r="BJ289" i="4"/>
  <c r="BZ286" i="4"/>
  <c r="DN285" i="4"/>
  <c r="DR286" i="4"/>
  <c r="BX286" i="4"/>
  <c r="BS286" i="4"/>
  <c r="BU289" i="4"/>
  <c r="AS289" i="4"/>
  <c r="DW287" i="4"/>
  <c r="AE288" i="4"/>
  <c r="AT289" i="4"/>
  <c r="BU283" i="4"/>
  <c r="CB283" i="4"/>
  <c r="CC281" i="4"/>
  <c r="AL281" i="4"/>
  <c r="AQ284" i="4"/>
  <c r="AJ283" i="4"/>
  <c r="DS279" i="4"/>
  <c r="AC280" i="4"/>
  <c r="DK283" i="4"/>
  <c r="BS285" i="4"/>
  <c r="DY283" i="4"/>
  <c r="DI280" i="4"/>
  <c r="DR278" i="4"/>
  <c r="CQ281" i="4"/>
  <c r="CN278" i="4"/>
  <c r="AQ283" i="4"/>
  <c r="AH278" i="4"/>
  <c r="DW282" i="4"/>
  <c r="DP287" i="4"/>
  <c r="BZ281" i="4"/>
  <c r="AO283" i="4"/>
  <c r="FU280" i="4"/>
  <c r="AL283" i="4"/>
  <c r="CG278" i="4"/>
  <c r="AV279" i="4"/>
  <c r="DL280" i="4"/>
  <c r="AS288" i="4"/>
  <c r="EG282" i="4"/>
  <c r="BU281" i="4"/>
  <c r="AJ281" i="4"/>
  <c r="ED278" i="4"/>
  <c r="BN279" i="4"/>
  <c r="BO278" i="4"/>
  <c r="BO279" i="4"/>
  <c r="BO280" i="4"/>
  <c r="BN278" i="4"/>
  <c r="BN280" i="4"/>
  <c r="BO282" i="4"/>
  <c r="BN283" i="4"/>
  <c r="BN282" i="4"/>
  <c r="BO283" i="4"/>
  <c r="BO281" i="4"/>
  <c r="BN281" i="4"/>
  <c r="AF285" i="4"/>
  <c r="BN285" i="4"/>
  <c r="BN284" i="4"/>
  <c r="AF284" i="4"/>
  <c r="CJ284" i="4"/>
  <c r="BG284" i="4"/>
  <c r="BU287" i="4"/>
  <c r="CW287" i="4"/>
  <c r="CE288" i="4"/>
  <c r="BZ285" i="4"/>
  <c r="DI286" i="4"/>
  <c r="BN289" i="4"/>
  <c r="CN286" i="4"/>
  <c r="CJ286" i="4"/>
  <c r="DP288" i="4"/>
  <c r="DN287" i="4"/>
  <c r="CW289" i="4"/>
  <c r="DS289" i="4"/>
  <c r="DZ288" i="4"/>
  <c r="BQ287" i="4"/>
  <c r="BU286" i="4"/>
  <c r="AZ289" i="4"/>
  <c r="BU282" i="4"/>
  <c r="CC282" i="4"/>
  <c r="FU286" i="4"/>
  <c r="DD281" i="4"/>
  <c r="AV280" i="4"/>
  <c r="CX279" i="4"/>
  <c r="BC281" i="4"/>
  <c r="AQ278" i="4"/>
  <c r="DR283" i="4"/>
  <c r="BL284" i="4"/>
  <c r="DR282" i="4"/>
  <c r="DS278" i="4"/>
  <c r="EG281" i="4"/>
  <c r="DD289" i="4"/>
  <c r="DB283" i="4"/>
  <c r="DY286" i="4"/>
  <c r="ED281" i="4"/>
  <c r="AM283" i="4"/>
  <c r="CQ282" i="4"/>
  <c r="DL278" i="4"/>
  <c r="DN284" i="4"/>
  <c r="O287" i="4"/>
  <c r="AV282" i="4"/>
  <c r="AM281" i="4"/>
  <c r="EJ281" i="4" s="1"/>
  <c r="BV288" i="4"/>
  <c r="DP281" i="4"/>
  <c r="CE278" i="4"/>
  <c r="EK9" i="4"/>
  <c r="EK8" i="4"/>
  <c r="EK7" i="4"/>
  <c r="EK6" i="4"/>
  <c r="EK5" i="4"/>
  <c r="EK4" i="4"/>
  <c r="S285" i="4"/>
  <c r="AE285" i="4"/>
  <c r="BO285" i="4"/>
  <c r="BO284" i="4"/>
  <c r="AC285" i="4"/>
  <c r="BH284" i="4"/>
  <c r="BV287" i="4"/>
  <c r="CX287" i="4"/>
  <c r="DI289" i="4"/>
  <c r="ED286" i="4"/>
  <c r="DK286" i="4"/>
  <c r="DP289" i="4"/>
  <c r="CP286" i="4"/>
  <c r="CG289" i="4"/>
  <c r="DB286" i="4"/>
  <c r="AH289" i="4"/>
  <c r="AJ288" i="4"/>
  <c r="DE288" i="4"/>
  <c r="CE289" i="4"/>
  <c r="BG286" i="4"/>
  <c r="AZ288" i="4"/>
  <c r="AF289" i="4"/>
  <c r="CB279" i="4"/>
  <c r="BU280" i="4"/>
  <c r="CB281" i="4"/>
  <c r="AM279" i="4"/>
  <c r="CW280" i="4"/>
  <c r="AJ278" i="4"/>
  <c r="AT283" i="4"/>
  <c r="BL283" i="4"/>
  <c r="DK279" i="4"/>
  <c r="DS282" i="4"/>
  <c r="AE282" i="4"/>
  <c r="BL278" i="4"/>
  <c r="DW281" i="4"/>
  <c r="CX281" i="4"/>
  <c r="CU287" i="4"/>
  <c r="BZ283" i="4"/>
  <c r="DD283" i="4"/>
  <c r="CU278" i="4"/>
  <c r="CE279" i="4"/>
  <c r="AO280" i="4"/>
  <c r="DY282" i="4"/>
  <c r="DB278" i="4"/>
  <c r="CX282" i="4"/>
  <c r="DN282" i="4"/>
  <c r="DE278" i="4"/>
  <c r="DL286" i="4"/>
  <c r="DE281" i="4"/>
  <c r="AC279" i="4"/>
  <c r="DL283" i="4"/>
  <c r="BJ280" i="4"/>
  <c r="BJ283" i="4"/>
  <c r="BJ282" i="4"/>
  <c r="BJ281" i="4"/>
  <c r="BJ278" i="4"/>
  <c r="BJ279" i="4"/>
  <c r="FS53" i="4"/>
  <c r="BA285" i="4"/>
  <c r="CP285" i="4"/>
  <c r="CC285" i="4"/>
  <c r="DD284" i="4"/>
  <c r="CN285" i="4"/>
  <c r="BU284" i="4"/>
  <c r="AZ284" i="4"/>
  <c r="CB287" i="4"/>
  <c r="BG287" i="4"/>
  <c r="AZ287" i="4"/>
  <c r="AQ286" i="4"/>
  <c r="DB289" i="4"/>
  <c r="BZ288" i="4"/>
  <c r="DK289" i="4"/>
  <c r="BE289" i="4"/>
  <c r="DI288" i="4"/>
  <c r="CU288" i="4"/>
  <c r="BL289" i="4"/>
  <c r="AJ286" i="4"/>
  <c r="EG286" i="4"/>
  <c r="AT288" i="4"/>
  <c r="CP280" i="4"/>
  <c r="DS283" i="4"/>
  <c r="AS282" i="4"/>
  <c r="CG280" i="4"/>
  <c r="FU288" i="4"/>
  <c r="DK282" i="4"/>
  <c r="ED280" i="4"/>
  <c r="CG283" i="4"/>
  <c r="CE284" i="4"/>
  <c r="AT281" i="4"/>
  <c r="CN283" i="4"/>
  <c r="AT280" i="4"/>
  <c r="CN281" i="4"/>
  <c r="DI281" i="4"/>
  <c r="BE287" i="4"/>
  <c r="S278" i="4"/>
  <c r="S279" i="4"/>
  <c r="S280" i="4"/>
  <c r="S281" i="4"/>
  <c r="S283" i="4"/>
  <c r="S282" i="4"/>
  <c r="S288" i="4"/>
  <c r="Q278" i="4"/>
  <c r="Q279" i="4"/>
  <c r="Q280" i="4"/>
  <c r="Q282" i="4"/>
  <c r="Q283" i="4"/>
  <c r="Q281" i="4"/>
  <c r="Q286" i="4"/>
  <c r="S286" i="4"/>
  <c r="S284" i="4"/>
  <c r="S289" i="4"/>
  <c r="Q287" i="4"/>
  <c r="Q284" i="4"/>
  <c r="Q289" i="4"/>
  <c r="Q285" i="4"/>
  <c r="N7" i="15"/>
  <c r="T7" i="15" s="1"/>
  <c r="FT38" i="4"/>
  <c r="FT36" i="4"/>
  <c r="FT35" i="4"/>
  <c r="FT42" i="4"/>
  <c r="FT33" i="4"/>
  <c r="FT32" i="4"/>
  <c r="FT41" i="4"/>
  <c r="FT48" i="4"/>
  <c r="FT46" i="4"/>
  <c r="FT34" i="4"/>
  <c r="FT29" i="4"/>
  <c r="FT45" i="4"/>
  <c r="FR28" i="4"/>
  <c r="FT28" i="4"/>
  <c r="FT37" i="4"/>
  <c r="FT51" i="4"/>
  <c r="FT30" i="4"/>
  <c r="FT49" i="4"/>
  <c r="FT50" i="4"/>
  <c r="FT31" i="4"/>
  <c r="FT40" i="4"/>
  <c r="FT39" i="4"/>
  <c r="FT43" i="4"/>
  <c r="FT44" i="4"/>
  <c r="FT53" i="4"/>
  <c r="FT47" i="4"/>
  <c r="N12" i="15"/>
  <c r="T12" i="15" s="1"/>
  <c r="N16" i="15"/>
  <c r="T16" i="15" s="1"/>
  <c r="DP222" i="4"/>
  <c r="DP114" i="4"/>
  <c r="DP211" i="4"/>
  <c r="DP169" i="4"/>
  <c r="DP160" i="4"/>
  <c r="DP150" i="4"/>
  <c r="DP118" i="4"/>
  <c r="DP110" i="4"/>
  <c r="AH118" i="4"/>
  <c r="AM232" i="4"/>
  <c r="EJ232" i="4" s="1"/>
  <c r="AH51" i="4"/>
  <c r="DP103" i="4"/>
  <c r="DP180" i="4"/>
  <c r="DP133" i="4"/>
  <c r="DP97" i="4"/>
  <c r="DP188" i="4"/>
  <c r="DP87" i="4"/>
  <c r="DP166" i="4"/>
  <c r="DP122" i="4"/>
  <c r="DP126" i="4"/>
  <c r="DP89" i="4"/>
  <c r="DP231" i="4"/>
  <c r="AH228" i="4"/>
  <c r="AM85" i="4"/>
  <c r="EJ85" i="4" s="1"/>
  <c r="GS85" i="4" s="1"/>
  <c r="AH243" i="4"/>
  <c r="AH148" i="4"/>
  <c r="DP144" i="4"/>
  <c r="DP204" i="4"/>
  <c r="AM179" i="4"/>
  <c r="EJ179" i="4" s="1"/>
  <c r="DP190" i="4"/>
  <c r="DP147" i="4"/>
  <c r="DP185" i="4"/>
  <c r="DP100" i="4"/>
  <c r="DP221" i="4"/>
  <c r="DP104" i="4"/>
  <c r="DP192" i="4"/>
  <c r="DP168" i="4"/>
  <c r="DP155" i="4"/>
  <c r="DP205" i="4"/>
  <c r="DP136" i="4"/>
  <c r="DP132" i="4"/>
  <c r="DP120" i="4"/>
  <c r="DP85" i="4"/>
  <c r="AM266" i="4"/>
  <c r="EJ266" i="4" s="1"/>
  <c r="AM136" i="4"/>
  <c r="EJ136" i="4" s="1"/>
  <c r="GU136" i="4" s="1"/>
  <c r="AM110" i="4"/>
  <c r="EJ110" i="4" s="1"/>
  <c r="GS110" i="4" s="1"/>
  <c r="AH178" i="4"/>
  <c r="AM150" i="4"/>
  <c r="EJ150" i="4" s="1"/>
  <c r="GS150" i="4" s="1"/>
  <c r="AH259" i="4"/>
  <c r="AH240" i="4"/>
  <c r="DP227" i="4"/>
  <c r="DP86" i="4"/>
  <c r="DP228" i="4"/>
  <c r="DP127" i="4"/>
  <c r="DP149" i="4"/>
  <c r="DP109" i="4"/>
  <c r="DP105" i="4"/>
  <c r="DP159" i="4"/>
  <c r="DP131" i="4"/>
  <c r="AH205" i="4"/>
  <c r="AH84" i="4"/>
  <c r="AH128" i="4"/>
  <c r="AH64" i="4"/>
  <c r="AH47" i="4"/>
  <c r="AM151" i="4"/>
  <c r="EJ151" i="4" s="1"/>
  <c r="GW151" i="4" s="1"/>
  <c r="AH254" i="4"/>
  <c r="AM192" i="4"/>
  <c r="EJ192" i="4" s="1"/>
  <c r="AH274" i="4"/>
  <c r="AM140" i="4"/>
  <c r="EJ140" i="4" s="1"/>
  <c r="GU140" i="4" s="1"/>
  <c r="AM65" i="4"/>
  <c r="EJ65" i="4" s="1"/>
  <c r="GS65" i="4" s="1"/>
  <c r="AH270" i="4"/>
  <c r="AM157" i="4"/>
  <c r="EJ157" i="4" s="1"/>
  <c r="GU157" i="4" s="1"/>
  <c r="DP202" i="4"/>
  <c r="DP226" i="4"/>
  <c r="DP161" i="4"/>
  <c r="DP195" i="4"/>
  <c r="DP157" i="4"/>
  <c r="DP163" i="4"/>
  <c r="DP83" i="4"/>
  <c r="AH180" i="4"/>
  <c r="DP145" i="4"/>
  <c r="AV241" i="4"/>
  <c r="AV245" i="4"/>
  <c r="AV246" i="4"/>
  <c r="AV243" i="4"/>
  <c r="AV242" i="4"/>
  <c r="AV244" i="4"/>
  <c r="AV240" i="4"/>
  <c r="AV252" i="4"/>
  <c r="AH111" i="4"/>
  <c r="AM111" i="4"/>
  <c r="EJ111" i="4" s="1"/>
  <c r="GS111" i="4" s="1"/>
  <c r="AM68" i="4"/>
  <c r="EJ68" i="4" s="1"/>
  <c r="AH244" i="4"/>
  <c r="AH161" i="4"/>
  <c r="AH186" i="4"/>
  <c r="AM156" i="4"/>
  <c r="EJ156" i="4" s="1"/>
  <c r="GW156" i="4" s="1"/>
  <c r="AM185" i="4"/>
  <c r="EJ185" i="4" s="1"/>
  <c r="AH214" i="4"/>
  <c r="AH121" i="4"/>
  <c r="AM259" i="4"/>
  <c r="EJ259" i="4" s="1"/>
  <c r="AM147" i="4"/>
  <c r="EJ147" i="4" s="1"/>
  <c r="AH201" i="4"/>
  <c r="AH102" i="4"/>
  <c r="AM265" i="4"/>
  <c r="EJ265" i="4" s="1"/>
  <c r="AM189" i="4"/>
  <c r="EJ189" i="4" s="1"/>
  <c r="AH255" i="4"/>
  <c r="AH72" i="4"/>
  <c r="AH230" i="4"/>
  <c r="AH101" i="4"/>
  <c r="AM101" i="4"/>
  <c r="EJ101" i="4" s="1"/>
  <c r="GS101" i="4" s="1"/>
  <c r="AM120" i="4"/>
  <c r="EJ120" i="4" s="1"/>
  <c r="GW120" i="4" s="1"/>
  <c r="AH250" i="4"/>
  <c r="AM255" i="4"/>
  <c r="EJ255" i="4" s="1"/>
  <c r="AH67" i="4"/>
  <c r="AM197" i="4"/>
  <c r="EJ197" i="4" s="1"/>
  <c r="AH261" i="4"/>
  <c r="AH86" i="4"/>
  <c r="AM208" i="4"/>
  <c r="EJ208" i="4" s="1"/>
  <c r="AM45" i="4"/>
  <c r="EJ45" i="4" s="1"/>
  <c r="GS45" i="4" s="1"/>
  <c r="AH218" i="4"/>
  <c r="AH152" i="4"/>
  <c r="AM251" i="4"/>
  <c r="EJ251" i="4" s="1"/>
  <c r="AM141" i="4"/>
  <c r="EJ141" i="4" s="1"/>
  <c r="GS141" i="4" s="1"/>
  <c r="AM54" i="4"/>
  <c r="EJ54" i="4" s="1"/>
  <c r="GS54" i="4" s="1"/>
  <c r="AH103" i="4"/>
  <c r="AH272" i="4"/>
  <c r="AH115" i="4"/>
  <c r="AM148" i="4"/>
  <c r="EJ148" i="4" s="1"/>
  <c r="GS148" i="4" s="1"/>
  <c r="AH212" i="4"/>
  <c r="AH56" i="4"/>
  <c r="AM229" i="4"/>
  <c r="EJ229" i="4" s="1"/>
  <c r="AM82" i="4"/>
  <c r="EJ82" i="4" s="1"/>
  <c r="GS82" i="4" s="1"/>
  <c r="AM51" i="4"/>
  <c r="EJ51" i="4" s="1"/>
  <c r="GS51" i="4" s="1"/>
  <c r="AH157" i="4"/>
  <c r="AH207" i="4"/>
  <c r="AH105" i="4"/>
  <c r="AM212" i="4"/>
  <c r="EJ212" i="4" s="1"/>
  <c r="AM59" i="4"/>
  <c r="EJ59" i="4" s="1"/>
  <c r="GW59" i="4" s="1"/>
  <c r="AH165" i="4"/>
  <c r="AM228" i="4"/>
  <c r="EJ228" i="4" s="1"/>
  <c r="AM182" i="4"/>
  <c r="EJ182" i="4" s="1"/>
  <c r="AH256" i="4"/>
  <c r="AH55" i="4"/>
  <c r="AH221" i="4"/>
  <c r="AH93" i="4"/>
  <c r="AM263" i="4"/>
  <c r="EJ263" i="4" s="1"/>
  <c r="AM107" i="4"/>
  <c r="EJ107" i="4" s="1"/>
  <c r="GS107" i="4" s="1"/>
  <c r="AH170" i="4"/>
  <c r="AM267" i="4"/>
  <c r="EJ267" i="4" s="1"/>
  <c r="AM76" i="4"/>
  <c r="EJ76" i="4" s="1"/>
  <c r="GW76" i="4" s="1"/>
  <c r="AH269" i="4"/>
  <c r="AH173" i="4"/>
  <c r="AM96" i="4"/>
  <c r="EJ96" i="4" s="1"/>
  <c r="GU96" i="4" s="1"/>
  <c r="AH187" i="4"/>
  <c r="AH126" i="4"/>
  <c r="AM80" i="4"/>
  <c r="EJ80" i="4" s="1"/>
  <c r="GS80" i="4" s="1"/>
  <c r="AH135" i="4"/>
  <c r="AH41" i="4"/>
  <c r="AM123" i="4"/>
  <c r="EJ123" i="4" s="1"/>
  <c r="GS123" i="4" s="1"/>
  <c r="AH235" i="4"/>
  <c r="AH129" i="4"/>
  <c r="AM176" i="4"/>
  <c r="EJ176" i="4" s="1"/>
  <c r="AM200" i="4"/>
  <c r="EJ200" i="4" s="1"/>
  <c r="AM145" i="4"/>
  <c r="EJ145" i="4" s="1"/>
  <c r="GS145" i="4" s="1"/>
  <c r="AM144" i="4"/>
  <c r="EJ144" i="4" s="1"/>
  <c r="GU144" i="4" s="1"/>
  <c r="AH236" i="4"/>
  <c r="AM275" i="4"/>
  <c r="EJ275" i="4" s="1"/>
  <c r="AH171" i="4"/>
  <c r="AH119" i="4"/>
  <c r="AM99" i="4"/>
  <c r="EJ99" i="4" s="1"/>
  <c r="GU99" i="4" s="1"/>
  <c r="AH260" i="4"/>
  <c r="AH110" i="4"/>
  <c r="AM196" i="4"/>
  <c r="EJ196" i="4" s="1"/>
  <c r="AM42" i="4"/>
  <c r="EJ42" i="4" s="1"/>
  <c r="GS42" i="4" s="1"/>
  <c r="AH241" i="4"/>
  <c r="AH106" i="4"/>
  <c r="AM124" i="4"/>
  <c r="EJ124" i="4" s="1"/>
  <c r="GW124" i="4" s="1"/>
  <c r="AM74" i="4"/>
  <c r="EJ74" i="4" s="1"/>
  <c r="GS74" i="4" s="1"/>
  <c r="AH172" i="4"/>
  <c r="AH107" i="4"/>
  <c r="AH127" i="4"/>
  <c r="AM222" i="4"/>
  <c r="EJ222" i="4" s="1"/>
  <c r="AM235" i="4"/>
  <c r="EJ235" i="4" s="1"/>
  <c r="AM162" i="4"/>
  <c r="EJ162" i="4" s="1"/>
  <c r="GU162" i="4" s="1"/>
  <c r="AH266" i="4"/>
  <c r="AH117" i="4"/>
  <c r="AM245" i="4"/>
  <c r="EJ245" i="4" s="1"/>
  <c r="AH174" i="4"/>
  <c r="AH42" i="4"/>
  <c r="AM66" i="4"/>
  <c r="EJ66" i="4" s="1"/>
  <c r="GW66" i="4" s="1"/>
  <c r="AM116" i="4"/>
  <c r="EJ116" i="4" s="1"/>
  <c r="GW116" i="4" s="1"/>
  <c r="AH85" i="4"/>
  <c r="AH216" i="4"/>
  <c r="AH97" i="4"/>
  <c r="AH257" i="4"/>
  <c r="AH99" i="4"/>
  <c r="AM119" i="4"/>
  <c r="EJ119" i="4" s="1"/>
  <c r="GS119" i="4" s="1"/>
  <c r="AH265" i="4"/>
  <c r="AH68" i="4"/>
  <c r="AM242" i="4"/>
  <c r="EJ242" i="4" s="1"/>
  <c r="AM40" i="4"/>
  <c r="EJ40" i="4" s="1"/>
  <c r="GU40" i="4" s="1"/>
  <c r="AH182" i="4"/>
  <c r="AH147" i="4"/>
  <c r="AM64" i="4"/>
  <c r="EJ64" i="4" s="1"/>
  <c r="GS64" i="4" s="1"/>
  <c r="AM72" i="4"/>
  <c r="EJ72" i="4" s="1"/>
  <c r="GS72" i="4" s="1"/>
  <c r="AM237" i="4"/>
  <c r="EJ237" i="4" s="1"/>
  <c r="AH155" i="4"/>
  <c r="AH69" i="4"/>
  <c r="AM264" i="4"/>
  <c r="EJ264" i="4" s="1"/>
  <c r="AM233" i="4"/>
  <c r="EJ233" i="4" s="1"/>
  <c r="AM69" i="4"/>
  <c r="EJ69" i="4" s="1"/>
  <c r="GU69" i="4" s="1"/>
  <c r="AM129" i="4"/>
  <c r="EJ129" i="4" s="1"/>
  <c r="GW129" i="4" s="1"/>
  <c r="AH253" i="4"/>
  <c r="AH87" i="4"/>
  <c r="AM58" i="4"/>
  <c r="EJ58" i="4" s="1"/>
  <c r="GU58" i="4" s="1"/>
  <c r="AH215" i="4"/>
  <c r="AH49" i="4"/>
  <c r="AM71" i="4"/>
  <c r="EJ71" i="4" s="1"/>
  <c r="GW71" i="4" s="1"/>
  <c r="AH267" i="4"/>
  <c r="AH83" i="4"/>
  <c r="AM158" i="4"/>
  <c r="EJ158" i="4" s="1"/>
  <c r="GS158" i="4" s="1"/>
  <c r="AH123" i="4"/>
  <c r="AM97" i="4"/>
  <c r="EJ97" i="4" s="1"/>
  <c r="GU97" i="4" s="1"/>
  <c r="AM108" i="4"/>
  <c r="EJ108" i="4" s="1"/>
  <c r="GW108" i="4" s="1"/>
  <c r="AH146" i="4"/>
  <c r="AH73" i="4"/>
  <c r="AM230" i="4"/>
  <c r="EJ230" i="4" s="1"/>
  <c r="AM195" i="4"/>
  <c r="EJ195" i="4" s="1"/>
  <c r="AH79" i="4"/>
  <c r="AM215" i="4"/>
  <c r="EJ215" i="4" s="1"/>
  <c r="AM118" i="4"/>
  <c r="EJ118" i="4" s="1"/>
  <c r="GW118" i="4" s="1"/>
  <c r="AH196" i="4"/>
  <c r="AH132" i="4"/>
  <c r="AM253" i="4"/>
  <c r="EJ253" i="4" s="1"/>
  <c r="AM90" i="4"/>
  <c r="EJ90" i="4" s="1"/>
  <c r="GS90" i="4" s="1"/>
  <c r="AH112" i="4"/>
  <c r="AH197" i="4"/>
  <c r="AH95" i="4"/>
  <c r="AH88" i="4"/>
  <c r="AH262" i="4"/>
  <c r="AM204" i="4"/>
  <c r="EJ204" i="4" s="1"/>
  <c r="AH248" i="4"/>
  <c r="AH48" i="4"/>
  <c r="AM248" i="4"/>
  <c r="EJ248" i="4" s="1"/>
  <c r="AM63" i="4"/>
  <c r="EJ63" i="4" s="1"/>
  <c r="GS63" i="4" s="1"/>
  <c r="AH225" i="4"/>
  <c r="AM131" i="4"/>
  <c r="EJ131" i="4" s="1"/>
  <c r="GS131" i="4" s="1"/>
  <c r="AH273" i="4"/>
  <c r="AH92" i="4"/>
  <c r="AM126" i="4"/>
  <c r="EJ126" i="4" s="1"/>
  <c r="GS126" i="4" s="1"/>
  <c r="AH175" i="4"/>
  <c r="AM187" i="4"/>
  <c r="EJ187" i="4" s="1"/>
  <c r="AH268" i="4"/>
  <c r="AH65" i="4"/>
  <c r="AM161" i="4"/>
  <c r="EJ161" i="4" s="1"/>
  <c r="GW161" i="4" s="1"/>
  <c r="AM153" i="4"/>
  <c r="EJ153" i="4" s="1"/>
  <c r="GS153" i="4" s="1"/>
  <c r="AH185" i="4"/>
  <c r="AH59" i="4"/>
  <c r="AM239" i="4"/>
  <c r="EJ239" i="4" s="1"/>
  <c r="AM92" i="4"/>
  <c r="EJ92" i="4" s="1"/>
  <c r="GS92" i="4" s="1"/>
  <c r="AH181" i="4"/>
  <c r="AM167" i="4"/>
  <c r="EJ167" i="4" s="1"/>
  <c r="AH233" i="4"/>
  <c r="AH195" i="4"/>
  <c r="AM86" i="4"/>
  <c r="EJ86" i="4" s="1"/>
  <c r="GU86" i="4" s="1"/>
  <c r="AH160" i="4"/>
  <c r="AH54" i="4"/>
  <c r="AM95" i="4"/>
  <c r="EJ95" i="4" s="1"/>
  <c r="GS95" i="4" s="1"/>
  <c r="AH210" i="4"/>
  <c r="AH91" i="4"/>
  <c r="AM252" i="4"/>
  <c r="EJ252" i="4" s="1"/>
  <c r="AM105" i="4"/>
  <c r="EJ105" i="4" s="1"/>
  <c r="GU105" i="4" s="1"/>
  <c r="AM273" i="4"/>
  <c r="EJ273" i="4" s="1"/>
  <c r="AM260" i="4"/>
  <c r="EJ260" i="4" s="1"/>
  <c r="AM84" i="4"/>
  <c r="EJ84" i="4" s="1"/>
  <c r="GW84" i="4" s="1"/>
  <c r="AH122" i="4"/>
  <c r="AH60" i="4"/>
  <c r="AM250" i="4"/>
  <c r="EJ250" i="4" s="1"/>
  <c r="AH145" i="4"/>
  <c r="AH224" i="4"/>
  <c r="AH62" i="4"/>
  <c r="AM211" i="4"/>
  <c r="EJ211" i="4" s="1"/>
  <c r="AH245" i="4"/>
  <c r="AM181" i="4"/>
  <c r="EJ181" i="4" s="1"/>
  <c r="AM122" i="4"/>
  <c r="EJ122" i="4" s="1"/>
  <c r="GS122" i="4" s="1"/>
  <c r="AH150" i="4"/>
  <c r="AH177" i="4"/>
  <c r="AM218" i="4"/>
  <c r="EJ218" i="4" s="1"/>
  <c r="AH136" i="4"/>
  <c r="AM226" i="4"/>
  <c r="EJ226" i="4" s="1"/>
  <c r="AM166" i="4"/>
  <c r="EJ166" i="4" s="1"/>
  <c r="AH70" i="4"/>
  <c r="AH158" i="4"/>
  <c r="AH50" i="4"/>
  <c r="AM165" i="4"/>
  <c r="EJ165" i="4" s="1"/>
  <c r="GS165" i="4" s="1"/>
  <c r="AM169" i="4"/>
  <c r="EJ169" i="4" s="1"/>
  <c r="AM254" i="4"/>
  <c r="EJ254" i="4" s="1"/>
  <c r="AM177" i="4"/>
  <c r="EJ177" i="4" s="1"/>
  <c r="AH109" i="4"/>
  <c r="AM220" i="4"/>
  <c r="EJ220" i="4" s="1"/>
  <c r="AH153" i="4"/>
  <c r="AH198" i="4"/>
  <c r="AM83" i="4"/>
  <c r="EJ83" i="4" s="1"/>
  <c r="GU83" i="4" s="1"/>
  <c r="AH238" i="4"/>
  <c r="AH206" i="4"/>
  <c r="AM221" i="4"/>
  <c r="EJ221" i="4" s="1"/>
  <c r="AM128" i="4"/>
  <c r="EJ128" i="4" s="1"/>
  <c r="GW128" i="4" s="1"/>
  <c r="AM127" i="4"/>
  <c r="EJ127" i="4" s="1"/>
  <c r="GS127" i="4" s="1"/>
  <c r="AH199" i="4"/>
  <c r="AH116" i="4"/>
  <c r="AM257" i="4"/>
  <c r="EJ257" i="4" s="1"/>
  <c r="AM173" i="4"/>
  <c r="EJ173" i="4" s="1"/>
  <c r="AM52" i="4"/>
  <c r="EJ52" i="4" s="1"/>
  <c r="GW52" i="4" s="1"/>
  <c r="AH226" i="4"/>
  <c r="AH78" i="4"/>
  <c r="AM224" i="4"/>
  <c r="EJ224" i="4" s="1"/>
  <c r="AM168" i="4"/>
  <c r="EJ168" i="4" s="1"/>
  <c r="AM190" i="4"/>
  <c r="EJ190" i="4" s="1"/>
  <c r="AM62" i="4"/>
  <c r="EJ62" i="4" s="1"/>
  <c r="AM202" i="4"/>
  <c r="EJ202" i="4" s="1"/>
  <c r="AH203" i="4"/>
  <c r="AM236" i="4"/>
  <c r="EJ236" i="4" s="1"/>
  <c r="AH217" i="4"/>
  <c r="AM269" i="4"/>
  <c r="EJ269" i="4" s="1"/>
  <c r="AH252" i="4"/>
  <c r="AH113" i="4"/>
  <c r="AM53" i="4"/>
  <c r="EJ53" i="4" s="1"/>
  <c r="GU53" i="4" s="1"/>
  <c r="AH231" i="4"/>
  <c r="AH134" i="4"/>
  <c r="AM152" i="4"/>
  <c r="EJ152" i="4" s="1"/>
  <c r="GW152" i="4" s="1"/>
  <c r="AM88" i="4"/>
  <c r="EJ88" i="4" s="1"/>
  <c r="GU88" i="4" s="1"/>
  <c r="AM79" i="4"/>
  <c r="EJ79" i="4" s="1"/>
  <c r="GU79" i="4" s="1"/>
  <c r="AH149" i="4"/>
  <c r="AM261" i="4"/>
  <c r="EJ261" i="4" s="1"/>
  <c r="AM180" i="4"/>
  <c r="EJ180" i="4" s="1"/>
  <c r="AH124" i="4"/>
  <c r="AH140" i="4"/>
  <c r="AM272" i="4"/>
  <c r="EJ272" i="4" s="1"/>
  <c r="AM115" i="4"/>
  <c r="EJ115" i="4" s="1"/>
  <c r="GS115" i="4" s="1"/>
  <c r="AH151" i="4"/>
  <c r="AH80" i="4"/>
  <c r="AM256" i="4"/>
  <c r="EJ256" i="4" s="1"/>
  <c r="AM199" i="4"/>
  <c r="EJ199" i="4" s="1"/>
  <c r="AM47" i="4"/>
  <c r="EJ47" i="4" s="1"/>
  <c r="GU47" i="4" s="1"/>
  <c r="AH96" i="4"/>
  <c r="AM217" i="4"/>
  <c r="EJ217" i="4" s="1"/>
  <c r="AM171" i="4"/>
  <c r="EJ171" i="4" s="1"/>
  <c r="AH90" i="4"/>
  <c r="AM154" i="4"/>
  <c r="EJ154" i="4" s="1"/>
  <c r="GW154" i="4" s="1"/>
  <c r="AM104" i="4"/>
  <c r="EJ104" i="4" s="1"/>
  <c r="GU104" i="4" s="1"/>
  <c r="AH120" i="4"/>
  <c r="AH166" i="4"/>
  <c r="AM184" i="4"/>
  <c r="EJ184" i="4" s="1"/>
  <c r="AM56" i="4"/>
  <c r="EJ56" i="4" s="1"/>
  <c r="GS56" i="4" s="1"/>
  <c r="AM94" i="4"/>
  <c r="EJ94" i="4" s="1"/>
  <c r="GS94" i="4" s="1"/>
  <c r="AH213" i="4"/>
  <c r="AM155" i="4"/>
  <c r="EJ155" i="4" s="1"/>
  <c r="GS155" i="4" s="1"/>
  <c r="AH52" i="4"/>
  <c r="AM223" i="4"/>
  <c r="EJ223" i="4" s="1"/>
  <c r="AM44" i="4"/>
  <c r="EJ44" i="4" s="1"/>
  <c r="GU44" i="4" s="1"/>
  <c r="AM57" i="4"/>
  <c r="EJ57" i="4" s="1"/>
  <c r="GS57" i="4" s="1"/>
  <c r="AH239" i="4"/>
  <c r="AH144" i="4"/>
  <c r="AH204" i="4"/>
  <c r="AH202" i="4"/>
  <c r="AH176" i="4"/>
  <c r="AH125" i="4"/>
  <c r="AM172" i="4"/>
  <c r="EJ172" i="4" s="1"/>
  <c r="AH263" i="4"/>
  <c r="AH98" i="4"/>
  <c r="AM186" i="4"/>
  <c r="EJ186" i="4" s="1"/>
  <c r="AH219" i="4"/>
  <c r="AH114" i="4"/>
  <c r="AM234" i="4"/>
  <c r="EJ234" i="4" s="1"/>
  <c r="AM198" i="4"/>
  <c r="EJ198" i="4" s="1"/>
  <c r="AM178" i="4"/>
  <c r="EJ178" i="4" s="1"/>
  <c r="AH229" i="4"/>
  <c r="AH94" i="4"/>
  <c r="AM170" i="4"/>
  <c r="EJ170" i="4" s="1"/>
  <c r="AM109" i="4"/>
  <c r="EJ109" i="4" s="1"/>
  <c r="GS109" i="4" s="1"/>
  <c r="AH200" i="4"/>
  <c r="AH139" i="4"/>
  <c r="AM46" i="4"/>
  <c r="EJ46" i="4" s="1"/>
  <c r="GS46" i="4" s="1"/>
  <c r="AH192" i="4"/>
  <c r="AM249" i="4"/>
  <c r="EJ249" i="4" s="1"/>
  <c r="AM134" i="4"/>
  <c r="EJ134" i="4" s="1"/>
  <c r="GS134" i="4" s="1"/>
  <c r="AH89" i="4"/>
  <c r="AM138" i="4"/>
  <c r="EJ138" i="4" s="1"/>
  <c r="GS138" i="4" s="1"/>
  <c r="AH209" i="4"/>
  <c r="AH82" i="4"/>
  <c r="AM247" i="4"/>
  <c r="EJ247" i="4" s="1"/>
  <c r="AM191" i="4"/>
  <c r="EJ191" i="4" s="1"/>
  <c r="AH222" i="4"/>
  <c r="AH131" i="4"/>
  <c r="AM112" i="4"/>
  <c r="EJ112" i="4" s="1"/>
  <c r="GS112" i="4" s="1"/>
  <c r="AM146" i="4"/>
  <c r="EJ146" i="4" s="1"/>
  <c r="GW146" i="4" s="1"/>
  <c r="AH63" i="4"/>
  <c r="AM214" i="4"/>
  <c r="EJ214" i="4" s="1"/>
  <c r="AM100" i="4"/>
  <c r="EJ100" i="4" s="1"/>
  <c r="GS100" i="4" s="1"/>
  <c r="AH45" i="4"/>
  <c r="AM231" i="4"/>
  <c r="EJ231" i="4" s="1"/>
  <c r="AM216" i="4"/>
  <c r="EJ216" i="4" s="1"/>
  <c r="AM77" i="4"/>
  <c r="EJ77" i="4" s="1"/>
  <c r="GS77" i="4" s="1"/>
  <c r="AH188" i="4"/>
  <c r="AM130" i="4"/>
  <c r="EJ130" i="4" s="1"/>
  <c r="GU130" i="4" s="1"/>
  <c r="AH208" i="4"/>
  <c r="AM43" i="4"/>
  <c r="EJ43" i="4" s="1"/>
  <c r="GW43" i="4" s="1"/>
  <c r="AH104" i="4"/>
  <c r="AM227" i="4"/>
  <c r="EJ227" i="4" s="1"/>
  <c r="AH190" i="4"/>
  <c r="AM240" i="4"/>
  <c r="EJ240" i="4" s="1"/>
  <c r="AM193" i="4"/>
  <c r="EJ193" i="4" s="1"/>
  <c r="AH242" i="4"/>
  <c r="AH77" i="4"/>
  <c r="AM41" i="4"/>
  <c r="EJ41" i="4" s="1"/>
  <c r="GS41" i="4" s="1"/>
  <c r="AM174" i="4"/>
  <c r="EJ174" i="4" s="1"/>
  <c r="AH76" i="4"/>
  <c r="AM117" i="4"/>
  <c r="EJ117" i="4" s="1"/>
  <c r="GS117" i="4" s="1"/>
  <c r="AM98" i="4"/>
  <c r="EJ98" i="4" s="1"/>
  <c r="GW98" i="4" s="1"/>
  <c r="AH154" i="4"/>
  <c r="AH223" i="4"/>
  <c r="AM210" i="4"/>
  <c r="EJ210" i="4" s="1"/>
  <c r="AH169" i="4"/>
  <c r="AH61" i="4"/>
  <c r="AM238" i="4"/>
  <c r="EJ238" i="4" s="1"/>
  <c r="AM121" i="4"/>
  <c r="EJ121" i="4" s="1"/>
  <c r="GU121" i="4" s="1"/>
  <c r="AM132" i="4"/>
  <c r="EJ132" i="4" s="1"/>
  <c r="GU132" i="4" s="1"/>
  <c r="AM67" i="4"/>
  <c r="EJ67" i="4" s="1"/>
  <c r="GS67" i="4" s="1"/>
  <c r="AH271" i="4"/>
  <c r="AH44" i="4"/>
  <c r="AM244" i="4"/>
  <c r="EJ244" i="4" s="1"/>
  <c r="AM142" i="4"/>
  <c r="EJ142" i="4" s="1"/>
  <c r="GW142" i="4" s="1"/>
  <c r="AH57" i="4"/>
  <c r="AM188" i="4"/>
  <c r="EJ188" i="4" s="1"/>
  <c r="AM160" i="4"/>
  <c r="EJ160" i="4" s="1"/>
  <c r="GS160" i="4" s="1"/>
  <c r="AM207" i="4"/>
  <c r="EJ207" i="4" s="1"/>
  <c r="AM183" i="4"/>
  <c r="EJ183" i="4" s="1"/>
  <c r="AM106" i="4"/>
  <c r="EJ106" i="4" s="1"/>
  <c r="GS106" i="4" s="1"/>
  <c r="AH220" i="4"/>
  <c r="AH141" i="4"/>
  <c r="AM241" i="4"/>
  <c r="EJ241" i="4" s="1"/>
  <c r="AM203" i="4"/>
  <c r="EJ203" i="4" s="1"/>
  <c r="AH179" i="4"/>
  <c r="AM50" i="4"/>
  <c r="EJ50" i="4" s="1"/>
  <c r="GS50" i="4" s="1"/>
  <c r="AH162" i="4"/>
  <c r="AH232" i="4"/>
  <c r="AM270" i="4"/>
  <c r="EJ270" i="4" s="1"/>
  <c r="AM159" i="4"/>
  <c r="EJ159" i="4" s="1"/>
  <c r="GW159" i="4" s="1"/>
  <c r="AM49" i="4"/>
  <c r="EJ49" i="4" s="1"/>
  <c r="GU49" i="4" s="1"/>
  <c r="AH183" i="4"/>
  <c r="AH66" i="4"/>
  <c r="AM163" i="4"/>
  <c r="EJ163" i="4" s="1"/>
  <c r="GW163" i="4" s="1"/>
  <c r="AH264" i="4"/>
  <c r="AH81" i="4"/>
  <c r="AM175" i="4"/>
  <c r="EJ175" i="4" s="1"/>
  <c r="AM55" i="4"/>
  <c r="EJ55" i="4" s="1"/>
  <c r="GU55" i="4" s="1"/>
  <c r="AH167" i="4"/>
  <c r="AH58" i="4"/>
  <c r="AM243" i="4"/>
  <c r="EJ243" i="4" s="1"/>
  <c r="AM206" i="4"/>
  <c r="EJ206" i="4" s="1"/>
  <c r="AH108" i="4"/>
  <c r="AM271" i="4"/>
  <c r="EJ271" i="4" s="1"/>
  <c r="AM137" i="4"/>
  <c r="EJ137" i="4" s="1"/>
  <c r="GS137" i="4" s="1"/>
  <c r="AH246" i="4"/>
  <c r="AH43" i="4"/>
  <c r="AH164" i="4"/>
  <c r="AH249" i="4"/>
  <c r="AM205" i="4"/>
  <c r="EJ205" i="4" s="1"/>
  <c r="AM164" i="4"/>
  <c r="EJ164" i="4" s="1"/>
  <c r="GS164" i="4" s="1"/>
  <c r="AH168" i="4"/>
  <c r="AM201" i="4"/>
  <c r="EJ201" i="4" s="1"/>
  <c r="AM75" i="4"/>
  <c r="EJ75" i="4" s="1"/>
  <c r="GS75" i="4" s="1"/>
  <c r="AH251" i="4"/>
  <c r="AH143" i="4"/>
  <c r="AM113" i="4"/>
  <c r="EJ113" i="4" s="1"/>
  <c r="GS113" i="4" s="1"/>
  <c r="AM89" i="4"/>
  <c r="EJ89" i="4" s="1"/>
  <c r="GS89" i="4" s="1"/>
  <c r="AH191" i="4"/>
  <c r="AM93" i="4"/>
  <c r="EJ93" i="4" s="1"/>
  <c r="GS93" i="4" s="1"/>
  <c r="AM61" i="4"/>
  <c r="EJ61" i="4" s="1"/>
  <c r="GU61" i="4" s="1"/>
  <c r="AH130" i="4"/>
  <c r="AH138" i="4"/>
  <c r="AM135" i="4"/>
  <c r="EJ135" i="4" s="1"/>
  <c r="GS135" i="4" s="1"/>
  <c r="AM87" i="4"/>
  <c r="EJ87" i="4" s="1"/>
  <c r="GS87" i="4" s="1"/>
  <c r="AH234" i="4"/>
  <c r="AH184" i="4"/>
  <c r="AM70" i="4"/>
  <c r="EJ70" i="4" s="1"/>
  <c r="GU70" i="4" s="1"/>
  <c r="AH227" i="4"/>
  <c r="AM219" i="4"/>
  <c r="EJ219" i="4" s="1"/>
  <c r="AH137" i="4"/>
  <c r="AH142" i="4"/>
  <c r="AM268" i="4"/>
  <c r="EJ268" i="4" s="1"/>
  <c r="AM213" i="4"/>
  <c r="EJ213" i="4" s="1"/>
  <c r="AM133" i="4"/>
  <c r="EJ133" i="4" s="1"/>
  <c r="GS133" i="4" s="1"/>
  <c r="AH163" i="4"/>
  <c r="AH71" i="4"/>
  <c r="AM225" i="4"/>
  <c r="EJ225" i="4" s="1"/>
  <c r="AM139" i="4"/>
  <c r="EJ139" i="4" s="1"/>
  <c r="GW139" i="4" s="1"/>
  <c r="AM78" i="4"/>
  <c r="EJ78" i="4" s="1"/>
  <c r="GS78" i="4" s="1"/>
  <c r="AM60" i="4"/>
  <c r="EJ60" i="4" s="1"/>
  <c r="GS60" i="4" s="1"/>
  <c r="AH100" i="4"/>
  <c r="AM258" i="4"/>
  <c r="EJ258" i="4" s="1"/>
  <c r="AH247" i="4"/>
  <c r="AH159" i="4"/>
  <c r="AM149" i="4"/>
  <c r="EJ149" i="4" s="1"/>
  <c r="GS149" i="4" s="1"/>
  <c r="AM81" i="4"/>
  <c r="EJ81" i="4" s="1"/>
  <c r="GS81" i="4" s="1"/>
  <c r="AH133" i="4"/>
  <c r="AM262" i="4"/>
  <c r="EJ262" i="4" s="1"/>
  <c r="AM246" i="4"/>
  <c r="EJ246" i="4" s="1"/>
  <c r="AH74" i="4"/>
  <c r="AM125" i="4"/>
  <c r="EJ125" i="4" s="1"/>
  <c r="GS125" i="4" s="1"/>
  <c r="AM102" i="4"/>
  <c r="EJ102" i="4" s="1"/>
  <c r="GS102" i="4" s="1"/>
  <c r="AH258" i="4"/>
  <c r="AH189" i="4"/>
  <c r="AM48" i="4"/>
  <c r="EJ48" i="4" s="1"/>
  <c r="GS48" i="4" s="1"/>
  <c r="AH193" i="4"/>
  <c r="AH75" i="4"/>
  <c r="AM91" i="4"/>
  <c r="EJ91" i="4" s="1"/>
  <c r="GU91" i="4" s="1"/>
  <c r="AH40" i="4"/>
  <c r="AM209" i="4"/>
  <c r="EJ209" i="4" s="1"/>
  <c r="AM114" i="4"/>
  <c r="EJ114" i="4" s="1"/>
  <c r="GW114" i="4" s="1"/>
  <c r="AM103" i="4"/>
  <c r="EJ103" i="4" s="1"/>
  <c r="GU103" i="4" s="1"/>
  <c r="AH237" i="4"/>
  <c r="BC275" i="4"/>
  <c r="AO276" i="4"/>
  <c r="Q12" i="15"/>
  <c r="BZ276" i="4"/>
  <c r="DN276" i="4"/>
  <c r="BX277" i="4"/>
  <c r="CN275" i="4"/>
  <c r="AA277" i="4"/>
  <c r="BJ277" i="4"/>
  <c r="BS274" i="4"/>
  <c r="DB275" i="4"/>
  <c r="S276" i="4"/>
  <c r="S275" i="4"/>
  <c r="EJ21" i="4"/>
  <c r="GW21" i="4" s="1"/>
  <c r="O275" i="4"/>
  <c r="EJ34" i="4"/>
  <c r="GU34" i="4" s="1"/>
  <c r="EJ13" i="4"/>
  <c r="GW13" i="4" s="1"/>
  <c r="O276" i="4"/>
  <c r="Q276" i="4"/>
  <c r="S274" i="4"/>
  <c r="CQ276" i="4"/>
  <c r="O274" i="4"/>
  <c r="EJ32" i="4"/>
  <c r="GS32" i="4" s="1"/>
  <c r="EJ18" i="4"/>
  <c r="GU18" i="4" s="1"/>
  <c r="EJ10" i="4"/>
  <c r="GS10" i="4" s="1"/>
  <c r="S277" i="4"/>
  <c r="O277" i="4"/>
  <c r="EJ33" i="4"/>
  <c r="GU33" i="4" s="1"/>
  <c r="Q275" i="4"/>
  <c r="Q274" i="4"/>
  <c r="Q277" i="4"/>
  <c r="BH274" i="4"/>
  <c r="AE277" i="4"/>
  <c r="AS275" i="4"/>
  <c r="CG276" i="4"/>
  <c r="DD276" i="4"/>
  <c r="DZ276" i="4"/>
  <c r="CX277" i="4"/>
  <c r="BA277" i="4"/>
  <c r="BU277" i="4"/>
  <c r="CB276" i="4"/>
  <c r="BO274" i="4"/>
  <c r="DP276" i="4"/>
  <c r="BL277" i="4"/>
  <c r="CU276" i="4"/>
  <c r="BE277" i="4"/>
  <c r="AZ274" i="4"/>
  <c r="CQ274" i="4"/>
  <c r="DY277" i="4"/>
  <c r="AZ277" i="4"/>
  <c r="DE275" i="4"/>
  <c r="BZ274" i="4"/>
  <c r="BS276" i="4"/>
  <c r="AO274" i="4"/>
  <c r="CE275" i="4"/>
  <c r="CP276" i="4"/>
  <c r="DR275" i="4"/>
  <c r="BL275" i="4"/>
  <c r="CU275" i="4"/>
  <c r="CE276" i="4"/>
  <c r="BQ276" i="4"/>
  <c r="BQ275" i="4"/>
  <c r="BA274" i="4"/>
  <c r="CP274" i="4"/>
  <c r="DZ277" i="4"/>
  <c r="BS275" i="4"/>
  <c r="BQ274" i="4"/>
  <c r="CN276" i="4"/>
  <c r="AO277" i="4"/>
  <c r="DB276" i="4"/>
  <c r="AS277" i="4"/>
  <c r="DE276" i="4"/>
  <c r="DK275" i="4"/>
  <c r="DI275" i="4"/>
  <c r="DK276" i="4"/>
  <c r="AS274" i="4"/>
  <c r="AL274" i="4"/>
  <c r="CB274" i="4"/>
  <c r="CP277" i="4"/>
  <c r="AL277" i="4"/>
  <c r="DY275" i="4"/>
  <c r="DB274" i="4"/>
  <c r="BC277" i="4"/>
  <c r="AT276" i="4"/>
  <c r="AJ275" i="4"/>
  <c r="AF276" i="4"/>
  <c r="DS275" i="4"/>
  <c r="AJ277" i="4"/>
  <c r="EG275" i="4"/>
  <c r="AM276" i="4"/>
  <c r="EJ276" i="4" s="1"/>
  <c r="AO275" i="4"/>
  <c r="GY6" i="4"/>
  <c r="AT274" i="4"/>
  <c r="AM274" i="4"/>
  <c r="CC274" i="4"/>
  <c r="CQ277" i="4"/>
  <c r="AM277" i="4"/>
  <c r="EJ277" i="4" s="1"/>
  <c r="BL274" i="4"/>
  <c r="AC276" i="4"/>
  <c r="AL275" i="4"/>
  <c r="BC276" i="4"/>
  <c r="CW276" i="4"/>
  <c r="CX276" i="4"/>
  <c r="DL275" i="4"/>
  <c r="DZ275" i="4"/>
  <c r="DW276" i="4"/>
  <c r="AT275" i="4"/>
  <c r="AX275" i="4"/>
  <c r="AX276" i="4"/>
  <c r="BG274" i="4"/>
  <c r="DR274" i="4"/>
  <c r="BV274" i="4"/>
  <c r="CB277" i="4"/>
  <c r="AQ277" i="4"/>
  <c r="AL276" i="4"/>
  <c r="AH276" i="4"/>
  <c r="DY276" i="4"/>
  <c r="AF275" i="4"/>
  <c r="AE275" i="4"/>
  <c r="CG277" i="4"/>
  <c r="BZ275" i="4"/>
  <c r="AE276" i="4"/>
  <c r="DS274" i="4"/>
  <c r="BU274" i="4"/>
  <c r="AT277" i="4"/>
  <c r="CC277" i="4"/>
  <c r="EG277" i="4"/>
  <c r="BQ277" i="4"/>
  <c r="AA276" i="4"/>
  <c r="DS276" i="4"/>
  <c r="ED274" i="4"/>
  <c r="AS276" i="4"/>
  <c r="AH277" i="4"/>
  <c r="DB277" i="4"/>
  <c r="DW274" i="4"/>
  <c r="CX275" i="4"/>
  <c r="AQ275" i="4"/>
  <c r="BX275" i="4"/>
  <c r="BX276" i="4"/>
  <c r="BE275" i="4"/>
  <c r="BE276" i="4"/>
  <c r="CW274" i="4"/>
  <c r="DY274" i="4"/>
  <c r="DL274" i="4"/>
  <c r="DK277" i="4"/>
  <c r="BN277" i="4"/>
  <c r="DD277" i="4"/>
  <c r="DI274" i="4"/>
  <c r="AA274" i="4"/>
  <c r="DI276" i="4"/>
  <c r="CP275" i="4"/>
  <c r="DW277" i="4"/>
  <c r="CW275" i="4"/>
  <c r="AJ274" i="4"/>
  <c r="CU274" i="4"/>
  <c r="BZ277" i="4"/>
  <c r="DP277" i="4"/>
  <c r="AA275" i="4"/>
  <c r="BH276" i="4"/>
  <c r="BH275" i="4"/>
  <c r="BG275" i="4"/>
  <c r="BG276" i="4"/>
  <c r="CX274" i="4"/>
  <c r="DZ274" i="4"/>
  <c r="DK274" i="4"/>
  <c r="DL277" i="4"/>
  <c r="BO277" i="4"/>
  <c r="DE277" i="4"/>
  <c r="AH275" i="4"/>
  <c r="ED277" i="4"/>
  <c r="CN277" i="4"/>
  <c r="BE274" i="4"/>
  <c r="AQ276" i="4"/>
  <c r="BJ274" i="4"/>
  <c r="CE274" i="4"/>
  <c r="CG275" i="4"/>
  <c r="CJ275" i="4"/>
  <c r="CI275" i="4"/>
  <c r="CJ276" i="4"/>
  <c r="CI276" i="4"/>
  <c r="BA276" i="4"/>
  <c r="BA275" i="4"/>
  <c r="AZ275" i="4"/>
  <c r="AZ276" i="4"/>
  <c r="BN274" i="4"/>
  <c r="DD274" i="4"/>
  <c r="EG274" i="4"/>
  <c r="DR277" i="4"/>
  <c r="CI277" i="4"/>
  <c r="EG276" i="4"/>
  <c r="DP274" i="4"/>
  <c r="CN274" i="4"/>
  <c r="BX274" i="4"/>
  <c r="BL276" i="4"/>
  <c r="AX277" i="4"/>
  <c r="DR276" i="4"/>
  <c r="BU276" i="4"/>
  <c r="BV276" i="4"/>
  <c r="BV275" i="4"/>
  <c r="BU275" i="4"/>
  <c r="CC276" i="4"/>
  <c r="CC275" i="4"/>
  <c r="CB275" i="4"/>
  <c r="DE274" i="4"/>
  <c r="DS277" i="4"/>
  <c r="CJ277" i="4"/>
  <c r="BV277" i="4"/>
  <c r="AC274" i="4"/>
  <c r="DL276" i="4"/>
  <c r="DI277" i="4"/>
  <c r="BC274" i="4"/>
  <c r="BS277" i="4"/>
  <c r="CU277" i="4"/>
  <c r="AQ274" i="4"/>
  <c r="CQ275" i="4"/>
  <c r="BN276" i="4"/>
  <c r="BN275" i="4"/>
  <c r="BO276" i="4"/>
  <c r="BO275" i="4"/>
  <c r="AF274" i="4"/>
  <c r="CI274" i="4"/>
  <c r="CW277" i="4"/>
  <c r="BG277" i="4"/>
  <c r="AF277" i="4"/>
  <c r="DW275" i="4"/>
  <c r="AC277" i="4"/>
  <c r="ED276" i="4"/>
  <c r="DP275" i="4"/>
  <c r="BJ275" i="4"/>
  <c r="BJ276" i="4"/>
  <c r="AE274" i="4"/>
  <c r="CJ274" i="4"/>
  <c r="BH277" i="4"/>
  <c r="DD275" i="4"/>
  <c r="CG274" i="4"/>
  <c r="AX274" i="4"/>
  <c r="N10" i="15"/>
  <c r="T10" i="15" s="1"/>
  <c r="N5" i="15"/>
  <c r="T5" i="15" s="1"/>
  <c r="N19" i="15"/>
  <c r="T19" i="15" s="1"/>
  <c r="N6" i="15"/>
  <c r="T6" i="15" s="1"/>
  <c r="N17" i="15"/>
  <c r="T17" i="15" s="1"/>
  <c r="AA4" i="15"/>
  <c r="AB11" i="15"/>
  <c r="AH11" i="15" s="1"/>
  <c r="AE11" i="15"/>
  <c r="AF7" i="15"/>
  <c r="AB7" i="15"/>
  <c r="AH7" i="15" s="1"/>
  <c r="AA3" i="15"/>
  <c r="AG3" i="15" s="1"/>
  <c r="Q4" i="15"/>
  <c r="N4" i="15"/>
  <c r="T4" i="15" s="1"/>
  <c r="AB13" i="15"/>
  <c r="AH13" i="15" s="1"/>
  <c r="AE13" i="15"/>
  <c r="AE6" i="15"/>
  <c r="AB6" i="15"/>
  <c r="AH6" i="15" s="1"/>
  <c r="AB12" i="15"/>
  <c r="AH12" i="15" s="1"/>
  <c r="N18" i="15"/>
  <c r="T18" i="15" s="1"/>
  <c r="AF10" i="15"/>
  <c r="AB10" i="15"/>
  <c r="AH10" i="15" s="1"/>
  <c r="AF19" i="15"/>
  <c r="AB19" i="15"/>
  <c r="AH19" i="15" s="1"/>
  <c r="AE9" i="15"/>
  <c r="AB9" i="15"/>
  <c r="AH9" i="15" s="1"/>
  <c r="AB17" i="15"/>
  <c r="AH17" i="15" s="1"/>
  <c r="N8" i="15"/>
  <c r="T8" i="15" s="1"/>
  <c r="R8" i="15"/>
  <c r="HC448" i="4" s="1"/>
  <c r="N14" i="15"/>
  <c r="T14" i="15" s="1"/>
  <c r="S14" i="15"/>
  <c r="N9" i="15"/>
  <c r="T9" i="15" s="1"/>
  <c r="Q9" i="15"/>
  <c r="GY5" i="4"/>
  <c r="AB5" i="15"/>
  <c r="AH5" i="15" s="1"/>
  <c r="N13" i="15"/>
  <c r="T13" i="15" s="1"/>
  <c r="Q13" i="15"/>
  <c r="Q11" i="15"/>
  <c r="N11" i="15"/>
  <c r="T11" i="15" s="1"/>
  <c r="Q3" i="15"/>
  <c r="N3" i="15"/>
  <c r="T3" i="15" s="1"/>
  <c r="AE14" i="15"/>
  <c r="AB14" i="15"/>
  <c r="AH14" i="15" s="1"/>
  <c r="GY8" i="4"/>
  <c r="GY7" i="4"/>
  <c r="GS15" i="4"/>
  <c r="GW29" i="4"/>
  <c r="GY9" i="4"/>
  <c r="GU5" i="4"/>
  <c r="DI241" i="4"/>
  <c r="GS36" i="4"/>
  <c r="GS38" i="4"/>
  <c r="GS35" i="4"/>
  <c r="GW37" i="4"/>
  <c r="GU39" i="4"/>
  <c r="GU73" i="4"/>
  <c r="FU155" i="4"/>
  <c r="DS115" i="4"/>
  <c r="EG189" i="4"/>
  <c r="EG249" i="4"/>
  <c r="EG204" i="4"/>
  <c r="DW273" i="4"/>
  <c r="DR169" i="4"/>
  <c r="AC203" i="4"/>
  <c r="AC236" i="4"/>
  <c r="AC204" i="4"/>
  <c r="AC237" i="4"/>
  <c r="CQ237" i="4"/>
  <c r="CP204" i="4"/>
  <c r="CQ204" i="4"/>
  <c r="CP236" i="4"/>
  <c r="CQ236" i="4"/>
  <c r="CP237" i="4"/>
  <c r="CU236" i="4"/>
  <c r="CU204" i="4"/>
  <c r="CU237" i="4"/>
  <c r="Q236" i="4"/>
  <c r="Q204" i="4"/>
  <c r="Q237" i="4"/>
  <c r="DL237" i="4"/>
  <c r="CG203" i="4"/>
  <c r="CG204" i="4"/>
  <c r="CG236" i="4"/>
  <c r="CG237" i="4"/>
  <c r="O237" i="4"/>
  <c r="O236" i="4"/>
  <c r="O204" i="4"/>
  <c r="ED203" i="4"/>
  <c r="ED236" i="4"/>
  <c r="ED204" i="4"/>
  <c r="ED237" i="4"/>
  <c r="DL204" i="4"/>
  <c r="BL203" i="4"/>
  <c r="BL236" i="4"/>
  <c r="BL204" i="4"/>
  <c r="BL237" i="4"/>
  <c r="BU204" i="4"/>
  <c r="BV204" i="4"/>
  <c r="BU236" i="4"/>
  <c r="BV236" i="4"/>
  <c r="BU237" i="4"/>
  <c r="BV237" i="4"/>
  <c r="CC236" i="4"/>
  <c r="CC204" i="4"/>
  <c r="CB237" i="4"/>
  <c r="CC237" i="4"/>
  <c r="CB204" i="4"/>
  <c r="CB236" i="4"/>
  <c r="CE203" i="4"/>
  <c r="CE204" i="4"/>
  <c r="CE236" i="4"/>
  <c r="CE237" i="4"/>
  <c r="DW203" i="4"/>
  <c r="DW204" i="4"/>
  <c r="DW236" i="4"/>
  <c r="DW237" i="4"/>
  <c r="AF236" i="4"/>
  <c r="AE204" i="4"/>
  <c r="AF204" i="4"/>
  <c r="AE236" i="4"/>
  <c r="AE237" i="4"/>
  <c r="AF237" i="4"/>
  <c r="BN204" i="4"/>
  <c r="BO204" i="4"/>
  <c r="BN236" i="4"/>
  <c r="BO236" i="4"/>
  <c r="BN237" i="4"/>
  <c r="BO237" i="4"/>
  <c r="CN203" i="4"/>
  <c r="CN204" i="4"/>
  <c r="CN236" i="4"/>
  <c r="CN237" i="4"/>
  <c r="AQ236" i="4"/>
  <c r="AS204" i="4"/>
  <c r="AS236" i="4"/>
  <c r="AT236" i="4"/>
  <c r="AT204" i="4"/>
  <c r="AS237" i="4"/>
  <c r="AT237" i="4"/>
  <c r="BC236" i="4"/>
  <c r="BC204" i="4"/>
  <c r="BC237" i="4"/>
  <c r="BZ203" i="4"/>
  <c r="BZ204" i="4"/>
  <c r="BZ236" i="4"/>
  <c r="BZ237" i="4"/>
  <c r="DE204" i="4"/>
  <c r="DD237" i="4"/>
  <c r="DE237" i="4"/>
  <c r="DD236" i="4"/>
  <c r="DE236" i="4"/>
  <c r="DD204" i="4"/>
  <c r="DP237" i="4"/>
  <c r="EG236" i="4"/>
  <c r="DK236" i="4"/>
  <c r="BJ236" i="4"/>
  <c r="BJ204" i="4"/>
  <c r="BJ237" i="4"/>
  <c r="BS203" i="4"/>
  <c r="BS236" i="4"/>
  <c r="BS204" i="4"/>
  <c r="BS237" i="4"/>
  <c r="CW204" i="4"/>
  <c r="CW236" i="4"/>
  <c r="CX204" i="4"/>
  <c r="CX236" i="4"/>
  <c r="CW237" i="4"/>
  <c r="CX237" i="4"/>
  <c r="DI236" i="4"/>
  <c r="DS84" i="4"/>
  <c r="DR204" i="4"/>
  <c r="DS204" i="4"/>
  <c r="DR236" i="4"/>
  <c r="DS236" i="4"/>
  <c r="DR237" i="4"/>
  <c r="DS237" i="4"/>
  <c r="BE236" i="4"/>
  <c r="BE204" i="4"/>
  <c r="BE237" i="4"/>
  <c r="BQ204" i="4"/>
  <c r="BQ236" i="4"/>
  <c r="BQ237" i="4"/>
  <c r="DZ237" i="4"/>
  <c r="DY236" i="4"/>
  <c r="DY204" i="4"/>
  <c r="DZ236" i="4"/>
  <c r="DZ204" i="4"/>
  <c r="DY237" i="4"/>
  <c r="DI237" i="4"/>
  <c r="AQ237" i="4"/>
  <c r="AX203" i="4"/>
  <c r="AX236" i="4"/>
  <c r="AX204" i="4"/>
  <c r="AX237" i="4"/>
  <c r="BX236" i="4"/>
  <c r="BX204" i="4"/>
  <c r="BX237" i="4"/>
  <c r="CI204" i="4"/>
  <c r="CJ204" i="4"/>
  <c r="CI236" i="4"/>
  <c r="CJ236" i="4"/>
  <c r="CI237" i="4"/>
  <c r="CJ237" i="4"/>
  <c r="DP236" i="4"/>
  <c r="DK237" i="4"/>
  <c r="AA203" i="4"/>
  <c r="AA204" i="4"/>
  <c r="AA236" i="4"/>
  <c r="AA237" i="4"/>
  <c r="AZ204" i="4"/>
  <c r="BA204" i="4"/>
  <c r="AZ236" i="4"/>
  <c r="BA236" i="4"/>
  <c r="BA237" i="4"/>
  <c r="AZ237" i="4"/>
  <c r="AQ204" i="4"/>
  <c r="DK204" i="4"/>
  <c r="S204" i="4"/>
  <c r="S236" i="4"/>
  <c r="S237" i="4"/>
  <c r="AO203" i="4"/>
  <c r="AO204" i="4"/>
  <c r="AO236" i="4"/>
  <c r="AO237" i="4"/>
  <c r="BH204" i="4"/>
  <c r="BG237" i="4"/>
  <c r="BH237" i="4"/>
  <c r="BG236" i="4"/>
  <c r="BH236" i="4"/>
  <c r="BG204" i="4"/>
  <c r="DB203" i="4"/>
  <c r="DB204" i="4"/>
  <c r="DB236" i="4"/>
  <c r="DB237" i="4"/>
  <c r="EG237" i="4"/>
  <c r="DL236" i="4"/>
  <c r="Q203" i="4"/>
  <c r="DW271" i="4"/>
  <c r="O203" i="4"/>
  <c r="DP246" i="4"/>
  <c r="BU203" i="4"/>
  <c r="BV203" i="4"/>
  <c r="CB203" i="4"/>
  <c r="CC203" i="4"/>
  <c r="AE203" i="4"/>
  <c r="AF203" i="4"/>
  <c r="BN203" i="4"/>
  <c r="BO203" i="4"/>
  <c r="AT203" i="4"/>
  <c r="AS203" i="4"/>
  <c r="BC203" i="4"/>
  <c r="DD203" i="4"/>
  <c r="DE203" i="4"/>
  <c r="DW270" i="4"/>
  <c r="BJ203" i="4"/>
  <c r="CW203" i="4"/>
  <c r="CX203" i="4"/>
  <c r="DL202" i="4"/>
  <c r="BE203" i="4"/>
  <c r="BQ203" i="4"/>
  <c r="DR203" i="4"/>
  <c r="DS203" i="4"/>
  <c r="BX203" i="4"/>
  <c r="CI203" i="4"/>
  <c r="CJ203" i="4"/>
  <c r="DS167" i="4"/>
  <c r="DY203" i="4"/>
  <c r="DZ203" i="4"/>
  <c r="AQ203" i="4"/>
  <c r="AZ203" i="4"/>
  <c r="BA203" i="4"/>
  <c r="S203" i="4"/>
  <c r="BG203" i="4"/>
  <c r="BH203" i="4"/>
  <c r="DK203" i="4"/>
  <c r="CP203" i="4"/>
  <c r="CQ203" i="4"/>
  <c r="CU203" i="4"/>
  <c r="EG203" i="4"/>
  <c r="DL203" i="4"/>
  <c r="O144" i="4"/>
  <c r="O103" i="4"/>
  <c r="O202" i="4"/>
  <c r="O130" i="4"/>
  <c r="O145" i="4"/>
  <c r="Q4" i="4"/>
  <c r="Q202" i="4"/>
  <c r="Q103" i="4"/>
  <c r="Q144" i="4"/>
  <c r="Q145" i="4"/>
  <c r="Q130" i="4"/>
  <c r="EG254" i="4"/>
  <c r="ED144" i="4"/>
  <c r="EG145" i="4"/>
  <c r="ED202" i="4"/>
  <c r="EG103" i="4"/>
  <c r="EG130" i="4"/>
  <c r="ED103" i="4"/>
  <c r="ED130" i="4"/>
  <c r="EG144" i="4"/>
  <c r="ED145" i="4"/>
  <c r="CP146" i="4"/>
  <c r="CQ130" i="4"/>
  <c r="CP144" i="4"/>
  <c r="CQ144" i="4"/>
  <c r="CQ202" i="4"/>
  <c r="CP202" i="4"/>
  <c r="CP103" i="4"/>
  <c r="CP145" i="4"/>
  <c r="CQ145" i="4"/>
  <c r="CQ103" i="4"/>
  <c r="CP130" i="4"/>
  <c r="DB103" i="4"/>
  <c r="DB144" i="4"/>
  <c r="DB145" i="4"/>
  <c r="DB130" i="4"/>
  <c r="DB202" i="4"/>
  <c r="DW272" i="4"/>
  <c r="DW145" i="4"/>
  <c r="DW130" i="4"/>
  <c r="DW103" i="4"/>
  <c r="DW202" i="4"/>
  <c r="DW144" i="4"/>
  <c r="CU103" i="4"/>
  <c r="CU144" i="4"/>
  <c r="CU202" i="4"/>
  <c r="CU130" i="4"/>
  <c r="CU145" i="4"/>
  <c r="BL144" i="4"/>
  <c r="BL103" i="4"/>
  <c r="BL145" i="4"/>
  <c r="BL130" i="4"/>
  <c r="BL202" i="4"/>
  <c r="BU144" i="4"/>
  <c r="BV144" i="4"/>
  <c r="BV202" i="4"/>
  <c r="BU130" i="4"/>
  <c r="BV130" i="4"/>
  <c r="BU202" i="4"/>
  <c r="BU145" i="4"/>
  <c r="BU103" i="4"/>
  <c r="BV145" i="4"/>
  <c r="BV103" i="4"/>
  <c r="CC103" i="4"/>
  <c r="CC130" i="4"/>
  <c r="CB130" i="4"/>
  <c r="CC144" i="4"/>
  <c r="CB145" i="4"/>
  <c r="CC145" i="4"/>
  <c r="CB144" i="4"/>
  <c r="CB202" i="4"/>
  <c r="CC202" i="4"/>
  <c r="CB103" i="4"/>
  <c r="CG144" i="4"/>
  <c r="CG103" i="4"/>
  <c r="CG202" i="4"/>
  <c r="CG145" i="4"/>
  <c r="CG130" i="4"/>
  <c r="DP252" i="4"/>
  <c r="DS106" i="4"/>
  <c r="DR144" i="4"/>
  <c r="DR103" i="4"/>
  <c r="DS103" i="4"/>
  <c r="DR202" i="4"/>
  <c r="DR145" i="4"/>
  <c r="DS145" i="4"/>
  <c r="DS130" i="4"/>
  <c r="DR130" i="4"/>
  <c r="DS202" i="4"/>
  <c r="DS144" i="4"/>
  <c r="AE36" i="4"/>
  <c r="AE202" i="4"/>
  <c r="AE144" i="4"/>
  <c r="AF103" i="4"/>
  <c r="AF144" i="4"/>
  <c r="AE130" i="4"/>
  <c r="AE145" i="4"/>
  <c r="AE103" i="4"/>
  <c r="AF130" i="4"/>
  <c r="AF202" i="4"/>
  <c r="AF145" i="4"/>
  <c r="BN145" i="4"/>
  <c r="BO145" i="4"/>
  <c r="BN103" i="4"/>
  <c r="BN130" i="4"/>
  <c r="BO144" i="4"/>
  <c r="BO130" i="4"/>
  <c r="BO103" i="4"/>
  <c r="BN202" i="4"/>
  <c r="BO202" i="4"/>
  <c r="BN144" i="4"/>
  <c r="DZ144" i="4"/>
  <c r="DY202" i="4"/>
  <c r="DZ202" i="4"/>
  <c r="DY103" i="4"/>
  <c r="DZ103" i="4"/>
  <c r="DZ130" i="4"/>
  <c r="DY145" i="4"/>
  <c r="DZ145" i="4"/>
  <c r="DY130" i="4"/>
  <c r="DY144" i="4"/>
  <c r="AT130" i="4"/>
  <c r="AT144" i="4"/>
  <c r="AS103" i="4"/>
  <c r="AT103" i="4"/>
  <c r="AS202" i="4"/>
  <c r="AT202" i="4"/>
  <c r="AS145" i="4"/>
  <c r="AT145" i="4"/>
  <c r="AS144" i="4"/>
  <c r="AS130" i="4"/>
  <c r="BC103" i="4"/>
  <c r="BC202" i="4"/>
  <c r="BC144" i="4"/>
  <c r="BC130" i="4"/>
  <c r="BC145" i="4"/>
  <c r="BZ144" i="4"/>
  <c r="BZ103" i="4"/>
  <c r="BZ202" i="4"/>
  <c r="BZ130" i="4"/>
  <c r="BZ145" i="4"/>
  <c r="CE103" i="4"/>
  <c r="CE202" i="4"/>
  <c r="CE144" i="4"/>
  <c r="CE145" i="4"/>
  <c r="CE130" i="4"/>
  <c r="BJ202" i="4"/>
  <c r="BJ145" i="4"/>
  <c r="BJ130" i="4"/>
  <c r="BJ144" i="4"/>
  <c r="BJ103" i="4"/>
  <c r="BS103" i="4"/>
  <c r="BS145" i="4"/>
  <c r="BS144" i="4"/>
  <c r="BS202" i="4"/>
  <c r="BS130" i="4"/>
  <c r="CN202" i="4"/>
  <c r="CN103" i="4"/>
  <c r="CN144" i="4"/>
  <c r="CN130" i="4"/>
  <c r="CN145" i="4"/>
  <c r="DK202" i="4"/>
  <c r="BE144" i="4"/>
  <c r="BE103" i="4"/>
  <c r="BE202" i="4"/>
  <c r="BE145" i="4"/>
  <c r="BE130" i="4"/>
  <c r="BQ103" i="4"/>
  <c r="BQ202" i="4"/>
  <c r="BQ144" i="4"/>
  <c r="BQ145" i="4"/>
  <c r="BQ130" i="4"/>
  <c r="AX103" i="4"/>
  <c r="AX202" i="4"/>
  <c r="AX144" i="4"/>
  <c r="AX145" i="4"/>
  <c r="AX130" i="4"/>
  <c r="BX202" i="4"/>
  <c r="BX144" i="4"/>
  <c r="BX103" i="4"/>
  <c r="BX145" i="4"/>
  <c r="BX130" i="4"/>
  <c r="DE103" i="4"/>
  <c r="DD130" i="4"/>
  <c r="DD145" i="4"/>
  <c r="DD202" i="4"/>
  <c r="DE145" i="4"/>
  <c r="DD144" i="4"/>
  <c r="DE130" i="4"/>
  <c r="DE202" i="4"/>
  <c r="DE144" i="4"/>
  <c r="DD103" i="4"/>
  <c r="AA202" i="4"/>
  <c r="AA103" i="4"/>
  <c r="AA144" i="4"/>
  <c r="AA130" i="4"/>
  <c r="AA145" i="4"/>
  <c r="BA130" i="4"/>
  <c r="AZ145" i="4"/>
  <c r="AZ202" i="4"/>
  <c r="BA145" i="4"/>
  <c r="AZ103" i="4"/>
  <c r="BA103" i="4"/>
  <c r="AZ144" i="4"/>
  <c r="BA144" i="4"/>
  <c r="BA202" i="4"/>
  <c r="AZ130" i="4"/>
  <c r="CW130" i="4"/>
  <c r="CX144" i="4"/>
  <c r="CW144" i="4"/>
  <c r="CX130" i="4"/>
  <c r="CW103" i="4"/>
  <c r="CW145" i="4"/>
  <c r="CW202" i="4"/>
  <c r="CX145" i="4"/>
  <c r="CX202" i="4"/>
  <c r="CX103" i="4"/>
  <c r="S144" i="4"/>
  <c r="S202" i="4"/>
  <c r="S145" i="4"/>
  <c r="S130" i="4"/>
  <c r="S103" i="4"/>
  <c r="AO202" i="4"/>
  <c r="AO103" i="4"/>
  <c r="AO144" i="4"/>
  <c r="AO145" i="4"/>
  <c r="AO130" i="4"/>
  <c r="BG145" i="4"/>
  <c r="BH145" i="4"/>
  <c r="BG202" i="4"/>
  <c r="BH202" i="4"/>
  <c r="BG103" i="4"/>
  <c r="BH103" i="4"/>
  <c r="BH144" i="4"/>
  <c r="BG144" i="4"/>
  <c r="BH130" i="4"/>
  <c r="BG130" i="4"/>
  <c r="CI202" i="4"/>
  <c r="CJ145" i="4"/>
  <c r="CJ202" i="4"/>
  <c r="CI103" i="4"/>
  <c r="CJ103" i="4"/>
  <c r="CI144" i="4"/>
  <c r="CJ144" i="4"/>
  <c r="CI130" i="4"/>
  <c r="CJ130" i="4"/>
  <c r="CI145" i="4"/>
  <c r="DP260" i="4"/>
  <c r="AC226" i="4"/>
  <c r="AC202" i="4"/>
  <c r="EG202" i="4"/>
  <c r="DI267" i="4"/>
  <c r="DW268" i="4"/>
  <c r="EG238" i="4"/>
  <c r="FU140" i="4"/>
  <c r="DK199" i="4"/>
  <c r="FU76" i="4"/>
  <c r="FU224" i="4"/>
  <c r="FU183" i="4"/>
  <c r="EG239" i="4"/>
  <c r="FU87" i="4"/>
  <c r="FU105" i="4"/>
  <c r="FU210" i="4"/>
  <c r="FU258" i="4"/>
  <c r="FU162" i="4"/>
  <c r="FU217" i="4"/>
  <c r="FU95" i="4"/>
  <c r="FU191" i="4"/>
  <c r="FU150" i="4"/>
  <c r="FU167" i="4"/>
  <c r="FU90" i="4"/>
  <c r="FU206" i="4"/>
  <c r="FU267" i="4"/>
  <c r="FU218" i="4"/>
  <c r="FU88" i="4"/>
  <c r="FU85" i="4"/>
  <c r="FU86" i="4"/>
  <c r="FU127" i="4"/>
  <c r="FU136" i="4"/>
  <c r="FU148" i="4"/>
  <c r="FU172" i="4"/>
  <c r="FU165" i="4"/>
  <c r="FU117" i="4"/>
  <c r="FU125" i="4"/>
  <c r="FU84" i="4"/>
  <c r="DP234" i="4"/>
  <c r="DP259" i="4"/>
  <c r="DS52" i="4"/>
  <c r="DS78" i="4"/>
  <c r="DS94" i="4"/>
  <c r="FU222" i="4"/>
  <c r="FU212" i="4"/>
  <c r="FU241" i="4"/>
  <c r="FU122" i="4"/>
  <c r="FU77" i="4"/>
  <c r="DS80" i="4"/>
  <c r="FU179" i="4"/>
  <c r="FU108" i="4"/>
  <c r="EG216" i="4"/>
  <c r="FU66" i="4"/>
  <c r="FU133" i="4"/>
  <c r="FU71" i="4"/>
  <c r="FU177" i="4"/>
  <c r="FU230" i="4"/>
  <c r="DR170" i="4"/>
  <c r="DP235" i="4"/>
  <c r="DS107" i="4"/>
  <c r="FU257" i="4"/>
  <c r="FU163" i="4"/>
  <c r="FU266" i="4"/>
  <c r="FU200" i="4"/>
  <c r="FU102" i="4"/>
  <c r="FU104" i="4"/>
  <c r="FU158" i="4"/>
  <c r="FU83" i="4"/>
  <c r="FU262" i="4"/>
  <c r="FU72" i="4"/>
  <c r="FU205" i="4"/>
  <c r="FU214" i="4"/>
  <c r="FU111" i="4"/>
  <c r="DK209" i="4"/>
  <c r="CP91" i="4"/>
  <c r="DL206" i="4"/>
  <c r="DK206" i="4"/>
  <c r="CP187" i="4"/>
  <c r="CP117" i="4"/>
  <c r="CP132" i="4"/>
  <c r="AC238" i="4"/>
  <c r="CP92" i="4"/>
  <c r="CP157" i="4"/>
  <c r="DK222" i="4"/>
  <c r="DR196" i="4"/>
  <c r="DK218" i="4"/>
  <c r="DK200" i="4"/>
  <c r="DL218" i="4"/>
  <c r="DK198" i="4"/>
  <c r="DK224" i="4"/>
  <c r="DK269" i="4"/>
  <c r="DL211" i="4"/>
  <c r="DL198" i="4"/>
  <c r="DK232" i="4"/>
  <c r="DK196" i="4"/>
  <c r="DL219" i="4"/>
  <c r="DK214" i="4"/>
  <c r="DK211" i="4"/>
  <c r="DK219" i="4"/>
  <c r="DK220" i="4"/>
  <c r="DL214" i="4"/>
  <c r="DL221" i="4"/>
  <c r="DL208" i="4"/>
  <c r="DL193" i="4"/>
  <c r="DK207" i="4"/>
  <c r="DK201" i="4"/>
  <c r="DK221" i="4"/>
  <c r="DL225" i="4"/>
  <c r="DL212" i="4"/>
  <c r="DK212" i="4"/>
  <c r="DL205" i="4"/>
  <c r="DK216" i="4"/>
  <c r="DK225" i="4"/>
  <c r="DL200" i="4"/>
  <c r="DL216" i="4"/>
  <c r="CQ177" i="4"/>
  <c r="DL223" i="4"/>
  <c r="DL217" i="4"/>
  <c r="DL226" i="4"/>
  <c r="DL233" i="4"/>
  <c r="DK223" i="4"/>
  <c r="DL199" i="4"/>
  <c r="DL210" i="4"/>
  <c r="DK205" i="4"/>
  <c r="DL192" i="4"/>
  <c r="DK215" i="4"/>
  <c r="DL222" i="4"/>
  <c r="DL213" i="4"/>
  <c r="DL224" i="4"/>
  <c r="DK210" i="4"/>
  <c r="EG196" i="4"/>
  <c r="DL201" i="4"/>
  <c r="DL197" i="4"/>
  <c r="DL220" i="4"/>
  <c r="DL207" i="4"/>
  <c r="DK208" i="4"/>
  <c r="DL196" i="4"/>
  <c r="DK217" i="4"/>
  <c r="DK240" i="4"/>
  <c r="DK226" i="4"/>
  <c r="DK197" i="4"/>
  <c r="DL209" i="4"/>
  <c r="DL215" i="4"/>
  <c r="DK213" i="4"/>
  <c r="DL195" i="4"/>
  <c r="DK250" i="4"/>
  <c r="DL262" i="4"/>
  <c r="DK241" i="4"/>
  <c r="DS123" i="4"/>
  <c r="DS93" i="4"/>
  <c r="DS101" i="4"/>
  <c r="DS185" i="4"/>
  <c r="DS187" i="4"/>
  <c r="DS191" i="4"/>
  <c r="DS102" i="4"/>
  <c r="DS82" i="4"/>
  <c r="DS47" i="4"/>
  <c r="DS42" i="4"/>
  <c r="DS56" i="4"/>
  <c r="EG259" i="4"/>
  <c r="EG261" i="4"/>
  <c r="EG251" i="4"/>
  <c r="EG191" i="4"/>
  <c r="EG263" i="4"/>
  <c r="EG201" i="4"/>
  <c r="EG177" i="4"/>
  <c r="EG183" i="4"/>
  <c r="DK253" i="4"/>
  <c r="DL228" i="4"/>
  <c r="DS126" i="4"/>
  <c r="DR185" i="4"/>
  <c r="DS98" i="4"/>
  <c r="DS178" i="4"/>
  <c r="DS91" i="4"/>
  <c r="DR179" i="4"/>
  <c r="DR176" i="4"/>
  <c r="DS118" i="4"/>
  <c r="DR164" i="4"/>
  <c r="DS76" i="4"/>
  <c r="DS128" i="4"/>
  <c r="DS182" i="4"/>
  <c r="EG255" i="4"/>
  <c r="EG229" i="4"/>
  <c r="EG257" i="4"/>
  <c r="EG198" i="4"/>
  <c r="EG248" i="4"/>
  <c r="EG240" i="4"/>
  <c r="EG179" i="4"/>
  <c r="EG192" i="4"/>
  <c r="EG223" i="4"/>
  <c r="DL230" i="4"/>
  <c r="DL241" i="4"/>
  <c r="DS177" i="4"/>
  <c r="DS172" i="4"/>
  <c r="DS97" i="4"/>
  <c r="DP249" i="4"/>
  <c r="DS108" i="4"/>
  <c r="DS83" i="4"/>
  <c r="DR226" i="4"/>
  <c r="DR186" i="4"/>
  <c r="DS151" i="4"/>
  <c r="DS64" i="4"/>
  <c r="DS70" i="4"/>
  <c r="DS168" i="4"/>
  <c r="EG244" i="4"/>
  <c r="EG246" i="4"/>
  <c r="EG233" i="4"/>
  <c r="EG253" i="4"/>
  <c r="EG269" i="4"/>
  <c r="DK231" i="4"/>
  <c r="DK242" i="4"/>
  <c r="DK233" i="4"/>
  <c r="DR171" i="4"/>
  <c r="DP271" i="4"/>
  <c r="DS100" i="4"/>
  <c r="DR167" i="4"/>
  <c r="DR187" i="4"/>
  <c r="DS59" i="4"/>
  <c r="DS173" i="4"/>
  <c r="DS131" i="4"/>
  <c r="DS171" i="4"/>
  <c r="DS89" i="4"/>
  <c r="DS99" i="4"/>
  <c r="EG187" i="4"/>
  <c r="EG252" i="4"/>
  <c r="EG231" i="4"/>
  <c r="EG241" i="4"/>
  <c r="EG234" i="4"/>
  <c r="EG193" i="4"/>
  <c r="DK249" i="4"/>
  <c r="DL231" i="4"/>
  <c r="DK251" i="4"/>
  <c r="DL227" i="4"/>
  <c r="DS44" i="4"/>
  <c r="DS156" i="4"/>
  <c r="DS85" i="4"/>
  <c r="DP248" i="4"/>
  <c r="DR188" i="4"/>
  <c r="DR180" i="4"/>
  <c r="DS141" i="4"/>
  <c r="DS157" i="4"/>
  <c r="DS170" i="4"/>
  <c r="DS62" i="4"/>
  <c r="DS164" i="4"/>
  <c r="DS79" i="4"/>
  <c r="EG219" i="4"/>
  <c r="EG208" i="4"/>
  <c r="EG214" i="4"/>
  <c r="EG230" i="4"/>
  <c r="EG228" i="4"/>
  <c r="EG210" i="4"/>
  <c r="DK230" i="4"/>
  <c r="DK228" i="4"/>
  <c r="DK247" i="4"/>
  <c r="DK248" i="4"/>
  <c r="DK246" i="4"/>
  <c r="DK243" i="4"/>
  <c r="DR249" i="4"/>
  <c r="DS92" i="4"/>
  <c r="DS165" i="4"/>
  <c r="DS184" i="4"/>
  <c r="DR174" i="4"/>
  <c r="DS88" i="4"/>
  <c r="DS71" i="4"/>
  <c r="DS158" i="4"/>
  <c r="DS67" i="4"/>
  <c r="EG207" i="4"/>
  <c r="EG186" i="4"/>
  <c r="EG250" i="4"/>
  <c r="EG181" i="4"/>
  <c r="EG212" i="4"/>
  <c r="DK262" i="4"/>
  <c r="DK227" i="4"/>
  <c r="DK234" i="4"/>
  <c r="DS135" i="4"/>
  <c r="DS75" i="4"/>
  <c r="DS134" i="4"/>
  <c r="DS166" i="4"/>
  <c r="DP238" i="4"/>
  <c r="DS163" i="4"/>
  <c r="DS155" i="4"/>
  <c r="DS179" i="4"/>
  <c r="DS161" i="4"/>
  <c r="DS160" i="4"/>
  <c r="DS104" i="4"/>
  <c r="EG232" i="4"/>
  <c r="EG195" i="4"/>
  <c r="EG190" i="4"/>
  <c r="EG268" i="4"/>
  <c r="EG178" i="4"/>
  <c r="EG256" i="4"/>
  <c r="EG200" i="4"/>
  <c r="EG221" i="4"/>
  <c r="EG225" i="4"/>
  <c r="FU261" i="4"/>
  <c r="FU228" i="4"/>
  <c r="DL250" i="4"/>
  <c r="DK235" i="4"/>
  <c r="DS127" i="4"/>
  <c r="DS63" i="4"/>
  <c r="DR191" i="4"/>
  <c r="DS221" i="4"/>
  <c r="DS74" i="4"/>
  <c r="DS54" i="4"/>
  <c r="DS109" i="4"/>
  <c r="DR175" i="4"/>
  <c r="DS53" i="4"/>
  <c r="DS152" i="4"/>
  <c r="DS46" i="4"/>
  <c r="EG188" i="4"/>
  <c r="EG226" i="4"/>
  <c r="EG184" i="4"/>
  <c r="EG217" i="4"/>
  <c r="EG185" i="4"/>
  <c r="EG265" i="4"/>
  <c r="DK239" i="4"/>
  <c r="DL229" i="4"/>
  <c r="DS190" i="4"/>
  <c r="DS162" i="4"/>
  <c r="DR173" i="4"/>
  <c r="DS81" i="4"/>
  <c r="DS142" i="4"/>
  <c r="DS68" i="4"/>
  <c r="DS180" i="4"/>
  <c r="DS117" i="4"/>
  <c r="DR168" i="4"/>
  <c r="DS51" i="4"/>
  <c r="DS66" i="4"/>
  <c r="EG245" i="4"/>
  <c r="EG260" i="4"/>
  <c r="EG247" i="4"/>
  <c r="EG258" i="4"/>
  <c r="EG209" i="4"/>
  <c r="EG264" i="4"/>
  <c r="FU213" i="4"/>
  <c r="FU209" i="4"/>
  <c r="FU251" i="4"/>
  <c r="DK263" i="4"/>
  <c r="DK238" i="4"/>
  <c r="DK229" i="4"/>
  <c r="DS120" i="4"/>
  <c r="DS181" i="4"/>
  <c r="DS110" i="4"/>
  <c r="DS105" i="4"/>
  <c r="DS87" i="4"/>
  <c r="DS143" i="4"/>
  <c r="DS49" i="4"/>
  <c r="DS159" i="4"/>
  <c r="EG227" i="4"/>
  <c r="EG272" i="4"/>
  <c r="EG215" i="4"/>
  <c r="EG205" i="4"/>
  <c r="EG242" i="4"/>
  <c r="FU216" i="4"/>
  <c r="DK244" i="4"/>
  <c r="DK252" i="4"/>
  <c r="DL232" i="4"/>
  <c r="DR178" i="4"/>
  <c r="DS69" i="4"/>
  <c r="DS122" i="4"/>
  <c r="DR177" i="4"/>
  <c r="DS154" i="4"/>
  <c r="DS174" i="4"/>
  <c r="DS114" i="4"/>
  <c r="DS60" i="4"/>
  <c r="DS96" i="4"/>
  <c r="DS129" i="4"/>
  <c r="EG213" i="4"/>
  <c r="EG266" i="4"/>
  <c r="EG199" i="4"/>
  <c r="EG235" i="4"/>
  <c r="EG273" i="4"/>
  <c r="DS124" i="4"/>
  <c r="DS153" i="4"/>
  <c r="DS132" i="4"/>
  <c r="EG218" i="4"/>
  <c r="DS77" i="4"/>
  <c r="DS55" i="4"/>
  <c r="EG211" i="4"/>
  <c r="FU147" i="4"/>
  <c r="DS90" i="4"/>
  <c r="DR166" i="4"/>
  <c r="CU227" i="4"/>
  <c r="DK260" i="4"/>
  <c r="DK245" i="4"/>
  <c r="DS111" i="4"/>
  <c r="DS65" i="4"/>
  <c r="DS61" i="4"/>
  <c r="DS150" i="4"/>
  <c r="DS43" i="4"/>
  <c r="DK257" i="4"/>
  <c r="DS169" i="4"/>
  <c r="DS72" i="4"/>
  <c r="DS138" i="4"/>
  <c r="DR182" i="4"/>
  <c r="DS149" i="4"/>
  <c r="DS148" i="4"/>
  <c r="DS215" i="4"/>
  <c r="FU141" i="4"/>
  <c r="CP230" i="4"/>
  <c r="CP215" i="4"/>
  <c r="AX266" i="4"/>
  <c r="CP119" i="4"/>
  <c r="CP225" i="4"/>
  <c r="CP101" i="4"/>
  <c r="CQ129" i="4"/>
  <c r="CQ260" i="4"/>
  <c r="DR189" i="4"/>
  <c r="DS73" i="4"/>
  <c r="EG271" i="4"/>
  <c r="CQ134" i="4"/>
  <c r="CP192" i="4"/>
  <c r="CP114" i="4"/>
  <c r="CP156" i="4"/>
  <c r="DS95" i="4"/>
  <c r="DS136" i="4"/>
  <c r="EG270" i="4"/>
  <c r="DP270" i="4"/>
  <c r="DP261" i="4"/>
  <c r="DR165" i="4"/>
  <c r="EG182" i="4"/>
  <c r="EG197" i="4"/>
  <c r="EG267" i="4"/>
  <c r="EG220" i="4"/>
  <c r="AX268" i="4"/>
  <c r="CU242" i="4"/>
  <c r="DS188" i="4"/>
  <c r="DS58" i="4"/>
  <c r="DS57" i="4"/>
  <c r="DS183" i="4"/>
  <c r="DS139" i="4"/>
  <c r="ED231" i="4"/>
  <c r="ED261" i="4"/>
  <c r="ED262" i="4"/>
  <c r="ED139" i="4"/>
  <c r="ED270" i="4"/>
  <c r="ED242" i="4"/>
  <c r="ED200" i="4"/>
  <c r="ED174" i="4"/>
  <c r="ED133" i="4"/>
  <c r="ED176" i="4"/>
  <c r="ED161" i="4"/>
  <c r="ED109" i="4"/>
  <c r="ED80" i="4"/>
  <c r="ED95" i="4"/>
  <c r="ED68" i="4"/>
  <c r="ED149" i="4"/>
  <c r="ED117" i="4"/>
  <c r="ED67" i="4"/>
  <c r="ED33" i="4"/>
  <c r="ED30" i="4"/>
  <c r="ED71" i="4"/>
  <c r="EG117" i="4"/>
  <c r="EG169" i="4"/>
  <c r="EG153" i="4"/>
  <c r="EG163" i="4"/>
  <c r="EG170" i="4"/>
  <c r="EG147" i="4"/>
  <c r="EG162" i="4"/>
  <c r="EG89" i="4"/>
  <c r="EG128" i="4"/>
  <c r="EG51" i="4"/>
  <c r="EG110" i="4"/>
  <c r="EG71" i="4"/>
  <c r="EG111" i="4"/>
  <c r="EG116" i="4"/>
  <c r="ED269" i="4"/>
  <c r="ED252" i="4"/>
  <c r="ED126" i="4"/>
  <c r="ED238" i="4"/>
  <c r="ED164" i="4"/>
  <c r="ED120" i="4"/>
  <c r="ED156" i="4"/>
  <c r="ED257" i="4"/>
  <c r="ED82" i="4"/>
  <c r="ED97" i="4"/>
  <c r="ED70" i="4"/>
  <c r="ED85" i="4"/>
  <c r="ED58" i="4"/>
  <c r="ED110" i="4"/>
  <c r="ED102" i="4"/>
  <c r="ED113" i="4"/>
  <c r="ED47" i="4"/>
  <c r="ED22" i="4"/>
  <c r="ED40" i="4"/>
  <c r="EG161" i="4"/>
  <c r="EG95" i="4"/>
  <c r="EG29" i="4"/>
  <c r="EG120" i="4"/>
  <c r="EG154" i="4"/>
  <c r="EG100" i="4"/>
  <c r="EG72" i="4"/>
  <c r="EG114" i="4"/>
  <c r="EG152" i="4"/>
  <c r="EG38" i="4"/>
  <c r="EG13" i="4"/>
  <c r="EG19" i="4"/>
  <c r="ED258" i="4"/>
  <c r="ED266" i="4"/>
  <c r="ED241" i="4"/>
  <c r="ED222" i="4"/>
  <c r="ED233" i="4"/>
  <c r="ED180" i="4"/>
  <c r="ED153" i="4"/>
  <c r="ED142" i="4"/>
  <c r="ED213" i="4"/>
  <c r="ED72" i="4"/>
  <c r="ED74" i="4"/>
  <c r="ED46" i="4"/>
  <c r="ED186" i="4"/>
  <c r="ED100" i="4"/>
  <c r="ED16" i="4"/>
  <c r="ED106" i="4"/>
  <c r="EG160" i="4"/>
  <c r="EG140" i="4"/>
  <c r="EG151" i="4"/>
  <c r="EG176" i="4"/>
  <c r="EG134" i="4"/>
  <c r="EG150" i="4"/>
  <c r="EG79" i="4"/>
  <c r="EG39" i="4"/>
  <c r="EG60" i="4"/>
  <c r="EG98" i="4"/>
  <c r="EG84" i="4"/>
  <c r="EG35" i="4"/>
  <c r="EG28" i="4"/>
  <c r="EG21" i="4"/>
  <c r="ED271" i="4"/>
  <c r="ED229" i="4"/>
  <c r="ED211" i="4"/>
  <c r="ED216" i="4"/>
  <c r="ED209" i="4"/>
  <c r="ED169" i="4"/>
  <c r="ED140" i="4"/>
  <c r="ED217" i="4"/>
  <c r="ED131" i="4"/>
  <c r="ED199" i="4"/>
  <c r="ED61" i="4"/>
  <c r="ED76" i="4"/>
  <c r="ED48" i="4"/>
  <c r="ED64" i="4"/>
  <c r="ED34" i="4"/>
  <c r="ED87" i="4"/>
  <c r="ED141" i="4"/>
  <c r="ED90" i="4"/>
  <c r="ED84" i="4"/>
  <c r="ED81" i="4"/>
  <c r="ED208" i="4"/>
  <c r="ED19" i="4"/>
  <c r="EG149" i="4"/>
  <c r="EG85" i="4"/>
  <c r="EG18" i="4"/>
  <c r="EG105" i="4"/>
  <c r="EG132" i="4"/>
  <c r="EG54" i="4"/>
  <c r="EG90" i="4"/>
  <c r="EG138" i="4"/>
  <c r="EG61" i="4"/>
  <c r="EG101" i="4"/>
  <c r="EG55" i="4"/>
  <c r="EG32" i="4"/>
  <c r="EG23" i="4"/>
  <c r="ED260" i="4"/>
  <c r="ED235" i="4"/>
  <c r="ED245" i="4"/>
  <c r="ED267" i="4"/>
  <c r="ED198" i="4"/>
  <c r="ED196" i="4"/>
  <c r="ED160" i="4"/>
  <c r="ED259" i="4"/>
  <c r="ED205" i="4"/>
  <c r="ED263" i="4"/>
  <c r="ED191" i="4"/>
  <c r="ED50" i="4"/>
  <c r="ED65" i="4"/>
  <c r="ED36" i="4"/>
  <c r="ED53" i="4"/>
  <c r="ED23" i="4"/>
  <c r="ED77" i="4"/>
  <c r="ED138" i="4"/>
  <c r="ED31" i="4"/>
  <c r="ED35" i="4"/>
  <c r="ED45" i="4"/>
  <c r="ED52" i="4"/>
  <c r="EG148" i="4"/>
  <c r="EG127" i="4"/>
  <c r="EG68" i="4"/>
  <c r="EG87" i="4"/>
  <c r="EG49" i="4"/>
  <c r="EG115" i="4"/>
  <c r="EG88" i="4"/>
  <c r="EG124" i="4"/>
  <c r="EG27" i="4"/>
  <c r="EG20" i="4"/>
  <c r="EG63" i="4"/>
  <c r="ED250" i="4"/>
  <c r="ED226" i="4"/>
  <c r="ED232" i="4"/>
  <c r="ED218" i="4"/>
  <c r="ED189" i="4"/>
  <c r="ED193" i="4"/>
  <c r="ED187" i="4"/>
  <c r="ED148" i="4"/>
  <c r="ED223" i="4"/>
  <c r="ED183" i="4"/>
  <c r="ED240" i="4"/>
  <c r="ED179" i="4"/>
  <c r="ED38" i="4"/>
  <c r="ED55" i="4"/>
  <c r="ED25" i="4"/>
  <c r="ED41" i="4"/>
  <c r="ED125" i="4"/>
  <c r="ED66" i="4"/>
  <c r="ED127" i="4"/>
  <c r="ED69" i="4"/>
  <c r="ED20" i="4"/>
  <c r="ED32" i="4"/>
  <c r="ED21" i="4"/>
  <c r="EG156" i="4"/>
  <c r="EG136" i="4"/>
  <c r="EG173" i="4"/>
  <c r="EG74" i="4"/>
  <c r="EG93" i="4"/>
  <c r="EG108" i="4"/>
  <c r="EG42" i="4"/>
  <c r="EG106" i="4"/>
  <c r="EG91" i="4"/>
  <c r="EG33" i="4"/>
  <c r="EG65" i="4"/>
  <c r="EG17" i="4"/>
  <c r="EG52" i="4"/>
  <c r="EG97" i="4"/>
  <c r="ED239" i="4"/>
  <c r="ED268" i="4"/>
  <c r="ED273" i="4"/>
  <c r="ED206" i="4"/>
  <c r="ED177" i="4"/>
  <c r="ED182" i="4"/>
  <c r="ED272" i="4"/>
  <c r="ED212" i="4"/>
  <c r="ED228" i="4"/>
  <c r="ED234" i="4"/>
  <c r="ED168" i="4"/>
  <c r="ED27" i="4"/>
  <c r="ED43" i="4"/>
  <c r="ED13" i="4"/>
  <c r="ED155" i="4"/>
  <c r="ED105" i="4"/>
  <c r="ED56" i="4"/>
  <c r="ED115" i="4"/>
  <c r="ED92" i="4"/>
  <c r="ED24" i="4"/>
  <c r="EG155" i="4"/>
  <c r="EG135" i="4"/>
  <c r="EG167" i="4"/>
  <c r="EG146" i="4"/>
  <c r="EG58" i="4"/>
  <c r="EG16" i="4"/>
  <c r="EG77" i="4"/>
  <c r="EG102" i="4"/>
  <c r="EG37" i="4"/>
  <c r="EG78" i="4"/>
  <c r="EG165" i="4"/>
  <c r="EG45" i="4"/>
  <c r="EG76" i="4"/>
  <c r="ED227" i="4"/>
  <c r="ED256" i="4"/>
  <c r="ED264" i="4"/>
  <c r="ED195" i="4"/>
  <c r="ED166" i="4"/>
  <c r="ED171" i="4"/>
  <c r="ED255" i="4"/>
  <c r="ED190" i="4"/>
  <c r="ED225" i="4"/>
  <c r="ED215" i="4"/>
  <c r="ED159" i="4"/>
  <c r="ED15" i="4"/>
  <c r="ED248" i="4"/>
  <c r="ED220" i="4"/>
  <c r="ED128" i="4"/>
  <c r="ED93" i="4"/>
  <c r="ED44" i="4"/>
  <c r="ED108" i="4"/>
  <c r="ED134" i="4"/>
  <c r="ED42" i="4"/>
  <c r="ED49" i="4"/>
  <c r="ED63" i="4"/>
  <c r="ED94" i="4"/>
  <c r="EG142" i="4"/>
  <c r="EG123" i="4"/>
  <c r="EG133" i="4"/>
  <c r="EG64" i="4"/>
  <c r="EG83" i="4"/>
  <c r="EG66" i="4"/>
  <c r="EG96" i="4"/>
  <c r="EG69" i="4"/>
  <c r="EG94" i="4"/>
  <c r="EG104" i="4"/>
  <c r="EG157" i="4"/>
  <c r="EG80" i="4"/>
  <c r="EG25" i="4"/>
  <c r="EG34" i="4"/>
  <c r="EG48" i="4"/>
  <c r="ED247" i="4"/>
  <c r="ED184" i="4"/>
  <c r="ED157" i="4"/>
  <c r="ED162" i="4"/>
  <c r="ED253" i="4"/>
  <c r="ED219" i="4"/>
  <c r="ED178" i="4"/>
  <c r="ED221" i="4"/>
  <c r="ED201" i="4"/>
  <c r="ED147" i="4"/>
  <c r="ED251" i="4"/>
  <c r="ED118" i="4"/>
  <c r="ED163" i="4"/>
  <c r="ED112" i="4"/>
  <c r="ED83" i="4"/>
  <c r="ED175" i="4"/>
  <c r="ED96" i="4"/>
  <c r="ED111" i="4"/>
  <c r="ED18" i="4"/>
  <c r="ED37" i="4"/>
  <c r="ED57" i="4"/>
  <c r="ED60" i="4"/>
  <c r="EG141" i="4"/>
  <c r="EG122" i="4"/>
  <c r="EG174" i="4"/>
  <c r="EG158" i="4"/>
  <c r="EG168" i="4"/>
  <c r="EG112" i="4"/>
  <c r="EG46" i="4"/>
  <c r="EG143" i="4"/>
  <c r="EG92" i="4"/>
  <c r="EG26" i="4"/>
  <c r="EG175" i="4"/>
  <c r="EG67" i="4"/>
  <c r="EG109" i="4"/>
  <c r="EG36" i="4"/>
  <c r="EG43" i="4"/>
  <c r="ED265" i="4"/>
  <c r="ED243" i="4"/>
  <c r="ED173" i="4"/>
  <c r="ED143" i="4"/>
  <c r="ED150" i="4"/>
  <c r="ED249" i="4"/>
  <c r="ED207" i="4"/>
  <c r="ED167" i="4"/>
  <c r="ED210" i="4"/>
  <c r="ED192" i="4"/>
  <c r="ED165" i="4"/>
  <c r="ED151" i="4"/>
  <c r="ED114" i="4"/>
  <c r="ED136" i="4"/>
  <c r="ED99" i="4"/>
  <c r="ED62" i="4"/>
  <c r="ED154" i="4"/>
  <c r="ED86" i="4"/>
  <c r="ED98" i="4"/>
  <c r="ED73" i="4"/>
  <c r="ED28" i="4"/>
  <c r="ED26" i="4"/>
  <c r="ED29" i="4"/>
  <c r="EG131" i="4"/>
  <c r="EG118" i="4"/>
  <c r="EG53" i="4"/>
  <c r="EG139" i="4"/>
  <c r="EG56" i="4"/>
  <c r="EG86" i="4"/>
  <c r="EG59" i="4"/>
  <c r="EG137" i="4"/>
  <c r="EG70" i="4"/>
  <c r="EG73" i="4"/>
  <c r="EG30" i="4"/>
  <c r="EG24" i="4"/>
  <c r="EG31" i="4"/>
  <c r="ED254" i="4"/>
  <c r="ED224" i="4"/>
  <c r="ED230" i="4"/>
  <c r="ED132" i="4"/>
  <c r="ED137" i="4"/>
  <c r="ED246" i="4"/>
  <c r="ED158" i="4"/>
  <c r="ED197" i="4"/>
  <c r="ED181" i="4"/>
  <c r="ED129" i="4"/>
  <c r="ED121" i="4"/>
  <c r="ED101" i="4"/>
  <c r="ED123" i="4"/>
  <c r="ED89" i="4"/>
  <c r="ED51" i="4"/>
  <c r="ED135" i="4"/>
  <c r="ED75" i="4"/>
  <c r="ED88" i="4"/>
  <c r="ED59" i="4"/>
  <c r="ED17" i="4"/>
  <c r="ED14" i="4"/>
  <c r="EG129" i="4"/>
  <c r="EG164" i="4"/>
  <c r="EG172" i="4"/>
  <c r="EG159" i="4"/>
  <c r="EG171" i="4"/>
  <c r="EG99" i="4"/>
  <c r="EG62" i="4"/>
  <c r="EG125" i="4"/>
  <c r="EG81" i="4"/>
  <c r="EG14" i="4"/>
  <c r="EG57" i="4"/>
  <c r="EG126" i="4"/>
  <c r="EG121" i="4"/>
  <c r="ED244" i="4"/>
  <c r="ED152" i="4"/>
  <c r="ED119" i="4"/>
  <c r="ED124" i="4"/>
  <c r="ED214" i="4"/>
  <c r="ED185" i="4"/>
  <c r="ED146" i="4"/>
  <c r="ED188" i="4"/>
  <c r="ED170" i="4"/>
  <c r="ED104" i="4"/>
  <c r="ED116" i="4"/>
  <c r="ED91" i="4"/>
  <c r="ED107" i="4"/>
  <c r="ED79" i="4"/>
  <c r="ED39" i="4"/>
  <c r="ED122" i="4"/>
  <c r="ED78" i="4"/>
  <c r="ED54" i="4"/>
  <c r="ED172" i="4"/>
  <c r="EG107" i="4"/>
  <c r="EG41" i="4"/>
  <c r="EG44" i="4"/>
  <c r="EG166" i="4"/>
  <c r="EG75" i="4"/>
  <c r="EG113" i="4"/>
  <c r="EG47" i="4"/>
  <c r="EG119" i="4"/>
  <c r="EG82" i="4"/>
  <c r="EG50" i="4"/>
  <c r="EG22" i="4"/>
  <c r="EG15" i="4"/>
  <c r="EG40" i="4"/>
  <c r="DW226" i="4"/>
  <c r="DW262" i="4"/>
  <c r="DW160" i="4"/>
  <c r="DW153" i="4"/>
  <c r="DW267" i="4"/>
  <c r="DW176" i="4"/>
  <c r="DW234" i="4"/>
  <c r="DW191" i="4"/>
  <c r="DW173" i="4"/>
  <c r="DW171" i="4"/>
  <c r="DW17" i="4"/>
  <c r="DW22" i="4"/>
  <c r="DW27" i="4"/>
  <c r="DW20" i="4"/>
  <c r="DW238" i="4"/>
  <c r="DW155" i="4"/>
  <c r="DW177" i="4"/>
  <c r="DW127" i="4"/>
  <c r="DW75" i="4"/>
  <c r="DW90" i="4"/>
  <c r="DW16" i="4"/>
  <c r="DZ35" i="4"/>
  <c r="DW260" i="4"/>
  <c r="DW256" i="4"/>
  <c r="DW252" i="4"/>
  <c r="DW148" i="4"/>
  <c r="DW140" i="4"/>
  <c r="DW217" i="4"/>
  <c r="DW156" i="4"/>
  <c r="DW220" i="4"/>
  <c r="DW179" i="4"/>
  <c r="DW162" i="4"/>
  <c r="DW150" i="4"/>
  <c r="DW141" i="4"/>
  <c r="DW15" i="4"/>
  <c r="DW157" i="4"/>
  <c r="DW131" i="4"/>
  <c r="DW189" i="4"/>
  <c r="DW139" i="4"/>
  <c r="DW122" i="4"/>
  <c r="DW115" i="4"/>
  <c r="DW47" i="4"/>
  <c r="DW14" i="4"/>
  <c r="DZ29" i="4"/>
  <c r="DZ13" i="4"/>
  <c r="DW250" i="4"/>
  <c r="DW247" i="4"/>
  <c r="DW241" i="4"/>
  <c r="DW135" i="4"/>
  <c r="DW263" i="4"/>
  <c r="DW205" i="4"/>
  <c r="DW142" i="4"/>
  <c r="DW208" i="4"/>
  <c r="DW168" i="4"/>
  <c r="DW152" i="4"/>
  <c r="DW198" i="4"/>
  <c r="DW137" i="4"/>
  <c r="DW132" i="4"/>
  <c r="DW196" i="4"/>
  <c r="DW126" i="4"/>
  <c r="DW119" i="4"/>
  <c r="DW124" i="4"/>
  <c r="DW134" i="4"/>
  <c r="DW110" i="4"/>
  <c r="DW102" i="4"/>
  <c r="DW54" i="4"/>
  <c r="DZ32" i="4"/>
  <c r="DW239" i="4"/>
  <c r="DW229" i="4"/>
  <c r="DW259" i="4"/>
  <c r="DW255" i="4"/>
  <c r="DW183" i="4"/>
  <c r="DW225" i="4"/>
  <c r="DW159" i="4"/>
  <c r="DW243" i="4"/>
  <c r="DW118" i="4"/>
  <c r="DW123" i="4"/>
  <c r="DW128" i="4"/>
  <c r="DW121" i="4"/>
  <c r="DW114" i="4"/>
  <c r="DW107" i="4"/>
  <c r="DW112" i="4"/>
  <c r="DW117" i="4"/>
  <c r="DW92" i="4"/>
  <c r="DW42" i="4"/>
  <c r="DZ18" i="4"/>
  <c r="DZ38" i="4"/>
  <c r="DW227" i="4"/>
  <c r="DW261" i="4"/>
  <c r="DW249" i="4"/>
  <c r="DW253" i="4"/>
  <c r="DW223" i="4"/>
  <c r="DW172" i="4"/>
  <c r="DW215" i="4"/>
  <c r="DW186" i="4"/>
  <c r="DW147" i="4"/>
  <c r="DW222" i="4"/>
  <c r="DW106" i="4"/>
  <c r="DW111" i="4"/>
  <c r="DW116" i="4"/>
  <c r="DW109" i="4"/>
  <c r="DW101" i="4"/>
  <c r="DW95" i="4"/>
  <c r="DW99" i="4"/>
  <c r="DW105" i="4"/>
  <c r="DW87" i="4"/>
  <c r="DW81" i="4"/>
  <c r="DW264" i="4"/>
  <c r="DW265" i="4"/>
  <c r="DW251" i="4"/>
  <c r="DW242" i="4"/>
  <c r="DW246" i="4"/>
  <c r="DW212" i="4"/>
  <c r="DW163" i="4"/>
  <c r="DW201" i="4"/>
  <c r="DW175" i="4"/>
  <c r="DW257" i="4"/>
  <c r="DW211" i="4"/>
  <c r="DW94" i="4"/>
  <c r="DW98" i="4"/>
  <c r="DW104" i="4"/>
  <c r="DW97" i="4"/>
  <c r="DW91" i="4"/>
  <c r="DW85" i="4"/>
  <c r="DW89" i="4"/>
  <c r="DW93" i="4"/>
  <c r="DW77" i="4"/>
  <c r="DW209" i="4"/>
  <c r="DW113" i="4"/>
  <c r="DW35" i="4"/>
  <c r="DZ34" i="4"/>
  <c r="DZ37" i="4"/>
  <c r="DZ14" i="4"/>
  <c r="DZ22" i="4"/>
  <c r="DW254" i="4"/>
  <c r="DW240" i="4"/>
  <c r="DW233" i="4"/>
  <c r="DW219" i="4"/>
  <c r="DW190" i="4"/>
  <c r="DW151" i="4"/>
  <c r="DW192" i="4"/>
  <c r="DW165" i="4"/>
  <c r="DW230" i="4"/>
  <c r="DW84" i="4"/>
  <c r="DW88" i="4"/>
  <c r="DW80" i="4"/>
  <c r="DW74" i="4"/>
  <c r="DW79" i="4"/>
  <c r="DW83" i="4"/>
  <c r="DW66" i="4"/>
  <c r="DW166" i="4"/>
  <c r="DW59" i="4"/>
  <c r="DW125" i="4"/>
  <c r="DW60" i="4"/>
  <c r="DZ20" i="4"/>
  <c r="DZ17" i="4"/>
  <c r="DW244" i="4"/>
  <c r="DW228" i="4"/>
  <c r="DW214" i="4"/>
  <c r="DW207" i="4"/>
  <c r="DW178" i="4"/>
  <c r="DW138" i="4"/>
  <c r="DW181" i="4"/>
  <c r="DW154" i="4"/>
  <c r="DW224" i="4"/>
  <c r="DW73" i="4"/>
  <c r="DW78" i="4"/>
  <c r="DW82" i="4"/>
  <c r="DW76" i="4"/>
  <c r="DW70" i="4"/>
  <c r="DW64" i="4"/>
  <c r="DW68" i="4"/>
  <c r="DW62" i="4"/>
  <c r="DW56" i="4"/>
  <c r="DW129" i="4"/>
  <c r="DW30" i="4"/>
  <c r="DW24" i="4"/>
  <c r="DW69" i="4"/>
  <c r="DZ23" i="4"/>
  <c r="DZ26" i="4"/>
  <c r="DZ40" i="4"/>
  <c r="DW231" i="4"/>
  <c r="DW266" i="4"/>
  <c r="DW200" i="4"/>
  <c r="DW167" i="4"/>
  <c r="DW221" i="4"/>
  <c r="DW170" i="4"/>
  <c r="DW218" i="4"/>
  <c r="DW216" i="4"/>
  <c r="DW63" i="4"/>
  <c r="DW67" i="4"/>
  <c r="DW72" i="4"/>
  <c r="DW65" i="4"/>
  <c r="DW53" i="4"/>
  <c r="DW58" i="4"/>
  <c r="DW51" i="4"/>
  <c r="DW44" i="4"/>
  <c r="DW120" i="4"/>
  <c r="DW13" i="4"/>
  <c r="DZ36" i="4"/>
  <c r="DW258" i="4"/>
  <c r="DW185" i="4"/>
  <c r="DW158" i="4"/>
  <c r="DW210" i="4"/>
  <c r="DW161" i="4"/>
  <c r="DW248" i="4"/>
  <c r="DW206" i="4"/>
  <c r="DW52" i="4"/>
  <c r="DW57" i="4"/>
  <c r="DW61" i="4"/>
  <c r="DW55" i="4"/>
  <c r="DW48" i="4"/>
  <c r="DW41" i="4"/>
  <c r="DW46" i="4"/>
  <c r="DW39" i="4"/>
  <c r="DW32" i="4"/>
  <c r="DW108" i="4"/>
  <c r="DW100" i="4"/>
  <c r="DW49" i="4"/>
  <c r="DW245" i="4"/>
  <c r="DW180" i="4"/>
  <c r="DW174" i="4"/>
  <c r="DW146" i="4"/>
  <c r="DW197" i="4"/>
  <c r="DW149" i="4"/>
  <c r="DW213" i="4"/>
  <c r="DW195" i="4"/>
  <c r="DW193" i="4"/>
  <c r="DW40" i="4"/>
  <c r="DW45" i="4"/>
  <c r="DW50" i="4"/>
  <c r="DW43" i="4"/>
  <c r="DW36" i="4"/>
  <c r="DW29" i="4"/>
  <c r="DW34" i="4"/>
  <c r="DW187" i="4"/>
  <c r="DW96" i="4"/>
  <c r="DW37" i="4"/>
  <c r="DW71" i="4"/>
  <c r="DW235" i="4"/>
  <c r="DW232" i="4"/>
  <c r="DW169" i="4"/>
  <c r="DW164" i="4"/>
  <c r="DW133" i="4"/>
  <c r="DW188" i="4"/>
  <c r="DW136" i="4"/>
  <c r="DW199" i="4"/>
  <c r="DW184" i="4"/>
  <c r="DW182" i="4"/>
  <c r="DW28" i="4"/>
  <c r="DW33" i="4"/>
  <c r="DW38" i="4"/>
  <c r="DW31" i="4"/>
  <c r="DW25" i="4"/>
  <c r="DW18" i="4"/>
  <c r="DW23" i="4"/>
  <c r="DW143" i="4"/>
  <c r="DW86" i="4"/>
  <c r="DW19" i="4"/>
  <c r="DW21" i="4"/>
  <c r="DZ19" i="4"/>
  <c r="DZ33" i="4"/>
  <c r="DZ16" i="4"/>
  <c r="DZ39" i="4"/>
  <c r="DZ27" i="4"/>
  <c r="DZ31" i="4"/>
  <c r="DZ24" i="4"/>
  <c r="DZ25" i="4"/>
  <c r="DZ21" i="4"/>
  <c r="DZ28" i="4"/>
  <c r="DZ15" i="4"/>
  <c r="DW26" i="4"/>
  <c r="DZ30" i="4"/>
  <c r="AX269" i="4"/>
  <c r="CP209" i="4"/>
  <c r="CP253" i="4"/>
  <c r="CP271" i="4"/>
  <c r="CP262" i="4"/>
  <c r="CP175" i="4"/>
  <c r="CP234" i="4"/>
  <c r="DS250" i="4"/>
  <c r="DS137" i="4"/>
  <c r="DS45" i="4"/>
  <c r="DS133" i="4"/>
  <c r="EG180" i="4"/>
  <c r="EG224" i="4"/>
  <c r="EG206" i="4"/>
  <c r="AX262" i="4"/>
  <c r="DP239" i="4"/>
  <c r="EG243" i="4"/>
  <c r="DP272" i="4"/>
  <c r="EG222" i="4"/>
  <c r="DP250" i="4"/>
  <c r="DP251" i="4"/>
  <c r="DS125" i="4"/>
  <c r="EG262" i="4"/>
  <c r="CU232" i="4"/>
  <c r="CU254" i="4"/>
  <c r="DR117" i="4"/>
  <c r="DR190" i="4"/>
  <c r="DR131" i="4"/>
  <c r="DR121" i="4"/>
  <c r="DR43" i="4"/>
  <c r="DR58" i="4"/>
  <c r="DR105" i="4"/>
  <c r="DR158" i="4"/>
  <c r="DR161" i="4"/>
  <c r="DR152" i="4"/>
  <c r="DR46" i="4"/>
  <c r="DR137" i="4"/>
  <c r="DR160" i="4"/>
  <c r="DR146" i="4"/>
  <c r="DR149" i="4"/>
  <c r="DR139" i="4"/>
  <c r="DR132" i="4"/>
  <c r="DR162" i="4"/>
  <c r="DR150" i="4"/>
  <c r="DR64" i="4"/>
  <c r="DR148" i="4"/>
  <c r="DR133" i="4"/>
  <c r="DR136" i="4"/>
  <c r="DR126" i="4"/>
  <c r="DR114" i="4"/>
  <c r="DR94" i="4"/>
  <c r="DR113" i="4"/>
  <c r="DR98" i="4"/>
  <c r="DR119" i="4"/>
  <c r="DR95" i="4"/>
  <c r="DR135" i="4"/>
  <c r="DR120" i="4"/>
  <c r="DR123" i="4"/>
  <c r="DR124" i="4"/>
  <c r="DR143" i="4"/>
  <c r="DR92" i="4"/>
  <c r="DR111" i="4"/>
  <c r="DR99" i="4"/>
  <c r="DR84" i="4"/>
  <c r="DR101" i="4"/>
  <c r="DR107" i="4"/>
  <c r="DR122" i="4"/>
  <c r="DR108" i="4"/>
  <c r="DR154" i="4"/>
  <c r="DR112" i="4"/>
  <c r="DR87" i="4"/>
  <c r="DR81" i="4"/>
  <c r="DR96" i="4"/>
  <c r="DR90" i="4"/>
  <c r="DR73" i="4"/>
  <c r="DR88" i="4"/>
  <c r="DR82" i="4"/>
  <c r="DR104" i="4"/>
  <c r="DR157" i="4"/>
  <c r="DR74" i="4"/>
  <c r="DR110" i="4"/>
  <c r="DR163" i="4"/>
  <c r="DR93" i="4"/>
  <c r="DR77" i="4"/>
  <c r="DR71" i="4"/>
  <c r="DR86" i="4"/>
  <c r="DR63" i="4"/>
  <c r="DR78" i="4"/>
  <c r="DR72" i="4"/>
  <c r="DR97" i="4"/>
  <c r="DR100" i="4"/>
  <c r="DR118" i="4"/>
  <c r="DR153" i="4"/>
  <c r="DR151" i="4"/>
  <c r="DR128" i="4"/>
  <c r="DR83" i="4"/>
  <c r="DR66" i="4"/>
  <c r="DR60" i="4"/>
  <c r="DR75" i="4"/>
  <c r="DR69" i="4"/>
  <c r="DR52" i="4"/>
  <c r="DR67" i="4"/>
  <c r="DR61" i="4"/>
  <c r="DR91" i="4"/>
  <c r="DR109" i="4"/>
  <c r="DR41" i="4"/>
  <c r="DR140" i="4"/>
  <c r="DR138" i="4"/>
  <c r="DR116" i="4"/>
  <c r="DR62" i="4"/>
  <c r="DR56" i="4"/>
  <c r="DR49" i="4"/>
  <c r="DR59" i="4"/>
  <c r="DR57" i="4"/>
  <c r="DR50" i="4"/>
  <c r="DR76" i="4"/>
  <c r="DR80" i="4"/>
  <c r="DR106" i="4"/>
  <c r="DR155" i="4"/>
  <c r="DR127" i="4"/>
  <c r="DR125" i="4"/>
  <c r="DR159" i="4"/>
  <c r="DR51" i="4"/>
  <c r="DR44" i="4"/>
  <c r="DR54" i="4"/>
  <c r="DR47" i="4"/>
  <c r="DR45" i="4"/>
  <c r="DR65" i="4"/>
  <c r="DR70" i="4"/>
  <c r="DR89" i="4"/>
  <c r="DR85" i="4"/>
  <c r="DR141" i="4"/>
  <c r="DR115" i="4"/>
  <c r="DR156" i="4"/>
  <c r="DR147" i="4"/>
  <c r="DR42" i="4"/>
  <c r="DR55" i="4"/>
  <c r="DR79" i="4"/>
  <c r="DR53" i="4"/>
  <c r="DR129" i="4"/>
  <c r="DR102" i="4"/>
  <c r="DR142" i="4"/>
  <c r="DR134" i="4"/>
  <c r="DS48" i="4"/>
  <c r="DR48" i="4"/>
  <c r="DR68" i="4"/>
  <c r="CP133" i="4"/>
  <c r="CP128" i="4"/>
  <c r="CP211" i="4"/>
  <c r="CU195" i="4"/>
  <c r="DS86" i="4"/>
  <c r="DZ253" i="4"/>
  <c r="DY242" i="4"/>
  <c r="DZ228" i="4"/>
  <c r="DY260" i="4"/>
  <c r="DY212" i="4"/>
  <c r="DY133" i="4"/>
  <c r="DZ188" i="4"/>
  <c r="DZ245" i="4"/>
  <c r="DZ170" i="4"/>
  <c r="DZ220" i="4"/>
  <c r="DZ154" i="4"/>
  <c r="DZ213" i="4"/>
  <c r="DZ147" i="4"/>
  <c r="DZ195" i="4"/>
  <c r="DY257" i="4"/>
  <c r="DY173" i="4"/>
  <c r="DY222" i="4"/>
  <c r="DY157" i="4"/>
  <c r="DZ187" i="4"/>
  <c r="DY209" i="4"/>
  <c r="DY169" i="4"/>
  <c r="DY104" i="4"/>
  <c r="DZ91" i="4"/>
  <c r="DY80" i="4"/>
  <c r="DY74" i="4"/>
  <c r="DY219" i="4"/>
  <c r="DZ83" i="4"/>
  <c r="DZ77" i="4"/>
  <c r="DY140" i="4"/>
  <c r="DY66" i="4"/>
  <c r="DY127" i="4"/>
  <c r="DY60" i="4"/>
  <c r="DZ125" i="4"/>
  <c r="DZ59" i="4"/>
  <c r="DY100" i="4"/>
  <c r="DZ98" i="4"/>
  <c r="DY57" i="4"/>
  <c r="DY123" i="4"/>
  <c r="DY59" i="4"/>
  <c r="DY224" i="4"/>
  <c r="DZ273" i="4"/>
  <c r="DY264" i="4"/>
  <c r="DZ254" i="4"/>
  <c r="DZ205" i="4"/>
  <c r="DZ267" i="4"/>
  <c r="DY183" i="4"/>
  <c r="DY241" i="4"/>
  <c r="DZ161" i="4"/>
  <c r="DY215" i="4"/>
  <c r="DY149" i="4"/>
  <c r="DY208" i="4"/>
  <c r="DY191" i="4"/>
  <c r="DY251" i="4"/>
  <c r="DZ166" i="4"/>
  <c r="DZ216" i="4"/>
  <c r="DZ150" i="4"/>
  <c r="DY182" i="4"/>
  <c r="DZ260" i="4"/>
  <c r="DZ164" i="4"/>
  <c r="DZ97" i="4"/>
  <c r="DZ74" i="4"/>
  <c r="DZ158" i="4"/>
  <c r="DZ68" i="4"/>
  <c r="DZ180" i="4"/>
  <c r="DY79" i="4"/>
  <c r="DZ190" i="4"/>
  <c r="DZ66" i="4"/>
  <c r="DZ127" i="4"/>
  <c r="DZ60" i="4"/>
  <c r="DZ120" i="4"/>
  <c r="DZ54" i="4"/>
  <c r="DY120" i="4"/>
  <c r="DY54" i="4"/>
  <c r="DZ94" i="4"/>
  <c r="DY94" i="4"/>
  <c r="DZ72" i="4"/>
  <c r="DZ242" i="4"/>
  <c r="DY270" i="4"/>
  <c r="DZ257" i="4"/>
  <c r="DY250" i="4"/>
  <c r="DY190" i="4"/>
  <c r="DY255" i="4"/>
  <c r="DZ176" i="4"/>
  <c r="DZ235" i="4"/>
  <c r="DY156" i="4"/>
  <c r="DZ208" i="4"/>
  <c r="DZ199" i="4"/>
  <c r="DZ134" i="4"/>
  <c r="DZ184" i="4"/>
  <c r="DY244" i="4"/>
  <c r="DY211" i="4"/>
  <c r="DY143" i="4"/>
  <c r="DZ233" i="4"/>
  <c r="DY160" i="4"/>
  <c r="DZ80" i="4"/>
  <c r="DY196" i="4"/>
  <c r="DY70" i="4"/>
  <c r="DZ148" i="4"/>
  <c r="DY64" i="4"/>
  <c r="DY68" i="4"/>
  <c r="DZ140" i="4"/>
  <c r="DY62" i="4"/>
  <c r="DY122" i="4"/>
  <c r="DY56" i="4"/>
  <c r="DY115" i="4"/>
  <c r="DY49" i="4"/>
  <c r="DZ113" i="4"/>
  <c r="DZ47" i="4"/>
  <c r="DY90" i="4"/>
  <c r="DZ88" i="4"/>
  <c r="DY67" i="4"/>
  <c r="DY235" i="4"/>
  <c r="DZ224" i="4"/>
  <c r="DZ264" i="4"/>
  <c r="DZ244" i="4"/>
  <c r="DZ183" i="4"/>
  <c r="DZ241" i="4"/>
  <c r="DY172" i="4"/>
  <c r="DY221" i="4"/>
  <c r="DZ149" i="4"/>
  <c r="DY201" i="4"/>
  <c r="DY136" i="4"/>
  <c r="DY179" i="4"/>
  <c r="DZ222" i="4"/>
  <c r="DZ157" i="4"/>
  <c r="DZ137" i="4"/>
  <c r="DY171" i="4"/>
  <c r="DZ219" i="4"/>
  <c r="DZ153" i="4"/>
  <c r="DY76" i="4"/>
  <c r="DZ64" i="4"/>
  <c r="DZ124" i="4"/>
  <c r="DZ58" i="4"/>
  <c r="DY148" i="4"/>
  <c r="DZ62" i="4"/>
  <c r="DY135" i="4"/>
  <c r="DZ56" i="4"/>
  <c r="DZ115" i="4"/>
  <c r="DZ49" i="4"/>
  <c r="DZ108" i="4"/>
  <c r="DZ42" i="4"/>
  <c r="DY108" i="4"/>
  <c r="DY42" i="4"/>
  <c r="DZ84" i="4"/>
  <c r="DY84" i="4"/>
  <c r="DZ270" i="4"/>
  <c r="DY259" i="4"/>
  <c r="DZ248" i="4"/>
  <c r="DY239" i="4"/>
  <c r="DY178" i="4"/>
  <c r="DZ232" i="4"/>
  <c r="DY163" i="4"/>
  <c r="DZ215" i="4"/>
  <c r="DY142" i="4"/>
  <c r="DZ128" i="4"/>
  <c r="DZ191" i="4"/>
  <c r="DZ269" i="4"/>
  <c r="DZ173" i="4"/>
  <c r="DY218" i="4"/>
  <c r="DY152" i="4"/>
  <c r="DY198" i="4"/>
  <c r="DY214" i="4"/>
  <c r="DY207" i="4"/>
  <c r="DY82" i="4"/>
  <c r="DZ70" i="4"/>
  <c r="DY126" i="4"/>
  <c r="DY119" i="4"/>
  <c r="DY53" i="4"/>
  <c r="DZ135" i="4"/>
  <c r="DY58" i="4"/>
  <c r="DZ122" i="4"/>
  <c r="DY51" i="4"/>
  <c r="DY110" i="4"/>
  <c r="DY44" i="4"/>
  <c r="DY102" i="4"/>
  <c r="DZ100" i="4"/>
  <c r="DZ78" i="4"/>
  <c r="DY185" i="4"/>
  <c r="DZ104" i="4"/>
  <c r="DZ82" i="4"/>
  <c r="DZ116" i="4"/>
  <c r="DY226" i="4"/>
  <c r="DY268" i="4"/>
  <c r="DY266" i="4"/>
  <c r="DY243" i="4"/>
  <c r="DZ231" i="4"/>
  <c r="DZ172" i="4"/>
  <c r="DY229" i="4"/>
  <c r="DZ156" i="4"/>
  <c r="DY210" i="4"/>
  <c r="DZ136" i="4"/>
  <c r="DY192" i="4"/>
  <c r="DY186" i="4"/>
  <c r="DY248" i="4"/>
  <c r="DY168" i="4"/>
  <c r="DZ211" i="4"/>
  <c r="DZ143" i="4"/>
  <c r="DZ193" i="4"/>
  <c r="DY265" i="4"/>
  <c r="DY162" i="4"/>
  <c r="DZ207" i="4"/>
  <c r="DZ160" i="4"/>
  <c r="DZ76" i="4"/>
  <c r="DY174" i="4"/>
  <c r="DY65" i="4"/>
  <c r="DZ119" i="4"/>
  <c r="DZ53" i="4"/>
  <c r="DZ112" i="4"/>
  <c r="DZ46" i="4"/>
  <c r="DY124" i="4"/>
  <c r="DZ51" i="4"/>
  <c r="DY117" i="4"/>
  <c r="DZ44" i="4"/>
  <c r="DZ102" i="4"/>
  <c r="DZ96" i="4"/>
  <c r="DY96" i="4"/>
  <c r="DZ271" i="4"/>
  <c r="DZ73" i="4"/>
  <c r="DY73" i="4"/>
  <c r="DY88" i="4"/>
  <c r="DZ63" i="4"/>
  <c r="DZ52" i="4"/>
  <c r="DY78" i="4"/>
  <c r="DY272" i="4"/>
  <c r="DZ261" i="4"/>
  <c r="DZ259" i="4"/>
  <c r="DY249" i="4"/>
  <c r="DZ234" i="4"/>
  <c r="DY227" i="4"/>
  <c r="DY167" i="4"/>
  <c r="DZ226" i="4"/>
  <c r="DY151" i="4"/>
  <c r="DZ201" i="4"/>
  <c r="DY131" i="4"/>
  <c r="DZ186" i="4"/>
  <c r="DZ266" i="4"/>
  <c r="DZ179" i="4"/>
  <c r="DY240" i="4"/>
  <c r="DY206" i="4"/>
  <c r="DY139" i="4"/>
  <c r="DY189" i="4"/>
  <c r="DZ239" i="4"/>
  <c r="DZ155" i="4"/>
  <c r="DY200" i="4"/>
  <c r="DY141" i="4"/>
  <c r="DY72" i="4"/>
  <c r="DZ126" i="4"/>
  <c r="DY114" i="4"/>
  <c r="DY48" i="4"/>
  <c r="DY107" i="4"/>
  <c r="DY41" i="4"/>
  <c r="DZ117" i="4"/>
  <c r="DY46" i="4"/>
  <c r="DZ110" i="4"/>
  <c r="DY92" i="4"/>
  <c r="DZ90" i="4"/>
  <c r="DZ167" i="4"/>
  <c r="DZ223" i="4"/>
  <c r="DZ67" i="4"/>
  <c r="DY137" i="4"/>
  <c r="DZ50" i="4"/>
  <c r="DZ268" i="4"/>
  <c r="DY256" i="4"/>
  <c r="DZ243" i="4"/>
  <c r="DY230" i="4"/>
  <c r="DZ255" i="4"/>
  <c r="DZ163" i="4"/>
  <c r="DZ221" i="4"/>
  <c r="DZ142" i="4"/>
  <c r="DY197" i="4"/>
  <c r="DZ262" i="4"/>
  <c r="DY181" i="4"/>
  <c r="DY262" i="4"/>
  <c r="DY175" i="4"/>
  <c r="DY231" i="4"/>
  <c r="DY159" i="4"/>
  <c r="DZ198" i="4"/>
  <c r="DZ132" i="4"/>
  <c r="DZ182" i="4"/>
  <c r="DY216" i="4"/>
  <c r="DY150" i="4"/>
  <c r="DY132" i="4"/>
  <c r="DZ65" i="4"/>
  <c r="DY121" i="4"/>
  <c r="DY55" i="4"/>
  <c r="DZ107" i="4"/>
  <c r="DZ41" i="4"/>
  <c r="DZ99" i="4"/>
  <c r="DY112" i="4"/>
  <c r="DY105" i="4"/>
  <c r="DZ92" i="4"/>
  <c r="DZ86" i="4"/>
  <c r="DY86" i="4"/>
  <c r="DY153" i="4"/>
  <c r="DY63" i="4"/>
  <c r="DY111" i="4"/>
  <c r="DY98" i="4"/>
  <c r="DZ272" i="4"/>
  <c r="DY263" i="4"/>
  <c r="DZ251" i="4"/>
  <c r="DZ249" i="4"/>
  <c r="DY238" i="4"/>
  <c r="DZ225" i="4"/>
  <c r="DY246" i="4"/>
  <c r="DY158" i="4"/>
  <c r="DY217" i="4"/>
  <c r="DY138" i="4"/>
  <c r="DZ192" i="4"/>
  <c r="DZ175" i="4"/>
  <c r="DZ258" i="4"/>
  <c r="DZ168" i="4"/>
  <c r="DZ218" i="4"/>
  <c r="DZ152" i="4"/>
  <c r="DY195" i="4"/>
  <c r="DY177" i="4"/>
  <c r="DZ209" i="4"/>
  <c r="DZ141" i="4"/>
  <c r="DY128" i="4"/>
  <c r="DY61" i="4"/>
  <c r="DZ114" i="4"/>
  <c r="DZ48" i="4"/>
  <c r="DY101" i="4"/>
  <c r="DY95" i="4"/>
  <c r="DZ105" i="4"/>
  <c r="DY87" i="4"/>
  <c r="DY233" i="4"/>
  <c r="DY81" i="4"/>
  <c r="DZ212" i="4"/>
  <c r="DY125" i="4"/>
  <c r="DZ123" i="4"/>
  <c r="DZ57" i="4"/>
  <c r="DY47" i="4"/>
  <c r="DZ61" i="4"/>
  <c r="DY269" i="4"/>
  <c r="DZ256" i="4"/>
  <c r="DY247" i="4"/>
  <c r="DY245" i="4"/>
  <c r="DZ230" i="4"/>
  <c r="DZ229" i="4"/>
  <c r="DZ151" i="4"/>
  <c r="DZ210" i="4"/>
  <c r="DZ131" i="4"/>
  <c r="DY188" i="4"/>
  <c r="DY252" i="4"/>
  <c r="DY170" i="4"/>
  <c r="DY234" i="4"/>
  <c r="DY165" i="4"/>
  <c r="DY213" i="4"/>
  <c r="DY147" i="4"/>
  <c r="DZ189" i="4"/>
  <c r="DY261" i="4"/>
  <c r="DZ171" i="4"/>
  <c r="DZ185" i="4"/>
  <c r="DZ121" i="4"/>
  <c r="DZ55" i="4"/>
  <c r="DY109" i="4"/>
  <c r="DY43" i="4"/>
  <c r="DZ95" i="4"/>
  <c r="DZ89" i="4"/>
  <c r="DY99" i="4"/>
  <c r="DY93" i="4"/>
  <c r="DZ81" i="4"/>
  <c r="DZ178" i="4"/>
  <c r="DZ75" i="4"/>
  <c r="DY187" i="4"/>
  <c r="DY75" i="4"/>
  <c r="DZ118" i="4"/>
  <c r="DY118" i="4"/>
  <c r="DY52" i="4"/>
  <c r="DZ263" i="4"/>
  <c r="DY253" i="4"/>
  <c r="DZ240" i="4"/>
  <c r="DZ238" i="4"/>
  <c r="DY271" i="4"/>
  <c r="DY223" i="4"/>
  <c r="DY146" i="4"/>
  <c r="DY205" i="4"/>
  <c r="DY267" i="4"/>
  <c r="DZ181" i="4"/>
  <c r="DZ165" i="4"/>
  <c r="DY228" i="4"/>
  <c r="DZ159" i="4"/>
  <c r="DZ206" i="4"/>
  <c r="DZ139" i="4"/>
  <c r="DY184" i="4"/>
  <c r="DY254" i="4"/>
  <c r="DY166" i="4"/>
  <c r="DZ196" i="4"/>
  <c r="DZ250" i="4"/>
  <c r="DY180" i="4"/>
  <c r="DY116" i="4"/>
  <c r="DY50" i="4"/>
  <c r="DZ101" i="4"/>
  <c r="DY91" i="4"/>
  <c r="DY85" i="4"/>
  <c r="DZ93" i="4"/>
  <c r="DZ87" i="4"/>
  <c r="DZ169" i="4"/>
  <c r="DY77" i="4"/>
  <c r="DY164" i="4"/>
  <c r="DY71" i="4"/>
  <c r="DZ146" i="4"/>
  <c r="DZ69" i="4"/>
  <c r="DY113" i="4"/>
  <c r="DZ111" i="4"/>
  <c r="DZ45" i="4"/>
  <c r="DY45" i="4"/>
  <c r="DY258" i="4"/>
  <c r="DZ247" i="4"/>
  <c r="DY232" i="4"/>
  <c r="DY273" i="4"/>
  <c r="DZ265" i="4"/>
  <c r="DZ217" i="4"/>
  <c r="DZ138" i="4"/>
  <c r="DZ197" i="4"/>
  <c r="DZ252" i="4"/>
  <c r="DY176" i="4"/>
  <c r="DY225" i="4"/>
  <c r="DY161" i="4"/>
  <c r="DY220" i="4"/>
  <c r="DY154" i="4"/>
  <c r="DY199" i="4"/>
  <c r="DY134" i="4"/>
  <c r="DZ177" i="4"/>
  <c r="DZ227" i="4"/>
  <c r="DZ162" i="4"/>
  <c r="DY193" i="4"/>
  <c r="DZ214" i="4"/>
  <c r="DZ174" i="4"/>
  <c r="DZ109" i="4"/>
  <c r="DZ43" i="4"/>
  <c r="DY97" i="4"/>
  <c r="DZ85" i="4"/>
  <c r="DZ79" i="4"/>
  <c r="DZ246" i="4"/>
  <c r="DY89" i="4"/>
  <c r="DZ200" i="4"/>
  <c r="DY83" i="4"/>
  <c r="DY155" i="4"/>
  <c r="DZ71" i="4"/>
  <c r="DZ129" i="4"/>
  <c r="DY129" i="4"/>
  <c r="DZ106" i="4"/>
  <c r="DY106" i="4"/>
  <c r="DZ133" i="4"/>
  <c r="DY69" i="4"/>
  <c r="DS116" i="4"/>
  <c r="AC233" i="4"/>
  <c r="CP89" i="4"/>
  <c r="CP134" i="4"/>
  <c r="CP172" i="4"/>
  <c r="CP231" i="4"/>
  <c r="CP214" i="4"/>
  <c r="CP213" i="4"/>
  <c r="CP239" i="4"/>
  <c r="CU190" i="4"/>
  <c r="CU221" i="4"/>
  <c r="DS113" i="4"/>
  <c r="DS50" i="4"/>
  <c r="AC250" i="4"/>
  <c r="CP109" i="4"/>
  <c r="CP108" i="4"/>
  <c r="CP100" i="4"/>
  <c r="DS41" i="4"/>
  <c r="DR172" i="4"/>
  <c r="DS189" i="4"/>
  <c r="AC247" i="4"/>
  <c r="CP199" i="4"/>
  <c r="DP263" i="4"/>
  <c r="DS112" i="4"/>
  <c r="DS175" i="4"/>
  <c r="DS119" i="4"/>
  <c r="DR181" i="4"/>
  <c r="AC260" i="4"/>
  <c r="CP180" i="4"/>
  <c r="CP158" i="4"/>
  <c r="DK261" i="4"/>
  <c r="DP240" i="4"/>
  <c r="DR183" i="4"/>
  <c r="DS147" i="4"/>
  <c r="CP190" i="4"/>
  <c r="CP155" i="4"/>
  <c r="DK273" i="4"/>
  <c r="DP273" i="4"/>
  <c r="DS146" i="4"/>
  <c r="DS186" i="4"/>
  <c r="DR184" i="4"/>
  <c r="DS140" i="4"/>
  <c r="DS176" i="4"/>
  <c r="DS255" i="4"/>
  <c r="DS272" i="4"/>
  <c r="DR243" i="4"/>
  <c r="DS256" i="4"/>
  <c r="CU241" i="4"/>
  <c r="CU213" i="4"/>
  <c r="CU246" i="4"/>
  <c r="CU222" i="4"/>
  <c r="CU225" i="4"/>
  <c r="DL251" i="4"/>
  <c r="DL254" i="4"/>
  <c r="DI249" i="4"/>
  <c r="DK267" i="4"/>
  <c r="DI251" i="4"/>
  <c r="DI242" i="4"/>
  <c r="DI266" i="4"/>
  <c r="DS259" i="4"/>
  <c r="DR197" i="4"/>
  <c r="DR265" i="4"/>
  <c r="DS258" i="4"/>
  <c r="DS265" i="4"/>
  <c r="DR218" i="4"/>
  <c r="DP245" i="4"/>
  <c r="DP256" i="4"/>
  <c r="DP267" i="4"/>
  <c r="DP262" i="4"/>
  <c r="DR269" i="4"/>
  <c r="DS217" i="4"/>
  <c r="DK192" i="4"/>
  <c r="DK193" i="4"/>
  <c r="DK195" i="4"/>
  <c r="DS263" i="4"/>
  <c r="DR219" i="4"/>
  <c r="DS247" i="4"/>
  <c r="DR200" i="4"/>
  <c r="CU239" i="4"/>
  <c r="CU216" i="4"/>
  <c r="CU198" i="4"/>
  <c r="DL259" i="4"/>
  <c r="DI258" i="4"/>
  <c r="DS234" i="4"/>
  <c r="DR268" i="4"/>
  <c r="DS222" i="4"/>
  <c r="DS268" i="4"/>
  <c r="DR246" i="4"/>
  <c r="DR263" i="4"/>
  <c r="DP265" i="4"/>
  <c r="DR247" i="4"/>
  <c r="DS197" i="4"/>
  <c r="DR198" i="4"/>
  <c r="DP254" i="4"/>
  <c r="DS240" i="4"/>
  <c r="DR212" i="4"/>
  <c r="DP244" i="4"/>
  <c r="CU219" i="4"/>
  <c r="CU230" i="4"/>
  <c r="CU250" i="4"/>
  <c r="CU224" i="4"/>
  <c r="DL245" i="4"/>
  <c r="DI244" i="4"/>
  <c r="DR225" i="4"/>
  <c r="DR208" i="4"/>
  <c r="DS239" i="4"/>
  <c r="DR256" i="4"/>
  <c r="DS251" i="4"/>
  <c r="DR223" i="4"/>
  <c r="DP242" i="4"/>
  <c r="DS232" i="4"/>
  <c r="DR233" i="4"/>
  <c r="DR228" i="4"/>
  <c r="DP268" i="4"/>
  <c r="DS264" i="4"/>
  <c r="DS260" i="4"/>
  <c r="CU206" i="4"/>
  <c r="CU258" i="4"/>
  <c r="CU255" i="4"/>
  <c r="CU263" i="4"/>
  <c r="CU262" i="4"/>
  <c r="DI234" i="4"/>
  <c r="DL272" i="4"/>
  <c r="DI261" i="4"/>
  <c r="DI256" i="4"/>
  <c r="DI254" i="4"/>
  <c r="DL248" i="4"/>
  <c r="DI257" i="4"/>
  <c r="DS269" i="4"/>
  <c r="DS195" i="4"/>
  <c r="DR245" i="4"/>
  <c r="DS220" i="4"/>
  <c r="DS245" i="4"/>
  <c r="DS210" i="4"/>
  <c r="DP253" i="4"/>
  <c r="DR240" i="4"/>
  <c r="DR205" i="4"/>
  <c r="DP241" i="4"/>
  <c r="DS273" i="4"/>
  <c r="DR216" i="4"/>
  <c r="DP266" i="4"/>
  <c r="DR270" i="4"/>
  <c r="DR221" i="4"/>
  <c r="CU261" i="4"/>
  <c r="CU247" i="4"/>
  <c r="CU271" i="4"/>
  <c r="CU259" i="4"/>
  <c r="CU245" i="4"/>
  <c r="DL256" i="4"/>
  <c r="DI238" i="4"/>
  <c r="DL253" i="4"/>
  <c r="DI240" i="4"/>
  <c r="DS200" i="4"/>
  <c r="DR235" i="4"/>
  <c r="DS209" i="4"/>
  <c r="DS230" i="4"/>
  <c r="DR232" i="4"/>
  <c r="DR264" i="4"/>
  <c r="DP243" i="4"/>
  <c r="DS257" i="4"/>
  <c r="DS241" i="4"/>
  <c r="DR213" i="4"/>
  <c r="DS201" i="4"/>
  <c r="DR253" i="4"/>
  <c r="CU243" i="4"/>
  <c r="CU192" i="4"/>
  <c r="CU226" i="4"/>
  <c r="CU234" i="4"/>
  <c r="CU266" i="4"/>
  <c r="CU196" i="4"/>
  <c r="DI250" i="4"/>
  <c r="DL266" i="4"/>
  <c r="DI264" i="4"/>
  <c r="DI246" i="4"/>
  <c r="DL234" i="4"/>
  <c r="DS224" i="4"/>
  <c r="DR273" i="4"/>
  <c r="DP264" i="4"/>
  <c r="DR201" i="4"/>
  <c r="DS216" i="4"/>
  <c r="DS252" i="4"/>
  <c r="DR248" i="4"/>
  <c r="DR192" i="4"/>
  <c r="DR229" i="4"/>
  <c r="DR195" i="4"/>
  <c r="DP269" i="4"/>
  <c r="DR266" i="4"/>
  <c r="DR211" i="4"/>
  <c r="CU267" i="4"/>
  <c r="CU228" i="4"/>
  <c r="CU260" i="4"/>
  <c r="CU212" i="4"/>
  <c r="CU252" i="4"/>
  <c r="DI260" i="4"/>
  <c r="DI253" i="4"/>
  <c r="DL263" i="4"/>
  <c r="DI255" i="4"/>
  <c r="DS266" i="4"/>
  <c r="DS192" i="4"/>
  <c r="DR261" i="4"/>
  <c r="DR262" i="4"/>
  <c r="DR272" i="4"/>
  <c r="DS262" i="4"/>
  <c r="DS208" i="4"/>
  <c r="DR257" i="4"/>
  <c r="DR222" i="4"/>
  <c r="DR241" i="4"/>
  <c r="DS231" i="4"/>
  <c r="DS233" i="4"/>
  <c r="DS193" i="4"/>
  <c r="DR239" i="4"/>
  <c r="DP247" i="4"/>
  <c r="DS213" i="4"/>
  <c r="CP254" i="4"/>
  <c r="CP255" i="4"/>
  <c r="CP111" i="4"/>
  <c r="CP221" i="4"/>
  <c r="CP82" i="4"/>
  <c r="CU201" i="4"/>
  <c r="CU191" i="4"/>
  <c r="CU257" i="4"/>
  <c r="CU272" i="4"/>
  <c r="CU188" i="4"/>
  <c r="DI263" i="4"/>
  <c r="DI259" i="4"/>
  <c r="DL247" i="4"/>
  <c r="DL240" i="4"/>
  <c r="DR271" i="4"/>
  <c r="DS249" i="4"/>
  <c r="DS254" i="4"/>
  <c r="DR254" i="4"/>
  <c r="DS261" i="4"/>
  <c r="DR252" i="4"/>
  <c r="DS246" i="4"/>
  <c r="DR260" i="4"/>
  <c r="DR231" i="4"/>
  <c r="DR206" i="4"/>
  <c r="DS226" i="4"/>
  <c r="DS218" i="4"/>
  <c r="DR193" i="4"/>
  <c r="DR214" i="4"/>
  <c r="DS206" i="4"/>
  <c r="DR220" i="4"/>
  <c r="DR242" i="4"/>
  <c r="DS228" i="4"/>
  <c r="DR259" i="4"/>
  <c r="DR234" i="4"/>
  <c r="DS271" i="4"/>
  <c r="DR207" i="4"/>
  <c r="DR210" i="4"/>
  <c r="DS253" i="4"/>
  <c r="DS270" i="4"/>
  <c r="DS248" i="4"/>
  <c r="DS214" i="4"/>
  <c r="DS207" i="4"/>
  <c r="CU229" i="4"/>
  <c r="CU208" i="4"/>
  <c r="CU193" i="4"/>
  <c r="CU233" i="4"/>
  <c r="CU270" i="4"/>
  <c r="CU211" i="4"/>
  <c r="CU209" i="4"/>
  <c r="DI245" i="4"/>
  <c r="DI262" i="4"/>
  <c r="DI252" i="4"/>
  <c r="DL246" i="4"/>
  <c r="DL268" i="4"/>
  <c r="DI247" i="4"/>
  <c r="DS243" i="4"/>
  <c r="DR238" i="4"/>
  <c r="DR224" i="4"/>
  <c r="DR251" i="4"/>
  <c r="DR217" i="4"/>
  <c r="DR244" i="4"/>
  <c r="DS196" i="4"/>
  <c r="DS235" i="4"/>
  <c r="DR267" i="4"/>
  <c r="DP257" i="4"/>
  <c r="DS212" i="4"/>
  <c r="DP255" i="4"/>
  <c r="DS229" i="4"/>
  <c r="DR199" i="4"/>
  <c r="CU256" i="4"/>
  <c r="CU215" i="4"/>
  <c r="CU199" i="4"/>
  <c r="CU235" i="4"/>
  <c r="CU217" i="4"/>
  <c r="CU248" i="4"/>
  <c r="CU214" i="4"/>
  <c r="DI248" i="4"/>
  <c r="DL243" i="4"/>
  <c r="DL244" i="4"/>
  <c r="DL249" i="4"/>
  <c r="DL239" i="4"/>
  <c r="DL238" i="4"/>
  <c r="DI235" i="4"/>
  <c r="DI243" i="4"/>
  <c r="DR230" i="4"/>
  <c r="DS199" i="4"/>
  <c r="DS225" i="4"/>
  <c r="DS244" i="4"/>
  <c r="DS238" i="4"/>
  <c r="DS211" i="4"/>
  <c r="DS227" i="4"/>
  <c r="DS219" i="4"/>
  <c r="DS198" i="4"/>
  <c r="DS205" i="4"/>
  <c r="DS242" i="4"/>
  <c r="DR227" i="4"/>
  <c r="CU264" i="4"/>
  <c r="CU220" i="4"/>
  <c r="CU240" i="4"/>
  <c r="CU210" i="4"/>
  <c r="CU223" i="4"/>
  <c r="CU249" i="4"/>
  <c r="CU200" i="4"/>
  <c r="DL255" i="4"/>
  <c r="DL235" i="4"/>
  <c r="DI239" i="4"/>
  <c r="DL252" i="4"/>
  <c r="DI265" i="4"/>
  <c r="DL242" i="4"/>
  <c r="DS267" i="4"/>
  <c r="DR215" i="4"/>
  <c r="DR255" i="4"/>
  <c r="DS223" i="4"/>
  <c r="DR258" i="4"/>
  <c r="DR209" i="4"/>
  <c r="DR250" i="4"/>
  <c r="DP258" i="4"/>
  <c r="DI271" i="4"/>
  <c r="DI272" i="4"/>
  <c r="DL271" i="4"/>
  <c r="DI270" i="4"/>
  <c r="CQ165" i="4"/>
  <c r="CP189" i="4"/>
  <c r="CP269" i="4"/>
  <c r="CP88" i="4"/>
  <c r="CP195" i="4"/>
  <c r="CP201" i="4"/>
  <c r="CP87" i="4"/>
  <c r="CP200" i="4"/>
  <c r="CP259" i="4"/>
  <c r="DK255" i="4"/>
  <c r="DK270" i="4"/>
  <c r="DK256" i="4"/>
  <c r="AX270" i="4"/>
  <c r="CP164" i="4"/>
  <c r="CQ87" i="4"/>
  <c r="CP193" i="4"/>
  <c r="CP122" i="4"/>
  <c r="CP136" i="4"/>
  <c r="CP238" i="4"/>
  <c r="CP186" i="4"/>
  <c r="CP171" i="4"/>
  <c r="CP272" i="4"/>
  <c r="CP166" i="4"/>
  <c r="CP141" i="4"/>
  <c r="CP217" i="4"/>
  <c r="CP265" i="4"/>
  <c r="DK264" i="4"/>
  <c r="DK265" i="4"/>
  <c r="AX272" i="4"/>
  <c r="CP188" i="4"/>
  <c r="CP99" i="4"/>
  <c r="CP124" i="4"/>
  <c r="CP105" i="4"/>
  <c r="CP173" i="4"/>
  <c r="CP244" i="4"/>
  <c r="CP116" i="4"/>
  <c r="CP232" i="4"/>
  <c r="CP273" i="4"/>
  <c r="CP179" i="4"/>
  <c r="CP256" i="4"/>
  <c r="CP115" i="4"/>
  <c r="CP138" i="4"/>
  <c r="CP229" i="4"/>
  <c r="CP205" i="4"/>
  <c r="DL261" i="4"/>
  <c r="DL267" i="4"/>
  <c r="CP208" i="4"/>
  <c r="CP212" i="4"/>
  <c r="CP227" i="4"/>
  <c r="CP161" i="4"/>
  <c r="CP182" i="4"/>
  <c r="CP177" i="4"/>
  <c r="CP207" i="4"/>
  <c r="CP252" i="4"/>
  <c r="CP90" i="4"/>
  <c r="CP266" i="4"/>
  <c r="CP210" i="4"/>
  <c r="CP131" i="4"/>
  <c r="CP196" i="4"/>
  <c r="CP125" i="4"/>
  <c r="DK266" i="4"/>
  <c r="DL260" i="4"/>
  <c r="DL269" i="4"/>
  <c r="DK259" i="4"/>
  <c r="DL270" i="4"/>
  <c r="DL265" i="4"/>
  <c r="CP153" i="4"/>
  <c r="CP79" i="4"/>
  <c r="CP112" i="4"/>
  <c r="CQ248" i="4"/>
  <c r="CP102" i="4"/>
  <c r="CP178" i="4"/>
  <c r="CP233" i="4"/>
  <c r="CP94" i="4"/>
  <c r="CP257" i="4"/>
  <c r="CP165" i="4"/>
  <c r="CP226" i="4"/>
  <c r="CP174" i="4"/>
  <c r="CP168" i="4"/>
  <c r="DK254" i="4"/>
  <c r="AX263" i="4"/>
  <c r="CP198" i="4"/>
  <c r="CP113" i="4"/>
  <c r="CP183" i="4"/>
  <c r="CP81" i="4"/>
  <c r="CP219" i="4"/>
  <c r="CP147" i="4"/>
  <c r="CP163" i="4"/>
  <c r="CP228" i="4"/>
  <c r="CP107" i="4"/>
  <c r="CP162" i="4"/>
  <c r="CP222" i="4"/>
  <c r="CP126" i="4"/>
  <c r="CP197" i="4"/>
  <c r="CP245" i="4"/>
  <c r="DI273" i="4"/>
  <c r="DK271" i="4"/>
  <c r="AA98" i="4"/>
  <c r="CP86" i="4"/>
  <c r="CP148" i="4"/>
  <c r="CP176" i="4"/>
  <c r="CP120" i="4"/>
  <c r="CP246" i="4"/>
  <c r="CP135" i="4"/>
  <c r="CP258" i="4"/>
  <c r="CP98" i="4"/>
  <c r="CP85" i="4"/>
  <c r="CP167" i="4"/>
  <c r="CP263" i="4"/>
  <c r="CP247" i="4"/>
  <c r="CP104" i="4"/>
  <c r="CP240" i="4"/>
  <c r="CP181" i="4"/>
  <c r="DL258" i="4"/>
  <c r="AX271" i="4"/>
  <c r="CP243" i="4"/>
  <c r="CQ153" i="4"/>
  <c r="CP224" i="4"/>
  <c r="CP206" i="4"/>
  <c r="CQ272" i="4"/>
  <c r="CP250" i="4"/>
  <c r="CP260" i="4"/>
  <c r="CP123" i="4"/>
  <c r="CP268" i="4"/>
  <c r="CP97" i="4"/>
  <c r="CP127" i="4"/>
  <c r="CP139" i="4"/>
  <c r="CP151" i="4"/>
  <c r="CP264" i="4"/>
  <c r="CP84" i="4"/>
  <c r="CP270" i="4"/>
  <c r="CP191" i="4"/>
  <c r="CP121" i="4"/>
  <c r="CP83" i="4"/>
  <c r="CU205" i="4"/>
  <c r="CU238" i="4"/>
  <c r="CU218" i="4"/>
  <c r="DL273" i="4"/>
  <c r="DK268" i="4"/>
  <c r="DI269" i="4"/>
  <c r="AX265" i="4"/>
  <c r="CP267" i="4"/>
  <c r="CP169" i="4"/>
  <c r="CP249" i="4"/>
  <c r="CP152" i="4"/>
  <c r="CP110" i="4"/>
  <c r="CP140" i="4"/>
  <c r="CP95" i="4"/>
  <c r="CP78" i="4"/>
  <c r="CP251" i="4"/>
  <c r="CP170" i="4"/>
  <c r="CP142" i="4"/>
  <c r="CP241" i="4"/>
  <c r="CP80" i="4"/>
  <c r="CP149" i="4"/>
  <c r="CU207" i="4"/>
  <c r="CU251" i="4"/>
  <c r="CU197" i="4"/>
  <c r="CU253" i="4"/>
  <c r="CU189" i="4"/>
  <c r="DK258" i="4"/>
  <c r="DL257" i="4"/>
  <c r="DL264" i="4"/>
  <c r="CP223" i="4"/>
  <c r="CP159" i="4"/>
  <c r="CP150" i="4"/>
  <c r="DK272" i="4"/>
  <c r="DB256" i="4"/>
  <c r="DB225" i="4"/>
  <c r="DB251" i="4"/>
  <c r="DB228" i="4"/>
  <c r="DB191" i="4"/>
  <c r="DB212" i="4"/>
  <c r="DB47" i="4"/>
  <c r="DB84" i="4"/>
  <c r="DB219" i="4"/>
  <c r="DB50" i="4"/>
  <c r="DB76" i="4"/>
  <c r="DB173" i="4"/>
  <c r="DB226" i="4"/>
  <c r="DB112" i="4"/>
  <c r="DB146" i="4"/>
  <c r="DB122" i="4"/>
  <c r="DB238" i="4"/>
  <c r="DB68" i="4"/>
  <c r="DB91" i="4"/>
  <c r="DB39" i="4"/>
  <c r="DB120" i="4"/>
  <c r="DB81" i="4"/>
  <c r="DE38" i="4"/>
  <c r="DE32" i="4"/>
  <c r="DE28" i="4"/>
  <c r="DE35" i="4"/>
  <c r="DE42" i="4"/>
  <c r="DE36" i="4"/>
  <c r="DB247" i="4"/>
  <c r="DB223" i="4"/>
  <c r="DB220" i="4"/>
  <c r="DB179" i="4"/>
  <c r="DB35" i="4"/>
  <c r="DB255" i="4"/>
  <c r="DB211" i="4"/>
  <c r="DB234" i="4"/>
  <c r="DB249" i="4"/>
  <c r="DB159" i="4"/>
  <c r="DB83" i="4"/>
  <c r="DB139" i="4"/>
  <c r="DB115" i="4"/>
  <c r="DB207" i="4"/>
  <c r="DB66" i="4"/>
  <c r="DB43" i="4"/>
  <c r="DB110" i="4"/>
  <c r="DB75" i="4"/>
  <c r="DE40" i="4"/>
  <c r="DB217" i="4"/>
  <c r="DB221" i="4"/>
  <c r="DB208" i="4"/>
  <c r="DB272" i="4"/>
  <c r="DB198" i="4"/>
  <c r="DB242" i="4"/>
  <c r="DB241" i="4"/>
  <c r="DB192" i="4"/>
  <c r="DB216" i="4"/>
  <c r="DB201" i="4"/>
  <c r="DB157" i="4"/>
  <c r="DB79" i="4"/>
  <c r="DB99" i="4"/>
  <c r="DB102" i="4"/>
  <c r="DB92" i="4"/>
  <c r="DB41" i="4"/>
  <c r="DB107" i="4"/>
  <c r="DB95" i="4"/>
  <c r="DB67" i="4"/>
  <c r="DE27" i="4"/>
  <c r="DB271" i="4"/>
  <c r="DB224" i="4"/>
  <c r="DB205" i="4"/>
  <c r="DB210" i="4"/>
  <c r="DB156" i="4"/>
  <c r="DB209" i="4"/>
  <c r="DB214" i="4"/>
  <c r="DB180" i="4"/>
  <c r="DB185" i="4"/>
  <c r="DB155" i="4"/>
  <c r="DB184" i="4"/>
  <c r="DB71" i="4"/>
  <c r="DB87" i="4"/>
  <c r="DB85" i="4"/>
  <c r="DB89" i="4"/>
  <c r="DB30" i="4"/>
  <c r="DB27" i="4"/>
  <c r="DB229" i="4"/>
  <c r="DB88" i="4"/>
  <c r="DB65" i="4"/>
  <c r="DB29" i="4"/>
  <c r="DE43" i="4"/>
  <c r="DE45" i="4"/>
  <c r="DE26" i="4"/>
  <c r="DB260" i="4"/>
  <c r="DB183" i="4"/>
  <c r="DB197" i="4"/>
  <c r="DB186" i="4"/>
  <c r="DB261" i="4"/>
  <c r="DB137" i="4"/>
  <c r="DB206" i="4"/>
  <c r="DB167" i="4"/>
  <c r="DB169" i="4"/>
  <c r="DB177" i="4"/>
  <c r="DB153" i="4"/>
  <c r="DB168" i="4"/>
  <c r="DB48" i="4"/>
  <c r="DB80" i="4"/>
  <c r="DB74" i="4"/>
  <c r="DB63" i="4"/>
  <c r="DB28" i="4"/>
  <c r="DB129" i="4"/>
  <c r="DB73" i="4"/>
  <c r="DB64" i="4"/>
  <c r="DB250" i="4"/>
  <c r="DB266" i="4"/>
  <c r="DB172" i="4"/>
  <c r="DB188" i="4"/>
  <c r="DB175" i="4"/>
  <c r="DB125" i="4"/>
  <c r="DB162" i="4"/>
  <c r="DB178" i="4"/>
  <c r="DB128" i="4"/>
  <c r="DB147" i="4"/>
  <c r="DB171" i="4"/>
  <c r="DB136" i="4"/>
  <c r="DB46" i="4"/>
  <c r="DB52" i="4"/>
  <c r="DB32" i="4"/>
  <c r="DB22" i="4"/>
  <c r="DB200" i="4"/>
  <c r="DB96" i="4"/>
  <c r="DB57" i="4"/>
  <c r="DB62" i="4"/>
  <c r="DE41" i="4"/>
  <c r="DE39" i="4"/>
  <c r="DB239" i="4"/>
  <c r="DB163" i="4"/>
  <c r="DB176" i="4"/>
  <c r="DB165" i="4"/>
  <c r="DB246" i="4"/>
  <c r="DB113" i="4"/>
  <c r="DB160" i="4"/>
  <c r="DB174" i="4"/>
  <c r="DB116" i="4"/>
  <c r="DB143" i="4"/>
  <c r="DB149" i="4"/>
  <c r="DB187" i="4"/>
  <c r="DB248" i="4"/>
  <c r="DB44" i="4"/>
  <c r="DB36" i="4"/>
  <c r="DB58" i="4"/>
  <c r="DB170" i="4"/>
  <c r="DB55" i="4"/>
  <c r="DB33" i="4"/>
  <c r="DB60" i="4"/>
  <c r="DB119" i="4"/>
  <c r="DE37" i="4"/>
  <c r="DE21" i="4"/>
  <c r="DE34" i="4"/>
  <c r="DB227" i="4"/>
  <c r="DB245" i="4"/>
  <c r="DB151" i="4"/>
  <c r="DB267" i="4"/>
  <c r="DB154" i="4"/>
  <c r="DB231" i="4"/>
  <c r="DB100" i="4"/>
  <c r="DB158" i="4"/>
  <c r="DB133" i="4"/>
  <c r="DB104" i="4"/>
  <c r="DB141" i="4"/>
  <c r="DB140" i="4"/>
  <c r="DB166" i="4"/>
  <c r="DB243" i="4"/>
  <c r="DB42" i="4"/>
  <c r="DB56" i="4"/>
  <c r="DB263" i="4"/>
  <c r="DB117" i="4"/>
  <c r="DB53" i="4"/>
  <c r="DB31" i="4"/>
  <c r="DB86" i="4"/>
  <c r="DE30" i="4"/>
  <c r="DE25" i="4"/>
  <c r="DE24" i="4"/>
  <c r="DB232" i="4"/>
  <c r="DB138" i="4"/>
  <c r="DB259" i="4"/>
  <c r="DB253" i="4"/>
  <c r="DB222" i="4"/>
  <c r="DB90" i="4"/>
  <c r="DB135" i="4"/>
  <c r="DB131" i="4"/>
  <c r="DB121" i="4"/>
  <c r="DB230" i="4"/>
  <c r="DB161" i="4"/>
  <c r="DB233" i="4"/>
  <c r="DB38" i="4"/>
  <c r="DB54" i="4"/>
  <c r="DB142" i="4"/>
  <c r="DB195" i="4"/>
  <c r="DB108" i="4"/>
  <c r="DB51" i="4"/>
  <c r="DB23" i="4"/>
  <c r="DB77" i="4"/>
  <c r="DE22" i="4"/>
  <c r="DE33" i="4"/>
  <c r="DB265" i="4"/>
  <c r="DB273" i="4"/>
  <c r="DB264" i="4"/>
  <c r="DB235" i="4"/>
  <c r="DB258" i="4"/>
  <c r="DB118" i="4"/>
  <c r="DB123" i="4"/>
  <c r="DB82" i="4"/>
  <c r="DB109" i="4"/>
  <c r="DB218" i="4"/>
  <c r="DB134" i="4"/>
  <c r="DB215" i="4"/>
  <c r="DB26" i="4"/>
  <c r="DB196" i="4"/>
  <c r="DB34" i="4"/>
  <c r="DB114" i="4"/>
  <c r="DB164" i="4"/>
  <c r="DB93" i="4"/>
  <c r="DB49" i="4"/>
  <c r="DB252" i="4"/>
  <c r="DB40" i="4"/>
  <c r="DE31" i="4"/>
  <c r="DB254" i="4"/>
  <c r="DB257" i="4"/>
  <c r="DB269" i="4"/>
  <c r="DB213" i="4"/>
  <c r="DB69" i="4"/>
  <c r="DB106" i="4"/>
  <c r="DB111" i="4"/>
  <c r="DB72" i="4"/>
  <c r="DB97" i="4"/>
  <c r="DB190" i="4"/>
  <c r="DB124" i="4"/>
  <c r="DB189" i="4"/>
  <c r="DB132" i="4"/>
  <c r="DB24" i="4"/>
  <c r="DB101" i="4"/>
  <c r="DB150" i="4"/>
  <c r="DB78" i="4"/>
  <c r="DB37" i="4"/>
  <c r="DB181" i="4"/>
  <c r="DB193" i="4"/>
  <c r="DE23" i="4"/>
  <c r="DB268" i="4"/>
  <c r="DB240" i="4"/>
  <c r="DB262" i="4"/>
  <c r="DB244" i="4"/>
  <c r="DB199" i="4"/>
  <c r="DB270" i="4"/>
  <c r="DB59" i="4"/>
  <c r="DB94" i="4"/>
  <c r="DB98" i="4"/>
  <c r="DB61" i="4"/>
  <c r="DB182" i="4"/>
  <c r="DB127" i="4"/>
  <c r="DB152" i="4"/>
  <c r="DB126" i="4"/>
  <c r="DB70" i="4"/>
  <c r="DB105" i="4"/>
  <c r="DB45" i="4"/>
  <c r="DB25" i="4"/>
  <c r="DB148" i="4"/>
  <c r="DB21" i="4"/>
  <c r="DE29" i="4"/>
  <c r="DE44" i="4"/>
  <c r="CU172" i="4"/>
  <c r="CU161" i="4"/>
  <c r="CU116" i="4"/>
  <c r="CU177" i="4"/>
  <c r="CU129" i="4"/>
  <c r="CU106" i="4"/>
  <c r="CU89" i="4"/>
  <c r="CU93" i="4"/>
  <c r="CU77" i="4"/>
  <c r="CU81" i="4"/>
  <c r="CU54" i="4"/>
  <c r="CU137" i="4"/>
  <c r="CU61" i="4"/>
  <c r="CU27" i="4"/>
  <c r="CU126" i="4"/>
  <c r="CU163" i="4"/>
  <c r="CU149" i="4"/>
  <c r="CU104" i="4"/>
  <c r="CU166" i="4"/>
  <c r="CU114" i="4"/>
  <c r="CU95" i="4"/>
  <c r="CU79" i="4"/>
  <c r="CU83" i="4"/>
  <c r="CU66" i="4"/>
  <c r="CU71" i="4"/>
  <c r="CU42" i="4"/>
  <c r="CU180" i="4"/>
  <c r="CU151" i="4"/>
  <c r="CU136" i="4"/>
  <c r="CU179" i="4"/>
  <c r="CU157" i="4"/>
  <c r="CU91" i="4"/>
  <c r="CU178" i="4"/>
  <c r="CU125" i="4"/>
  <c r="CU111" i="4"/>
  <c r="CU159" i="4"/>
  <c r="CU171" i="4"/>
  <c r="CU70" i="4"/>
  <c r="CU64" i="4"/>
  <c r="CU46" i="4"/>
  <c r="CU39" i="4"/>
  <c r="CU32" i="4"/>
  <c r="CU37" i="4"/>
  <c r="CU101" i="4"/>
  <c r="CU107" i="4"/>
  <c r="CU88" i="4"/>
  <c r="CU164" i="4"/>
  <c r="CU158" i="4"/>
  <c r="CU100" i="4"/>
  <c r="CU186" i="4"/>
  <c r="CU134" i="4"/>
  <c r="CU150" i="4"/>
  <c r="CU48" i="4"/>
  <c r="CU41" i="4"/>
  <c r="CU23" i="4"/>
  <c r="CU146" i="4"/>
  <c r="CU176" i="4"/>
  <c r="CU175" i="4"/>
  <c r="CU121" i="4"/>
  <c r="CU187" i="4"/>
  <c r="CU167" i="4"/>
  <c r="CU98" i="4"/>
  <c r="CU162" i="4"/>
  <c r="CU85" i="4"/>
  <c r="CU185" i="4"/>
  <c r="CU87" i="4"/>
  <c r="CU26" i="4"/>
  <c r="CU47" i="4"/>
  <c r="CU28" i="4"/>
  <c r="CU76" i="4"/>
  <c r="CX32" i="4"/>
  <c r="CX28" i="4"/>
  <c r="CX38" i="4"/>
  <c r="CX23" i="4"/>
  <c r="CU133" i="4"/>
  <c r="CU165" i="4"/>
  <c r="CU74" i="4"/>
  <c r="CU160" i="4"/>
  <c r="CU56" i="4"/>
  <c r="CU35" i="4"/>
  <c r="CU127" i="4"/>
  <c r="CU31" i="4"/>
  <c r="CX34" i="4"/>
  <c r="CU120" i="4"/>
  <c r="CU154" i="4"/>
  <c r="CU53" i="4"/>
  <c r="CU143" i="4"/>
  <c r="CU44" i="4"/>
  <c r="CU105" i="4"/>
  <c r="CU24" i="4"/>
  <c r="CU118" i="4"/>
  <c r="CX39" i="4"/>
  <c r="CX21" i="4"/>
  <c r="CX35" i="4"/>
  <c r="CX27" i="4"/>
  <c r="CX29" i="4"/>
  <c r="CU108" i="4"/>
  <c r="CU155" i="4"/>
  <c r="CU29" i="4"/>
  <c r="CU132" i="4"/>
  <c r="CU21" i="4"/>
  <c r="CU96" i="4"/>
  <c r="CU112" i="4"/>
  <c r="CU169" i="4"/>
  <c r="CU97" i="4"/>
  <c r="CX22" i="4"/>
  <c r="CU183" i="4"/>
  <c r="CU128" i="4"/>
  <c r="CU141" i="4"/>
  <c r="CU62" i="4"/>
  <c r="CU86" i="4"/>
  <c r="CU131" i="4"/>
  <c r="CU78" i="4"/>
  <c r="CU55" i="4"/>
  <c r="CX42" i="4"/>
  <c r="CX24" i="4"/>
  <c r="CX36" i="4"/>
  <c r="CU138" i="4"/>
  <c r="CU168" i="4"/>
  <c r="CU80" i="4"/>
  <c r="CU51" i="4"/>
  <c r="CU174" i="4"/>
  <c r="CU75" i="4"/>
  <c r="CU124" i="4"/>
  <c r="CU67" i="4"/>
  <c r="CU50" i="4"/>
  <c r="CU109" i="4"/>
  <c r="CU113" i="4"/>
  <c r="CU147" i="4"/>
  <c r="CU153" i="4"/>
  <c r="CU135" i="4"/>
  <c r="CU94" i="4"/>
  <c r="CU57" i="4"/>
  <c r="CU82" i="4"/>
  <c r="CU72" i="4"/>
  <c r="CX30" i="4"/>
  <c r="CX45" i="4"/>
  <c r="CX25" i="4"/>
  <c r="CU156" i="4"/>
  <c r="CU184" i="4"/>
  <c r="CU36" i="4"/>
  <c r="CU139" i="4"/>
  <c r="CU122" i="4"/>
  <c r="CU30" i="4"/>
  <c r="CU84" i="4"/>
  <c r="CU45" i="4"/>
  <c r="CU38" i="4"/>
  <c r="CU142" i="4"/>
  <c r="CU173" i="4"/>
  <c r="CU25" i="4"/>
  <c r="CU68" i="4"/>
  <c r="CU99" i="4"/>
  <c r="CU110" i="4"/>
  <c r="CU73" i="4"/>
  <c r="CU33" i="4"/>
  <c r="CX37" i="4"/>
  <c r="CX33" i="4"/>
  <c r="CX43" i="4"/>
  <c r="CX41" i="4"/>
  <c r="CU181" i="4"/>
  <c r="CU58" i="4"/>
  <c r="CU119" i="4"/>
  <c r="CU92" i="4"/>
  <c r="CU90" i="4"/>
  <c r="CU63" i="4"/>
  <c r="CU22" i="4"/>
  <c r="CU115" i="4"/>
  <c r="CU43" i="4"/>
  <c r="CU170" i="4"/>
  <c r="CU152" i="4"/>
  <c r="CU140" i="4"/>
  <c r="CU34" i="4"/>
  <c r="CU102" i="4"/>
  <c r="CU60" i="4"/>
  <c r="CU69" i="4"/>
  <c r="CU52" i="4"/>
  <c r="CU148" i="4"/>
  <c r="CX44" i="4"/>
  <c r="CX26" i="4"/>
  <c r="CX40" i="4"/>
  <c r="CX31" i="4"/>
  <c r="CU244" i="4"/>
  <c r="CU123" i="4"/>
  <c r="CU182" i="4"/>
  <c r="CU117" i="4"/>
  <c r="CU49" i="4"/>
  <c r="CU59" i="4"/>
  <c r="CU40" i="4"/>
  <c r="CU65" i="4"/>
  <c r="AC261" i="4"/>
  <c r="CQ243" i="4"/>
  <c r="CQ86" i="4"/>
  <c r="CP220" i="4"/>
  <c r="CP93" i="4"/>
  <c r="CP216" i="4"/>
  <c r="CP160" i="4"/>
  <c r="CP154" i="4"/>
  <c r="CP137" i="4"/>
  <c r="CU231" i="4"/>
  <c r="CQ198" i="4"/>
  <c r="CP143" i="4"/>
  <c r="CP235" i="4"/>
  <c r="DD226" i="4"/>
  <c r="DE249" i="4"/>
  <c r="DE234" i="4"/>
  <c r="DD161" i="4"/>
  <c r="DE213" i="4"/>
  <c r="DD256" i="4"/>
  <c r="DD184" i="4"/>
  <c r="DE250" i="4"/>
  <c r="DD189" i="4"/>
  <c r="DD248" i="4"/>
  <c r="DD214" i="4"/>
  <c r="DE104" i="4"/>
  <c r="DE188" i="4"/>
  <c r="DD104" i="4"/>
  <c r="DD180" i="4"/>
  <c r="DD97" i="4"/>
  <c r="DD140" i="4"/>
  <c r="DD70" i="4"/>
  <c r="DE197" i="4"/>
  <c r="DE134" i="4"/>
  <c r="DD223" i="4"/>
  <c r="DD159" i="4"/>
  <c r="DE129" i="4"/>
  <c r="DD129" i="4"/>
  <c r="DE273" i="4"/>
  <c r="DE160" i="4"/>
  <c r="DD89" i="4"/>
  <c r="DD238" i="4"/>
  <c r="DE93" i="4"/>
  <c r="DE195" i="4"/>
  <c r="DE51" i="4"/>
  <c r="DD125" i="4"/>
  <c r="DE88" i="4"/>
  <c r="DD75" i="4"/>
  <c r="DE162" i="4"/>
  <c r="DD112" i="4"/>
  <c r="DE58" i="4"/>
  <c r="DD272" i="4"/>
  <c r="DD245" i="4"/>
  <c r="DD230" i="4"/>
  <c r="DE220" i="4"/>
  <c r="DE154" i="4"/>
  <c r="DD208" i="4"/>
  <c r="DE246" i="4"/>
  <c r="DE177" i="4"/>
  <c r="DD246" i="4"/>
  <c r="DE182" i="4"/>
  <c r="DE243" i="4"/>
  <c r="DE183" i="4"/>
  <c r="DD98" i="4"/>
  <c r="DD183" i="4"/>
  <c r="DE97" i="4"/>
  <c r="DE171" i="4"/>
  <c r="DE91" i="4"/>
  <c r="DE138" i="4"/>
  <c r="DE64" i="4"/>
  <c r="DD190" i="4"/>
  <c r="DE124" i="4"/>
  <c r="DE218" i="4"/>
  <c r="DD134" i="4"/>
  <c r="DE122" i="4"/>
  <c r="DE127" i="4"/>
  <c r="DD265" i="4"/>
  <c r="DD115" i="4"/>
  <c r="DE68" i="4"/>
  <c r="DE150" i="4"/>
  <c r="DD76" i="4"/>
  <c r="DE172" i="4"/>
  <c r="DE49" i="4"/>
  <c r="DD117" i="4"/>
  <c r="DE73" i="4"/>
  <c r="DD84" i="4"/>
  <c r="DE69" i="4"/>
  <c r="DD154" i="4"/>
  <c r="DD90" i="4"/>
  <c r="DE56" i="4"/>
  <c r="DE268" i="4"/>
  <c r="DE238" i="4"/>
  <c r="DE225" i="4"/>
  <c r="DD215" i="4"/>
  <c r="DD149" i="4"/>
  <c r="DE199" i="4"/>
  <c r="DE239" i="4"/>
  <c r="DD173" i="4"/>
  <c r="DE241" i="4"/>
  <c r="DD177" i="4"/>
  <c r="DD233" i="4"/>
  <c r="DD178" i="4"/>
  <c r="DE180" i="4"/>
  <c r="DD169" i="4"/>
  <c r="DE260" i="4"/>
  <c r="DD126" i="4"/>
  <c r="DE187" i="4"/>
  <c r="DD119" i="4"/>
  <c r="DD213" i="4"/>
  <c r="DE132" i="4"/>
  <c r="DD122" i="4"/>
  <c r="DD257" i="4"/>
  <c r="DE106" i="4"/>
  <c r="DE66" i="4"/>
  <c r="DE142" i="4"/>
  <c r="DE70" i="4"/>
  <c r="DD158" i="4"/>
  <c r="DE47" i="4"/>
  <c r="DE98" i="4"/>
  <c r="DE62" i="4"/>
  <c r="DE255" i="4"/>
  <c r="DE81" i="4"/>
  <c r="DE67" i="4"/>
  <c r="DD135" i="4"/>
  <c r="DE87" i="4"/>
  <c r="DE54" i="4"/>
  <c r="DE272" i="4"/>
  <c r="DD263" i="4"/>
  <c r="DD232" i="4"/>
  <c r="DE208" i="4"/>
  <c r="DE166" i="4"/>
  <c r="DD239" i="4"/>
  <c r="DE254" i="4"/>
  <c r="DE227" i="4"/>
  <c r="DD88" i="4"/>
  <c r="DD270" i="4"/>
  <c r="DE147" i="4"/>
  <c r="DE245" i="4"/>
  <c r="DE119" i="4"/>
  <c r="DE53" i="4"/>
  <c r="DD182" i="4"/>
  <c r="DE112" i="4"/>
  <c r="DD197" i="4"/>
  <c r="DE115" i="4"/>
  <c r="DD252" i="4"/>
  <c r="DD102" i="4"/>
  <c r="DE118" i="4"/>
  <c r="DD137" i="4"/>
  <c r="DD96" i="4"/>
  <c r="DE60" i="4"/>
  <c r="DD217" i="4"/>
  <c r="DE75" i="4"/>
  <c r="DD65" i="4"/>
  <c r="DD100" i="4"/>
  <c r="DD83" i="4"/>
  <c r="DE52" i="4"/>
  <c r="DD269" i="4"/>
  <c r="DE256" i="4"/>
  <c r="DE267" i="4"/>
  <c r="DD201" i="4"/>
  <c r="DD136" i="4"/>
  <c r="DE191" i="4"/>
  <c r="DE224" i="4"/>
  <c r="DE231" i="4"/>
  <c r="DD250" i="4"/>
  <c r="DD174" i="4"/>
  <c r="DE82" i="4"/>
  <c r="DE262" i="4"/>
  <c r="DE169" i="4"/>
  <c r="DD82" i="4"/>
  <c r="DD143" i="4"/>
  <c r="DE190" i="4"/>
  <c r="DD114" i="4"/>
  <c r="DD48" i="4"/>
  <c r="DE173" i="4"/>
  <c r="DD107" i="4"/>
  <c r="DD240" i="4"/>
  <c r="DD244" i="4"/>
  <c r="DE265" i="4"/>
  <c r="DD229" i="4"/>
  <c r="DE92" i="4"/>
  <c r="DE63" i="4"/>
  <c r="DE105" i="4"/>
  <c r="DE174" i="4"/>
  <c r="DE125" i="4"/>
  <c r="DE59" i="4"/>
  <c r="DD73" i="4"/>
  <c r="DE181" i="4"/>
  <c r="DE90" i="4"/>
  <c r="DD79" i="4"/>
  <c r="DD50" i="4"/>
  <c r="DE263" i="4"/>
  <c r="DD253" i="4"/>
  <c r="DD273" i="4"/>
  <c r="DE128" i="4"/>
  <c r="DD186" i="4"/>
  <c r="DE222" i="4"/>
  <c r="DE157" i="4"/>
  <c r="DD224" i="4"/>
  <c r="DD241" i="4"/>
  <c r="DE167" i="4"/>
  <c r="DD78" i="4"/>
  <c r="DE251" i="4"/>
  <c r="DD167" i="4"/>
  <c r="DD262" i="4"/>
  <c r="DD141" i="4"/>
  <c r="DD185" i="4"/>
  <c r="DE107" i="4"/>
  <c r="DE159" i="4"/>
  <c r="DE99" i="4"/>
  <c r="DE205" i="4"/>
  <c r="DE210" i="4"/>
  <c r="DE229" i="4"/>
  <c r="DE212" i="4"/>
  <c r="DE80" i="4"/>
  <c r="DD209" i="4"/>
  <c r="DD61" i="4"/>
  <c r="DD94" i="4"/>
  <c r="DE158" i="4"/>
  <c r="DE117" i="4"/>
  <c r="DD72" i="4"/>
  <c r="DE217" i="4"/>
  <c r="DE57" i="4"/>
  <c r="DD156" i="4"/>
  <c r="DE65" i="4"/>
  <c r="DE135" i="4"/>
  <c r="DD86" i="4"/>
  <c r="DD71" i="4"/>
  <c r="DE178" i="4"/>
  <c r="DD258" i="4"/>
  <c r="DE247" i="4"/>
  <c r="DE269" i="4"/>
  <c r="DD192" i="4"/>
  <c r="DE264" i="4"/>
  <c r="DE179" i="4"/>
  <c r="DD218" i="4"/>
  <c r="DD152" i="4"/>
  <c r="DD222" i="4"/>
  <c r="DE233" i="4"/>
  <c r="DD165" i="4"/>
  <c r="DE72" i="4"/>
  <c r="DE235" i="4"/>
  <c r="DE141" i="4"/>
  <c r="DD234" i="4"/>
  <c r="DE140" i="4"/>
  <c r="DD171" i="4"/>
  <c r="DD101" i="4"/>
  <c r="DD268" i="4"/>
  <c r="DD157" i="4"/>
  <c r="DD95" i="4"/>
  <c r="DD187" i="4"/>
  <c r="DD205" i="4"/>
  <c r="DE215" i="4"/>
  <c r="DD207" i="4"/>
  <c r="DD191" i="4"/>
  <c r="DE76" i="4"/>
  <c r="DD150" i="4"/>
  <c r="DE111" i="4"/>
  <c r="DE55" i="4"/>
  <c r="DE156" i="4"/>
  <c r="DD55" i="4"/>
  <c r="DD148" i="4"/>
  <c r="DD64" i="4"/>
  <c r="DD113" i="4"/>
  <c r="DE83" i="4"/>
  <c r="DE48" i="4"/>
  <c r="DD146" i="4"/>
  <c r="DE253" i="4"/>
  <c r="DD264" i="4"/>
  <c r="DD267" i="4"/>
  <c r="DE186" i="4"/>
  <c r="DD259" i="4"/>
  <c r="DD175" i="4"/>
  <c r="DE211" i="4"/>
  <c r="DE143" i="4"/>
  <c r="DE216" i="4"/>
  <c r="DD231" i="4"/>
  <c r="DD255" i="4"/>
  <c r="DD133" i="4"/>
  <c r="DD67" i="4"/>
  <c r="DD228" i="4"/>
  <c r="DD131" i="4"/>
  <c r="DD227" i="4"/>
  <c r="DE126" i="4"/>
  <c r="DE155" i="4"/>
  <c r="DE95" i="4"/>
  <c r="DD260" i="4"/>
  <c r="DD155" i="4"/>
  <c r="DE89" i="4"/>
  <c r="DD166" i="4"/>
  <c r="DE200" i="4"/>
  <c r="DD210" i="4"/>
  <c r="DE176" i="4"/>
  <c r="DD58" i="4"/>
  <c r="DD160" i="4"/>
  <c r="DD68" i="4"/>
  <c r="DD142" i="4"/>
  <c r="DD108" i="4"/>
  <c r="DD53" i="4"/>
  <c r="DE148" i="4"/>
  <c r="DD124" i="4"/>
  <c r="DD62" i="4"/>
  <c r="DE100" i="4"/>
  <c r="DD77" i="4"/>
  <c r="DD212" i="4"/>
  <c r="DD46" i="4"/>
  <c r="DD139" i="4"/>
  <c r="DE270" i="4"/>
  <c r="DE257" i="4"/>
  <c r="DD181" i="4"/>
  <c r="DE244" i="4"/>
  <c r="DE168" i="4"/>
  <c r="DD206" i="4"/>
  <c r="DD271" i="4"/>
  <c r="DD211" i="4"/>
  <c r="DE226" i="4"/>
  <c r="DD247" i="4"/>
  <c r="DE131" i="4"/>
  <c r="DE61" i="4"/>
  <c r="DD221" i="4"/>
  <c r="DD128" i="4"/>
  <c r="DD216" i="4"/>
  <c r="DD121" i="4"/>
  <c r="DE153" i="4"/>
  <c r="DD91" i="4"/>
  <c r="DD249" i="4"/>
  <c r="DD153" i="4"/>
  <c r="DD85" i="4"/>
  <c r="DE196" i="4"/>
  <c r="DE207" i="4"/>
  <c r="DE170" i="4"/>
  <c r="DD56" i="4"/>
  <c r="DE133" i="4"/>
  <c r="DD66" i="4"/>
  <c r="DE137" i="4"/>
  <c r="DE96" i="4"/>
  <c r="DD51" i="4"/>
  <c r="DD120" i="4"/>
  <c r="DD60" i="4"/>
  <c r="DE71" i="4"/>
  <c r="DD162" i="4"/>
  <c r="DE123" i="4"/>
  <c r="DE242" i="4"/>
  <c r="DD266" i="4"/>
  <c r="DD251" i="4"/>
  <c r="DE175" i="4"/>
  <c r="DE198" i="4"/>
  <c r="DE258" i="4"/>
  <c r="DE232" i="4"/>
  <c r="DD123" i="4"/>
  <c r="DD57" i="4"/>
  <c r="DD219" i="4"/>
  <c r="DE121" i="4"/>
  <c r="DE192" i="4"/>
  <c r="DE114" i="4"/>
  <c r="DE151" i="4"/>
  <c r="DE85" i="4"/>
  <c r="DE230" i="4"/>
  <c r="DD151" i="4"/>
  <c r="DE79" i="4"/>
  <c r="DE164" i="4"/>
  <c r="DD164" i="4"/>
  <c r="DE184" i="4"/>
  <c r="DD200" i="4"/>
  <c r="DE152" i="4"/>
  <c r="DD54" i="4"/>
  <c r="DD106" i="4"/>
  <c r="DD118" i="4"/>
  <c r="DD93" i="4"/>
  <c r="DD49" i="4"/>
  <c r="DE120" i="4"/>
  <c r="DE113" i="4"/>
  <c r="DD59" i="4"/>
  <c r="DE86" i="4"/>
  <c r="DD69" i="4"/>
  <c r="DE146" i="4"/>
  <c r="DE102" i="4"/>
  <c r="DD235" i="4"/>
  <c r="DE259" i="4"/>
  <c r="DE248" i="4"/>
  <c r="DD242" i="4"/>
  <c r="DD170" i="4"/>
  <c r="DE228" i="4"/>
  <c r="DE271" i="4"/>
  <c r="DD195" i="4"/>
  <c r="DE266" i="4"/>
  <c r="DD198" i="4"/>
  <c r="DD254" i="4"/>
  <c r="DE221" i="4"/>
  <c r="DE116" i="4"/>
  <c r="DE50" i="4"/>
  <c r="DE206" i="4"/>
  <c r="DD116" i="4"/>
  <c r="DD188" i="4"/>
  <c r="DD109" i="4"/>
  <c r="DE149" i="4"/>
  <c r="DD80" i="4"/>
  <c r="DE223" i="4"/>
  <c r="DD138" i="4"/>
  <c r="DD74" i="4"/>
  <c r="DE163" i="4"/>
  <c r="DD163" i="4"/>
  <c r="DD179" i="4"/>
  <c r="DD196" i="4"/>
  <c r="DE209" i="4"/>
  <c r="DD52" i="4"/>
  <c r="DE94" i="4"/>
  <c r="DD63" i="4"/>
  <c r="DE108" i="4"/>
  <c r="DD47" i="4"/>
  <c r="DE110" i="4"/>
  <c r="DD110" i="4"/>
  <c r="DD81" i="4"/>
  <c r="DD225" i="4"/>
  <c r="DE46" i="4"/>
  <c r="DE139" i="4"/>
  <c r="DD99" i="4"/>
  <c r="DD243" i="4"/>
  <c r="DE165" i="4"/>
  <c r="DD220" i="4"/>
  <c r="DE261" i="4"/>
  <c r="DE189" i="4"/>
  <c r="DD261" i="4"/>
  <c r="DE193" i="4"/>
  <c r="DE252" i="4"/>
  <c r="DE219" i="4"/>
  <c r="DD111" i="4"/>
  <c r="DD199" i="4"/>
  <c r="DE109" i="4"/>
  <c r="DE185" i="4"/>
  <c r="DE101" i="4"/>
  <c r="DD147" i="4"/>
  <c r="DE74" i="4"/>
  <c r="DE201" i="4"/>
  <c r="DE136" i="4"/>
  <c r="DE240" i="4"/>
  <c r="DE161" i="4"/>
  <c r="DD132" i="4"/>
  <c r="DD168" i="4"/>
  <c r="DD193" i="4"/>
  <c r="DD176" i="4"/>
  <c r="DD92" i="4"/>
  <c r="DD105" i="4"/>
  <c r="DE78" i="4"/>
  <c r="DD172" i="4"/>
  <c r="DE84" i="4"/>
  <c r="DE77" i="4"/>
  <c r="DE214" i="4"/>
  <c r="DD127" i="4"/>
  <c r="DD87" i="4"/>
  <c r="AA102" i="4"/>
  <c r="AE86" i="4"/>
  <c r="CQ181" i="4"/>
  <c r="CP185" i="4"/>
  <c r="CP261" i="4"/>
  <c r="CP96" i="4"/>
  <c r="CU269" i="4"/>
  <c r="CX51" i="4"/>
  <c r="CX47" i="4"/>
  <c r="CW46" i="4"/>
  <c r="CW55" i="4"/>
  <c r="CX54" i="4"/>
  <c r="CX48" i="4"/>
  <c r="CW49" i="4"/>
  <c r="CX53" i="4"/>
  <c r="CW52" i="4"/>
  <c r="CX49" i="4"/>
  <c r="CX55" i="4"/>
  <c r="CW50" i="4"/>
  <c r="CW48" i="4"/>
  <c r="CW53" i="4"/>
  <c r="CX52" i="4"/>
  <c r="CW51" i="4"/>
  <c r="CW47" i="4"/>
  <c r="CX50" i="4"/>
  <c r="CX46" i="4"/>
  <c r="CW54" i="4"/>
  <c r="CP65" i="4"/>
  <c r="CP56" i="4"/>
  <c r="CP72" i="4"/>
  <c r="CP73" i="4"/>
  <c r="CP61" i="4"/>
  <c r="CP71" i="4"/>
  <c r="CP63" i="4"/>
  <c r="CP60" i="4"/>
  <c r="CP58" i="4"/>
  <c r="CP66" i="4"/>
  <c r="CP69" i="4"/>
  <c r="CP77" i="4"/>
  <c r="CP59" i="4"/>
  <c r="CP62" i="4"/>
  <c r="CP74" i="4"/>
  <c r="CP64" i="4"/>
  <c r="CP68" i="4"/>
  <c r="CP57" i="4"/>
  <c r="CP70" i="4"/>
  <c r="CP75" i="4"/>
  <c r="CP76" i="4"/>
  <c r="CP67" i="4"/>
  <c r="CW263" i="4"/>
  <c r="CX251" i="4"/>
  <c r="CX245" i="4"/>
  <c r="CX264" i="4"/>
  <c r="CX252" i="4"/>
  <c r="CW241" i="4"/>
  <c r="CW223" i="4"/>
  <c r="CX269" i="4"/>
  <c r="CW210" i="4"/>
  <c r="CX136" i="4"/>
  <c r="CW192" i="4"/>
  <c r="CW123" i="4"/>
  <c r="CX191" i="4"/>
  <c r="CX218" i="4"/>
  <c r="CX152" i="4"/>
  <c r="CW218" i="4"/>
  <c r="CW152" i="4"/>
  <c r="CX216" i="4"/>
  <c r="CX150" i="4"/>
  <c r="CW160" i="4"/>
  <c r="CX178" i="4"/>
  <c r="CX106" i="4"/>
  <c r="CW83" i="4"/>
  <c r="CW77" i="4"/>
  <c r="CX75" i="4"/>
  <c r="CW75" i="4"/>
  <c r="CX78" i="4"/>
  <c r="CX197" i="4"/>
  <c r="CW78" i="4"/>
  <c r="CX65" i="4"/>
  <c r="CX148" i="4"/>
  <c r="CW74" i="4"/>
  <c r="CW64" i="4"/>
  <c r="CX256" i="4"/>
  <c r="CW247" i="4"/>
  <c r="CW240" i="4"/>
  <c r="CW259" i="4"/>
  <c r="CW248" i="4"/>
  <c r="CX233" i="4"/>
  <c r="CW265" i="4"/>
  <c r="CX201" i="4"/>
  <c r="CW131" i="4"/>
  <c r="CX186" i="4"/>
  <c r="CX116" i="4"/>
  <c r="CW186" i="4"/>
  <c r="CW213" i="4"/>
  <c r="CW147" i="4"/>
  <c r="CX211" i="4"/>
  <c r="CX143" i="4"/>
  <c r="CW211" i="4"/>
  <c r="CW143" i="4"/>
  <c r="CX196" i="4"/>
  <c r="CX214" i="4"/>
  <c r="CX219" i="4"/>
  <c r="CX153" i="4"/>
  <c r="CW174" i="4"/>
  <c r="CW100" i="4"/>
  <c r="CX77" i="4"/>
  <c r="CX71" i="4"/>
  <c r="CW135" i="4"/>
  <c r="CW71" i="4"/>
  <c r="CX183" i="4"/>
  <c r="CX69" i="4"/>
  <c r="CX217" i="4"/>
  <c r="CX73" i="4"/>
  <c r="CW73" i="4"/>
  <c r="CW172" i="4"/>
  <c r="CX72" i="4"/>
  <c r="CW205" i="4"/>
  <c r="CW61" i="4"/>
  <c r="CX129" i="4"/>
  <c r="CW85" i="4"/>
  <c r="CX68" i="4"/>
  <c r="CW253" i="4"/>
  <c r="CX240" i="4"/>
  <c r="CX232" i="4"/>
  <c r="CX241" i="4"/>
  <c r="CW229" i="4"/>
  <c r="CW271" i="4"/>
  <c r="CX258" i="4"/>
  <c r="CW197" i="4"/>
  <c r="CX123" i="4"/>
  <c r="CW181" i="4"/>
  <c r="CW111" i="4"/>
  <c r="CX179" i="4"/>
  <c r="CX206" i="4"/>
  <c r="CX139" i="4"/>
  <c r="CW206" i="4"/>
  <c r="CW139" i="4"/>
  <c r="CX137" i="4"/>
  <c r="CW193" i="4"/>
  <c r="CW209" i="4"/>
  <c r="CW214" i="4"/>
  <c r="CW148" i="4"/>
  <c r="CX167" i="4"/>
  <c r="CX93" i="4"/>
  <c r="CX66" i="4"/>
  <c r="CX210" i="4"/>
  <c r="CW66" i="4"/>
  <c r="CW128" i="4"/>
  <c r="CX151" i="4"/>
  <c r="CW183" i="4"/>
  <c r="CW69" i="4"/>
  <c r="CW217" i="4"/>
  <c r="CX67" i="4"/>
  <c r="CW141" i="4"/>
  <c r="CW67" i="4"/>
  <c r="CW190" i="4"/>
  <c r="CX109" i="4"/>
  <c r="CW133" i="4"/>
  <c r="CX247" i="4"/>
  <c r="CW228" i="4"/>
  <c r="CW249" i="4"/>
  <c r="CW234" i="4"/>
  <c r="CX271" i="4"/>
  <c r="CX265" i="4"/>
  <c r="CW254" i="4"/>
  <c r="CX192" i="4"/>
  <c r="CW118" i="4"/>
  <c r="CX175" i="4"/>
  <c r="CX104" i="4"/>
  <c r="CW175" i="4"/>
  <c r="CW199" i="4"/>
  <c r="CW134" i="4"/>
  <c r="CX198" i="4"/>
  <c r="CX132" i="4"/>
  <c r="CW198" i="4"/>
  <c r="CW132" i="4"/>
  <c r="CX187" i="4"/>
  <c r="CX200" i="4"/>
  <c r="CX207" i="4"/>
  <c r="CX140" i="4"/>
  <c r="CW164" i="4"/>
  <c r="CW89" i="4"/>
  <c r="CW62" i="4"/>
  <c r="CX135" i="4"/>
  <c r="CX60" i="4"/>
  <c r="CX125" i="4"/>
  <c r="CW60" i="4"/>
  <c r="CW125" i="4"/>
  <c r="CX59" i="4"/>
  <c r="CW158" i="4"/>
  <c r="CX63" i="4"/>
  <c r="CX172" i="4"/>
  <c r="CW63" i="4"/>
  <c r="CW137" i="4"/>
  <c r="CX61" i="4"/>
  <c r="CX156" i="4"/>
  <c r="CW104" i="4"/>
  <c r="CX89" i="4"/>
  <c r="CW242" i="4"/>
  <c r="CX228" i="4"/>
  <c r="CX243" i="4"/>
  <c r="CX229" i="4"/>
  <c r="CW267" i="4"/>
  <c r="CW260" i="4"/>
  <c r="CW188" i="4"/>
  <c r="CX111" i="4"/>
  <c r="CW170" i="4"/>
  <c r="CW98" i="4"/>
  <c r="CX168" i="4"/>
  <c r="CX195" i="4"/>
  <c r="CX126" i="4"/>
  <c r="CW195" i="4"/>
  <c r="CW126" i="4"/>
  <c r="CX193" i="4"/>
  <c r="CX124" i="4"/>
  <c r="CW182" i="4"/>
  <c r="CW196" i="4"/>
  <c r="CW200" i="4"/>
  <c r="CW243" i="4"/>
  <c r="CX158" i="4"/>
  <c r="CX83" i="4"/>
  <c r="CX56" i="4"/>
  <c r="CX122" i="4"/>
  <c r="CW56" i="4"/>
  <c r="CW122" i="4"/>
  <c r="CW116" i="4"/>
  <c r="CW151" i="4"/>
  <c r="CW59" i="4"/>
  <c r="CX141" i="4"/>
  <c r="CX57" i="4"/>
  <c r="CX131" i="4"/>
  <c r="CW57" i="4"/>
  <c r="CX118" i="4"/>
  <c r="CW97" i="4"/>
  <c r="CX117" i="4"/>
  <c r="CX95" i="4"/>
  <c r="CX272" i="4"/>
  <c r="CW224" i="4"/>
  <c r="CX270" i="4"/>
  <c r="CW238" i="4"/>
  <c r="CW225" i="4"/>
  <c r="CX260" i="4"/>
  <c r="CX254" i="4"/>
  <c r="CW244" i="4"/>
  <c r="CX181" i="4"/>
  <c r="CW106" i="4"/>
  <c r="CX165" i="4"/>
  <c r="CW232" i="4"/>
  <c r="CW165" i="4"/>
  <c r="CW191" i="4"/>
  <c r="CW121" i="4"/>
  <c r="CX189" i="4"/>
  <c r="CX119" i="4"/>
  <c r="CW189" i="4"/>
  <c r="CW119" i="4"/>
  <c r="CX234" i="4"/>
  <c r="CW153" i="4"/>
  <c r="CW79" i="4"/>
  <c r="CX108" i="4"/>
  <c r="CW108" i="4"/>
  <c r="CX113" i="4"/>
  <c r="CX142" i="4"/>
  <c r="CW138" i="4"/>
  <c r="CW127" i="4"/>
  <c r="CW115" i="4"/>
  <c r="CX91" i="4"/>
  <c r="CW91" i="4"/>
  <c r="CW269" i="4"/>
  <c r="CW266" i="4"/>
  <c r="CX230" i="4"/>
  <c r="CW255" i="4"/>
  <c r="CW250" i="4"/>
  <c r="CX235" i="4"/>
  <c r="CW176" i="4"/>
  <c r="CX98" i="4"/>
  <c r="CW161" i="4"/>
  <c r="CX159" i="4"/>
  <c r="CX184" i="4"/>
  <c r="CX114" i="4"/>
  <c r="CW184" i="4"/>
  <c r="CW114" i="4"/>
  <c r="CX182" i="4"/>
  <c r="CX112" i="4"/>
  <c r="CW171" i="4"/>
  <c r="CW187" i="4"/>
  <c r="CW219" i="4"/>
  <c r="CX146" i="4"/>
  <c r="CW68" i="4"/>
  <c r="CX176" i="4"/>
  <c r="CW102" i="4"/>
  <c r="CX105" i="4"/>
  <c r="CX110" i="4"/>
  <c r="CX138" i="4"/>
  <c r="CX127" i="4"/>
  <c r="CX121" i="4"/>
  <c r="CX97" i="4"/>
  <c r="CX74" i="4"/>
  <c r="CW129" i="4"/>
  <c r="CX263" i="4"/>
  <c r="CX224" i="4"/>
  <c r="CX259" i="4"/>
  <c r="CX267" i="4"/>
  <c r="CX250" i="4"/>
  <c r="CX244" i="4"/>
  <c r="CW231" i="4"/>
  <c r="CX170" i="4"/>
  <c r="CX220" i="4"/>
  <c r="CX154" i="4"/>
  <c r="CW220" i="4"/>
  <c r="CW154" i="4"/>
  <c r="CW179" i="4"/>
  <c r="CW109" i="4"/>
  <c r="CX177" i="4"/>
  <c r="CX107" i="4"/>
  <c r="CW177" i="4"/>
  <c r="CX180" i="4"/>
  <c r="CX185" i="4"/>
  <c r="CX212" i="4"/>
  <c r="CW140" i="4"/>
  <c r="CX62" i="4"/>
  <c r="CW146" i="4"/>
  <c r="CX99" i="4"/>
  <c r="CW99" i="4"/>
  <c r="CW105" i="4"/>
  <c r="CW113" i="4"/>
  <c r="CW124" i="4"/>
  <c r="CX115" i="4"/>
  <c r="CX80" i="4"/>
  <c r="CW178" i="4"/>
  <c r="CW117" i="4"/>
  <c r="CX64" i="4"/>
  <c r="CW258" i="4"/>
  <c r="CX266" i="4"/>
  <c r="CW262" i="4"/>
  <c r="CW246" i="4"/>
  <c r="CW239" i="4"/>
  <c r="CX226" i="4"/>
  <c r="CX161" i="4"/>
  <c r="CW215" i="4"/>
  <c r="CW149" i="4"/>
  <c r="CX213" i="4"/>
  <c r="CX147" i="4"/>
  <c r="CX173" i="4"/>
  <c r="CX101" i="4"/>
  <c r="CW173" i="4"/>
  <c r="CW101" i="4"/>
  <c r="CX171" i="4"/>
  <c r="CW230" i="4"/>
  <c r="CW162" i="4"/>
  <c r="CW180" i="4"/>
  <c r="CW207" i="4"/>
  <c r="CX242" i="4"/>
  <c r="CW58" i="4"/>
  <c r="CX102" i="4"/>
  <c r="CX96" i="4"/>
  <c r="CW96" i="4"/>
  <c r="CW110" i="4"/>
  <c r="CW107" i="4"/>
  <c r="CW112" i="4"/>
  <c r="CW76" i="4"/>
  <c r="CX85" i="4"/>
  <c r="CX100" i="4"/>
  <c r="CX188" i="4"/>
  <c r="CX253" i="4"/>
  <c r="CW268" i="4"/>
  <c r="CW261" i="4"/>
  <c r="CX249" i="4"/>
  <c r="CX255" i="4"/>
  <c r="CX239" i="4"/>
  <c r="CX231" i="4"/>
  <c r="CX248" i="4"/>
  <c r="CW156" i="4"/>
  <c r="CX208" i="4"/>
  <c r="CW208" i="4"/>
  <c r="CW168" i="4"/>
  <c r="CW273" i="4"/>
  <c r="CX166" i="4"/>
  <c r="CW245" i="4"/>
  <c r="CW166" i="4"/>
  <c r="CX225" i="4"/>
  <c r="CX155" i="4"/>
  <c r="CX169" i="4"/>
  <c r="CX174" i="4"/>
  <c r="CW167" i="4"/>
  <c r="CX92" i="4"/>
  <c r="CW92" i="4"/>
  <c r="CX90" i="4"/>
  <c r="CX94" i="4"/>
  <c r="CW94" i="4"/>
  <c r="CW82" i="4"/>
  <c r="CW264" i="4"/>
  <c r="CX70" i="4"/>
  <c r="CW70" i="4"/>
  <c r="CX58" i="4"/>
  <c r="CW212" i="4"/>
  <c r="CW95" i="4"/>
  <c r="CW272" i="4"/>
  <c r="CX261" i="4"/>
  <c r="CX273" i="4"/>
  <c r="CX262" i="4"/>
  <c r="CW252" i="4"/>
  <c r="CW233" i="4"/>
  <c r="CW227" i="4"/>
  <c r="CW221" i="4"/>
  <c r="CX149" i="4"/>
  <c r="CW201" i="4"/>
  <c r="CW136" i="4"/>
  <c r="CX199" i="4"/>
  <c r="CX134" i="4"/>
  <c r="CW226" i="4"/>
  <c r="CX238" i="4"/>
  <c r="CX162" i="4"/>
  <c r="CW216" i="4"/>
  <c r="CW150" i="4"/>
  <c r="CW169" i="4"/>
  <c r="CX190" i="4"/>
  <c r="CW163" i="4"/>
  <c r="CW93" i="4"/>
  <c r="CW87" i="4"/>
  <c r="CX86" i="4"/>
  <c r="CW86" i="4"/>
  <c r="CW90" i="4"/>
  <c r="CX88" i="4"/>
  <c r="CX223" i="4"/>
  <c r="CW88" i="4"/>
  <c r="CX76" i="4"/>
  <c r="CX221" i="4"/>
  <c r="CW65" i="4"/>
  <c r="CX133" i="4"/>
  <c r="CX163" i="4"/>
  <c r="CX268" i="4"/>
  <c r="CW256" i="4"/>
  <c r="CW251" i="4"/>
  <c r="CW270" i="4"/>
  <c r="CW257" i="4"/>
  <c r="CX246" i="4"/>
  <c r="CX227" i="4"/>
  <c r="CX215" i="4"/>
  <c r="CW142" i="4"/>
  <c r="CX128" i="4"/>
  <c r="CX257" i="4"/>
  <c r="CW159" i="4"/>
  <c r="CX222" i="4"/>
  <c r="CX157" i="4"/>
  <c r="CW222" i="4"/>
  <c r="CW157" i="4"/>
  <c r="CX209" i="4"/>
  <c r="CW235" i="4"/>
  <c r="CX160" i="4"/>
  <c r="CX164" i="4"/>
  <c r="CW185" i="4"/>
  <c r="CW120" i="4"/>
  <c r="CX87" i="4"/>
  <c r="CX81" i="4"/>
  <c r="CW81" i="4"/>
  <c r="CX84" i="4"/>
  <c r="CW84" i="4"/>
  <c r="CX205" i="4"/>
  <c r="CX82" i="4"/>
  <c r="CW72" i="4"/>
  <c r="CW155" i="4"/>
  <c r="CX120" i="4"/>
  <c r="CW80" i="4"/>
  <c r="CX79" i="4"/>
  <c r="CQ146" i="4"/>
  <c r="CU268" i="4"/>
  <c r="CU273" i="4"/>
  <c r="CU265" i="4"/>
  <c r="AA223" i="4"/>
  <c r="BA212" i="4"/>
  <c r="CP118" i="4"/>
  <c r="CP242" i="4"/>
  <c r="AA88" i="4"/>
  <c r="AZ162" i="4"/>
  <c r="CP106" i="4"/>
  <c r="CP248" i="4"/>
  <c r="CP218" i="4"/>
  <c r="CP129" i="4"/>
  <c r="CP184" i="4"/>
  <c r="CQ196" i="4"/>
  <c r="CQ234" i="4"/>
  <c r="CQ188" i="4"/>
  <c r="CQ254" i="4"/>
  <c r="CQ205" i="4"/>
  <c r="CQ119" i="4"/>
  <c r="CQ224" i="4"/>
  <c r="CQ199" i="4"/>
  <c r="CQ83" i="4"/>
  <c r="CQ125" i="4"/>
  <c r="CQ176" i="4"/>
  <c r="CQ228" i="4"/>
  <c r="CQ217" i="4"/>
  <c r="CQ180" i="4"/>
  <c r="CQ193" i="4"/>
  <c r="CQ106" i="4"/>
  <c r="CQ225" i="4"/>
  <c r="CQ170" i="4"/>
  <c r="CQ138" i="4"/>
  <c r="CQ222" i="4"/>
  <c r="CQ110" i="4"/>
  <c r="CQ124" i="4"/>
  <c r="CQ267" i="4"/>
  <c r="CQ197" i="4"/>
  <c r="CQ157" i="4"/>
  <c r="CQ231" i="4"/>
  <c r="CQ250" i="4"/>
  <c r="CQ107" i="4"/>
  <c r="CQ229" i="4"/>
  <c r="CQ118" i="4"/>
  <c r="CQ158" i="4"/>
  <c r="CQ152" i="4"/>
  <c r="CQ187" i="4"/>
  <c r="CQ258" i="4"/>
  <c r="CQ111" i="4"/>
  <c r="CQ139" i="4"/>
  <c r="CQ104" i="4"/>
  <c r="CQ105" i="4"/>
  <c r="CQ185" i="4"/>
  <c r="CQ114" i="4"/>
  <c r="CQ148" i="4"/>
  <c r="CQ162" i="4"/>
  <c r="CQ155" i="4"/>
  <c r="CQ210" i="4"/>
  <c r="CQ65" i="4"/>
  <c r="CQ77" i="4"/>
  <c r="CN226" i="4"/>
  <c r="CN232" i="4"/>
  <c r="CN257" i="4"/>
  <c r="CN195" i="4"/>
  <c r="CN198" i="4"/>
  <c r="CN117" i="4"/>
  <c r="CN242" i="4"/>
  <c r="CN212" i="4"/>
  <c r="CN221" i="4"/>
  <c r="CN191" i="4"/>
  <c r="CN77" i="4"/>
  <c r="CN63" i="4"/>
  <c r="CN82" i="4"/>
  <c r="CN76" i="4"/>
  <c r="CN111" i="4"/>
  <c r="CN85" i="4"/>
  <c r="CQ52" i="4"/>
  <c r="CQ57" i="4"/>
  <c r="CQ53" i="4"/>
  <c r="CQ62" i="4"/>
  <c r="CN271" i="4"/>
  <c r="CN272" i="4"/>
  <c r="CN270" i="4"/>
  <c r="CN248" i="4"/>
  <c r="CN184" i="4"/>
  <c r="CN189" i="4"/>
  <c r="CN193" i="4"/>
  <c r="CN227" i="4"/>
  <c r="CN219" i="4"/>
  <c r="CN190" i="4"/>
  <c r="CN210" i="4"/>
  <c r="CN179" i="4"/>
  <c r="CN66" i="4"/>
  <c r="CN52" i="4"/>
  <c r="CN72" i="4"/>
  <c r="CN65" i="4"/>
  <c r="CN108" i="4"/>
  <c r="CQ55" i="4"/>
  <c r="CQ71" i="4"/>
  <c r="CN260" i="4"/>
  <c r="CN268" i="4"/>
  <c r="CN259" i="4"/>
  <c r="CN234" i="4"/>
  <c r="CN173" i="4"/>
  <c r="CN177" i="4"/>
  <c r="CN262" i="4"/>
  <c r="CN214" i="4"/>
  <c r="CN207" i="4"/>
  <c r="CN178" i="4"/>
  <c r="CN197" i="4"/>
  <c r="CN168" i="4"/>
  <c r="CN56" i="4"/>
  <c r="CN61" i="4"/>
  <c r="CN55" i="4"/>
  <c r="CN101" i="4"/>
  <c r="CN112" i="4"/>
  <c r="CQ69" i="4"/>
  <c r="CQ75" i="4"/>
  <c r="CN249" i="4"/>
  <c r="CN225" i="4"/>
  <c r="CN166" i="4"/>
  <c r="CN252" i="4"/>
  <c r="CN200" i="4"/>
  <c r="CN167" i="4"/>
  <c r="CN188" i="4"/>
  <c r="CN159" i="4"/>
  <c r="CN163" i="4"/>
  <c r="CN183" i="4"/>
  <c r="CN99" i="4"/>
  <c r="CN95" i="4"/>
  <c r="CN171" i="4"/>
  <c r="CN74" i="4"/>
  <c r="CN265" i="4"/>
  <c r="CN261" i="4"/>
  <c r="CN238" i="4"/>
  <c r="CN267" i="4"/>
  <c r="CN152" i="4"/>
  <c r="CN157" i="4"/>
  <c r="CN209" i="4"/>
  <c r="CN185" i="4"/>
  <c r="CN158" i="4"/>
  <c r="CN176" i="4"/>
  <c r="CN147" i="4"/>
  <c r="CN208" i="4"/>
  <c r="CN125" i="4"/>
  <c r="CN136" i="4"/>
  <c r="CN201" i="4"/>
  <c r="CN93" i="4"/>
  <c r="CN64" i="4"/>
  <c r="CQ59" i="4"/>
  <c r="CQ60" i="4"/>
  <c r="CQ72" i="4"/>
  <c r="CN254" i="4"/>
  <c r="CN251" i="4"/>
  <c r="CN255" i="4"/>
  <c r="CN139" i="4"/>
  <c r="CN143" i="4"/>
  <c r="CN196" i="4"/>
  <c r="CN180" i="4"/>
  <c r="CN174" i="4"/>
  <c r="CN146" i="4"/>
  <c r="CN156" i="4"/>
  <c r="CN134" i="4"/>
  <c r="CN175" i="4"/>
  <c r="CN110" i="4"/>
  <c r="CN105" i="4"/>
  <c r="CN162" i="4"/>
  <c r="CN192" i="4"/>
  <c r="CN181" i="4"/>
  <c r="CN83" i="4"/>
  <c r="CN79" i="4"/>
  <c r="CQ56" i="4"/>
  <c r="CN244" i="4"/>
  <c r="CN240" i="4"/>
  <c r="CN273" i="4"/>
  <c r="CN246" i="4"/>
  <c r="CN126" i="4"/>
  <c r="CN132" i="4"/>
  <c r="CN187" i="4"/>
  <c r="CN169" i="4"/>
  <c r="CN164" i="4"/>
  <c r="CN133" i="4"/>
  <c r="CN142" i="4"/>
  <c r="CN121" i="4"/>
  <c r="CN137" i="4"/>
  <c r="CN96" i="4"/>
  <c r="CN215" i="4"/>
  <c r="CN124" i="4"/>
  <c r="CN182" i="4"/>
  <c r="CN165" i="4"/>
  <c r="CN62" i="4"/>
  <c r="CN69" i="4"/>
  <c r="CN104" i="4"/>
  <c r="CN150" i="4"/>
  <c r="CN186" i="4"/>
  <c r="CQ54" i="4"/>
  <c r="CN231" i="4"/>
  <c r="CN228" i="4"/>
  <c r="CN264" i="4"/>
  <c r="CN233" i="4"/>
  <c r="CN114" i="4"/>
  <c r="CN119" i="4"/>
  <c r="CN160" i="4"/>
  <c r="CN153" i="4"/>
  <c r="CN120" i="4"/>
  <c r="CN131" i="4"/>
  <c r="CN170" i="4"/>
  <c r="CN92" i="4"/>
  <c r="CN86" i="4"/>
  <c r="CN100" i="4"/>
  <c r="CN151" i="4"/>
  <c r="CN172" i="4"/>
  <c r="CN128" i="4"/>
  <c r="CN89" i="4"/>
  <c r="CN53" i="4"/>
  <c r="CN269" i="4"/>
  <c r="CN223" i="4"/>
  <c r="CN263" i="4"/>
  <c r="CN107" i="4"/>
  <c r="CN148" i="4"/>
  <c r="CN140" i="4"/>
  <c r="CN241" i="4"/>
  <c r="CN118" i="4"/>
  <c r="CN154" i="4"/>
  <c r="CN81" i="4"/>
  <c r="CN75" i="4"/>
  <c r="CN102" i="4"/>
  <c r="CN88" i="4"/>
  <c r="CN113" i="4"/>
  <c r="CN161" i="4"/>
  <c r="CN91" i="4"/>
  <c r="CN68" i="4"/>
  <c r="CQ73" i="4"/>
  <c r="CQ74" i="4"/>
  <c r="CQ68" i="4"/>
  <c r="CN258" i="4"/>
  <c r="CN266" i="4"/>
  <c r="CN243" i="4"/>
  <c r="CN239" i="4"/>
  <c r="CN253" i="4"/>
  <c r="CN256" i="4"/>
  <c r="CN155" i="4"/>
  <c r="CN135" i="4"/>
  <c r="CN127" i="4"/>
  <c r="CN217" i="4"/>
  <c r="CN229" i="4"/>
  <c r="CN116" i="4"/>
  <c r="CN71" i="4"/>
  <c r="CN94" i="4"/>
  <c r="CN78" i="4"/>
  <c r="CN109" i="4"/>
  <c r="CN123" i="4"/>
  <c r="CN80" i="4"/>
  <c r="CN70" i="4"/>
  <c r="CQ76" i="4"/>
  <c r="CQ70" i="4"/>
  <c r="CQ66" i="4"/>
  <c r="CQ61" i="4"/>
  <c r="CN230" i="4"/>
  <c r="CN218" i="4"/>
  <c r="CN222" i="4"/>
  <c r="CN224" i="4"/>
  <c r="CN141" i="4"/>
  <c r="CN122" i="4"/>
  <c r="CN115" i="4"/>
  <c r="CN205" i="4"/>
  <c r="CN213" i="4"/>
  <c r="CN60" i="4"/>
  <c r="CN54" i="4"/>
  <c r="CN84" i="4"/>
  <c r="CN67" i="4"/>
  <c r="CN98" i="4"/>
  <c r="CN97" i="4"/>
  <c r="CN220" i="4"/>
  <c r="CN106" i="4"/>
  <c r="CN58" i="4"/>
  <c r="CQ63" i="4"/>
  <c r="CQ67" i="4"/>
  <c r="CQ64" i="4"/>
  <c r="CQ58" i="4"/>
  <c r="CN235" i="4"/>
  <c r="CN245" i="4"/>
  <c r="CN206" i="4"/>
  <c r="CN211" i="4"/>
  <c r="CN216" i="4"/>
  <c r="CN129" i="4"/>
  <c r="CN247" i="4"/>
  <c r="CN250" i="4"/>
  <c r="CN199" i="4"/>
  <c r="CN87" i="4"/>
  <c r="CN73" i="4"/>
  <c r="CN57" i="4"/>
  <c r="CN149" i="4"/>
  <c r="CN138" i="4"/>
  <c r="CN90" i="4"/>
  <c r="CN59" i="4"/>
  <c r="CQ261" i="4"/>
  <c r="CQ233" i="4"/>
  <c r="CQ201" i="4"/>
  <c r="CQ126" i="4"/>
  <c r="CQ241" i="4"/>
  <c r="CQ131" i="4"/>
  <c r="CQ186" i="4"/>
  <c r="BC272" i="4"/>
  <c r="CQ238" i="4"/>
  <c r="CQ218" i="4"/>
  <c r="CQ82" i="4"/>
  <c r="CQ270" i="4"/>
  <c r="CQ172" i="4"/>
  <c r="CQ268" i="4"/>
  <c r="CQ190" i="4"/>
  <c r="CQ84" i="4"/>
  <c r="CQ101" i="4"/>
  <c r="CQ271" i="4"/>
  <c r="CQ192" i="4"/>
  <c r="AE262" i="4"/>
  <c r="CQ263" i="4"/>
  <c r="CQ212" i="4"/>
  <c r="CQ102" i="4"/>
  <c r="CQ92" i="4"/>
  <c r="CQ255" i="4"/>
  <c r="CQ95" i="4"/>
  <c r="CQ97" i="4"/>
  <c r="CQ120" i="4"/>
  <c r="CQ88" i="4"/>
  <c r="CQ207" i="4"/>
  <c r="CQ132" i="4"/>
  <c r="CQ81" i="4"/>
  <c r="CQ269" i="4"/>
  <c r="CQ123" i="4"/>
  <c r="CQ140" i="4"/>
  <c r="CQ239" i="4"/>
  <c r="CQ89" i="4"/>
  <c r="CQ262" i="4"/>
  <c r="CQ156" i="4"/>
  <c r="CQ91" i="4"/>
  <c r="CQ159" i="4"/>
  <c r="CQ211" i="4"/>
  <c r="CQ209" i="4"/>
  <c r="CQ164" i="4"/>
  <c r="CQ213" i="4"/>
  <c r="CQ93" i="4"/>
  <c r="CQ128" i="4"/>
  <c r="CQ266" i="4"/>
  <c r="CQ183" i="4"/>
  <c r="CQ208" i="4"/>
  <c r="CQ143" i="4"/>
  <c r="CQ223" i="4"/>
  <c r="CQ251" i="4"/>
  <c r="CQ200" i="4"/>
  <c r="CQ216" i="4"/>
  <c r="CQ141" i="4"/>
  <c r="CQ127" i="4"/>
  <c r="CQ147" i="4"/>
  <c r="CQ96" i="4"/>
  <c r="CQ230" i="4"/>
  <c r="CQ113" i="4"/>
  <c r="CQ179" i="4"/>
  <c r="CQ175" i="4"/>
  <c r="CQ149" i="4"/>
  <c r="CQ273" i="4"/>
  <c r="CQ163" i="4"/>
  <c r="CQ98" i="4"/>
  <c r="CQ135" i="4"/>
  <c r="CQ150" i="4"/>
  <c r="CQ154" i="4"/>
  <c r="CQ117" i="4"/>
  <c r="CQ220" i="4"/>
  <c r="CQ265" i="4"/>
  <c r="CQ232" i="4"/>
  <c r="CQ109" i="4"/>
  <c r="CQ226" i="4"/>
  <c r="CQ246" i="4"/>
  <c r="CQ215" i="4"/>
  <c r="CQ85" i="4"/>
  <c r="CQ221" i="4"/>
  <c r="CQ122" i="4"/>
  <c r="CQ137" i="4"/>
  <c r="CQ191" i="4"/>
  <c r="CQ160" i="4"/>
  <c r="CQ171" i="4"/>
  <c r="CQ195" i="4"/>
  <c r="CQ227" i="4"/>
  <c r="CQ79" i="4"/>
  <c r="CQ252" i="4"/>
  <c r="CQ142" i="4"/>
  <c r="CQ80" i="4"/>
  <c r="CQ256" i="4"/>
  <c r="CQ178" i="4"/>
  <c r="CQ90" i="4"/>
  <c r="CQ116" i="4"/>
  <c r="CQ121" i="4"/>
  <c r="CQ161" i="4"/>
  <c r="CQ184" i="4"/>
  <c r="CQ244" i="4"/>
  <c r="CQ166" i="4"/>
  <c r="CQ253" i="4"/>
  <c r="CQ259" i="4"/>
  <c r="CQ108" i="4"/>
  <c r="CQ78" i="4"/>
  <c r="CQ189" i="4"/>
  <c r="CQ247" i="4"/>
  <c r="CQ167" i="4"/>
  <c r="AE213" i="4"/>
  <c r="CQ115" i="4"/>
  <c r="CQ169" i="4"/>
  <c r="CQ182" i="4"/>
  <c r="CQ235" i="4"/>
  <c r="CQ94" i="4"/>
  <c r="CQ168" i="4"/>
  <c r="CQ136" i="4"/>
  <c r="CQ245" i="4"/>
  <c r="CQ240" i="4"/>
  <c r="CQ242" i="4"/>
  <c r="CQ206" i="4"/>
  <c r="CQ174" i="4"/>
  <c r="AC271" i="4"/>
  <c r="CQ112" i="4"/>
  <c r="CQ133" i="4"/>
  <c r="CQ100" i="4"/>
  <c r="CQ219" i="4"/>
  <c r="CQ214" i="4"/>
  <c r="CQ99" i="4"/>
  <c r="CQ257" i="4"/>
  <c r="CQ264" i="4"/>
  <c r="CQ151" i="4"/>
  <c r="CQ173" i="4"/>
  <c r="CQ249" i="4"/>
  <c r="AC229" i="4"/>
  <c r="AE77" i="4"/>
  <c r="AC235" i="4"/>
  <c r="AC249" i="4"/>
  <c r="AE235" i="4"/>
  <c r="CG231" i="4"/>
  <c r="CG249" i="4"/>
  <c r="CG238" i="4"/>
  <c r="CG209" i="4"/>
  <c r="CG180" i="4"/>
  <c r="CG212" i="4"/>
  <c r="CG183" i="4"/>
  <c r="CG176" i="4"/>
  <c r="CG161" i="4"/>
  <c r="CG154" i="4"/>
  <c r="CG184" i="4"/>
  <c r="CG74" i="4"/>
  <c r="CG68" i="4"/>
  <c r="CG39" i="4"/>
  <c r="CG37" i="4"/>
  <c r="CG54" i="4"/>
  <c r="CG47" i="4"/>
  <c r="CG40" i="4"/>
  <c r="CG38" i="4"/>
  <c r="CG269" i="4"/>
  <c r="CG261" i="4"/>
  <c r="CG273" i="4"/>
  <c r="CG216" i="4"/>
  <c r="CG196" i="4"/>
  <c r="CG169" i="4"/>
  <c r="CG190" i="4"/>
  <c r="CG172" i="4"/>
  <c r="CG156" i="4"/>
  <c r="CG149" i="4"/>
  <c r="CG173" i="4"/>
  <c r="CG64" i="4"/>
  <c r="CG58" i="4"/>
  <c r="CG42" i="4"/>
  <c r="CG258" i="4"/>
  <c r="CG251" i="4"/>
  <c r="CG264" i="4"/>
  <c r="CG187" i="4"/>
  <c r="CG160" i="4"/>
  <c r="CG178" i="4"/>
  <c r="CG163" i="4"/>
  <c r="CG142" i="4"/>
  <c r="CG136" i="4"/>
  <c r="CG128" i="4"/>
  <c r="CG53" i="4"/>
  <c r="CG46" i="4"/>
  <c r="CG198" i="4"/>
  <c r="CG271" i="4"/>
  <c r="CG240" i="4"/>
  <c r="CG193" i="4"/>
  <c r="CG148" i="4"/>
  <c r="CG167" i="4"/>
  <c r="CG151" i="4"/>
  <c r="CG131" i="4"/>
  <c r="CG123" i="4"/>
  <c r="CG116" i="4"/>
  <c r="CG152" i="4"/>
  <c r="CG41" i="4"/>
  <c r="CG166" i="4"/>
  <c r="CG189" i="4"/>
  <c r="CG147" i="4"/>
  <c r="CG211" i="4"/>
  <c r="CG260" i="4"/>
  <c r="CG235" i="4"/>
  <c r="CG228" i="4"/>
  <c r="CG243" i="4"/>
  <c r="CG182" i="4"/>
  <c r="CG135" i="4"/>
  <c r="CG158" i="4"/>
  <c r="CG138" i="4"/>
  <c r="CG118" i="4"/>
  <c r="CG111" i="4"/>
  <c r="CG225" i="4"/>
  <c r="CG139" i="4"/>
  <c r="CG179" i="4"/>
  <c r="CG157" i="4"/>
  <c r="CG177" i="4"/>
  <c r="CG140" i="4"/>
  <c r="CG119" i="4"/>
  <c r="CG153" i="4"/>
  <c r="CG55" i="4"/>
  <c r="CJ37" i="4"/>
  <c r="CG250" i="4"/>
  <c r="CG226" i="4"/>
  <c r="CG230" i="4"/>
  <c r="CG171" i="4"/>
  <c r="CG155" i="4"/>
  <c r="CG122" i="4"/>
  <c r="CG146" i="4"/>
  <c r="CG125" i="4"/>
  <c r="CG246" i="4"/>
  <c r="CG263" i="4"/>
  <c r="CG213" i="4"/>
  <c r="CG126" i="4"/>
  <c r="CG105" i="4"/>
  <c r="CG121" i="4"/>
  <c r="CG185" i="4"/>
  <c r="CG191" i="4"/>
  <c r="CG120" i="4"/>
  <c r="CG109" i="4"/>
  <c r="CG106" i="4"/>
  <c r="CG101" i="4"/>
  <c r="CG239" i="4"/>
  <c r="CG272" i="4"/>
  <c r="CG266" i="4"/>
  <c r="CG162" i="4"/>
  <c r="CG141" i="4"/>
  <c r="CG110" i="4"/>
  <c r="CG133" i="4"/>
  <c r="CG113" i="4"/>
  <c r="CG220" i="4"/>
  <c r="CG199" i="4"/>
  <c r="CG168" i="4"/>
  <c r="CG174" i="4"/>
  <c r="CG102" i="4"/>
  <c r="CG127" i="4"/>
  <c r="CG134" i="4"/>
  <c r="CG115" i="4"/>
  <c r="CG98" i="4"/>
  <c r="CG104" i="4"/>
  <c r="CG91" i="4"/>
  <c r="CG97" i="4"/>
  <c r="CG227" i="4"/>
  <c r="CG268" i="4"/>
  <c r="CG150" i="4"/>
  <c r="CG129" i="4"/>
  <c r="CG248" i="4"/>
  <c r="CG253" i="4"/>
  <c r="CG257" i="4"/>
  <c r="CG215" i="4"/>
  <c r="CG208" i="4"/>
  <c r="CG255" i="4"/>
  <c r="CG159" i="4"/>
  <c r="CG222" i="4"/>
  <c r="CG164" i="4"/>
  <c r="CG87" i="4"/>
  <c r="CG92" i="4"/>
  <c r="CG107" i="4"/>
  <c r="CG100" i="4"/>
  <c r="CG94" i="4"/>
  <c r="CG88" i="4"/>
  <c r="CG80" i="4"/>
  <c r="CG256" i="4"/>
  <c r="CG245" i="4"/>
  <c r="CG262" i="4"/>
  <c r="CG137" i="4"/>
  <c r="CG117" i="4"/>
  <c r="CG242" i="4"/>
  <c r="CG234" i="4"/>
  <c r="CG221" i="4"/>
  <c r="CG201" i="4"/>
  <c r="CG233" i="4"/>
  <c r="CG114" i="4"/>
  <c r="CG143" i="4"/>
  <c r="CG93" i="4"/>
  <c r="CG77" i="4"/>
  <c r="CG81" i="4"/>
  <c r="CG96" i="4"/>
  <c r="CG90" i="4"/>
  <c r="CG84" i="4"/>
  <c r="CG78" i="4"/>
  <c r="CG82" i="4"/>
  <c r="CG70" i="4"/>
  <c r="CG132" i="4"/>
  <c r="CG265" i="4"/>
  <c r="CG247" i="4"/>
  <c r="CG232" i="4"/>
  <c r="CG252" i="4"/>
  <c r="CG124" i="4"/>
  <c r="CG214" i="4"/>
  <c r="CG219" i="4"/>
  <c r="CG223" i="4"/>
  <c r="CG210" i="4"/>
  <c r="CG192" i="4"/>
  <c r="CG186" i="4"/>
  <c r="CG218" i="4"/>
  <c r="CG108" i="4"/>
  <c r="CG99" i="4"/>
  <c r="CG83" i="4"/>
  <c r="CG66" i="4"/>
  <c r="CG71" i="4"/>
  <c r="CG86" i="4"/>
  <c r="CG73" i="4"/>
  <c r="CG67" i="4"/>
  <c r="CG72" i="4"/>
  <c r="CG65" i="4"/>
  <c r="CG254" i="4"/>
  <c r="CG270" i="4"/>
  <c r="CG241" i="4"/>
  <c r="CG112" i="4"/>
  <c r="CG200" i="4"/>
  <c r="CG207" i="4"/>
  <c r="CG217" i="4"/>
  <c r="CG197" i="4"/>
  <c r="CG181" i="4"/>
  <c r="CG175" i="4"/>
  <c r="CG206" i="4"/>
  <c r="CG95" i="4"/>
  <c r="CG89" i="4"/>
  <c r="CG62" i="4"/>
  <c r="CG56" i="4"/>
  <c r="CG60" i="4"/>
  <c r="CG75" i="4"/>
  <c r="CG69" i="4"/>
  <c r="CG63" i="4"/>
  <c r="CG57" i="4"/>
  <c r="CG61" i="4"/>
  <c r="CG48" i="4"/>
  <c r="CG76" i="4"/>
  <c r="CG244" i="4"/>
  <c r="CG224" i="4"/>
  <c r="CG259" i="4"/>
  <c r="CG229" i="4"/>
  <c r="CG267" i="4"/>
  <c r="CG205" i="4"/>
  <c r="CG188" i="4"/>
  <c r="CG170" i="4"/>
  <c r="CG165" i="4"/>
  <c r="CG195" i="4"/>
  <c r="CG85" i="4"/>
  <c r="CG79" i="4"/>
  <c r="CG51" i="4"/>
  <c r="CG44" i="4"/>
  <c r="CG49" i="4"/>
  <c r="CG59" i="4"/>
  <c r="CG52" i="4"/>
  <c r="CG45" i="4"/>
  <c r="CG50" i="4"/>
  <c r="CG43" i="4"/>
  <c r="CE260" i="4"/>
  <c r="CE253" i="4"/>
  <c r="CE218" i="4"/>
  <c r="CE211" i="4"/>
  <c r="CE248" i="4"/>
  <c r="CE207" i="4"/>
  <c r="CE190" i="4"/>
  <c r="CE163" i="4"/>
  <c r="CE142" i="4"/>
  <c r="CE165" i="4"/>
  <c r="CE64" i="4"/>
  <c r="CE68" i="4"/>
  <c r="CE56" i="4"/>
  <c r="CE109" i="4"/>
  <c r="CE250" i="4"/>
  <c r="CE242" i="4"/>
  <c r="CE245" i="4"/>
  <c r="CE206" i="4"/>
  <c r="CE198" i="4"/>
  <c r="CE193" i="4"/>
  <c r="CE214" i="4"/>
  <c r="CE178" i="4"/>
  <c r="CE151" i="4"/>
  <c r="CE131" i="4"/>
  <c r="CE154" i="4"/>
  <c r="CE58" i="4"/>
  <c r="CE170" i="4"/>
  <c r="CE88" i="4"/>
  <c r="CE239" i="4"/>
  <c r="CE232" i="4"/>
  <c r="CE195" i="4"/>
  <c r="CE189" i="4"/>
  <c r="CE182" i="4"/>
  <c r="CE200" i="4"/>
  <c r="CE185" i="4"/>
  <c r="CE167" i="4"/>
  <c r="CE138" i="4"/>
  <c r="CE118" i="4"/>
  <c r="CE244" i="4"/>
  <c r="CE161" i="4"/>
  <c r="CE104" i="4"/>
  <c r="CE106" i="4"/>
  <c r="CE262" i="4"/>
  <c r="CE227" i="4"/>
  <c r="CE268" i="4"/>
  <c r="CE270" i="4"/>
  <c r="CE184" i="4"/>
  <c r="CE177" i="4"/>
  <c r="CE171" i="4"/>
  <c r="CE174" i="4"/>
  <c r="CE158" i="4"/>
  <c r="CE125" i="4"/>
  <c r="CE215" i="4"/>
  <c r="CE128" i="4"/>
  <c r="CE199" i="4"/>
  <c r="CE191" i="4"/>
  <c r="CE155" i="4"/>
  <c r="CE94" i="4"/>
  <c r="CE57" i="4"/>
  <c r="CE252" i="4"/>
  <c r="CE256" i="4"/>
  <c r="CE273" i="4"/>
  <c r="CE173" i="4"/>
  <c r="CE166" i="4"/>
  <c r="CE162" i="4"/>
  <c r="CE180" i="4"/>
  <c r="CE164" i="4"/>
  <c r="CE146" i="4"/>
  <c r="CE113" i="4"/>
  <c r="CE201" i="4"/>
  <c r="CE116" i="4"/>
  <c r="CE168" i="4"/>
  <c r="CE141" i="4"/>
  <c r="CE134" i="4"/>
  <c r="CE100" i="4"/>
  <c r="CE84" i="4"/>
  <c r="CE82" i="4"/>
  <c r="CE241" i="4"/>
  <c r="CE269" i="4"/>
  <c r="CE247" i="4"/>
  <c r="CE264" i="4"/>
  <c r="CE157" i="4"/>
  <c r="CE150" i="4"/>
  <c r="CE169" i="4"/>
  <c r="CE153" i="4"/>
  <c r="CE133" i="4"/>
  <c r="CE240" i="4"/>
  <c r="CE181" i="4"/>
  <c r="CE159" i="4"/>
  <c r="CE196" i="4"/>
  <c r="CE121" i="4"/>
  <c r="CE149" i="4"/>
  <c r="CE96" i="4"/>
  <c r="CE90" i="4"/>
  <c r="CE73" i="4"/>
  <c r="CE72" i="4"/>
  <c r="CE229" i="4"/>
  <c r="CE258" i="4"/>
  <c r="CE152" i="4"/>
  <c r="CE143" i="4"/>
  <c r="CE137" i="4"/>
  <c r="CE160" i="4"/>
  <c r="CE140" i="4"/>
  <c r="CE120" i="4"/>
  <c r="CE221" i="4"/>
  <c r="CE225" i="4"/>
  <c r="CE123" i="4"/>
  <c r="CE111" i="4"/>
  <c r="CE187" i="4"/>
  <c r="CE192" i="4"/>
  <c r="CE179" i="4"/>
  <c r="CE110" i="4"/>
  <c r="CE102" i="4"/>
  <c r="CE86" i="4"/>
  <c r="CE63" i="4"/>
  <c r="CE61" i="4"/>
  <c r="CE147" i="4"/>
  <c r="CE267" i="4"/>
  <c r="CE243" i="4"/>
  <c r="CE139" i="4"/>
  <c r="CE132" i="4"/>
  <c r="CE124" i="4"/>
  <c r="CE148" i="4"/>
  <c r="CE127" i="4"/>
  <c r="CE257" i="4"/>
  <c r="CE210" i="4"/>
  <c r="CE220" i="4"/>
  <c r="CE97" i="4"/>
  <c r="CE108" i="4"/>
  <c r="CE129" i="4"/>
  <c r="CE136" i="4"/>
  <c r="CE93" i="4"/>
  <c r="CE105" i="4"/>
  <c r="CE92" i="4"/>
  <c r="CE75" i="4"/>
  <c r="CE69" i="4"/>
  <c r="CE98" i="4"/>
  <c r="CE255" i="4"/>
  <c r="CE235" i="4"/>
  <c r="CE261" i="4"/>
  <c r="CE230" i="4"/>
  <c r="CE126" i="4"/>
  <c r="CE119" i="4"/>
  <c r="CE112" i="4"/>
  <c r="CE135" i="4"/>
  <c r="CE115" i="4"/>
  <c r="CE217" i="4"/>
  <c r="CE197" i="4"/>
  <c r="CE208" i="4"/>
  <c r="CE101" i="4"/>
  <c r="CE117" i="4"/>
  <c r="CE122" i="4"/>
  <c r="CE83" i="4"/>
  <c r="CE81" i="4"/>
  <c r="CE59" i="4"/>
  <c r="CE67" i="4"/>
  <c r="CE246" i="4"/>
  <c r="CE226" i="4"/>
  <c r="CE251" i="4"/>
  <c r="CE249" i="4"/>
  <c r="CE114" i="4"/>
  <c r="CE107" i="4"/>
  <c r="CE259" i="4"/>
  <c r="CE265" i="4"/>
  <c r="CE234" i="4"/>
  <c r="CE205" i="4"/>
  <c r="CE188" i="4"/>
  <c r="CE76" i="4"/>
  <c r="CE91" i="4"/>
  <c r="CE95" i="4"/>
  <c r="CE99" i="4"/>
  <c r="CE62" i="4"/>
  <c r="CE87" i="4"/>
  <c r="CE71" i="4"/>
  <c r="CE78" i="4"/>
  <c r="CE233" i="4"/>
  <c r="CE272" i="4"/>
  <c r="CE228" i="4"/>
  <c r="CE238" i="4"/>
  <c r="CE254" i="4"/>
  <c r="CE231" i="4"/>
  <c r="CE223" i="4"/>
  <c r="CE183" i="4"/>
  <c r="CE176" i="4"/>
  <c r="CE186" i="4"/>
  <c r="CE65" i="4"/>
  <c r="CE80" i="4"/>
  <c r="CE85" i="4"/>
  <c r="CE89" i="4"/>
  <c r="CE77" i="4"/>
  <c r="CE60" i="4"/>
  <c r="CE271" i="4"/>
  <c r="CE263" i="4"/>
  <c r="CE266" i="4"/>
  <c r="CE224" i="4"/>
  <c r="CE222" i="4"/>
  <c r="CE216" i="4"/>
  <c r="CE209" i="4"/>
  <c r="CE219" i="4"/>
  <c r="CE212" i="4"/>
  <c r="CE172" i="4"/>
  <c r="CE156" i="4"/>
  <c r="CE175" i="4"/>
  <c r="CE55" i="4"/>
  <c r="CE70" i="4"/>
  <c r="CE74" i="4"/>
  <c r="CE79" i="4"/>
  <c r="CE66" i="4"/>
  <c r="CE213" i="4"/>
  <c r="AA264" i="4"/>
  <c r="AC251" i="4"/>
  <c r="AC265" i="4"/>
  <c r="AC234" i="4"/>
  <c r="AE141" i="4"/>
  <c r="AA106" i="4"/>
  <c r="AC200" i="4"/>
  <c r="AC248" i="4"/>
  <c r="AA176" i="4"/>
  <c r="AA250" i="4"/>
  <c r="AC214" i="4"/>
  <c r="AC263" i="4"/>
  <c r="AA114" i="4"/>
  <c r="AE48" i="4"/>
  <c r="AE57" i="4"/>
  <c r="AE190" i="4"/>
  <c r="AC196" i="4"/>
  <c r="AE226" i="4"/>
  <c r="AE39" i="4"/>
  <c r="AX264" i="4"/>
  <c r="CJ270" i="4"/>
  <c r="CI259" i="4"/>
  <c r="CJ248" i="4"/>
  <c r="CJ267" i="4"/>
  <c r="CI260" i="4"/>
  <c r="CI200" i="4"/>
  <c r="CI135" i="4"/>
  <c r="CJ190" i="4"/>
  <c r="CJ120" i="4"/>
  <c r="CJ183" i="4"/>
  <c r="CJ113" i="4"/>
  <c r="CJ215" i="4"/>
  <c r="CI142" i="4"/>
  <c r="CI181" i="4"/>
  <c r="CI111" i="4"/>
  <c r="CI175" i="4"/>
  <c r="CI213" i="4"/>
  <c r="CI147" i="4"/>
  <c r="CJ222" i="4"/>
  <c r="CJ157" i="4"/>
  <c r="CJ216" i="4"/>
  <c r="CJ193" i="4"/>
  <c r="CI51" i="4"/>
  <c r="CI129" i="4"/>
  <c r="CJ60" i="4"/>
  <c r="CI113" i="4"/>
  <c r="CI49" i="4"/>
  <c r="CI107" i="4"/>
  <c r="CI42" i="4"/>
  <c r="CI100" i="4"/>
  <c r="CI163" i="4"/>
  <c r="CJ45" i="4"/>
  <c r="CJ112" i="4"/>
  <c r="CI45" i="4"/>
  <c r="CJ97" i="4"/>
  <c r="CJ91" i="4"/>
  <c r="CJ85" i="4"/>
  <c r="CJ83" i="4"/>
  <c r="CJ79" i="4"/>
  <c r="CI226" i="4"/>
  <c r="CI268" i="4"/>
  <c r="CI266" i="4"/>
  <c r="CI243" i="4"/>
  <c r="CI262" i="4"/>
  <c r="CJ254" i="4"/>
  <c r="CJ127" i="4"/>
  <c r="CI185" i="4"/>
  <c r="CI115" i="4"/>
  <c r="CI178" i="4"/>
  <c r="CI108" i="4"/>
  <c r="CI210" i="4"/>
  <c r="CJ136" i="4"/>
  <c r="CJ175" i="4"/>
  <c r="CJ104" i="4"/>
  <c r="CJ168" i="4"/>
  <c r="CJ206" i="4"/>
  <c r="CJ139" i="4"/>
  <c r="CI218" i="4"/>
  <c r="CI152" i="4"/>
  <c r="CI211" i="4"/>
  <c r="CI171" i="4"/>
  <c r="CI143" i="4"/>
  <c r="CJ44" i="4"/>
  <c r="CJ122" i="4"/>
  <c r="CI56" i="4"/>
  <c r="CJ107" i="4"/>
  <c r="CJ42" i="4"/>
  <c r="CJ100" i="4"/>
  <c r="CJ94" i="4"/>
  <c r="CJ156" i="4"/>
  <c r="CI40" i="4"/>
  <c r="CJ109" i="4"/>
  <c r="CJ38" i="4"/>
  <c r="CI80" i="4"/>
  <c r="CI79" i="4"/>
  <c r="CI95" i="4"/>
  <c r="CI272" i="4"/>
  <c r="CJ261" i="4"/>
  <c r="CJ259" i="4"/>
  <c r="CI249" i="4"/>
  <c r="CJ234" i="4"/>
  <c r="CJ255" i="4"/>
  <c r="CI250" i="4"/>
  <c r="CI122" i="4"/>
  <c r="CJ178" i="4"/>
  <c r="CJ108" i="4"/>
  <c r="CJ172" i="4"/>
  <c r="CI223" i="4"/>
  <c r="CJ201" i="4"/>
  <c r="CI131" i="4"/>
  <c r="CI170" i="4"/>
  <c r="CI246" i="4"/>
  <c r="CI165" i="4"/>
  <c r="CI199" i="4"/>
  <c r="CI134" i="4"/>
  <c r="CJ211" i="4"/>
  <c r="CJ143" i="4"/>
  <c r="CJ137" i="4"/>
  <c r="CI39" i="4"/>
  <c r="CI117" i="4"/>
  <c r="CJ49" i="4"/>
  <c r="CI102" i="4"/>
  <c r="CI96" i="4"/>
  <c r="CI90" i="4"/>
  <c r="CJ98" i="4"/>
  <c r="CI98" i="4"/>
  <c r="CJ80" i="4"/>
  <c r="CJ74" i="4"/>
  <c r="CI68" i="4"/>
  <c r="CJ169" i="4"/>
  <c r="CJ46" i="4"/>
  <c r="CJ268" i="4"/>
  <c r="CI256" i="4"/>
  <c r="CJ243" i="4"/>
  <c r="CI230" i="4"/>
  <c r="CI252" i="4"/>
  <c r="CJ244" i="4"/>
  <c r="CJ185" i="4"/>
  <c r="CJ115" i="4"/>
  <c r="CI174" i="4"/>
  <c r="CI167" i="4"/>
  <c r="CJ221" i="4"/>
  <c r="CI197" i="4"/>
  <c r="CJ123" i="4"/>
  <c r="CJ165" i="4"/>
  <c r="CJ226" i="4"/>
  <c r="CJ159" i="4"/>
  <c r="CJ195" i="4"/>
  <c r="CJ126" i="4"/>
  <c r="CI206" i="4"/>
  <c r="CI139" i="4"/>
  <c r="CI198" i="4"/>
  <c r="CI162" i="4"/>
  <c r="CJ105" i="4"/>
  <c r="CI105" i="4"/>
  <c r="CI44" i="4"/>
  <c r="CJ96" i="4"/>
  <c r="CJ90" i="4"/>
  <c r="CJ84" i="4"/>
  <c r="CI94" i="4"/>
  <c r="CI82" i="4"/>
  <c r="CI76" i="4"/>
  <c r="CI70" i="4"/>
  <c r="CJ272" i="4"/>
  <c r="CI263" i="4"/>
  <c r="CJ251" i="4"/>
  <c r="CJ249" i="4"/>
  <c r="CI238" i="4"/>
  <c r="CJ225" i="4"/>
  <c r="CJ246" i="4"/>
  <c r="CI239" i="4"/>
  <c r="CI180" i="4"/>
  <c r="CI110" i="4"/>
  <c r="CJ167" i="4"/>
  <c r="CJ266" i="4"/>
  <c r="CJ163" i="4"/>
  <c r="CI217" i="4"/>
  <c r="CJ192" i="4"/>
  <c r="CI161" i="4"/>
  <c r="CI220" i="4"/>
  <c r="CI154" i="4"/>
  <c r="CI191" i="4"/>
  <c r="CI121" i="4"/>
  <c r="CJ198" i="4"/>
  <c r="CJ132" i="4"/>
  <c r="CI244" i="4"/>
  <c r="CJ155" i="4"/>
  <c r="CJ102" i="4"/>
  <c r="CI92" i="4"/>
  <c r="CI86" i="4"/>
  <c r="CJ88" i="4"/>
  <c r="CI88" i="4"/>
  <c r="CJ76" i="4"/>
  <c r="CJ70" i="4"/>
  <c r="CJ214" i="4"/>
  <c r="CJ64" i="4"/>
  <c r="CI269" i="4"/>
  <c r="CJ256" i="4"/>
  <c r="CI247" i="4"/>
  <c r="CI245" i="4"/>
  <c r="CJ230" i="4"/>
  <c r="CI241" i="4"/>
  <c r="CJ231" i="4"/>
  <c r="CJ174" i="4"/>
  <c r="CI254" i="4"/>
  <c r="CI164" i="4"/>
  <c r="CJ235" i="4"/>
  <c r="CI158" i="4"/>
  <c r="CJ210" i="4"/>
  <c r="CI188" i="4"/>
  <c r="CJ220" i="4"/>
  <c r="CJ154" i="4"/>
  <c r="CJ213" i="4"/>
  <c r="CJ147" i="4"/>
  <c r="CJ184" i="4"/>
  <c r="CJ114" i="4"/>
  <c r="CI195" i="4"/>
  <c r="CI126" i="4"/>
  <c r="CI216" i="4"/>
  <c r="CI150" i="4"/>
  <c r="CI93" i="4"/>
  <c r="CJ86" i="4"/>
  <c r="CJ73" i="4"/>
  <c r="CI84" i="4"/>
  <c r="CJ82" i="4"/>
  <c r="CI72" i="4"/>
  <c r="CI183" i="4"/>
  <c r="CI65" i="4"/>
  <c r="CI189" i="4"/>
  <c r="CJ263" i="4"/>
  <c r="CI253" i="4"/>
  <c r="CJ240" i="4"/>
  <c r="CJ238" i="4"/>
  <c r="CJ233" i="4"/>
  <c r="CI227" i="4"/>
  <c r="CI169" i="4"/>
  <c r="CJ158" i="4"/>
  <c r="CI231" i="4"/>
  <c r="CJ151" i="4"/>
  <c r="CI205" i="4"/>
  <c r="CJ181" i="4"/>
  <c r="CI215" i="4"/>
  <c r="CI149" i="4"/>
  <c r="CI208" i="4"/>
  <c r="CI179" i="4"/>
  <c r="CI109" i="4"/>
  <c r="CJ189" i="4"/>
  <c r="CJ119" i="4"/>
  <c r="CJ209" i="4"/>
  <c r="CJ141" i="4"/>
  <c r="CJ87" i="4"/>
  <c r="CJ92" i="4"/>
  <c r="CI81" i="4"/>
  <c r="CI75" i="4"/>
  <c r="CI69" i="4"/>
  <c r="CJ232" i="4"/>
  <c r="CJ78" i="4"/>
  <c r="CI78" i="4"/>
  <c r="CJ65" i="4"/>
  <c r="CJ176" i="4"/>
  <c r="CJ182" i="4"/>
  <c r="CJ53" i="4"/>
  <c r="CI138" i="4"/>
  <c r="CI46" i="4"/>
  <c r="CI74" i="4"/>
  <c r="CI258" i="4"/>
  <c r="CJ247" i="4"/>
  <c r="CI232" i="4"/>
  <c r="CI273" i="4"/>
  <c r="CJ262" i="4"/>
  <c r="CI229" i="4"/>
  <c r="CI267" i="4"/>
  <c r="CJ164" i="4"/>
  <c r="CJ227" i="4"/>
  <c r="CI153" i="4"/>
  <c r="CJ223" i="4"/>
  <c r="CI146" i="4"/>
  <c r="CI265" i="4"/>
  <c r="CI176" i="4"/>
  <c r="CJ208" i="4"/>
  <c r="CJ199" i="4"/>
  <c r="CJ134" i="4"/>
  <c r="CJ173" i="4"/>
  <c r="CJ269" i="4"/>
  <c r="CI184" i="4"/>
  <c r="CI255" i="4"/>
  <c r="CI137" i="4"/>
  <c r="CI83" i="4"/>
  <c r="CI87" i="4"/>
  <c r="CJ75" i="4"/>
  <c r="CJ69" i="4"/>
  <c r="CJ200" i="4"/>
  <c r="CJ63" i="4"/>
  <c r="CI73" i="4"/>
  <c r="CJ72" i="4"/>
  <c r="CI155" i="4"/>
  <c r="CI61" i="4"/>
  <c r="CI125" i="4"/>
  <c r="CI55" i="4"/>
  <c r="CI132" i="4"/>
  <c r="CI48" i="4"/>
  <c r="CJ131" i="4"/>
  <c r="CJ39" i="4"/>
  <c r="CJ253" i="4"/>
  <c r="CI242" i="4"/>
  <c r="CJ228" i="4"/>
  <c r="CI257" i="4"/>
  <c r="CJ271" i="4"/>
  <c r="CJ260" i="4"/>
  <c r="CI160" i="4"/>
  <c r="CI219" i="4"/>
  <c r="CJ146" i="4"/>
  <c r="CJ217" i="4"/>
  <c r="CJ138" i="4"/>
  <c r="CJ258" i="4"/>
  <c r="CJ170" i="4"/>
  <c r="CI201" i="4"/>
  <c r="CI136" i="4"/>
  <c r="CI128" i="4"/>
  <c r="CI168" i="4"/>
  <c r="CI251" i="4"/>
  <c r="CJ177" i="4"/>
  <c r="CJ250" i="4"/>
  <c r="CJ196" i="4"/>
  <c r="CJ129" i="4"/>
  <c r="CJ77" i="4"/>
  <c r="CJ81" i="4"/>
  <c r="CI71" i="4"/>
  <c r="CI166" i="4"/>
  <c r="CI59" i="4"/>
  <c r="CJ67" i="4"/>
  <c r="CI67" i="4"/>
  <c r="CJ148" i="4"/>
  <c r="CJ55" i="4"/>
  <c r="CI119" i="4"/>
  <c r="CJ48" i="4"/>
  <c r="CJ124" i="4"/>
  <c r="CJ41" i="4"/>
  <c r="CI118" i="4"/>
  <c r="CI53" i="4"/>
  <c r="CI114" i="4"/>
  <c r="CI224" i="4"/>
  <c r="CJ273" i="4"/>
  <c r="CI264" i="4"/>
  <c r="CJ252" i="4"/>
  <c r="CJ219" i="4"/>
  <c r="CJ153" i="4"/>
  <c r="CJ212" i="4"/>
  <c r="CI140" i="4"/>
  <c r="CI212" i="4"/>
  <c r="CI133" i="4"/>
  <c r="CJ241" i="4"/>
  <c r="CJ161" i="4"/>
  <c r="CJ128" i="4"/>
  <c r="CJ191" i="4"/>
  <c r="CJ121" i="4"/>
  <c r="CJ245" i="4"/>
  <c r="CI173" i="4"/>
  <c r="CJ239" i="4"/>
  <c r="CI193" i="4"/>
  <c r="CI124" i="4"/>
  <c r="CJ66" i="4"/>
  <c r="CI196" i="4"/>
  <c r="CI77" i="4"/>
  <c r="CI157" i="4"/>
  <c r="CJ59" i="4"/>
  <c r="CI141" i="4"/>
  <c r="CJ52" i="4"/>
  <c r="CJ160" i="4"/>
  <c r="CI63" i="4"/>
  <c r="CI177" i="4"/>
  <c r="CJ61" i="4"/>
  <c r="CI112" i="4"/>
  <c r="CI50" i="4"/>
  <c r="CI106" i="4"/>
  <c r="CI43" i="4"/>
  <c r="CJ242" i="4"/>
  <c r="CI270" i="4"/>
  <c r="CJ257" i="4"/>
  <c r="CI248" i="4"/>
  <c r="CI271" i="4"/>
  <c r="CI214" i="4"/>
  <c r="CI148" i="4"/>
  <c r="CI207" i="4"/>
  <c r="CJ133" i="4"/>
  <c r="CJ205" i="4"/>
  <c r="CJ125" i="4"/>
  <c r="CI234" i="4"/>
  <c r="CI156" i="4"/>
  <c r="CI192" i="4"/>
  <c r="CI123" i="4"/>
  <c r="CI186" i="4"/>
  <c r="CI240" i="4"/>
  <c r="CI159" i="4"/>
  <c r="CJ229" i="4"/>
  <c r="CJ166" i="4"/>
  <c r="CI233" i="4"/>
  <c r="CJ187" i="4"/>
  <c r="CJ117" i="4"/>
  <c r="CI62" i="4"/>
  <c r="CI187" i="4"/>
  <c r="CJ71" i="4"/>
  <c r="CI151" i="4"/>
  <c r="CI60" i="4"/>
  <c r="CJ150" i="4"/>
  <c r="CI54" i="4"/>
  <c r="CJ135" i="4"/>
  <c r="CI47" i="4"/>
  <c r="CI261" i="4"/>
  <c r="CJ57" i="4"/>
  <c r="CJ171" i="4"/>
  <c r="CI57" i="4"/>
  <c r="CJ106" i="4"/>
  <c r="CJ43" i="4"/>
  <c r="CJ101" i="4"/>
  <c r="CI235" i="4"/>
  <c r="CJ224" i="4"/>
  <c r="CJ264" i="4"/>
  <c r="CJ265" i="4"/>
  <c r="CJ207" i="4"/>
  <c r="CJ140" i="4"/>
  <c r="CI127" i="4"/>
  <c r="CI190" i="4"/>
  <c r="CI120" i="4"/>
  <c r="CI221" i="4"/>
  <c r="CJ149" i="4"/>
  <c r="CJ186" i="4"/>
  <c r="CJ116" i="4"/>
  <c r="CJ179" i="4"/>
  <c r="CJ218" i="4"/>
  <c r="CJ152" i="4"/>
  <c r="CI225" i="4"/>
  <c r="CI222" i="4"/>
  <c r="CI182" i="4"/>
  <c r="CI209" i="4"/>
  <c r="CJ56" i="4"/>
  <c r="CJ180" i="4"/>
  <c r="CI66" i="4"/>
  <c r="CJ142" i="4"/>
  <c r="CJ54" i="4"/>
  <c r="CJ110" i="4"/>
  <c r="CJ47" i="4"/>
  <c r="CI116" i="4"/>
  <c r="CJ40" i="4"/>
  <c r="CI172" i="4"/>
  <c r="CI52" i="4"/>
  <c r="CJ162" i="4"/>
  <c r="CJ50" i="4"/>
  <c r="CI104" i="4"/>
  <c r="CI38" i="4"/>
  <c r="CI97" i="4"/>
  <c r="CI91" i="4"/>
  <c r="CI99" i="4"/>
  <c r="CJ58" i="4"/>
  <c r="CI41" i="4"/>
  <c r="CI101" i="4"/>
  <c r="CJ93" i="4"/>
  <c r="CJ111" i="4"/>
  <c r="CJ95" i="4"/>
  <c r="CI89" i="4"/>
  <c r="CI85" i="4"/>
  <c r="CJ89" i="4"/>
  <c r="CJ62" i="4"/>
  <c r="CI58" i="4"/>
  <c r="CJ51" i="4"/>
  <c r="CJ68" i="4"/>
  <c r="CJ99" i="4"/>
  <c r="CI228" i="4"/>
  <c r="CI64" i="4"/>
  <c r="CJ197" i="4"/>
  <c r="CJ118" i="4"/>
  <c r="CJ188" i="4"/>
  <c r="AE192" i="4"/>
  <c r="AE199" i="4"/>
  <c r="AA247" i="4"/>
  <c r="AE241" i="4"/>
  <c r="AX267" i="4"/>
  <c r="AE205" i="4"/>
  <c r="AC245" i="4"/>
  <c r="AA111" i="4"/>
  <c r="BA180" i="4"/>
  <c r="AA235" i="4"/>
  <c r="AE54" i="4"/>
  <c r="AE228" i="4"/>
  <c r="AA109" i="4"/>
  <c r="AE76" i="4"/>
  <c r="AE225" i="4"/>
  <c r="AE97" i="4"/>
  <c r="AE111" i="4"/>
  <c r="AE135" i="4"/>
  <c r="AA197" i="4"/>
  <c r="AE193" i="4"/>
  <c r="AA251" i="4"/>
  <c r="AE66" i="4"/>
  <c r="AA113" i="4"/>
  <c r="AE78" i="4"/>
  <c r="AE264" i="4"/>
  <c r="AE115" i="4"/>
  <c r="AE176" i="4"/>
  <c r="AZ215" i="4"/>
  <c r="AA225" i="4"/>
  <c r="AA245" i="4"/>
  <c r="AE59" i="4"/>
  <c r="AA115" i="4"/>
  <c r="AE200" i="4"/>
  <c r="AA127" i="4"/>
  <c r="AE79" i="4"/>
  <c r="AE272" i="4"/>
  <c r="AE273" i="4"/>
  <c r="AA43" i="4"/>
  <c r="BA81" i="4"/>
  <c r="CC253" i="4"/>
  <c r="CC240" i="4"/>
  <c r="CC232" i="4"/>
  <c r="CC258" i="4"/>
  <c r="CC195" i="4"/>
  <c r="CC246" i="4"/>
  <c r="CB173" i="4"/>
  <c r="CC137" i="4"/>
  <c r="CC180" i="4"/>
  <c r="CC223" i="4"/>
  <c r="CC256" i="4"/>
  <c r="CC273" i="4"/>
  <c r="CC197" i="4"/>
  <c r="CC230" i="4"/>
  <c r="CB178" i="4"/>
  <c r="CB113" i="4"/>
  <c r="CB47" i="4"/>
  <c r="CB135" i="4"/>
  <c r="CB73" i="4"/>
  <c r="CC104" i="4"/>
  <c r="CC175" i="4"/>
  <c r="CC80" i="4"/>
  <c r="CB114" i="4"/>
  <c r="CB253" i="4"/>
  <c r="CC117" i="4"/>
  <c r="CC154" i="4"/>
  <c r="CB229" i="4"/>
  <c r="CB120" i="4"/>
  <c r="CC110" i="4"/>
  <c r="CB32" i="4"/>
  <c r="CC44" i="4"/>
  <c r="CB129" i="4"/>
  <c r="CB19" i="4"/>
  <c r="CB22" i="4"/>
  <c r="CB228" i="4"/>
  <c r="CC267" i="4"/>
  <c r="CB272" i="4"/>
  <c r="CB191" i="4"/>
  <c r="CB241" i="4"/>
  <c r="CC166" i="4"/>
  <c r="CB198" i="4"/>
  <c r="CB132" i="4"/>
  <c r="CB219" i="4"/>
  <c r="CB254" i="4"/>
  <c r="CC268" i="4"/>
  <c r="CC188" i="4"/>
  <c r="CC106" i="4"/>
  <c r="CB270" i="4"/>
  <c r="CB133" i="4"/>
  <c r="CC67" i="4"/>
  <c r="CB162" i="4"/>
  <c r="CB98" i="4"/>
  <c r="CB155" i="4"/>
  <c r="CC172" i="4"/>
  <c r="CB76" i="4"/>
  <c r="CC107" i="4"/>
  <c r="CB243" i="4"/>
  <c r="CB112" i="4"/>
  <c r="CC127" i="4"/>
  <c r="CB221" i="4"/>
  <c r="CC113" i="4"/>
  <c r="CC77" i="4"/>
  <c r="CC26" i="4"/>
  <c r="CC42" i="4"/>
  <c r="CC242" i="4"/>
  <c r="CC228" i="4"/>
  <c r="CB262" i="4"/>
  <c r="CB267" i="4"/>
  <c r="CC184" i="4"/>
  <c r="CC224" i="4"/>
  <c r="CC193" i="4"/>
  <c r="CB257" i="4"/>
  <c r="CC212" i="4"/>
  <c r="CB252" i="4"/>
  <c r="CB264" i="4"/>
  <c r="CB183" i="4"/>
  <c r="CC220" i="4"/>
  <c r="CC170" i="4"/>
  <c r="CB100" i="4"/>
  <c r="CC248" i="4"/>
  <c r="CB131" i="4"/>
  <c r="CB63" i="4"/>
  <c r="CC155" i="4"/>
  <c r="CC148" i="4"/>
  <c r="CB82" i="4"/>
  <c r="CC169" i="4"/>
  <c r="CC70" i="4"/>
  <c r="CB101" i="4"/>
  <c r="CB193" i="4"/>
  <c r="CC105" i="4"/>
  <c r="CB122" i="4"/>
  <c r="CB235" i="4"/>
  <c r="CB224" i="4"/>
  <c r="CC270" i="4"/>
  <c r="CB266" i="4"/>
  <c r="CB271" i="4"/>
  <c r="CC173" i="4"/>
  <c r="CB218" i="4"/>
  <c r="CB152" i="4"/>
  <c r="CC182" i="4"/>
  <c r="CB248" i="4"/>
  <c r="CB226" i="4"/>
  <c r="CC259" i="4"/>
  <c r="CC265" i="4"/>
  <c r="CB244" i="4"/>
  <c r="CB168" i="4"/>
  <c r="CC211" i="4"/>
  <c r="CC262" i="4"/>
  <c r="CB177" i="4"/>
  <c r="CC226" i="4"/>
  <c r="CC219" i="4"/>
  <c r="CC190" i="4"/>
  <c r="CC225" i="4"/>
  <c r="CB231" i="4"/>
  <c r="CB273" i="4"/>
  <c r="CB201" i="4"/>
  <c r="CC151" i="4"/>
  <c r="CC84" i="4"/>
  <c r="CB197" i="4"/>
  <c r="CC111" i="4"/>
  <c r="CC45" i="4"/>
  <c r="CC142" i="4"/>
  <c r="CB78" i="4"/>
  <c r="CC65" i="4"/>
  <c r="CB121" i="4"/>
  <c r="CC233" i="4"/>
  <c r="CC85" i="4"/>
  <c r="CC141" i="4"/>
  <c r="CB230" i="4"/>
  <c r="CC102" i="4"/>
  <c r="CB182" i="4"/>
  <c r="CC90" i="4"/>
  <c r="CB58" i="4"/>
  <c r="CC86" i="4"/>
  <c r="CB242" i="4"/>
  <c r="CC19" i="4"/>
  <c r="CC48" i="4"/>
  <c r="CB115" i="4"/>
  <c r="CC266" i="4"/>
  <c r="CB260" i="4"/>
  <c r="CC241" i="4"/>
  <c r="CB206" i="4"/>
  <c r="CB246" i="4"/>
  <c r="CC171" i="4"/>
  <c r="CB268" i="4"/>
  <c r="CB261" i="4"/>
  <c r="CC249" i="4"/>
  <c r="CC254" i="4"/>
  <c r="CB234" i="4"/>
  <c r="CB159" i="4"/>
  <c r="CC198" i="4"/>
  <c r="CC243" i="4"/>
  <c r="CC272" i="4"/>
  <c r="CC261" i="4"/>
  <c r="CB245" i="4"/>
  <c r="CB250" i="4"/>
  <c r="CC218" i="4"/>
  <c r="CC152" i="4"/>
  <c r="CB195" i="4"/>
  <c r="CB238" i="4"/>
  <c r="CC162" i="4"/>
  <c r="CC200" i="4"/>
  <c r="CB174" i="4"/>
  <c r="CB212" i="4"/>
  <c r="CC221" i="4"/>
  <c r="CB259" i="4"/>
  <c r="CC186" i="4"/>
  <c r="CC133" i="4"/>
  <c r="CB69" i="4"/>
  <c r="CB160" i="4"/>
  <c r="CB94" i="4"/>
  <c r="CB200" i="4"/>
  <c r="CC128" i="4"/>
  <c r="CB263" i="4"/>
  <c r="CB116" i="4"/>
  <c r="CB269" i="4"/>
  <c r="CB256" i="4"/>
  <c r="CB251" i="4"/>
  <c r="CC238" i="4"/>
  <c r="CB213" i="4"/>
  <c r="CB147" i="4"/>
  <c r="CC189" i="4"/>
  <c r="CB222" i="4"/>
  <c r="CB157" i="4"/>
  <c r="CB196" i="4"/>
  <c r="CC252" i="4"/>
  <c r="CC167" i="4"/>
  <c r="CC205" i="4"/>
  <c r="CB217" i="4"/>
  <c r="CB181" i="4"/>
  <c r="CC131" i="4"/>
  <c r="CC63" i="4"/>
  <c r="CC153" i="4"/>
  <c r="CC88" i="4"/>
  <c r="CB258" i="4"/>
  <c r="CB247" i="4"/>
  <c r="CB240" i="4"/>
  <c r="CB265" i="4"/>
  <c r="CB199" i="4"/>
  <c r="CB134" i="4"/>
  <c r="CC177" i="4"/>
  <c r="CB211" i="4"/>
  <c r="CB143" i="4"/>
  <c r="CB187" i="4"/>
  <c r="CC227" i="4"/>
  <c r="CC264" i="4"/>
  <c r="CC206" i="4"/>
  <c r="CB209" i="4"/>
  <c r="CB223" i="4"/>
  <c r="CC271" i="4"/>
  <c r="CB149" i="4"/>
  <c r="CB170" i="4"/>
  <c r="CC247" i="4"/>
  <c r="CB88" i="4"/>
  <c r="CB104" i="4"/>
  <c r="CC114" i="4"/>
  <c r="CB126" i="4"/>
  <c r="CC140" i="4"/>
  <c r="CC163" i="4"/>
  <c r="CC187" i="4"/>
  <c r="CB75" i="4"/>
  <c r="CC21" i="4"/>
  <c r="CC35" i="4"/>
  <c r="CB24" i="4"/>
  <c r="CB27" i="4"/>
  <c r="CC36" i="4"/>
  <c r="CC62" i="4"/>
  <c r="CB92" i="4"/>
  <c r="CB179" i="4"/>
  <c r="CC217" i="4"/>
  <c r="CC135" i="4"/>
  <c r="CB167" i="4"/>
  <c r="CC215" i="4"/>
  <c r="CC82" i="4"/>
  <c r="CC97" i="4"/>
  <c r="CB109" i="4"/>
  <c r="CC119" i="4"/>
  <c r="CC138" i="4"/>
  <c r="CB161" i="4"/>
  <c r="CC174" i="4"/>
  <c r="CB30" i="4"/>
  <c r="CC20" i="4"/>
  <c r="CB31" i="4"/>
  <c r="CB60" i="4"/>
  <c r="CC64" i="4"/>
  <c r="CC132" i="4"/>
  <c r="CC139" i="4"/>
  <c r="CB190" i="4"/>
  <c r="CC239" i="4"/>
  <c r="CB125" i="4"/>
  <c r="CB151" i="4"/>
  <c r="CC191" i="4"/>
  <c r="CC72" i="4"/>
  <c r="CC76" i="4"/>
  <c r="CC101" i="4"/>
  <c r="CC95" i="4"/>
  <c r="CC136" i="4"/>
  <c r="CC115" i="4"/>
  <c r="CC164" i="4"/>
  <c r="CB140" i="4"/>
  <c r="CB95" i="4"/>
  <c r="CB171" i="4"/>
  <c r="CC24" i="4"/>
  <c r="CB163" i="4"/>
  <c r="CC25" i="4"/>
  <c r="CC54" i="4"/>
  <c r="CB62" i="4"/>
  <c r="CC124" i="4"/>
  <c r="CC222" i="4"/>
  <c r="CB214" i="4"/>
  <c r="CC183" i="4"/>
  <c r="CB233" i="4"/>
  <c r="CC118" i="4"/>
  <c r="CB137" i="4"/>
  <c r="CB186" i="4"/>
  <c r="CB67" i="4"/>
  <c r="CB72" i="4"/>
  <c r="CB97" i="4"/>
  <c r="CB91" i="4"/>
  <c r="CC134" i="4"/>
  <c r="CB110" i="4"/>
  <c r="CC158" i="4"/>
  <c r="CB117" i="4"/>
  <c r="CB102" i="4"/>
  <c r="CC89" i="4"/>
  <c r="CB165" i="4"/>
  <c r="CB107" i="4"/>
  <c r="CC143" i="4"/>
  <c r="CB154" i="4"/>
  <c r="CB20" i="4"/>
  <c r="CB45" i="4"/>
  <c r="CC56" i="4"/>
  <c r="CC68" i="4"/>
  <c r="CB184" i="4"/>
  <c r="CC207" i="4"/>
  <c r="CC260" i="4"/>
  <c r="CB215" i="4"/>
  <c r="CC94" i="4"/>
  <c r="CC123" i="4"/>
  <c r="CC181" i="4"/>
  <c r="CC234" i="4"/>
  <c r="CB61" i="4"/>
  <c r="CC91" i="4"/>
  <c r="CB80" i="4"/>
  <c r="CC129" i="4"/>
  <c r="CB156" i="4"/>
  <c r="CC71" i="4"/>
  <c r="CC96" i="4"/>
  <c r="CB85" i="4"/>
  <c r="CB138" i="4"/>
  <c r="CC99" i="4"/>
  <c r="CB136" i="4"/>
  <c r="CB127" i="4"/>
  <c r="CC41" i="4"/>
  <c r="CB54" i="4"/>
  <c r="CB64" i="4"/>
  <c r="CC157" i="4"/>
  <c r="CB249" i="4"/>
  <c r="CC235" i="4"/>
  <c r="CC208" i="4"/>
  <c r="CB90" i="4"/>
  <c r="CB118" i="4"/>
  <c r="CB153" i="4"/>
  <c r="CB208" i="4"/>
  <c r="CC55" i="4"/>
  <c r="CC74" i="4"/>
  <c r="CB124" i="4"/>
  <c r="CC92" i="4"/>
  <c r="CC149" i="4"/>
  <c r="CB68" i="4"/>
  <c r="CB81" i="4"/>
  <c r="CC61" i="4"/>
  <c r="CC122" i="4"/>
  <c r="CC156" i="4"/>
  <c r="CC75" i="4"/>
  <c r="CB93" i="4"/>
  <c r="CC120" i="4"/>
  <c r="CB119" i="4"/>
  <c r="CB36" i="4"/>
  <c r="CC47" i="4"/>
  <c r="CC58" i="4"/>
  <c r="CC263" i="4"/>
  <c r="CC216" i="4"/>
  <c r="CB207" i="4"/>
  <c r="CC229" i="4"/>
  <c r="CB106" i="4"/>
  <c r="CC146" i="4"/>
  <c r="CC196" i="4"/>
  <c r="CB50" i="4"/>
  <c r="CB65" i="4"/>
  <c r="CC244" i="4"/>
  <c r="CB99" i="4"/>
  <c r="CB87" i="4"/>
  <c r="CC125" i="4"/>
  <c r="CB71" i="4"/>
  <c r="CB53" i="4"/>
  <c r="CB89" i="4"/>
  <c r="CC147" i="4"/>
  <c r="CB57" i="4"/>
  <c r="CC79" i="4"/>
  <c r="CC83" i="4"/>
  <c r="CC112" i="4"/>
  <c r="CC161" i="4"/>
  <c r="CC29" i="4"/>
  <c r="CB41" i="4"/>
  <c r="CB56" i="4"/>
  <c r="CC251" i="4"/>
  <c r="CB189" i="4"/>
  <c r="CB185" i="4"/>
  <c r="CB225" i="4"/>
  <c r="CB192" i="4"/>
  <c r="CC73" i="4"/>
  <c r="CC98" i="4"/>
  <c r="CB146" i="4"/>
  <c r="CC43" i="4"/>
  <c r="CC255" i="4"/>
  <c r="CB220" i="4"/>
  <c r="CC93" i="4"/>
  <c r="CC81" i="4"/>
  <c r="CB108" i="4"/>
  <c r="CC51" i="4"/>
  <c r="CC46" i="4"/>
  <c r="CB70" i="4"/>
  <c r="CC108" i="4"/>
  <c r="CC50" i="4"/>
  <c r="CB74" i="4"/>
  <c r="CB79" i="4"/>
  <c r="CC87" i="4"/>
  <c r="CB141" i="4"/>
  <c r="CB25" i="4"/>
  <c r="CC34" i="4"/>
  <c r="CC49" i="4"/>
  <c r="CC245" i="4"/>
  <c r="CB166" i="4"/>
  <c r="CC178" i="4"/>
  <c r="CC210" i="4"/>
  <c r="CB239" i="4"/>
  <c r="CB59" i="4"/>
  <c r="CB84" i="4"/>
  <c r="CB139" i="4"/>
  <c r="CB142" i="4"/>
  <c r="CC199" i="4"/>
  <c r="CB180" i="4"/>
  <c r="CC213" i="4"/>
  <c r="CC192" i="4"/>
  <c r="CB77" i="4"/>
  <c r="CC100" i="4"/>
  <c r="CB49" i="4"/>
  <c r="CC53" i="4"/>
  <c r="CB37" i="4"/>
  <c r="CB55" i="4"/>
  <c r="CB48" i="4"/>
  <c r="CB40" i="4"/>
  <c r="CB83" i="4"/>
  <c r="CB105" i="4"/>
  <c r="CB29" i="4"/>
  <c r="CC39" i="4"/>
  <c r="CB232" i="4"/>
  <c r="CC150" i="4"/>
  <c r="CB164" i="4"/>
  <c r="CB205" i="4"/>
  <c r="CC52" i="4"/>
  <c r="CC78" i="4"/>
  <c r="CB123" i="4"/>
  <c r="CB128" i="4"/>
  <c r="CC185" i="4"/>
  <c r="CB175" i="4"/>
  <c r="CB188" i="4"/>
  <c r="CC250" i="4"/>
  <c r="CB96" i="4"/>
  <c r="CB39" i="4"/>
  <c r="CB51" i="4"/>
  <c r="CC30" i="4"/>
  <c r="CB46" i="4"/>
  <c r="CC40" i="4"/>
  <c r="CC33" i="4"/>
  <c r="CC38" i="4"/>
  <c r="CC59" i="4"/>
  <c r="CC66" i="4"/>
  <c r="CC23" i="4"/>
  <c r="CB34" i="4"/>
  <c r="CC269" i="4"/>
  <c r="CC257" i="4"/>
  <c r="CC231" i="4"/>
  <c r="CC176" i="4"/>
  <c r="CC160" i="4"/>
  <c r="CB216" i="4"/>
  <c r="CC57" i="4"/>
  <c r="CC116" i="4"/>
  <c r="CC121" i="4"/>
  <c r="CB148" i="4"/>
  <c r="CB169" i="4"/>
  <c r="CC165" i="4"/>
  <c r="CC179" i="4"/>
  <c r="CB210" i="4"/>
  <c r="CB86" i="4"/>
  <c r="CC32" i="4"/>
  <c r="CC37" i="4"/>
  <c r="CB26" i="4"/>
  <c r="CB44" i="4"/>
  <c r="CB35" i="4"/>
  <c r="CB28" i="4"/>
  <c r="CB33" i="4"/>
  <c r="CB38" i="4"/>
  <c r="CC60" i="4"/>
  <c r="CC69" i="4"/>
  <c r="CB255" i="4"/>
  <c r="CC214" i="4"/>
  <c r="CB227" i="4"/>
  <c r="CB172" i="4"/>
  <c r="CB158" i="4"/>
  <c r="CC209" i="4"/>
  <c r="CB52" i="4"/>
  <c r="CB111" i="4"/>
  <c r="CC109" i="4"/>
  <c r="CC126" i="4"/>
  <c r="CB150" i="4"/>
  <c r="CC159" i="4"/>
  <c r="CC168" i="4"/>
  <c r="CC201" i="4"/>
  <c r="CB21" i="4"/>
  <c r="CB42" i="4"/>
  <c r="CC28" i="4"/>
  <c r="CC22" i="4"/>
  <c r="CC27" i="4"/>
  <c r="CC31" i="4"/>
  <c r="CB43" i="4"/>
  <c r="CB66" i="4"/>
  <c r="CB176" i="4"/>
  <c r="CB23" i="4"/>
  <c r="AA252" i="4"/>
  <c r="AA262" i="4"/>
  <c r="AE92" i="4"/>
  <c r="AA108" i="4"/>
  <c r="AE116" i="4"/>
  <c r="AE206" i="4"/>
  <c r="AA142" i="4"/>
  <c r="AE149" i="4"/>
  <c r="BC251" i="4"/>
  <c r="AA226" i="4"/>
  <c r="AE197" i="4"/>
  <c r="AE230" i="4"/>
  <c r="AA86" i="4"/>
  <c r="AA156" i="4"/>
  <c r="AE69" i="4"/>
  <c r="AA141" i="4"/>
  <c r="AE105" i="4"/>
  <c r="AA124" i="4"/>
  <c r="AE184" i="4"/>
  <c r="AA143" i="4"/>
  <c r="AA178" i="4"/>
  <c r="AZ222" i="4"/>
  <c r="BC242" i="4"/>
  <c r="BC271" i="4"/>
  <c r="BZ235" i="4"/>
  <c r="BZ273" i="4"/>
  <c r="BZ201" i="4"/>
  <c r="BZ159" i="4"/>
  <c r="BZ261" i="4"/>
  <c r="BZ185" i="4"/>
  <c r="BZ115" i="4"/>
  <c r="BZ108" i="4"/>
  <c r="BZ90" i="4"/>
  <c r="BZ94" i="4"/>
  <c r="BZ78" i="4"/>
  <c r="BZ82" i="4"/>
  <c r="BZ112" i="4"/>
  <c r="BZ132" i="4"/>
  <c r="BZ138" i="4"/>
  <c r="BZ55" i="4"/>
  <c r="BZ33" i="4"/>
  <c r="BZ45" i="4"/>
  <c r="BZ226" i="4"/>
  <c r="BZ264" i="4"/>
  <c r="BZ192" i="4"/>
  <c r="BZ186" i="4"/>
  <c r="BZ147" i="4"/>
  <c r="BZ243" i="4"/>
  <c r="BZ174" i="4"/>
  <c r="BZ102" i="4"/>
  <c r="BZ96" i="4"/>
  <c r="BZ84" i="4"/>
  <c r="BZ67" i="4"/>
  <c r="BZ180" i="4"/>
  <c r="BZ99" i="4"/>
  <c r="BZ62" i="4"/>
  <c r="BZ193" i="4"/>
  <c r="BZ129" i="4"/>
  <c r="BZ46" i="4"/>
  <c r="BZ143" i="4"/>
  <c r="BZ22" i="4"/>
  <c r="BZ43" i="4"/>
  <c r="BZ272" i="4"/>
  <c r="BZ181" i="4"/>
  <c r="BZ175" i="4"/>
  <c r="BZ134" i="4"/>
  <c r="BZ216" i="4"/>
  <c r="BZ225" i="4"/>
  <c r="BZ92" i="4"/>
  <c r="BZ86" i="4"/>
  <c r="BZ69" i="4"/>
  <c r="BZ73" i="4"/>
  <c r="BZ190" i="4"/>
  <c r="BZ232" i="4"/>
  <c r="BZ89" i="4"/>
  <c r="BZ41" i="4"/>
  <c r="BZ172" i="4"/>
  <c r="BZ231" i="4"/>
  <c r="BZ85" i="4"/>
  <c r="BZ44" i="4"/>
  <c r="BZ93" i="4"/>
  <c r="BZ31" i="4"/>
  <c r="BZ271" i="4"/>
  <c r="BZ263" i="4"/>
  <c r="BZ262" i="4"/>
  <c r="BZ170" i="4"/>
  <c r="BZ165" i="4"/>
  <c r="BZ266" i="4"/>
  <c r="BZ245" i="4"/>
  <c r="BZ217" i="4"/>
  <c r="BZ81" i="4"/>
  <c r="BZ75" i="4"/>
  <c r="BZ160" i="4"/>
  <c r="BZ63" i="4"/>
  <c r="BZ177" i="4"/>
  <c r="BZ206" i="4"/>
  <c r="BZ79" i="4"/>
  <c r="BZ29" i="4"/>
  <c r="BZ157" i="4"/>
  <c r="BZ95" i="4"/>
  <c r="BZ61" i="4"/>
  <c r="BZ42" i="4"/>
  <c r="BZ50" i="4"/>
  <c r="BZ152" i="4"/>
  <c r="BZ260" i="4"/>
  <c r="BZ253" i="4"/>
  <c r="BZ252" i="4"/>
  <c r="BZ161" i="4"/>
  <c r="BZ154" i="4"/>
  <c r="BZ214" i="4"/>
  <c r="BZ205" i="4"/>
  <c r="BZ71" i="4"/>
  <c r="BZ151" i="4"/>
  <c r="BZ52" i="4"/>
  <c r="BZ184" i="4"/>
  <c r="BZ241" i="4"/>
  <c r="BZ148" i="4"/>
  <c r="BZ80" i="4"/>
  <c r="BZ53" i="4"/>
  <c r="BZ30" i="4"/>
  <c r="BZ40" i="4"/>
  <c r="BZ119" i="4"/>
  <c r="BZ250" i="4"/>
  <c r="BZ242" i="4"/>
  <c r="BZ267" i="4"/>
  <c r="BZ149" i="4"/>
  <c r="BZ234" i="4"/>
  <c r="BZ246" i="4"/>
  <c r="BZ265" i="4"/>
  <c r="BZ200" i="4"/>
  <c r="BZ183" i="4"/>
  <c r="BZ60" i="4"/>
  <c r="BZ54" i="4"/>
  <c r="BZ139" i="4"/>
  <c r="BZ162" i="4"/>
  <c r="BZ155" i="4"/>
  <c r="BZ150" i="4"/>
  <c r="BZ195" i="4"/>
  <c r="BZ109" i="4"/>
  <c r="BZ37" i="4"/>
  <c r="BZ28" i="4"/>
  <c r="BZ83" i="4"/>
  <c r="BZ218" i="4"/>
  <c r="BZ239" i="4"/>
  <c r="BZ255" i="4"/>
  <c r="BZ136" i="4"/>
  <c r="BZ228" i="4"/>
  <c r="BZ238" i="4"/>
  <c r="BZ257" i="4"/>
  <c r="BZ229" i="4"/>
  <c r="BZ49" i="4"/>
  <c r="BZ197" i="4"/>
  <c r="BZ137" i="4"/>
  <c r="BZ153" i="4"/>
  <c r="BZ146" i="4"/>
  <c r="BZ126" i="4"/>
  <c r="BZ122" i="4"/>
  <c r="BZ140" i="4"/>
  <c r="BZ76" i="4"/>
  <c r="BZ51" i="4"/>
  <c r="BZ26" i="4"/>
  <c r="BZ38" i="4"/>
  <c r="BZ176" i="4"/>
  <c r="BZ227" i="4"/>
  <c r="BZ268" i="4"/>
  <c r="BZ259" i="4"/>
  <c r="BZ270" i="4"/>
  <c r="BZ213" i="4"/>
  <c r="BZ222" i="4"/>
  <c r="BZ248" i="4"/>
  <c r="BZ254" i="4"/>
  <c r="BZ221" i="4"/>
  <c r="BZ178" i="4"/>
  <c r="BZ167" i="4"/>
  <c r="BZ135" i="4"/>
  <c r="BZ142" i="4"/>
  <c r="BZ114" i="4"/>
  <c r="BZ110" i="4"/>
  <c r="BZ117" i="4"/>
  <c r="BZ68" i="4"/>
  <c r="BZ32" i="4"/>
  <c r="BZ107" i="4"/>
  <c r="BZ27" i="4"/>
  <c r="BZ97" i="4"/>
  <c r="BZ256" i="4"/>
  <c r="BZ244" i="4"/>
  <c r="BZ199" i="4"/>
  <c r="BZ211" i="4"/>
  <c r="BZ240" i="4"/>
  <c r="BZ249" i="4"/>
  <c r="BZ210" i="4"/>
  <c r="BZ173" i="4"/>
  <c r="BZ158" i="4"/>
  <c r="BZ133" i="4"/>
  <c r="BZ123" i="4"/>
  <c r="BZ128" i="4"/>
  <c r="BZ101" i="4"/>
  <c r="BZ64" i="4"/>
  <c r="BZ65" i="4"/>
  <c r="BZ188" i="4"/>
  <c r="BZ57" i="4"/>
  <c r="BZ166" i="4"/>
  <c r="BZ66" i="4"/>
  <c r="BZ269" i="4"/>
  <c r="BZ247" i="4"/>
  <c r="BZ233" i="4"/>
  <c r="BZ230" i="4"/>
  <c r="BZ191" i="4"/>
  <c r="BZ198" i="4"/>
  <c r="BZ209" i="4"/>
  <c r="BZ219" i="4"/>
  <c r="BZ182" i="4"/>
  <c r="BZ164" i="4"/>
  <c r="BZ125" i="4"/>
  <c r="BZ131" i="4"/>
  <c r="BZ111" i="4"/>
  <c r="BZ116" i="4"/>
  <c r="BZ91" i="4"/>
  <c r="BZ87" i="4"/>
  <c r="BZ56" i="4"/>
  <c r="BZ58" i="4"/>
  <c r="BZ169" i="4"/>
  <c r="BZ48" i="4"/>
  <c r="BZ74" i="4"/>
  <c r="BZ141" i="4"/>
  <c r="BZ47" i="4"/>
  <c r="BZ224" i="4"/>
  <c r="BZ215" i="4"/>
  <c r="BZ208" i="4"/>
  <c r="BZ168" i="4"/>
  <c r="BZ187" i="4"/>
  <c r="BZ127" i="4"/>
  <c r="BZ120" i="4"/>
  <c r="BZ100" i="4"/>
  <c r="BZ106" i="4"/>
  <c r="BZ88" i="4"/>
  <c r="BZ124" i="4"/>
  <c r="BZ212" i="4"/>
  <c r="BZ23" i="4"/>
  <c r="BZ171" i="4"/>
  <c r="BZ70" i="4"/>
  <c r="BZ24" i="4"/>
  <c r="BZ59" i="4"/>
  <c r="BZ25" i="4"/>
  <c r="BZ207" i="4"/>
  <c r="BZ163" i="4"/>
  <c r="BZ39" i="4"/>
  <c r="BZ156" i="4"/>
  <c r="BZ113" i="4"/>
  <c r="BZ72" i="4"/>
  <c r="BZ118" i="4"/>
  <c r="BZ258" i="4"/>
  <c r="BZ98" i="4"/>
  <c r="BZ104" i="4"/>
  <c r="BZ223" i="4"/>
  <c r="BZ105" i="4"/>
  <c r="BZ251" i="4"/>
  <c r="BZ220" i="4"/>
  <c r="BZ77" i="4"/>
  <c r="BZ121" i="4"/>
  <c r="BZ179" i="4"/>
  <c r="BZ36" i="4"/>
  <c r="BZ189" i="4"/>
  <c r="BZ196" i="4"/>
  <c r="BZ34" i="4"/>
  <c r="BZ35" i="4"/>
  <c r="AA89" i="4"/>
  <c r="AE53" i="4"/>
  <c r="AE261" i="4"/>
  <c r="AA233" i="4"/>
  <c r="AA232" i="4"/>
  <c r="AE217" i="4"/>
  <c r="AA231" i="4"/>
  <c r="AC201" i="4"/>
  <c r="AZ118" i="4"/>
  <c r="BA246" i="4"/>
  <c r="BC240" i="4"/>
  <c r="BS252" i="4"/>
  <c r="BS244" i="4"/>
  <c r="BS232" i="4"/>
  <c r="BS259" i="4"/>
  <c r="BS97" i="4"/>
  <c r="BS139" i="4"/>
  <c r="BS137" i="4"/>
  <c r="BS223" i="4"/>
  <c r="BS180" i="4"/>
  <c r="BS175" i="4"/>
  <c r="BS28" i="4"/>
  <c r="BS187" i="4"/>
  <c r="BS70" i="4"/>
  <c r="BS41" i="4"/>
  <c r="BS46" i="4"/>
  <c r="BS32" i="4"/>
  <c r="BS218" i="4"/>
  <c r="BS161" i="4"/>
  <c r="BS235" i="4"/>
  <c r="BS249" i="4"/>
  <c r="BS216" i="4"/>
  <c r="BS242" i="4"/>
  <c r="BS126" i="4"/>
  <c r="BS124" i="4"/>
  <c r="BS209" i="4"/>
  <c r="BS178" i="4"/>
  <c r="BS173" i="4"/>
  <c r="BS128" i="4"/>
  <c r="BS132" i="4"/>
  <c r="BS65" i="4"/>
  <c r="BS29" i="4"/>
  <c r="BS34" i="4"/>
  <c r="BS143" i="4"/>
  <c r="BS133" i="4"/>
  <c r="BS226" i="4"/>
  <c r="BS229" i="4"/>
  <c r="BS213" i="4"/>
  <c r="BS238" i="4"/>
  <c r="BS225" i="4"/>
  <c r="BS76" i="4"/>
  <c r="BS114" i="4"/>
  <c r="BS112" i="4"/>
  <c r="BS206" i="4"/>
  <c r="BS163" i="4"/>
  <c r="BS116" i="4"/>
  <c r="BS98" i="4"/>
  <c r="BS55" i="4"/>
  <c r="BS48" i="4"/>
  <c r="BS23" i="4"/>
  <c r="BS174" i="4"/>
  <c r="BS113" i="4"/>
  <c r="BS106" i="4"/>
  <c r="BS256" i="4"/>
  <c r="BS215" i="4"/>
  <c r="BS199" i="4"/>
  <c r="BS257" i="4"/>
  <c r="BS221" i="4"/>
  <c r="BS207" i="4"/>
  <c r="BS101" i="4"/>
  <c r="BS99" i="4"/>
  <c r="BS166" i="4"/>
  <c r="BS153" i="4"/>
  <c r="BS151" i="4"/>
  <c r="BS104" i="4"/>
  <c r="BS188" i="4"/>
  <c r="BS72" i="4"/>
  <c r="BS43" i="4"/>
  <c r="BS36" i="4"/>
  <c r="BS156" i="4"/>
  <c r="BS123" i="4"/>
  <c r="BS95" i="4"/>
  <c r="BS83" i="4"/>
  <c r="BS247" i="4"/>
  <c r="BS201" i="4"/>
  <c r="BS191" i="4"/>
  <c r="BS196" i="4"/>
  <c r="BS195" i="4"/>
  <c r="BS91" i="4"/>
  <c r="BS89" i="4"/>
  <c r="BS160" i="4"/>
  <c r="BS140" i="4"/>
  <c r="BS138" i="4"/>
  <c r="BS211" i="4"/>
  <c r="BS149" i="4"/>
  <c r="BS61" i="4"/>
  <c r="BS31" i="4"/>
  <c r="BS25" i="4"/>
  <c r="BS157" i="4"/>
  <c r="BS146" i="4"/>
  <c r="BS118" i="4"/>
  <c r="BS87" i="4"/>
  <c r="BS81" i="4"/>
  <c r="BS75" i="4"/>
  <c r="BS192" i="4"/>
  <c r="BS179" i="4"/>
  <c r="BS193" i="4"/>
  <c r="BS80" i="4"/>
  <c r="BS79" i="4"/>
  <c r="BS148" i="4"/>
  <c r="BS127" i="4"/>
  <c r="BS125" i="4"/>
  <c r="BS171" i="4"/>
  <c r="BS85" i="4"/>
  <c r="BS50" i="4"/>
  <c r="BS119" i="4"/>
  <c r="BS107" i="4"/>
  <c r="BS102" i="4"/>
  <c r="BS69" i="4"/>
  <c r="BS224" i="4"/>
  <c r="BS181" i="4"/>
  <c r="BS168" i="4"/>
  <c r="BS214" i="4"/>
  <c r="BS177" i="4"/>
  <c r="BS185" i="4"/>
  <c r="BS217" i="4"/>
  <c r="BS170" i="4"/>
  <c r="BS135" i="4"/>
  <c r="BS115" i="4"/>
  <c r="BS245" i="4"/>
  <c r="BS142" i="4"/>
  <c r="BS67" i="4"/>
  <c r="BS38" i="4"/>
  <c r="BS136" i="4"/>
  <c r="BS111" i="4"/>
  <c r="BS92" i="4"/>
  <c r="BS93" i="4"/>
  <c r="BS71" i="4"/>
  <c r="BS54" i="4"/>
  <c r="BS59" i="4"/>
  <c r="BS251" i="4"/>
  <c r="BS233" i="4"/>
  <c r="BS234" i="4"/>
  <c r="BS200" i="4"/>
  <c r="BS159" i="4"/>
  <c r="BS183" i="4"/>
  <c r="BS210" i="4"/>
  <c r="BS155" i="4"/>
  <c r="BS122" i="4"/>
  <c r="BS222" i="4"/>
  <c r="BS77" i="4"/>
  <c r="BS57" i="4"/>
  <c r="BS27" i="4"/>
  <c r="BS96" i="4"/>
  <c r="BS84" i="4"/>
  <c r="BS86" i="4"/>
  <c r="BS60" i="4"/>
  <c r="BS42" i="4"/>
  <c r="BS47" i="4"/>
  <c r="BS250" i="4"/>
  <c r="BS220" i="4"/>
  <c r="BS255" i="4"/>
  <c r="BS253" i="4"/>
  <c r="BS147" i="4"/>
  <c r="BS189" i="4"/>
  <c r="BS141" i="4"/>
  <c r="BS110" i="4"/>
  <c r="BS176" i="4"/>
  <c r="BS231" i="4"/>
  <c r="BS73" i="4"/>
  <c r="BS45" i="4"/>
  <c r="BS169" i="4"/>
  <c r="BS88" i="4"/>
  <c r="BS90" i="4"/>
  <c r="BS62" i="4"/>
  <c r="BS78" i="4"/>
  <c r="BS49" i="4"/>
  <c r="BS30" i="4"/>
  <c r="BS35" i="4"/>
  <c r="BS239" i="4"/>
  <c r="BS243" i="4"/>
  <c r="BS208" i="4"/>
  <c r="BS241" i="4"/>
  <c r="BS248" i="4"/>
  <c r="BS134" i="4"/>
  <c r="BS165" i="4"/>
  <c r="BS172" i="4"/>
  <c r="BS129" i="4"/>
  <c r="BS212" i="4"/>
  <c r="BS164" i="4"/>
  <c r="BS190" i="4"/>
  <c r="BS63" i="4"/>
  <c r="BS33" i="4"/>
  <c r="BS205" i="4"/>
  <c r="BS131" i="4"/>
  <c r="BS74" i="4"/>
  <c r="BS82" i="4"/>
  <c r="BS51" i="4"/>
  <c r="BS66" i="4"/>
  <c r="BS37" i="4"/>
  <c r="BS24" i="4"/>
  <c r="BS227" i="4"/>
  <c r="BS230" i="4"/>
  <c r="BS228" i="4"/>
  <c r="BS240" i="4"/>
  <c r="BS121" i="4"/>
  <c r="BS162" i="4"/>
  <c r="BS117" i="4"/>
  <c r="BS184" i="4"/>
  <c r="BS158" i="4"/>
  <c r="BS167" i="4"/>
  <c r="BS52" i="4"/>
  <c r="BS22" i="4"/>
  <c r="BS120" i="4"/>
  <c r="BS100" i="4"/>
  <c r="BS64" i="4"/>
  <c r="BS68" i="4"/>
  <c r="BS39" i="4"/>
  <c r="BS56" i="4"/>
  <c r="BS26" i="4"/>
  <c r="BS258" i="4"/>
  <c r="BS254" i="4"/>
  <c r="BS186" i="4"/>
  <c r="BS246" i="4"/>
  <c r="BS219" i="4"/>
  <c r="BS109" i="4"/>
  <c r="BS152" i="4"/>
  <c r="BS150" i="4"/>
  <c r="BS105" i="4"/>
  <c r="BS182" i="4"/>
  <c r="BS197" i="4"/>
  <c r="BS154" i="4"/>
  <c r="BS40" i="4"/>
  <c r="BS108" i="4"/>
  <c r="BS94" i="4"/>
  <c r="BS53" i="4"/>
  <c r="BS58" i="4"/>
  <c r="BS44" i="4"/>
  <c r="BS198" i="4"/>
  <c r="AE189" i="4"/>
  <c r="AA97" i="4"/>
  <c r="AA73" i="4"/>
  <c r="AE81" i="4"/>
  <c r="AA118" i="4"/>
  <c r="AE82" i="4"/>
  <c r="AE84" i="4"/>
  <c r="AE255" i="4"/>
  <c r="BA133" i="4"/>
  <c r="BQ5" i="4"/>
  <c r="BQ6" i="4"/>
  <c r="BV5" i="4"/>
  <c r="BV6" i="4"/>
  <c r="AA239" i="4"/>
  <c r="AE42" i="4"/>
  <c r="AE175" i="4"/>
  <c r="AE210" i="4"/>
  <c r="AE219" i="4"/>
  <c r="AA40" i="4"/>
  <c r="AE222" i="4"/>
  <c r="AA268" i="4"/>
  <c r="AA154" i="4"/>
  <c r="AE125" i="4"/>
  <c r="AA266" i="4"/>
  <c r="BA150" i="4"/>
  <c r="BX262" i="4"/>
  <c r="BX244" i="4"/>
  <c r="BX267" i="4"/>
  <c r="BX224" i="4"/>
  <c r="BX222" i="4"/>
  <c r="BX219" i="4"/>
  <c r="BX93" i="4"/>
  <c r="BX56" i="4"/>
  <c r="BX173" i="4"/>
  <c r="BX125" i="4"/>
  <c r="BX135" i="4"/>
  <c r="BX169" i="4"/>
  <c r="BX150" i="4"/>
  <c r="BX112" i="4"/>
  <c r="BX8" i="4"/>
  <c r="BX148" i="4"/>
  <c r="BX61" i="4"/>
  <c r="BX19" i="4"/>
  <c r="BX50" i="4"/>
  <c r="BX33" i="4"/>
  <c r="CC17" i="4"/>
  <c r="BX252" i="4"/>
  <c r="BX231" i="4"/>
  <c r="BX257" i="4"/>
  <c r="BX259" i="4"/>
  <c r="BX215" i="4"/>
  <c r="BX213" i="4"/>
  <c r="BX211" i="4"/>
  <c r="BX248" i="4"/>
  <c r="BX207" i="4"/>
  <c r="BX83" i="4"/>
  <c r="BX44" i="4"/>
  <c r="BX164" i="4"/>
  <c r="BX113" i="4"/>
  <c r="BX133" i="4"/>
  <c r="BX126" i="4"/>
  <c r="BX99" i="4"/>
  <c r="BX132" i="4"/>
  <c r="BX109" i="4"/>
  <c r="BX16" i="4"/>
  <c r="BX53" i="4"/>
  <c r="BX7" i="4"/>
  <c r="BX40" i="4"/>
  <c r="BX22" i="4"/>
  <c r="CC9" i="4"/>
  <c r="BX241" i="4"/>
  <c r="BX269" i="4"/>
  <c r="BX263" i="4"/>
  <c r="BX255" i="4"/>
  <c r="BX201" i="4"/>
  <c r="BX199" i="4"/>
  <c r="BX198" i="4"/>
  <c r="BX240" i="4"/>
  <c r="BX62" i="4"/>
  <c r="BX127" i="4"/>
  <c r="BX120" i="4"/>
  <c r="BX100" i="4"/>
  <c r="BX131" i="4"/>
  <c r="BX155" i="4"/>
  <c r="BX114" i="4"/>
  <c r="BX89" i="4"/>
  <c r="BX36" i="4"/>
  <c r="BX64" i="4"/>
  <c r="BX37" i="4"/>
  <c r="BX162" i="4"/>
  <c r="BX28" i="4"/>
  <c r="BX10" i="4"/>
  <c r="BX229" i="4"/>
  <c r="BX258" i="4"/>
  <c r="BX225" i="4"/>
  <c r="BX251" i="4"/>
  <c r="BX192" i="4"/>
  <c r="BX191" i="4"/>
  <c r="BX189" i="4"/>
  <c r="BX209" i="4"/>
  <c r="BX185" i="4"/>
  <c r="BX51" i="4"/>
  <c r="BX115" i="4"/>
  <c r="BX108" i="4"/>
  <c r="BX90" i="4"/>
  <c r="BX118" i="4"/>
  <c r="BX146" i="4"/>
  <c r="BX101" i="4"/>
  <c r="BX79" i="4"/>
  <c r="BX25" i="4"/>
  <c r="BX34" i="4"/>
  <c r="BX85" i="4"/>
  <c r="BX26" i="4"/>
  <c r="BX153" i="4"/>
  <c r="BX17" i="4"/>
  <c r="BX111" i="4"/>
  <c r="BX271" i="4"/>
  <c r="BX217" i="4"/>
  <c r="BX233" i="4"/>
  <c r="BX181" i="4"/>
  <c r="BX179" i="4"/>
  <c r="BX177" i="4"/>
  <c r="BX196" i="4"/>
  <c r="BX195" i="4"/>
  <c r="BX102" i="4"/>
  <c r="BX96" i="4"/>
  <c r="BX106" i="4"/>
  <c r="BX128" i="4"/>
  <c r="BX91" i="4"/>
  <c r="BX97" i="4"/>
  <c r="BX13" i="4"/>
  <c r="BX23" i="4"/>
  <c r="BX14" i="4"/>
  <c r="BX142" i="4"/>
  <c r="BX5" i="4"/>
  <c r="BX82" i="4"/>
  <c r="BX260" i="4"/>
  <c r="BX235" i="4"/>
  <c r="BX205" i="4"/>
  <c r="BX221" i="4"/>
  <c r="BX170" i="4"/>
  <c r="BX166" i="4"/>
  <c r="BX187" i="4"/>
  <c r="BX147" i="4"/>
  <c r="BX182" i="4"/>
  <c r="BX92" i="4"/>
  <c r="BX86" i="4"/>
  <c r="BX69" i="4"/>
  <c r="BX94" i="4"/>
  <c r="BX116" i="4"/>
  <c r="BX80" i="4"/>
  <c r="BX123" i="4"/>
  <c r="BX11" i="4"/>
  <c r="BX32" i="4"/>
  <c r="BX107" i="4"/>
  <c r="BX98" i="4"/>
  <c r="BX152" i="4"/>
  <c r="BX60" i="4"/>
  <c r="BX250" i="4"/>
  <c r="BX226" i="4"/>
  <c r="BX183" i="4"/>
  <c r="BX210" i="4"/>
  <c r="BX161" i="4"/>
  <c r="BX246" i="4"/>
  <c r="BX261" i="4"/>
  <c r="BX143" i="4"/>
  <c r="BX122" i="4"/>
  <c r="BX81" i="4"/>
  <c r="BX75" i="4"/>
  <c r="BX245" i="4"/>
  <c r="BX84" i="4"/>
  <c r="BX104" i="4"/>
  <c r="BX230" i="4"/>
  <c r="BX73" i="4"/>
  <c r="BX49" i="4"/>
  <c r="BX95" i="4"/>
  <c r="BX21" i="4"/>
  <c r="BX70" i="4"/>
  <c r="BX57" i="4"/>
  <c r="BX134" i="4"/>
  <c r="BX38" i="4"/>
  <c r="BX239" i="4"/>
  <c r="BX172" i="4"/>
  <c r="BX197" i="4"/>
  <c r="BX149" i="4"/>
  <c r="BX232" i="4"/>
  <c r="BX243" i="4"/>
  <c r="BX141" i="4"/>
  <c r="BX110" i="4"/>
  <c r="BX71" i="4"/>
  <c r="BX214" i="4"/>
  <c r="BX190" i="4"/>
  <c r="BX174" i="4"/>
  <c r="BX47" i="4"/>
  <c r="BX41" i="4"/>
  <c r="BX76" i="4"/>
  <c r="BX9" i="4"/>
  <c r="BX63" i="4"/>
  <c r="BX48" i="4"/>
  <c r="BX119" i="4"/>
  <c r="BX27" i="4"/>
  <c r="BX227" i="4"/>
  <c r="BX266" i="4"/>
  <c r="BX163" i="4"/>
  <c r="BX188" i="4"/>
  <c r="BX136" i="4"/>
  <c r="BX218" i="4"/>
  <c r="BX256" i="4"/>
  <c r="BX140" i="4"/>
  <c r="BX247" i="4"/>
  <c r="BX54" i="4"/>
  <c r="BX160" i="4"/>
  <c r="BX175" i="4"/>
  <c r="BX223" i="4"/>
  <c r="BX171" i="4"/>
  <c r="BX45" i="4"/>
  <c r="BX29" i="4"/>
  <c r="BX68" i="4"/>
  <c r="BX184" i="4"/>
  <c r="BX55" i="4"/>
  <c r="BX35" i="4"/>
  <c r="BX78" i="4"/>
  <c r="BX15" i="4"/>
  <c r="BX273" i="4"/>
  <c r="BX151" i="4"/>
  <c r="BX176" i="4"/>
  <c r="BX253" i="4"/>
  <c r="BX206" i="4"/>
  <c r="BX216" i="4"/>
  <c r="BX268" i="4"/>
  <c r="BX129" i="4"/>
  <c r="BX87" i="4"/>
  <c r="BX200" i="4"/>
  <c r="BX208" i="4"/>
  <c r="BX220" i="4"/>
  <c r="BX212" i="4"/>
  <c r="BX168" i="4"/>
  <c r="BX43" i="4"/>
  <c r="BX18" i="4"/>
  <c r="BX65" i="4"/>
  <c r="BX121" i="4"/>
  <c r="BX46" i="4"/>
  <c r="BX24" i="4"/>
  <c r="BX74" i="4"/>
  <c r="BX254" i="4"/>
  <c r="BX272" i="4"/>
  <c r="BX270" i="4"/>
  <c r="BX228" i="4"/>
  <c r="BX193" i="4"/>
  <c r="BX242" i="4"/>
  <c r="BX105" i="4"/>
  <c r="BX66" i="4"/>
  <c r="BX178" i="4"/>
  <c r="BX158" i="4"/>
  <c r="BX137" i="4"/>
  <c r="BX180" i="4"/>
  <c r="BX159" i="4"/>
  <c r="BX124" i="4"/>
  <c r="BX20" i="4"/>
  <c r="BX157" i="4"/>
  <c r="BX39" i="4"/>
  <c r="BX67" i="4"/>
  <c r="BX30" i="4"/>
  <c r="BX59" i="4"/>
  <c r="BX52" i="4"/>
  <c r="BX264" i="4"/>
  <c r="CC14" i="4"/>
  <c r="CC7" i="4"/>
  <c r="CC15" i="4"/>
  <c r="CC16" i="4"/>
  <c r="BX138" i="4"/>
  <c r="BX165" i="4"/>
  <c r="CC10" i="4"/>
  <c r="BX156" i="4"/>
  <c r="BX154" i="4"/>
  <c r="CC5" i="4"/>
  <c r="BX234" i="4"/>
  <c r="BX31" i="4"/>
  <c r="CC12" i="4"/>
  <c r="CC8" i="4"/>
  <c r="BX238" i="4"/>
  <c r="BX6" i="4"/>
  <c r="CC13" i="4"/>
  <c r="BX58" i="4"/>
  <c r="BX249" i="4"/>
  <c r="BX117" i="4"/>
  <c r="BX88" i="4"/>
  <c r="BX77" i="4"/>
  <c r="BX42" i="4"/>
  <c r="CC18" i="4"/>
  <c r="BX186" i="4"/>
  <c r="BX12" i="4"/>
  <c r="BX167" i="4"/>
  <c r="BX72" i="4"/>
  <c r="CC6" i="4"/>
  <c r="BX265" i="4"/>
  <c r="BX139" i="4"/>
  <c r="CC11" i="4"/>
  <c r="AA101" i="4"/>
  <c r="AE191" i="4"/>
  <c r="AE126" i="4"/>
  <c r="AA234" i="4"/>
  <c r="AE64" i="4"/>
  <c r="AE243" i="4"/>
  <c r="AE73" i="4"/>
  <c r="AE223" i="4"/>
  <c r="AA137" i="4"/>
  <c r="AE107" i="4"/>
  <c r="BA229" i="4"/>
  <c r="AA240" i="4"/>
  <c r="AE56" i="4"/>
  <c r="AE198" i="4"/>
  <c r="AE165" i="4"/>
  <c r="AE94" i="4"/>
  <c r="AE246" i="4"/>
  <c r="AE268" i="4"/>
  <c r="BA176" i="4"/>
  <c r="BA153" i="4"/>
  <c r="AZ168" i="4"/>
  <c r="AZ218" i="4"/>
  <c r="AZ207" i="4"/>
  <c r="BA216" i="4"/>
  <c r="AZ228" i="4"/>
  <c r="BA113" i="4"/>
  <c r="AZ156" i="4"/>
  <c r="AZ141" i="4"/>
  <c r="BA199" i="4"/>
  <c r="AZ245" i="4"/>
  <c r="AZ249" i="4"/>
  <c r="AZ86" i="4"/>
  <c r="BA231" i="4"/>
  <c r="AZ210" i="4"/>
  <c r="BA166" i="4"/>
  <c r="AZ110" i="4"/>
  <c r="BA126" i="4"/>
  <c r="BA250" i="4"/>
  <c r="BA123" i="4"/>
  <c r="AZ248" i="4"/>
  <c r="AZ94" i="4"/>
  <c r="BC270" i="4"/>
  <c r="AZ140" i="4"/>
  <c r="AZ157" i="4"/>
  <c r="AZ190" i="4"/>
  <c r="AZ84" i="4"/>
  <c r="BA254" i="4"/>
  <c r="AZ100" i="4"/>
  <c r="AZ91" i="4"/>
  <c r="BA214" i="4"/>
  <c r="AZ149" i="4"/>
  <c r="BA90" i="4"/>
  <c r="BA127" i="4"/>
  <c r="AZ147" i="4"/>
  <c r="AZ239" i="4"/>
  <c r="BA215" i="4"/>
  <c r="BA141" i="4"/>
  <c r="AZ235" i="4"/>
  <c r="AZ230" i="4"/>
  <c r="BA112" i="4"/>
  <c r="AZ223" i="4"/>
  <c r="BA258" i="4"/>
  <c r="AZ121" i="4"/>
  <c r="AZ254" i="4"/>
  <c r="AZ244" i="4"/>
  <c r="BA143" i="4"/>
  <c r="AZ213" i="4"/>
  <c r="BA222" i="4"/>
  <c r="BA182" i="4"/>
  <c r="BA186" i="4"/>
  <c r="AZ226" i="4"/>
  <c r="BA205" i="4"/>
  <c r="BA88" i="4"/>
  <c r="BA232" i="4"/>
  <c r="AZ120" i="4"/>
  <c r="BA226" i="4"/>
  <c r="BA161" i="4"/>
  <c r="BA119" i="4"/>
  <c r="BA148" i="4"/>
  <c r="AZ208" i="4"/>
  <c r="AZ185" i="4"/>
  <c r="AZ198" i="4"/>
  <c r="AZ216" i="4"/>
  <c r="AZ142" i="4"/>
  <c r="BA87" i="4"/>
  <c r="AZ196" i="4"/>
  <c r="BA128" i="4"/>
  <c r="BA228" i="4"/>
  <c r="AZ158" i="4"/>
  <c r="AZ88" i="4"/>
  <c r="BA131" i="4"/>
  <c r="BA196" i="4"/>
  <c r="AZ177" i="4"/>
  <c r="AZ193" i="4"/>
  <c r="AZ182" i="4"/>
  <c r="BA121" i="4"/>
  <c r="AZ195" i="4"/>
  <c r="AA136" i="4"/>
  <c r="AE43" i="4"/>
  <c r="AZ240" i="4"/>
  <c r="BA125" i="4"/>
  <c r="BA97" i="4"/>
  <c r="AZ234" i="4"/>
  <c r="AZ183" i="4"/>
  <c r="BA91" i="4"/>
  <c r="BA220" i="4"/>
  <c r="AZ87" i="4"/>
  <c r="AZ200" i="4"/>
  <c r="BA218" i="4"/>
  <c r="BA253" i="4"/>
  <c r="AZ115" i="4"/>
  <c r="AZ132" i="4"/>
  <c r="AZ150" i="4"/>
  <c r="AZ201" i="4"/>
  <c r="BA211" i="4"/>
  <c r="AZ129" i="4"/>
  <c r="BA191" i="4"/>
  <c r="AZ232" i="4"/>
  <c r="BA221" i="4"/>
  <c r="AZ116" i="4"/>
  <c r="AZ181" i="4"/>
  <c r="BA129" i="4"/>
  <c r="AZ107" i="4"/>
  <c r="AZ169" i="4"/>
  <c r="BA146" i="4"/>
  <c r="BA89" i="4"/>
  <c r="BC254" i="4"/>
  <c r="BV242" i="4"/>
  <c r="BV228" i="4"/>
  <c r="BV273" i="4"/>
  <c r="BU241" i="4"/>
  <c r="BU199" i="4"/>
  <c r="BU218" i="4"/>
  <c r="BU234" i="4"/>
  <c r="BU166" i="4"/>
  <c r="BV257" i="4"/>
  <c r="BV248" i="4"/>
  <c r="BV239" i="4"/>
  <c r="BU95" i="4"/>
  <c r="BV129" i="4"/>
  <c r="BV235" i="4"/>
  <c r="BV153" i="4"/>
  <c r="BV81" i="4"/>
  <c r="BV151" i="4"/>
  <c r="BU192" i="4"/>
  <c r="BU219" i="4"/>
  <c r="BU205" i="4"/>
  <c r="BU123" i="4"/>
  <c r="BU183" i="4"/>
  <c r="BV119" i="4"/>
  <c r="BV20" i="4"/>
  <c r="BU65" i="4"/>
  <c r="BV165" i="4"/>
  <c r="BV185" i="4"/>
  <c r="BV58" i="4"/>
  <c r="BU111" i="4"/>
  <c r="BU46" i="4"/>
  <c r="BU147" i="4"/>
  <c r="BU39" i="4"/>
  <c r="BV14" i="4"/>
  <c r="BU60" i="4"/>
  <c r="BU113" i="4"/>
  <c r="BV24" i="4"/>
  <c r="BV63" i="4"/>
  <c r="BU155" i="4"/>
  <c r="BU40" i="4"/>
  <c r="BU97" i="4"/>
  <c r="BV15" i="4"/>
  <c r="BU235" i="4"/>
  <c r="BU224" i="4"/>
  <c r="BU270" i="4"/>
  <c r="BV233" i="4"/>
  <c r="BV195" i="4"/>
  <c r="BV211" i="4"/>
  <c r="BV224" i="4"/>
  <c r="BU273" i="4"/>
  <c r="BU243" i="4"/>
  <c r="BU272" i="4"/>
  <c r="BV231" i="4"/>
  <c r="BU233" i="4"/>
  <c r="BV162" i="4"/>
  <c r="BV89" i="4"/>
  <c r="BU124" i="4"/>
  <c r="BV229" i="4"/>
  <c r="BU148" i="4"/>
  <c r="BU77" i="4"/>
  <c r="BV164" i="4"/>
  <c r="BU146" i="4"/>
  <c r="BV186" i="4"/>
  <c r="BU215" i="4"/>
  <c r="BV116" i="4"/>
  <c r="BU181" i="4"/>
  <c r="BU114" i="4"/>
  <c r="BU91" i="4"/>
  <c r="BU15" i="4"/>
  <c r="BU159" i="4"/>
  <c r="BV53" i="4"/>
  <c r="BV136" i="4"/>
  <c r="BU53" i="4"/>
  <c r="BV104" i="4"/>
  <c r="BV39" i="4"/>
  <c r="BU104" i="4"/>
  <c r="BV32" i="4"/>
  <c r="BU78" i="4"/>
  <c r="BV54" i="4"/>
  <c r="BV106" i="4"/>
  <c r="BU19" i="4"/>
  <c r="BU59" i="4"/>
  <c r="BV122" i="4"/>
  <c r="BV33" i="4"/>
  <c r="BV91" i="4"/>
  <c r="BU10" i="4"/>
  <c r="BV264" i="4"/>
  <c r="BU229" i="4"/>
  <c r="BU191" i="4"/>
  <c r="BU206" i="4"/>
  <c r="BU222" i="4"/>
  <c r="BU251" i="4"/>
  <c r="BV226" i="4"/>
  <c r="BU253" i="4"/>
  <c r="BU227" i="4"/>
  <c r="BU220" i="4"/>
  <c r="BU157" i="4"/>
  <c r="BU85" i="4"/>
  <c r="BV117" i="4"/>
  <c r="BU216" i="4"/>
  <c r="BV140" i="4"/>
  <c r="BV252" i="4"/>
  <c r="BV158" i="4"/>
  <c r="BV212" i="4"/>
  <c r="BV138" i="4"/>
  <c r="BU175" i="4"/>
  <c r="BV190" i="4"/>
  <c r="BU221" i="4"/>
  <c r="BV107" i="4"/>
  <c r="BV85" i="4"/>
  <c r="BU55" i="4"/>
  <c r="BV148" i="4"/>
  <c r="BU48" i="4"/>
  <c r="BU131" i="4"/>
  <c r="BV46" i="4"/>
  <c r="BU34" i="4"/>
  <c r="BU92" i="4"/>
  <c r="BV71" i="4"/>
  <c r="BV181" i="4"/>
  <c r="BU49" i="4"/>
  <c r="BU81" i="4"/>
  <c r="BV12" i="4"/>
  <c r="BV52" i="4"/>
  <c r="BU117" i="4"/>
  <c r="BU28" i="4"/>
  <c r="BV72" i="4"/>
  <c r="BU226" i="4"/>
  <c r="BV270" i="4"/>
  <c r="BU259" i="4"/>
  <c r="BV184" i="4"/>
  <c r="BV198" i="4"/>
  <c r="BV216" i="4"/>
  <c r="BV219" i="4"/>
  <c r="BU250" i="4"/>
  <c r="BU223" i="4"/>
  <c r="BV256" i="4"/>
  <c r="BV150" i="4"/>
  <c r="BV79" i="4"/>
  <c r="BU112" i="4"/>
  <c r="BV209" i="4"/>
  <c r="BU135" i="4"/>
  <c r="BU228" i="4"/>
  <c r="BU153" i="4"/>
  <c r="BV201" i="4"/>
  <c r="BU133" i="4"/>
  <c r="BV173" i="4"/>
  <c r="BV188" i="4"/>
  <c r="BU188" i="4"/>
  <c r="BU208" i="4"/>
  <c r="BV174" i="4"/>
  <c r="BU101" i="4"/>
  <c r="BU72" i="4"/>
  <c r="BV177" i="4"/>
  <c r="BV48" i="4"/>
  <c r="BU141" i="4"/>
  <c r="BV41" i="4"/>
  <c r="BV111" i="4"/>
  <c r="BU41" i="4"/>
  <c r="BU90" i="4"/>
  <c r="BV86" i="4"/>
  <c r="BV21" i="4"/>
  <c r="BU66" i="4"/>
  <c r="BU156" i="4"/>
  <c r="BV42" i="4"/>
  <c r="BV75" i="4"/>
  <c r="BU47" i="4"/>
  <c r="BV97" i="4"/>
  <c r="BV22" i="4"/>
  <c r="BU67" i="4"/>
  <c r="BU266" i="4"/>
  <c r="BU179" i="4"/>
  <c r="BU195" i="4"/>
  <c r="BU211" i="4"/>
  <c r="BU246" i="4"/>
  <c r="BU214" i="4"/>
  <c r="BU248" i="4"/>
  <c r="BV221" i="4"/>
  <c r="BU242" i="4"/>
  <c r="BU143" i="4"/>
  <c r="BV105" i="4"/>
  <c r="BV199" i="4"/>
  <c r="BV127" i="4"/>
  <c r="BV220" i="4"/>
  <c r="BV146" i="4"/>
  <c r="BV197" i="4"/>
  <c r="BV125" i="4"/>
  <c r="BU163" i="4"/>
  <c r="BU186" i="4"/>
  <c r="BU169" i="4"/>
  <c r="BV200" i="4"/>
  <c r="BU165" i="4"/>
  <c r="BU196" i="4"/>
  <c r="BV65" i="4"/>
  <c r="BV159" i="4"/>
  <c r="BU43" i="4"/>
  <c r="BU100" i="4"/>
  <c r="BU36" i="4"/>
  <c r="BU96" i="4"/>
  <c r="BV34" i="4"/>
  <c r="BV84" i="4"/>
  <c r="BU23" i="4"/>
  <c r="BU84" i="4"/>
  <c r="BU16" i="4"/>
  <c r="BV60" i="4"/>
  <c r="BV123" i="4"/>
  <c r="BU37" i="4"/>
  <c r="BV69" i="4"/>
  <c r="BV40" i="4"/>
  <c r="BU83" i="4"/>
  <c r="BU17" i="4"/>
  <c r="BV61" i="4"/>
  <c r="BU268" i="4"/>
  <c r="BV259" i="4"/>
  <c r="BU249" i="4"/>
  <c r="BV244" i="4"/>
  <c r="BV269" i="4"/>
  <c r="BV189" i="4"/>
  <c r="BV207" i="4"/>
  <c r="BV245" i="4"/>
  <c r="BU217" i="4"/>
  <c r="BU225" i="4"/>
  <c r="BV137" i="4"/>
  <c r="BU172" i="4"/>
  <c r="BU99" i="4"/>
  <c r="BU122" i="4"/>
  <c r="BU209" i="4"/>
  <c r="BU140" i="4"/>
  <c r="BV192" i="4"/>
  <c r="BU120" i="4"/>
  <c r="BV156" i="4"/>
  <c r="BU173" i="4"/>
  <c r="BV167" i="4"/>
  <c r="BV196" i="4"/>
  <c r="BV160" i="4"/>
  <c r="BU61" i="4"/>
  <c r="BV126" i="4"/>
  <c r="BV36" i="4"/>
  <c r="BV96" i="4"/>
  <c r="BV29" i="4"/>
  <c r="BV90" i="4"/>
  <c r="BU29" i="4"/>
  <c r="BU82" i="4"/>
  <c r="BV16" i="4"/>
  <c r="BV78" i="4"/>
  <c r="BU56" i="4"/>
  <c r="BU118" i="4"/>
  <c r="BV30" i="4"/>
  <c r="BV139" i="4"/>
  <c r="BU35" i="4"/>
  <c r="BV77" i="4"/>
  <c r="BV10" i="4"/>
  <c r="BU57" i="4"/>
  <c r="BV272" i="4"/>
  <c r="BV261" i="4"/>
  <c r="BU239" i="4"/>
  <c r="BU267" i="4"/>
  <c r="BU198" i="4"/>
  <c r="BV243" i="4"/>
  <c r="BU271" i="4"/>
  <c r="BU240" i="4"/>
  <c r="BV210" i="4"/>
  <c r="BU210" i="4"/>
  <c r="BU132" i="4"/>
  <c r="BV170" i="4"/>
  <c r="BV93" i="4"/>
  <c r="BV180" i="4"/>
  <c r="BV115" i="4"/>
  <c r="BV133" i="4"/>
  <c r="BU184" i="4"/>
  <c r="BV113" i="4"/>
  <c r="BU151" i="4"/>
  <c r="BU171" i="4"/>
  <c r="BU161" i="4"/>
  <c r="BV157" i="4"/>
  <c r="BU154" i="4"/>
  <c r="BV55" i="4"/>
  <c r="BU121" i="4"/>
  <c r="BU31" i="4"/>
  <c r="BU94" i="4"/>
  <c r="BU25" i="4"/>
  <c r="BU88" i="4"/>
  <c r="BV23" i="4"/>
  <c r="BV76" i="4"/>
  <c r="BU11" i="4"/>
  <c r="BU76" i="4"/>
  <c r="BV49" i="4"/>
  <c r="BV110" i="4"/>
  <c r="BU26" i="4"/>
  <c r="BV59" i="4"/>
  <c r="BU134" i="4"/>
  <c r="BV28" i="4"/>
  <c r="BU73" i="4"/>
  <c r="BV50" i="4"/>
  <c r="BU269" i="4"/>
  <c r="BU256" i="4"/>
  <c r="BV249" i="4"/>
  <c r="BV267" i="4"/>
  <c r="BV230" i="4"/>
  <c r="BU264" i="4"/>
  <c r="BU261" i="4"/>
  <c r="BV193" i="4"/>
  <c r="BU238" i="4"/>
  <c r="BU263" i="4"/>
  <c r="BV227" i="4"/>
  <c r="BV268" i="4"/>
  <c r="BU207" i="4"/>
  <c r="BV124" i="4"/>
  <c r="BU162" i="4"/>
  <c r="BU89" i="4"/>
  <c r="BV178" i="4"/>
  <c r="BU110" i="4"/>
  <c r="BV191" i="4"/>
  <c r="BU127" i="4"/>
  <c r="BU176" i="4"/>
  <c r="BU108" i="4"/>
  <c r="BV142" i="4"/>
  <c r="BV169" i="4"/>
  <c r="BV154" i="4"/>
  <c r="BU190" i="4"/>
  <c r="BU152" i="4"/>
  <c r="BV121" i="4"/>
  <c r="BU50" i="4"/>
  <c r="BU105" i="4"/>
  <c r="BV25" i="4"/>
  <c r="BV88" i="4"/>
  <c r="BV18" i="4"/>
  <c r="BV82" i="4"/>
  <c r="BU18" i="4"/>
  <c r="BU74" i="4"/>
  <c r="BV66" i="4"/>
  <c r="BU167" i="4"/>
  <c r="BU44" i="4"/>
  <c r="BU93" i="4"/>
  <c r="BV19" i="4"/>
  <c r="BU54" i="4"/>
  <c r="BU106" i="4"/>
  <c r="BU24" i="4"/>
  <c r="BV67" i="4"/>
  <c r="BV214" i="4"/>
  <c r="BU45" i="4"/>
  <c r="BV263" i="4"/>
  <c r="BV251" i="4"/>
  <c r="BU245" i="4"/>
  <c r="BU262" i="4"/>
  <c r="BU244" i="4"/>
  <c r="BV258" i="4"/>
  <c r="BU189" i="4"/>
  <c r="BV271" i="4"/>
  <c r="BU260" i="4"/>
  <c r="BV223" i="4"/>
  <c r="BV265" i="4"/>
  <c r="BU119" i="4"/>
  <c r="BV155" i="4"/>
  <c r="BV83" i="4"/>
  <c r="BU168" i="4"/>
  <c r="BV102" i="4"/>
  <c r="BU182" i="4"/>
  <c r="BV120" i="4"/>
  <c r="BV175" i="4"/>
  <c r="BV100" i="4"/>
  <c r="BU138" i="4"/>
  <c r="BV161" i="4"/>
  <c r="BU149" i="4"/>
  <c r="BV225" i="4"/>
  <c r="BV143" i="4"/>
  <c r="BU116" i="4"/>
  <c r="BV43" i="4"/>
  <c r="BV94" i="4"/>
  <c r="BU20" i="4"/>
  <c r="BU13" i="4"/>
  <c r="BU80" i="4"/>
  <c r="BV11" i="4"/>
  <c r="BU68" i="4"/>
  <c r="BU200" i="4"/>
  <c r="BU62" i="4"/>
  <c r="BV135" i="4"/>
  <c r="BV37" i="4"/>
  <c r="BV87" i="4"/>
  <c r="BU14" i="4"/>
  <c r="BV47" i="4"/>
  <c r="BV95" i="4"/>
  <c r="BV17" i="4"/>
  <c r="BU63" i="4"/>
  <c r="BV149" i="4"/>
  <c r="BV38" i="4"/>
  <c r="BU258" i="4"/>
  <c r="BU247" i="4"/>
  <c r="BV238" i="4"/>
  <c r="BV255" i="4"/>
  <c r="BV218" i="4"/>
  <c r="BV234" i="4"/>
  <c r="BU255" i="4"/>
  <c r="BV182" i="4"/>
  <c r="BU257" i="4"/>
  <c r="BV217" i="4"/>
  <c r="BV262" i="4"/>
  <c r="BU187" i="4"/>
  <c r="BV112" i="4"/>
  <c r="BU150" i="4"/>
  <c r="BU79" i="4"/>
  <c r="BV166" i="4"/>
  <c r="BU180" i="4"/>
  <c r="BU115" i="4"/>
  <c r="BU164" i="4"/>
  <c r="BV215" i="4"/>
  <c r="BV131" i="4"/>
  <c r="BU265" i="4"/>
  <c r="BU193" i="4"/>
  <c r="BU139" i="4"/>
  <c r="BU109" i="4"/>
  <c r="BU38" i="4"/>
  <c r="BV13" i="4"/>
  <c r="BV80" i="4"/>
  <c r="BV74" i="4"/>
  <c r="BV62" i="4"/>
  <c r="BV183" i="4"/>
  <c r="BV56" i="4"/>
  <c r="BU129" i="4"/>
  <c r="BU32" i="4"/>
  <c r="BU42" i="4"/>
  <c r="BU75" i="4"/>
  <c r="BU12" i="4"/>
  <c r="BV57" i="4"/>
  <c r="BU142" i="4"/>
  <c r="BU33" i="4"/>
  <c r="BV253" i="4"/>
  <c r="BV240" i="4"/>
  <c r="BU232" i="4"/>
  <c r="BU252" i="4"/>
  <c r="BU213" i="4"/>
  <c r="BU230" i="4"/>
  <c r="BU177" i="4"/>
  <c r="BV266" i="4"/>
  <c r="BU212" i="4"/>
  <c r="BU254" i="4"/>
  <c r="BU174" i="4"/>
  <c r="BU107" i="4"/>
  <c r="BV141" i="4"/>
  <c r="BV254" i="4"/>
  <c r="BV92" i="4"/>
  <c r="BU178" i="4"/>
  <c r="BV108" i="4"/>
  <c r="BV163" i="4"/>
  <c r="BU201" i="4"/>
  <c r="BU125" i="4"/>
  <c r="BV232" i="4"/>
  <c r="BU136" i="4"/>
  <c r="BV187" i="4"/>
  <c r="BV132" i="4"/>
  <c r="BV101" i="4"/>
  <c r="BV31" i="4"/>
  <c r="BU70" i="4"/>
  <c r="BV68" i="4"/>
  <c r="BV147" i="4"/>
  <c r="BU58" i="4"/>
  <c r="BV168" i="4"/>
  <c r="BU51" i="4"/>
  <c r="BV114" i="4"/>
  <c r="BV26" i="4"/>
  <c r="BU71" i="4"/>
  <c r="BV134" i="4"/>
  <c r="BV35" i="4"/>
  <c r="BV73" i="4"/>
  <c r="BU52" i="4"/>
  <c r="BV109" i="4"/>
  <c r="BV27" i="4"/>
  <c r="BV246" i="4"/>
  <c r="BV206" i="4"/>
  <c r="BV222" i="4"/>
  <c r="BV241" i="4"/>
  <c r="BV171" i="4"/>
  <c r="BV260" i="4"/>
  <c r="BV250" i="4"/>
  <c r="BV205" i="4"/>
  <c r="BV247" i="4"/>
  <c r="BV172" i="4"/>
  <c r="BV99" i="4"/>
  <c r="BU137" i="4"/>
  <c r="BV213" i="4"/>
  <c r="BU160" i="4"/>
  <c r="BU87" i="4"/>
  <c r="BV176" i="4"/>
  <c r="BU102" i="4"/>
  <c r="BU158" i="4"/>
  <c r="BU197" i="4"/>
  <c r="BV118" i="4"/>
  <c r="BV208" i="4"/>
  <c r="BV128" i="4"/>
  <c r="BU185" i="4"/>
  <c r="BU126" i="4"/>
  <c r="BU98" i="4"/>
  <c r="BU27" i="4"/>
  <c r="BV70" i="4"/>
  <c r="BU170" i="4"/>
  <c r="BV64" i="4"/>
  <c r="BU231" i="4"/>
  <c r="BU64" i="4"/>
  <c r="BV51" i="4"/>
  <c r="BV152" i="4"/>
  <c r="BV44" i="4"/>
  <c r="BU86" i="4"/>
  <c r="BU21" i="4"/>
  <c r="BU128" i="4"/>
  <c r="BU30" i="4"/>
  <c r="BU69" i="4"/>
  <c r="BV179" i="4"/>
  <c r="BV45" i="4"/>
  <c r="BV98" i="4"/>
  <c r="BU22" i="4"/>
  <c r="AA269" i="4"/>
  <c r="AE269" i="4"/>
  <c r="BA241" i="4"/>
  <c r="BA188" i="4"/>
  <c r="AZ97" i="4"/>
  <c r="BA227" i="4"/>
  <c r="BA106" i="4"/>
  <c r="BA95" i="4"/>
  <c r="BA243" i="4"/>
  <c r="BA154" i="4"/>
  <c r="AZ184" i="4"/>
  <c r="AZ135" i="4"/>
  <c r="BA152" i="4"/>
  <c r="BA251" i="4"/>
  <c r="BA172" i="4"/>
  <c r="AZ114" i="4"/>
  <c r="BA200" i="4"/>
  <c r="AZ136" i="4"/>
  <c r="BA185" i="4"/>
  <c r="AZ199" i="4"/>
  <c r="BA233" i="4"/>
  <c r="BA142" i="4"/>
  <c r="AZ173" i="4"/>
  <c r="AZ175" i="4"/>
  <c r="BA102" i="4"/>
  <c r="BA82" i="4"/>
  <c r="AZ146" i="4"/>
  <c r="AZ212" i="4"/>
  <c r="BA234" i="4"/>
  <c r="BN22" i="4"/>
  <c r="BN23" i="4"/>
  <c r="BO22" i="4"/>
  <c r="BO15" i="4"/>
  <c r="BO29" i="4"/>
  <c r="BO16" i="4"/>
  <c r="BO30" i="4"/>
  <c r="BN17" i="4"/>
  <c r="BN10" i="4"/>
  <c r="BN25" i="4"/>
  <c r="BN11" i="4"/>
  <c r="BN26" i="4"/>
  <c r="BO10" i="4"/>
  <c r="BO31" i="4"/>
  <c r="BO18" i="4"/>
  <c r="BO19" i="4"/>
  <c r="BN27" i="4"/>
  <c r="BN13" i="4"/>
  <c r="BN14" i="4"/>
  <c r="BN12" i="4"/>
  <c r="BO20" i="4"/>
  <c r="BO21" i="4"/>
  <c r="BO17" i="4"/>
  <c r="BN15" i="4"/>
  <c r="BN29" i="4"/>
  <c r="BN16" i="4"/>
  <c r="BN30" i="4"/>
  <c r="BO28" i="4"/>
  <c r="BO23" i="4"/>
  <c r="BO24" i="4"/>
  <c r="BN31" i="4"/>
  <c r="BN18" i="4"/>
  <c r="BN19" i="4"/>
  <c r="BN24" i="4"/>
  <c r="BO25" i="4"/>
  <c r="BO11" i="4"/>
  <c r="BO26" i="4"/>
  <c r="BO12" i="4"/>
  <c r="BN20" i="4"/>
  <c r="BN21" i="4"/>
  <c r="BO27" i="4"/>
  <c r="BO13" i="4"/>
  <c r="BO14" i="4"/>
  <c r="BN28" i="4"/>
  <c r="BA209" i="4"/>
  <c r="AZ124" i="4"/>
  <c r="AA209" i="4"/>
  <c r="AZ233" i="4"/>
  <c r="AZ113" i="4"/>
  <c r="BA101" i="4"/>
  <c r="AZ231" i="4"/>
  <c r="BA170" i="4"/>
  <c r="BA79" i="4"/>
  <c r="AZ155" i="4"/>
  <c r="BA213" i="4"/>
  <c r="BA190" i="4"/>
  <c r="BA249" i="4"/>
  <c r="BA100" i="4"/>
  <c r="AZ80" i="4"/>
  <c r="BA135" i="4"/>
  <c r="BA115" i="4"/>
  <c r="AZ134" i="4"/>
  <c r="AZ227" i="4"/>
  <c r="BA201" i="4"/>
  <c r="BA93" i="4"/>
  <c r="BA114" i="4"/>
  <c r="AZ164" i="4"/>
  <c r="BA132" i="4"/>
  <c r="BA192" i="4"/>
  <c r="AZ133" i="4"/>
  <c r="BC257" i="4"/>
  <c r="BQ252" i="4"/>
  <c r="BQ226" i="4"/>
  <c r="BQ242" i="4"/>
  <c r="BQ230" i="4"/>
  <c r="BQ136" i="4"/>
  <c r="BQ157" i="4"/>
  <c r="BQ150" i="4"/>
  <c r="BQ166" i="4"/>
  <c r="BQ153" i="4"/>
  <c r="BQ106" i="4"/>
  <c r="BQ138" i="4"/>
  <c r="BQ121" i="4"/>
  <c r="BQ176" i="4"/>
  <c r="BQ120" i="4"/>
  <c r="BQ55" i="4"/>
  <c r="BQ36" i="4"/>
  <c r="BQ110" i="4"/>
  <c r="BQ134" i="4"/>
  <c r="BQ87" i="4"/>
  <c r="BQ241" i="4"/>
  <c r="BQ272" i="4"/>
  <c r="BQ217" i="4"/>
  <c r="BQ233" i="4"/>
  <c r="BQ255" i="4"/>
  <c r="BQ123" i="4"/>
  <c r="BQ128" i="4"/>
  <c r="BQ152" i="4"/>
  <c r="BQ143" i="4"/>
  <c r="BQ137" i="4"/>
  <c r="BQ160" i="4"/>
  <c r="BQ140" i="4"/>
  <c r="BQ133" i="4"/>
  <c r="BQ109" i="4"/>
  <c r="BQ105" i="4"/>
  <c r="BQ165" i="4"/>
  <c r="BQ115" i="4"/>
  <c r="BQ43" i="4"/>
  <c r="BQ25" i="4"/>
  <c r="BQ163" i="4"/>
  <c r="BQ99" i="4"/>
  <c r="BQ102" i="4"/>
  <c r="BQ229" i="4"/>
  <c r="BQ263" i="4"/>
  <c r="BQ205" i="4"/>
  <c r="BQ215" i="4"/>
  <c r="BQ243" i="4"/>
  <c r="BQ111" i="4"/>
  <c r="BQ116" i="4"/>
  <c r="BQ139" i="4"/>
  <c r="BQ132" i="4"/>
  <c r="BQ124" i="4"/>
  <c r="BQ248" i="4"/>
  <c r="BQ127" i="4"/>
  <c r="BQ113" i="4"/>
  <c r="BQ97" i="4"/>
  <c r="BQ85" i="4"/>
  <c r="BQ159" i="4"/>
  <c r="BQ31" i="4"/>
  <c r="BQ13" i="4"/>
  <c r="BQ146" i="4"/>
  <c r="BQ92" i="4"/>
  <c r="BQ93" i="4"/>
  <c r="BQ71" i="4"/>
  <c r="BV8" i="4"/>
  <c r="BQ271" i="4"/>
  <c r="BQ253" i="4"/>
  <c r="BQ183" i="4"/>
  <c r="BQ201" i="4"/>
  <c r="BQ251" i="4"/>
  <c r="BQ98" i="4"/>
  <c r="BQ104" i="4"/>
  <c r="BQ126" i="4"/>
  <c r="BQ119" i="4"/>
  <c r="BQ112" i="4"/>
  <c r="BQ219" i="4"/>
  <c r="BQ89" i="4"/>
  <c r="BQ83" i="4"/>
  <c r="BQ77" i="4"/>
  <c r="BQ148" i="4"/>
  <c r="BQ72" i="4"/>
  <c r="BQ20" i="4"/>
  <c r="BQ135" i="4"/>
  <c r="BQ84" i="4"/>
  <c r="BQ86" i="4"/>
  <c r="BQ60" i="4"/>
  <c r="BQ260" i="4"/>
  <c r="BQ254" i="4"/>
  <c r="BQ192" i="4"/>
  <c r="BQ234" i="4"/>
  <c r="BQ270" i="4"/>
  <c r="BQ88" i="4"/>
  <c r="BQ114" i="4"/>
  <c r="BQ107" i="4"/>
  <c r="BQ222" i="4"/>
  <c r="BQ257" i="4"/>
  <c r="BQ81" i="4"/>
  <c r="BQ75" i="4"/>
  <c r="BQ73" i="4"/>
  <c r="BQ79" i="4"/>
  <c r="BQ61" i="4"/>
  <c r="BQ8" i="4"/>
  <c r="BQ96" i="4"/>
  <c r="BQ90" i="4"/>
  <c r="BQ62" i="4"/>
  <c r="BQ66" i="4"/>
  <c r="BQ49" i="4"/>
  <c r="BQ250" i="4"/>
  <c r="BQ266" i="4"/>
  <c r="BQ249" i="4"/>
  <c r="BQ181" i="4"/>
  <c r="BQ224" i="4"/>
  <c r="BQ268" i="4"/>
  <c r="BQ78" i="4"/>
  <c r="BQ82" i="4"/>
  <c r="BQ101" i="4"/>
  <c r="BQ228" i="4"/>
  <c r="BQ209" i="4"/>
  <c r="BQ212" i="4"/>
  <c r="BQ211" i="4"/>
  <c r="BQ69" i="4"/>
  <c r="BQ63" i="4"/>
  <c r="BQ67" i="4"/>
  <c r="BQ50" i="4"/>
  <c r="BQ175" i="4"/>
  <c r="BQ76" i="4"/>
  <c r="BQ68" i="4"/>
  <c r="BQ51" i="4"/>
  <c r="BQ56" i="4"/>
  <c r="BQ37" i="4"/>
  <c r="BV9" i="4"/>
  <c r="BQ239" i="4"/>
  <c r="BQ247" i="4"/>
  <c r="BQ170" i="4"/>
  <c r="BQ218" i="4"/>
  <c r="BQ231" i="4"/>
  <c r="BQ200" i="4"/>
  <c r="BQ240" i="4"/>
  <c r="BQ91" i="4"/>
  <c r="BQ220" i="4"/>
  <c r="BQ191" i="4"/>
  <c r="BQ186" i="4"/>
  <c r="BQ54" i="4"/>
  <c r="BQ59" i="4"/>
  <c r="BQ52" i="4"/>
  <c r="BQ57" i="4"/>
  <c r="BQ38" i="4"/>
  <c r="BQ147" i="4"/>
  <c r="BQ74" i="4"/>
  <c r="BQ58" i="4"/>
  <c r="BQ39" i="4"/>
  <c r="BQ44" i="4"/>
  <c r="BQ26" i="4"/>
  <c r="BQ227" i="4"/>
  <c r="BQ245" i="4"/>
  <c r="BQ225" i="4"/>
  <c r="BQ244" i="4"/>
  <c r="BQ206" i="4"/>
  <c r="BQ223" i="4"/>
  <c r="BQ196" i="4"/>
  <c r="BQ207" i="4"/>
  <c r="BQ80" i="4"/>
  <c r="BQ199" i="4"/>
  <c r="BQ168" i="4"/>
  <c r="BQ184" i="4"/>
  <c r="BQ171" i="4"/>
  <c r="BQ42" i="4"/>
  <c r="BQ47" i="4"/>
  <c r="BQ40" i="4"/>
  <c r="BQ45" i="4"/>
  <c r="BQ27" i="4"/>
  <c r="BQ100" i="4"/>
  <c r="BQ64" i="4"/>
  <c r="BQ46" i="4"/>
  <c r="BQ32" i="4"/>
  <c r="BQ14" i="4"/>
  <c r="BQ269" i="4"/>
  <c r="BQ232" i="4"/>
  <c r="BQ221" i="4"/>
  <c r="BQ273" i="4"/>
  <c r="BQ214" i="4"/>
  <c r="BQ190" i="4"/>
  <c r="BQ195" i="4"/>
  <c r="BQ213" i="4"/>
  <c r="BQ155" i="4"/>
  <c r="BQ182" i="4"/>
  <c r="BQ156" i="4"/>
  <c r="BQ30" i="4"/>
  <c r="BQ35" i="4"/>
  <c r="BQ28" i="4"/>
  <c r="BQ33" i="4"/>
  <c r="BQ15" i="4"/>
  <c r="BQ94" i="4"/>
  <c r="BQ53" i="4"/>
  <c r="BQ34" i="4"/>
  <c r="BQ16" i="4"/>
  <c r="BQ21" i="4"/>
  <c r="BQ258" i="4"/>
  <c r="BQ265" i="4"/>
  <c r="BQ210" i="4"/>
  <c r="BQ267" i="4"/>
  <c r="BQ246" i="4"/>
  <c r="BQ169" i="4"/>
  <c r="BQ179" i="4"/>
  <c r="BQ193" i="4"/>
  <c r="BQ198" i="4"/>
  <c r="BQ189" i="4"/>
  <c r="BQ141" i="4"/>
  <c r="BQ180" i="4"/>
  <c r="BQ142" i="4"/>
  <c r="BQ19" i="4"/>
  <c r="BQ24" i="4"/>
  <c r="BQ17" i="4"/>
  <c r="BQ22" i="4"/>
  <c r="BQ125" i="4"/>
  <c r="BQ70" i="4"/>
  <c r="BQ41" i="4"/>
  <c r="BQ23" i="4"/>
  <c r="BQ9" i="4"/>
  <c r="BV7" i="4"/>
  <c r="BQ259" i="4"/>
  <c r="BQ197" i="4"/>
  <c r="BQ264" i="4"/>
  <c r="BQ238" i="4"/>
  <c r="BQ161" i="4"/>
  <c r="BQ167" i="4"/>
  <c r="BQ185" i="4"/>
  <c r="BQ187" i="4"/>
  <c r="BQ172" i="4"/>
  <c r="BQ129" i="4"/>
  <c r="BQ178" i="4"/>
  <c r="BQ131" i="4"/>
  <c r="BQ7" i="4"/>
  <c r="BQ12" i="4"/>
  <c r="BQ164" i="4"/>
  <c r="BQ108" i="4"/>
  <c r="BQ29" i="4"/>
  <c r="BQ11" i="4"/>
  <c r="BQ122" i="4"/>
  <c r="BQ262" i="4"/>
  <c r="BQ235" i="4"/>
  <c r="BQ256" i="4"/>
  <c r="BQ188" i="4"/>
  <c r="BQ261" i="4"/>
  <c r="BQ216" i="4"/>
  <c r="BQ149" i="4"/>
  <c r="BQ154" i="4"/>
  <c r="BQ174" i="4"/>
  <c r="BQ162" i="4"/>
  <c r="BQ117" i="4"/>
  <c r="BQ118" i="4"/>
  <c r="BQ208" i="4"/>
  <c r="BQ177" i="4"/>
  <c r="BQ10" i="4"/>
  <c r="BQ158" i="4"/>
  <c r="BQ65" i="4"/>
  <c r="BQ48" i="4"/>
  <c r="BQ18" i="4"/>
  <c r="BQ151" i="4"/>
  <c r="BQ173" i="4"/>
  <c r="BQ95" i="4"/>
  <c r="AA110" i="4"/>
  <c r="AA254" i="4"/>
  <c r="AA257" i="4"/>
  <c r="AA152" i="4"/>
  <c r="AE263" i="4"/>
  <c r="AA74" i="4"/>
  <c r="AC239" i="4"/>
  <c r="BA235" i="4"/>
  <c r="AZ176" i="4"/>
  <c r="AZ85" i="4"/>
  <c r="AZ171" i="4"/>
  <c r="AZ238" i="4"/>
  <c r="BA157" i="4"/>
  <c r="BA207" i="4"/>
  <c r="BA147" i="4"/>
  <c r="BA230" i="4"/>
  <c r="BA120" i="4"/>
  <c r="BA137" i="4"/>
  <c r="AZ252" i="4"/>
  <c r="AZ163" i="4"/>
  <c r="AZ93" i="4"/>
  <c r="BA206" i="4"/>
  <c r="BA210" i="4"/>
  <c r="AZ174" i="4"/>
  <c r="AZ189" i="4"/>
  <c r="AZ131" i="4"/>
  <c r="BA77" i="4"/>
  <c r="AZ101" i="4"/>
  <c r="BA225" i="4"/>
  <c r="AZ89" i="4"/>
  <c r="AZ111" i="4"/>
  <c r="BA197" i="4"/>
  <c r="BC258" i="4"/>
  <c r="BC269" i="4"/>
  <c r="BJ59" i="4"/>
  <c r="BJ33" i="4"/>
  <c r="BJ34" i="4"/>
  <c r="BJ39" i="4"/>
  <c r="BJ47" i="4"/>
  <c r="BJ22" i="4"/>
  <c r="BJ48" i="4"/>
  <c r="BJ23" i="4"/>
  <c r="BJ60" i="4"/>
  <c r="BJ35" i="4"/>
  <c r="BJ10" i="4"/>
  <c r="BJ36" i="4"/>
  <c r="BJ11" i="4"/>
  <c r="BJ49" i="4"/>
  <c r="BJ24" i="4"/>
  <c r="BJ50" i="4"/>
  <c r="BJ25" i="4"/>
  <c r="BJ56" i="4"/>
  <c r="BJ37" i="4"/>
  <c r="BJ12" i="4"/>
  <c r="BJ38" i="4"/>
  <c r="BJ13" i="4"/>
  <c r="BJ44" i="4"/>
  <c r="BO7" i="4"/>
  <c r="BJ26" i="4"/>
  <c r="BJ52" i="4"/>
  <c r="BJ27" i="4"/>
  <c r="BJ53" i="4"/>
  <c r="BJ32" i="4"/>
  <c r="BJ14" i="4"/>
  <c r="BJ40" i="4"/>
  <c r="BJ15" i="4"/>
  <c r="BJ41" i="4"/>
  <c r="BJ21" i="4"/>
  <c r="BO8" i="4"/>
  <c r="BO9" i="4"/>
  <c r="BJ54" i="4"/>
  <c r="BJ28" i="4"/>
  <c r="BJ55" i="4"/>
  <c r="BJ29" i="4"/>
  <c r="BJ9" i="4"/>
  <c r="BJ42" i="4"/>
  <c r="BJ17" i="4"/>
  <c r="BJ43" i="4"/>
  <c r="BJ18" i="4"/>
  <c r="BJ16" i="4"/>
  <c r="BJ30" i="4"/>
  <c r="BJ31" i="4"/>
  <c r="BJ51" i="4"/>
  <c r="BJ19" i="4"/>
  <c r="BJ57" i="4"/>
  <c r="BJ20" i="4"/>
  <c r="BJ58" i="4"/>
  <c r="BJ7" i="4"/>
  <c r="BJ45" i="4"/>
  <c r="BJ8" i="4"/>
  <c r="BJ46" i="4"/>
  <c r="BA156" i="4"/>
  <c r="BA167" i="4"/>
  <c r="AZ255" i="4"/>
  <c r="BA134" i="4"/>
  <c r="AA248" i="4"/>
  <c r="AA52" i="4"/>
  <c r="AA258" i="4"/>
  <c r="AA104" i="4"/>
  <c r="AC209" i="4"/>
  <c r="AE195" i="4"/>
  <c r="AE166" i="4"/>
  <c r="AE147" i="4"/>
  <c r="BA98" i="4"/>
  <c r="BA189" i="4"/>
  <c r="AZ99" i="4"/>
  <c r="AZ161" i="4"/>
  <c r="BA92" i="4"/>
  <c r="BA140" i="4"/>
  <c r="AZ159" i="4"/>
  <c r="AZ256" i="4"/>
  <c r="AZ178" i="4"/>
  <c r="AZ82" i="4"/>
  <c r="BA244" i="4"/>
  <c r="AZ221" i="4"/>
  <c r="AZ77" i="4"/>
  <c r="AZ122" i="4"/>
  <c r="BA139" i="4"/>
  <c r="BA242" i="4"/>
  <c r="AZ102" i="4"/>
  <c r="AZ119" i="4"/>
  <c r="AZ137" i="4"/>
  <c r="AZ192" i="4"/>
  <c r="AZ139" i="4"/>
  <c r="BA83" i="4"/>
  <c r="BA151" i="4"/>
  <c r="BA107" i="4"/>
  <c r="BA118" i="4"/>
  <c r="BC249" i="4"/>
  <c r="BS271" i="4"/>
  <c r="BS260" i="4"/>
  <c r="BS272" i="4"/>
  <c r="BS261" i="4"/>
  <c r="BS269" i="4"/>
  <c r="BS273" i="4"/>
  <c r="BS266" i="4"/>
  <c r="BS264" i="4"/>
  <c r="BS270" i="4"/>
  <c r="BS263" i="4"/>
  <c r="BS265" i="4"/>
  <c r="BS267" i="4"/>
  <c r="BS262" i="4"/>
  <c r="BS268" i="4"/>
  <c r="BA136" i="4"/>
  <c r="AC243" i="4"/>
  <c r="AA158" i="4"/>
  <c r="BA105" i="4"/>
  <c r="BA165" i="4"/>
  <c r="BA160" i="4"/>
  <c r="AZ220" i="4"/>
  <c r="BA109" i="4"/>
  <c r="AZ211" i="4"/>
  <c r="AZ108" i="4"/>
  <c r="BA80" i="4"/>
  <c r="BA149" i="4"/>
  <c r="BA158" i="4"/>
  <c r="BA178" i="4"/>
  <c r="BA193" i="4"/>
  <c r="BA240" i="4"/>
  <c r="BA163" i="4"/>
  <c r="AZ123" i="4"/>
  <c r="AZ126" i="4"/>
  <c r="BA96" i="4"/>
  <c r="AZ217" i="4"/>
  <c r="BA99" i="4"/>
  <c r="AZ258" i="4"/>
  <c r="BA181" i="4"/>
  <c r="BA239" i="4"/>
  <c r="AA112" i="4"/>
  <c r="AC255" i="4"/>
  <c r="AA259" i="4"/>
  <c r="AE95" i="4"/>
  <c r="AA150" i="4"/>
  <c r="AA169" i="4"/>
  <c r="AE151" i="4"/>
  <c r="AZ229" i="4"/>
  <c r="AZ81" i="4"/>
  <c r="AZ214" i="4"/>
  <c r="AZ154" i="4"/>
  <c r="BA110" i="4"/>
  <c r="AZ127" i="4"/>
  <c r="AZ143" i="4"/>
  <c r="BA255" i="4"/>
  <c r="AZ172" i="4"/>
  <c r="BA85" i="4"/>
  <c r="BA155" i="4"/>
  <c r="BA208" i="4"/>
  <c r="BA108" i="4"/>
  <c r="BA124" i="4"/>
  <c r="BA238" i="4"/>
  <c r="AZ225" i="4"/>
  <c r="BA122" i="4"/>
  <c r="AZ186" i="4"/>
  <c r="AZ138" i="4"/>
  <c r="AZ242" i="4"/>
  <c r="AZ106" i="4"/>
  <c r="BC246" i="4"/>
  <c r="AA249" i="4"/>
  <c r="AC259" i="4"/>
  <c r="AA155" i="4"/>
  <c r="AC270" i="4"/>
  <c r="AA164" i="4"/>
  <c r="AA173" i="4"/>
  <c r="AA253" i="4"/>
  <c r="AA70" i="4"/>
  <c r="BA247" i="4"/>
  <c r="BA219" i="4"/>
  <c r="BA159" i="4"/>
  <c r="AZ148" i="4"/>
  <c r="BA224" i="4"/>
  <c r="BA183" i="4"/>
  <c r="BA78" i="4"/>
  <c r="AZ250" i="4"/>
  <c r="BA257" i="4"/>
  <c r="AZ96" i="4"/>
  <c r="AZ209" i="4"/>
  <c r="AZ247" i="4"/>
  <c r="AZ167" i="4"/>
  <c r="AZ98" i="4"/>
  <c r="AZ241" i="4"/>
  <c r="AZ151" i="4"/>
  <c r="AZ152" i="4"/>
  <c r="AZ180" i="4"/>
  <c r="BA195" i="4"/>
  <c r="AZ257" i="4"/>
  <c r="AZ224" i="4"/>
  <c r="AZ197" i="4"/>
  <c r="BA245" i="4"/>
  <c r="BA162" i="4"/>
  <c r="AE212" i="4"/>
  <c r="AE229" i="4"/>
  <c r="AA123" i="4"/>
  <c r="AE231" i="4"/>
  <c r="AE117" i="4"/>
  <c r="AE244" i="4"/>
  <c r="AE129" i="4"/>
  <c r="AE113" i="4"/>
  <c r="AA187" i="4"/>
  <c r="AE134" i="4"/>
  <c r="AA198" i="4"/>
  <c r="BC267" i="4"/>
  <c r="BC255" i="4"/>
  <c r="BC260" i="4"/>
  <c r="BC262" i="4"/>
  <c r="BC266" i="4"/>
  <c r="BL260" i="4"/>
  <c r="BL235" i="4"/>
  <c r="BL249" i="4"/>
  <c r="BL225" i="4"/>
  <c r="BL166" i="4"/>
  <c r="BL162" i="4"/>
  <c r="BL155" i="4"/>
  <c r="BL148" i="4"/>
  <c r="BL140" i="4"/>
  <c r="BL120" i="4"/>
  <c r="BL100" i="4"/>
  <c r="BL94" i="4"/>
  <c r="BL173" i="4"/>
  <c r="BL70" i="4"/>
  <c r="BL250" i="4"/>
  <c r="BL226" i="4"/>
  <c r="BL261" i="4"/>
  <c r="BL238" i="4"/>
  <c r="BL267" i="4"/>
  <c r="BL157" i="4"/>
  <c r="BL150" i="4"/>
  <c r="BL141" i="4"/>
  <c r="BL135" i="4"/>
  <c r="BL127" i="4"/>
  <c r="BL108" i="4"/>
  <c r="BL252" i="4"/>
  <c r="BL215" i="4"/>
  <c r="BL69" i="4"/>
  <c r="BL199" i="4"/>
  <c r="BL220" i="4"/>
  <c r="BL239" i="4"/>
  <c r="BL272" i="4"/>
  <c r="BL251" i="4"/>
  <c r="BL255" i="4"/>
  <c r="BL143" i="4"/>
  <c r="BL137" i="4"/>
  <c r="BL129" i="4"/>
  <c r="BL122" i="4"/>
  <c r="BL115" i="4"/>
  <c r="BL96" i="4"/>
  <c r="BL221" i="4"/>
  <c r="BL201" i="4"/>
  <c r="BL152" i="4"/>
  <c r="BL59" i="4"/>
  <c r="BL76" i="4"/>
  <c r="BL179" i="4"/>
  <c r="BL109" i="4"/>
  <c r="BL227" i="4"/>
  <c r="BL263" i="4"/>
  <c r="BL240" i="4"/>
  <c r="BL273" i="4"/>
  <c r="BL246" i="4"/>
  <c r="BL132" i="4"/>
  <c r="BL124" i="4"/>
  <c r="BL117" i="4"/>
  <c r="BL110" i="4"/>
  <c r="BL102" i="4"/>
  <c r="BL217" i="4"/>
  <c r="BL210" i="4"/>
  <c r="BL192" i="4"/>
  <c r="BL139" i="4"/>
  <c r="BL82" i="4"/>
  <c r="BL65" i="4"/>
  <c r="BL154" i="4"/>
  <c r="BL168" i="4"/>
  <c r="BL71" i="4"/>
  <c r="BL253" i="4"/>
  <c r="BL228" i="4"/>
  <c r="BL264" i="4"/>
  <c r="BL233" i="4"/>
  <c r="BL119" i="4"/>
  <c r="BL112" i="4"/>
  <c r="BL105" i="4"/>
  <c r="BL205" i="4"/>
  <c r="BL197" i="4"/>
  <c r="BL181" i="4"/>
  <c r="BL126" i="4"/>
  <c r="BL175" i="4"/>
  <c r="BL72" i="4"/>
  <c r="BL213" i="4"/>
  <c r="BL116" i="4"/>
  <c r="BL136" i="4"/>
  <c r="BL81" i="4"/>
  <c r="BL265" i="4"/>
  <c r="BL242" i="4"/>
  <c r="BL223" i="4"/>
  <c r="BL107" i="4"/>
  <c r="BL99" i="4"/>
  <c r="BL93" i="4"/>
  <c r="BL219" i="4"/>
  <c r="BL212" i="4"/>
  <c r="BL183" i="4"/>
  <c r="BL188" i="4"/>
  <c r="BL170" i="4"/>
  <c r="BL114" i="4"/>
  <c r="BL98" i="4"/>
  <c r="BL61" i="4"/>
  <c r="BL191" i="4"/>
  <c r="BL123" i="4"/>
  <c r="BL87" i="4"/>
  <c r="BL92" i="4"/>
  <c r="BL254" i="4"/>
  <c r="BL266" i="4"/>
  <c r="BL243" i="4"/>
  <c r="BL262" i="4"/>
  <c r="BL95" i="4"/>
  <c r="BL241" i="4"/>
  <c r="BL214" i="4"/>
  <c r="BL207" i="4"/>
  <c r="BL190" i="4"/>
  <c r="BL172" i="4"/>
  <c r="BL176" i="4"/>
  <c r="BL161" i="4"/>
  <c r="BL101" i="4"/>
  <c r="BL88" i="4"/>
  <c r="BL165" i="4"/>
  <c r="BL83" i="4"/>
  <c r="BL77" i="4"/>
  <c r="BL86" i="4"/>
  <c r="BL244" i="4"/>
  <c r="BL268" i="4"/>
  <c r="BL230" i="4"/>
  <c r="BL222" i="4"/>
  <c r="BL216" i="4"/>
  <c r="BL209" i="4"/>
  <c r="BL200" i="4"/>
  <c r="BL178" i="4"/>
  <c r="BL163" i="4"/>
  <c r="BL156" i="4"/>
  <c r="BL149" i="4"/>
  <c r="BL229" i="4"/>
  <c r="BL121" i="4"/>
  <c r="BL78" i="4"/>
  <c r="BL104" i="4"/>
  <c r="BL147" i="4"/>
  <c r="BL62" i="4"/>
  <c r="BL66" i="4"/>
  <c r="BL75" i="4"/>
  <c r="BL60" i="4"/>
  <c r="BL231" i="4"/>
  <c r="BL256" i="4"/>
  <c r="BL245" i="4"/>
  <c r="BL211" i="4"/>
  <c r="BL196" i="4"/>
  <c r="BL185" i="4"/>
  <c r="BL167" i="4"/>
  <c r="BL151" i="4"/>
  <c r="BL142" i="4"/>
  <c r="BL218" i="4"/>
  <c r="BL208" i="4"/>
  <c r="BL84" i="4"/>
  <c r="BL67" i="4"/>
  <c r="BL85" i="4"/>
  <c r="BL97" i="4"/>
  <c r="BL269" i="4"/>
  <c r="BL247" i="4"/>
  <c r="BL232" i="4"/>
  <c r="BL257" i="4"/>
  <c r="BL198" i="4"/>
  <c r="BL193" i="4"/>
  <c r="BL187" i="4"/>
  <c r="BL180" i="4"/>
  <c r="BL174" i="4"/>
  <c r="BL158" i="4"/>
  <c r="BL138" i="4"/>
  <c r="BL131" i="4"/>
  <c r="BL206" i="4"/>
  <c r="BL186" i="4"/>
  <c r="BL73" i="4"/>
  <c r="BL111" i="4"/>
  <c r="BL74" i="4"/>
  <c r="BL89" i="4"/>
  <c r="BL258" i="4"/>
  <c r="BL270" i="4"/>
  <c r="BL248" i="4"/>
  <c r="BL189" i="4"/>
  <c r="BL182" i="4"/>
  <c r="BL169" i="4"/>
  <c r="BL164" i="4"/>
  <c r="BL146" i="4"/>
  <c r="BL125" i="4"/>
  <c r="BL118" i="4"/>
  <c r="BL195" i="4"/>
  <c r="BL128" i="4"/>
  <c r="BL63" i="4"/>
  <c r="BL159" i="4"/>
  <c r="BL91" i="4"/>
  <c r="BL64" i="4"/>
  <c r="BL79" i="4"/>
  <c r="BL271" i="4"/>
  <c r="BL224" i="4"/>
  <c r="BL259" i="4"/>
  <c r="BL234" i="4"/>
  <c r="BL177" i="4"/>
  <c r="BL171" i="4"/>
  <c r="BL160" i="4"/>
  <c r="BL153" i="4"/>
  <c r="BL133" i="4"/>
  <c r="BL113" i="4"/>
  <c r="BL106" i="4"/>
  <c r="BL184" i="4"/>
  <c r="BL90" i="4"/>
  <c r="BL134" i="4"/>
  <c r="BL80" i="4"/>
  <c r="BL68" i="4"/>
  <c r="AA90" i="4"/>
  <c r="AA189" i="4"/>
  <c r="AE58" i="4"/>
  <c r="AA129" i="4"/>
  <c r="AE65" i="4"/>
  <c r="AE93" i="4"/>
  <c r="AE214" i="4"/>
  <c r="AE218" i="4"/>
  <c r="AA139" i="4"/>
  <c r="AE224" i="4"/>
  <c r="AC269" i="4"/>
  <c r="AA270" i="4"/>
  <c r="AE186" i="4"/>
  <c r="AA50" i="4"/>
  <c r="AE265" i="4"/>
  <c r="AE196" i="4"/>
  <c r="AE150" i="4"/>
  <c r="AE179" i="4"/>
  <c r="BC245" i="4"/>
  <c r="BC273" i="4"/>
  <c r="BC243" i="4"/>
  <c r="BC248" i="4"/>
  <c r="BC259" i="4"/>
  <c r="BC247" i="4"/>
  <c r="BC252" i="4"/>
  <c r="BC253" i="4"/>
  <c r="BC232" i="4"/>
  <c r="BC136" i="4"/>
  <c r="BC213" i="4"/>
  <c r="BC224" i="4"/>
  <c r="BC180" i="4"/>
  <c r="BC164" i="4"/>
  <c r="BC131" i="4"/>
  <c r="BC223" i="4"/>
  <c r="BC110" i="4"/>
  <c r="BC75" i="4"/>
  <c r="BC105" i="4"/>
  <c r="BC99" i="4"/>
  <c r="BC230" i="4"/>
  <c r="BC123" i="4"/>
  <c r="BC199" i="4"/>
  <c r="BC222" i="4"/>
  <c r="BC193" i="4"/>
  <c r="BC169" i="4"/>
  <c r="BC153" i="4"/>
  <c r="BC118" i="4"/>
  <c r="BC183" i="4"/>
  <c r="BC217" i="4"/>
  <c r="BC79" i="4"/>
  <c r="BC87" i="4"/>
  <c r="BC78" i="4"/>
  <c r="BC234" i="4"/>
  <c r="BC220" i="4"/>
  <c r="BC191" i="4"/>
  <c r="BC211" i="4"/>
  <c r="BC182" i="4"/>
  <c r="BC160" i="4"/>
  <c r="BC140" i="4"/>
  <c r="BC178" i="4"/>
  <c r="BC173" i="4"/>
  <c r="BC187" i="4"/>
  <c r="BC172" i="4"/>
  <c r="BC212" i="4"/>
  <c r="BC71" i="4"/>
  <c r="BC70" i="4"/>
  <c r="BC225" i="4"/>
  <c r="BC208" i="4"/>
  <c r="BC179" i="4"/>
  <c r="BC198" i="4"/>
  <c r="BC171" i="4"/>
  <c r="BC148" i="4"/>
  <c r="BC127" i="4"/>
  <c r="BC152" i="4"/>
  <c r="BC129" i="4"/>
  <c r="BC151" i="4"/>
  <c r="BC238" i="4"/>
  <c r="BC168" i="4"/>
  <c r="BC189" i="4"/>
  <c r="BC162" i="4"/>
  <c r="BC135" i="4"/>
  <c r="BC228" i="4"/>
  <c r="BC113" i="4"/>
  <c r="BC215" i="4"/>
  <c r="BC186" i="4"/>
  <c r="BC159" i="4"/>
  <c r="BC177" i="4"/>
  <c r="BC122" i="4"/>
  <c r="BC221" i="4"/>
  <c r="BC100" i="4"/>
  <c r="BC106" i="4"/>
  <c r="BC116" i="4"/>
  <c r="BC133" i="4"/>
  <c r="BC95" i="4"/>
  <c r="BC139" i="4"/>
  <c r="BC201" i="4"/>
  <c r="BC175" i="4"/>
  <c r="BC147" i="4"/>
  <c r="BC166" i="4"/>
  <c r="BC209" i="4"/>
  <c r="BC226" i="4"/>
  <c r="BC210" i="4"/>
  <c r="BC90" i="4"/>
  <c r="BC94" i="4"/>
  <c r="BC104" i="4"/>
  <c r="BC109" i="4"/>
  <c r="BC85" i="4"/>
  <c r="BC115" i="4"/>
  <c r="BC93" i="4"/>
  <c r="BC141" i="4"/>
  <c r="BC192" i="4"/>
  <c r="BC165" i="4"/>
  <c r="BC134" i="4"/>
  <c r="BC157" i="4"/>
  <c r="BC196" i="4"/>
  <c r="BC219" i="4"/>
  <c r="BC197" i="4"/>
  <c r="BC84" i="4"/>
  <c r="BC229" i="4"/>
  <c r="BC181" i="4"/>
  <c r="BC154" i="4"/>
  <c r="BC143" i="4"/>
  <c r="BC231" i="4"/>
  <c r="BC207" i="4"/>
  <c r="BC188" i="4"/>
  <c r="BC69" i="4"/>
  <c r="BC73" i="4"/>
  <c r="BC82" i="4"/>
  <c r="BC64" i="4"/>
  <c r="BC163" i="4"/>
  <c r="BC233" i="4"/>
  <c r="BC170" i="4"/>
  <c r="BC218" i="4"/>
  <c r="BC132" i="4"/>
  <c r="BC214" i="4"/>
  <c r="BC176" i="4"/>
  <c r="BC63" i="4"/>
  <c r="BC72" i="4"/>
  <c r="BC239" i="4"/>
  <c r="BC161" i="4"/>
  <c r="BC128" i="4"/>
  <c r="BC206" i="4"/>
  <c r="BC119" i="4"/>
  <c r="BC200" i="4"/>
  <c r="BC185" i="4"/>
  <c r="BC156" i="4"/>
  <c r="BC227" i="4"/>
  <c r="BC149" i="4"/>
  <c r="BC235" i="4"/>
  <c r="BC195" i="4"/>
  <c r="BC216" i="4"/>
  <c r="BC174" i="4"/>
  <c r="BC142" i="4"/>
  <c r="BC126" i="4"/>
  <c r="BC167" i="4"/>
  <c r="BC158" i="4"/>
  <c r="BC112" i="4"/>
  <c r="BC150" i="4"/>
  <c r="BC125" i="4"/>
  <c r="BC137" i="4"/>
  <c r="BC190" i="4"/>
  <c r="BC146" i="4"/>
  <c r="BC98" i="4"/>
  <c r="BC101" i="4"/>
  <c r="BC97" i="4"/>
  <c r="BC108" i="4"/>
  <c r="BC114" i="4"/>
  <c r="BC81" i="4"/>
  <c r="BC80" i="4"/>
  <c r="BC77" i="4"/>
  <c r="BC76" i="4"/>
  <c r="BC96" i="4"/>
  <c r="BC66" i="4"/>
  <c r="BC65" i="4"/>
  <c r="BC86" i="4"/>
  <c r="BC120" i="4"/>
  <c r="BC124" i="4"/>
  <c r="BC155" i="4"/>
  <c r="BC205" i="4"/>
  <c r="BC67" i="4"/>
  <c r="BC107" i="4"/>
  <c r="BC121" i="4"/>
  <c r="BC138" i="4"/>
  <c r="BC92" i="4"/>
  <c r="BC61" i="4"/>
  <c r="BC74" i="4"/>
  <c r="BC91" i="4"/>
  <c r="BC111" i="4"/>
  <c r="BC68" i="4"/>
  <c r="BC117" i="4"/>
  <c r="BC83" i="4"/>
  <c r="BC102" i="4"/>
  <c r="BC88" i="4"/>
  <c r="BC184" i="4"/>
  <c r="BC89" i="4"/>
  <c r="BC62" i="4"/>
  <c r="AE215" i="4"/>
  <c r="AE139" i="4"/>
  <c r="AE185" i="4"/>
  <c r="AA63" i="4"/>
  <c r="AE88" i="4"/>
  <c r="AE98" i="4"/>
  <c r="AE96" i="4"/>
  <c r="AE108" i="4"/>
  <c r="AA168" i="4"/>
  <c r="AE70" i="4"/>
  <c r="AA59" i="4"/>
  <c r="BA184" i="4"/>
  <c r="AZ112" i="4"/>
  <c r="AZ170" i="4"/>
  <c r="AZ128" i="4"/>
  <c r="BC268" i="4"/>
  <c r="BJ262" i="4"/>
  <c r="BJ227" i="4"/>
  <c r="BJ263" i="4"/>
  <c r="BJ228" i="4"/>
  <c r="BJ257" i="4"/>
  <c r="BJ121" i="4"/>
  <c r="BJ126" i="4"/>
  <c r="BJ132" i="4"/>
  <c r="BJ124" i="4"/>
  <c r="BJ117" i="4"/>
  <c r="BJ110" i="4"/>
  <c r="BJ115" i="4"/>
  <c r="BJ96" i="4"/>
  <c r="BJ186" i="4"/>
  <c r="BJ81" i="4"/>
  <c r="BJ197" i="4"/>
  <c r="BJ192" i="4"/>
  <c r="BJ76" i="4"/>
  <c r="BJ80" i="4"/>
  <c r="BJ252" i="4"/>
  <c r="BJ253" i="4"/>
  <c r="BJ248" i="4"/>
  <c r="BJ109" i="4"/>
  <c r="BJ114" i="4"/>
  <c r="BJ119" i="4"/>
  <c r="BJ112" i="4"/>
  <c r="BJ105" i="4"/>
  <c r="BJ102" i="4"/>
  <c r="BJ230" i="4"/>
  <c r="BJ175" i="4"/>
  <c r="BJ71" i="4"/>
  <c r="BJ149" i="4"/>
  <c r="BJ125" i="4"/>
  <c r="BJ65" i="4"/>
  <c r="BJ70" i="4"/>
  <c r="BJ241" i="4"/>
  <c r="BJ265" i="4"/>
  <c r="BJ242" i="4"/>
  <c r="BJ266" i="4"/>
  <c r="BJ234" i="4"/>
  <c r="BJ97" i="4"/>
  <c r="BJ101" i="4"/>
  <c r="BJ107" i="4"/>
  <c r="BJ99" i="4"/>
  <c r="BJ93" i="4"/>
  <c r="BJ223" i="4"/>
  <c r="BJ217" i="4"/>
  <c r="BJ165" i="4"/>
  <c r="BJ106" i="4"/>
  <c r="BJ98" i="4"/>
  <c r="BJ82" i="4"/>
  <c r="BJ210" i="4"/>
  <c r="BJ229" i="4"/>
  <c r="BJ254" i="4"/>
  <c r="BJ225" i="4"/>
  <c r="BJ243" i="4"/>
  <c r="BJ224" i="4"/>
  <c r="BJ95" i="4"/>
  <c r="BJ273" i="4"/>
  <c r="BJ214" i="4"/>
  <c r="BJ219" i="4"/>
  <c r="BJ212" i="4"/>
  <c r="BJ205" i="4"/>
  <c r="BJ154" i="4"/>
  <c r="BJ84" i="4"/>
  <c r="BJ88" i="4"/>
  <c r="BJ72" i="4"/>
  <c r="BJ188" i="4"/>
  <c r="BJ83" i="4"/>
  <c r="BJ267" i="4"/>
  <c r="BJ244" i="4"/>
  <c r="BJ268" i="4"/>
  <c r="BJ245" i="4"/>
  <c r="BJ213" i="4"/>
  <c r="BJ218" i="4"/>
  <c r="BJ222" i="4"/>
  <c r="BJ216" i="4"/>
  <c r="BJ209" i="4"/>
  <c r="BJ200" i="4"/>
  <c r="BJ207" i="4"/>
  <c r="BJ190" i="4"/>
  <c r="BJ183" i="4"/>
  <c r="BJ161" i="4"/>
  <c r="BJ73" i="4"/>
  <c r="BJ78" i="4"/>
  <c r="BJ61" i="4"/>
  <c r="BJ170" i="4"/>
  <c r="BJ123" i="4"/>
  <c r="BJ255" i="4"/>
  <c r="BJ231" i="4"/>
  <c r="BJ256" i="4"/>
  <c r="BJ232" i="4"/>
  <c r="BJ199" i="4"/>
  <c r="BJ206" i="4"/>
  <c r="BJ211" i="4"/>
  <c r="BJ196" i="4"/>
  <c r="BJ178" i="4"/>
  <c r="BJ172" i="4"/>
  <c r="BJ128" i="4"/>
  <c r="BJ113" i="4"/>
  <c r="BJ63" i="4"/>
  <c r="BJ67" i="4"/>
  <c r="BJ131" i="4"/>
  <c r="BJ100" i="4"/>
  <c r="BJ246" i="4"/>
  <c r="BJ269" i="4"/>
  <c r="BJ247" i="4"/>
  <c r="BJ270" i="4"/>
  <c r="BJ191" i="4"/>
  <c r="BJ195" i="4"/>
  <c r="BJ198" i="4"/>
  <c r="BJ193" i="4"/>
  <c r="BJ187" i="4"/>
  <c r="BJ180" i="4"/>
  <c r="BJ185" i="4"/>
  <c r="BJ167" i="4"/>
  <c r="BJ163" i="4"/>
  <c r="BJ116" i="4"/>
  <c r="BJ90" i="4"/>
  <c r="BJ89" i="4"/>
  <c r="BJ87" i="4"/>
  <c r="BJ233" i="4"/>
  <c r="BJ258" i="4"/>
  <c r="BJ259" i="4"/>
  <c r="BJ179" i="4"/>
  <c r="BJ184" i="4"/>
  <c r="BJ189" i="4"/>
  <c r="BJ182" i="4"/>
  <c r="BJ169" i="4"/>
  <c r="BJ174" i="4"/>
  <c r="BJ158" i="4"/>
  <c r="BJ151" i="4"/>
  <c r="BJ104" i="4"/>
  <c r="BJ136" i="4"/>
  <c r="BJ201" i="4"/>
  <c r="BJ138" i="4"/>
  <c r="BJ79" i="4"/>
  <c r="BJ77" i="4"/>
  <c r="BJ62" i="4"/>
  <c r="BJ271" i="4"/>
  <c r="BJ249" i="4"/>
  <c r="BJ168" i="4"/>
  <c r="BJ173" i="4"/>
  <c r="BJ177" i="4"/>
  <c r="BJ171" i="4"/>
  <c r="BJ160" i="4"/>
  <c r="BJ164" i="4"/>
  <c r="BJ146" i="4"/>
  <c r="BJ264" i="4"/>
  <c r="BJ176" i="4"/>
  <c r="BJ86" i="4"/>
  <c r="BJ69" i="4"/>
  <c r="BJ181" i="4"/>
  <c r="BJ85" i="4"/>
  <c r="BJ68" i="4"/>
  <c r="BJ66" i="4"/>
  <c r="BJ260" i="4"/>
  <c r="BJ235" i="4"/>
  <c r="BJ261" i="4"/>
  <c r="BJ238" i="4"/>
  <c r="BJ159" i="4"/>
  <c r="BJ166" i="4"/>
  <c r="BJ162" i="4"/>
  <c r="BJ155" i="4"/>
  <c r="BJ148" i="4"/>
  <c r="BJ153" i="4"/>
  <c r="BJ133" i="4"/>
  <c r="BJ220" i="4"/>
  <c r="BJ142" i="4"/>
  <c r="BJ75" i="4"/>
  <c r="BJ118" i="4"/>
  <c r="BJ156" i="4"/>
  <c r="BJ74" i="4"/>
  <c r="BJ250" i="4"/>
  <c r="BJ226" i="4"/>
  <c r="BJ251" i="4"/>
  <c r="BJ147" i="4"/>
  <c r="BJ152" i="4"/>
  <c r="BJ157" i="4"/>
  <c r="BJ150" i="4"/>
  <c r="BJ141" i="4"/>
  <c r="BJ135" i="4"/>
  <c r="BJ140" i="4"/>
  <c r="BJ120" i="4"/>
  <c r="BJ208" i="4"/>
  <c r="BJ94" i="4"/>
  <c r="BJ111" i="4"/>
  <c r="BJ64" i="4"/>
  <c r="BJ239" i="4"/>
  <c r="BJ272" i="4"/>
  <c r="BJ240" i="4"/>
  <c r="BJ134" i="4"/>
  <c r="BJ139" i="4"/>
  <c r="BJ143" i="4"/>
  <c r="BJ137" i="4"/>
  <c r="BJ129" i="4"/>
  <c r="BJ122" i="4"/>
  <c r="BJ127" i="4"/>
  <c r="BJ108" i="4"/>
  <c r="BJ92" i="4"/>
  <c r="BJ221" i="4"/>
  <c r="BJ215" i="4"/>
  <c r="BJ91" i="4"/>
  <c r="BA171" i="4"/>
  <c r="BA169" i="4"/>
  <c r="BA248" i="4"/>
  <c r="BA86" i="4"/>
  <c r="BC256" i="4"/>
  <c r="BC261" i="4"/>
  <c r="BC241" i="4"/>
  <c r="AE71" i="4"/>
  <c r="AA99" i="4"/>
  <c r="AA186" i="4"/>
  <c r="AE67" i="4"/>
  <c r="AE128" i="4"/>
  <c r="AA260" i="4"/>
  <c r="AE221" i="4"/>
  <c r="AE216" i="4"/>
  <c r="AA255" i="4"/>
  <c r="AA244" i="4"/>
  <c r="AE89" i="4"/>
  <c r="AA94" i="4"/>
  <c r="AE99" i="4"/>
  <c r="AA133" i="4"/>
  <c r="AE247" i="4"/>
  <c r="AA160" i="4"/>
  <c r="AE258" i="4"/>
  <c r="AA51" i="4"/>
  <c r="AA167" i="4"/>
  <c r="AA206" i="4"/>
  <c r="AZ187" i="4"/>
  <c r="BA116" i="4"/>
  <c r="AZ78" i="4"/>
  <c r="AZ243" i="4"/>
  <c r="AZ165" i="4"/>
  <c r="BA84" i="4"/>
  <c r="BC265" i="4"/>
  <c r="AA224" i="4"/>
  <c r="AA241" i="4"/>
  <c r="AE178" i="4"/>
  <c r="AE207" i="4"/>
  <c r="AA238" i="4"/>
  <c r="AA211" i="4"/>
  <c r="AE201" i="4"/>
  <c r="AA96" i="4"/>
  <c r="AA126" i="4"/>
  <c r="AE74" i="4"/>
  <c r="AC256" i="4"/>
  <c r="AA121" i="4"/>
  <c r="AA82" i="4"/>
  <c r="AA267" i="4"/>
  <c r="AA128" i="4"/>
  <c r="AE238" i="4"/>
  <c r="AA148" i="4"/>
  <c r="AE110" i="4"/>
  <c r="AA162" i="4"/>
  <c r="AE124" i="4"/>
  <c r="AA95" i="4"/>
  <c r="AA72" i="4"/>
  <c r="AX273" i="4"/>
  <c r="AZ206" i="4"/>
  <c r="AZ117" i="4"/>
  <c r="BA179" i="4"/>
  <c r="BA94" i="4"/>
  <c r="AZ160" i="4"/>
  <c r="BA173" i="4"/>
  <c r="AZ83" i="4"/>
  <c r="BC263" i="4"/>
  <c r="BC250" i="4"/>
  <c r="BO263" i="4"/>
  <c r="BN253" i="4"/>
  <c r="BO240" i="4"/>
  <c r="BO232" i="4"/>
  <c r="BO273" i="4"/>
  <c r="BN264" i="4"/>
  <c r="BO252" i="4"/>
  <c r="BN241" i="4"/>
  <c r="BN223" i="4"/>
  <c r="BO214" i="4"/>
  <c r="BO148" i="4"/>
  <c r="BO207" i="4"/>
  <c r="BO140" i="4"/>
  <c r="BO190" i="4"/>
  <c r="BO120" i="4"/>
  <c r="BN178" i="4"/>
  <c r="BN108" i="4"/>
  <c r="BN172" i="4"/>
  <c r="BO94" i="4"/>
  <c r="BO161" i="4"/>
  <c r="BN271" i="4"/>
  <c r="BN161" i="4"/>
  <c r="BO231" i="4"/>
  <c r="BO159" i="4"/>
  <c r="BN250" i="4"/>
  <c r="BN159" i="4"/>
  <c r="BN162" i="4"/>
  <c r="BN218" i="4"/>
  <c r="BO50" i="4"/>
  <c r="BO74" i="4"/>
  <c r="BO46" i="4"/>
  <c r="BO139" i="4"/>
  <c r="BN62" i="4"/>
  <c r="BN132" i="4"/>
  <c r="BN32" i="4"/>
  <c r="BN81" i="4"/>
  <c r="BO67" i="4"/>
  <c r="BO177" i="4"/>
  <c r="BN258" i="4"/>
  <c r="BO247" i="4"/>
  <c r="BN228" i="4"/>
  <c r="BN270" i="4"/>
  <c r="BO257" i="4"/>
  <c r="BN248" i="4"/>
  <c r="BO233" i="4"/>
  <c r="BN209" i="4"/>
  <c r="BN141" i="4"/>
  <c r="BN200" i="4"/>
  <c r="BN135" i="4"/>
  <c r="BN185" i="4"/>
  <c r="BN115" i="4"/>
  <c r="BO172" i="4"/>
  <c r="BO100" i="4"/>
  <c r="BN163" i="4"/>
  <c r="BO254" i="4"/>
  <c r="BN156" i="4"/>
  <c r="BO220" i="4"/>
  <c r="BO154" i="4"/>
  <c r="BN220" i="4"/>
  <c r="BN154" i="4"/>
  <c r="BO218" i="4"/>
  <c r="BO152" i="4"/>
  <c r="BO155" i="4"/>
  <c r="BO166" i="4"/>
  <c r="BN45" i="4"/>
  <c r="BN82" i="4"/>
  <c r="BO80" i="4"/>
  <c r="BN70" i="4"/>
  <c r="BN173" i="4"/>
  <c r="BN41" i="4"/>
  <c r="BN97" i="4"/>
  <c r="BO56" i="4"/>
  <c r="BO124" i="4"/>
  <c r="BO75" i="4"/>
  <c r="BN75" i="4"/>
  <c r="BN63" i="4"/>
  <c r="BN35" i="4"/>
  <c r="BN143" i="4"/>
  <c r="BO253" i="4"/>
  <c r="BN242" i="4"/>
  <c r="BO228" i="4"/>
  <c r="BO264" i="4"/>
  <c r="BO241" i="4"/>
  <c r="BN229" i="4"/>
  <c r="BO269" i="4"/>
  <c r="BO200" i="4"/>
  <c r="BO135" i="4"/>
  <c r="BO127" i="4"/>
  <c r="BO178" i="4"/>
  <c r="BO108" i="4"/>
  <c r="BN167" i="4"/>
  <c r="BN96" i="4"/>
  <c r="BO156" i="4"/>
  <c r="BN221" i="4"/>
  <c r="BO149" i="4"/>
  <c r="BN215" i="4"/>
  <c r="BN149" i="4"/>
  <c r="BO213" i="4"/>
  <c r="BO147" i="4"/>
  <c r="BN213" i="4"/>
  <c r="BN216" i="4"/>
  <c r="BN150" i="4"/>
  <c r="BO162" i="4"/>
  <c r="BO38" i="4"/>
  <c r="BO76" i="4"/>
  <c r="BN76" i="4"/>
  <c r="BO64" i="4"/>
  <c r="BN119" i="4"/>
  <c r="BO34" i="4"/>
  <c r="BN89" i="4"/>
  <c r="BN51" i="4"/>
  <c r="BN87" i="4"/>
  <c r="BN71" i="4"/>
  <c r="BO265" i="4"/>
  <c r="BO69" i="4"/>
  <c r="BO137" i="4"/>
  <c r="BO57" i="4"/>
  <c r="BO84" i="4"/>
  <c r="BO73" i="4"/>
  <c r="BN224" i="4"/>
  <c r="BO270" i="4"/>
  <c r="BN259" i="4"/>
  <c r="BO248" i="4"/>
  <c r="BN234" i="4"/>
  <c r="BO271" i="4"/>
  <c r="BN265" i="4"/>
  <c r="BN196" i="4"/>
  <c r="BN129" i="4"/>
  <c r="BN122" i="4"/>
  <c r="BN174" i="4"/>
  <c r="BN102" i="4"/>
  <c r="BO163" i="4"/>
  <c r="BO223" i="4"/>
  <c r="BN151" i="4"/>
  <c r="BO215" i="4"/>
  <c r="BN142" i="4"/>
  <c r="BO208" i="4"/>
  <c r="BN208" i="4"/>
  <c r="BO206" i="4"/>
  <c r="BO209" i="4"/>
  <c r="BO141" i="4"/>
  <c r="BN114" i="4"/>
  <c r="BN33" i="4"/>
  <c r="BN72" i="4"/>
  <c r="BO222" i="4"/>
  <c r="BO70" i="4"/>
  <c r="BN222" i="4"/>
  <c r="BO112" i="4"/>
  <c r="BO83" i="4"/>
  <c r="BO44" i="4"/>
  <c r="BO81" i="4"/>
  <c r="BN211" i="4"/>
  <c r="BN95" i="4"/>
  <c r="BN52" i="4"/>
  <c r="BO52" i="4"/>
  <c r="BO40" i="4"/>
  <c r="BO242" i="4"/>
  <c r="BN266" i="4"/>
  <c r="BN243" i="4"/>
  <c r="BO229" i="4"/>
  <c r="BN267" i="4"/>
  <c r="BO258" i="4"/>
  <c r="BO122" i="4"/>
  <c r="BO185" i="4"/>
  <c r="BO115" i="4"/>
  <c r="BO167" i="4"/>
  <c r="BO96" i="4"/>
  <c r="BN158" i="4"/>
  <c r="BO221" i="4"/>
  <c r="BO142" i="4"/>
  <c r="BN210" i="4"/>
  <c r="BO136" i="4"/>
  <c r="BN201" i="4"/>
  <c r="BN136" i="4"/>
  <c r="BO199" i="4"/>
  <c r="BO134" i="4"/>
  <c r="BN199" i="4"/>
  <c r="BN137" i="4"/>
  <c r="BO107" i="4"/>
  <c r="BO65" i="4"/>
  <c r="BN206" i="4"/>
  <c r="BN65" i="4"/>
  <c r="BO216" i="4"/>
  <c r="BO53" i="4"/>
  <c r="BO89" i="4"/>
  <c r="BN79" i="4"/>
  <c r="BN39" i="4"/>
  <c r="BN77" i="4"/>
  <c r="BN60" i="4"/>
  <c r="BN189" i="4"/>
  <c r="BO59" i="4"/>
  <c r="BN177" i="4"/>
  <c r="BO45" i="4"/>
  <c r="BN90" i="4"/>
  <c r="BN235" i="4"/>
  <c r="BO224" i="4"/>
  <c r="BO259" i="4"/>
  <c r="BN249" i="4"/>
  <c r="BO234" i="4"/>
  <c r="BN225" i="4"/>
  <c r="BO260" i="4"/>
  <c r="BN254" i="4"/>
  <c r="BN187" i="4"/>
  <c r="BN117" i="4"/>
  <c r="BN180" i="4"/>
  <c r="BN110" i="4"/>
  <c r="BN164" i="4"/>
  <c r="BO151" i="4"/>
  <c r="BN217" i="4"/>
  <c r="BN138" i="4"/>
  <c r="BO201" i="4"/>
  <c r="BN131" i="4"/>
  <c r="BO128" i="4"/>
  <c r="BN128" i="4"/>
  <c r="BO195" i="4"/>
  <c r="BO196" i="4"/>
  <c r="BO129" i="4"/>
  <c r="BN88" i="4"/>
  <c r="BN61" i="4"/>
  <c r="BO198" i="4"/>
  <c r="BN198" i="4"/>
  <c r="BN48" i="4"/>
  <c r="BN85" i="4"/>
  <c r="BN68" i="4"/>
  <c r="BN157" i="4"/>
  <c r="BO32" i="4"/>
  <c r="BO71" i="4"/>
  <c r="BO211" i="4"/>
  <c r="BO54" i="4"/>
  <c r="BN54" i="4"/>
  <c r="BN152" i="4"/>
  <c r="BN40" i="4"/>
  <c r="BN69" i="4"/>
  <c r="BN59" i="4"/>
  <c r="BO266" i="4"/>
  <c r="BO243" i="4"/>
  <c r="BN230" i="4"/>
  <c r="BN255" i="4"/>
  <c r="BO180" i="4"/>
  <c r="BO110" i="4"/>
  <c r="BO174" i="4"/>
  <c r="BO102" i="4"/>
  <c r="BO158" i="4"/>
  <c r="BN239" i="4"/>
  <c r="BN146" i="4"/>
  <c r="BO210" i="4"/>
  <c r="BO131" i="4"/>
  <c r="BN197" i="4"/>
  <c r="BO123" i="4"/>
  <c r="BN192" i="4"/>
  <c r="BN123" i="4"/>
  <c r="BO191" i="4"/>
  <c r="BO121" i="4"/>
  <c r="BN191" i="4"/>
  <c r="BN193" i="4"/>
  <c r="BN124" i="4"/>
  <c r="BO82" i="4"/>
  <c r="BO55" i="4"/>
  <c r="BN184" i="4"/>
  <c r="BN55" i="4"/>
  <c r="BO193" i="4"/>
  <c r="BO41" i="4"/>
  <c r="BO79" i="4"/>
  <c r="BO62" i="4"/>
  <c r="BN139" i="4"/>
  <c r="BN66" i="4"/>
  <c r="BN195" i="4"/>
  <c r="BN49" i="4"/>
  <c r="BO143" i="4"/>
  <c r="BO47" i="4"/>
  <c r="BN121" i="4"/>
  <c r="BO33" i="4"/>
  <c r="BN226" i="4"/>
  <c r="BN268" i="4"/>
  <c r="BN261" i="4"/>
  <c r="BO249" i="4"/>
  <c r="BN238" i="4"/>
  <c r="BO225" i="4"/>
  <c r="BO267" i="4"/>
  <c r="BO250" i="4"/>
  <c r="BN244" i="4"/>
  <c r="BN105" i="4"/>
  <c r="BN169" i="4"/>
  <c r="BN153" i="4"/>
  <c r="BO217" i="4"/>
  <c r="BO138" i="4"/>
  <c r="BN205" i="4"/>
  <c r="BN125" i="4"/>
  <c r="BO192" i="4"/>
  <c r="BN118" i="4"/>
  <c r="BO186" i="4"/>
  <c r="BO116" i="4"/>
  <c r="BN186" i="4"/>
  <c r="BN116" i="4"/>
  <c r="BO184" i="4"/>
  <c r="BO187" i="4"/>
  <c r="BO117" i="4"/>
  <c r="BN78" i="4"/>
  <c r="BN50" i="4"/>
  <c r="BO150" i="4"/>
  <c r="BO48" i="4"/>
  <c r="BN126" i="4"/>
  <c r="BN36" i="4"/>
  <c r="BN74" i="4"/>
  <c r="BN58" i="4"/>
  <c r="BO132" i="4"/>
  <c r="BO60" i="4"/>
  <c r="BO189" i="4"/>
  <c r="BO42" i="4"/>
  <c r="BN101" i="4"/>
  <c r="BN42" i="4"/>
  <c r="BO114" i="4"/>
  <c r="BN272" i="4"/>
  <c r="BO261" i="4"/>
  <c r="BN245" i="4"/>
  <c r="BO230" i="4"/>
  <c r="BN262" i="4"/>
  <c r="BN246" i="4"/>
  <c r="BO235" i="4"/>
  <c r="BO169" i="4"/>
  <c r="BO164" i="4"/>
  <c r="BN219" i="4"/>
  <c r="BO146" i="4"/>
  <c r="BN212" i="4"/>
  <c r="BN133" i="4"/>
  <c r="BO197" i="4"/>
  <c r="BO118" i="4"/>
  <c r="BN188" i="4"/>
  <c r="BO111" i="4"/>
  <c r="BN181" i="4"/>
  <c r="BN111" i="4"/>
  <c r="BO179" i="4"/>
  <c r="BO109" i="4"/>
  <c r="BN179" i="4"/>
  <c r="BN182" i="4"/>
  <c r="BN112" i="4"/>
  <c r="BO72" i="4"/>
  <c r="BN227" i="4"/>
  <c r="BO43" i="4"/>
  <c r="BN134" i="4"/>
  <c r="BN43" i="4"/>
  <c r="BO119" i="4"/>
  <c r="BO68" i="4"/>
  <c r="BO51" i="4"/>
  <c r="BO87" i="4"/>
  <c r="BN56" i="4"/>
  <c r="BN109" i="4"/>
  <c r="BN37" i="4"/>
  <c r="BO95" i="4"/>
  <c r="BO35" i="4"/>
  <c r="BO88" i="4"/>
  <c r="BO268" i="4"/>
  <c r="BN256" i="4"/>
  <c r="BN251" i="4"/>
  <c r="BO238" i="4"/>
  <c r="BO255" i="4"/>
  <c r="BO239" i="4"/>
  <c r="BN231" i="4"/>
  <c r="BN260" i="4"/>
  <c r="BN160" i="4"/>
  <c r="BO212" i="4"/>
  <c r="BN140" i="4"/>
  <c r="BO205" i="4"/>
  <c r="BO125" i="4"/>
  <c r="BO188" i="4"/>
  <c r="BN113" i="4"/>
  <c r="BO181" i="4"/>
  <c r="BN106" i="4"/>
  <c r="BO175" i="4"/>
  <c r="BO104" i="4"/>
  <c r="BN175" i="4"/>
  <c r="BN104" i="4"/>
  <c r="BO173" i="4"/>
  <c r="BO105" i="4"/>
  <c r="BN67" i="4"/>
  <c r="BN166" i="4"/>
  <c r="BN38" i="4"/>
  <c r="BO126" i="4"/>
  <c r="BO36" i="4"/>
  <c r="BN91" i="4"/>
  <c r="BN64" i="4"/>
  <c r="BO182" i="4"/>
  <c r="BN46" i="4"/>
  <c r="BN83" i="4"/>
  <c r="BO49" i="4"/>
  <c r="BO101" i="4"/>
  <c r="BN92" i="4"/>
  <c r="BN84" i="4"/>
  <c r="BN47" i="4"/>
  <c r="BO272" i="4"/>
  <c r="BN263" i="4"/>
  <c r="BO251" i="4"/>
  <c r="BO245" i="4"/>
  <c r="BN232" i="4"/>
  <c r="BN273" i="4"/>
  <c r="BO262" i="4"/>
  <c r="BN252" i="4"/>
  <c r="BN233" i="4"/>
  <c r="BO226" i="4"/>
  <c r="BO160" i="4"/>
  <c r="BO219" i="4"/>
  <c r="BO153" i="4"/>
  <c r="BN207" i="4"/>
  <c r="BO133" i="4"/>
  <c r="BN190" i="4"/>
  <c r="BN120" i="4"/>
  <c r="BN183" i="4"/>
  <c r="BO106" i="4"/>
  <c r="BN176" i="4"/>
  <c r="BO98" i="4"/>
  <c r="BN170" i="4"/>
  <c r="BN98" i="4"/>
  <c r="BO168" i="4"/>
  <c r="BO97" i="4"/>
  <c r="BN168" i="4"/>
  <c r="BN171" i="4"/>
  <c r="BN99" i="4"/>
  <c r="BO61" i="4"/>
  <c r="BN107" i="4"/>
  <c r="BN93" i="4"/>
  <c r="BO85" i="4"/>
  <c r="BO58" i="4"/>
  <c r="BO157" i="4"/>
  <c r="BO39" i="4"/>
  <c r="BO77" i="4"/>
  <c r="BN44" i="4"/>
  <c r="BO92" i="4"/>
  <c r="BO90" i="4"/>
  <c r="BO78" i="4"/>
  <c r="BN269" i="4"/>
  <c r="BO256" i="4"/>
  <c r="BN247" i="4"/>
  <c r="BN240" i="4"/>
  <c r="BN257" i="4"/>
  <c r="BO246" i="4"/>
  <c r="BO227" i="4"/>
  <c r="BO244" i="4"/>
  <c r="BN155" i="4"/>
  <c r="BN214" i="4"/>
  <c r="BN148" i="4"/>
  <c r="BN127" i="4"/>
  <c r="BO183" i="4"/>
  <c r="BO113" i="4"/>
  <c r="BO176" i="4"/>
  <c r="BN100" i="4"/>
  <c r="BO170" i="4"/>
  <c r="BN94" i="4"/>
  <c r="BO165" i="4"/>
  <c r="BN165" i="4"/>
  <c r="BO93" i="4"/>
  <c r="BN57" i="4"/>
  <c r="BO99" i="4"/>
  <c r="BO91" i="4"/>
  <c r="BN80" i="4"/>
  <c r="BN53" i="4"/>
  <c r="BN147" i="4"/>
  <c r="BN34" i="4"/>
  <c r="BO66" i="4"/>
  <c r="BO171" i="4"/>
  <c r="BO37" i="4"/>
  <c r="BO86" i="4"/>
  <c r="BN86" i="4"/>
  <c r="BN73" i="4"/>
  <c r="BO63" i="4"/>
  <c r="AA87" i="4"/>
  <c r="AA117" i="4"/>
  <c r="AE55" i="4"/>
  <c r="AE83" i="4"/>
  <c r="AC254" i="4"/>
  <c r="AA100" i="4"/>
  <c r="AE63" i="4"/>
  <c r="AE68" i="4"/>
  <c r="AC246" i="4"/>
  <c r="AA246" i="4"/>
  <c r="AA261" i="4"/>
  <c r="AE211" i="4"/>
  <c r="AE227" i="4"/>
  <c r="AC258" i="4"/>
  <c r="AA256" i="4"/>
  <c r="AA61" i="4"/>
  <c r="AE239" i="4"/>
  <c r="AA134" i="4"/>
  <c r="AA222" i="4"/>
  <c r="AE100" i="4"/>
  <c r="AA149" i="4"/>
  <c r="AE248" i="4"/>
  <c r="AA163" i="4"/>
  <c r="AE259" i="4"/>
  <c r="AA165" i="4"/>
  <c r="AA46" i="4"/>
  <c r="AE37" i="4"/>
  <c r="AA242" i="4"/>
  <c r="BA174" i="4"/>
  <c r="AZ191" i="4"/>
  <c r="BA256" i="4"/>
  <c r="AZ219" i="4"/>
  <c r="BC244" i="4"/>
  <c r="BC264" i="4"/>
  <c r="AA140" i="4"/>
  <c r="AE75" i="4"/>
  <c r="AE102" i="4"/>
  <c r="AA120" i="4"/>
  <c r="AA153" i="4"/>
  <c r="AE233" i="4"/>
  <c r="AE252" i="4"/>
  <c r="AA147" i="4"/>
  <c r="AE106" i="4"/>
  <c r="AE127" i="4"/>
  <c r="AA161" i="4"/>
  <c r="AE119" i="4"/>
  <c r="AE155" i="4"/>
  <c r="AA196" i="4"/>
  <c r="AE91" i="4"/>
  <c r="AA263" i="4"/>
  <c r="AA205" i="4"/>
  <c r="AA157" i="4"/>
  <c r="AA122" i="4"/>
  <c r="AE87" i="4"/>
  <c r="AE154" i="4"/>
  <c r="AA135" i="4"/>
  <c r="AA53" i="4"/>
  <c r="AE234" i="4"/>
  <c r="AE38" i="4"/>
  <c r="AA151" i="4"/>
  <c r="AE109" i="4"/>
  <c r="AE101" i="4"/>
  <c r="AA174" i="4"/>
  <c r="AE121" i="4"/>
  <c r="AE169" i="4"/>
  <c r="AE267" i="4"/>
  <c r="AE170" i="4"/>
  <c r="AE148" i="4"/>
  <c r="AE46" i="4"/>
  <c r="AE174" i="4"/>
  <c r="BE271" i="4"/>
  <c r="BE260" i="4"/>
  <c r="BE250" i="4"/>
  <c r="BE239" i="4"/>
  <c r="BE227" i="4"/>
  <c r="BE265" i="4"/>
  <c r="BE254" i="4"/>
  <c r="BE244" i="4"/>
  <c r="BE231" i="4"/>
  <c r="BE269" i="4"/>
  <c r="BE258" i="4"/>
  <c r="BE235" i="4"/>
  <c r="BE226" i="4"/>
  <c r="BE272" i="4"/>
  <c r="BE263" i="4"/>
  <c r="BE273" i="4"/>
  <c r="BE264" i="4"/>
  <c r="BE243" i="4"/>
  <c r="BE230" i="4"/>
  <c r="BE262" i="4"/>
  <c r="BE252" i="4"/>
  <c r="BE241" i="4"/>
  <c r="BE229" i="4"/>
  <c r="BE267" i="4"/>
  <c r="BE255" i="4"/>
  <c r="BE246" i="4"/>
  <c r="BE233" i="4"/>
  <c r="BE223" i="4"/>
  <c r="BE259" i="4"/>
  <c r="BE248" i="4"/>
  <c r="BE225" i="4"/>
  <c r="BE213" i="4"/>
  <c r="BE199" i="4"/>
  <c r="BE191" i="4"/>
  <c r="BE179" i="4"/>
  <c r="BE168" i="4"/>
  <c r="BE159" i="4"/>
  <c r="BE147" i="4"/>
  <c r="BE134" i="4"/>
  <c r="BE121" i="4"/>
  <c r="BE253" i="4"/>
  <c r="BE218" i="4"/>
  <c r="BE206" i="4"/>
  <c r="BE195" i="4"/>
  <c r="BE184" i="4"/>
  <c r="BE173" i="4"/>
  <c r="BE152" i="4"/>
  <c r="BE139" i="4"/>
  <c r="BE126" i="4"/>
  <c r="BE270" i="4"/>
  <c r="BE247" i="4"/>
  <c r="BE224" i="4"/>
  <c r="BE222" i="4"/>
  <c r="BE211" i="4"/>
  <c r="BE198" i="4"/>
  <c r="BE189" i="4"/>
  <c r="BE177" i="4"/>
  <c r="BE166" i="4"/>
  <c r="BE157" i="4"/>
  <c r="BE143" i="4"/>
  <c r="BE132" i="4"/>
  <c r="BE266" i="4"/>
  <c r="BE240" i="4"/>
  <c r="BE216" i="4"/>
  <c r="BE193" i="4"/>
  <c r="BE232" i="4"/>
  <c r="BE209" i="4"/>
  <c r="BE196" i="4"/>
  <c r="BE187" i="4"/>
  <c r="BE155" i="4"/>
  <c r="BE141" i="4"/>
  <c r="BE129" i="4"/>
  <c r="BE117" i="4"/>
  <c r="BE261" i="4"/>
  <c r="BE249" i="4"/>
  <c r="BE214" i="4"/>
  <c r="BE200" i="4"/>
  <c r="BE180" i="4"/>
  <c r="BE169" i="4"/>
  <c r="BE160" i="4"/>
  <c r="BE257" i="4"/>
  <c r="BE234" i="4"/>
  <c r="BE219" i="4"/>
  <c r="BE207" i="4"/>
  <c r="BE242" i="4"/>
  <c r="BE212" i="4"/>
  <c r="BE190" i="4"/>
  <c r="BE178" i="4"/>
  <c r="BE167" i="4"/>
  <c r="BE158" i="4"/>
  <c r="BE146" i="4"/>
  <c r="BE133" i="4"/>
  <c r="BE120" i="4"/>
  <c r="BE268" i="4"/>
  <c r="BE256" i="4"/>
  <c r="BE217" i="4"/>
  <c r="BE205" i="4"/>
  <c r="BE183" i="4"/>
  <c r="BE172" i="4"/>
  <c r="BE163" i="4"/>
  <c r="BE151" i="4"/>
  <c r="BE138" i="4"/>
  <c r="BE125" i="4"/>
  <c r="BE238" i="4"/>
  <c r="BE220" i="4"/>
  <c r="BE208" i="4"/>
  <c r="BE186" i="4"/>
  <c r="BE175" i="4"/>
  <c r="BE165" i="4"/>
  <c r="BE154" i="4"/>
  <c r="BE128" i="4"/>
  <c r="BE228" i="4"/>
  <c r="BE210" i="4"/>
  <c r="BE162" i="4"/>
  <c r="BE111" i="4"/>
  <c r="BE98" i="4"/>
  <c r="BE88" i="4"/>
  <c r="BE78" i="4"/>
  <c r="BE67" i="4"/>
  <c r="BE57" i="4"/>
  <c r="BE45" i="4"/>
  <c r="BE33" i="4"/>
  <c r="BE22" i="4"/>
  <c r="BE116" i="4"/>
  <c r="BE104" i="4"/>
  <c r="BE82" i="4"/>
  <c r="BE72" i="4"/>
  <c r="BE61" i="4"/>
  <c r="BE50" i="4"/>
  <c r="BE38" i="4"/>
  <c r="BE27" i="4"/>
  <c r="BE188" i="4"/>
  <c r="BE182" i="4"/>
  <c r="BE156" i="4"/>
  <c r="BE245" i="4"/>
  <c r="BE161" i="4"/>
  <c r="BE137" i="4"/>
  <c r="BE114" i="4"/>
  <c r="BE101" i="4"/>
  <c r="BE91" i="4"/>
  <c r="BE80" i="4"/>
  <c r="BE70" i="4"/>
  <c r="BE48" i="4"/>
  <c r="BE36" i="4"/>
  <c r="BE25" i="4"/>
  <c r="BE176" i="4"/>
  <c r="BE150" i="4"/>
  <c r="BE107" i="4"/>
  <c r="BE95" i="4"/>
  <c r="BE85" i="4"/>
  <c r="BE74" i="4"/>
  <c r="BE64" i="4"/>
  <c r="BE53" i="4"/>
  <c r="BE197" i="4"/>
  <c r="BE181" i="4"/>
  <c r="BE164" i="4"/>
  <c r="BE221" i="4"/>
  <c r="BE192" i="4"/>
  <c r="BE171" i="4"/>
  <c r="BE127" i="4"/>
  <c r="BE105" i="4"/>
  <c r="BE93" i="4"/>
  <c r="BE83" i="4"/>
  <c r="BE62" i="4"/>
  <c r="BE51" i="4"/>
  <c r="BE201" i="4"/>
  <c r="BE170" i="4"/>
  <c r="BE153" i="4"/>
  <c r="BE135" i="4"/>
  <c r="BE131" i="4"/>
  <c r="BE122" i="4"/>
  <c r="BE119" i="4"/>
  <c r="BE108" i="4"/>
  <c r="BE251" i="4"/>
  <c r="BE148" i="4"/>
  <c r="BE142" i="4"/>
  <c r="BE113" i="4"/>
  <c r="BE174" i="4"/>
  <c r="BE106" i="4"/>
  <c r="BE94" i="4"/>
  <c r="BE84" i="4"/>
  <c r="BE73" i="4"/>
  <c r="BE63" i="4"/>
  <c r="BE52" i="4"/>
  <c r="BE109" i="4"/>
  <c r="BE100" i="4"/>
  <c r="BE79" i="4"/>
  <c r="BE44" i="4"/>
  <c r="BE35" i="4"/>
  <c r="BE5" i="4"/>
  <c r="BE37" i="4"/>
  <c r="BE28" i="4"/>
  <c r="BE10" i="4"/>
  <c r="BE87" i="4"/>
  <c r="BE59" i="4"/>
  <c r="BE46" i="4"/>
  <c r="BE185" i="4"/>
  <c r="BE99" i="4"/>
  <c r="BE81" i="4"/>
  <c r="BE55" i="4"/>
  <c r="BE39" i="4"/>
  <c r="BE30" i="4"/>
  <c r="BE15" i="4"/>
  <c r="BE96" i="4"/>
  <c r="BE75" i="4"/>
  <c r="BE58" i="4"/>
  <c r="BE41" i="4"/>
  <c r="BE32" i="4"/>
  <c r="BE24" i="4"/>
  <c r="BE8" i="4"/>
  <c r="BE118" i="4"/>
  <c r="BE90" i="4"/>
  <c r="BE66" i="4"/>
  <c r="BE34" i="4"/>
  <c r="BE26" i="4"/>
  <c r="BE17" i="4"/>
  <c r="BE13" i="4"/>
  <c r="BE112" i="4"/>
  <c r="BE60" i="4"/>
  <c r="BE43" i="4"/>
  <c r="BE19" i="4"/>
  <c r="BE6" i="4"/>
  <c r="BE140" i="4"/>
  <c r="BE102" i="4"/>
  <c r="BE89" i="4"/>
  <c r="BE54" i="4"/>
  <c r="BE29" i="4"/>
  <c r="BE21" i="4"/>
  <c r="BE11" i="4"/>
  <c r="BE77" i="4"/>
  <c r="BE69" i="4"/>
  <c r="BE23" i="4"/>
  <c r="BE4" i="4"/>
  <c r="BE31" i="4"/>
  <c r="BE16" i="4"/>
  <c r="BE9" i="4"/>
  <c r="BE124" i="4"/>
  <c r="BE92" i="4"/>
  <c r="BE65" i="4"/>
  <c r="BE86" i="4"/>
  <c r="BE68" i="4"/>
  <c r="BE47" i="4"/>
  <c r="BE18" i="4"/>
  <c r="BE14" i="4"/>
  <c r="BE215" i="4"/>
  <c r="BE136" i="4"/>
  <c r="BE123" i="4"/>
  <c r="BE110" i="4"/>
  <c r="BE56" i="4"/>
  <c r="BE40" i="4"/>
  <c r="BE149" i="4"/>
  <c r="BE115" i="4"/>
  <c r="BE97" i="4"/>
  <c r="BE76" i="4"/>
  <c r="BE71" i="4"/>
  <c r="BE49" i="4"/>
  <c r="BE42" i="4"/>
  <c r="BE20" i="4"/>
  <c r="BE12" i="4"/>
  <c r="BE7" i="4"/>
  <c r="BH5" i="4"/>
  <c r="BH4" i="4"/>
  <c r="AX245" i="4"/>
  <c r="AX261" i="4"/>
  <c r="AX232" i="4"/>
  <c r="AX209" i="4"/>
  <c r="AX178" i="4"/>
  <c r="AX163" i="4"/>
  <c r="AX215" i="4"/>
  <c r="AX199" i="4"/>
  <c r="AX75" i="4"/>
  <c r="AX47" i="4"/>
  <c r="AX17" i="4"/>
  <c r="AX50" i="4"/>
  <c r="AX20" i="4"/>
  <c r="AX100" i="4"/>
  <c r="AX89" i="4"/>
  <c r="AX83" i="4"/>
  <c r="AX116" i="4"/>
  <c r="AX235" i="4"/>
  <c r="AX218" i="4"/>
  <c r="AX222" i="4"/>
  <c r="AX216" i="4"/>
  <c r="AX196" i="4"/>
  <c r="AX180" i="4"/>
  <c r="AX185" i="4"/>
  <c r="AX167" i="4"/>
  <c r="AX151" i="4"/>
  <c r="AX201" i="4"/>
  <c r="AX191" i="4"/>
  <c r="AX35" i="4"/>
  <c r="AX5" i="4"/>
  <c r="AX87" i="4"/>
  <c r="AX38" i="4"/>
  <c r="AX8" i="4"/>
  <c r="AX95" i="4"/>
  <c r="AX79" i="4"/>
  <c r="AX62" i="4"/>
  <c r="AX92" i="4"/>
  <c r="AX226" i="4"/>
  <c r="AX243" i="4"/>
  <c r="AX206" i="4"/>
  <c r="AX211" i="4"/>
  <c r="AX187" i="4"/>
  <c r="AX169" i="4"/>
  <c r="AX174" i="4"/>
  <c r="AX158" i="4"/>
  <c r="AX138" i="4"/>
  <c r="AX192" i="4"/>
  <c r="AX179" i="4"/>
  <c r="AX54" i="4"/>
  <c r="AX24" i="4"/>
  <c r="AX66" i="4"/>
  <c r="AX27" i="4"/>
  <c r="AX131" i="4"/>
  <c r="AX85" i="4"/>
  <c r="AX68" i="4"/>
  <c r="AX51" i="4"/>
  <c r="AX81" i="4"/>
  <c r="AX253" i="4"/>
  <c r="AX257" i="4"/>
  <c r="AX195" i="4"/>
  <c r="AX198" i="4"/>
  <c r="AX193" i="4"/>
  <c r="AX160" i="4"/>
  <c r="AX164" i="4"/>
  <c r="AX146" i="4"/>
  <c r="AX125" i="4"/>
  <c r="AX181" i="4"/>
  <c r="AX168" i="4"/>
  <c r="AX42" i="4"/>
  <c r="AX12" i="4"/>
  <c r="AX98" i="4"/>
  <c r="AX56" i="4"/>
  <c r="AX15" i="4"/>
  <c r="AX91" i="4"/>
  <c r="AX74" i="4"/>
  <c r="AX58" i="4"/>
  <c r="AX39" i="4"/>
  <c r="AX71" i="4"/>
  <c r="AX260" i="4"/>
  <c r="AX242" i="4"/>
  <c r="AX248" i="4"/>
  <c r="AX184" i="4"/>
  <c r="AX189" i="4"/>
  <c r="AX182" i="4"/>
  <c r="AX148" i="4"/>
  <c r="AX153" i="4"/>
  <c r="AX133" i="4"/>
  <c r="AX113" i="4"/>
  <c r="AX170" i="4"/>
  <c r="AX159" i="4"/>
  <c r="AX30" i="4"/>
  <c r="AX165" i="4"/>
  <c r="AX88" i="4"/>
  <c r="AX21" i="4"/>
  <c r="AX80" i="4"/>
  <c r="AX64" i="4"/>
  <c r="AX46" i="4"/>
  <c r="AX60" i="4"/>
  <c r="AX250" i="4"/>
  <c r="AX234" i="4"/>
  <c r="AX173" i="4"/>
  <c r="AX177" i="4"/>
  <c r="AX171" i="4"/>
  <c r="AX155" i="4"/>
  <c r="AX135" i="4"/>
  <c r="AX140" i="4"/>
  <c r="AX120" i="4"/>
  <c r="AX221" i="4"/>
  <c r="AX161" i="4"/>
  <c r="AX147" i="4"/>
  <c r="AX19" i="4"/>
  <c r="AX94" i="4"/>
  <c r="AX78" i="4"/>
  <c r="AX220" i="4"/>
  <c r="AX97" i="4"/>
  <c r="AX70" i="4"/>
  <c r="AX53" i="4"/>
  <c r="AX34" i="4"/>
  <c r="AX16" i="4"/>
  <c r="AX49" i="4"/>
  <c r="AX239" i="4"/>
  <c r="AX256" i="4"/>
  <c r="AX252" i="4"/>
  <c r="AX166" i="4"/>
  <c r="AX162" i="4"/>
  <c r="AX141" i="4"/>
  <c r="AX122" i="4"/>
  <c r="AX127" i="4"/>
  <c r="AX108" i="4"/>
  <c r="AX210" i="4"/>
  <c r="AX149" i="4"/>
  <c r="AX134" i="4"/>
  <c r="AX7" i="4"/>
  <c r="AX84" i="4"/>
  <c r="AX67" i="4"/>
  <c r="AX175" i="4"/>
  <c r="AX41" i="4"/>
  <c r="AX23" i="4"/>
  <c r="AX4" i="4"/>
  <c r="AX37" i="4"/>
  <c r="AX227" i="4"/>
  <c r="AX247" i="4"/>
  <c r="AX241" i="4"/>
  <c r="AX152" i="4"/>
  <c r="AX157" i="4"/>
  <c r="AX150" i="4"/>
  <c r="AX129" i="4"/>
  <c r="AX110" i="4"/>
  <c r="AX115" i="4"/>
  <c r="AX225" i="4"/>
  <c r="AX197" i="4"/>
  <c r="AX136" i="4"/>
  <c r="AX121" i="4"/>
  <c r="AX104" i="4"/>
  <c r="AX73" i="4"/>
  <c r="AX57" i="4"/>
  <c r="AX142" i="4"/>
  <c r="AX76" i="4"/>
  <c r="AX48" i="4"/>
  <c r="AX29" i="4"/>
  <c r="AX11" i="4"/>
  <c r="AX106" i="4"/>
  <c r="AX26" i="4"/>
  <c r="AX254" i="4"/>
  <c r="AX229" i="4"/>
  <c r="AX139" i="4"/>
  <c r="AX143" i="4"/>
  <c r="AX137" i="4"/>
  <c r="AX117" i="4"/>
  <c r="AX240" i="4"/>
  <c r="AX102" i="4"/>
  <c r="AX217" i="4"/>
  <c r="AX188" i="4"/>
  <c r="AX123" i="4"/>
  <c r="AX109" i="4"/>
  <c r="AX90" i="4"/>
  <c r="AX63" i="4"/>
  <c r="AX45" i="4"/>
  <c r="AX65" i="4"/>
  <c r="AX36" i="4"/>
  <c r="AX18" i="4"/>
  <c r="AX186" i="4"/>
  <c r="AX77" i="4"/>
  <c r="AX14" i="4"/>
  <c r="AX244" i="4"/>
  <c r="AX259" i="4"/>
  <c r="AX255" i="4"/>
  <c r="AX126" i="4"/>
  <c r="AX132" i="4"/>
  <c r="AX124" i="4"/>
  <c r="AX105" i="4"/>
  <c r="AX230" i="4"/>
  <c r="AX223" i="4"/>
  <c r="AX205" i="4"/>
  <c r="AX176" i="4"/>
  <c r="AX111" i="4"/>
  <c r="AX99" i="4"/>
  <c r="AX52" i="4"/>
  <c r="AX33" i="4"/>
  <c r="AX82" i="4"/>
  <c r="AX55" i="4"/>
  <c r="AX25" i="4"/>
  <c r="AX6" i="4"/>
  <c r="AX154" i="4"/>
  <c r="AX44" i="4"/>
  <c r="AX231" i="4"/>
  <c r="AX249" i="4"/>
  <c r="AX246" i="4"/>
  <c r="AX114" i="4"/>
  <c r="AX119" i="4"/>
  <c r="AX112" i="4"/>
  <c r="AX214" i="4"/>
  <c r="AX219" i="4"/>
  <c r="AX212" i="4"/>
  <c r="AX183" i="4"/>
  <c r="AX156" i="4"/>
  <c r="AX224" i="4"/>
  <c r="AX96" i="4"/>
  <c r="AX69" i="4"/>
  <c r="AX40" i="4"/>
  <c r="AX22" i="4"/>
  <c r="AX72" i="4"/>
  <c r="AX43" i="4"/>
  <c r="AX13" i="4"/>
  <c r="AX9" i="4"/>
  <c r="AX128" i="4"/>
  <c r="AX32" i="4"/>
  <c r="AX258" i="4"/>
  <c r="AX238" i="4"/>
  <c r="AX233" i="4"/>
  <c r="AX101" i="4"/>
  <c r="AX107" i="4"/>
  <c r="AX251" i="4"/>
  <c r="AX200" i="4"/>
  <c r="AX207" i="4"/>
  <c r="AX190" i="4"/>
  <c r="AX172" i="4"/>
  <c r="AX228" i="4"/>
  <c r="AX213" i="4"/>
  <c r="AX86" i="4"/>
  <c r="AX59" i="4"/>
  <c r="AX28" i="4"/>
  <c r="AX10" i="4"/>
  <c r="AX61" i="4"/>
  <c r="AX31" i="4"/>
  <c r="AX118" i="4"/>
  <c r="AX93" i="4"/>
  <c r="AX208" i="4"/>
  <c r="BA5" i="4"/>
  <c r="BA4" i="4"/>
  <c r="AE164" i="4"/>
  <c r="AE187" i="4"/>
  <c r="BA187" i="4"/>
  <c r="BA111" i="4"/>
  <c r="AZ52" i="4"/>
  <c r="AZ57" i="4"/>
  <c r="BA65" i="4"/>
  <c r="BA35" i="4"/>
  <c r="BA25" i="4"/>
  <c r="AZ48" i="4"/>
  <c r="BA58" i="4"/>
  <c r="BA117" i="4"/>
  <c r="BA175" i="4"/>
  <c r="BA45" i="4"/>
  <c r="BA50" i="4"/>
  <c r="AZ61" i="4"/>
  <c r="AZ19" i="4"/>
  <c r="AZ20" i="4"/>
  <c r="BA41" i="4"/>
  <c r="AZ53" i="4"/>
  <c r="BA104" i="4"/>
  <c r="AZ40" i="4"/>
  <c r="AZ45" i="4"/>
  <c r="BA55" i="4"/>
  <c r="BA13" i="4"/>
  <c r="AZ36" i="4"/>
  <c r="BA46" i="4"/>
  <c r="AZ105" i="4"/>
  <c r="BA168" i="4"/>
  <c r="BA33" i="4"/>
  <c r="BA38" i="4"/>
  <c r="AZ50" i="4"/>
  <c r="AZ76" i="4"/>
  <c r="AZ8" i="4"/>
  <c r="BA29" i="4"/>
  <c r="AZ41" i="4"/>
  <c r="BA164" i="4"/>
  <c r="AZ179" i="4"/>
  <c r="AZ28" i="4"/>
  <c r="AZ33" i="4"/>
  <c r="BA43" i="4"/>
  <c r="BA70" i="4"/>
  <c r="AZ75" i="4"/>
  <c r="AZ25" i="4"/>
  <c r="BA223" i="4"/>
  <c r="AZ109" i="4"/>
  <c r="BA22" i="4"/>
  <c r="BA27" i="4"/>
  <c r="AZ38" i="4"/>
  <c r="AZ65" i="4"/>
  <c r="AZ42" i="4"/>
  <c r="BA18" i="4"/>
  <c r="AZ29" i="4"/>
  <c r="AZ153" i="4"/>
  <c r="AZ166" i="4"/>
  <c r="AZ17" i="4"/>
  <c r="AZ22" i="4"/>
  <c r="BA31" i="4"/>
  <c r="BA12" i="4"/>
  <c r="AZ13" i="4"/>
  <c r="BA23" i="4"/>
  <c r="AZ253" i="4"/>
  <c r="BA217" i="4"/>
  <c r="AZ104" i="4"/>
  <c r="BA10" i="4"/>
  <c r="BA15" i="4"/>
  <c r="AZ27" i="4"/>
  <c r="AZ55" i="4"/>
  <c r="BA74" i="4"/>
  <c r="BA6" i="4"/>
  <c r="AZ251" i="4"/>
  <c r="BA138" i="4"/>
  <c r="AZ73" i="4"/>
  <c r="AZ10" i="4"/>
  <c r="BA20" i="4"/>
  <c r="BA48" i="4"/>
  <c r="AZ70" i="4"/>
  <c r="AZ95" i="4"/>
  <c r="BA252" i="4"/>
  <c r="AZ205" i="4"/>
  <c r="BA67" i="4"/>
  <c r="BA72" i="4"/>
  <c r="BA177" i="4"/>
  <c r="AZ15" i="4"/>
  <c r="AZ43" i="4"/>
  <c r="BA64" i="4"/>
  <c r="AZ74" i="4"/>
  <c r="AZ246" i="4"/>
  <c r="AZ125" i="4"/>
  <c r="AZ63" i="4"/>
  <c r="AZ67" i="4"/>
  <c r="BA76" i="4"/>
  <c r="BA8" i="4"/>
  <c r="BA36" i="4"/>
  <c r="BA68" i="4"/>
  <c r="AZ188" i="4"/>
  <c r="BA57" i="4"/>
  <c r="BA61" i="4"/>
  <c r="AZ72" i="4"/>
  <c r="BA47" i="4"/>
  <c r="AZ31" i="4"/>
  <c r="BA53" i="4"/>
  <c r="AZ64" i="4"/>
  <c r="BA51" i="4"/>
  <c r="AZ51" i="4"/>
  <c r="BA71" i="4"/>
  <c r="AZ92" i="4"/>
  <c r="AZ14" i="4"/>
  <c r="AZ35" i="4"/>
  <c r="AZ46" i="4"/>
  <c r="BA44" i="4"/>
  <c r="AZ66" i="4"/>
  <c r="BA75" i="4"/>
  <c r="BA7" i="4"/>
  <c r="BA28" i="4"/>
  <c r="BA39" i="4"/>
  <c r="AZ39" i="4"/>
  <c r="BA60" i="4"/>
  <c r="AZ71" i="4"/>
  <c r="AZ24" i="4"/>
  <c r="BA34" i="4"/>
  <c r="AZ34" i="4"/>
  <c r="BA32" i="4"/>
  <c r="AZ56" i="4"/>
  <c r="AZ54" i="4"/>
  <c r="BA17" i="4"/>
  <c r="AZ18" i="4"/>
  <c r="BA49" i="4"/>
  <c r="AZ60" i="4"/>
  <c r="AZ90" i="4"/>
  <c r="AZ12" i="4"/>
  <c r="BA11" i="4"/>
  <c r="AZ23" i="4"/>
  <c r="BA21" i="4"/>
  <c r="AZ44" i="4"/>
  <c r="BA54" i="4"/>
  <c r="BA73" i="4"/>
  <c r="AZ6" i="4"/>
  <c r="BA16" i="4"/>
  <c r="AZ16" i="4"/>
  <c r="BA37" i="4"/>
  <c r="AZ49" i="4"/>
  <c r="AZ69" i="4"/>
  <c r="BA59" i="4"/>
  <c r="AZ7" i="4"/>
  <c r="AZ11" i="4"/>
  <c r="BA9" i="4"/>
  <c r="AZ32" i="4"/>
  <c r="BA42" i="4"/>
  <c r="BA63" i="4"/>
  <c r="AZ30" i="4"/>
  <c r="AZ79" i="4"/>
  <c r="BA26" i="4"/>
  <c r="AZ37" i="4"/>
  <c r="AZ59" i="4"/>
  <c r="AZ68" i="4"/>
  <c r="BA66" i="4"/>
  <c r="BA69" i="4"/>
  <c r="AZ21" i="4"/>
  <c r="BA30" i="4"/>
  <c r="BA52" i="4"/>
  <c r="BA62" i="4"/>
  <c r="AZ62" i="4"/>
  <c r="BA24" i="4"/>
  <c r="BA14" i="4"/>
  <c r="AZ26" i="4"/>
  <c r="AZ47" i="4"/>
  <c r="AZ58" i="4"/>
  <c r="BA56" i="4"/>
  <c r="BA198" i="4"/>
  <c r="AZ9" i="4"/>
  <c r="BA19" i="4"/>
  <c r="BA40" i="4"/>
  <c r="AA221" i="4"/>
  <c r="AA146" i="4"/>
  <c r="AA85" i="4"/>
  <c r="AE271" i="4"/>
  <c r="AA170" i="4"/>
  <c r="AE136" i="4"/>
  <c r="AA195" i="4"/>
  <c r="AE208" i="4"/>
  <c r="AE251" i="4"/>
  <c r="BH268" i="4"/>
  <c r="BG256" i="4"/>
  <c r="BG271" i="4"/>
  <c r="BH258" i="4"/>
  <c r="BH227" i="4"/>
  <c r="BH162" i="4"/>
  <c r="BG216" i="4"/>
  <c r="BG150" i="4"/>
  <c r="BH214" i="4"/>
  <c r="BH148" i="4"/>
  <c r="BG200" i="4"/>
  <c r="BG185" i="4"/>
  <c r="BG167" i="4"/>
  <c r="BH197" i="4"/>
  <c r="BG188" i="4"/>
  <c r="BG264" i="4"/>
  <c r="BH175" i="4"/>
  <c r="BG225" i="4"/>
  <c r="BG134" i="4"/>
  <c r="BG65" i="4"/>
  <c r="BG168" i="4"/>
  <c r="BH74" i="4"/>
  <c r="BG165" i="4"/>
  <c r="BH83" i="4"/>
  <c r="BH259" i="4"/>
  <c r="BH66" i="4"/>
  <c r="BH108" i="4"/>
  <c r="BH230" i="4"/>
  <c r="BH138" i="4"/>
  <c r="BH65" i="4"/>
  <c r="BH24" i="4"/>
  <c r="BG96" i="4"/>
  <c r="BH84" i="4"/>
  <c r="BG84" i="4"/>
  <c r="BH102" i="4"/>
  <c r="BG107" i="4"/>
  <c r="BH153" i="4"/>
  <c r="BG14" i="4"/>
  <c r="BG40" i="4"/>
  <c r="BG42" i="4"/>
  <c r="BH37" i="4"/>
  <c r="BH52" i="4"/>
  <c r="BH272" i="4"/>
  <c r="BG263" i="4"/>
  <c r="BH251" i="4"/>
  <c r="BH265" i="4"/>
  <c r="BG254" i="4"/>
  <c r="BG222" i="4"/>
  <c r="BG157" i="4"/>
  <c r="BH209" i="4"/>
  <c r="BH141" i="4"/>
  <c r="BG209" i="4"/>
  <c r="BG141" i="4"/>
  <c r="BH178" i="4"/>
  <c r="BG257" i="4"/>
  <c r="BH163" i="4"/>
  <c r="BH264" i="4"/>
  <c r="BH181" i="4"/>
  <c r="BH260" i="4"/>
  <c r="BG170" i="4"/>
  <c r="BH222" i="4"/>
  <c r="BH157" i="4"/>
  <c r="BH121" i="4"/>
  <c r="BH156" i="4"/>
  <c r="BG70" i="4"/>
  <c r="BH225" i="4"/>
  <c r="BG79" i="4"/>
  <c r="BH164" i="4"/>
  <c r="BG62" i="4"/>
  <c r="BG102" i="4"/>
  <c r="BG213" i="4"/>
  <c r="BH199" i="4"/>
  <c r="BH134" i="4"/>
  <c r="BG61" i="4"/>
  <c r="BG22" i="4"/>
  <c r="BH90" i="4"/>
  <c r="BG64" i="4"/>
  <c r="BH78" i="4"/>
  <c r="BG98" i="4"/>
  <c r="BH92" i="4"/>
  <c r="BH126" i="4"/>
  <c r="BH7" i="4"/>
  <c r="BH33" i="4"/>
  <c r="BH35" i="4"/>
  <c r="BG35" i="4"/>
  <c r="BH46" i="4"/>
  <c r="BG269" i="4"/>
  <c r="BH256" i="4"/>
  <c r="BG247" i="4"/>
  <c r="BH267" i="4"/>
  <c r="BG260" i="4"/>
  <c r="BH216" i="4"/>
  <c r="BH150" i="4"/>
  <c r="BG137" i="4"/>
  <c r="BH200" i="4"/>
  <c r="BH135" i="4"/>
  <c r="BG174" i="4"/>
  <c r="BH252" i="4"/>
  <c r="BG158" i="4"/>
  <c r="BG251" i="4"/>
  <c r="BG176" i="4"/>
  <c r="BG245" i="4"/>
  <c r="BH165" i="4"/>
  <c r="BG218" i="4"/>
  <c r="BG152" i="4"/>
  <c r="BH118" i="4"/>
  <c r="BG55" i="4"/>
  <c r="BG151" i="4"/>
  <c r="BH64" i="4"/>
  <c r="BH218" i="4"/>
  <c r="BG68" i="4"/>
  <c r="BG160" i="4"/>
  <c r="BH56" i="4"/>
  <c r="BH96" i="4"/>
  <c r="BG191" i="4"/>
  <c r="BH195" i="4"/>
  <c r="BG125" i="4"/>
  <c r="BH55" i="4"/>
  <c r="BH15" i="4"/>
  <c r="BG75" i="4"/>
  <c r="BH58" i="4"/>
  <c r="BG66" i="4"/>
  <c r="BG78" i="4"/>
  <c r="BG95" i="4"/>
  <c r="BG77" i="4"/>
  <c r="BG18" i="4"/>
  <c r="BG123" i="4"/>
  <c r="BG33" i="4"/>
  <c r="BH28" i="4"/>
  <c r="BG37" i="4"/>
  <c r="BH263" i="4"/>
  <c r="BG253" i="4"/>
  <c r="BH240" i="4"/>
  <c r="BG262" i="4"/>
  <c r="BH254" i="4"/>
  <c r="BG244" i="4"/>
  <c r="BG211" i="4"/>
  <c r="BG143" i="4"/>
  <c r="BH196" i="4"/>
  <c r="BH129" i="4"/>
  <c r="BG196" i="4"/>
  <c r="BG129" i="4"/>
  <c r="BH185" i="4"/>
  <c r="BH167" i="4"/>
  <c r="BG234" i="4"/>
  <c r="BH151" i="4"/>
  <c r="BH245" i="4"/>
  <c r="BH170" i="4"/>
  <c r="BH238" i="4"/>
  <c r="BG161" i="4"/>
  <c r="BH211" i="4"/>
  <c r="BH143" i="4"/>
  <c r="BH114" i="4"/>
  <c r="BH48" i="4"/>
  <c r="BG147" i="4"/>
  <c r="BH176" i="4"/>
  <c r="BH62" i="4"/>
  <c r="BH127" i="4"/>
  <c r="BG51" i="4"/>
  <c r="BG92" i="4"/>
  <c r="BH184" i="4"/>
  <c r="BH174" i="4"/>
  <c r="BG116" i="4"/>
  <c r="BG50" i="4"/>
  <c r="BH8" i="4"/>
  <c r="BG67" i="4"/>
  <c r="BG41" i="4"/>
  <c r="BH60" i="4"/>
  <c r="BH69" i="4"/>
  <c r="BH89" i="4"/>
  <c r="BG63" i="4"/>
  <c r="BG86" i="4"/>
  <c r="BH12" i="4"/>
  <c r="BH115" i="4"/>
  <c r="BH27" i="4"/>
  <c r="BG27" i="4"/>
  <c r="BH30" i="4"/>
  <c r="BG258" i="4"/>
  <c r="BH247" i="4"/>
  <c r="BH255" i="4"/>
  <c r="BG250" i="4"/>
  <c r="BH235" i="4"/>
  <c r="BH137" i="4"/>
  <c r="BG193" i="4"/>
  <c r="BG124" i="4"/>
  <c r="BH122" i="4"/>
  <c r="BH257" i="4"/>
  <c r="BG164" i="4"/>
  <c r="BH229" i="4"/>
  <c r="BG228" i="4"/>
  <c r="BH161" i="4"/>
  <c r="BH220" i="4"/>
  <c r="BH154" i="4"/>
  <c r="BG206" i="4"/>
  <c r="BG139" i="4"/>
  <c r="BG109" i="4"/>
  <c r="BG43" i="4"/>
  <c r="BG121" i="4"/>
  <c r="BH53" i="4"/>
  <c r="BG172" i="4"/>
  <c r="BG58" i="4"/>
  <c r="BG120" i="4"/>
  <c r="BG259" i="4"/>
  <c r="BH86" i="4"/>
  <c r="BG179" i="4"/>
  <c r="BG169" i="4"/>
  <c r="BH109" i="4"/>
  <c r="BG133" i="4"/>
  <c r="BG32" i="4"/>
  <c r="BH61" i="4"/>
  <c r="BH34" i="4"/>
  <c r="BG54" i="4"/>
  <c r="BG74" i="4"/>
  <c r="BH57" i="4"/>
  <c r="BG7" i="4"/>
  <c r="BG110" i="4"/>
  <c r="BG12" i="4"/>
  <c r="BH20" i="4"/>
  <c r="BG28" i="4"/>
  <c r="BH253" i="4"/>
  <c r="BG242" i="4"/>
  <c r="BH228" i="4"/>
  <c r="BG252" i="4"/>
  <c r="BH244" i="4"/>
  <c r="BG231" i="4"/>
  <c r="BG198" i="4"/>
  <c r="BG132" i="4"/>
  <c r="BH187" i="4"/>
  <c r="BH117" i="4"/>
  <c r="BG187" i="4"/>
  <c r="BG273" i="4"/>
  <c r="BG243" i="4"/>
  <c r="BH158" i="4"/>
  <c r="BH217" i="4"/>
  <c r="BG246" i="4"/>
  <c r="BG223" i="4"/>
  <c r="BG156" i="4"/>
  <c r="BG215" i="4"/>
  <c r="BG149" i="4"/>
  <c r="BH198" i="4"/>
  <c r="BH132" i="4"/>
  <c r="BH101" i="4"/>
  <c r="BH36" i="4"/>
  <c r="BG114" i="4"/>
  <c r="BG48" i="4"/>
  <c r="BG146" i="4"/>
  <c r="BH51" i="4"/>
  <c r="BH110" i="4"/>
  <c r="BH206" i="4"/>
  <c r="BG81" i="4"/>
  <c r="BG163" i="4"/>
  <c r="BH125" i="4"/>
  <c r="BG104" i="4"/>
  <c r="BG87" i="4"/>
  <c r="BG24" i="4"/>
  <c r="BH26" i="4"/>
  <c r="BG26" i="4"/>
  <c r="BH21" i="4"/>
  <c r="BH43" i="4"/>
  <c r="BG69" i="4"/>
  <c r="BH47" i="4"/>
  <c r="BH72" i="4"/>
  <c r="BH106" i="4"/>
  <c r="BG94" i="4"/>
  <c r="BH213" i="4"/>
  <c r="BH22" i="4"/>
  <c r="BG224" i="4"/>
  <c r="BH246" i="4"/>
  <c r="BG239" i="4"/>
  <c r="BH226" i="4"/>
  <c r="BH193" i="4"/>
  <c r="BH124" i="4"/>
  <c r="BG182" i="4"/>
  <c r="BH273" i="4"/>
  <c r="BH180" i="4"/>
  <c r="BG249" i="4"/>
  <c r="BH234" i="4"/>
  <c r="BG153" i="4"/>
  <c r="BG212" i="4"/>
  <c r="BH239" i="4"/>
  <c r="BG221" i="4"/>
  <c r="BH149" i="4"/>
  <c r="BH208" i="4"/>
  <c r="BG195" i="4"/>
  <c r="BG126" i="4"/>
  <c r="BG97" i="4"/>
  <c r="BG31" i="4"/>
  <c r="BH107" i="4"/>
  <c r="BH41" i="4"/>
  <c r="BG46" i="4"/>
  <c r="BG105" i="4"/>
  <c r="BG186" i="4"/>
  <c r="BH75" i="4"/>
  <c r="BG148" i="4"/>
  <c r="BH116" i="4"/>
  <c r="BH97" i="4"/>
  <c r="BH81" i="4"/>
  <c r="BH17" i="4"/>
  <c r="BH19" i="4"/>
  <c r="BG19" i="4"/>
  <c r="BG21" i="4"/>
  <c r="BH63" i="4"/>
  <c r="BG45" i="4"/>
  <c r="BG57" i="4"/>
  <c r="BH94" i="4"/>
  <c r="BH88" i="4"/>
  <c r="BH100" i="4"/>
  <c r="BG135" i="4"/>
  <c r="BG10" i="4"/>
  <c r="BH242" i="4"/>
  <c r="BG241" i="4"/>
  <c r="BH231" i="4"/>
  <c r="BG270" i="4"/>
  <c r="BG189" i="4"/>
  <c r="BG119" i="4"/>
  <c r="BH262" i="4"/>
  <c r="BH243" i="4"/>
  <c r="BG219" i="4"/>
  <c r="BH146" i="4"/>
  <c r="BH205" i="4"/>
  <c r="BH223" i="4"/>
  <c r="BH215" i="4"/>
  <c r="BG142" i="4"/>
  <c r="BG201" i="4"/>
  <c r="BG136" i="4"/>
  <c r="BH189" i="4"/>
  <c r="BH119" i="4"/>
  <c r="BH91" i="4"/>
  <c r="BH25" i="4"/>
  <c r="BG101" i="4"/>
  <c r="BG36" i="4"/>
  <c r="BG112" i="4"/>
  <c r="BH39" i="4"/>
  <c r="BG238" i="4"/>
  <c r="BG71" i="4"/>
  <c r="BH142" i="4"/>
  <c r="BG111" i="4"/>
  <c r="BH67" i="4"/>
  <c r="BG15" i="4"/>
  <c r="BG17" i="4"/>
  <c r="BH11" i="4"/>
  <c r="BG11" i="4"/>
  <c r="BH45" i="4"/>
  <c r="BH38" i="4"/>
  <c r="BH50" i="4"/>
  <c r="BG73" i="4"/>
  <c r="BG88" i="4"/>
  <c r="BG122" i="4"/>
  <c r="BH10" i="4"/>
  <c r="BG235" i="4"/>
  <c r="BH224" i="4"/>
  <c r="BH233" i="4"/>
  <c r="BG227" i="4"/>
  <c r="BG267" i="4"/>
  <c r="BH182" i="4"/>
  <c r="BG266" i="4"/>
  <c r="BG171" i="4"/>
  <c r="BH169" i="4"/>
  <c r="BH212" i="4"/>
  <c r="BG140" i="4"/>
  <c r="BG190" i="4"/>
  <c r="BH221" i="4"/>
  <c r="BG210" i="4"/>
  <c r="BH136" i="4"/>
  <c r="BH128" i="4"/>
  <c r="BG184" i="4"/>
  <c r="BG220" i="4"/>
  <c r="BG20" i="4"/>
  <c r="BH95" i="4"/>
  <c r="BH29" i="4"/>
  <c r="BH105" i="4"/>
  <c r="BG34" i="4"/>
  <c r="BG93" i="4"/>
  <c r="BG180" i="4"/>
  <c r="BH139" i="4"/>
  <c r="BG230" i="4"/>
  <c r="BG52" i="4"/>
  <c r="BH13" i="4"/>
  <c r="BH113" i="4"/>
  <c r="BG13" i="4"/>
  <c r="BG6" i="4"/>
  <c r="BG29" i="4"/>
  <c r="BG16" i="4"/>
  <c r="BG47" i="4"/>
  <c r="BH73" i="4"/>
  <c r="BH71" i="4"/>
  <c r="BH82" i="4"/>
  <c r="BG100" i="4"/>
  <c r="BH266" i="4"/>
  <c r="BG229" i="4"/>
  <c r="BG255" i="4"/>
  <c r="BG177" i="4"/>
  <c r="BH249" i="4"/>
  <c r="BH219" i="4"/>
  <c r="BG207" i="4"/>
  <c r="BH133" i="4"/>
  <c r="BH183" i="4"/>
  <c r="BG217" i="4"/>
  <c r="BH201" i="4"/>
  <c r="BG131" i="4"/>
  <c r="BG192" i="4"/>
  <c r="BH270" i="4"/>
  <c r="BH177" i="4"/>
  <c r="BH168" i="4"/>
  <c r="BH80" i="4"/>
  <c r="BH248" i="4"/>
  <c r="BG91" i="4"/>
  <c r="BG25" i="4"/>
  <c r="BG99" i="4"/>
  <c r="BH87" i="4"/>
  <c r="BH159" i="4"/>
  <c r="BG60" i="4"/>
  <c r="BH111" i="4"/>
  <c r="BG199" i="4"/>
  <c r="BG82" i="4"/>
  <c r="BG39" i="4"/>
  <c r="BG8" i="4"/>
  <c r="BG108" i="4"/>
  <c r="BH6" i="4"/>
  <c r="BG159" i="4"/>
  <c r="BH179" i="4"/>
  <c r="BH23" i="4"/>
  <c r="BH14" i="4"/>
  <c r="BH40" i="4"/>
  <c r="BH68" i="4"/>
  <c r="BG56" i="4"/>
  <c r="BG85" i="4"/>
  <c r="BG226" i="4"/>
  <c r="BG268" i="4"/>
  <c r="BG261" i="4"/>
  <c r="BH271" i="4"/>
  <c r="BH269" i="4"/>
  <c r="BH250" i="4"/>
  <c r="BH171" i="4"/>
  <c r="BG240" i="4"/>
  <c r="BG162" i="4"/>
  <c r="BG232" i="4"/>
  <c r="BH160" i="4"/>
  <c r="BG214" i="4"/>
  <c r="BG127" i="4"/>
  <c r="BG178" i="4"/>
  <c r="BH210" i="4"/>
  <c r="BG197" i="4"/>
  <c r="BH123" i="4"/>
  <c r="BH186" i="4"/>
  <c r="BG248" i="4"/>
  <c r="BG173" i="4"/>
  <c r="BH147" i="4"/>
  <c r="BG76" i="4"/>
  <c r="BH188" i="4"/>
  <c r="BH85" i="4"/>
  <c r="BH18" i="4"/>
  <c r="BH93" i="4"/>
  <c r="BG23" i="4"/>
  <c r="BG83" i="4"/>
  <c r="BG154" i="4"/>
  <c r="BH54" i="4"/>
  <c r="BG106" i="4"/>
  <c r="BG183" i="4"/>
  <c r="BH76" i="4"/>
  <c r="BH32" i="4"/>
  <c r="BH191" i="4"/>
  <c r="BH104" i="4"/>
  <c r="BH131" i="4"/>
  <c r="BG128" i="4"/>
  <c r="BH140" i="4"/>
  <c r="BH9" i="4"/>
  <c r="BG9" i="4"/>
  <c r="BG38" i="4"/>
  <c r="BG53" i="4"/>
  <c r="BH49" i="4"/>
  <c r="BH59" i="4"/>
  <c r="BH79" i="4"/>
  <c r="BG272" i="4"/>
  <c r="BH261" i="4"/>
  <c r="BG265" i="4"/>
  <c r="BG233" i="4"/>
  <c r="BG166" i="4"/>
  <c r="BH232" i="4"/>
  <c r="BH155" i="4"/>
  <c r="BG155" i="4"/>
  <c r="BH207" i="4"/>
  <c r="BH190" i="4"/>
  <c r="BH120" i="4"/>
  <c r="BH172" i="4"/>
  <c r="BG205" i="4"/>
  <c r="BH192" i="4"/>
  <c r="BG118" i="4"/>
  <c r="BG181" i="4"/>
  <c r="BH241" i="4"/>
  <c r="BH166" i="4"/>
  <c r="BG138" i="4"/>
  <c r="BH70" i="4"/>
  <c r="BH173" i="4"/>
  <c r="BG80" i="4"/>
  <c r="BG208" i="4"/>
  <c r="BG89" i="4"/>
  <c r="BH16" i="4"/>
  <c r="BH77" i="4"/>
  <c r="BG115" i="4"/>
  <c r="BG49" i="4"/>
  <c r="BH98" i="4"/>
  <c r="BH152" i="4"/>
  <c r="BG72" i="4"/>
  <c r="BG30" i="4"/>
  <c r="BH99" i="4"/>
  <c r="BG90" i="4"/>
  <c r="BG113" i="4"/>
  <c r="BH112" i="4"/>
  <c r="BG117" i="4"/>
  <c r="BG175" i="4"/>
  <c r="BH31" i="4"/>
  <c r="BH42" i="4"/>
  <c r="BH44" i="4"/>
  <c r="BG44" i="4"/>
  <c r="BG59" i="4"/>
  <c r="AA125" i="4"/>
  <c r="AE85" i="4"/>
  <c r="AE90" i="4"/>
  <c r="AA138" i="4"/>
  <c r="AE232" i="4"/>
  <c r="AE250" i="4"/>
  <c r="AA175" i="4"/>
  <c r="AE112" i="4"/>
  <c r="AA159" i="4"/>
  <c r="AE118" i="4"/>
  <c r="AE140" i="4"/>
  <c r="AA185" i="4"/>
  <c r="AA62" i="4"/>
  <c r="AA64" i="4"/>
  <c r="AA273" i="4"/>
  <c r="AA271" i="4"/>
  <c r="AA272" i="4"/>
  <c r="AE173" i="4"/>
  <c r="AE181" i="4"/>
  <c r="AE62" i="4"/>
  <c r="AE131" i="4"/>
  <c r="AE137" i="4"/>
  <c r="AE253" i="4"/>
  <c r="AA41" i="4"/>
  <c r="AE168" i="4"/>
  <c r="AE209" i="4"/>
  <c r="AE256" i="4"/>
  <c r="AA172" i="4"/>
  <c r="AE270" i="4"/>
  <c r="AA44" i="4"/>
  <c r="AE104" i="4"/>
  <c r="AE159" i="4"/>
  <c r="AA79" i="4"/>
  <c r="AE152" i="4"/>
  <c r="AA188" i="4"/>
  <c r="AE254" i="4"/>
  <c r="AE249" i="4"/>
  <c r="AE171" i="4"/>
  <c r="AA116" i="4"/>
  <c r="AE122" i="4"/>
  <c r="AE220" i="4"/>
  <c r="AA48" i="4"/>
  <c r="AE132" i="4"/>
  <c r="AE138" i="4"/>
  <c r="AA180" i="4"/>
  <c r="AA177" i="4"/>
  <c r="AC192" i="4"/>
  <c r="AE160" i="4"/>
  <c r="AA216" i="4"/>
  <c r="BA267" i="4"/>
  <c r="AZ264" i="4"/>
  <c r="AZ262" i="4"/>
  <c r="BA270" i="4"/>
  <c r="AZ270" i="4"/>
  <c r="AZ266" i="4"/>
  <c r="BA269" i="4"/>
  <c r="BA259" i="4"/>
  <c r="BA262" i="4"/>
  <c r="AZ265" i="4"/>
  <c r="BA266" i="4"/>
  <c r="AZ271" i="4"/>
  <c r="AZ268" i="4"/>
  <c r="AZ261" i="4"/>
  <c r="BA265" i="4"/>
  <c r="BA273" i="4"/>
  <c r="AZ272" i="4"/>
  <c r="BA261" i="4"/>
  <c r="BA271" i="4"/>
  <c r="AZ260" i="4"/>
  <c r="AZ259" i="4"/>
  <c r="BA268" i="4"/>
  <c r="AZ267" i="4"/>
  <c r="BA272" i="4"/>
  <c r="AZ263" i="4"/>
  <c r="BA260" i="4"/>
  <c r="AZ269" i="4"/>
  <c r="BA263" i="4"/>
  <c r="AZ273" i="4"/>
  <c r="BA264" i="4"/>
  <c r="AE257" i="4"/>
  <c r="AE61" i="4"/>
  <c r="AA184" i="4"/>
  <c r="AE266" i="4"/>
  <c r="AE153" i="4"/>
  <c r="AA45" i="4"/>
  <c r="AE143" i="4"/>
  <c r="AC193" i="4"/>
  <c r="AE163" i="4"/>
  <c r="AE114" i="4"/>
  <c r="AE245" i="4"/>
  <c r="AE260" i="4"/>
  <c r="AA210" i="4"/>
  <c r="AE123" i="4"/>
  <c r="AA49" i="4"/>
  <c r="AE120" i="4"/>
  <c r="AA181" i="4"/>
  <c r="AE133" i="4"/>
  <c r="AA42" i="4"/>
  <c r="AE45" i="4"/>
  <c r="AC205" i="4"/>
  <c r="AC217" i="4"/>
  <c r="AC240" i="4"/>
  <c r="AC232" i="4"/>
  <c r="AC206" i="4"/>
  <c r="AC218" i="4"/>
  <c r="AC244" i="4"/>
  <c r="AC210" i="4"/>
  <c r="AC221" i="4"/>
  <c r="AC241" i="4"/>
  <c r="AC264" i="4"/>
  <c r="AC272" i="4"/>
  <c r="AC252" i="4"/>
  <c r="AC242" i="4"/>
  <c r="AA119" i="4"/>
  <c r="AC257" i="4"/>
  <c r="AA208" i="4"/>
  <c r="AC262" i="4"/>
  <c r="AC195" i="4"/>
  <c r="AC225" i="4"/>
  <c r="AE172" i="4"/>
  <c r="AC197" i="4"/>
  <c r="AA220" i="4"/>
  <c r="AC222" i="4"/>
  <c r="AC266" i="4"/>
  <c r="AA171" i="4"/>
  <c r="AA132" i="4"/>
  <c r="AC230" i="4"/>
  <c r="AA182" i="4"/>
  <c r="AE142" i="4"/>
  <c r="AA192" i="4"/>
  <c r="AE156" i="4"/>
  <c r="AE72" i="4"/>
  <c r="AA214" i="4"/>
  <c r="AE44" i="4"/>
  <c r="AC223" i="4"/>
  <c r="AC267" i="4"/>
  <c r="AC273" i="4"/>
  <c r="AC208" i="4"/>
  <c r="AA47" i="4"/>
  <c r="AA58" i="4"/>
  <c r="AE157" i="4"/>
  <c r="AC198" i="4"/>
  <c r="AA78" i="4"/>
  <c r="AE180" i="4"/>
  <c r="AC224" i="4"/>
  <c r="AC268" i="4"/>
  <c r="AC220" i="4"/>
  <c r="AC253" i="4"/>
  <c r="AA183" i="4"/>
  <c r="AE240" i="4"/>
  <c r="AA193" i="4"/>
  <c r="AE146" i="4"/>
  <c r="AC199" i="4"/>
  <c r="AA215" i="4"/>
  <c r="AQ250" i="4"/>
  <c r="AQ224" i="4"/>
  <c r="AQ259" i="4"/>
  <c r="AQ214" i="4"/>
  <c r="AQ207" i="4"/>
  <c r="AQ221" i="4"/>
  <c r="AQ215" i="4"/>
  <c r="AQ208" i="4"/>
  <c r="AQ225" i="4"/>
  <c r="AQ257" i="4"/>
  <c r="AQ209" i="4"/>
  <c r="AQ239" i="4"/>
  <c r="AQ249" i="4"/>
  <c r="AQ200" i="4"/>
  <c r="AQ210" i="4"/>
  <c r="AQ201" i="4"/>
  <c r="AQ218" i="4"/>
  <c r="AQ230" i="4"/>
  <c r="AQ227" i="4"/>
  <c r="AQ261" i="4"/>
  <c r="AQ238" i="4"/>
  <c r="AQ197" i="4"/>
  <c r="AQ192" i="4"/>
  <c r="AQ206" i="4"/>
  <c r="AQ251" i="4"/>
  <c r="AQ195" i="4"/>
  <c r="AQ265" i="4"/>
  <c r="AQ240" i="4"/>
  <c r="AQ273" i="4"/>
  <c r="AQ233" i="4"/>
  <c r="AQ272" i="4"/>
  <c r="AQ193" i="4"/>
  <c r="AQ254" i="4"/>
  <c r="AQ228" i="4"/>
  <c r="AQ269" i="4"/>
  <c r="AQ244" i="4"/>
  <c r="AQ262" i="4"/>
  <c r="AQ217" i="4"/>
  <c r="AQ234" i="4"/>
  <c r="AQ216" i="4"/>
  <c r="AQ231" i="4"/>
  <c r="AQ266" i="4"/>
  <c r="AQ252" i="4"/>
  <c r="AQ264" i="4"/>
  <c r="AQ205" i="4"/>
  <c r="AQ211" i="4"/>
  <c r="AQ268" i="4"/>
  <c r="AQ241" i="4"/>
  <c r="AQ212" i="4"/>
  <c r="AQ267" i="4"/>
  <c r="AQ213" i="4"/>
  <c r="AQ198" i="4"/>
  <c r="AQ256" i="4"/>
  <c r="AQ245" i="4"/>
  <c r="AQ229" i="4"/>
  <c r="AQ246" i="4"/>
  <c r="AQ255" i="4"/>
  <c r="AQ263" i="4"/>
  <c r="AQ199" i="4"/>
  <c r="AQ248" i="4"/>
  <c r="AQ271" i="4"/>
  <c r="AQ247" i="4"/>
  <c r="AQ232" i="4"/>
  <c r="AQ242" i="4"/>
  <c r="AQ253" i="4"/>
  <c r="AQ235" i="4"/>
  <c r="AQ222" i="4"/>
  <c r="AQ260" i="4"/>
  <c r="AQ270" i="4"/>
  <c r="AQ243" i="4"/>
  <c r="AQ219" i="4"/>
  <c r="AQ223" i="4"/>
  <c r="AQ226" i="4"/>
  <c r="AQ220" i="4"/>
  <c r="AQ258" i="4"/>
  <c r="AQ196" i="4"/>
  <c r="AA131" i="4"/>
  <c r="AF91" i="4"/>
  <c r="AF171" i="4"/>
  <c r="AF220" i="4"/>
  <c r="AF38" i="4"/>
  <c r="AF92" i="4"/>
  <c r="AF150" i="4"/>
  <c r="AF172" i="4"/>
  <c r="AF142" i="4"/>
  <c r="AF114" i="4"/>
  <c r="AF189" i="4"/>
  <c r="AF223" i="4"/>
  <c r="AF148" i="4"/>
  <c r="AF160" i="4"/>
  <c r="AF55" i="4"/>
  <c r="AF260" i="4"/>
  <c r="AF231" i="4"/>
  <c r="AF250" i="4"/>
  <c r="AF119" i="4"/>
  <c r="AF136" i="4"/>
  <c r="AF258" i="4"/>
  <c r="AF78" i="4"/>
  <c r="AF162" i="4"/>
  <c r="AF208" i="4"/>
  <c r="AF235" i="4"/>
  <c r="AF45" i="4"/>
  <c r="AF270" i="4"/>
  <c r="AF61" i="4"/>
  <c r="AF218" i="4"/>
  <c r="AF152" i="4"/>
  <c r="AF67" i="4"/>
  <c r="AF40" i="4"/>
  <c r="AF247" i="4"/>
  <c r="AF85" i="4"/>
  <c r="AF96" i="4"/>
  <c r="AF113" i="4"/>
  <c r="AF100" i="4"/>
  <c r="AF239" i="4"/>
  <c r="AF210" i="4"/>
  <c r="AE80" i="4"/>
  <c r="AF234" i="4"/>
  <c r="AF44" i="4"/>
  <c r="AF123" i="4"/>
  <c r="AF185" i="4"/>
  <c r="AF60" i="4"/>
  <c r="AF98" i="4"/>
  <c r="AF164" i="4"/>
  <c r="AF137" i="4"/>
  <c r="AF186" i="4"/>
  <c r="AF163" i="4"/>
  <c r="AF131" i="4"/>
  <c r="AF240" i="4"/>
  <c r="AF177" i="4"/>
  <c r="AF221" i="4"/>
  <c r="AF109" i="4"/>
  <c r="AF52" i="4"/>
  <c r="AF244" i="4"/>
  <c r="AF216" i="4"/>
  <c r="AF263" i="4"/>
  <c r="AF88" i="4"/>
  <c r="AF47" i="4"/>
  <c r="AF75" i="4"/>
  <c r="AF225" i="4"/>
  <c r="AF111" i="4"/>
  <c r="AF174" i="4"/>
  <c r="AF200" i="4"/>
  <c r="AF97" i="4"/>
  <c r="AF226" i="4"/>
  <c r="AF259" i="4"/>
  <c r="AF46" i="4"/>
  <c r="AF265" i="4"/>
  <c r="AF206" i="4"/>
  <c r="AF212" i="4"/>
  <c r="AF129" i="4"/>
  <c r="AF71" i="4"/>
  <c r="AF128" i="4"/>
  <c r="AF57" i="4"/>
  <c r="AF193" i="4"/>
  <c r="AF242" i="4"/>
  <c r="AF191" i="4"/>
  <c r="AF83" i="4"/>
  <c r="AF214" i="4"/>
  <c r="AF51" i="4"/>
  <c r="AF42" i="4"/>
  <c r="AF86" i="4"/>
  <c r="AF153" i="4"/>
  <c r="AF124" i="4"/>
  <c r="AF175" i="4"/>
  <c r="AF151" i="4"/>
  <c r="AF118" i="4"/>
  <c r="AF196" i="4"/>
  <c r="AF49" i="4"/>
  <c r="AF241" i="4"/>
  <c r="AF170" i="4"/>
  <c r="AF229" i="4"/>
  <c r="AF161" i="4"/>
  <c r="AF37" i="4"/>
  <c r="AF104" i="4"/>
  <c r="AE35" i="4"/>
  <c r="AE50" i="4"/>
  <c r="AF272" i="4"/>
  <c r="AF179" i="4"/>
  <c r="AF69" i="4"/>
  <c r="AF54" i="4"/>
  <c r="AF159" i="4"/>
  <c r="AF94" i="4"/>
  <c r="AF215" i="4"/>
  <c r="AF249" i="4"/>
  <c r="AF184" i="4"/>
  <c r="AF166" i="4"/>
  <c r="AF101" i="4"/>
  <c r="AF102" i="4"/>
  <c r="AF90" i="4"/>
  <c r="AF257" i="4"/>
  <c r="AF149" i="4"/>
  <c r="AF207" i="4"/>
  <c r="AE242" i="4"/>
  <c r="AF273" i="4"/>
  <c r="AF146" i="4"/>
  <c r="AF213" i="4"/>
  <c r="AF269" i="4"/>
  <c r="AF190" i="4"/>
  <c r="AF168" i="4"/>
  <c r="AF255" i="4"/>
  <c r="AF35" i="4"/>
  <c r="AF70" i="4"/>
  <c r="AF140" i="4"/>
  <c r="AF112" i="4"/>
  <c r="AF165" i="4"/>
  <c r="AF39" i="4"/>
  <c r="AF254" i="4"/>
  <c r="AF271" i="4"/>
  <c r="AF74" i="4"/>
  <c r="AF135" i="4"/>
  <c r="AF68" i="4"/>
  <c r="AF248" i="4"/>
  <c r="AF117" i="4"/>
  <c r="AF245" i="4"/>
  <c r="AF209" i="4"/>
  <c r="AF133" i="4"/>
  <c r="AF219" i="4"/>
  <c r="AF267" i="4"/>
  <c r="AF108" i="4"/>
  <c r="AF122" i="4"/>
  <c r="AF147" i="4"/>
  <c r="AF84" i="4"/>
  <c r="AF180" i="4"/>
  <c r="AF76" i="4"/>
  <c r="AF201" i="4"/>
  <c r="AF262" i="4"/>
  <c r="AF138" i="4"/>
  <c r="AF106" i="4"/>
  <c r="AF125" i="4"/>
  <c r="AF266" i="4"/>
  <c r="AF224" i="4"/>
  <c r="AF64" i="4"/>
  <c r="AF253" i="4"/>
  <c r="AF110" i="4"/>
  <c r="AE49" i="4"/>
  <c r="AE158" i="4"/>
  <c r="AF89" i="4"/>
  <c r="AF107" i="4"/>
  <c r="AF232" i="4"/>
  <c r="AF120" i="4"/>
  <c r="AF243" i="4"/>
  <c r="AF211" i="4"/>
  <c r="AF53" i="4"/>
  <c r="AF246" i="4"/>
  <c r="AF157" i="4"/>
  <c r="AF268" i="4"/>
  <c r="AF56" i="4"/>
  <c r="AF127" i="4"/>
  <c r="AF238" i="4"/>
  <c r="AF141" i="4"/>
  <c r="AF82" i="4"/>
  <c r="AF116" i="4"/>
  <c r="AF199" i="4"/>
  <c r="AF41" i="4"/>
  <c r="AF227" i="4"/>
  <c r="AF197" i="4"/>
  <c r="AF173" i="4"/>
  <c r="AF93" i="4"/>
  <c r="AF261" i="4"/>
  <c r="AF222" i="4"/>
  <c r="AF59" i="4"/>
  <c r="AF66" i="4"/>
  <c r="AF95" i="4"/>
  <c r="AF132" i="4"/>
  <c r="AF134" i="4"/>
  <c r="AF73" i="4"/>
  <c r="AF169" i="4"/>
  <c r="AF65" i="4"/>
  <c r="AF99" i="4"/>
  <c r="AF154" i="4"/>
  <c r="AF87" i="4"/>
  <c r="AF178" i="4"/>
  <c r="AF77" i="4"/>
  <c r="AF50" i="4"/>
  <c r="AF72" i="4"/>
  <c r="AF217" i="4"/>
  <c r="AF188" i="4"/>
  <c r="AF228" i="4"/>
  <c r="AF80" i="4"/>
  <c r="AF183" i="4"/>
  <c r="AF156" i="4"/>
  <c r="AF187" i="4"/>
  <c r="AF198" i="4"/>
  <c r="AF233" i="4"/>
  <c r="AF43" i="4"/>
  <c r="AF256" i="4"/>
  <c r="AF192" i="4"/>
  <c r="AF252" i="4"/>
  <c r="AF181" i="4"/>
  <c r="AF195" i="4"/>
  <c r="AF126" i="4"/>
  <c r="AF155" i="4"/>
  <c r="AF158" i="4"/>
  <c r="AF167" i="4"/>
  <c r="AE51" i="4"/>
  <c r="AF182" i="4"/>
  <c r="AF58" i="4"/>
  <c r="AF105" i="4"/>
  <c r="AF205" i="4"/>
  <c r="AF176" i="4"/>
  <c r="AF79" i="4"/>
  <c r="AF48" i="4"/>
  <c r="AF264" i="4"/>
  <c r="AF81" i="4"/>
  <c r="AF62" i="4"/>
  <c r="AF121" i="4"/>
  <c r="AF63" i="4"/>
  <c r="AF36" i="4"/>
  <c r="AF115" i="4"/>
  <c r="AF139" i="4"/>
  <c r="AF143" i="4"/>
  <c r="AF230" i="4"/>
  <c r="AF251" i="4"/>
  <c r="AA227" i="4"/>
  <c r="AA265" i="4"/>
  <c r="AS269" i="4"/>
  <c r="AT256" i="4"/>
  <c r="AT243" i="4"/>
  <c r="AS230" i="4"/>
  <c r="AT250" i="4"/>
  <c r="AT151" i="4"/>
  <c r="AT221" i="4"/>
  <c r="AT142" i="4"/>
  <c r="AT192" i="4"/>
  <c r="AS118" i="4"/>
  <c r="AS181" i="4"/>
  <c r="AT179" i="4"/>
  <c r="AT109" i="4"/>
  <c r="AT184" i="4"/>
  <c r="AT245" i="4"/>
  <c r="AT157" i="4"/>
  <c r="AT209" i="4"/>
  <c r="AT180" i="4"/>
  <c r="AS81" i="4"/>
  <c r="AT90" i="4"/>
  <c r="AT126" i="4"/>
  <c r="AS69" i="4"/>
  <c r="AS200" i="4"/>
  <c r="AT98" i="4"/>
  <c r="AS98" i="4"/>
  <c r="AT97" i="4"/>
  <c r="AT175" i="4"/>
  <c r="AS80" i="4"/>
  <c r="AS155" i="4"/>
  <c r="AT164" i="4"/>
  <c r="AT62" i="4"/>
  <c r="AT133" i="4"/>
  <c r="AS51" i="4"/>
  <c r="AT127" i="4"/>
  <c r="AT92" i="4"/>
  <c r="AT263" i="4"/>
  <c r="AS253" i="4"/>
  <c r="AT249" i="4"/>
  <c r="AS238" i="4"/>
  <c r="AT225" i="4"/>
  <c r="AS247" i="4"/>
  <c r="AS146" i="4"/>
  <c r="AS217" i="4"/>
  <c r="AS138" i="4"/>
  <c r="AS188" i="4"/>
  <c r="AT111" i="4"/>
  <c r="AT267" i="4"/>
  <c r="AS175" i="4"/>
  <c r="AS179" i="4"/>
  <c r="AS218" i="4"/>
  <c r="AS152" i="4"/>
  <c r="AS198" i="4"/>
  <c r="AS174" i="4"/>
  <c r="AT75" i="4"/>
  <c r="AS265" i="4"/>
  <c r="AS86" i="4"/>
  <c r="AS124" i="4"/>
  <c r="AT63" i="4"/>
  <c r="AS94" i="4"/>
  <c r="AT80" i="4"/>
  <c r="AS162" i="4"/>
  <c r="AT74" i="4"/>
  <c r="AT148" i="4"/>
  <c r="AS148" i="4"/>
  <c r="AS58" i="4"/>
  <c r="AS105" i="4"/>
  <c r="AT129" i="4"/>
  <c r="AS83" i="4"/>
  <c r="AS258" i="4"/>
  <c r="AT247" i="4"/>
  <c r="AS245" i="4"/>
  <c r="AT230" i="4"/>
  <c r="AS271" i="4"/>
  <c r="AT217" i="4"/>
  <c r="AT138" i="4"/>
  <c r="AT210" i="4"/>
  <c r="AT271" i="4"/>
  <c r="AT181" i="4"/>
  <c r="AS255" i="4"/>
  <c r="AT168" i="4"/>
  <c r="AS267" i="4"/>
  <c r="AT173" i="4"/>
  <c r="AT211" i="4"/>
  <c r="AT143" i="4"/>
  <c r="AT193" i="4"/>
  <c r="AT196" i="4"/>
  <c r="AT167" i="4"/>
  <c r="AS71" i="4"/>
  <c r="AS214" i="4"/>
  <c r="AT261" i="4"/>
  <c r="AT117" i="4"/>
  <c r="AS59" i="4"/>
  <c r="AS185" i="4"/>
  <c r="AT88" i="4"/>
  <c r="AT212" i="4"/>
  <c r="AS88" i="4"/>
  <c r="AS254" i="4"/>
  <c r="AS76" i="4"/>
  <c r="AT155" i="4"/>
  <c r="AS70" i="4"/>
  <c r="AS109" i="4"/>
  <c r="AT140" i="4"/>
  <c r="AT51" i="4"/>
  <c r="AT77" i="4"/>
  <c r="AT102" i="4"/>
  <c r="AS62" i="4"/>
  <c r="AS53" i="4"/>
  <c r="AT253" i="4"/>
  <c r="AS242" i="4"/>
  <c r="AT238" i="4"/>
  <c r="AT265" i="4"/>
  <c r="AS212" i="4"/>
  <c r="AS133" i="4"/>
  <c r="AS205" i="4"/>
  <c r="AS268" i="4"/>
  <c r="AS176" i="4"/>
  <c r="AT255" i="4"/>
  <c r="AS229" i="4"/>
  <c r="AS165" i="4"/>
  <c r="AS241" i="4"/>
  <c r="AS168" i="4"/>
  <c r="AS206" i="4"/>
  <c r="AS139" i="4"/>
  <c r="AS189" i="4"/>
  <c r="AT251" i="4"/>
  <c r="AS157" i="4"/>
  <c r="AS170" i="4"/>
  <c r="AS75" i="4"/>
  <c r="AS115" i="4"/>
  <c r="AT52" i="4"/>
  <c r="AS84" i="4"/>
  <c r="AT82" i="4"/>
  <c r="AS82" i="4"/>
  <c r="AT190" i="4"/>
  <c r="AT70" i="4"/>
  <c r="AS137" i="4"/>
  <c r="AT64" i="4"/>
  <c r="AS107" i="4"/>
  <c r="AS125" i="4"/>
  <c r="AS46" i="4"/>
  <c r="AT71" i="4"/>
  <c r="AT68" i="4"/>
  <c r="AT56" i="4"/>
  <c r="AT81" i="4"/>
  <c r="AS41" i="4"/>
  <c r="AS140" i="4"/>
  <c r="AS232" i="4"/>
  <c r="AS273" i="4"/>
  <c r="AT262" i="4"/>
  <c r="AS260" i="4"/>
  <c r="AT205" i="4"/>
  <c r="AT125" i="4"/>
  <c r="AT197" i="4"/>
  <c r="AT246" i="4"/>
  <c r="AT170" i="4"/>
  <c r="AS246" i="4"/>
  <c r="AT226" i="4"/>
  <c r="AT159" i="4"/>
  <c r="AT235" i="4"/>
  <c r="AT198" i="4"/>
  <c r="AT132" i="4"/>
  <c r="AT182" i="4"/>
  <c r="AS244" i="4"/>
  <c r="AT150" i="4"/>
  <c r="AS60" i="4"/>
  <c r="AT69" i="4"/>
  <c r="AT108" i="4"/>
  <c r="AS47" i="4"/>
  <c r="AS160" i="4"/>
  <c r="AT78" i="4"/>
  <c r="AT169" i="4"/>
  <c r="AS78" i="4"/>
  <c r="AS169" i="4"/>
  <c r="AT76" i="4"/>
  <c r="AT178" i="4"/>
  <c r="AS65" i="4"/>
  <c r="AT131" i="4"/>
  <c r="AT99" i="4"/>
  <c r="AT118" i="4"/>
  <c r="AS136" i="4"/>
  <c r="AS64" i="4"/>
  <c r="AS44" i="4"/>
  <c r="AS39" i="4"/>
  <c r="AT66" i="4"/>
  <c r="AS66" i="4"/>
  <c r="AT242" i="4"/>
  <c r="AS257" i="4"/>
  <c r="AT254" i="4"/>
  <c r="AS190" i="4"/>
  <c r="AS120" i="4"/>
  <c r="AT188" i="4"/>
  <c r="AS233" i="4"/>
  <c r="AT161" i="4"/>
  <c r="AT220" i="4"/>
  <c r="AS220" i="4"/>
  <c r="AS154" i="4"/>
  <c r="AT232" i="4"/>
  <c r="AS159" i="4"/>
  <c r="AS195" i="4"/>
  <c r="AS262" i="4"/>
  <c r="AT269" i="4"/>
  <c r="AS240" i="4"/>
  <c r="AS129" i="4"/>
  <c r="AT54" i="4"/>
  <c r="AS150" i="4"/>
  <c r="AT185" i="4"/>
  <c r="AT106" i="4"/>
  <c r="AT40" i="4"/>
  <c r="AT153" i="4"/>
  <c r="AS73" i="4"/>
  <c r="AS153" i="4"/>
  <c r="AT72" i="4"/>
  <c r="AT165" i="4"/>
  <c r="AS72" i="4"/>
  <c r="AT162" i="4"/>
  <c r="AS123" i="4"/>
  <c r="AT53" i="4"/>
  <c r="AS95" i="4"/>
  <c r="AT105" i="4"/>
  <c r="AT120" i="4"/>
  <c r="AT58" i="4"/>
  <c r="AT39" i="4"/>
  <c r="AS180" i="4"/>
  <c r="AT41" i="4"/>
  <c r="AS235" i="4"/>
  <c r="AT224" i="4"/>
  <c r="AT273" i="4"/>
  <c r="AS264" i="4"/>
  <c r="AT252" i="4"/>
  <c r="AS250" i="4"/>
  <c r="AT183" i="4"/>
  <c r="AT113" i="4"/>
  <c r="AS183" i="4"/>
  <c r="AS223" i="4"/>
  <c r="AS156" i="4"/>
  <c r="AS215" i="4"/>
  <c r="AT213" i="4"/>
  <c r="AT147" i="4"/>
  <c r="AT218" i="4"/>
  <c r="AT152" i="4"/>
  <c r="AT189" i="4"/>
  <c r="AT258" i="4"/>
  <c r="AT266" i="4"/>
  <c r="AT214" i="4"/>
  <c r="AT122" i="4"/>
  <c r="AS49" i="4"/>
  <c r="AT141" i="4"/>
  <c r="AT59" i="4"/>
  <c r="AS166" i="4"/>
  <c r="AS100" i="4"/>
  <c r="AS35" i="4"/>
  <c r="AS135" i="4"/>
  <c r="AT67" i="4"/>
  <c r="AT146" i="4"/>
  <c r="AS67" i="4"/>
  <c r="AS149" i="4"/>
  <c r="AT65" i="4"/>
  <c r="AS143" i="4"/>
  <c r="AS55" i="4"/>
  <c r="AT116" i="4"/>
  <c r="AS48" i="4"/>
  <c r="AT89" i="4"/>
  <c r="AS99" i="4"/>
  <c r="AS87" i="4"/>
  <c r="AT187" i="4"/>
  <c r="AT158" i="4"/>
  <c r="AS127" i="4"/>
  <c r="AT49" i="4"/>
  <c r="AS270" i="4"/>
  <c r="AT257" i="4"/>
  <c r="AS248" i="4"/>
  <c r="AT244" i="4"/>
  <c r="AS178" i="4"/>
  <c r="AS108" i="4"/>
  <c r="AT176" i="4"/>
  <c r="AS221" i="4"/>
  <c r="AT149" i="4"/>
  <c r="AT208" i="4"/>
  <c r="AS208" i="4"/>
  <c r="AS213" i="4"/>
  <c r="AS147" i="4"/>
  <c r="AS184" i="4"/>
  <c r="AT240" i="4"/>
  <c r="AS209" i="4"/>
  <c r="AS113" i="4"/>
  <c r="AT42" i="4"/>
  <c r="AT124" i="4"/>
  <c r="AS54" i="4"/>
  <c r="AT94" i="4"/>
  <c r="AS126" i="4"/>
  <c r="AS63" i="4"/>
  <c r="AT128" i="4"/>
  <c r="AT61" i="4"/>
  <c r="AS61" i="4"/>
  <c r="AT137" i="4"/>
  <c r="AT48" i="4"/>
  <c r="AT107" i="4"/>
  <c r="AS251" i="4"/>
  <c r="AS85" i="4"/>
  <c r="AT93" i="4"/>
  <c r="AS36" i="4"/>
  <c r="AS93" i="4"/>
  <c r="AT87" i="4"/>
  <c r="AT60" i="4"/>
  <c r="AS226" i="4"/>
  <c r="AT264" i="4"/>
  <c r="AT241" i="4"/>
  <c r="AS239" i="4"/>
  <c r="AT172" i="4"/>
  <c r="AT260" i="4"/>
  <c r="AS172" i="4"/>
  <c r="AT215" i="4"/>
  <c r="AS142" i="4"/>
  <c r="AS201" i="4"/>
  <c r="AT199" i="4"/>
  <c r="AT134" i="4"/>
  <c r="AT206" i="4"/>
  <c r="AT139" i="4"/>
  <c r="AT177" i="4"/>
  <c r="AT228" i="4"/>
  <c r="AS231" i="4"/>
  <c r="AT200" i="4"/>
  <c r="AS102" i="4"/>
  <c r="AS37" i="4"/>
  <c r="AS122" i="4"/>
  <c r="AT47" i="4"/>
  <c r="AT160" i="4"/>
  <c r="AS90" i="4"/>
  <c r="AT119" i="4"/>
  <c r="AT57" i="4"/>
  <c r="AS119" i="4"/>
  <c r="AS57" i="4"/>
  <c r="AS121" i="4"/>
  <c r="AT55" i="4"/>
  <c r="AS114" i="4"/>
  <c r="AS43" i="4"/>
  <c r="AS101" i="4"/>
  <c r="AT227" i="4"/>
  <c r="AT79" i="4"/>
  <c r="AS89" i="4"/>
  <c r="AT44" i="4"/>
  <c r="AT37" i="4"/>
  <c r="AS161" i="4"/>
  <c r="AS272" i="4"/>
  <c r="AT270" i="4"/>
  <c r="AS259" i="4"/>
  <c r="AT248" i="4"/>
  <c r="AS234" i="4"/>
  <c r="AT231" i="4"/>
  <c r="AS167" i="4"/>
  <c r="AS256" i="4"/>
  <c r="AS163" i="4"/>
  <c r="AS210" i="4"/>
  <c r="AT136" i="4"/>
  <c r="AS128" i="4"/>
  <c r="AS199" i="4"/>
  <c r="AS134" i="4"/>
  <c r="AS173" i="4"/>
  <c r="AT222" i="4"/>
  <c r="AS228" i="4"/>
  <c r="AS196" i="4"/>
  <c r="AT96" i="4"/>
  <c r="AT115" i="4"/>
  <c r="AS42" i="4"/>
  <c r="AS141" i="4"/>
  <c r="AT84" i="4"/>
  <c r="AS117" i="4"/>
  <c r="AS52" i="4"/>
  <c r="AT112" i="4"/>
  <c r="AT50" i="4"/>
  <c r="AT114" i="4"/>
  <c r="AS50" i="4"/>
  <c r="AT101" i="4"/>
  <c r="AT36" i="4"/>
  <c r="AT95" i="4"/>
  <c r="AS219" i="4"/>
  <c r="AS74" i="4"/>
  <c r="AT83" i="4"/>
  <c r="AT174" i="4"/>
  <c r="AT268" i="4"/>
  <c r="AS266" i="4"/>
  <c r="AS243" i="4"/>
  <c r="AT229" i="4"/>
  <c r="AS227" i="4"/>
  <c r="AT163" i="4"/>
  <c r="AT233" i="4"/>
  <c r="AT156" i="4"/>
  <c r="AT201" i="4"/>
  <c r="AS131" i="4"/>
  <c r="AS192" i="4"/>
  <c r="AT191" i="4"/>
  <c r="AT121" i="4"/>
  <c r="AT195" i="4"/>
  <c r="AS252" i="4"/>
  <c r="AT166" i="4"/>
  <c r="AT216" i="4"/>
  <c r="AS222" i="4"/>
  <c r="AS92" i="4"/>
  <c r="AT100" i="4"/>
  <c r="AT35" i="4"/>
  <c r="AT135" i="4"/>
  <c r="AS261" i="4"/>
  <c r="AT110" i="4"/>
  <c r="AT45" i="4"/>
  <c r="AS110" i="4"/>
  <c r="AS45" i="4"/>
  <c r="AS112" i="4"/>
  <c r="AT43" i="4"/>
  <c r="AS97" i="4"/>
  <c r="AT219" i="4"/>
  <c r="AS91" i="4"/>
  <c r="AS177" i="4"/>
  <c r="AT207" i="4"/>
  <c r="AS79" i="4"/>
  <c r="AS207" i="4"/>
  <c r="AT154" i="4"/>
  <c r="AS164" i="4"/>
  <c r="AT46" i="4"/>
  <c r="AT272" i="4"/>
  <c r="AS263" i="4"/>
  <c r="AT259" i="4"/>
  <c r="AS249" i="4"/>
  <c r="AT234" i="4"/>
  <c r="AS225" i="4"/>
  <c r="AS158" i="4"/>
  <c r="AT223" i="4"/>
  <c r="AS151" i="4"/>
  <c r="AS197" i="4"/>
  <c r="AT123" i="4"/>
  <c r="AT186" i="4"/>
  <c r="AS186" i="4"/>
  <c r="AS116" i="4"/>
  <c r="AS191" i="4"/>
  <c r="AS211" i="4"/>
  <c r="AS216" i="4"/>
  <c r="AS187" i="4"/>
  <c r="AT86" i="4"/>
  <c r="AS96" i="4"/>
  <c r="AS132" i="4"/>
  <c r="AT73" i="4"/>
  <c r="AT239" i="4"/>
  <c r="AS106" i="4"/>
  <c r="AS40" i="4"/>
  <c r="AT104" i="4"/>
  <c r="AT38" i="4"/>
  <c r="AS104" i="4"/>
  <c r="AS38" i="4"/>
  <c r="AT91" i="4"/>
  <c r="AS182" i="4"/>
  <c r="AT85" i="4"/>
  <c r="AT171" i="4"/>
  <c r="AS171" i="4"/>
  <c r="AS68" i="4"/>
  <c r="AS193" i="4"/>
  <c r="AS77" i="4"/>
  <c r="AS224" i="4"/>
  <c r="AS111" i="4"/>
  <c r="AS56" i="4"/>
  <c r="AA55" i="4"/>
  <c r="AA71" i="4"/>
  <c r="AA91" i="4"/>
  <c r="AE40" i="4"/>
  <c r="AE182" i="4"/>
  <c r="AE52" i="4"/>
  <c r="AA191" i="4"/>
  <c r="AA207" i="4"/>
  <c r="AA212" i="4"/>
  <c r="AA228" i="4"/>
  <c r="AE188" i="4"/>
  <c r="AE47" i="4"/>
  <c r="AA67" i="4"/>
  <c r="AA166" i="4"/>
  <c r="AA201" i="4"/>
  <c r="AA93" i="4"/>
  <c r="AA84" i="4"/>
  <c r="AA65" i="4"/>
  <c r="AA243" i="4"/>
  <c r="AA199" i="4"/>
  <c r="AA80" i="4"/>
  <c r="AA218" i="4"/>
  <c r="AA68" i="4"/>
  <c r="AA66" i="4"/>
  <c r="AA107" i="4"/>
  <c r="AA200" i="4"/>
  <c r="AA81" i="4"/>
  <c r="AA54" i="4"/>
  <c r="AA219" i="4"/>
  <c r="AA190" i="4"/>
  <c r="AA69" i="4"/>
  <c r="AA217" i="4"/>
  <c r="AA56" i="4"/>
  <c r="AA83" i="4"/>
  <c r="AA76" i="4"/>
  <c r="AA92" i="4"/>
  <c r="AE41" i="4"/>
  <c r="AE183" i="4"/>
  <c r="AO255" i="4"/>
  <c r="AO264" i="4"/>
  <c r="AO171" i="4"/>
  <c r="AO135" i="4"/>
  <c r="AO190" i="4"/>
  <c r="AO183" i="4"/>
  <c r="AO176" i="4"/>
  <c r="AO208" i="4"/>
  <c r="AO107" i="4"/>
  <c r="AO174" i="4"/>
  <c r="AO170" i="4"/>
  <c r="AO139" i="4"/>
  <c r="AO157" i="4"/>
  <c r="AO153" i="4"/>
  <c r="AO132" i="4"/>
  <c r="AO106" i="4"/>
  <c r="AO78" i="4"/>
  <c r="AO70" i="4"/>
  <c r="AO65" i="4"/>
  <c r="AO246" i="4"/>
  <c r="AO268" i="4"/>
  <c r="AO162" i="4"/>
  <c r="AO122" i="4"/>
  <c r="AO178" i="4"/>
  <c r="AO172" i="4"/>
  <c r="AO156" i="4"/>
  <c r="AO95" i="4"/>
  <c r="AO154" i="4"/>
  <c r="AO147" i="4"/>
  <c r="AO129" i="4"/>
  <c r="AO115" i="4"/>
  <c r="AO96" i="4"/>
  <c r="AO117" i="4"/>
  <c r="AO94" i="4"/>
  <c r="AO218" i="4"/>
  <c r="AO198" i="4"/>
  <c r="AO233" i="4"/>
  <c r="AO256" i="4"/>
  <c r="AO243" i="4"/>
  <c r="AO150" i="4"/>
  <c r="AO155" i="4"/>
  <c r="AO110" i="4"/>
  <c r="AO167" i="4"/>
  <c r="AO163" i="4"/>
  <c r="AO142" i="4"/>
  <c r="AO266" i="4"/>
  <c r="AO85" i="4"/>
  <c r="AO127" i="4"/>
  <c r="AO113" i="4"/>
  <c r="AO102" i="4"/>
  <c r="AO86" i="4"/>
  <c r="AO100" i="4"/>
  <c r="AO84" i="4"/>
  <c r="AO189" i="4"/>
  <c r="AO248" i="4"/>
  <c r="AO164" i="4"/>
  <c r="AO269" i="4"/>
  <c r="AO247" i="4"/>
  <c r="AO230" i="4"/>
  <c r="AO137" i="4"/>
  <c r="AO141" i="4"/>
  <c r="AO260" i="4"/>
  <c r="AO158" i="4"/>
  <c r="AO151" i="4"/>
  <c r="AO131" i="4"/>
  <c r="AO225" i="4"/>
  <c r="AO74" i="4"/>
  <c r="AO111" i="4"/>
  <c r="AO105" i="4"/>
  <c r="AO87" i="4"/>
  <c r="AO92" i="4"/>
  <c r="AO75" i="4"/>
  <c r="AO90" i="4"/>
  <c r="AO73" i="4"/>
  <c r="AO175" i="4"/>
  <c r="AO168" i="4"/>
  <c r="AO116" i="4"/>
  <c r="AO125" i="4"/>
  <c r="AO48" i="4"/>
  <c r="AO258" i="4"/>
  <c r="AO257" i="4"/>
  <c r="AO124" i="4"/>
  <c r="AO250" i="4"/>
  <c r="AO146" i="4"/>
  <c r="AO138" i="4"/>
  <c r="AO270" i="4"/>
  <c r="AO213" i="4"/>
  <c r="AO64" i="4"/>
  <c r="AO99" i="4"/>
  <c r="AO93" i="4"/>
  <c r="AO77" i="4"/>
  <c r="AO81" i="4"/>
  <c r="AO63" i="4"/>
  <c r="AO152" i="4"/>
  <c r="AO57" i="4"/>
  <c r="AO91" i="4"/>
  <c r="AO140" i="4"/>
  <c r="AO254" i="4"/>
  <c r="AO112" i="4"/>
  <c r="AO214" i="4"/>
  <c r="AO219" i="4"/>
  <c r="AO133" i="4"/>
  <c r="AO245" i="4"/>
  <c r="AO199" i="4"/>
  <c r="AO53" i="4"/>
  <c r="AO89" i="4"/>
  <c r="AO83" i="4"/>
  <c r="AO66" i="4"/>
  <c r="AO71" i="4"/>
  <c r="AO54" i="4"/>
  <c r="AO69" i="4"/>
  <c r="AO52" i="4"/>
  <c r="AO121" i="4"/>
  <c r="AO45" i="4"/>
  <c r="AO55" i="4"/>
  <c r="AO235" i="4"/>
  <c r="AO261" i="4"/>
  <c r="AO227" i="4"/>
  <c r="AO200" i="4"/>
  <c r="AO207" i="4"/>
  <c r="AO120" i="4"/>
  <c r="AO259" i="4"/>
  <c r="AO215" i="4"/>
  <c r="AO191" i="4"/>
  <c r="AO41" i="4"/>
  <c r="AO79" i="4"/>
  <c r="AO62" i="4"/>
  <c r="AO56" i="4"/>
  <c r="AO60" i="4"/>
  <c r="AO42" i="4"/>
  <c r="AO59" i="4"/>
  <c r="AO159" i="4"/>
  <c r="AO104" i="4"/>
  <c r="AO123" i="4"/>
  <c r="AO262" i="4"/>
  <c r="AO226" i="4"/>
  <c r="AO251" i="4"/>
  <c r="AO224" i="4"/>
  <c r="AO265" i="4"/>
  <c r="AO108" i="4"/>
  <c r="AO232" i="4"/>
  <c r="AO201" i="4"/>
  <c r="AO177" i="4"/>
  <c r="AO68" i="4"/>
  <c r="AO51" i="4"/>
  <c r="AO44" i="4"/>
  <c r="AO49" i="4"/>
  <c r="AO47" i="4"/>
  <c r="AO134" i="4"/>
  <c r="AO252" i="4"/>
  <c r="AO272" i="4"/>
  <c r="AO240" i="4"/>
  <c r="AO216" i="4"/>
  <c r="AO239" i="4"/>
  <c r="AO180" i="4"/>
  <c r="AO185" i="4"/>
  <c r="AO249" i="4"/>
  <c r="AO221" i="4"/>
  <c r="AO192" i="4"/>
  <c r="AO161" i="4"/>
  <c r="AO58" i="4"/>
  <c r="AO231" i="4"/>
  <c r="AO128" i="4"/>
  <c r="AO82" i="4"/>
  <c r="AO206" i="4"/>
  <c r="AO114" i="4"/>
  <c r="AO241" i="4"/>
  <c r="AO263" i="4"/>
  <c r="AO228" i="4"/>
  <c r="AO209" i="4"/>
  <c r="AO169" i="4"/>
  <c r="AO271" i="4"/>
  <c r="AO223" i="4"/>
  <c r="AO210" i="4"/>
  <c r="AO181" i="4"/>
  <c r="AO136" i="4"/>
  <c r="AO244" i="4"/>
  <c r="AO46" i="4"/>
  <c r="AO234" i="4"/>
  <c r="AO211" i="4"/>
  <c r="AO165" i="4"/>
  <c r="AO119" i="4"/>
  <c r="AO72" i="4"/>
  <c r="AO40" i="4"/>
  <c r="AO143" i="4"/>
  <c r="AO80" i="4"/>
  <c r="AO229" i="4"/>
  <c r="AO253" i="4"/>
  <c r="AO193" i="4"/>
  <c r="AO196" i="4"/>
  <c r="AO160" i="4"/>
  <c r="AO238" i="4"/>
  <c r="AO217" i="4"/>
  <c r="AO197" i="4"/>
  <c r="AO118" i="4"/>
  <c r="AO222" i="4"/>
  <c r="AO195" i="4"/>
  <c r="AO184" i="4"/>
  <c r="AO166" i="4"/>
  <c r="AO98" i="4"/>
  <c r="AO61" i="4"/>
  <c r="AO67" i="4"/>
  <c r="AO101" i="4"/>
  <c r="AO267" i="4"/>
  <c r="AO242" i="4"/>
  <c r="AO273" i="4"/>
  <c r="AO182" i="4"/>
  <c r="AO187" i="4"/>
  <c r="AO148" i="4"/>
  <c r="AO212" i="4"/>
  <c r="AO205" i="4"/>
  <c r="AO188" i="4"/>
  <c r="AO220" i="4"/>
  <c r="AO109" i="4"/>
  <c r="AO186" i="4"/>
  <c r="AO179" i="4"/>
  <c r="AO173" i="4"/>
  <c r="AO149" i="4"/>
  <c r="AO126" i="4"/>
  <c r="AO88" i="4"/>
  <c r="AO50" i="4"/>
  <c r="AO76" i="4"/>
  <c r="AO43" i="4"/>
  <c r="AO97" i="4"/>
  <c r="AA60" i="4"/>
  <c r="AA230" i="4"/>
  <c r="AE161" i="4"/>
  <c r="AA213" i="4"/>
  <c r="AA229" i="4"/>
  <c r="AE177" i="4"/>
  <c r="AE60" i="4"/>
  <c r="AA75" i="4"/>
  <c r="AA179" i="4"/>
  <c r="AA57" i="4"/>
  <c r="AE162" i="4"/>
  <c r="AA77" i="4"/>
  <c r="AA105" i="4"/>
  <c r="AE167" i="4"/>
  <c r="AC211" i="4"/>
  <c r="AC213" i="4"/>
  <c r="AC231" i="4"/>
  <c r="AC227" i="4"/>
  <c r="AC215" i="4"/>
  <c r="AC207" i="4"/>
  <c r="AC212" i="4"/>
  <c r="AC219" i="4"/>
  <c r="AC228" i="4"/>
  <c r="AC216" i="4"/>
  <c r="S15" i="4"/>
  <c r="S154" i="4"/>
  <c r="S16" i="4"/>
  <c r="S17" i="4"/>
  <c r="S156" i="4"/>
  <c r="S23" i="4"/>
  <c r="S200" i="4"/>
  <c r="S97" i="4"/>
  <c r="S174" i="4"/>
  <c r="S86" i="4"/>
  <c r="S12" i="4"/>
  <c r="S206" i="4"/>
  <c r="S119" i="4"/>
  <c r="S46" i="4"/>
  <c r="S238" i="4"/>
  <c r="S153" i="4"/>
  <c r="S240" i="4"/>
  <c r="S158" i="4"/>
  <c r="S143" i="4"/>
  <c r="S246" i="4"/>
  <c r="S271" i="4"/>
  <c r="S27" i="4"/>
  <c r="S165" i="4"/>
  <c r="S28" i="4"/>
  <c r="S176" i="4"/>
  <c r="S37" i="4"/>
  <c r="S217" i="4"/>
  <c r="S112" i="4"/>
  <c r="S10" i="4"/>
  <c r="S191" i="4"/>
  <c r="S98" i="4"/>
  <c r="S29" i="4"/>
  <c r="S222" i="4"/>
  <c r="S135" i="4"/>
  <c r="S60" i="4"/>
  <c r="S252" i="4"/>
  <c r="S167" i="4"/>
  <c r="S77" i="4"/>
  <c r="S255" i="4"/>
  <c r="S169" i="4"/>
  <c r="S79" i="4"/>
  <c r="S54" i="4"/>
  <c r="S216" i="4"/>
  <c r="S38" i="4"/>
  <c r="S175" i="4"/>
  <c r="S39" i="4"/>
  <c r="S187" i="4"/>
  <c r="S40" i="4"/>
  <c r="S188" i="4"/>
  <c r="S55" i="4"/>
  <c r="S229" i="4"/>
  <c r="S127" i="4"/>
  <c r="S25" i="4"/>
  <c r="S114" i="4"/>
  <c r="S44" i="4"/>
  <c r="S234" i="4"/>
  <c r="S151" i="4"/>
  <c r="S75" i="4"/>
  <c r="S268" i="4"/>
  <c r="S181" i="4"/>
  <c r="S90" i="4"/>
  <c r="S269" i="4"/>
  <c r="S183" i="4"/>
  <c r="S228" i="4"/>
  <c r="S21" i="4"/>
  <c r="S36" i="4"/>
  <c r="S50" i="4"/>
  <c r="S186" i="4"/>
  <c r="S51" i="4"/>
  <c r="S196" i="4"/>
  <c r="S52" i="4"/>
  <c r="S197" i="4"/>
  <c r="S68" i="4"/>
  <c r="S247" i="4"/>
  <c r="S147" i="4"/>
  <c r="S42" i="4"/>
  <c r="S219" i="4"/>
  <c r="S133" i="4"/>
  <c r="S59" i="4"/>
  <c r="S250" i="4"/>
  <c r="S179" i="4"/>
  <c r="S88" i="4"/>
  <c r="S18" i="4"/>
  <c r="S195" i="4"/>
  <c r="S107" i="4"/>
  <c r="S20" i="4"/>
  <c r="S198" i="4"/>
  <c r="S6" i="4"/>
  <c r="S95" i="4"/>
  <c r="S124" i="4"/>
  <c r="S61" i="4"/>
  <c r="S62" i="4"/>
  <c r="S209" i="4"/>
  <c r="S63" i="4"/>
  <c r="S210" i="4"/>
  <c r="S80" i="4"/>
  <c r="S259" i="4"/>
  <c r="S162" i="4"/>
  <c r="S57" i="4"/>
  <c r="S233" i="4"/>
  <c r="S149" i="4"/>
  <c r="S266" i="4"/>
  <c r="S193" i="4"/>
  <c r="S101" i="4"/>
  <c r="S32" i="4"/>
  <c r="S212" i="4"/>
  <c r="S122" i="4"/>
  <c r="S34" i="4"/>
  <c r="S214" i="4"/>
  <c r="S184" i="4"/>
  <c r="S72" i="4"/>
  <c r="S208" i="4"/>
  <c r="S83" i="4"/>
  <c r="S230" i="4"/>
  <c r="S73" i="4"/>
  <c r="S221" i="4"/>
  <c r="S96" i="4"/>
  <c r="S173" i="4"/>
  <c r="S70" i="4"/>
  <c r="S99" i="4"/>
  <c r="S13" i="4"/>
  <c r="S207" i="4"/>
  <c r="S120" i="4"/>
  <c r="S47" i="4"/>
  <c r="S225" i="4"/>
  <c r="S138" i="4"/>
  <c r="S49" i="4"/>
  <c r="S170" i="4"/>
  <c r="S257" i="4"/>
  <c r="S66" i="4"/>
  <c r="S82" i="4"/>
  <c r="S220" i="4"/>
  <c r="S93" i="4"/>
  <c r="S243" i="4"/>
  <c r="S84" i="4"/>
  <c r="S231" i="4"/>
  <c r="S111" i="4"/>
  <c r="S9" i="4"/>
  <c r="S190" i="4"/>
  <c r="S85" i="4"/>
  <c r="S261" i="4"/>
  <c r="S177" i="4"/>
  <c r="S115" i="4"/>
  <c r="S30" i="4"/>
  <c r="S223" i="4"/>
  <c r="S136" i="4"/>
  <c r="S64" i="4"/>
  <c r="S239" i="4"/>
  <c r="S157" i="4"/>
  <c r="S65" i="4"/>
  <c r="S241" i="4"/>
  <c r="S245" i="4"/>
  <c r="S22" i="4"/>
  <c r="S67" i="4"/>
  <c r="S105" i="4"/>
  <c r="S94" i="4"/>
  <c r="S244" i="4"/>
  <c r="S126" i="4"/>
  <c r="S24" i="4"/>
  <c r="S201" i="4"/>
  <c r="S11" i="4"/>
  <c r="S134" i="4"/>
  <c r="S45" i="4"/>
  <c r="S235" i="4"/>
  <c r="S152" i="4"/>
  <c r="S76" i="4"/>
  <c r="S168" i="4"/>
  <c r="S78" i="4"/>
  <c r="S256" i="4"/>
  <c r="S140" i="4"/>
  <c r="S109" i="4"/>
  <c r="S53" i="4"/>
  <c r="S104" i="4"/>
  <c r="S242" i="4"/>
  <c r="S117" i="4"/>
  <c r="S264" i="4"/>
  <c r="S106" i="4"/>
  <c r="S254" i="4"/>
  <c r="S146" i="4"/>
  <c r="S41" i="4"/>
  <c r="S218" i="4"/>
  <c r="S113" i="4"/>
  <c r="S26" i="4"/>
  <c r="S205" i="4"/>
  <c r="S150" i="4"/>
  <c r="S251" i="4"/>
  <c r="S166" i="4"/>
  <c r="S89" i="4"/>
  <c r="S182" i="4"/>
  <c r="S91" i="4"/>
  <c r="S270" i="4"/>
  <c r="S159" i="4"/>
  <c r="S185" i="4"/>
  <c r="S125" i="4"/>
  <c r="S116" i="4"/>
  <c r="S253" i="4"/>
  <c r="S129" i="4"/>
  <c r="S273" i="4"/>
  <c r="S118" i="4"/>
  <c r="S265" i="4"/>
  <c r="S161" i="4"/>
  <c r="S56" i="4"/>
  <c r="S232" i="4"/>
  <c r="S132" i="4"/>
  <c r="S43" i="4"/>
  <c r="S164" i="4"/>
  <c r="S74" i="4"/>
  <c r="S267" i="4"/>
  <c r="S180" i="4"/>
  <c r="S102" i="4"/>
  <c r="S19" i="4"/>
  <c r="S108" i="4"/>
  <c r="S160" i="4"/>
  <c r="S7" i="4"/>
  <c r="S258" i="4"/>
  <c r="S199" i="4"/>
  <c r="S128" i="4"/>
  <c r="S263" i="4"/>
  <c r="S141" i="4"/>
  <c r="S131" i="4"/>
  <c r="S172" i="4"/>
  <c r="S69" i="4"/>
  <c r="S248" i="4"/>
  <c r="S148" i="4"/>
  <c r="S58" i="4"/>
  <c r="S249" i="4"/>
  <c r="S178" i="4"/>
  <c r="S87" i="4"/>
  <c r="S14" i="4"/>
  <c r="S211" i="4"/>
  <c r="S121" i="4"/>
  <c r="S33" i="4"/>
  <c r="S213" i="4"/>
  <c r="S123" i="4"/>
  <c r="S227" i="4"/>
  <c r="S92" i="4"/>
  <c r="S35" i="4"/>
  <c r="S272" i="4"/>
  <c r="S155" i="4"/>
  <c r="S142" i="4"/>
  <c r="S8" i="4"/>
  <c r="S189" i="4"/>
  <c r="S81" i="4"/>
  <c r="S260" i="4"/>
  <c r="S163" i="4"/>
  <c r="S71" i="4"/>
  <c r="S262" i="4"/>
  <c r="S192" i="4"/>
  <c r="S100" i="4"/>
  <c r="S31" i="4"/>
  <c r="S224" i="4"/>
  <c r="S137" i="4"/>
  <c r="S48" i="4"/>
  <c r="S226" i="4"/>
  <c r="S139" i="4"/>
  <c r="S215" i="4"/>
  <c r="S171" i="4"/>
  <c r="S110" i="4"/>
  <c r="O39" i="4"/>
  <c r="O187" i="4"/>
  <c r="O131" i="4"/>
  <c r="O148" i="4"/>
  <c r="O11" i="4"/>
  <c r="O172" i="4"/>
  <c r="O41" i="4"/>
  <c r="O68" i="4"/>
  <c r="O230" i="4"/>
  <c r="O152" i="4"/>
  <c r="O109" i="4"/>
  <c r="O139" i="4"/>
  <c r="O46" i="4"/>
  <c r="O199" i="4"/>
  <c r="O167" i="4"/>
  <c r="O34" i="4"/>
  <c r="O192" i="4"/>
  <c r="O114" i="4"/>
  <c r="O76" i="4"/>
  <c r="O213" i="4"/>
  <c r="O51" i="4"/>
  <c r="O5" i="4"/>
  <c r="O142" i="4"/>
  <c r="O161" i="4"/>
  <c r="O25" i="4"/>
  <c r="O184" i="4"/>
  <c r="O55" i="4"/>
  <c r="O208" i="4"/>
  <c r="O243" i="4"/>
  <c r="O164" i="4"/>
  <c r="O123" i="4"/>
  <c r="O266" i="4"/>
  <c r="O154" i="4"/>
  <c r="O6" i="4"/>
  <c r="O179" i="4"/>
  <c r="O48" i="4"/>
  <c r="O201" i="4"/>
  <c r="O182" i="4"/>
  <c r="O271" i="4"/>
  <c r="O146" i="4"/>
  <c r="O247" i="4"/>
  <c r="O62" i="4"/>
  <c r="O17" i="4"/>
  <c r="O10" i="4"/>
  <c r="O171" i="4"/>
  <c r="O38" i="4"/>
  <c r="O67" i="4"/>
  <c r="O220" i="4"/>
  <c r="O92" i="4"/>
  <c r="O14" i="4"/>
  <c r="O175" i="4"/>
  <c r="O138" i="4"/>
  <c r="O177" i="4"/>
  <c r="O72" i="4"/>
  <c r="O20" i="4"/>
  <c r="O61" i="4"/>
  <c r="O215" i="4"/>
  <c r="O249" i="4"/>
  <c r="O224" i="4"/>
  <c r="O50" i="4"/>
  <c r="O217" i="4"/>
  <c r="O83" i="4"/>
  <c r="O28" i="4"/>
  <c r="O24" i="4"/>
  <c r="O183" i="4"/>
  <c r="O54" i="4"/>
  <c r="O207" i="4"/>
  <c r="O79" i="4"/>
  <c r="O107" i="4"/>
  <c r="O29" i="4"/>
  <c r="O188" i="4"/>
  <c r="O153" i="4"/>
  <c r="O18" i="4"/>
  <c r="O190" i="4"/>
  <c r="O85" i="4"/>
  <c r="O33" i="4"/>
  <c r="O200" i="4"/>
  <c r="O74" i="4"/>
  <c r="O226" i="4"/>
  <c r="O35" i="4"/>
  <c r="O254" i="4"/>
  <c r="O128" i="4"/>
  <c r="O75" i="4"/>
  <c r="O93" i="4"/>
  <c r="O40" i="4"/>
  <c r="O37" i="4"/>
  <c r="O195" i="4"/>
  <c r="O66" i="4"/>
  <c r="O219" i="4"/>
  <c r="O91" i="4"/>
  <c r="O242" i="4"/>
  <c r="O121" i="4"/>
  <c r="O43" i="4"/>
  <c r="O197" i="4"/>
  <c r="O165" i="4"/>
  <c r="O31" i="4"/>
  <c r="O212" i="4"/>
  <c r="O97" i="4"/>
  <c r="O47" i="4"/>
  <c r="O214" i="4"/>
  <c r="O235" i="4"/>
  <c r="O100" i="4"/>
  <c r="O160" i="4"/>
  <c r="O227" i="4"/>
  <c r="O264" i="4"/>
  <c r="O159" i="4"/>
  <c r="O105" i="4"/>
  <c r="O52" i="4"/>
  <c r="O53" i="4"/>
  <c r="O206" i="4"/>
  <c r="O78" i="4"/>
  <c r="O229" i="4"/>
  <c r="O104" i="4"/>
  <c r="O253" i="4"/>
  <c r="O136" i="4"/>
  <c r="O57" i="4"/>
  <c r="O15" i="4"/>
  <c r="O176" i="4"/>
  <c r="O45" i="4"/>
  <c r="O223" i="4"/>
  <c r="O111" i="4"/>
  <c r="O60" i="4"/>
  <c r="O225" i="4"/>
  <c r="O98" i="4"/>
  <c r="O181" i="4"/>
  <c r="O9" i="4"/>
  <c r="O259" i="4"/>
  <c r="O8" i="4"/>
  <c r="O210" i="4"/>
  <c r="O117" i="4"/>
  <c r="O63" i="4"/>
  <c r="O65" i="4"/>
  <c r="O218" i="4"/>
  <c r="O90" i="4"/>
  <c r="O241" i="4"/>
  <c r="O120" i="4"/>
  <c r="O263" i="4"/>
  <c r="O151" i="4"/>
  <c r="O69" i="4"/>
  <c r="O30" i="4"/>
  <c r="O189" i="4"/>
  <c r="O59" i="4"/>
  <c r="O233" i="4"/>
  <c r="O125" i="4"/>
  <c r="O86" i="4"/>
  <c r="O234" i="4"/>
  <c r="O113" i="4"/>
  <c r="O258" i="4"/>
  <c r="O221" i="4"/>
  <c r="O88" i="4"/>
  <c r="O169" i="4"/>
  <c r="O87" i="4"/>
  <c r="O239" i="4"/>
  <c r="O129" i="4"/>
  <c r="O73" i="4"/>
  <c r="O77" i="4"/>
  <c r="O228" i="4"/>
  <c r="O102" i="4"/>
  <c r="O252" i="4"/>
  <c r="O135" i="4"/>
  <c r="O272" i="4"/>
  <c r="O80" i="4"/>
  <c r="O44" i="4"/>
  <c r="O198" i="4"/>
  <c r="O71" i="4"/>
  <c r="O246" i="4"/>
  <c r="O140" i="4"/>
  <c r="O248" i="4"/>
  <c r="O127" i="4"/>
  <c r="O269" i="4"/>
  <c r="O49" i="4"/>
  <c r="O64" i="4"/>
  <c r="O22" i="4"/>
  <c r="O268" i="4"/>
  <c r="O141" i="4"/>
  <c r="O84" i="4"/>
  <c r="O89" i="4"/>
  <c r="O240" i="4"/>
  <c r="O119" i="4"/>
  <c r="O262" i="4"/>
  <c r="O150" i="4"/>
  <c r="O13" i="4"/>
  <c r="O174" i="4"/>
  <c r="O58" i="4"/>
  <c r="O211" i="4"/>
  <c r="O82" i="4"/>
  <c r="O255" i="4"/>
  <c r="O156" i="4"/>
  <c r="O112" i="4"/>
  <c r="O257" i="4"/>
  <c r="O143" i="4"/>
  <c r="O23" i="4"/>
  <c r="O244" i="4"/>
  <c r="O115" i="4"/>
  <c r="O132" i="4"/>
  <c r="O147" i="4"/>
  <c r="O155" i="4"/>
  <c r="O94" i="4"/>
  <c r="O101" i="4"/>
  <c r="O251" i="4"/>
  <c r="O134" i="4"/>
  <c r="O163" i="4"/>
  <c r="O27" i="4"/>
  <c r="O186" i="4"/>
  <c r="O108" i="4"/>
  <c r="O70" i="4"/>
  <c r="O222" i="4"/>
  <c r="O96" i="4"/>
  <c r="O267" i="4"/>
  <c r="O166" i="4"/>
  <c r="O126" i="4"/>
  <c r="O158" i="4"/>
  <c r="O99" i="4"/>
  <c r="O216" i="4"/>
  <c r="O193" i="4"/>
  <c r="O231" i="4"/>
  <c r="O205" i="4"/>
  <c r="O16" i="4"/>
  <c r="O106" i="4"/>
  <c r="O116" i="4"/>
  <c r="O261" i="4"/>
  <c r="O149" i="4"/>
  <c r="O12" i="4"/>
  <c r="O173" i="4"/>
  <c r="O42" i="4"/>
  <c r="O196" i="4"/>
  <c r="O122" i="4"/>
  <c r="O81" i="4"/>
  <c r="O232" i="4"/>
  <c r="O110" i="4"/>
  <c r="O19" i="4"/>
  <c r="O178" i="4"/>
  <c r="O7" i="4"/>
  <c r="O168" i="4"/>
  <c r="O170" i="4"/>
  <c r="O273" i="4"/>
  <c r="O260" i="4"/>
  <c r="O238" i="4"/>
  <c r="O118" i="4"/>
  <c r="O133" i="4"/>
  <c r="O162" i="4"/>
  <c r="O26" i="4"/>
  <c r="O185" i="4"/>
  <c r="O56" i="4"/>
  <c r="O209" i="4"/>
  <c r="O137" i="4"/>
  <c r="O95" i="4"/>
  <c r="O245" i="4"/>
  <c r="O124" i="4"/>
  <c r="O32" i="4"/>
  <c r="O191" i="4"/>
  <c r="O157" i="4"/>
  <c r="O21" i="4"/>
  <c r="O180" i="4"/>
  <c r="O250" i="4"/>
  <c r="O36" i="4"/>
  <c r="O256" i="4"/>
  <c r="O270" i="4"/>
  <c r="O265" i="4"/>
  <c r="Q15" i="4"/>
  <c r="Q27" i="4"/>
  <c r="Q38" i="4"/>
  <c r="Q50" i="4"/>
  <c r="Q61" i="4"/>
  <c r="Q72" i="4"/>
  <c r="Q82" i="4"/>
  <c r="Q104" i="4"/>
  <c r="Q116" i="4"/>
  <c r="Q128" i="4"/>
  <c r="Q154" i="4"/>
  <c r="Q165" i="4"/>
  <c r="Q175" i="4"/>
  <c r="Q186" i="4"/>
  <c r="Q16" i="4"/>
  <c r="Q39" i="4"/>
  <c r="Q51" i="4"/>
  <c r="Q62" i="4"/>
  <c r="Q83" i="4"/>
  <c r="Q93" i="4"/>
  <c r="Q105" i="4"/>
  <c r="Q117" i="4"/>
  <c r="Q129" i="4"/>
  <c r="Q141" i="4"/>
  <c r="Q155" i="4"/>
  <c r="Q187" i="4"/>
  <c r="Q196" i="4"/>
  <c r="Q209" i="4"/>
  <c r="Q230" i="4"/>
  <c r="Q243" i="4"/>
  <c r="Q264" i="4"/>
  <c r="Q273" i="4"/>
  <c r="Q5" i="4"/>
  <c r="Q17" i="4"/>
  <c r="Q28" i="4"/>
  <c r="Q40" i="4"/>
  <c r="Q52" i="4"/>
  <c r="Q63" i="4"/>
  <c r="Q73" i="4"/>
  <c r="Q84" i="4"/>
  <c r="Q94" i="4"/>
  <c r="Q106" i="4"/>
  <c r="Q118" i="4"/>
  <c r="Q131" i="4"/>
  <c r="Q142" i="4"/>
  <c r="Q156" i="4"/>
  <c r="Q176" i="4"/>
  <c r="Q188" i="4"/>
  <c r="Q197" i="4"/>
  <c r="Q210" i="4"/>
  <c r="Q221" i="4"/>
  <c r="Q231" i="4"/>
  <c r="Q244" i="4"/>
  <c r="Q254" i="4"/>
  <c r="Q265" i="4"/>
  <c r="Q7" i="4"/>
  <c r="Q22" i="4"/>
  <c r="Q36" i="4"/>
  <c r="Q54" i="4"/>
  <c r="Q67" i="4"/>
  <c r="Q95" i="4"/>
  <c r="Q110" i="4"/>
  <c r="Q125" i="4"/>
  <c r="Q143" i="4"/>
  <c r="Q160" i="4"/>
  <c r="Q171" i="4"/>
  <c r="Q185" i="4"/>
  <c r="Q214" i="4"/>
  <c r="Q226" i="4"/>
  <c r="Q239" i="4"/>
  <c r="Q252" i="4"/>
  <c r="Q266" i="4"/>
  <c r="Q8" i="4"/>
  <c r="Q23" i="4"/>
  <c r="Q37" i="4"/>
  <c r="Q55" i="4"/>
  <c r="Q68" i="4"/>
  <c r="Q80" i="4"/>
  <c r="Q96" i="4"/>
  <c r="Q111" i="4"/>
  <c r="Q126" i="4"/>
  <c r="Q146" i="4"/>
  <c r="Q161" i="4"/>
  <c r="Q172" i="4"/>
  <c r="Q189" i="4"/>
  <c r="Q199" i="4"/>
  <c r="Q215" i="4"/>
  <c r="Q240" i="4"/>
  <c r="Q253" i="4"/>
  <c r="Q267" i="4"/>
  <c r="Q9" i="4"/>
  <c r="Q24" i="4"/>
  <c r="Q41" i="4"/>
  <c r="Q56" i="4"/>
  <c r="Q69" i="4"/>
  <c r="Q81" i="4"/>
  <c r="Q97" i="4"/>
  <c r="Q112" i="4"/>
  <c r="Q127" i="4"/>
  <c r="Q147" i="4"/>
  <c r="Q162" i="4"/>
  <c r="Q173" i="4"/>
  <c r="Q190" i="4"/>
  <c r="Q200" i="4"/>
  <c r="Q216" i="4"/>
  <c r="Q227" i="4"/>
  <c r="Q241" i="4"/>
  <c r="Q268" i="4"/>
  <c r="Q10" i="4"/>
  <c r="Q25" i="4"/>
  <c r="Q42" i="4"/>
  <c r="Q57" i="4"/>
  <c r="Q70" i="4"/>
  <c r="Q85" i="4"/>
  <c r="Q113" i="4"/>
  <c r="Q132" i="4"/>
  <c r="Q148" i="4"/>
  <c r="Q163" i="4"/>
  <c r="Q174" i="4"/>
  <c r="Q191" i="4"/>
  <c r="Q201" i="4"/>
  <c r="Q217" i="4"/>
  <c r="Q228" i="4"/>
  <c r="Q242" i="4"/>
  <c r="Q255" i="4"/>
  <c r="Q11" i="4"/>
  <c r="Q26" i="4"/>
  <c r="Q43" i="4"/>
  <c r="Q58" i="4"/>
  <c r="Q71" i="4"/>
  <c r="Q86" i="4"/>
  <c r="Q98" i="4"/>
  <c r="Q114" i="4"/>
  <c r="Q133" i="4"/>
  <c r="Q149" i="4"/>
  <c r="Q177" i="4"/>
  <c r="Q218" i="4"/>
  <c r="Q229" i="4"/>
  <c r="Q245" i="4"/>
  <c r="Q256" i="4"/>
  <c r="Q269" i="4"/>
  <c r="Q12" i="4"/>
  <c r="Q29" i="4"/>
  <c r="Q44" i="4"/>
  <c r="Q59" i="4"/>
  <c r="Q99" i="4"/>
  <c r="Q115" i="4"/>
  <c r="Q134" i="4"/>
  <c r="Q150" i="4"/>
  <c r="Q164" i="4"/>
  <c r="Q178" i="4"/>
  <c r="Q192" i="4"/>
  <c r="Q205" i="4"/>
  <c r="Q219" i="4"/>
  <c r="Q246" i="4"/>
  <c r="Q257" i="4"/>
  <c r="Q270" i="4"/>
  <c r="Q13" i="4"/>
  <c r="Q30" i="4"/>
  <c r="Q45" i="4"/>
  <c r="Q74" i="4"/>
  <c r="Q87" i="4"/>
  <c r="Q100" i="4"/>
  <c r="Q119" i="4"/>
  <c r="Q135" i="4"/>
  <c r="Q151" i="4"/>
  <c r="Q179" i="4"/>
  <c r="Q193" i="4"/>
  <c r="Q206" i="4"/>
  <c r="Q220" i="4"/>
  <c r="Q232" i="4"/>
  <c r="Q247" i="4"/>
  <c r="Q258" i="4"/>
  <c r="Q271" i="4"/>
  <c r="Q14" i="4"/>
  <c r="Q31" i="4"/>
  <c r="Q46" i="4"/>
  <c r="Q60" i="4"/>
  <c r="Q75" i="4"/>
  <c r="Q88" i="4"/>
  <c r="Q101" i="4"/>
  <c r="Q120" i="4"/>
  <c r="Q136" i="4"/>
  <c r="Q152" i="4"/>
  <c r="Q166" i="4"/>
  <c r="Q180" i="4"/>
  <c r="Q207" i="4"/>
  <c r="Q233" i="4"/>
  <c r="Q248" i="4"/>
  <c r="Q259" i="4"/>
  <c r="Q18" i="4"/>
  <c r="Q32" i="4"/>
  <c r="Q47" i="4"/>
  <c r="Q64" i="4"/>
  <c r="Q76" i="4"/>
  <c r="Q89" i="4"/>
  <c r="Q102" i="4"/>
  <c r="Q121" i="4"/>
  <c r="Q137" i="4"/>
  <c r="Q153" i="4"/>
  <c r="Q167" i="4"/>
  <c r="Q181" i="4"/>
  <c r="Q195" i="4"/>
  <c r="Q208" i="4"/>
  <c r="Q222" i="4"/>
  <c r="Q260" i="4"/>
  <c r="Q19" i="4"/>
  <c r="Q33" i="4"/>
  <c r="Q48" i="4"/>
  <c r="Q77" i="4"/>
  <c r="Q90" i="4"/>
  <c r="Q107" i="4"/>
  <c r="Q122" i="4"/>
  <c r="Q138" i="4"/>
  <c r="Q157" i="4"/>
  <c r="Q168" i="4"/>
  <c r="Q182" i="4"/>
  <c r="Q211" i="4"/>
  <c r="Q223" i="4"/>
  <c r="Q234" i="4"/>
  <c r="Q249" i="4"/>
  <c r="Q261" i="4"/>
  <c r="Q272" i="4"/>
  <c r="Q65" i="4"/>
  <c r="Q140" i="4"/>
  <c r="Q212" i="4"/>
  <c r="Q66" i="4"/>
  <c r="Q158" i="4"/>
  <c r="Q213" i="4"/>
  <c r="Q49" i="4"/>
  <c r="Q159" i="4"/>
  <c r="Q262" i="4"/>
  <c r="Q139" i="4"/>
  <c r="Q78" i="4"/>
  <c r="Q224" i="4"/>
  <c r="Q35" i="4"/>
  <c r="Q79" i="4"/>
  <c r="Q169" i="4"/>
  <c r="Q225" i="4"/>
  <c r="Q198" i="4"/>
  <c r="Q6" i="4"/>
  <c r="Q91" i="4"/>
  <c r="Q170" i="4"/>
  <c r="Q235" i="4"/>
  <c r="Q20" i="4"/>
  <c r="Q92" i="4"/>
  <c r="Q183" i="4"/>
  <c r="Q238" i="4"/>
  <c r="Q123" i="4"/>
  <c r="Q263" i="4"/>
  <c r="Q21" i="4"/>
  <c r="Q108" i="4"/>
  <c r="Q184" i="4"/>
  <c r="Q250" i="4"/>
  <c r="Q124" i="4"/>
  <c r="Q53" i="4"/>
  <c r="Q34" i="4"/>
  <c r="Q109" i="4"/>
  <c r="Q251" i="4"/>
  <c r="AH4" i="13"/>
  <c r="AG4" i="13" s="1"/>
  <c r="B23" i="17" s="1"/>
  <c r="B13" i="5"/>
  <c r="F27" i="5"/>
  <c r="L5" i="13"/>
  <c r="K5" i="13" s="1"/>
  <c r="D8" i="5"/>
  <c r="C8" i="5"/>
  <c r="C3" i="5"/>
  <c r="D3" i="5"/>
  <c r="F7" i="5"/>
  <c r="F2" i="5"/>
  <c r="E23" i="5"/>
  <c r="B36" i="5"/>
  <c r="D23" i="5"/>
  <c r="C23" i="5"/>
  <c r="F22" i="5"/>
  <c r="F12" i="5"/>
  <c r="B16" i="5"/>
  <c r="E3" i="5"/>
  <c r="E8" i="5"/>
  <c r="D16" i="5"/>
  <c r="EQ322" i="4" l="1"/>
  <c r="GW448" i="4"/>
  <c r="ES448" i="4"/>
  <c r="GS447" i="4"/>
  <c r="GS443" i="4"/>
  <c r="GW444" i="4"/>
  <c r="GW445" i="4"/>
  <c r="ES4" i="4"/>
  <c r="ES445" i="4"/>
  <c r="ES444" i="4"/>
  <c r="ES442" i="4"/>
  <c r="GS440" i="4"/>
  <c r="GS441" i="4"/>
  <c r="GS446" i="4"/>
  <c r="EQ440" i="4"/>
  <c r="EQ446" i="4"/>
  <c r="EQ443" i="4"/>
  <c r="GS439" i="4"/>
  <c r="ES147" i="4"/>
  <c r="GS147" i="4"/>
  <c r="GW147" i="4"/>
  <c r="D453" i="11"/>
  <c r="C9" i="18"/>
  <c r="K11" i="17"/>
  <c r="B9" i="18"/>
  <c r="M10" i="17"/>
  <c r="GS438" i="4"/>
  <c r="N24" i="17"/>
  <c r="B11" i="18"/>
  <c r="N17" i="17"/>
  <c r="B10" i="18"/>
  <c r="FA430" i="4"/>
  <c r="FA433" i="4"/>
  <c r="FA420" i="4"/>
  <c r="FA403" i="4"/>
  <c r="FA421" i="4"/>
  <c r="FA415" i="4"/>
  <c r="FA426" i="4"/>
  <c r="FA417" i="4"/>
  <c r="FA410" i="4"/>
  <c r="FA435" i="4"/>
  <c r="FA344" i="4"/>
  <c r="FA429" i="4"/>
  <c r="FA414" i="4"/>
  <c r="FA437" i="4"/>
  <c r="FA432" i="4"/>
  <c r="EO264" i="4"/>
  <c r="ES431" i="4"/>
  <c r="ES186" i="4"/>
  <c r="ES161" i="4"/>
  <c r="EO49" i="4"/>
  <c r="EO140" i="4"/>
  <c r="ES171" i="4"/>
  <c r="ES387" i="4"/>
  <c r="EO314" i="4"/>
  <c r="ES167" i="4"/>
  <c r="ES84" i="4"/>
  <c r="ES425" i="4"/>
  <c r="ES343" i="4"/>
  <c r="ES321" i="4"/>
  <c r="ES331" i="4"/>
  <c r="EO304" i="4"/>
  <c r="EQ54" i="4"/>
  <c r="ES434" i="4"/>
  <c r="EQ221" i="4"/>
  <c r="ES252" i="4"/>
  <c r="EO61" i="4"/>
  <c r="EO247" i="4"/>
  <c r="ES309" i="4"/>
  <c r="ES216" i="4"/>
  <c r="ES37" i="4"/>
  <c r="EO225" i="4"/>
  <c r="ES172" i="4"/>
  <c r="ES372" i="4"/>
  <c r="ES353" i="4"/>
  <c r="ES98" i="4"/>
  <c r="ES190" i="4"/>
  <c r="ES409" i="4"/>
  <c r="ES393" i="4"/>
  <c r="EO212" i="4"/>
  <c r="ES59" i="4"/>
  <c r="ES21" i="4"/>
  <c r="EO359" i="4"/>
  <c r="ES181" i="4"/>
  <c r="ES305" i="4"/>
  <c r="EQ95" i="4"/>
  <c r="EQ165" i="4"/>
  <c r="ES261" i="4"/>
  <c r="EQ20" i="4"/>
  <c r="ES361" i="4"/>
  <c r="ES166" i="4"/>
  <c r="ES188" i="4"/>
  <c r="ES303" i="4"/>
  <c r="ES392" i="4"/>
  <c r="ES230" i="4"/>
  <c r="ES29" i="4"/>
  <c r="ES398" i="4"/>
  <c r="ES232" i="4"/>
  <c r="ES311" i="4"/>
  <c r="ES233" i="4"/>
  <c r="ES250" i="4"/>
  <c r="ES76" i="4"/>
  <c r="ES413" i="4"/>
  <c r="ES284" i="4"/>
  <c r="ES345" i="4"/>
  <c r="ES163" i="4"/>
  <c r="ES196" i="4"/>
  <c r="ES234" i="4"/>
  <c r="ES179" i="4"/>
  <c r="EQ256" i="4"/>
  <c r="EQ375" i="4"/>
  <c r="EQ174" i="4"/>
  <c r="ES327" i="4"/>
  <c r="ES215" i="4"/>
  <c r="EQ110" i="4"/>
  <c r="ES195" i="4"/>
  <c r="ES374" i="4"/>
  <c r="ES427" i="4"/>
  <c r="ES183" i="4"/>
  <c r="EO187" i="4"/>
  <c r="ES248" i="4"/>
  <c r="ES275" i="4"/>
  <c r="ES406" i="4"/>
  <c r="ES71" i="4"/>
  <c r="ES199" i="4"/>
  <c r="ES357" i="4"/>
  <c r="ES13" i="4"/>
  <c r="ES338" i="4"/>
  <c r="ES156" i="4"/>
  <c r="ES272" i="4"/>
  <c r="ES192" i="4"/>
  <c r="ES22" i="4"/>
  <c r="ES424" i="4"/>
  <c r="ES108" i="4"/>
  <c r="ES114" i="4"/>
  <c r="ES265" i="4"/>
  <c r="ES142" i="4"/>
  <c r="ES287" i="4"/>
  <c r="ES43" i="4"/>
  <c r="ES194" i="4"/>
  <c r="ES436" i="4"/>
  <c r="ES288" i="4"/>
  <c r="ES278" i="4"/>
  <c r="ES52" i="4"/>
  <c r="ES129" i="4"/>
  <c r="ES260" i="4"/>
  <c r="ES279" i="4"/>
  <c r="ES350" i="4"/>
  <c r="ES146" i="4"/>
  <c r="ES116" i="4"/>
  <c r="ES405" i="4"/>
  <c r="ES124" i="4"/>
  <c r="ES389" i="4"/>
  <c r="ES154" i="4"/>
  <c r="ES139" i="4"/>
  <c r="ES151" i="4"/>
  <c r="ES128" i="4"/>
  <c r="ES152" i="4"/>
  <c r="ES143" i="4"/>
  <c r="ES159" i="4"/>
  <c r="ES118" i="4"/>
  <c r="ES298" i="4"/>
  <c r="ES66" i="4"/>
  <c r="ES334" i="4"/>
  <c r="ES286" i="4"/>
  <c r="EQ349" i="4"/>
  <c r="EQ6" i="4"/>
  <c r="EQ38" i="4"/>
  <c r="EQ74" i="4"/>
  <c r="EQ115" i="4"/>
  <c r="EQ25" i="4"/>
  <c r="EQ394" i="4"/>
  <c r="EQ67" i="4"/>
  <c r="EQ92" i="4"/>
  <c r="EQ127" i="4"/>
  <c r="EQ135" i="4"/>
  <c r="EQ277" i="4"/>
  <c r="EQ63" i="4"/>
  <c r="EQ64" i="4"/>
  <c r="EQ123" i="4"/>
  <c r="EQ137" i="4"/>
  <c r="EQ133" i="4"/>
  <c r="EQ119" i="4"/>
  <c r="EQ94" i="4"/>
  <c r="EQ109" i="4"/>
  <c r="EQ106" i="4"/>
  <c r="EQ125" i="4"/>
  <c r="EQ289" i="4"/>
  <c r="EQ153" i="4"/>
  <c r="EQ112" i="4"/>
  <c r="EQ148" i="4"/>
  <c r="EQ111" i="4"/>
  <c r="EQ126" i="4"/>
  <c r="EQ107" i="4"/>
  <c r="EQ138" i="4"/>
  <c r="EQ141" i="4"/>
  <c r="EQ113" i="4"/>
  <c r="EQ90" i="4"/>
  <c r="EQ150" i="4"/>
  <c r="EQ36" i="4"/>
  <c r="EQ198" i="4"/>
  <c r="EQ367" i="4"/>
  <c r="EQ339" i="4"/>
  <c r="EQ318" i="4"/>
  <c r="EQ77" i="4"/>
  <c r="EQ89" i="4"/>
  <c r="EQ348" i="4"/>
  <c r="EQ85" i="4"/>
  <c r="EQ131" i="4"/>
  <c r="EQ347" i="4"/>
  <c r="EQ32" i="4"/>
  <c r="EQ285" i="4"/>
  <c r="EQ340" i="4"/>
  <c r="EQ267" i="4"/>
  <c r="EQ31" i="4"/>
  <c r="EQ200" i="4"/>
  <c r="EQ328" i="4"/>
  <c r="EQ184" i="4"/>
  <c r="EQ50" i="4"/>
  <c r="EQ259" i="4"/>
  <c r="EQ185" i="4"/>
  <c r="EQ373" i="4"/>
  <c r="EQ408" i="4"/>
  <c r="EQ320" i="4"/>
  <c r="EQ269" i="4"/>
  <c r="EQ390" i="4"/>
  <c r="EQ180" i="4"/>
  <c r="EQ191" i="4"/>
  <c r="EQ356" i="4"/>
  <c r="EQ102" i="4"/>
  <c r="EQ365" i="4"/>
  <c r="EQ122" i="4"/>
  <c r="EQ422" i="4"/>
  <c r="EQ251" i="4"/>
  <c r="EQ46" i="4"/>
  <c r="EQ219" i="4"/>
  <c r="EQ147" i="4"/>
  <c r="EQ395" i="4"/>
  <c r="EQ60" i="4"/>
  <c r="EQ401" i="4"/>
  <c r="EQ12" i="4"/>
  <c r="EQ270" i="4"/>
  <c r="EQ249" i="4"/>
  <c r="EQ222" i="4"/>
  <c r="EQ19" i="4"/>
  <c r="EQ381" i="4"/>
  <c r="EQ319" i="4"/>
  <c r="EQ218" i="4"/>
  <c r="EQ293" i="4"/>
  <c r="EQ335" i="4"/>
  <c r="EQ220" i="4"/>
  <c r="EQ160" i="4"/>
  <c r="EQ346" i="4"/>
  <c r="EQ164" i="4"/>
  <c r="EQ317" i="4"/>
  <c r="EQ214" i="4"/>
  <c r="EQ323" i="4"/>
  <c r="EQ149" i="4"/>
  <c r="EQ315" i="4"/>
  <c r="EQ193" i="4"/>
  <c r="EQ56" i="4"/>
  <c r="EQ274" i="4"/>
  <c r="EQ300" i="4"/>
  <c r="EQ134" i="4"/>
  <c r="EQ173" i="4"/>
  <c r="EQ206" i="4"/>
  <c r="EQ280" i="4"/>
  <c r="EQ355" i="4"/>
  <c r="EQ42" i="4"/>
  <c r="EQ72" i="4"/>
  <c r="EQ302" i="4"/>
  <c r="EQ254" i="4"/>
  <c r="EQ93" i="4"/>
  <c r="EQ291" i="4"/>
  <c r="EQ101" i="4"/>
  <c r="EQ325" i="4"/>
  <c r="EQ378" i="4"/>
  <c r="EQ397" i="4"/>
  <c r="EQ81" i="4"/>
  <c r="EQ213" i="4"/>
  <c r="EQ242" i="4"/>
  <c r="EQ75" i="4"/>
  <c r="EQ385" i="4"/>
  <c r="EQ239" i="4"/>
  <c r="EQ371" i="4"/>
  <c r="EQ57" i="4"/>
  <c r="EQ178" i="4"/>
  <c r="EQ337" i="4"/>
  <c r="EQ266" i="4"/>
  <c r="EQ177" i="4"/>
  <c r="EQ41" i="4"/>
  <c r="EQ292" i="4"/>
  <c r="EQ189" i="4"/>
  <c r="EQ370" i="4"/>
  <c r="EQ26" i="4"/>
  <c r="EQ382" i="4"/>
  <c r="EQ27" i="4"/>
  <c r="EQ223" i="4"/>
  <c r="EQ229" i="4"/>
  <c r="EQ368" i="4"/>
  <c r="EQ45" i="4"/>
  <c r="EQ87" i="4"/>
  <c r="EQ358" i="4"/>
  <c r="EQ384" i="4"/>
  <c r="EQ15" i="4"/>
  <c r="EQ308" i="4"/>
  <c r="EQ24" i="4"/>
  <c r="EQ324" i="4"/>
  <c r="EQ30" i="4"/>
  <c r="EQ379" i="4"/>
  <c r="EQ297" i="4"/>
  <c r="EQ228" i="4"/>
  <c r="EQ396" i="4"/>
  <c r="EQ253" i="4"/>
  <c r="EQ209" i="4"/>
  <c r="EQ341" i="4"/>
  <c r="EQ238" i="4"/>
  <c r="EQ369" i="4"/>
  <c r="EQ80" i="4"/>
  <c r="EQ197" i="4"/>
  <c r="EQ78" i="4"/>
  <c r="EQ217" i="4"/>
  <c r="EQ211" i="4"/>
  <c r="EQ281" i="4"/>
  <c r="EQ51" i="4"/>
  <c r="EQ310" i="4"/>
  <c r="EQ268" i="4"/>
  <c r="EQ383" i="4"/>
  <c r="EQ100" i="4"/>
  <c r="EQ10" i="4"/>
  <c r="EQ168" i="4"/>
  <c r="EQ360" i="4"/>
  <c r="EQ117" i="4"/>
  <c r="EQ35" i="4"/>
  <c r="EQ210" i="4"/>
  <c r="EQ65" i="4"/>
  <c r="EQ391" i="4"/>
  <c r="EQ307" i="4"/>
  <c r="EQ158" i="4"/>
  <c r="EQ82" i="4"/>
  <c r="EQ241" i="4"/>
  <c r="EQ332" i="4"/>
  <c r="EQ283" i="4"/>
  <c r="EQ205" i="4"/>
  <c r="EQ155" i="4"/>
  <c r="EQ48" i="4"/>
  <c r="EO342" i="4"/>
  <c r="EO386" i="4"/>
  <c r="EO255" i="4"/>
  <c r="EO169" i="4"/>
  <c r="EO336" i="4"/>
  <c r="EO58" i="4"/>
  <c r="EO423" i="4"/>
  <c r="EO28" i="4"/>
  <c r="EO99" i="4"/>
  <c r="EO18" i="4"/>
  <c r="EO105" i="4"/>
  <c r="EO257" i="4"/>
  <c r="EO231" i="4"/>
  <c r="EO5" i="4"/>
  <c r="EO136" i="4"/>
  <c r="EO7" i="4"/>
  <c r="EO121" i="4"/>
  <c r="EO91" i="4"/>
  <c r="EO263" i="4"/>
  <c r="EO73" i="4"/>
  <c r="EO97" i="4"/>
  <c r="EO157" i="4"/>
  <c r="EO354" i="4"/>
  <c r="EO14" i="4"/>
  <c r="EO313" i="4"/>
  <c r="EO53" i="4"/>
  <c r="EO282" i="4"/>
  <c r="EO170" i="4"/>
  <c r="EO86" i="4"/>
  <c r="EO68" i="4"/>
  <c r="EO104" i="4"/>
  <c r="EO273" i="4"/>
  <c r="EO83" i="4"/>
  <c r="EO207" i="4"/>
  <c r="EO34" i="4"/>
  <c r="EO244" i="4"/>
  <c r="EO245" i="4"/>
  <c r="EO377" i="4"/>
  <c r="EO162" i="4"/>
  <c r="EO182" i="4"/>
  <c r="EO70" i="4"/>
  <c r="EO208" i="4"/>
  <c r="EO55" i="4"/>
  <c r="EO16" i="4"/>
  <c r="EO132" i="4"/>
  <c r="EO364" i="4"/>
  <c r="EO175" i="4"/>
  <c r="EO227" i="4"/>
  <c r="EO17" i="4"/>
  <c r="EO23" i="4"/>
  <c r="EO330" i="4"/>
  <c r="EO11" i="4"/>
  <c r="EO316" i="4"/>
  <c r="EO69" i="4"/>
  <c r="EO176" i="4"/>
  <c r="EO306" i="4"/>
  <c r="EO79" i="4"/>
  <c r="EO47" i="4"/>
  <c r="EO246" i="4"/>
  <c r="EO243" i="4"/>
  <c r="EO363" i="4"/>
  <c r="EO296" i="4"/>
  <c r="EO8" i="4"/>
  <c r="EO240" i="4"/>
  <c r="EO329" i="4"/>
  <c r="EO258" i="4"/>
  <c r="EO399" i="4"/>
  <c r="EO301" i="4"/>
  <c r="EO226" i="4"/>
  <c r="EO88" i="4"/>
  <c r="EO276" i="4"/>
  <c r="EO33" i="4"/>
  <c r="EO235" i="4"/>
  <c r="EO96" i="4"/>
  <c r="EO271" i="4"/>
  <c r="EO39" i="4"/>
  <c r="EO326" i="4"/>
  <c r="EO9" i="4"/>
  <c r="EO40" i="4"/>
  <c r="EO44" i="4"/>
  <c r="EO290" i="4"/>
  <c r="HC97" i="4"/>
  <c r="HC70" i="4"/>
  <c r="HC273" i="4"/>
  <c r="HC83" i="4"/>
  <c r="HC301" i="4"/>
  <c r="HC49" i="4"/>
  <c r="HC314" i="4"/>
  <c r="HC39" i="4"/>
  <c r="HC28" i="4"/>
  <c r="HC377" i="4"/>
  <c r="HC157" i="4"/>
  <c r="HC34" i="4"/>
  <c r="HC5" i="4"/>
  <c r="HC316" i="4"/>
  <c r="HC326" i="4"/>
  <c r="HC23" i="4"/>
  <c r="HC170" i="4"/>
  <c r="HC104" i="4"/>
  <c r="HC53" i="4"/>
  <c r="HC18" i="4"/>
  <c r="HC47" i="4"/>
  <c r="HC176" i="4"/>
  <c r="HC96" i="4"/>
  <c r="HC105" i="4"/>
  <c r="HC227" i="4"/>
  <c r="HC8" i="4"/>
  <c r="HC33" i="4"/>
  <c r="HC99" i="4"/>
  <c r="HC73" i="4"/>
  <c r="HC235" i="4"/>
  <c r="HC86" i="4"/>
  <c r="HC244" i="4"/>
  <c r="HC9" i="4"/>
  <c r="HC132" i="4"/>
  <c r="HC169" i="4"/>
  <c r="HC16" i="4"/>
  <c r="HC58" i="4"/>
  <c r="HC11" i="4"/>
  <c r="HC208" i="4"/>
  <c r="HC17" i="4"/>
  <c r="HC313" i="4"/>
  <c r="HC7" i="4"/>
  <c r="HC14" i="4"/>
  <c r="HC296" i="4"/>
  <c r="HC144" i="4"/>
  <c r="HC352" i="4"/>
  <c r="HC103" i="4"/>
  <c r="HC204" i="4"/>
  <c r="HC312" i="4"/>
  <c r="HC295" i="4"/>
  <c r="HC366" i="4"/>
  <c r="HC130" i="4"/>
  <c r="HC264" i="4"/>
  <c r="HC162" i="4"/>
  <c r="HC175" i="4"/>
  <c r="HC359" i="4"/>
  <c r="HC44" i="4"/>
  <c r="HC306" i="4"/>
  <c r="HC40" i="4"/>
  <c r="HC79" i="4"/>
  <c r="HC329" i="4"/>
  <c r="HC271" i="4"/>
  <c r="HC88" i="4"/>
  <c r="HC226" i="4"/>
  <c r="HC286" i="4"/>
  <c r="HC114" i="4"/>
  <c r="HC13" i="4"/>
  <c r="HC439" i="4"/>
  <c r="HC106" i="4"/>
  <c r="HC220" i="4"/>
  <c r="HC319" i="4"/>
  <c r="HC189" i="4"/>
  <c r="HC60" i="4"/>
  <c r="HC160" i="4"/>
  <c r="HC315" i="4"/>
  <c r="HC229" i="4"/>
  <c r="HC292" i="4"/>
  <c r="HC317" i="4"/>
  <c r="HC218" i="4"/>
  <c r="HC51" i="4"/>
  <c r="HC81" i="4"/>
  <c r="HC168" i="4"/>
  <c r="HC75" i="4"/>
  <c r="HC238" i="4"/>
  <c r="HC254" i="4"/>
  <c r="HC137" i="4"/>
  <c r="HC127" i="4"/>
  <c r="HC158" i="4"/>
  <c r="HC147" i="4"/>
  <c r="HC251" i="4"/>
  <c r="HC268" i="4"/>
  <c r="HC385" i="4"/>
  <c r="HC328" i="4"/>
  <c r="HC277" i="4"/>
  <c r="HC297" i="4"/>
  <c r="HC371" i="4"/>
  <c r="HC38" i="4"/>
  <c r="HC390" i="4"/>
  <c r="HC91" i="4"/>
  <c r="HC231" i="4"/>
  <c r="HC363" i="4"/>
  <c r="HC187" i="4"/>
  <c r="HC182" i="4"/>
  <c r="HC61" i="4"/>
  <c r="HC389" i="4"/>
  <c r="HC216" i="4"/>
  <c r="HC190" i="4"/>
  <c r="HC161" i="4"/>
  <c r="HC248" i="4"/>
  <c r="HC167" i="4"/>
  <c r="HC179" i="4"/>
  <c r="HC392" i="4"/>
  <c r="HC250" i="4"/>
  <c r="HC151" i="4"/>
  <c r="HC181" i="4"/>
  <c r="HC321" i="4"/>
  <c r="HC4" i="4"/>
  <c r="HC71" i="4"/>
  <c r="HC299" i="4"/>
  <c r="HC413" i="4"/>
  <c r="HC406" i="4"/>
  <c r="HC434" i="4"/>
  <c r="HC442" i="4"/>
  <c r="GW437" i="4"/>
  <c r="GW431" i="4"/>
  <c r="GW436" i="4"/>
  <c r="GW433" i="4"/>
  <c r="GW435" i="4"/>
  <c r="GW434" i="4"/>
  <c r="GW432" i="4"/>
  <c r="GW430" i="4"/>
  <c r="GW426" i="4"/>
  <c r="GS428" i="4"/>
  <c r="GW427" i="4"/>
  <c r="GW429" i="4"/>
  <c r="D508" i="11"/>
  <c r="J4" i="18"/>
  <c r="O5" i="17" s="1"/>
  <c r="GY194" i="4"/>
  <c r="EK194" i="4"/>
  <c r="GW421" i="4"/>
  <c r="GU423" i="4"/>
  <c r="GS422" i="4"/>
  <c r="GW424" i="4"/>
  <c r="GW420" i="4"/>
  <c r="GS416" i="4"/>
  <c r="GW417" i="4"/>
  <c r="GU419" i="4"/>
  <c r="GW415" i="4"/>
  <c r="GW414" i="4"/>
  <c r="GS418" i="4"/>
  <c r="GW409" i="4"/>
  <c r="GW410" i="4"/>
  <c r="GS412" i="4"/>
  <c r="GS408" i="4"/>
  <c r="GS407" i="4"/>
  <c r="GW411" i="4"/>
  <c r="GW413" i="4"/>
  <c r="D477" i="11"/>
  <c r="GW405" i="4"/>
  <c r="GW406" i="4"/>
  <c r="GS402" i="4"/>
  <c r="GW403" i="4"/>
  <c r="GS404" i="4"/>
  <c r="AB16" i="15"/>
  <c r="AH16" i="15" s="1"/>
  <c r="AB18" i="15"/>
  <c r="AH18" i="15" s="1"/>
  <c r="D445" i="11"/>
  <c r="D447" i="11"/>
  <c r="D450" i="11"/>
  <c r="D444" i="11"/>
  <c r="D443" i="11"/>
  <c r="GW393" i="4"/>
  <c r="GU399" i="4"/>
  <c r="GS397" i="4"/>
  <c r="GS400" i="4"/>
  <c r="GS401" i="4"/>
  <c r="GW398" i="4"/>
  <c r="GS396" i="4"/>
  <c r="GS395" i="4"/>
  <c r="GS394" i="4"/>
  <c r="GW392" i="4"/>
  <c r="GS381" i="4"/>
  <c r="GS388" i="4"/>
  <c r="GS384" i="4"/>
  <c r="GW389" i="4"/>
  <c r="GS391" i="4"/>
  <c r="GS380" i="4"/>
  <c r="GS385" i="4"/>
  <c r="GW387" i="4"/>
  <c r="GU386" i="4"/>
  <c r="GS383" i="4"/>
  <c r="GS390" i="4"/>
  <c r="GS382" i="4"/>
  <c r="GS379" i="4"/>
  <c r="GW372" i="4"/>
  <c r="GW374" i="4"/>
  <c r="GS378" i="4"/>
  <c r="GS376" i="4"/>
  <c r="GS373" i="4"/>
  <c r="GS375" i="4"/>
  <c r="GU377" i="4"/>
  <c r="GU364" i="4"/>
  <c r="GS369" i="4"/>
  <c r="GS371" i="4"/>
  <c r="GU366" i="4"/>
  <c r="GS370" i="4"/>
  <c r="GU363" i="4"/>
  <c r="GS365" i="4"/>
  <c r="GS368" i="4"/>
  <c r="GU359" i="4"/>
  <c r="GS358" i="4"/>
  <c r="GS351" i="4"/>
  <c r="GS356" i="4"/>
  <c r="GW350" i="4"/>
  <c r="GS360" i="4"/>
  <c r="GS362" i="4"/>
  <c r="GS355" i="4"/>
  <c r="GS349" i="4"/>
  <c r="GW353" i="4"/>
  <c r="GU354" i="4"/>
  <c r="GW361" i="4"/>
  <c r="GU352" i="4"/>
  <c r="GW357" i="4"/>
  <c r="GS341" i="4"/>
  <c r="GS340" i="4"/>
  <c r="GS346" i="4"/>
  <c r="GW344" i="4"/>
  <c r="GS347" i="4"/>
  <c r="GS348" i="4"/>
  <c r="GU342" i="4"/>
  <c r="GW345" i="4"/>
  <c r="GW343" i="4"/>
  <c r="GW338" i="4"/>
  <c r="GS339" i="4"/>
  <c r="GU336" i="4"/>
  <c r="GS335" i="4"/>
  <c r="GS337" i="4"/>
  <c r="GY12" i="4"/>
  <c r="GY10" i="4"/>
  <c r="GY11" i="4"/>
  <c r="GT166" i="4"/>
  <c r="GY271" i="4"/>
  <c r="GU271" i="4"/>
  <c r="GY214" i="4"/>
  <c r="GS214" i="4"/>
  <c r="GY198" i="4"/>
  <c r="GS198" i="4"/>
  <c r="GY184" i="4"/>
  <c r="GS184" i="4"/>
  <c r="GY199" i="4"/>
  <c r="GW199" i="4"/>
  <c r="GY252" i="4"/>
  <c r="GW252" i="4"/>
  <c r="GY264" i="4"/>
  <c r="GU264" i="4"/>
  <c r="GY192" i="4"/>
  <c r="GW192" i="4"/>
  <c r="GY266" i="4"/>
  <c r="GS266" i="4"/>
  <c r="GW305" i="4"/>
  <c r="GW298" i="4"/>
  <c r="GS323" i="4"/>
  <c r="GS325" i="4"/>
  <c r="GT112" i="4"/>
  <c r="GT129" i="4"/>
  <c r="GT108" i="4"/>
  <c r="GT64" i="4"/>
  <c r="GT41" i="4"/>
  <c r="GT160" i="4"/>
  <c r="GT153" i="4"/>
  <c r="GT60" i="4"/>
  <c r="GT130" i="4"/>
  <c r="GT113" i="4"/>
  <c r="GT152" i="4"/>
  <c r="GU276" i="4"/>
  <c r="GY249" i="4"/>
  <c r="GS249" i="4"/>
  <c r="GY234" i="4"/>
  <c r="GW234" i="4"/>
  <c r="GY256" i="4"/>
  <c r="GS256" i="4"/>
  <c r="GY173" i="4"/>
  <c r="GS173" i="4"/>
  <c r="GY239" i="4"/>
  <c r="GS239" i="4"/>
  <c r="GY215" i="4"/>
  <c r="GW215" i="4"/>
  <c r="GY245" i="4"/>
  <c r="GU245" i="4"/>
  <c r="GY200" i="4"/>
  <c r="GS200" i="4"/>
  <c r="GY182" i="4"/>
  <c r="GU182" i="4"/>
  <c r="GY185" i="4"/>
  <c r="GS185" i="4"/>
  <c r="GW284" i="4"/>
  <c r="GW303" i="4"/>
  <c r="GU295" i="4"/>
  <c r="GU330" i="4"/>
  <c r="GU326" i="4"/>
  <c r="GT135" i="4"/>
  <c r="GT132" i="4"/>
  <c r="GT70" i="4"/>
  <c r="GT105" i="4"/>
  <c r="GT48" i="4"/>
  <c r="GT83" i="4"/>
  <c r="GT25" i="4"/>
  <c r="GT18" i="4"/>
  <c r="GT137" i="4"/>
  <c r="GT120" i="4"/>
  <c r="GT136" i="4"/>
  <c r="GT17" i="4"/>
  <c r="GY246" i="4"/>
  <c r="GU246" i="4"/>
  <c r="GY225" i="4"/>
  <c r="GU225" i="4"/>
  <c r="GY183" i="4"/>
  <c r="GW183" i="4"/>
  <c r="GY174" i="4"/>
  <c r="GS174" i="4"/>
  <c r="GY236" i="4"/>
  <c r="GS236" i="4"/>
  <c r="GY257" i="4"/>
  <c r="GU257" i="4"/>
  <c r="GY220" i="4"/>
  <c r="GS220" i="4"/>
  <c r="GY166" i="4"/>
  <c r="GW166" i="4"/>
  <c r="GY176" i="4"/>
  <c r="GU176" i="4"/>
  <c r="GY228" i="4"/>
  <c r="GS228" i="4"/>
  <c r="GY232" i="4"/>
  <c r="GW232" i="4"/>
  <c r="GS302" i="4"/>
  <c r="GS324" i="4"/>
  <c r="GW331" i="4"/>
  <c r="GS297" i="4"/>
  <c r="GT144" i="4"/>
  <c r="GT55" i="4"/>
  <c r="GT51" i="4"/>
  <c r="GT89" i="4"/>
  <c r="GT163" i="4"/>
  <c r="GT69" i="4"/>
  <c r="GT140" i="4"/>
  <c r="GT47" i="4"/>
  <c r="GT63" i="4"/>
  <c r="GT159" i="4"/>
  <c r="GT40" i="4"/>
  <c r="GT158" i="4"/>
  <c r="GT73" i="4"/>
  <c r="GY209" i="4"/>
  <c r="GS209" i="4"/>
  <c r="GY262" i="4"/>
  <c r="GW262" i="4"/>
  <c r="GY201" i="4"/>
  <c r="GW201" i="4"/>
  <c r="GY206" i="4"/>
  <c r="GS206" i="4"/>
  <c r="GY226" i="4"/>
  <c r="GU226" i="4"/>
  <c r="GY250" i="4"/>
  <c r="GW250" i="4"/>
  <c r="GY195" i="4"/>
  <c r="GW195" i="4"/>
  <c r="GY237" i="4"/>
  <c r="GS237" i="4"/>
  <c r="GY196" i="4"/>
  <c r="GW196" i="4"/>
  <c r="GY208" i="4"/>
  <c r="GU208" i="4"/>
  <c r="GU296" i="4"/>
  <c r="GT33" i="4"/>
  <c r="GT92" i="4"/>
  <c r="GT121" i="4"/>
  <c r="GT111" i="4"/>
  <c r="GT88" i="4"/>
  <c r="GT77" i="4"/>
  <c r="GT68" i="4"/>
  <c r="GT116" i="4"/>
  <c r="GT24" i="4"/>
  <c r="GT93" i="4"/>
  <c r="GT32" i="4"/>
  <c r="GT23" i="4"/>
  <c r="GT115" i="4"/>
  <c r="GY243" i="4"/>
  <c r="GU243" i="4"/>
  <c r="GY270" i="4"/>
  <c r="GS270" i="4"/>
  <c r="GY238" i="4"/>
  <c r="GS238" i="4"/>
  <c r="GY186" i="4"/>
  <c r="GW186" i="4"/>
  <c r="GY230" i="4"/>
  <c r="GW230" i="4"/>
  <c r="GY267" i="4"/>
  <c r="GS267" i="4"/>
  <c r="GU282" i="4"/>
  <c r="GS294" i="4"/>
  <c r="GT167" i="4"/>
  <c r="GT138" i="4"/>
  <c r="GT86" i="4"/>
  <c r="GT145" i="4"/>
  <c r="GT72" i="4"/>
  <c r="GT154" i="4"/>
  <c r="GT122" i="4"/>
  <c r="GT50" i="4"/>
  <c r="GT131" i="4"/>
  <c r="GT98" i="4"/>
  <c r="GT162" i="4"/>
  <c r="GT56" i="4"/>
  <c r="GT46" i="4"/>
  <c r="GT139" i="4"/>
  <c r="GT85" i="4"/>
  <c r="GT57" i="4"/>
  <c r="GT161" i="4"/>
  <c r="GY207" i="4"/>
  <c r="GU207" i="4"/>
  <c r="GY223" i="4"/>
  <c r="GS223" i="4"/>
  <c r="GY202" i="4"/>
  <c r="GW202" i="4"/>
  <c r="GY177" i="4"/>
  <c r="GS177" i="4"/>
  <c r="GY218" i="4"/>
  <c r="GS218" i="4"/>
  <c r="GY235" i="4"/>
  <c r="GU235" i="4"/>
  <c r="GY212" i="4"/>
  <c r="GU212" i="4"/>
  <c r="GY189" i="4"/>
  <c r="GS189" i="4"/>
  <c r="GY179" i="4"/>
  <c r="GW179" i="4"/>
  <c r="GU301" i="4"/>
  <c r="GS291" i="4"/>
  <c r="GU329" i="4"/>
  <c r="GS300" i="4"/>
  <c r="GU304" i="4"/>
  <c r="GT95" i="4"/>
  <c r="GT155" i="4"/>
  <c r="GT42" i="4"/>
  <c r="GT10" i="4"/>
  <c r="GT114" i="4"/>
  <c r="GT19" i="4"/>
  <c r="GT91" i="4"/>
  <c r="GT164" i="4"/>
  <c r="GT27" i="4"/>
  <c r="GT107" i="4"/>
  <c r="GT78" i="4"/>
  <c r="GT97" i="4"/>
  <c r="GT118" i="4"/>
  <c r="GT26" i="4"/>
  <c r="GS277" i="4"/>
  <c r="GY213" i="4"/>
  <c r="GS213" i="4"/>
  <c r="GY205" i="4"/>
  <c r="GS205" i="4"/>
  <c r="GY193" i="4"/>
  <c r="GS193" i="4"/>
  <c r="GY191" i="4"/>
  <c r="GS191" i="4"/>
  <c r="GY272" i="4"/>
  <c r="GW272" i="4"/>
  <c r="GY254" i="4"/>
  <c r="GS254" i="4"/>
  <c r="GY222" i="4"/>
  <c r="GS222" i="4"/>
  <c r="GY197" i="4"/>
  <c r="GS197" i="4"/>
  <c r="GY265" i="4"/>
  <c r="GW265" i="4"/>
  <c r="GW278" i="4"/>
  <c r="GU290" i="4"/>
  <c r="GS318" i="4"/>
  <c r="GT65" i="4"/>
  <c r="GT53" i="4"/>
  <c r="GT165" i="4"/>
  <c r="GT29" i="4"/>
  <c r="GT71" i="4"/>
  <c r="GT141" i="4"/>
  <c r="GT49" i="4"/>
  <c r="GT101" i="4"/>
  <c r="GV11" i="4"/>
  <c r="GV41" i="4"/>
  <c r="GV54" i="4"/>
  <c r="GV20" i="4"/>
  <c r="GV34" i="4"/>
  <c r="GV12" i="4"/>
  <c r="GV64" i="4"/>
  <c r="GV43" i="4"/>
  <c r="GV10" i="4"/>
  <c r="GV51" i="4"/>
  <c r="GV63" i="4"/>
  <c r="GV59" i="4"/>
  <c r="GV26" i="4"/>
  <c r="GV14" i="4"/>
  <c r="GV38" i="4"/>
  <c r="GV53" i="4"/>
  <c r="GV40" i="4"/>
  <c r="GV24" i="4"/>
  <c r="GV37" i="4"/>
  <c r="GV50" i="4"/>
  <c r="GV67" i="4"/>
  <c r="GV22" i="4"/>
  <c r="GV32" i="4"/>
  <c r="GV35" i="4"/>
  <c r="GV49" i="4"/>
  <c r="GV61" i="4"/>
  <c r="GV23" i="4"/>
  <c r="GV47" i="4"/>
  <c r="GV60" i="4"/>
  <c r="GV5" i="4"/>
  <c r="GV56" i="4"/>
  <c r="GV46" i="4"/>
  <c r="GV16" i="4"/>
  <c r="GV62" i="4"/>
  <c r="GV58" i="4"/>
  <c r="GV7" i="4"/>
  <c r="GV8" i="4"/>
  <c r="GV39" i="4"/>
  <c r="GV44" i="4"/>
  <c r="GV19" i="4"/>
  <c r="GV31" i="4"/>
  <c r="GV66" i="4"/>
  <c r="GV21" i="4"/>
  <c r="GV30" i="4"/>
  <c r="GV55" i="4"/>
  <c r="GV48" i="4"/>
  <c r="GV25" i="4"/>
  <c r="GV33" i="4"/>
  <c r="GV42" i="4"/>
  <c r="GV65" i="4"/>
  <c r="GV52" i="4"/>
  <c r="GV28" i="4"/>
  <c r="GV6" i="4"/>
  <c r="GV57" i="4"/>
  <c r="GV15" i="4"/>
  <c r="GV18" i="4"/>
  <c r="GV17" i="4"/>
  <c r="GV9" i="4"/>
  <c r="GV27" i="4"/>
  <c r="GV29" i="4"/>
  <c r="GV13" i="4"/>
  <c r="GV45" i="4"/>
  <c r="GV36" i="4"/>
  <c r="GY268" i="4"/>
  <c r="GS268" i="4"/>
  <c r="GY188" i="4"/>
  <c r="GW188" i="4"/>
  <c r="GY210" i="4"/>
  <c r="GS210" i="4"/>
  <c r="GY240" i="4"/>
  <c r="GU240" i="4"/>
  <c r="GY247" i="4"/>
  <c r="GU247" i="4"/>
  <c r="GY172" i="4"/>
  <c r="GW172" i="4"/>
  <c r="GY190" i="4"/>
  <c r="GW190" i="4"/>
  <c r="GY221" i="4"/>
  <c r="GS221" i="4"/>
  <c r="GY260" i="4"/>
  <c r="GW260" i="4"/>
  <c r="GY248" i="4"/>
  <c r="GW248" i="4"/>
  <c r="GY263" i="4"/>
  <c r="GU263" i="4"/>
  <c r="GS332" i="4"/>
  <c r="GS333" i="4"/>
  <c r="GT62" i="4"/>
  <c r="GT100" i="4"/>
  <c r="GT117" i="4"/>
  <c r="GT94" i="4"/>
  <c r="GT36" i="4"/>
  <c r="GT74" i="4"/>
  <c r="GT148" i="4"/>
  <c r="GT125" i="4"/>
  <c r="GT28" i="4"/>
  <c r="GT124" i="4"/>
  <c r="GY175" i="4"/>
  <c r="GU175" i="4"/>
  <c r="GY216" i="4"/>
  <c r="GW216" i="4"/>
  <c r="GY170" i="4"/>
  <c r="GU170" i="4"/>
  <c r="GY171" i="4"/>
  <c r="GW171" i="4"/>
  <c r="GY168" i="4"/>
  <c r="GS168" i="4"/>
  <c r="GY169" i="4"/>
  <c r="GU169" i="4"/>
  <c r="GY273" i="4"/>
  <c r="GU273" i="4"/>
  <c r="GY255" i="4"/>
  <c r="GU255" i="4"/>
  <c r="GS280" i="4"/>
  <c r="GS328" i="4"/>
  <c r="GW334" i="4"/>
  <c r="GT103" i="4"/>
  <c r="GT133" i="4"/>
  <c r="GT123" i="4"/>
  <c r="GT20" i="4"/>
  <c r="GT151" i="4"/>
  <c r="GT59" i="4"/>
  <c r="GT128" i="4"/>
  <c r="GT13" i="4"/>
  <c r="GT52" i="4"/>
  <c r="GT147" i="4"/>
  <c r="GT82" i="4"/>
  <c r="GT156" i="4"/>
  <c r="GT146" i="4"/>
  <c r="GY258" i="4"/>
  <c r="GU258" i="4"/>
  <c r="GY203" i="4"/>
  <c r="GW203" i="4"/>
  <c r="GY231" i="4"/>
  <c r="GU231" i="4"/>
  <c r="GY217" i="4"/>
  <c r="GS217" i="4"/>
  <c r="GY180" i="4"/>
  <c r="GS180" i="4"/>
  <c r="GY224" i="4"/>
  <c r="GW224" i="4"/>
  <c r="GY181" i="4"/>
  <c r="GW181" i="4"/>
  <c r="GY187" i="4"/>
  <c r="GU187" i="4"/>
  <c r="GY253" i="4"/>
  <c r="GS253" i="4"/>
  <c r="GW275" i="4"/>
  <c r="GY251" i="4"/>
  <c r="GS251" i="4"/>
  <c r="GS281" i="4"/>
  <c r="GS293" i="4"/>
  <c r="GW327" i="4"/>
  <c r="GS292" i="4"/>
  <c r="GT149" i="4"/>
  <c r="GT143" i="4"/>
  <c r="GT157" i="4"/>
  <c r="GT39" i="4"/>
  <c r="GT109" i="4"/>
  <c r="GT99" i="4"/>
  <c r="GT16" i="4"/>
  <c r="GT79" i="4"/>
  <c r="GT76" i="4"/>
  <c r="GT35" i="4"/>
  <c r="GT104" i="4"/>
  <c r="GT12" i="4"/>
  <c r="GT127" i="4"/>
  <c r="GT21" i="4"/>
  <c r="GT11" i="4"/>
  <c r="GY219" i="4"/>
  <c r="GS219" i="4"/>
  <c r="GY241" i="4"/>
  <c r="GS241" i="4"/>
  <c r="GY244" i="4"/>
  <c r="GU244" i="4"/>
  <c r="GY227" i="4"/>
  <c r="GU227" i="4"/>
  <c r="GY261" i="4"/>
  <c r="GW261" i="4"/>
  <c r="GY167" i="4"/>
  <c r="GW167" i="4"/>
  <c r="GY204" i="4"/>
  <c r="GU204" i="4"/>
  <c r="GY259" i="4"/>
  <c r="GS259" i="4"/>
  <c r="GS289" i="4"/>
  <c r="GW286" i="4"/>
  <c r="GW299" i="4"/>
  <c r="GT14" i="4"/>
  <c r="GT54" i="4"/>
  <c r="GT22" i="4"/>
  <c r="GT81" i="4"/>
  <c r="GT43" i="4"/>
  <c r="GT134" i="4"/>
  <c r="GT61" i="4"/>
  <c r="GT142" i="4"/>
  <c r="GT110" i="4"/>
  <c r="GT38" i="4"/>
  <c r="GT66" i="4"/>
  <c r="GT58" i="4"/>
  <c r="GT150" i="4"/>
  <c r="GT44" i="4"/>
  <c r="GT34" i="4"/>
  <c r="GT31" i="4"/>
  <c r="GT75" i="4"/>
  <c r="GT45" i="4"/>
  <c r="GY178" i="4"/>
  <c r="GS178" i="4"/>
  <c r="GY269" i="4"/>
  <c r="GS269" i="4"/>
  <c r="GY211" i="4"/>
  <c r="GS211" i="4"/>
  <c r="GY233" i="4"/>
  <c r="GW233" i="4"/>
  <c r="GY242" i="4"/>
  <c r="GS242" i="4"/>
  <c r="GY229" i="4"/>
  <c r="GS229" i="4"/>
  <c r="GS285" i="4"/>
  <c r="GW287" i="4"/>
  <c r="GW288" i="4"/>
  <c r="GX7" i="4"/>
  <c r="GX19" i="4"/>
  <c r="GX30" i="4"/>
  <c r="GX42" i="4"/>
  <c r="GX8" i="4"/>
  <c r="GX20" i="4"/>
  <c r="GX31" i="4"/>
  <c r="GX43" i="4"/>
  <c r="GX10" i="4"/>
  <c r="GX22" i="4"/>
  <c r="GX33" i="4"/>
  <c r="GX45" i="4"/>
  <c r="GX11" i="4"/>
  <c r="GX23" i="4"/>
  <c r="GX34" i="4"/>
  <c r="GX46" i="4"/>
  <c r="GX15" i="4"/>
  <c r="GX27" i="4"/>
  <c r="GX38" i="4"/>
  <c r="GX50" i="4"/>
  <c r="GX16" i="4"/>
  <c r="GX39" i="4"/>
  <c r="GX51" i="4"/>
  <c r="GX26" i="4"/>
  <c r="GX49" i="4"/>
  <c r="GX62" i="4"/>
  <c r="GX73" i="4"/>
  <c r="GX82" i="4"/>
  <c r="GX93" i="4"/>
  <c r="GX104" i="4"/>
  <c r="GX116" i="4"/>
  <c r="GX128" i="4"/>
  <c r="GX140" i="4"/>
  <c r="GX151" i="4"/>
  <c r="GX163" i="4"/>
  <c r="GX91" i="4"/>
  <c r="GX5" i="4"/>
  <c r="GX28" i="4"/>
  <c r="GX52" i="4"/>
  <c r="GX63" i="4"/>
  <c r="GX74" i="4"/>
  <c r="GX83" i="4"/>
  <c r="GX94" i="4"/>
  <c r="GX105" i="4"/>
  <c r="GX117" i="4"/>
  <c r="GX129" i="4"/>
  <c r="GX152" i="4"/>
  <c r="GX6" i="4"/>
  <c r="GX29" i="4"/>
  <c r="GX53" i="4"/>
  <c r="GX64" i="4"/>
  <c r="GX84" i="4"/>
  <c r="GX95" i="4"/>
  <c r="GX106" i="4"/>
  <c r="GX118" i="4"/>
  <c r="GX130" i="4"/>
  <c r="GX141" i="4"/>
  <c r="GX153" i="4"/>
  <c r="GX164" i="4"/>
  <c r="GX9" i="4"/>
  <c r="GX32" i="4"/>
  <c r="GX54" i="4"/>
  <c r="GX75" i="4"/>
  <c r="GX85" i="4"/>
  <c r="GX96" i="4"/>
  <c r="GX107" i="4"/>
  <c r="GX119" i="4"/>
  <c r="GX131" i="4"/>
  <c r="GX142" i="4"/>
  <c r="GX154" i="4"/>
  <c r="GX165" i="4"/>
  <c r="GX47" i="4"/>
  <c r="GX80" i="4"/>
  <c r="GX126" i="4"/>
  <c r="GX12" i="4"/>
  <c r="GX35" i="4"/>
  <c r="GX55" i="4"/>
  <c r="GX65" i="4"/>
  <c r="GX76" i="4"/>
  <c r="GX86" i="4"/>
  <c r="GX97" i="4"/>
  <c r="GX108" i="4"/>
  <c r="GX120" i="4"/>
  <c r="GX132" i="4"/>
  <c r="GX143" i="4"/>
  <c r="GX155" i="4"/>
  <c r="GX114" i="4"/>
  <c r="GX13" i="4"/>
  <c r="GX36" i="4"/>
  <c r="GX56" i="4"/>
  <c r="GX66" i="4"/>
  <c r="GX77" i="4"/>
  <c r="GX109" i="4"/>
  <c r="GX121" i="4"/>
  <c r="GX133" i="4"/>
  <c r="GX144" i="4"/>
  <c r="GX156" i="4"/>
  <c r="GX4" i="4"/>
  <c r="GX149" i="4"/>
  <c r="GX14" i="4"/>
  <c r="GX37" i="4"/>
  <c r="GX57" i="4"/>
  <c r="GX67" i="4"/>
  <c r="GX78" i="4"/>
  <c r="GX87" i="4"/>
  <c r="GX98" i="4"/>
  <c r="GX110" i="4"/>
  <c r="GX122" i="4"/>
  <c r="GX134" i="4"/>
  <c r="GX145" i="4"/>
  <c r="GX157" i="4"/>
  <c r="GX60" i="4"/>
  <c r="GX17" i="4"/>
  <c r="GX40" i="4"/>
  <c r="GX58" i="4"/>
  <c r="GX68" i="4"/>
  <c r="GX79" i="4"/>
  <c r="GX88" i="4"/>
  <c r="GX99" i="4"/>
  <c r="GX111" i="4"/>
  <c r="GX123" i="4"/>
  <c r="GX135" i="4"/>
  <c r="GX146" i="4"/>
  <c r="GX158" i="4"/>
  <c r="GX102" i="4"/>
  <c r="GX18" i="4"/>
  <c r="GX41" i="4"/>
  <c r="GX59" i="4"/>
  <c r="GX69" i="4"/>
  <c r="GX89" i="4"/>
  <c r="GX100" i="4"/>
  <c r="GX112" i="4"/>
  <c r="GX124" i="4"/>
  <c r="GX136" i="4"/>
  <c r="GX147" i="4"/>
  <c r="GX159" i="4"/>
  <c r="GX21" i="4"/>
  <c r="GX44" i="4"/>
  <c r="GX70" i="4"/>
  <c r="GX90" i="4"/>
  <c r="GX101" i="4"/>
  <c r="GX113" i="4"/>
  <c r="GX125" i="4"/>
  <c r="GX137" i="4"/>
  <c r="GX148" i="4"/>
  <c r="GX160" i="4"/>
  <c r="GX24" i="4"/>
  <c r="GX71" i="4"/>
  <c r="GX138" i="4"/>
  <c r="GX161" i="4"/>
  <c r="GX25" i="4"/>
  <c r="GX48" i="4"/>
  <c r="GX61" i="4"/>
  <c r="GX72" i="4"/>
  <c r="GX81" i="4"/>
  <c r="GX92" i="4"/>
  <c r="GX103" i="4"/>
  <c r="GX115" i="4"/>
  <c r="GX127" i="4"/>
  <c r="GX139" i="4"/>
  <c r="GX150" i="4"/>
  <c r="GX162" i="4"/>
  <c r="GT90" i="4"/>
  <c r="GT84" i="4"/>
  <c r="GT126" i="4"/>
  <c r="GT30" i="4"/>
  <c r="GT102" i="4"/>
  <c r="GT80" i="4"/>
  <c r="GT119" i="4"/>
  <c r="GT87" i="4"/>
  <c r="GT15" i="4"/>
  <c r="GT96" i="4"/>
  <c r="GT67" i="4"/>
  <c r="GT37" i="4"/>
  <c r="GT106" i="4"/>
  <c r="EJ320" i="4"/>
  <c r="EJ310" i="4"/>
  <c r="EJ313" i="4"/>
  <c r="EJ307" i="4"/>
  <c r="EJ321" i="4"/>
  <c r="EJ306" i="4"/>
  <c r="EJ309" i="4"/>
  <c r="EJ311" i="4"/>
  <c r="EJ322" i="4"/>
  <c r="EJ319" i="4"/>
  <c r="EJ315" i="4"/>
  <c r="EJ317" i="4"/>
  <c r="EJ312" i="4"/>
  <c r="EJ316" i="4"/>
  <c r="EJ314" i="4"/>
  <c r="EJ308" i="4"/>
  <c r="AB8" i="15"/>
  <c r="AH8" i="15" s="1"/>
  <c r="AF15" i="15"/>
  <c r="AB15" i="15"/>
  <c r="AH15" i="15" s="1"/>
  <c r="GY15" i="4"/>
  <c r="GY13" i="4"/>
  <c r="GY16" i="4"/>
  <c r="EJ283" i="4"/>
  <c r="EJ279" i="4"/>
  <c r="GY14" i="4"/>
  <c r="EK68" i="4"/>
  <c r="EK35" i="4"/>
  <c r="EK168" i="4"/>
  <c r="EK36" i="4"/>
  <c r="EK169" i="4"/>
  <c r="EK49" i="4"/>
  <c r="EK181" i="4"/>
  <c r="EK50" i="4"/>
  <c r="EK182" i="4"/>
  <c r="EK242" i="4"/>
  <c r="EK116" i="4"/>
  <c r="EK257" i="4"/>
  <c r="EK94" i="4"/>
  <c r="EK227" i="4"/>
  <c r="EK95" i="4"/>
  <c r="EK228" i="4"/>
  <c r="EK42" i="4"/>
  <c r="EK175" i="4"/>
  <c r="EK135" i="4"/>
  <c r="EK132" i="4"/>
  <c r="EK22" i="4"/>
  <c r="EK66" i="4"/>
  <c r="EK208" i="4"/>
  <c r="EK88" i="4"/>
  <c r="EK47" i="4"/>
  <c r="EK179" i="4"/>
  <c r="EK48" i="4"/>
  <c r="EK180" i="4"/>
  <c r="EK60" i="4"/>
  <c r="EK192" i="4"/>
  <c r="EK61" i="4"/>
  <c r="EK193" i="4"/>
  <c r="EK123" i="4"/>
  <c r="EK128" i="4"/>
  <c r="EK78" i="4"/>
  <c r="EK105" i="4"/>
  <c r="EK237" i="4"/>
  <c r="EK106" i="4"/>
  <c r="EK238" i="4"/>
  <c r="EK54" i="4"/>
  <c r="EK186" i="4"/>
  <c r="EK143" i="4"/>
  <c r="EK67" i="4"/>
  <c r="EK77" i="4"/>
  <c r="EK220" i="4"/>
  <c r="EK146" i="4"/>
  <c r="EK59" i="4"/>
  <c r="EK191" i="4"/>
  <c r="EK71" i="4"/>
  <c r="EK201" i="4"/>
  <c r="EK72" i="4"/>
  <c r="EK202" i="4"/>
  <c r="EK140" i="4"/>
  <c r="EK157" i="4"/>
  <c r="EK117" i="4"/>
  <c r="EK118" i="4"/>
  <c r="EK249" i="4"/>
  <c r="EK20" i="4"/>
  <c r="EK155" i="4"/>
  <c r="EK134" i="4"/>
  <c r="EK230" i="4"/>
  <c r="EK178" i="4"/>
  <c r="EK69" i="4"/>
  <c r="EK199" i="4"/>
  <c r="EK70" i="4"/>
  <c r="EK200" i="4"/>
  <c r="EK80" i="4"/>
  <c r="EK213" i="4"/>
  <c r="EK81" i="4"/>
  <c r="EK214" i="4"/>
  <c r="EK16" i="4"/>
  <c r="EK151" i="4"/>
  <c r="EK99" i="4"/>
  <c r="EK129" i="4"/>
  <c r="EK258" i="4"/>
  <c r="EK130" i="4"/>
  <c r="EK259" i="4"/>
  <c r="EK75" i="4"/>
  <c r="EK206" i="4"/>
  <c r="EK31" i="4"/>
  <c r="EK177" i="4"/>
  <c r="EK241" i="4"/>
  <c r="EK33" i="4"/>
  <c r="EK190" i="4"/>
  <c r="EK211" i="4"/>
  <c r="EK212" i="4"/>
  <c r="EK91" i="4"/>
  <c r="EK225" i="4"/>
  <c r="EK92" i="4"/>
  <c r="EK226" i="4"/>
  <c r="EK163" i="4"/>
  <c r="EK141" i="4"/>
  <c r="EK10" i="4"/>
  <c r="EK85" i="4"/>
  <c r="EK218" i="4"/>
  <c r="EK43" i="4"/>
  <c r="EK209" i="4"/>
  <c r="EK109" i="4"/>
  <c r="EK252" i="4"/>
  <c r="EK98" i="4"/>
  <c r="EK210" i="4"/>
  <c r="EK89" i="4"/>
  <c r="EK223" i="4"/>
  <c r="EK90" i="4"/>
  <c r="EK224" i="4"/>
  <c r="EK102" i="4"/>
  <c r="EK234" i="4"/>
  <c r="EK103" i="4"/>
  <c r="EK235" i="4"/>
  <c r="EK39" i="4"/>
  <c r="EK172" i="4"/>
  <c r="EK17" i="4"/>
  <c r="EK152" i="4"/>
  <c r="EK18" i="4"/>
  <c r="EK153" i="4"/>
  <c r="EK87" i="4"/>
  <c r="EK96" i="4"/>
  <c r="EK229" i="4"/>
  <c r="EK55" i="4"/>
  <c r="EK187" i="4"/>
  <c r="EK253" i="4"/>
  <c r="EK121" i="4"/>
  <c r="EK189" i="4"/>
  <c r="EK222" i="4"/>
  <c r="EK100" i="4"/>
  <c r="EK233" i="4"/>
  <c r="EK101" i="4"/>
  <c r="EK114" i="4"/>
  <c r="EK246" i="4"/>
  <c r="EK115" i="4"/>
  <c r="EK247" i="4"/>
  <c r="EK51" i="4"/>
  <c r="EK183" i="4"/>
  <c r="EK28" i="4"/>
  <c r="EK29" i="4"/>
  <c r="EK164" i="4"/>
  <c r="EK145" i="4"/>
  <c r="EK107" i="4"/>
  <c r="EK239" i="4"/>
  <c r="EK65" i="4"/>
  <c r="EK196" i="4"/>
  <c r="EK111" i="4"/>
  <c r="EK133" i="4"/>
  <c r="EK11" i="4"/>
  <c r="EK232" i="4"/>
  <c r="EK112" i="4"/>
  <c r="EK244" i="4"/>
  <c r="EK113" i="4"/>
  <c r="EK245" i="4"/>
  <c r="EK126" i="4"/>
  <c r="EK255" i="4"/>
  <c r="EK127" i="4"/>
  <c r="EK256" i="4"/>
  <c r="EK62" i="4"/>
  <c r="EK203" i="4"/>
  <c r="EK40" i="4"/>
  <c r="EK173" i="4"/>
  <c r="EK41" i="4"/>
  <c r="EK174" i="4"/>
  <c r="EK221" i="4"/>
  <c r="EK119" i="4"/>
  <c r="EK250" i="4"/>
  <c r="EK76" i="4"/>
  <c r="EK207" i="4"/>
  <c r="EK144" i="4"/>
  <c r="EK23" i="4"/>
  <c r="EK243" i="4"/>
  <c r="EK124" i="4"/>
  <c r="EK254" i="4"/>
  <c r="EK125" i="4"/>
  <c r="EK138" i="4"/>
  <c r="EK79" i="4"/>
  <c r="EK139" i="4"/>
  <c r="EK57" i="4"/>
  <c r="EK73" i="4"/>
  <c r="EK215" i="4"/>
  <c r="EK52" i="4"/>
  <c r="EK184" i="4"/>
  <c r="EK53" i="4"/>
  <c r="EK185" i="4"/>
  <c r="EK167" i="4"/>
  <c r="EK131" i="4"/>
  <c r="EK260" i="4"/>
  <c r="EK86" i="4"/>
  <c r="EK219" i="4"/>
  <c r="EK21" i="4"/>
  <c r="EK156" i="4"/>
  <c r="EK34" i="4"/>
  <c r="EK136" i="4"/>
  <c r="EK158" i="4"/>
  <c r="EK137" i="4"/>
  <c r="EK14" i="4"/>
  <c r="EK149" i="4"/>
  <c r="EK15" i="4"/>
  <c r="EK150" i="4"/>
  <c r="EK110" i="4"/>
  <c r="EK82" i="4"/>
  <c r="EK63" i="4"/>
  <c r="EK195" i="4"/>
  <c r="EK64" i="4"/>
  <c r="EK142" i="4"/>
  <c r="EK45" i="4"/>
  <c r="EK97" i="4"/>
  <c r="EK32" i="4"/>
  <c r="EK176" i="4"/>
  <c r="EK46" i="4"/>
  <c r="EK12" i="4"/>
  <c r="EK147" i="4"/>
  <c r="EK13" i="4"/>
  <c r="EK148" i="4"/>
  <c r="EK26" i="4"/>
  <c r="EK161" i="4"/>
  <c r="EK27" i="4"/>
  <c r="EK162" i="4"/>
  <c r="EK166" i="4"/>
  <c r="EK93" i="4"/>
  <c r="EK236" i="4"/>
  <c r="EK74" i="4"/>
  <c r="EK204" i="4"/>
  <c r="EK205" i="4"/>
  <c r="EK19" i="4"/>
  <c r="EK154" i="4"/>
  <c r="EK122" i="4"/>
  <c r="EK108" i="4"/>
  <c r="EK240" i="4"/>
  <c r="EK44" i="4"/>
  <c r="EK188" i="4"/>
  <c r="EK58" i="4"/>
  <c r="EK24" i="4"/>
  <c r="EK159" i="4"/>
  <c r="EK25" i="4"/>
  <c r="EK160" i="4"/>
  <c r="EK37" i="4"/>
  <c r="EK170" i="4"/>
  <c r="EK38" i="4"/>
  <c r="EK171" i="4"/>
  <c r="EK198" i="4"/>
  <c r="EK104" i="4"/>
  <c r="EK248" i="4"/>
  <c r="EK83" i="4"/>
  <c r="EK216" i="4"/>
  <c r="EK84" i="4"/>
  <c r="EK217" i="4"/>
  <c r="EK30" i="4"/>
  <c r="EK165" i="4"/>
  <c r="EK231" i="4"/>
  <c r="EK120" i="4"/>
  <c r="EK251" i="4"/>
  <c r="EK56" i="4"/>
  <c r="EK197" i="4"/>
  <c r="EK265" i="4"/>
  <c r="EK273" i="4"/>
  <c r="EK264" i="4"/>
  <c r="EK272" i="4"/>
  <c r="EK263" i="4"/>
  <c r="EK262" i="4"/>
  <c r="EK261" i="4"/>
  <c r="EK270" i="4"/>
  <c r="EK271" i="4"/>
  <c r="EK269" i="4"/>
  <c r="EK268" i="4"/>
  <c r="EK267" i="4"/>
  <c r="EK266" i="4"/>
  <c r="EJ274" i="4"/>
  <c r="EK447" i="4" s="1"/>
  <c r="GY37" i="4"/>
  <c r="GY140" i="4"/>
  <c r="GY68" i="4"/>
  <c r="GY22" i="4"/>
  <c r="GY139" i="4"/>
  <c r="GY31" i="4"/>
  <c r="GY128" i="4"/>
  <c r="GY145" i="4"/>
  <c r="GY93" i="4"/>
  <c r="GY46" i="4"/>
  <c r="GY73" i="4"/>
  <c r="GY158" i="4"/>
  <c r="GY54" i="4"/>
  <c r="GY69" i="4"/>
  <c r="GY106" i="4"/>
  <c r="GY27" i="4"/>
  <c r="GY103" i="4"/>
  <c r="GY125" i="4"/>
  <c r="GY110" i="4"/>
  <c r="GY82" i="4"/>
  <c r="GY142" i="4"/>
  <c r="GY112" i="4"/>
  <c r="GY163" i="4"/>
  <c r="GY105" i="4"/>
  <c r="GY43" i="4"/>
  <c r="GY119" i="4"/>
  <c r="GY97" i="4"/>
  <c r="GY129" i="4"/>
  <c r="GY101" i="4"/>
  <c r="GY30" i="4"/>
  <c r="GY29" i="4"/>
  <c r="GY81" i="4"/>
  <c r="GY67" i="4"/>
  <c r="GY57" i="4"/>
  <c r="GY35" i="4"/>
  <c r="GY70" i="4"/>
  <c r="GY83" i="4"/>
  <c r="GY79" i="4"/>
  <c r="GY90" i="4"/>
  <c r="GY157" i="4"/>
  <c r="GY107" i="4"/>
  <c r="GY42" i="4"/>
  <c r="GY33" i="4"/>
  <c r="GY89" i="4"/>
  <c r="GY39" i="4"/>
  <c r="GY148" i="4"/>
  <c r="GY94" i="4"/>
  <c r="GY41" i="4"/>
  <c r="GY123" i="4"/>
  <c r="GY162" i="4"/>
  <c r="GY141" i="4"/>
  <c r="GY150" i="4"/>
  <c r="GY99" i="4"/>
  <c r="GY28" i="4"/>
  <c r="GU68" i="4"/>
  <c r="GV91" i="4" s="1"/>
  <c r="GY149" i="4"/>
  <c r="GY160" i="4"/>
  <c r="GY111" i="4"/>
  <c r="GY44" i="4"/>
  <c r="GY58" i="4"/>
  <c r="GY38" i="4"/>
  <c r="GY88" i="4"/>
  <c r="GY72" i="4"/>
  <c r="GY118" i="4"/>
  <c r="GY143" i="4"/>
  <c r="GY114" i="4"/>
  <c r="GY26" i="4"/>
  <c r="GY132" i="4"/>
  <c r="GY138" i="4"/>
  <c r="GY87" i="4"/>
  <c r="GY56" i="4"/>
  <c r="GY49" i="4"/>
  <c r="GY47" i="4"/>
  <c r="GY152" i="4"/>
  <c r="GY116" i="4"/>
  <c r="GY80" i="4"/>
  <c r="GY71" i="4"/>
  <c r="GY45" i="4"/>
  <c r="GY113" i="4"/>
  <c r="GY164" i="4"/>
  <c r="GY147" i="4"/>
  <c r="GY130" i="4"/>
  <c r="GY121" i="4"/>
  <c r="GY135" i="4"/>
  <c r="GY104" i="4"/>
  <c r="GY64" i="4"/>
  <c r="GY92" i="4"/>
  <c r="GY126" i="4"/>
  <c r="GY65" i="4"/>
  <c r="GY61" i="4"/>
  <c r="GY151" i="4"/>
  <c r="GY91" i="4"/>
  <c r="GY34" i="4"/>
  <c r="GY20" i="4"/>
  <c r="GY156" i="4"/>
  <c r="GY77" i="4"/>
  <c r="GY98" i="4"/>
  <c r="GY62" i="4"/>
  <c r="GY159" i="4"/>
  <c r="GY95" i="4"/>
  <c r="GY66" i="4"/>
  <c r="GY131" i="4"/>
  <c r="GY19" i="4"/>
  <c r="GY23" i="4"/>
  <c r="GY75" i="4"/>
  <c r="GY59" i="4"/>
  <c r="GY60" i="4"/>
  <c r="GY137" i="4"/>
  <c r="GY52" i="4"/>
  <c r="GY115" i="4"/>
  <c r="GY40" i="4"/>
  <c r="GY153" i="4"/>
  <c r="GY36" i="4"/>
  <c r="GY74" i="4"/>
  <c r="GY48" i="4"/>
  <c r="GY25" i="4"/>
  <c r="GY24" i="4"/>
  <c r="GY18" i="4"/>
  <c r="GY100" i="4"/>
  <c r="GY155" i="4"/>
  <c r="GY117" i="4"/>
  <c r="GY154" i="4"/>
  <c r="GY86" i="4"/>
  <c r="GY122" i="4"/>
  <c r="GY136" i="4"/>
  <c r="GY63" i="4"/>
  <c r="GY96" i="4"/>
  <c r="GY124" i="4"/>
  <c r="GY102" i="4"/>
  <c r="GY85" i="4"/>
  <c r="GY51" i="4"/>
  <c r="GY133" i="4"/>
  <c r="GY55" i="4"/>
  <c r="GY50" i="4"/>
  <c r="GY109" i="4"/>
  <c r="GY161" i="4"/>
  <c r="GY108" i="4"/>
  <c r="GY120" i="4"/>
  <c r="GY78" i="4"/>
  <c r="GY146" i="4"/>
  <c r="GY127" i="4"/>
  <c r="GY134" i="4"/>
  <c r="GY84" i="4"/>
  <c r="GY165" i="4"/>
  <c r="GY53" i="4"/>
  <c r="GY144" i="4"/>
  <c r="GY76" i="4"/>
  <c r="GY32" i="4"/>
  <c r="GY21" i="4"/>
  <c r="GY17" i="4"/>
  <c r="AB3" i="15"/>
  <c r="AH3" i="15" s="1"/>
  <c r="AB4" i="15"/>
  <c r="AH4" i="15" s="1"/>
  <c r="AG4" i="15"/>
  <c r="D13" i="5"/>
  <c r="B37" i="5"/>
  <c r="D37" i="5" s="1"/>
  <c r="F36" i="5"/>
  <c r="H25" i="5" s="1"/>
  <c r="G36" i="5"/>
  <c r="G16" i="5"/>
  <c r="B17" i="5"/>
  <c r="F16" i="5"/>
  <c r="GY447" i="4" l="1"/>
  <c r="EK448" i="4"/>
  <c r="GY446" i="4"/>
  <c r="GY448" i="4"/>
  <c r="EK446" i="4"/>
  <c r="GY442" i="4"/>
  <c r="EK444" i="4"/>
  <c r="EK442" i="4"/>
  <c r="EK443" i="4"/>
  <c r="GY439" i="4"/>
  <c r="GY441" i="4"/>
  <c r="GY440" i="4"/>
  <c r="GY445" i="4"/>
  <c r="GY444" i="4"/>
  <c r="EK440" i="4"/>
  <c r="EK439" i="4"/>
  <c r="EK441" i="4"/>
  <c r="GY443" i="4"/>
  <c r="EK445" i="4"/>
  <c r="EK438" i="4"/>
  <c r="GY438" i="4"/>
  <c r="EK437" i="4"/>
  <c r="GY437" i="4"/>
  <c r="GY433" i="4"/>
  <c r="EK432" i="4"/>
  <c r="GY436" i="4"/>
  <c r="GY430" i="4"/>
  <c r="EK431" i="4"/>
  <c r="EK430" i="4"/>
  <c r="EK435" i="4"/>
  <c r="GY431" i="4"/>
  <c r="GY432" i="4"/>
  <c r="EK433" i="4"/>
  <c r="GY435" i="4"/>
  <c r="EK436" i="4"/>
  <c r="GY434" i="4"/>
  <c r="EK434" i="4"/>
  <c r="GY426" i="4"/>
  <c r="EK427" i="4"/>
  <c r="GY429" i="4"/>
  <c r="EK426" i="4"/>
  <c r="GY427" i="4"/>
  <c r="EK429" i="4"/>
  <c r="EK428" i="4"/>
  <c r="GY428" i="4"/>
  <c r="GT194" i="4"/>
  <c r="GX194" i="4"/>
  <c r="GV194" i="4"/>
  <c r="GY425" i="4"/>
  <c r="EK422" i="4"/>
  <c r="EK424" i="4"/>
  <c r="EK425" i="4"/>
  <c r="GY421" i="4"/>
  <c r="GY424" i="4"/>
  <c r="EK423" i="4"/>
  <c r="EK421" i="4"/>
  <c r="GY422" i="4"/>
  <c r="GY423" i="4"/>
  <c r="GY420" i="4"/>
  <c r="GY415" i="4"/>
  <c r="EK415" i="4"/>
  <c r="EK416" i="4"/>
  <c r="GY418" i="4"/>
  <c r="GY419" i="4"/>
  <c r="GY416" i="4"/>
  <c r="EK414" i="4"/>
  <c r="GY417" i="4"/>
  <c r="EK417" i="4"/>
  <c r="EK420" i="4"/>
  <c r="EK419" i="4"/>
  <c r="GY414" i="4"/>
  <c r="EK418" i="4"/>
  <c r="GY407" i="4"/>
  <c r="EK411" i="4"/>
  <c r="EK412" i="4"/>
  <c r="GY409" i="4"/>
  <c r="EK409" i="4"/>
  <c r="GY408" i="4"/>
  <c r="EK413" i="4"/>
  <c r="GY411" i="4"/>
  <c r="GY412" i="4"/>
  <c r="EK408" i="4"/>
  <c r="GY410" i="4"/>
  <c r="EK410" i="4"/>
  <c r="EK407" i="4"/>
  <c r="GY413" i="4"/>
  <c r="GY405" i="4"/>
  <c r="GY404" i="4"/>
  <c r="EK406" i="4"/>
  <c r="EK404" i="4"/>
  <c r="GY403" i="4"/>
  <c r="EK402" i="4"/>
  <c r="GY402" i="4"/>
  <c r="EK405" i="4"/>
  <c r="EK403" i="4"/>
  <c r="GY406" i="4"/>
  <c r="EK401" i="4"/>
  <c r="EK399" i="4"/>
  <c r="EK397" i="4"/>
  <c r="GY394" i="4"/>
  <c r="GY400" i="4"/>
  <c r="GY397" i="4"/>
  <c r="GY395" i="4"/>
  <c r="EK398" i="4"/>
  <c r="EK396" i="4"/>
  <c r="GY399" i="4"/>
  <c r="GY396" i="4"/>
  <c r="EK400" i="4"/>
  <c r="GY393" i="4"/>
  <c r="EK395" i="4"/>
  <c r="GY398" i="4"/>
  <c r="EK394" i="4"/>
  <c r="GY401" i="4"/>
  <c r="EK393" i="4"/>
  <c r="GY388" i="4"/>
  <c r="EK386" i="4"/>
  <c r="EK380" i="4"/>
  <c r="GY383" i="4"/>
  <c r="GY380" i="4"/>
  <c r="EK379" i="4"/>
  <c r="EK385" i="4"/>
  <c r="GY391" i="4"/>
  <c r="EK384" i="4"/>
  <c r="GY373" i="4"/>
  <c r="EK391" i="4"/>
  <c r="GY386" i="4"/>
  <c r="GY389" i="4"/>
  <c r="EK387" i="4"/>
  <c r="EK390" i="4"/>
  <c r="GY381" i="4"/>
  <c r="GY382" i="4"/>
  <c r="EK392" i="4"/>
  <c r="EK381" i="4"/>
  <c r="GY387" i="4"/>
  <c r="EK383" i="4"/>
  <c r="GY392" i="4"/>
  <c r="GY385" i="4"/>
  <c r="GY384" i="4"/>
  <c r="EK389" i="4"/>
  <c r="GY390" i="4"/>
  <c r="EK388" i="4"/>
  <c r="EK382" i="4"/>
  <c r="GY376" i="4"/>
  <c r="EK372" i="4"/>
  <c r="GY378" i="4"/>
  <c r="GY377" i="4"/>
  <c r="EK373" i="4"/>
  <c r="EK377" i="4"/>
  <c r="EK376" i="4"/>
  <c r="EK375" i="4"/>
  <c r="GY372" i="4"/>
  <c r="GY374" i="4"/>
  <c r="GY375" i="4"/>
  <c r="EK374" i="4"/>
  <c r="GY379" i="4"/>
  <c r="EK378" i="4"/>
  <c r="GY366" i="4"/>
  <c r="GY367" i="4"/>
  <c r="EK367" i="4"/>
  <c r="GY371" i="4"/>
  <c r="EK368" i="4"/>
  <c r="EK365" i="4"/>
  <c r="EK366" i="4"/>
  <c r="GY368" i="4"/>
  <c r="GY369" i="4"/>
  <c r="EK363" i="4"/>
  <c r="GY365" i="4"/>
  <c r="EK371" i="4"/>
  <c r="GY364" i="4"/>
  <c r="GY363" i="4"/>
  <c r="EK364" i="4"/>
  <c r="GY370" i="4"/>
  <c r="EK369" i="4"/>
  <c r="EK370" i="4"/>
  <c r="GX170" i="4"/>
  <c r="GX167" i="4"/>
  <c r="GX177" i="4"/>
  <c r="GX168" i="4"/>
  <c r="GX166" i="4"/>
  <c r="GX169" i="4"/>
  <c r="GX183" i="4"/>
  <c r="EK358" i="4"/>
  <c r="GX171" i="4"/>
  <c r="EK352" i="4"/>
  <c r="EK357" i="4"/>
  <c r="EK349" i="4"/>
  <c r="EK360" i="4"/>
  <c r="GY358" i="4"/>
  <c r="EK351" i="4"/>
  <c r="GY353" i="4"/>
  <c r="GY361" i="4"/>
  <c r="EK362" i="4"/>
  <c r="GY362" i="4"/>
  <c r="GY356" i="4"/>
  <c r="GY349" i="4"/>
  <c r="EK356" i="4"/>
  <c r="EK359" i="4"/>
  <c r="GT168" i="4"/>
  <c r="GY357" i="4"/>
  <c r="GY354" i="4"/>
  <c r="EK361" i="4"/>
  <c r="EK353" i="4"/>
  <c r="GY360" i="4"/>
  <c r="EK350" i="4"/>
  <c r="GY341" i="4"/>
  <c r="EK354" i="4"/>
  <c r="GY350" i="4"/>
  <c r="GY351" i="4"/>
  <c r="GY359" i="4"/>
  <c r="GY352" i="4"/>
  <c r="GY355" i="4"/>
  <c r="EK355" i="4"/>
  <c r="GT176" i="4"/>
  <c r="GX173" i="4"/>
  <c r="GX172" i="4"/>
  <c r="GX181" i="4"/>
  <c r="GX179" i="4"/>
  <c r="GX176" i="4"/>
  <c r="GX182" i="4"/>
  <c r="GX185" i="4"/>
  <c r="GX180" i="4"/>
  <c r="GX174" i="4"/>
  <c r="GX186" i="4"/>
  <c r="GX178" i="4"/>
  <c r="GX184" i="4"/>
  <c r="GX175" i="4"/>
  <c r="EK345" i="4"/>
  <c r="GY342" i="4"/>
  <c r="EK346" i="4"/>
  <c r="EK347" i="4"/>
  <c r="GY348" i="4"/>
  <c r="EK348" i="4"/>
  <c r="GY347" i="4"/>
  <c r="GY344" i="4"/>
  <c r="EK342" i="4"/>
  <c r="GY343" i="4"/>
  <c r="EK340" i="4"/>
  <c r="GY346" i="4"/>
  <c r="EK341" i="4"/>
  <c r="GY340" i="4"/>
  <c r="EK343" i="4"/>
  <c r="GY345" i="4"/>
  <c r="EK344" i="4"/>
  <c r="GY336" i="4"/>
  <c r="GY337" i="4"/>
  <c r="GY335" i="4"/>
  <c r="EK335" i="4"/>
  <c r="EK338" i="4"/>
  <c r="EK337" i="4"/>
  <c r="EK336" i="4"/>
  <c r="GY339" i="4"/>
  <c r="EK339" i="4"/>
  <c r="GY338" i="4"/>
  <c r="GT181" i="4"/>
  <c r="GX208" i="4"/>
  <c r="GX205" i="4"/>
  <c r="GX228" i="4"/>
  <c r="GT241" i="4"/>
  <c r="GX210" i="4"/>
  <c r="GT191" i="4"/>
  <c r="GX196" i="4"/>
  <c r="GX213" i="4"/>
  <c r="GX192" i="4"/>
  <c r="GT217" i="4"/>
  <c r="GT197" i="4"/>
  <c r="GX215" i="4"/>
  <c r="GX207" i="4"/>
  <c r="GX189" i="4"/>
  <c r="GT273" i="4"/>
  <c r="GX188" i="4"/>
  <c r="GX214" i="4"/>
  <c r="GX223" i="4"/>
  <c r="GX222" i="4"/>
  <c r="GX212" i="4"/>
  <c r="GX267" i="4"/>
  <c r="GX195" i="4"/>
  <c r="GX197" i="4"/>
  <c r="GX193" i="4"/>
  <c r="GX242" i="4"/>
  <c r="GT262" i="4"/>
  <c r="GX217" i="4"/>
  <c r="GX226" i="4"/>
  <c r="GX272" i="4"/>
  <c r="GX224" i="4"/>
  <c r="GX201" i="4"/>
  <c r="GT268" i="4"/>
  <c r="GX230" i="4"/>
  <c r="GX211" i="4"/>
  <c r="GX202" i="4"/>
  <c r="GX190" i="4"/>
  <c r="GX198" i="4"/>
  <c r="GX206" i="4"/>
  <c r="GX232" i="4"/>
  <c r="GX225" i="4"/>
  <c r="GX221" i="4"/>
  <c r="GX216" i="4"/>
  <c r="GY326" i="4"/>
  <c r="GX200" i="4"/>
  <c r="GX250" i="4"/>
  <c r="GX199" i="4"/>
  <c r="GT220" i="4"/>
  <c r="GT203" i="4"/>
  <c r="GX229" i="4"/>
  <c r="GX204" i="4"/>
  <c r="GX218" i="4"/>
  <c r="GX191" i="4"/>
  <c r="GX209" i="4"/>
  <c r="GX219" i="4"/>
  <c r="GX227" i="4"/>
  <c r="GX220" i="4"/>
  <c r="GX231" i="4"/>
  <c r="GX203" i="4"/>
  <c r="GT250" i="4"/>
  <c r="GY309" i="4"/>
  <c r="GW309" i="4"/>
  <c r="GX274" i="4"/>
  <c r="GX277" i="4"/>
  <c r="GY289" i="4"/>
  <c r="GT195" i="4"/>
  <c r="GY281" i="4"/>
  <c r="GV246" i="4"/>
  <c r="GV285" i="4"/>
  <c r="GV295" i="4"/>
  <c r="GV76" i="4"/>
  <c r="GV173" i="4"/>
  <c r="GV122" i="4"/>
  <c r="GV231" i="4"/>
  <c r="GV234" i="4"/>
  <c r="GV68" i="4"/>
  <c r="GV253" i="4"/>
  <c r="GV115" i="4"/>
  <c r="GV227" i="4"/>
  <c r="GV165" i="4"/>
  <c r="GV179" i="4"/>
  <c r="GV121" i="4"/>
  <c r="GV77" i="4"/>
  <c r="GV193" i="4"/>
  <c r="GV300" i="4"/>
  <c r="GV87" i="4"/>
  <c r="GV293" i="4"/>
  <c r="GV124" i="4"/>
  <c r="GT175" i="4"/>
  <c r="GY294" i="4"/>
  <c r="EK323" i="4"/>
  <c r="GT201" i="4"/>
  <c r="EK274" i="4"/>
  <c r="GY274" i="4"/>
  <c r="GS274" i="4"/>
  <c r="GT448" i="4" s="1"/>
  <c r="GY306" i="4"/>
  <c r="GU306" i="4"/>
  <c r="GX235" i="4"/>
  <c r="GX234" i="4"/>
  <c r="GX261" i="4"/>
  <c r="GX247" i="4"/>
  <c r="GT264" i="4"/>
  <c r="GT193" i="4"/>
  <c r="GT210" i="4"/>
  <c r="GY332" i="4"/>
  <c r="GV196" i="4"/>
  <c r="GV135" i="4"/>
  <c r="GV171" i="4"/>
  <c r="GV167" i="4"/>
  <c r="GV117" i="4"/>
  <c r="GV291" i="4"/>
  <c r="GV160" i="4"/>
  <c r="GV207" i="4"/>
  <c r="GV80" i="4"/>
  <c r="GV259" i="4"/>
  <c r="GV118" i="4"/>
  <c r="GV270" i="4"/>
  <c r="GV155" i="4"/>
  <c r="GV294" i="4"/>
  <c r="GV125" i="4"/>
  <c r="GV215" i="4"/>
  <c r="GV181" i="4"/>
  <c r="GV134" i="4"/>
  <c r="GV79" i="4"/>
  <c r="GV157" i="4"/>
  <c r="GV146" i="4"/>
  <c r="GY318" i="4"/>
  <c r="GY277" i="4"/>
  <c r="GT183" i="4"/>
  <c r="GY300" i="4"/>
  <c r="GT169" i="4"/>
  <c r="GT265" i="4"/>
  <c r="EK333" i="4"/>
  <c r="GY302" i="4"/>
  <c r="GT213" i="4"/>
  <c r="EK326" i="4"/>
  <c r="GY323" i="4"/>
  <c r="GY314" i="4"/>
  <c r="GU314" i="4"/>
  <c r="GX252" i="4"/>
  <c r="GX255" i="4"/>
  <c r="GX241" i="4"/>
  <c r="GX187" i="4"/>
  <c r="GT189" i="4"/>
  <c r="GT215" i="4"/>
  <c r="GT246" i="4"/>
  <c r="GV202" i="4"/>
  <c r="GV266" i="4"/>
  <c r="GV159" i="4"/>
  <c r="GV282" i="4"/>
  <c r="GV225" i="4"/>
  <c r="GV183" i="4"/>
  <c r="GV94" i="4"/>
  <c r="GV261" i="4"/>
  <c r="GV133" i="4"/>
  <c r="GV103" i="4"/>
  <c r="GV233" i="4"/>
  <c r="GV154" i="4"/>
  <c r="GV93" i="4"/>
  <c r="GV182" i="4"/>
  <c r="GV153" i="4"/>
  <c r="GV297" i="4"/>
  <c r="GT235" i="4"/>
  <c r="GT192" i="4"/>
  <c r="GY282" i="4"/>
  <c r="GT177" i="4"/>
  <c r="GY296" i="4"/>
  <c r="GV283" i="4"/>
  <c r="GT244" i="4"/>
  <c r="GY279" i="4"/>
  <c r="GW279" i="4"/>
  <c r="GX304" i="4" s="1"/>
  <c r="GY316" i="4"/>
  <c r="GU316" i="4"/>
  <c r="GV447" i="4" s="1"/>
  <c r="GT255" i="4"/>
  <c r="GV200" i="4"/>
  <c r="GV109" i="4"/>
  <c r="GV238" i="4"/>
  <c r="GV123" i="4"/>
  <c r="GV191" i="4"/>
  <c r="GV149" i="4"/>
  <c r="GV180" i="4"/>
  <c r="GV90" i="4"/>
  <c r="GV177" i="4"/>
  <c r="GV163" i="4"/>
  <c r="GV243" i="4"/>
  <c r="GV229" i="4"/>
  <c r="GV71" i="4"/>
  <c r="GV278" i="4"/>
  <c r="GV95" i="4"/>
  <c r="GV290" i="4"/>
  <c r="GV143" i="4"/>
  <c r="GV262" i="4"/>
  <c r="GV186" i="4"/>
  <c r="GV113" i="4"/>
  <c r="GV292" i="4"/>
  <c r="GV221" i="4"/>
  <c r="GV148" i="4"/>
  <c r="GV263" i="4"/>
  <c r="GT232" i="4"/>
  <c r="GY290" i="4"/>
  <c r="GT257" i="4"/>
  <c r="GY329" i="4"/>
  <c r="GT230" i="4"/>
  <c r="GY297" i="4"/>
  <c r="GT178" i="4"/>
  <c r="GT243" i="4"/>
  <c r="GY330" i="4"/>
  <c r="GY276" i="4"/>
  <c r="GT180" i="4"/>
  <c r="GY298" i="4"/>
  <c r="GY283" i="4"/>
  <c r="GS283" i="4"/>
  <c r="GX251" i="4"/>
  <c r="GX270" i="4"/>
  <c r="GY288" i="4"/>
  <c r="GT205" i="4"/>
  <c r="GT253" i="4"/>
  <c r="GT204" i="4"/>
  <c r="GT185" i="4"/>
  <c r="GY275" i="4"/>
  <c r="GT252" i="4"/>
  <c r="GV170" i="4"/>
  <c r="GV130" i="4"/>
  <c r="GV302" i="4"/>
  <c r="GV242" i="4"/>
  <c r="GV287" i="4"/>
  <c r="GV136" i="4"/>
  <c r="GV162" i="4"/>
  <c r="GV232" i="4"/>
  <c r="GV203" i="4"/>
  <c r="GV137" i="4"/>
  <c r="GV223" i="4"/>
  <c r="GV69" i="4"/>
  <c r="GV248" i="4"/>
  <c r="GV81" i="4"/>
  <c r="GV216" i="4"/>
  <c r="GV142" i="4"/>
  <c r="GV245" i="4"/>
  <c r="GV132" i="4"/>
  <c r="GV240" i="4"/>
  <c r="GV73" i="4"/>
  <c r="GV144" i="4"/>
  <c r="GV168" i="4"/>
  <c r="GV198" i="4"/>
  <c r="GT261" i="4"/>
  <c r="GT207" i="4"/>
  <c r="GT184" i="4"/>
  <c r="GT228" i="4"/>
  <c r="GT182" i="4"/>
  <c r="GT229" i="4"/>
  <c r="GT263" i="4"/>
  <c r="GY312" i="4"/>
  <c r="GU312" i="4"/>
  <c r="EK332" i="4"/>
  <c r="GX243" i="4"/>
  <c r="GX276" i="4"/>
  <c r="GX239" i="4"/>
  <c r="EK330" i="4"/>
  <c r="GY292" i="4"/>
  <c r="GT251" i="4"/>
  <c r="EK329" i="4"/>
  <c r="GT234" i="4"/>
  <c r="GT248" i="4"/>
  <c r="GV201" i="4"/>
  <c r="GV151" i="4"/>
  <c r="GV211" i="4"/>
  <c r="GV82" i="4"/>
  <c r="GV258" i="4"/>
  <c r="GV111" i="4"/>
  <c r="GV169" i="4"/>
  <c r="GV138" i="4"/>
  <c r="GV273" i="4"/>
  <c r="GV275" i="4"/>
  <c r="GV70" i="4"/>
  <c r="GV280" i="4"/>
  <c r="GV105" i="4"/>
  <c r="GV187" i="4"/>
  <c r="GV265" i="4"/>
  <c r="GV249" i="4"/>
  <c r="GV84" i="4"/>
  <c r="GV131" i="4"/>
  <c r="GV217" i="4"/>
  <c r="GV166" i="4"/>
  <c r="GV209" i="4"/>
  <c r="GT199" i="4"/>
  <c r="GY278" i="4"/>
  <c r="GT260" i="4"/>
  <c r="GY291" i="4"/>
  <c r="GT211" i="4"/>
  <c r="GY295" i="4"/>
  <c r="GT208" i="4"/>
  <c r="GY305" i="4"/>
  <c r="GY317" i="4"/>
  <c r="GS317" i="4"/>
  <c r="GY321" i="4"/>
  <c r="GW321" i="4"/>
  <c r="GX447" i="4" s="1"/>
  <c r="GX248" i="4"/>
  <c r="GX263" i="4"/>
  <c r="GX265" i="4"/>
  <c r="GX237" i="4"/>
  <c r="GX254" i="4"/>
  <c r="GY287" i="4"/>
  <c r="GT225" i="4"/>
  <c r="GT254" i="4"/>
  <c r="GT233" i="4"/>
  <c r="GV260" i="4"/>
  <c r="GV104" i="4"/>
  <c r="GV298" i="4"/>
  <c r="GV112" i="4"/>
  <c r="GV150" i="4"/>
  <c r="GV284" i="4"/>
  <c r="GV226" i="4"/>
  <c r="GV152" i="4"/>
  <c r="GV185" i="4"/>
  <c r="GV110" i="4"/>
  <c r="GV276" i="4"/>
  <c r="GV224" i="4"/>
  <c r="GV212" i="4"/>
  <c r="GV172" i="4"/>
  <c r="GV120" i="4"/>
  <c r="GV86" i="4"/>
  <c r="GV244" i="4"/>
  <c r="GT212" i="4"/>
  <c r="GT221" i="4"/>
  <c r="GT186" i="4"/>
  <c r="GT170" i="4"/>
  <c r="GT256" i="4"/>
  <c r="GY331" i="4"/>
  <c r="GT247" i="4"/>
  <c r="GT219" i="4"/>
  <c r="GT269" i="4"/>
  <c r="GT236" i="4"/>
  <c r="GY315" i="4"/>
  <c r="GS315" i="4"/>
  <c r="GY307" i="4"/>
  <c r="GS307" i="4"/>
  <c r="GX256" i="4"/>
  <c r="GX246" i="4"/>
  <c r="GX240" i="4"/>
  <c r="GX268" i="4"/>
  <c r="GT270" i="4"/>
  <c r="GY327" i="4"/>
  <c r="GY334" i="4"/>
  <c r="GT266" i="4"/>
  <c r="GV188" i="4"/>
  <c r="GV175" i="4"/>
  <c r="GV128" i="4"/>
  <c r="GV277" i="4"/>
  <c r="GV99" i="4"/>
  <c r="GV264" i="4"/>
  <c r="GV126" i="4"/>
  <c r="GV257" i="4"/>
  <c r="GV140" i="4"/>
  <c r="GV299" i="4"/>
  <c r="GV197" i="4"/>
  <c r="GV269" i="4"/>
  <c r="GV268" i="4"/>
  <c r="GV288" i="4"/>
  <c r="GV107" i="4"/>
  <c r="GV119" i="4"/>
  <c r="GV241" i="4"/>
  <c r="GV75" i="4"/>
  <c r="GT173" i="4"/>
  <c r="GT216" i="4"/>
  <c r="GT242" i="4"/>
  <c r="GY301" i="4"/>
  <c r="GT245" i="4"/>
  <c r="GT200" i="4"/>
  <c r="EK331" i="4"/>
  <c r="GY303" i="4"/>
  <c r="GT174" i="4"/>
  <c r="GT196" i="4"/>
  <c r="GY313" i="4"/>
  <c r="GU313" i="4"/>
  <c r="GX275" i="4"/>
  <c r="GX273" i="4"/>
  <c r="GX259" i="4"/>
  <c r="GY285" i="4"/>
  <c r="GT223" i="4"/>
  <c r="GY299" i="4"/>
  <c r="EK327" i="4"/>
  <c r="GT267" i="4"/>
  <c r="GT224" i="4"/>
  <c r="GT202" i="4"/>
  <c r="GV267" i="4"/>
  <c r="GV108" i="4"/>
  <c r="GV279" i="4"/>
  <c r="GV199" i="4"/>
  <c r="GV78" i="4"/>
  <c r="GV190" i="4"/>
  <c r="GV228" i="4"/>
  <c r="GV100" i="4"/>
  <c r="GV219" i="4"/>
  <c r="GV296" i="4"/>
  <c r="GV206" i="4"/>
  <c r="GV129" i="4"/>
  <c r="GV204" i="4"/>
  <c r="GV83" i="4"/>
  <c r="GV281" i="4"/>
  <c r="GV271" i="4"/>
  <c r="GV176" i="4"/>
  <c r="GV255" i="4"/>
  <c r="GV106" i="4"/>
  <c r="GV254" i="4"/>
  <c r="GT222" i="4"/>
  <c r="EK325" i="4"/>
  <c r="EK324" i="4"/>
  <c r="GT179" i="4"/>
  <c r="GT231" i="4"/>
  <c r="GT171" i="4"/>
  <c r="GY319" i="4"/>
  <c r="GS319" i="4"/>
  <c r="GY310" i="4"/>
  <c r="GS310" i="4"/>
  <c r="GX245" i="4"/>
  <c r="GX233" i="4"/>
  <c r="GX278" i="4"/>
  <c r="GX262" i="4"/>
  <c r="GX271" i="4"/>
  <c r="GX260" i="4"/>
  <c r="GT206" i="4"/>
  <c r="GT272" i="4"/>
  <c r="GY328" i="4"/>
  <c r="EK328" i="4"/>
  <c r="GV251" i="4"/>
  <c r="GV96" i="4"/>
  <c r="GV214" i="4"/>
  <c r="GV164" i="4"/>
  <c r="GV192" i="4"/>
  <c r="GV98" i="4"/>
  <c r="GV208" i="4"/>
  <c r="GV247" i="4"/>
  <c r="GV88" i="4"/>
  <c r="GV213" i="4"/>
  <c r="GV127" i="4"/>
  <c r="GV252" i="4"/>
  <c r="GV174" i="4"/>
  <c r="GV289" i="4"/>
  <c r="GV236" i="4"/>
  <c r="GV139" i="4"/>
  <c r="GV92" i="4"/>
  <c r="GT237" i="4"/>
  <c r="GT239" i="4"/>
  <c r="GT187" i="4"/>
  <c r="GT259" i="4"/>
  <c r="GY284" i="4"/>
  <c r="GY322" i="4"/>
  <c r="GS322" i="4"/>
  <c r="GY320" i="4"/>
  <c r="GS320" i="4"/>
  <c r="GX244" i="4"/>
  <c r="GX236" i="4"/>
  <c r="GX257" i="4"/>
  <c r="GX249" i="4"/>
  <c r="GX266" i="4"/>
  <c r="GX238" i="4"/>
  <c r="GY286" i="4"/>
  <c r="GY293" i="4"/>
  <c r="GT209" i="4"/>
  <c r="GT226" i="4"/>
  <c r="GV274" i="4"/>
  <c r="GV286" i="4"/>
  <c r="GV97" i="4"/>
  <c r="GV145" i="4"/>
  <c r="GV230" i="4"/>
  <c r="GV102" i="4"/>
  <c r="GV222" i="4"/>
  <c r="GV305" i="4"/>
  <c r="GV235" i="4"/>
  <c r="GV101" i="4"/>
  <c r="GV189" i="4"/>
  <c r="GV301" i="4"/>
  <c r="GV256" i="4"/>
  <c r="GV161" i="4"/>
  <c r="GV114" i="4"/>
  <c r="GV72" i="4"/>
  <c r="GT258" i="4"/>
  <c r="GT271" i="4"/>
  <c r="GT240" i="4"/>
  <c r="GY308" i="4"/>
  <c r="GS308" i="4"/>
  <c r="GY311" i="4"/>
  <c r="GW311" i="4"/>
  <c r="GX264" i="4"/>
  <c r="GX253" i="4"/>
  <c r="GX269" i="4"/>
  <c r="GX258" i="4"/>
  <c r="GT190" i="4"/>
  <c r="GT188" i="4"/>
  <c r="GT218" i="4"/>
  <c r="GT214" i="4"/>
  <c r="GY280" i="4"/>
  <c r="GY333" i="4"/>
  <c r="GV304" i="4"/>
  <c r="GV184" i="4"/>
  <c r="GV85" i="4"/>
  <c r="GV210" i="4"/>
  <c r="GV141" i="4"/>
  <c r="GV74" i="4"/>
  <c r="GV178" i="4"/>
  <c r="GV156" i="4"/>
  <c r="GV237" i="4"/>
  <c r="GV89" i="4"/>
  <c r="GV239" i="4"/>
  <c r="GV250" i="4"/>
  <c r="GV303" i="4"/>
  <c r="GV195" i="4"/>
  <c r="GV205" i="4"/>
  <c r="GV116" i="4"/>
  <c r="GV272" i="4"/>
  <c r="GV220" i="4"/>
  <c r="GV158" i="4"/>
  <c r="GV218" i="4"/>
  <c r="GV147" i="4"/>
  <c r="EK334" i="4"/>
  <c r="GY304" i="4"/>
  <c r="GT249" i="4"/>
  <c r="GT227" i="4"/>
  <c r="GT172" i="4"/>
  <c r="GT238" i="4"/>
  <c r="GY324" i="4"/>
  <c r="GT198" i="4"/>
  <c r="GY325" i="4"/>
  <c r="EK303" i="4"/>
  <c r="EK315" i="4"/>
  <c r="EK321" i="4"/>
  <c r="EK305" i="4"/>
  <c r="EK293" i="4"/>
  <c r="EK290" i="4"/>
  <c r="EK314" i="4"/>
  <c r="EK313" i="4"/>
  <c r="EK319" i="4"/>
  <c r="EK300" i="4"/>
  <c r="EK308" i="4"/>
  <c r="EK316" i="4"/>
  <c r="EK318" i="4"/>
  <c r="EK291" i="4"/>
  <c r="EK317" i="4"/>
  <c r="EK320" i="4"/>
  <c r="EK306" i="4"/>
  <c r="EK311" i="4"/>
  <c r="EK297" i="4"/>
  <c r="EK322" i="4"/>
  <c r="EK309" i="4"/>
  <c r="EK312" i="4"/>
  <c r="EK299" i="4"/>
  <c r="EK302" i="4"/>
  <c r="EK292" i="4"/>
  <c r="EK301" i="4"/>
  <c r="EK296" i="4"/>
  <c r="EK298" i="4"/>
  <c r="EK294" i="4"/>
  <c r="EK307" i="4"/>
  <c r="EK295" i="4"/>
  <c r="EK304" i="4"/>
  <c r="EK310" i="4"/>
  <c r="EK285" i="4"/>
  <c r="EK278" i="4"/>
  <c r="EK288" i="4"/>
  <c r="EK289" i="4"/>
  <c r="EK282" i="4"/>
  <c r="EK286" i="4"/>
  <c r="EK280" i="4"/>
  <c r="EK281" i="4"/>
  <c r="EK283" i="4"/>
  <c r="EK279" i="4"/>
  <c r="EK287" i="4"/>
  <c r="EK284" i="4"/>
  <c r="EK277" i="4"/>
  <c r="EK275" i="4"/>
  <c r="EK276" i="4"/>
  <c r="H5" i="5"/>
  <c r="D17" i="5"/>
  <c r="GT444" i="4" l="1"/>
  <c r="GV440" i="4"/>
  <c r="GV448" i="4"/>
  <c r="GT441" i="4"/>
  <c r="GX448" i="4"/>
  <c r="GT447" i="4"/>
  <c r="GT446" i="4"/>
  <c r="GV443" i="4"/>
  <c r="GT439" i="4"/>
  <c r="GT443" i="4"/>
  <c r="GV439" i="4"/>
  <c r="GX441" i="4"/>
  <c r="GV442" i="4"/>
  <c r="GX445" i="4"/>
  <c r="GT440" i="4"/>
  <c r="GV444" i="4"/>
  <c r="GV446" i="4"/>
  <c r="GX446" i="4"/>
  <c r="GT445" i="4"/>
  <c r="GV445" i="4"/>
  <c r="GV441" i="4"/>
  <c r="GT442" i="4"/>
  <c r="GX442" i="4"/>
  <c r="GX444" i="4"/>
  <c r="GX439" i="4"/>
  <c r="GX443" i="4"/>
  <c r="GX440" i="4"/>
  <c r="GV438" i="4"/>
  <c r="GT438" i="4"/>
  <c r="GX438" i="4"/>
  <c r="GV437" i="4"/>
  <c r="GT437" i="4"/>
  <c r="GX437" i="4"/>
  <c r="GV435" i="4"/>
  <c r="GT436" i="4"/>
  <c r="GT432" i="4"/>
  <c r="GV436" i="4"/>
  <c r="GT435" i="4"/>
  <c r="GV432" i="4"/>
  <c r="GX433" i="4"/>
  <c r="GX435" i="4"/>
  <c r="GV430" i="4"/>
  <c r="GV433" i="4"/>
  <c r="GX430" i="4"/>
  <c r="GT433" i="4"/>
  <c r="GX436" i="4"/>
  <c r="GV431" i="4"/>
  <c r="GX432" i="4"/>
  <c r="GT434" i="4"/>
  <c r="GT430" i="4"/>
  <c r="GX431" i="4"/>
  <c r="GV434" i="4"/>
  <c r="GX434" i="4"/>
  <c r="GT431" i="4"/>
  <c r="GV428" i="4"/>
  <c r="GX428" i="4"/>
  <c r="GT426" i="4"/>
  <c r="GV426" i="4"/>
  <c r="GV429" i="4"/>
  <c r="GX426" i="4"/>
  <c r="GV427" i="4"/>
  <c r="GX427" i="4"/>
  <c r="GT427" i="4"/>
  <c r="GT428" i="4"/>
  <c r="GX429" i="4"/>
  <c r="GT429" i="4"/>
  <c r="GV422" i="4"/>
  <c r="GT421" i="4"/>
  <c r="GT424" i="4"/>
  <c r="GV425" i="4"/>
  <c r="GV424" i="4"/>
  <c r="GX424" i="4"/>
  <c r="GV421" i="4"/>
  <c r="GX421" i="4"/>
  <c r="GV423" i="4"/>
  <c r="GX425" i="4"/>
  <c r="GX422" i="4"/>
  <c r="GT422" i="4"/>
  <c r="GX423" i="4"/>
  <c r="GT423" i="4"/>
  <c r="GT425" i="4"/>
  <c r="GV416" i="4"/>
  <c r="GT417" i="4"/>
  <c r="GT415" i="4"/>
  <c r="GT414" i="4"/>
  <c r="GV417" i="4"/>
  <c r="GV415" i="4"/>
  <c r="GT419" i="4"/>
  <c r="GT416" i="4"/>
  <c r="GX415" i="4"/>
  <c r="GV419" i="4"/>
  <c r="GX420" i="4"/>
  <c r="GT418" i="4"/>
  <c r="GV418" i="4"/>
  <c r="GT420" i="4"/>
  <c r="GV420" i="4"/>
  <c r="GX419" i="4"/>
  <c r="GV414" i="4"/>
  <c r="GX417" i="4"/>
  <c r="GX416" i="4"/>
  <c r="GX418" i="4"/>
  <c r="GX414" i="4"/>
  <c r="GV408" i="4"/>
  <c r="GT410" i="4"/>
  <c r="GT411" i="4"/>
  <c r="GV407" i="4"/>
  <c r="GV413" i="4"/>
  <c r="GT413" i="4"/>
  <c r="GT407" i="4"/>
  <c r="GV410" i="4"/>
  <c r="GX413" i="4"/>
  <c r="GX410" i="4"/>
  <c r="GX407" i="4"/>
  <c r="GV409" i="4"/>
  <c r="GT408" i="4"/>
  <c r="GV412" i="4"/>
  <c r="GX411" i="4"/>
  <c r="GX408" i="4"/>
  <c r="GT412" i="4"/>
  <c r="GT409" i="4"/>
  <c r="GX409" i="4"/>
  <c r="GV411" i="4"/>
  <c r="GX412" i="4"/>
  <c r="GV402" i="4"/>
  <c r="GT402" i="4"/>
  <c r="GT406" i="4"/>
  <c r="GV406" i="4"/>
  <c r="GV405" i="4"/>
  <c r="GT405" i="4"/>
  <c r="GX405" i="4"/>
  <c r="GX403" i="4"/>
  <c r="GV403" i="4"/>
  <c r="GX402" i="4"/>
  <c r="GX406" i="4"/>
  <c r="GV404" i="4"/>
  <c r="GT404" i="4"/>
  <c r="GT403" i="4"/>
  <c r="GX404" i="4"/>
  <c r="GV395" i="4"/>
  <c r="GV393" i="4"/>
  <c r="GT393" i="4"/>
  <c r="GT399" i="4"/>
  <c r="GT401" i="4"/>
  <c r="GX396" i="4"/>
  <c r="GX397" i="4"/>
  <c r="GX393" i="4"/>
  <c r="GV397" i="4"/>
  <c r="GV394" i="4"/>
  <c r="GT395" i="4"/>
  <c r="GT398" i="4"/>
  <c r="GT397" i="4"/>
  <c r="GV401" i="4"/>
  <c r="GX401" i="4"/>
  <c r="GX395" i="4"/>
  <c r="GT400" i="4"/>
  <c r="GV398" i="4"/>
  <c r="GV400" i="4"/>
  <c r="GX398" i="4"/>
  <c r="GT396" i="4"/>
  <c r="GX399" i="4"/>
  <c r="GX394" i="4"/>
  <c r="GT394" i="4"/>
  <c r="GV399" i="4"/>
  <c r="GX400" i="4"/>
  <c r="GV396" i="4"/>
  <c r="GX384" i="4"/>
  <c r="GX382" i="4"/>
  <c r="GV385" i="4"/>
  <c r="GV380" i="4"/>
  <c r="GT384" i="4"/>
  <c r="GV392" i="4"/>
  <c r="GT391" i="4"/>
  <c r="GT389" i="4"/>
  <c r="GX389" i="4"/>
  <c r="GV388" i="4"/>
  <c r="GX392" i="4"/>
  <c r="GV386" i="4"/>
  <c r="GX381" i="4"/>
  <c r="GT388" i="4"/>
  <c r="GT390" i="4"/>
  <c r="GV387" i="4"/>
  <c r="GV374" i="4"/>
  <c r="GV383" i="4"/>
  <c r="GT381" i="4"/>
  <c r="GV390" i="4"/>
  <c r="GT380" i="4"/>
  <c r="GX391" i="4"/>
  <c r="GT386" i="4"/>
  <c r="GX388" i="4"/>
  <c r="GX386" i="4"/>
  <c r="GV391" i="4"/>
  <c r="GX380" i="4"/>
  <c r="GX387" i="4"/>
  <c r="GX390" i="4"/>
  <c r="GT387" i="4"/>
  <c r="GV379" i="4"/>
  <c r="GT378" i="4"/>
  <c r="GT385" i="4"/>
  <c r="GT382" i="4"/>
  <c r="GX385" i="4"/>
  <c r="GT383" i="4"/>
  <c r="GV389" i="4"/>
  <c r="GV381" i="4"/>
  <c r="GV384" i="4"/>
  <c r="GV382" i="4"/>
  <c r="GT392" i="4"/>
  <c r="GX383" i="4"/>
  <c r="GX378" i="4"/>
  <c r="GX373" i="4"/>
  <c r="GV376" i="4"/>
  <c r="GT379" i="4"/>
  <c r="GV372" i="4"/>
  <c r="GT374" i="4"/>
  <c r="GT377" i="4"/>
  <c r="GX375" i="4"/>
  <c r="GT373" i="4"/>
  <c r="GT375" i="4"/>
  <c r="GT372" i="4"/>
  <c r="GT376" i="4"/>
  <c r="GV375" i="4"/>
  <c r="GV378" i="4"/>
  <c r="GX374" i="4"/>
  <c r="GV373" i="4"/>
  <c r="GV377" i="4"/>
  <c r="GX377" i="4"/>
  <c r="GX376" i="4"/>
  <c r="GX379" i="4"/>
  <c r="GX372" i="4"/>
  <c r="GV367" i="4"/>
  <c r="GT367" i="4"/>
  <c r="GX367" i="4"/>
  <c r="GT364" i="4"/>
  <c r="GV364" i="4"/>
  <c r="GT369" i="4"/>
  <c r="GV365" i="4"/>
  <c r="GX371" i="4"/>
  <c r="GV363" i="4"/>
  <c r="GT368" i="4"/>
  <c r="GX366" i="4"/>
  <c r="GX365" i="4"/>
  <c r="GV369" i="4"/>
  <c r="GV368" i="4"/>
  <c r="GX363" i="4"/>
  <c r="GX370" i="4"/>
  <c r="GV370" i="4"/>
  <c r="GT370" i="4"/>
  <c r="GT365" i="4"/>
  <c r="GX364" i="4"/>
  <c r="GV366" i="4"/>
  <c r="GT366" i="4"/>
  <c r="GT371" i="4"/>
  <c r="GX368" i="4"/>
  <c r="GV371" i="4"/>
  <c r="GT363" i="4"/>
  <c r="GX369" i="4"/>
  <c r="GX284" i="4"/>
  <c r="GX292" i="4"/>
  <c r="GX305" i="4"/>
  <c r="GX290" i="4"/>
  <c r="GX303" i="4"/>
  <c r="GX293" i="4"/>
  <c r="GX296" i="4"/>
  <c r="GX279" i="4"/>
  <c r="GX295" i="4"/>
  <c r="GX291" i="4"/>
  <c r="GX302" i="4"/>
  <c r="GX300" i="4"/>
  <c r="GX280" i="4"/>
  <c r="GX282" i="4"/>
  <c r="GX307" i="4"/>
  <c r="GX294" i="4"/>
  <c r="GV351" i="4"/>
  <c r="GV360" i="4"/>
  <c r="GT361" i="4"/>
  <c r="GV307" i="4"/>
  <c r="GT355" i="4"/>
  <c r="GV310" i="4"/>
  <c r="GV308" i="4"/>
  <c r="GV306" i="4"/>
  <c r="GV311" i="4"/>
  <c r="GX362" i="4"/>
  <c r="GV358" i="4"/>
  <c r="GX354" i="4"/>
  <c r="GT360" i="4"/>
  <c r="GV354" i="4"/>
  <c r="GV357" i="4"/>
  <c r="GT358" i="4"/>
  <c r="GX359" i="4"/>
  <c r="GV356" i="4"/>
  <c r="GX357" i="4"/>
  <c r="GT349" i="4"/>
  <c r="GT350" i="4"/>
  <c r="GV352" i="4"/>
  <c r="GT353" i="4"/>
  <c r="GX358" i="4"/>
  <c r="GT357" i="4"/>
  <c r="GV359" i="4"/>
  <c r="GV353" i="4"/>
  <c r="GV362" i="4"/>
  <c r="GT352" i="4"/>
  <c r="GX355" i="4"/>
  <c r="GT351" i="4"/>
  <c r="GV355" i="4"/>
  <c r="GV350" i="4"/>
  <c r="GX353" i="4"/>
  <c r="GX361" i="4"/>
  <c r="GX350" i="4"/>
  <c r="GT354" i="4"/>
  <c r="GX286" i="4"/>
  <c r="GX352" i="4"/>
  <c r="GX360" i="4"/>
  <c r="GT356" i="4"/>
  <c r="GX351" i="4"/>
  <c r="GX349" i="4"/>
  <c r="GV361" i="4"/>
  <c r="GT359" i="4"/>
  <c r="GT362" i="4"/>
  <c r="GX356" i="4"/>
  <c r="GV349" i="4"/>
  <c r="GV344" i="4"/>
  <c r="GX343" i="4"/>
  <c r="GV343" i="4"/>
  <c r="GX344" i="4"/>
  <c r="GV341" i="4"/>
  <c r="GT347" i="4"/>
  <c r="GT341" i="4"/>
  <c r="GT348" i="4"/>
  <c r="GX345" i="4"/>
  <c r="GV347" i="4"/>
  <c r="GX347" i="4"/>
  <c r="GV345" i="4"/>
  <c r="GX342" i="4"/>
  <c r="GT343" i="4"/>
  <c r="GV348" i="4"/>
  <c r="GX346" i="4"/>
  <c r="GT345" i="4"/>
  <c r="GV346" i="4"/>
  <c r="GT344" i="4"/>
  <c r="GX341" i="4"/>
  <c r="GT342" i="4"/>
  <c r="GX348" i="4"/>
  <c r="GT340" i="4"/>
  <c r="GV340" i="4"/>
  <c r="GX340" i="4"/>
  <c r="GV342" i="4"/>
  <c r="GT346" i="4"/>
  <c r="GT303" i="4"/>
  <c r="GT336" i="4"/>
  <c r="GT338" i="4"/>
  <c r="GT339" i="4"/>
  <c r="GT337" i="4"/>
  <c r="GX337" i="4"/>
  <c r="GX335" i="4"/>
  <c r="GX339" i="4"/>
  <c r="GX336" i="4"/>
  <c r="GV335" i="4"/>
  <c r="GV338" i="4"/>
  <c r="GV337" i="4"/>
  <c r="GV339" i="4"/>
  <c r="GV336" i="4"/>
  <c r="GT335" i="4"/>
  <c r="GX338" i="4"/>
  <c r="GT285" i="4"/>
  <c r="GT274" i="4"/>
  <c r="GT278" i="4"/>
  <c r="GT281" i="4"/>
  <c r="GT276" i="4"/>
  <c r="GT277" i="4"/>
  <c r="GT298" i="4"/>
  <c r="GT286" i="4"/>
  <c r="GT275" i="4"/>
  <c r="GT279" i="4"/>
  <c r="GV314" i="4"/>
  <c r="GX310" i="4"/>
  <c r="GV312" i="4"/>
  <c r="GX325" i="4"/>
  <c r="GV319" i="4"/>
  <c r="GV315" i="4"/>
  <c r="GV326" i="4"/>
  <c r="GV334" i="4"/>
  <c r="GT295" i="4"/>
  <c r="GT283" i="4"/>
  <c r="GT293" i="4"/>
  <c r="GT299" i="4"/>
  <c r="GT302" i="4"/>
  <c r="GT306" i="4"/>
  <c r="GT301" i="4"/>
  <c r="GT294" i="4"/>
  <c r="GT292" i="4"/>
  <c r="GT289" i="4"/>
  <c r="GT296" i="4"/>
  <c r="GT291" i="4"/>
  <c r="GT324" i="4"/>
  <c r="GV309" i="4"/>
  <c r="GV325" i="4"/>
  <c r="GT312" i="4"/>
  <c r="GT307" i="4"/>
  <c r="GT332" i="4"/>
  <c r="GX323" i="4"/>
  <c r="GT310" i="4"/>
  <c r="GT290" i="4"/>
  <c r="GT326" i="4"/>
  <c r="GX334" i="4"/>
  <c r="GX317" i="4"/>
  <c r="GX320" i="4"/>
  <c r="GV329" i="4"/>
  <c r="GX288" i="4"/>
  <c r="GT327" i="4"/>
  <c r="GT318" i="4"/>
  <c r="GV318" i="4"/>
  <c r="GT330" i="4"/>
  <c r="GX313" i="4"/>
  <c r="GX321" i="4"/>
  <c r="GV333" i="4"/>
  <c r="GX330" i="4"/>
  <c r="GX318" i="4"/>
  <c r="GX306" i="4"/>
  <c r="GT331" i="4"/>
  <c r="GX309" i="4"/>
  <c r="GT314" i="4"/>
  <c r="GX298" i="4"/>
  <c r="GT334" i="4"/>
  <c r="GT316" i="4"/>
  <c r="GT305" i="4"/>
  <c r="GT329" i="4"/>
  <c r="GT282" i="4"/>
  <c r="GX287" i="4"/>
  <c r="GT333" i="4"/>
  <c r="GT328" i="4"/>
  <c r="GX327" i="4"/>
  <c r="GX315" i="4"/>
  <c r="GX311" i="4"/>
  <c r="GT297" i="4"/>
  <c r="GX283" i="4"/>
  <c r="GT325" i="4"/>
  <c r="GT321" i="4"/>
  <c r="GV327" i="4"/>
  <c r="GT309" i="4"/>
  <c r="GX297" i="4"/>
  <c r="GT288" i="4"/>
  <c r="GX319" i="4"/>
  <c r="GV328" i="4"/>
  <c r="GV330" i="4"/>
  <c r="GT323" i="4"/>
  <c r="GX326" i="4"/>
  <c r="GT320" i="4"/>
  <c r="GT317" i="4"/>
  <c r="GV323" i="4"/>
  <c r="GV321" i="4"/>
  <c r="GV331" i="4"/>
  <c r="GV322" i="4"/>
  <c r="GV317" i="4"/>
  <c r="GX316" i="4"/>
  <c r="GT300" i="4"/>
  <c r="GX299" i="4"/>
  <c r="GT319" i="4"/>
  <c r="GV324" i="4"/>
  <c r="GX322" i="4"/>
  <c r="GT280" i="4"/>
  <c r="GX328" i="4"/>
  <c r="GV313" i="4"/>
  <c r="GT313" i="4"/>
  <c r="GX333" i="4"/>
  <c r="GX331" i="4"/>
  <c r="GT315" i="4"/>
  <c r="GV316" i="4"/>
  <c r="GX308" i="4"/>
  <c r="GV320" i="4"/>
  <c r="GT304" i="4"/>
  <c r="GT311" i="4"/>
  <c r="GX301" i="4"/>
  <c r="GX329" i="4"/>
  <c r="GT308" i="4"/>
  <c r="GV332" i="4"/>
  <c r="GX314" i="4"/>
  <c r="GX289" i="4"/>
  <c r="GT284" i="4"/>
  <c r="GT322" i="4"/>
  <c r="GX312" i="4"/>
  <c r="GX332" i="4"/>
  <c r="GT287" i="4"/>
  <c r="GX281" i="4"/>
  <c r="GX285" i="4"/>
  <c r="GX3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Schaefer</author>
  </authors>
  <commentList>
    <comment ref="FU3" authorId="0" shapeId="0" xr:uid="{D3FE27BF-EE86-4F09-B9F5-018824E78E1F}">
      <text>
        <r>
          <rPr>
            <b/>
            <sz val="9"/>
            <color indexed="81"/>
            <rFont val="Tahoma"/>
            <family val="2"/>
          </rPr>
          <t>Ryan Schaefer:</t>
        </r>
        <r>
          <rPr>
            <sz val="9"/>
            <color indexed="81"/>
            <rFont val="Tahoma"/>
            <family val="2"/>
          </rPr>
          <t xml:space="preserve">
Delete the -348 in this formula next earnings season</t>
        </r>
      </text>
    </comment>
    <comment ref="GK77" authorId="0" shapeId="0" xr:uid="{4D616F16-EBEF-44CB-9AA6-1F57F33DAE79}">
      <text>
        <r>
          <rPr>
            <b/>
            <sz val="9"/>
            <color indexed="81"/>
            <rFont val="Tahoma"/>
            <family val="2"/>
          </rPr>
          <t>Ryan Schaefer:</t>
        </r>
        <r>
          <rPr>
            <sz val="9"/>
            <color indexed="81"/>
            <rFont val="Tahoma"/>
            <family val="2"/>
          </rPr>
          <t xml:space="preserve">
Afterhours</t>
        </r>
      </text>
    </comment>
    <comment ref="GK78" authorId="0" shapeId="0" xr:uid="{01B8451F-31F0-4E69-BB34-C778AA5F47E1}">
      <text>
        <r>
          <rPr>
            <b/>
            <sz val="9"/>
            <color indexed="81"/>
            <rFont val="Tahoma"/>
            <family val="2"/>
          </rPr>
          <t>Ryan Schaefer:</t>
        </r>
        <r>
          <rPr>
            <sz val="9"/>
            <color indexed="81"/>
            <rFont val="Tahoma"/>
            <family val="2"/>
          </rPr>
          <t xml:space="preserve">
Huge bleeder lower so killed it. Rough.</t>
        </r>
      </text>
    </comment>
    <comment ref="GK79" authorId="0" shapeId="0" xr:uid="{D85ECBB4-A8E8-4784-9140-21449A1CEADC}">
      <text>
        <r>
          <rPr>
            <b/>
            <sz val="9"/>
            <color indexed="81"/>
            <rFont val="Tahoma"/>
            <family val="2"/>
          </rPr>
          <t>Ryan Schaefer:</t>
        </r>
        <r>
          <rPr>
            <sz val="9"/>
            <color indexed="81"/>
            <rFont val="Tahoma"/>
            <family val="2"/>
          </rPr>
          <t xml:space="preserve">
After hours on huge gap.</t>
        </r>
      </text>
    </comment>
    <comment ref="A106" authorId="0" shapeId="0" xr:uid="{0089409F-AC2A-435B-B5A2-F5AFC1F22758}">
      <text>
        <r>
          <rPr>
            <b/>
            <sz val="9"/>
            <color indexed="81"/>
            <rFont val="Tahoma"/>
            <family val="2"/>
          </rPr>
          <t>Ryan Schaefer:</t>
        </r>
        <r>
          <rPr>
            <sz val="9"/>
            <color indexed="81"/>
            <rFont val="Tahoma"/>
            <family val="2"/>
          </rPr>
          <t xml:space="preserve">
Super extended higher and expensive at $582, so passed.</t>
        </r>
      </text>
    </comment>
    <comment ref="A142" authorId="0" shapeId="0" xr:uid="{5C76978A-2EA3-474C-9FF9-CCF812CDAE1B}">
      <text>
        <r>
          <rPr>
            <b/>
            <sz val="9"/>
            <color indexed="81"/>
            <rFont val="Tahoma"/>
            <family val="2"/>
          </rPr>
          <t>Ryan Schaefer:</t>
        </r>
        <r>
          <rPr>
            <sz val="9"/>
            <color indexed="81"/>
            <rFont val="Tahoma"/>
            <family val="2"/>
          </rPr>
          <t xml:space="preserve">
Didn't report earnings on this day.</t>
        </r>
      </text>
    </comment>
    <comment ref="A187" authorId="0" shapeId="0" xr:uid="{9BD7610E-A4C0-404B-A5ED-F0ECC22BAFB9}">
      <text>
        <r>
          <rPr>
            <b/>
            <sz val="9"/>
            <color indexed="81"/>
            <rFont val="Tahoma"/>
            <family val="2"/>
          </rPr>
          <t>Ryan Schaefer:</t>
        </r>
        <r>
          <rPr>
            <sz val="9"/>
            <color indexed="81"/>
            <rFont val="Tahoma"/>
            <family val="2"/>
          </rPr>
          <t xml:space="preserve">
took with other earnings strategy.</t>
        </r>
      </text>
    </comment>
    <comment ref="A194" authorId="0" shapeId="0" xr:uid="{AD9D7FB3-717B-4423-843C-1D190003A28F}">
      <text>
        <r>
          <rPr>
            <sz val="9"/>
            <color indexed="81"/>
            <rFont val="Tahoma"/>
            <family val="2"/>
          </rPr>
          <t>Skipped tracking it because it was down huge and extended.  The Strategy would have shorted it, but was also at MS, didn't want to mess up any metrics for more normal down trends.</t>
        </r>
      </text>
    </comment>
    <comment ref="HB201" authorId="0" shapeId="0" xr:uid="{61FD6C06-EA66-4C7E-A6EA-40D61F6C9E6D}">
      <text>
        <r>
          <rPr>
            <b/>
            <sz val="9"/>
            <color indexed="81"/>
            <rFont val="Tahoma"/>
            <family val="2"/>
          </rPr>
          <t>Ryan Schaefer:</t>
        </r>
        <r>
          <rPr>
            <sz val="9"/>
            <color indexed="81"/>
            <rFont val="Tahoma"/>
            <family val="2"/>
          </rPr>
          <t xml:space="preserve">
Exited after hours on a 22% move in my favor. It was a mistake, LET THE STRATEGY WORK FUCK HEAD!</t>
        </r>
      </text>
    </comment>
    <comment ref="A235" authorId="0" shapeId="0" xr:uid="{323805B5-BCEE-49EE-A51E-E818346E075F}">
      <text>
        <r>
          <rPr>
            <b/>
            <sz val="9"/>
            <color indexed="81"/>
            <rFont val="Tahoma"/>
            <family val="2"/>
          </rPr>
          <t>Ryan Schaefer:</t>
        </r>
        <r>
          <rPr>
            <sz val="9"/>
            <color indexed="81"/>
            <rFont val="Tahoma"/>
            <family val="2"/>
          </rPr>
          <t xml:space="preserve">
Didn't want to go long insurance and had a very odd up trend after a massive fall.</t>
        </r>
      </text>
    </comment>
    <comment ref="A238" authorId="0" shapeId="0" xr:uid="{DD17F093-F706-471B-8E2C-297D582298C7}">
      <text>
        <r>
          <rPr>
            <b/>
            <sz val="9"/>
            <color indexed="81"/>
            <rFont val="Tahoma"/>
            <family val="2"/>
          </rPr>
          <t>Ryan Schaefer:</t>
        </r>
        <r>
          <rPr>
            <sz val="9"/>
            <color indexed="81"/>
            <rFont val="Tahoma"/>
            <family val="2"/>
          </rPr>
          <t xml:space="preserve">
Skipped because it was too spendy and was deabted in XLV. Date said to go long for sideways though.</t>
        </r>
      </text>
    </comment>
    <comment ref="A250" authorId="0" shapeId="0" xr:uid="{4399E066-D360-49F4-9237-CCE8A7E30367}">
      <text>
        <r>
          <rPr>
            <b/>
            <sz val="9"/>
            <color indexed="81"/>
            <rFont val="Tahoma"/>
            <family val="2"/>
          </rPr>
          <t>Ryan Schaefer:</t>
        </r>
        <r>
          <rPr>
            <sz val="9"/>
            <color indexed="81"/>
            <rFont val="Tahoma"/>
            <family val="2"/>
          </rPr>
          <t xml:space="preserve">
So far extended lower, cant' take short, don’t' want long.</t>
        </r>
      </text>
    </comment>
    <comment ref="A260" authorId="0" shapeId="0" xr:uid="{8B0E3C42-A115-43C5-B77C-C2BD7B7672E2}">
      <text>
        <r>
          <rPr>
            <b/>
            <sz val="9"/>
            <color indexed="81"/>
            <rFont val="Tahoma"/>
            <family val="2"/>
          </rPr>
          <t>Ryan Schaefer:</t>
        </r>
        <r>
          <rPr>
            <sz val="9"/>
            <color indexed="81"/>
            <rFont val="Tahoma"/>
            <family val="2"/>
          </rPr>
          <t xml:space="preserve">
had big gap lower before earnings, so wasn't sure how to play it.</t>
        </r>
      </text>
    </comment>
    <comment ref="HB267" authorId="0" shapeId="0" xr:uid="{C085035D-22F1-4371-B2A7-BF2853829584}">
      <text>
        <r>
          <rPr>
            <b/>
            <sz val="9"/>
            <color indexed="81"/>
            <rFont val="Tahoma"/>
            <family val="2"/>
          </rPr>
          <t>Ryan Schaefer:</t>
        </r>
        <r>
          <rPr>
            <sz val="9"/>
            <color indexed="81"/>
            <rFont val="Tahoma"/>
            <family val="2"/>
          </rPr>
          <t xml:space="preserve">
Was down $120 at one point, it came in after hours and I just decided to take it for a loss half of that.  It was a huge loss for the day and was a thorn in my side.</t>
        </r>
      </text>
    </comment>
    <comment ref="HB312" authorId="0" shapeId="0" xr:uid="{EFF31043-108E-4AD2-86F1-78BB16416EEC}">
      <text>
        <r>
          <rPr>
            <sz val="9"/>
            <color indexed="81"/>
            <rFont val="Tahoma"/>
            <family val="2"/>
          </rPr>
          <t>after hours exit.</t>
        </r>
      </text>
    </comment>
    <comment ref="A319" authorId="0" shapeId="0" xr:uid="{F4F12C1B-3404-48C3-AB66-1DD96BECB07C}">
      <text>
        <r>
          <rPr>
            <sz val="9"/>
            <color indexed="81"/>
            <rFont val="Tahoma"/>
            <family val="2"/>
          </rPr>
          <t>Super Super thin on 1-min, likely need to delete from my universe</t>
        </r>
      </text>
    </comment>
    <comment ref="A328" authorId="0" shapeId="0" xr:uid="{5F2FA5D5-FAF6-494D-9200-56F37FB639BB}">
      <text>
        <r>
          <rPr>
            <b/>
            <sz val="9"/>
            <color indexed="81"/>
            <rFont val="Tahoma"/>
            <family val="2"/>
          </rPr>
          <t>Ryan Schaefer:</t>
        </r>
        <r>
          <rPr>
            <sz val="9"/>
            <color indexed="81"/>
            <rFont val="Tahoma"/>
            <family val="2"/>
          </rPr>
          <t xml:space="preserve">
skipped due to massive 40% gap last earnigns, seems very voltile and not work risk on this iffy pattern.</t>
        </r>
      </text>
    </comment>
    <comment ref="A332" authorId="0" shapeId="0" xr:uid="{F85301CE-3C1B-44D6-BC39-BF91F746A751}">
      <text>
        <r>
          <rPr>
            <b/>
            <sz val="9"/>
            <color indexed="81"/>
            <rFont val="Tahoma"/>
            <family val="2"/>
          </rPr>
          <t>Ryan Schaefer:</t>
        </r>
        <r>
          <rPr>
            <sz val="9"/>
            <color indexed="81"/>
            <rFont val="Tahoma"/>
            <family val="2"/>
          </rPr>
          <t xml:space="preserve">
close to up trend, reeval</t>
        </r>
      </text>
    </comment>
    <comment ref="HB365" authorId="0" shapeId="0" xr:uid="{0C61487A-8297-43E9-B65A-AFF7474CBEA5}">
      <text>
        <r>
          <rPr>
            <sz val="9"/>
            <color indexed="81"/>
            <rFont val="Tahoma"/>
            <family val="2"/>
          </rPr>
          <t>Accidently used MOC order instead of MKT, it cost me.</t>
        </r>
      </text>
    </comment>
    <comment ref="HB424" authorId="0" shapeId="0" xr:uid="{6FD9AB39-F3C5-48C7-80FB-512FFC2C6160}">
      <text>
        <r>
          <rPr>
            <sz val="9"/>
            <color indexed="81"/>
            <rFont val="Tahoma"/>
            <family val="2"/>
          </rPr>
          <t>After hours into a weekly pivot support area, super extended lower. A stupid mistake, let the strategy work!</t>
        </r>
      </text>
    </comment>
    <comment ref="HB439" authorId="0" shapeId="0" xr:uid="{96E2C2A7-463B-46B8-913A-637883167F81}">
      <text>
        <r>
          <rPr>
            <sz val="9"/>
            <color indexed="81"/>
            <rFont val="Tahoma"/>
            <family val="2"/>
          </rPr>
          <t>Just killed after hours, felt it would bleed lower in the environment and where it was trading too.</t>
        </r>
      </text>
    </comment>
    <comment ref="HB443" authorId="0" shapeId="0" xr:uid="{D341EB43-A114-4FB9-9483-43370DF95505}">
      <text>
        <r>
          <rPr>
            <sz val="9"/>
            <color indexed="81"/>
            <rFont val="Tahoma"/>
            <family val="2"/>
          </rPr>
          <t>Bleeding lower after 1R pop higher, so just killed it based on the market sentiment (i.e. highly unlikely MU was going to rally hard in the growth scare environment).</t>
        </r>
      </text>
    </comment>
    <comment ref="HB444" authorId="0" shapeId="0" xr:uid="{011F7ABD-86DF-4AF1-87C1-3136E0039F6D}">
      <text>
        <r>
          <rPr>
            <sz val="9"/>
            <color indexed="81"/>
            <rFont val="Tahoma"/>
            <family val="2"/>
          </rPr>
          <t>Was higher then lower, killed it after hours to get close to closing out the first season.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Schaefer</author>
  </authors>
  <commentList>
    <comment ref="E46" authorId="0" shapeId="0" xr:uid="{A660310B-763C-4442-BA16-47E394E22772}">
      <text>
        <r>
          <rPr>
            <sz val="9"/>
            <color indexed="81"/>
            <rFont val="Tahoma"/>
            <family val="2"/>
          </rPr>
          <t>Skipped tracking it because it was down huge and extended.  The Strategy would have shorted it, but was also at MS, didn't want to mess up any metrics for more normal down trends.</t>
        </r>
      </text>
    </comment>
    <comment ref="E61" authorId="0" shapeId="0" xr:uid="{02D7B385-65A5-490A-8FCB-C15E7624CC00}">
      <text>
        <r>
          <rPr>
            <b/>
            <sz val="9"/>
            <color indexed="81"/>
            <rFont val="Tahoma"/>
            <family val="2"/>
          </rPr>
          <t>Ryan Schaefer:</t>
        </r>
        <r>
          <rPr>
            <sz val="9"/>
            <color indexed="81"/>
            <rFont val="Tahoma"/>
            <family val="2"/>
          </rPr>
          <t xml:space="preserve">
So far extended lower, cant' take short, don’t' want long.</t>
        </r>
      </text>
    </comment>
    <comment ref="E63" authorId="0" shapeId="0" xr:uid="{BBA703E5-974E-44D6-864B-E2BE02C321A2}">
      <text>
        <r>
          <rPr>
            <b/>
            <sz val="9"/>
            <color indexed="81"/>
            <rFont val="Tahoma"/>
            <family val="2"/>
          </rPr>
          <t>Ryan Schaefer:</t>
        </r>
        <r>
          <rPr>
            <sz val="9"/>
            <color indexed="81"/>
            <rFont val="Tahoma"/>
            <family val="2"/>
          </rPr>
          <t xml:space="preserve">
had big gap lower before earnings, so wasn't sure how to play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Schaefer</author>
  </authors>
  <commentList>
    <comment ref="L2" authorId="0" shapeId="0" xr:uid="{D151B775-933A-4C5D-9BDD-E48B9AD2CBB5}">
      <text>
        <r>
          <rPr>
            <b/>
            <sz val="9"/>
            <color indexed="81"/>
            <rFont val="Tahoma"/>
            <family val="2"/>
          </rPr>
          <t>Might not be correct formula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<sst xmlns="http://schemas.openxmlformats.org/spreadsheetml/2006/main" count="19313" uniqueCount="6523">
  <si>
    <t>Date/Time</t>
  </si>
  <si>
    <t>Ticker</t>
  </si>
  <si>
    <t>When</t>
  </si>
  <si>
    <t>TILE</t>
  </si>
  <si>
    <t>PRLB</t>
  </si>
  <si>
    <t>MD</t>
  </si>
  <si>
    <t>BTSG</t>
  </si>
  <si>
    <t>WAT</t>
  </si>
  <si>
    <t>ARCB</t>
  </si>
  <si>
    <t>CVX</t>
  </si>
  <si>
    <t>TXNM</t>
  </si>
  <si>
    <t>ASIX</t>
  </si>
  <si>
    <t>GTLS</t>
  </si>
  <si>
    <t>XOM</t>
  </si>
  <si>
    <t>LYB</t>
  </si>
  <si>
    <t>ESNT</t>
  </si>
  <si>
    <t>CAH</t>
  </si>
  <si>
    <t>NVT</t>
  </si>
  <si>
    <t>CHD</t>
  </si>
  <si>
    <t>CHTR</t>
  </si>
  <si>
    <t>DBRG</t>
  </si>
  <si>
    <t>CMRE</t>
  </si>
  <si>
    <t>CBOE</t>
  </si>
  <si>
    <t>D</t>
  </si>
  <si>
    <t>TDS</t>
  </si>
  <si>
    <t>PPL</t>
  </si>
  <si>
    <t>AMR</t>
  </si>
  <si>
    <t>FUBO</t>
  </si>
  <si>
    <t>SPG</t>
  </si>
  <si>
    <t>RBC</t>
  </si>
  <si>
    <t>ABR</t>
  </si>
  <si>
    <t>ALX</t>
  </si>
  <si>
    <t>ENFN</t>
  </si>
  <si>
    <t>NYT</t>
  </si>
  <si>
    <t>KOS</t>
  </si>
  <si>
    <t>CC</t>
  </si>
  <si>
    <t>RVTY</t>
  </si>
  <si>
    <t>LSEA</t>
  </si>
  <si>
    <t>L</t>
  </si>
  <si>
    <t>IDYA</t>
  </si>
  <si>
    <t>IART</t>
  </si>
  <si>
    <t>CHH</t>
  </si>
  <si>
    <t>OMI</t>
  </si>
  <si>
    <t>CEG</t>
  </si>
  <si>
    <t>NSSC</t>
  </si>
  <si>
    <t>BCRX</t>
  </si>
  <si>
    <t>AMG</t>
  </si>
  <si>
    <t>FIS</t>
  </si>
  <si>
    <t>MAR</t>
  </si>
  <si>
    <t>KNF</t>
  </si>
  <si>
    <t>TGTX</t>
  </si>
  <si>
    <t>ZTS</t>
  </si>
  <si>
    <t>DOCN</t>
  </si>
  <si>
    <t>PEG</t>
  </si>
  <si>
    <t>EDIT</t>
  </si>
  <si>
    <t>FTDR</t>
  </si>
  <si>
    <t>SLQT</t>
  </si>
  <si>
    <t>TRS</t>
  </si>
  <si>
    <t>FOXA</t>
  </si>
  <si>
    <t>FOX</t>
  </si>
  <si>
    <t>WLFC</t>
  </si>
  <si>
    <t>KRYS</t>
  </si>
  <si>
    <t>BEN</t>
  </si>
  <si>
    <t>CRUS</t>
  </si>
  <si>
    <t>LSCC</t>
  </si>
  <si>
    <t>WOW</t>
  </si>
  <si>
    <t>VRTX</t>
  </si>
  <si>
    <t>SMLR</t>
  </si>
  <si>
    <t>VNOM</t>
  </si>
  <si>
    <t>HOLX</t>
  </si>
  <si>
    <t>HSII</t>
  </si>
  <si>
    <t>MYE</t>
  </si>
  <si>
    <t>SANM</t>
  </si>
  <si>
    <t>AOSL</t>
  </si>
  <si>
    <t>FWRD</t>
  </si>
  <si>
    <t>FANG</t>
  </si>
  <si>
    <t>ST</t>
  </si>
  <si>
    <t>HPK</t>
  </si>
  <si>
    <t>WYNN</t>
  </si>
  <si>
    <t>NVTS</t>
  </si>
  <si>
    <t>SEI</t>
  </si>
  <si>
    <t>VMEO</t>
  </si>
  <si>
    <t>MQ</t>
  </si>
  <si>
    <t>PRAA</t>
  </si>
  <si>
    <t>INTA</t>
  </si>
  <si>
    <t>ARIS</t>
  </si>
  <si>
    <t>BWIN</t>
  </si>
  <si>
    <t>CLF</t>
  </si>
  <si>
    <t>SUPN</t>
  </si>
  <si>
    <t>PLTR</t>
  </si>
  <si>
    <t>VVX</t>
  </si>
  <si>
    <t>EGHT</t>
  </si>
  <si>
    <t>ANDE</t>
  </si>
  <si>
    <t>AHH</t>
  </si>
  <si>
    <t>CSTL</t>
  </si>
  <si>
    <t>EVER</t>
  </si>
  <si>
    <t>GKOS</t>
  </si>
  <si>
    <t>SLAB</t>
  </si>
  <si>
    <t>CWK</t>
  </si>
  <si>
    <t>HDSN</t>
  </si>
  <si>
    <t>FHTX</t>
  </si>
  <si>
    <t>MTG</t>
  </si>
  <si>
    <t>ADUS</t>
  </si>
  <si>
    <t>CDNA</t>
  </si>
  <si>
    <t>TBI</t>
  </si>
  <si>
    <t>TCMD</t>
  </si>
  <si>
    <t>CENX</t>
  </si>
  <si>
    <t>REAL</t>
  </si>
  <si>
    <t>HIMS</t>
  </si>
  <si>
    <t>AGM</t>
  </si>
  <si>
    <t>ICHR</t>
  </si>
  <si>
    <t>TDC</t>
  </si>
  <si>
    <t>QNST</t>
  </si>
  <si>
    <t>ILMN</t>
  </si>
  <si>
    <t>O</t>
  </si>
  <si>
    <t>MED</t>
  </si>
  <si>
    <t>VTS</t>
  </si>
  <si>
    <t>AZPN</t>
  </si>
  <si>
    <t>BCC</t>
  </si>
  <si>
    <t>BWXT</t>
  </si>
  <si>
    <t>NXPI</t>
  </si>
  <si>
    <t>GOOD</t>
  </si>
  <si>
    <t>DHIL</t>
  </si>
  <si>
    <t>PLMR</t>
  </si>
  <si>
    <t>CE</t>
  </si>
  <si>
    <t>CLW</t>
  </si>
  <si>
    <t>EQH</t>
  </si>
  <si>
    <t>ELME</t>
  </si>
  <si>
    <t>OGS</t>
  </si>
  <si>
    <t>APLE</t>
  </si>
  <si>
    <t>AVB</t>
  </si>
  <si>
    <t>HMN</t>
  </si>
  <si>
    <t>GLRE</t>
  </si>
  <si>
    <t>PRIM</t>
  </si>
  <si>
    <t>FBRT</t>
  </si>
  <si>
    <t>ES</t>
  </si>
  <si>
    <t>VOYA</t>
  </si>
  <si>
    <t>RRX</t>
  </si>
  <si>
    <t>FN</t>
  </si>
  <si>
    <t>HCKT</t>
  </si>
  <si>
    <t>PARR</t>
  </si>
  <si>
    <t>AIG</t>
  </si>
  <si>
    <t>NTST</t>
  </si>
  <si>
    <t>VNO</t>
  </si>
  <si>
    <t>WTRG</t>
  </si>
  <si>
    <t>CRGY</t>
  </si>
  <si>
    <t>JELD</t>
  </si>
  <si>
    <t>INN</t>
  </si>
  <si>
    <t>UTL</t>
  </si>
  <si>
    <t>IPI</t>
  </si>
  <si>
    <t>RHP</t>
  </si>
  <si>
    <t>GXO</t>
  </si>
  <si>
    <t>DHC</t>
  </si>
  <si>
    <t>DEI</t>
  </si>
  <si>
    <t>AQST</t>
  </si>
  <si>
    <t>PSTL</t>
  </si>
  <si>
    <t>CBT</t>
  </si>
  <si>
    <t>GT</t>
  </si>
  <si>
    <t>DXPE</t>
  </si>
  <si>
    <t>KE</t>
  </si>
  <si>
    <t>OTTR</t>
  </si>
  <si>
    <t>NMRK</t>
  </si>
  <si>
    <t>MPC</t>
  </si>
  <si>
    <t>HSIC</t>
  </si>
  <si>
    <t>TRGP</t>
  </si>
  <si>
    <t>LPX</t>
  </si>
  <si>
    <t>PAX</t>
  </si>
  <si>
    <t>DD</t>
  </si>
  <si>
    <t>IT</t>
  </si>
  <si>
    <t>INGR</t>
  </si>
  <si>
    <t>CRVL</t>
  </si>
  <si>
    <t>VPG</t>
  </si>
  <si>
    <t>HY</t>
  </si>
  <si>
    <t>BEAM</t>
  </si>
  <si>
    <t>MITT</t>
  </si>
  <si>
    <t>DEA</t>
  </si>
  <si>
    <t>EMR</t>
  </si>
  <si>
    <t>WLK</t>
  </si>
  <si>
    <t>NPO</t>
  </si>
  <si>
    <t>CEIX</t>
  </si>
  <si>
    <t>BLD</t>
  </si>
  <si>
    <t>ONIT</t>
  </si>
  <si>
    <t>TKR</t>
  </si>
  <si>
    <t>ARCH</t>
  </si>
  <si>
    <t>NOVT</t>
  </si>
  <si>
    <t>YUM</t>
  </si>
  <si>
    <t>BOW</t>
  </si>
  <si>
    <t>BRKR</t>
  </si>
  <si>
    <t>CTLT</t>
  </si>
  <si>
    <t>STOK</t>
  </si>
  <si>
    <t>GFS</t>
  </si>
  <si>
    <t>TRDA</t>
  </si>
  <si>
    <t>OGE</t>
  </si>
  <si>
    <t>SHC</t>
  </si>
  <si>
    <t>LGIH</t>
  </si>
  <si>
    <t>RCM</t>
  </si>
  <si>
    <t>VERV</t>
  </si>
  <si>
    <t>BR</t>
  </si>
  <si>
    <t>BLDR</t>
  </si>
  <si>
    <t>NEO</t>
  </si>
  <si>
    <t>XMTR</t>
  </si>
  <si>
    <t>GOGO</t>
  </si>
  <si>
    <t>AHCO</t>
  </si>
  <si>
    <t>LIND</t>
  </si>
  <si>
    <t>AGCO</t>
  </si>
  <si>
    <t>CMI</t>
  </si>
  <si>
    <t>PAYO</t>
  </si>
  <si>
    <t>HLMN</t>
  </si>
  <si>
    <t>BVS</t>
  </si>
  <si>
    <t>GBTG</t>
  </si>
  <si>
    <t>PTLO</t>
  </si>
  <si>
    <t>GLDD</t>
  </si>
  <si>
    <t>CNSL</t>
  </si>
  <si>
    <t>ITIC</t>
  </si>
  <si>
    <t>EXPD</t>
  </si>
  <si>
    <t>UFPT</t>
  </si>
  <si>
    <t>UFCS</t>
  </si>
  <si>
    <t>NCMI</t>
  </si>
  <si>
    <t>PCVX</t>
  </si>
  <si>
    <t>LUMN</t>
  </si>
  <si>
    <t>MRCY</t>
  </si>
  <si>
    <t>GPOR</t>
  </si>
  <si>
    <t>MGNX</t>
  </si>
  <si>
    <t>SNDX</t>
  </si>
  <si>
    <t>RYTM</t>
  </si>
  <si>
    <t>RVLV</t>
  </si>
  <si>
    <t>INFN</t>
  </si>
  <si>
    <t>CRCT</t>
  </si>
  <si>
    <t>SAFT</t>
  </si>
  <si>
    <t>LMB</t>
  </si>
  <si>
    <t>SWIM</t>
  </si>
  <si>
    <t>DVN</t>
  </si>
  <si>
    <t>USPH</t>
  </si>
  <si>
    <t>QLYS</t>
  </si>
  <si>
    <t>BGS</t>
  </si>
  <si>
    <t>MBC</t>
  </si>
  <si>
    <t>AIP</t>
  </si>
  <si>
    <t>TMCI</t>
  </si>
  <si>
    <t>WEYS</t>
  </si>
  <si>
    <t>MASI</t>
  </si>
  <si>
    <t>FORR</t>
  </si>
  <si>
    <t>CTKB</t>
  </si>
  <si>
    <t>JKHY</t>
  </si>
  <si>
    <t>NHI</t>
  </si>
  <si>
    <t>OLP</t>
  </si>
  <si>
    <t>MCHP</t>
  </si>
  <si>
    <t>ANAB</t>
  </si>
  <si>
    <t>VTOL</t>
  </si>
  <si>
    <t>AIZ</t>
  </si>
  <si>
    <t>HLIO</t>
  </si>
  <si>
    <t>IFF</t>
  </si>
  <si>
    <t>WTTR</t>
  </si>
  <si>
    <t>RYAM</t>
  </si>
  <si>
    <t>MRC</t>
  </si>
  <si>
    <t>BBAI</t>
  </si>
  <si>
    <t>GMED</t>
  </si>
  <si>
    <t>MEC</t>
  </si>
  <si>
    <t>NOG</t>
  </si>
  <si>
    <t>FYBR</t>
  </si>
  <si>
    <t>CRC</t>
  </si>
  <si>
    <t>IOSP</t>
  </si>
  <si>
    <t>WMK</t>
  </si>
  <si>
    <t>AFG</t>
  </si>
  <si>
    <t>STKL</t>
  </si>
  <si>
    <t>NE</t>
  </si>
  <si>
    <t>IVR</t>
  </si>
  <si>
    <t>PFIS</t>
  </si>
  <si>
    <t>ASTE</t>
  </si>
  <si>
    <t>MAC</t>
  </si>
  <si>
    <t>FUN</t>
  </si>
  <si>
    <t>CELH</t>
  </si>
  <si>
    <t>IRBT</t>
  </si>
  <si>
    <t>EYE</t>
  </si>
  <si>
    <t>LXP</t>
  </si>
  <si>
    <t>ENOV</t>
  </si>
  <si>
    <t>OC</t>
  </si>
  <si>
    <t>FREY</t>
  </si>
  <si>
    <t>CVS</t>
  </si>
  <si>
    <t>KMT</t>
  </si>
  <si>
    <t>SFL</t>
  </si>
  <si>
    <t>MKTX</t>
  </si>
  <si>
    <t>PRGO</t>
  </si>
  <si>
    <t>COR</t>
  </si>
  <si>
    <t>CIM</t>
  </si>
  <si>
    <t>AVDX</t>
  </si>
  <si>
    <t>IRM</t>
  </si>
  <si>
    <t>ODP</t>
  </si>
  <si>
    <t>BIPC</t>
  </si>
  <si>
    <t>TRMB</t>
  </si>
  <si>
    <t>JCI</t>
  </si>
  <si>
    <t>AEP</t>
  </si>
  <si>
    <t>LNTH</t>
  </si>
  <si>
    <t>SRDX</t>
  </si>
  <si>
    <t>HLNE</t>
  </si>
  <si>
    <t>DK</t>
  </si>
  <si>
    <t>SMG</t>
  </si>
  <si>
    <t>PFGC</t>
  </si>
  <si>
    <t>VSEC</t>
  </si>
  <si>
    <t>HWM</t>
  </si>
  <si>
    <t>STWD</t>
  </si>
  <si>
    <t>CRL</t>
  </si>
  <si>
    <t>FOLD</t>
  </si>
  <si>
    <t>DIN</t>
  </si>
  <si>
    <t>LENZ</t>
  </si>
  <si>
    <t>TNGX</t>
  </si>
  <si>
    <t>AVA</t>
  </si>
  <si>
    <t>VERX</t>
  </si>
  <si>
    <t>VSH</t>
  </si>
  <si>
    <t>BCO</t>
  </si>
  <si>
    <t>JLL</t>
  </si>
  <si>
    <t>GNE</t>
  </si>
  <si>
    <t>ABUS</t>
  </si>
  <si>
    <t>PRAX</t>
  </si>
  <si>
    <t>SGHC</t>
  </si>
  <si>
    <t>MCFT</t>
  </si>
  <si>
    <t>SRE</t>
  </si>
  <si>
    <t>SWX</t>
  </si>
  <si>
    <t>SMRT</t>
  </si>
  <si>
    <t>BATRA</t>
  </si>
  <si>
    <t>CTRI</t>
  </si>
  <si>
    <t>BATRK</t>
  </si>
  <si>
    <t>CNDT</t>
  </si>
  <si>
    <t>URGN</t>
  </si>
  <si>
    <t>ASC</t>
  </si>
  <si>
    <t>MFA</t>
  </si>
  <si>
    <t>PNW</t>
  </si>
  <si>
    <t>MGEE</t>
  </si>
  <si>
    <t>FRPH</t>
  </si>
  <si>
    <t>CYTK</t>
  </si>
  <si>
    <t>CRSR</t>
  </si>
  <si>
    <t>ARQT</t>
  </si>
  <si>
    <t>TRNO</t>
  </si>
  <si>
    <t>PFMT</t>
  </si>
  <si>
    <t>QCOM</t>
  </si>
  <si>
    <t>PCRX</t>
  </si>
  <si>
    <t>XNCR</t>
  </si>
  <si>
    <t>ACLS</t>
  </si>
  <si>
    <t>DUOL</t>
  </si>
  <si>
    <t>NMIH</t>
  </si>
  <si>
    <t>CLDX</t>
  </si>
  <si>
    <t>DNLI</t>
  </si>
  <si>
    <t>MELI</t>
  </si>
  <si>
    <t>CSGS</t>
  </si>
  <si>
    <t>JANX</t>
  </si>
  <si>
    <t>KROS</t>
  </si>
  <si>
    <t>PTC</t>
  </si>
  <si>
    <t>POWI</t>
  </si>
  <si>
    <t>LZ</t>
  </si>
  <si>
    <t>VNDA</t>
  </si>
  <si>
    <t>RVMD</t>
  </si>
  <si>
    <t>GILD</t>
  </si>
  <si>
    <t>NLOP</t>
  </si>
  <si>
    <t>ARM</t>
  </si>
  <si>
    <t>HCAT</t>
  </si>
  <si>
    <t>UPWK</t>
  </si>
  <si>
    <t>LAND</t>
  </si>
  <si>
    <t>GMRE</t>
  </si>
  <si>
    <t>TKO</t>
  </si>
  <si>
    <t>SKT</t>
  </si>
  <si>
    <t>LOPE</t>
  </si>
  <si>
    <t>INVA</t>
  </si>
  <si>
    <t>EOLS</t>
  </si>
  <si>
    <t>CLNE</t>
  </si>
  <si>
    <t>FC</t>
  </si>
  <si>
    <t>TNDM</t>
  </si>
  <si>
    <t>FARO</t>
  </si>
  <si>
    <t>BALY</t>
  </si>
  <si>
    <t>ALEC</t>
  </si>
  <si>
    <t>VECO</t>
  </si>
  <si>
    <t>RGLD</t>
  </si>
  <si>
    <t>FBIN</t>
  </si>
  <si>
    <t>OSUR</t>
  </si>
  <si>
    <t>STR</t>
  </si>
  <si>
    <t>RDVT</t>
  </si>
  <si>
    <t>RLAY</t>
  </si>
  <si>
    <t>ACIC</t>
  </si>
  <si>
    <t>RAMP</t>
  </si>
  <si>
    <t>SITM</t>
  </si>
  <si>
    <t>TTWO</t>
  </si>
  <si>
    <t>KIDS</t>
  </si>
  <si>
    <t>AMRK</t>
  </si>
  <si>
    <t>WAY</t>
  </si>
  <si>
    <t>SBGI</t>
  </si>
  <si>
    <t>BLND</t>
  </si>
  <si>
    <t>JAZZ</t>
  </si>
  <si>
    <t>NUVB</t>
  </si>
  <si>
    <t>GH</t>
  </si>
  <si>
    <t>RGNX</t>
  </si>
  <si>
    <t>ZIP</t>
  </si>
  <si>
    <t>VZIO</t>
  </si>
  <si>
    <t>KIND</t>
  </si>
  <si>
    <t>MTRX</t>
  </si>
  <si>
    <t>BMBL</t>
  </si>
  <si>
    <t>IPAR</t>
  </si>
  <si>
    <t>BBSI</t>
  </si>
  <si>
    <t>SLNO</t>
  </si>
  <si>
    <t>RPD</t>
  </si>
  <si>
    <t>MXCT</t>
  </si>
  <si>
    <t>STRL</t>
  </si>
  <si>
    <t>CXT</t>
  </si>
  <si>
    <t>SGC</t>
  </si>
  <si>
    <t>ACAD</t>
  </si>
  <si>
    <t>ELF</t>
  </si>
  <si>
    <t>ECPG</t>
  </si>
  <si>
    <t>FSLY</t>
  </si>
  <si>
    <t>IONQ</t>
  </si>
  <si>
    <t>AMPH</t>
  </si>
  <si>
    <t>AMPY</t>
  </si>
  <si>
    <t>KRUS</t>
  </si>
  <si>
    <t>BWMN</t>
  </si>
  <si>
    <t>BYND</t>
  </si>
  <si>
    <t>EVTC</t>
  </si>
  <si>
    <t>SRPT</t>
  </si>
  <si>
    <t>SSRM</t>
  </si>
  <si>
    <t>CORZ</t>
  </si>
  <si>
    <t>NEWT</t>
  </si>
  <si>
    <t>MCK</t>
  </si>
  <si>
    <t>HRTG</t>
  </si>
  <si>
    <t>PNTG</t>
  </si>
  <si>
    <t>VSAT</t>
  </si>
  <si>
    <t>VCYT</t>
  </si>
  <si>
    <t>CPRX</t>
  </si>
  <si>
    <t>RYN</t>
  </si>
  <si>
    <t>MTCH</t>
  </si>
  <si>
    <t>JOBY</t>
  </si>
  <si>
    <t>ACT</t>
  </si>
  <si>
    <t>BHR</t>
  </si>
  <si>
    <t>MEG</t>
  </si>
  <si>
    <t>FRSH</t>
  </si>
  <si>
    <t>ATRO</t>
  </si>
  <si>
    <t>BKH</t>
  </si>
  <si>
    <t>WMB</t>
  </si>
  <si>
    <t>JXN</t>
  </si>
  <si>
    <t>RNR</t>
  </si>
  <si>
    <t>PRI</t>
  </si>
  <si>
    <t>TPL</t>
  </si>
  <si>
    <t>FICO</t>
  </si>
  <si>
    <t>ALB</t>
  </si>
  <si>
    <t>RXRX</t>
  </si>
  <si>
    <t>ORA</t>
  </si>
  <si>
    <t>PKOH</t>
  </si>
  <si>
    <t>CWAN</t>
  </si>
  <si>
    <t>TPC</t>
  </si>
  <si>
    <t>KD</t>
  </si>
  <si>
    <t>GNL</t>
  </si>
  <si>
    <t>CCRN</t>
  </si>
  <si>
    <t>KRO</t>
  </si>
  <si>
    <t>FG</t>
  </si>
  <si>
    <t>KW</t>
  </si>
  <si>
    <t>BKD</t>
  </si>
  <si>
    <t>RM</t>
  </si>
  <si>
    <t>KAR</t>
  </si>
  <si>
    <t>WK</t>
  </si>
  <si>
    <t>VAC</t>
  </si>
  <si>
    <t>CXW</t>
  </si>
  <si>
    <t>CTVA</t>
  </si>
  <si>
    <t>KNTK</t>
  </si>
  <si>
    <t>CDRE</t>
  </si>
  <si>
    <t>SENEA</t>
  </si>
  <si>
    <t>ENS</t>
  </si>
  <si>
    <t>PLYM</t>
  </si>
  <si>
    <t>DLX</t>
  </si>
  <si>
    <t>FNF</t>
  </si>
  <si>
    <t>EHAB</t>
  </si>
  <si>
    <t>HG</t>
  </si>
  <si>
    <t>IIPR</t>
  </si>
  <si>
    <t>PR</t>
  </si>
  <si>
    <t>RCUS</t>
  </si>
  <si>
    <t>AMC</t>
  </si>
  <si>
    <t>SVC</t>
  </si>
  <si>
    <t>COHR</t>
  </si>
  <si>
    <t>ALNT</t>
  </si>
  <si>
    <t>ASPN</t>
  </si>
  <si>
    <t>AMED</t>
  </si>
  <si>
    <t>AWR</t>
  </si>
  <si>
    <t>COTY</t>
  </si>
  <si>
    <t>CHRD</t>
  </si>
  <si>
    <t>MRO</t>
  </si>
  <si>
    <t>XHR</t>
  </si>
  <si>
    <t>QTWO</t>
  </si>
  <si>
    <t>ANSS</t>
  </si>
  <si>
    <t>VSTO</t>
  </si>
  <si>
    <t>STE</t>
  </si>
  <si>
    <t>RDN</t>
  </si>
  <si>
    <t>CDE</t>
  </si>
  <si>
    <t>GNK</t>
  </si>
  <si>
    <t>HST</t>
  </si>
  <si>
    <t>UMH</t>
  </si>
  <si>
    <t>AEE</t>
  </si>
  <si>
    <t>MKSI</t>
  </si>
  <si>
    <t>EE</t>
  </si>
  <si>
    <t>RLJ</t>
  </si>
  <si>
    <t>BORR</t>
  </si>
  <si>
    <t>VTLE</t>
  </si>
  <si>
    <t>PAHC</t>
  </si>
  <si>
    <t>ATO</t>
  </si>
  <si>
    <t>XPER</t>
  </si>
  <si>
    <t>REI</t>
  </si>
  <si>
    <t>MWA</t>
  </si>
  <si>
    <t>LILA</t>
  </si>
  <si>
    <t>REPX</t>
  </si>
  <si>
    <t>NFG</t>
  </si>
  <si>
    <t>VMD</t>
  </si>
  <si>
    <t>LILAK</t>
  </si>
  <si>
    <t>RDW</t>
  </si>
  <si>
    <t>APA</t>
  </si>
  <si>
    <t>ASH</t>
  </si>
  <si>
    <t>EFC</t>
  </si>
  <si>
    <t>MATV</t>
  </si>
  <si>
    <t>ARDT</t>
  </si>
  <si>
    <t>URG</t>
  </si>
  <si>
    <t>GPMT</t>
  </si>
  <si>
    <t>SD</t>
  </si>
  <si>
    <t>HL</t>
  </si>
  <si>
    <t>GNW</t>
  </si>
  <si>
    <t>KGS</t>
  </si>
  <si>
    <t>GOLF</t>
  </si>
  <si>
    <t>WBD</t>
  </si>
  <si>
    <t>DBD</t>
  </si>
  <si>
    <t>CG</t>
  </si>
  <si>
    <t>DUK</t>
  </si>
  <si>
    <t>YOU</t>
  </si>
  <si>
    <t>HAE</t>
  </si>
  <si>
    <t>ADTN</t>
  </si>
  <si>
    <t>HSHP</t>
  </si>
  <si>
    <t>CEVA</t>
  </si>
  <si>
    <t>ACMR</t>
  </si>
  <si>
    <t>EPAM</t>
  </si>
  <si>
    <t>LFST</t>
  </si>
  <si>
    <t>RXO</t>
  </si>
  <si>
    <t>EPC</t>
  </si>
  <si>
    <t>ESPR</t>
  </si>
  <si>
    <t>ACIW</t>
  </si>
  <si>
    <t>WD</t>
  </si>
  <si>
    <t>PRVA</t>
  </si>
  <si>
    <t>GEO</t>
  </si>
  <si>
    <t>BIGC</t>
  </si>
  <si>
    <t>YETI</t>
  </si>
  <si>
    <t>DCO</t>
  </si>
  <si>
    <t>XRAY</t>
  </si>
  <si>
    <t>ACRE</t>
  </si>
  <si>
    <t>PBH</t>
  </si>
  <si>
    <t>APD</t>
  </si>
  <si>
    <t>OSCR</t>
  </si>
  <si>
    <t>MUR</t>
  </si>
  <si>
    <t>AUPH</t>
  </si>
  <si>
    <t>PCG</t>
  </si>
  <si>
    <t>IMVT</t>
  </si>
  <si>
    <t>DT</t>
  </si>
  <si>
    <t>PRKS</t>
  </si>
  <si>
    <t>CLDT</t>
  </si>
  <si>
    <t>COMM</t>
  </si>
  <si>
    <t>MRNA</t>
  </si>
  <si>
    <t>PLNT</t>
  </si>
  <si>
    <t>AVAH</t>
  </si>
  <si>
    <t>WWW</t>
  </si>
  <si>
    <t>BDX</t>
  </si>
  <si>
    <t>STRA</t>
  </si>
  <si>
    <t>OB</t>
  </si>
  <si>
    <t>VYX</t>
  </si>
  <si>
    <t>TAP</t>
  </si>
  <si>
    <t>SEAT</t>
  </si>
  <si>
    <t>ARQ</t>
  </si>
  <si>
    <t>ARHS</t>
  </si>
  <si>
    <t>TPX</t>
  </si>
  <si>
    <t>INSW</t>
  </si>
  <si>
    <t>TPR</t>
  </si>
  <si>
    <t>OLPX</t>
  </si>
  <si>
    <t>DNOW</t>
  </si>
  <si>
    <t>HAL</t>
  </si>
  <si>
    <t>KVUE</t>
  </si>
  <si>
    <t>DNUT</t>
  </si>
  <si>
    <t>WRBY</t>
  </si>
  <si>
    <t>HSY</t>
  </si>
  <si>
    <t>USFD</t>
  </si>
  <si>
    <t>HBI</t>
  </si>
  <si>
    <t>UAA</t>
  </si>
  <si>
    <t>UA</t>
  </si>
  <si>
    <t>CCOI</t>
  </si>
  <si>
    <t>VTRS</t>
  </si>
  <si>
    <t>SHOO</t>
  </si>
  <si>
    <t>LCII</t>
  </si>
  <si>
    <t>EYPT</t>
  </si>
  <si>
    <t>APLT</t>
  </si>
  <si>
    <t>XPEL</t>
  </si>
  <si>
    <t>REAX</t>
  </si>
  <si>
    <t>NXST</t>
  </si>
  <si>
    <t>LYTS</t>
  </si>
  <si>
    <t>AKBA</t>
  </si>
  <si>
    <t>EVRG</t>
  </si>
  <si>
    <t>GERN</t>
  </si>
  <si>
    <t>LGND</t>
  </si>
  <si>
    <t>FWRG</t>
  </si>
  <si>
    <t>AXGN</t>
  </si>
  <si>
    <t>RAPP</t>
  </si>
  <si>
    <t>IRWD</t>
  </si>
  <si>
    <t>SPTN</t>
  </si>
  <si>
    <t>NABL</t>
  </si>
  <si>
    <t>VST</t>
  </si>
  <si>
    <t>PZZA</t>
  </si>
  <si>
    <t>THR</t>
  </si>
  <si>
    <t>ADV</t>
  </si>
  <si>
    <t>BRY</t>
  </si>
  <si>
    <t>HAIN</t>
  </si>
  <si>
    <t>CGEM</t>
  </si>
  <si>
    <t>ROK</t>
  </si>
  <si>
    <t>DDOG</t>
  </si>
  <si>
    <t>SHEN</t>
  </si>
  <si>
    <t>TGLS</t>
  </si>
  <si>
    <t>GLUE</t>
  </si>
  <si>
    <t>REFI</t>
  </si>
  <si>
    <t>OFIX</t>
  </si>
  <si>
    <t>APPN</t>
  </si>
  <si>
    <t>TDG</t>
  </si>
  <si>
    <t>VITL</t>
  </si>
  <si>
    <t>STGW</t>
  </si>
  <si>
    <t>CARS</t>
  </si>
  <si>
    <t>THRY</t>
  </si>
  <si>
    <t>TGNA</t>
  </si>
  <si>
    <t>KELYA</t>
  </si>
  <si>
    <t>NTLA</t>
  </si>
  <si>
    <t>MTSI</t>
  </si>
  <si>
    <t>HOUS</t>
  </si>
  <si>
    <t>TPB</t>
  </si>
  <si>
    <t>JSPR</t>
  </si>
  <si>
    <t>TRML</t>
  </si>
  <si>
    <t>XOMA</t>
  </si>
  <si>
    <t>ML</t>
  </si>
  <si>
    <t>HGV</t>
  </si>
  <si>
    <t>IBP</t>
  </si>
  <si>
    <t>SAVA</t>
  </si>
  <si>
    <t>VCEL</t>
  </si>
  <si>
    <t>KLG</t>
  </si>
  <si>
    <t>EWTX</t>
  </si>
  <si>
    <t>UP</t>
  </si>
  <si>
    <t>PHAT</t>
  </si>
  <si>
    <t>FSTR</t>
  </si>
  <si>
    <t>IHRT</t>
  </si>
  <si>
    <t>MLAB</t>
  </si>
  <si>
    <t>VERA</t>
  </si>
  <si>
    <t>RL</t>
  </si>
  <si>
    <t>THRD</t>
  </si>
  <si>
    <t>SCSC</t>
  </si>
  <si>
    <t>PCT</t>
  </si>
  <si>
    <t>BUR</t>
  </si>
  <si>
    <t>TRC</t>
  </si>
  <si>
    <t>YORW</t>
  </si>
  <si>
    <t>IBOC</t>
  </si>
  <si>
    <t>GCT</t>
  </si>
  <si>
    <t>KTOS</t>
  </si>
  <si>
    <t>NVEE</t>
  </si>
  <si>
    <t>AGL</t>
  </si>
  <si>
    <t>ABNB</t>
  </si>
  <si>
    <t>RDFN</t>
  </si>
  <si>
    <t>ACLX</t>
  </si>
  <si>
    <t>CCSI</t>
  </si>
  <si>
    <t>PRCH</t>
  </si>
  <si>
    <t>AXON</t>
  </si>
  <si>
    <t>EXPE</t>
  </si>
  <si>
    <t>AKAM</t>
  </si>
  <si>
    <t>RUN</t>
  </si>
  <si>
    <t>RIGL</t>
  </si>
  <si>
    <t>LBPH</t>
  </si>
  <si>
    <t>IOVA</t>
  </si>
  <si>
    <t>MRVI</t>
  </si>
  <si>
    <t>AAON</t>
  </si>
  <si>
    <t>INVX</t>
  </si>
  <si>
    <t>PODD</t>
  </si>
  <si>
    <t>PTCT</t>
  </si>
  <si>
    <t>MNMD</t>
  </si>
  <si>
    <t>DOCS</t>
  </si>
  <si>
    <t>TTD</t>
  </si>
  <si>
    <t>DNTH</t>
  </si>
  <si>
    <t>RCKT</t>
  </si>
  <si>
    <t>ARCT</t>
  </si>
  <si>
    <t>ALRM</t>
  </si>
  <si>
    <t>ALDX</t>
  </si>
  <si>
    <t>ALLO</t>
  </si>
  <si>
    <t>COLL</t>
  </si>
  <si>
    <t>DVAX</t>
  </si>
  <si>
    <t>MNKD</t>
  </si>
  <si>
    <t>RCEL</t>
  </si>
  <si>
    <t>LITE</t>
  </si>
  <si>
    <t>DBX</t>
  </si>
  <si>
    <t>OLO</t>
  </si>
  <si>
    <t>FIGS</t>
  </si>
  <si>
    <t>HASI</t>
  </si>
  <si>
    <t>LASR</t>
  </si>
  <si>
    <t>PLRX</t>
  </si>
  <si>
    <t>PTGX</t>
  </si>
  <si>
    <t>DH</t>
  </si>
  <si>
    <t>CYRX</t>
  </si>
  <si>
    <t>RNA</t>
  </si>
  <si>
    <t>MYGN</t>
  </si>
  <si>
    <t>SOLV</t>
  </si>
  <si>
    <t>FNKO</t>
  </si>
  <si>
    <t>OPEN</t>
  </si>
  <si>
    <t>DCGO</t>
  </si>
  <si>
    <t>KURA</t>
  </si>
  <si>
    <t>MLNK</t>
  </si>
  <si>
    <t>MGNI</t>
  </si>
  <si>
    <t>ASLE</t>
  </si>
  <si>
    <t>LFMD</t>
  </si>
  <si>
    <t>CPAY</t>
  </si>
  <si>
    <t>SKYT</t>
  </si>
  <si>
    <t>MVIS</t>
  </si>
  <si>
    <t>OPK</t>
  </si>
  <si>
    <t>LYEL</t>
  </si>
  <si>
    <t>SPT</t>
  </si>
  <si>
    <t>BARK</t>
  </si>
  <si>
    <t>DIOD</t>
  </si>
  <si>
    <t>SVV</t>
  </si>
  <si>
    <t>FTNT</t>
  </si>
  <si>
    <t>AMRC</t>
  </si>
  <si>
    <t>ACHR</t>
  </si>
  <si>
    <t>XPOF</t>
  </si>
  <si>
    <t>ADPT</t>
  </si>
  <si>
    <t>SG</t>
  </si>
  <si>
    <t>PSTX</t>
  </si>
  <si>
    <t>SYRE</t>
  </si>
  <si>
    <t>REZI</t>
  </si>
  <si>
    <t>CLFD</t>
  </si>
  <si>
    <t>HRB</t>
  </si>
  <si>
    <t>ENV</t>
  </si>
  <si>
    <t>ARRY</t>
  </si>
  <si>
    <t>STEP</t>
  </si>
  <si>
    <t>CPRI</t>
  </si>
  <si>
    <t>RVNC</t>
  </si>
  <si>
    <t>GDEN</t>
  </si>
  <si>
    <t>G</t>
  </si>
  <si>
    <t>UPST</t>
  </si>
  <si>
    <t>SYNA</t>
  </si>
  <si>
    <t>TYRA</t>
  </si>
  <si>
    <t>OUST</t>
  </si>
  <si>
    <t>GRND</t>
  </si>
  <si>
    <t>NATR</t>
  </si>
  <si>
    <t>LPRO</t>
  </si>
  <si>
    <t>CTLP</t>
  </si>
  <si>
    <t>WEST</t>
  </si>
  <si>
    <t>EB</t>
  </si>
  <si>
    <t>GRNT</t>
  </si>
  <si>
    <t>INOD</t>
  </si>
  <si>
    <t>DRH</t>
  </si>
  <si>
    <t>ANET</t>
  </si>
  <si>
    <t>AORT</t>
  </si>
  <si>
    <t>INGN</t>
  </si>
  <si>
    <t>AMPL</t>
  </si>
  <si>
    <t>SIGA</t>
  </si>
  <si>
    <t>PBPB</t>
  </si>
  <si>
    <t>PACB</t>
  </si>
  <si>
    <t>ARKO</t>
  </si>
  <si>
    <t>AVIR</t>
  </si>
  <si>
    <t>ETNB</t>
  </si>
  <si>
    <t>BL</t>
  </si>
  <si>
    <t>ALTM</t>
  </si>
  <si>
    <t>RXST</t>
  </si>
  <si>
    <t>YELP</t>
  </si>
  <si>
    <t>IBEX</t>
  </si>
  <si>
    <t>ACVA</t>
  </si>
  <si>
    <t>ADMA</t>
  </si>
  <si>
    <t>AAOI</t>
  </si>
  <si>
    <t>ARLO</t>
  </si>
  <si>
    <t>GDOT</t>
  </si>
  <si>
    <t>PX</t>
  </si>
  <si>
    <t>AVPT</t>
  </si>
  <si>
    <t>FLYW</t>
  </si>
  <si>
    <t>CARG</t>
  </si>
  <si>
    <t>PBI</t>
  </si>
  <si>
    <t>NUS</t>
  </si>
  <si>
    <t>PEB</t>
  </si>
  <si>
    <t>ATEN</t>
  </si>
  <si>
    <t>GETY</t>
  </si>
  <si>
    <t>MTUS</t>
  </si>
  <si>
    <t>EVH</t>
  </si>
  <si>
    <t>VVI</t>
  </si>
  <si>
    <t>MNST</t>
  </si>
  <si>
    <t>MSI</t>
  </si>
  <si>
    <t>KRT</t>
  </si>
  <si>
    <t>JAMF</t>
  </si>
  <si>
    <t>ADEA</t>
  </si>
  <si>
    <t>BFS</t>
  </si>
  <si>
    <t>SEZL</t>
  </si>
  <si>
    <t>PDFS</t>
  </si>
  <si>
    <t>ONTF</t>
  </si>
  <si>
    <t>NNI</t>
  </si>
  <si>
    <t>EXPI</t>
  </si>
  <si>
    <t>HEAR</t>
  </si>
  <si>
    <t>RC</t>
  </si>
  <si>
    <t>CABO</t>
  </si>
  <si>
    <t>NKTR</t>
  </si>
  <si>
    <t>EOG</t>
  </si>
  <si>
    <t>NWS</t>
  </si>
  <si>
    <t>BHF</t>
  </si>
  <si>
    <t>PRA</t>
  </si>
  <si>
    <t>SMR</t>
  </si>
  <si>
    <t>ONL</t>
  </si>
  <si>
    <t>AMN</t>
  </si>
  <si>
    <t>CIVI</t>
  </si>
  <si>
    <t>NWSA</t>
  </si>
  <si>
    <t>GSAT</t>
  </si>
  <si>
    <t>VEL</t>
  </si>
  <si>
    <t>HCI</t>
  </si>
  <si>
    <t>NR</t>
  </si>
  <si>
    <t>BLZE</t>
  </si>
  <si>
    <t>AIV</t>
  </si>
  <si>
    <t>INSE</t>
  </si>
  <si>
    <t>MBI</t>
  </si>
  <si>
    <t>CMTG</t>
  </si>
  <si>
    <t>VCTR</t>
  </si>
  <si>
    <t>BE</t>
  </si>
  <si>
    <t>MTD</t>
  </si>
  <si>
    <t>OEC</t>
  </si>
  <si>
    <t>INDI</t>
  </si>
  <si>
    <t>CNH</t>
  </si>
  <si>
    <t>NEXT</t>
  </si>
  <si>
    <t>CPK</t>
  </si>
  <si>
    <t>ASTH</t>
  </si>
  <si>
    <t>TDW</t>
  </si>
  <si>
    <t>ED</t>
  </si>
  <si>
    <t>WTI</t>
  </si>
  <si>
    <t>BRT</t>
  </si>
  <si>
    <t>OVV</t>
  </si>
  <si>
    <t>AGS</t>
  </si>
  <si>
    <t>AEYE</t>
  </si>
  <si>
    <t>RRR</t>
  </si>
  <si>
    <t>SEMR</t>
  </si>
  <si>
    <t>ZD</t>
  </si>
  <si>
    <t>ATLC</t>
  </si>
  <si>
    <t>FLO</t>
  </si>
  <si>
    <t>HIPO</t>
  </si>
  <si>
    <t>FLR</t>
  </si>
  <si>
    <t>AMRX</t>
  </si>
  <si>
    <t>LAMR</t>
  </si>
  <si>
    <t>NHC</t>
  </si>
  <si>
    <t>GTN</t>
  </si>
  <si>
    <t>GHM</t>
  </si>
  <si>
    <t>YMAB</t>
  </si>
  <si>
    <t>ATMU</t>
  </si>
  <si>
    <t>WMS</t>
  </si>
  <si>
    <t>OCGN</t>
  </si>
  <si>
    <t>ANIP</t>
  </si>
  <si>
    <t>ADNT</t>
  </si>
  <si>
    <t>PWP</t>
  </si>
  <si>
    <t>MSGE</t>
  </si>
  <si>
    <t>XERS</t>
  </si>
  <si>
    <t>AKRO</t>
  </si>
  <si>
    <t>CMPO</t>
  </si>
  <si>
    <t>FLGT</t>
  </si>
  <si>
    <t>BLMN</t>
  </si>
  <si>
    <t>NRG</t>
  </si>
  <si>
    <t>BAX</t>
  </si>
  <si>
    <t>RBA</t>
  </si>
  <si>
    <t>PAR</t>
  </si>
  <si>
    <t>ATSG</t>
  </si>
  <si>
    <t>MMI</t>
  </si>
  <si>
    <t>KOP</t>
  </si>
  <si>
    <t>AXL</t>
  </si>
  <si>
    <t>IMXI</t>
  </si>
  <si>
    <t>HUMA</t>
  </si>
  <si>
    <t>PARA</t>
  </si>
  <si>
    <t>AMCX</t>
  </si>
  <si>
    <t>GCMG</t>
  </si>
  <si>
    <t>SANA</t>
  </si>
  <si>
    <t>HE</t>
  </si>
  <si>
    <t>TG</t>
  </si>
  <si>
    <t>NXDT</t>
  </si>
  <si>
    <t>RDNT</t>
  </si>
  <si>
    <t>SPNS</t>
  </si>
  <si>
    <t>ARMK</t>
  </si>
  <si>
    <t>LINC</t>
  </si>
  <si>
    <t>CBL</t>
  </si>
  <si>
    <t>MLYS</t>
  </si>
  <si>
    <t>ZETA</t>
  </si>
  <si>
    <t>LYV</t>
  </si>
  <si>
    <t>NPWR</t>
  </si>
  <si>
    <t>RMR</t>
  </si>
  <si>
    <t>AROC</t>
  </si>
  <si>
    <t>TALO</t>
  </si>
  <si>
    <t>EGY</t>
  </si>
  <si>
    <t>MOS</t>
  </si>
  <si>
    <t>FLNG</t>
  </si>
  <si>
    <t>HD</t>
  </si>
  <si>
    <t>PRM</t>
  </si>
  <si>
    <t>TGI</t>
  </si>
  <si>
    <t>NWN</t>
  </si>
  <si>
    <t>PTVE</t>
  </si>
  <si>
    <t>ESGR</t>
  </si>
  <si>
    <t>GLNG</t>
  </si>
  <si>
    <t>SWTX</t>
  </si>
  <si>
    <t>FA</t>
  </si>
  <si>
    <t>NUVL</t>
  </si>
  <si>
    <t>IGT</t>
  </si>
  <si>
    <t>EAF</t>
  </si>
  <si>
    <t>TH</t>
  </si>
  <si>
    <t>PLL</t>
  </si>
  <si>
    <t>SDGR</t>
  </si>
  <si>
    <t>THS</t>
  </si>
  <si>
    <t>APGE</t>
  </si>
  <si>
    <t>AVDL</t>
  </si>
  <si>
    <t>ALT</t>
  </si>
  <si>
    <t>AZN</t>
  </si>
  <si>
    <t>NMRA</t>
  </si>
  <si>
    <t>AIOT</t>
  </si>
  <si>
    <t>FOUR</t>
  </si>
  <si>
    <t>SRRK</t>
  </si>
  <si>
    <t>PLUG</t>
  </si>
  <si>
    <t>ROIV</t>
  </si>
  <si>
    <t>SLVM</t>
  </si>
  <si>
    <t>ITOS</t>
  </si>
  <si>
    <t>VRDN</t>
  </si>
  <si>
    <t>AXSM</t>
  </si>
  <si>
    <t>SHLS</t>
  </si>
  <si>
    <t>BLDE</t>
  </si>
  <si>
    <t>EVGO</t>
  </si>
  <si>
    <t>OUT</t>
  </si>
  <si>
    <t>IBRX</t>
  </si>
  <si>
    <t>PGY</t>
  </si>
  <si>
    <t>ALIT</t>
  </si>
  <si>
    <t>PROK</t>
  </si>
  <si>
    <t>SHO</t>
  </si>
  <si>
    <t>ABSI</t>
  </si>
  <si>
    <t>BBIO</t>
  </si>
  <si>
    <t>SPHR</t>
  </si>
  <si>
    <t>PYXS</t>
  </si>
  <si>
    <t>RGEN</t>
  </si>
  <si>
    <t>DYN</t>
  </si>
  <si>
    <t>WVE</t>
  </si>
  <si>
    <t>SGRY</t>
  </si>
  <si>
    <t>TSN</t>
  </si>
  <si>
    <t>SATS</t>
  </si>
  <si>
    <t>REPL</t>
  </si>
  <si>
    <t>MIRM</t>
  </si>
  <si>
    <t>CGON</t>
  </si>
  <si>
    <t>HTZ</t>
  </si>
  <si>
    <t>IRON</t>
  </si>
  <si>
    <t>UVV</t>
  </si>
  <si>
    <t>COGT</t>
  </si>
  <si>
    <t>NVAX</t>
  </si>
  <si>
    <t>SVRA</t>
  </si>
  <si>
    <t>TLS</t>
  </si>
  <si>
    <t>PRME</t>
  </si>
  <si>
    <t>ERAS</t>
  </si>
  <si>
    <t>FATE</t>
  </si>
  <si>
    <t>OLMA</t>
  </si>
  <si>
    <t>PRDO</t>
  </si>
  <si>
    <t>VYGR</t>
  </si>
  <si>
    <t>APEI</t>
  </si>
  <si>
    <t>QTRX</t>
  </si>
  <si>
    <t>SWKS</t>
  </si>
  <si>
    <t>PGNY</t>
  </si>
  <si>
    <t>IAS</t>
  </si>
  <si>
    <t>LNW</t>
  </si>
  <si>
    <t>CATX</t>
  </si>
  <si>
    <t>LIF</t>
  </si>
  <si>
    <t>RLGT</t>
  </si>
  <si>
    <t>ZVRA</t>
  </si>
  <si>
    <t>ZI</t>
  </si>
  <si>
    <t>TBPH</t>
  </si>
  <si>
    <t>EVCM</t>
  </si>
  <si>
    <t>ORGO</t>
  </si>
  <si>
    <t>WULF</t>
  </si>
  <si>
    <t>ORIC</t>
  </si>
  <si>
    <t>BLFS</t>
  </si>
  <si>
    <t>NATL</t>
  </si>
  <si>
    <t>PLUS</t>
  </si>
  <si>
    <t>CRGX</t>
  </si>
  <si>
    <t>PRTA</t>
  </si>
  <si>
    <t>MARA</t>
  </si>
  <si>
    <t>FNA</t>
  </si>
  <si>
    <t>AMBC</t>
  </si>
  <si>
    <t>AURA</t>
  </si>
  <si>
    <t>ICUI</t>
  </si>
  <si>
    <t>DSP</t>
  </si>
  <si>
    <t>CRNX</t>
  </si>
  <si>
    <t>TERN</t>
  </si>
  <si>
    <t>HPP</t>
  </si>
  <si>
    <t>RPAY</t>
  </si>
  <si>
    <t>BHVN</t>
  </si>
  <si>
    <t>HNRG</t>
  </si>
  <si>
    <t>OABI</t>
  </si>
  <si>
    <t>KRRO</t>
  </si>
  <si>
    <t>AZTA</t>
  </si>
  <si>
    <t>PUBM</t>
  </si>
  <si>
    <t>SOUN</t>
  </si>
  <si>
    <t>SIBN</t>
  </si>
  <si>
    <t>DAVE</t>
  </si>
  <si>
    <t>TTGT</t>
  </si>
  <si>
    <t>STNE</t>
  </si>
  <si>
    <t>RKLB</t>
  </si>
  <si>
    <t>KODK</t>
  </si>
  <si>
    <t>OXY</t>
  </si>
  <si>
    <t>HNST</t>
  </si>
  <si>
    <t>MODG</t>
  </si>
  <si>
    <t>FIHL</t>
  </si>
  <si>
    <t>ALTG</t>
  </si>
  <si>
    <t>AHR</t>
  </si>
  <si>
    <t>BOC</t>
  </si>
  <si>
    <t>DHT</t>
  </si>
  <si>
    <t>AMPS</t>
  </si>
  <si>
    <t>MNTK</t>
  </si>
  <si>
    <t>MLR</t>
  </si>
  <si>
    <t>LEGH</t>
  </si>
  <si>
    <t>EVRI</t>
  </si>
  <si>
    <t>GRPN</t>
  </si>
  <si>
    <t>CNNE</t>
  </si>
  <si>
    <t>PANL</t>
  </si>
  <si>
    <t>SDRL</t>
  </si>
  <si>
    <t>LWLG</t>
  </si>
  <si>
    <t>MTTR</t>
  </si>
  <si>
    <t>DOLE</t>
  </si>
  <si>
    <t>HUT</t>
  </si>
  <si>
    <t>SPRY</t>
  </si>
  <si>
    <t>LQDA</t>
  </si>
  <si>
    <t>PSFE</t>
  </si>
  <si>
    <t>MRSN</t>
  </si>
  <si>
    <t>FULC</t>
  </si>
  <si>
    <t>GFF</t>
  </si>
  <si>
    <t>PESI</t>
  </si>
  <si>
    <t>MGTX</t>
  </si>
  <si>
    <t>SLRN</t>
  </si>
  <si>
    <t>TTEK</t>
  </si>
  <si>
    <t>TSHA</t>
  </si>
  <si>
    <t>CAPR</t>
  </si>
  <si>
    <t>OMER</t>
  </si>
  <si>
    <t>IBTA</t>
  </si>
  <si>
    <t>DGII</t>
  </si>
  <si>
    <t>KLIC</t>
  </si>
  <si>
    <t>SB</t>
  </si>
  <si>
    <t>TARS</t>
  </si>
  <si>
    <t>SONO</t>
  </si>
  <si>
    <t>ELVN</t>
  </si>
  <si>
    <t>ATEX</t>
  </si>
  <si>
    <t>CSCO</t>
  </si>
  <si>
    <t>NN</t>
  </si>
  <si>
    <t>FDMT</t>
  </si>
  <si>
    <t>IMNM</t>
  </si>
  <si>
    <t>PAGS</t>
  </si>
  <si>
    <t>ATXS</t>
  </si>
  <si>
    <t>BV</t>
  </si>
  <si>
    <t>JJSF</t>
  </si>
  <si>
    <t>BZH</t>
  </si>
  <si>
    <t>HP</t>
  </si>
  <si>
    <t>HI</t>
  </si>
  <si>
    <t>STRO</t>
  </si>
  <si>
    <t>PPTA</t>
  </si>
  <si>
    <t>HROW</t>
  </si>
  <si>
    <t>PCYO</t>
  </si>
  <si>
    <t>EWCZ</t>
  </si>
  <si>
    <t>DIS</t>
  </si>
  <si>
    <t>SBH</t>
  </si>
  <si>
    <t>ONEW</t>
  </si>
  <si>
    <t>OCUL</t>
  </si>
  <si>
    <t>CTGO</t>
  </si>
  <si>
    <t>GAMB</t>
  </si>
  <si>
    <t>LUNR</t>
  </si>
  <si>
    <t>ANNX</t>
  </si>
  <si>
    <t>AVBP</t>
  </si>
  <si>
    <t>CBRL</t>
  </si>
  <si>
    <t>SMID</t>
  </si>
  <si>
    <t>AMAT</t>
  </si>
  <si>
    <t>CELC</t>
  </si>
  <si>
    <t>DESP</t>
  </si>
  <si>
    <t>DMRC</t>
  </si>
  <si>
    <t>HYLN</t>
  </si>
  <si>
    <t>TRAK</t>
  </si>
  <si>
    <t>ESE</t>
  </si>
  <si>
    <t>NGS</t>
  </si>
  <si>
    <t>ASTS</t>
  </si>
  <si>
    <t>CWCO</t>
  </si>
  <si>
    <t>POST</t>
  </si>
  <si>
    <t>SOC</t>
  </si>
  <si>
    <t>LAZR</t>
  </si>
  <si>
    <t>TWST</t>
  </si>
  <si>
    <t>BTBT</t>
  </si>
  <si>
    <t>HAYN</t>
  </si>
  <si>
    <t>ACM</t>
  </si>
  <si>
    <t>ADM</t>
  </si>
  <si>
    <t>BRBR</t>
  </si>
  <si>
    <t>IIIV</t>
  </si>
  <si>
    <t>LOW</t>
  </si>
  <si>
    <t>BERY</t>
  </si>
  <si>
    <t>J</t>
  </si>
  <si>
    <t>MDT</t>
  </si>
  <si>
    <t>ENR</t>
  </si>
  <si>
    <t>VVV</t>
  </si>
  <si>
    <t>WMT</t>
  </si>
  <si>
    <t>ANGH</t>
  </si>
  <si>
    <t>POWL</t>
  </si>
  <si>
    <t>VREX</t>
  </si>
  <si>
    <t>SPIR</t>
  </si>
  <si>
    <t>IMMR</t>
  </si>
  <si>
    <t>POWW</t>
  </si>
  <si>
    <t>EVLV</t>
  </si>
  <si>
    <t>KEYS</t>
  </si>
  <si>
    <t>SNEX</t>
  </si>
  <si>
    <t>HKD</t>
  </si>
  <si>
    <t>DLB</t>
  </si>
  <si>
    <t>LZB</t>
  </si>
  <si>
    <t>PACS</t>
  </si>
  <si>
    <t>KLDI</t>
  </si>
  <si>
    <t>DY</t>
  </si>
  <si>
    <t>STEC</t>
  </si>
  <si>
    <t>TGT</t>
  </si>
  <si>
    <t>SR</t>
  </si>
  <si>
    <t>WSM</t>
  </si>
  <si>
    <t>TJX</t>
  </si>
  <si>
    <t>JACK</t>
  </si>
  <si>
    <t>PANW</t>
  </si>
  <si>
    <t>SHWZ</t>
  </si>
  <si>
    <t>NVDA</t>
  </si>
  <si>
    <t>SMCI</t>
  </si>
  <si>
    <t>AILE</t>
  </si>
  <si>
    <t>MMS</t>
  </si>
  <si>
    <t>UTI</t>
  </si>
  <si>
    <t>PDD</t>
  </si>
  <si>
    <t>ROAD</t>
  </si>
  <si>
    <t>ATKR</t>
  </si>
  <si>
    <t>LEJUY</t>
  </si>
  <si>
    <t>NNOX</t>
  </si>
  <si>
    <t>BJ</t>
  </si>
  <si>
    <t>DE</t>
  </si>
  <si>
    <t>WMG</t>
  </si>
  <si>
    <t>SCVL</t>
  </si>
  <si>
    <t>CMP</t>
  </si>
  <si>
    <t>GAP</t>
  </si>
  <si>
    <t>UGI</t>
  </si>
  <si>
    <t>INTU</t>
  </si>
  <si>
    <t>LGTY</t>
  </si>
  <si>
    <t>NTAP</t>
  </si>
  <si>
    <t>NGVC</t>
  </si>
  <si>
    <t>ROST</t>
  </si>
  <si>
    <t>CPRT</t>
  </si>
  <si>
    <t>MATW</t>
  </si>
  <si>
    <t>IESC</t>
  </si>
  <si>
    <t>BKE</t>
  </si>
  <si>
    <t>KXIN</t>
  </si>
  <si>
    <t>AVXL</t>
  </si>
  <si>
    <t>MOND</t>
  </si>
  <si>
    <t>CENTA</t>
  </si>
  <si>
    <t>BLBD</t>
  </si>
  <si>
    <t>SMTC</t>
  </si>
  <si>
    <t>A</t>
  </si>
  <si>
    <t>NJR</t>
  </si>
  <si>
    <t>LESL</t>
  </si>
  <si>
    <t>CENT</t>
  </si>
  <si>
    <t>WWD</t>
  </si>
  <si>
    <t>ENTA</t>
  </si>
  <si>
    <t>DDD</t>
  </si>
  <si>
    <t>FLNC</t>
  </si>
  <si>
    <t>ANF</t>
  </si>
  <si>
    <t>DKS</t>
  </si>
  <si>
    <t>ADI</t>
  </si>
  <si>
    <t>AMWD</t>
  </si>
  <si>
    <t>BBY</t>
  </si>
  <si>
    <t>BURL</t>
  </si>
  <si>
    <t>EMBC</t>
  </si>
  <si>
    <t>M</t>
  </si>
  <si>
    <t>SJM</t>
  </si>
  <si>
    <t>TITN</t>
  </si>
  <si>
    <t>JWN</t>
  </si>
  <si>
    <t>HPQ</t>
  </si>
  <si>
    <t>ADSK</t>
  </si>
  <si>
    <t>ARWR</t>
  </si>
  <si>
    <t>WDAY</t>
  </si>
  <si>
    <t>DELL</t>
  </si>
  <si>
    <t>AMBA</t>
  </si>
  <si>
    <t>PD</t>
  </si>
  <si>
    <t>CRWD</t>
  </si>
  <si>
    <t>URBN</t>
  </si>
  <si>
    <t>EM</t>
  </si>
  <si>
    <t>PDCO</t>
  </si>
  <si>
    <t>IMKTA</t>
  </si>
  <si>
    <t>GOGL</t>
  </si>
  <si>
    <t>ZUO</t>
  </si>
  <si>
    <t>NAT</t>
  </si>
  <si>
    <t>GCO</t>
  </si>
  <si>
    <t>SAIC</t>
  </si>
  <si>
    <t>ZS</t>
  </si>
  <si>
    <t>CRDO</t>
  </si>
  <si>
    <t>CNM</t>
  </si>
  <si>
    <t>VLGEA</t>
  </si>
  <si>
    <t>DBI</t>
  </si>
  <si>
    <t>GIII</t>
  </si>
  <si>
    <t>REX</t>
  </si>
  <si>
    <t>DCI</t>
  </si>
  <si>
    <t>SFIX</t>
  </si>
  <si>
    <t>PSTG</t>
  </si>
  <si>
    <t>BOX</t>
  </si>
  <si>
    <t>CRM</t>
  </si>
  <si>
    <t>BASE</t>
  </si>
  <si>
    <t>YEXT</t>
  </si>
  <si>
    <t>MRVL</t>
  </si>
  <si>
    <t>NAPA</t>
  </si>
  <si>
    <t>OLLI</t>
  </si>
  <si>
    <t>DLTR</t>
  </si>
  <si>
    <t>CHWY</t>
  </si>
  <si>
    <t>KFY</t>
  </si>
  <si>
    <t>DAKT</t>
  </si>
  <si>
    <t>THO</t>
  </si>
  <si>
    <t>HRL</t>
  </si>
  <si>
    <t>WLY</t>
  </si>
  <si>
    <t>CPB</t>
  </si>
  <si>
    <t>FL</t>
  </si>
  <si>
    <t>CHPT</t>
  </si>
  <si>
    <t>PVH</t>
  </si>
  <si>
    <t>AEO</t>
  </si>
  <si>
    <t>CASY</t>
  </si>
  <si>
    <t>GEF</t>
  </si>
  <si>
    <t>OOMA</t>
  </si>
  <si>
    <t>IDT</t>
  </si>
  <si>
    <t>VRNT</t>
  </si>
  <si>
    <t>GME</t>
  </si>
  <si>
    <t>AGX</t>
  </si>
  <si>
    <t>CXM</t>
  </si>
  <si>
    <t>FIVE</t>
  </si>
  <si>
    <t>SNPS</t>
  </si>
  <si>
    <t>AVAV</t>
  </si>
  <si>
    <t>DG</t>
  </si>
  <si>
    <t>GMS</t>
  </si>
  <si>
    <t>KALV</t>
  </si>
  <si>
    <t>HOFT</t>
  </si>
  <si>
    <t>MOV</t>
  </si>
  <si>
    <t>MEI</t>
  </si>
  <si>
    <t>KR</t>
  </si>
  <si>
    <t>BBW</t>
  </si>
  <si>
    <t>CAL</t>
  </si>
  <si>
    <t>HOV</t>
  </si>
  <si>
    <t>ASO</t>
  </si>
  <si>
    <t>SIG</t>
  </si>
  <si>
    <t>CRMT</t>
  </si>
  <si>
    <t>WOOF</t>
  </si>
  <si>
    <t>ZUMZ</t>
  </si>
  <si>
    <t>SWBI</t>
  </si>
  <si>
    <t>VSCO</t>
  </si>
  <si>
    <t>PL</t>
  </si>
  <si>
    <t>ULTA</t>
  </si>
  <si>
    <t>FIZZ</t>
  </si>
  <si>
    <t>CDMO</t>
  </si>
  <si>
    <t>ASAN</t>
  </si>
  <si>
    <t>COO</t>
  </si>
  <si>
    <t>HPE</t>
  </si>
  <si>
    <t>DOCU</t>
  </si>
  <si>
    <t>LULU</t>
  </si>
  <si>
    <t>UEC</t>
  </si>
  <si>
    <t>DOMO</t>
  </si>
  <si>
    <t>MDB</t>
  </si>
  <si>
    <t>HQY</t>
  </si>
  <si>
    <t>PHR</t>
  </si>
  <si>
    <t>AI</t>
  </si>
  <si>
    <t>MTN</t>
  </si>
  <si>
    <t>ODC</t>
  </si>
  <si>
    <t>TOL</t>
  </si>
  <si>
    <t>BRZE</t>
  </si>
  <si>
    <t>ORCL</t>
  </si>
  <si>
    <t>AZO</t>
  </si>
  <si>
    <t>LE</t>
  </si>
  <si>
    <t>UNFI</t>
  </si>
  <si>
    <t>PLAY</t>
  </si>
  <si>
    <t>MAMA</t>
  </si>
  <si>
    <t>REVG</t>
  </si>
  <si>
    <t>PLAB</t>
  </si>
  <si>
    <t>NDSN</t>
  </si>
  <si>
    <t>ADBE</t>
  </si>
  <si>
    <t>OXM</t>
  </si>
  <si>
    <t>GENC</t>
  </si>
  <si>
    <t>LQDT</t>
  </si>
  <si>
    <t>CIEN</t>
  </si>
  <si>
    <t>LOVE</t>
  </si>
  <si>
    <t>MLEC</t>
  </si>
  <si>
    <t>ABM</t>
  </si>
  <si>
    <t>AVGO</t>
  </si>
  <si>
    <t>MITK</t>
  </si>
  <si>
    <t>COST</t>
  </si>
  <si>
    <t>NX</t>
  </si>
  <si>
    <t>RH</t>
  </si>
  <si>
    <t>AAPL</t>
  </si>
  <si>
    <t>MSFT</t>
  </si>
  <si>
    <t>GOOG</t>
  </si>
  <si>
    <t>GOOGL</t>
  </si>
  <si>
    <t>AMZN</t>
  </si>
  <si>
    <t>META</t>
  </si>
  <si>
    <t>TSLA</t>
  </si>
  <si>
    <t>BRK.B</t>
  </si>
  <si>
    <t>JPM</t>
  </si>
  <si>
    <t>LLY</t>
  </si>
  <si>
    <t>V</t>
  </si>
  <si>
    <t>UNH</t>
  </si>
  <si>
    <t>MA</t>
  </si>
  <si>
    <t>PG</t>
  </si>
  <si>
    <t>NFLX</t>
  </si>
  <si>
    <t>JNJ</t>
  </si>
  <si>
    <t>BAC</t>
  </si>
  <si>
    <t>ABBV</t>
  </si>
  <si>
    <t>TMUS</t>
  </si>
  <si>
    <t>KO</t>
  </si>
  <si>
    <t>MRK</t>
  </si>
  <si>
    <t>WFC</t>
  </si>
  <si>
    <t>BX</t>
  </si>
  <si>
    <t>ACN</t>
  </si>
  <si>
    <t>AMD</t>
  </si>
  <si>
    <t>PEP</t>
  </si>
  <si>
    <t>LIN</t>
  </si>
  <si>
    <t>MS</t>
  </si>
  <si>
    <t>NOW</t>
  </si>
  <si>
    <t>MCD</t>
  </si>
  <si>
    <t>PM</t>
  </si>
  <si>
    <t>AXP</t>
  </si>
  <si>
    <t>ABT</t>
  </si>
  <si>
    <t>IBM</t>
  </si>
  <si>
    <t>TMO</t>
  </si>
  <si>
    <t>ISRG</t>
  </si>
  <si>
    <t>GE</t>
  </si>
  <si>
    <t>GS</t>
  </si>
  <si>
    <t>CAT</t>
  </si>
  <si>
    <t>TXN</t>
  </si>
  <si>
    <t>VZ</t>
  </si>
  <si>
    <t>DHR</t>
  </si>
  <si>
    <t>BKNG</t>
  </si>
  <si>
    <t>T</t>
  </si>
  <si>
    <t>CMCSA</t>
  </si>
  <si>
    <t>BLK</t>
  </si>
  <si>
    <t>RTX</t>
  </si>
  <si>
    <t>NEE</t>
  </si>
  <si>
    <t>SPGI</t>
  </si>
  <si>
    <t>AMGN</t>
  </si>
  <si>
    <t>PGR</t>
  </si>
  <si>
    <t>HON</t>
  </si>
  <si>
    <t>SCHW</t>
  </si>
  <si>
    <t>SYK</t>
  </si>
  <si>
    <t>UBER</t>
  </si>
  <si>
    <t>ETN</t>
  </si>
  <si>
    <t>UNP</t>
  </si>
  <si>
    <t>PFE</t>
  </si>
  <si>
    <t>KKR</t>
  </si>
  <si>
    <t>BSX</t>
  </si>
  <si>
    <t>COP</t>
  </si>
  <si>
    <t>C</t>
  </si>
  <si>
    <t>LMT</t>
  </si>
  <si>
    <t>FI</t>
  </si>
  <si>
    <t>ADP</t>
  </si>
  <si>
    <t>BMY</t>
  </si>
  <si>
    <t>CB</t>
  </si>
  <si>
    <t>UPS</t>
  </si>
  <si>
    <t>SBUX</t>
  </si>
  <si>
    <t>BA</t>
  </si>
  <si>
    <t>MMC</t>
  </si>
  <si>
    <t>NKE</t>
  </si>
  <si>
    <t>MU</t>
  </si>
  <si>
    <t>PLD</t>
  </si>
  <si>
    <t>INTC</t>
  </si>
  <si>
    <t>SO</t>
  </si>
  <si>
    <t>MO</t>
  </si>
  <si>
    <t>GEV</t>
  </si>
  <si>
    <t>AMT</t>
  </si>
  <si>
    <t>SHW</t>
  </si>
  <si>
    <t>ELV</t>
  </si>
  <si>
    <t>TT</t>
  </si>
  <si>
    <t>CI</t>
  </si>
  <si>
    <t>LRCX</t>
  </si>
  <si>
    <t>ICE</t>
  </si>
  <si>
    <t>PH</t>
  </si>
  <si>
    <t>EQIX</t>
  </si>
  <si>
    <t>CTAS</t>
  </si>
  <si>
    <t>WM</t>
  </si>
  <si>
    <t>MDLZ</t>
  </si>
  <si>
    <t>MCO</t>
  </si>
  <si>
    <t>WELL</t>
  </si>
  <si>
    <t>APH</t>
  </si>
  <si>
    <t>PYPL</t>
  </si>
  <si>
    <t>HCA</t>
  </si>
  <si>
    <t>CDNS</t>
  </si>
  <si>
    <t>KLAC</t>
  </si>
  <si>
    <t>CME</t>
  </si>
  <si>
    <t>AON</t>
  </si>
  <si>
    <t>PNC</t>
  </si>
  <si>
    <t>CMG</t>
  </si>
  <si>
    <t>REGN</t>
  </si>
  <si>
    <t>USB</t>
  </si>
  <si>
    <t>ITW</t>
  </si>
  <si>
    <t>CL</t>
  </si>
  <si>
    <t>GD</t>
  </si>
  <si>
    <t>NOC</t>
  </si>
  <si>
    <t>FDX</t>
  </si>
  <si>
    <t>MMM</t>
  </si>
  <si>
    <t>COF</t>
  </si>
  <si>
    <t>ORLY</t>
  </si>
  <si>
    <t>ECL</t>
  </si>
  <si>
    <t>CSX</t>
  </si>
  <si>
    <t>CARR</t>
  </si>
  <si>
    <t>RSG</t>
  </si>
  <si>
    <t>OKE</t>
  </si>
  <si>
    <t>AJG</t>
  </si>
  <si>
    <t>RCL</t>
  </si>
  <si>
    <t>FCX</t>
  </si>
  <si>
    <t>DLR</t>
  </si>
  <si>
    <t>KMI</t>
  </si>
  <si>
    <t>TFC</t>
  </si>
  <si>
    <t>AFL</t>
  </si>
  <si>
    <t>SLB</t>
  </si>
  <si>
    <t>HLT</t>
  </si>
  <si>
    <t>GM</t>
  </si>
  <si>
    <t>ROP</t>
  </si>
  <si>
    <t>NSC</t>
  </si>
  <si>
    <t>PSA</t>
  </si>
  <si>
    <t>TRV</t>
  </si>
  <si>
    <t>PCAR</t>
  </si>
  <si>
    <t>GWW</t>
  </si>
  <si>
    <t>MET</t>
  </si>
  <si>
    <t>BK</t>
  </si>
  <si>
    <t>AMP</t>
  </si>
  <si>
    <t>PSX</t>
  </si>
  <si>
    <t>URI</t>
  </si>
  <si>
    <t>DHI</t>
  </si>
  <si>
    <t>ALL</t>
  </si>
  <si>
    <t>PAYX</t>
  </si>
  <si>
    <t>PWR</t>
  </si>
  <si>
    <t>NEM</t>
  </si>
  <si>
    <t>FAST</t>
  </si>
  <si>
    <t>LHX</t>
  </si>
  <si>
    <t>NDAQ</t>
  </si>
  <si>
    <t>MSCI</t>
  </si>
  <si>
    <t>LEN</t>
  </si>
  <si>
    <t>ODFL</t>
  </si>
  <si>
    <t>KMB</t>
  </si>
  <si>
    <t>HES</t>
  </si>
  <si>
    <t>CCI</t>
  </si>
  <si>
    <t>AME</t>
  </si>
  <si>
    <t>VLO</t>
  </si>
  <si>
    <t>PRU</t>
  </si>
  <si>
    <t>TEL</t>
  </si>
  <si>
    <t>BKR</t>
  </si>
  <si>
    <t>EA</t>
  </si>
  <si>
    <t>DFS</t>
  </si>
  <si>
    <t>STZ</t>
  </si>
  <si>
    <t>KDP</t>
  </si>
  <si>
    <t>F</t>
  </si>
  <si>
    <t>IR</t>
  </si>
  <si>
    <t>EW</t>
  </si>
  <si>
    <t>GLW</t>
  </si>
  <si>
    <t>DAL</t>
  </si>
  <si>
    <t>XEL</t>
  </si>
  <si>
    <t>VRSK</t>
  </si>
  <si>
    <t>OTIS</t>
  </si>
  <si>
    <t>GRMN</t>
  </si>
  <si>
    <t>CBRE</t>
  </si>
  <si>
    <t>EXC</t>
  </si>
  <si>
    <t>GEHC</t>
  </si>
  <si>
    <t>CTSH</t>
  </si>
  <si>
    <t>KHC</t>
  </si>
  <si>
    <t>VMC</t>
  </si>
  <si>
    <t>EXR</t>
  </si>
  <si>
    <t>SYY</t>
  </si>
  <si>
    <t>LVS</t>
  </si>
  <si>
    <t>ACGL</t>
  </si>
  <si>
    <t>MLM</t>
  </si>
  <si>
    <t>RMD</t>
  </si>
  <si>
    <t>MTB</t>
  </si>
  <si>
    <t>GIS</t>
  </si>
  <si>
    <t>IQV</t>
  </si>
  <si>
    <t>HUM</t>
  </si>
  <si>
    <t>NUE</t>
  </si>
  <si>
    <t>HIG</t>
  </si>
  <si>
    <t>WAB</t>
  </si>
  <si>
    <t>IDXX</t>
  </si>
  <si>
    <t>VICI</t>
  </si>
  <si>
    <t>EIX</t>
  </si>
  <si>
    <t>RJF</t>
  </si>
  <si>
    <t>ETR</t>
  </si>
  <si>
    <t>CCL</t>
  </si>
  <si>
    <t>WEC</t>
  </si>
  <si>
    <t>BRO</t>
  </si>
  <si>
    <t>FITB</t>
  </si>
  <si>
    <t>WTW</t>
  </si>
  <si>
    <t>CSGP</t>
  </si>
  <si>
    <t>UAL</t>
  </si>
  <si>
    <t>DOW</t>
  </si>
  <si>
    <t>EFX</t>
  </si>
  <si>
    <t>CNC</t>
  </si>
  <si>
    <t>XYL</t>
  </si>
  <si>
    <t>DXCM</t>
  </si>
  <si>
    <t>GPN</t>
  </si>
  <si>
    <t>EBAY</t>
  </si>
  <si>
    <t>EQR</t>
  </si>
  <si>
    <t>TSCO</t>
  </si>
  <si>
    <t>SW</t>
  </si>
  <si>
    <t>ON</t>
  </si>
  <si>
    <t>PPG</t>
  </si>
  <si>
    <t>EQT</t>
  </si>
  <si>
    <t>STT</t>
  </si>
  <si>
    <t>K</t>
  </si>
  <si>
    <t>NVR</t>
  </si>
  <si>
    <t>DOV</t>
  </si>
  <si>
    <t>VTR</t>
  </si>
  <si>
    <t>MPWR</t>
  </si>
  <si>
    <t>AWK</t>
  </si>
  <si>
    <t>DECK</t>
  </si>
  <si>
    <t>GDDY</t>
  </si>
  <si>
    <t>PHM</t>
  </si>
  <si>
    <t>FTV</t>
  </si>
  <si>
    <t>TROW</t>
  </si>
  <si>
    <t>VLTO</t>
  </si>
  <si>
    <t>TYL</t>
  </si>
  <si>
    <t>HBAN</t>
  </si>
  <si>
    <t>DTE</t>
  </si>
  <si>
    <t>SYF</t>
  </si>
  <si>
    <t>FE</t>
  </si>
  <si>
    <t>HUBB</t>
  </si>
  <si>
    <t>RF</t>
  </si>
  <si>
    <t>ROL</t>
  </si>
  <si>
    <t>CINF</t>
  </si>
  <si>
    <t>SBAC</t>
  </si>
  <si>
    <t>EL</t>
  </si>
  <si>
    <t>CDW</t>
  </si>
  <si>
    <t>WRB</t>
  </si>
  <si>
    <t>BIIB</t>
  </si>
  <si>
    <t>WST</t>
  </si>
  <si>
    <t>WY</t>
  </si>
  <si>
    <t>STLD</t>
  </si>
  <si>
    <t>WDC</t>
  </si>
  <si>
    <t>ERIE</t>
  </si>
  <si>
    <t>TDY</t>
  </si>
  <si>
    <t>ZBH</t>
  </si>
  <si>
    <t>PKG</t>
  </si>
  <si>
    <t>LDOS</t>
  </si>
  <si>
    <t>NTRS</t>
  </si>
  <si>
    <t>CLX</t>
  </si>
  <si>
    <t>INVH</t>
  </si>
  <si>
    <t>STX</t>
  </si>
  <si>
    <t>MKC</t>
  </si>
  <si>
    <t>CNP</t>
  </si>
  <si>
    <t>CMS</t>
  </si>
  <si>
    <t>IP</t>
  </si>
  <si>
    <t>CFG</t>
  </si>
  <si>
    <t>ESS</t>
  </si>
  <si>
    <t>LH</t>
  </si>
  <si>
    <t>ZBRA</t>
  </si>
  <si>
    <t>CTRA</t>
  </si>
  <si>
    <t>FSLR</t>
  </si>
  <si>
    <t>OMC</t>
  </si>
  <si>
    <t>PFG</t>
  </si>
  <si>
    <t>DRI</t>
  </si>
  <si>
    <t>LUV</t>
  </si>
  <si>
    <t>BF.B</t>
  </si>
  <si>
    <t>MAA</t>
  </si>
  <si>
    <t>KEY</t>
  </si>
  <si>
    <t>SNA</t>
  </si>
  <si>
    <t>JBHT</t>
  </si>
  <si>
    <t>ARE</t>
  </si>
  <si>
    <t>GEN</t>
  </si>
  <si>
    <t>FDS</t>
  </si>
  <si>
    <t>DGX</t>
  </si>
  <si>
    <t>BALL</t>
  </si>
  <si>
    <t>NI</t>
  </si>
  <si>
    <t>VRSN</t>
  </si>
  <si>
    <t>PNR</t>
  </si>
  <si>
    <t>KIM</t>
  </si>
  <si>
    <t>IEX</t>
  </si>
  <si>
    <t>TER</t>
  </si>
  <si>
    <t>GPC</t>
  </si>
  <si>
    <t>MOH</t>
  </si>
  <si>
    <t>ALGN</t>
  </si>
  <si>
    <t>MAS</t>
  </si>
  <si>
    <t>UDR</t>
  </si>
  <si>
    <t>EG</t>
  </si>
  <si>
    <t>LNT</t>
  </si>
  <si>
    <t>AVY</t>
  </si>
  <si>
    <t>CF</t>
  </si>
  <si>
    <t>DOC</t>
  </si>
  <si>
    <t>TXT</t>
  </si>
  <si>
    <t>DPZ</t>
  </si>
  <si>
    <t>AMCR</t>
  </si>
  <si>
    <t>JBL</t>
  </si>
  <si>
    <t>FFIV</t>
  </si>
  <si>
    <t>BXP</t>
  </si>
  <si>
    <t>INCY</t>
  </si>
  <si>
    <t>POOL</t>
  </si>
  <si>
    <t>REG</t>
  </si>
  <si>
    <t>DVA</t>
  </si>
  <si>
    <t>SWK</t>
  </si>
  <si>
    <t>CPT</t>
  </si>
  <si>
    <t>UHS</t>
  </si>
  <si>
    <t>CAG</t>
  </si>
  <si>
    <t>CHRW</t>
  </si>
  <si>
    <t>APTV</t>
  </si>
  <si>
    <t>BG</t>
  </si>
  <si>
    <t>PAYC</t>
  </si>
  <si>
    <t>ALLE</t>
  </si>
  <si>
    <t>DAY</t>
  </si>
  <si>
    <t>KMX</t>
  </si>
  <si>
    <t>JNPR</t>
  </si>
  <si>
    <t>EMN</t>
  </si>
  <si>
    <t>NCLH</t>
  </si>
  <si>
    <t>MGM</t>
  </si>
  <si>
    <t>TECH</t>
  </si>
  <si>
    <t>LW</t>
  </si>
  <si>
    <t>GNRC</t>
  </si>
  <si>
    <t>IPG</t>
  </si>
  <si>
    <t>AOS</t>
  </si>
  <si>
    <t>LKQ</t>
  </si>
  <si>
    <t>FRT</t>
  </si>
  <si>
    <t>AES</t>
  </si>
  <si>
    <t>GL</t>
  </si>
  <si>
    <t>TFX</t>
  </si>
  <si>
    <t>HAS</t>
  </si>
  <si>
    <t>MHK</t>
  </si>
  <si>
    <t>ENPH</t>
  </si>
  <si>
    <t>CZR</t>
  </si>
  <si>
    <t>IVZ</t>
  </si>
  <si>
    <t>HII</t>
  </si>
  <si>
    <t>BWA</t>
  </si>
  <si>
    <t>WBA</t>
  </si>
  <si>
    <t>FMC</t>
  </si>
  <si>
    <t>QRVO</t>
  </si>
  <si>
    <t>AMTM</t>
  </si>
  <si>
    <t>Index</t>
  </si>
  <si>
    <t>Stock</t>
  </si>
  <si>
    <t>SP500</t>
  </si>
  <si>
    <t>ASML</t>
  </si>
  <si>
    <t>DASH</t>
  </si>
  <si>
    <t>TEAM</t>
  </si>
  <si>
    <t>CCEP</t>
  </si>
  <si>
    <t>NQ100</t>
  </si>
  <si>
    <t>Index2</t>
  </si>
  <si>
    <t/>
  </si>
  <si>
    <t>FTAI</t>
  </si>
  <si>
    <t>SFM</t>
  </si>
  <si>
    <t>INSM</t>
  </si>
  <si>
    <t>AIT</t>
  </si>
  <si>
    <t>MLI</t>
  </si>
  <si>
    <t>CRS</t>
  </si>
  <si>
    <t>SSB</t>
  </si>
  <si>
    <t>ENSG</t>
  </si>
  <si>
    <t>UFPI</t>
  </si>
  <si>
    <t>SPXC</t>
  </si>
  <si>
    <t>CVLT</t>
  </si>
  <si>
    <t>TMHC</t>
  </si>
  <si>
    <t>MOD</t>
  </si>
  <si>
    <t>BECN</t>
  </si>
  <si>
    <t>EXLS</t>
  </si>
  <si>
    <t>CMC</t>
  </si>
  <si>
    <t>CSWI</t>
  </si>
  <si>
    <t>CWST</t>
  </si>
  <si>
    <t>ONB</t>
  </si>
  <si>
    <t>SPSC</t>
  </si>
  <si>
    <t>GBCI</t>
  </si>
  <si>
    <t>MTH</t>
  </si>
  <si>
    <t>COOP</t>
  </si>
  <si>
    <t>MOGA</t>
  </si>
  <si>
    <t>BMI</t>
  </si>
  <si>
    <t>EPRT</t>
  </si>
  <si>
    <t>HRI</t>
  </si>
  <si>
    <t>USD</t>
  </si>
  <si>
    <t>MMSI</t>
  </si>
  <si>
    <t>KRG</t>
  </si>
  <si>
    <t>ALTR</t>
  </si>
  <si>
    <t>SIGI</t>
  </si>
  <si>
    <t>PIPR</t>
  </si>
  <si>
    <t>BPMC</t>
  </si>
  <si>
    <t>SUM</t>
  </si>
  <si>
    <t>CHX</t>
  </si>
  <si>
    <t>CNX</t>
  </si>
  <si>
    <t>AUR</t>
  </si>
  <si>
    <t>HOMB</t>
  </si>
  <si>
    <t>BCPC</t>
  </si>
  <si>
    <t>RMBS</t>
  </si>
  <si>
    <t>WTS</t>
  </si>
  <si>
    <t>UBSI</t>
  </si>
  <si>
    <t>ZWS</t>
  </si>
  <si>
    <t>HALO</t>
  </si>
  <si>
    <t>UMBF</t>
  </si>
  <si>
    <t>MDGL</t>
  </si>
  <si>
    <t>FSS</t>
  </si>
  <si>
    <t>VRNS</t>
  </si>
  <si>
    <t>GATX</t>
  </si>
  <si>
    <t>EAT</t>
  </si>
  <si>
    <t>FFIN</t>
  </si>
  <si>
    <t>GPI</t>
  </si>
  <si>
    <t>CADE</t>
  </si>
  <si>
    <t>ITRI</t>
  </si>
  <si>
    <t>SKY</t>
  </si>
  <si>
    <t>KBH</t>
  </si>
  <si>
    <t>NXT</t>
  </si>
  <si>
    <t>MATX</t>
  </si>
  <si>
    <t>SLG</t>
  </si>
  <si>
    <t>ACA</t>
  </si>
  <si>
    <t>KTB</t>
  </si>
  <si>
    <t>ABG</t>
  </si>
  <si>
    <t>SM</t>
  </si>
  <si>
    <t>HWC</t>
  </si>
  <si>
    <t>CTRE</t>
  </si>
  <si>
    <t>IRT</t>
  </si>
  <si>
    <t>PECO</t>
  </si>
  <si>
    <t>TENB</t>
  </si>
  <si>
    <t>SFBS</t>
  </si>
  <si>
    <t>BDC</t>
  </si>
  <si>
    <t>POR</t>
  </si>
  <si>
    <t>EXPO</t>
  </si>
  <si>
    <t>VLY</t>
  </si>
  <si>
    <t>FELE</t>
  </si>
  <si>
    <t>MGY</t>
  </si>
  <si>
    <t>IDCC</t>
  </si>
  <si>
    <t>KAI</t>
  </si>
  <si>
    <t>AVNT</t>
  </si>
  <si>
    <t>SHAK</t>
  </si>
  <si>
    <t>ALKS</t>
  </si>
  <si>
    <t>SKYW</t>
  </si>
  <si>
    <t>PRMB</t>
  </si>
  <si>
    <t>ITGR</t>
  </si>
  <si>
    <t>CORT</t>
  </si>
  <si>
    <t>LRN</t>
  </si>
  <si>
    <t>SBRA</t>
  </si>
  <si>
    <t>ABCB</t>
  </si>
  <si>
    <t>GVA</t>
  </si>
  <si>
    <t>PLXS</t>
  </si>
  <si>
    <t>WHD</t>
  </si>
  <si>
    <t>NSIT</t>
  </si>
  <si>
    <t>CNO</t>
  </si>
  <si>
    <t>PI</t>
  </si>
  <si>
    <t>AEIS</t>
  </si>
  <si>
    <t>MHO</t>
  </si>
  <si>
    <t>AX</t>
  </si>
  <si>
    <t>ASB</t>
  </si>
  <si>
    <t>TCBI</t>
  </si>
  <si>
    <t>FCFS</t>
  </si>
  <si>
    <t>FUL</t>
  </si>
  <si>
    <t>SEM</t>
  </si>
  <si>
    <t>MC</t>
  </si>
  <si>
    <t>PRCT</t>
  </si>
  <si>
    <t>BOOT</t>
  </si>
  <si>
    <t>CVCO</t>
  </si>
  <si>
    <t>CALM</t>
  </si>
  <si>
    <t>ASGN</t>
  </si>
  <si>
    <t>VRRM</t>
  </si>
  <si>
    <t>TPH</t>
  </si>
  <si>
    <t>WDFC</t>
  </si>
  <si>
    <t>ALE</t>
  </si>
  <si>
    <t>JBT</t>
  </si>
  <si>
    <t>OPCH</t>
  </si>
  <si>
    <t>CNK</t>
  </si>
  <si>
    <t>CBZ</t>
  </si>
  <si>
    <t>EBC</t>
  </si>
  <si>
    <t>RUSHA</t>
  </si>
  <si>
    <t>PJT</t>
  </si>
  <si>
    <t>DORM</t>
  </si>
  <si>
    <t>HCC</t>
  </si>
  <si>
    <t>LANC</t>
  </si>
  <si>
    <t>UCB</t>
  </si>
  <si>
    <t>RIOT</t>
  </si>
  <si>
    <t>SMPL</t>
  </si>
  <si>
    <t>CDP</t>
  </si>
  <si>
    <t>BLKB</t>
  </si>
  <si>
    <t>NWE</t>
  </si>
  <si>
    <t>TEX</t>
  </si>
  <si>
    <t>BTU</t>
  </si>
  <si>
    <t>AUB</t>
  </si>
  <si>
    <t>BXMT</t>
  </si>
  <si>
    <t>PCH</t>
  </si>
  <si>
    <t>ATGE</t>
  </si>
  <si>
    <t>PBF</t>
  </si>
  <si>
    <t>NEOG</t>
  </si>
  <si>
    <t>MIR</t>
  </si>
  <si>
    <t>CLSKW</t>
  </si>
  <si>
    <t>BNL</t>
  </si>
  <si>
    <t>CBU</t>
  </si>
  <si>
    <t>SXT</t>
  </si>
  <si>
    <t>BGC</t>
  </si>
  <si>
    <t>FULT</t>
  </si>
  <si>
    <t>PTEN</t>
  </si>
  <si>
    <t>TRN</t>
  </si>
  <si>
    <t>AGIO</t>
  </si>
  <si>
    <t>WSFS</t>
  </si>
  <si>
    <t>RIG</t>
  </si>
  <si>
    <t>GHC</t>
  </si>
  <si>
    <t>HUBG</t>
  </si>
  <si>
    <t>RELY</t>
  </si>
  <si>
    <t>CVBF</t>
  </si>
  <si>
    <t>CWT</t>
  </si>
  <si>
    <t>CATY</t>
  </si>
  <si>
    <t>PFSI</t>
  </si>
  <si>
    <t>FORM</t>
  </si>
  <si>
    <t>UE</t>
  </si>
  <si>
    <t>VAL</t>
  </si>
  <si>
    <t>UNF</t>
  </si>
  <si>
    <t>HTLF</t>
  </si>
  <si>
    <t>FLG</t>
  </si>
  <si>
    <t>CNS</t>
  </si>
  <si>
    <t>MGRC</t>
  </si>
  <si>
    <t>TNET</t>
  </si>
  <si>
    <t>SFNC</t>
  </si>
  <si>
    <t>PRK</t>
  </si>
  <si>
    <t>FBP</t>
  </si>
  <si>
    <t>PATK</t>
  </si>
  <si>
    <t>LBRT</t>
  </si>
  <si>
    <t>LIVN</t>
  </si>
  <si>
    <t>OII</t>
  </si>
  <si>
    <t>PRGS</t>
  </si>
  <si>
    <t>FIBK</t>
  </si>
  <si>
    <t>AGYS</t>
  </si>
  <si>
    <t>APAM</t>
  </si>
  <si>
    <t>INDB</t>
  </si>
  <si>
    <t>GSHD</t>
  </si>
  <si>
    <t>BKU</t>
  </si>
  <si>
    <t>PTON</t>
  </si>
  <si>
    <t>NARI</t>
  </si>
  <si>
    <t>FCPT</t>
  </si>
  <si>
    <t>BOH</t>
  </si>
  <si>
    <t>TMDX</t>
  </si>
  <si>
    <t>AKR</t>
  </si>
  <si>
    <t>FRME</t>
  </si>
  <si>
    <t>TOWN</t>
  </si>
  <si>
    <t>STNG</t>
  </si>
  <si>
    <t>HNI</t>
  </si>
  <si>
    <t>NSP</t>
  </si>
  <si>
    <t>AIN</t>
  </si>
  <si>
    <t>DRS</t>
  </si>
  <si>
    <t>ENVA</t>
  </si>
  <si>
    <t>EPAC</t>
  </si>
  <si>
    <t>BANF</t>
  </si>
  <si>
    <t>MTX</t>
  </si>
  <si>
    <t>AZZ</t>
  </si>
  <si>
    <t>FFBC</t>
  </si>
  <si>
    <t>LAUR</t>
  </si>
  <si>
    <t>ICFI</t>
  </si>
  <si>
    <t>OSIS</t>
  </si>
  <si>
    <t>WAFD</t>
  </si>
  <si>
    <t>TBBK</t>
  </si>
  <si>
    <t>SBCF</t>
  </si>
  <si>
    <t>HWKN</t>
  </si>
  <si>
    <t>PPBI</t>
  </si>
  <si>
    <t>WERN</t>
  </si>
  <si>
    <t>COMP</t>
  </si>
  <si>
    <t>CCS</t>
  </si>
  <si>
    <t>MYRG</t>
  </si>
  <si>
    <t>CURB</t>
  </si>
  <si>
    <t>VC</t>
  </si>
  <si>
    <t>SXI</t>
  </si>
  <si>
    <t>IRTC</t>
  </si>
  <si>
    <t>TTMI</t>
  </si>
  <si>
    <t>PHIN</t>
  </si>
  <si>
    <t>AIR</t>
  </si>
  <si>
    <t>MTRN</t>
  </si>
  <si>
    <t>IBTX</t>
  </si>
  <si>
    <t>KWR</t>
  </si>
  <si>
    <t>PFS</t>
  </si>
  <si>
    <t>EFSC</t>
  </si>
  <si>
    <t>CAKE</t>
  </si>
  <si>
    <t>WNS</t>
  </si>
  <si>
    <t>BANC</t>
  </si>
  <si>
    <t>CNMD</t>
  </si>
  <si>
    <t>PSMT</t>
  </si>
  <si>
    <t>TFIN</t>
  </si>
  <si>
    <t>BANR</t>
  </si>
  <si>
    <t>B</t>
  </si>
  <si>
    <t>ROIC</t>
  </si>
  <si>
    <t>VIAV</t>
  </si>
  <si>
    <t>GRBK</t>
  </si>
  <si>
    <t>WSBC</t>
  </si>
  <si>
    <t>IVT</t>
  </si>
  <si>
    <t>HURN</t>
  </si>
  <si>
    <t>LMAT</t>
  </si>
  <si>
    <t>ROCK</t>
  </si>
  <si>
    <t>LMND</t>
  </si>
  <si>
    <t>TRMK</t>
  </si>
  <si>
    <t>NBTB</t>
  </si>
  <si>
    <t>GBX</t>
  </si>
  <si>
    <t>MCY</t>
  </si>
  <si>
    <t>ALKT</t>
  </si>
  <si>
    <t>RNST</t>
  </si>
  <si>
    <t>FBK</t>
  </si>
  <si>
    <t>SYBT</t>
  </si>
  <si>
    <t>SKWD</t>
  </si>
  <si>
    <t>PRG</t>
  </si>
  <si>
    <t>ALG</t>
  </si>
  <si>
    <t>EXTR</t>
  </si>
  <si>
    <t>OMCL</t>
  </si>
  <si>
    <t>OSW</t>
  </si>
  <si>
    <t>KYMR</t>
  </si>
  <si>
    <t>CALX</t>
  </si>
  <si>
    <t>ROG</t>
  </si>
  <si>
    <t>OI</t>
  </si>
  <si>
    <t>NTB</t>
  </si>
  <si>
    <t>JBLU</t>
  </si>
  <si>
    <t>OFG</t>
  </si>
  <si>
    <t>CASH</t>
  </si>
  <si>
    <t>LKFN</t>
  </si>
  <si>
    <t>JOE</t>
  </si>
  <si>
    <t>SJW</t>
  </si>
  <si>
    <t>TRUP</t>
  </si>
  <si>
    <t>HEES</t>
  </si>
  <si>
    <t>APOG</t>
  </si>
  <si>
    <t>FCF</t>
  </si>
  <si>
    <t>LC</t>
  </si>
  <si>
    <t>CHCO</t>
  </si>
  <si>
    <t>NVCR</t>
  </si>
  <si>
    <t>SASR</t>
  </si>
  <si>
    <t>SMMT</t>
  </si>
  <si>
    <t>BHE</t>
  </si>
  <si>
    <t>UPBD</t>
  </si>
  <si>
    <t>STC</t>
  </si>
  <si>
    <t>NWBI</t>
  </si>
  <si>
    <t>FBNC</t>
  </si>
  <si>
    <t>ATRC</t>
  </si>
  <si>
    <t>NGVT</t>
  </si>
  <si>
    <t>VRTS</t>
  </si>
  <si>
    <t>LTC</t>
  </si>
  <si>
    <t>WT</t>
  </si>
  <si>
    <t>WGO</t>
  </si>
  <si>
    <t>MLKN</t>
  </si>
  <si>
    <t>CUBI</t>
  </si>
  <si>
    <t>LOB</t>
  </si>
  <si>
    <t>TCBK</t>
  </si>
  <si>
    <t>WKC</t>
  </si>
  <si>
    <t>CODI</t>
  </si>
  <si>
    <t>GTY</t>
  </si>
  <si>
    <t>TNC</t>
  </si>
  <si>
    <t>KN</t>
  </si>
  <si>
    <t>HTH</t>
  </si>
  <si>
    <t>SCL</t>
  </si>
  <si>
    <t>SPNT</t>
  </si>
  <si>
    <t>HOPE</t>
  </si>
  <si>
    <t>NIC</t>
  </si>
  <si>
    <t>QCRH</t>
  </si>
  <si>
    <t>UCTT</t>
  </si>
  <si>
    <t>CTS</t>
  </si>
  <si>
    <t>DFIN</t>
  </si>
  <si>
    <t>BUSE</t>
  </si>
  <si>
    <t>HELE</t>
  </si>
  <si>
    <t>USLM</t>
  </si>
  <si>
    <t>NBHC</t>
  </si>
  <si>
    <t>CSTM</t>
  </si>
  <si>
    <t>TDOC</t>
  </si>
  <si>
    <t>HLX</t>
  </si>
  <si>
    <t>STEL</t>
  </si>
  <si>
    <t>ALEX</t>
  </si>
  <si>
    <t>NTCT</t>
  </si>
  <si>
    <t>STBA</t>
  </si>
  <si>
    <t>WABC</t>
  </si>
  <si>
    <t>ESRT</t>
  </si>
  <si>
    <t>LTH</t>
  </si>
  <si>
    <t>CHEF</t>
  </si>
  <si>
    <t>NRIX</t>
  </si>
  <si>
    <t>VRE</t>
  </si>
  <si>
    <t>LADR</t>
  </si>
  <si>
    <t>AESI</t>
  </si>
  <si>
    <t>WS</t>
  </si>
  <si>
    <t>GABC</t>
  </si>
  <si>
    <t>INMD</t>
  </si>
  <si>
    <t>COCO</t>
  </si>
  <si>
    <t>ARVN</t>
  </si>
  <si>
    <t>TROX</t>
  </si>
  <si>
    <t>SABR</t>
  </si>
  <si>
    <t>VBTX</t>
  </si>
  <si>
    <t>ENVX</t>
  </si>
  <si>
    <t>AAT</t>
  </si>
  <si>
    <t>UNIT</t>
  </si>
  <si>
    <t>BFH</t>
  </si>
  <si>
    <t>FOXF</t>
  </si>
  <si>
    <t>LNN</t>
  </si>
  <si>
    <t>HLIT</t>
  </si>
  <si>
    <t>CMPR</t>
  </si>
  <si>
    <t>PEBO</t>
  </si>
  <si>
    <t>ARI</t>
  </si>
  <si>
    <t>UUUU</t>
  </si>
  <si>
    <t>CRK</t>
  </si>
  <si>
    <t>SRCE</t>
  </si>
  <si>
    <t>THRM</t>
  </si>
  <si>
    <t>STAA</t>
  </si>
  <si>
    <t>KALU</t>
  </si>
  <si>
    <t>TVTX</t>
  </si>
  <si>
    <t>NAVI</t>
  </si>
  <si>
    <t>CWH</t>
  </si>
  <si>
    <t>JBGS</t>
  </si>
  <si>
    <t>CRAI</t>
  </si>
  <si>
    <t>SCS</t>
  </si>
  <si>
    <t>DCOM</t>
  </si>
  <si>
    <t>XPRO</t>
  </si>
  <si>
    <t>TWO</t>
  </si>
  <si>
    <t>CIFR</t>
  </si>
  <si>
    <t>WOR</t>
  </si>
  <si>
    <t>VICR</t>
  </si>
  <si>
    <t>ALGT</t>
  </si>
  <si>
    <t>OCFC</t>
  </si>
  <si>
    <t>MSEX</t>
  </si>
  <si>
    <t>PMT</t>
  </si>
  <si>
    <t>PDM</t>
  </si>
  <si>
    <t>FBMS</t>
  </si>
  <si>
    <t>FDP</t>
  </si>
  <si>
    <t>COHU</t>
  </si>
  <si>
    <t>AMSF</t>
  </si>
  <si>
    <t>MXL</t>
  </si>
  <si>
    <t>EIG</t>
  </si>
  <si>
    <t>WINA</t>
  </si>
  <si>
    <t>ARDX</t>
  </si>
  <si>
    <t>CSR</t>
  </si>
  <si>
    <t>ALHC</t>
  </si>
  <si>
    <t>PFC</t>
  </si>
  <si>
    <t>AMSC</t>
  </si>
  <si>
    <t>MDXG</t>
  </si>
  <si>
    <t>SXC</t>
  </si>
  <si>
    <t>OBK</t>
  </si>
  <si>
    <t>BY</t>
  </si>
  <si>
    <t>SAFE</t>
  </si>
  <si>
    <t>APLD</t>
  </si>
  <si>
    <t>KFRC</t>
  </si>
  <si>
    <t>UTZ</t>
  </si>
  <si>
    <t>IMAX</t>
  </si>
  <si>
    <t>FMBH</t>
  </si>
  <si>
    <t>MCRI</t>
  </si>
  <si>
    <t>BHLB</t>
  </si>
  <si>
    <t>CNOB</t>
  </si>
  <si>
    <t>NXRT</t>
  </si>
  <si>
    <t>DAN</t>
  </si>
  <si>
    <t>BFC</t>
  </si>
  <si>
    <t>SBSI</t>
  </si>
  <si>
    <t>TNK</t>
  </si>
  <si>
    <t>BXC</t>
  </si>
  <si>
    <t>PRO</t>
  </si>
  <si>
    <t>UVSP</t>
  </si>
  <si>
    <t>CTBI</t>
  </si>
  <si>
    <t>TMP</t>
  </si>
  <si>
    <t>CMCO</t>
  </si>
  <si>
    <t>JBI</t>
  </si>
  <si>
    <t>BLX</t>
  </si>
  <si>
    <t>ATEC</t>
  </si>
  <si>
    <t>XRX</t>
  </si>
  <si>
    <t>MRTN</t>
  </si>
  <si>
    <t>HRMY</t>
  </si>
  <si>
    <t>DRVN</t>
  </si>
  <si>
    <t>BRKL</t>
  </si>
  <si>
    <t>RWT</t>
  </si>
  <si>
    <t>GDYN</t>
  </si>
  <si>
    <t>CCB</t>
  </si>
  <si>
    <t>LEU</t>
  </si>
  <si>
    <t>ROOT</t>
  </si>
  <si>
    <t>TRNS</t>
  </si>
  <si>
    <t>COUR</t>
  </si>
  <si>
    <t>BHRB</t>
  </si>
  <si>
    <t>LPG</t>
  </si>
  <si>
    <t>ECVT</t>
  </si>
  <si>
    <t>DX</t>
  </si>
  <si>
    <t>CLB</t>
  </si>
  <si>
    <t>OSBC</t>
  </si>
  <si>
    <t>ARR</t>
  </si>
  <si>
    <t>SAH</t>
  </si>
  <si>
    <t>BDN</t>
  </si>
  <si>
    <t>RSI</t>
  </si>
  <si>
    <t>PENG</t>
  </si>
  <si>
    <t>NG</t>
  </si>
  <si>
    <t>WGS</t>
  </si>
  <si>
    <t>MBWM</t>
  </si>
  <si>
    <t>NBBK</t>
  </si>
  <si>
    <t>PGRE</t>
  </si>
  <si>
    <t>BSIG</t>
  </si>
  <si>
    <t>BRSP</t>
  </si>
  <si>
    <t>CFB</t>
  </si>
  <si>
    <t>FIP</t>
  </si>
  <si>
    <t>ERII</t>
  </si>
  <si>
    <t>HBNC</t>
  </si>
  <si>
    <t>ORRF</t>
  </si>
  <si>
    <t>CFFN</t>
  </si>
  <si>
    <t>CECO</t>
  </si>
  <si>
    <t>GRC</t>
  </si>
  <si>
    <t>LGFB</t>
  </si>
  <si>
    <t>HCSG</t>
  </si>
  <si>
    <t>MNRO</t>
  </si>
  <si>
    <t>IBCP</t>
  </si>
  <si>
    <t>CNXN</t>
  </si>
  <si>
    <t>FCBC</t>
  </si>
  <si>
    <t>MBUU</t>
  </si>
  <si>
    <t>HFWA</t>
  </si>
  <si>
    <t>ZYME</t>
  </si>
  <si>
    <t>WNC</t>
  </si>
  <si>
    <t>SITC</t>
  </si>
  <si>
    <t>CAC</t>
  </si>
  <si>
    <t>AMTB</t>
  </si>
  <si>
    <t>AVNS</t>
  </si>
  <si>
    <t>BELFB</t>
  </si>
  <si>
    <t>HSTM</t>
  </si>
  <si>
    <t>IE</t>
  </si>
  <si>
    <t>KNSA</t>
  </si>
  <si>
    <t>EQBK</t>
  </si>
  <si>
    <t>EGBN</t>
  </si>
  <si>
    <t>NBN</t>
  </si>
  <si>
    <t>MBIN</t>
  </si>
  <si>
    <t>HLF</t>
  </si>
  <si>
    <t>DFH</t>
  </si>
  <si>
    <t>HTBK</t>
  </si>
  <si>
    <t>AMAL</t>
  </si>
  <si>
    <t>WASH</t>
  </si>
  <si>
    <t>DJCO</t>
  </si>
  <si>
    <t>SSTK</t>
  </si>
  <si>
    <t>DEC</t>
  </si>
  <si>
    <t>JBSS</t>
  </si>
  <si>
    <t>WSR</t>
  </si>
  <si>
    <t>UDMY</t>
  </si>
  <si>
    <t>SWI</t>
  </si>
  <si>
    <t>MCW</t>
  </si>
  <si>
    <t>BFST</t>
  </si>
  <si>
    <t>PGC</t>
  </si>
  <si>
    <t>MCB</t>
  </si>
  <si>
    <t>GCI</t>
  </si>
  <si>
    <t>MCBS</t>
  </si>
  <si>
    <t>NTGR</t>
  </si>
  <si>
    <t>RBCAA</t>
  </si>
  <si>
    <t>BBUC</t>
  </si>
  <si>
    <t>EU</t>
  </si>
  <si>
    <t>DAWN</t>
  </si>
  <si>
    <t>PUMP</t>
  </si>
  <si>
    <t>SMP</t>
  </si>
  <si>
    <t>PFBC</t>
  </si>
  <si>
    <t>RYI</t>
  </si>
  <si>
    <t>SMBC</t>
  </si>
  <si>
    <t>THFF</t>
  </si>
  <si>
    <t>NBR</t>
  </si>
  <si>
    <t>KREF</t>
  </si>
  <si>
    <t>CVI</t>
  </si>
  <si>
    <t>ETD</t>
  </si>
  <si>
    <t>OSPN</t>
  </si>
  <si>
    <t>BJRI</t>
  </si>
  <si>
    <t>SMBK</t>
  </si>
  <si>
    <t>CCNE</t>
  </si>
  <si>
    <t>CASS</t>
  </si>
  <si>
    <t>MGPI</t>
  </si>
  <si>
    <t>GPRE</t>
  </si>
  <si>
    <t>HTBI</t>
  </si>
  <si>
    <t>CPF</t>
  </si>
  <si>
    <t>HZO</t>
  </si>
  <si>
    <t>RGR</t>
  </si>
  <si>
    <t>BHB</t>
  </si>
  <si>
    <t>MTAL</t>
  </si>
  <si>
    <t>VIR</t>
  </si>
  <si>
    <t>HAFC</t>
  </si>
  <si>
    <t>FMNB</t>
  </si>
  <si>
    <t>GSBC</t>
  </si>
  <si>
    <t>TRST</t>
  </si>
  <si>
    <t>MSFUT</t>
  </si>
  <si>
    <t>ETWO</t>
  </si>
  <si>
    <t>CRMD</t>
  </si>
  <si>
    <t>FSBC</t>
  </si>
  <si>
    <t>UVE</t>
  </si>
  <si>
    <t>ACEL</t>
  </si>
  <si>
    <t>SNCY</t>
  </si>
  <si>
    <t>AROW</t>
  </si>
  <si>
    <t>NFBK</t>
  </si>
  <si>
    <t>CCBG</t>
  </si>
  <si>
    <t>CLMB</t>
  </si>
  <si>
    <t>SCHL</t>
  </si>
  <si>
    <t>XTSLA</t>
  </si>
  <si>
    <t>CCO</t>
  </si>
  <si>
    <t>ORC</t>
  </si>
  <si>
    <t>PLOW</t>
  </si>
  <si>
    <t>AVO</t>
  </si>
  <si>
    <t>TIPT</t>
  </si>
  <si>
    <t>HTLD</t>
  </si>
  <si>
    <t>MOFG</t>
  </si>
  <si>
    <t>MCS</t>
  </si>
  <si>
    <t>HONE</t>
  </si>
  <si>
    <t>TRTX</t>
  </si>
  <si>
    <t>IIIN</t>
  </si>
  <si>
    <t>NYMT</t>
  </si>
  <si>
    <t>NRDS</t>
  </si>
  <si>
    <t>SPFI</t>
  </si>
  <si>
    <t>FOR</t>
  </si>
  <si>
    <t>NVRI</t>
  </si>
  <si>
    <t>WEAV</t>
  </si>
  <si>
    <t>ACCO</t>
  </si>
  <si>
    <t>CSV</t>
  </si>
  <si>
    <t>FPI</t>
  </si>
  <si>
    <t>WLDN</t>
  </si>
  <si>
    <t>KRNY</t>
  </si>
  <si>
    <t>ESQ</t>
  </si>
  <si>
    <t>MSBI</t>
  </si>
  <si>
    <t>MPB</t>
  </si>
  <si>
    <t>EBF</t>
  </si>
  <si>
    <t>SHBI</t>
  </si>
  <si>
    <t>NWPX</t>
  </si>
  <si>
    <t>CLBK</t>
  </si>
  <si>
    <t>UHT</t>
  </si>
  <si>
    <t>UIS</t>
  </si>
  <si>
    <t>NRIM</t>
  </si>
  <si>
    <t>AMBP</t>
  </si>
  <si>
    <t>LGFA</t>
  </si>
  <si>
    <t>FFWM</t>
  </si>
  <si>
    <t>CHCT</t>
  </si>
  <si>
    <t>TTI</t>
  </si>
  <si>
    <t>RBB</t>
  </si>
  <si>
    <t>RES</t>
  </si>
  <si>
    <t>FFIC</t>
  </si>
  <si>
    <t>ALRS</t>
  </si>
  <si>
    <t>PKST</t>
  </si>
  <si>
    <t>CYH</t>
  </si>
  <si>
    <t>RUSHB</t>
  </si>
  <si>
    <t>CVLG</t>
  </si>
  <si>
    <t>HIFS</t>
  </si>
  <si>
    <t>BMRC</t>
  </si>
  <si>
    <t>BSRR</t>
  </si>
  <si>
    <t>CON</t>
  </si>
  <si>
    <t>RDUS</t>
  </si>
  <si>
    <t>TCBX</t>
  </si>
  <si>
    <t>BAND</t>
  </si>
  <si>
    <t>LXU</t>
  </si>
  <si>
    <t>TK</t>
  </si>
  <si>
    <t>SHYF</t>
  </si>
  <si>
    <t>FISI</t>
  </si>
  <si>
    <t>CARE</t>
  </si>
  <si>
    <t>LAB</t>
  </si>
  <si>
    <t>CVGW</t>
  </si>
  <si>
    <t>FBIZ</t>
  </si>
  <si>
    <t>FMAO</t>
  </si>
  <si>
    <t>LMNR</t>
  </si>
  <si>
    <t>USNA</t>
  </si>
  <si>
    <t>NECB</t>
  </si>
  <si>
    <t>CTO</t>
  </si>
  <si>
    <t>TREE</t>
  </si>
  <si>
    <t>WTBA</t>
  </si>
  <si>
    <t>SLP</t>
  </si>
  <si>
    <t>ACNB</t>
  </si>
  <si>
    <t>WRLD</t>
  </si>
  <si>
    <t>ZEUS</t>
  </si>
  <si>
    <t>RICK</t>
  </si>
  <si>
    <t>DSGR</t>
  </si>
  <si>
    <t>CDXC</t>
  </si>
  <si>
    <t>EBTC</t>
  </si>
  <si>
    <t>HBCP</t>
  </si>
  <si>
    <t>CIVB</t>
  </si>
  <si>
    <t>USAP</t>
  </si>
  <si>
    <t>LXFR</t>
  </si>
  <si>
    <t>UNTY</t>
  </si>
  <si>
    <t>CWBC</t>
  </si>
  <si>
    <t>NPK</t>
  </si>
  <si>
    <t>FLIC</t>
  </si>
  <si>
    <t>ASPI</t>
  </si>
  <si>
    <t>NOVA</t>
  </si>
  <si>
    <t>MAX</t>
  </si>
  <si>
    <t>TALK</t>
  </si>
  <si>
    <t>HBT</t>
  </si>
  <si>
    <t>BCAL</t>
  </si>
  <si>
    <t>GIC</t>
  </si>
  <si>
    <t>ZIMV</t>
  </si>
  <si>
    <t>BYRN</t>
  </si>
  <si>
    <t>RBBN</t>
  </si>
  <si>
    <t>FRBA</t>
  </si>
  <si>
    <t>MTW</t>
  </si>
  <si>
    <t>INBK</t>
  </si>
  <si>
    <t>GEFB</t>
  </si>
  <si>
    <t>SFST</t>
  </si>
  <si>
    <t>IRMD</t>
  </si>
  <si>
    <t>TRUE</t>
  </si>
  <si>
    <t>CBAN</t>
  </si>
  <si>
    <t>METCV</t>
  </si>
  <si>
    <t>TWI</t>
  </si>
  <si>
    <t>BCML</t>
  </si>
  <si>
    <t>ULH</t>
  </si>
  <si>
    <t>FSBW</t>
  </si>
  <si>
    <t>NVEC</t>
  </si>
  <si>
    <t>OIS</t>
  </si>
  <si>
    <t>FNLC</t>
  </si>
  <si>
    <t>GNTY</t>
  </si>
  <si>
    <t>OBT</t>
  </si>
  <si>
    <t>PLSE</t>
  </si>
  <si>
    <t>CZNC</t>
  </si>
  <si>
    <t>HVT</t>
  </si>
  <si>
    <t>PLPC</t>
  </si>
  <si>
    <t>CZFS</t>
  </si>
  <si>
    <t>AEHR</t>
  </si>
  <si>
    <t>BWB</t>
  </si>
  <si>
    <t>DENN</t>
  </si>
  <si>
    <t>LOCO</t>
  </si>
  <si>
    <t>COFS</t>
  </si>
  <si>
    <t>PACK</t>
  </si>
  <si>
    <t>CERS</t>
  </si>
  <si>
    <t>SSBK</t>
  </si>
  <si>
    <t>JMSB</t>
  </si>
  <si>
    <t>CBNK</t>
  </si>
  <si>
    <t>CDXS</t>
  </si>
  <si>
    <t>FRST</t>
  </si>
  <si>
    <t>PKBK</t>
  </si>
  <si>
    <t>WSBF</t>
  </si>
  <si>
    <t>RGP</t>
  </si>
  <si>
    <t>BYON</t>
  </si>
  <si>
    <t>NRC</t>
  </si>
  <si>
    <t>PLBC</t>
  </si>
  <si>
    <t>ORN</t>
  </si>
  <si>
    <t>SPOK</t>
  </si>
  <si>
    <t>PCB</t>
  </si>
  <si>
    <t>DGICA</t>
  </si>
  <si>
    <t>LRMR</t>
  </si>
  <si>
    <t>RRBI</t>
  </si>
  <si>
    <t>BLFY</t>
  </si>
  <si>
    <t>FDBC</t>
  </si>
  <si>
    <t>SAGE</t>
  </si>
  <si>
    <t>PKE</t>
  </si>
  <si>
    <t>TSBK</t>
  </si>
  <si>
    <t>SNBR</t>
  </si>
  <si>
    <t>ANGO</t>
  </si>
  <si>
    <t>FLXS</t>
  </si>
  <si>
    <t>PDLB</t>
  </si>
  <si>
    <t>MVBF</t>
  </si>
  <si>
    <t>CTOS</t>
  </si>
  <si>
    <t>ACCD</t>
  </si>
  <si>
    <t>CCCC</t>
  </si>
  <si>
    <t>ILPT</t>
  </si>
  <si>
    <t>LZM</t>
  </si>
  <si>
    <t>ULCC</t>
  </si>
  <si>
    <t>RNGR</t>
  </si>
  <si>
    <t>BCBP</t>
  </si>
  <si>
    <t>ANIK</t>
  </si>
  <si>
    <t>GCBC</t>
  </si>
  <si>
    <t>BWFG</t>
  </si>
  <si>
    <t>LUNG</t>
  </si>
  <si>
    <t>CPS</t>
  </si>
  <si>
    <t>MBCN</t>
  </si>
  <si>
    <t>JAKK</t>
  </si>
  <si>
    <t>PINE</t>
  </si>
  <si>
    <t>OVLY</t>
  </si>
  <si>
    <t>HMST</t>
  </si>
  <si>
    <t>LCNB</t>
  </si>
  <si>
    <t>BSVN</t>
  </si>
  <si>
    <t>CHMG</t>
  </si>
  <si>
    <t>ISTR</t>
  </si>
  <si>
    <t>QUAD</t>
  </si>
  <si>
    <t>NWFL</t>
  </si>
  <si>
    <t>FVCB</t>
  </si>
  <si>
    <t>CRDA</t>
  </si>
  <si>
    <t>USCB</t>
  </si>
  <si>
    <t>RMAX</t>
  </si>
  <si>
    <t>ASUR</t>
  </si>
  <si>
    <t>ATNI</t>
  </si>
  <si>
    <t>NKSH</t>
  </si>
  <si>
    <t>CIO</t>
  </si>
  <si>
    <t>BPRN</t>
  </si>
  <si>
    <t>VABK</t>
  </si>
  <si>
    <t>FLWS</t>
  </si>
  <si>
    <t>MFIN</t>
  </si>
  <si>
    <t>MG</t>
  </si>
  <si>
    <t>MYFW</t>
  </si>
  <si>
    <t>BMEA</t>
  </si>
  <si>
    <t>IWM</t>
  </si>
  <si>
    <t>As of:</t>
  </si>
  <si>
    <t>CSL</t>
  </si>
  <si>
    <t>FIX</t>
  </si>
  <si>
    <t>LECO</t>
  </si>
  <si>
    <t>GGG</t>
  </si>
  <si>
    <t>CW</t>
  </si>
  <si>
    <t>CR</t>
  </si>
  <si>
    <t>AYI</t>
  </si>
  <si>
    <t>TREX</t>
  </si>
  <si>
    <t>PCTY</t>
  </si>
  <si>
    <t>LSTR</t>
  </si>
  <si>
    <t>SSD</t>
  </si>
  <si>
    <t>MSA</t>
  </si>
  <si>
    <t>MSM</t>
  </si>
  <si>
    <t>MUSA</t>
  </si>
  <si>
    <t>CROX</t>
  </si>
  <si>
    <t>CRI</t>
  </si>
  <si>
    <t>MANH</t>
  </si>
  <si>
    <t>VNT</t>
  </si>
  <si>
    <t>KNSL</t>
  </si>
  <si>
    <t>SEIC</t>
  </si>
  <si>
    <t>RLI</t>
  </si>
  <si>
    <t>FHI</t>
  </si>
  <si>
    <t>THC</t>
  </si>
  <si>
    <t>MEDP</t>
  </si>
  <si>
    <t>CHE</t>
  </si>
  <si>
    <t>RS</t>
  </si>
  <si>
    <t>EXP</t>
  </si>
  <si>
    <t>NEU</t>
  </si>
  <si>
    <t>COKE</t>
  </si>
  <si>
    <t>SAM</t>
  </si>
  <si>
    <t>EXE</t>
  </si>
  <si>
    <t>WFRD</t>
  </si>
  <si>
    <t>DINO</t>
  </si>
  <si>
    <t>EME</t>
  </si>
  <si>
    <t>IBKR</t>
  </si>
  <si>
    <t>LII</t>
  </si>
  <si>
    <t>WSO</t>
  </si>
  <si>
    <t>RPM</t>
  </si>
  <si>
    <t>XPO</t>
  </si>
  <si>
    <t>UTHR</t>
  </si>
  <si>
    <t>RGA</t>
  </si>
  <si>
    <t>EWBC</t>
  </si>
  <si>
    <t>GLPI</t>
  </si>
  <si>
    <t>SAIA</t>
  </si>
  <si>
    <t>AVTR</t>
  </si>
  <si>
    <t>ELS</t>
  </si>
  <si>
    <t>TXRH</t>
  </si>
  <si>
    <t>CLH</t>
  </si>
  <si>
    <t>SCI</t>
  </si>
  <si>
    <t>ITT</t>
  </si>
  <si>
    <t>WPC</t>
  </si>
  <si>
    <t>JEF</t>
  </si>
  <si>
    <t>NBIX</t>
  </si>
  <si>
    <t>UNM</t>
  </si>
  <si>
    <t>AMH</t>
  </si>
  <si>
    <t>BMRN</t>
  </si>
  <si>
    <t>AA</t>
  </si>
  <si>
    <t>SF</t>
  </si>
  <si>
    <t>ATR</t>
  </si>
  <si>
    <t>CUBE</t>
  </si>
  <si>
    <t>FHN</t>
  </si>
  <si>
    <t>EVR</t>
  </si>
  <si>
    <t>CCK</t>
  </si>
  <si>
    <t>FND</t>
  </si>
  <si>
    <t>OHI</t>
  </si>
  <si>
    <t>WBS</t>
  </si>
  <si>
    <t>CHDN</t>
  </si>
  <si>
    <t>DTM</t>
  </si>
  <si>
    <t>EHC</t>
  </si>
  <si>
    <t>CACI</t>
  </si>
  <si>
    <t>LAD</t>
  </si>
  <si>
    <t>NLY</t>
  </si>
  <si>
    <t>WING</t>
  </si>
  <si>
    <t>HLI</t>
  </si>
  <si>
    <t>EXEL</t>
  </si>
  <si>
    <t>ALLY</t>
  </si>
  <si>
    <t>WAL</t>
  </si>
  <si>
    <t>AAL</t>
  </si>
  <si>
    <t>REXR</t>
  </si>
  <si>
    <t>PNFP</t>
  </si>
  <si>
    <t>AR</t>
  </si>
  <si>
    <t>PEN</t>
  </si>
  <si>
    <t>WCC</t>
  </si>
  <si>
    <t>KNX</t>
  </si>
  <si>
    <t>MORN</t>
  </si>
  <si>
    <t>BRX</t>
  </si>
  <si>
    <t>ORI</t>
  </si>
  <si>
    <t>CFR</t>
  </si>
  <si>
    <t>MTZ</t>
  </si>
  <si>
    <t>SNX</t>
  </si>
  <si>
    <t>WTFC</t>
  </si>
  <si>
    <t>X</t>
  </si>
  <si>
    <t>ZION</t>
  </si>
  <si>
    <t>AXTA</t>
  </si>
  <si>
    <t>GPK</t>
  </si>
  <si>
    <t>EGP</t>
  </si>
  <si>
    <t>CBSH</t>
  </si>
  <si>
    <t>TTC</t>
  </si>
  <si>
    <t>RRC</t>
  </si>
  <si>
    <t>ONTO</t>
  </si>
  <si>
    <t>SKX</t>
  </si>
  <si>
    <t>NNN</t>
  </si>
  <si>
    <t>SNV</t>
  </si>
  <si>
    <t>FLS</t>
  </si>
  <si>
    <t>PB</t>
  </si>
  <si>
    <t>ADC</t>
  </si>
  <si>
    <t>KBR</t>
  </si>
  <si>
    <t>WH</t>
  </si>
  <si>
    <t>KEX</t>
  </si>
  <si>
    <t>MIDD</t>
  </si>
  <si>
    <t>WEX</t>
  </si>
  <si>
    <t>OLED</t>
  </si>
  <si>
    <t>RYAN</t>
  </si>
  <si>
    <t>OSK</t>
  </si>
  <si>
    <t>FR</t>
  </si>
  <si>
    <t>ALV</t>
  </si>
  <si>
    <t>FCN</t>
  </si>
  <si>
    <t>R</t>
  </si>
  <si>
    <t>ESAB</t>
  </si>
  <si>
    <t>H</t>
  </si>
  <si>
    <t>VMI</t>
  </si>
  <si>
    <t>FAF</t>
  </si>
  <si>
    <t>CGNX</t>
  </si>
  <si>
    <t>MTDR</t>
  </si>
  <si>
    <t>GNTX</t>
  </si>
  <si>
    <t>DAR</t>
  </si>
  <si>
    <t>STAG</t>
  </si>
  <si>
    <t>HR</t>
  </si>
  <si>
    <t>COLB</t>
  </si>
  <si>
    <t>NOV</t>
  </si>
  <si>
    <t>IDA</t>
  </si>
  <si>
    <t>MAT</t>
  </si>
  <si>
    <t>BIO</t>
  </si>
  <si>
    <t>WHR</t>
  </si>
  <si>
    <t>ARW</t>
  </si>
  <si>
    <t>LFUS</t>
  </si>
  <si>
    <t>FNB</t>
  </si>
  <si>
    <t>THG</t>
  </si>
  <si>
    <t>JHG</t>
  </si>
  <si>
    <t>BC</t>
  </si>
  <si>
    <t>APPF</t>
  </si>
  <si>
    <t>LEA</t>
  </si>
  <si>
    <t>AM</t>
  </si>
  <si>
    <t>SLM</t>
  </si>
  <si>
    <t>OZK</t>
  </si>
  <si>
    <t>BYD</t>
  </si>
  <si>
    <t>SON</t>
  </si>
  <si>
    <t>OLN</t>
  </si>
  <si>
    <t>HXL</t>
  </si>
  <si>
    <t>CUZ</t>
  </si>
  <si>
    <t>AVT</t>
  </si>
  <si>
    <t>PSN</t>
  </si>
  <si>
    <t>SLGN</t>
  </si>
  <si>
    <t>AN</t>
  </si>
  <si>
    <t>KMPR</t>
  </si>
  <si>
    <t>EEFT</t>
  </si>
  <si>
    <t>KRC</t>
  </si>
  <si>
    <t>HOG</t>
  </si>
  <si>
    <t>TNL</t>
  </si>
  <si>
    <t>NVST</t>
  </si>
  <si>
    <t>PII</t>
  </si>
  <si>
    <t>ACHC</t>
  </si>
  <si>
    <t>EPR</t>
  </si>
  <si>
    <t>IRDM</t>
  </si>
  <si>
    <t>WU</t>
  </si>
  <si>
    <t>NSA</t>
  </si>
  <si>
    <t>WEN</t>
  </si>
  <si>
    <t>ALGM</t>
  </si>
  <si>
    <t>PK</t>
  </si>
  <si>
    <t>PAG</t>
  </si>
  <si>
    <t>AMKR</t>
  </si>
  <si>
    <t>MAN</t>
  </si>
  <si>
    <t>COLM</t>
  </si>
  <si>
    <t>PPC</t>
  </si>
  <si>
    <t>IPGP</t>
  </si>
  <si>
    <t>CNXC</t>
  </si>
  <si>
    <t>CAR</t>
  </si>
  <si>
    <t>S&amp;P Mid</t>
  </si>
  <si>
    <t>MESA</t>
  </si>
  <si>
    <t>VOXX</t>
  </si>
  <si>
    <t>ATLO</t>
  </si>
  <si>
    <t>CVRX</t>
  </si>
  <si>
    <t>LVRO</t>
  </si>
  <si>
    <t>BSET</t>
  </si>
  <si>
    <t>LFVN</t>
  </si>
  <si>
    <t>CODA</t>
  </si>
  <si>
    <t>LARK</t>
  </si>
  <si>
    <t>EZPW</t>
  </si>
  <si>
    <t>ARAY</t>
  </si>
  <si>
    <t>DLHC</t>
  </si>
  <si>
    <t>LEVI</t>
  </si>
  <si>
    <t>BFIN</t>
  </si>
  <si>
    <t>UFI</t>
  </si>
  <si>
    <t>SCCO</t>
  </si>
  <si>
    <t>FXNC</t>
  </si>
  <si>
    <t>CCEC</t>
  </si>
  <si>
    <t>JOUT</t>
  </si>
  <si>
    <t>Earnings Date</t>
  </si>
  <si>
    <t>Date</t>
  </si>
  <si>
    <t>Open</t>
  </si>
  <si>
    <t>SKM</t>
  </si>
  <si>
    <t>BKRKY</t>
  </si>
  <si>
    <t>HNNMY</t>
  </si>
  <si>
    <t>BCH</t>
  </si>
  <si>
    <t>ARLP</t>
  </si>
  <si>
    <t>FUNC</t>
  </si>
  <si>
    <t>PETS</t>
  </si>
  <si>
    <t>CSWC</t>
  </si>
  <si>
    <t>IVAC</t>
  </si>
  <si>
    <t>BNPQY</t>
  </si>
  <si>
    <t>on 2/4/25 Before Market Eastern Standard Time</t>
  </si>
  <si>
    <t>MPLX</t>
  </si>
  <si>
    <t>DASTY</t>
  </si>
  <si>
    <t>IFNNY</t>
  </si>
  <si>
    <t>AUDC</t>
  </si>
  <si>
    <t>MSGS</t>
  </si>
  <si>
    <t>OCSL</t>
  </si>
  <si>
    <t>RACE</t>
  </si>
  <si>
    <t>EPD</t>
  </si>
  <si>
    <t>ATI</t>
  </si>
  <si>
    <t>PINC</t>
  </si>
  <si>
    <t>ALPMY</t>
  </si>
  <si>
    <t>UBS</t>
  </si>
  <si>
    <t>DEO</t>
  </si>
  <si>
    <t>SPOT</t>
  </si>
  <si>
    <t>APO</t>
  </si>
  <si>
    <t>ATHM</t>
  </si>
  <si>
    <t>GBDC</t>
  </si>
  <si>
    <t>on 2/4/25 After Market Eastern Standard Time</t>
  </si>
  <si>
    <t>INNV</t>
  </si>
  <si>
    <t>SNAP</t>
  </si>
  <si>
    <t>AZEK</t>
  </si>
  <si>
    <t>LPTV</t>
  </si>
  <si>
    <t>TCS</t>
  </si>
  <si>
    <t>EVBN</t>
  </si>
  <si>
    <t>DOX</t>
  </si>
  <si>
    <t>TRVG</t>
  </si>
  <si>
    <t>SPR</t>
  </si>
  <si>
    <t>DXC</t>
  </si>
  <si>
    <t>KTCC</t>
  </si>
  <si>
    <t>TCSG</t>
  </si>
  <si>
    <t>AC</t>
  </si>
  <si>
    <t>TCSGQ</t>
  </si>
  <si>
    <t>ACB</t>
  </si>
  <si>
    <t>KB</t>
  </si>
  <si>
    <t>on 2/5/25 Unspecified Eastern Standard Time</t>
  </si>
  <si>
    <t>LUCK</t>
  </si>
  <si>
    <t>NMR</t>
  </si>
  <si>
    <t>SAN</t>
  </si>
  <si>
    <t>HSQVY</t>
  </si>
  <si>
    <t>DNBBY</t>
  </si>
  <si>
    <t>TTE</t>
  </si>
  <si>
    <t>SPPJY</t>
  </si>
  <si>
    <t>NVO</t>
  </si>
  <si>
    <t>ARCC</t>
  </si>
  <si>
    <t>PANDY</t>
  </si>
  <si>
    <t>MHH</t>
  </si>
  <si>
    <t>BSBR</t>
  </si>
  <si>
    <t>RGS</t>
  </si>
  <si>
    <t>REYN</t>
  </si>
  <si>
    <t>LVWR</t>
  </si>
  <si>
    <t>ARES</t>
  </si>
  <si>
    <t>RSVR</t>
  </si>
  <si>
    <t>FSV</t>
  </si>
  <si>
    <t>NHTC</t>
  </si>
  <si>
    <t>ASAZY</t>
  </si>
  <si>
    <t>TWIN</t>
  </si>
  <si>
    <t>TM</t>
  </si>
  <si>
    <t>EQNR</t>
  </si>
  <si>
    <t>CRTO</t>
  </si>
  <si>
    <t>on 2/5/25 After Market Eastern Standard Time</t>
  </si>
  <si>
    <t>GEOS</t>
  </si>
  <si>
    <t>SRTS</t>
  </si>
  <si>
    <t>VKTX</t>
  </si>
  <si>
    <t>AVNW</t>
  </si>
  <si>
    <t>MSTR</t>
  </si>
  <si>
    <t>VINP</t>
  </si>
  <si>
    <t>PYCR</t>
  </si>
  <si>
    <t>QGEN</t>
  </si>
  <si>
    <t>SIMO</t>
  </si>
  <si>
    <t>SGU</t>
  </si>
  <si>
    <t>NOTV</t>
  </si>
  <si>
    <t>UHALB</t>
  </si>
  <si>
    <t>SYM</t>
  </si>
  <si>
    <t>BOWL</t>
  </si>
  <si>
    <t>SU</t>
  </si>
  <si>
    <t>LSAK</t>
  </si>
  <si>
    <t>APPS</t>
  </si>
  <si>
    <t>RGCO</t>
  </si>
  <si>
    <t>MKL</t>
  </si>
  <si>
    <t>DHX</t>
  </si>
  <si>
    <t>QMCO</t>
  </si>
  <si>
    <t>IFS</t>
  </si>
  <si>
    <t>UHAL</t>
  </si>
  <si>
    <t>ASYS</t>
  </si>
  <si>
    <t>on 2/6/25 Before Market Eastern Standard Time</t>
  </si>
  <si>
    <t>VERU</t>
  </si>
  <si>
    <t>on 2/6/25 Unspecified Eastern Standard Time</t>
  </si>
  <si>
    <t>EMKR</t>
  </si>
  <si>
    <t>FUJIY</t>
  </si>
  <si>
    <t>TRI</t>
  </si>
  <si>
    <t>PSEC</t>
  </si>
  <si>
    <t>NATH</t>
  </si>
  <si>
    <t>OESX</t>
  </si>
  <si>
    <t>RITM</t>
  </si>
  <si>
    <t>SPH</t>
  </si>
  <si>
    <t>CIGI</t>
  </si>
  <si>
    <t>SAXPY</t>
  </si>
  <si>
    <t>WTM</t>
  </si>
  <si>
    <t>KT</t>
  </si>
  <si>
    <t>INTR</t>
  </si>
  <si>
    <t>GTES</t>
  </si>
  <si>
    <t>BABA</t>
  </si>
  <si>
    <t>TOELY</t>
  </si>
  <si>
    <t>ITOCY</t>
  </si>
  <si>
    <t>LIVE</t>
  </si>
  <si>
    <t>OWL</t>
  </si>
  <si>
    <t>SHG</t>
  </si>
  <si>
    <t>PUBGY</t>
  </si>
  <si>
    <t>GOOS</t>
  </si>
  <si>
    <t>SLI</t>
  </si>
  <si>
    <t>PODC</t>
  </si>
  <si>
    <t>CABGY</t>
  </si>
  <si>
    <t>JRSH</t>
  </si>
  <si>
    <t>TELNY</t>
  </si>
  <si>
    <t>LEE</t>
  </si>
  <si>
    <t>SMMNY</t>
  </si>
  <si>
    <t>ING</t>
  </si>
  <si>
    <t>MDU</t>
  </si>
  <si>
    <t>SPB</t>
  </si>
  <si>
    <t>MTSUY</t>
  </si>
  <si>
    <t>RBLX</t>
  </si>
  <si>
    <t>ALCO</t>
  </si>
  <si>
    <t>YUMC</t>
  </si>
  <si>
    <t>CRIS</t>
  </si>
  <si>
    <t>LVO</t>
  </si>
  <si>
    <t>LNC</t>
  </si>
  <si>
    <t>TW</t>
  </si>
  <si>
    <t>DNNGY</t>
  </si>
  <si>
    <t>KAOOY</t>
  </si>
  <si>
    <t>TRBK</t>
  </si>
  <si>
    <t>CX</t>
  </si>
  <si>
    <t>BDRBF</t>
  </si>
  <si>
    <t>MT</t>
  </si>
  <si>
    <t>SZKMY</t>
  </si>
  <si>
    <t>BCE</t>
  </si>
  <si>
    <t>CTRM</t>
  </si>
  <si>
    <t>AAMI</t>
  </si>
  <si>
    <t>ENTG</t>
  </si>
  <si>
    <t>MPAA</t>
  </si>
  <si>
    <t>NPSCY</t>
  </si>
  <si>
    <t>AB</t>
  </si>
  <si>
    <t>IRS</t>
  </si>
  <si>
    <t>on 2/6/25 During Market Eastern Standard Time</t>
  </si>
  <si>
    <t>VCISY</t>
  </si>
  <si>
    <t>CLSK</t>
  </si>
  <si>
    <t>OTEX</t>
  </si>
  <si>
    <t>EGAN</t>
  </si>
  <si>
    <t>FARM</t>
  </si>
  <si>
    <t>CTNM</t>
  </si>
  <si>
    <t>PINS</t>
  </si>
  <si>
    <t>GPRO</t>
  </si>
  <si>
    <t>GTIM</t>
  </si>
  <si>
    <t>APDN</t>
  </si>
  <si>
    <t>SSNC</t>
  </si>
  <si>
    <t>LEG</t>
  </si>
  <si>
    <t>STRT</t>
  </si>
  <si>
    <t>AFRM</t>
  </si>
  <si>
    <t>ATRA</t>
  </si>
  <si>
    <t>GROW</t>
  </si>
  <si>
    <t>CRNC</t>
  </si>
  <si>
    <t>PFX</t>
  </si>
  <si>
    <t>LTRX</t>
  </si>
  <si>
    <t>BIOX</t>
  </si>
  <si>
    <t>LGF/B</t>
  </si>
  <si>
    <t>ASTL</t>
  </si>
  <si>
    <t>AENT</t>
  </si>
  <si>
    <t>LGF/A</t>
  </si>
  <si>
    <t>LPTH</t>
  </si>
  <si>
    <t>NET</t>
  </si>
  <si>
    <t>SAVEQ</t>
  </si>
  <si>
    <t>BILL</t>
  </si>
  <si>
    <t>PAA</t>
  </si>
  <si>
    <t>PAGP</t>
  </si>
  <si>
    <t>NWL</t>
  </si>
  <si>
    <t>MTSFY</t>
  </si>
  <si>
    <t>BBD</t>
  </si>
  <si>
    <t>TMQ</t>
  </si>
  <si>
    <t>MITEY</t>
  </si>
  <si>
    <t>EVI</t>
  </si>
  <si>
    <t>CGC</t>
  </si>
  <si>
    <t>FRHC</t>
  </si>
  <si>
    <t>UI</t>
  </si>
  <si>
    <t>NA</t>
  </si>
  <si>
    <t>Yes</t>
  </si>
  <si>
    <t>No</t>
  </si>
  <si>
    <t>Gap Ups with trend</t>
  </si>
  <si>
    <t>Gap Ups</t>
  </si>
  <si>
    <t>Total</t>
  </si>
  <si>
    <t>Gap Ups Against Trend</t>
  </si>
  <si>
    <t>Sideways Trend</t>
  </si>
  <si>
    <t>Gap Ups
NA</t>
  </si>
  <si>
    <t>Gap Ups %</t>
  </si>
  <si>
    <t>-</t>
  </si>
  <si>
    <t>Gap Downs</t>
  </si>
  <si>
    <t>Gap Downs %</t>
  </si>
  <si>
    <t>Gap Dns with trend</t>
  </si>
  <si>
    <t>Gap Dns Against Trend</t>
  </si>
  <si>
    <t>Gap Dns
NA</t>
  </si>
  <si>
    <t>Sideways Trend Gaps</t>
  </si>
  <si>
    <t>Total Up</t>
  </si>
  <si>
    <t>Ave Up</t>
  </si>
  <si>
    <t>Total Dwn</t>
  </si>
  <si>
    <t>Ave Down</t>
  </si>
  <si>
    <t>Ave Gap Size</t>
  </si>
  <si>
    <t>With 
Trend</t>
  </si>
  <si>
    <t>Against
Trend</t>
  </si>
  <si>
    <t>With
Trend</t>
  </si>
  <si>
    <t>Total Gaps</t>
  </si>
  <si>
    <t>%</t>
  </si>
  <si>
    <r>
      <t>R at 6% using only Gap Size</t>
    </r>
    <r>
      <rPr>
        <sz val="8"/>
        <color theme="1"/>
        <rFont val="Aptos Narrow"/>
        <family val="2"/>
        <scheme val="minor"/>
      </rPr>
      <t xml:space="preserve">
Playing all daily trends Long
with trend</t>
    </r>
  </si>
  <si>
    <r>
      <t>R at 6% using only Gap Size</t>
    </r>
    <r>
      <rPr>
        <sz val="8"/>
        <color theme="1"/>
        <rFont val="Aptos Narrow"/>
        <family val="2"/>
        <scheme val="minor"/>
      </rPr>
      <t xml:space="preserve">
Playing all daily trends Short
with trend</t>
    </r>
  </si>
  <si>
    <r>
      <t xml:space="preserve">R at 6% using only Gap Size
</t>
    </r>
    <r>
      <rPr>
        <sz val="8"/>
        <color theme="1"/>
        <rFont val="Aptos Narrow"/>
        <family val="2"/>
        <scheme val="minor"/>
      </rPr>
      <t>Playing All Long</t>
    </r>
  </si>
  <si>
    <r>
      <t xml:space="preserve">R at 6% using only Gap Size
</t>
    </r>
    <r>
      <rPr>
        <sz val="8"/>
        <color theme="1"/>
        <rFont val="Aptos Narrow"/>
        <family val="2"/>
        <scheme val="minor"/>
      </rPr>
      <t>Playing All Short</t>
    </r>
  </si>
  <si>
    <r>
      <t xml:space="preserve">R at 6% using only Gap Size
</t>
    </r>
    <r>
      <rPr>
        <sz val="8"/>
        <color theme="1"/>
        <rFont val="Aptos Narrow"/>
        <family val="2"/>
        <scheme val="minor"/>
      </rPr>
      <t>Playing All Earnings Long</t>
    </r>
  </si>
  <si>
    <t>Count of Ticker</t>
  </si>
  <si>
    <t>Row Labels</t>
  </si>
  <si>
    <t>Grand Total</t>
  </si>
  <si>
    <t>27-Jan</t>
  </si>
  <si>
    <t>28-Jan</t>
  </si>
  <si>
    <t>29-Jan</t>
  </si>
  <si>
    <t>30-Jan</t>
  </si>
  <si>
    <t>31-Jan</t>
  </si>
  <si>
    <t>3-Feb</t>
  </si>
  <si>
    <t>4-Feb</t>
  </si>
  <si>
    <t>5-Feb</t>
  </si>
  <si>
    <t>6-Feb</t>
  </si>
  <si>
    <t>7-Feb</t>
  </si>
  <si>
    <t>Entry</t>
  </si>
  <si>
    <t>Actual P&amp;L</t>
  </si>
  <si>
    <t>Long</t>
  </si>
  <si>
    <t>Short</t>
  </si>
  <si>
    <t>LFCR</t>
  </si>
  <si>
    <t>RELL</t>
  </si>
  <si>
    <t>NTIC</t>
  </si>
  <si>
    <t>BBCP</t>
  </si>
  <si>
    <t>SVNDY</t>
  </si>
  <si>
    <t>FRCOY</t>
  </si>
  <si>
    <t>BKSC</t>
  </si>
  <si>
    <t>TLRY</t>
  </si>
  <si>
    <t>HURC</t>
  </si>
  <si>
    <t>ANIX</t>
  </si>
  <si>
    <t>CMTL</t>
  </si>
  <si>
    <t>TTAN</t>
  </si>
  <si>
    <t>CVM</t>
  </si>
  <si>
    <t>MARK</t>
  </si>
  <si>
    <t>VLDX</t>
  </si>
  <si>
    <t>FRMO</t>
  </si>
  <si>
    <t>ADUR</t>
  </si>
  <si>
    <t>RFIL</t>
  </si>
  <si>
    <t>SCLX</t>
  </si>
  <si>
    <t>ZEO</t>
  </si>
  <si>
    <t>MULN</t>
  </si>
  <si>
    <t>PEBK</t>
  </si>
  <si>
    <t>NTTYY</t>
  </si>
  <si>
    <t>IIJIY</t>
  </si>
  <si>
    <t>on 2/10/25 Before Market Eastern Standard Time</t>
  </si>
  <si>
    <t>CNA</t>
  </si>
  <si>
    <t>SOBKY</t>
  </si>
  <si>
    <t>on 2/10/25 Unspecified Eastern Standard Time</t>
  </si>
  <si>
    <t>CSLLY</t>
  </si>
  <si>
    <t>IX</t>
  </si>
  <si>
    <t>DBSDY</t>
  </si>
  <si>
    <t>TIMB</t>
  </si>
  <si>
    <t>ISPR</t>
  </si>
  <si>
    <t>MNDY</t>
  </si>
  <si>
    <t>GRCE</t>
  </si>
  <si>
    <t>CRESY</t>
  </si>
  <si>
    <t>TSEM</t>
  </si>
  <si>
    <t>on 2/10/25 After Market Eastern Standard Time</t>
  </si>
  <si>
    <t>INSP</t>
  </si>
  <si>
    <t>ALAB</t>
  </si>
  <si>
    <t>GP</t>
  </si>
  <si>
    <t>EQC</t>
  </si>
  <si>
    <t>ESP</t>
  </si>
  <si>
    <t>PNNT</t>
  </si>
  <si>
    <t>EPM</t>
  </si>
  <si>
    <t>DAC</t>
  </si>
  <si>
    <t>PFLT</t>
  </si>
  <si>
    <t>PETV</t>
  </si>
  <si>
    <t>ARKR</t>
  </si>
  <si>
    <t>BAP</t>
  </si>
  <si>
    <t>NGL</t>
  </si>
  <si>
    <t>SEOAY</t>
  </si>
  <si>
    <t>on 2/11/25 Before Market Eastern Standard Time</t>
  </si>
  <si>
    <t>AKTSQ</t>
  </si>
  <si>
    <t>NMM</t>
  </si>
  <si>
    <t>CNR</t>
  </si>
  <si>
    <t>SUN</t>
  </si>
  <si>
    <t>AKTS</t>
  </si>
  <si>
    <t>USAC</t>
  </si>
  <si>
    <t>TPG</t>
  </si>
  <si>
    <t>MYTE</t>
  </si>
  <si>
    <t>CMWAY</t>
  </si>
  <si>
    <t>on 2/11/25 Unspecified Eastern Standard Time</t>
  </si>
  <si>
    <t>CRNT</t>
  </si>
  <si>
    <t>BP</t>
  </si>
  <si>
    <t>AMSSY</t>
  </si>
  <si>
    <t>DBOEY</t>
  </si>
  <si>
    <t>NLST</t>
  </si>
  <si>
    <t>SHOP</t>
  </si>
  <si>
    <t>Z</t>
  </si>
  <si>
    <t>ET</t>
  </si>
  <si>
    <t>ANGI</t>
  </si>
  <si>
    <t>HIW</t>
  </si>
  <si>
    <t>ATOM</t>
  </si>
  <si>
    <t>GLAD</t>
  </si>
  <si>
    <t>OS</t>
  </si>
  <si>
    <t>BENF</t>
  </si>
  <si>
    <t>BFAM</t>
  </si>
  <si>
    <t>OGI</t>
  </si>
  <si>
    <t>SMWB</t>
  </si>
  <si>
    <t>DDI</t>
  </si>
  <si>
    <t>SEB</t>
  </si>
  <si>
    <t>CFLT</t>
  </si>
  <si>
    <t>ANEB</t>
  </si>
  <si>
    <t>ZG</t>
  </si>
  <si>
    <t>VTGN</t>
  </si>
  <si>
    <t>AMX</t>
  </si>
  <si>
    <t>LYFT</t>
  </si>
  <si>
    <t>ALSN</t>
  </si>
  <si>
    <t>TYGO</t>
  </si>
  <si>
    <t>IAC</t>
  </si>
  <si>
    <t>GILT</t>
  </si>
  <si>
    <t>RDWR</t>
  </si>
  <si>
    <t>CSPI</t>
  </si>
  <si>
    <t>BBGI</t>
  </si>
  <si>
    <t>OTLY</t>
  </si>
  <si>
    <t>SITE</t>
  </si>
  <si>
    <t>VRT</t>
  </si>
  <si>
    <t>GOLD</t>
  </si>
  <si>
    <t>NNE</t>
  </si>
  <si>
    <t>MITQ</t>
  </si>
  <si>
    <t>GMAB</t>
  </si>
  <si>
    <t>on 2/12/25 Unspecified Eastern Standard Time</t>
  </si>
  <si>
    <t>AAVMY</t>
  </si>
  <si>
    <t>QSR</t>
  </si>
  <si>
    <t>AIPUY</t>
  </si>
  <si>
    <t>TORO</t>
  </si>
  <si>
    <t>CRWS</t>
  </si>
  <si>
    <t>SPMC</t>
  </si>
  <si>
    <t>PET</t>
  </si>
  <si>
    <t>CCRD</t>
  </si>
  <si>
    <t>CYBN</t>
  </si>
  <si>
    <t>KRNT</t>
  </si>
  <si>
    <t>MHGVY</t>
  </si>
  <si>
    <t>FMCC</t>
  </si>
  <si>
    <t>SFTBY</t>
  </si>
  <si>
    <t>SOMC</t>
  </si>
  <si>
    <t>BAM</t>
  </si>
  <si>
    <t>RCRUY</t>
  </si>
  <si>
    <t>PYPD</t>
  </si>
  <si>
    <t>ADRNY</t>
  </si>
  <si>
    <t>RDCM</t>
  </si>
  <si>
    <t>WCN</t>
  </si>
  <si>
    <t>on 2/12/25 After Market Eastern Standard Time</t>
  </si>
  <si>
    <t>GAIN</t>
  </si>
  <si>
    <t>SUZ</t>
  </si>
  <si>
    <t>CRBG</t>
  </si>
  <si>
    <t>AMWL</t>
  </si>
  <si>
    <t>HOOD</t>
  </si>
  <si>
    <t>KGC</t>
  </si>
  <si>
    <t>ISSC</t>
  </si>
  <si>
    <t>XAIR</t>
  </si>
  <si>
    <t>PDS</t>
  </si>
  <si>
    <t>PEGA</t>
  </si>
  <si>
    <t>UPXI</t>
  </si>
  <si>
    <t>TSE</t>
  </si>
  <si>
    <t>CPA</t>
  </si>
  <si>
    <t>MMLP</t>
  </si>
  <si>
    <t>GLPG</t>
  </si>
  <si>
    <t>CTXR</t>
  </si>
  <si>
    <t>SLF</t>
  </si>
  <si>
    <t>RDDT</t>
  </si>
  <si>
    <t>QDEL</t>
  </si>
  <si>
    <t>HUBS</t>
  </si>
  <si>
    <t>RENB</t>
  </si>
  <si>
    <t>MGDDY</t>
  </si>
  <si>
    <t>TRIP</t>
  </si>
  <si>
    <t>QS</t>
  </si>
  <si>
    <t>WHG</t>
  </si>
  <si>
    <t>BTCY</t>
  </si>
  <si>
    <t>APP</t>
  </si>
  <si>
    <t>on 2/13/25 Before Market Eastern Standard Time</t>
  </si>
  <si>
    <t>YTRA</t>
  </si>
  <si>
    <t>on 2/13/25 Unspecified Eastern Standard Time</t>
  </si>
  <si>
    <t>JMIA</t>
  </si>
  <si>
    <t>PTN</t>
  </si>
  <si>
    <t>FONR</t>
  </si>
  <si>
    <t>SANW</t>
  </si>
  <si>
    <t>ALNY</t>
  </si>
  <si>
    <t>OUKPY</t>
  </si>
  <si>
    <t>JAPAY</t>
  </si>
  <si>
    <t>FNMA</t>
  </si>
  <si>
    <t>HMC</t>
  </si>
  <si>
    <t>ARCAY</t>
  </si>
  <si>
    <t>KUBTY</t>
  </si>
  <si>
    <t>KNW</t>
  </si>
  <si>
    <t>SN</t>
  </si>
  <si>
    <t>MRX</t>
  </si>
  <si>
    <t>PUTRY</t>
  </si>
  <si>
    <t>NSANY</t>
  </si>
  <si>
    <t>RPRX</t>
  </si>
  <si>
    <t>KELYB</t>
  </si>
  <si>
    <t>WFCF</t>
  </si>
  <si>
    <t>BN</t>
  </si>
  <si>
    <t>IMPP</t>
  </si>
  <si>
    <t>PYYX</t>
  </si>
  <si>
    <t>AUOTY</t>
  </si>
  <si>
    <t>UL</t>
  </si>
  <si>
    <t>KBCSY</t>
  </si>
  <si>
    <t>TIXT</t>
  </si>
  <si>
    <t>CLBT</t>
  </si>
  <si>
    <t>RELX</t>
  </si>
  <si>
    <t>TU</t>
  </si>
  <si>
    <t>RNLXY</t>
  </si>
  <si>
    <t>ZONE</t>
  </si>
  <si>
    <t>HIMX</t>
  </si>
  <si>
    <t>EDRY</t>
  </si>
  <si>
    <t>DNB</t>
  </si>
  <si>
    <t>SCMWY</t>
  </si>
  <si>
    <t>OGN</t>
  </si>
  <si>
    <t>TRUMY</t>
  </si>
  <si>
    <t>SUNS</t>
  </si>
  <si>
    <t>WMMVY</t>
  </si>
  <si>
    <t>DDL</t>
  </si>
  <si>
    <t>ULBI</t>
  </si>
  <si>
    <t>SIEGY</t>
  </si>
  <si>
    <t>ORKLY</t>
  </si>
  <si>
    <t>SONY</t>
  </si>
  <si>
    <t>NSRGY</t>
  </si>
  <si>
    <t>ORANY</t>
  </si>
  <si>
    <t>BTI</t>
  </si>
  <si>
    <t>GMGI</t>
  </si>
  <si>
    <t>CYBR</t>
  </si>
  <si>
    <t>GTX</t>
  </si>
  <si>
    <t>ASX</t>
  </si>
  <si>
    <t>NMTC</t>
  </si>
  <si>
    <t>CPAC</t>
  </si>
  <si>
    <t>BCS</t>
  </si>
  <si>
    <t>ATUS</t>
  </si>
  <si>
    <t>NVMI</t>
  </si>
  <si>
    <t>CVE</t>
  </si>
  <si>
    <t>TRU</t>
  </si>
  <si>
    <t>NTWK</t>
  </si>
  <si>
    <t>BNT</t>
  </si>
  <si>
    <t>GEL</t>
  </si>
  <si>
    <t>BTOC</t>
  </si>
  <si>
    <t>GGR</t>
  </si>
  <si>
    <t>OTLK</t>
  </si>
  <si>
    <t>UBCP</t>
  </si>
  <si>
    <t>ALVR</t>
  </si>
  <si>
    <t>on 2/13/25 After Market Eastern Standard Time</t>
  </si>
  <si>
    <t>AEMD</t>
  </si>
  <si>
    <t>RSSS</t>
  </si>
  <si>
    <t>COIN</t>
  </si>
  <si>
    <t>GEG</t>
  </si>
  <si>
    <t>RARE</t>
  </si>
  <si>
    <t>CAE</t>
  </si>
  <si>
    <t>YCBD</t>
  </si>
  <si>
    <t>CNVS</t>
  </si>
  <si>
    <t>OMCC</t>
  </si>
  <si>
    <t>IREN</t>
  </si>
  <si>
    <t>AL</t>
  </si>
  <si>
    <t>POCI</t>
  </si>
  <si>
    <t>PXLW</t>
  </si>
  <si>
    <t>BLIN</t>
  </si>
  <si>
    <t>HTGC</t>
  </si>
  <si>
    <t>DKNG</t>
  </si>
  <si>
    <t>ABAT</t>
  </si>
  <si>
    <t>AEM</t>
  </si>
  <si>
    <t>TWLO</t>
  </si>
  <si>
    <t>GLOB</t>
  </si>
  <si>
    <t>INFA</t>
  </si>
  <si>
    <t>ELTP</t>
  </si>
  <si>
    <t>TSLX</t>
  </si>
  <si>
    <t>ROKU</t>
  </si>
  <si>
    <t>OPI</t>
  </si>
  <si>
    <t>GNSS</t>
  </si>
  <si>
    <t>PRLD</t>
  </si>
  <si>
    <t>FROG</t>
  </si>
  <si>
    <t>JOB</t>
  </si>
  <si>
    <t>VRAR</t>
  </si>
  <si>
    <t>ASND</t>
  </si>
  <si>
    <t>SUUN</t>
  </si>
  <si>
    <t>PRSU</t>
  </si>
  <si>
    <t>PCOR</t>
  </si>
  <si>
    <t>on 2/14/25 Before Market Eastern Standard Time</t>
  </si>
  <si>
    <t>FTS</t>
  </si>
  <si>
    <t>SAFRY</t>
  </si>
  <si>
    <t>on 2/14/25 Unspecified Eastern Standard Time</t>
  </si>
  <si>
    <t>HESAY</t>
  </si>
  <si>
    <t>TKOMY</t>
  </si>
  <si>
    <t>MGA</t>
  </si>
  <si>
    <t>EPIX</t>
  </si>
  <si>
    <t>TRP</t>
  </si>
  <si>
    <t>USM</t>
  </si>
  <si>
    <t>LBRDK</t>
  </si>
  <si>
    <t>SMCAY</t>
  </si>
  <si>
    <t>GRVY</t>
  </si>
  <si>
    <t>NHYDY</t>
  </si>
  <si>
    <t>TBN</t>
  </si>
  <si>
    <t>NWG</t>
  </si>
  <si>
    <t>LBRDA</t>
  </si>
  <si>
    <t>ENB</t>
  </si>
  <si>
    <t>LBRDB</t>
  </si>
  <si>
    <t>JPPHY</t>
  </si>
  <si>
    <t>TGL</t>
  </si>
  <si>
    <t>on 2/14/25 During Market Eastern Standard Time</t>
  </si>
  <si>
    <t>ICMB</t>
  </si>
  <si>
    <t>RZLT</t>
  </si>
  <si>
    <t>ELMD</t>
  </si>
  <si>
    <t>FLYE</t>
  </si>
  <si>
    <t>NAII</t>
  </si>
  <si>
    <t>TR</t>
  </si>
  <si>
    <t>MOBX</t>
  </si>
  <si>
    <t>ATGN</t>
  </si>
  <si>
    <t>LTRPA</t>
  </si>
  <si>
    <t>LTRPB</t>
  </si>
  <si>
    <t>FEAM</t>
  </si>
  <si>
    <t>IPW</t>
  </si>
  <si>
    <t>MEIP</t>
  </si>
  <si>
    <t>BIVI</t>
  </si>
  <si>
    <t>AJX</t>
  </si>
  <si>
    <t>on 2/17/25 Before Market Eastern Standard Time</t>
  </si>
  <si>
    <t>BRDCY</t>
  </si>
  <si>
    <t>on 2/17/25 Unspecified Eastern Standard Time</t>
  </si>
  <si>
    <t>HUN</t>
  </si>
  <si>
    <t>on 2/17/25 After Market Eastern Standard Time</t>
  </si>
  <si>
    <t>BHP</t>
  </si>
  <si>
    <t>on 2/18/25 Before Market Eastern Standard Time</t>
  </si>
  <si>
    <t>CBDBY</t>
  </si>
  <si>
    <t>on 2/18/25 Unspecified Eastern Standard Time</t>
  </si>
  <si>
    <t>FUFU</t>
  </si>
  <si>
    <t>GIGI</t>
  </si>
  <si>
    <t>IQ</t>
  </si>
  <si>
    <t>BIDU</t>
  </si>
  <si>
    <t>BCYC</t>
  </si>
  <si>
    <t>CAMT</t>
  </si>
  <si>
    <t>GTE</t>
  </si>
  <si>
    <t>IHG</t>
  </si>
  <si>
    <t>TMICY</t>
  </si>
  <si>
    <t>WLKP</t>
  </si>
  <si>
    <t>DRD</t>
  </si>
  <si>
    <t>on 2/18/25 After Market Eastern Standard Time</t>
  </si>
  <si>
    <t>SAND</t>
  </si>
  <si>
    <t>ENLC</t>
  </si>
  <si>
    <t>CIB</t>
  </si>
  <si>
    <t>INST</t>
  </si>
  <si>
    <t>ESI</t>
  </si>
  <si>
    <t>SEVN</t>
  </si>
  <si>
    <t>LBTYK</t>
  </si>
  <si>
    <t>VTMX</t>
  </si>
  <si>
    <t>SEDG</t>
  </si>
  <si>
    <t>WSC</t>
  </si>
  <si>
    <t>TX</t>
  </si>
  <si>
    <t>LBTYA</t>
  </si>
  <si>
    <t>JHX</t>
  </si>
  <si>
    <t>LBTYB</t>
  </si>
  <si>
    <t>JBTM</t>
  </si>
  <si>
    <t>SBLK</t>
  </si>
  <si>
    <t>on 2/19/25 Before Market Eastern Standard Time</t>
  </si>
  <si>
    <t>PERI</t>
  </si>
  <si>
    <t>ASAI</t>
  </si>
  <si>
    <t>on 2/19/25 Unspecified Eastern Standard Time</t>
  </si>
  <si>
    <t>WFAFY</t>
  </si>
  <si>
    <t>CLVT</t>
  </si>
  <si>
    <t>GIL</t>
  </si>
  <si>
    <t>TLGPY</t>
  </si>
  <si>
    <t>ZURVY</t>
  </si>
  <si>
    <t>RIO</t>
  </si>
  <si>
    <t>BLCO</t>
  </si>
  <si>
    <t>PHG</t>
  </si>
  <si>
    <t>IONS</t>
  </si>
  <si>
    <t>RNLSY</t>
  </si>
  <si>
    <t>ESCA</t>
  </si>
  <si>
    <t>CMTOY</t>
  </si>
  <si>
    <t>WIX</t>
  </si>
  <si>
    <t>CRSP</t>
  </si>
  <si>
    <t>BAESY</t>
  </si>
  <si>
    <t>GLNCY</t>
  </si>
  <si>
    <t>UOVEY</t>
  </si>
  <si>
    <t>GGB</t>
  </si>
  <si>
    <t>ASAIY</t>
  </si>
  <si>
    <t>HBM</t>
  </si>
  <si>
    <t>HSBC</t>
  </si>
  <si>
    <t>NBIS</t>
  </si>
  <si>
    <t>CCAP</t>
  </si>
  <si>
    <t>on 2/19/25 During Market Eastern Standard Time</t>
  </si>
  <si>
    <t>OFLX</t>
  </si>
  <si>
    <t>on 2/19/25 After Market Eastern Standard Time</t>
  </si>
  <si>
    <t>SUI</t>
  </si>
  <si>
    <t>BROS</t>
  </si>
  <si>
    <t>CVNA</t>
  </si>
  <si>
    <t>NTR</t>
  </si>
  <si>
    <t>AGI</t>
  </si>
  <si>
    <t>OBDC</t>
  </si>
  <si>
    <t>SNOW</t>
  </si>
  <si>
    <t>OR</t>
  </si>
  <si>
    <t>ETSY</t>
  </si>
  <si>
    <t>MFC</t>
  </si>
  <si>
    <t>TOST</t>
  </si>
  <si>
    <t>TS</t>
  </si>
  <si>
    <t>NVRO</t>
  </si>
  <si>
    <t>BCOV</t>
  </si>
  <si>
    <t>GSM</t>
  </si>
  <si>
    <t>TCOM</t>
  </si>
  <si>
    <t>INSG</t>
  </si>
  <si>
    <t>PNST</t>
  </si>
  <si>
    <t>KVYO</t>
  </si>
  <si>
    <t>NGD</t>
  </si>
  <si>
    <t>NPKI</t>
  </si>
  <si>
    <t>ICLR</t>
  </si>
  <si>
    <t>AGR</t>
  </si>
  <si>
    <t>PAAS</t>
  </si>
  <si>
    <t>BHC</t>
  </si>
  <si>
    <t>EXAS</t>
  </si>
  <si>
    <t>BTG</t>
  </si>
  <si>
    <t>BRDG</t>
  </si>
  <si>
    <t>OM</t>
  </si>
  <si>
    <t>BELFA</t>
  </si>
  <si>
    <t>TXG</t>
  </si>
  <si>
    <t>on 2/20/25 Before Market Eastern Standard Time</t>
  </si>
  <si>
    <t>QD</t>
  </si>
  <si>
    <t>STG</t>
  </si>
  <si>
    <t>KOF</t>
  </si>
  <si>
    <t>on 2/20/25 Unspecified Eastern Standard Time</t>
  </si>
  <si>
    <t>NERV</t>
  </si>
  <si>
    <t>KLTR</t>
  </si>
  <si>
    <t>AEG</t>
  </si>
  <si>
    <t>EADSY</t>
  </si>
  <si>
    <t>NKLA</t>
  </si>
  <si>
    <t>GLT</t>
  </si>
  <si>
    <t>AG</t>
  </si>
  <si>
    <t>GHI</t>
  </si>
  <si>
    <t>MBGYY</t>
  </si>
  <si>
    <t>COLD</t>
  </si>
  <si>
    <t>MAGN</t>
  </si>
  <si>
    <t>USEA</t>
  </si>
  <si>
    <t>CQP</t>
  </si>
  <si>
    <t>FVRR</t>
  </si>
  <si>
    <t>REPYY</t>
  </si>
  <si>
    <t>GFI</t>
  </si>
  <si>
    <t>BIRK</t>
  </si>
  <si>
    <t>VALE</t>
  </si>
  <si>
    <t>TV</t>
  </si>
  <si>
    <t>SBGSY</t>
  </si>
  <si>
    <t>LNG</t>
  </si>
  <si>
    <t>NURO</t>
  </si>
  <si>
    <t>LYG</t>
  </si>
  <si>
    <t>AMLX</t>
  </si>
  <si>
    <t>MPW</t>
  </si>
  <si>
    <t>BRC</t>
  </si>
  <si>
    <t>CCJ</t>
  </si>
  <si>
    <t>ITCI</t>
  </si>
  <si>
    <t>NICE</t>
  </si>
  <si>
    <t>DSX</t>
  </si>
  <si>
    <t>DGICB</t>
  </si>
  <si>
    <t>TECK</t>
  </si>
  <si>
    <t>GASS</t>
  </si>
  <si>
    <t>CPYYY</t>
  </si>
  <si>
    <t>CRH</t>
  </si>
  <si>
    <t>W</t>
  </si>
  <si>
    <t>TAC</t>
  </si>
  <si>
    <t>on 2/20/25 After Market Eastern Standard Time</t>
  </si>
  <si>
    <t>RKT</t>
  </si>
  <si>
    <t>MODV</t>
  </si>
  <si>
    <t>LAW</t>
  </si>
  <si>
    <t>DMLP</t>
  </si>
  <si>
    <t>EXFY</t>
  </si>
  <si>
    <t>GRAB</t>
  </si>
  <si>
    <t>YXT</t>
  </si>
  <si>
    <t>XYZ</t>
  </si>
  <si>
    <t>RIVN</t>
  </si>
  <si>
    <t>ATHA</t>
  </si>
  <si>
    <t>BIOA</t>
  </si>
  <si>
    <t>CMBM</t>
  </si>
  <si>
    <t>BOOM</t>
  </si>
  <si>
    <t>SQ</t>
  </si>
  <si>
    <t>CUTR</t>
  </si>
  <si>
    <t>BWMX</t>
  </si>
  <si>
    <t>LILAB</t>
  </si>
  <si>
    <t>NU</t>
  </si>
  <si>
    <t>RNG</t>
  </si>
  <si>
    <t>AXTI</t>
  </si>
  <si>
    <t>EGO</t>
  </si>
  <si>
    <t>IAG</t>
  </si>
  <si>
    <t>RXT</t>
  </si>
  <si>
    <t>SNES</t>
  </si>
  <si>
    <t>OMAB</t>
  </si>
  <si>
    <t>MRIN</t>
  </si>
  <si>
    <t>UAN</t>
  </si>
  <si>
    <t>MERC</t>
  </si>
  <si>
    <t>RNW</t>
  </si>
  <si>
    <t>MNOV</t>
  </si>
  <si>
    <t>UEIC</t>
  </si>
  <si>
    <t>BBDC</t>
  </si>
  <si>
    <t>SCHYY</t>
  </si>
  <si>
    <t>on 2/21/25 Unspecified Eastern Standard Time</t>
  </si>
  <si>
    <t>MBX</t>
  </si>
  <si>
    <t>WPP</t>
  </si>
  <si>
    <t>AIQUY</t>
  </si>
  <si>
    <t>CLMT</t>
  </si>
  <si>
    <t>FMX</t>
  </si>
  <si>
    <t>SBSW</t>
  </si>
  <si>
    <t>KEP</t>
  </si>
  <si>
    <t>LKNCY</t>
  </si>
  <si>
    <t>SSP</t>
  </si>
  <si>
    <t>AU</t>
  </si>
  <si>
    <t>BTCM</t>
  </si>
  <si>
    <t>BRK/A</t>
  </si>
  <si>
    <t>ELAN</t>
  </si>
  <si>
    <t>on 2/24/25 Before Market Eastern Standard Time</t>
  </si>
  <si>
    <t>on 2/24/25 Unspecified Eastern Standard Time</t>
  </si>
  <si>
    <t>ENLT</t>
  </si>
  <si>
    <t>PSTNY</t>
  </si>
  <si>
    <t>FRPT</t>
  </si>
  <si>
    <t>LI</t>
  </si>
  <si>
    <t>CWEN</t>
  </si>
  <si>
    <t>UXIN</t>
  </si>
  <si>
    <t>CRGO</t>
  </si>
  <si>
    <t>CHRYY</t>
  </si>
  <si>
    <t>CLPHY</t>
  </si>
  <si>
    <t>KSPI</t>
  </si>
  <si>
    <t>SSL</t>
  </si>
  <si>
    <t>BZLFY</t>
  </si>
  <si>
    <t>FSP</t>
  </si>
  <si>
    <t>on 2/24/25 After Market Eastern Standard Time</t>
  </si>
  <si>
    <t>HEI</t>
  </si>
  <si>
    <t>ASR</t>
  </si>
  <si>
    <t>HEI/A</t>
  </si>
  <si>
    <t>WDS</t>
  </si>
  <si>
    <t>API</t>
  </si>
  <si>
    <t>CWEN/A</t>
  </si>
  <si>
    <t>OPAD</t>
  </si>
  <si>
    <t>GFL</t>
  </si>
  <si>
    <t>CHGG</t>
  </si>
  <si>
    <t>BSM</t>
  </si>
  <si>
    <t>VLRS</t>
  </si>
  <si>
    <t>U</t>
  </si>
  <si>
    <t>FGEN</t>
  </si>
  <si>
    <t>ATIP</t>
  </si>
  <si>
    <t>on 2/25/25 Before Market Eastern Standard Time</t>
  </si>
  <si>
    <t>AWI</t>
  </si>
  <si>
    <t>ZVIA</t>
  </si>
  <si>
    <t>CTV</t>
  </si>
  <si>
    <t>BSY</t>
  </si>
  <si>
    <t>GRFS</t>
  </si>
  <si>
    <t>on 2/25/25 Unspecified Eastern Standard Time</t>
  </si>
  <si>
    <t>CYD</t>
  </si>
  <si>
    <t>ALLT</t>
  </si>
  <si>
    <t>FMS</t>
  </si>
  <si>
    <t>SPKKY</t>
  </si>
  <si>
    <t>CCU</t>
  </si>
  <si>
    <t>OEDC</t>
  </si>
  <si>
    <t>AIRS</t>
  </si>
  <si>
    <t>GENE</t>
  </si>
  <si>
    <t>DKL</t>
  </si>
  <si>
    <t>SNN</t>
  </si>
  <si>
    <t>EHTH</t>
  </si>
  <si>
    <t>SEE</t>
  </si>
  <si>
    <t>BMO</t>
  </si>
  <si>
    <t>BNS</t>
  </si>
  <si>
    <t>GOTU</t>
  </si>
  <si>
    <t>ASMIY</t>
  </si>
  <si>
    <t>VIV</t>
  </si>
  <si>
    <t>on 2/25/25 After Market Eastern Standard Time</t>
  </si>
  <si>
    <t>CPNG</t>
  </si>
  <si>
    <t>QUIK</t>
  </si>
  <si>
    <t>FRGE</t>
  </si>
  <si>
    <t>VTEX</t>
  </si>
  <si>
    <t>NTNX</t>
  </si>
  <si>
    <t>BCSF</t>
  </si>
  <si>
    <t>LGVN</t>
  </si>
  <si>
    <t>BGFV</t>
  </si>
  <si>
    <t>LCID</t>
  </si>
  <si>
    <t>CGBD</t>
  </si>
  <si>
    <t>AGO</t>
  </si>
  <si>
    <t>SPCE</t>
  </si>
  <si>
    <t>SLDP</t>
  </si>
  <si>
    <t>ICCC</t>
  </si>
  <si>
    <t>TUYA</t>
  </si>
  <si>
    <t>CART</t>
  </si>
  <si>
    <t>GATO</t>
  </si>
  <si>
    <t>PLYA</t>
  </si>
  <si>
    <t>IGIC</t>
  </si>
  <si>
    <t>GO</t>
  </si>
  <si>
    <t>XP</t>
  </si>
  <si>
    <t>NRDY</t>
  </si>
  <si>
    <t>AHT</t>
  </si>
  <si>
    <t>VTYX</t>
  </si>
  <si>
    <t>HRZN</t>
  </si>
  <si>
    <t>GLDG</t>
  </si>
  <si>
    <t>SLRC</t>
  </si>
  <si>
    <t>MFIC</t>
  </si>
  <si>
    <t>on 2/26/25 Before Market Eastern Standard Time</t>
  </si>
  <si>
    <t>FWONK</t>
  </si>
  <si>
    <t>QURE</t>
  </si>
  <si>
    <t>GLBE</t>
  </si>
  <si>
    <t>PARAA</t>
  </si>
  <si>
    <t>TZOO</t>
  </si>
  <si>
    <t>TBLA</t>
  </si>
  <si>
    <t>ELEZY</t>
  </si>
  <si>
    <t>on 2/26/25 Unspecified Eastern Standard Time</t>
  </si>
  <si>
    <t>CSTE</t>
  </si>
  <si>
    <t>UWMC</t>
  </si>
  <si>
    <t>KLBAY</t>
  </si>
  <si>
    <t>BKSY</t>
  </si>
  <si>
    <t>STLA</t>
  </si>
  <si>
    <t>VLN</t>
  </si>
  <si>
    <t>CSAN</t>
  </si>
  <si>
    <t>QRTEA</t>
  </si>
  <si>
    <t>NVZMY</t>
  </si>
  <si>
    <t>EONGY</t>
  </si>
  <si>
    <t>DIBS</t>
  </si>
  <si>
    <t>MTLS</t>
  </si>
  <si>
    <t>DTEGY</t>
  </si>
  <si>
    <t>ADT</t>
  </si>
  <si>
    <t>NAUT</t>
  </si>
  <si>
    <t>VIPS</t>
  </si>
  <si>
    <t>PERF</t>
  </si>
  <si>
    <t>ABEV</t>
  </si>
  <si>
    <t>PRMW</t>
  </si>
  <si>
    <t>FWONB</t>
  </si>
  <si>
    <t>BRFS</t>
  </si>
  <si>
    <t>ARC</t>
  </si>
  <si>
    <t>MDXH</t>
  </si>
  <si>
    <t>MLYBY</t>
  </si>
  <si>
    <t>FWONA</t>
  </si>
  <si>
    <t>RMNI</t>
  </si>
  <si>
    <t>BFLY</t>
  </si>
  <si>
    <t>BUD</t>
  </si>
  <si>
    <t>GB</t>
  </si>
  <si>
    <t>AAP</t>
  </si>
  <si>
    <t>SNLAY</t>
  </si>
  <si>
    <t>HLLY</t>
  </si>
  <si>
    <t>MRUS</t>
  </si>
  <si>
    <t>ICL</t>
  </si>
  <si>
    <t>LFWD</t>
  </si>
  <si>
    <t>WBX</t>
  </si>
  <si>
    <t>HLTOY</t>
  </si>
  <si>
    <t>RPTX</t>
  </si>
  <si>
    <t>JTKWY</t>
  </si>
  <si>
    <t>AER</t>
  </si>
  <si>
    <t>QRTEB</t>
  </si>
  <si>
    <t>IEP</t>
  </si>
  <si>
    <t>LODE</t>
  </si>
  <si>
    <t>IMCR</t>
  </si>
  <si>
    <t>LINE</t>
  </si>
  <si>
    <t>TRIN</t>
  </si>
  <si>
    <t>on 2/26/25 After Market Eastern Standard Time</t>
  </si>
  <si>
    <t>NMFC</t>
  </si>
  <si>
    <t>RRGB</t>
  </si>
  <si>
    <t>OKTA</t>
  </si>
  <si>
    <t>CCCS</t>
  </si>
  <si>
    <t>MX</t>
  </si>
  <si>
    <t>AMRN</t>
  </si>
  <si>
    <t>ALVO</t>
  </si>
  <si>
    <t>WES</t>
  </si>
  <si>
    <t>PBR</t>
  </si>
  <si>
    <t>VCSA</t>
  </si>
  <si>
    <t>TASK</t>
  </si>
  <si>
    <t>NEXA</t>
  </si>
  <si>
    <t>HHH</t>
  </si>
  <si>
    <t>ICDI</t>
  </si>
  <si>
    <t>SMHI</t>
  </si>
  <si>
    <t>MRAM</t>
  </si>
  <si>
    <t>ACR</t>
  </si>
  <si>
    <t>SRI</t>
  </si>
  <si>
    <t>FIVN</t>
  </si>
  <si>
    <t>GEF/B</t>
  </si>
  <si>
    <t>STN</t>
  </si>
  <si>
    <t>CAPL</t>
  </si>
  <si>
    <t>SES</t>
  </si>
  <si>
    <t>KNOP</t>
  </si>
  <si>
    <t>PDYN</t>
  </si>
  <si>
    <t>EQX</t>
  </si>
  <si>
    <t>ENIC</t>
  </si>
  <si>
    <t>MRRTY</t>
  </si>
  <si>
    <t>LPSN</t>
  </si>
  <si>
    <t>BMA</t>
  </si>
  <si>
    <t>RCKY</t>
  </si>
  <si>
    <t>ATROB</t>
  </si>
  <si>
    <t>UGP</t>
  </si>
  <si>
    <t>ICDIQ</t>
  </si>
  <si>
    <t>VIST</t>
  </si>
  <si>
    <t>GTBIF</t>
  </si>
  <si>
    <t>FSK</t>
  </si>
  <si>
    <t>BBWI</t>
  </si>
  <si>
    <t>on 2/27/25 Before Market Eastern Standard Time</t>
  </si>
  <si>
    <t>CLCO</t>
  </si>
  <si>
    <t>on 2/27/25 Unspecified Eastern Standard Time</t>
  </si>
  <si>
    <t>SYRS</t>
  </si>
  <si>
    <t>KRP</t>
  </si>
  <si>
    <t>ECX</t>
  </si>
  <si>
    <t>CRON</t>
  </si>
  <si>
    <t>INUV</t>
  </si>
  <si>
    <t>PENN</t>
  </si>
  <si>
    <t>HYFM</t>
  </si>
  <si>
    <t>LNZA</t>
  </si>
  <si>
    <t>DQ</t>
  </si>
  <si>
    <t>NEON</t>
  </si>
  <si>
    <t>KPTI</t>
  </si>
  <si>
    <t>VRN</t>
  </si>
  <si>
    <t>CMBT</t>
  </si>
  <si>
    <t>GECC</t>
  </si>
  <si>
    <t>DANOY</t>
  </si>
  <si>
    <t>BDRFY</t>
  </si>
  <si>
    <t>WW</t>
  </si>
  <si>
    <t>DAVA</t>
  </si>
  <si>
    <t>GASNY</t>
  </si>
  <si>
    <t>NTES</t>
  </si>
  <si>
    <t>TCPC</t>
  </si>
  <si>
    <t>HAYW</t>
  </si>
  <si>
    <t>VLOWY</t>
  </si>
  <si>
    <t>HCM</t>
  </si>
  <si>
    <t>ITRN</t>
  </si>
  <si>
    <t>CM</t>
  </si>
  <si>
    <t>IBDRY</t>
  </si>
  <si>
    <t>IMAB</t>
  </si>
  <si>
    <t>SSREY</t>
  </si>
  <si>
    <t>IPWR</t>
  </si>
  <si>
    <t>GDRX</t>
  </si>
  <si>
    <t>TEF</t>
  </si>
  <si>
    <t>RYCEY</t>
  </si>
  <si>
    <t>OPT</t>
  </si>
  <si>
    <t>APG</t>
  </si>
  <si>
    <t>MLTX</t>
  </si>
  <si>
    <t>PTAIY</t>
  </si>
  <si>
    <t>ACRS</t>
  </si>
  <si>
    <t>ENGIY</t>
  </si>
  <si>
    <t>EDR</t>
  </si>
  <si>
    <t>DAO</t>
  </si>
  <si>
    <t>PSNY</t>
  </si>
  <si>
    <t>IMOS</t>
  </si>
  <si>
    <t>NWSGY</t>
  </si>
  <si>
    <t>NOMD</t>
  </si>
  <si>
    <t>FTI</t>
  </si>
  <si>
    <t>CPPCY</t>
  </si>
  <si>
    <t>MPLN</t>
  </si>
  <si>
    <t>PMVP</t>
  </si>
  <si>
    <t>CDRO</t>
  </si>
  <si>
    <t>SUBCY</t>
  </si>
  <si>
    <t>STTK</t>
  </si>
  <si>
    <t>SUHJY</t>
  </si>
  <si>
    <t>APLS</t>
  </si>
  <si>
    <t>CODYY</t>
  </si>
  <si>
    <t>CVEO</t>
  </si>
  <si>
    <t>ERJ</t>
  </si>
  <si>
    <t>BDSX</t>
  </si>
  <si>
    <t>TD</t>
  </si>
  <si>
    <t>DOUG</t>
  </si>
  <si>
    <t>CMPS</t>
  </si>
  <si>
    <t>NREF</t>
  </si>
  <si>
    <t>MSC</t>
  </si>
  <si>
    <t>IMUX</t>
  </si>
  <si>
    <t>OPRA</t>
  </si>
  <si>
    <t>EDPFY</t>
  </si>
  <si>
    <t>VRNA</t>
  </si>
  <si>
    <t>NAMS</t>
  </si>
  <si>
    <t>DWTX</t>
  </si>
  <si>
    <t>ARGX</t>
  </si>
  <si>
    <t>TIGO</t>
  </si>
  <si>
    <t>IMMP</t>
  </si>
  <si>
    <t>EEX</t>
  </si>
  <si>
    <t>HLN</t>
  </si>
  <si>
    <t>GLP</t>
  </si>
  <si>
    <t>MLCO</t>
  </si>
  <si>
    <t>CARM</t>
  </si>
  <si>
    <t>QSI</t>
  </si>
  <si>
    <t>E</t>
  </si>
  <si>
    <t>WHF</t>
  </si>
  <si>
    <t>AXAHY</t>
  </si>
  <si>
    <t>NFE</t>
  </si>
  <si>
    <t>PBT</t>
  </si>
  <si>
    <t>on 2/27/25 During Market Eastern Standard Time</t>
  </si>
  <si>
    <t>CGGYY</t>
  </si>
  <si>
    <t>VIRDY</t>
  </si>
  <si>
    <t>on 2/27/25 After Market Eastern Standard Time</t>
  </si>
  <si>
    <t>SEER</t>
  </si>
  <si>
    <t>PRTG</t>
  </si>
  <si>
    <t>CERT</t>
  </si>
  <si>
    <t>GXYYY</t>
  </si>
  <si>
    <t>DNN</t>
  </si>
  <si>
    <t>ELP</t>
  </si>
  <si>
    <t>LSTA</t>
  </si>
  <si>
    <t>FDUS</t>
  </si>
  <si>
    <t>BVN</t>
  </si>
  <si>
    <t>ESEA</t>
  </si>
  <si>
    <t>MSDL</t>
  </si>
  <si>
    <t>PBA</t>
  </si>
  <si>
    <t>ESTC</t>
  </si>
  <si>
    <t>STHO</t>
  </si>
  <si>
    <t>ORGN</t>
  </si>
  <si>
    <t>INMB</t>
  </si>
  <si>
    <t>SMSI</t>
  </si>
  <si>
    <t>TPIC</t>
  </si>
  <si>
    <t>DNA</t>
  </si>
  <si>
    <t>MESO</t>
  </si>
  <si>
    <t>XENE</t>
  </si>
  <si>
    <t>ESTA</t>
  </si>
  <si>
    <t>UPLD</t>
  </si>
  <si>
    <t>MP</t>
  </si>
  <si>
    <t>MAIN</t>
  </si>
  <si>
    <t>DV</t>
  </si>
  <si>
    <t>TCX</t>
  </si>
  <si>
    <t>GOVX</t>
  </si>
  <si>
    <t>SENS</t>
  </si>
  <si>
    <t>JRVR</t>
  </si>
  <si>
    <t>ABCL</t>
  </si>
  <si>
    <t>GSBD</t>
  </si>
  <si>
    <t>VEEV</t>
  </si>
  <si>
    <t>FET</t>
  </si>
  <si>
    <t>TBRG</t>
  </si>
  <si>
    <t>VRCA</t>
  </si>
  <si>
    <t>ZNTL</t>
  </si>
  <si>
    <t>NTRA</t>
  </si>
  <si>
    <t>MUX</t>
  </si>
  <si>
    <t>STEM</t>
  </si>
  <si>
    <t>ZYXI</t>
  </si>
  <si>
    <t>VGZ</t>
  </si>
  <si>
    <t>on 2/28/25 Before Market Eastern Standard Time</t>
  </si>
  <si>
    <t>INTT</t>
  </si>
  <si>
    <t>RPID</t>
  </si>
  <si>
    <t>ALIZY</t>
  </si>
  <si>
    <t>on 2/28/25 Unspecified Eastern Standard Time</t>
  </si>
  <si>
    <t>ICAGY</t>
  </si>
  <si>
    <t>PSBD</t>
  </si>
  <si>
    <t>HCMLY</t>
  </si>
  <si>
    <t>FRO</t>
  </si>
  <si>
    <t>BASFY</t>
  </si>
  <si>
    <t>ACU</t>
  </si>
  <si>
    <t>BRK/B</t>
  </si>
  <si>
    <t>TUSK</t>
  </si>
  <si>
    <t>PSO</t>
  </si>
  <si>
    <t>on 2/28/25 After Market Eastern Standard Time</t>
  </si>
  <si>
    <t>FBLG</t>
  </si>
  <si>
    <t>BH</t>
  </si>
  <si>
    <t>on 3/1/25 After Market Eastern Standard Time</t>
  </si>
  <si>
    <t>TOYO</t>
  </si>
  <si>
    <t>on 3/3/25 Before Market Eastern Standard Time</t>
  </si>
  <si>
    <t>TWKS</t>
  </si>
  <si>
    <t>LNSR</t>
  </si>
  <si>
    <t>SRCL</t>
  </si>
  <si>
    <t>ONC</t>
  </si>
  <si>
    <t>on 3/3/25 Unspecified Eastern Standard Time</t>
  </si>
  <si>
    <t>SE</t>
  </si>
  <si>
    <t>BGNE</t>
  </si>
  <si>
    <t>PASG</t>
  </si>
  <si>
    <t>PLTK</t>
  </si>
  <si>
    <t>MDV</t>
  </si>
  <si>
    <t>AVAL</t>
  </si>
  <si>
    <t>SBR</t>
  </si>
  <si>
    <t>on 3/3/25 During Market Eastern Standard Time</t>
  </si>
  <si>
    <t>ICCH</t>
  </si>
  <si>
    <t>on 3/3/25 After Market Eastern Standard Time</t>
  </si>
  <si>
    <t>CRD/B</t>
  </si>
  <si>
    <t>TTEC</t>
  </si>
  <si>
    <t>CRD/A</t>
  </si>
  <si>
    <t>SLND</t>
  </si>
  <si>
    <t>GTLB</t>
  </si>
  <si>
    <t>NWBO</t>
  </si>
  <si>
    <t>LOGC</t>
  </si>
  <si>
    <t>TDUP</t>
  </si>
  <si>
    <t>CAVA</t>
  </si>
  <si>
    <t>PAC</t>
  </si>
  <si>
    <t>CVGI</t>
  </si>
  <si>
    <t>RBOT</t>
  </si>
  <si>
    <t>EKSO</t>
  </si>
  <si>
    <t>GAIA</t>
  </si>
  <si>
    <t>PAY</t>
  </si>
  <si>
    <t>CARA</t>
  </si>
  <si>
    <t>TGS</t>
  </si>
  <si>
    <t>BLNK</t>
  </si>
  <si>
    <t>AXNX</t>
  </si>
  <si>
    <t>CLOV</t>
  </si>
  <si>
    <t>OFS</t>
  </si>
  <si>
    <t>ZM</t>
  </si>
  <si>
    <t>VATE</t>
  </si>
  <si>
    <t>SKIN</t>
  </si>
  <si>
    <t>NUWE</t>
  </si>
  <si>
    <t>on 3/4/25 Before Market Eastern Standard Time</t>
  </si>
  <si>
    <t>CMLS</t>
  </si>
  <si>
    <t>SOPH</t>
  </si>
  <si>
    <t>CAN</t>
  </si>
  <si>
    <t>MCRB</t>
  </si>
  <si>
    <t>AOMR</t>
  </si>
  <si>
    <t>HDL</t>
  </si>
  <si>
    <t>RSKD</t>
  </si>
  <si>
    <t>MNDO</t>
  </si>
  <si>
    <t>GSL</t>
  </si>
  <si>
    <t>NVCT</t>
  </si>
  <si>
    <t>SPMYY</t>
  </si>
  <si>
    <t>on 3/4/25 Unspecified Eastern Standard Time</t>
  </si>
  <si>
    <t>IKTSY</t>
  </si>
  <si>
    <t>CRBP</t>
  </si>
  <si>
    <t>CTTAY</t>
  </si>
  <si>
    <t>HMY</t>
  </si>
  <si>
    <t>BWEN</t>
  </si>
  <si>
    <t>NSPR</t>
  </si>
  <si>
    <t>ZLAB</t>
  </si>
  <si>
    <t>AS</t>
  </si>
  <si>
    <t>IOBT</t>
  </si>
  <si>
    <t>STXS</t>
  </si>
  <si>
    <t>on 3/4/25 After Market Eastern Standard Time</t>
  </si>
  <si>
    <t>CPIX</t>
  </si>
  <si>
    <t>FTCO</t>
  </si>
  <si>
    <t>FLL</t>
  </si>
  <si>
    <t>SQM</t>
  </si>
  <si>
    <t>SSTI</t>
  </si>
  <si>
    <t>FNV</t>
  </si>
  <si>
    <t>EVC</t>
  </si>
  <si>
    <t>TXO</t>
  </si>
  <si>
    <t>BNGO</t>
  </si>
  <si>
    <t>TEM</t>
  </si>
  <si>
    <t>SCM</t>
  </si>
  <si>
    <t>FTEL</t>
  </si>
  <si>
    <t>KFS</t>
  </si>
  <si>
    <t>AEVA</t>
  </si>
  <si>
    <t>CXDO</t>
  </si>
  <si>
    <t>SCKT</t>
  </si>
  <si>
    <t>HCP</t>
  </si>
  <si>
    <t>GOSS</t>
  </si>
  <si>
    <t>on 3/5/25 Before Market Eastern Standard Time</t>
  </si>
  <si>
    <t>BF/A</t>
  </si>
  <si>
    <t>SCRYY</t>
  </si>
  <si>
    <t>BF/B</t>
  </si>
  <si>
    <t>INVZ</t>
  </si>
  <si>
    <t>VBNK</t>
  </si>
  <si>
    <t>RY</t>
  </si>
  <si>
    <t>RAND</t>
  </si>
  <si>
    <t>KMDA</t>
  </si>
  <si>
    <t>BWAY</t>
  </si>
  <si>
    <t>TIIAY</t>
  </si>
  <si>
    <t>on 3/5/25 Unspecified Eastern Standard Time</t>
  </si>
  <si>
    <t>TSVT</t>
  </si>
  <si>
    <t>FANDY</t>
  </si>
  <si>
    <t>BAYRY</t>
  </si>
  <si>
    <t>ADDYY</t>
  </si>
  <si>
    <t>NEUE</t>
  </si>
  <si>
    <t>MNSO</t>
  </si>
  <si>
    <t>YSG</t>
  </si>
  <si>
    <t>PEPG</t>
  </si>
  <si>
    <t>SDIG</t>
  </si>
  <si>
    <t>WLWHY</t>
  </si>
  <si>
    <t>PRDSY</t>
  </si>
  <si>
    <t>TTNDY</t>
  </si>
  <si>
    <t>NIO</t>
  </si>
  <si>
    <t>BRCC</t>
  </si>
  <si>
    <t>on 3/5/25 During Market Eastern Standard Time</t>
  </si>
  <si>
    <t>on 3/5/25 After Market Eastern Standard Time</t>
  </si>
  <si>
    <t>AIRG</t>
  </si>
  <si>
    <t>HBB</t>
  </si>
  <si>
    <t>GPRK</t>
  </si>
  <si>
    <t>OMGA</t>
  </si>
  <si>
    <t>EBS</t>
  </si>
  <si>
    <t>PSNL</t>
  </si>
  <si>
    <t>INO</t>
  </si>
  <si>
    <t>ORMP</t>
  </si>
  <si>
    <t>VUZI</t>
  </si>
  <si>
    <t>CIX</t>
  </si>
  <si>
    <t>TPVG</t>
  </si>
  <si>
    <t>LDI</t>
  </si>
  <si>
    <t>LTBR</t>
  </si>
  <si>
    <t>BBAR</t>
  </si>
  <si>
    <t>NC</t>
  </si>
  <si>
    <t>MNTS</t>
  </si>
  <si>
    <t>ICG</t>
  </si>
  <si>
    <t>CULP</t>
  </si>
  <si>
    <t>KLXE</t>
  </si>
  <si>
    <t>CNFR</t>
  </si>
  <si>
    <t>SVCO</t>
  </si>
  <si>
    <t>PSTV</t>
  </si>
  <si>
    <t>DSGX</t>
  </si>
  <si>
    <t>SLNG</t>
  </si>
  <si>
    <t>WRAP</t>
  </si>
  <si>
    <t>GBIO</t>
  </si>
  <si>
    <t>MAXN</t>
  </si>
  <si>
    <t>FSM</t>
  </si>
  <si>
    <t>CPSH</t>
  </si>
  <si>
    <t>PAM</t>
  </si>
  <si>
    <t>CYN</t>
  </si>
  <si>
    <t>LB</t>
  </si>
  <si>
    <t>VET</t>
  </si>
  <si>
    <t>KRMD</t>
  </si>
  <si>
    <t>CLPS</t>
  </si>
  <si>
    <t>on 3/6/25 Before Market Eastern Standard Time</t>
  </si>
  <si>
    <t>ZURA</t>
  </si>
  <si>
    <t>on 3/6/25 Unspecified Eastern Standard Time</t>
  </si>
  <si>
    <t>WLYB</t>
  </si>
  <si>
    <t>GOLLQ</t>
  </si>
  <si>
    <t>PMTS</t>
  </si>
  <si>
    <t>TRMD</t>
  </si>
  <si>
    <t>HOWL</t>
  </si>
  <si>
    <t>SOHO</t>
  </si>
  <si>
    <t>YMM</t>
  </si>
  <si>
    <t>ACHL</t>
  </si>
  <si>
    <t>HBIO</t>
  </si>
  <si>
    <t>MNTX</t>
  </si>
  <si>
    <t>RNAC</t>
  </si>
  <si>
    <t>ASPS</t>
  </si>
  <si>
    <t>TTSH</t>
  </si>
  <si>
    <t>UPB</t>
  </si>
  <si>
    <t>VIVHY</t>
  </si>
  <si>
    <t>FCEL</t>
  </si>
  <si>
    <t>RTO</t>
  </si>
  <si>
    <t>OPFI</t>
  </si>
  <si>
    <t>DCTH</t>
  </si>
  <si>
    <t>NRP</t>
  </si>
  <si>
    <t>DDS</t>
  </si>
  <si>
    <t>GENI</t>
  </si>
  <si>
    <t>IRD</t>
  </si>
  <si>
    <t>SSYS</t>
  </si>
  <si>
    <t>GHRS</t>
  </si>
  <si>
    <t>ONCY</t>
  </si>
  <si>
    <t>SUP</t>
  </si>
  <si>
    <t>NVNO</t>
  </si>
  <si>
    <t>OPTN</t>
  </si>
  <si>
    <t>ILLM</t>
  </si>
  <si>
    <t>GDEV</t>
  </si>
  <si>
    <t>RBGLY</t>
  </si>
  <si>
    <t>GGAL</t>
  </si>
  <si>
    <t>CINT</t>
  </si>
  <si>
    <t>JMHLY</t>
  </si>
  <si>
    <t>DLTH</t>
  </si>
  <si>
    <t>CMRX</t>
  </si>
  <si>
    <t>COHN</t>
  </si>
  <si>
    <t>DHLGY</t>
  </si>
  <si>
    <t>MKTW</t>
  </si>
  <si>
    <t>LPCN</t>
  </si>
  <si>
    <t>ARBE</t>
  </si>
  <si>
    <t>STVN</t>
  </si>
  <si>
    <t>ISDR</t>
  </si>
  <si>
    <t>RAPT</t>
  </si>
  <si>
    <t>PMN</t>
  </si>
  <si>
    <t>IGMS</t>
  </si>
  <si>
    <t>OPHC</t>
  </si>
  <si>
    <t>on 3/6/25 During Market Eastern Standard Time</t>
  </si>
  <si>
    <t>TCRT</t>
  </si>
  <si>
    <t>LUMO</t>
  </si>
  <si>
    <t>on 3/6/25 After Market Eastern Standard Time</t>
  </si>
  <si>
    <t>OWLT</t>
  </si>
  <si>
    <t>RBTC</t>
  </si>
  <si>
    <t>IOT</t>
  </si>
  <si>
    <t>CLYM</t>
  </si>
  <si>
    <t>SERV</t>
  </si>
  <si>
    <t>EC</t>
  </si>
  <si>
    <t>YPF</t>
  </si>
  <si>
    <t>FOA</t>
  </si>
  <si>
    <t>GWRE</t>
  </si>
  <si>
    <t>CPSS</t>
  </si>
  <si>
    <t>GPCR</t>
  </si>
  <si>
    <t>RBRK</t>
  </si>
  <si>
    <t>TISI</t>
  </si>
  <si>
    <t>MOLN</t>
  </si>
  <si>
    <t>METC</t>
  </si>
  <si>
    <t>FFIE</t>
  </si>
  <si>
    <t>MKFG</t>
  </si>
  <si>
    <t>COOK</t>
  </si>
  <si>
    <t>IMRX</t>
  </si>
  <si>
    <t>DALN</t>
  </si>
  <si>
    <t>BPTH</t>
  </si>
  <si>
    <t>LIB</t>
  </si>
  <si>
    <t>GEVO</t>
  </si>
  <si>
    <t>CLLS</t>
  </si>
  <si>
    <t>DBVT</t>
  </si>
  <si>
    <t>CLAR</t>
  </si>
  <si>
    <t>CRDF</t>
  </si>
  <si>
    <t>FAT</t>
  </si>
  <si>
    <t>ALXO</t>
  </si>
  <si>
    <t>GIFI</t>
  </si>
  <si>
    <t>BOLD</t>
  </si>
  <si>
    <t>NEPH</t>
  </si>
  <si>
    <t>NDLS</t>
  </si>
  <si>
    <t>NCSM</t>
  </si>
  <si>
    <t>MYO</t>
  </si>
  <si>
    <t>GENK</t>
  </si>
  <si>
    <t>WBTN</t>
  </si>
  <si>
    <t>SAMG</t>
  </si>
  <si>
    <t>NUTX</t>
  </si>
  <si>
    <t>DRTS</t>
  </si>
  <si>
    <t>PBYI</t>
  </si>
  <si>
    <t>ELUT</t>
  </si>
  <si>
    <t>NINE</t>
  </si>
  <si>
    <t>AKA</t>
  </si>
  <si>
    <t>SGHT</t>
  </si>
  <si>
    <t>AOUT</t>
  </si>
  <si>
    <t>RWAY</t>
  </si>
  <si>
    <t>GROV</t>
  </si>
  <si>
    <t>JETMF</t>
  </si>
  <si>
    <t>EARN</t>
  </si>
  <si>
    <t>EDN</t>
  </si>
  <si>
    <t>on 3/7/25 Unspecified Eastern Standard Time</t>
  </si>
  <si>
    <t>on 3/7/25 Before Market Eastern Standard Time</t>
  </si>
  <si>
    <t>GLTO</t>
  </si>
  <si>
    <t>EVEX</t>
  </si>
  <si>
    <t>AQN</t>
  </si>
  <si>
    <t>ERLFF</t>
  </si>
  <si>
    <t>on 3/7/25 After Market Eastern Standard Time</t>
  </si>
  <si>
    <t>LICY</t>
  </si>
  <si>
    <t>BLTE</t>
  </si>
  <si>
    <t>on 3/10/25 Before Market Eastern Standard Time</t>
  </si>
  <si>
    <t>BNTX</t>
  </si>
  <si>
    <t>LXEO</t>
  </si>
  <si>
    <t>ELTK</t>
  </si>
  <si>
    <t>OCS</t>
  </si>
  <si>
    <t>SOHU</t>
  </si>
  <si>
    <t>FTRE</t>
  </si>
  <si>
    <t>NLCP</t>
  </si>
  <si>
    <t>on 3/10/25 After Market Eastern Standard Time</t>
  </si>
  <si>
    <t>SUPV</t>
  </si>
  <si>
    <t>TTOO</t>
  </si>
  <si>
    <t>CRBU</t>
  </si>
  <si>
    <t>SONXD</t>
  </si>
  <si>
    <t>CTMX</t>
  </si>
  <si>
    <t>EOSE</t>
  </si>
  <si>
    <t>FTEK</t>
  </si>
  <si>
    <t>YALA</t>
  </si>
  <si>
    <t>LXRX</t>
  </si>
  <si>
    <t>SONX</t>
  </si>
  <si>
    <t>KLC</t>
  </si>
  <si>
    <t>AKYA</t>
  </si>
  <si>
    <t>ALTO</t>
  </si>
  <si>
    <t>BZ</t>
  </si>
  <si>
    <t>on 3/11/25 Before Market Eastern Standard Time</t>
  </si>
  <si>
    <t>QXO</t>
  </si>
  <si>
    <t>FERG</t>
  </si>
  <si>
    <t>LEGN</t>
  </si>
  <si>
    <t>BNED</t>
  </si>
  <si>
    <t>MASS</t>
  </si>
  <si>
    <t>ULS</t>
  </si>
  <si>
    <t>QTTB</t>
  </si>
  <si>
    <t>IKNA</t>
  </si>
  <si>
    <t>CGEN</t>
  </si>
  <si>
    <t>IHS</t>
  </si>
  <si>
    <t>INZY</t>
  </si>
  <si>
    <t>CMT</t>
  </si>
  <si>
    <t>ONON</t>
  </si>
  <si>
    <t>ADCT</t>
  </si>
  <si>
    <t>RERE</t>
  </si>
  <si>
    <t>ZBIO</t>
  </si>
  <si>
    <t>VWAGY</t>
  </si>
  <si>
    <t>on 3/11/25 Unspecified Eastern Standard Time</t>
  </si>
  <si>
    <t>BLDP</t>
  </si>
  <si>
    <t>HGTY</t>
  </si>
  <si>
    <t>HRTX</t>
  </si>
  <si>
    <t>CEPU</t>
  </si>
  <si>
    <t>RLYB</t>
  </si>
  <si>
    <t>STIM</t>
  </si>
  <si>
    <t>EXK</t>
  </si>
  <si>
    <t>KALA</t>
  </si>
  <si>
    <t>GAUZ</t>
  </si>
  <si>
    <t>HENKY</t>
  </si>
  <si>
    <t>BDTX</t>
  </si>
  <si>
    <t>LOAN</t>
  </si>
  <si>
    <t>PRTH</t>
  </si>
  <si>
    <t>on 3/11/25 During Market Eastern Standard Time</t>
  </si>
  <si>
    <t>TEO</t>
  </si>
  <si>
    <t>on 3/11/25 After Market Eastern Standard Time</t>
  </si>
  <si>
    <t>NNBR</t>
  </si>
  <si>
    <t>CLPT</t>
  </si>
  <si>
    <t>FENG</t>
  </si>
  <si>
    <t>ATER</t>
  </si>
  <si>
    <t>AWRE</t>
  </si>
  <si>
    <t>MCHX</t>
  </si>
  <si>
    <t>MYPS</t>
  </si>
  <si>
    <t>TKNO</t>
  </si>
  <si>
    <t>ODD</t>
  </si>
  <si>
    <t>ALGS</t>
  </si>
  <si>
    <t>NRGV</t>
  </si>
  <si>
    <t>ISPO</t>
  </si>
  <si>
    <t>NPCE</t>
  </si>
  <si>
    <t>DJT</t>
  </si>
  <si>
    <t>TNON</t>
  </si>
  <si>
    <t>SNCR</t>
  </si>
  <si>
    <t>MRNS</t>
  </si>
  <si>
    <t>PHLT</t>
  </si>
  <si>
    <t>PHUN</t>
  </si>
  <si>
    <t>FTK</t>
  </si>
  <si>
    <t>NYXH</t>
  </si>
  <si>
    <t>EML</t>
  </si>
  <si>
    <t>CANG</t>
  </si>
  <si>
    <t>ASRT</t>
  </si>
  <si>
    <t>SCOR</t>
  </si>
  <si>
    <t>BIRD</t>
  </si>
  <si>
    <t>OPRT</t>
  </si>
  <si>
    <t>LSF</t>
  </si>
  <si>
    <t>LQMT</t>
  </si>
  <si>
    <t>on 3/12/25 Before Market Eastern Standard Time</t>
  </si>
  <si>
    <t>MHLD</t>
  </si>
  <si>
    <t>APT</t>
  </si>
  <si>
    <t>SID</t>
  </si>
  <si>
    <t>on 3/12/25 Unspecified Eastern Standard Time</t>
  </si>
  <si>
    <t>AADI</t>
  </si>
  <si>
    <t>VRA</t>
  </si>
  <si>
    <t>AAGIY</t>
  </si>
  <si>
    <t>JD</t>
  </si>
  <si>
    <t>BTAI</t>
  </si>
  <si>
    <t>ARCO</t>
  </si>
  <si>
    <t>MANU</t>
  </si>
  <si>
    <t>FTCI</t>
  </si>
  <si>
    <t>GBLI</t>
  </si>
  <si>
    <t>DUFRY</t>
  </si>
  <si>
    <t>ACDC</t>
  </si>
  <si>
    <t>SDHC</t>
  </si>
  <si>
    <t>VFF</t>
  </si>
  <si>
    <t>NL</t>
  </si>
  <si>
    <t>on 3/12/25 After Market Eastern Standard Time</t>
  </si>
  <si>
    <t>GWRS</t>
  </si>
  <si>
    <t>OPAL</t>
  </si>
  <si>
    <t>AE</t>
  </si>
  <si>
    <t>ARTNA</t>
  </si>
  <si>
    <t>NVGS</t>
  </si>
  <si>
    <t>OTCM</t>
  </si>
  <si>
    <t>FOSL</t>
  </si>
  <si>
    <t>GAU</t>
  </si>
  <si>
    <t>PFIE</t>
  </si>
  <si>
    <t>OPTT</t>
  </si>
  <si>
    <t>QFIN</t>
  </si>
  <si>
    <t>SURG</t>
  </si>
  <si>
    <t>SLDB</t>
  </si>
  <si>
    <t>ADAP</t>
  </si>
  <si>
    <t>SSSS</t>
  </si>
  <si>
    <t>MRCC</t>
  </si>
  <si>
    <t>VTVT</t>
  </si>
  <si>
    <t>ECOR</t>
  </si>
  <si>
    <t>PHX</t>
  </si>
  <si>
    <t>GWH</t>
  </si>
  <si>
    <t>GRWG</t>
  </si>
  <si>
    <t>ICAD</t>
  </si>
  <si>
    <t>CLSD</t>
  </si>
  <si>
    <t>BGSF</t>
  </si>
  <si>
    <t>S</t>
  </si>
  <si>
    <t>TACT</t>
  </si>
  <si>
    <t>MRMD</t>
  </si>
  <si>
    <t>QRHC</t>
  </si>
  <si>
    <t>CSBR</t>
  </si>
  <si>
    <t>NXE</t>
  </si>
  <si>
    <t>TATT</t>
  </si>
  <si>
    <t>TLPH</t>
  </si>
  <si>
    <t>OTRK</t>
  </si>
  <si>
    <t>LOMA</t>
  </si>
  <si>
    <t>NOTE</t>
  </si>
  <si>
    <t>LVLU</t>
  </si>
  <si>
    <t>PRPL</t>
  </si>
  <si>
    <t>CBAT</t>
  </si>
  <si>
    <t>on 3/13/25 Before Market Eastern Standard Time</t>
  </si>
  <si>
    <t>IPSC</t>
  </si>
  <si>
    <t>SGA</t>
  </si>
  <si>
    <t>MGIC</t>
  </si>
  <si>
    <t>UHG</t>
  </si>
  <si>
    <t>KPLT</t>
  </si>
  <si>
    <t>HSON</t>
  </si>
  <si>
    <t>MOMO</t>
  </si>
  <si>
    <t>RGTI</t>
  </si>
  <si>
    <t>PXS</t>
  </si>
  <si>
    <t>BHIL</t>
  </si>
  <si>
    <t>BOSSY</t>
  </si>
  <si>
    <t>XNET</t>
  </si>
  <si>
    <t>RFL</t>
  </si>
  <si>
    <t>PLCE</t>
  </si>
  <si>
    <t>BKTI</t>
  </si>
  <si>
    <t>TLN</t>
  </si>
  <si>
    <t>ENLAY</t>
  </si>
  <si>
    <t>on 3/13/25 Unspecified Eastern Standard Time</t>
  </si>
  <si>
    <t>ZDGE</t>
  </si>
  <si>
    <t>DTC</t>
  </si>
  <si>
    <t>SLGL</t>
  </si>
  <si>
    <t>AFCG</t>
  </si>
  <si>
    <t>CSIQ</t>
  </si>
  <si>
    <t>TCRX</t>
  </si>
  <si>
    <t>KNDI</t>
  </si>
  <si>
    <t>BILI</t>
  </si>
  <si>
    <t>TARA</t>
  </si>
  <si>
    <t>IPA</t>
  </si>
  <si>
    <t>NEXN</t>
  </si>
  <si>
    <t>GOCO</t>
  </si>
  <si>
    <t>OCC</t>
  </si>
  <si>
    <t>KOPN</t>
  </si>
  <si>
    <t>MTCPY</t>
  </si>
  <si>
    <t>EH</t>
  </si>
  <si>
    <t>PLX</t>
  </si>
  <si>
    <t>EVGN</t>
  </si>
  <si>
    <t>AUTL</t>
  </si>
  <si>
    <t>LEAT</t>
  </si>
  <si>
    <t>FUTU</t>
  </si>
  <si>
    <t>CBSTF</t>
  </si>
  <si>
    <t>ACIU</t>
  </si>
  <si>
    <t>SHIP</t>
  </si>
  <si>
    <t>SGBLY</t>
  </si>
  <si>
    <t>CNTY</t>
  </si>
  <si>
    <t>STCN</t>
  </si>
  <si>
    <t>SCWX</t>
  </si>
  <si>
    <t>ISPC</t>
  </si>
  <si>
    <t>TOUR</t>
  </si>
  <si>
    <t>SWPLY</t>
  </si>
  <si>
    <t>AMTX</t>
  </si>
  <si>
    <t>SILA</t>
  </si>
  <si>
    <t>KPLUY</t>
  </si>
  <si>
    <t>WB</t>
  </si>
  <si>
    <t>on 3/13/25 After Market Eastern Standard Time</t>
  </si>
  <si>
    <t>FTHM</t>
  </si>
  <si>
    <t>PRTS</t>
  </si>
  <si>
    <t>INTS</t>
  </si>
  <si>
    <t>HGBL</t>
  </si>
  <si>
    <t>TECX</t>
  </si>
  <si>
    <t>JSDA</t>
  </si>
  <si>
    <t>CDLX</t>
  </si>
  <si>
    <t>TBCH</t>
  </si>
  <si>
    <t>LCUT</t>
  </si>
  <si>
    <t>SGMO</t>
  </si>
  <si>
    <t>AIRE</t>
  </si>
  <si>
    <t>FF</t>
  </si>
  <si>
    <t>FEIM</t>
  </si>
  <si>
    <t>CLPR</t>
  </si>
  <si>
    <t>HYMC</t>
  </si>
  <si>
    <t>AVD</t>
  </si>
  <si>
    <t>KDLY</t>
  </si>
  <si>
    <t>HHS</t>
  </si>
  <si>
    <t>BEEP</t>
  </si>
  <si>
    <t>AGRO</t>
  </si>
  <si>
    <t>POET</t>
  </si>
  <si>
    <t>PTMN</t>
  </si>
  <si>
    <t>BPT</t>
  </si>
  <si>
    <t>BSEM</t>
  </si>
  <si>
    <t>GORV</t>
  </si>
  <si>
    <t>SPRU</t>
  </si>
  <si>
    <t>EXOD</t>
  </si>
  <si>
    <t>LRFC</t>
  </si>
  <si>
    <t>SMAR</t>
  </si>
  <si>
    <t>SBC</t>
  </si>
  <si>
    <t>EBR/B</t>
  </si>
  <si>
    <t>VHC</t>
  </si>
  <si>
    <t>BZFD</t>
  </si>
  <si>
    <t>ETON</t>
  </si>
  <si>
    <t>GAN</t>
  </si>
  <si>
    <t>INAB</t>
  </si>
  <si>
    <t>SPRO</t>
  </si>
  <si>
    <t>BRLT</t>
  </si>
  <si>
    <t>III</t>
  </si>
  <si>
    <t>REFR</t>
  </si>
  <si>
    <t>JYNT</t>
  </si>
  <si>
    <t>MAPS</t>
  </si>
  <si>
    <t>OPRX</t>
  </si>
  <si>
    <t>CODX</t>
  </si>
  <si>
    <t>TGB</t>
  </si>
  <si>
    <t>CHMI</t>
  </si>
  <si>
    <t>SKLZ</t>
  </si>
  <si>
    <t>BFRI</t>
  </si>
  <si>
    <t>NODK</t>
  </si>
  <si>
    <t>LCTX</t>
  </si>
  <si>
    <t>VHI</t>
  </si>
  <si>
    <t>PSIX</t>
  </si>
  <si>
    <t>TLYS</t>
  </si>
  <si>
    <t>STKS</t>
  </si>
  <si>
    <t>HFFG</t>
  </si>
  <si>
    <t>ATYR</t>
  </si>
  <si>
    <t>ALLK</t>
  </si>
  <si>
    <t>PSQH</t>
  </si>
  <si>
    <t>EBR</t>
  </si>
  <si>
    <t>CIA</t>
  </si>
  <si>
    <t>ANRO</t>
  </si>
  <si>
    <t>AFYA</t>
  </si>
  <si>
    <t>VSTM</t>
  </si>
  <si>
    <t>LFT</t>
  </si>
  <si>
    <t>ENZ</t>
  </si>
  <si>
    <t>ONCT</t>
  </si>
  <si>
    <t>BW</t>
  </si>
  <si>
    <t>SDST</t>
  </si>
  <si>
    <t>LAC</t>
  </si>
  <si>
    <t>WPM</t>
  </si>
  <si>
    <t>KZR</t>
  </si>
  <si>
    <t>WWR</t>
  </si>
  <si>
    <t>GRAL</t>
  </si>
  <si>
    <t>CHRS</t>
  </si>
  <si>
    <t>ZK</t>
  </si>
  <si>
    <t>on 3/14/25 Before Market Eastern Standard Time</t>
  </si>
  <si>
    <t>QTRHF</t>
  </si>
  <si>
    <t>ALTI</t>
  </si>
  <si>
    <t>PRPH</t>
  </si>
  <si>
    <t>KVHI</t>
  </si>
  <si>
    <t>TSQ</t>
  </si>
  <si>
    <t>SMC</t>
  </si>
  <si>
    <t>OXSQ</t>
  </si>
  <si>
    <t>RLX</t>
  </si>
  <si>
    <t>OVID</t>
  </si>
  <si>
    <t>SHCO</t>
  </si>
  <si>
    <t>DM</t>
  </si>
  <si>
    <t>BBXIA</t>
  </si>
  <si>
    <t>on 3/14/25 During Market Eastern Standard Time</t>
  </si>
  <si>
    <t>LILMF</t>
  </si>
  <si>
    <t>on 3/14/25 After Market Eastern Standard Time</t>
  </si>
  <si>
    <t>LILM</t>
  </si>
  <si>
    <t>UROY</t>
  </si>
  <si>
    <t>NIU</t>
  </si>
  <si>
    <t>on 3/17/25 Before Market Eastern Standard Time</t>
  </si>
  <si>
    <t>AGEN</t>
  </si>
  <si>
    <t>OCFT</t>
  </si>
  <si>
    <t>LPTX</t>
  </si>
  <si>
    <t>RMBL</t>
  </si>
  <si>
    <t>BAK</t>
  </si>
  <si>
    <t>AAWH</t>
  </si>
  <si>
    <t>ATOS</t>
  </si>
  <si>
    <t>VERI</t>
  </si>
  <si>
    <t>XGN</t>
  </si>
  <si>
    <t>ZJK</t>
  </si>
  <si>
    <t>INFU</t>
  </si>
  <si>
    <t>on 3/17/25 After Market Eastern Standard Time</t>
  </si>
  <si>
    <t>EYEN</t>
  </si>
  <si>
    <t>PRSO</t>
  </si>
  <si>
    <t>SST</t>
  </si>
  <si>
    <t>TNYA</t>
  </si>
  <si>
    <t>PIII</t>
  </si>
  <si>
    <t>VRM</t>
  </si>
  <si>
    <t>ADVM</t>
  </si>
  <si>
    <t>HSAI</t>
  </si>
  <si>
    <t>ZEPP</t>
  </si>
  <si>
    <t>OMIC</t>
  </si>
  <si>
    <t>FINV</t>
  </si>
  <si>
    <t>VRMMQ</t>
  </si>
  <si>
    <t>RCAT</t>
  </si>
  <si>
    <t>DLO</t>
  </si>
  <si>
    <t>PLBY</t>
  </si>
  <si>
    <t>PED</t>
  </si>
  <si>
    <t>SRG</t>
  </si>
  <si>
    <t>GHLD</t>
  </si>
  <si>
    <t>BODI</t>
  </si>
  <si>
    <t>ACNT</t>
  </si>
  <si>
    <t>MVST</t>
  </si>
  <si>
    <t>INVE</t>
  </si>
  <si>
    <t>BTMD</t>
  </si>
  <si>
    <t>YY</t>
  </si>
  <si>
    <t>KSS</t>
  </si>
  <si>
    <t>on 3/18/25 Before Market Eastern Standard Time</t>
  </si>
  <si>
    <t>ZKH</t>
  </si>
  <si>
    <t>HUYA</t>
  </si>
  <si>
    <t>TME</t>
  </si>
  <si>
    <t>ABEO</t>
  </si>
  <si>
    <t>ACXP</t>
  </si>
  <si>
    <t>CSLR</t>
  </si>
  <si>
    <t>on 3/18/25 Unspecified Eastern Standard Time</t>
  </si>
  <si>
    <t>SND</t>
  </si>
  <si>
    <t>on 3/18/25 After Market Eastern Standard Time</t>
  </si>
  <si>
    <t>WKHS</t>
  </si>
  <si>
    <t>LTRN</t>
  </si>
  <si>
    <t>BAER</t>
  </si>
  <si>
    <t>RANI</t>
  </si>
  <si>
    <t>on 3/19/25 Before Market Eastern Standard Time</t>
  </si>
  <si>
    <t>ZIM</t>
  </si>
  <si>
    <t>CLNN</t>
  </si>
  <si>
    <t>XPEV</t>
  </si>
  <si>
    <t>SLN</t>
  </si>
  <si>
    <t>HPH</t>
  </si>
  <si>
    <t>FORTY</t>
  </si>
  <si>
    <t>on 3/19/25 Unspecified Eastern Standard Time</t>
  </si>
  <si>
    <t>KC</t>
  </si>
  <si>
    <t>VONOY</t>
  </si>
  <si>
    <t>MAG</t>
  </si>
  <si>
    <t>SRAD</t>
  </si>
  <si>
    <t>JKS</t>
  </si>
  <si>
    <t>PRQR</t>
  </si>
  <si>
    <t>XIACY</t>
  </si>
  <si>
    <t>BLRX</t>
  </si>
  <si>
    <t>NESR</t>
  </si>
  <si>
    <t>TIGR</t>
  </si>
  <si>
    <t>LVTX</t>
  </si>
  <si>
    <t>TCEHY</t>
  </si>
  <si>
    <t>PUK</t>
  </si>
  <si>
    <t>VIK</t>
  </si>
  <si>
    <t>HLVX</t>
  </si>
  <si>
    <t>ELA</t>
  </si>
  <si>
    <t>on 3/19/25 During Market Eastern Standard Time</t>
  </si>
  <si>
    <t>TKC</t>
  </si>
  <si>
    <t>on 3/19/25 After Market Eastern Standard Time</t>
  </si>
  <si>
    <t>UBX</t>
  </si>
  <si>
    <t>ASM</t>
  </si>
  <si>
    <t>RLMD</t>
  </si>
  <si>
    <t>AUID</t>
  </si>
  <si>
    <t>DSGN</t>
  </si>
  <si>
    <t>PATH</t>
  </si>
  <si>
    <t>BOXL</t>
  </si>
  <si>
    <t>EPSN</t>
  </si>
  <si>
    <t>BEAT</t>
  </si>
  <si>
    <t>AUNA</t>
  </si>
  <si>
    <t>SERA</t>
  </si>
  <si>
    <t>DMAC</t>
  </si>
  <si>
    <t>SCPH</t>
  </si>
  <si>
    <t>ZTO</t>
  </si>
  <si>
    <t>ZNOG</t>
  </si>
  <si>
    <t>CDTX</t>
  </si>
  <si>
    <t>VSTA</t>
  </si>
  <si>
    <t>FVR</t>
  </si>
  <si>
    <t>CAAP</t>
  </si>
  <si>
    <t>AVGR</t>
  </si>
  <si>
    <t>NOA</t>
  </si>
  <si>
    <t>FGI</t>
  </si>
  <si>
    <t>HOFV</t>
  </si>
  <si>
    <t>VEON</t>
  </si>
  <si>
    <t>on 3/20/25 Before Market Eastern Standard Time</t>
  </si>
  <si>
    <t>PNGAY</t>
  </si>
  <si>
    <t>on 3/20/25 Unspecified Eastern Standard Time</t>
  </si>
  <si>
    <t>BEKE</t>
  </si>
  <si>
    <t>LU</t>
  </si>
  <si>
    <t>YJ</t>
  </si>
  <si>
    <t>MIST</t>
  </si>
  <si>
    <t>HTHT</t>
  </si>
  <si>
    <t>CATO</t>
  </si>
  <si>
    <t>XCH</t>
  </si>
  <si>
    <t>HLDCY</t>
  </si>
  <si>
    <t>XFOR</t>
  </si>
  <si>
    <t>HYZN</t>
  </si>
  <si>
    <t>CIG</t>
  </si>
  <si>
    <t>CMPX</t>
  </si>
  <si>
    <t>CCLD</t>
  </si>
  <si>
    <t>OSS</t>
  </si>
  <si>
    <t>DIDIY</t>
  </si>
  <si>
    <t>BZUN</t>
  </si>
  <si>
    <t>CREX</t>
  </si>
  <si>
    <t>DXLG</t>
  </si>
  <si>
    <t>YRD</t>
  </si>
  <si>
    <t>ACTG</t>
  </si>
  <si>
    <t>CABA</t>
  </si>
  <si>
    <t>IFRX</t>
  </si>
  <si>
    <t>RMTI</t>
  </si>
  <si>
    <t>TIL</t>
  </si>
  <si>
    <t>DOYU</t>
  </si>
  <si>
    <t>VALN</t>
  </si>
  <si>
    <t>APYX</t>
  </si>
  <si>
    <t>NNDM</t>
  </si>
  <si>
    <t>SNDL</t>
  </si>
  <si>
    <t>SY</t>
  </si>
  <si>
    <t>YI</t>
  </si>
  <si>
    <t>STRR</t>
  </si>
  <si>
    <t>ALUR</t>
  </si>
  <si>
    <t>BRNS</t>
  </si>
  <si>
    <t>INKT</t>
  </si>
  <si>
    <t>ABL</t>
  </si>
  <si>
    <t>on 3/20/25 After Market Eastern Standard Time</t>
  </si>
  <si>
    <t>LEN/B</t>
  </si>
  <si>
    <t>DERM</t>
  </si>
  <si>
    <t>NKTX</t>
  </si>
  <si>
    <t>TELA</t>
  </si>
  <si>
    <t>LAAC</t>
  </si>
  <si>
    <t>WALD</t>
  </si>
  <si>
    <t>LX</t>
  </si>
  <si>
    <t>KRON</t>
  </si>
  <si>
    <t>VXRT</t>
  </si>
  <si>
    <t>PVL</t>
  </si>
  <si>
    <t>ULY</t>
  </si>
  <si>
    <t>ARMP</t>
  </si>
  <si>
    <t>SKYE</t>
  </si>
  <si>
    <t>AMPX</t>
  </si>
  <si>
    <t>LAES</t>
  </si>
  <si>
    <t>HYPR</t>
  </si>
  <si>
    <t>TRVI</t>
  </si>
  <si>
    <t>CTM</t>
  </si>
  <si>
    <t>CBUS</t>
  </si>
  <si>
    <t>CURI</t>
  </si>
  <si>
    <t>CHCI</t>
  </si>
  <si>
    <t>KULR</t>
  </si>
  <si>
    <t>ENSC</t>
  </si>
  <si>
    <t>CAMP</t>
  </si>
  <si>
    <t>MAIA</t>
  </si>
  <si>
    <t>RGLS</t>
  </si>
  <si>
    <t>JILL</t>
  </si>
  <si>
    <t>VOR</t>
  </si>
  <si>
    <t>GORO</t>
  </si>
  <si>
    <t>NANX</t>
  </si>
  <si>
    <t>IDN</t>
  </si>
  <si>
    <t>CTSO</t>
  </si>
  <si>
    <t>HQI</t>
  </si>
  <si>
    <t>on 3/21/25 Before Market Eastern Standard Time</t>
  </si>
  <si>
    <t>SOWG</t>
  </si>
  <si>
    <t>TLK</t>
  </si>
  <si>
    <t>on 3/21/25 Unspecified Eastern Standard Time</t>
  </si>
  <si>
    <t>CSUAY</t>
  </si>
  <si>
    <t>IPM</t>
  </si>
  <si>
    <t>on 3/21/25 After Market Eastern Standard Time</t>
  </si>
  <si>
    <t>REVB</t>
  </si>
  <si>
    <t>PALT</t>
  </si>
  <si>
    <t>SBS</t>
  </si>
  <si>
    <t>on 3/24/25 Unspecified Eastern Standard Time</t>
  </si>
  <si>
    <t>PAVM</t>
  </si>
  <si>
    <t>on 3/24/25 Before Market Eastern Standard Time</t>
  </si>
  <si>
    <t>LUCD</t>
  </si>
  <si>
    <t>RAIL</t>
  </si>
  <si>
    <t>IDR</t>
  </si>
  <si>
    <t>LITB</t>
  </si>
  <si>
    <t>BTM</t>
  </si>
  <si>
    <t>CIHKY</t>
  </si>
  <si>
    <t>SGMT</t>
  </si>
  <si>
    <t>AP</t>
  </si>
  <si>
    <t>HLGN</t>
  </si>
  <si>
    <t>on 3/24/25 After Market Eastern Standard Time</t>
  </si>
  <si>
    <t>EQ</t>
  </si>
  <si>
    <t>GLXZ</t>
  </si>
  <si>
    <t>EMX</t>
  </si>
  <si>
    <t>SMTI</t>
  </si>
  <si>
    <t>NGNE</t>
  </si>
  <si>
    <t>VNRX</t>
  </si>
  <si>
    <t>REKR</t>
  </si>
  <si>
    <t>AVTE</t>
  </si>
  <si>
    <t>BKKT</t>
  </si>
  <si>
    <t>on 3/25/25 Before Market Eastern Standard Time</t>
  </si>
  <si>
    <t>FLUT</t>
  </si>
  <si>
    <t>on 3/25/25 Unspecified Eastern Standard Time</t>
  </si>
  <si>
    <t>HEPS</t>
  </si>
  <si>
    <t>SALM</t>
  </si>
  <si>
    <t>GDS</t>
  </si>
  <si>
    <t>BIORQ</t>
  </si>
  <si>
    <t>CGTX</t>
  </si>
  <si>
    <t>BIOR</t>
  </si>
  <si>
    <t>VANI</t>
  </si>
  <si>
    <t>SOAR</t>
  </si>
  <si>
    <t>CTRN</t>
  </si>
  <si>
    <t>GYRE</t>
  </si>
  <si>
    <t>PAL</t>
  </si>
  <si>
    <t>ESLT</t>
  </si>
  <si>
    <t>SELF</t>
  </si>
  <si>
    <t>on 3/25/25 After Market Eastern Standard Time</t>
  </si>
  <si>
    <t>CRVS</t>
  </si>
  <si>
    <t>GANX</t>
  </si>
  <si>
    <t>BCAB</t>
  </si>
  <si>
    <t>RVYL</t>
  </si>
  <si>
    <t>MRAI</t>
  </si>
  <si>
    <t>ACET</t>
  </si>
  <si>
    <t>PAYS</t>
  </si>
  <si>
    <t>APTO</t>
  </si>
  <si>
    <t>DADA</t>
  </si>
  <si>
    <t>INTZ</t>
  </si>
  <si>
    <t>IRIX</t>
  </si>
  <si>
    <t>DRCT</t>
  </si>
  <si>
    <t>WYY</t>
  </si>
  <si>
    <t>GLBS</t>
  </si>
  <si>
    <t>on 3/26/25 Before Market Eastern Standard Time</t>
  </si>
  <si>
    <t>EDAP</t>
  </si>
  <si>
    <t>REE</t>
  </si>
  <si>
    <t>KEN</t>
  </si>
  <si>
    <t>BLUE</t>
  </si>
  <si>
    <t>LOCL</t>
  </si>
  <si>
    <t>POAHY</t>
  </si>
  <si>
    <t>on 3/26/25 Unspecified Eastern Standard Time</t>
  </si>
  <si>
    <t>MGX</t>
  </si>
  <si>
    <t>CLRB</t>
  </si>
  <si>
    <t>WDH</t>
  </si>
  <si>
    <t>IVA</t>
  </si>
  <si>
    <t>ZH</t>
  </si>
  <si>
    <t>VEEE</t>
  </si>
  <si>
    <t>BCMXY</t>
  </si>
  <si>
    <t>HOUR</t>
  </si>
  <si>
    <t>NOAH</t>
  </si>
  <si>
    <t>on 3/26/25 After Market Eastern Standard Time</t>
  </si>
  <si>
    <t>OXBR</t>
  </si>
  <si>
    <t>GES</t>
  </si>
  <si>
    <t>USIO</t>
  </si>
  <si>
    <t>KINS</t>
  </si>
  <si>
    <t>RUM</t>
  </si>
  <si>
    <t>MTNB</t>
  </si>
  <si>
    <t>SIDU</t>
  </si>
  <si>
    <t>FRZA</t>
  </si>
  <si>
    <t>LIDR</t>
  </si>
  <si>
    <t>TC</t>
  </si>
  <si>
    <t>SA</t>
  </si>
  <si>
    <t>VNET</t>
  </si>
  <si>
    <t>AQMS</t>
  </si>
  <si>
    <t>MDAI</t>
  </si>
  <si>
    <t>PGEN</t>
  </si>
  <si>
    <t>CYCC</t>
  </si>
  <si>
    <t>AZUL</t>
  </si>
  <si>
    <t>on 3/27/25 Before Market Eastern Standard Time</t>
  </si>
  <si>
    <t>DTIL</t>
  </si>
  <si>
    <t>SHIM</t>
  </si>
  <si>
    <t>CNF</t>
  </si>
  <si>
    <t>CAOVY</t>
  </si>
  <si>
    <t>on 3/27/25 Unspecified Eastern Standard Time</t>
  </si>
  <si>
    <t>ZGN</t>
  </si>
  <si>
    <t>CKHUY</t>
  </si>
  <si>
    <t>LOAR</t>
  </si>
  <si>
    <t>EXAI</t>
  </si>
  <si>
    <t>IPHA</t>
  </si>
  <si>
    <t>PDSB</t>
  </si>
  <si>
    <t>CICHY</t>
  </si>
  <si>
    <t>BHKLY</t>
  </si>
  <si>
    <t>GALT</t>
  </si>
  <si>
    <t>AWH</t>
  </si>
  <si>
    <t>CNTA</t>
  </si>
  <si>
    <t>CRNCY</t>
  </si>
  <si>
    <t>IMTX</t>
  </si>
  <si>
    <t>ITRM</t>
  </si>
  <si>
    <t>POAI</t>
  </si>
  <si>
    <t>CUK</t>
  </si>
  <si>
    <t>CMCT</t>
  </si>
  <si>
    <t>AFMD</t>
  </si>
  <si>
    <t>USAS</t>
  </si>
  <si>
    <t>JFIN</t>
  </si>
  <si>
    <t>CAAS</t>
  </si>
  <si>
    <t>TEN</t>
  </si>
  <si>
    <t>XXII</t>
  </si>
  <si>
    <t>MREO</t>
  </si>
  <si>
    <t>MDWD</t>
  </si>
  <si>
    <t>TBIO</t>
  </si>
  <si>
    <t>DTST</t>
  </si>
  <si>
    <t>VCIG</t>
  </si>
  <si>
    <t>AMS</t>
  </si>
  <si>
    <t>ALOT</t>
  </si>
  <si>
    <t>SNDA</t>
  </si>
  <si>
    <t>ADN</t>
  </si>
  <si>
    <t>ATAI</t>
  </si>
  <si>
    <t>BACHY</t>
  </si>
  <si>
    <t>KIRK</t>
  </si>
  <si>
    <t>FENC</t>
  </si>
  <si>
    <t>CMCL</t>
  </si>
  <si>
    <t>COCP</t>
  </si>
  <si>
    <t>IKT</t>
  </si>
  <si>
    <t>EP</t>
  </si>
  <si>
    <t>BOSC</t>
  </si>
  <si>
    <t>DLNG</t>
  </si>
  <si>
    <t>DELKY</t>
  </si>
  <si>
    <t>SATX</t>
  </si>
  <si>
    <t>CRBJY</t>
  </si>
  <si>
    <t>CTRYY</t>
  </si>
  <si>
    <t>STRS</t>
  </si>
  <si>
    <t>HRGN</t>
  </si>
  <si>
    <t>on 3/27/25 During Market Eastern Standard Time</t>
  </si>
  <si>
    <t>DC</t>
  </si>
  <si>
    <t>SNFCA</t>
  </si>
  <si>
    <t>CURV</t>
  </si>
  <si>
    <t>on 3/27/25 After Market Eastern Standard Time</t>
  </si>
  <si>
    <t>LFLY</t>
  </si>
  <si>
    <t>AXDX</t>
  </si>
  <si>
    <t>DYAI</t>
  </si>
  <si>
    <t>CUE</t>
  </si>
  <si>
    <t>KOD</t>
  </si>
  <si>
    <t>GROY</t>
  </si>
  <si>
    <t>LPA</t>
  </si>
  <si>
    <t>SCYX</t>
  </si>
  <si>
    <t>SKYH</t>
  </si>
  <si>
    <t>SARO</t>
  </si>
  <si>
    <t>RKDA</t>
  </si>
  <si>
    <t>WRN</t>
  </si>
  <si>
    <t>ALMS</t>
  </si>
  <si>
    <t>FBIO</t>
  </si>
  <si>
    <t>ANVS</t>
  </si>
  <si>
    <t>GLASF</t>
  </si>
  <si>
    <t>SOL</t>
  </si>
  <si>
    <t>DRRX</t>
  </si>
  <si>
    <t>AONC</t>
  </si>
  <si>
    <t>CDZI</t>
  </si>
  <si>
    <t>VVOS</t>
  </si>
  <si>
    <t>ACHV</t>
  </si>
  <si>
    <t>ELDN</t>
  </si>
  <si>
    <t>NBY</t>
  </si>
  <si>
    <t>HSDT</t>
  </si>
  <si>
    <t>NXTC</t>
  </si>
  <si>
    <t>GURE</t>
  </si>
  <si>
    <t>NMG</t>
  </si>
  <si>
    <t>XOS</t>
  </si>
  <si>
    <t>BNR</t>
  </si>
  <si>
    <t>ACOG</t>
  </si>
  <si>
    <t>BOLT</t>
  </si>
  <si>
    <t>WATT</t>
  </si>
  <si>
    <t>CPTN</t>
  </si>
  <si>
    <t>FORA</t>
  </si>
  <si>
    <t>SLE</t>
  </si>
  <si>
    <t>XPON</t>
  </si>
  <si>
    <t>BFRG</t>
  </si>
  <si>
    <t>SRFM</t>
  </si>
  <si>
    <t>OKLO</t>
  </si>
  <si>
    <t>ASMB</t>
  </si>
  <si>
    <t>LIEN</t>
  </si>
  <si>
    <t>ATNM</t>
  </si>
  <si>
    <t>OCX</t>
  </si>
  <si>
    <t>SABS</t>
  </si>
  <si>
    <t>NRXP</t>
  </si>
  <si>
    <t>CVV</t>
  </si>
  <si>
    <t>DLPN</t>
  </si>
  <si>
    <t>WKSP</t>
  </si>
  <si>
    <t>AIRJ</t>
  </si>
  <si>
    <t>DTI</t>
  </si>
  <si>
    <t>CCG</t>
  </si>
  <si>
    <t>on 3/28/25 Before Market Eastern Standard Time</t>
  </si>
  <si>
    <t>BTDR</t>
  </si>
  <si>
    <t>OSTX</t>
  </si>
  <si>
    <t>on 3/28/25 Unspecified Eastern Standard Time</t>
  </si>
  <si>
    <t>PIRS</t>
  </si>
  <si>
    <t>on 3/28/25 After Market Eastern Standard Time</t>
  </si>
  <si>
    <t>PVLA</t>
  </si>
  <si>
    <t>MDBH</t>
  </si>
  <si>
    <t>TOON</t>
  </si>
  <si>
    <t>on 3/31/25 Before Market Eastern Standard Time</t>
  </si>
  <si>
    <t>NYC</t>
  </si>
  <si>
    <t>NAK</t>
  </si>
  <si>
    <t>ONDS</t>
  </si>
  <si>
    <t>TLSI</t>
  </si>
  <si>
    <t>VIGL</t>
  </si>
  <si>
    <t>JAGX</t>
  </si>
  <si>
    <t>BKV</t>
  </si>
  <si>
    <t>ZVSA</t>
  </si>
  <si>
    <t>VISL</t>
  </si>
  <si>
    <t>PPSI</t>
  </si>
  <si>
    <t>PHGE</t>
  </si>
  <si>
    <t>CADL</t>
  </si>
  <si>
    <t>KPRX</t>
  </si>
  <si>
    <t>ABOS</t>
  </si>
  <si>
    <t>REED</t>
  </si>
  <si>
    <t>DNMR</t>
  </si>
  <si>
    <t>DRIO</t>
  </si>
  <si>
    <t>ACRV</t>
  </si>
  <si>
    <t>FPAY</t>
  </si>
  <si>
    <t>QBTS</t>
  </si>
  <si>
    <t>VERO</t>
  </si>
  <si>
    <t>SIEB</t>
  </si>
  <si>
    <t>RNXT</t>
  </si>
  <si>
    <t>SMXT</t>
  </si>
  <si>
    <t>BIAF</t>
  </si>
  <si>
    <t>INV</t>
  </si>
  <si>
    <t>CENN</t>
  </si>
  <si>
    <t>VIRC</t>
  </si>
  <si>
    <t>MAMO</t>
  </si>
  <si>
    <t>SACH</t>
  </si>
  <si>
    <t>SYPR</t>
  </si>
  <si>
    <t>EDBL</t>
  </si>
  <si>
    <t>TOVX</t>
  </si>
  <si>
    <t>LASE</t>
  </si>
  <si>
    <t>BCAX</t>
  </si>
  <si>
    <t>AIRI</t>
  </si>
  <si>
    <t>FTLF</t>
  </si>
  <si>
    <t>IVVD</t>
  </si>
  <si>
    <t>PEGY</t>
  </si>
  <si>
    <t>on 3/31/25 During Market Eastern Standard Time</t>
  </si>
  <si>
    <t>AAME</t>
  </si>
  <si>
    <t>MFON</t>
  </si>
  <si>
    <t>on 3/31/25 After Market Eastern Standard Time</t>
  </si>
  <si>
    <t>KITT</t>
  </si>
  <si>
    <t>INGM</t>
  </si>
  <si>
    <t>TPST</t>
  </si>
  <si>
    <t>AREN</t>
  </si>
  <si>
    <t>MLSS</t>
  </si>
  <si>
    <t>IZEA</t>
  </si>
  <si>
    <t>EAST</t>
  </si>
  <si>
    <t>CETY</t>
  </si>
  <si>
    <t>SKYX</t>
  </si>
  <si>
    <t>GFR</t>
  </si>
  <si>
    <t>GIPR</t>
  </si>
  <si>
    <t>GNLX</t>
  </si>
  <si>
    <t>WPRT</t>
  </si>
  <si>
    <t>SHFS</t>
  </si>
  <si>
    <t>ZOM</t>
  </si>
  <si>
    <t>GCTS</t>
  </si>
  <si>
    <t>ARTV</t>
  </si>
  <si>
    <t>SLS</t>
  </si>
  <si>
    <t>SCWO</t>
  </si>
  <si>
    <t>SSKN</t>
  </si>
  <si>
    <t>FLNT</t>
  </si>
  <si>
    <t>SNAL</t>
  </si>
  <si>
    <t>GRDN</t>
  </si>
  <si>
    <t>DWSN</t>
  </si>
  <si>
    <t>BHST</t>
  </si>
  <si>
    <t>GTEC</t>
  </si>
  <si>
    <t>KYTX</t>
  </si>
  <si>
    <t>BEEM</t>
  </si>
  <si>
    <t>QUBT</t>
  </si>
  <si>
    <t>VTSI</t>
  </si>
  <si>
    <t>CBLL</t>
  </si>
  <si>
    <t>BGXX</t>
  </si>
  <si>
    <t>RSLS</t>
  </si>
  <si>
    <t>ANTX</t>
  </si>
  <si>
    <t>XELB</t>
  </si>
  <si>
    <t>FSI</t>
  </si>
  <si>
    <t>PBLA</t>
  </si>
  <si>
    <t>BMTX</t>
  </si>
  <si>
    <t>XTIA</t>
  </si>
  <si>
    <t>CXAI</t>
  </si>
  <si>
    <t>MGOL</t>
  </si>
  <si>
    <t>BNAI</t>
  </si>
  <si>
    <t>SNAX</t>
  </si>
  <si>
    <t>FLYX</t>
  </si>
  <si>
    <t>AISP</t>
  </si>
  <si>
    <t>TOI</t>
  </si>
  <si>
    <t>TMC</t>
  </si>
  <si>
    <t>CWD</t>
  </si>
  <si>
    <t>MSGM</t>
  </si>
  <si>
    <t>SUNE</t>
  </si>
  <si>
    <t>AREC</t>
  </si>
  <si>
    <t>FLGC</t>
  </si>
  <si>
    <t>LGMK</t>
  </si>
  <si>
    <t>BCLI</t>
  </si>
  <si>
    <t>GOEV</t>
  </si>
  <si>
    <t>AULT</t>
  </si>
  <si>
    <t>XTNT</t>
  </si>
  <si>
    <t>RVPH</t>
  </si>
  <si>
    <t>SGRP</t>
  </si>
  <si>
    <t>DUOT</t>
  </si>
  <si>
    <t>AGAE</t>
  </si>
  <si>
    <t>DFLI</t>
  </si>
  <si>
    <t>CELU</t>
  </si>
  <si>
    <t>OLB</t>
  </si>
  <si>
    <t>MOVE</t>
  </si>
  <si>
    <t>TRAW</t>
  </si>
  <si>
    <t>TWFG</t>
  </si>
  <si>
    <t>FFNTF</t>
  </si>
  <si>
    <t>CLIR</t>
  </si>
  <si>
    <t>KORE</t>
  </si>
  <si>
    <t>OMQS</t>
  </si>
  <si>
    <t>GUTS</t>
  </si>
  <si>
    <t>MNR</t>
  </si>
  <si>
    <t>NXGL</t>
  </si>
  <si>
    <t>QNCX</t>
  </si>
  <si>
    <t>DARE</t>
  </si>
  <si>
    <t>on 4/1/25 After Market Eastern Standard Time</t>
  </si>
  <si>
    <t>NCNO</t>
  </si>
  <si>
    <t>on 4/2/25 Before Market Eastern Standard Time</t>
  </si>
  <si>
    <t>on 4/2/25 After Market Eastern Standard Time</t>
  </si>
  <si>
    <t>BB</t>
  </si>
  <si>
    <t>on 4/3/25 Before Market Eastern Standard Time</t>
  </si>
  <si>
    <t>ATAT</t>
  </si>
  <si>
    <t>CLGN</t>
  </si>
  <si>
    <t>ICCM</t>
  </si>
  <si>
    <t>ITHUF</t>
  </si>
  <si>
    <t>on 4/3/25 After Market Eastern Standard Time</t>
  </si>
  <si>
    <t>DPRO</t>
  </si>
  <si>
    <t>ZENV</t>
  </si>
  <si>
    <t>GRRR</t>
  </si>
  <si>
    <t>CGNT</t>
  </si>
  <si>
    <t>on 4/8/25 Before Market Eastern Standard Time</t>
  </si>
  <si>
    <t>on 4/8/25 After Market Eastern Standard Time</t>
  </si>
  <si>
    <t>RENT</t>
  </si>
  <si>
    <t>on 4/9/25 Before Market Eastern Standard Time</t>
  </si>
  <si>
    <t>on 4/10/25 Before Market Eastern Standard Time</t>
  </si>
  <si>
    <t>10-Jan</t>
  </si>
  <si>
    <t>15-Jan</t>
  </si>
  <si>
    <t>16-Jan</t>
  </si>
  <si>
    <t>17-Jan</t>
  </si>
  <si>
    <t>21-Jan</t>
  </si>
  <si>
    <t>22-Jan</t>
  </si>
  <si>
    <t>23-Jan</t>
  </si>
  <si>
    <t>10-Feb</t>
  </si>
  <si>
    <t>11-Feb</t>
  </si>
  <si>
    <t>12-Feb</t>
  </si>
  <si>
    <t>13-Feb</t>
  </si>
  <si>
    <t>14-Feb</t>
  </si>
  <si>
    <t>17-Feb</t>
  </si>
  <si>
    <t>18-Feb</t>
  </si>
  <si>
    <t>19-Feb</t>
  </si>
  <si>
    <t>20-Feb</t>
  </si>
  <si>
    <t>24-Feb</t>
  </si>
  <si>
    <t>25-Feb</t>
  </si>
  <si>
    <t>26-Feb</t>
  </si>
  <si>
    <t>27-Feb</t>
  </si>
  <si>
    <t>3-Mar</t>
  </si>
  <si>
    <t>4-Mar</t>
  </si>
  <si>
    <t>5-Mar</t>
  </si>
  <si>
    <t>6-Mar</t>
  </si>
  <si>
    <t>10-Mar</t>
  </si>
  <si>
    <t>12-Mar</t>
  </si>
  <si>
    <t>13-Mar</t>
  </si>
  <si>
    <t>19-Mar</t>
  </si>
  <si>
    <t>25-Mar</t>
  </si>
  <si>
    <t>26-Mar</t>
  </si>
  <si>
    <t>2-Apr</t>
  </si>
  <si>
    <t>3-Apr</t>
  </si>
  <si>
    <t>7-Jan</t>
  </si>
  <si>
    <t>8-Jan</t>
  </si>
  <si>
    <t>21-Feb</t>
  </si>
  <si>
    <t>11-Mar</t>
  </si>
  <si>
    <t>17-Mar</t>
  </si>
  <si>
    <t>18-Mar</t>
  </si>
  <si>
    <t>1-Apr</t>
  </si>
  <si>
    <t>Sector</t>
  </si>
  <si>
    <t>XLB</t>
  </si>
  <si>
    <t>XLC</t>
  </si>
  <si>
    <t>XLE</t>
  </si>
  <si>
    <t>XLF</t>
  </si>
  <si>
    <t>XLI</t>
  </si>
  <si>
    <t>XLK</t>
  </si>
  <si>
    <t>XLP</t>
  </si>
  <si>
    <t>XLRE</t>
  </si>
  <si>
    <t>XLU</t>
  </si>
  <si>
    <t>XLV</t>
  </si>
  <si>
    <t>XLY</t>
  </si>
  <si>
    <t>Total R</t>
  </si>
  <si>
    <t>AveW</t>
  </si>
  <si>
    <t>AveL</t>
  </si>
  <si>
    <t>AMO,
BMO</t>
  </si>
  <si>
    <t>Exit Type</t>
  </si>
  <si>
    <t>Other</t>
  </si>
  <si>
    <t>MOC</t>
  </si>
  <si>
    <t>Exit Using MOC</t>
  </si>
  <si>
    <t>Entry
Shares</t>
  </si>
  <si>
    <t>Exit
Shares</t>
  </si>
  <si>
    <t>Up</t>
  </si>
  <si>
    <t>All</t>
  </si>
  <si>
    <t>Overall Average
%</t>
  </si>
  <si>
    <t>Total Gap
Ups</t>
  </si>
  <si>
    <t>Total Gap
Downs</t>
  </si>
  <si>
    <t>Overall % Up</t>
  </si>
  <si>
    <t>Daily Trend</t>
  </si>
  <si>
    <t># of Stocks Trending Up</t>
  </si>
  <si>
    <t># of Stocks Trending Dwn</t>
  </si>
  <si>
    <t># of Stocks Trending SW</t>
  </si>
  <si>
    <t>Sideways Trending Stocks</t>
  </si>
  <si>
    <t>Ave Gap Up % from Dwn Trend</t>
  </si>
  <si>
    <t>Ave Gap Up % from Sideways Trend</t>
  </si>
  <si>
    <t>Overall % Down</t>
  </si>
  <si>
    <t>% of SW Trends that Gapped Dn</t>
  </si>
  <si>
    <t>Gap Ups
From Dwn Trend</t>
  </si>
  <si>
    <t>% of Dwn Trends w/ a Gap Up</t>
  </si>
  <si>
    <t>% of Up Trends w/ a Gap Up</t>
  </si>
  <si>
    <t>% of SW Trends w/ a Gap Up</t>
  </si>
  <si>
    <t>% of Dwn Trends w/ a Gap Down</t>
  </si>
  <si>
    <t>Gap w/ Trend:   Down Trending Stocks</t>
  </si>
  <si>
    <t>Gap w/ Trend:  Up Trending Stocks</t>
  </si>
  <si>
    <t>Gap Against Trend: Down Trending Stocks</t>
  </si>
  <si>
    <t>Gap Against Trend: Up Trending Stocks</t>
  </si>
  <si>
    <t>% of Up Trends w/ a Gap Dwn</t>
  </si>
  <si>
    <t>Gap Up
From Up Trend</t>
  </si>
  <si>
    <t>Ave Gap Up % from Up Trend</t>
  </si>
  <si>
    <t>Gap Downs
From Up Trend</t>
  </si>
  <si>
    <t>Gap Downs From Down Trend</t>
  </si>
  <si>
    <t>Ave Gap Dwn % from Dwn Trend</t>
  </si>
  <si>
    <t>Ave Gap Dwn % from Up Trend</t>
  </si>
  <si>
    <t>Ave Gap Dwn % from Sideways Trend</t>
  </si>
  <si>
    <t>Gap Ups Sideways Trend</t>
  </si>
  <si>
    <t>Gap Downs Sideways Trend</t>
  </si>
  <si>
    <t>SMH</t>
  </si>
  <si>
    <t>H-INS</t>
  </si>
  <si>
    <t>INS</t>
  </si>
  <si>
    <t>Overall</t>
  </si>
  <si>
    <t>JVA</t>
  </si>
  <si>
    <t>HOCPY</t>
  </si>
  <si>
    <t>on 2/3/25, 1:00 AM Unspecified Eastern Standard Time</t>
  </si>
  <si>
    <t>MFG</t>
  </si>
  <si>
    <t>EJPRY</t>
  </si>
  <si>
    <t>CJPRY</t>
  </si>
  <si>
    <t>MRAAY</t>
  </si>
  <si>
    <t>PKX</t>
  </si>
  <si>
    <t>on 2/3/25, 6:00 AM Before Market Eastern Standard Time</t>
  </si>
  <si>
    <t>on 2/3/25, 6:30 AM Before Market Eastern Standard Time</t>
  </si>
  <si>
    <t>on 2/3/25, 7:00 AM Before Market Eastern Standard Time</t>
  </si>
  <si>
    <t>on 2/3/25, 7:18 AM Before Market Eastern Standard Time</t>
  </si>
  <si>
    <t>on 2/3/25, 7:30 AM Before Market Eastern Standard Time</t>
  </si>
  <si>
    <t>on 2/3/25, 4:00 PM After Market Eastern Standard Time</t>
  </si>
  <si>
    <t>on 2/3/25, 4:01 PM After Market Eastern Standard Time</t>
  </si>
  <si>
    <t>on 2/3/25, 4:03 PM After Market Eastern Standard Time</t>
  </si>
  <si>
    <t>on 2/3/25, 4:04 PM After Market Eastern Standard Time</t>
  </si>
  <si>
    <t>on 2/3/25, 4:05 PM After Market Eastern Standard Time</t>
  </si>
  <si>
    <t>on 2/3/25, 4:10 PM After Market Eastern Standard Time</t>
  </si>
  <si>
    <t>on 2/3/25, 4:15 PM After Market Eastern Standard Time</t>
  </si>
  <si>
    <t>on 2/3/25, 4:30 PM After Market Eastern Standard Time</t>
  </si>
  <si>
    <t>on 2/3/25, 4:31 PM After Market Eastern Standard Time</t>
  </si>
  <si>
    <t>on 2/3/25, 4:58 PM After Market Eastern Standard Time</t>
  </si>
  <si>
    <t>on 2/3/25, 5:00 PM After Market Eastern Standard Time</t>
  </si>
  <si>
    <t>on 2/3/25, 5:01 PM After Market Eastern Standard Time</t>
  </si>
  <si>
    <t>on 2/4/25, 12:45 AM Before Market Eastern Standard Time</t>
  </si>
  <si>
    <t>on 2/4/25, 12:59 AM Before Market Eastern Standard Time</t>
  </si>
  <si>
    <t>NTDOY</t>
  </si>
  <si>
    <t>on 2/4/25, 1:00 AM Unspecified Eastern Standard Time</t>
  </si>
  <si>
    <t>MITSY</t>
  </si>
  <si>
    <t>on 2/4/25, 1:00 AM Before Market Eastern Standard Time</t>
  </si>
  <si>
    <t>MIELY</t>
  </si>
  <si>
    <t>on 2/4/25, 1:00 AM After Market Eastern Standard Time</t>
  </si>
  <si>
    <t>PPERY</t>
  </si>
  <si>
    <t>on 2/4/25, 1:19 AM Before Market Eastern Standard Time</t>
  </si>
  <si>
    <t>on 2/4/25, 2:00 AM Before Market Eastern Standard Time</t>
  </si>
  <si>
    <t>on 2/4/25, 6:00 AM Before Market Eastern Standard Time</t>
  </si>
  <si>
    <t>on 2/4/25, 6:03 AM Before Market Eastern Standard Time</t>
  </si>
  <si>
    <t>on 2/4/25, 6:05 AM Before Market Eastern Standard Time</t>
  </si>
  <si>
    <t>on 2/4/25, 6:10 AM Before Market Eastern Standard Time</t>
  </si>
  <si>
    <t>on 2/4/25, 6:15 AM Before Market Eastern Standard Time</t>
  </si>
  <si>
    <t>on 2/4/25, 6:30 AM Before Market Eastern Standard Time</t>
  </si>
  <si>
    <t>on 2/4/25, 6:34 AM Before Market Eastern Standard Time</t>
  </si>
  <si>
    <t>on 2/4/25, 6:35 AM Before Market Eastern Standard Time</t>
  </si>
  <si>
    <t>MUFG</t>
  </si>
  <si>
    <t>on 2/4/25, 6:40 AM Unspecified Eastern Standard Time</t>
  </si>
  <si>
    <t>on 2/4/25, 6:45 AM Before Market Eastern Standard Time</t>
  </si>
  <si>
    <t>on 2/4/25, 6:50 AM Before Market Eastern Standard Time</t>
  </si>
  <si>
    <t>on 2/4/25, 6:55 AM Before Market Eastern Standard Time</t>
  </si>
  <si>
    <t>on 2/4/25, 7:00 AM Before Market Eastern Standard Time</t>
  </si>
  <si>
    <t>on 2/4/25, 7:01 AM Before Market Eastern Standard Time</t>
  </si>
  <si>
    <t>on 2/4/25, 7:05 AM Before Market Eastern Standard Time</t>
  </si>
  <si>
    <t>on 2/4/25, 7:15 AM Before Market Eastern Standard Time</t>
  </si>
  <si>
    <t>on 2/4/25, 7:30 AM Before Market Eastern Standard Time</t>
  </si>
  <si>
    <t>on 2/4/25, 7:45 AM Before Market Eastern Standard Time</t>
  </si>
  <si>
    <t>on 2/4/25, 8:00 AM Before Market Eastern Standard Time</t>
  </si>
  <si>
    <t>on 2/4/25 Unspecified Eastern Standard Time</t>
  </si>
  <si>
    <t>on 2/4/25, 9:15 AM Before Market Eastern Standard Time</t>
  </si>
  <si>
    <t>on 2/4/25, 10:00 AM During Market Eastern Standard Time</t>
  </si>
  <si>
    <t>on 2/4/25, 4:00 PM After Market Eastern Standard Time</t>
  </si>
  <si>
    <t>on 2/4/25, 4:01 PM After Market Eastern Standard Time</t>
  </si>
  <si>
    <t>on 2/4/25, 4:03 PM After Market Eastern Standard Time</t>
  </si>
  <si>
    <t>on 2/4/25, 4:05 PM After Market Eastern Standard Time</t>
  </si>
  <si>
    <t>on 2/4/25, 4:06 PM After Market Eastern Standard Time</t>
  </si>
  <si>
    <t>on 2/4/25, 4:10 PM After Market Eastern Standard Time</t>
  </si>
  <si>
    <t>on 2/4/25, 4:11 PM After Market Eastern Standard Time</t>
  </si>
  <si>
    <t>on 2/4/25, 4:15 PM After Market Eastern Standard Time</t>
  </si>
  <si>
    <t>on 2/4/25, 4:16 PM After Market Eastern Standard Time</t>
  </si>
  <si>
    <t>on 2/4/25, 4:17 PM After Market Eastern Standard Time</t>
  </si>
  <si>
    <t>on 2/4/25, 4:18 PM After Market Eastern Standard Time</t>
  </si>
  <si>
    <t>on 2/4/25, 4:20 PM After Market Eastern Standard Time</t>
  </si>
  <si>
    <t>on 2/4/25, 4:27 PM After Market Eastern Standard Time</t>
  </si>
  <si>
    <t>on 2/4/25, 4:30 PM After Market Eastern Standard Time</t>
  </si>
  <si>
    <t>on 2/4/25, 4:31 PM After Market Eastern Standard Time</t>
  </si>
  <si>
    <t>on 2/4/25, 4:46 PM After Market Eastern Standard Time</t>
  </si>
  <si>
    <t>on 2/4/25, 4:56 PM After Market Eastern Standard Time</t>
  </si>
  <si>
    <t>on 2/4/25, 5:00 PM After Market Eastern Standard Time</t>
  </si>
  <si>
    <t>on 2/4/25, 5:02 PM After Market Eastern Standard Time</t>
  </si>
  <si>
    <t>on 2/4/25, 5:45 PM After Market Eastern Standard Time</t>
  </si>
  <si>
    <t>on 2/4/25, 7:00 PM After Market Eastern Standard Time</t>
  </si>
  <si>
    <t>on 2/5/25, 12:45 AM Before Market Eastern Standard Time</t>
  </si>
  <si>
    <t>on 2/5/25, 1:00 AM Before Market Eastern Standard Time</t>
  </si>
  <si>
    <t>ITUB</t>
  </si>
  <si>
    <t>on 2/5/25, 1:00 AM Unspecified Eastern Standard Time</t>
  </si>
  <si>
    <t>DKILY</t>
  </si>
  <si>
    <t>KDDIY</t>
  </si>
  <si>
    <t>GSK</t>
  </si>
  <si>
    <t>CRARY</t>
  </si>
  <si>
    <t>VWDRY</t>
  </si>
  <si>
    <t>on 2/5/25, 1:41 AM Unspecified Eastern Standard Time</t>
  </si>
  <si>
    <t>on 2/5/25, 2:00 AM Before Market Eastern Standard Time</t>
  </si>
  <si>
    <t>on 2/5/25, 2:15 AM Before Market Eastern Standard Time</t>
  </si>
  <si>
    <t>on 2/5/25, 5:59 AM Before Market Eastern Standard Time</t>
  </si>
  <si>
    <t>on 2/5/25, 6:00 AM Before Market Eastern Standard Time</t>
  </si>
  <si>
    <t>on 2/5/25, 6:05 AM Before Market Eastern Standard Time</t>
  </si>
  <si>
    <t>on 2/5/25, 6:30 AM Before Market Eastern Standard Time</t>
  </si>
  <si>
    <t>on 2/5/25, 6:37 AM Before Market Eastern Standard Time</t>
  </si>
  <si>
    <t>on 2/5/25, 6:40 AM Before Market Eastern Standard Time</t>
  </si>
  <si>
    <t>on 2/5/25, 6:45 AM Before Market Eastern Standard Time</t>
  </si>
  <si>
    <t>on 2/5/25, 6:51 AM Before Market Eastern Standard Time</t>
  </si>
  <si>
    <t>on 2/5/25, 6:55 AM Before Market Eastern Standard Time</t>
  </si>
  <si>
    <t>on 2/5/25, 7:00 AM Before Market Eastern Standard Time</t>
  </si>
  <si>
    <t>on 2/5/25, 7:01 AM Before Market Eastern Standard Time</t>
  </si>
  <si>
    <t>on 2/5/25, 7:09 AM Before Market Eastern Standard Time</t>
  </si>
  <si>
    <t>on 2/5/25, 7:15 AM Before Market Eastern Standard Time</t>
  </si>
  <si>
    <t>on 2/5/25, 7:30 AM Before Market Eastern Standard Time</t>
  </si>
  <si>
    <t>on 2/5/25, 7:32 AM Before Market Eastern Standard Time</t>
  </si>
  <si>
    <t>on 2/5/25, 8:00 AM Before Market Eastern Standard Time</t>
  </si>
  <si>
    <t>on 2/5/25, 8:30 AM Before Market Eastern Standard Time</t>
  </si>
  <si>
    <t>on 2/5/25, 9:00 AM Before Market Eastern Standard Time</t>
  </si>
  <si>
    <t>on 2/5/25, 4:00 PM After Market Eastern Standard Time</t>
  </si>
  <si>
    <t>on 2/5/25, 4:01 PM After Market Eastern Standard Time</t>
  </si>
  <si>
    <t>on 2/5/25, 4:02 PM After Market Eastern Standard Time</t>
  </si>
  <si>
    <t>on 2/5/25, 4:03 PM After Market Eastern Standard Time</t>
  </si>
  <si>
    <t>on 2/5/25, 4:05 PM After Market Eastern Standard Time</t>
  </si>
  <si>
    <t>on 2/5/25, 4:06 PM After Market Eastern Standard Time</t>
  </si>
  <si>
    <t>on 2/5/25, 4:08 PM After Market Eastern Standard Time</t>
  </si>
  <si>
    <t>on 2/5/25, 4:10 PM After Market Eastern Standard Time</t>
  </si>
  <si>
    <t>on 2/5/25, 4:11 PM After Market Eastern Standard Time</t>
  </si>
  <si>
    <t>on 2/5/25, 4:14 PM After Market Eastern Standard Time</t>
  </si>
  <si>
    <t>on 2/5/25, 4:15 PM After Market Eastern Standard Time</t>
  </si>
  <si>
    <t>on 2/5/25, 4:16 PM After Market Eastern Standard Time</t>
  </si>
  <si>
    <t>on 2/5/25, 4:17 PM After Market Eastern Standard Time</t>
  </si>
  <si>
    <t>on 2/5/25, 4:18 PM After Market Eastern Standard Time</t>
  </si>
  <si>
    <t>on 2/5/25, 4:20 PM After Market Eastern Standard Time</t>
  </si>
  <si>
    <t>on 2/5/25, 4:28 PM After Market Eastern Standard Time</t>
  </si>
  <si>
    <t>on 2/5/25, 4:30 PM After Market Eastern Standard Time</t>
  </si>
  <si>
    <t>on 2/5/25, 4:30 PM Unspecified Eastern Standard Time</t>
  </si>
  <si>
    <t>on 2/5/25, 4:31 PM After Market Eastern Standard Time</t>
  </si>
  <si>
    <t>on 2/5/25, 4:32 PM After Market Eastern Standard Time</t>
  </si>
  <si>
    <t>on 2/5/25, 4:33 PM After Market Eastern Standard Time</t>
  </si>
  <si>
    <t>on 2/5/25, 4:35 PM After Market Eastern Standard Time</t>
  </si>
  <si>
    <t>on 2/5/25, 4:47 PM After Market Eastern Standard Time</t>
  </si>
  <si>
    <t>on 2/5/25, 5:00 PM After Market Eastern Standard Time</t>
  </si>
  <si>
    <t>on 2/5/25, 5:05 PM After Market Eastern Standard Time</t>
  </si>
  <si>
    <t>on 2/5/25, 5:27 PM After Market Eastern Standard Time</t>
  </si>
  <si>
    <t>on 2/5/25, 6:00 PM After Market Eastern Standard Time</t>
  </si>
  <si>
    <t>on 2/5/25, 6:08 PM After Market Eastern Standard Time</t>
  </si>
  <si>
    <t>on 2/5/25, 6:35 PM After Market Eastern Standard Time</t>
  </si>
  <si>
    <t>on 2/6/25, 12:59 AM Before Market Eastern Standard Time</t>
  </si>
  <si>
    <t>on 2/6/25, 1:00 AM Unspecified Eastern Standard Time</t>
  </si>
  <si>
    <t>on 2/6/25, 1:00 AM Before Market Eastern Standard Time</t>
  </si>
  <si>
    <t>on 2/6/25, 1:30 AM Before Market Eastern Standard Time</t>
  </si>
  <si>
    <t>on 2/6/25, 5:00 AM Before Market Eastern Standard Time</t>
  </si>
  <si>
    <t>on 2/6/25, 6:00 AM Before Market Eastern Standard Time</t>
  </si>
  <si>
    <t>on 2/6/25, 6:05 AM Before Market Eastern Standard Time</t>
  </si>
  <si>
    <t>on 2/6/25, 6:10 AM Before Market Eastern Standard Time</t>
  </si>
  <si>
    <t>on 2/6/25, 6:20 AM Before Market Eastern Standard Time</t>
  </si>
  <si>
    <t>on 2/6/25, 6:30 AM Before Market Eastern Standard Time</t>
  </si>
  <si>
    <t>on 2/6/25, 6:33 AM Before Market Eastern Standard Time</t>
  </si>
  <si>
    <t>on 2/6/25, 6:38 AM Before Market Eastern Standard Time</t>
  </si>
  <si>
    <t>on 2/6/25, 6:40 AM Before Market Eastern Standard Time</t>
  </si>
  <si>
    <t>on 2/6/25, 6:45 AM Before Market Eastern Standard Time</t>
  </si>
  <si>
    <t>on 2/6/25, 6:48 AM Before Market Eastern Standard Time</t>
  </si>
  <si>
    <t>on 2/6/25, 6:50 AM Before Market Eastern Standard Time</t>
  </si>
  <si>
    <t>on 2/6/25, 6:55 AM Before Market Eastern Standard Time</t>
  </si>
  <si>
    <t>on 2/6/25, 6:59 AM Before Market Eastern Standard Time</t>
  </si>
  <si>
    <t>on 2/6/25, 7:00 AM Before Market Eastern Standard Time</t>
  </si>
  <si>
    <t>on 2/6/25, 7:01 AM Before Market Eastern Standard Time</t>
  </si>
  <si>
    <t>on 2/6/25, 7:05 AM Before Market Eastern Standard Time</t>
  </si>
  <si>
    <t>on 2/6/25, 7:15 AM Before Market Eastern Standard Time</t>
  </si>
  <si>
    <t>on 2/6/25, 7:30 AM Before Market Eastern Standard Time</t>
  </si>
  <si>
    <t>on 2/6/25, 7:45 AM Before Market Eastern Standard Time</t>
  </si>
  <si>
    <t>on 2/6/25, 8:00 AM Before Market Eastern Standard Time</t>
  </si>
  <si>
    <t>on 2/6/25, 8:01 AM Before Market Eastern Standard Time</t>
  </si>
  <si>
    <t>on 2/6/25, 8:30 AM Before Market Eastern Standard Time</t>
  </si>
  <si>
    <t>NVL</t>
  </si>
  <si>
    <t>CNCK</t>
  </si>
  <si>
    <t>KNWN</t>
  </si>
  <si>
    <t>UNLRY</t>
  </si>
  <si>
    <t>LGCY</t>
  </si>
  <si>
    <t>SLXN</t>
  </si>
  <si>
    <t>SXTP</t>
  </si>
  <si>
    <t>on 3/4/25 During Market Eastern Standard Time</t>
  </si>
  <si>
    <t>ACCS</t>
  </si>
  <si>
    <t>EVTL</t>
  </si>
  <si>
    <t>VLCN</t>
  </si>
  <si>
    <t>VINC</t>
  </si>
  <si>
    <t>LAR</t>
  </si>
  <si>
    <t>GOEVQ</t>
  </si>
  <si>
    <t>BLNE</t>
  </si>
  <si>
    <t>on 2/5/25, 4:30 PM Before Market East</t>
  </si>
  <si>
    <r>
      <t xml:space="preserve">1. </t>
    </r>
    <r>
      <rPr>
        <sz val="12"/>
        <color theme="1"/>
        <rFont val="Aptos Narrow"/>
        <family val="2"/>
        <scheme val="minor"/>
      </rPr>
      <t>About half way through earnings season export a new files from ToS</t>
    </r>
  </si>
  <si>
    <r>
      <t xml:space="preserve">2. </t>
    </r>
    <r>
      <rPr>
        <sz val="12"/>
        <color theme="1"/>
        <rFont val="Aptos Narrow"/>
        <family val="2"/>
        <scheme val="minor"/>
      </rPr>
      <t>Only update future dates, so paste the formula into the next earnings and copy that down.</t>
    </r>
  </si>
  <si>
    <r>
      <t xml:space="preserve">3. </t>
    </r>
    <r>
      <rPr>
        <sz val="12"/>
        <color theme="1"/>
        <rFont val="Aptos Narrow"/>
        <family val="2"/>
        <scheme val="minor"/>
      </rPr>
      <t>Paste values and switch format to full year using the little icon that pops up.</t>
    </r>
  </si>
  <si>
    <r>
      <t xml:space="preserve">4. </t>
    </r>
    <r>
      <rPr>
        <sz val="12"/>
        <color theme="1"/>
        <rFont val="Aptos Narrow"/>
        <family val="2"/>
        <scheme val="minor"/>
      </rPr>
      <t>Now, sort oldest to newest.</t>
    </r>
  </si>
  <si>
    <r>
      <t xml:space="preserve">5. </t>
    </r>
    <r>
      <rPr>
        <sz val="12"/>
        <color theme="1"/>
        <rFont val="Aptos Narrow"/>
        <family val="2"/>
        <scheme val="minor"/>
      </rPr>
      <t>By doing this all past sorting by date will stay the same, but, future dates will be adjusted to be accurate.</t>
    </r>
  </si>
  <si>
    <t>XHB</t>
  </si>
  <si>
    <t>#</t>
  </si>
  <si>
    <t>stocks</t>
  </si>
  <si>
    <t>re-ported</t>
  </si>
  <si>
    <t>Theoretical Direction with trend and sideways going Long</t>
  </si>
  <si>
    <t>Hide These</t>
  </si>
  <si>
    <t>Skip</t>
  </si>
  <si>
    <t>Formulas
 --&gt;</t>
  </si>
  <si>
    <t>Cost</t>
  </si>
  <si>
    <r>
      <t xml:space="preserve">P&amp;L if Using MKT at Open </t>
    </r>
    <r>
      <rPr>
        <u/>
        <sz val="8"/>
        <color theme="1"/>
        <rFont val="Aptos Narrow"/>
        <family val="2"/>
        <scheme val="minor"/>
      </rPr>
      <t>or</t>
    </r>
    <r>
      <rPr>
        <sz val="8"/>
        <color theme="1"/>
        <rFont val="Aptos Narrow"/>
        <family val="2"/>
        <scheme val="minor"/>
      </rPr>
      <t xml:space="preserve"> Other Exit</t>
    </r>
  </si>
  <si>
    <t>Gap
P/L</t>
  </si>
  <si>
    <t>form</t>
  </si>
  <si>
    <t>entry</t>
  </si>
  <si>
    <t>P&amp;L Var. from Slippage</t>
  </si>
  <si>
    <r>
      <t>Hide These</t>
    </r>
    <r>
      <rPr>
        <sz val="10"/>
        <color theme="1"/>
        <rFont val="Aptos Narrow"/>
        <family val="2"/>
        <scheme val="minor"/>
      </rPr>
      <t xml:space="preserve">
these columns track the strategies three pillars per trade</t>
    </r>
    <r>
      <rPr>
        <u/>
        <sz val="10"/>
        <color theme="1"/>
        <rFont val="Aptos Narrow"/>
        <family val="2"/>
        <scheme val="minor"/>
      </rPr>
      <t xml:space="preserve"> and</t>
    </r>
    <r>
      <rPr>
        <sz val="10"/>
        <color theme="1"/>
        <rFont val="Aptos Narrow"/>
        <family val="2"/>
        <scheme val="minor"/>
      </rPr>
      <t xml:space="preserve"> cumulatively</t>
    </r>
  </si>
  <si>
    <t>Cheat -&gt;</t>
  </si>
  <si>
    <t>-------------  Gap Data  -------------</t>
  </si>
  <si>
    <t>Strategy P&amp;L</t>
  </si>
  <si>
    <t>L / S</t>
  </si>
  <si>
    <t>F/E</t>
  </si>
  <si>
    <r>
      <t xml:space="preserve">Exit at Open </t>
    </r>
    <r>
      <rPr>
        <u/>
        <sz val="9"/>
        <rFont val="Aptos Narrow"/>
        <family val="2"/>
        <scheme val="minor"/>
      </rPr>
      <t>or</t>
    </r>
    <r>
      <rPr>
        <sz val="9"/>
        <rFont val="Aptos Narrow"/>
        <family val="2"/>
        <scheme val="minor"/>
      </rPr>
      <t xml:space="preserve"> "Other"</t>
    </r>
  </si>
  <si>
    <t>MOC P&amp;L</t>
  </si>
  <si>
    <t>Var vs. Strategy</t>
  </si>
  <si>
    <t>Hide</t>
  </si>
  <si>
    <t>Total MOC
P / L</t>
  </si>
  <si>
    <t>Sw Trends MOC P/L</t>
  </si>
  <si>
    <t>UP Trends MOC P/L</t>
  </si>
  <si>
    <t>Total Sw Trends MOC P/L</t>
  </si>
  <si>
    <t>Total UP Trends MOC P/L</t>
  </si>
  <si>
    <t>Dwn Trends MOC P/L</t>
  </si>
  <si>
    <t>Total Dwn Trends MOC P/L</t>
  </si>
  <si>
    <t>TOTAL of Three Pillars</t>
  </si>
  <si>
    <r>
      <t>Hide These (Sector 3 Pillars)</t>
    </r>
    <r>
      <rPr>
        <sz val="10"/>
        <color theme="1"/>
        <rFont val="Aptos Narrow"/>
        <family val="2"/>
        <scheme val="minor"/>
      </rPr>
      <t xml:space="preserve">
these columns track the strategies three pillars per trade</t>
    </r>
    <r>
      <rPr>
        <u/>
        <sz val="10"/>
        <color theme="1"/>
        <rFont val="Aptos Narrow"/>
        <family val="2"/>
        <scheme val="minor"/>
      </rPr>
      <t xml:space="preserve"> and</t>
    </r>
    <r>
      <rPr>
        <sz val="10"/>
        <color theme="1"/>
        <rFont val="Aptos Narrow"/>
        <family val="2"/>
        <scheme val="minor"/>
      </rPr>
      <t xml:space="preserve"> cumulatively</t>
    </r>
  </si>
  <si>
    <t>P/L
per Trade</t>
  </si>
  <si>
    <r>
      <t xml:space="preserve">R
</t>
    </r>
    <r>
      <rPr>
        <sz val="8"/>
        <color theme="1"/>
        <rFont val="Aptos Narrow"/>
        <family val="2"/>
        <scheme val="minor"/>
      </rPr>
      <t>per Trade</t>
    </r>
  </si>
  <si>
    <t>R
Total</t>
  </si>
  <si>
    <r>
      <t xml:space="preserve">P/L
</t>
    </r>
    <r>
      <rPr>
        <sz val="8"/>
        <rFont val="Aptos Narrow"/>
        <family val="2"/>
        <scheme val="minor"/>
      </rPr>
      <t>Total</t>
    </r>
  </si>
  <si>
    <r>
      <t xml:space="preserve">P/L
</t>
    </r>
    <r>
      <rPr>
        <sz val="8"/>
        <color theme="1"/>
        <rFont val="Aptos Narrow"/>
        <family val="2"/>
        <scheme val="minor"/>
      </rPr>
      <t>per Trade</t>
    </r>
  </si>
  <si>
    <t>P/L
Total</t>
  </si>
  <si>
    <r>
      <t xml:space="preserve">Playing </t>
    </r>
    <r>
      <rPr>
        <u/>
        <sz val="8"/>
        <rFont val="Aptos Narrow"/>
        <family val="2"/>
        <scheme val="minor"/>
      </rPr>
      <t>Up Trends</t>
    </r>
    <r>
      <rPr>
        <sz val="8"/>
        <rFont val="Aptos Narrow"/>
        <family val="2"/>
        <scheme val="minor"/>
      </rPr>
      <t xml:space="preserve"> Long</t>
    </r>
  </si>
  <si>
    <r>
      <rPr>
        <u/>
        <sz val="8"/>
        <rFont val="Aptos Narrow"/>
        <family val="2"/>
        <scheme val="minor"/>
      </rPr>
      <t>Cumulative</t>
    </r>
    <r>
      <rPr>
        <sz val="8"/>
        <rFont val="Aptos Narrow"/>
        <family val="2"/>
        <scheme val="minor"/>
      </rPr>
      <t xml:space="preserve"> Playing Up Trends Long</t>
    </r>
  </si>
  <si>
    <r>
      <t xml:space="preserve">Playing </t>
    </r>
    <r>
      <rPr>
        <u/>
        <sz val="8"/>
        <rFont val="Aptos Narrow"/>
        <family val="2"/>
        <scheme val="minor"/>
      </rPr>
      <t>Down Trends</t>
    </r>
    <r>
      <rPr>
        <sz val="8"/>
        <rFont val="Aptos Narrow"/>
        <family val="2"/>
        <scheme val="minor"/>
      </rPr>
      <t xml:space="preserve"> Short</t>
    </r>
  </si>
  <si>
    <r>
      <rPr>
        <u/>
        <sz val="8"/>
        <rFont val="Aptos Narrow"/>
        <family val="2"/>
        <scheme val="minor"/>
      </rPr>
      <t>Cumulative</t>
    </r>
    <r>
      <rPr>
        <sz val="8"/>
        <rFont val="Aptos Narrow"/>
        <family val="2"/>
        <scheme val="minor"/>
      </rPr>
      <t xml:space="preserve"> Playing Dwn Trends Short</t>
    </r>
  </si>
  <si>
    <r>
      <t xml:space="preserve">Playing </t>
    </r>
    <r>
      <rPr>
        <u/>
        <sz val="8"/>
        <rFont val="Aptos Narrow"/>
        <family val="2"/>
        <scheme val="minor"/>
      </rPr>
      <t>Sideways</t>
    </r>
    <r>
      <rPr>
        <sz val="8"/>
        <rFont val="Aptos Narrow"/>
        <family val="2"/>
        <scheme val="minor"/>
      </rPr>
      <t xml:space="preserve"> Trends Long</t>
    </r>
  </si>
  <si>
    <r>
      <rPr>
        <u/>
        <sz val="8"/>
        <rFont val="Aptos Narrow"/>
        <family val="2"/>
        <scheme val="minor"/>
      </rPr>
      <t>Cumulative</t>
    </r>
    <r>
      <rPr>
        <sz val="8"/>
        <rFont val="Aptos Narrow"/>
        <family val="2"/>
        <scheme val="minor"/>
      </rPr>
      <t xml:space="preserve"> Playing SW Trends Long</t>
    </r>
  </si>
  <si>
    <t>IGV</t>
  </si>
  <si>
    <t>P/L
MOC
Total</t>
  </si>
  <si>
    <t>P/L
per Trade
MOC</t>
  </si>
  <si>
    <t>Variance
Act v. Strat
Total</t>
  </si>
  <si>
    <t>Strategy Expectancy</t>
  </si>
  <si>
    <t>ToT</t>
  </si>
  <si>
    <t>Dwn</t>
  </si>
  <si>
    <t>Number of trades</t>
  </si>
  <si>
    <r>
      <rPr>
        <b/>
        <sz val="14"/>
        <color theme="1"/>
        <rFont val="Aptos Narrow"/>
        <family val="2"/>
      </rPr>
      <t>↓    Strategy</t>
    </r>
    <r>
      <rPr>
        <b/>
        <sz val="14"/>
        <color theme="1"/>
        <rFont val="Aptos Narrow"/>
        <family val="2"/>
        <scheme val="minor"/>
      </rPr>
      <t xml:space="preserve"> Results      </t>
    </r>
    <r>
      <rPr>
        <b/>
        <sz val="14"/>
        <color theme="1"/>
        <rFont val="Aptos Narrow"/>
        <family val="2"/>
      </rPr>
      <t>↓</t>
    </r>
  </si>
  <si>
    <r>
      <rPr>
        <b/>
        <sz val="14"/>
        <color theme="1"/>
        <rFont val="Aptos Narrow"/>
        <family val="2"/>
      </rPr>
      <t xml:space="preserve">↓    </t>
    </r>
    <r>
      <rPr>
        <b/>
        <sz val="14"/>
        <color theme="1"/>
        <rFont val="Aptos Narrow"/>
        <family val="2"/>
        <scheme val="minor"/>
      </rPr>
      <t xml:space="preserve">Actual Results      </t>
    </r>
    <r>
      <rPr>
        <b/>
        <sz val="14"/>
        <color theme="1"/>
        <rFont val="Aptos Narrow"/>
        <family val="2"/>
      </rPr>
      <t>↓</t>
    </r>
  </si>
  <si>
    <t>No after hours at all, but will fill at open and gap. THIN.</t>
  </si>
  <si>
    <t>Symbol</t>
  </si>
  <si>
    <t>Potential Issue</t>
  </si>
  <si>
    <t>S/O</t>
  </si>
  <si>
    <t>BioTECH, No after hours at all, but will fill at open and gap.</t>
  </si>
  <si>
    <t>f</t>
  </si>
  <si>
    <t>Override P&amp;L</t>
  </si>
  <si>
    <t>R
per Trade</t>
  </si>
  <si>
    <t>Strategy -- R</t>
  </si>
  <si>
    <t>Actual -- R</t>
  </si>
  <si>
    <t>Actual  Expectancy</t>
  </si>
  <si>
    <t>hide</t>
  </si>
  <si>
    <t>OverallExp.</t>
  </si>
  <si>
    <t>Exp
25-ma</t>
  </si>
  <si>
    <t>Exp
50-ma</t>
  </si>
  <si>
    <t>Doesn't fill for 3 minutes after open and thin on opening bar.</t>
  </si>
  <si>
    <t>Splitting into 3 business, water filtration, electronics, and industrial materials</t>
  </si>
  <si>
    <t>?</t>
  </si>
  <si>
    <t>R
per Trade
MOC</t>
  </si>
  <si>
    <t>R
MOC
Total</t>
  </si>
  <si>
    <r>
      <t xml:space="preserve">R, Playing </t>
    </r>
    <r>
      <rPr>
        <u/>
        <sz val="8"/>
        <rFont val="Aptos Narrow"/>
        <family val="2"/>
        <scheme val="minor"/>
      </rPr>
      <t>Up Trends</t>
    </r>
    <r>
      <rPr>
        <sz val="8"/>
        <rFont val="Aptos Narrow"/>
        <family val="2"/>
        <scheme val="minor"/>
      </rPr>
      <t xml:space="preserve"> Long</t>
    </r>
  </si>
  <si>
    <r>
      <t xml:space="preserve">R, Playing </t>
    </r>
    <r>
      <rPr>
        <u/>
        <sz val="8"/>
        <rFont val="Aptos Narrow"/>
        <family val="2"/>
        <scheme val="minor"/>
      </rPr>
      <t>Down Trends</t>
    </r>
    <r>
      <rPr>
        <sz val="8"/>
        <rFont val="Aptos Narrow"/>
        <family val="2"/>
        <scheme val="minor"/>
      </rPr>
      <t xml:space="preserve"> Short</t>
    </r>
  </si>
  <si>
    <r>
      <t xml:space="preserve">R,  Playing </t>
    </r>
    <r>
      <rPr>
        <u/>
        <sz val="8"/>
        <rFont val="Aptos Narrow"/>
        <family val="2"/>
        <scheme val="minor"/>
      </rPr>
      <t>Sideways</t>
    </r>
    <r>
      <rPr>
        <sz val="8"/>
        <rFont val="Aptos Narrow"/>
        <family val="2"/>
        <scheme val="minor"/>
      </rPr>
      <t xml:space="preserve"> Trends Long</t>
    </r>
  </si>
  <si>
    <t>Sw Trends MOC R</t>
  </si>
  <si>
    <t>Total Sw Trends MOC R</t>
  </si>
  <si>
    <t>UP Trends MOC R</t>
  </si>
  <si>
    <t>Total UP Trends MOC R</t>
  </si>
  <si>
    <t>Dwn Trends MOC R</t>
  </si>
  <si>
    <t>Total Dwn Trends MOC R</t>
  </si>
  <si>
    <t>Close
[entry]</t>
  </si>
  <si>
    <t>Gap
%</t>
  </si>
  <si>
    <t>? Or D</t>
  </si>
  <si>
    <t>Super Super thin on 1-min, has had 31% gaps, pharma company, should be very careful with</t>
  </si>
  <si>
    <t>Can have massive 40% gaps, seems best to avoid, need to look into more</t>
  </si>
  <si>
    <t>Not in SPY, but Add this to next earnings season symbols.</t>
  </si>
  <si>
    <t>Too voltile, could gap 40% probably.</t>
  </si>
  <si>
    <t>wins</t>
  </si>
  <si>
    <t>losers</t>
  </si>
  <si>
    <t>Sharpe$</t>
  </si>
  <si>
    <t>Money</t>
  </si>
  <si>
    <t>BA%</t>
  </si>
  <si>
    <t>P/L</t>
  </si>
  <si>
    <t>Risk Units</t>
  </si>
  <si>
    <t>Units</t>
  </si>
  <si>
    <t>Key Stats</t>
  </si>
  <si>
    <t>R Dwn
per Trade
MOC</t>
  </si>
  <si>
    <t>R Dwn
MOC
Total</t>
  </si>
  <si>
    <r>
      <t xml:space="preserve">Gap </t>
    </r>
    <r>
      <rPr>
        <sz val="9"/>
        <rFont val="Aptos Narrow"/>
        <family val="2"/>
      </rPr>
      <t>↓</t>
    </r>
    <r>
      <rPr>
        <sz val="9"/>
        <rFont val="Aptos Narrow"/>
        <family val="2"/>
        <scheme val="minor"/>
      </rPr>
      <t xml:space="preserve"> from Up Tr</t>
    </r>
  </si>
  <si>
    <r>
      <t xml:space="preserve">Gap </t>
    </r>
    <r>
      <rPr>
        <sz val="9"/>
        <rFont val="Aptos Narrow"/>
        <family val="2"/>
      </rPr>
      <t>↑</t>
    </r>
    <r>
      <rPr>
        <sz val="9"/>
        <rFont val="Aptos Narrow"/>
        <family val="2"/>
        <scheme val="minor"/>
      </rPr>
      <t xml:space="preserve"> from Up Tr</t>
    </r>
  </si>
  <si>
    <r>
      <t xml:space="preserve">Gap </t>
    </r>
    <r>
      <rPr>
        <sz val="9"/>
        <rFont val="Aptos Narrow"/>
        <family val="2"/>
      </rPr>
      <t>↑</t>
    </r>
    <r>
      <rPr>
        <sz val="9"/>
        <rFont val="Aptos Narrow"/>
        <family val="2"/>
        <scheme val="minor"/>
      </rPr>
      <t xml:space="preserve"> from Dwn Tr</t>
    </r>
  </si>
  <si>
    <r>
      <t xml:space="preserve">Gap </t>
    </r>
    <r>
      <rPr>
        <sz val="9"/>
        <rFont val="Aptos Narrow"/>
        <family val="2"/>
      </rPr>
      <t>↓</t>
    </r>
    <r>
      <rPr>
        <sz val="9"/>
        <rFont val="Aptos Narrow"/>
        <family val="2"/>
        <scheme val="minor"/>
      </rPr>
      <t xml:space="preserve"> from Dwn Tr</t>
    </r>
  </si>
  <si>
    <r>
      <t xml:space="preserve">Gap </t>
    </r>
    <r>
      <rPr>
        <sz val="9"/>
        <rFont val="Aptos Narrow"/>
        <family val="2"/>
      </rPr>
      <t>↑</t>
    </r>
    <r>
      <rPr>
        <sz val="9"/>
        <rFont val="Aptos Narrow"/>
        <family val="2"/>
        <scheme val="minor"/>
      </rPr>
      <t xml:space="preserve"> from Sw Tr</t>
    </r>
  </si>
  <si>
    <r>
      <t xml:space="preserve">Gap </t>
    </r>
    <r>
      <rPr>
        <sz val="9"/>
        <rFont val="Aptos Narrow"/>
        <family val="2"/>
      </rPr>
      <t>↓</t>
    </r>
    <r>
      <rPr>
        <sz val="9"/>
        <rFont val="Aptos Narrow"/>
        <family val="2"/>
        <scheme val="minor"/>
      </rPr>
      <t xml:space="preserve"> from Sw Tr</t>
    </r>
  </si>
  <si>
    <t>Too thin, had 1/3 R slippage at open</t>
  </si>
  <si>
    <t>.</t>
  </si>
  <si>
    <t>Doesn't move at all after earnings, very strange, stays at $0.00, just delete this one.</t>
  </si>
  <si>
    <t>Very thin on 2-min, trades as red bar green bar, best to just drop I think</t>
  </si>
  <si>
    <t>Very thin, real thin, I like that it is XLK but check it out, very thin</t>
  </si>
  <si>
    <t>Doesn't move after hours at all it appears, low volume and thin, lets see how it opens…..</t>
  </si>
  <si>
    <t>Had 0.38R slippage from sell at open.  Thinking I keep it in but we aware, perhaps after hours exit or only take if great pattern.</t>
  </si>
  <si>
    <t>on 1/10/25, 7:30 AM Before Market Eas</t>
  </si>
  <si>
    <t>on 1/10/25, 6:30 AM Before Market Eas</t>
  </si>
  <si>
    <t>on 1/10/25, 7:00 AM Before Market Eas</t>
  </si>
  <si>
    <t>on 1/15/25, 1:00 AM Before Market Eas</t>
  </si>
  <si>
    <t>on 1/15/25, 5:59 AM Before Market Eas</t>
  </si>
  <si>
    <t>on 1/16/25, 5:55 AM Before Market Eas</t>
  </si>
  <si>
    <t>on 1/16/25, 6:45 AM Before Market Eas</t>
  </si>
  <si>
    <t>on 1/16/25, 1:00 AM Before Market Eas</t>
  </si>
  <si>
    <t>on 1/16/25, 6:28 AM Before Market Eas</t>
  </si>
  <si>
    <t>on 1/16/25, 5:30 AM Before Market Eas</t>
  </si>
  <si>
    <t>on 1/16/25, 4:05 PM After Market East</t>
  </si>
  <si>
    <t>on 1/17/25, 1:00 AM Before Market Eas</t>
  </si>
  <si>
    <t>on 1/17/25, 6:50 AM Before Market Eas</t>
  </si>
  <si>
    <t>on 1/17/25, 7:00 AM Before Market Eas</t>
  </si>
  <si>
    <t>on 1/17/25, 6:00 AM Before Market Eas</t>
  </si>
  <si>
    <t>on 1/17/25, 6:20 AM Before Market Eas</t>
  </si>
  <si>
    <t>on 1/21/25, 7:30 AM Before Market Eas</t>
  </si>
  <si>
    <t>on 1/21/25, 6:30 AM Before Market Eas</t>
  </si>
  <si>
    <t>on 1/21/25, 4:02 PM After Market East</t>
  </si>
  <si>
    <t>on 1/21/25, 4:05 PM After Market East</t>
  </si>
  <si>
    <t>on 1/21/25, 4:01 PM After Market East</t>
  </si>
  <si>
    <t>on 1/22/25, 7:00 AM Before Market Eas</t>
  </si>
  <si>
    <t>on 1/22/25, 6:20 AM Before Market Eas</t>
  </si>
  <si>
    <t>on 1/22/25, 1:00 AM Before Market Eas</t>
  </si>
  <si>
    <t>on 1/22/25, 8:00 AM Before Market Eas</t>
  </si>
  <si>
    <t>on 1/22/25, 6:57 AM Before Market Eas</t>
  </si>
  <si>
    <t>on 1/22/25, 6:00 AM Before Market Eas</t>
  </si>
  <si>
    <t>on 1/22/25, 6:45 AM Before Market Eas</t>
  </si>
  <si>
    <t>on 1/22/25, 6:55 AM Before Market Eas</t>
  </si>
  <si>
    <t>on 1/22/25, 6:30 AM Before Market Eas</t>
  </si>
  <si>
    <t>on 1/22/25, 4:05 PM After Market East</t>
  </si>
  <si>
    <t>on 1/22/25, 4:30 PM After Market East</t>
  </si>
  <si>
    <t>on 1/22/25, 5:00 PM After Market East</t>
  </si>
  <si>
    <t>on 1/23/25, 6:22 AM Before Market Eas</t>
  </si>
  <si>
    <t>on 1/23/25, 7:45 AM Before Market Eas</t>
  </si>
  <si>
    <t>on 1/23/25, 6:00 AM Before Market Eas</t>
  </si>
  <si>
    <t>on 1/23/25, 1:00 AM Before Market Eas</t>
  </si>
  <si>
    <t>on 1/23/25, 6:30 AM Before Market Eas</t>
  </si>
  <si>
    <t>on 1/23/25, 4:05 PM After Market East</t>
  </si>
  <si>
    <t>on 1/23/25, 4:01 PM After Market East</t>
  </si>
  <si>
    <t>on 1/23/25, 4:02 PM After Market East</t>
  </si>
  <si>
    <t>on 1/24/25, 7:00 AM Before Market Eas</t>
  </si>
  <si>
    <t>on 1/24/25, 6:55 AM Before Market Eas</t>
  </si>
  <si>
    <t>on 1/24/25, 7:30 AM Before Market Eas</t>
  </si>
  <si>
    <t>on 1/27/25, 6:31 AM Before Market Eas</t>
  </si>
  <si>
    <t>on 1/27/25, 4:30 PM After Market East</t>
  </si>
  <si>
    <t>on 1/27/25, 5:00 PM After Market East</t>
  </si>
  <si>
    <t>on 1/27/25, 4:15 PM After Market East</t>
  </si>
  <si>
    <t>on 1/28/25, 7:05 AM Before Market Eas</t>
  </si>
  <si>
    <t>on 1/28/25, 7:29 AM Before Market Eas</t>
  </si>
  <si>
    <t>on 1/28/25, 7:00 AM Before Market Eas</t>
  </si>
  <si>
    <t>on 1/28/25, 6:30 AM Before Market Eas</t>
  </si>
  <si>
    <t>on 1/28/25, 8:00 AM Before Market Eas</t>
  </si>
  <si>
    <t>on 1/28/25, 6:35 AM Before Market Eas</t>
  </si>
  <si>
    <t>on 1/28/25, 6:00 AM Before Market Eas</t>
  </si>
  <si>
    <t>on 1/28/25, 1:00 AM Before Market Eas</t>
  </si>
  <si>
    <t>on 1/28/25, 4:05 PM After Market East</t>
  </si>
  <si>
    <t>on 1/28/25, 4:15 PM After Market East</t>
  </si>
  <si>
    <t>on 1/28/25, 4:31 PM After Market East</t>
  </si>
  <si>
    <t>on 1/29/25, 7:05 AM Before Market Eas</t>
  </si>
  <si>
    <t>on 1/29/25, 6:00 AM Before Market Eas</t>
  </si>
  <si>
    <t>on 1/29/25, 8:34 AM Before Market Eas</t>
  </si>
  <si>
    <t>on 1/29/25, 1:00 AM Before Market Eas</t>
  </si>
  <si>
    <t>on 1/29/25, 7:00 AM Before Market Eas</t>
  </si>
  <si>
    <t>on 1/29/25, 8:05 AM Before Market Eas</t>
  </si>
  <si>
    <t>on 1/29/25, 7:30 AM Before Market Eas</t>
  </si>
  <si>
    <t>on 1/29/25, 7:10 AM Before Market Eas</t>
  </si>
  <si>
    <t>on 1/29/25, 6:08 AM Before Market Eas</t>
  </si>
  <si>
    <t>on 1/29/25, 4:11 PM After Market East</t>
  </si>
  <si>
    <t>on 1/29/25, 4:39 PM After Market East</t>
  </si>
  <si>
    <t>on 1/29/25, 4:09 PM After Market East</t>
  </si>
  <si>
    <t>on 1/29/25, 4:08 PM After Market East</t>
  </si>
  <si>
    <t>on 1/29/25, 4:05 PM After Market East</t>
  </si>
  <si>
    <t>on 1/29/25, 7:04 PM After Market East</t>
  </si>
  <si>
    <t>on 1/29/25, 4:15 PM After Market East</t>
  </si>
  <si>
    <t>on 2/6/25 After Market Eastern Standa</t>
  </si>
  <si>
    <t>on 1/29/25, 4:24 PM After Market East</t>
  </si>
  <si>
    <t>on 1/29/25, 4:01 PM After Market East</t>
  </si>
  <si>
    <t>on 1/29/25, 5:10 PM After Market East</t>
  </si>
  <si>
    <t>on 1/30/25, 1:00 AM Before Market Eas</t>
  </si>
  <si>
    <t>on 1/30/25, 6:55 AM Before Market Eas</t>
  </si>
  <si>
    <t>on 1/30/25, 6:00 AM Before Market Eas</t>
  </si>
  <si>
    <t>on 1/30/25, 6:30 AM Before Market Eas</t>
  </si>
  <si>
    <t>on 1/30/25, 7:00 AM Before Market Eas</t>
  </si>
  <si>
    <t>on 1/30/25, 7:30 AM Before Market Eas</t>
  </si>
  <si>
    <t>on 1/30/25, 6:45 AM Before Market Eas</t>
  </si>
  <si>
    <t>on 1/30/25, 4:30 PM After Market East</t>
  </si>
  <si>
    <t>on 1/30/25, 4:05 PM After Market East</t>
  </si>
  <si>
    <t>on 1/30/25, 4:01 PM After Market East</t>
  </si>
  <si>
    <t>on 1/30/25, 4:15 PM After Market East</t>
  </si>
  <si>
    <t>on 1/30/25, 5:00 PM After Market East</t>
  </si>
  <si>
    <t>on 1/30/25, 6:15 PM After Market East</t>
  </si>
  <si>
    <t>on 2/10/25 After Market Eastern Stand</t>
  </si>
  <si>
    <t>on 1/31/25, 6:30 AM Before Market Eas</t>
  </si>
  <si>
    <t>on 1/31/25, 7:36 AM Before Market Eas</t>
  </si>
  <si>
    <t>on 1/31/25, 6:15 AM Before Market Eas</t>
  </si>
  <si>
    <t>on 1/31/25, 6:01 AM Before Market Eas</t>
  </si>
  <si>
    <t>on 1/31/25, 6:55 AM Before Market Eas</t>
  </si>
  <si>
    <t>on 1/31/25, 7:00 AM Before Market Eas</t>
  </si>
  <si>
    <t>on 1/31/25, 8:00 AM Before Market Eas</t>
  </si>
  <si>
    <t>on 1/31/25, 6:00 AM Before Market Eas</t>
  </si>
  <si>
    <t>on 1/31/25, 8:30 AM Before Market Eas</t>
  </si>
  <si>
    <t>on 2/3/25, 6:30 AM Before Market East</t>
  </si>
  <si>
    <t>on 2/3/25, 7:30 AM Before Market East</t>
  </si>
  <si>
    <t>on 2/3/25, 4:05 PM After Market Easte</t>
  </si>
  <si>
    <t>on 2/3/25, 4:10 PM After Market Easte</t>
  </si>
  <si>
    <t>on 2/3/25, 4:15 PM After Market Easte</t>
  </si>
  <si>
    <t>on 2/4/25, 6:30 AM Before Market East</t>
  </si>
  <si>
    <t>on 2/4/25, 1:00 AM Before Market East</t>
  </si>
  <si>
    <t>on 2/4/25, 6:45 AM Before Market East</t>
  </si>
  <si>
    <t>on 2/4/25, 7:01 AM Before Market East</t>
  </si>
  <si>
    <t>on 2/4/25, 7:30 AM Before Market East</t>
  </si>
  <si>
    <t>on 2/4/25, 6:55 AM Before Market East</t>
  </si>
  <si>
    <t>on 2/4/25, 6:00 AM Before Market East</t>
  </si>
  <si>
    <t>on 2/4/25, 6:05 AM Before Market East</t>
  </si>
  <si>
    <t>on 2/4/25, 8:00 AM Before Market East</t>
  </si>
  <si>
    <t>on 2/4/25, 6:50 AM Before Market East</t>
  </si>
  <si>
    <t>on 2/4/25, 4:01 PM After Market Easte</t>
  </si>
  <si>
    <t>on 2/4/25, 4:15 PM After Market Easte</t>
  </si>
  <si>
    <t>on 2/4/25, 4:11 PM After Market Easte</t>
  </si>
  <si>
    <t>on 2/4/25, 4:10 PM After Market Easte</t>
  </si>
  <si>
    <t>on 2/4/25, 4:18 PM After Market Easte</t>
  </si>
  <si>
    <t>on 2/4/25, 4:05 PM After Market Easte</t>
  </si>
  <si>
    <t>on 2/4/25, 4:30 PM After Market Easte</t>
  </si>
  <si>
    <t>on 2/4/25, 4:03 PM After Market Easte</t>
  </si>
  <si>
    <t>on 2/4/25, 4:46 PM After Market Easte</t>
  </si>
  <si>
    <t>on 2/5/25, 6:40 AM Before Market East</t>
  </si>
  <si>
    <t>on 2/5/25, 6:55 AM Before Market East</t>
  </si>
  <si>
    <t>on 2/5/25, 6:37 AM Before Market East</t>
  </si>
  <si>
    <t>on 2/5/25, 7:01 AM Before Market East</t>
  </si>
  <si>
    <t>on 2/5/25, 8:00 AM Before Market East</t>
  </si>
  <si>
    <t>on 2/5/25, 6:30 AM Before Market East</t>
  </si>
  <si>
    <t>on 2/5/25, 1:00 AM Before Market East</t>
  </si>
  <si>
    <t>on 2/5/25, 7:00 AM Before Market East</t>
  </si>
  <si>
    <t>on 2/5/25, 6:00 AM Before Market East</t>
  </si>
  <si>
    <t>on 2/5/25, 4:00 PM After Market Easte</t>
  </si>
  <si>
    <t>on 2/5/25, 4:10 PM After Market Easte</t>
  </si>
  <si>
    <t>on 2/5/25, 4:05 PM After Market Easte</t>
  </si>
  <si>
    <t>on 2/5/25, 4:32 PM After Market Easte</t>
  </si>
  <si>
    <t>on 2/5/25, 6:08 PM After Market Easte</t>
  </si>
  <si>
    <t>on 2/5/25, 5:00 PM After Market Easte</t>
  </si>
  <si>
    <t>on 2/5/25, 4:01 PM After Market Easte</t>
  </si>
  <si>
    <t>on 2/5/25, 4:30 PM After Market Easte</t>
  </si>
  <si>
    <t>on 2/5/25, 4:15 PM After Market Easte</t>
  </si>
  <si>
    <t>on 2/5/25, 4:03 PM After Market Easte</t>
  </si>
  <si>
    <t>on 2/6/25, 6:45 AM Before Market East</t>
  </si>
  <si>
    <t>on 2/6/25, 6:10 AM Before Market East</t>
  </si>
  <si>
    <t>on 2/6/25, 6:59 AM Before Market East</t>
  </si>
  <si>
    <t>on 2/6/25, 6:00 AM Before Market East</t>
  </si>
  <si>
    <t>on 2/6/25, 7:00 AM Before Market East</t>
  </si>
  <si>
    <t>on 2/6/25, 7:30 AM Before Market East</t>
  </si>
  <si>
    <t>on 2/10/25 Before Market Eastern Stan</t>
  </si>
  <si>
    <t>on 2/6/25, 6:30 AM Before Market East</t>
  </si>
  <si>
    <t>on 2/6/25, 6:50 AM Before Market East</t>
  </si>
  <si>
    <t>on 2/6/25, 8:01 AM Before Market East</t>
  </si>
  <si>
    <t>on 2/6/25, 7:15 AM Before Market East</t>
  </si>
  <si>
    <t>on 2/7/25 Before Market Eastern Stand</t>
  </si>
  <si>
    <t>on 2/11/25 Before Market Eastern Stan</t>
  </si>
  <si>
    <t>on 2/11/25 After Market Eastern Stand</t>
  </si>
  <si>
    <t>on 2/12/25 Before Market Eastern Stan</t>
  </si>
  <si>
    <t>on 2/12/25 After Market Eastern Stand</t>
  </si>
  <si>
    <t>on 2/13/25 Before Market Eastern Stan</t>
  </si>
  <si>
    <t>on 2/13/25 After Market Eastern Stand</t>
  </si>
  <si>
    <t>on 2/14/25 Before Market Eastern Stan</t>
  </si>
  <si>
    <t>on 2/18/25 Before Market Eastern Stan</t>
  </si>
  <si>
    <t>on 2/18/25 After Market Eastern Stand</t>
  </si>
  <si>
    <t>on 2/19/25 Before Market Eastern Stan</t>
  </si>
  <si>
    <t>on 2/19/25 After Market Eastern Stand</t>
  </si>
  <si>
    <t>on 2/20/25 Before Market Eastern Stan</t>
  </si>
  <si>
    <t>on 2/20/25 After Market Eastern Stand</t>
  </si>
  <si>
    <t>on 2/25/25 Before Market Eastern Stan</t>
  </si>
  <si>
    <t>on 2/4/25, 2:34 PM During Market Eastern Standard Time</t>
  </si>
  <si>
    <t>on 2/6/25, 4:01 PM After Market Eastern Standard Time</t>
  </si>
  <si>
    <t>on 2/6/25, 4:03 PM After Market Eastern Standard Time</t>
  </si>
  <si>
    <t>on 2/6/25, 4:05 PM After Market Eastern Standard Time</t>
  </si>
  <si>
    <t>on 2/6/25, 4:06 PM After Market Eastern Standard Time</t>
  </si>
  <si>
    <t>on 2/6/25, 4:10 PM After Market Eastern Standard Time</t>
  </si>
  <si>
    <t>on 2/6/25, 4:15 PM After Market Eastern Standard Time</t>
  </si>
  <si>
    <t>on 2/6/25, 4:16 PM After Market Eastern Standard Time</t>
  </si>
  <si>
    <t>on 2/6/25, 4:19 PM After Market Eastern Standard Time</t>
  </si>
  <si>
    <t>on 2/6/25, 4:20 PM After Market Eastern Standard Time</t>
  </si>
  <si>
    <t>on 2/6/25, 4:22 PM After Market Eastern Standard Time</t>
  </si>
  <si>
    <t>on 2/6/25, 4:30 PM After Market Eastern Standard Time</t>
  </si>
  <si>
    <t>on 2/6/25, 4:32 PM After Market Eastern Standard Time</t>
  </si>
  <si>
    <t>on 2/6/25, 4:45 PM After Market Eastern Standard Time</t>
  </si>
  <si>
    <t>on 2/6/25, 5:00 PM After Market Eastern Standard Time</t>
  </si>
  <si>
    <t>on 2/6/25, 5:01 PM After Market Eastern Standard Time</t>
  </si>
  <si>
    <t>on 2/6/25, 5:17 PM After Market Eastern Standard Time</t>
  </si>
  <si>
    <t>on 2/6/25, 6:17 PM After Market Eastern Standard Time</t>
  </si>
  <si>
    <t>on 2/6/25, 6:30 PM After Market Eastern Standard Time</t>
  </si>
  <si>
    <t>on 2/7/25, 1:00 AM Unspecified Eastern Standard Time</t>
  </si>
  <si>
    <t>on 2/7/25, 1:00 AM Before Market Eastern Standard Time</t>
  </si>
  <si>
    <t>on 2/7/25, 6:00 AM Before Market Eastern Standard Time</t>
  </si>
  <si>
    <t>on 2/7/25, 6:05 AM Before Market Eastern Standard Time</t>
  </si>
  <si>
    <t>on 2/7/25, 6:20 AM Before Market Eastern Standard Time</t>
  </si>
  <si>
    <t>on 2/7/25, 6:30 AM Before Market Eastern Standard Time</t>
  </si>
  <si>
    <t>on 2/7/25, 6:40 AM Before Market Eastern Standard Time</t>
  </si>
  <si>
    <t>on 2/7/25, 6:50 AM Before Market Eastern Standard Time</t>
  </si>
  <si>
    <t>on 2/7/25, 6:55 AM Before Market Eastern Standard Time</t>
  </si>
  <si>
    <t>on 2/7/25, 6:58 AM Before Market Eastern Standard Time</t>
  </si>
  <si>
    <t>on 2/7/25, 7:00 AM Before Market Eastern Standard Time</t>
  </si>
  <si>
    <t>on 2/7/25, 7:03 AM Before Market Eastern Standard Time</t>
  </si>
  <si>
    <t>on 2/7/25, 7:05 AM Before Market Eastern Standard Time</t>
  </si>
  <si>
    <t>on 2/7/25, 7:11 AM Before Market Eastern Standard Time</t>
  </si>
  <si>
    <t>on 2/7/25, 7:30 AM Before Market Eastern Standard Time</t>
  </si>
  <si>
    <t>on 2/7/25, 8:00 AM Before Market Eastern Standard Time</t>
  </si>
  <si>
    <t>on 2/7/25, 8:36 AM Before Market Eastern Standard Time</t>
  </si>
  <si>
    <t>on 2/7/25, 11:07 AM During Market Eastern Standard Time</t>
  </si>
  <si>
    <t>on 2/7/25, 4:05 PM After Market Eastern Standard Time</t>
  </si>
  <si>
    <t>on 2/10/25, 1:00 AM Unspecified Eastern Standard Time</t>
  </si>
  <si>
    <t>on 2/10/25, 6:00 AM Before Market Eastern Standard Time</t>
  </si>
  <si>
    <t>on 2/10/25, 7:00 AM Before Market Eastern Standard Time</t>
  </si>
  <si>
    <t>on 2/10/25, 7:30 AM Before Market Eastern Standard Time</t>
  </si>
  <si>
    <t>on 2/10/25, 8:00 AM Before Market Eastern Standard Time</t>
  </si>
  <si>
    <t>on 2/10/25, 8:02 AM Before Market Eastern Standard Time</t>
  </si>
  <si>
    <t>on 2/10/25, 8:30 AM Before Market Eastern Standard Time</t>
  </si>
  <si>
    <t>on 2/10/25, 9:15 AM Before Market Eastern Standard Time</t>
  </si>
  <si>
    <t>on 2/10/25, 4:01 PM After Market Eastern Standard Time</t>
  </si>
  <si>
    <t>on 2/10/25, 4:02 PM After Market Eastern Standard Time</t>
  </si>
  <si>
    <t>on 2/10/25, 4:03 PM After Market Eastern Standard Time</t>
  </si>
  <si>
    <t>on 2/10/25, 4:04 PM After Market Eastern Standard Time</t>
  </si>
  <si>
    <t>on 2/10/25, 4:05 PM After Market Eastern Standard Time</t>
  </si>
  <si>
    <t>on 2/10/25, 4:15 PM After Market Eastern Standard Time</t>
  </si>
  <si>
    <t>on 2/10/25, 4:30 PM After Market Eastern Standard Time</t>
  </si>
  <si>
    <t>on 2/10/25, 4:35 PM After Market Eastern Standard Time</t>
  </si>
  <si>
    <t>on 2/10/25, 4:38 PM After Market Eastern Standard Time</t>
  </si>
  <si>
    <t>on 2/10/25, 4:49 PM After Market Eastern Standard Time</t>
  </si>
  <si>
    <t>on 2/10/25, 5:14 PM After Market Eastern Standard Time</t>
  </si>
  <si>
    <t>on 2/10/25, 5:21 PM After Market Eastern Standard Time</t>
  </si>
  <si>
    <t>on 2/10/25, 5:39 PM After Market Eastern Standard Time</t>
  </si>
  <si>
    <t>on 2/10/25, 6:17 PM After Market Eastern Standard Time</t>
  </si>
  <si>
    <t>on 2/10/25, 9:13 PM Unspecified Eastern Standard Time</t>
  </si>
  <si>
    <t>on 2/10/25, 9:48 PM After Market Eastern Standard Time</t>
  </si>
  <si>
    <t>on 2/11/25, 1:00 AM Before Market Eastern Standard Time</t>
  </si>
  <si>
    <t>on 2/11/25, 1:00 AM After Market Eastern Standard Time</t>
  </si>
  <si>
    <t>on 2/11/25, 1:00 AM Unspecified Eastern Standard Time</t>
  </si>
  <si>
    <t>on 2/11/25, 1:30 AM Before Market Eastern Standard Time</t>
  </si>
  <si>
    <t>on 2/11/25, 2:54 AM Before Market Eastern Standard Time</t>
  </si>
  <si>
    <t>on 2/11/25, 6:00 AM Before Market Eastern Standard Time</t>
  </si>
  <si>
    <t>on 2/11/25, 6:30 AM Before Market Eastern Standard Time</t>
  </si>
  <si>
    <t>on 2/11/25, 6:55 AM Before Market Eastern Standard Time</t>
  </si>
  <si>
    <t>on 2/11/25, 6:59 AM Before Market Eastern Standard Time</t>
  </si>
  <si>
    <t>on 2/11/25, 7:00 AM Before Market Eastern Standard Time</t>
  </si>
  <si>
    <t>on 2/11/25, 7:15 AM Before Market Eastern Standard Time</t>
  </si>
  <si>
    <t>on 2/11/25, 7:27 AM Before Market Eastern Standard Time</t>
  </si>
  <si>
    <t>on 2/11/25, 7:30 AM Before Market Eastern Standard Time</t>
  </si>
  <si>
    <t>on 2/11/25, 7:45 AM Before Market Eastern Standard Time</t>
  </si>
  <si>
    <t>on 2/11/25, 8:00 AM Before Market Eastern Standard Time</t>
  </si>
  <si>
    <t>on 2/11/25, 8:30 AM Before Market Eastern Standard Time</t>
  </si>
  <si>
    <t>on 2/11/25, 4:01 PM After Market Eastern Standard Time</t>
  </si>
  <si>
    <t>on 2/11/25, 4:02 PM After Market Eastern Standard Time</t>
  </si>
  <si>
    <t>on 2/11/25, 4:03 PM After Market Eastern Standard Time</t>
  </si>
  <si>
    <t>on 2/11/25, 4:04 PM After Market Eastern Standard Time</t>
  </si>
  <si>
    <t>on 2/11/25, 4:05 PM After Market Eastern Standard Time</t>
  </si>
  <si>
    <t>on 2/11/25, 4:08 PM After Market Eastern Standard Time</t>
  </si>
  <si>
    <t>on 2/11/25, 4:09 PM After Market Eastern Standard Time</t>
  </si>
  <si>
    <t>on 2/11/25, 4:10 PM After Market Eastern Standard Time</t>
  </si>
  <si>
    <t>on 2/11/25, 4:15 PM After Market Eastern Standard Time</t>
  </si>
  <si>
    <t>on 2/11/25, 4:16 PM After Market Eastern Standard Time</t>
  </si>
  <si>
    <t>on 2/11/25, 4:20 PM After Market Eastern Standard Time</t>
  </si>
  <si>
    <t>on 2/11/25, 4:29 PM After Market Eastern Standard Time</t>
  </si>
  <si>
    <t>on 2/11/25, 4:30 PM After Market Eastern Standard Time</t>
  </si>
  <si>
    <t>on 2/11/25, 4:42 PM After Market Eastern Standard Time</t>
  </si>
  <si>
    <t>on 2/11/25, 5:00 PM After Market Eastern Standard Time</t>
  </si>
  <si>
    <t>on 2/11/25, 6:18 PM After Market Eastern Standard Time</t>
  </si>
  <si>
    <t>on 2/12/25, 1:00 AM Before Market Eastern Standard Time</t>
  </si>
  <si>
    <t>on 2/12/25, 1:00 AM Unspecified Eastern Standard Time</t>
  </si>
  <si>
    <t>on 2/12/25, 5:20 AM Before Market Eastern Standard Time</t>
  </si>
  <si>
    <t>on 2/12/25, 5:55 AM Before Market Eastern Standard Time</t>
  </si>
  <si>
    <t>on 2/12/25, 6:00 AM Before Market Eastern Standard Time</t>
  </si>
  <si>
    <t>on 2/12/25, 6:05 AM Before Market Eastern Standard Time</t>
  </si>
  <si>
    <t>on 2/12/25, 6:15 AM Before Market Eastern Standard Time</t>
  </si>
  <si>
    <t>on 2/12/25, 6:30 AM Before Market Eastern Standard Time</t>
  </si>
  <si>
    <t>on 2/12/25, 6:45 AM Before Market Eastern Standard Time</t>
  </si>
  <si>
    <t>on 2/12/25, 6:50 AM Before Market Eastern Standard Time</t>
  </si>
  <si>
    <t>on 2/12/25, 6:55 AM Before Market Eastern Standard Time</t>
  </si>
  <si>
    <t>on 2/12/25, 6:56 AM Before Market Eastern Standard Time</t>
  </si>
  <si>
    <t>on 2/12/25, 7:00 AM Before Market Eastern Standard Time</t>
  </si>
  <si>
    <t>on 2/12/25, 7:05 AM Before Market Eastern Standard Time</t>
  </si>
  <si>
    <t>on 2/12/25, 7:07 AM Before Market Eastern Standard Time</t>
  </si>
  <si>
    <t>on 2/12/25, 7:10 AM Before Market Eastern Standard Time</t>
  </si>
  <si>
    <t>on 2/12/25, 7:15 AM Before Market Eastern Standard Time</t>
  </si>
  <si>
    <t>on 2/12/25, 7:16 AM Before Market Eastern Standard Time</t>
  </si>
  <si>
    <t>on 2/12/25, 7:30 AM Before Market Eastern Standard Time</t>
  </si>
  <si>
    <t>on 2/12/25, 8:00 AM Before Market Eastern Standard Time</t>
  </si>
  <si>
    <t>on 2/12/25, 8:30 AM Before Market Eastern Standard Time</t>
  </si>
  <si>
    <t>on 2/12/25, 9:26 AM Before Market Eastern Standard Time</t>
  </si>
  <si>
    <t>on 2/12/25, 4:00 PM After Market Eastern Standard Time</t>
  </si>
  <si>
    <t>on 2/12/25, 4:01 PM After Market Eastern Standard Time</t>
  </si>
  <si>
    <t>on 2/12/25, 4:02 PM After Market Eastern Standard Time</t>
  </si>
  <si>
    <t>on 2/12/25, 4:03 PM After Market Eastern Standard Time</t>
  </si>
  <si>
    <t>on 2/12/25, 4:05 PM After Market Eastern Standard Time</t>
  </si>
  <si>
    <t>on 2/12/25, 4:06 PM After Market Eastern Standard Time</t>
  </si>
  <si>
    <t>on 2/12/25, 4:07 PM After Market Eastern Standard Time</t>
  </si>
  <si>
    <t>on 2/12/25, 4:08 PM After Market Eastern Standard Time</t>
  </si>
  <si>
    <t>on 2/12/25, 4:10 PM After Market Eastern Standard Time</t>
  </si>
  <si>
    <t>on 2/12/25, 4:12 PM After Market Eastern Standard Time</t>
  </si>
  <si>
    <t>on 2/12/25, 4:14 PM After Market Eastern Standard Time</t>
  </si>
  <si>
    <t>on 2/12/25, 4:15 PM After Market Eastern Standard Time</t>
  </si>
  <si>
    <t>on 2/12/25, 4:16 PM After Market Eastern Standard Time</t>
  </si>
  <si>
    <t>on 2/12/25, 4:17 PM After Market Eastern Standard Time</t>
  </si>
  <si>
    <t>on 2/12/25, 4:18 PM After Market Eastern Standard Time</t>
  </si>
  <si>
    <t>on 2/12/25, 4:19 PM After Market Eastern Standard Time</t>
  </si>
  <si>
    <t>on 2/12/25, 4:20 PM After Market Eastern Standard Time</t>
  </si>
  <si>
    <t>on 2/12/25, 4:25 PM After Market Eastern Standard Time</t>
  </si>
  <si>
    <t>on 2/12/25, 4:29 PM After Market Eastern Standard Time</t>
  </si>
  <si>
    <t>on 2/12/25, 4:30 PM After Market Eastern Standard Time</t>
  </si>
  <si>
    <t>on 2/12/25, 4:37 PM After Market Eastern Standard Time</t>
  </si>
  <si>
    <t>on 2/12/25, 4:43 PM After Market Eastern Standard Time</t>
  </si>
  <si>
    <t>on 2/12/25, 4:49 PM After Market Eastern Standard Time</t>
  </si>
  <si>
    <t>on 2/12/25, 5:00 PM After Market Eastern Standard Time</t>
  </si>
  <si>
    <t>on 2/12/25, 5:01 PM After Market Eastern Standard Time</t>
  </si>
  <si>
    <t>on 2/12/25, 5:28 PM After Market Eastern Standard Time</t>
  </si>
  <si>
    <t>on 2/12/25, 6:17 PM After Market Eastern Standard Time</t>
  </si>
  <si>
    <t>on 2/12/25, 6:40 PM After Market Eastern Standard Time</t>
  </si>
  <si>
    <t>on 2/12/25, 6:45 PM After Market Eastern Standard Time</t>
  </si>
  <si>
    <t>on 2/12/25, 7:00 PM After Market Eastern Standard Time</t>
  </si>
  <si>
    <t>on 2/12/25, 10:45 PM After Market Eastern Standard Time</t>
  </si>
  <si>
    <t>on 2/13/25, 1:00 AM Before Market Eastern Standard Time</t>
  </si>
  <si>
    <t>on 2/13/25, 1:00 AM Unspecified Eastern Standard Time</t>
  </si>
  <si>
    <t>on 2/13/25, 1:33 AM Before Market Eastern Standard Time</t>
  </si>
  <si>
    <t>on 2/13/25, 1:45 AM Before Market Eastern Standard Time</t>
  </si>
  <si>
    <t>on 2/13/25, 5:10 AM Before Market Eastern Standard Time</t>
  </si>
  <si>
    <t>on 2/13/25, 6:00 AM Before Market Eastern Standard Time</t>
  </si>
  <si>
    <t>on 2/13/25, 6:05 AM Before Market Eastern Standard Time</t>
  </si>
  <si>
    <t>on 2/13/25, 6:11 AM Before Market Eastern Standard Time</t>
  </si>
  <si>
    <t>on 2/13/25, 6:15 AM Before Market Eastern Standard Time</t>
  </si>
  <si>
    <t>on 2/13/25, 6:17 AM Before Market Eastern Standard Time</t>
  </si>
  <si>
    <t>on 2/13/25, 6:20 AM Before Market Eastern Standard Time</t>
  </si>
  <si>
    <t>on 2/13/25, 6:30 AM Before Market Eastern Standard Time</t>
  </si>
  <si>
    <t>on 2/13/25, 6:31 AM Before Market Eastern Standard Time</t>
  </si>
  <si>
    <t>on 2/13/25, 6:45 AM Before Market Eastern Standard Time</t>
  </si>
  <si>
    <t>on 2/13/25, 6:55 AM Before Market Eastern Standard Time</t>
  </si>
  <si>
    <t>on 2/13/25, 6:57 AM Before Market Eastern Standard Time</t>
  </si>
  <si>
    <t>on 2/13/25, 7:00 AM Before Market Eastern Standard Time</t>
  </si>
  <si>
    <t>on 2/13/25, 7:01 AM Before Market Eastern Standard Time</t>
  </si>
  <si>
    <t>on 2/13/25, 7:05 AM Before Market Eastern Standard Time</t>
  </si>
  <si>
    <t>on 2/13/25, 7:26 AM Before Market Eastern Standard Time</t>
  </si>
  <si>
    <t>on 2/13/25, 7:30 AM Before Market Eastern Standard Time</t>
  </si>
  <si>
    <t>on 2/13/25, 8:00 AM Before Market Eastern Standard Time</t>
  </si>
  <si>
    <t>on 2/13/25, 8:01 AM Before Market Eastern Standard Time</t>
  </si>
  <si>
    <t>on 2/13/25, 8:05 AM Before Market Eastern Standard Time</t>
  </si>
  <si>
    <t>on 2/13/25, 8:15 AM Before Market Eastern Standard Time</t>
  </si>
  <si>
    <t>on 2/13/25, 8:29 AM Before Market Eastern Standard Time</t>
  </si>
  <si>
    <t>on 2/13/25, 8:30 AM Before Market Eastern Standard Time</t>
  </si>
  <si>
    <t>on 2/13/25, 9:20 AM Before Market Eastern Standard Time</t>
  </si>
  <si>
    <t>on 2/13/25, 4:00 PM After Market Eastern Standard Time</t>
  </si>
  <si>
    <t>on 2/13/25, 4:01 PM After Market Eastern Standard Time</t>
  </si>
  <si>
    <t>on 2/13/25, 4:02 PM After Market Eastern Standard Time</t>
  </si>
  <si>
    <t>on 2/13/25, 4:03 PM After Market Eastern Standard Time</t>
  </si>
  <si>
    <t>on 2/13/25, 4:05 PM After Market Eastern Standard Time</t>
  </si>
  <si>
    <t>on 2/13/25, 4:06 PM After Market Eastern Standard Time</t>
  </si>
  <si>
    <t>on 2/13/25, 4:09 PM After Market Eastern Standard Time</t>
  </si>
  <si>
    <t>on 2/13/25, 4:10 PM After Market Eastern Standard Time</t>
  </si>
  <si>
    <t>on 2/13/25, 4:13 PM After Market Eastern Standard Time</t>
  </si>
  <si>
    <t>on 2/13/25, 4:14 PM After Market Eastern Standard Time</t>
  </si>
  <si>
    <t>on 2/13/25, 4:15 PM After Market Eastern Standard Time</t>
  </si>
  <si>
    <t>on 2/13/25, 4:19 PM After Market Eastern Standard Time</t>
  </si>
  <si>
    <t>on 2/13/25, 4:20 PM After Market Eastern Standard Time</t>
  </si>
  <si>
    <t>on 2/13/25, 4:22 PM After Market Eastern Standard Time</t>
  </si>
  <si>
    <t>on 2/13/25, 4:30 PM After Market Eastern Standard Time</t>
  </si>
  <si>
    <t>on 2/13/25, 4:38 PM After Market Eastern Standard Time</t>
  </si>
  <si>
    <t>on 2/13/25, 4:50 PM After Market Eastern Standard Time</t>
  </si>
  <si>
    <t>on 2/13/25, 5:03 PM After Market Eastern Standard Time</t>
  </si>
  <si>
    <t>on 2/13/25, 5:05 PM After Market Eastern Standard Time</t>
  </si>
  <si>
    <t>on 2/13/25, 5:17 PM After Market Eastern Standard Time</t>
  </si>
  <si>
    <t>on 2/13/25, 5:18 PM After Market Eastern Standard Time</t>
  </si>
  <si>
    <t>on 2/13/25, 5:30 PM After Market Eastern Standard Time</t>
  </si>
  <si>
    <t>on 2/13/25, 7:40 PM Unspecified Eastern Standard Time</t>
  </si>
  <si>
    <t>on 2/14/25, 1:00 AM Before Market Eastern Standard Time</t>
  </si>
  <si>
    <t>on 2/14/25, 1:00 AM Unspecified Eastern Standard Time</t>
  </si>
  <si>
    <t>on 2/14/25, 5:00 AM Before Market Eastern Standard Time</t>
  </si>
  <si>
    <t>on 2/14/25, 6:00 AM Before Market Eastern Standard Time</t>
  </si>
  <si>
    <t>on 2/14/25, 6:15 AM Before Market Eastern Standard Time</t>
  </si>
  <si>
    <t>on 2/14/25, 6:28 AM Before Market Eastern Standard Time</t>
  </si>
  <si>
    <t>on 2/14/25, 6:30 AM Before Market Eastern Standard Time</t>
  </si>
  <si>
    <t>on 2/14/25, 6:55 AM Before Market Eastern Standard Time</t>
  </si>
  <si>
    <t>on 2/14/25, 7:00 AM Before Market Eastern Standard Time</t>
  </si>
  <si>
    <t>on 2/14/25, 8:00 AM Before Market Eastern Standard Time</t>
  </si>
  <si>
    <t>on 2/14/25, 8:05 AM Before Market Eastern Standard Time</t>
  </si>
  <si>
    <t>on 2/14/25, 8:07 AM Before Market Eastern Standard Time</t>
  </si>
  <si>
    <t>on 2/14/25, 8:30 AM Before Market Eastern Standard Time</t>
  </si>
  <si>
    <t>on 2/14/25, 12:28 PM During Market Eastern Standard Time</t>
  </si>
  <si>
    <t>on 2/14/25, 2:45 PM During Market Eastern Standard Time</t>
  </si>
  <si>
    <t>on 2/14/25, 4:00 PM After Market Eastern Standard Time</t>
  </si>
  <si>
    <t>on 2/14/25, 4:01 PM After Market Eastern Standard Time</t>
  </si>
  <si>
    <t>on 2/14/25, 4:05 PM After Market Eastern Standard Time</t>
  </si>
  <si>
    <t>on 2/14/25, 4:25 PM After Market Eastern Standard Time</t>
  </si>
  <si>
    <t>on 2/14/25, 4:30 PM After Market Eastern Standard Time</t>
  </si>
  <si>
    <t>on 2/14/25, 6:54 PM After Market Eastern Standard Time</t>
  </si>
  <si>
    <t>on 2/17/25, 1:00 AM Unspecified Eastern Standard Time</t>
  </si>
  <si>
    <t>on 2/17/25, 3:45 PM During Market Eastern Standard Time</t>
  </si>
  <si>
    <t>on 2/17/25, 4:05 PM After Market Eastern Standard Time</t>
  </si>
  <si>
    <t>on 2/17/25, 4:15 PM After Market Eastern Standard Time</t>
  </si>
  <si>
    <t>on 2/17/25, 4:30 PM After Market Eastern Standard Time</t>
  </si>
  <si>
    <t>on 2/17/25, 4:34 PM After Market Eastern Standard Time</t>
  </si>
  <si>
    <t>on 2/17/25, 4:43 PM After Market Eastern Standard Time</t>
  </si>
  <si>
    <t>on 2/17/25, 6:00 PM After Market Eastern Standard Time</t>
  </si>
  <si>
    <t>on 2/18/25, 1:00 AM Unspecified Eastern Standard Time</t>
  </si>
  <si>
    <t>on 2/18/25, 1:00 AM Before Market Eastern Standard Time</t>
  </si>
  <si>
    <t>on 2/18/25, 2:00 AM Before Market Eastern Standard Time</t>
  </si>
  <si>
    <t>on 2/18/25, 4:00 AM Before Market Eastern Standard Time</t>
  </si>
  <si>
    <t>on 2/18/25, 5:00 AM Before Market Eastern Standard Time</t>
  </si>
  <si>
    <t>on 2/18/25, 5:51 AM Before Market Eastern Standard Time</t>
  </si>
  <si>
    <t>on 2/18/25, 6:00 AM Before Market Eastern Standard Time</t>
  </si>
  <si>
    <t>on 2/18/25, 6:30 AM Before Market Eastern Standard Time</t>
  </si>
  <si>
    <t>on 2/18/25, 6:45 AM Before Market Eastern Standard Time</t>
  </si>
  <si>
    <t>on 2/18/25, 6:50 AM Before Market Eastern Standard Time</t>
  </si>
  <si>
    <t>on 2/18/25, 6:54 AM Before Market Eastern Standard Time</t>
  </si>
  <si>
    <t>on 2/18/25, 6:55 AM Before Market Eastern Standard Time</t>
  </si>
  <si>
    <t>on 2/18/25, 6:59 AM Before Market Eastern Standard Time</t>
  </si>
  <si>
    <t>on 2/18/25, 7:00 AM Before Market Eastern Standard Time</t>
  </si>
  <si>
    <t>on 2/18/25, 7:05 AM Before Market Eastern Standard Time</t>
  </si>
  <si>
    <t>on 2/18/25, 7:30 AM Before Market Eastern Standard Time</t>
  </si>
  <si>
    <t>on 2/18/25, 7:37 AM Before Market Eastern Standard Time</t>
  </si>
  <si>
    <t>on 2/18/25, 8:00 AM Before Market Eastern Standard Time</t>
  </si>
  <si>
    <t>on 2/18/25, 8:30 AM Before Market Eastern Standard Time</t>
  </si>
  <si>
    <t>on 2/18/25, 4:00 PM After Market Eastern Standard Time</t>
  </si>
  <si>
    <t>on 2/18/25, 4:01 PM After Market Eastern Standard Time</t>
  </si>
  <si>
    <t>on 2/18/25, 4:02 PM After Market Eastern Standard Time</t>
  </si>
  <si>
    <t>on 2/18/25, 4:05 PM After Market Eastern Standard Time</t>
  </si>
  <si>
    <t>on 2/18/25, 4:10 PM After Market Eastern Standard Time</t>
  </si>
  <si>
    <t>on 2/18/25, 4:15 PM After Market Eastern Standard Time</t>
  </si>
  <si>
    <t>on 2/18/25, 4:18 PM After Market Eastern Standard Time</t>
  </si>
  <si>
    <t>on 2/18/25, 4:20 PM After Market Eastern Standard Time</t>
  </si>
  <si>
    <t>on 2/18/25, 4:22 PM After Market Eastern Standard Time</t>
  </si>
  <si>
    <t>on 2/18/25, 4:23 PM After Market Eastern Standard Time</t>
  </si>
  <si>
    <t>on 2/18/25, 4:25 PM After Market Eastern Standard Time</t>
  </si>
  <si>
    <t>on 2/18/25, 4:30 PM After Market Eastern Standard Time</t>
  </si>
  <si>
    <t>on 2/18/25, 4:37 PM After Market Eastern Standard Time</t>
  </si>
  <si>
    <t>on 2/18/25, 4:45 PM After Market Eastern Standard Time</t>
  </si>
  <si>
    <t>on 2/18/25, 4:58 PM After Market Eastern Standard Time</t>
  </si>
  <si>
    <t>on 2/18/25, 4:59 PM After Market Eastern Standard Time</t>
  </si>
  <si>
    <t>on 2/18/25, 5:00 PM After Market Eastern Standard Time</t>
  </si>
  <si>
    <t>on 2/18/25, 5:02 PM After Market Eastern Standard Time</t>
  </si>
  <si>
    <t>on 2/18/25, 5:05 PM After Market Eastern Standard Time</t>
  </si>
  <si>
    <t>on 2/18/25, 5:11 PM After Market Eastern Standard Time</t>
  </si>
  <si>
    <t>UGRO</t>
  </si>
  <si>
    <t>on 2/18/25, 5:27 PM After Market Eastern Standard Time</t>
  </si>
  <si>
    <t>on 2/18/25, 5:29 PM After Market Eastern Standard Time</t>
  </si>
  <si>
    <t>on 2/18/25, 9:02 PM After Market Eastern Standard Time</t>
  </si>
  <si>
    <t>on 2/19/25, 1:00 AM Before Market Eastern Standard Time</t>
  </si>
  <si>
    <t>on 2/19/25, 1:00 AM Unspecified Eastern Standard Time</t>
  </si>
  <si>
    <t>on 2/19/25, 1:00 AM After Market Eastern Standard Time</t>
  </si>
  <si>
    <t>on 2/19/25, 6:00 AM Before Market Eastern Standard Time</t>
  </si>
  <si>
    <t>on 2/19/25, 6:01 AM Before Market Eastern Standard Time</t>
  </si>
  <si>
    <t>on 2/19/25, 6:30 AM Before Market Eastern Standard Time</t>
  </si>
  <si>
    <t>on 2/19/25, 6:45 AM Before Market Eastern Standard Time</t>
  </si>
  <si>
    <t>on 2/19/25, 6:47 AM Before Market Eastern Standard Time</t>
  </si>
  <si>
    <t>on 2/19/25, 6:55 AM Before Market Eastern Standard Time</t>
  </si>
  <si>
    <t>on 2/19/25, 6:58 AM Before Market Eastern Standard Time</t>
  </si>
  <si>
    <t>on 2/19/25, 7:00 AM Before Market Eastern Standard Time</t>
  </si>
  <si>
    <t>on 2/19/25, 7:01 AM Before Market Eastern Standard Time</t>
  </si>
  <si>
    <t>on 2/19/25, 7:05 AM Before Market Eastern Standard Time</t>
  </si>
  <si>
    <t>on 2/19/25, 7:30 AM Before Market Eastern Standard Time</t>
  </si>
  <si>
    <t>on 2/19/25, 8:00 AM Before Market Eastern Standard Time</t>
  </si>
  <si>
    <t>on 2/19/25, 8:30 AM Before Market Eastern Standard Time</t>
  </si>
  <si>
    <t>on 2/19/25, 9:00 AM Before Market Eastern Standard Time</t>
  </si>
  <si>
    <t>on 2/19/25, 10:32 AM During Market Eastern Standard Time</t>
  </si>
  <si>
    <t>on 2/19/25, 4:00 PM After Market Eastern Standard Time</t>
  </si>
  <si>
    <t>on 2/19/25, 4:01 PM After Market Eastern Standard Time</t>
  </si>
  <si>
    <t>on 2/19/25, 4:03 PM After Market Eastern Standard Time</t>
  </si>
  <si>
    <t>on 2/19/25, 4:04 PM After Market Eastern Standard Time</t>
  </si>
  <si>
    <t>on 2/19/25, 4:05 PM After Market Eastern Standard Time</t>
  </si>
  <si>
    <t>on 2/19/25, 4:05 PM Before Market Eastern Standard Time</t>
  </si>
  <si>
    <t>on 2/19/25, 4:08 PM After Market Eastern Standard Time</t>
  </si>
  <si>
    <t>on 2/19/25, 4:10 PM After Market Eastern Standard Time</t>
  </si>
  <si>
    <t>on 2/19/25, 4:15 PM After Market Eastern Standard Time</t>
  </si>
  <si>
    <t>on 2/19/25, 4:24 PM After Market Eastern Standard Time</t>
  </si>
  <si>
    <t>on 2/19/25, 4:25 PM After Market Eastern Standard Time</t>
  </si>
  <si>
    <t>on 2/19/25, 4:29 PM After Market Eastern Standard Time</t>
  </si>
  <si>
    <t>on 2/19/25, 4:30 PM After Market Eastern Standard Time</t>
  </si>
  <si>
    <t>on 2/19/25, 4:31 PM After Market Eastern Standard Time</t>
  </si>
  <si>
    <t>on 2/19/25, 4:32 PM After Market Eastern Standard Time</t>
  </si>
  <si>
    <t>on 2/19/25, 4:37 PM After Market Eastern Standard Time</t>
  </si>
  <si>
    <t>on 2/19/25, 4:40 PM After Market Eastern Standard Time</t>
  </si>
  <si>
    <t>on 2/19/25, 4:45 PM After Market Eastern Standard Time</t>
  </si>
  <si>
    <t>on 2/19/25, 4:46 PM After Market Eastern Standard Time</t>
  </si>
  <si>
    <t>on 2/19/25, 4:55 PM After Market Eastern Standard Time</t>
  </si>
  <si>
    <t>on 2/19/25, 5:00 PM After Market Eastern Standard Time</t>
  </si>
  <si>
    <t>on 2/19/25, 5:01 PM After Market Eastern Standard Time</t>
  </si>
  <si>
    <t>on 2/19/25, 5:02 PM After Market Eastern Standard Time</t>
  </si>
  <si>
    <t>on 2/19/25, 5:05 PM After Market Eastern Standard Time</t>
  </si>
  <si>
    <t>on 2/19/25, 5:15 PM After Market Eastern Standard Time</t>
  </si>
  <si>
    <t>on 2/19/25, 5:19 PM After Market Eastern Standard Time</t>
  </si>
  <si>
    <t>on 2/19/25, 5:24 PM After Market Eastern Standard Time</t>
  </si>
  <si>
    <t>on 2/19/25, 5:30 PM After Market Eastern Standard Time</t>
  </si>
  <si>
    <t>on 2/19/25, 6:00 PM After Market Eastern Standard Time</t>
  </si>
  <si>
    <t>on 2/19/25, 8:15 PM After Market Eastern Standard Time</t>
  </si>
  <si>
    <t>on 2/19/25, 9:16 PM After Market Eastern Standard Time</t>
  </si>
  <si>
    <t>on 2/20/25, 1:00 AM Before Market Eastern Standard Time</t>
  </si>
  <si>
    <t>on 2/20/25, 1:00 AM Unspecified Eastern Standard Time</t>
  </si>
  <si>
    <t>on 2/20/25, 1:01 AM Before Market Eastern Standard Time</t>
  </si>
  <si>
    <t>on 2/20/25, 1:26 AM Before Market Eastern Standard Time</t>
  </si>
  <si>
    <t>on 2/20/25, 3:30 AM Before Market Eastern Standard Time</t>
  </si>
  <si>
    <t>on 2/20/25, 4:30 AM Before Market Eastern Standard Time</t>
  </si>
  <si>
    <t>on 2/20/25, 4:35 AM Before Market Eastern Standard Time</t>
  </si>
  <si>
    <t>on 2/20/25, 5:00 AM Before Market Eastern Standard Time</t>
  </si>
  <si>
    <t>on 2/20/25, 5:20 AM Before Market Eastern Standard Time</t>
  </si>
  <si>
    <t>on 2/20/25, 5:30 AM Before Market Eastern Standard Time</t>
  </si>
  <si>
    <t>on 2/20/25, 5:36 AM Before Market Eastern Standard Time</t>
  </si>
  <si>
    <t>on 2/20/25, 6:00 AM Before Market Eastern Standard Time</t>
  </si>
  <si>
    <t>on 2/20/25, 6:16 AM Before Market Eastern Standard Time</t>
  </si>
  <si>
    <t>on 2/20/25, 6:25 AM Before Market Eastern Standard Time</t>
  </si>
  <si>
    <t>on 2/20/25, 6:30 AM Before Market Eastern Standard Time</t>
  </si>
  <si>
    <t>SGI</t>
  </si>
  <si>
    <t>on 2/20/25, 6:36 AM Before Market Eastern Standard Time</t>
  </si>
  <si>
    <t>on 2/20/25, 6:45 AM Before Market Eastern Standard Time</t>
  </si>
  <si>
    <t>on 2/20/25, 6:50 AM Before Market Eastern Standard Time</t>
  </si>
  <si>
    <t>on 2/20/25, 6:53 AM Before Market Eastern Standard Time</t>
  </si>
  <si>
    <t>on 2/20/25, 6:55 AM Before Market Eastern Standard Time</t>
  </si>
  <si>
    <t>on 2/20/25, 6:59 AM Before Market Eastern Standard Time</t>
  </si>
  <si>
    <t>on 2/20/25, 7:00 AM Before Market Eastern Standard Time</t>
  </si>
  <si>
    <t>on 2/20/25, 7:04 AM Before Market Eastern Standard Time</t>
  </si>
  <si>
    <t>on 2/20/25, 7:15 AM Before Market Eastern Standard Time</t>
  </si>
  <si>
    <t>on 2/20/25, 7:18 AM Before Market Eastern Standard Time</t>
  </si>
  <si>
    <t>on 2/20/25, 7:30 AM Before Market Eastern Standard Time</t>
  </si>
  <si>
    <t>on 2/20/25, 7:31 AM Before Market Eastern Standard Time</t>
  </si>
  <si>
    <t>on 2/20/25, 7:55 AM Before Market Eastern Standard Time</t>
  </si>
  <si>
    <t>on 2/20/25, 8:00 AM Before Market Eastern Standard Time</t>
  </si>
  <si>
    <t>on 2/20/25, 8:05 AM Before Market Eastern Standard Time</t>
  </si>
  <si>
    <t>on 2/20/25, 8:15 AM Before Market Eastern Standard Time</t>
  </si>
  <si>
    <t>on 2/20/25, 8:30 AM Before Market Eastern Standard Time</t>
  </si>
  <si>
    <t>on 2/20/25, 8:35 AM Before Market Eastern Standard Time</t>
  </si>
  <si>
    <t>on 2/20/25, 4:00 PM After Market Eastern Standard Time</t>
  </si>
  <si>
    <t>on 2/20/25, 4:01 PM After Market Eastern Standard Time</t>
  </si>
  <si>
    <t>on 2/20/25, 4:02 PM After Market Eastern Standard Time</t>
  </si>
  <si>
    <t>on 2/20/25, 4:03 PM After Market Eastern Standard Time</t>
  </si>
  <si>
    <t>on 2/20/25, 4:04 PM After Market Eastern Standard Time</t>
  </si>
  <si>
    <t>on 2/20/25, 4:05 PM After Market Eastern Standard Time</t>
  </si>
  <si>
    <t>on 2/20/25, 4:07 PM After Market Eastern Standard Time</t>
  </si>
  <si>
    <t>on 2/20/25, 4:08 PM After Market Eastern Standard Time</t>
  </si>
  <si>
    <t>on 2/20/25, 4:10 PM After Market Eastern Standard Time</t>
  </si>
  <si>
    <t>on 2/20/25, 4:13 PM After Market Eastern Standard Time</t>
  </si>
  <si>
    <t>on 2/20/25, 4:15 PM After Market Eastern Standard Time</t>
  </si>
  <si>
    <t>on 2/20/25, 4:17 PM After Market Eastern Standard Time</t>
  </si>
  <si>
    <t>on 2/20/25, 4:25 PM After Market Eastern Standard Time</t>
  </si>
  <si>
    <t>on 2/20/25, 4:30 PM After Market Eastern Standard Time</t>
  </si>
  <si>
    <t>on 2/20/25, 4:34 PM After Market Eastern Standard Time</t>
  </si>
  <si>
    <t>on 2/20/25, 4:36 PM After Market Eastern Standard Time</t>
  </si>
  <si>
    <t>on 2/20/25, 4:41 PM After Market Eastern Standard Time</t>
  </si>
  <si>
    <t>on 2/20/25, 5:04 PM After Market Eastern Standard Time</t>
  </si>
  <si>
    <t>on 2/20/25, 5:07 PM After Market Eastern Standard Time</t>
  </si>
  <si>
    <t>on 2/20/25, 5:19 PM After Market Eastern Standard Time</t>
  </si>
  <si>
    <t>on 2/20/25, 5:22 PM After Market Eastern Standard Time</t>
  </si>
  <si>
    <t>on 2/20/25, 5:49 PM After Market Eastern Standard Time</t>
  </si>
  <si>
    <t>on 2/20/25, 6:00 PM After Market Eastern Standard Time</t>
  </si>
  <si>
    <t>on 2/20/25, 9:02 PM After Market Eastern Standard Time</t>
  </si>
  <si>
    <t>on 2/20/25, 9:28 PM After Market Eastern Standard Time</t>
  </si>
  <si>
    <t>on 2/21/25, 1:00 AM Unspecified Eastern Standard Time</t>
  </si>
  <si>
    <t>on 2/21/25, 5:00 AM Before Market Eastern Standard Time</t>
  </si>
  <si>
    <t>on 2/21/25, 6:30 AM Before Market Eastern Standard Time</t>
  </si>
  <si>
    <t>on 2/21/25, 6:41 AM Before Market Eastern Standard Time</t>
  </si>
  <si>
    <t>on 2/21/25, 7:00 AM Before Market Eastern Standard Time</t>
  </si>
  <si>
    <t>on 2/21/25, 7:30 AM Before Market Eastern Standard Time</t>
  </si>
  <si>
    <t>on 2/21/25, 7:31 AM Before Market Eastern Standard Time</t>
  </si>
  <si>
    <t>on 2/21/25, 8:00 AM Before Market Eastern Standard Time</t>
  </si>
  <si>
    <t>on 2/21/25, 8:15 AM Before Market Eastern Standard Time</t>
  </si>
  <si>
    <t>on 2/21/25, 8:23 AM Before Market Eastern Standard Time</t>
  </si>
  <si>
    <t>on 2/21/25, 9:00 AM Before Market Eastern Standard Time</t>
  </si>
  <si>
    <t>RILY</t>
  </si>
  <si>
    <t>on 2/21/25, 2:50 PM After Market Eastern Standard Time</t>
  </si>
  <si>
    <t>on 2/21/25, 4:05 PM After Market Eastern Standard Time</t>
  </si>
  <si>
    <t>on 2/21/25, 4:15 PM After Market Eastern Standard Time</t>
  </si>
  <si>
    <t>on 2/22/25, 1:00 AM Unspecified Eastern Standard Time</t>
  </si>
  <si>
    <t>on 2/24/25, 12:01 AM Before Market Eastern Standard Time</t>
  </si>
  <si>
    <t>on 2/24/25, 1:00 AM After Market Eastern Standard Time</t>
  </si>
  <si>
    <t>on 2/24/25, 1:00 AM Unspecified Eastern Standard Time</t>
  </si>
  <si>
    <t>on 2/24/25, 2:00 AM Before Market Eastern Standard Time</t>
  </si>
  <si>
    <t>on 2/24/25, 6:00 AM Before Market Eastern Standard Time</t>
  </si>
  <si>
    <t>on 2/24/25, 6:05 AM Before Market Eastern Standard Time</t>
  </si>
  <si>
    <t>on 2/24/25, 6:15 AM Before Market Eastern Standard Time</t>
  </si>
  <si>
    <t>on 2/24/25, 6:30 AM Before Market Eastern Standard Time</t>
  </si>
  <si>
    <t>on 2/24/25, 6:57 AM Before Market Eastern Standard Time</t>
  </si>
  <si>
    <t>on 2/24/25, 7:00 AM Before Market Eastern Standard Time</t>
  </si>
  <si>
    <t>on 2/24/25, 7:06 AM Before Market Eastern Standard Time</t>
  </si>
  <si>
    <t>on 2/24/25, 7:30 AM Before Market Eastern Standard Time</t>
  </si>
  <si>
    <t>on 2/24/25, 7:34 AM Before Market Eastern Standard Time</t>
  </si>
  <si>
    <t>on 2/24/25, 8:00 AM Before Market Eastern Standard Time</t>
  </si>
  <si>
    <t>on 2/24/25, 9:15 AM Before Market Eastern Standard Time</t>
  </si>
  <si>
    <t>on 2/24/25, 4:00 PM After Market Eastern Standard Time</t>
  </si>
  <si>
    <t>on 2/24/25, 4:01 PM After Market Eastern Standard Time</t>
  </si>
  <si>
    <t>on 2/24/25, 4:01 PM Unspecified Eastern Standard Time</t>
  </si>
  <si>
    <t>on 2/24/25, 4:03 PM After Market Eastern Standard Time</t>
  </si>
  <si>
    <t>on 2/24/25, 4:04 PM After Market Eastern Standard Time</t>
  </si>
  <si>
    <t>on 2/24/25, 4:05 PM After Market Eastern Standard Time</t>
  </si>
  <si>
    <t>on 2/24/25, 4:06 PM After Market Eastern Standard Time</t>
  </si>
  <si>
    <t>on 2/24/25, 4:08 PM After Market Eastern Standard Time</t>
  </si>
  <si>
    <t>on 2/24/25, 4:09 PM After Market Eastern Standard Time</t>
  </si>
  <si>
    <t>on 2/24/25, 4:10 PM After Market Eastern Standard Time</t>
  </si>
  <si>
    <t>on 2/24/25, 4:11 PM After Market Eastern Standard Time</t>
  </si>
  <si>
    <t>on 2/24/25, 4:15 PM After Market Eastern Standard Time</t>
  </si>
  <si>
    <t>on 2/24/25, 4:16 PM After Market Eastern Standard Time</t>
  </si>
  <si>
    <t>on 2/24/25, 4:20 PM After Market Eastern Standard Time</t>
  </si>
  <si>
    <t>on 2/24/25, 4:30 PM After Market Eastern Standard Time</t>
  </si>
  <si>
    <t>on 2/24/25, 4:35 PM After Market Eastern Standard Time</t>
  </si>
  <si>
    <t>on 2/24/25, 4:42 PM After Market Eastern Standard Time</t>
  </si>
  <si>
    <t>on 2/24/25, 4:45 PM After Market Eastern Standard Time</t>
  </si>
  <si>
    <t>on 2/24/25, 5:00 PM After Market Eastern Standard Time</t>
  </si>
  <si>
    <t>on 2/24/25, 5:02 PM After Market Eastern Standard Time</t>
  </si>
  <si>
    <t>on 2/24/25, 5:43 PM After Market Eastern Standard Time</t>
  </si>
  <si>
    <t>on 2/24/25, 6:00 PM After Market Eastern Standard Time</t>
  </si>
  <si>
    <t>on 2/24/25, 6:01 PM After Market Eastern Standard Time</t>
  </si>
  <si>
    <t>on 2/24/25, 6:05 PM After Market Eastern Standard Time</t>
  </si>
  <si>
    <t>on 2/24/25, 6:06 PM After Market Eastern Standard Time</t>
  </si>
  <si>
    <t>QVCGB</t>
  </si>
  <si>
    <t>QVCGA</t>
  </si>
  <si>
    <t>VG</t>
  </si>
  <si>
    <t>on 3/10/25 Unspecified Eastern Standard Time</t>
  </si>
  <si>
    <t>NDOI</t>
  </si>
  <si>
    <t>HMR</t>
  </si>
  <si>
    <t>on 4/9/25 Unspecified Eastern Standard Time</t>
  </si>
  <si>
    <t>SPWH</t>
  </si>
  <si>
    <t>on 4/9/25 After Market Eastern Standard Time</t>
  </si>
  <si>
    <t>LAKE</t>
  </si>
  <si>
    <t>CYTO</t>
  </si>
  <si>
    <t>on 4/10/25 Unspecified Eastern Standard Time</t>
  </si>
  <si>
    <t>CYTOF</t>
  </si>
  <si>
    <t>on 4/10/25 After Market Eastern Standard Time</t>
  </si>
  <si>
    <t>SPY</t>
  </si>
  <si>
    <t>Not SPY</t>
  </si>
  <si>
    <t>Expectancy</t>
  </si>
  <si>
    <t>In
SPY?</t>
  </si>
  <si>
    <t>Delete for sure, paramount.  In merger talks, trump lawsuit.</t>
  </si>
  <si>
    <t>Just really thin and doesn't have much after hours at all, also won't really move the needle one way of the other, Smuckers.</t>
  </si>
  <si>
    <t>on 1/2/25, 4:05 PM After Market Eastern Standard Time</t>
  </si>
  <si>
    <t>on 1/2/25, 4:10 PM After Market Eastern Standard Time</t>
  </si>
  <si>
    <t>on 1/3/25, 8:00 AM Before Market Eastern Standard Time</t>
  </si>
  <si>
    <t>on 1/6/25, 1:06 PM During Market Eastern Standard Time</t>
  </si>
  <si>
    <t>on 1/7/25, 6:30 AM Before Market Eastern Standard Time</t>
  </si>
  <si>
    <t>on 1/7/25, 6:45 AM Before Market Eastern Standard Time</t>
  </si>
  <si>
    <t>on 1/7/25, 4:05 PM After Market Eastern Standard Time</t>
  </si>
  <si>
    <t>on 1/7/25, 4:06 PM After Market Eastern Standard Time</t>
  </si>
  <si>
    <t>on 1/7/25, 4:15 PM After Market Eastern Standard Time</t>
  </si>
  <si>
    <t>on 1/7/25, 4:30 PM After Market Eastern Standard Time</t>
  </si>
  <si>
    <t>on 1/8/25, 6:00 AM Before Market Eastern Standard Time</t>
  </si>
  <si>
    <t>on 1/8/25, 6:30 AM Before Market Eastern Standard Time</t>
  </si>
  <si>
    <t>on 1/8/25, 6:45 AM Before Market Eastern Standard Time</t>
  </si>
  <si>
    <t>on 1/8/25, 7:00 AM Before Market Eastern Standard Time</t>
  </si>
  <si>
    <t>ACI</t>
  </si>
  <si>
    <t>on 1/8/25, 7:30 AM Before Market Eastern Standard Time</t>
  </si>
  <si>
    <t>on 1/8/25, 8:00 AM Before Market Eastern Standard Time</t>
  </si>
  <si>
    <t>on 1/8/25, 4:00 PM After Market Eastern Standard Time</t>
  </si>
  <si>
    <t>on 1/8/25, 4:01 PM After Market Eastern Standard Time</t>
  </si>
  <si>
    <t>on 1/8/25, 4:04 PM After Market Eastern Standard Time</t>
  </si>
  <si>
    <t>SAR</t>
  </si>
  <si>
    <t>on 1/8/25, 4:05 PM After Market Eastern Standard Time</t>
  </si>
  <si>
    <t>on 1/8/25, 4:15 PM After Market Eastern Standard Time</t>
  </si>
  <si>
    <t>on 1/8/25, 5:00 PM After Market Eastern Standard Time</t>
  </si>
  <si>
    <t>on 1/8/25, 5:05 PM After Market Eastern Standard Time</t>
  </si>
  <si>
    <t>on 1/9/25, 1:00 AM Unspecified Eastern Standard Time</t>
  </si>
  <si>
    <t>on 1/9/25, 9:00 AM Unspecified Eastern Standard Time</t>
  </si>
  <si>
    <t>on 1/10/25, 6:30 AM Before Market Eastern Standard Time</t>
  </si>
  <si>
    <t>on 1/10/25, 7:00 AM Before Market Eastern Standard Time</t>
  </si>
  <si>
    <t>on 1/10/25, 7:30 AM Before Market Eastern Standard Time</t>
  </si>
  <si>
    <t>on 1/10/25, 7:45 AM Before Market Eastern Standard Time</t>
  </si>
  <si>
    <t>on 1/10/25, 8:00 AM Before Market Eastern Standard Time</t>
  </si>
  <si>
    <t>on 1/10/25, 8:05 AM Before Market Eastern Standard Time</t>
  </si>
  <si>
    <t>on 1/10/25, 9:30 AM Unspecified Eastern Standard Time</t>
  </si>
  <si>
    <t>on 1/10/25, 4:05 PM After Market Eastern Standard Time</t>
  </si>
  <si>
    <t>on 1/10/25, 5:18 PM After Market Eastern Standard Time</t>
  </si>
  <si>
    <t>SOTK</t>
  </si>
  <si>
    <t>on 1/13/25, 7:00 AM Before Market Eastern Standard Time</t>
  </si>
  <si>
    <t>on 1/13/25, 7:01 AM Before Market Eastern Standard Time</t>
  </si>
  <si>
    <t>on 1/13/25, 4:05 PM After Market Eastern Standard Time</t>
  </si>
  <si>
    <t>on 1/13/25, 4:10 PM After Market Eastern Standard Time</t>
  </si>
  <si>
    <t>on 1/13/25, 4:16 PM After Market Eastern Standard Time</t>
  </si>
  <si>
    <t>on 1/13/25, 4:37 PM After Market Eastern Standard Time</t>
  </si>
  <si>
    <t>RMCF</t>
  </si>
  <si>
    <t>on 1/14/25, 4:05 PM After Market Eastern Standard Time</t>
  </si>
  <si>
    <t>on 1/14/25, 4:10 PM After Market Eastern Standard Time</t>
  </si>
  <si>
    <t>on 1/14/25, 4:16 PM After Market Eastern Standard Time</t>
  </si>
  <si>
    <t>KARO</t>
  </si>
  <si>
    <t>on 1/14/25, 4:22 PM After Market Eastern Standard Time</t>
  </si>
  <si>
    <t>on 1/14/25, 4:44 PM After Market Eastern Standard Time</t>
  </si>
  <si>
    <t>FNGR</t>
  </si>
  <si>
    <t>on 1/14/25, 4:49 PM After Market Eastern Standard Time</t>
  </si>
  <si>
    <t>CYDY</t>
  </si>
  <si>
    <t>on 1/14/25 After Market Eastern Standard Time</t>
  </si>
  <si>
    <t>PLG</t>
  </si>
  <si>
    <t>on 1/14/25, 5:00 PM After Market Eastern Standard Time</t>
  </si>
  <si>
    <t>on 1/14/25, 5:05 PM After Market Eastern Standard Time</t>
  </si>
  <si>
    <t>LOOP</t>
  </si>
  <si>
    <t>on 1/14/25, 5:40 PM After Market Eastern Standard Time</t>
  </si>
  <si>
    <t>on 1/14/25, 7:55 PM After Market Eastern Standard Time</t>
  </si>
  <si>
    <t>on 1/15/25, 1:00 AM Before Market Eastern Standard Time</t>
  </si>
  <si>
    <t>on 1/15/25, 5:59 AM Before Market Eastern Standard Time</t>
  </si>
  <si>
    <t>on 1/15/25, 6:00 AM Before Market Eastern Standard Time</t>
  </si>
  <si>
    <t>on 1/15/25, 6:01 AM Before Market Eastern Standard Time</t>
  </si>
  <si>
    <t>on 1/15/25, 8:15 AM Before Market Eastern Standard Time</t>
  </si>
  <si>
    <t>on 1/15/25, 9:00 AM Unspecified Eastern Standard Time</t>
  </si>
  <si>
    <t>UNB</t>
  </si>
  <si>
    <t>on 1/15/25, 3:16 PM During Market Eastern Standard Time</t>
  </si>
  <si>
    <t>on 1/15/25, 4:05 PM After Market Eastern Standard Time</t>
  </si>
  <si>
    <t>on 1/15/25, 4:15 PM After Market Eastern Standard Time</t>
  </si>
  <si>
    <t>on 1/15/25, 5:06 PM After Market Eastern Standard Time</t>
  </si>
  <si>
    <t>on 1/16/25, 1:00 AM Before Market Eastern Standard Time</t>
  </si>
  <si>
    <t>INFY</t>
  </si>
  <si>
    <t>TSM</t>
  </si>
  <si>
    <t>on 1/16/25, 5:30 AM Before Market Eastern Standard Time</t>
  </si>
  <si>
    <t>on 1/16/25, 5:55 AM Before Market Eastern Standard Time</t>
  </si>
  <si>
    <t>on 1/16/25, 6:28 AM Before Market Eastern Standard Time</t>
  </si>
  <si>
    <t>on 1/16/25, 6:30 AM Before Market Eastern Standard Time</t>
  </si>
  <si>
    <t>on 1/16/25, 6:45 AM Before Market Eastern Standard Time</t>
  </si>
  <si>
    <t>on 1/16/25, 8:00 AM Before Market Eastern Standard Time</t>
  </si>
  <si>
    <t>on 1/16/25, 11:04 AM During Market Eastern Standard Time</t>
  </si>
  <si>
    <t>on 1/16/25, 4:01 PM After Market Eastern Standard Time</t>
  </si>
  <si>
    <t>on 1/16/25, 4:02 PM After Market Eastern Standard Time</t>
  </si>
  <si>
    <t>on 1/16/25, 4:05 PM After Market Eastern Standard Time</t>
  </si>
  <si>
    <t>on 1/16/25, 4:10 PM After Market Eastern Standard Time</t>
  </si>
  <si>
    <t>on 1/16/25, 5:15 PM After Market Eastern Standard Time</t>
  </si>
  <si>
    <t>WIT</t>
  </si>
  <si>
    <t>on 1/17/25, 1:00 AM Before Market Eastern Standard Time</t>
  </si>
  <si>
    <t>on 1/17/25, 6:00 AM Before Market Eastern Standard Time</t>
  </si>
  <si>
    <t>on 1/17/25, 6:20 AM Before Market Eastern Standard Time</t>
  </si>
  <si>
    <t>on 1/17/25, 6:50 AM Before Market Eastern Standard Time</t>
  </si>
  <si>
    <t>on 1/17/25, 7:00 AM Before Market Eastern Standard Time</t>
  </si>
  <si>
    <t>on 1/17/25, 7:30 AM Before Market Eastern Standard Time</t>
  </si>
  <si>
    <t>SIFY</t>
  </si>
  <si>
    <t>on 1/17/25, 7:34 AM Before Market Eastern Standard Time</t>
  </si>
  <si>
    <t>on 1/17/25, 4:01 PM After Market Eastern Standard Time</t>
  </si>
  <si>
    <t>BOKF</t>
  </si>
  <si>
    <t>on 1/17/25, 4:03 PM After Market Eastern Standard Time</t>
  </si>
  <si>
    <t>EDU</t>
  </si>
  <si>
    <t>on 1/21/25, 4:18 AM Before Market Eastern Standard Time</t>
  </si>
  <si>
    <t>on 1/21/25, 5:05 AM Before Market Eastern Standard Time</t>
  </si>
  <si>
    <t>on 1/21/25, 6:00 AM Before Market Eastern Standard Time</t>
  </si>
  <si>
    <t>UMC</t>
  </si>
  <si>
    <t>on 1/21/25, 6:03 AM Before Market Eastern Standard Time</t>
  </si>
  <si>
    <t>on 1/21/25, 6:15 AM Before Market Eastern Standard Time</t>
  </si>
  <si>
    <t>on 1/21/25, 6:30 AM Before Market Eastern Standard Time</t>
  </si>
  <si>
    <t>on 1/21/25, 6:45 AM Before Market Eastern Standard Time</t>
  </si>
  <si>
    <t>on 1/21/25, 7:00 AM Before Market Eastern Standard Time</t>
  </si>
  <si>
    <t>on 1/21/25, 7:30 AM Before Market Eastern Standard Time</t>
  </si>
  <si>
    <t>on 1/21/25, 8:00 AM Before Market Eastern Standard Time</t>
  </si>
  <si>
    <t>ASRV</t>
  </si>
  <si>
    <t>on 1/21/25, 9:30 AM During Market Eastern Standard Time</t>
  </si>
  <si>
    <t>on 1/21/25, 4:00 PM After Market Eastern Standard Time</t>
  </si>
  <si>
    <t>on 1/21/25, 4:01 PM After Market Eastern Standard Time</t>
  </si>
  <si>
    <t>on 1/21/25, 4:02 PM After Market Eastern Standard Time</t>
  </si>
  <si>
    <t>on 1/21/25, 4:05 PM After Market Eastern Standard Time</t>
  </si>
  <si>
    <t>on 1/21/25, 4:10 PM After Market Eastern Standard Time</t>
  </si>
  <si>
    <t>on 1/21/25, 4:15 PM After Market Eastern Standard Time</t>
  </si>
  <si>
    <t>on 1/21/25, 4:24 PM After Market Eastern Standard Time</t>
  </si>
  <si>
    <t>on 1/21/25, 4:30 PM After Market Eastern Standard Time</t>
  </si>
  <si>
    <t>on 1/21/25, 4:55 PM After Market Eastern Standard Time</t>
  </si>
  <si>
    <t>on 1/21/25, 4:58 PM After Market Eastern Standard Time</t>
  </si>
  <si>
    <t>on 1/21/25, 5:00 PM After Market Eastern Standard Time</t>
  </si>
  <si>
    <t>on 1/21/25, 6:30 PM After Market Eastern Standard Time</t>
  </si>
  <si>
    <t>LPL</t>
  </si>
  <si>
    <t>on 1/22/25, 1:00 AM Unspecified Eastern Standard Time</t>
  </si>
  <si>
    <t>on 1/22/25, 1:00 AM After Market Eastern Standard Time</t>
  </si>
  <si>
    <t>HDB</t>
  </si>
  <si>
    <t>MMYT</t>
  </si>
  <si>
    <t>on 1/22/25, 1:00 AM Before Market Eastern Standard Time</t>
  </si>
  <si>
    <t>on 1/22/25, 6:00 AM Before Market Eastern Standard Time</t>
  </si>
  <si>
    <t>on 1/22/25, 6:20 AM Before Market Eastern Standard Time</t>
  </si>
  <si>
    <t>CMA</t>
  </si>
  <si>
    <t>on 1/22/25, 6:22 AM Before Market Eastern Standard Time</t>
  </si>
  <si>
    <t>on 1/22/25, 6:30 AM Before Market Eastern Standard Time</t>
  </si>
  <si>
    <t>on 1/22/25, 6:45 AM Before Market Eastern Standard Time</t>
  </si>
  <si>
    <t>on 1/22/25, 6:55 AM Before Market Eastern Standard Time</t>
  </si>
  <si>
    <t>on 1/22/25, 6:57 AM Before Market Eastern Standard Time</t>
  </si>
  <si>
    <t>on 1/22/25, 7:00 AM Before Market Eastern Standard Time</t>
  </si>
  <si>
    <t>on 1/22/25, 7:05 AM Before Market Eastern Standard Time</t>
  </si>
  <si>
    <t>on 1/22/25, 7:30 AM Before Market Eastern Standard Time</t>
  </si>
  <si>
    <t>on 1/22/25, 7:46 AM Before Market Eastern Standard Time</t>
  </si>
  <si>
    <t>on 1/22/25, 8:00 AM Before Market Eastern Standard Time</t>
  </si>
  <si>
    <t>FCCO</t>
  </si>
  <si>
    <t>on 1/22/25, 9:00 AM Before Market Eastern Standard Time</t>
  </si>
  <si>
    <t>on 1/22/25, 9:36 AM During Market Eastern Standard Time</t>
  </si>
  <si>
    <t>HARL</t>
  </si>
  <si>
    <t>on 1/22/25, 12:07 PM During Market Eastern Standard Time</t>
  </si>
  <si>
    <t>on 1/22/25, 4:00 PM After Market Eastern Standard Time</t>
  </si>
  <si>
    <t>on 1/22/25, 4:01 PM After Market Eastern Standard Time</t>
  </si>
  <si>
    <t>on 1/22/25, 4:05 PM After Market Eastern Standard Time</t>
  </si>
  <si>
    <t>on 1/22/25, 4:07 PM After Market Eastern Standard Time</t>
  </si>
  <si>
    <t>on 1/22/25, 4:10 PM After Market Eastern Standard Time</t>
  </si>
  <si>
    <t>on 1/22/25, 4:14 PM After Market Eastern Standard Time</t>
  </si>
  <si>
    <t>on 1/22/25, 4:15 PM After Market Eastern Standard Time</t>
  </si>
  <si>
    <t>on 1/22/25, 4:30 PM After Market Eastern Standard Time</t>
  </si>
  <si>
    <t>FMCB</t>
  </si>
  <si>
    <t>on 1/22/25, 4:35 PM After Market Eastern Standard Time</t>
  </si>
  <si>
    <t>on 1/22/25, 4:45 PM After Market Eastern Standard Time</t>
  </si>
  <si>
    <t>on 1/22/25, 4:52 PM After Market Eastern Standard Time</t>
  </si>
  <si>
    <t>on 1/22/25, 5:00 PM After Market Eastern Standard Time</t>
  </si>
  <si>
    <t>on 1/22/25, 5:01 PM After Market Eastern Standard Time</t>
  </si>
  <si>
    <t>on 1/22/25, 6:14 PM After Market Eastern Standard Time</t>
  </si>
  <si>
    <t>on 1/22/25, 6:15 PM After Market Eastern Standard Time</t>
  </si>
  <si>
    <t>on 1/22/25, 6:16 PM After Market Eastern Standard Time</t>
  </si>
  <si>
    <t>ALK</t>
  </si>
  <si>
    <t>on 1/22/25, 8:20 PM After Market Eastern Standard Time</t>
  </si>
  <si>
    <t>RDY</t>
  </si>
  <si>
    <t>on 1/23/25, 1:00 AM Unspecified Eastern Standard Time</t>
  </si>
  <si>
    <t>on 1/23/25, 1:00 AM Before Market Eastern Standard Time</t>
  </si>
  <si>
    <t>SDVKY</t>
  </si>
  <si>
    <t>NJDCY</t>
  </si>
  <si>
    <t>on 1/23/25, 2:30 AM Unspecified Eastern Standard Time</t>
  </si>
  <si>
    <t>CHT</t>
  </si>
  <si>
    <t>on 1/23/25, 3:18 AM Before Market Eastern Standard Time</t>
  </si>
  <si>
    <t>TAL</t>
  </si>
  <si>
    <t>on 1/23/25, 4:00 AM Before Market Eastern Standard Time</t>
  </si>
  <si>
    <t>on 1/23/25, 5:58 AM Before Market Eastern Standard Time</t>
  </si>
  <si>
    <t>on 1/23/25, 6:00 AM Before Market Eastern Standard Time</t>
  </si>
  <si>
    <t>on 1/23/25, 6:22 AM Before Market Eastern Standard Time</t>
  </si>
  <si>
    <t>on 1/23/25, 6:25 AM Before Market Eastern Standard Time</t>
  </si>
  <si>
    <t>on 1/23/25, 6:30 AM Before Market Eastern Standard Time</t>
  </si>
  <si>
    <t>on 1/23/25, 6:45 AM Before Market Eastern Standard Time</t>
  </si>
  <si>
    <t>on 1/23/25, 7:00 AM Before Market Eastern Standard Time</t>
  </si>
  <si>
    <t>on 1/23/25, 7:15 AM Before Market Eastern Standard Time</t>
  </si>
  <si>
    <t>on 1/23/25, 7:30 AM Before Market Eastern Standard Time</t>
  </si>
  <si>
    <t>on 1/23/25, 7:45 AM Before Market Eastern Standard Time</t>
  </si>
  <si>
    <t>on 1/23/25, 7:59 AM Before Market Eastern Standard Time</t>
  </si>
  <si>
    <t>on 1/23/25, 8:00 AM Before Market Eastern Standard Time</t>
  </si>
  <si>
    <t>on 1/23/25, 8:30 AM Before Market Eastern Standard Time</t>
  </si>
  <si>
    <t>on 1/23/25, 8:32 AM Before Market Eastern Standard Time</t>
  </si>
  <si>
    <t>on 1/23/25, 8:54 AM Before Market Eastern Standard Time</t>
  </si>
  <si>
    <t>on 1/23/25, 4:00 PM After Market Eastern Standard Time</t>
  </si>
  <si>
    <t>on 1/23/25, 4:01 PM After Market Eastern Standard Time</t>
  </si>
  <si>
    <t>on 1/23/25, 4:02 PM After Market Eastern Standard Time</t>
  </si>
  <si>
    <t>on 1/23/25, 4:05 PM After Market Eastern Standard Time</t>
  </si>
  <si>
    <t>FPH</t>
  </si>
  <si>
    <t>on 1/23/25, 4:10 PM After Market Eastern Standard Time</t>
  </si>
  <si>
    <t>on 1/23/25, 4:15 PM After Market Eastern Standard Time</t>
  </si>
  <si>
    <t>SBFG</t>
  </si>
  <si>
    <t>PVBC</t>
  </si>
  <si>
    <t>on 1/23/25, 4:17 PM After Market Eastern Standard Time</t>
  </si>
  <si>
    <t>on 1/23/25, 4:26 PM After Market Eastern Standard Time</t>
  </si>
  <si>
    <t>on 1/23/25, 4:30 PM After Market Eastern Standard Time</t>
  </si>
  <si>
    <t>OPBK</t>
  </si>
  <si>
    <t>on 1/23/25, 4:35 PM After Market Eastern Standard Time</t>
  </si>
  <si>
    <t>RMBI</t>
  </si>
  <si>
    <t>on 1/23/25, 4:45 PM After Market Eastern Standard Time</t>
  </si>
  <si>
    <t>on 1/23/25 After Market Eastern Standard Time</t>
  </si>
  <si>
    <t>on 1/23/25, 6:00 PM After Market Eastern Standard Time</t>
  </si>
  <si>
    <t>on 1/24/25, 1:00 AM Before Market Eastern Standard Time</t>
  </si>
  <si>
    <t>ERIC</t>
  </si>
  <si>
    <t>on 1/24/25, 6:25 AM Before Market Eastern Standard Time</t>
  </si>
  <si>
    <t>FCNCA</t>
  </si>
  <si>
    <t>on 1/24/25, 6:32 AM Before Market Eastern Standard Time</t>
  </si>
  <si>
    <t>on 1/24/25, 6:55 AM Before Market Eastern Standard Time</t>
  </si>
  <si>
    <t>on 1/24/25, 7:00 AM Before Market Eastern Standard Time</t>
  </si>
  <si>
    <t>on 1/24/25, 7:30 AM Before Market Eastern Standard Time</t>
  </si>
  <si>
    <t>on 1/24/25, 7:50 AM Before Market Eastern Standard Time</t>
  </si>
  <si>
    <t>MOG/A</t>
  </si>
  <si>
    <t>on 1/24/25, 7:55 AM Before Market Eastern Standard Time</t>
  </si>
  <si>
    <t>MOG/B</t>
  </si>
  <si>
    <t>on 1/24/25, 8:00 AM Before Market Eastern Standard Time</t>
  </si>
  <si>
    <t>MRBK</t>
  </si>
  <si>
    <t>on 1/24/25, 9:00 AM Before Market Eastern Standard Time</t>
  </si>
  <si>
    <t>GVDNY</t>
  </si>
  <si>
    <t>on 1/24/25 Before Market Eastern Standard Time</t>
  </si>
  <si>
    <t>LSBK</t>
  </si>
  <si>
    <t>on 1/24/25, 4:00 PM After Market Eastern Standard Time</t>
  </si>
  <si>
    <t>on 1/24/25, 4:01 PM After Market Eastern Standard Time</t>
  </si>
  <si>
    <t>on 1/24/25, 4:15 PM After Market Eastern Standard Time</t>
  </si>
  <si>
    <t>ZJYL</t>
  </si>
  <si>
    <t>on 1/24/25 After Market Eastern Standard Time</t>
  </si>
  <si>
    <t>on 1/24/25, 8:17 PM After Market Eastern Standard Time</t>
  </si>
  <si>
    <t>IBN</t>
  </si>
  <si>
    <t>on 1/25/25, 1:00 AM Unspecified Eastern Standard Time</t>
  </si>
  <si>
    <t>FANUY</t>
  </si>
  <si>
    <t>on 1/27/25, 1:00 AM Unspecified Eastern Standard Time</t>
  </si>
  <si>
    <t>RYAAY</t>
  </si>
  <si>
    <t>on 1/27/25, 1:00 AM Before Market Eastern Standard Time</t>
  </si>
  <si>
    <t>on 1/27/25, 6:31 AM Before Market Eastern Standard Time</t>
  </si>
  <si>
    <t>on 1/27/25, 6:45 AM Before Market Eastern Standard Time</t>
  </si>
  <si>
    <t>SOFI</t>
  </si>
  <si>
    <t>on 1/27/25, 7:00 AM Before Market Eastern Standard Time</t>
  </si>
  <si>
    <t>on 1/27/25, 7:30 AM Before Market Eastern Standard Time</t>
  </si>
  <si>
    <t>on 1/27/25, 8:00 AM Before Market Eastern Standard Time</t>
  </si>
  <si>
    <t>on 1/27/25, 8:01 AM Before Market Eastern Standard Time</t>
  </si>
  <si>
    <t>on 1/27/25, 8:30 AM Before Market Eastern Standard Time</t>
  </si>
  <si>
    <t>CZWI</t>
  </si>
  <si>
    <t>UBFO</t>
  </si>
  <si>
    <t>on 1/27/25, 4:00 PM After Market Eastern Standard Time</t>
  </si>
  <si>
    <t>AGNC</t>
  </si>
  <si>
    <t>on 1/27/25, 4:01 PM After Market Eastern Standard Time</t>
  </si>
  <si>
    <t>on 1/27/25, 4:04 PM After Market Eastern Standard Time</t>
  </si>
  <si>
    <t>on 1/27/25, 4:05 PM After Market Eastern Standard Time</t>
  </si>
  <si>
    <t>on 1/27/25, 4:06 PM After Market Eastern Standard Time</t>
  </si>
  <si>
    <t>on 1/27/25, 4:10 PM After Market Eastern Standard Time</t>
  </si>
  <si>
    <t>on 1/27/25, 4:14 PM After Market Eastern Standard Time</t>
  </si>
  <si>
    <t>on 1/27/25, 4:15 PM After Market Eastern Standard Time</t>
  </si>
  <si>
    <t>on 1/27/25, 4:23 PM After Market Eastern Standard Time</t>
  </si>
  <si>
    <t>on 1/27/25, 4:26 PM After Market Eastern Standard Time</t>
  </si>
  <si>
    <t>LNKB</t>
  </si>
  <si>
    <t>on 1/27/25, 4:30 PM After Market Eastern Standard Time</t>
  </si>
  <si>
    <t>on 1/27/25, 4:41 PM After Market Eastern Standard Time</t>
  </si>
  <si>
    <t>on 1/27/25, 4:51 PM After Market Eastern Standard Time</t>
  </si>
  <si>
    <t>on 1/27/25, 5:00 PM After Market Eastern Standard Time</t>
  </si>
  <si>
    <t>GDHG</t>
  </si>
  <si>
    <t>on 1/27/25 After Market Eastern Standard Time</t>
  </si>
  <si>
    <t>on 1/27/25, 5:10 PM After Market Eastern Standard Time</t>
  </si>
  <si>
    <t>on 1/27/25, 6:08 PM After Market Eastern Standard Time</t>
  </si>
  <si>
    <t>on 1/27/25, 6:30 PM After Market Eastern Standard Time</t>
  </si>
  <si>
    <t>on 1/27/25, 6:41 PM After Market Eastern Standard Time</t>
  </si>
  <si>
    <t>SAP</t>
  </si>
  <si>
    <t>on 1/28/25, 12:01 AM Unspecified Eastern Standard Time</t>
  </si>
  <si>
    <t>PDCC</t>
  </si>
  <si>
    <t>on 1/28/25, 1:00 AM Before Market Eastern Standard Time</t>
  </si>
  <si>
    <t>NEP</t>
  </si>
  <si>
    <t>on 1/28/25, 1:00 AM Unspecified Eastern Standard Time</t>
  </si>
  <si>
    <t>PROV</t>
  </si>
  <si>
    <t>on 1/28/25, 6:00 AM Before Market Eastern Standard Time</t>
  </si>
  <si>
    <t>on 1/28/25, 6:30 AM Before Market Eastern Standard Time</t>
  </si>
  <si>
    <t>on 1/28/25, 6:35 AM Before Market Eastern Standard Time</t>
  </si>
  <si>
    <t>on 1/28/25, 6:45 AM Before Market Eastern Standard Time</t>
  </si>
  <si>
    <t>on 1/28/25, 7:00 AM Before Market Eastern Standard Time</t>
  </si>
  <si>
    <t>BPOP</t>
  </si>
  <si>
    <t>on 1/28/25, 7:05 AM Before Market Eastern Standard Time</t>
  </si>
  <si>
    <t>on 1/28/25, 7:15 AM Before Market Eastern Standard Time</t>
  </si>
  <si>
    <t>on 1/28/25, 7:29 AM Before Market Eastern Standard Time</t>
  </si>
  <si>
    <t>on 1/28/25, 7:30 AM Before Market Eastern Standard Time</t>
  </si>
  <si>
    <t>on 1/28/25, 7:45 AM Before Market Eastern Standard Time</t>
  </si>
  <si>
    <t>on 1/28/25, 8:00 AM Before Market Eastern Standard Time</t>
  </si>
  <si>
    <t>on 1/28/25, 8:15 AM Before Market Eastern Standard Time</t>
  </si>
  <si>
    <t>on 1/28/25, 8:30 AM Before Market Eastern Standard Time</t>
  </si>
  <si>
    <t>on 1/28/25, 9:00 AM Before Market Eastern Standard Time</t>
  </si>
  <si>
    <t>LVMUY</t>
  </si>
  <si>
    <t>on 1/28/25 Unspecified Eastern Standard Time</t>
  </si>
  <si>
    <t>UTMD</t>
  </si>
  <si>
    <t>FFNW</t>
  </si>
  <si>
    <t>on 1/28/25, 9:10 AM Before Market Eastern Standard Time</t>
  </si>
  <si>
    <t>CFFI</t>
  </si>
  <si>
    <t>on 1/28/25, 2:00 PM During Market Eastern Standard Time</t>
  </si>
  <si>
    <t>on 1/28/25, 4:00 PM After Market Eastern Standard Time</t>
  </si>
  <si>
    <t>on 1/28/25, 4:01 PM After Market Eastern Standard Time</t>
  </si>
  <si>
    <t>on 1/28/25, 4:05 PM After Market Eastern Standard Time</t>
  </si>
  <si>
    <t>WNEB</t>
  </si>
  <si>
    <t>LOGI</t>
  </si>
  <si>
    <t>on 1/28/25, 4:06 PM After Market Eastern Standard Time</t>
  </si>
  <si>
    <t>on 1/28/25, 4:10 PM After Market Eastern Standard Time</t>
  </si>
  <si>
    <t>on 1/28/25, 4:12 PM After Market Eastern Standard Time</t>
  </si>
  <si>
    <t>on 1/28/25, 4:15 PM After Market Eastern Standard Time</t>
  </si>
  <si>
    <t>AKO/B</t>
  </si>
  <si>
    <t>on 1/28/25, 4:27 PM After Market Eastern Standard Time</t>
  </si>
  <si>
    <t>AKO/A</t>
  </si>
  <si>
    <t>on 1/28/25, 4:30 PM After Market Eastern Standard Time</t>
  </si>
  <si>
    <t>FRAF</t>
  </si>
  <si>
    <t>on 1/28/25, 4:31 PM After Market Eastern Standard Time</t>
  </si>
  <si>
    <t>on 1/28/25, 4:35 PM After Market Eastern Standard Time</t>
  </si>
  <si>
    <t>on 1/28/25, 5:00 PM After Market Eastern Standard Time</t>
  </si>
  <si>
    <t>TLIS</t>
  </si>
  <si>
    <t>on 1/28/25 After Market Eastern Standard Time</t>
  </si>
  <si>
    <t>on 1/28/25, 5:01 PM After Market Eastern Standard Time</t>
  </si>
  <si>
    <t>on 1/28/25, 5:05 PM After Market Eastern Standard Time</t>
  </si>
  <si>
    <t>on 1/28/25, 5:07 PM After Market Eastern Standard Time</t>
  </si>
  <si>
    <t>on 1/28/25, 5:15 PM After Market Eastern Standard Time</t>
  </si>
  <si>
    <t>ME</t>
  </si>
  <si>
    <t>CBNA</t>
  </si>
  <si>
    <t>on 1/28/25, 6:03 PM After Market Eastern Standard Time</t>
  </si>
  <si>
    <t>on 1/28/25, 6:10 PM After Market Eastern Standard Time</t>
  </si>
  <si>
    <t>on 1/28/25, 6:21 PM Unspecified Eastern Standard Time</t>
  </si>
  <si>
    <t>on 1/29/25, 1:00 AM Before Market Eastern Standard Time</t>
  </si>
  <si>
    <t>on 1/29/25, 1:00 AM After Market Eastern Standard Time</t>
  </si>
  <si>
    <t>AKZOY</t>
  </si>
  <si>
    <t>MKTAY</t>
  </si>
  <si>
    <t>on 1/29/25, 1:00 AM Unspecified Eastern Standard Time</t>
  </si>
  <si>
    <t>SMFG</t>
  </si>
  <si>
    <t>SHECY</t>
  </si>
  <si>
    <t>VLVLY</t>
  </si>
  <si>
    <t>on 1/29/25, 1:20 AM Before Market Eastern Standard Time</t>
  </si>
  <si>
    <t>on 1/29/25, 5:01 AM Before Market Eastern Standard Time</t>
  </si>
  <si>
    <t>on 1/29/25, 5:30 AM Before Market Eastern Standard Time</t>
  </si>
  <si>
    <t>on 1/29/25, 5:45 AM Before Market Eastern Standard Time</t>
  </si>
  <si>
    <t>on 1/29/25, 6:00 AM Before Market Eastern Standard Time</t>
  </si>
  <si>
    <t>on 1/29/25, 6:08 AM Before Market Eastern Standard Time</t>
  </si>
  <si>
    <t>on 1/29/25, 6:30 AM Before Market Eastern Standard Time</t>
  </si>
  <si>
    <t>GIB</t>
  </si>
  <si>
    <t>on 1/29/25, 6:35 AM Before Market Eastern Standard Time</t>
  </si>
  <si>
    <t>on 1/29/25, 6:45 AM Before Market Eastern Standard Time</t>
  </si>
  <si>
    <t>on 1/29/25, 6:53 AM Before Market Eastern Standard Time</t>
  </si>
  <si>
    <t>VFC</t>
  </si>
  <si>
    <t>on 1/29/25, 6:55 AM Before Market Eastern Standard Time</t>
  </si>
  <si>
    <t>on 1/29/25, 7:00 AM Before Market Eastern Standard Time</t>
  </si>
  <si>
    <t>VIRT</t>
  </si>
  <si>
    <t>TEVA</t>
  </si>
  <si>
    <t>on 1/29/25, 7:05 AM Before Market Eastern Standard Time</t>
  </si>
  <si>
    <t>on 1/29/25, 7:10 AM Before Market Eastern Standard Time</t>
  </si>
  <si>
    <t>on 1/29/25, 7:30 AM Before Market Eastern Standard Time</t>
  </si>
  <si>
    <t>HNVR</t>
  </si>
  <si>
    <t>on 1/29/25, 8:00 AM Before Market Eastern Standard Time</t>
  </si>
  <si>
    <t>HESM</t>
  </si>
  <si>
    <t>FLEX</t>
  </si>
  <si>
    <t>on 1/29/25, 8:05 AM Before Market Eastern Standard Time</t>
  </si>
  <si>
    <t>on 1/29/25, 8:15 AM Before Market Eastern Standard Time</t>
  </si>
  <si>
    <t>on 1/29/25, 8:34 AM Before Market Eastern Standard Time</t>
  </si>
  <si>
    <t>on 1/29/25, 9:00 AM Before Market Eastern Standard Time</t>
  </si>
  <si>
    <t>on 1/29/25, 9:15 AM Before Market Eastern Standard Time</t>
  </si>
  <si>
    <t>FNWB</t>
  </si>
  <si>
    <t>on 1/29/25, 11:20 AM Unspecified Eastern Standard Time</t>
  </si>
  <si>
    <t>PWOD</t>
  </si>
  <si>
    <t>on 1/29/25, 2:13 PM During Market Eastern Standard Time</t>
  </si>
  <si>
    <t>on 1/29/25, 3:23 PM During Market Eastern Standard Time</t>
  </si>
  <si>
    <t>on 1/29/25, 4:01 PM After Market Eastern Standard Time</t>
  </si>
  <si>
    <t>on 1/29/25, 4:05 PM After Market Eastern Standard Time</t>
  </si>
  <si>
    <t>RHI</t>
  </si>
  <si>
    <t>WOLF</t>
  </si>
  <si>
    <t>on 1/29/25, 4:07 PM After Market Eastern Standard Time</t>
  </si>
  <si>
    <t>on 1/29/25, 4:08 PM After Market Eastern Standard Time</t>
  </si>
  <si>
    <t>on 1/29/25, 4:09 PM After Market Eastern Standard Time</t>
  </si>
  <si>
    <t>on 1/29/25, 4:10 PM After Market Eastern Standard Time</t>
  </si>
  <si>
    <t>on 1/29/25, 4:11 PM After Market Eastern Standard Time</t>
  </si>
  <si>
    <t>on 1/29/25, 4:15 PM After Market Eastern Standard Time</t>
  </si>
  <si>
    <t>CP</t>
  </si>
  <si>
    <t>on 1/29/25, 4:18 PM After Market Eastern Standard Time</t>
  </si>
  <si>
    <t>on 1/29/25, 4:24 PM After Market Eastern Standard Time</t>
  </si>
  <si>
    <t>AXS</t>
  </si>
  <si>
    <t>on 1/29/25, 4:25 PM After Market Eastern Standard Time</t>
  </si>
  <si>
    <t>on 1/29/25, 4:27 PM After Market Eastern Standard Time</t>
  </si>
  <si>
    <t>on 1/29/25, 4:30 PM After Market Eastern Standard Time</t>
  </si>
  <si>
    <t>CLS</t>
  </si>
  <si>
    <t>ESSA</t>
  </si>
  <si>
    <t>on 1/29/25, 4:35 PM After Market Eastern Standard Time</t>
  </si>
  <si>
    <t>on 1/29/25, 4:38 PM After Market Eastern Standard Time</t>
  </si>
  <si>
    <t>on 1/29/25, 4:39 PM After Market Eastern Standard Time</t>
  </si>
  <si>
    <t>on 1/29/25, 4:45 PM After Market Eastern Standard Time</t>
  </si>
  <si>
    <t>on 1/29/25, 4:56 PM After Market Eastern Standard Time</t>
  </si>
  <si>
    <t>STBX</t>
  </si>
  <si>
    <t>on 1/29/25 After Market Eastern Standard Time</t>
  </si>
  <si>
    <t>on 1/29/25, 5:10 PM After Market Eastern Standard Time</t>
  </si>
  <si>
    <t>on 1/29/25, 5:15 PM After Market Eastern Standard Time</t>
  </si>
  <si>
    <t>MEOH</t>
  </si>
  <si>
    <t>on 1/29/25, 6:35 PM After Market Eastern Standard Time</t>
  </si>
  <si>
    <t>on 1/29/25, 7:04 PM After Market Eastern Standard Time</t>
  </si>
  <si>
    <t>FNRN</t>
  </si>
  <si>
    <t>on 1/29/25, 8:09 PM After Market Eastern Standard Time</t>
  </si>
  <si>
    <t>NRDBY</t>
  </si>
  <si>
    <t>on 1/30/25, 12:30 AM Before Market Eastern Standard Time</t>
  </si>
  <si>
    <t>on 1/30/25, 1:00 AM Before Market Eastern Standard Time</t>
  </si>
  <si>
    <t>CHGCY</t>
  </si>
  <si>
    <t>on 1/30/25, 1:00 AM Unspecified Eastern Standard Time</t>
  </si>
  <si>
    <t>STM</t>
  </si>
  <si>
    <t>SSNHZ</t>
  </si>
  <si>
    <t>DB</t>
  </si>
  <si>
    <t>BBVA</t>
  </si>
  <si>
    <t>SIRI</t>
  </si>
  <si>
    <t>CAJPY</t>
  </si>
  <si>
    <t>OLCLY</t>
  </si>
  <si>
    <t>NOK</t>
  </si>
  <si>
    <t>SNY</t>
  </si>
  <si>
    <t>on 1/30/25, 1:30 AM Before Market Eastern Standard Time</t>
  </si>
  <si>
    <t>TAK</t>
  </si>
  <si>
    <t>on 1/30/25, 1:35 AM Before Market Eastern Standard Time</t>
  </si>
  <si>
    <t>ELUXY</t>
  </si>
  <si>
    <t>on 1/30/25, 2:00 AM Before Market Eastern Standard Time</t>
  </si>
  <si>
    <t>SHEL</t>
  </si>
  <si>
    <t>on 1/30/25, 2:02 AM Before Market Eastern Standard Time</t>
  </si>
  <si>
    <t>CHKP</t>
  </si>
  <si>
    <t>on 1/30/25, 5:00 AM Before Market Eastern Standard Time</t>
  </si>
  <si>
    <t>on 1/30/25, 6:00 AM Before Market Eastern Standard Time</t>
  </si>
  <si>
    <t>on 1/30/25, 6:17 AM Before Market Eastern Standard Time</t>
  </si>
  <si>
    <t>LAZ</t>
  </si>
  <si>
    <t>on 1/30/25, 6:30 AM Before Market Eastern Standard Time</t>
  </si>
  <si>
    <t>on 1/30/25, 6:45 AM Before Market Eastern Standard Time</t>
  </si>
  <si>
    <t>MPX</t>
  </si>
  <si>
    <t>RPT</t>
  </si>
  <si>
    <t>on 1/30/25, 6:47 AM Before Market Eastern Standard Time</t>
  </si>
  <si>
    <t>on 1/30/25, 6:52 AM Before Market Eastern Standard Time</t>
  </si>
  <si>
    <t>on 1/30/25, 6:55 AM Before Market Eastern Standard Time</t>
  </si>
  <si>
    <t>on 1/30/25, 7:00 AM Before Market Eastern Standard Time</t>
  </si>
  <si>
    <t>RCI</t>
  </si>
  <si>
    <t>BIP</t>
  </si>
  <si>
    <t>MBLY</t>
  </si>
  <si>
    <t>on 1/30/25, 7:30 AM Before Market Eastern Standard Time</t>
  </si>
  <si>
    <t>on 1/30/25, 7:38 AM Before Market Eastern Standard Time</t>
  </si>
  <si>
    <t>SBT</t>
  </si>
  <si>
    <t>on 1/30/25, 7:56 AM Before Market Eastern Standard Time</t>
  </si>
  <si>
    <t>on 1/30/25, 8:00 AM Before Market Eastern Standard Time</t>
  </si>
  <si>
    <t>SILC</t>
  </si>
  <si>
    <t>on 1/30/25, 8:15 AM Before Market Eastern Standard Time</t>
  </si>
  <si>
    <t>on 1/30/25, 8:21 AM Before Market Eastern Standard Time</t>
  </si>
  <si>
    <t>on 1/30/25, 8:30 AM Before Market Eastern Standard Time</t>
  </si>
  <si>
    <t>SNDR</t>
  </si>
  <si>
    <t>on 1/30/25, 9:00 AM Before Market Eastern Standard Time</t>
  </si>
  <si>
    <t>RHHBY</t>
  </si>
  <si>
    <t>on 1/30/25 Unspecified Eastern Standard Time</t>
  </si>
  <si>
    <t>LZAGY</t>
  </si>
  <si>
    <t>NYCB</t>
  </si>
  <si>
    <t>on 1/30/25 Before Market Eastern Standard Time</t>
  </si>
  <si>
    <t>on 1/30/25, 4:00 PM After Market Eastern Standard Time</t>
  </si>
  <si>
    <t>BAFN</t>
  </si>
  <si>
    <t>RVSB</t>
  </si>
  <si>
    <t>on 1/30/25, 4:01 PM After Market Eastern Standard Time</t>
  </si>
  <si>
    <t>CACC</t>
  </si>
  <si>
    <t>on 1/30/25, 4:02 PM After Market Eastern Standard Time</t>
  </si>
  <si>
    <t>on 1/30/25, 4:05 PM After Market Eastern Standard Time</t>
  </si>
  <si>
    <t>GSIT</t>
  </si>
  <si>
    <t>CNI</t>
  </si>
  <si>
    <t>on 1/30/25, 4:06 PM After Market Eastern Standard Time</t>
  </si>
  <si>
    <t>LPLA</t>
  </si>
  <si>
    <t>on 1/30/25, 4:07 PM After Market Eastern Standard Time</t>
  </si>
  <si>
    <t>on 1/30/25, 4:10 PM After Market Eastern Standard Time</t>
  </si>
  <si>
    <t>on 1/30/25, 4:14 PM After Market Eastern Standard Time</t>
  </si>
  <si>
    <t>on 1/30/25, 4:15 PM After Market Eastern Standard Time</t>
  </si>
  <si>
    <t>TFSL</t>
  </si>
  <si>
    <t>OPOF</t>
  </si>
  <si>
    <t>FINW</t>
  </si>
  <si>
    <t>on 1/30/25, 4:17 PM After Market Eastern Standard Time</t>
  </si>
  <si>
    <t>on 1/30/25, 4:30 PM After Market Eastern Standard Time</t>
  </si>
  <si>
    <t>on 1/30/25, 4:45 PM After Market Eastern Standard Time</t>
  </si>
  <si>
    <t>on 1/30/25, 5:00 PM After Market Eastern Standard Time</t>
  </si>
  <si>
    <t>on 1/30/25, 5:07 PM After Market Eastern Standard Time</t>
  </si>
  <si>
    <t>KOSS</t>
  </si>
  <si>
    <t>on 1/30/25, 5:15 PM After Market Eastern Standard Time</t>
  </si>
  <si>
    <t>BRBS</t>
  </si>
  <si>
    <t>on 1/30/25, 5:30 PM After Market Eastern Standard Time</t>
  </si>
  <si>
    <t>on 1/30/25, 6:15 PM After Market Eastern Standard Time</t>
  </si>
  <si>
    <t>NVS</t>
  </si>
  <si>
    <t>on 1/31/25, 1:00 AM Before Market Eastern Standard Time</t>
  </si>
  <si>
    <t>HTHIY</t>
  </si>
  <si>
    <t>on 1/31/25, 1:00 AM Unspecified Eastern Standard Time</t>
  </si>
  <si>
    <t>SKFRY</t>
  </si>
  <si>
    <t>DSNKY</t>
  </si>
  <si>
    <t>KMTUY</t>
  </si>
  <si>
    <t>DNZOY</t>
  </si>
  <si>
    <t>TTDKY</t>
  </si>
  <si>
    <t>on 1/31/25, 6:00 AM Before Market Eastern Standard Time</t>
  </si>
  <si>
    <t>BSAC</t>
  </si>
  <si>
    <t>on 1/31/25, 6:01 AM Before Market Eastern Standard Time</t>
  </si>
  <si>
    <t>LTM</t>
  </si>
  <si>
    <t>on 1/31/25, 6:03 AM Before Market Eastern Standard Time</t>
  </si>
  <si>
    <t>on 1/31/25, 6:15 AM Before Market Eastern Standard Time</t>
  </si>
  <si>
    <t>on 1/31/25, 6:30 AM Before Market Eastern Standard Time</t>
  </si>
  <si>
    <t>OMF</t>
  </si>
  <si>
    <t>BBU</t>
  </si>
  <si>
    <t>on 1/31/25, 6:45 AM Before Market Eastern Standard Time</t>
  </si>
  <si>
    <t>BAH</t>
  </si>
  <si>
    <t>on 1/31/25, 6:47 AM Before Market Eastern Standard Time</t>
  </si>
  <si>
    <t>on 1/31/25, 6:55 AM Before Market Eastern Standard Time</t>
  </si>
  <si>
    <t>BEPC</t>
  </si>
  <si>
    <t>on 1/31/25, 6:58 AM Before Market Eastern Standard Time</t>
  </si>
  <si>
    <t>BEP</t>
  </si>
  <si>
    <t>on 1/31/25, 7:00 AM Before Market Eastern Standard Time</t>
  </si>
  <si>
    <t>VSTS</t>
  </si>
  <si>
    <t>on 1/31/25, 7:22 AM Before Market Eastern Standard Time</t>
  </si>
  <si>
    <t>on 1/31/25, 7:30 AM Before Market Eastern Standard Time</t>
  </si>
  <si>
    <t>on 1/31/25, 7:36 AM Before Market Eastern Standard Time</t>
  </si>
  <si>
    <t>IMO</t>
  </si>
  <si>
    <t>on 1/31/25, 7:55 AM Before Market Eastern Standard Time</t>
  </si>
  <si>
    <t>on 1/31/25, 8:00 AM Before Market Eastern Standard Time</t>
  </si>
  <si>
    <t>OPY</t>
  </si>
  <si>
    <t>FHB</t>
  </si>
  <si>
    <t>on 1/31/25, 8:03 AM Before Market Eastern Standard Time</t>
  </si>
  <si>
    <t>on 1/31/25, 8:30 AM Before Market Eastern Standard Time</t>
  </si>
  <si>
    <t>on 1/31/25, 9:00 AM Before Market Eastern Standard Time</t>
  </si>
  <si>
    <t>BOTJ</t>
  </si>
  <si>
    <t>on 1/31/25, 12:00 PM During Market Eastern Standard Time</t>
  </si>
  <si>
    <t>on 1/31/25, 4:00 PM After Market Eastern Standard Time</t>
  </si>
  <si>
    <t>on 1/31/25, 4:05 PM After Market Eastern Standard Time</t>
  </si>
  <si>
    <t>TBNK</t>
  </si>
  <si>
    <t>on 1/31/25, 4:30 PM After Market Eastern Standard Time</t>
  </si>
  <si>
    <t>on 2/14/25, 4:06 PM After Market Eastern Standard Time</t>
  </si>
  <si>
    <t>on 2/25/25, 1:00 AM Unspecified Eastern Standard Time</t>
  </si>
  <si>
    <t>on 2/25/25, 1:00 AM Before Market Eastern Standard Time</t>
  </si>
  <si>
    <t>on 2/25/25, 3:00 AM Before Market Eastern Standard Time</t>
  </si>
  <si>
    <t>on 2/25/25, 5:00 AM Before Market Eastern Standard Time</t>
  </si>
  <si>
    <t>on 2/25/25, 5:30 AM Before Market Eastern Standard Time</t>
  </si>
  <si>
    <t>on 2/25/25, 6:00 AM Before Market Eastern Standard Time</t>
  </si>
  <si>
    <t>on 2/25/25, 6:09 AM Before Market Eastern Standard Time</t>
  </si>
  <si>
    <t>on 2/25/25, 6:30 AM Before Market Eastern Standard Time</t>
  </si>
  <si>
    <t>on 2/25/25, 6:40 AM Before Market Eastern Standard Time</t>
  </si>
  <si>
    <t>on 2/25/25, 6:45 AM Before Market Eastern Standard Time</t>
  </si>
  <si>
    <t>on 2/25/25, 6:50 AM Before Market Eastern Standard Time</t>
  </si>
  <si>
    <t>on 2/25/25, 7:00 AM Before Market Eastern Standard Time</t>
  </si>
  <si>
    <t>on 2/25/25, 7:00 AM Unspecified Eastern Standard Time</t>
  </si>
  <si>
    <t>on 2/25/25, 7:01 AM Before Market Eastern Standard Time</t>
  </si>
  <si>
    <t>on 2/25/25, 7:03 AM Before Market Eastern Standard Time</t>
  </si>
  <si>
    <t>on 2/25/25, 7:05 AM Before Market Eastern Standard Time</t>
  </si>
  <si>
    <t>on 2/25/25, 7:13 AM Before Market Eastern Standard Time</t>
  </si>
  <si>
    <t>on 2/25/25, 7:17 AM Before Market Eastern Standard Time</t>
  </si>
  <si>
    <t>on 2/25/25, 7:30 AM Before Market Eastern Standard Time</t>
  </si>
  <si>
    <t>on 2/25/25, 7:55 AM Before Market Eastern Standard Time</t>
  </si>
  <si>
    <t>on 2/25/25, 8:00 AM Before Market Eastern Standard Time</t>
  </si>
  <si>
    <t>on 2/25/25, 8:16 AM Before Market Eastern Standard Time</t>
  </si>
  <si>
    <t>on 2/25/25, 8:27 AM Before Market Eastern Standard Time</t>
  </si>
  <si>
    <t>on 2/25/25, 8:30 AM Before Market Eastern Standard Time</t>
  </si>
  <si>
    <t>on 2/25/25, 8:40 AM Before Market Eastern Standard Time</t>
  </si>
  <si>
    <t>on 2/25/25, 8:45 AM Before Market Eastern Standard Time</t>
  </si>
  <si>
    <t>on 2/25/25, 8:47 AM Before Market Eastern Standard Time</t>
  </si>
  <si>
    <t>on 2/25/25, 12:00 PM During Market Eastern Standard Time</t>
  </si>
  <si>
    <t>on 2/25/25, 1:36 PM During Market Eastern Standard Time</t>
  </si>
  <si>
    <t>on 2/25/25, 3:56 PM During Market Eastern Standard Time</t>
  </si>
  <si>
    <t>on 2/25/25, 4:00 PM After Market Eastern Standard Time</t>
  </si>
  <si>
    <t>on 2/25/25, 4:01 PM After Market Eastern Standard Time</t>
  </si>
  <si>
    <t>on 2/25/25, 4:02 PM After Market Eastern Standard Time</t>
  </si>
  <si>
    <t>on 2/25/25, 4:03 PM After Market Eastern Standard Time</t>
  </si>
  <si>
    <t>on 2/25/25, 4:04 PM After Market Eastern Standard Time</t>
  </si>
  <si>
    <t>on 2/25/25, 4:05 PM After Market Eastern Standard Time</t>
  </si>
  <si>
    <t>on 2/25/25, 4:06 PM After Market Eastern Standard Time</t>
  </si>
  <si>
    <t>on 2/25/25, 4:07 PM After Market Eastern Standard Time</t>
  </si>
  <si>
    <t>on 2/25/25, 4:08 PM After Market Eastern Standard Time</t>
  </si>
  <si>
    <t>on 2/25/25, 4:10 PM After Market Eastern Standard Time</t>
  </si>
  <si>
    <t>on 2/25/25, 4:13 PM After Market Eastern Standard Time</t>
  </si>
  <si>
    <t>on 2/25/25, 4:15 PM After Market Eastern Standard Time</t>
  </si>
  <si>
    <t>on 2/25/25, 4:18 PM After Market Eastern Standard Time</t>
  </si>
  <si>
    <t>on 2/25/25, 4:20 PM After Market Eastern Standard Time</t>
  </si>
  <si>
    <t>on 2/25/25, 4:24 PM After Market Eastern Standard Time</t>
  </si>
  <si>
    <t>on 2/25/25, 4:30 PM After Market Eastern Standard Time</t>
  </si>
  <si>
    <t>on 2/25/25, 4:31 PM After Market Eastern Standard Time</t>
  </si>
  <si>
    <t>on 2/25/25, 4:36 PM After Market Eastern Standard Time</t>
  </si>
  <si>
    <t>on 2/25/25, 4:45 PM After Market Eastern Standard Time</t>
  </si>
  <si>
    <t>on 2/25/25, 4:46 PM After Market Eastern Standard Time</t>
  </si>
  <si>
    <t>on 2/25/25, 4:48 PM After Market Eastern Standard Time</t>
  </si>
  <si>
    <t>on 2/25/25, 5:00 PM After Market Eastern Standard Time</t>
  </si>
  <si>
    <t>on 2/25/25, 5:15 PM After Market Eastern Standard Time</t>
  </si>
  <si>
    <t>on 2/25/25, 6:48 PM After Market Eastern Standard Time</t>
  </si>
  <si>
    <t>on 2/25/25, 7:05 PM After Market Eastern Standard Time</t>
  </si>
  <si>
    <t>on 2/26/25, 1:00 AM Unspecified Eastern Standard Time</t>
  </si>
  <si>
    <t>on 2/26/25, 1:00 AM After Market Eastern Standard Time</t>
  </si>
  <si>
    <t>on 2/26/25, 1:00 AM Before Market Eastern Standard Time</t>
  </si>
  <si>
    <t>on 2/26/25, 1:05 AM Before Market Eastern Standard Time</t>
  </si>
  <si>
    <t>on 2/26/25, 2:00 AM Before Market Eastern Standard Time</t>
  </si>
  <si>
    <t>on 2/26/25, 2:05 AM Before Market Eastern Standard Time</t>
  </si>
  <si>
    <t>on 2/26/25, 5:30 AM Before Market Eastern Standard Time</t>
  </si>
  <si>
    <t>on 2/26/25, 6:00 AM Before Market Eastern Standard Time</t>
  </si>
  <si>
    <t>on 2/26/25, 6:01 AM Before Market Eastern Standard Time</t>
  </si>
  <si>
    <t>on 2/26/25, 6:22 AM Before Market Eastern Standard Time</t>
  </si>
  <si>
    <t>on 2/26/25, 6:30 AM Before Market Eastern Standard Time</t>
  </si>
  <si>
    <t>on 2/26/25, 6:45 AM Before Market Eastern Standard Time</t>
  </si>
  <si>
    <t>on 2/26/25, 6:50 AM Before Market Eastern Standard Time</t>
  </si>
  <si>
    <t>on 2/26/25, 6:55 AM Before Market Eastern Standard Time</t>
  </si>
  <si>
    <t>on 2/26/25, 6:59 AM Before Market Eastern Standard Time</t>
  </si>
  <si>
    <t>on 2/26/25, 7:00 AM Before Market Eastern Standard Time</t>
  </si>
  <si>
    <t>on 2/26/25, 7:01 AM Before Market Eastern Standard Time</t>
  </si>
  <si>
    <t>on 2/26/25, 7:05 AM Before Market Eastern Standard Time</t>
  </si>
  <si>
    <t>on 2/26/25, 7:07 AM Before Market Eastern Standard Time</t>
  </si>
  <si>
    <t>on 2/26/25, 7:15 AM Before Market Eastern Standard Time</t>
  </si>
  <si>
    <t>on 2/26/25, 7:30 AM Before Market Eastern Standard Time</t>
  </si>
  <si>
    <t>on 2/26/25, 8:00 AM Before Market Eastern Standard Time</t>
  </si>
  <si>
    <t>on 2/26/25, 8:05 AM Before Market Eastern Standard Time</t>
  </si>
  <si>
    <t>on 2/26/25, 8:25 AM Before Market Eastern Standard Time</t>
  </si>
  <si>
    <t>on 2/26/25, 8:30 AM Before Market Eastern Standard Time</t>
  </si>
  <si>
    <t>on 2/26/25, 9:04 AM Before Market Eastern Standard Time</t>
  </si>
  <si>
    <t>on 2/26/25, 4:00 PM After Market Eastern Standard Time</t>
  </si>
  <si>
    <t>on 2/26/25, 4:01 PM After Market Eastern Standard Time</t>
  </si>
  <si>
    <t>on 2/26/25, 4:02 PM After Market Eastern Standard Time</t>
  </si>
  <si>
    <t>on 2/26/25, 4:03 PM After Market Eastern Standard Time</t>
  </si>
  <si>
    <t>on 2/26/25, 4:04 PM After Market Eastern Standard Time</t>
  </si>
  <si>
    <t>on 2/26/25, 4:05 PM After Market Eastern Standard Time</t>
  </si>
  <si>
    <t>on 2/26/25, 4:06 PM After Market Eastern Standard Time</t>
  </si>
  <si>
    <t>on 2/26/25, 4:07 PM After Market Eastern Standard Time</t>
  </si>
  <si>
    <t>on 2/26/25, 4:08 PM After Market Eastern Standard Time</t>
  </si>
  <si>
    <t>on 2/26/25, 4:10 PM After Market Eastern Standard Time</t>
  </si>
  <si>
    <t>on 2/26/25, 4:12 PM After Market Eastern Standard Time</t>
  </si>
  <si>
    <t>on 2/26/25, 4:13 PM After Market Eastern Standard Time</t>
  </si>
  <si>
    <t>on 2/26/25, 4:15 PM After Market Eastern Standard Time</t>
  </si>
  <si>
    <t>on 2/26/25, 4:16 PM After Market Eastern Standard Time</t>
  </si>
  <si>
    <t>on 2/26/25, 4:18 PM After Market Eastern Standard Time</t>
  </si>
  <si>
    <t>on 2/26/25, 4:20 PM After Market Eastern Standard Time</t>
  </si>
  <si>
    <t>on 2/26/25, 4:22 PM After Market Eastern Standard Time</t>
  </si>
  <si>
    <t>on 2/26/25, 4:23 PM After Market Eastern Standard Time</t>
  </si>
  <si>
    <t>on 2/26/25, 4:25 PM After Market Eastern Standard Time</t>
  </si>
  <si>
    <t>on 2/26/25, 4:26 PM After Market Eastern Standard Time</t>
  </si>
  <si>
    <t>on 2/26/25, 4:30 PM After Market Eastern Standard Time</t>
  </si>
  <si>
    <t>on 2/26/25, 4:35 PM After Market Eastern Standard Time</t>
  </si>
  <si>
    <t>on 2/26/25, 4:37 PM After Market Eastern Standard Time</t>
  </si>
  <si>
    <t>on 2/26/25, 4:40 PM After Market Eastern Standard Time</t>
  </si>
  <si>
    <t>on 2/26/25, 4:45 PM After Market Eastern Standard Time</t>
  </si>
  <si>
    <t>on 2/26/25, 4:47 PM After Market Eastern Standard Time</t>
  </si>
  <si>
    <t>on 2/26/25, 4:54 PM After Market Eastern Standard Time</t>
  </si>
  <si>
    <t>on 2/26/25, 5:00 PM After Market Eastern Standard Time</t>
  </si>
  <si>
    <t>on 2/26/25, 5:03 PM After Market Eastern Standard Time</t>
  </si>
  <si>
    <t>on 2/26/25, 5:08 PM After Market Eastern Standard Time</t>
  </si>
  <si>
    <t>on 2/26/25, 5:17 PM After Market Eastern Standard Time</t>
  </si>
  <si>
    <t>on 2/26/25, 5:25 PM After Market Eastern Standard Time</t>
  </si>
  <si>
    <t>on 2/26/25, 5:27 PM After Market Eastern Standard Time</t>
  </si>
  <si>
    <t>on 2/26/25, 5:30 PM After Market Eastern Standard Time</t>
  </si>
  <si>
    <t>on 2/26/25, 5:56 PM After Market Eastern Standard Time</t>
  </si>
  <si>
    <t>on 2/26/25, 6:08 PM After Market Eastern Standard Time</t>
  </si>
  <si>
    <t>on 2/26/25, 6:33 PM After Market Eastern Standard Time</t>
  </si>
  <si>
    <t>on 2/26/25, 6:50 PM After Market Eastern Standard Time</t>
  </si>
  <si>
    <t>on 2/26/25, 11:00 PM After Market Eastern Standard Time</t>
  </si>
  <si>
    <t>on 2/27/25, 1:00 AM After Market Eastern Standard Time</t>
  </si>
  <si>
    <t>on 2/27/25, 1:00 AM Before Market Eastern Standard Time</t>
  </si>
  <si>
    <t>on 2/27/25, 1:00 AM Unspecified Eastern Standard Time</t>
  </si>
  <si>
    <t>on 2/27/25, 1:04 AM Before Market Eastern Standard Time</t>
  </si>
  <si>
    <t>on 2/27/25, 1:30 AM Unspecified Eastern Standard Time</t>
  </si>
  <si>
    <t>on 2/27/25, 2:00 AM Before Market Eastern Standard Time</t>
  </si>
  <si>
    <t>on 2/27/25, 4:00 AM Before Market Eastern Standard Time</t>
  </si>
  <si>
    <t>on 2/27/25, 4:50 AM Before Market Eastern Standard Time</t>
  </si>
  <si>
    <t>on 2/27/25, 5:15 AM Before Market Eastern Standard Time</t>
  </si>
  <si>
    <t>on 2/27/25, 5:25 AM Before Market Eastern Standard Time</t>
  </si>
  <si>
    <t>on 2/27/25, 6:00 AM Before Market Eastern Standard Time</t>
  </si>
  <si>
    <t>on 2/27/25, 6:05 AM Before Market Eastern Standard Time</t>
  </si>
  <si>
    <t>on 2/27/25, 6:20 AM Before Market Eastern Standard Time</t>
  </si>
  <si>
    <t>on 2/27/25, 6:25 AM Before Market Eastern Standard Time</t>
  </si>
  <si>
    <t>on 2/27/25, 6:30 AM Before Market Eastern Standard Time</t>
  </si>
  <si>
    <t>on 2/27/25, 6:35 AM Before Market Eastern Standard Time</t>
  </si>
  <si>
    <t>on 2/27/25, 6:39 AM Before Market Eastern Standard Time</t>
  </si>
  <si>
    <t>on 2/27/25, 6:45 AM Before Market Eastern Standard Time</t>
  </si>
  <si>
    <t>on 2/27/25, 6:54 AM Before Market Eastern Standard Time</t>
  </si>
  <si>
    <t>on 2/27/25, 6:55 AM Before Market Eastern Standard Time</t>
  </si>
  <si>
    <t>on 2/27/25, 6:59 AM Before Market Eastern Standard Time</t>
  </si>
  <si>
    <t>on 2/27/25, 7:00 AM Before Market Eastern Standard Time</t>
  </si>
  <si>
    <t>on 2/27/25, 7:01 AM Before Market Eastern Standard Time</t>
  </si>
  <si>
    <t>on 2/27/25, 7:05 AM Before Market Eastern Standard Time</t>
  </si>
  <si>
    <t>on 2/27/25, 7:15 AM Before Market Eastern Standard Time</t>
  </si>
  <si>
    <t>on 2/27/25, 7:20 AM Before Market Eastern Standard Time</t>
  </si>
  <si>
    <t>on 2/27/25, 7:30 AM Before Market Eastern Standard Time</t>
  </si>
  <si>
    <t>on 2/27/25, 7:45 AM Before Market Eastern Standard Time</t>
  </si>
  <si>
    <t>on 2/27/25, 7:54 AM Before Market Eastern Standard Time</t>
  </si>
  <si>
    <t>on 2/27/25, 7:55 AM Before Market Eastern Standard Time</t>
  </si>
  <si>
    <t>on 2/27/25, 8:00 AM Before Market Eastern Standard Time</t>
  </si>
  <si>
    <t>on 2/27/25, 8:01 AM Before Market Eastern Standard Time</t>
  </si>
  <si>
    <t>on 2/27/25, 8:05 AM Before Market Eastern Standard Time</t>
  </si>
  <si>
    <t>on 2/27/25, 8:15 AM Before Market Eastern Standard Time</t>
  </si>
  <si>
    <t>on 2/27/25, 8:30 AM Before Market Eastern Standard Time</t>
  </si>
  <si>
    <t>on 2/27/25, 9:00 AM Before Market Eastern Standard Time</t>
  </si>
  <si>
    <t>on 2/27/25, 9:20 AM Before Market Eastern Standard Time</t>
  </si>
  <si>
    <t>on 2/27/25, 11:45 AM During Market Eastern Standard Time</t>
  </si>
  <si>
    <t>on 2/27/25, 1:10 PM During Market Eastern Standard Time</t>
  </si>
  <si>
    <t>on 2/27/25, 1:49 PM During Market Eastern Standard Time</t>
  </si>
  <si>
    <t>on 2/27/25, 4:00 PM After Market Eastern Standard Time</t>
  </si>
  <si>
    <t>on 2/27/25, 4:01 PM After Market Eastern Standard Time</t>
  </si>
  <si>
    <t>on 2/27/25, 4:04 PM After Market Eastern Standard Time</t>
  </si>
  <si>
    <t>on 2/27/25, 4:05 PM After Market Eastern Standard Time</t>
  </si>
  <si>
    <t>on 2/27/25, 4:06 PM After Market Eastern Standard Time</t>
  </si>
  <si>
    <t>on 2/27/25, 4:08 PM After Market Eastern Standard Time</t>
  </si>
  <si>
    <t>on 2/27/25, 4:10 PM After Market Eastern Standard Time</t>
  </si>
  <si>
    <t>on 2/27/25, 4:11 PM After Market Eastern Standard Time</t>
  </si>
  <si>
    <t>on 2/27/25, 4:15 PM After Market Eastern Standard Time</t>
  </si>
  <si>
    <t>on 2/27/25, 4:18 PM After Market Eastern Standard Time</t>
  </si>
  <si>
    <t>on 2/27/25, 4:19 PM After Market Eastern Standard Time</t>
  </si>
  <si>
    <t>on 2/27/25, 4:20 PM After Market Eastern Standard Time</t>
  </si>
  <si>
    <t>on 2/27/25, 4:27 PM After Market Eastern Standard Time</t>
  </si>
  <si>
    <t>on 2/27/25, 4:30 PM After Market Eastern Standard Time</t>
  </si>
  <si>
    <t>on 2/27/25, 4:47 PM After Market Eastern Standard Time</t>
  </si>
  <si>
    <t>on 2/27/25, 5:00 PM After Market Eastern Standard Time</t>
  </si>
  <si>
    <t>on 2/27/25, 5:01 PM After Market Eastern Standard Time</t>
  </si>
  <si>
    <t>on 2/27/25, 5:07 PM After Market Eastern Standard Time</t>
  </si>
  <si>
    <t>on 2/27/25, 5:20 PM After Market Eastern Standard Time</t>
  </si>
  <si>
    <t>on 2/27/25, 5:22 PM After Market Eastern Standard Time</t>
  </si>
  <si>
    <t>on 2/27/25, 5:30 PM After Market Eastern Standard Time</t>
  </si>
  <si>
    <t>on 2/27/25, 5:56 PM After Market Eastern Standard Time</t>
  </si>
  <si>
    <t>on 2/27/25, 6:07 PM After Market Eastern Standard Time</t>
  </si>
  <si>
    <t>on 2/27/25, 6:28 PM After Market Eastern Standard Time</t>
  </si>
  <si>
    <t>on 2/27/25, 7:30 PM After Market Eastern Standard Time</t>
  </si>
  <si>
    <t>OMGAQ</t>
  </si>
  <si>
    <t>LICYF</t>
  </si>
  <si>
    <t>SEG</t>
  </si>
  <si>
    <t>ZSPC</t>
  </si>
  <si>
    <t>TNXP</t>
  </si>
  <si>
    <t>on 3/31/25 Unspecified Eastern Standard Time</t>
  </si>
  <si>
    <t>BGXXQ</t>
  </si>
  <si>
    <t>TrCh</t>
  </si>
  <si>
    <t>Trade
Exp</t>
  </si>
  <si>
    <t>R this time</t>
  </si>
  <si>
    <t>% Gap Up</t>
  </si>
  <si>
    <t>% Gap Dn</t>
  </si>
  <si>
    <t>SW Trends</t>
  </si>
  <si>
    <t>Down Trends</t>
  </si>
  <si>
    <t>Up Trends</t>
  </si>
  <si>
    <t>Took until after 9:35 to fill in the AM, might be too thin but was a big winner so nummer there.</t>
  </si>
  <si>
    <t>Overrides</t>
  </si>
  <si>
    <t>Not in SPY, Toro.  Crazy low after hours volume.  Didn't show any P/L even up to 7:29 in the morning.</t>
  </si>
  <si>
    <t>In SPY, Contact Lens Company.  Crazy low after hours volume.  Didn't show any P/L even up to 7:27 in the morning.</t>
  </si>
  <si>
    <t>MOC
P / L</t>
  </si>
  <si>
    <t>Newly added to Spy</t>
  </si>
  <si>
    <t>Prob worth adding</t>
  </si>
  <si>
    <t>2025 -- Q1</t>
  </si>
  <si>
    <t>Executive Summary:</t>
  </si>
  <si>
    <t>% in SPY</t>
  </si>
  <si>
    <t>●</t>
  </si>
  <si>
    <t># in Dwn</t>
  </si>
  <si>
    <t># in SW</t>
  </si>
  <si>
    <t>% in Dwn</t>
  </si>
  <si>
    <t>% in SW</t>
  </si>
  <si>
    <t>Up Trending Stocks:</t>
  </si>
  <si>
    <t>Down: R</t>
  </si>
  <si>
    <t>Up: R</t>
  </si>
  <si>
    <t># in Up</t>
  </si>
  <si>
    <t>% in Up</t>
  </si>
  <si>
    <t>SW: R</t>
  </si>
  <si>
    <t>All: R</t>
  </si>
  <si>
    <t>Down Trending Stocks:</t>
  </si>
  <si>
    <t>Down</t>
  </si>
  <si>
    <t>R 
per Trade</t>
  </si>
  <si>
    <t>R Total</t>
  </si>
  <si>
    <t>Not Spy</t>
  </si>
  <si>
    <t>Medical Software, non spy in early Feb</t>
  </si>
  <si>
    <t>Home Builder</t>
  </si>
  <si>
    <t>Nuggets:</t>
  </si>
  <si>
    <r>
      <t xml:space="preserve">- </t>
    </r>
    <r>
      <rPr>
        <u/>
        <sz val="11"/>
        <color theme="1"/>
        <rFont val="Aptos Narrow"/>
        <family val="2"/>
        <scheme val="minor"/>
      </rPr>
      <t xml:space="preserve">List has three cruise company's: </t>
    </r>
    <r>
      <rPr>
        <sz val="11"/>
        <color theme="1"/>
        <rFont val="Aptos Narrow"/>
        <family val="2"/>
        <scheme val="minor"/>
      </rPr>
      <t>RCL (1st month earnings), NCLH (second month earnings), CCL (third month earnings)</t>
    </r>
  </si>
  <si>
    <t>marked with red</t>
  </si>
  <si>
    <t>Done so far?</t>
  </si>
  <si>
    <t>No confgerence call, just earnings, very thin too</t>
  </si>
  <si>
    <t>R 
per Trade
Dwn</t>
  </si>
  <si>
    <t>R 
per Trade
Up</t>
  </si>
  <si>
    <t>R Total 
Up
Trends</t>
  </si>
  <si>
    <t>R 
per Trade
SW</t>
  </si>
  <si>
    <t>R Total 
SW
Trends</t>
  </si>
  <si>
    <t>R Total 
Dwn
Trends</t>
  </si>
  <si>
    <t>Industrial but provides software to insurance industry, fuck it, thin too</t>
  </si>
  <si>
    <t>Trend
Tracking</t>
  </si>
  <si>
    <t>Sideways Trending Stocks:</t>
  </si>
  <si>
    <t>risk units.</t>
  </si>
  <si>
    <t>Sector Performance:</t>
  </si>
  <si>
    <t>Up trends had an expectancy of:</t>
  </si>
  <si>
    <t>risk units per trade.</t>
  </si>
  <si>
    <t>Down trends had an expectancy of:</t>
  </si>
  <si>
    <t>Sideways trends had an expectancy of:</t>
  </si>
  <si>
    <t>Risk  Units</t>
  </si>
  <si>
    <t>Up Trending Stocks, Risk Units by Sector:</t>
  </si>
  <si>
    <t>Down Trending Stocks, Risk Units by Sector:</t>
  </si>
  <si>
    <t>Sector Performance, continued:</t>
  </si>
  <si>
    <t>Total Risk Units by Sector, w/ Expectancy:</t>
  </si>
  <si>
    <t>added to lookup sheet already</t>
  </si>
  <si>
    <t>Took too long to fill at open, towards very end of earnings anyway, delete it!</t>
  </si>
  <si>
    <t>Number of Stocks</t>
  </si>
  <si>
    <t>14-Jan</t>
  </si>
  <si>
    <t>24-Jan</t>
  </si>
  <si>
    <t>20-Mar</t>
  </si>
  <si>
    <t>21-Mar</t>
  </si>
  <si>
    <t>27-Mar</t>
  </si>
  <si>
    <t>9-Apr</t>
  </si>
  <si>
    <t>10-Apr</t>
  </si>
  <si>
    <t>11-Apr</t>
  </si>
  <si>
    <t>(Multiple Items)</t>
  </si>
  <si>
    <t>Ave Gap Sizes</t>
  </si>
  <si>
    <t>Not</t>
  </si>
  <si>
    <t>NA-</t>
  </si>
  <si>
    <t>Gap Up</t>
  </si>
  <si>
    <t>Cohort</t>
  </si>
  <si>
    <t>MOC Var on Gap Up</t>
  </si>
  <si>
    <t>MOC Var on Gap Down</t>
  </si>
  <si>
    <t>Up Trend, Gap Up</t>
  </si>
  <si>
    <t>Up Trend, Gap Down</t>
  </si>
  <si>
    <t>SW+</t>
  </si>
  <si>
    <t>NA+ Trend, Gap Up</t>
  </si>
  <si>
    <t>NA+ Trend, Gap Down</t>
  </si>
  <si>
    <t>NA Trend, Gap Up</t>
  </si>
  <si>
    <t>NA Trend, Gap Down</t>
  </si>
  <si>
    <t>SW-</t>
  </si>
  <si>
    <t>NA- Trend, Gap Up</t>
  </si>
  <si>
    <t>NA- Trend, Gap Down</t>
  </si>
  <si>
    <t>Down Trend, Gap Up</t>
  </si>
  <si>
    <t>Down Trend, Gap Down</t>
  </si>
  <si>
    <t>MOC R</t>
  </si>
  <si>
    <t>MOC W</t>
  </si>
  <si>
    <t>MOC L</t>
  </si>
  <si>
    <t>MOC A W</t>
  </si>
  <si>
    <t>MOC A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</si>
</sst>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164" formatCode="0.0%"/>
    <numFmt numFmtId="165" formatCode="0.0"/>
    <numFmt numFmtId="166" formatCode="&quot;$&quot;#,##0.00"/>
    <numFmt numFmtId="167" formatCode="&quot;$&quot;#,##0"/>
    <numFmt numFmtId="168" formatCode="mm/dd/yy;@"/>
    <numFmt numFmtId="169" formatCode="&quot;$&quot;#,##0.0"/>
    <numFmt numFmtId="170" formatCode="0.000"/>
  </numFmts>
  <fonts count="7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8"/>
      <name val="Aptos Narrow"/>
      <family val="2"/>
      <scheme val="minor"/>
    </font>
    <font>
      <b/>
      <sz val="9"/>
      <color theme="1"/>
      <name val="Aptos Narrow"/>
      <family val="2"/>
      <scheme val="minor"/>
    </font>
    <font>
      <sz val="10"/>
      <color theme="1"/>
      <name val="Aptos Narrow"/>
      <family val="2"/>
      <scheme val="minor"/>
    </font>
    <font>
      <sz val="8"/>
      <color theme="1"/>
      <name val="Aptos Narrow"/>
      <family val="2"/>
      <scheme val="minor"/>
    </font>
    <font>
      <b/>
      <sz val="14"/>
      <color theme="1"/>
      <name val="Aptos Narrow"/>
      <family val="2"/>
      <scheme val="minor"/>
    </font>
    <font>
      <sz val="9"/>
      <color indexed="81"/>
      <name val="Tahoma"/>
      <family val="2"/>
    </font>
    <font>
      <b/>
      <sz val="8"/>
      <color theme="1"/>
      <name val="Aptos Narrow"/>
      <family val="2"/>
      <scheme val="minor"/>
    </font>
    <font>
      <u/>
      <sz val="10"/>
      <color theme="1"/>
      <name val="Aptos Narrow"/>
      <family val="2"/>
      <scheme val="minor"/>
    </font>
    <font>
      <b/>
      <sz val="12"/>
      <color theme="1"/>
      <name val="Aptos Narrow"/>
      <family val="2"/>
      <scheme val="minor"/>
    </font>
    <font>
      <b/>
      <sz val="16"/>
      <color theme="1"/>
      <name val="Aptos Narrow"/>
      <family val="2"/>
      <scheme val="minor"/>
    </font>
    <font>
      <b/>
      <sz val="9"/>
      <color indexed="81"/>
      <name val="Tahoma"/>
      <family val="2"/>
    </font>
    <font>
      <sz val="10"/>
      <color theme="9" tint="0.59999389629810485"/>
      <name val="Aptos Narrow"/>
      <family val="2"/>
      <scheme val="minor"/>
    </font>
    <font>
      <sz val="9"/>
      <color theme="1"/>
      <name val="Aptos Narrow"/>
      <family val="2"/>
      <scheme val="minor"/>
    </font>
    <font>
      <sz val="9"/>
      <name val="Aptos Narrow"/>
      <family val="2"/>
      <scheme val="minor"/>
    </font>
    <font>
      <sz val="9"/>
      <color rgb="FFFF0000"/>
      <name val="Aptos Narrow"/>
      <family val="2"/>
      <scheme val="minor"/>
    </font>
    <font>
      <sz val="9"/>
      <color theme="1" tint="0.499984740745262"/>
      <name val="Aptos Narrow"/>
      <family val="2"/>
      <scheme val="minor"/>
    </font>
    <font>
      <b/>
      <sz val="11"/>
      <color theme="6" tint="-0.499984740745262"/>
      <name val="Aptos Narrow"/>
      <family val="2"/>
      <scheme val="minor"/>
    </font>
    <font>
      <b/>
      <sz val="18"/>
      <color theme="1"/>
      <name val="Aptos Narrow"/>
      <family val="2"/>
      <scheme val="minor"/>
    </font>
    <font>
      <b/>
      <sz val="11"/>
      <color theme="3" tint="9.9978637043366805E-2"/>
      <name val="Aptos Narrow"/>
      <family val="2"/>
      <scheme val="minor"/>
    </font>
    <font>
      <u/>
      <sz val="8"/>
      <color theme="1"/>
      <name val="Aptos Narrow"/>
      <family val="2"/>
      <scheme val="minor"/>
    </font>
    <font>
      <b/>
      <sz val="9"/>
      <color theme="3" tint="9.9978637043366805E-2"/>
      <name val="Aptos Narrow"/>
      <family val="2"/>
      <scheme val="minor"/>
    </font>
    <font>
      <b/>
      <sz val="9"/>
      <color theme="6"/>
      <name val="Aptos Narrow"/>
      <family val="2"/>
      <scheme val="minor"/>
    </font>
    <font>
      <b/>
      <sz val="10"/>
      <color theme="3"/>
      <name val="Aptos Narrow"/>
      <family val="2"/>
      <scheme val="minor"/>
    </font>
    <font>
      <b/>
      <sz val="10"/>
      <color theme="6"/>
      <name val="Aptos Narrow"/>
      <family val="2"/>
      <scheme val="minor"/>
    </font>
    <font>
      <sz val="12"/>
      <color theme="1"/>
      <name val="Aptos Narrow"/>
      <family val="2"/>
      <scheme val="minor"/>
    </font>
    <font>
      <sz val="10"/>
      <name val="Aptos Narrow"/>
      <family val="2"/>
      <scheme val="minor"/>
    </font>
    <font>
      <b/>
      <sz val="14"/>
      <color rgb="FF92D050"/>
      <name val="Aptos Narrow"/>
      <family val="2"/>
      <scheme val="minor"/>
    </font>
    <font>
      <u/>
      <sz val="8"/>
      <name val="Aptos Narrow"/>
      <family val="2"/>
      <scheme val="minor"/>
    </font>
    <font>
      <b/>
      <sz val="10"/>
      <name val="Aptos Narrow"/>
      <family val="2"/>
      <scheme val="minor"/>
    </font>
    <font>
      <sz val="8"/>
      <color rgb="FF92D050"/>
      <name val="Aptos Narrow"/>
      <family val="2"/>
      <scheme val="minor"/>
    </font>
    <font>
      <b/>
      <sz val="12"/>
      <color theme="9" tint="-0.499984740745262"/>
      <name val="Aptos Narrow"/>
      <family val="2"/>
      <scheme val="minor"/>
    </font>
    <font>
      <b/>
      <sz val="14"/>
      <color theme="6" tint="-0.249977111117893"/>
      <name val="Aptos Narrow"/>
      <family val="2"/>
      <scheme val="minor"/>
    </font>
    <font>
      <u/>
      <sz val="9"/>
      <name val="Aptos Narrow"/>
      <family val="2"/>
      <scheme val="minor"/>
    </font>
    <font>
      <b/>
      <sz val="8"/>
      <color theme="6" tint="-0.249977111117893"/>
      <name val="Aptos Narrow"/>
      <family val="2"/>
      <scheme val="minor"/>
    </font>
    <font>
      <sz val="8"/>
      <color theme="9" tint="0.79998168889431442"/>
      <name val="Aptos Narrow"/>
      <family val="2"/>
      <scheme val="minor"/>
    </font>
    <font>
      <b/>
      <sz val="14"/>
      <color theme="1"/>
      <name val="Aptos Narrow"/>
      <family val="2"/>
    </font>
    <font>
      <sz val="9"/>
      <name val="Aptos Narrow"/>
      <family val="2"/>
    </font>
    <font>
      <b/>
      <sz val="10"/>
      <color theme="1" tint="0.499984740745262"/>
      <name val="Aptos Narrow"/>
      <family val="2"/>
      <scheme val="minor"/>
    </font>
    <font>
      <b/>
      <sz val="11"/>
      <color theme="1" tint="0.499984740745262"/>
      <name val="Aptos Narrow"/>
      <family val="2"/>
      <scheme val="minor"/>
    </font>
    <font>
      <sz val="10"/>
      <color theme="1" tint="0.499984740745262"/>
      <name val="Aptos Narrow"/>
      <family val="2"/>
      <scheme val="minor"/>
    </font>
    <font>
      <sz val="8"/>
      <color theme="1" tint="0.499984740745262"/>
      <name val="Aptos Narrow"/>
      <family val="2"/>
      <scheme val="minor"/>
    </font>
    <font>
      <sz val="11"/>
      <color theme="1" tint="0.499984740745262"/>
      <name val="Aptos Narrow"/>
      <family val="2"/>
      <scheme val="minor"/>
    </font>
    <font>
      <b/>
      <sz val="9"/>
      <color theme="1" tint="0.499984740745262"/>
      <name val="Aptos Narrow"/>
      <family val="2"/>
      <scheme val="minor"/>
    </font>
    <font>
      <sz val="8"/>
      <color theme="9"/>
      <name val="Aptos Narrow"/>
      <family val="2"/>
    </font>
    <font>
      <b/>
      <u/>
      <sz val="11"/>
      <color theme="1"/>
      <name val="Aptos Narrow"/>
      <family val="2"/>
      <scheme val="minor"/>
    </font>
    <font>
      <u/>
      <sz val="11"/>
      <color theme="1"/>
      <name val="Aptos Narrow"/>
      <family val="2"/>
      <scheme val="minor"/>
    </font>
    <font>
      <strike/>
      <sz val="9"/>
      <color theme="1"/>
      <name val="Aptos Narrow"/>
      <family val="2"/>
      <scheme val="minor"/>
    </font>
    <font>
      <sz val="8"/>
      <color rgb="FFFF0000"/>
      <name val="Aptos Narrow"/>
      <family val="2"/>
      <scheme val="minor"/>
    </font>
    <font>
      <sz val="10"/>
      <color rgb="FFFF0000"/>
      <name val="Aptos Narrow"/>
      <family val="2"/>
      <scheme val="minor"/>
    </font>
    <font>
      <b/>
      <sz val="16"/>
      <color theme="9" tint="0.79998168889431442"/>
      <name val="Aptos Narrow"/>
      <family val="2"/>
      <scheme val="minor"/>
    </font>
    <font>
      <sz val="14"/>
      <color theme="9" tint="0.79998168889431442"/>
      <name val="Aptos Narrow"/>
      <family val="2"/>
      <scheme val="minor"/>
    </font>
    <font>
      <sz val="8"/>
      <color theme="7" tint="0.39997558519241921"/>
      <name val="Aptos Narrow"/>
      <family val="2"/>
    </font>
    <font>
      <sz val="8"/>
      <color theme="5" tint="0.39997558519241921"/>
      <name val="Aptos Narrow"/>
      <family val="2"/>
    </font>
    <font>
      <sz val="10"/>
      <color rgb="FF00B0F0"/>
      <name val="Aptos Narrow"/>
      <family val="2"/>
      <scheme val="minor"/>
    </font>
    <font>
      <b/>
      <sz val="14"/>
      <name val="Aptos Narrow"/>
      <family val="2"/>
      <scheme val="minor"/>
    </font>
  </fonts>
  <fills count="7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CCCC"/>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FF00"/>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7"/>
        <bgColor indexed="64"/>
      </patternFill>
    </fill>
    <fill>
      <patternFill patternType="solid">
        <fgColor theme="3" tint="0.89999084444715716"/>
        <bgColor indexed="64"/>
      </patternFill>
    </fill>
    <fill>
      <patternFill patternType="solid">
        <fgColor rgb="FF00B0F0"/>
        <bgColor indexed="64"/>
      </patternFill>
    </fill>
    <fill>
      <patternFill patternType="solid">
        <fgColor theme="1" tint="0.499984740745262"/>
        <bgColor indexed="64"/>
      </patternFill>
    </fill>
    <fill>
      <gradientFill type="path" left="0.5" right="0.5" top="0.5" bottom="0.5">
        <stop position="0">
          <color theme="0"/>
        </stop>
        <stop position="1">
          <color rgb="FF00FF00"/>
        </stop>
      </gradientFill>
    </fill>
    <fill>
      <patternFill patternType="solid">
        <fgColor theme="0" tint="-0.249977111117893"/>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rgb="FF0033CC"/>
        <bgColor indexed="64"/>
      </patternFill>
    </fill>
    <fill>
      <patternFill patternType="solid">
        <fgColor theme="5"/>
        <bgColor indexed="64"/>
      </patternFill>
    </fill>
    <fill>
      <patternFill patternType="solid">
        <fgColor rgb="FFFF3300"/>
        <bgColor indexed="64"/>
      </patternFill>
    </fill>
    <fill>
      <patternFill patternType="solid">
        <fgColor theme="2" tint="-9.9978637043366805E-2"/>
        <bgColor indexed="64"/>
      </patternFill>
    </fill>
    <fill>
      <gradientFill degree="180">
        <stop position="0">
          <color rgb="FFFFFF00"/>
        </stop>
        <stop position="1">
          <color rgb="FF92D050"/>
        </stop>
      </gradientFill>
    </fill>
    <fill>
      <patternFill patternType="solid">
        <fgColor rgb="FF76E0A1"/>
        <bgColor indexed="64"/>
      </patternFill>
    </fill>
    <fill>
      <patternFill patternType="solid">
        <fgColor theme="9"/>
        <bgColor indexed="64"/>
      </patternFill>
    </fill>
    <fill>
      <patternFill patternType="solid">
        <fgColor rgb="FFFF66CC"/>
        <bgColor indexed="64"/>
      </patternFill>
    </fill>
    <fill>
      <patternFill patternType="solid">
        <fgColor rgb="FFFFC000"/>
        <bgColor indexed="64"/>
      </patternFill>
    </fill>
    <fill>
      <patternFill patternType="solid">
        <fgColor theme="7" tint="0.39997558519241921"/>
        <bgColor indexed="64"/>
      </patternFill>
    </fill>
    <fill>
      <patternFill patternType="solid">
        <fgColor rgb="FF00D600"/>
        <bgColor indexed="64"/>
      </patternFill>
    </fill>
    <fill>
      <patternFill patternType="solid">
        <fgColor rgb="FF47D359"/>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1">
    <xf numFmtId="0" fontId="0" fillId="0" borderId="0" xfId="0"/>
    <xf numFmtId="0" fontId="0" fillId="0" borderId="0" xfId="0" applyAlignment="1">
      <alignment horizontal="center" vertical="center"/>
    </xf>
    <xf numFmtId="0" fontId="16" fillId="33" borderId="10" xfId="0" applyFont="1" applyFill="1" applyBorder="1" applyAlignment="1">
      <alignment horizontal="center" vertical="center"/>
    </xf>
    <xf numFmtId="0" fontId="0" fillId="0" borderId="0" xfId="0" applyAlignment="1">
      <alignment vertical="center" wrapText="1"/>
    </xf>
    <xf numFmtId="10" fontId="0" fillId="0" borderId="0" xfId="0" applyNumberFormat="1" applyAlignment="1">
      <alignment vertical="center" wrapText="1"/>
    </xf>
    <xf numFmtId="4" fontId="0" fillId="0" borderId="0" xfId="0" applyNumberFormat="1" applyAlignment="1">
      <alignment vertical="center" wrapText="1"/>
    </xf>
    <xf numFmtId="0" fontId="18" fillId="0" borderId="0" xfId="0" applyFont="1" applyAlignment="1">
      <alignment horizontal="center" vertical="center"/>
    </xf>
    <xf numFmtId="0" fontId="0" fillId="0" borderId="0" xfId="0" applyAlignment="1">
      <alignment horizontal="center"/>
    </xf>
    <xf numFmtId="0" fontId="16" fillId="33" borderId="10" xfId="0" applyFont="1" applyFill="1" applyBorder="1"/>
    <xf numFmtId="0" fontId="18" fillId="34" borderId="0" xfId="0" applyFont="1" applyFill="1" applyAlignment="1">
      <alignment horizontal="center" vertical="center"/>
    </xf>
    <xf numFmtId="0" fontId="18" fillId="35" borderId="0" xfId="0" applyFont="1" applyFill="1" applyAlignment="1">
      <alignment horizontal="center" vertical="center"/>
    </xf>
    <xf numFmtId="14" fontId="20" fillId="33" borderId="10" xfId="0" applyNumberFormat="1" applyFont="1" applyFill="1" applyBorder="1" applyAlignment="1">
      <alignment horizontal="center" vertical="center"/>
    </xf>
    <xf numFmtId="0" fontId="18" fillId="36" borderId="0" xfId="0" applyFont="1" applyFill="1" applyAlignment="1">
      <alignment horizontal="center" vertical="center"/>
    </xf>
    <xf numFmtId="0" fontId="16" fillId="0" borderId="0" xfId="0" applyFont="1" applyAlignment="1">
      <alignment horizontal="center" vertical="center"/>
    </xf>
    <xf numFmtId="0" fontId="16" fillId="37" borderId="11" xfId="0" applyFont="1" applyFill="1" applyBorder="1" applyAlignment="1">
      <alignment horizontal="center" vertical="center"/>
    </xf>
    <xf numFmtId="0" fontId="0" fillId="37" borderId="11" xfId="0" applyFill="1" applyBorder="1" applyAlignment="1">
      <alignment horizontal="center" vertical="center"/>
    </xf>
    <xf numFmtId="0" fontId="0" fillId="37" borderId="11" xfId="0" quotePrefix="1" applyFill="1" applyBorder="1" applyAlignment="1">
      <alignment horizontal="center" vertical="center"/>
    </xf>
    <xf numFmtId="9" fontId="21" fillId="37" borderId="11" xfId="42" applyFont="1" applyFill="1" applyBorder="1" applyAlignment="1">
      <alignment horizontal="center" vertical="center"/>
    </xf>
    <xf numFmtId="0" fontId="0" fillId="41" borderId="11" xfId="0" quotePrefix="1" applyFill="1" applyBorder="1" applyAlignment="1">
      <alignment horizontal="center" vertical="center"/>
    </xf>
    <xf numFmtId="9" fontId="21" fillId="41" borderId="11" xfId="42" applyFont="1" applyFill="1" applyBorder="1" applyAlignment="1">
      <alignment horizontal="center" vertical="center"/>
    </xf>
    <xf numFmtId="164" fontId="0" fillId="37" borderId="11" xfId="42" quotePrefix="1" applyNumberFormat="1" applyFont="1" applyFill="1" applyBorder="1" applyAlignment="1">
      <alignment horizontal="center" vertical="center"/>
    </xf>
    <xf numFmtId="164" fontId="0" fillId="41" borderId="11" xfId="42" quotePrefix="1" applyNumberFormat="1" applyFont="1" applyFill="1" applyBorder="1" applyAlignment="1">
      <alignment horizontal="center" vertical="center"/>
    </xf>
    <xf numFmtId="164" fontId="21" fillId="41" borderId="11" xfId="42" applyNumberFormat="1" applyFont="1" applyFill="1" applyBorder="1" applyAlignment="1">
      <alignment horizontal="center" vertical="center"/>
    </xf>
    <xf numFmtId="0" fontId="18" fillId="42" borderId="11"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8" fillId="33" borderId="11" xfId="0" applyFont="1" applyFill="1" applyBorder="1" applyAlignment="1">
      <alignment horizontal="center" vertical="center"/>
    </xf>
    <xf numFmtId="0" fontId="18" fillId="42" borderId="11" xfId="0" applyFont="1" applyFill="1" applyBorder="1" applyAlignment="1">
      <alignment horizontal="center" vertical="center"/>
    </xf>
    <xf numFmtId="0" fontId="21" fillId="33" borderId="11" xfId="0" applyFont="1" applyFill="1" applyBorder="1" applyAlignment="1">
      <alignment horizontal="right" vertical="center"/>
    </xf>
    <xf numFmtId="0" fontId="16" fillId="33" borderId="11" xfId="0" applyFont="1" applyFill="1" applyBorder="1" applyAlignment="1">
      <alignment vertical="center"/>
    </xf>
    <xf numFmtId="0" fontId="16" fillId="42" borderId="11" xfId="0" applyFont="1" applyFill="1" applyBorder="1" applyAlignment="1">
      <alignment vertical="center"/>
    </xf>
    <xf numFmtId="0" fontId="16" fillId="41" borderId="11" xfId="0" applyFont="1" applyFill="1" applyBorder="1" applyAlignment="1">
      <alignment horizontal="center" vertical="center"/>
    </xf>
    <xf numFmtId="0" fontId="21" fillId="42" borderId="11" xfId="0" applyFont="1" applyFill="1" applyBorder="1" applyAlignment="1">
      <alignment horizontal="right" vertical="center"/>
    </xf>
    <xf numFmtId="0" fontId="16" fillId="38" borderId="11" xfId="0" applyFont="1" applyFill="1" applyBorder="1" applyAlignment="1">
      <alignment vertical="center"/>
    </xf>
    <xf numFmtId="9" fontId="21" fillId="41" borderId="11" xfId="0" applyNumberFormat="1" applyFont="1" applyFill="1" applyBorder="1" applyAlignment="1">
      <alignment horizontal="center" vertical="center"/>
    </xf>
    <xf numFmtId="9" fontId="18" fillId="37" borderId="11" xfId="42" applyFont="1" applyFill="1" applyBorder="1" applyAlignment="1">
      <alignment horizontal="center" vertical="center"/>
    </xf>
    <xf numFmtId="9" fontId="18" fillId="41" borderId="11" xfId="0" applyNumberFormat="1" applyFont="1" applyFill="1" applyBorder="1" applyAlignment="1">
      <alignment horizontal="center" vertical="center"/>
    </xf>
    <xf numFmtId="0" fontId="18" fillId="38" borderId="11" xfId="0" applyFont="1" applyFill="1" applyBorder="1" applyAlignment="1">
      <alignment horizontal="right" vertical="center"/>
    </xf>
    <xf numFmtId="0" fontId="18" fillId="40" borderId="11" xfId="0" applyFont="1" applyFill="1" applyBorder="1" applyAlignment="1">
      <alignment horizontal="center" vertical="center" wrapText="1"/>
    </xf>
    <xf numFmtId="9" fontId="0" fillId="37" borderId="11" xfId="42" quotePrefix="1" applyFont="1" applyFill="1" applyBorder="1" applyAlignment="1">
      <alignment horizontal="center" vertical="center"/>
    </xf>
    <xf numFmtId="0" fontId="0" fillId="41" borderId="14" xfId="0" applyFill="1" applyBorder="1" applyAlignment="1">
      <alignment horizontal="center" vertical="center"/>
    </xf>
    <xf numFmtId="0" fontId="0" fillId="0" borderId="0" xfId="0" pivotButton="1"/>
    <xf numFmtId="0" fontId="0" fillId="0" borderId="0" xfId="0" applyAlignment="1">
      <alignment horizontal="left"/>
    </xf>
    <xf numFmtId="0" fontId="0" fillId="35" borderId="11" xfId="0" applyFill="1" applyBorder="1" applyAlignment="1">
      <alignment horizontal="center" vertical="center"/>
    </xf>
    <xf numFmtId="0" fontId="0" fillId="51" borderId="11" xfId="0" applyFill="1" applyBorder="1" applyAlignment="1">
      <alignment horizontal="center" vertical="center"/>
    </xf>
    <xf numFmtId="0" fontId="0" fillId="52" borderId="11" xfId="0" applyFill="1" applyBorder="1" applyAlignment="1">
      <alignment horizontal="center" vertical="center"/>
    </xf>
    <xf numFmtId="0" fontId="0" fillId="36" borderId="11" xfId="0" applyFill="1" applyBorder="1" applyAlignment="1">
      <alignment horizontal="center" vertical="center"/>
    </xf>
    <xf numFmtId="14" fontId="21" fillId="0" borderId="11" xfId="0" applyNumberFormat="1" applyFont="1" applyBorder="1" applyAlignment="1">
      <alignment horizontal="center" vertical="center"/>
    </xf>
    <xf numFmtId="0" fontId="0" fillId="54" borderId="0" xfId="0" applyFill="1"/>
    <xf numFmtId="0" fontId="28" fillId="33" borderId="0" xfId="0" applyFont="1" applyFill="1" applyAlignment="1">
      <alignment horizontal="center" vertical="center"/>
    </xf>
    <xf numFmtId="0" fontId="28" fillId="42" borderId="11" xfId="0" applyFont="1" applyFill="1" applyBorder="1" applyAlignment="1">
      <alignment horizontal="center" vertical="center"/>
    </xf>
    <xf numFmtId="0" fontId="28" fillId="34" borderId="11" xfId="0" applyFont="1" applyFill="1" applyBorder="1" applyAlignment="1">
      <alignment horizontal="center" vertical="center"/>
    </xf>
    <xf numFmtId="0" fontId="27" fillId="42" borderId="11" xfId="0" applyFont="1" applyFill="1" applyBorder="1" applyAlignment="1">
      <alignment horizontal="center" vertical="center"/>
    </xf>
    <xf numFmtId="0" fontId="27" fillId="34" borderId="11" xfId="0" applyFont="1" applyFill="1" applyBorder="1" applyAlignment="1">
      <alignment horizontal="center" vertical="center"/>
    </xf>
    <xf numFmtId="0" fontId="16" fillId="42" borderId="11" xfId="0" applyFont="1" applyFill="1" applyBorder="1" applyAlignment="1">
      <alignment horizontal="center" vertical="center"/>
    </xf>
    <xf numFmtId="0" fontId="16" fillId="34" borderId="11" xfId="0" applyFont="1" applyFill="1" applyBorder="1" applyAlignment="1">
      <alignment horizontal="center" vertical="center"/>
    </xf>
    <xf numFmtId="0" fontId="28" fillId="33" borderId="11" xfId="0" applyFont="1" applyFill="1" applyBorder="1" applyAlignment="1">
      <alignment horizontal="center" vertical="center"/>
    </xf>
    <xf numFmtId="166" fontId="21" fillId="0" borderId="0" xfId="0" applyNumberFormat="1" applyFont="1" applyAlignment="1">
      <alignment horizontal="center" vertical="center"/>
    </xf>
    <xf numFmtId="0" fontId="31" fillId="0" borderId="11" xfId="0" applyFont="1" applyBorder="1" applyAlignment="1">
      <alignment horizontal="center" vertical="center"/>
    </xf>
    <xf numFmtId="0" fontId="31" fillId="0" borderId="11" xfId="0" applyFont="1" applyBorder="1"/>
    <xf numFmtId="168" fontId="31" fillId="0" borderId="11" xfId="0" applyNumberFormat="1" applyFont="1" applyBorder="1" applyAlignment="1">
      <alignment horizontal="center"/>
    </xf>
    <xf numFmtId="2" fontId="31" fillId="0" borderId="11" xfId="0" applyNumberFormat="1" applyFont="1" applyBorder="1" applyAlignment="1">
      <alignment horizontal="center" vertical="center"/>
    </xf>
    <xf numFmtId="164" fontId="31" fillId="0" borderId="11" xfId="42" applyNumberFormat="1" applyFont="1" applyBorder="1" applyAlignment="1">
      <alignment horizontal="center" vertical="center"/>
    </xf>
    <xf numFmtId="166" fontId="31" fillId="0" borderId="11" xfId="0" applyNumberFormat="1" applyFont="1" applyBorder="1" applyAlignment="1">
      <alignment horizontal="center" vertical="center"/>
    </xf>
    <xf numFmtId="167" fontId="31" fillId="0" borderId="11" xfId="0" applyNumberFormat="1" applyFont="1" applyBorder="1" applyAlignment="1">
      <alignment horizontal="center" vertical="center"/>
    </xf>
    <xf numFmtId="167" fontId="20" fillId="0" borderId="11" xfId="0" applyNumberFormat="1" applyFont="1" applyBorder="1" applyAlignment="1">
      <alignment horizontal="center" vertical="center"/>
    </xf>
    <xf numFmtId="0" fontId="32" fillId="37" borderId="11" xfId="0" applyFont="1" applyFill="1" applyBorder="1" applyAlignment="1">
      <alignment horizontal="center" vertical="center"/>
    </xf>
    <xf numFmtId="0" fontId="31" fillId="0" borderId="18" xfId="0" applyFont="1" applyBorder="1" applyAlignment="1">
      <alignment horizontal="center" vertical="center"/>
    </xf>
    <xf numFmtId="0" fontId="31" fillId="0" borderId="18" xfId="0" applyFont="1" applyBorder="1"/>
    <xf numFmtId="168" fontId="31" fillId="0" borderId="18" xfId="0" applyNumberFormat="1" applyFont="1" applyBorder="1" applyAlignment="1">
      <alignment horizontal="center"/>
    </xf>
    <xf numFmtId="164" fontId="31" fillId="0" borderId="18" xfId="42" applyNumberFormat="1" applyFont="1" applyBorder="1" applyAlignment="1">
      <alignment horizontal="center" vertical="center"/>
    </xf>
    <xf numFmtId="166" fontId="31" fillId="0" borderId="18" xfId="0" applyNumberFormat="1" applyFont="1" applyBorder="1" applyAlignment="1">
      <alignment horizontal="center" vertical="center"/>
    </xf>
    <xf numFmtId="167" fontId="31" fillId="0" borderId="18" xfId="0" applyNumberFormat="1" applyFont="1" applyBorder="1" applyAlignment="1">
      <alignment horizontal="center" vertical="center"/>
    </xf>
    <xf numFmtId="0" fontId="31" fillId="0" borderId="12" xfId="0" applyFont="1" applyBorder="1" applyAlignment="1">
      <alignment horizontal="center" vertical="center"/>
    </xf>
    <xf numFmtId="0" fontId="31" fillId="0" borderId="12" xfId="0" applyFont="1" applyBorder="1"/>
    <xf numFmtId="168" fontId="31" fillId="0" borderId="12" xfId="0" applyNumberFormat="1" applyFont="1" applyBorder="1" applyAlignment="1">
      <alignment horizontal="center"/>
    </xf>
    <xf numFmtId="164" fontId="31" fillId="0" borderId="12" xfId="42" applyNumberFormat="1" applyFont="1" applyBorder="1" applyAlignment="1">
      <alignment horizontal="center" vertical="center"/>
    </xf>
    <xf numFmtId="166" fontId="31" fillId="0" borderId="12" xfId="0" applyNumberFormat="1" applyFont="1" applyBorder="1" applyAlignment="1">
      <alignment horizontal="center" vertical="center"/>
    </xf>
    <xf numFmtId="167" fontId="31" fillId="0" borderId="12" xfId="0" applyNumberFormat="1" applyFont="1" applyBorder="1" applyAlignment="1">
      <alignment horizontal="center" vertical="center"/>
    </xf>
    <xf numFmtId="6" fontId="31" fillId="0" borderId="12" xfId="0" applyNumberFormat="1" applyFont="1" applyBorder="1" applyAlignment="1">
      <alignment horizontal="center" vertical="center"/>
    </xf>
    <xf numFmtId="0" fontId="31" fillId="49" borderId="11" xfId="0" applyFont="1" applyFill="1" applyBorder="1" applyAlignment="1">
      <alignment horizontal="center" vertical="center"/>
    </xf>
    <xf numFmtId="6" fontId="31" fillId="0" borderId="18" xfId="0" applyNumberFormat="1" applyFont="1" applyBorder="1" applyAlignment="1">
      <alignment horizontal="center" vertical="center"/>
    </xf>
    <xf numFmtId="165" fontId="31" fillId="0" borderId="12" xfId="0" applyNumberFormat="1" applyFont="1" applyBorder="1" applyAlignment="1">
      <alignment horizontal="center" vertical="center"/>
    </xf>
    <xf numFmtId="165" fontId="31" fillId="0" borderId="11" xfId="0" applyNumberFormat="1" applyFont="1" applyBorder="1" applyAlignment="1">
      <alignment horizontal="center" vertical="center"/>
    </xf>
    <xf numFmtId="165" fontId="31" fillId="0" borderId="18" xfId="0" applyNumberFormat="1" applyFont="1" applyBorder="1" applyAlignment="1">
      <alignment horizontal="center" vertical="center"/>
    </xf>
    <xf numFmtId="167" fontId="25" fillId="0" borderId="12" xfId="0" applyNumberFormat="1" applyFont="1" applyBorder="1" applyAlignment="1">
      <alignment horizontal="center"/>
    </xf>
    <xf numFmtId="167" fontId="25" fillId="0" borderId="11" xfId="0" applyNumberFormat="1" applyFont="1" applyBorder="1" applyAlignment="1">
      <alignment horizontal="center"/>
    </xf>
    <xf numFmtId="167" fontId="25" fillId="0" borderId="18" xfId="0" applyNumberFormat="1" applyFont="1" applyBorder="1" applyAlignment="1">
      <alignment horizontal="center"/>
    </xf>
    <xf numFmtId="167" fontId="31" fillId="0" borderId="11" xfId="42" applyNumberFormat="1" applyFont="1" applyBorder="1" applyAlignment="1">
      <alignment horizontal="center" vertical="center"/>
    </xf>
    <xf numFmtId="167" fontId="31" fillId="0" borderId="12" xfId="42" applyNumberFormat="1" applyFont="1" applyBorder="1" applyAlignment="1">
      <alignment horizontal="center" vertical="center"/>
    </xf>
    <xf numFmtId="167" fontId="31" fillId="0" borderId="18" xfId="42" applyNumberFormat="1" applyFont="1" applyBorder="1" applyAlignment="1">
      <alignment horizontal="center" vertical="center"/>
    </xf>
    <xf numFmtId="0" fontId="18" fillId="0" borderId="11" xfId="0" applyFont="1" applyBorder="1" applyAlignment="1">
      <alignment horizontal="center" vertical="center"/>
    </xf>
    <xf numFmtId="169" fontId="18" fillId="0" borderId="11" xfId="0" applyNumberFormat="1" applyFont="1" applyBorder="1" applyAlignment="1">
      <alignment horizontal="center" vertical="center"/>
    </xf>
    <xf numFmtId="2" fontId="18" fillId="0" borderId="11" xfId="0" applyNumberFormat="1" applyFont="1" applyBorder="1" applyAlignment="1">
      <alignment horizontal="center" vertical="center"/>
    </xf>
    <xf numFmtId="164" fontId="31" fillId="0" borderId="11" xfId="42" applyNumberFormat="1" applyFont="1" applyFill="1" applyBorder="1" applyAlignment="1">
      <alignment horizontal="center" vertical="center"/>
    </xf>
    <xf numFmtId="0" fontId="31" fillId="57" borderId="11" xfId="0" applyFont="1" applyFill="1" applyBorder="1" applyAlignment="1">
      <alignment horizontal="center" vertical="center"/>
    </xf>
    <xf numFmtId="166" fontId="31" fillId="57" borderId="11" xfId="0" applyNumberFormat="1" applyFont="1" applyFill="1" applyBorder="1" applyAlignment="1">
      <alignment horizontal="center" vertical="center"/>
    </xf>
    <xf numFmtId="167" fontId="31" fillId="57" borderId="11" xfId="0" applyNumberFormat="1" applyFont="1" applyFill="1" applyBorder="1" applyAlignment="1">
      <alignment horizontal="center" vertical="center"/>
    </xf>
    <xf numFmtId="166" fontId="31" fillId="58" borderId="11" xfId="0" applyNumberFormat="1" applyFont="1" applyFill="1" applyBorder="1" applyAlignment="1">
      <alignment horizontal="center" vertical="center"/>
    </xf>
    <xf numFmtId="166" fontId="31" fillId="56" borderId="11" xfId="0" applyNumberFormat="1" applyFont="1" applyFill="1" applyBorder="1" applyAlignment="1">
      <alignment horizontal="center" vertical="center"/>
    </xf>
    <xf numFmtId="165" fontId="31" fillId="56" borderId="11" xfId="0" applyNumberFormat="1" applyFont="1" applyFill="1" applyBorder="1" applyAlignment="1">
      <alignment horizontal="center" vertical="center"/>
    </xf>
    <xf numFmtId="0" fontId="16" fillId="41" borderId="14" xfId="0" applyFont="1" applyFill="1" applyBorder="1" applyAlignment="1">
      <alignment horizontal="center" vertical="center"/>
    </xf>
    <xf numFmtId="9" fontId="16" fillId="37" borderId="11" xfId="42" quotePrefix="1" applyFont="1" applyFill="1" applyBorder="1" applyAlignment="1">
      <alignment horizontal="center" vertical="center"/>
    </xf>
    <xf numFmtId="0" fontId="32" fillId="41" borderId="11" xfId="0" applyFont="1" applyFill="1" applyBorder="1" applyAlignment="1">
      <alignment horizontal="center" vertical="center"/>
    </xf>
    <xf numFmtId="0" fontId="32" fillId="0" borderId="11" xfId="0" applyFont="1" applyBorder="1" applyAlignment="1">
      <alignment horizontal="center" vertical="center"/>
    </xf>
    <xf numFmtId="0" fontId="31" fillId="39" borderId="11" xfId="0" applyFont="1" applyFill="1" applyBorder="1" applyAlignment="1">
      <alignment horizontal="center" vertical="center" wrapText="1"/>
    </xf>
    <xf numFmtId="0" fontId="21" fillId="39" borderId="11" xfId="0" applyFont="1" applyFill="1" applyBorder="1" applyAlignment="1">
      <alignment horizontal="center" vertical="center" wrapText="1"/>
    </xf>
    <xf numFmtId="164" fontId="21" fillId="37" borderId="11" xfId="0" applyNumberFormat="1" applyFont="1" applyFill="1" applyBorder="1" applyAlignment="1">
      <alignment horizontal="center" vertical="center"/>
    </xf>
    <xf numFmtId="0" fontId="35" fillId="39" borderId="11" xfId="0" applyFont="1" applyFill="1" applyBorder="1" applyAlignment="1">
      <alignment horizontal="center" vertical="center"/>
    </xf>
    <xf numFmtId="164" fontId="21" fillId="37" borderId="19" xfId="0" applyNumberFormat="1" applyFont="1" applyFill="1" applyBorder="1" applyAlignment="1">
      <alignment horizontal="center" vertical="center"/>
    </xf>
    <xf numFmtId="0" fontId="16" fillId="0" borderId="0" xfId="0" applyFont="1"/>
    <xf numFmtId="0" fontId="31" fillId="48" borderId="11" xfId="0" applyFont="1" applyFill="1" applyBorder="1" applyAlignment="1">
      <alignment horizontal="center" vertical="center" wrapText="1"/>
    </xf>
    <xf numFmtId="0" fontId="31" fillId="0" borderId="16" xfId="0" applyFont="1" applyBorder="1" applyAlignment="1">
      <alignment horizontal="center" vertical="center" wrapText="1"/>
    </xf>
    <xf numFmtId="0" fontId="31" fillId="46" borderId="11" xfId="0" applyFont="1" applyFill="1" applyBorder="1" applyAlignment="1">
      <alignment horizontal="center" vertical="center" wrapText="1"/>
    </xf>
    <xf numFmtId="0" fontId="31" fillId="43" borderId="11" xfId="0" applyFont="1" applyFill="1" applyBorder="1" applyAlignment="1">
      <alignment horizontal="center" vertical="center" wrapText="1"/>
    </xf>
    <xf numFmtId="0" fontId="35" fillId="48" borderId="11" xfId="0" applyFont="1" applyFill="1" applyBorder="1" applyAlignment="1">
      <alignment horizontal="center" vertical="center"/>
    </xf>
    <xf numFmtId="0" fontId="35" fillId="43" borderId="11" xfId="0" applyFont="1" applyFill="1" applyBorder="1" applyAlignment="1">
      <alignment horizontal="center" vertical="center"/>
    </xf>
    <xf numFmtId="0" fontId="35" fillId="46" borderId="11" xfId="0" applyFont="1" applyFill="1" applyBorder="1" applyAlignment="1">
      <alignment horizontal="center" vertical="center"/>
    </xf>
    <xf numFmtId="9" fontId="21" fillId="37" borderId="19" xfId="0" applyNumberFormat="1" applyFont="1" applyFill="1" applyBorder="1" applyAlignment="1">
      <alignment horizontal="center" vertical="center"/>
    </xf>
    <xf numFmtId="0" fontId="31" fillId="59" borderId="11" xfId="0" applyFont="1" applyFill="1" applyBorder="1" applyAlignment="1">
      <alignment horizontal="center" vertical="center" wrapText="1"/>
    </xf>
    <xf numFmtId="0" fontId="37" fillId="59" borderId="11" xfId="0" applyFont="1" applyFill="1" applyBorder="1" applyAlignment="1">
      <alignment horizontal="center" vertical="center"/>
    </xf>
    <xf numFmtId="164" fontId="21" fillId="52" borderId="11" xfId="0" applyNumberFormat="1" applyFont="1" applyFill="1" applyBorder="1" applyAlignment="1">
      <alignment horizontal="center" vertical="center"/>
    </xf>
    <xf numFmtId="0" fontId="21" fillId="45" borderId="14" xfId="0" applyFont="1" applyFill="1" applyBorder="1" applyAlignment="1">
      <alignment horizontal="center" vertical="center" wrapText="1"/>
    </xf>
    <xf numFmtId="0" fontId="31" fillId="45" borderId="11" xfId="0" applyFont="1" applyFill="1" applyBorder="1" applyAlignment="1">
      <alignment horizontal="center" vertical="center" wrapText="1"/>
    </xf>
    <xf numFmtId="0" fontId="37" fillId="45" borderId="14" xfId="0" applyFont="1" applyFill="1" applyBorder="1" applyAlignment="1">
      <alignment horizontal="center" vertical="center"/>
    </xf>
    <xf numFmtId="0" fontId="31" fillId="60" borderId="11" xfId="0" applyFont="1" applyFill="1" applyBorder="1" applyAlignment="1">
      <alignment horizontal="center" vertical="center" wrapText="1"/>
    </xf>
    <xf numFmtId="0" fontId="37" fillId="60" borderId="11" xfId="0" applyFont="1" applyFill="1" applyBorder="1" applyAlignment="1">
      <alignment horizontal="center" vertical="center"/>
    </xf>
    <xf numFmtId="0" fontId="31" fillId="61" borderId="11" xfId="0" applyFont="1" applyFill="1" applyBorder="1" applyAlignment="1">
      <alignment horizontal="center" vertical="center" wrapText="1"/>
    </xf>
    <xf numFmtId="0" fontId="37" fillId="61" borderId="11" xfId="0" applyFont="1" applyFill="1" applyBorder="1" applyAlignment="1">
      <alignment horizontal="center" vertical="center"/>
    </xf>
    <xf numFmtId="9" fontId="21" fillId="52" borderId="19" xfId="0" applyNumberFormat="1" applyFont="1" applyFill="1" applyBorder="1" applyAlignment="1">
      <alignment horizontal="center" vertical="center"/>
    </xf>
    <xf numFmtId="0" fontId="0" fillId="39" borderId="13" xfId="0" applyFill="1" applyBorder="1"/>
    <xf numFmtId="6" fontId="31" fillId="0" borderId="11" xfId="0" applyNumberFormat="1" applyFont="1" applyBorder="1" applyAlignment="1">
      <alignment horizontal="center" vertical="center"/>
    </xf>
    <xf numFmtId="0" fontId="36" fillId="36" borderId="13" xfId="0" applyFont="1" applyFill="1" applyBorder="1" applyAlignment="1">
      <alignment vertical="center"/>
    </xf>
    <xf numFmtId="0" fontId="18" fillId="36" borderId="11" xfId="0" applyFont="1" applyFill="1" applyBorder="1" applyAlignment="1">
      <alignment horizontal="center" vertical="center"/>
    </xf>
    <xf numFmtId="0" fontId="18" fillId="39" borderId="11" xfId="0" applyFont="1" applyFill="1" applyBorder="1" applyAlignment="1">
      <alignment horizontal="center" vertical="center"/>
    </xf>
    <xf numFmtId="0" fontId="39" fillId="36" borderId="12" xfId="0" applyFont="1" applyFill="1" applyBorder="1" applyAlignment="1">
      <alignment horizontal="center" vertical="center"/>
    </xf>
    <xf numFmtId="0" fontId="40" fillId="39" borderId="12" xfId="0" applyFont="1" applyFill="1" applyBorder="1" applyAlignment="1">
      <alignment horizontal="center" vertical="center"/>
    </xf>
    <xf numFmtId="165" fontId="22" fillId="0" borderId="12" xfId="0" applyNumberFormat="1" applyFont="1" applyBorder="1" applyAlignment="1">
      <alignment horizontal="center"/>
    </xf>
    <xf numFmtId="165" fontId="22" fillId="0" borderId="18" xfId="0" applyNumberFormat="1" applyFont="1" applyBorder="1" applyAlignment="1">
      <alignment horizontal="center"/>
    </xf>
    <xf numFmtId="165" fontId="22" fillId="0" borderId="11" xfId="0" applyNumberFormat="1" applyFont="1" applyBorder="1" applyAlignment="1">
      <alignment horizontal="center"/>
    </xf>
    <xf numFmtId="0" fontId="31" fillId="37" borderId="11" xfId="0" applyFont="1" applyFill="1" applyBorder="1" applyAlignment="1">
      <alignment horizontal="center" vertical="center"/>
    </xf>
    <xf numFmtId="22" fontId="0" fillId="0" borderId="0" xfId="0" applyNumberFormat="1"/>
    <xf numFmtId="0" fontId="27" fillId="0" borderId="0" xfId="0" applyFont="1"/>
    <xf numFmtId="0" fontId="0" fillId="63" borderId="11" xfId="0" applyFill="1" applyBorder="1" applyAlignment="1">
      <alignment horizontal="center" vertical="center"/>
    </xf>
    <xf numFmtId="0" fontId="0" fillId="62" borderId="11" xfId="0" applyFill="1" applyBorder="1" applyAlignment="1">
      <alignment horizontal="center" vertical="center"/>
    </xf>
    <xf numFmtId="0" fontId="17" fillId="64" borderId="11" xfId="0" applyFont="1" applyFill="1" applyBorder="1" applyAlignment="1">
      <alignment horizontal="center" vertical="center"/>
    </xf>
    <xf numFmtId="0" fontId="0" fillId="54" borderId="11" xfId="0" applyFill="1" applyBorder="1" applyAlignment="1">
      <alignment horizontal="center" vertical="center"/>
    </xf>
    <xf numFmtId="0" fontId="0" fillId="65" borderId="11" xfId="0" applyFill="1" applyBorder="1" applyAlignment="1">
      <alignment horizontal="center" vertical="center"/>
    </xf>
    <xf numFmtId="0" fontId="0" fillId="66" borderId="11" xfId="0" applyFill="1" applyBorder="1" applyAlignment="1">
      <alignment horizontal="center" vertical="center"/>
    </xf>
    <xf numFmtId="0" fontId="0" fillId="67" borderId="11" xfId="0" applyFill="1" applyBorder="1" applyAlignment="1">
      <alignment horizontal="center" vertical="center"/>
    </xf>
    <xf numFmtId="0" fontId="31" fillId="63" borderId="11" xfId="0" applyFont="1" applyFill="1" applyBorder="1" applyAlignment="1">
      <alignment horizontal="center" vertical="center"/>
    </xf>
    <xf numFmtId="0" fontId="31" fillId="56" borderId="12" xfId="0" applyFont="1" applyFill="1" applyBorder="1" applyAlignment="1">
      <alignment horizontal="center" vertical="center" wrapText="1"/>
    </xf>
    <xf numFmtId="0" fontId="36" fillId="56" borderId="15" xfId="0" applyFont="1" applyFill="1" applyBorder="1" applyAlignment="1">
      <alignment horizontal="center"/>
    </xf>
    <xf numFmtId="0" fontId="18" fillId="56" borderId="13" xfId="0" applyFont="1" applyFill="1" applyBorder="1" applyAlignment="1">
      <alignment horizontal="center" vertical="center"/>
    </xf>
    <xf numFmtId="1" fontId="19" fillId="56" borderId="11" xfId="0" applyNumberFormat="1" applyFont="1" applyFill="1" applyBorder="1" applyAlignment="1">
      <alignment horizontal="center" vertical="center"/>
    </xf>
    <xf numFmtId="9" fontId="19" fillId="56" borderId="11" xfId="42" applyFont="1" applyFill="1" applyBorder="1" applyAlignment="1">
      <alignment horizontal="center" vertical="center"/>
    </xf>
    <xf numFmtId="6" fontId="31" fillId="57" borderId="11" xfId="0" applyNumberFormat="1" applyFont="1" applyFill="1" applyBorder="1" applyAlignment="1">
      <alignment horizontal="center" vertical="center"/>
    </xf>
    <xf numFmtId="0" fontId="19" fillId="52" borderId="15" xfId="0" applyFont="1" applyFill="1" applyBorder="1" applyAlignment="1">
      <alignment vertical="center" wrapText="1"/>
    </xf>
    <xf numFmtId="0" fontId="19" fillId="59" borderId="15" xfId="0" applyFont="1" applyFill="1" applyBorder="1" applyAlignment="1">
      <alignment vertical="center" wrapText="1"/>
    </xf>
    <xf numFmtId="2" fontId="31" fillId="39" borderId="11" xfId="0" applyNumberFormat="1" applyFont="1" applyFill="1" applyBorder="1" applyAlignment="1">
      <alignment horizontal="center" vertical="center"/>
    </xf>
    <xf numFmtId="0" fontId="31" fillId="39" borderId="11" xfId="0" applyFont="1" applyFill="1" applyBorder="1" applyAlignment="1">
      <alignment horizontal="center" vertical="center"/>
    </xf>
    <xf numFmtId="0" fontId="31" fillId="39" borderId="18" xfId="0" applyFont="1" applyFill="1" applyBorder="1" applyAlignment="1">
      <alignment horizontal="center" vertical="center"/>
    </xf>
    <xf numFmtId="0" fontId="31" fillId="39" borderId="12" xfId="0" applyFont="1" applyFill="1" applyBorder="1" applyAlignment="1">
      <alignment horizontal="center" vertical="center"/>
    </xf>
    <xf numFmtId="0" fontId="34" fillId="39" borderId="11" xfId="0" applyFont="1" applyFill="1" applyBorder="1" applyAlignment="1">
      <alignment horizontal="center" vertical="center"/>
    </xf>
    <xf numFmtId="168" fontId="44" fillId="50" borderId="11" xfId="0" applyNumberFormat="1" applyFont="1" applyFill="1" applyBorder="1" applyAlignment="1">
      <alignment horizontal="center" vertical="center" wrapText="1"/>
    </xf>
    <xf numFmtId="168" fontId="44" fillId="68" borderId="11" xfId="0" applyNumberFormat="1" applyFont="1" applyFill="1" applyBorder="1" applyAlignment="1">
      <alignment horizontal="center" vertical="center" wrapText="1"/>
    </xf>
    <xf numFmtId="6" fontId="31" fillId="52" borderId="12" xfId="42" applyNumberFormat="1" applyFont="1" applyFill="1" applyBorder="1" applyAlignment="1">
      <alignment horizontal="center" vertical="center"/>
    </xf>
    <xf numFmtId="6" fontId="31" fillId="52" borderId="12" xfId="0" applyNumberFormat="1" applyFont="1" applyFill="1" applyBorder="1" applyAlignment="1">
      <alignment horizontal="center" vertical="center"/>
    </xf>
    <xf numFmtId="6" fontId="31" fillId="52" borderId="18" xfId="0" applyNumberFormat="1" applyFont="1" applyFill="1" applyBorder="1" applyAlignment="1">
      <alignment horizontal="center" vertical="center"/>
    </xf>
    <xf numFmtId="6" fontId="31" fillId="52" borderId="11" xfId="0" applyNumberFormat="1" applyFont="1" applyFill="1" applyBorder="1" applyAlignment="1">
      <alignment horizontal="center"/>
    </xf>
    <xf numFmtId="6" fontId="31" fillId="52" borderId="11" xfId="0" applyNumberFormat="1" applyFont="1" applyFill="1" applyBorder="1" applyAlignment="1">
      <alignment horizontal="center" vertical="center"/>
    </xf>
    <xf numFmtId="0" fontId="19" fillId="38" borderId="15" xfId="0" applyFont="1" applyFill="1" applyBorder="1" applyAlignment="1">
      <alignment vertical="center" wrapText="1"/>
    </xf>
    <xf numFmtId="6" fontId="31" fillId="38" borderId="12" xfId="0" applyNumberFormat="1" applyFont="1" applyFill="1" applyBorder="1" applyAlignment="1">
      <alignment horizontal="center" vertical="center"/>
    </xf>
    <xf numFmtId="6" fontId="31" fillId="38" borderId="18" xfId="0" applyNumberFormat="1" applyFont="1" applyFill="1" applyBorder="1" applyAlignment="1">
      <alignment horizontal="center" vertical="center"/>
    </xf>
    <xf numFmtId="6" fontId="31" fillId="38" borderId="11" xfId="0" applyNumberFormat="1" applyFont="1" applyFill="1" applyBorder="1" applyAlignment="1">
      <alignment horizontal="center"/>
    </xf>
    <xf numFmtId="6" fontId="31" fillId="38" borderId="11" xfId="0" applyNumberFormat="1" applyFont="1" applyFill="1" applyBorder="1" applyAlignment="1">
      <alignment horizontal="center" vertical="center"/>
    </xf>
    <xf numFmtId="6" fontId="31" fillId="59" borderId="12" xfId="0" applyNumberFormat="1" applyFont="1" applyFill="1" applyBorder="1" applyAlignment="1">
      <alignment horizontal="center" vertical="center"/>
    </xf>
    <xf numFmtId="6" fontId="31" fillId="59" borderId="18" xfId="0" applyNumberFormat="1" applyFont="1" applyFill="1" applyBorder="1" applyAlignment="1">
      <alignment horizontal="center" vertical="center"/>
    </xf>
    <xf numFmtId="6" fontId="31" fillId="59" borderId="11" xfId="0" applyNumberFormat="1" applyFont="1" applyFill="1" applyBorder="1" applyAlignment="1">
      <alignment horizontal="center"/>
    </xf>
    <xf numFmtId="6" fontId="31" fillId="59" borderId="11" xfId="0" applyNumberFormat="1" applyFont="1" applyFill="1" applyBorder="1" applyAlignment="1">
      <alignment horizontal="center" vertical="center"/>
    </xf>
    <xf numFmtId="6" fontId="31" fillId="52" borderId="18" xfId="42" applyNumberFormat="1" applyFont="1" applyFill="1" applyBorder="1" applyAlignment="1">
      <alignment horizontal="center" vertical="center"/>
    </xf>
    <xf numFmtId="0" fontId="45" fillId="43" borderId="10" xfId="0" applyFont="1" applyFill="1" applyBorder="1" applyAlignment="1">
      <alignment vertical="center"/>
    </xf>
    <xf numFmtId="0" fontId="48" fillId="43" borderId="0" xfId="0" applyFont="1" applyFill="1" applyAlignment="1">
      <alignment horizontal="center"/>
    </xf>
    <xf numFmtId="0" fontId="45" fillId="43" borderId="0" xfId="0" applyFont="1" applyFill="1" applyAlignment="1">
      <alignment vertical="center"/>
    </xf>
    <xf numFmtId="0" fontId="45" fillId="43" borderId="21" xfId="0" applyFont="1" applyFill="1" applyBorder="1" applyAlignment="1">
      <alignment vertical="center"/>
    </xf>
    <xf numFmtId="0" fontId="30" fillId="43" borderId="19" xfId="0" applyFont="1" applyFill="1" applyBorder="1" applyAlignment="1">
      <alignment horizontal="center" vertical="center" wrapText="1"/>
    </xf>
    <xf numFmtId="168" fontId="44" fillId="47" borderId="11" xfId="0" applyNumberFormat="1" applyFont="1" applyFill="1" applyBorder="1" applyAlignment="1">
      <alignment horizontal="center" vertical="center" wrapText="1"/>
    </xf>
    <xf numFmtId="168" fontId="44" fillId="63" borderId="11" xfId="0" applyNumberFormat="1" applyFont="1" applyFill="1" applyBorder="1" applyAlignment="1">
      <alignment horizontal="center" vertical="center" wrapText="1"/>
    </xf>
    <xf numFmtId="168" fontId="44" fillId="43" borderId="11" xfId="0" applyNumberFormat="1" applyFont="1" applyFill="1" applyBorder="1" applyAlignment="1">
      <alignment horizontal="center" vertical="center" wrapText="1"/>
    </xf>
    <xf numFmtId="0" fontId="32" fillId="43" borderId="11" xfId="0" applyFont="1" applyFill="1" applyBorder="1" applyAlignment="1">
      <alignment horizontal="right" vertical="center" wrapText="1"/>
    </xf>
    <xf numFmtId="168" fontId="44" fillId="52" borderId="11" xfId="0" applyNumberFormat="1" applyFont="1" applyFill="1" applyBorder="1" applyAlignment="1">
      <alignment horizontal="center" vertical="center" wrapText="1"/>
    </xf>
    <xf numFmtId="0" fontId="22" fillId="39" borderId="15" xfId="0" applyFont="1" applyFill="1" applyBorder="1" applyAlignment="1">
      <alignment horizontal="left" vertical="top" wrapText="1"/>
    </xf>
    <xf numFmtId="168" fontId="44" fillId="46" borderId="11" xfId="0" applyNumberFormat="1" applyFont="1" applyFill="1" applyBorder="1" applyAlignment="1">
      <alignment horizontal="center" vertical="center" wrapText="1"/>
    </xf>
    <xf numFmtId="167" fontId="31" fillId="37" borderId="11" xfId="0" applyNumberFormat="1" applyFont="1" applyFill="1" applyBorder="1" applyAlignment="1">
      <alignment horizontal="center" vertical="center"/>
    </xf>
    <xf numFmtId="168" fontId="47" fillId="61" borderId="11" xfId="0" applyNumberFormat="1" applyFont="1" applyFill="1" applyBorder="1" applyAlignment="1">
      <alignment horizontal="center" vertical="center" wrapText="1"/>
    </xf>
    <xf numFmtId="0" fontId="19" fillId="47" borderId="15" xfId="0" applyFont="1" applyFill="1" applyBorder="1" applyAlignment="1">
      <alignment vertical="top" wrapText="1"/>
    </xf>
    <xf numFmtId="0" fontId="19" fillId="47" borderId="15" xfId="0" applyFont="1" applyFill="1" applyBorder="1" applyAlignment="1">
      <alignment horizontal="left" vertical="top" wrapText="1"/>
    </xf>
    <xf numFmtId="167" fontId="0" fillId="0" borderId="0" xfId="0" applyNumberFormat="1"/>
    <xf numFmtId="168" fontId="44" fillId="69" borderId="11" xfId="0" applyNumberFormat="1" applyFont="1" applyFill="1" applyBorder="1" applyAlignment="1">
      <alignment horizontal="center" vertical="center" wrapText="1"/>
    </xf>
    <xf numFmtId="165" fontId="31" fillId="39" borderId="11" xfId="0" applyNumberFormat="1" applyFont="1" applyFill="1" applyBorder="1" applyAlignment="1">
      <alignment horizontal="center" vertical="center"/>
    </xf>
    <xf numFmtId="1" fontId="31" fillId="39" borderId="11" xfId="0" applyNumberFormat="1" applyFont="1" applyFill="1" applyBorder="1" applyAlignment="1">
      <alignment horizontal="center" vertical="center"/>
    </xf>
    <xf numFmtId="166" fontId="31" fillId="39" borderId="11" xfId="0" applyNumberFormat="1" applyFont="1" applyFill="1" applyBorder="1" applyAlignment="1">
      <alignment horizontal="center" vertical="center"/>
    </xf>
    <xf numFmtId="1" fontId="31" fillId="39" borderId="18" xfId="0" applyNumberFormat="1" applyFont="1" applyFill="1" applyBorder="1" applyAlignment="1">
      <alignment horizontal="center" vertical="center"/>
    </xf>
    <xf numFmtId="166" fontId="31" fillId="39" borderId="18" xfId="0" applyNumberFormat="1" applyFont="1" applyFill="1" applyBorder="1" applyAlignment="1">
      <alignment horizontal="center" vertical="center"/>
    </xf>
    <xf numFmtId="1" fontId="31" fillId="39" borderId="12" xfId="0" applyNumberFormat="1" applyFont="1" applyFill="1" applyBorder="1" applyAlignment="1">
      <alignment horizontal="center" vertical="center"/>
    </xf>
    <xf numFmtId="166" fontId="31" fillId="39" borderId="12" xfId="0" applyNumberFormat="1" applyFont="1" applyFill="1" applyBorder="1" applyAlignment="1">
      <alignment horizontal="center" vertical="center"/>
    </xf>
    <xf numFmtId="167" fontId="31" fillId="0" borderId="11" xfId="0" applyNumberFormat="1" applyFont="1" applyBorder="1" applyAlignment="1">
      <alignment horizontal="center"/>
    </xf>
    <xf numFmtId="168" fontId="44" fillId="44" borderId="11" xfId="0" applyNumberFormat="1" applyFont="1" applyFill="1" applyBorder="1" applyAlignment="1">
      <alignment horizontal="center" vertical="center" wrapText="1"/>
    </xf>
    <xf numFmtId="167" fontId="32" fillId="0" borderId="11" xfId="0" applyNumberFormat="1" applyFont="1" applyBorder="1" applyAlignment="1">
      <alignment horizontal="center" vertical="center"/>
    </xf>
    <xf numFmtId="167" fontId="32" fillId="0" borderId="18" xfId="0" applyNumberFormat="1" applyFont="1" applyBorder="1" applyAlignment="1">
      <alignment horizontal="center" vertical="center"/>
    </xf>
    <xf numFmtId="167" fontId="32" fillId="0" borderId="12" xfId="0" applyNumberFormat="1" applyFont="1" applyBorder="1" applyAlignment="1">
      <alignment horizontal="center" vertical="center"/>
    </xf>
    <xf numFmtId="6" fontId="31" fillId="56" borderId="11" xfId="0" applyNumberFormat="1" applyFont="1" applyFill="1" applyBorder="1" applyAlignment="1">
      <alignment horizontal="center" vertical="center"/>
    </xf>
    <xf numFmtId="6" fontId="31" fillId="0" borderId="11" xfId="0" applyNumberFormat="1" applyFont="1" applyBorder="1" applyAlignment="1">
      <alignment horizontal="center"/>
    </xf>
    <xf numFmtId="6" fontId="31" fillId="0" borderId="12" xfId="42" applyNumberFormat="1" applyFont="1" applyFill="1" applyBorder="1" applyAlignment="1">
      <alignment horizontal="center" vertical="center"/>
    </xf>
    <xf numFmtId="6" fontId="31" fillId="0" borderId="18" xfId="42" applyNumberFormat="1" applyFont="1" applyFill="1" applyBorder="1" applyAlignment="1">
      <alignment horizontal="center" vertical="center"/>
    </xf>
    <xf numFmtId="6" fontId="31" fillId="56" borderId="11" xfId="0" applyNumberFormat="1" applyFont="1" applyFill="1" applyBorder="1"/>
    <xf numFmtId="0" fontId="0" fillId="70" borderId="11" xfId="0" applyFill="1" applyBorder="1" applyAlignment="1">
      <alignment horizontal="center" vertical="center"/>
    </xf>
    <xf numFmtId="0" fontId="0" fillId="71" borderId="11" xfId="0" applyFill="1" applyBorder="1" applyAlignment="1">
      <alignment horizontal="center" vertical="center"/>
    </xf>
    <xf numFmtId="0" fontId="52" fillId="43" borderId="16" xfId="0" applyFont="1" applyFill="1" applyBorder="1" applyAlignment="1">
      <alignment horizontal="right" vertical="center" wrapText="1"/>
    </xf>
    <xf numFmtId="168" fontId="53" fillId="43" borderId="21" xfId="0" applyNumberFormat="1" applyFont="1" applyFill="1" applyBorder="1" applyAlignment="1">
      <alignment horizontal="center" vertical="center" wrapText="1"/>
    </xf>
    <xf numFmtId="6" fontId="31" fillId="52" borderId="11" xfId="42" applyNumberFormat="1" applyFont="1" applyFill="1" applyBorder="1" applyAlignment="1">
      <alignment horizontal="center" vertical="center"/>
    </xf>
    <xf numFmtId="6" fontId="31" fillId="38" borderId="11" xfId="42" applyNumberFormat="1" applyFont="1" applyFill="1" applyBorder="1" applyAlignment="1">
      <alignment horizontal="center" vertical="center"/>
    </xf>
    <xf numFmtId="6" fontId="31" fillId="59" borderId="11" xfId="42" applyNumberFormat="1" applyFont="1" applyFill="1" applyBorder="1" applyAlignment="1">
      <alignment horizontal="center" vertical="center"/>
    </xf>
    <xf numFmtId="167" fontId="31" fillId="59" borderId="11" xfId="42" applyNumberFormat="1" applyFont="1" applyFill="1" applyBorder="1" applyAlignment="1">
      <alignment horizontal="center" vertical="center"/>
    </xf>
    <xf numFmtId="6" fontId="31" fillId="0" borderId="11" xfId="42" applyNumberFormat="1" applyFont="1" applyFill="1" applyBorder="1" applyAlignment="1">
      <alignment horizontal="center" vertical="center"/>
    </xf>
    <xf numFmtId="167" fontId="31" fillId="0" borderId="11" xfId="42" applyNumberFormat="1" applyFont="1" applyFill="1" applyBorder="1" applyAlignment="1">
      <alignment horizontal="center" vertical="center"/>
    </xf>
    <xf numFmtId="0" fontId="16" fillId="72" borderId="11" xfId="0" applyFont="1" applyFill="1" applyBorder="1" applyAlignment="1">
      <alignment horizontal="center" vertical="center"/>
    </xf>
    <xf numFmtId="0" fontId="21" fillId="0" borderId="0" xfId="0" applyFont="1" applyAlignment="1">
      <alignment horizontal="center" vertical="center"/>
    </xf>
    <xf numFmtId="14" fontId="31" fillId="0" borderId="11" xfId="0" applyNumberFormat="1" applyFont="1" applyBorder="1" applyAlignment="1">
      <alignment horizontal="center"/>
    </xf>
    <xf numFmtId="0" fontId="32" fillId="39" borderId="15" xfId="0" applyFont="1" applyFill="1" applyBorder="1" applyAlignment="1">
      <alignment horizontal="center" vertical="top" wrapText="1"/>
    </xf>
    <xf numFmtId="0" fontId="19" fillId="39" borderId="15" xfId="0" applyFont="1" applyFill="1" applyBorder="1" applyAlignment="1">
      <alignment horizontal="center" vertical="top" wrapText="1"/>
    </xf>
    <xf numFmtId="0" fontId="32" fillId="38" borderId="15" xfId="0" applyFont="1" applyFill="1" applyBorder="1" applyAlignment="1">
      <alignment horizontal="center" vertical="center" wrapText="1"/>
    </xf>
    <xf numFmtId="0" fontId="32" fillId="45" borderId="15" xfId="0" applyFont="1" applyFill="1" applyBorder="1" applyAlignment="1">
      <alignment horizontal="center" vertical="center" wrapText="1"/>
    </xf>
    <xf numFmtId="0" fontId="32" fillId="39" borderId="15" xfId="0" applyFont="1" applyFill="1" applyBorder="1" applyAlignment="1">
      <alignment horizontal="center" vertical="top"/>
    </xf>
    <xf numFmtId="0" fontId="19" fillId="39" borderId="15" xfId="0" applyFont="1" applyFill="1" applyBorder="1" applyAlignment="1">
      <alignment horizontal="center" vertical="top"/>
    </xf>
    <xf numFmtId="0" fontId="32" fillId="39" borderId="30" xfId="0" applyFont="1" applyFill="1" applyBorder="1" applyAlignment="1">
      <alignment horizontal="center" vertical="top" wrapText="1"/>
    </xf>
    <xf numFmtId="0" fontId="32" fillId="39" borderId="15" xfId="0" applyFont="1" applyFill="1" applyBorder="1" applyAlignment="1">
      <alignment vertical="top" wrapText="1"/>
    </xf>
    <xf numFmtId="0" fontId="19" fillId="46" borderId="15" xfId="0" applyFont="1" applyFill="1" applyBorder="1" applyAlignment="1">
      <alignment horizontal="left" vertical="top" wrapText="1"/>
    </xf>
    <xf numFmtId="0" fontId="19" fillId="52" borderId="15" xfId="0" applyFont="1" applyFill="1" applyBorder="1" applyAlignment="1">
      <alignment horizontal="left" vertical="top" wrapText="1"/>
    </xf>
    <xf numFmtId="0" fontId="31" fillId="44" borderId="15" xfId="0" applyFont="1" applyFill="1" applyBorder="1" applyAlignment="1">
      <alignment horizontal="left" vertical="top" wrapText="1"/>
    </xf>
    <xf numFmtId="0" fontId="31" fillId="44" borderId="24" xfId="0" applyFont="1" applyFill="1" applyBorder="1" applyAlignment="1">
      <alignment horizontal="left" vertical="top" wrapText="1"/>
    </xf>
    <xf numFmtId="0" fontId="32" fillId="44" borderId="15" xfId="0" applyFont="1" applyFill="1" applyBorder="1" applyAlignment="1">
      <alignment horizontal="left" vertical="top" wrapText="1"/>
    </xf>
    <xf numFmtId="0" fontId="30" fillId="43" borderId="11" xfId="0" applyFont="1" applyFill="1" applyBorder="1" applyAlignment="1">
      <alignment horizontal="center" vertical="center" wrapText="1"/>
    </xf>
    <xf numFmtId="0" fontId="21" fillId="47" borderId="11" xfId="0" applyFont="1" applyFill="1" applyBorder="1" applyAlignment="1">
      <alignment horizontal="center" vertical="center"/>
    </xf>
    <xf numFmtId="0" fontId="18" fillId="47" borderId="11" xfId="0" applyFont="1" applyFill="1" applyBorder="1" applyAlignment="1">
      <alignment horizontal="center" vertical="center"/>
    </xf>
    <xf numFmtId="0" fontId="18" fillId="44" borderId="11" xfId="0" applyFont="1" applyFill="1" applyBorder="1" applyAlignment="1">
      <alignment horizontal="center" vertical="center"/>
    </xf>
    <xf numFmtId="1" fontId="18" fillId="0" borderId="11" xfId="0" applyNumberFormat="1" applyFont="1" applyBorder="1" applyAlignment="1">
      <alignment horizontal="center" vertical="center"/>
    </xf>
    <xf numFmtId="1" fontId="31" fillId="0" borderId="11" xfId="0" applyNumberFormat="1" applyFont="1" applyBorder="1" applyAlignment="1">
      <alignment horizontal="center" vertical="center"/>
    </xf>
    <xf numFmtId="165" fontId="18" fillId="0" borderId="11" xfId="0" applyNumberFormat="1" applyFont="1" applyBorder="1" applyAlignment="1">
      <alignment horizontal="center" vertical="center"/>
    </xf>
    <xf numFmtId="2" fontId="20" fillId="0" borderId="11" xfId="0" applyNumberFormat="1" applyFont="1" applyBorder="1" applyAlignment="1">
      <alignment horizontal="center" vertical="center"/>
    </xf>
    <xf numFmtId="169" fontId="20" fillId="0" borderId="0" xfId="0" applyNumberFormat="1" applyFont="1" applyAlignment="1">
      <alignment horizontal="center" vertical="center"/>
    </xf>
    <xf numFmtId="0" fontId="27" fillId="0" borderId="0" xfId="0" applyFont="1" applyAlignment="1">
      <alignment horizontal="center" vertical="center" textRotation="90"/>
    </xf>
    <xf numFmtId="6" fontId="31" fillId="38" borderId="12" xfId="42" applyNumberFormat="1" applyFont="1" applyFill="1" applyBorder="1" applyAlignment="1">
      <alignment horizontal="center" vertical="center"/>
    </xf>
    <xf numFmtId="6" fontId="31" fillId="59" borderId="12" xfId="42" applyNumberFormat="1" applyFont="1" applyFill="1" applyBorder="1" applyAlignment="1">
      <alignment horizontal="center" vertical="center"/>
    </xf>
    <xf numFmtId="167" fontId="31" fillId="59" borderId="12" xfId="42" applyNumberFormat="1" applyFont="1" applyFill="1" applyBorder="1" applyAlignment="1">
      <alignment horizontal="center" vertical="center"/>
    </xf>
    <xf numFmtId="167" fontId="31" fillId="0" borderId="12" xfId="42" applyNumberFormat="1" applyFont="1" applyFill="1" applyBorder="1" applyAlignment="1">
      <alignment horizontal="center" vertical="center"/>
    </xf>
    <xf numFmtId="2" fontId="31" fillId="0" borderId="12" xfId="0" applyNumberFormat="1" applyFont="1" applyBorder="1" applyAlignment="1">
      <alignment horizontal="center" vertical="center"/>
    </xf>
    <xf numFmtId="167" fontId="20" fillId="0" borderId="12" xfId="0" applyNumberFormat="1" applyFont="1" applyBorder="1" applyAlignment="1">
      <alignment horizontal="center" vertical="center"/>
    </xf>
    <xf numFmtId="2" fontId="31" fillId="39" borderId="18" xfId="0" applyNumberFormat="1" applyFont="1" applyFill="1" applyBorder="1" applyAlignment="1">
      <alignment horizontal="center" vertical="center"/>
    </xf>
    <xf numFmtId="6" fontId="31" fillId="38" borderId="18" xfId="42" applyNumberFormat="1" applyFont="1" applyFill="1" applyBorder="1" applyAlignment="1">
      <alignment horizontal="center" vertical="center"/>
    </xf>
    <xf numFmtId="6" fontId="31" fillId="59" borderId="18" xfId="42" applyNumberFormat="1" applyFont="1" applyFill="1" applyBorder="1" applyAlignment="1">
      <alignment horizontal="center" vertical="center"/>
    </xf>
    <xf numFmtId="167" fontId="31" fillId="59" borderId="18" xfId="42" applyNumberFormat="1" applyFont="1" applyFill="1" applyBorder="1" applyAlignment="1">
      <alignment horizontal="center" vertical="center"/>
    </xf>
    <xf numFmtId="167" fontId="31" fillId="0" borderId="18" xfId="42" applyNumberFormat="1" applyFont="1" applyFill="1" applyBorder="1" applyAlignment="1">
      <alignment horizontal="center" vertical="center"/>
    </xf>
    <xf numFmtId="167" fontId="31" fillId="37" borderId="18" xfId="0" applyNumberFormat="1" applyFont="1" applyFill="1" applyBorder="1" applyAlignment="1">
      <alignment horizontal="center" vertical="center"/>
    </xf>
    <xf numFmtId="2" fontId="31" fillId="0" borderId="18" xfId="0" applyNumberFormat="1" applyFont="1" applyBorder="1" applyAlignment="1">
      <alignment horizontal="center" vertical="center"/>
    </xf>
    <xf numFmtId="167" fontId="20" fillId="0" borderId="18" xfId="0" applyNumberFormat="1" applyFont="1" applyBorder="1" applyAlignment="1">
      <alignment horizontal="center" vertical="center"/>
    </xf>
    <xf numFmtId="0" fontId="0" fillId="37" borderId="10" xfId="0" applyFill="1" applyBorder="1"/>
    <xf numFmtId="0" fontId="21" fillId="0" borderId="0" xfId="0" applyFont="1"/>
    <xf numFmtId="6" fontId="18" fillId="0" borderId="11" xfId="0" applyNumberFormat="1" applyFont="1" applyBorder="1" applyAlignment="1">
      <alignment horizontal="center" vertical="center"/>
    </xf>
    <xf numFmtId="0" fontId="16" fillId="39" borderId="11" xfId="0" applyFont="1" applyFill="1" applyBorder="1" applyAlignment="1">
      <alignment horizontal="center" vertical="center" wrapText="1"/>
    </xf>
    <xf numFmtId="165" fontId="31" fillId="0" borderId="11" xfId="42" applyNumberFormat="1" applyFont="1" applyFill="1" applyBorder="1" applyAlignment="1">
      <alignment horizontal="center" vertical="center"/>
    </xf>
    <xf numFmtId="1" fontId="31" fillId="0" borderId="11" xfId="42" applyNumberFormat="1" applyFont="1" applyFill="1" applyBorder="1" applyAlignment="1">
      <alignment horizontal="center" vertical="center"/>
    </xf>
    <xf numFmtId="1" fontId="31" fillId="0" borderId="18" xfId="0" applyNumberFormat="1" applyFont="1" applyBorder="1" applyAlignment="1">
      <alignment horizontal="center" vertical="center"/>
    </xf>
    <xf numFmtId="1" fontId="31" fillId="0" borderId="12" xfId="0" applyNumberFormat="1" applyFont="1" applyBorder="1" applyAlignment="1">
      <alignment horizontal="center" vertical="center"/>
    </xf>
    <xf numFmtId="165" fontId="31" fillId="56" borderId="11" xfId="42" applyNumberFormat="1" applyFont="1" applyFill="1" applyBorder="1" applyAlignment="1">
      <alignment horizontal="center" vertical="center"/>
    </xf>
    <xf numFmtId="2" fontId="31" fillId="39" borderId="12" xfId="0" applyNumberFormat="1" applyFont="1" applyFill="1" applyBorder="1" applyAlignment="1">
      <alignment horizontal="center" vertical="center"/>
    </xf>
    <xf numFmtId="0" fontId="31" fillId="0" borderId="0" xfId="0" applyFont="1" applyAlignment="1">
      <alignment horizontal="left" vertical="center"/>
    </xf>
    <xf numFmtId="0" fontId="31" fillId="0" borderId="0" xfId="0" applyFont="1" applyAlignment="1">
      <alignment horizontal="center" vertical="center"/>
    </xf>
    <xf numFmtId="0" fontId="0" fillId="37" borderId="10" xfId="0" applyFill="1" applyBorder="1" applyAlignment="1">
      <alignment horizontal="center" vertical="center"/>
    </xf>
    <xf numFmtId="0" fontId="19" fillId="39" borderId="15" xfId="0" applyFont="1" applyFill="1" applyBorder="1" applyAlignment="1">
      <alignment vertical="center" wrapText="1"/>
    </xf>
    <xf numFmtId="0" fontId="19" fillId="48" borderId="15" xfId="0" applyFont="1" applyFill="1" applyBorder="1" applyAlignment="1">
      <alignment vertical="center" wrapText="1"/>
    </xf>
    <xf numFmtId="0" fontId="19" fillId="43" borderId="15" xfId="0" applyFont="1" applyFill="1" applyBorder="1" applyAlignment="1">
      <alignment vertical="center" wrapText="1"/>
    </xf>
    <xf numFmtId="165" fontId="31" fillId="52" borderId="11" xfId="42" applyNumberFormat="1" applyFont="1" applyFill="1" applyBorder="1" applyAlignment="1">
      <alignment horizontal="center" vertical="center"/>
    </xf>
    <xf numFmtId="165" fontId="31" fillId="38" borderId="11" xfId="42" applyNumberFormat="1" applyFont="1" applyFill="1" applyBorder="1" applyAlignment="1">
      <alignment horizontal="center" vertical="center"/>
    </xf>
    <xf numFmtId="165" fontId="31" fillId="59" borderId="11" xfId="42" applyNumberFormat="1" applyFont="1" applyFill="1" applyBorder="1" applyAlignment="1">
      <alignment horizontal="center" vertical="center"/>
    </xf>
    <xf numFmtId="165" fontId="31" fillId="52" borderId="18" xfId="42" applyNumberFormat="1" applyFont="1" applyFill="1" applyBorder="1" applyAlignment="1">
      <alignment horizontal="center" vertical="center"/>
    </xf>
    <xf numFmtId="165" fontId="31" fillId="38" borderId="18" xfId="42" applyNumberFormat="1" applyFont="1" applyFill="1" applyBorder="1" applyAlignment="1">
      <alignment horizontal="center" vertical="center"/>
    </xf>
    <xf numFmtId="165" fontId="31" fillId="59" borderId="18" xfId="42" applyNumberFormat="1" applyFont="1" applyFill="1" applyBorder="1" applyAlignment="1">
      <alignment horizontal="center" vertical="center"/>
    </xf>
    <xf numFmtId="165" fontId="31" fillId="52" borderId="12" xfId="42" applyNumberFormat="1" applyFont="1" applyFill="1" applyBorder="1" applyAlignment="1">
      <alignment horizontal="center" vertical="center"/>
    </xf>
    <xf numFmtId="165" fontId="31" fillId="38" borderId="12" xfId="42" applyNumberFormat="1" applyFont="1" applyFill="1" applyBorder="1" applyAlignment="1">
      <alignment horizontal="center" vertical="center"/>
    </xf>
    <xf numFmtId="165" fontId="31" fillId="59" borderId="12" xfId="42" applyNumberFormat="1" applyFont="1" applyFill="1" applyBorder="1" applyAlignment="1">
      <alignment horizontal="center" vertical="center"/>
    </xf>
    <xf numFmtId="165" fontId="31" fillId="52" borderId="11" xfId="0" applyNumberFormat="1" applyFont="1" applyFill="1" applyBorder="1" applyAlignment="1">
      <alignment horizontal="center" vertical="center"/>
    </xf>
    <xf numFmtId="165" fontId="31" fillId="38" borderId="11" xfId="0" applyNumberFormat="1" applyFont="1" applyFill="1" applyBorder="1" applyAlignment="1">
      <alignment horizontal="center" vertical="center"/>
    </xf>
    <xf numFmtId="165" fontId="31" fillId="59" borderId="11" xfId="0" applyNumberFormat="1" applyFont="1" applyFill="1" applyBorder="1" applyAlignment="1">
      <alignment horizontal="center" vertical="center"/>
    </xf>
    <xf numFmtId="165" fontId="31" fillId="52" borderId="11" xfId="0" applyNumberFormat="1" applyFont="1" applyFill="1" applyBorder="1" applyAlignment="1">
      <alignment horizontal="center"/>
    </xf>
    <xf numFmtId="165" fontId="31" fillId="38" borderId="11" xfId="0" applyNumberFormat="1" applyFont="1" applyFill="1" applyBorder="1" applyAlignment="1">
      <alignment horizontal="center"/>
    </xf>
    <xf numFmtId="165" fontId="31" fillId="59" borderId="11" xfId="0" applyNumberFormat="1" applyFont="1" applyFill="1" applyBorder="1" applyAlignment="1">
      <alignment horizontal="center"/>
    </xf>
    <xf numFmtId="165" fontId="31" fillId="52" borderId="18" xfId="0" applyNumberFormat="1" applyFont="1" applyFill="1" applyBorder="1" applyAlignment="1">
      <alignment horizontal="center" vertical="center"/>
    </xf>
    <xf numFmtId="165" fontId="31" fillId="38" borderId="18" xfId="0" applyNumberFormat="1" applyFont="1" applyFill="1" applyBorder="1" applyAlignment="1">
      <alignment horizontal="center" vertical="center"/>
    </xf>
    <xf numFmtId="165" fontId="31" fillId="59" borderId="18" xfId="0" applyNumberFormat="1" applyFont="1" applyFill="1" applyBorder="1" applyAlignment="1">
      <alignment horizontal="center" vertical="center"/>
    </xf>
    <xf numFmtId="165" fontId="31" fillId="52" borderId="12" xfId="0" applyNumberFormat="1" applyFont="1" applyFill="1" applyBorder="1" applyAlignment="1">
      <alignment horizontal="center" vertical="center"/>
    </xf>
    <xf numFmtId="165" fontId="31" fillId="38" borderId="12" xfId="0" applyNumberFormat="1" applyFont="1" applyFill="1" applyBorder="1" applyAlignment="1">
      <alignment horizontal="center" vertical="center"/>
    </xf>
    <xf numFmtId="165" fontId="31" fillId="59" borderId="12" xfId="0" applyNumberFormat="1" applyFont="1" applyFill="1" applyBorder="1" applyAlignment="1">
      <alignment horizontal="center" vertical="center"/>
    </xf>
    <xf numFmtId="168" fontId="44" fillId="36" borderId="11" xfId="0" applyNumberFormat="1" applyFont="1" applyFill="1" applyBorder="1" applyAlignment="1">
      <alignment horizontal="center" vertical="center" wrapText="1"/>
    </xf>
    <xf numFmtId="0" fontId="19" fillId="36" borderId="15" xfId="0" applyFont="1" applyFill="1" applyBorder="1" applyAlignment="1">
      <alignment horizontal="left" vertical="top" wrapText="1"/>
    </xf>
    <xf numFmtId="2" fontId="31" fillId="52" borderId="11" xfId="42" applyNumberFormat="1" applyFont="1" applyFill="1" applyBorder="1" applyAlignment="1">
      <alignment horizontal="center" vertical="center"/>
    </xf>
    <xf numFmtId="2" fontId="31" fillId="38" borderId="11" xfId="42" applyNumberFormat="1" applyFont="1" applyFill="1" applyBorder="1" applyAlignment="1">
      <alignment horizontal="center" vertical="center"/>
    </xf>
    <xf numFmtId="2" fontId="31" fillId="59" borderId="11" xfId="42" applyNumberFormat="1" applyFont="1" applyFill="1" applyBorder="1" applyAlignment="1">
      <alignment horizontal="center" vertical="center"/>
    </xf>
    <xf numFmtId="2" fontId="31" fillId="52" borderId="18" xfId="42" applyNumberFormat="1" applyFont="1" applyFill="1" applyBorder="1" applyAlignment="1">
      <alignment horizontal="center" vertical="center"/>
    </xf>
    <xf numFmtId="2" fontId="31" fillId="38" borderId="18" xfId="42" applyNumberFormat="1" applyFont="1" applyFill="1" applyBorder="1" applyAlignment="1">
      <alignment horizontal="center" vertical="center"/>
    </xf>
    <xf numFmtId="2" fontId="31" fillId="59" borderId="18" xfId="42" applyNumberFormat="1" applyFont="1" applyFill="1" applyBorder="1" applyAlignment="1">
      <alignment horizontal="center" vertical="center"/>
    </xf>
    <xf numFmtId="2" fontId="31" fillId="52" borderId="12" xfId="42" applyNumberFormat="1" applyFont="1" applyFill="1" applyBorder="1" applyAlignment="1">
      <alignment horizontal="center" vertical="center"/>
    </xf>
    <xf numFmtId="2" fontId="31" fillId="38" borderId="12" xfId="42" applyNumberFormat="1" applyFont="1" applyFill="1" applyBorder="1" applyAlignment="1">
      <alignment horizontal="center" vertical="center"/>
    </xf>
    <xf numFmtId="2" fontId="31" fillId="59" borderId="12" xfId="42" applyNumberFormat="1" applyFont="1" applyFill="1" applyBorder="1" applyAlignment="1">
      <alignment horizontal="center" vertical="center"/>
    </xf>
    <xf numFmtId="2" fontId="31" fillId="52" borderId="11" xfId="0" applyNumberFormat="1" applyFont="1" applyFill="1" applyBorder="1" applyAlignment="1">
      <alignment horizontal="center" vertical="center"/>
    </xf>
    <xf numFmtId="2" fontId="31" fillId="38" borderId="11" xfId="0" applyNumberFormat="1" applyFont="1" applyFill="1" applyBorder="1" applyAlignment="1">
      <alignment horizontal="center" vertical="center"/>
    </xf>
    <xf numFmtId="2" fontId="31" fillId="59" borderId="11" xfId="0" applyNumberFormat="1" applyFont="1" applyFill="1" applyBorder="1" applyAlignment="1">
      <alignment horizontal="center" vertical="center"/>
    </xf>
    <xf numFmtId="2" fontId="31" fillId="52" borderId="11" xfId="0" applyNumberFormat="1" applyFont="1" applyFill="1" applyBorder="1" applyAlignment="1">
      <alignment horizontal="center"/>
    </xf>
    <xf numFmtId="2" fontId="31" fillId="38" borderId="11" xfId="0" applyNumberFormat="1" applyFont="1" applyFill="1" applyBorder="1" applyAlignment="1">
      <alignment horizontal="center"/>
    </xf>
    <xf numFmtId="2" fontId="31" fillId="59" borderId="11" xfId="0" applyNumberFormat="1" applyFont="1" applyFill="1" applyBorder="1" applyAlignment="1">
      <alignment horizontal="center"/>
    </xf>
    <xf numFmtId="2" fontId="31" fillId="52" borderId="18" xfId="0" applyNumberFormat="1" applyFont="1" applyFill="1" applyBorder="1" applyAlignment="1">
      <alignment horizontal="center" vertical="center"/>
    </xf>
    <xf numFmtId="2" fontId="31" fillId="38" borderId="18" xfId="0" applyNumberFormat="1" applyFont="1" applyFill="1" applyBorder="1" applyAlignment="1">
      <alignment horizontal="center" vertical="center"/>
    </xf>
    <xf numFmtId="2" fontId="31" fillId="59" borderId="18" xfId="0" applyNumberFormat="1" applyFont="1" applyFill="1" applyBorder="1" applyAlignment="1">
      <alignment horizontal="center" vertical="center"/>
    </xf>
    <xf numFmtId="2" fontId="31" fillId="52" borderId="12" xfId="0" applyNumberFormat="1" applyFont="1" applyFill="1" applyBorder="1" applyAlignment="1">
      <alignment horizontal="center" vertical="center"/>
    </xf>
    <xf numFmtId="2" fontId="31" fillId="38" borderId="12" xfId="0" applyNumberFormat="1" applyFont="1" applyFill="1" applyBorder="1" applyAlignment="1">
      <alignment horizontal="center" vertical="center"/>
    </xf>
    <xf numFmtId="2" fontId="31" fillId="59" borderId="12" xfId="0" applyNumberFormat="1" applyFont="1" applyFill="1" applyBorder="1" applyAlignment="1">
      <alignment horizontal="center" vertical="center"/>
    </xf>
    <xf numFmtId="0" fontId="31" fillId="0" borderId="10" xfId="0" applyFont="1" applyBorder="1" applyAlignment="1">
      <alignment horizontal="left" vertical="center"/>
    </xf>
    <xf numFmtId="0" fontId="31" fillId="0" borderId="10" xfId="0" applyFont="1" applyBorder="1" applyAlignment="1">
      <alignment horizontal="center" vertical="center"/>
    </xf>
    <xf numFmtId="0" fontId="23" fillId="0" borderId="0" xfId="0" applyFont="1" applyAlignment="1">
      <alignment horizontal="center" vertical="center"/>
    </xf>
    <xf numFmtId="168" fontId="44" fillId="0" borderId="0" xfId="0" applyNumberFormat="1" applyFont="1" applyAlignment="1">
      <alignment horizontal="center" vertical="center" wrapText="1"/>
    </xf>
    <xf numFmtId="0" fontId="31" fillId="0" borderId="0" xfId="0" applyFont="1" applyAlignment="1">
      <alignment horizontal="left" vertical="top" wrapText="1"/>
    </xf>
    <xf numFmtId="164" fontId="18" fillId="0" borderId="11" xfId="42" applyNumberFormat="1" applyFont="1" applyBorder="1" applyAlignment="1">
      <alignment horizontal="center" vertical="center"/>
    </xf>
    <xf numFmtId="170" fontId="18" fillId="0" borderId="11" xfId="0" applyNumberFormat="1" applyFont="1" applyBorder="1" applyAlignment="1">
      <alignment horizontal="center" vertical="center"/>
    </xf>
    <xf numFmtId="0" fontId="31" fillId="46" borderId="11" xfId="0" applyFont="1" applyFill="1" applyBorder="1" applyAlignment="1">
      <alignment horizontal="center" vertical="center"/>
    </xf>
    <xf numFmtId="0" fontId="31" fillId="41" borderId="11" xfId="0" applyFont="1" applyFill="1" applyBorder="1" applyAlignment="1">
      <alignment horizontal="center" vertical="center"/>
    </xf>
    <xf numFmtId="0" fontId="31" fillId="47" borderId="11" xfId="0" applyFont="1" applyFill="1" applyBorder="1" applyAlignment="1">
      <alignment horizontal="center" vertical="center" wrapText="1"/>
    </xf>
    <xf numFmtId="2" fontId="31" fillId="0" borderId="11" xfId="42" applyNumberFormat="1" applyFont="1" applyFill="1" applyBorder="1" applyAlignment="1">
      <alignment horizontal="center" vertical="center"/>
    </xf>
    <xf numFmtId="165" fontId="20" fillId="0" borderId="11" xfId="0" applyNumberFormat="1" applyFont="1" applyBorder="1" applyAlignment="1">
      <alignment horizontal="center" vertical="center"/>
    </xf>
    <xf numFmtId="165" fontId="31" fillId="0" borderId="12" xfId="42" applyNumberFormat="1" applyFont="1" applyBorder="1" applyAlignment="1">
      <alignment horizontal="center" vertical="center"/>
    </xf>
    <xf numFmtId="165" fontId="31" fillId="0" borderId="11" xfId="42" applyNumberFormat="1" applyFont="1" applyBorder="1" applyAlignment="1">
      <alignment horizontal="center" vertical="center"/>
    </xf>
    <xf numFmtId="165" fontId="31" fillId="0" borderId="18" xfId="42" applyNumberFormat="1" applyFont="1" applyBorder="1" applyAlignment="1">
      <alignment horizontal="center" vertical="center"/>
    </xf>
    <xf numFmtId="0" fontId="31" fillId="0" borderId="15" xfId="0" applyFont="1" applyBorder="1" applyAlignment="1">
      <alignment horizontal="center" vertical="center"/>
    </xf>
    <xf numFmtId="0" fontId="31" fillId="0" borderId="15" xfId="0" applyFont="1" applyBorder="1"/>
    <xf numFmtId="168" fontId="31" fillId="0" borderId="15" xfId="0" applyNumberFormat="1" applyFont="1" applyBorder="1" applyAlignment="1">
      <alignment horizontal="center"/>
    </xf>
    <xf numFmtId="0" fontId="31" fillId="39" borderId="15" xfId="0" applyFont="1" applyFill="1" applyBorder="1" applyAlignment="1">
      <alignment horizontal="center" vertical="center"/>
    </xf>
    <xf numFmtId="164" fontId="31" fillId="0" borderId="15" xfId="42" applyNumberFormat="1" applyFont="1" applyBorder="1" applyAlignment="1">
      <alignment horizontal="center" vertical="center"/>
    </xf>
    <xf numFmtId="167" fontId="31" fillId="0" borderId="15" xfId="42" applyNumberFormat="1" applyFont="1" applyBorder="1" applyAlignment="1">
      <alignment horizontal="center" vertical="center"/>
    </xf>
    <xf numFmtId="6" fontId="31" fillId="0" borderId="15" xfId="0" applyNumberFormat="1" applyFont="1" applyBorder="1" applyAlignment="1">
      <alignment horizontal="center" vertical="center"/>
    </xf>
    <xf numFmtId="6" fontId="31" fillId="52" borderId="15" xfId="0" applyNumberFormat="1" applyFont="1" applyFill="1" applyBorder="1" applyAlignment="1">
      <alignment horizontal="center" vertical="center"/>
    </xf>
    <xf numFmtId="6" fontId="31" fillId="38" borderId="15" xfId="0" applyNumberFormat="1" applyFont="1" applyFill="1" applyBorder="1" applyAlignment="1">
      <alignment horizontal="center" vertical="center"/>
    </xf>
    <xf numFmtId="6" fontId="31" fillId="59" borderId="15" xfId="0" applyNumberFormat="1" applyFont="1" applyFill="1" applyBorder="1" applyAlignment="1">
      <alignment horizontal="center" vertical="center"/>
    </xf>
    <xf numFmtId="165" fontId="31" fillId="52" borderId="15" xfId="0" applyNumberFormat="1" applyFont="1" applyFill="1" applyBorder="1" applyAlignment="1">
      <alignment horizontal="center" vertical="center"/>
    </xf>
    <xf numFmtId="165" fontId="31" fillId="38" borderId="15" xfId="0" applyNumberFormat="1" applyFont="1" applyFill="1" applyBorder="1" applyAlignment="1">
      <alignment horizontal="center" vertical="center"/>
    </xf>
    <xf numFmtId="165" fontId="31" fillId="59" borderId="15" xfId="0" applyNumberFormat="1" applyFont="1" applyFill="1" applyBorder="1" applyAlignment="1">
      <alignment horizontal="center" vertical="center"/>
    </xf>
    <xf numFmtId="2" fontId="31" fillId="52" borderId="15" xfId="42" applyNumberFormat="1" applyFont="1" applyFill="1" applyBorder="1" applyAlignment="1">
      <alignment horizontal="center" vertical="center"/>
    </xf>
    <xf numFmtId="2" fontId="31" fillId="52" borderId="15" xfId="0" applyNumberFormat="1" applyFont="1" applyFill="1" applyBorder="1" applyAlignment="1">
      <alignment horizontal="center" vertical="center"/>
    </xf>
    <xf numFmtId="2" fontId="31" fillId="38" borderId="15" xfId="0" applyNumberFormat="1" applyFont="1" applyFill="1" applyBorder="1" applyAlignment="1">
      <alignment horizontal="center" vertical="center"/>
    </xf>
    <xf numFmtId="2" fontId="31" fillId="59" borderId="15" xfId="0" applyNumberFormat="1" applyFont="1" applyFill="1" applyBorder="1" applyAlignment="1">
      <alignment horizontal="center" vertical="center"/>
    </xf>
    <xf numFmtId="167" fontId="31" fillId="0" borderId="15" xfId="0" applyNumberFormat="1" applyFont="1" applyBorder="1" applyAlignment="1">
      <alignment horizontal="center" vertical="center"/>
    </xf>
    <xf numFmtId="6" fontId="31" fillId="0" borderId="15" xfId="42" applyNumberFormat="1" applyFont="1" applyFill="1" applyBorder="1" applyAlignment="1">
      <alignment horizontal="center" vertical="center"/>
    </xf>
    <xf numFmtId="1" fontId="31" fillId="0" borderId="15" xfId="0" applyNumberFormat="1" applyFont="1" applyBorder="1" applyAlignment="1">
      <alignment horizontal="center" vertical="center"/>
    </xf>
    <xf numFmtId="2" fontId="31" fillId="0" borderId="15" xfId="0" applyNumberFormat="1" applyFont="1" applyBorder="1" applyAlignment="1">
      <alignment horizontal="center" vertical="center"/>
    </xf>
    <xf numFmtId="165" fontId="31" fillId="0" borderId="15" xfId="0" applyNumberFormat="1" applyFont="1" applyBorder="1" applyAlignment="1">
      <alignment horizontal="center" vertical="center"/>
    </xf>
    <xf numFmtId="166" fontId="31" fillId="0" borderId="15" xfId="0" applyNumberFormat="1" applyFont="1" applyBorder="1" applyAlignment="1">
      <alignment horizontal="center" vertical="center"/>
    </xf>
    <xf numFmtId="1" fontId="31" fillId="39" borderId="15" xfId="0" applyNumberFormat="1" applyFont="1" applyFill="1" applyBorder="1" applyAlignment="1">
      <alignment horizontal="center" vertical="center"/>
    </xf>
    <xf numFmtId="167" fontId="32" fillId="0" borderId="15" xfId="0" applyNumberFormat="1" applyFont="1" applyBorder="1" applyAlignment="1">
      <alignment horizontal="center" vertical="center"/>
    </xf>
    <xf numFmtId="166" fontId="31" fillId="39" borderId="15" xfId="0" applyNumberFormat="1" applyFont="1" applyFill="1" applyBorder="1" applyAlignment="1">
      <alignment horizontal="center" vertical="center"/>
    </xf>
    <xf numFmtId="165" fontId="22" fillId="0" borderId="15" xfId="0" applyNumberFormat="1" applyFont="1" applyBorder="1" applyAlignment="1">
      <alignment horizontal="center"/>
    </xf>
    <xf numFmtId="167" fontId="25" fillId="0" borderId="15" xfId="0" applyNumberFormat="1" applyFont="1" applyBorder="1" applyAlignment="1">
      <alignment horizontal="center"/>
    </xf>
    <xf numFmtId="165" fontId="16" fillId="0" borderId="11" xfId="0" applyNumberFormat="1" applyFont="1" applyBorder="1" applyAlignment="1">
      <alignment horizontal="center" vertical="center"/>
    </xf>
    <xf numFmtId="165" fontId="31" fillId="0" borderId="15" xfId="42" applyNumberFormat="1" applyFont="1" applyBorder="1" applyAlignment="1">
      <alignment horizontal="center" vertical="center"/>
    </xf>
    <xf numFmtId="0" fontId="30" fillId="43" borderId="21" xfId="0" applyFont="1" applyFill="1" applyBorder="1" applyAlignment="1">
      <alignment horizontal="center" vertical="center" wrapText="1"/>
    </xf>
    <xf numFmtId="0" fontId="22" fillId="0" borderId="11" xfId="0" applyFont="1" applyBorder="1" applyAlignment="1">
      <alignment horizontal="center" vertical="center"/>
    </xf>
    <xf numFmtId="0" fontId="22" fillId="0" borderId="11" xfId="0" applyFont="1" applyBorder="1" applyAlignment="1">
      <alignment horizontal="center"/>
    </xf>
    <xf numFmtId="0" fontId="22" fillId="0" borderId="18" xfId="0" applyFont="1" applyBorder="1" applyAlignment="1">
      <alignment horizontal="center"/>
    </xf>
    <xf numFmtId="0" fontId="22" fillId="0" borderId="12" xfId="0" applyFont="1" applyBorder="1" applyAlignment="1">
      <alignment horizontal="center"/>
    </xf>
    <xf numFmtId="0" fontId="22" fillId="0" borderId="15" xfId="0" applyFont="1" applyBorder="1" applyAlignment="1">
      <alignment horizontal="center"/>
    </xf>
    <xf numFmtId="0" fontId="22" fillId="34" borderId="11" xfId="0" applyFont="1" applyFill="1" applyBorder="1" applyAlignment="1">
      <alignment horizontal="center" vertical="center" wrapText="1"/>
    </xf>
    <xf numFmtId="0" fontId="22" fillId="48" borderId="11" xfId="0" applyFont="1" applyFill="1" applyBorder="1" applyAlignment="1">
      <alignment horizontal="center" vertical="center" wrapText="1"/>
    </xf>
    <xf numFmtId="170" fontId="16" fillId="0" borderId="11" xfId="0" applyNumberFormat="1" applyFont="1" applyBorder="1" applyAlignment="1">
      <alignment horizontal="center" vertical="center"/>
    </xf>
    <xf numFmtId="0" fontId="16" fillId="33" borderId="11" xfId="0" applyFont="1" applyFill="1" applyBorder="1" applyAlignment="1">
      <alignment horizontal="center" vertical="center"/>
    </xf>
    <xf numFmtId="164" fontId="16" fillId="33" borderId="11" xfId="42" applyNumberFormat="1" applyFont="1" applyFill="1" applyBorder="1" applyAlignment="1">
      <alignment horizontal="center" vertical="center"/>
    </xf>
    <xf numFmtId="0" fontId="0" fillId="48" borderId="12" xfId="0" applyFill="1" applyBorder="1" applyAlignment="1">
      <alignment horizontal="center" vertical="center"/>
    </xf>
    <xf numFmtId="0" fontId="31" fillId="48" borderId="12" xfId="0" applyFont="1" applyFill="1" applyBorder="1" applyAlignment="1">
      <alignment horizontal="center" vertical="center"/>
    </xf>
    <xf numFmtId="170" fontId="16" fillId="33" borderId="11" xfId="0" applyNumberFormat="1" applyFont="1" applyFill="1" applyBorder="1" applyAlignment="1">
      <alignment horizontal="center" vertical="center"/>
    </xf>
    <xf numFmtId="0" fontId="21" fillId="37" borderId="11" xfId="0" applyFont="1" applyFill="1" applyBorder="1" applyAlignment="1">
      <alignment horizontal="center" vertical="center"/>
    </xf>
    <xf numFmtId="170" fontId="21" fillId="37" borderId="11" xfId="0" applyNumberFormat="1" applyFont="1" applyFill="1" applyBorder="1" applyAlignment="1">
      <alignment horizontal="center" vertical="center"/>
    </xf>
    <xf numFmtId="0" fontId="31" fillId="0" borderId="11" xfId="0" applyFont="1" applyBorder="1" applyAlignment="1">
      <alignment horizontal="center"/>
    </xf>
    <xf numFmtId="0" fontId="31" fillId="0" borderId="12" xfId="0" applyFont="1" applyBorder="1" applyAlignment="1">
      <alignment horizontal="center"/>
    </xf>
    <xf numFmtId="168" fontId="32" fillId="52" borderId="11" xfId="0" applyNumberFormat="1" applyFont="1" applyFill="1" applyBorder="1" applyAlignment="1">
      <alignment horizontal="center" vertical="center" wrapText="1"/>
    </xf>
    <xf numFmtId="0" fontId="31" fillId="44" borderId="11" xfId="0" applyFont="1" applyFill="1" applyBorder="1" applyAlignment="1">
      <alignment horizontal="left" vertical="top" wrapText="1"/>
    </xf>
    <xf numFmtId="0" fontId="31" fillId="0" borderId="18" xfId="0" applyFont="1" applyBorder="1" applyAlignment="1">
      <alignment horizontal="center"/>
    </xf>
    <xf numFmtId="2" fontId="31" fillId="0" borderId="0" xfId="42" applyNumberFormat="1" applyFont="1" applyAlignment="1">
      <alignment horizontal="center" vertical="center"/>
    </xf>
    <xf numFmtId="2" fontId="31" fillId="0" borderId="10" xfId="42" applyNumberFormat="1" applyFont="1" applyBorder="1" applyAlignment="1">
      <alignment horizontal="center" vertical="center"/>
    </xf>
    <xf numFmtId="0" fontId="0" fillId="37" borderId="10" xfId="0" applyFill="1" applyBorder="1" applyAlignment="1">
      <alignment horizontal="center"/>
    </xf>
    <xf numFmtId="0" fontId="21" fillId="0" borderId="0" xfId="0" applyFont="1" applyAlignment="1">
      <alignment horizontal="center"/>
    </xf>
    <xf numFmtId="0" fontId="22" fillId="48" borderId="12" xfId="0" applyFont="1" applyFill="1" applyBorder="1" applyAlignment="1">
      <alignment horizontal="center" vertical="center"/>
    </xf>
    <xf numFmtId="167" fontId="47" fillId="0" borderId="11" xfId="0" applyNumberFormat="1" applyFont="1" applyBorder="1" applyAlignment="1">
      <alignment horizontal="center" vertical="center"/>
    </xf>
    <xf numFmtId="0" fontId="56" fillId="58" borderId="11" xfId="0" applyFont="1" applyFill="1" applyBorder="1" applyAlignment="1">
      <alignment horizontal="center" vertical="center"/>
    </xf>
    <xf numFmtId="0" fontId="57" fillId="58" borderId="11" xfId="0" applyFont="1" applyFill="1" applyBorder="1" applyAlignment="1">
      <alignment horizontal="center" vertical="center"/>
    </xf>
    <xf numFmtId="164" fontId="58" fillId="58" borderId="19" xfId="0" applyNumberFormat="1" applyFont="1" applyFill="1" applyBorder="1" applyAlignment="1">
      <alignment horizontal="center" vertical="center"/>
    </xf>
    <xf numFmtId="9" fontId="58" fillId="58" borderId="19" xfId="0" applyNumberFormat="1" applyFont="1" applyFill="1" applyBorder="1" applyAlignment="1">
      <alignment horizontal="center" vertical="center"/>
    </xf>
    <xf numFmtId="164" fontId="58" fillId="58" borderId="11" xfId="0" applyNumberFormat="1" applyFont="1" applyFill="1" applyBorder="1" applyAlignment="1">
      <alignment horizontal="center" vertical="center"/>
    </xf>
    <xf numFmtId="1" fontId="59" fillId="58" borderId="11" xfId="0" applyNumberFormat="1" applyFont="1" applyFill="1" applyBorder="1" applyAlignment="1">
      <alignment horizontal="center" vertical="center"/>
    </xf>
    <xf numFmtId="9" fontId="59" fillId="58" borderId="11" xfId="42" applyFont="1" applyFill="1" applyBorder="1" applyAlignment="1">
      <alignment horizontal="center" vertical="center"/>
    </xf>
    <xf numFmtId="0" fontId="57" fillId="58" borderId="14" xfId="0" applyFont="1" applyFill="1" applyBorder="1" applyAlignment="1">
      <alignment horizontal="center" vertical="center"/>
    </xf>
    <xf numFmtId="0" fontId="60" fillId="0" borderId="0" xfId="0" applyFont="1"/>
    <xf numFmtId="0" fontId="56" fillId="54" borderId="11" xfId="0" applyFont="1" applyFill="1" applyBorder="1" applyAlignment="1">
      <alignment horizontal="center" vertical="center"/>
    </xf>
    <xf numFmtId="1" fontId="34" fillId="54" borderId="11" xfId="0" applyNumberFormat="1" applyFont="1" applyFill="1" applyBorder="1" applyAlignment="1">
      <alignment horizontal="center" vertical="center"/>
    </xf>
    <xf numFmtId="1" fontId="56" fillId="54" borderId="11" xfId="0" applyNumberFormat="1" applyFont="1" applyFill="1" applyBorder="1" applyAlignment="1">
      <alignment horizontal="center" vertical="center"/>
    </xf>
    <xf numFmtId="165" fontId="34" fillId="54" borderId="11" xfId="0" applyNumberFormat="1" applyFont="1" applyFill="1" applyBorder="1" applyAlignment="1">
      <alignment horizontal="center" vertical="center"/>
    </xf>
    <xf numFmtId="165" fontId="56" fillId="54" borderId="11" xfId="0" applyNumberFormat="1" applyFont="1" applyFill="1" applyBorder="1" applyAlignment="1">
      <alignment horizontal="center" vertical="center"/>
    </xf>
    <xf numFmtId="165" fontId="61" fillId="54" borderId="11" xfId="0" applyNumberFormat="1" applyFont="1" applyFill="1" applyBorder="1" applyAlignment="1">
      <alignment horizontal="center" vertical="center"/>
    </xf>
    <xf numFmtId="2" fontId="61" fillId="54" borderId="11" xfId="0" applyNumberFormat="1" applyFont="1" applyFill="1" applyBorder="1" applyAlignment="1">
      <alignment horizontal="center" vertical="center"/>
    </xf>
    <xf numFmtId="0" fontId="31" fillId="73" borderId="11" xfId="0" applyFont="1" applyFill="1" applyBorder="1" applyAlignment="1">
      <alignment horizontal="center" vertical="center" wrapText="1"/>
    </xf>
    <xf numFmtId="6" fontId="18" fillId="63" borderId="11" xfId="0" applyNumberFormat="1" applyFont="1" applyFill="1" applyBorder="1" applyAlignment="1">
      <alignment horizontal="center" vertical="center"/>
    </xf>
    <xf numFmtId="0" fontId="21" fillId="0" borderId="11" xfId="0" applyFont="1" applyBorder="1" applyAlignment="1">
      <alignment horizontal="center" vertical="center"/>
    </xf>
    <xf numFmtId="9" fontId="21" fillId="0" borderId="11" xfId="42" applyFont="1" applyBorder="1" applyAlignment="1">
      <alignment horizontal="center" vertical="center"/>
    </xf>
    <xf numFmtId="0" fontId="18" fillId="71" borderId="11" xfId="0" applyFont="1" applyFill="1" applyBorder="1" applyAlignment="1">
      <alignment horizontal="center" vertical="center"/>
    </xf>
    <xf numFmtId="0" fontId="18" fillId="66" borderId="11" xfId="0" applyFont="1" applyFill="1" applyBorder="1" applyAlignment="1">
      <alignment horizontal="center" vertical="center"/>
    </xf>
    <xf numFmtId="0" fontId="18" fillId="74" borderId="11" xfId="0" applyFont="1" applyFill="1" applyBorder="1" applyAlignment="1">
      <alignment horizontal="center" vertical="center"/>
    </xf>
    <xf numFmtId="2" fontId="21" fillId="0" borderId="11" xfId="0" applyNumberFormat="1" applyFont="1" applyBorder="1" applyAlignment="1">
      <alignment horizontal="center" vertical="center"/>
    </xf>
    <xf numFmtId="165" fontId="21" fillId="0" borderId="11" xfId="0" applyNumberFormat="1" applyFont="1" applyBorder="1" applyAlignment="1">
      <alignment horizontal="center" vertical="center"/>
    </xf>
    <xf numFmtId="0" fontId="18" fillId="75" borderId="11" xfId="0" applyFont="1" applyFill="1" applyBorder="1" applyAlignment="1">
      <alignment horizontal="center" vertical="center"/>
    </xf>
    <xf numFmtId="0" fontId="31" fillId="0" borderId="15" xfId="0" applyFont="1" applyBorder="1" applyAlignment="1">
      <alignment horizontal="center"/>
    </xf>
    <xf numFmtId="6" fontId="31" fillId="56" borderId="18" xfId="0" applyNumberFormat="1" applyFont="1" applyFill="1" applyBorder="1" applyAlignment="1">
      <alignment horizontal="center" vertical="center"/>
    </xf>
    <xf numFmtId="165" fontId="31" fillId="56" borderId="18" xfId="42" applyNumberFormat="1" applyFont="1" applyFill="1" applyBorder="1" applyAlignment="1">
      <alignment horizontal="center" vertical="center"/>
    </xf>
    <xf numFmtId="165" fontId="31" fillId="56" borderId="18" xfId="0" applyNumberFormat="1" applyFont="1" applyFill="1" applyBorder="1" applyAlignment="1">
      <alignment horizontal="center" vertical="center"/>
    </xf>
    <xf numFmtId="166" fontId="31" fillId="56" borderId="18" xfId="0" applyNumberFormat="1" applyFont="1" applyFill="1" applyBorder="1" applyAlignment="1">
      <alignment horizontal="center" vertical="center"/>
    </xf>
    <xf numFmtId="0" fontId="31" fillId="0" borderId="31" xfId="0" applyFont="1" applyBorder="1" applyAlignment="1">
      <alignment horizontal="center" vertical="center"/>
    </xf>
    <xf numFmtId="0" fontId="31" fillId="0" borderId="31" xfId="0" applyFont="1" applyBorder="1"/>
    <xf numFmtId="0" fontId="31" fillId="0" borderId="31" xfId="0" applyFont="1" applyBorder="1" applyAlignment="1">
      <alignment horizontal="center"/>
    </xf>
    <xf numFmtId="0" fontId="22" fillId="0" borderId="31" xfId="0" applyFont="1" applyBorder="1" applyAlignment="1">
      <alignment horizontal="center"/>
    </xf>
    <xf numFmtId="168" fontId="31" fillId="0" borderId="31" xfId="0" applyNumberFormat="1" applyFont="1" applyBorder="1" applyAlignment="1">
      <alignment horizontal="center"/>
    </xf>
    <xf numFmtId="0" fontId="31" fillId="39" borderId="31" xfId="0" applyFont="1" applyFill="1" applyBorder="1" applyAlignment="1">
      <alignment horizontal="center" vertical="center"/>
    </xf>
    <xf numFmtId="164" fontId="31" fillId="0" borderId="31" xfId="42" applyNumberFormat="1" applyFont="1" applyBorder="1" applyAlignment="1">
      <alignment horizontal="center" vertical="center"/>
    </xf>
    <xf numFmtId="167" fontId="31" fillId="0" borderId="31" xfId="42" applyNumberFormat="1" applyFont="1" applyBorder="1" applyAlignment="1">
      <alignment horizontal="center" vertical="center"/>
    </xf>
    <xf numFmtId="6" fontId="31" fillId="0" borderId="31" xfId="0" applyNumberFormat="1" applyFont="1" applyBorder="1" applyAlignment="1">
      <alignment horizontal="center" vertical="center"/>
    </xf>
    <xf numFmtId="6" fontId="31" fillId="52" borderId="31" xfId="0" applyNumberFormat="1" applyFont="1" applyFill="1" applyBorder="1" applyAlignment="1">
      <alignment horizontal="center" vertical="center"/>
    </xf>
    <xf numFmtId="6" fontId="31" fillId="38" borderId="31" xfId="0" applyNumberFormat="1" applyFont="1" applyFill="1" applyBorder="1" applyAlignment="1">
      <alignment horizontal="center" vertical="center"/>
    </xf>
    <xf numFmtId="6" fontId="31" fillId="59" borderId="31" xfId="0" applyNumberFormat="1" applyFont="1" applyFill="1" applyBorder="1" applyAlignment="1">
      <alignment horizontal="center" vertical="center"/>
    </xf>
    <xf numFmtId="165" fontId="31" fillId="52" borderId="31" xfId="0" applyNumberFormat="1" applyFont="1" applyFill="1" applyBorder="1" applyAlignment="1">
      <alignment horizontal="center" vertical="center"/>
    </xf>
    <xf numFmtId="165" fontId="31" fillId="38" borderId="31" xfId="0" applyNumberFormat="1" applyFont="1" applyFill="1" applyBorder="1" applyAlignment="1">
      <alignment horizontal="center" vertical="center"/>
    </xf>
    <xf numFmtId="165" fontId="31" fillId="59" borderId="31" xfId="0" applyNumberFormat="1" applyFont="1" applyFill="1" applyBorder="1" applyAlignment="1">
      <alignment horizontal="center" vertical="center"/>
    </xf>
    <xf numFmtId="2" fontId="31" fillId="52" borderId="31" xfId="42" applyNumberFormat="1" applyFont="1" applyFill="1" applyBorder="1" applyAlignment="1">
      <alignment horizontal="center" vertical="center"/>
    </xf>
    <xf numFmtId="2" fontId="31" fillId="52" borderId="31" xfId="0" applyNumberFormat="1" applyFont="1" applyFill="1" applyBorder="1" applyAlignment="1">
      <alignment horizontal="center" vertical="center"/>
    </xf>
    <xf numFmtId="2" fontId="31" fillId="38" borderId="31" xfId="0" applyNumberFormat="1" applyFont="1" applyFill="1" applyBorder="1" applyAlignment="1">
      <alignment horizontal="center" vertical="center"/>
    </xf>
    <xf numFmtId="2" fontId="31" fillId="59" borderId="31" xfId="0" applyNumberFormat="1" applyFont="1" applyFill="1" applyBorder="1" applyAlignment="1">
      <alignment horizontal="center" vertical="center"/>
    </xf>
    <xf numFmtId="167" fontId="31" fillId="0" borderId="31" xfId="0" applyNumberFormat="1" applyFont="1" applyBorder="1" applyAlignment="1">
      <alignment horizontal="center" vertical="center"/>
    </xf>
    <xf numFmtId="6" fontId="31" fillId="0" borderId="31" xfId="42" applyNumberFormat="1" applyFont="1" applyFill="1" applyBorder="1" applyAlignment="1">
      <alignment horizontal="center" vertical="center"/>
    </xf>
    <xf numFmtId="1" fontId="31" fillId="0" borderId="31" xfId="0" applyNumberFormat="1" applyFont="1" applyBorder="1" applyAlignment="1">
      <alignment horizontal="center" vertical="center"/>
    </xf>
    <xf numFmtId="2" fontId="31" fillId="0" borderId="31" xfId="0" applyNumberFormat="1" applyFont="1" applyBorder="1" applyAlignment="1">
      <alignment horizontal="center" vertical="center"/>
    </xf>
    <xf numFmtId="165" fontId="31" fillId="0" borderId="31" xfId="0" applyNumberFormat="1" applyFont="1" applyBorder="1" applyAlignment="1">
      <alignment horizontal="center" vertical="center"/>
    </xf>
    <xf numFmtId="165" fontId="31" fillId="0" borderId="31" xfId="42" applyNumberFormat="1" applyFont="1" applyBorder="1" applyAlignment="1">
      <alignment horizontal="center" vertical="center"/>
    </xf>
    <xf numFmtId="166" fontId="31" fillId="0" borderId="31" xfId="0" applyNumberFormat="1" applyFont="1" applyBorder="1" applyAlignment="1">
      <alignment horizontal="center" vertical="center"/>
    </xf>
    <xf numFmtId="167" fontId="32" fillId="0" borderId="31" xfId="0" applyNumberFormat="1" applyFont="1" applyBorder="1" applyAlignment="1">
      <alignment horizontal="center" vertical="center"/>
    </xf>
    <xf numFmtId="1" fontId="31" fillId="39" borderId="31" xfId="0" applyNumberFormat="1" applyFont="1" applyFill="1" applyBorder="1" applyAlignment="1">
      <alignment horizontal="center" vertical="center"/>
    </xf>
    <xf numFmtId="166" fontId="31" fillId="39" borderId="31" xfId="0" applyNumberFormat="1" applyFont="1" applyFill="1" applyBorder="1" applyAlignment="1">
      <alignment horizontal="center" vertical="center"/>
    </xf>
    <xf numFmtId="165" fontId="22" fillId="0" borderId="31" xfId="0" applyNumberFormat="1" applyFont="1" applyBorder="1" applyAlignment="1">
      <alignment horizontal="center"/>
    </xf>
    <xf numFmtId="167" fontId="25" fillId="0" borderId="31" xfId="0" applyNumberFormat="1" applyFont="1" applyBorder="1" applyAlignment="1">
      <alignment horizontal="center"/>
    </xf>
    <xf numFmtId="168" fontId="44" fillId="59" borderId="19" xfId="0" applyNumberFormat="1" applyFont="1" applyFill="1" applyBorder="1" applyAlignment="1">
      <alignment horizontal="center" vertical="center" wrapText="1"/>
    </xf>
    <xf numFmtId="0" fontId="19" fillId="59" borderId="15" xfId="0" applyFont="1" applyFill="1" applyBorder="1" applyAlignment="1">
      <alignment horizontal="left" vertical="top" wrapText="1"/>
    </xf>
    <xf numFmtId="0" fontId="0" fillId="0" borderId="0" xfId="0" quotePrefix="1"/>
    <xf numFmtId="0" fontId="65" fillId="0" borderId="0" xfId="0" applyFont="1" applyAlignment="1">
      <alignment horizontal="left" vertical="center"/>
    </xf>
    <xf numFmtId="2" fontId="65" fillId="0" borderId="0" xfId="42" applyNumberFormat="1" applyFont="1" applyAlignment="1">
      <alignment horizontal="center" vertical="center"/>
    </xf>
    <xf numFmtId="0" fontId="65" fillId="0" borderId="0" xfId="0" applyFont="1" applyAlignment="1">
      <alignment horizontal="center" vertical="center"/>
    </xf>
    <xf numFmtId="0" fontId="33" fillId="0" borderId="11" xfId="0" applyFont="1" applyBorder="1" applyAlignment="1">
      <alignment horizontal="center" vertical="center"/>
    </xf>
    <xf numFmtId="0" fontId="33" fillId="0" borderId="11" xfId="0" applyFont="1" applyBorder="1"/>
    <xf numFmtId="0" fontId="33" fillId="0" borderId="11" xfId="0" applyFont="1" applyBorder="1" applyAlignment="1">
      <alignment horizontal="center"/>
    </xf>
    <xf numFmtId="0" fontId="66" fillId="0" borderId="11" xfId="0" applyFont="1" applyBorder="1" applyAlignment="1">
      <alignment horizontal="center"/>
    </xf>
    <xf numFmtId="0" fontId="67" fillId="0" borderId="0" xfId="0" applyFont="1"/>
    <xf numFmtId="168" fontId="44" fillId="37" borderId="19" xfId="0" applyNumberFormat="1" applyFont="1" applyFill="1" applyBorder="1" applyAlignment="1">
      <alignment horizontal="center" vertical="center" wrapText="1"/>
    </xf>
    <xf numFmtId="0" fontId="19" fillId="37" borderId="15" xfId="0" applyFont="1" applyFill="1" applyBorder="1" applyAlignment="1">
      <alignment horizontal="left" vertical="top" wrapText="1"/>
    </xf>
    <xf numFmtId="0" fontId="33" fillId="63" borderId="11" xfId="0" applyFont="1" applyFill="1" applyBorder="1" applyAlignment="1">
      <alignment horizontal="center" vertical="center"/>
    </xf>
    <xf numFmtId="2" fontId="32" fillId="0" borderId="11" xfId="0" applyNumberFormat="1" applyFont="1" applyBorder="1" applyAlignment="1">
      <alignment horizontal="center" vertical="center"/>
    </xf>
    <xf numFmtId="0" fontId="62" fillId="0" borderId="16" xfId="0" applyFont="1" applyBorder="1" applyAlignment="1">
      <alignment horizontal="center" vertical="center"/>
    </xf>
    <xf numFmtId="1" fontId="18" fillId="0" borderId="0" xfId="0" applyNumberFormat="1" applyFont="1" applyAlignment="1">
      <alignment horizontal="left" vertical="top"/>
    </xf>
    <xf numFmtId="0" fontId="21" fillId="0" borderId="0" xfId="0" applyFont="1" applyAlignment="1">
      <alignment vertical="top"/>
    </xf>
    <xf numFmtId="0" fontId="21" fillId="0" borderId="33" xfId="0" applyFont="1" applyBorder="1" applyAlignment="1">
      <alignment vertical="top"/>
    </xf>
    <xf numFmtId="0" fontId="0" fillId="0" borderId="16" xfId="0" applyBorder="1"/>
    <xf numFmtId="0" fontId="0" fillId="0" borderId="33" xfId="0" applyBorder="1"/>
    <xf numFmtId="1" fontId="18" fillId="0" borderId="0" xfId="0" applyNumberFormat="1" applyFont="1" applyAlignment="1">
      <alignment horizontal="center" vertical="top"/>
    </xf>
    <xf numFmtId="0" fontId="0" fillId="0" borderId="17" xfId="0" applyBorder="1"/>
    <xf numFmtId="0" fontId="0" fillId="0" borderId="10" xfId="0" applyBorder="1"/>
    <xf numFmtId="0" fontId="0" fillId="0" borderId="23" xfId="0" applyBorder="1"/>
    <xf numFmtId="0" fontId="70" fillId="0" borderId="16" xfId="0" applyFont="1" applyBorder="1" applyAlignment="1">
      <alignment horizontal="center" vertical="center"/>
    </xf>
    <xf numFmtId="0" fontId="71" fillId="0" borderId="16" xfId="0" applyFont="1" applyBorder="1" applyAlignment="1">
      <alignment horizontal="center" vertical="center"/>
    </xf>
    <xf numFmtId="1" fontId="21" fillId="0" borderId="0" xfId="0" applyNumberFormat="1" applyFont="1" applyAlignment="1">
      <alignment horizontal="left" vertical="top"/>
    </xf>
    <xf numFmtId="1" fontId="18" fillId="0" borderId="0" xfId="0" applyNumberFormat="1" applyFont="1" applyAlignment="1">
      <alignment horizontal="left" vertical="center"/>
    </xf>
    <xf numFmtId="0" fontId="21" fillId="0" borderId="0" xfId="0" applyFont="1" applyAlignment="1">
      <alignment horizontal="left" vertical="center"/>
    </xf>
    <xf numFmtId="0" fontId="21" fillId="0" borderId="0" xfId="0" applyFont="1" applyAlignment="1">
      <alignment vertical="center"/>
    </xf>
    <xf numFmtId="0" fontId="21" fillId="0" borderId="33" xfId="0" applyFont="1" applyBorder="1" applyAlignment="1">
      <alignment vertical="center"/>
    </xf>
    <xf numFmtId="0" fontId="32" fillId="40" borderId="11" xfId="0" applyFont="1" applyFill="1" applyBorder="1" applyAlignment="1">
      <alignment horizontal="center" vertical="center"/>
    </xf>
    <xf numFmtId="0" fontId="72" fillId="0" borderId="0" xfId="0" applyFont="1"/>
    <xf numFmtId="1" fontId="31" fillId="39" borderId="34" xfId="0" applyNumberFormat="1" applyFont="1" applyFill="1" applyBorder="1" applyAlignment="1">
      <alignment horizontal="center" vertical="center"/>
    </xf>
    <xf numFmtId="1" fontId="16" fillId="0" borderId="11" xfId="0" applyNumberFormat="1" applyFont="1" applyBorder="1" applyAlignment="1">
      <alignment horizontal="center" vertical="center"/>
    </xf>
    <xf numFmtId="0" fontId="22" fillId="44" borderId="11" xfId="0" applyFont="1" applyFill="1" applyBorder="1" applyAlignment="1">
      <alignment horizontal="center" vertical="center" wrapText="1"/>
    </xf>
    <xf numFmtId="0" fontId="19" fillId="63" borderId="11" xfId="0" applyFont="1" applyFill="1" applyBorder="1" applyAlignment="1">
      <alignment horizontal="center" vertical="center" wrapText="1"/>
    </xf>
    <xf numFmtId="165" fontId="22" fillId="56" borderId="18" xfId="0" applyNumberFormat="1" applyFont="1" applyFill="1" applyBorder="1" applyAlignment="1">
      <alignment horizontal="center"/>
    </xf>
    <xf numFmtId="167" fontId="25" fillId="56" borderId="18" xfId="0" applyNumberFormat="1" applyFont="1" applyFill="1" applyBorder="1" applyAlignment="1">
      <alignment horizontal="center"/>
    </xf>
    <xf numFmtId="167" fontId="31" fillId="56" borderId="18" xfId="0" applyNumberFormat="1" applyFont="1" applyFill="1" applyBorder="1" applyAlignment="1">
      <alignment horizontal="center" vertical="center"/>
    </xf>
    <xf numFmtId="165" fontId="22" fillId="56" borderId="11" xfId="0" applyNumberFormat="1" applyFont="1" applyFill="1" applyBorder="1" applyAlignment="1">
      <alignment horizontal="center"/>
    </xf>
    <xf numFmtId="167" fontId="25" fillId="56" borderId="11" xfId="0" applyNumberFormat="1" applyFont="1" applyFill="1" applyBorder="1" applyAlignment="1">
      <alignment horizontal="center"/>
    </xf>
    <xf numFmtId="167" fontId="31" fillId="56" borderId="11" xfId="0" applyNumberFormat="1" applyFont="1" applyFill="1" applyBorder="1" applyAlignment="1">
      <alignment horizontal="center" vertical="center"/>
    </xf>
    <xf numFmtId="165" fontId="31" fillId="56" borderId="35" xfId="0" applyNumberFormat="1" applyFont="1" applyFill="1" applyBorder="1" applyAlignment="1">
      <alignment horizontal="center" vertical="center"/>
    </xf>
    <xf numFmtId="165" fontId="31" fillId="56" borderId="35" xfId="42" applyNumberFormat="1" applyFont="1" applyFill="1" applyBorder="1" applyAlignment="1">
      <alignment horizontal="center" vertical="center"/>
    </xf>
    <xf numFmtId="166" fontId="31" fillId="56" borderId="35" xfId="0" applyNumberFormat="1" applyFont="1" applyFill="1" applyBorder="1" applyAlignment="1">
      <alignment horizontal="center" vertical="center"/>
    </xf>
    <xf numFmtId="165" fontId="31" fillId="56" borderId="12" xfId="42" applyNumberFormat="1" applyFont="1" applyFill="1" applyBorder="1" applyAlignment="1">
      <alignment horizontal="center" vertical="center"/>
    </xf>
    <xf numFmtId="165" fontId="31" fillId="56" borderId="12" xfId="0" applyNumberFormat="1" applyFont="1" applyFill="1" applyBorder="1" applyAlignment="1">
      <alignment horizontal="center" vertical="center"/>
    </xf>
    <xf numFmtId="167" fontId="31" fillId="0" borderId="35" xfId="0" applyNumberFormat="1" applyFont="1" applyBorder="1" applyAlignment="1">
      <alignment horizontal="center" vertical="center"/>
    </xf>
    <xf numFmtId="0" fontId="73" fillId="43" borderId="10" xfId="0" applyFont="1" applyFill="1" applyBorder="1" applyAlignment="1">
      <alignment vertical="center"/>
    </xf>
    <xf numFmtId="10" fontId="21" fillId="0" borderId="11" xfId="42" applyNumberFormat="1" applyFont="1" applyBorder="1" applyAlignment="1">
      <alignment horizontal="center" vertical="center"/>
    </xf>
    <xf numFmtId="164" fontId="21" fillId="0" borderId="11" xfId="42" applyNumberFormat="1" applyFont="1" applyBorder="1" applyAlignment="1">
      <alignment horizontal="center" vertical="center"/>
    </xf>
    <xf numFmtId="0" fontId="32" fillId="39" borderId="11" xfId="0" applyFont="1" applyFill="1" applyBorder="1" applyAlignment="1">
      <alignment horizontal="center" vertical="center"/>
    </xf>
    <xf numFmtId="0" fontId="33" fillId="39" borderId="11" xfId="0" applyFont="1" applyFill="1" applyBorder="1" applyAlignment="1">
      <alignment horizontal="center" vertical="center"/>
    </xf>
    <xf numFmtId="164" fontId="0" fillId="0" borderId="11" xfId="42" applyNumberFormat="1" applyFont="1" applyBorder="1" applyAlignment="1">
      <alignment horizontal="center" vertical="center"/>
    </xf>
    <xf numFmtId="0" fontId="0" fillId="0" borderId="11" xfId="0" applyBorder="1" applyAlignment="1">
      <alignment horizontal="center" vertical="center"/>
    </xf>
    <xf numFmtId="0" fontId="20" fillId="33" borderId="11" xfId="0" applyFont="1" applyFill="1" applyBorder="1" applyAlignment="1">
      <alignment horizontal="center" vertical="center"/>
    </xf>
    <xf numFmtId="0" fontId="20" fillId="37" borderId="11" xfId="0" applyFont="1" applyFill="1" applyBorder="1" applyAlignment="1">
      <alignment horizontal="center" vertical="center"/>
    </xf>
    <xf numFmtId="0" fontId="0" fillId="33" borderId="18" xfId="0" applyFill="1" applyBorder="1" applyAlignment="1">
      <alignment horizontal="center" vertical="center"/>
    </xf>
    <xf numFmtId="167" fontId="31" fillId="44" borderId="18" xfId="0" applyNumberFormat="1" applyFont="1" applyFill="1" applyBorder="1" applyAlignment="1">
      <alignment horizontal="center" vertical="center"/>
    </xf>
    <xf numFmtId="0" fontId="22" fillId="50" borderId="13" xfId="0" applyFont="1" applyFill="1" applyBorder="1" applyAlignment="1">
      <alignment horizontal="center" vertical="center"/>
    </xf>
    <xf numFmtId="6" fontId="20" fillId="0" borderId="15" xfId="0" applyNumberFormat="1" applyFont="1" applyBorder="1" applyAlignment="1">
      <alignment horizontal="center" vertical="center"/>
    </xf>
    <xf numFmtId="0" fontId="22" fillId="50" borderId="11" xfId="0" applyFont="1" applyFill="1" applyBorder="1" applyAlignment="1">
      <alignment horizontal="center" vertical="center"/>
    </xf>
    <xf numFmtId="6" fontId="20" fillId="0" borderId="11" xfId="0" applyNumberFormat="1" applyFont="1" applyBorder="1" applyAlignment="1">
      <alignment horizontal="center" vertical="center"/>
    </xf>
    <xf numFmtId="0" fontId="0" fillId="48" borderId="11" xfId="0" applyFill="1" applyBorder="1" applyAlignment="1">
      <alignment horizontal="center"/>
    </xf>
    <xf numFmtId="0" fontId="49" fillId="43" borderId="27" xfId="0" quotePrefix="1" applyFont="1" applyFill="1" applyBorder="1" applyAlignment="1">
      <alignment horizontal="center" vertical="center" wrapText="1"/>
    </xf>
    <xf numFmtId="0" fontId="49" fillId="43" borderId="21" xfId="0" applyFont="1" applyFill="1" applyBorder="1" applyAlignment="1">
      <alignment horizontal="center" vertical="center" wrapText="1"/>
    </xf>
    <xf numFmtId="0" fontId="49" fillId="43" borderId="28" xfId="0" applyFont="1" applyFill="1" applyBorder="1" applyAlignment="1">
      <alignment horizontal="center" vertical="center" wrapText="1"/>
    </xf>
    <xf numFmtId="0" fontId="23" fillId="52" borderId="10" xfId="0" applyFont="1" applyFill="1" applyBorder="1" applyAlignment="1">
      <alignment horizontal="center" vertical="center" wrapText="1"/>
    </xf>
    <xf numFmtId="0" fontId="23" fillId="52" borderId="26" xfId="0" applyFont="1" applyFill="1" applyBorder="1" applyAlignment="1">
      <alignment horizontal="center" vertical="center" wrapText="1"/>
    </xf>
    <xf numFmtId="0" fontId="23" fillId="52" borderId="10" xfId="0" applyFont="1" applyFill="1" applyBorder="1" applyAlignment="1">
      <alignment horizontal="center" vertical="center"/>
    </xf>
    <xf numFmtId="0" fontId="50" fillId="47" borderId="25" xfId="0" applyFont="1" applyFill="1" applyBorder="1" applyAlignment="1">
      <alignment horizontal="center" vertical="center"/>
    </xf>
    <xf numFmtId="0" fontId="50" fillId="47" borderId="10" xfId="0" applyFont="1" applyFill="1" applyBorder="1" applyAlignment="1">
      <alignment horizontal="center" vertical="center"/>
    </xf>
    <xf numFmtId="0" fontId="50" fillId="47" borderId="26" xfId="0" applyFont="1" applyFill="1" applyBorder="1" applyAlignment="1">
      <alignment horizontal="center" vertical="center"/>
    </xf>
    <xf numFmtId="0" fontId="18" fillId="46" borderId="11" xfId="0" applyFont="1" applyFill="1" applyBorder="1" applyAlignment="1">
      <alignment horizontal="center" vertical="center" wrapText="1"/>
    </xf>
    <xf numFmtId="168" fontId="32" fillId="52" borderId="19" xfId="0" applyNumberFormat="1" applyFont="1" applyFill="1" applyBorder="1" applyAlignment="1">
      <alignment horizontal="center" vertical="center" wrapText="1"/>
    </xf>
    <xf numFmtId="168" fontId="32" fillId="52" borderId="14" xfId="0" applyNumberFormat="1"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27" fillId="47" borderId="11" xfId="0" applyFont="1" applyFill="1" applyBorder="1" applyAlignment="1">
      <alignment horizontal="center" vertical="center"/>
    </xf>
    <xf numFmtId="0" fontId="50" fillId="46" borderId="17" xfId="0" applyFont="1" applyFill="1" applyBorder="1" applyAlignment="1">
      <alignment horizontal="center" vertical="center" wrapText="1"/>
    </xf>
    <xf numFmtId="0" fontId="50" fillId="46" borderId="10" xfId="0" applyFont="1" applyFill="1" applyBorder="1" applyAlignment="1">
      <alignment horizontal="center" vertical="center" wrapText="1"/>
    </xf>
    <xf numFmtId="0" fontId="50" fillId="46" borderId="23" xfId="0" applyFont="1" applyFill="1" applyBorder="1" applyAlignment="1">
      <alignment horizontal="center" vertical="center" wrapText="1"/>
    </xf>
    <xf numFmtId="0" fontId="23" fillId="44" borderId="22" xfId="0" applyFont="1" applyFill="1" applyBorder="1" applyAlignment="1">
      <alignment horizontal="center" vertical="center"/>
    </xf>
    <xf numFmtId="0" fontId="23" fillId="44" borderId="20" xfId="0" applyFont="1" applyFill="1" applyBorder="1" applyAlignment="1">
      <alignment horizontal="center" vertical="center"/>
    </xf>
    <xf numFmtId="0" fontId="23" fillId="44" borderId="29" xfId="0" applyFont="1" applyFill="1" applyBorder="1" applyAlignment="1">
      <alignment horizontal="center" vertical="center"/>
    </xf>
    <xf numFmtId="0" fontId="45" fillId="45" borderId="10" xfId="0" applyFont="1" applyFill="1" applyBorder="1" applyAlignment="1">
      <alignment horizontal="center" vertical="center"/>
    </xf>
    <xf numFmtId="0" fontId="27" fillId="47" borderId="11" xfId="0" applyFont="1" applyFill="1" applyBorder="1" applyAlignment="1">
      <alignment horizontal="center" vertical="center" wrapText="1"/>
    </xf>
    <xf numFmtId="0" fontId="18" fillId="37" borderId="11" xfId="0" applyFont="1" applyFill="1" applyBorder="1" applyAlignment="1">
      <alignment horizontal="left" vertical="center"/>
    </xf>
    <xf numFmtId="0" fontId="18" fillId="42" borderId="11" xfId="0" applyFont="1" applyFill="1" applyBorder="1" applyAlignment="1">
      <alignment horizontal="left" vertical="center"/>
    </xf>
    <xf numFmtId="0" fontId="18" fillId="45" borderId="11" xfId="0" applyFont="1" applyFill="1" applyBorder="1" applyAlignment="1">
      <alignment horizontal="left" vertical="center"/>
    </xf>
    <xf numFmtId="0" fontId="69" fillId="71" borderId="11" xfId="0" applyFont="1" applyFill="1" applyBorder="1" applyAlignment="1">
      <alignment horizontal="center" vertical="center"/>
    </xf>
    <xf numFmtId="0" fontId="68" fillId="71" borderId="11" xfId="0" applyFont="1" applyFill="1" applyBorder="1" applyAlignment="1">
      <alignment horizontal="center" vertical="center"/>
    </xf>
    <xf numFmtId="0" fontId="63" fillId="33" borderId="19" xfId="0" applyFont="1" applyFill="1" applyBorder="1" applyAlignment="1">
      <alignment horizontal="left" vertical="center"/>
    </xf>
    <xf numFmtId="0" fontId="63" fillId="33" borderId="21" xfId="0" applyFont="1" applyFill="1" applyBorder="1" applyAlignment="1">
      <alignment horizontal="left" vertical="center"/>
    </xf>
    <xf numFmtId="0" fontId="63" fillId="33" borderId="14" xfId="0" applyFont="1" applyFill="1" applyBorder="1" applyAlignment="1">
      <alignment horizontal="left" vertical="center"/>
    </xf>
    <xf numFmtId="0" fontId="21" fillId="0" borderId="0" xfId="0" applyFont="1" applyAlignment="1">
      <alignment horizontal="left" vertical="top"/>
    </xf>
    <xf numFmtId="2" fontId="20" fillId="0" borderId="0" xfId="0" applyNumberFormat="1" applyFont="1" applyAlignment="1">
      <alignment horizontal="center" vertical="center"/>
    </xf>
    <xf numFmtId="0" fontId="21" fillId="0" borderId="33" xfId="0" applyFont="1" applyBorder="1" applyAlignment="1">
      <alignment horizontal="left" vertical="top"/>
    </xf>
    <xf numFmtId="2" fontId="20" fillId="0" borderId="0" xfId="0" applyNumberFormat="1"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top"/>
    </xf>
    <xf numFmtId="0" fontId="21" fillId="0" borderId="30" xfId="0" applyFont="1" applyBorder="1" applyAlignment="1">
      <alignment horizontal="left" vertical="center"/>
    </xf>
    <xf numFmtId="0" fontId="21" fillId="0" borderId="24" xfId="0" applyFont="1" applyBorder="1" applyAlignment="1">
      <alignment horizontal="left" vertical="center"/>
    </xf>
    <xf numFmtId="0" fontId="21" fillId="0" borderId="32" xfId="0" applyFont="1" applyBorder="1" applyAlignment="1">
      <alignment horizontal="left" vertical="center"/>
    </xf>
    <xf numFmtId="0" fontId="21" fillId="0" borderId="10" xfId="0" applyFont="1" applyBorder="1" applyAlignment="1">
      <alignment horizontal="center" vertical="center"/>
    </xf>
    <xf numFmtId="0" fontId="18" fillId="0" borderId="10" xfId="0" applyFont="1" applyBorder="1" applyAlignment="1">
      <alignment horizontal="center" vertical="center"/>
    </xf>
    <xf numFmtId="0" fontId="21" fillId="0" borderId="10" xfId="0" applyFont="1" applyBorder="1" applyAlignment="1">
      <alignment horizontal="left" vertical="center"/>
    </xf>
    <xf numFmtId="0" fontId="21" fillId="0" borderId="23" xfId="0" applyFont="1" applyBorder="1" applyAlignment="1">
      <alignment horizontal="left" vertical="center"/>
    </xf>
    <xf numFmtId="0" fontId="16" fillId="46" borderId="11" xfId="0" applyFont="1" applyFill="1" applyBorder="1" applyAlignment="1">
      <alignment horizontal="center" vertical="center"/>
    </xf>
    <xf numFmtId="0" fontId="18" fillId="76" borderId="36" xfId="0" applyFont="1" applyFill="1" applyBorder="1" applyAlignment="1">
      <alignment horizontal="center" vertical="center"/>
    </xf>
    <xf numFmtId="0" fontId="18" fillId="76" borderId="12" xfId="0" applyFont="1" applyFill="1" applyBorder="1" applyAlignment="1">
      <alignment horizontal="center" vertical="center"/>
    </xf>
    <xf numFmtId="0" fontId="18" fillId="48" borderId="15" xfId="0" applyFont="1" applyFill="1" applyBorder="1" applyAlignment="1">
      <alignment horizontal="center" vertical="center"/>
    </xf>
    <xf numFmtId="0" fontId="18" fillId="48" borderId="12" xfId="0" applyFont="1" applyFill="1" applyBorder="1" applyAlignment="1">
      <alignment horizontal="center" vertical="center"/>
    </xf>
    <xf numFmtId="0" fontId="18" fillId="74" borderId="15" xfId="0" applyFont="1" applyFill="1" applyBorder="1" applyAlignment="1">
      <alignment horizontal="center" vertical="center"/>
    </xf>
    <xf numFmtId="0" fontId="18" fillId="74" borderId="12" xfId="0" applyFont="1" applyFill="1" applyBorder="1" applyAlignment="1">
      <alignment horizontal="center" vertical="center"/>
    </xf>
    <xf numFmtId="0" fontId="18" fillId="41" borderId="15" xfId="0" applyFont="1" applyFill="1" applyBorder="1" applyAlignment="1">
      <alignment horizontal="center" vertical="center"/>
    </xf>
    <xf numFmtId="0" fontId="18" fillId="41" borderId="12" xfId="0" applyFont="1" applyFill="1" applyBorder="1" applyAlignment="1">
      <alignment horizontal="center" vertical="center"/>
    </xf>
    <xf numFmtId="0" fontId="18" fillId="42" borderId="15" xfId="0" applyFont="1" applyFill="1" applyBorder="1" applyAlignment="1">
      <alignment horizontal="center" vertical="center"/>
    </xf>
    <xf numFmtId="0" fontId="18" fillId="42" borderId="12" xfId="0" applyFont="1" applyFill="1" applyBorder="1" applyAlignment="1">
      <alignment horizontal="center" vertical="center"/>
    </xf>
    <xf numFmtId="0" fontId="18" fillId="47" borderId="11" xfId="0" applyFont="1" applyFill="1" applyBorder="1" applyAlignment="1">
      <alignment horizontal="center" vertical="center"/>
    </xf>
    <xf numFmtId="0" fontId="23" fillId="39" borderId="0" xfId="0" applyFont="1" applyFill="1" applyAlignment="1">
      <alignment horizontal="center" vertical="center" textRotation="90"/>
    </xf>
    <xf numFmtId="165" fontId="16" fillId="0" borderId="15" xfId="0" applyNumberFormat="1" applyFont="1" applyBorder="1" applyAlignment="1">
      <alignment horizontal="center" vertical="center"/>
    </xf>
    <xf numFmtId="165" fontId="16" fillId="0" borderId="13" xfId="0" applyNumberFormat="1" applyFont="1" applyBorder="1" applyAlignment="1">
      <alignment horizontal="center" vertical="center"/>
    </xf>
    <xf numFmtId="165" fontId="16" fillId="0" borderId="12" xfId="0" applyNumberFormat="1" applyFont="1" applyBorder="1" applyAlignment="1">
      <alignment horizontal="center" vertical="center"/>
    </xf>
    <xf numFmtId="0" fontId="20" fillId="47" borderId="15" xfId="0" applyFont="1" applyFill="1" applyBorder="1" applyAlignment="1">
      <alignment horizontal="center" vertical="center" wrapText="1"/>
    </xf>
    <xf numFmtId="0" fontId="20" fillId="47" borderId="13" xfId="0" applyFont="1" applyFill="1" applyBorder="1" applyAlignment="1">
      <alignment horizontal="center" vertical="center" wrapText="1"/>
    </xf>
    <xf numFmtId="0" fontId="20" fillId="47" borderId="12" xfId="0" applyFont="1" applyFill="1" applyBorder="1" applyAlignment="1">
      <alignment horizontal="center" vertical="center" wrapText="1"/>
    </xf>
    <xf numFmtId="164" fontId="16" fillId="37" borderId="15" xfId="42" applyNumberFormat="1" applyFont="1" applyFill="1" applyBorder="1" applyAlignment="1">
      <alignment horizontal="center" vertical="center"/>
    </xf>
    <xf numFmtId="164" fontId="16" fillId="37" borderId="12" xfId="42" applyNumberFormat="1" applyFont="1" applyFill="1" applyBorder="1" applyAlignment="1">
      <alignment horizontal="center" vertical="center"/>
    </xf>
    <xf numFmtId="164" fontId="16" fillId="41" borderId="15" xfId="42" applyNumberFormat="1" applyFont="1" applyFill="1" applyBorder="1" applyAlignment="1">
      <alignment horizontal="center" vertical="center"/>
    </xf>
    <xf numFmtId="164" fontId="16" fillId="41" borderId="12" xfId="42" applyNumberFormat="1" applyFont="1" applyFill="1" applyBorder="1" applyAlignment="1">
      <alignment horizontal="center" vertical="center"/>
    </xf>
    <xf numFmtId="164" fontId="16" fillId="37" borderId="11" xfId="42" applyNumberFormat="1" applyFont="1" applyFill="1" applyBorder="1" applyAlignment="1">
      <alignment horizontal="center" vertical="center"/>
    </xf>
    <xf numFmtId="165" fontId="16" fillId="0" borderId="11" xfId="0" applyNumberFormat="1" applyFont="1" applyBorder="1" applyAlignment="1">
      <alignment horizontal="center" vertical="center"/>
    </xf>
    <xf numFmtId="1" fontId="16" fillId="0" borderId="11" xfId="0" applyNumberFormat="1" applyFont="1" applyBorder="1" applyAlignment="1">
      <alignment horizontal="center" vertical="center"/>
    </xf>
    <xf numFmtId="164" fontId="0" fillId="37" borderId="11" xfId="42" applyNumberFormat="1" applyFont="1" applyFill="1" applyBorder="1" applyAlignment="1">
      <alignment horizontal="center" vertical="center"/>
    </xf>
    <xf numFmtId="164" fontId="0" fillId="41" borderId="15" xfId="42" applyNumberFormat="1" applyFont="1" applyFill="1" applyBorder="1" applyAlignment="1">
      <alignment horizontal="center" vertical="center"/>
    </xf>
    <xf numFmtId="164" fontId="0" fillId="41" borderId="12" xfId="42" applyNumberFormat="1" applyFont="1" applyFill="1" applyBorder="1" applyAlignment="1">
      <alignment horizontal="center" vertical="center"/>
    </xf>
    <xf numFmtId="164" fontId="0" fillId="41" borderId="11" xfId="42" applyNumberFormat="1" applyFont="1" applyFill="1" applyBorder="1" applyAlignment="1">
      <alignment horizontal="center" vertical="center"/>
    </xf>
    <xf numFmtId="165" fontId="16" fillId="55" borderId="15" xfId="0" applyNumberFormat="1" applyFont="1" applyFill="1" applyBorder="1" applyAlignment="1">
      <alignment horizontal="center" vertical="center"/>
    </xf>
    <xf numFmtId="165" fontId="16" fillId="55" borderId="13" xfId="0" applyNumberFormat="1" applyFont="1" applyFill="1" applyBorder="1" applyAlignment="1">
      <alignment horizontal="center" vertical="center"/>
    </xf>
    <xf numFmtId="165" fontId="16" fillId="55" borderId="12" xfId="0" applyNumberFormat="1" applyFont="1" applyFill="1" applyBorder="1" applyAlignment="1">
      <alignment horizontal="center" vertical="center"/>
    </xf>
    <xf numFmtId="165" fontId="16" fillId="55" borderId="11" xfId="0" applyNumberFormat="1" applyFont="1" applyFill="1" applyBorder="1" applyAlignment="1">
      <alignment horizontal="center" vertical="center"/>
    </xf>
    <xf numFmtId="0" fontId="41" fillId="45" borderId="17" xfId="0" applyFont="1" applyFill="1" applyBorder="1" applyAlignment="1">
      <alignment horizontal="center" vertical="center"/>
    </xf>
    <xf numFmtId="0" fontId="41" fillId="45" borderId="10" xfId="0" applyFont="1" applyFill="1" applyBorder="1" applyAlignment="1">
      <alignment horizontal="center" vertical="center"/>
    </xf>
    <xf numFmtId="0" fontId="41" fillId="45" borderId="23" xfId="0" applyFont="1" applyFill="1" applyBorder="1" applyAlignment="1">
      <alignment horizontal="center" vertical="center"/>
    </xf>
    <xf numFmtId="0" fontId="18" fillId="61" borderId="17" xfId="0" applyFont="1" applyFill="1" applyBorder="1" applyAlignment="1">
      <alignment horizontal="center" vertical="center"/>
    </xf>
    <xf numFmtId="0" fontId="18" fillId="61" borderId="10" xfId="0" applyFont="1" applyFill="1" applyBorder="1" applyAlignment="1">
      <alignment horizontal="center" vertical="center"/>
    </xf>
    <xf numFmtId="0" fontId="18" fillId="61" borderId="23" xfId="0" applyFont="1" applyFill="1" applyBorder="1" applyAlignment="1">
      <alignment horizontal="center" vertical="center"/>
    </xf>
    <xf numFmtId="0" fontId="36" fillId="47" borderId="11" xfId="0" applyFont="1" applyFill="1" applyBorder="1" applyAlignment="1">
      <alignment horizontal="center"/>
    </xf>
    <xf numFmtId="0" fontId="36" fillId="53" borderId="11" xfId="0" applyFont="1" applyFill="1" applyBorder="1" applyAlignment="1">
      <alignment horizontal="center" vertical="center"/>
    </xf>
    <xf numFmtId="0" fontId="42" fillId="39" borderId="19" xfId="0" applyFont="1" applyFill="1" applyBorder="1" applyAlignment="1">
      <alignment horizontal="center" vertical="center"/>
    </xf>
    <xf numFmtId="0" fontId="42" fillId="39" borderId="21" xfId="0" applyFont="1" applyFill="1" applyBorder="1" applyAlignment="1">
      <alignment horizontal="center" vertical="center"/>
    </xf>
    <xf numFmtId="0" fontId="42" fillId="39" borderId="14" xfId="0" applyFont="1" applyFill="1" applyBorder="1" applyAlignment="1">
      <alignment horizontal="center" vertical="center"/>
    </xf>
    <xf numFmtId="0" fontId="18" fillId="48" borderId="17" xfId="0" applyFont="1" applyFill="1" applyBorder="1" applyAlignment="1">
      <alignment horizontal="center" vertical="center"/>
    </xf>
    <xf numFmtId="0" fontId="18" fillId="48" borderId="10" xfId="0" applyFont="1" applyFill="1" applyBorder="1" applyAlignment="1">
      <alignment horizontal="center" vertical="center"/>
    </xf>
    <xf numFmtId="0" fontId="18" fillId="48" borderId="23" xfId="0" applyFont="1" applyFill="1" applyBorder="1" applyAlignment="1">
      <alignment horizontal="center" vertical="center"/>
    </xf>
    <xf numFmtId="0" fontId="18" fillId="59" borderId="17" xfId="0" applyFont="1" applyFill="1" applyBorder="1" applyAlignment="1">
      <alignment horizontal="center" vertical="center"/>
    </xf>
    <xf numFmtId="0" fontId="18" fillId="59" borderId="10" xfId="0" applyFont="1" applyFill="1" applyBorder="1" applyAlignment="1">
      <alignment horizontal="center" vertical="center"/>
    </xf>
    <xf numFmtId="0" fontId="18" fillId="59" borderId="23" xfId="0" applyFont="1" applyFill="1" applyBorder="1" applyAlignment="1">
      <alignment horizontal="center" vertical="center"/>
    </xf>
    <xf numFmtId="0" fontId="18" fillId="46" borderId="17" xfId="0" applyFont="1" applyFill="1" applyBorder="1" applyAlignment="1">
      <alignment horizontal="center" vertical="center"/>
    </xf>
    <xf numFmtId="0" fontId="18" fillId="46" borderId="10" xfId="0" applyFont="1" applyFill="1" applyBorder="1" applyAlignment="1">
      <alignment horizontal="center" vertical="center"/>
    </xf>
    <xf numFmtId="0" fontId="18" fillId="46" borderId="23" xfId="0" applyFont="1" applyFill="1" applyBorder="1" applyAlignment="1">
      <alignment horizontal="center" vertical="center"/>
    </xf>
    <xf numFmtId="0" fontId="18" fillId="43" borderId="17" xfId="0" applyFont="1" applyFill="1" applyBorder="1" applyAlignment="1">
      <alignment horizontal="center" vertical="center"/>
    </xf>
    <xf numFmtId="0" fontId="18" fillId="43" borderId="10" xfId="0" applyFont="1" applyFill="1" applyBorder="1" applyAlignment="1">
      <alignment horizontal="center" vertical="center"/>
    </xf>
    <xf numFmtId="0" fontId="18" fillId="43" borderId="23" xfId="0" applyFont="1" applyFill="1" applyBorder="1" applyAlignment="1">
      <alignment horizontal="center" vertical="center"/>
    </xf>
    <xf numFmtId="0" fontId="18" fillId="60" borderId="17" xfId="0" applyFont="1" applyFill="1" applyBorder="1" applyAlignment="1">
      <alignment horizontal="center" vertical="center"/>
    </xf>
    <xf numFmtId="0" fontId="18" fillId="60" borderId="10" xfId="0" applyFont="1" applyFill="1" applyBorder="1" applyAlignment="1">
      <alignment horizontal="center" vertical="center"/>
    </xf>
    <xf numFmtId="0" fontId="18" fillId="60" borderId="23" xfId="0" applyFont="1" applyFill="1" applyBorder="1" applyAlignment="1">
      <alignment horizontal="center" vertical="center"/>
    </xf>
    <xf numFmtId="0" fontId="18" fillId="43" borderId="0" xfId="0" applyFont="1" applyFill="1" applyAlignment="1">
      <alignment horizontal="left" vertical="center"/>
    </xf>
    <xf numFmtId="0" fontId="2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7">
    <dxf>
      <font>
        <color rgb="FFFF0000"/>
      </font>
    </dxf>
    <dxf>
      <font>
        <strike val="0"/>
        <color rgb="FFFF0000"/>
      </font>
    </dxf>
    <dxf>
      <fill>
        <patternFill>
          <bgColor theme="9" tint="0.79998168889431442"/>
        </patternFill>
      </fill>
    </dxf>
    <dxf>
      <fill>
        <patternFill>
          <bgColor theme="7" tint="0.79998168889431442"/>
        </patternFill>
      </fill>
    </dxf>
    <dxf>
      <fill>
        <patternFill>
          <bgColor rgb="FFFFFFCC"/>
        </patternFill>
      </fill>
    </dxf>
    <dxf>
      <fill>
        <patternFill>
          <bgColor theme="0" tint="-0.24994659260841701"/>
        </patternFill>
      </fill>
    </dxf>
    <dxf>
      <fill>
        <patternFill>
          <bgColor rgb="FFC6EBB7"/>
        </patternFill>
      </fill>
    </dxf>
    <dxf>
      <fill>
        <patternFill>
          <bgColor rgb="FFFFCCCC"/>
        </patternFill>
      </fill>
    </dxf>
    <dxf>
      <font>
        <strike val="0"/>
        <color theme="0" tint="-0.14996795556505021"/>
      </font>
    </dxf>
    <dxf>
      <fill>
        <patternFill>
          <bgColor theme="7" tint="0.79998168889431442"/>
        </patternFill>
      </fill>
    </dxf>
    <dxf>
      <fill>
        <patternFill>
          <bgColor theme="9" tint="0.79998168889431442"/>
        </patternFill>
      </fill>
    </dxf>
    <dxf>
      <fill>
        <patternFill>
          <bgColor theme="0" tint="-0.24994659260841701"/>
        </patternFill>
      </fill>
    </dxf>
    <dxf>
      <font>
        <color rgb="FF0000FF"/>
      </font>
      <fill>
        <patternFill>
          <bgColor theme="0" tint="-4.9989318521683403E-2"/>
        </patternFill>
      </fill>
    </dxf>
    <dxf>
      <font>
        <strike val="0"/>
        <color theme="0" tint="-0.24994659260841701"/>
      </font>
    </dxf>
    <dxf>
      <font>
        <strike val="0"/>
        <color rgb="FFFF0000"/>
      </font>
    </dxf>
    <dxf>
      <font>
        <strike val="0"/>
        <color theme="0" tint="-0.14996795556505021"/>
      </font>
    </dxf>
    <dxf>
      <font>
        <b/>
        <i val="0"/>
        <strike val="0"/>
        <color theme="6" tint="-0.499984740745262"/>
      </font>
      <fill>
        <patternFill>
          <bgColor rgb="FFE7F7E1"/>
        </patternFill>
      </fill>
    </dxf>
    <dxf>
      <font>
        <strike val="0"/>
        <color theme="1"/>
      </font>
      <fill>
        <patternFill>
          <bgColor theme="0" tint="-0.24994659260841701"/>
        </patternFill>
      </fill>
    </dxf>
    <dxf>
      <font>
        <b/>
        <i val="0"/>
        <color rgb="FF461700"/>
      </font>
      <fill>
        <patternFill>
          <bgColor rgb="FFFDEEE3"/>
        </patternFill>
      </fill>
    </dxf>
    <dxf>
      <fill>
        <patternFill>
          <bgColor theme="9" tint="0.59996337778862885"/>
        </patternFill>
      </fill>
    </dxf>
    <dxf>
      <fill>
        <patternFill>
          <bgColor theme="5" tint="0.79998168889431442"/>
        </patternFill>
      </fill>
    </dxf>
    <dxf>
      <font>
        <strike val="0"/>
        <color theme="3" tint="9.9948118533890809E-2"/>
      </font>
      <fill>
        <patternFill>
          <bgColor theme="3" tint="0.89996032593768116"/>
        </patternFill>
      </fill>
    </dxf>
    <dxf>
      <font>
        <strike val="0"/>
        <color theme="8" tint="-0.499984740745262"/>
      </font>
      <fill>
        <patternFill>
          <bgColor theme="8" tint="0.79998168889431442"/>
        </patternFill>
      </fill>
    </dxf>
    <dxf>
      <font>
        <strike val="0"/>
        <color theme="5" tint="-0.499984740745262"/>
      </font>
      <fill>
        <patternFill>
          <bgColor rgb="FFFFFFCC"/>
        </patternFill>
      </fill>
    </dxf>
    <dxf>
      <font>
        <color theme="0" tint="-0.14996795556505021"/>
      </font>
    </dxf>
    <dxf>
      <font>
        <strike val="0"/>
        <color theme="0" tint="-0.24994659260841701"/>
      </font>
    </dxf>
    <dxf>
      <font>
        <strike val="0"/>
        <color rgb="FFFF0000"/>
      </font>
    </dxf>
    <dxf>
      <font>
        <strike val="0"/>
        <color theme="0" tint="-0.24994659260841701"/>
      </font>
      <fill>
        <patternFill>
          <bgColor theme="0" tint="-0.24994659260841701"/>
        </patternFill>
      </fill>
    </dxf>
    <dxf>
      <fill>
        <patternFill>
          <bgColor rgb="FFFFC000"/>
        </patternFill>
      </fill>
    </dxf>
    <dxf>
      <fill>
        <patternFill>
          <bgColor theme="6" tint="0.79998168889431442"/>
        </patternFill>
      </fill>
    </dxf>
    <dxf>
      <fill>
        <patternFill>
          <bgColor rgb="FFFFFFCC"/>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FFCC"/>
        </patternFill>
      </fill>
    </dxf>
    <dxf>
      <fill>
        <patternFill>
          <bgColor theme="0" tint="-0.24994659260841701"/>
        </patternFill>
      </fill>
    </dxf>
    <dxf>
      <font>
        <strike val="0"/>
      </font>
      <fill>
        <patternFill>
          <bgColor rgb="FF92D050"/>
        </patternFill>
      </fill>
    </dxf>
  </dxfs>
  <tableStyles count="0" defaultTableStyle="TableStyleMedium2" defaultPivotStyle="PivotStyleLight16"/>
  <colors>
    <mruColors>
      <color rgb="FF0000FF"/>
      <color rgb="FF69FF69"/>
      <color rgb="FF00FF00"/>
      <color rgb="FF00D600"/>
      <color rgb="FFA5E9AF"/>
      <color rgb="FFFF9900"/>
      <color rgb="FFFF9966"/>
      <color rgb="FFFFCCCC"/>
      <color rgb="FFFF66CC"/>
      <color rgb="FF76E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[2025-Q1 Earnings.xlsx]Pivot!PivotTable2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IWM Earnings - 2025-Q1</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B0F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00B0F0"/>
            </a:solidFill>
            <a:ln>
              <a:solidFill>
                <a:schemeClr val="tx1"/>
              </a:solidFill>
            </a:ln>
            <a:effectLst/>
          </c:spPr>
          <c:invertIfNegative val="0"/>
          <c:cat>
            <c:strRef>
              <c:f>Pivot!$A$4:$A$61</c:f>
              <c:strCache>
                <c:ptCount val="57"/>
                <c:pt idx="0">
                  <c:v>7-Jan</c:v>
                </c:pt>
                <c:pt idx="1">
                  <c:v>8-Jan</c:v>
                </c:pt>
                <c:pt idx="2">
                  <c:v>10-Jan</c:v>
                </c:pt>
                <c:pt idx="3">
                  <c:v>14-Jan</c:v>
                </c:pt>
                <c:pt idx="4">
                  <c:v>15-Jan</c:v>
                </c:pt>
                <c:pt idx="5">
                  <c:v>16-Jan</c:v>
                </c:pt>
                <c:pt idx="6">
                  <c:v>17-Jan</c:v>
                </c:pt>
                <c:pt idx="7">
                  <c:v>21-Jan</c:v>
                </c:pt>
                <c:pt idx="8">
                  <c:v>22-Jan</c:v>
                </c:pt>
                <c:pt idx="9">
                  <c:v>23-Jan</c:v>
                </c:pt>
                <c:pt idx="10">
                  <c:v>24-Jan</c:v>
                </c:pt>
                <c:pt idx="11">
                  <c:v>27-Jan</c:v>
                </c:pt>
                <c:pt idx="12">
                  <c:v>28-Jan</c:v>
                </c:pt>
                <c:pt idx="13">
                  <c:v>29-Jan</c:v>
                </c:pt>
                <c:pt idx="14">
                  <c:v>30-Jan</c:v>
                </c:pt>
                <c:pt idx="15">
                  <c:v>31-Jan</c:v>
                </c:pt>
                <c:pt idx="16">
                  <c:v>3-Feb</c:v>
                </c:pt>
                <c:pt idx="17">
                  <c:v>4-Feb</c:v>
                </c:pt>
                <c:pt idx="18">
                  <c:v>5-Feb</c:v>
                </c:pt>
                <c:pt idx="19">
                  <c:v>6-Feb</c:v>
                </c:pt>
                <c:pt idx="20">
                  <c:v>7-Feb</c:v>
                </c:pt>
                <c:pt idx="21">
                  <c:v>10-Feb</c:v>
                </c:pt>
                <c:pt idx="22">
                  <c:v>11-Feb</c:v>
                </c:pt>
                <c:pt idx="23">
                  <c:v>12-Feb</c:v>
                </c:pt>
                <c:pt idx="24">
                  <c:v>13-Feb</c:v>
                </c:pt>
                <c:pt idx="25">
                  <c:v>14-Feb</c:v>
                </c:pt>
                <c:pt idx="26">
                  <c:v>17-Feb</c:v>
                </c:pt>
                <c:pt idx="27">
                  <c:v>18-Feb</c:v>
                </c:pt>
                <c:pt idx="28">
                  <c:v>19-Feb</c:v>
                </c:pt>
                <c:pt idx="29">
                  <c:v>20-Feb</c:v>
                </c:pt>
                <c:pt idx="30">
                  <c:v>21-Feb</c:v>
                </c:pt>
                <c:pt idx="31">
                  <c:v>24-Feb</c:v>
                </c:pt>
                <c:pt idx="32">
                  <c:v>25-Feb</c:v>
                </c:pt>
                <c:pt idx="33">
                  <c:v>26-Feb</c:v>
                </c:pt>
                <c:pt idx="34">
                  <c:v>27-Feb</c:v>
                </c:pt>
                <c:pt idx="35">
                  <c:v>3-Mar</c:v>
                </c:pt>
                <c:pt idx="36">
                  <c:v>4-Mar</c:v>
                </c:pt>
                <c:pt idx="37">
                  <c:v>5-Mar</c:v>
                </c:pt>
                <c:pt idx="38">
                  <c:v>6-Mar</c:v>
                </c:pt>
                <c:pt idx="39">
                  <c:v>10-Mar</c:v>
                </c:pt>
                <c:pt idx="40">
                  <c:v>11-Mar</c:v>
                </c:pt>
                <c:pt idx="41">
                  <c:v>12-Mar</c:v>
                </c:pt>
                <c:pt idx="42">
                  <c:v>13-Mar</c:v>
                </c:pt>
                <c:pt idx="43">
                  <c:v>17-Mar</c:v>
                </c:pt>
                <c:pt idx="44">
                  <c:v>18-Mar</c:v>
                </c:pt>
                <c:pt idx="45">
                  <c:v>19-Mar</c:v>
                </c:pt>
                <c:pt idx="46">
                  <c:v>20-Mar</c:v>
                </c:pt>
                <c:pt idx="47">
                  <c:v>21-Mar</c:v>
                </c:pt>
                <c:pt idx="48">
                  <c:v>25-Mar</c:v>
                </c:pt>
                <c:pt idx="49">
                  <c:v>26-Mar</c:v>
                </c:pt>
                <c:pt idx="50">
                  <c:v>27-Mar</c:v>
                </c:pt>
                <c:pt idx="51">
                  <c:v>1-Apr</c:v>
                </c:pt>
                <c:pt idx="52">
                  <c:v>2-Apr</c:v>
                </c:pt>
                <c:pt idx="53">
                  <c:v>3-Apr</c:v>
                </c:pt>
                <c:pt idx="54">
                  <c:v>9-Apr</c:v>
                </c:pt>
                <c:pt idx="55">
                  <c:v>10-Apr</c:v>
                </c:pt>
                <c:pt idx="56">
                  <c:v>11-Apr</c:v>
                </c:pt>
              </c:strCache>
            </c:strRef>
          </c:cat>
          <c:val>
            <c:numRef>
              <c:f>Pivot!$B$4:$B$61</c:f>
              <c:numCache>
                <c:formatCode>General</c:formatCode>
                <c:ptCount val="57"/>
                <c:pt idx="0">
                  <c:v>1</c:v>
                </c:pt>
                <c:pt idx="1">
                  <c:v>3</c:v>
                </c:pt>
                <c:pt idx="2">
                  <c:v>4</c:v>
                </c:pt>
                <c:pt idx="3">
                  <c:v>5</c:v>
                </c:pt>
                <c:pt idx="4">
                  <c:v>5</c:v>
                </c:pt>
                <c:pt idx="5">
                  <c:v>9</c:v>
                </c:pt>
                <c:pt idx="6">
                  <c:v>6</c:v>
                </c:pt>
                <c:pt idx="7">
                  <c:v>15</c:v>
                </c:pt>
                <c:pt idx="8">
                  <c:v>22</c:v>
                </c:pt>
                <c:pt idx="9">
                  <c:v>13</c:v>
                </c:pt>
                <c:pt idx="10">
                  <c:v>3</c:v>
                </c:pt>
                <c:pt idx="11">
                  <c:v>10</c:v>
                </c:pt>
                <c:pt idx="12">
                  <c:v>23</c:v>
                </c:pt>
                <c:pt idx="13">
                  <c:v>41</c:v>
                </c:pt>
                <c:pt idx="14">
                  <c:v>52</c:v>
                </c:pt>
                <c:pt idx="15">
                  <c:v>18</c:v>
                </c:pt>
                <c:pt idx="16">
                  <c:v>18</c:v>
                </c:pt>
                <c:pt idx="17">
                  <c:v>61</c:v>
                </c:pt>
                <c:pt idx="18">
                  <c:v>59</c:v>
                </c:pt>
                <c:pt idx="19">
                  <c:v>79</c:v>
                </c:pt>
                <c:pt idx="20">
                  <c:v>6</c:v>
                </c:pt>
                <c:pt idx="21">
                  <c:v>13</c:v>
                </c:pt>
                <c:pt idx="22">
                  <c:v>31</c:v>
                </c:pt>
                <c:pt idx="23">
                  <c:v>42</c:v>
                </c:pt>
                <c:pt idx="24">
                  <c:v>40</c:v>
                </c:pt>
                <c:pt idx="25">
                  <c:v>3</c:v>
                </c:pt>
                <c:pt idx="26">
                  <c:v>2</c:v>
                </c:pt>
                <c:pt idx="27">
                  <c:v>25</c:v>
                </c:pt>
                <c:pt idx="28">
                  <c:v>27</c:v>
                </c:pt>
                <c:pt idx="29">
                  <c:v>44</c:v>
                </c:pt>
                <c:pt idx="30">
                  <c:v>1</c:v>
                </c:pt>
                <c:pt idx="31">
                  <c:v>12</c:v>
                </c:pt>
                <c:pt idx="32">
                  <c:v>23</c:v>
                </c:pt>
                <c:pt idx="33">
                  <c:v>30</c:v>
                </c:pt>
                <c:pt idx="34">
                  <c:v>17</c:v>
                </c:pt>
                <c:pt idx="35">
                  <c:v>6</c:v>
                </c:pt>
                <c:pt idx="36">
                  <c:v>5</c:v>
                </c:pt>
                <c:pt idx="37">
                  <c:v>3</c:v>
                </c:pt>
                <c:pt idx="38">
                  <c:v>12</c:v>
                </c:pt>
                <c:pt idx="39">
                  <c:v>2</c:v>
                </c:pt>
                <c:pt idx="40">
                  <c:v>1</c:v>
                </c:pt>
                <c:pt idx="41">
                  <c:v>3</c:v>
                </c:pt>
                <c:pt idx="42">
                  <c:v>6</c:v>
                </c:pt>
                <c:pt idx="43">
                  <c:v>1</c:v>
                </c:pt>
                <c:pt idx="44">
                  <c:v>1</c:v>
                </c:pt>
                <c:pt idx="45">
                  <c:v>6</c:v>
                </c:pt>
                <c:pt idx="46">
                  <c:v>8</c:v>
                </c:pt>
                <c:pt idx="47">
                  <c:v>1</c:v>
                </c:pt>
                <c:pt idx="48">
                  <c:v>3</c:v>
                </c:pt>
                <c:pt idx="49">
                  <c:v>3</c:v>
                </c:pt>
                <c:pt idx="50">
                  <c:v>2</c:v>
                </c:pt>
                <c:pt idx="51">
                  <c:v>1</c:v>
                </c:pt>
                <c:pt idx="52">
                  <c:v>2</c:v>
                </c:pt>
                <c:pt idx="53">
                  <c:v>5</c:v>
                </c:pt>
                <c:pt idx="54">
                  <c:v>1</c:v>
                </c:pt>
                <c:pt idx="55">
                  <c:v>2</c:v>
                </c:pt>
                <c:pt idx="56">
                  <c:v>6</c:v>
                </c:pt>
              </c:numCache>
            </c:numRef>
          </c:val>
          <c:extLst>
            <c:ext xmlns:c16="http://schemas.microsoft.com/office/drawing/2014/chart" uri="{C3380CC4-5D6E-409C-BE32-E72D297353CC}">
              <c16:uniqueId val="{00000000-871D-4E22-89A4-3707A6816236}"/>
            </c:ext>
          </c:extLst>
        </c:ser>
        <c:dLbls>
          <c:showLegendKey val="0"/>
          <c:showVal val="0"/>
          <c:showCatName val="0"/>
          <c:showSerName val="0"/>
          <c:showPercent val="0"/>
          <c:showBubbleSize val="0"/>
        </c:dLbls>
        <c:gapWidth val="50"/>
        <c:overlap val="-27"/>
        <c:axId val="268809328"/>
        <c:axId val="268809808"/>
      </c:barChart>
      <c:catAx>
        <c:axId val="26880932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68809808"/>
        <c:crosses val="autoZero"/>
        <c:auto val="1"/>
        <c:lblAlgn val="ctr"/>
        <c:lblOffset val="100"/>
        <c:noMultiLvlLbl val="0"/>
      </c:catAx>
      <c:valAx>
        <c:axId val="2688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0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691347998540544E-2"/>
          <c:y val="5.0359898194543867E-2"/>
          <c:w val="0.93038538344141963"/>
          <c:h val="0.83198958084784846"/>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Expectancy!$J$4:$J$17</c:f>
              <c:strCache>
                <c:ptCount val="14"/>
                <c:pt idx="0">
                  <c:v>XLF</c:v>
                </c:pt>
                <c:pt idx="1">
                  <c:v>INS</c:v>
                </c:pt>
                <c:pt idx="2">
                  <c:v>XLY</c:v>
                </c:pt>
                <c:pt idx="3">
                  <c:v>XHB</c:v>
                </c:pt>
                <c:pt idx="4">
                  <c:v>XLP</c:v>
                </c:pt>
                <c:pt idx="5">
                  <c:v>XLK</c:v>
                </c:pt>
                <c:pt idx="6">
                  <c:v>SMH</c:v>
                </c:pt>
                <c:pt idx="7">
                  <c:v>IGV</c:v>
                </c:pt>
                <c:pt idx="8">
                  <c:v>XLC</c:v>
                </c:pt>
                <c:pt idx="9">
                  <c:v>XLI</c:v>
                </c:pt>
                <c:pt idx="10">
                  <c:v>XLV</c:v>
                </c:pt>
                <c:pt idx="11">
                  <c:v>H-INS</c:v>
                </c:pt>
                <c:pt idx="12">
                  <c:v>XLB</c:v>
                </c:pt>
                <c:pt idx="13">
                  <c:v>XLE</c:v>
                </c:pt>
              </c:strCache>
            </c:strRef>
          </c:cat>
          <c:val>
            <c:numRef>
              <c:f>Expectancy!$K$4:$K$17</c:f>
              <c:numCache>
                <c:formatCode>0.0</c:formatCode>
                <c:ptCount val="14"/>
                <c:pt idx="0">
                  <c:v>-2.225533876342277</c:v>
                </c:pt>
                <c:pt idx="1">
                  <c:v>-2.8187978720432633E-2</c:v>
                </c:pt>
                <c:pt idx="2">
                  <c:v>0.85177992159441773</c:v>
                </c:pt>
                <c:pt idx="3">
                  <c:v>0</c:v>
                </c:pt>
                <c:pt idx="4">
                  <c:v>1.05904094679938</c:v>
                </c:pt>
                <c:pt idx="5">
                  <c:v>3.5290544702120545</c:v>
                </c:pt>
                <c:pt idx="6">
                  <c:v>0</c:v>
                </c:pt>
                <c:pt idx="7">
                  <c:v>10.051961559281768</c:v>
                </c:pt>
                <c:pt idx="8">
                  <c:v>2.6115886120781622</c:v>
                </c:pt>
                <c:pt idx="9">
                  <c:v>-0.62643715183132365</c:v>
                </c:pt>
                <c:pt idx="10">
                  <c:v>-5.9168351839981597</c:v>
                </c:pt>
                <c:pt idx="11">
                  <c:v>0</c:v>
                </c:pt>
                <c:pt idx="12">
                  <c:v>-0.22637638730132514</c:v>
                </c:pt>
                <c:pt idx="13">
                  <c:v>0.92932453037648144</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84B6-448C-9079-EB9936618FF1}"/>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305267943869204E-2"/>
          <c:y val="4.5267489711934158E-2"/>
          <c:w val="0.80216636699940069"/>
          <c:h val="0.86875214672240042"/>
        </c:manualLayout>
      </c:layout>
      <c:barChart>
        <c:barDir val="col"/>
        <c:grouping val="clustered"/>
        <c:varyColors val="0"/>
        <c:ser>
          <c:idx val="0"/>
          <c:order val="0"/>
          <c:tx>
            <c:strRef>
              <c:f>'Summary Data'!$B$8</c:f>
              <c:strCache>
                <c:ptCount val="1"/>
                <c:pt idx="0">
                  <c:v>Risk  Units</c:v>
                </c:pt>
              </c:strCache>
            </c:strRef>
          </c:tx>
          <c:spPr>
            <a:solidFill>
              <a:schemeClr val="accent3">
                <a:lumMod val="60000"/>
                <a:lumOff val="40000"/>
              </a:schemeClr>
            </a:solidFill>
            <a:ln>
              <a:solidFill>
                <a:sysClr val="windowText" lastClr="000000"/>
              </a:solidFill>
            </a:ln>
            <a:effectLst/>
          </c:spPr>
          <c:invertIfNegative val="0"/>
          <c:dPt>
            <c:idx val="1"/>
            <c:invertIfNegative val="0"/>
            <c:bubble3D val="0"/>
            <c:spPr>
              <a:solidFill>
                <a:schemeClr val="accent2">
                  <a:lumMod val="60000"/>
                  <a:lumOff val="40000"/>
                </a:schemeClr>
              </a:solidFill>
              <a:ln>
                <a:solidFill>
                  <a:sysClr val="windowText" lastClr="000000"/>
                </a:solidFill>
              </a:ln>
              <a:effectLst/>
            </c:spPr>
            <c:extLst>
              <c:ext xmlns:c16="http://schemas.microsoft.com/office/drawing/2014/chart" uri="{C3380CC4-5D6E-409C-BE32-E72D297353CC}">
                <c16:uniqueId val="{00000002-C0E4-450B-BC09-3353F425A6DE}"/>
              </c:ext>
            </c:extLst>
          </c:dPt>
          <c:dPt>
            <c:idx val="2"/>
            <c:invertIfNegative val="0"/>
            <c:bubble3D val="0"/>
            <c:spPr>
              <a:solidFill>
                <a:schemeClr val="accent4">
                  <a:lumMod val="60000"/>
                  <a:lumOff val="40000"/>
                </a:schemeClr>
              </a:solidFill>
              <a:ln>
                <a:solidFill>
                  <a:sysClr val="windowText" lastClr="000000"/>
                </a:solidFill>
              </a:ln>
              <a:effectLst/>
            </c:spPr>
            <c:extLst>
              <c:ext xmlns:c16="http://schemas.microsoft.com/office/drawing/2014/chart" uri="{C3380CC4-5D6E-409C-BE32-E72D297353CC}">
                <c16:uniqueId val="{00000003-C0E4-450B-BC09-3353F425A6D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Data'!$A$9:$A$11</c:f>
              <c:strCache>
                <c:ptCount val="3"/>
                <c:pt idx="0">
                  <c:v>Up</c:v>
                </c:pt>
                <c:pt idx="1">
                  <c:v>Down</c:v>
                </c:pt>
                <c:pt idx="2">
                  <c:v>SW</c:v>
                </c:pt>
              </c:strCache>
            </c:strRef>
          </c:cat>
          <c:val>
            <c:numRef>
              <c:f>'Summary Data'!$B$9:$B$11</c:f>
              <c:numCache>
                <c:formatCode>0.00</c:formatCode>
                <c:ptCount val="3"/>
                <c:pt idx="0">
                  <c:v>10.009379462148743</c:v>
                </c:pt>
                <c:pt idx="1">
                  <c:v>43.496894859916743</c:v>
                </c:pt>
                <c:pt idx="2">
                  <c:v>15.126535164379963</c:v>
                </c:pt>
              </c:numCache>
            </c:numRef>
          </c:val>
          <c:extLst>
            <c:ext xmlns:c16="http://schemas.microsoft.com/office/drawing/2014/chart" uri="{C3380CC4-5D6E-409C-BE32-E72D297353CC}">
              <c16:uniqueId val="{00000000-C0E4-450B-BC09-3353F425A6DE}"/>
            </c:ext>
          </c:extLst>
        </c:ser>
        <c:dLbls>
          <c:showLegendKey val="0"/>
          <c:showVal val="0"/>
          <c:showCatName val="0"/>
          <c:showSerName val="0"/>
          <c:showPercent val="0"/>
          <c:showBubbleSize val="0"/>
        </c:dLbls>
        <c:gapWidth val="124"/>
        <c:axId val="1333234159"/>
        <c:axId val="1333234639"/>
      </c:barChart>
      <c:lineChart>
        <c:grouping val="standard"/>
        <c:varyColors val="0"/>
        <c:ser>
          <c:idx val="1"/>
          <c:order val="1"/>
          <c:tx>
            <c:strRef>
              <c:f>'Summary Data'!$C$8</c:f>
              <c:strCache>
                <c:ptCount val="1"/>
                <c:pt idx="0">
                  <c:v>Expectancy</c:v>
                </c:pt>
              </c:strCache>
            </c:strRef>
          </c:tx>
          <c:spPr>
            <a:ln w="19050" cap="rnd">
              <a:solidFill>
                <a:sysClr val="windowText" lastClr="000000"/>
              </a:solidFill>
              <a:prstDash val="sysDash"/>
              <a:round/>
            </a:ln>
            <a:effectLst/>
          </c:spPr>
          <c:marker>
            <c:symbol val="none"/>
          </c:marker>
          <c:dLbls>
            <c:dLbl>
              <c:idx val="0"/>
              <c:spPr>
                <a:solidFill>
                  <a:schemeClr val="accent6">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C0E4-450B-BC09-3353F425A6DE}"/>
                </c:ext>
              </c:extLst>
            </c:dLbl>
            <c:dLbl>
              <c:idx val="1"/>
              <c:spPr>
                <a:solidFill>
                  <a:schemeClr val="accent2">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C0E4-450B-BC09-3353F425A6DE}"/>
                </c:ext>
              </c:extLst>
            </c:dLbl>
            <c:dLbl>
              <c:idx val="2"/>
              <c:spPr>
                <a:solidFill>
                  <a:schemeClr val="accent4">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C0E4-450B-BC09-3353F425A6DE}"/>
                </c:ext>
              </c:extLst>
            </c:dLbl>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Data'!$A$9:$A$11</c:f>
              <c:strCache>
                <c:ptCount val="3"/>
                <c:pt idx="0">
                  <c:v>Up</c:v>
                </c:pt>
                <c:pt idx="1">
                  <c:v>Down</c:v>
                </c:pt>
                <c:pt idx="2">
                  <c:v>SW</c:v>
                </c:pt>
              </c:strCache>
            </c:strRef>
          </c:cat>
          <c:val>
            <c:numRef>
              <c:f>'Summary Data'!$C$9:$C$11</c:f>
              <c:numCache>
                <c:formatCode>0.00</c:formatCode>
                <c:ptCount val="3"/>
                <c:pt idx="0">
                  <c:v>9.910276695196775E-2</c:v>
                </c:pt>
                <c:pt idx="1">
                  <c:v>0.33981949109309956</c:v>
                </c:pt>
                <c:pt idx="2">
                  <c:v>7.0355977508744005E-2</c:v>
                </c:pt>
              </c:numCache>
            </c:numRef>
          </c:val>
          <c:smooth val="0"/>
          <c:extLst>
            <c:ext xmlns:c16="http://schemas.microsoft.com/office/drawing/2014/chart" uri="{C3380CC4-5D6E-409C-BE32-E72D297353CC}">
              <c16:uniqueId val="{00000001-C0E4-450B-BC09-3353F425A6DE}"/>
            </c:ext>
          </c:extLst>
        </c:ser>
        <c:dLbls>
          <c:showLegendKey val="0"/>
          <c:showVal val="0"/>
          <c:showCatName val="0"/>
          <c:showSerName val="0"/>
          <c:showPercent val="0"/>
          <c:showBubbleSize val="0"/>
        </c:dLbls>
        <c:marker val="1"/>
        <c:smooth val="0"/>
        <c:axId val="1333133359"/>
        <c:axId val="1333119439"/>
      </c:lineChart>
      <c:catAx>
        <c:axId val="133323415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33234639"/>
        <c:crosses val="autoZero"/>
        <c:auto val="1"/>
        <c:lblAlgn val="ctr"/>
        <c:lblOffset val="100"/>
        <c:noMultiLvlLbl val="0"/>
      </c:catAx>
      <c:valAx>
        <c:axId val="13332346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r>
                  <a:rPr lang="en-US" sz="1050" b="1">
                    <a:solidFill>
                      <a:sysClr val="windowText" lastClr="000000"/>
                    </a:solidFill>
                  </a:rPr>
                  <a:t>Risk Units</a:t>
                </a:r>
              </a:p>
            </c:rich>
          </c:tx>
          <c:layout>
            <c:manualLayout>
              <c:xMode val="edge"/>
              <c:yMode val="edge"/>
              <c:x val="1.1034038068076138E-2"/>
              <c:y val="0.4107546741842454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33234159"/>
        <c:crosses val="autoZero"/>
        <c:crossBetween val="between"/>
      </c:valAx>
      <c:valAx>
        <c:axId val="1333119439"/>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Expectancy</a:t>
                </a:r>
              </a:p>
            </c:rich>
          </c:tx>
          <c:layout>
            <c:manualLayout>
              <c:xMode val="edge"/>
              <c:yMode val="edge"/>
              <c:x val="0.95800524934383202"/>
              <c:y val="0.389540520397913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3133359"/>
        <c:crosses val="max"/>
        <c:crossBetween val="between"/>
      </c:valAx>
      <c:catAx>
        <c:axId val="1333133359"/>
        <c:scaling>
          <c:orientation val="minMax"/>
        </c:scaling>
        <c:delete val="1"/>
        <c:axPos val="b"/>
        <c:numFmt formatCode="General" sourceLinked="1"/>
        <c:majorTickMark val="out"/>
        <c:minorTickMark val="none"/>
        <c:tickLblPos val="nextTo"/>
        <c:crossAx val="1333119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6456339818509E-2"/>
          <c:y val="4.9904254925880735E-2"/>
          <c:w val="0.93630164070900834"/>
          <c:h val="0.83593138885808294"/>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Expectancy!$J$4:$J$17</c:f>
              <c:strCache>
                <c:ptCount val="14"/>
                <c:pt idx="0">
                  <c:v>XLF</c:v>
                </c:pt>
                <c:pt idx="1">
                  <c:v>INS</c:v>
                </c:pt>
                <c:pt idx="2">
                  <c:v>XLY</c:v>
                </c:pt>
                <c:pt idx="3">
                  <c:v>XHB</c:v>
                </c:pt>
                <c:pt idx="4">
                  <c:v>XLP</c:v>
                </c:pt>
                <c:pt idx="5">
                  <c:v>XLK</c:v>
                </c:pt>
                <c:pt idx="6">
                  <c:v>SMH</c:v>
                </c:pt>
                <c:pt idx="7">
                  <c:v>IGV</c:v>
                </c:pt>
                <c:pt idx="8">
                  <c:v>XLC</c:v>
                </c:pt>
                <c:pt idx="9">
                  <c:v>XLI</c:v>
                </c:pt>
                <c:pt idx="10">
                  <c:v>XLV</c:v>
                </c:pt>
                <c:pt idx="11">
                  <c:v>H-INS</c:v>
                </c:pt>
                <c:pt idx="12">
                  <c:v>XLB</c:v>
                </c:pt>
                <c:pt idx="13">
                  <c:v>XLE</c:v>
                </c:pt>
              </c:strCache>
            </c:strRef>
          </c:cat>
          <c:val>
            <c:numRef>
              <c:f>Expectancy!$L$4:$L$17</c:f>
              <c:numCache>
                <c:formatCode>0.0</c:formatCode>
                <c:ptCount val="14"/>
                <c:pt idx="0">
                  <c:v>-1.7281565622132113</c:v>
                </c:pt>
                <c:pt idx="1">
                  <c:v>-0.10589676051796038</c:v>
                </c:pt>
                <c:pt idx="2">
                  <c:v>-1.6113669434609075</c:v>
                </c:pt>
                <c:pt idx="3">
                  <c:v>1.0521749793983441</c:v>
                </c:pt>
                <c:pt idx="4">
                  <c:v>6.1538040405430721</c:v>
                </c:pt>
                <c:pt idx="5">
                  <c:v>8.3270140329261029</c:v>
                </c:pt>
                <c:pt idx="6">
                  <c:v>4.1492378192051564</c:v>
                </c:pt>
                <c:pt idx="7">
                  <c:v>8.6506567900704763</c:v>
                </c:pt>
                <c:pt idx="8">
                  <c:v>-0.20019456907279976</c:v>
                </c:pt>
                <c:pt idx="9">
                  <c:v>4.6767045372818759</c:v>
                </c:pt>
                <c:pt idx="10">
                  <c:v>2.469714805333544</c:v>
                </c:pt>
                <c:pt idx="11">
                  <c:v>1.5298088040866509</c:v>
                </c:pt>
                <c:pt idx="12">
                  <c:v>10.294176100986492</c:v>
                </c:pt>
                <c:pt idx="13">
                  <c:v>-0.16078221465008982</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B5BF-4747-BF9C-BF226C666148}"/>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6456339818509E-2"/>
          <c:y val="4.9904254925880735E-2"/>
          <c:w val="0.93439002547133598"/>
          <c:h val="0.83593138885808294"/>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Expectancy!$J$4:$J$17</c:f>
              <c:strCache>
                <c:ptCount val="14"/>
                <c:pt idx="0">
                  <c:v>XLF</c:v>
                </c:pt>
                <c:pt idx="1">
                  <c:v>INS</c:v>
                </c:pt>
                <c:pt idx="2">
                  <c:v>XLY</c:v>
                </c:pt>
                <c:pt idx="3">
                  <c:v>XHB</c:v>
                </c:pt>
                <c:pt idx="4">
                  <c:v>XLP</c:v>
                </c:pt>
                <c:pt idx="5">
                  <c:v>XLK</c:v>
                </c:pt>
                <c:pt idx="6">
                  <c:v>SMH</c:v>
                </c:pt>
                <c:pt idx="7">
                  <c:v>IGV</c:v>
                </c:pt>
                <c:pt idx="8">
                  <c:v>XLC</c:v>
                </c:pt>
                <c:pt idx="9">
                  <c:v>XLI</c:v>
                </c:pt>
                <c:pt idx="10">
                  <c:v>XLV</c:v>
                </c:pt>
                <c:pt idx="11">
                  <c:v>H-INS</c:v>
                </c:pt>
                <c:pt idx="12">
                  <c:v>XLB</c:v>
                </c:pt>
                <c:pt idx="13">
                  <c:v>XLE</c:v>
                </c:pt>
              </c:strCache>
            </c:strRef>
          </c:cat>
          <c:val>
            <c:numRef>
              <c:f>Expectancy!$M$4:$M$17</c:f>
              <c:numCache>
                <c:formatCode>0.0</c:formatCode>
                <c:ptCount val="14"/>
                <c:pt idx="0">
                  <c:v>1.7962764500559238</c:v>
                </c:pt>
                <c:pt idx="1">
                  <c:v>-0.47315674391965518</c:v>
                </c:pt>
                <c:pt idx="2">
                  <c:v>11.197696500559235</c:v>
                </c:pt>
                <c:pt idx="3">
                  <c:v>-0.20729717841043566</c:v>
                </c:pt>
                <c:pt idx="4">
                  <c:v>4.4618140885456405</c:v>
                </c:pt>
                <c:pt idx="5">
                  <c:v>-2.7330835253247465</c:v>
                </c:pt>
                <c:pt idx="6">
                  <c:v>-2.3626499109026398</c:v>
                </c:pt>
                <c:pt idx="7">
                  <c:v>6.3805704237662662</c:v>
                </c:pt>
                <c:pt idx="8">
                  <c:v>4.2117425436460163</c:v>
                </c:pt>
                <c:pt idx="9">
                  <c:v>0.91479376456459427</c:v>
                </c:pt>
                <c:pt idx="10">
                  <c:v>-4.3745776959761056</c:v>
                </c:pt>
                <c:pt idx="11">
                  <c:v>-0.5783025919629613</c:v>
                </c:pt>
                <c:pt idx="12">
                  <c:v>-2.2212962098938482</c:v>
                </c:pt>
                <c:pt idx="13">
                  <c:v>-0.86085768173472643</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18CC-4778-BB7B-AB761E9AA8DD}"/>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664271893020676E-2"/>
          <c:y val="4.9904254925880735E-2"/>
          <c:w val="0.84825947851409089"/>
          <c:h val="0.83593138885808294"/>
        </c:manualLayout>
      </c:layout>
      <c:barChart>
        <c:barDir val="col"/>
        <c:grouping val="clustered"/>
        <c:varyColors val="0"/>
        <c:ser>
          <c:idx val="0"/>
          <c:order val="0"/>
          <c:tx>
            <c:v>Risk Units</c:v>
          </c:tx>
          <c:spPr>
            <a:solidFill>
              <a:srgbClr val="92D050"/>
            </a:solidFill>
            <a:ln w="6350">
              <a:solidFill>
                <a:schemeClr val="tx1"/>
              </a:solidFill>
            </a:ln>
            <a:effectLst/>
          </c:spPr>
          <c:invertIfNegative val="1"/>
          <c:dLbls>
            <c:dLbl>
              <c:idx val="4"/>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4E-469B-A97D-A2D68C1A3A8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Expectancy!$J$4:$J$17</c:f>
              <c:strCache>
                <c:ptCount val="14"/>
                <c:pt idx="0">
                  <c:v>XLF</c:v>
                </c:pt>
                <c:pt idx="1">
                  <c:v>INS</c:v>
                </c:pt>
                <c:pt idx="2">
                  <c:v>XLY</c:v>
                </c:pt>
                <c:pt idx="3">
                  <c:v>XHB</c:v>
                </c:pt>
                <c:pt idx="4">
                  <c:v>XLP</c:v>
                </c:pt>
                <c:pt idx="5">
                  <c:v>XLK</c:v>
                </c:pt>
                <c:pt idx="6">
                  <c:v>SMH</c:v>
                </c:pt>
                <c:pt idx="7">
                  <c:v>IGV</c:v>
                </c:pt>
                <c:pt idx="8">
                  <c:v>XLC</c:v>
                </c:pt>
                <c:pt idx="9">
                  <c:v>XLI</c:v>
                </c:pt>
                <c:pt idx="10">
                  <c:v>XLV</c:v>
                </c:pt>
                <c:pt idx="11">
                  <c:v>H-INS</c:v>
                </c:pt>
                <c:pt idx="12">
                  <c:v>XLB</c:v>
                </c:pt>
                <c:pt idx="13">
                  <c:v>XLE</c:v>
                </c:pt>
              </c:strCache>
            </c:strRef>
          </c:cat>
          <c:val>
            <c:numRef>
              <c:f>Expectancy!$N$4:$N$17</c:f>
              <c:numCache>
                <c:formatCode>0.0</c:formatCode>
                <c:ptCount val="14"/>
                <c:pt idx="0">
                  <c:v>-2.1574139884995645</c:v>
                </c:pt>
                <c:pt idx="1">
                  <c:v>-0.60724148315804816</c:v>
                </c:pt>
                <c:pt idx="2">
                  <c:v>10.438109478692745</c:v>
                </c:pt>
                <c:pt idx="3">
                  <c:v>0.84487780098790854</c:v>
                </c:pt>
                <c:pt idx="4">
                  <c:v>11.674659075888092</c:v>
                </c:pt>
                <c:pt idx="5">
                  <c:v>9.1229849778134113</c:v>
                </c:pt>
                <c:pt idx="6">
                  <c:v>1.7865879083025167</c:v>
                </c:pt>
                <c:pt idx="7">
                  <c:v>25.083188773118508</c:v>
                </c:pt>
                <c:pt idx="8">
                  <c:v>6.6231365866513787</c:v>
                </c:pt>
                <c:pt idx="9">
                  <c:v>4.9650611500151465</c:v>
                </c:pt>
                <c:pt idx="10">
                  <c:v>-7.8216980746407216</c:v>
                </c:pt>
                <c:pt idx="11">
                  <c:v>0.95150621212368958</c:v>
                </c:pt>
                <c:pt idx="12">
                  <c:v>7.8465035037913182</c:v>
                </c:pt>
                <c:pt idx="13">
                  <c:v>-9.2315366008334787E-2</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CA79-4C93-9DCD-B743D27F8047}"/>
            </c:ext>
          </c:extLst>
        </c:ser>
        <c:dLbls>
          <c:showLegendKey val="0"/>
          <c:showVal val="0"/>
          <c:showCatName val="0"/>
          <c:showSerName val="0"/>
          <c:showPercent val="0"/>
          <c:showBubbleSize val="0"/>
        </c:dLbls>
        <c:gapWidth val="100"/>
        <c:axId val="721908175"/>
        <c:axId val="721924975"/>
      </c:barChart>
      <c:lineChart>
        <c:grouping val="standard"/>
        <c:varyColors val="0"/>
        <c:ser>
          <c:idx val="1"/>
          <c:order val="1"/>
          <c:tx>
            <c:v>Expectancy</c:v>
          </c:tx>
          <c:spPr>
            <a:ln w="19050" cap="rnd">
              <a:solidFill>
                <a:sysClr val="windowText" lastClr="000000"/>
              </a:solidFill>
              <a:prstDash val="sysDash"/>
              <a:round/>
            </a:ln>
            <a:effectLst/>
          </c:spPr>
          <c:marker>
            <c:symbol val="none"/>
          </c:marker>
          <c:dLbls>
            <c:spPr>
              <a:solidFill>
                <a:schemeClr val="bg1">
                  <a:lumMod val="95000"/>
                </a:schemeClr>
              </a:solidFill>
              <a:ln>
                <a:solidFill>
                  <a:sysClr val="windowText" lastClr="000000"/>
                </a:solidFill>
              </a:ln>
              <a:effectLst/>
            </c:spPr>
            <c:txPr>
              <a:bodyPr rot="0" spcFirstLastPara="1" vertOverflow="ellipsis" vert="horz" wrap="square" lIns="18288" tIns="9144" rIns="18288" bIns="9144"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Expectancy!$T$4:$T$17</c:f>
              <c:numCache>
                <c:formatCode>0.00</c:formatCode>
                <c:ptCount val="14"/>
                <c:pt idx="0">
                  <c:v>-4.4028856908154376E-2</c:v>
                </c:pt>
                <c:pt idx="1">
                  <c:v>-3.0362074157902409E-2</c:v>
                </c:pt>
                <c:pt idx="2">
                  <c:v>0.21302264242230093</c:v>
                </c:pt>
                <c:pt idx="3">
                  <c:v>0.10560972512348857</c:v>
                </c:pt>
                <c:pt idx="4">
                  <c:v>0.33356168788251694</c:v>
                </c:pt>
                <c:pt idx="5">
                  <c:v>0.27645409023677003</c:v>
                </c:pt>
                <c:pt idx="6">
                  <c:v>8.9329395415125828E-2</c:v>
                </c:pt>
                <c:pt idx="7">
                  <c:v>0.57007247211632972</c:v>
                </c:pt>
                <c:pt idx="8">
                  <c:v>0.38959626980302225</c:v>
                </c:pt>
                <c:pt idx="9">
                  <c:v>7.3015605147281559E-2</c:v>
                </c:pt>
                <c:pt idx="10">
                  <c:v>-0.14221269226619493</c:v>
                </c:pt>
                <c:pt idx="11">
                  <c:v>0.19030124242473792</c:v>
                </c:pt>
                <c:pt idx="12">
                  <c:v>0.30178859629966609</c:v>
                </c:pt>
                <c:pt idx="13">
                  <c:v>-7.1011820006411375E-3</c:v>
                </c:pt>
              </c:numCache>
            </c:numRef>
          </c:val>
          <c:smooth val="0"/>
          <c:extLst>
            <c:ext xmlns:c16="http://schemas.microsoft.com/office/drawing/2014/chart" uri="{C3380CC4-5D6E-409C-BE32-E72D297353CC}">
              <c16:uniqueId val="{00000001-CA79-4C93-9DCD-B743D27F8047}"/>
            </c:ext>
          </c:extLst>
        </c:ser>
        <c:dLbls>
          <c:showLegendKey val="0"/>
          <c:showVal val="0"/>
          <c:showCatName val="0"/>
          <c:showSerName val="0"/>
          <c:showPercent val="0"/>
          <c:showBubbleSize val="0"/>
        </c:dLbls>
        <c:marker val="1"/>
        <c:smooth val="0"/>
        <c:axId val="1333127599"/>
        <c:axId val="1333125199"/>
      </c:line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Risk Units</a:t>
                </a:r>
              </a:p>
            </c:rich>
          </c:tx>
          <c:layout>
            <c:manualLayout>
              <c:xMode val="edge"/>
              <c:yMode val="edge"/>
              <c:x val="2.296836982968369E-3"/>
              <c:y val="0.35743032120984874"/>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valAx>
        <c:axId val="1333125199"/>
        <c:scaling>
          <c:orientation val="minMax"/>
        </c:scaling>
        <c:delete val="0"/>
        <c:axPos val="r"/>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Expectancy</a:t>
                </a:r>
              </a:p>
            </c:rich>
          </c:tx>
          <c:layout>
            <c:manualLayout>
              <c:xMode val="edge"/>
              <c:yMode val="edge"/>
              <c:x val="0.96885644768856449"/>
              <c:y val="0.36093449857229387"/>
            </c:manualLayout>
          </c:layout>
          <c:overlay val="0"/>
          <c:spPr>
            <a:noFill/>
            <a:ln>
              <a:noFill/>
            </a:ln>
            <a:effectLst/>
          </c:sp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3127599"/>
        <c:crosses val="max"/>
        <c:crossBetween val="between"/>
      </c:valAx>
      <c:catAx>
        <c:axId val="1333127599"/>
        <c:scaling>
          <c:orientation val="minMax"/>
        </c:scaling>
        <c:delete val="1"/>
        <c:axPos val="b"/>
        <c:majorTickMark val="out"/>
        <c:minorTickMark val="none"/>
        <c:tickLblPos val="nextTo"/>
        <c:crossAx val="1333125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Earnings By Sector - 2025-Q1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'SPDR Chart'!$D$1</c:f>
              <c:strCache>
                <c:ptCount val="1"/>
                <c:pt idx="0">
                  <c:v>XLP</c:v>
                </c:pt>
              </c:strCache>
            </c:strRef>
          </c:tx>
          <c:spPr>
            <a:solidFill>
              <a:schemeClr val="accent2"/>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Chart'!$D$2:$D$47</c:f>
              <c:numCache>
                <c:formatCode>General</c:formatCode>
                <c:ptCount val="46"/>
                <c:pt idx="0">
                  <c:v>2</c:v>
                </c:pt>
                <c:pt idx="1">
                  <c:v>0</c:v>
                </c:pt>
                <c:pt idx="2">
                  <c:v>0</c:v>
                </c:pt>
                <c:pt idx="3">
                  <c:v>0</c:v>
                </c:pt>
                <c:pt idx="4">
                  <c:v>0</c:v>
                </c:pt>
                <c:pt idx="5">
                  <c:v>1</c:v>
                </c:pt>
                <c:pt idx="6">
                  <c:v>1</c:v>
                </c:pt>
                <c:pt idx="7">
                  <c:v>0</c:v>
                </c:pt>
                <c:pt idx="8">
                  <c:v>0</c:v>
                </c:pt>
                <c:pt idx="9">
                  <c:v>2</c:v>
                </c:pt>
                <c:pt idx="10">
                  <c:v>0</c:v>
                </c:pt>
                <c:pt idx="11">
                  <c:v>1</c:v>
                </c:pt>
                <c:pt idx="12">
                  <c:v>2</c:v>
                </c:pt>
                <c:pt idx="13">
                  <c:v>2</c:v>
                </c:pt>
                <c:pt idx="14">
                  <c:v>4</c:v>
                </c:pt>
                <c:pt idx="15">
                  <c:v>1</c:v>
                </c:pt>
                <c:pt idx="16">
                  <c:v>3</c:v>
                </c:pt>
                <c:pt idx="17">
                  <c:v>0</c:v>
                </c:pt>
                <c:pt idx="18">
                  <c:v>0</c:v>
                </c:pt>
                <c:pt idx="19">
                  <c:v>1</c:v>
                </c:pt>
                <c:pt idx="20">
                  <c:v>1</c:v>
                </c:pt>
                <c:pt idx="21">
                  <c:v>1</c:v>
                </c:pt>
                <c:pt idx="22">
                  <c:v>0</c:v>
                </c:pt>
                <c:pt idx="23">
                  <c:v>0</c:v>
                </c:pt>
                <c:pt idx="24">
                  <c:v>0</c:v>
                </c:pt>
                <c:pt idx="25">
                  <c:v>0</c:v>
                </c:pt>
                <c:pt idx="26">
                  <c:v>1</c:v>
                </c:pt>
                <c:pt idx="27">
                  <c:v>0</c:v>
                </c:pt>
                <c:pt idx="28">
                  <c:v>1</c:v>
                </c:pt>
                <c:pt idx="29">
                  <c:v>0</c:v>
                </c:pt>
                <c:pt idx="30">
                  <c:v>3</c:v>
                </c:pt>
                <c:pt idx="31">
                  <c:v>0</c:v>
                </c:pt>
                <c:pt idx="32">
                  <c:v>1</c:v>
                </c:pt>
                <c:pt idx="33">
                  <c:v>1</c:v>
                </c:pt>
                <c:pt idx="34">
                  <c:v>2</c:v>
                </c:pt>
                <c:pt idx="35">
                  <c:v>0</c:v>
                </c:pt>
                <c:pt idx="36">
                  <c:v>0</c:v>
                </c:pt>
                <c:pt idx="37">
                  <c:v>1</c:v>
                </c:pt>
                <c:pt idx="38">
                  <c:v>2</c:v>
                </c:pt>
                <c:pt idx="39">
                  <c:v>0</c:v>
                </c:pt>
                <c:pt idx="40">
                  <c:v>0</c:v>
                </c:pt>
                <c:pt idx="41">
                  <c:v>1</c:v>
                </c:pt>
                <c:pt idx="42">
                  <c:v>0</c:v>
                </c:pt>
                <c:pt idx="43">
                  <c:v>0</c:v>
                </c:pt>
                <c:pt idx="44">
                  <c:v>0</c:v>
                </c:pt>
                <c:pt idx="45">
                  <c:v>0</c:v>
                </c:pt>
              </c:numCache>
            </c:numRef>
          </c:val>
          <c:extLst>
            <c:ext xmlns:c16="http://schemas.microsoft.com/office/drawing/2014/chart" uri="{C3380CC4-5D6E-409C-BE32-E72D297353CC}">
              <c16:uniqueId val="{00000000-19AB-4261-AA68-8B38F7436A12}"/>
            </c:ext>
          </c:extLst>
        </c:ser>
        <c:ser>
          <c:idx val="1"/>
          <c:order val="1"/>
          <c:tx>
            <c:strRef>
              <c:f>'SPDR Chart'!$E$1</c:f>
              <c:strCache>
                <c:ptCount val="1"/>
                <c:pt idx="0">
                  <c:v>XLI</c:v>
                </c:pt>
              </c:strCache>
            </c:strRef>
          </c:tx>
          <c:spPr>
            <a:solidFill>
              <a:srgbClr val="FF3300"/>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Chart'!$E$2:$E$47</c:f>
              <c:numCache>
                <c:formatCode>General</c:formatCode>
                <c:ptCount val="46"/>
                <c:pt idx="0">
                  <c:v>1</c:v>
                </c:pt>
                <c:pt idx="1">
                  <c:v>0</c:v>
                </c:pt>
                <c:pt idx="2">
                  <c:v>1</c:v>
                </c:pt>
                <c:pt idx="3">
                  <c:v>1</c:v>
                </c:pt>
                <c:pt idx="4">
                  <c:v>2</c:v>
                </c:pt>
                <c:pt idx="5">
                  <c:v>2</c:v>
                </c:pt>
                <c:pt idx="6">
                  <c:v>3</c:v>
                </c:pt>
                <c:pt idx="7">
                  <c:v>0</c:v>
                </c:pt>
                <c:pt idx="8">
                  <c:v>0</c:v>
                </c:pt>
                <c:pt idx="9">
                  <c:v>4</c:v>
                </c:pt>
                <c:pt idx="10">
                  <c:v>7</c:v>
                </c:pt>
                <c:pt idx="11">
                  <c:v>8</c:v>
                </c:pt>
                <c:pt idx="12">
                  <c:v>3</c:v>
                </c:pt>
                <c:pt idx="13">
                  <c:v>0</c:v>
                </c:pt>
                <c:pt idx="14">
                  <c:v>8</c:v>
                </c:pt>
                <c:pt idx="15">
                  <c:v>6</c:v>
                </c:pt>
                <c:pt idx="16">
                  <c:v>4</c:v>
                </c:pt>
                <c:pt idx="17">
                  <c:v>1</c:v>
                </c:pt>
                <c:pt idx="18">
                  <c:v>0</c:v>
                </c:pt>
                <c:pt idx="19">
                  <c:v>1</c:v>
                </c:pt>
                <c:pt idx="20">
                  <c:v>4</c:v>
                </c:pt>
                <c:pt idx="21">
                  <c:v>4</c:v>
                </c:pt>
                <c:pt idx="22">
                  <c:v>0</c:v>
                </c:pt>
                <c:pt idx="23">
                  <c:v>0</c:v>
                </c:pt>
                <c:pt idx="24">
                  <c:v>1</c:v>
                </c:pt>
                <c:pt idx="25">
                  <c:v>1</c:v>
                </c:pt>
                <c:pt idx="26">
                  <c:v>2</c:v>
                </c:pt>
                <c:pt idx="27">
                  <c:v>0</c:v>
                </c:pt>
                <c:pt idx="28">
                  <c:v>1</c:v>
                </c:pt>
                <c:pt idx="29">
                  <c:v>1</c:v>
                </c:pt>
                <c:pt idx="30">
                  <c:v>0</c:v>
                </c:pt>
                <c:pt idx="31">
                  <c:v>0</c:v>
                </c:pt>
                <c:pt idx="32">
                  <c:v>0</c:v>
                </c:pt>
                <c:pt idx="33">
                  <c:v>1</c:v>
                </c:pt>
                <c:pt idx="34">
                  <c:v>1</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19AB-4261-AA68-8B38F7436A12}"/>
            </c:ext>
          </c:extLst>
        </c:ser>
        <c:ser>
          <c:idx val="2"/>
          <c:order val="2"/>
          <c:tx>
            <c:strRef>
              <c:f>'SPDR Chart'!$F$1</c:f>
              <c:strCache>
                <c:ptCount val="1"/>
                <c:pt idx="0">
                  <c:v>XLF</c:v>
                </c:pt>
              </c:strCache>
            </c:strRef>
          </c:tx>
          <c:spPr>
            <a:solidFill>
              <a:schemeClr val="accent6"/>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Chart'!$F$2:$F$47</c:f>
              <c:numCache>
                <c:formatCode>General</c:formatCode>
                <c:ptCount val="46"/>
                <c:pt idx="0">
                  <c:v>0</c:v>
                </c:pt>
                <c:pt idx="1">
                  <c:v>6</c:v>
                </c:pt>
                <c:pt idx="2">
                  <c:v>5</c:v>
                </c:pt>
                <c:pt idx="3">
                  <c:v>5</c:v>
                </c:pt>
                <c:pt idx="4">
                  <c:v>4</c:v>
                </c:pt>
                <c:pt idx="5">
                  <c:v>1</c:v>
                </c:pt>
                <c:pt idx="6">
                  <c:v>1</c:v>
                </c:pt>
                <c:pt idx="7">
                  <c:v>1</c:v>
                </c:pt>
                <c:pt idx="8">
                  <c:v>0</c:v>
                </c:pt>
                <c:pt idx="9">
                  <c:v>2</c:v>
                </c:pt>
                <c:pt idx="10">
                  <c:v>3</c:v>
                </c:pt>
                <c:pt idx="11">
                  <c:v>3</c:v>
                </c:pt>
                <c:pt idx="12">
                  <c:v>1</c:v>
                </c:pt>
                <c:pt idx="13">
                  <c:v>1</c:v>
                </c:pt>
                <c:pt idx="14">
                  <c:v>4</c:v>
                </c:pt>
                <c:pt idx="15">
                  <c:v>3</c:v>
                </c:pt>
                <c:pt idx="16">
                  <c:v>3</c:v>
                </c:pt>
                <c:pt idx="17">
                  <c:v>0</c:v>
                </c:pt>
                <c:pt idx="18">
                  <c:v>0</c:v>
                </c:pt>
                <c:pt idx="19">
                  <c:v>2</c:v>
                </c:pt>
                <c:pt idx="20">
                  <c:v>1</c:v>
                </c:pt>
                <c:pt idx="21">
                  <c:v>2</c:v>
                </c:pt>
                <c:pt idx="22">
                  <c:v>0</c:v>
                </c:pt>
                <c:pt idx="23">
                  <c:v>0</c:v>
                </c:pt>
                <c:pt idx="24">
                  <c:v>0</c:v>
                </c:pt>
                <c:pt idx="25">
                  <c:v>0</c:v>
                </c:pt>
                <c:pt idx="26">
                  <c:v>0</c:v>
                </c:pt>
                <c:pt idx="27">
                  <c:v>0</c:v>
                </c:pt>
                <c:pt idx="28">
                  <c:v>0</c:v>
                </c:pt>
                <c:pt idx="29">
                  <c:v>0</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2-19AB-4261-AA68-8B38F7436A12}"/>
            </c:ext>
          </c:extLst>
        </c:ser>
        <c:ser>
          <c:idx val="3"/>
          <c:order val="3"/>
          <c:tx>
            <c:strRef>
              <c:f>'SPDR Chart'!$G$1</c:f>
              <c:strCache>
                <c:ptCount val="1"/>
                <c:pt idx="0">
                  <c:v>XLV</c:v>
                </c:pt>
              </c:strCache>
            </c:strRef>
          </c:tx>
          <c:spPr>
            <a:solidFill>
              <a:schemeClr val="accent5">
                <a:lumMod val="75000"/>
              </a:schemeClr>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Chart'!$G$2:$G$47</c:f>
              <c:numCache>
                <c:formatCode>General</c:formatCode>
                <c:ptCount val="46"/>
                <c:pt idx="0">
                  <c:v>0</c:v>
                </c:pt>
                <c:pt idx="1">
                  <c:v>0</c:v>
                </c:pt>
                <c:pt idx="2">
                  <c:v>0</c:v>
                </c:pt>
                <c:pt idx="3">
                  <c:v>0</c:v>
                </c:pt>
                <c:pt idx="4">
                  <c:v>0</c:v>
                </c:pt>
                <c:pt idx="5">
                  <c:v>2</c:v>
                </c:pt>
                <c:pt idx="6">
                  <c:v>1</c:v>
                </c:pt>
                <c:pt idx="7">
                  <c:v>1</c:v>
                </c:pt>
                <c:pt idx="8">
                  <c:v>0</c:v>
                </c:pt>
                <c:pt idx="9">
                  <c:v>1</c:v>
                </c:pt>
                <c:pt idx="10">
                  <c:v>1</c:v>
                </c:pt>
                <c:pt idx="11">
                  <c:v>4</c:v>
                </c:pt>
                <c:pt idx="12">
                  <c:v>2</c:v>
                </c:pt>
                <c:pt idx="13">
                  <c:v>1</c:v>
                </c:pt>
                <c:pt idx="14">
                  <c:v>4</c:v>
                </c:pt>
                <c:pt idx="15">
                  <c:v>8</c:v>
                </c:pt>
                <c:pt idx="16">
                  <c:v>7</c:v>
                </c:pt>
                <c:pt idx="17">
                  <c:v>0</c:v>
                </c:pt>
                <c:pt idx="18">
                  <c:v>1</c:v>
                </c:pt>
                <c:pt idx="19">
                  <c:v>2</c:v>
                </c:pt>
                <c:pt idx="20">
                  <c:v>3</c:v>
                </c:pt>
                <c:pt idx="21">
                  <c:v>5</c:v>
                </c:pt>
                <c:pt idx="22">
                  <c:v>1</c:v>
                </c:pt>
                <c:pt idx="23">
                  <c:v>0</c:v>
                </c:pt>
                <c:pt idx="24">
                  <c:v>1</c:v>
                </c:pt>
                <c:pt idx="25">
                  <c:v>1</c:v>
                </c:pt>
                <c:pt idx="26">
                  <c:v>2</c:v>
                </c:pt>
                <c:pt idx="27">
                  <c:v>0</c:v>
                </c:pt>
                <c:pt idx="28">
                  <c:v>1</c:v>
                </c:pt>
                <c:pt idx="29">
                  <c:v>2</c:v>
                </c:pt>
                <c:pt idx="30">
                  <c:v>2</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3-19AB-4261-AA68-8B38F7436A12}"/>
            </c:ext>
          </c:extLst>
        </c:ser>
        <c:ser>
          <c:idx val="4"/>
          <c:order val="4"/>
          <c:tx>
            <c:strRef>
              <c:f>'SPDR Chart'!$H$1</c:f>
              <c:strCache>
                <c:ptCount val="1"/>
                <c:pt idx="0">
                  <c:v>XLE</c:v>
                </c:pt>
              </c:strCache>
            </c:strRef>
          </c:tx>
          <c:spPr>
            <a:solidFill>
              <a:srgbClr val="0000FF"/>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Chart'!$H$2:$H$47</c:f>
              <c:numCache>
                <c:formatCode>General</c:formatCode>
                <c:ptCount val="46"/>
                <c:pt idx="0">
                  <c:v>0</c:v>
                </c:pt>
                <c:pt idx="1">
                  <c:v>0</c:v>
                </c:pt>
                <c:pt idx="2">
                  <c:v>0</c:v>
                </c:pt>
                <c:pt idx="3">
                  <c:v>1</c:v>
                </c:pt>
                <c:pt idx="4">
                  <c:v>0</c:v>
                </c:pt>
                <c:pt idx="5">
                  <c:v>2</c:v>
                </c:pt>
                <c:pt idx="6">
                  <c:v>0</c:v>
                </c:pt>
                <c:pt idx="7">
                  <c:v>0</c:v>
                </c:pt>
                <c:pt idx="8">
                  <c:v>0</c:v>
                </c:pt>
                <c:pt idx="9">
                  <c:v>0</c:v>
                </c:pt>
                <c:pt idx="10">
                  <c:v>0</c:v>
                </c:pt>
                <c:pt idx="11">
                  <c:v>2</c:v>
                </c:pt>
                <c:pt idx="12">
                  <c:v>3</c:v>
                </c:pt>
                <c:pt idx="13">
                  <c:v>0</c:v>
                </c:pt>
                <c:pt idx="14">
                  <c:v>1</c:v>
                </c:pt>
                <c:pt idx="15">
                  <c:v>0</c:v>
                </c:pt>
                <c:pt idx="16">
                  <c:v>1</c:v>
                </c:pt>
                <c:pt idx="17">
                  <c:v>0</c:v>
                </c:pt>
                <c:pt idx="18">
                  <c:v>0</c:v>
                </c:pt>
                <c:pt idx="19">
                  <c:v>0</c:v>
                </c:pt>
                <c:pt idx="20">
                  <c:v>1</c:v>
                </c:pt>
                <c:pt idx="21">
                  <c:v>0</c:v>
                </c:pt>
                <c:pt idx="22">
                  <c:v>0</c:v>
                </c:pt>
                <c:pt idx="23">
                  <c:v>0</c:v>
                </c:pt>
                <c:pt idx="24">
                  <c:v>1</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4-19AB-4261-AA68-8B38F7436A12}"/>
            </c:ext>
          </c:extLst>
        </c:ser>
        <c:ser>
          <c:idx val="5"/>
          <c:order val="5"/>
          <c:tx>
            <c:strRef>
              <c:f>'SPDR Chart'!$I$1</c:f>
              <c:strCache>
                <c:ptCount val="1"/>
                <c:pt idx="0">
                  <c:v>XLRE</c:v>
                </c:pt>
              </c:strCache>
            </c:strRef>
          </c:tx>
          <c:spPr>
            <a:solidFill>
              <a:schemeClr val="tx1">
                <a:lumMod val="50000"/>
                <a:lumOff val="50000"/>
              </a:schemeClr>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Chart'!$I$2:$I$47</c:f>
              <c:numCache>
                <c:formatCode>General</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5-19AB-4261-AA68-8B38F7436A12}"/>
            </c:ext>
          </c:extLst>
        </c:ser>
        <c:ser>
          <c:idx val="6"/>
          <c:order val="6"/>
          <c:tx>
            <c:strRef>
              <c:f>'SPDR Chart'!$J$1</c:f>
              <c:strCache>
                <c:ptCount val="1"/>
                <c:pt idx="0">
                  <c:v>XLY</c:v>
                </c:pt>
              </c:strCache>
            </c:strRef>
          </c:tx>
          <c:spPr>
            <a:solidFill>
              <a:srgbClr val="65FF65"/>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Chart'!$J$2:$J$47</c:f>
              <c:numCache>
                <c:formatCode>General</c:formatCode>
                <c:ptCount val="46"/>
                <c:pt idx="0">
                  <c:v>0</c:v>
                </c:pt>
                <c:pt idx="1">
                  <c:v>0</c:v>
                </c:pt>
                <c:pt idx="2">
                  <c:v>0</c:v>
                </c:pt>
                <c:pt idx="3">
                  <c:v>0</c:v>
                </c:pt>
                <c:pt idx="4">
                  <c:v>0</c:v>
                </c:pt>
                <c:pt idx="5">
                  <c:v>0</c:v>
                </c:pt>
                <c:pt idx="6">
                  <c:v>0</c:v>
                </c:pt>
                <c:pt idx="7">
                  <c:v>0</c:v>
                </c:pt>
                <c:pt idx="8">
                  <c:v>0</c:v>
                </c:pt>
                <c:pt idx="9">
                  <c:v>3</c:v>
                </c:pt>
                <c:pt idx="10">
                  <c:v>2</c:v>
                </c:pt>
                <c:pt idx="11">
                  <c:v>2</c:v>
                </c:pt>
                <c:pt idx="12">
                  <c:v>0</c:v>
                </c:pt>
                <c:pt idx="13">
                  <c:v>0</c:v>
                </c:pt>
                <c:pt idx="14">
                  <c:v>1</c:v>
                </c:pt>
                <c:pt idx="15">
                  <c:v>1</c:v>
                </c:pt>
                <c:pt idx="16">
                  <c:v>9</c:v>
                </c:pt>
                <c:pt idx="17">
                  <c:v>0</c:v>
                </c:pt>
                <c:pt idx="18">
                  <c:v>1</c:v>
                </c:pt>
                <c:pt idx="19">
                  <c:v>1</c:v>
                </c:pt>
                <c:pt idx="20">
                  <c:v>1</c:v>
                </c:pt>
                <c:pt idx="21">
                  <c:v>2</c:v>
                </c:pt>
                <c:pt idx="22">
                  <c:v>0</c:v>
                </c:pt>
                <c:pt idx="23">
                  <c:v>0</c:v>
                </c:pt>
                <c:pt idx="24">
                  <c:v>1</c:v>
                </c:pt>
                <c:pt idx="25">
                  <c:v>1</c:v>
                </c:pt>
                <c:pt idx="26">
                  <c:v>3</c:v>
                </c:pt>
                <c:pt idx="27">
                  <c:v>0</c:v>
                </c:pt>
                <c:pt idx="28">
                  <c:v>3</c:v>
                </c:pt>
                <c:pt idx="29">
                  <c:v>3</c:v>
                </c:pt>
                <c:pt idx="30">
                  <c:v>0</c:v>
                </c:pt>
                <c:pt idx="31">
                  <c:v>0</c:v>
                </c:pt>
                <c:pt idx="32">
                  <c:v>2</c:v>
                </c:pt>
                <c:pt idx="33">
                  <c:v>3</c:v>
                </c:pt>
                <c:pt idx="34">
                  <c:v>3</c:v>
                </c:pt>
                <c:pt idx="35">
                  <c:v>0</c:v>
                </c:pt>
                <c:pt idx="36">
                  <c:v>1</c:v>
                </c:pt>
                <c:pt idx="37">
                  <c:v>1</c:v>
                </c:pt>
                <c:pt idx="38">
                  <c:v>1</c:v>
                </c:pt>
                <c:pt idx="39">
                  <c:v>1</c:v>
                </c:pt>
                <c:pt idx="40">
                  <c:v>1</c:v>
                </c:pt>
                <c:pt idx="41">
                  <c:v>1</c:v>
                </c:pt>
                <c:pt idx="42">
                  <c:v>0</c:v>
                </c:pt>
                <c:pt idx="43">
                  <c:v>0</c:v>
                </c:pt>
                <c:pt idx="44">
                  <c:v>0</c:v>
                </c:pt>
                <c:pt idx="45">
                  <c:v>0</c:v>
                </c:pt>
              </c:numCache>
            </c:numRef>
          </c:val>
          <c:extLst>
            <c:ext xmlns:c16="http://schemas.microsoft.com/office/drawing/2014/chart" uri="{C3380CC4-5D6E-409C-BE32-E72D297353CC}">
              <c16:uniqueId val="{00000006-19AB-4261-AA68-8B38F7436A12}"/>
            </c:ext>
          </c:extLst>
        </c:ser>
        <c:ser>
          <c:idx val="7"/>
          <c:order val="7"/>
          <c:tx>
            <c:strRef>
              <c:f>'SPDR Chart'!$K$1</c:f>
              <c:strCache>
                <c:ptCount val="1"/>
                <c:pt idx="0">
                  <c:v>XLC</c:v>
                </c:pt>
              </c:strCache>
            </c:strRef>
          </c:tx>
          <c:spPr>
            <a:solidFill>
              <a:schemeClr val="accent2">
                <a:lumMod val="60000"/>
              </a:schemeClr>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Chart'!$K$2:$K$47</c:f>
              <c:numCache>
                <c:formatCode>General</c:formatCode>
                <c:ptCount val="46"/>
                <c:pt idx="0">
                  <c:v>0</c:v>
                </c:pt>
                <c:pt idx="1">
                  <c:v>0</c:v>
                </c:pt>
                <c:pt idx="2">
                  <c:v>0</c:v>
                </c:pt>
                <c:pt idx="3">
                  <c:v>0</c:v>
                </c:pt>
                <c:pt idx="4">
                  <c:v>1</c:v>
                </c:pt>
                <c:pt idx="5">
                  <c:v>0</c:v>
                </c:pt>
                <c:pt idx="6">
                  <c:v>0</c:v>
                </c:pt>
                <c:pt idx="7">
                  <c:v>1</c:v>
                </c:pt>
                <c:pt idx="8">
                  <c:v>1</c:v>
                </c:pt>
                <c:pt idx="9">
                  <c:v>0</c:v>
                </c:pt>
                <c:pt idx="10">
                  <c:v>2</c:v>
                </c:pt>
                <c:pt idx="11">
                  <c:v>1</c:v>
                </c:pt>
                <c:pt idx="12">
                  <c:v>1</c:v>
                </c:pt>
                <c:pt idx="13">
                  <c:v>0</c:v>
                </c:pt>
                <c:pt idx="14">
                  <c:v>4</c:v>
                </c:pt>
                <c:pt idx="15">
                  <c:v>2</c:v>
                </c:pt>
                <c:pt idx="16">
                  <c:v>0</c:v>
                </c:pt>
                <c:pt idx="17">
                  <c:v>0</c:v>
                </c:pt>
                <c:pt idx="18">
                  <c:v>0</c:v>
                </c:pt>
                <c:pt idx="19">
                  <c:v>0</c:v>
                </c:pt>
                <c:pt idx="20">
                  <c:v>1</c:v>
                </c:pt>
                <c:pt idx="21">
                  <c:v>0</c:v>
                </c:pt>
                <c:pt idx="22">
                  <c:v>0</c:v>
                </c:pt>
                <c:pt idx="23">
                  <c:v>0</c:v>
                </c:pt>
                <c:pt idx="24">
                  <c:v>0</c:v>
                </c:pt>
                <c:pt idx="25">
                  <c:v>0</c:v>
                </c:pt>
                <c:pt idx="26">
                  <c:v>1</c:v>
                </c:pt>
                <c:pt idx="27">
                  <c:v>0</c:v>
                </c:pt>
                <c:pt idx="28">
                  <c:v>0</c:v>
                </c:pt>
                <c:pt idx="29">
                  <c:v>1</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7-19AB-4261-AA68-8B38F7436A12}"/>
            </c:ext>
          </c:extLst>
        </c:ser>
        <c:ser>
          <c:idx val="8"/>
          <c:order val="8"/>
          <c:tx>
            <c:strRef>
              <c:f>'SPDR Chart'!$L$1</c:f>
              <c:strCache>
                <c:ptCount val="1"/>
                <c:pt idx="0">
                  <c:v>XLK</c:v>
                </c:pt>
              </c:strCache>
            </c:strRef>
          </c:tx>
          <c:spPr>
            <a:solidFill>
              <a:srgbClr val="FFFF00"/>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Chart'!$L$2:$L$47</c:f>
              <c:numCache>
                <c:formatCode>General</c:formatCode>
                <c:ptCount val="46"/>
                <c:pt idx="0">
                  <c:v>0</c:v>
                </c:pt>
                <c:pt idx="1">
                  <c:v>0</c:v>
                </c:pt>
                <c:pt idx="2">
                  <c:v>0</c:v>
                </c:pt>
                <c:pt idx="3">
                  <c:v>0</c:v>
                </c:pt>
                <c:pt idx="4">
                  <c:v>1</c:v>
                </c:pt>
                <c:pt idx="5">
                  <c:v>3</c:v>
                </c:pt>
                <c:pt idx="6">
                  <c:v>0</c:v>
                </c:pt>
                <c:pt idx="7">
                  <c:v>0</c:v>
                </c:pt>
                <c:pt idx="8">
                  <c:v>0</c:v>
                </c:pt>
                <c:pt idx="9">
                  <c:v>1</c:v>
                </c:pt>
                <c:pt idx="10">
                  <c:v>4</c:v>
                </c:pt>
                <c:pt idx="11">
                  <c:v>2</c:v>
                </c:pt>
                <c:pt idx="12">
                  <c:v>0</c:v>
                </c:pt>
                <c:pt idx="13">
                  <c:v>0</c:v>
                </c:pt>
                <c:pt idx="14">
                  <c:v>2</c:v>
                </c:pt>
                <c:pt idx="15">
                  <c:v>2</c:v>
                </c:pt>
                <c:pt idx="16">
                  <c:v>1</c:v>
                </c:pt>
                <c:pt idx="17">
                  <c:v>0</c:v>
                </c:pt>
                <c:pt idx="18">
                  <c:v>0</c:v>
                </c:pt>
                <c:pt idx="19">
                  <c:v>0</c:v>
                </c:pt>
                <c:pt idx="20">
                  <c:v>1</c:v>
                </c:pt>
                <c:pt idx="21">
                  <c:v>3</c:v>
                </c:pt>
                <c:pt idx="22">
                  <c:v>0</c:v>
                </c:pt>
                <c:pt idx="23">
                  <c:v>0</c:v>
                </c:pt>
                <c:pt idx="24">
                  <c:v>1</c:v>
                </c:pt>
                <c:pt idx="25">
                  <c:v>1</c:v>
                </c:pt>
                <c:pt idx="26">
                  <c:v>2</c:v>
                </c:pt>
                <c:pt idx="27">
                  <c:v>0</c:v>
                </c:pt>
                <c:pt idx="28">
                  <c:v>1</c:v>
                </c:pt>
                <c:pt idx="29">
                  <c:v>0</c:v>
                </c:pt>
                <c:pt idx="30">
                  <c:v>3</c:v>
                </c:pt>
                <c:pt idx="31">
                  <c:v>2</c:v>
                </c:pt>
                <c:pt idx="32">
                  <c:v>0</c:v>
                </c:pt>
                <c:pt idx="33">
                  <c:v>1</c:v>
                </c:pt>
                <c:pt idx="34">
                  <c:v>1</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8-19AB-4261-AA68-8B38F7436A12}"/>
            </c:ext>
          </c:extLst>
        </c:ser>
        <c:ser>
          <c:idx val="9"/>
          <c:order val="9"/>
          <c:tx>
            <c:strRef>
              <c:f>'SPDR Chart'!$M$1</c:f>
              <c:strCache>
                <c:ptCount val="1"/>
                <c:pt idx="0">
                  <c:v>XLB</c:v>
                </c:pt>
              </c:strCache>
            </c:strRef>
          </c:tx>
          <c:spPr>
            <a:solidFill>
              <a:schemeClr val="accent4"/>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Chart'!$M$2:$M$47</c:f>
              <c:numCache>
                <c:formatCode>General</c:formatCode>
                <c:ptCount val="46"/>
                <c:pt idx="0">
                  <c:v>0</c:v>
                </c:pt>
                <c:pt idx="1">
                  <c:v>0</c:v>
                </c:pt>
                <c:pt idx="2">
                  <c:v>0</c:v>
                </c:pt>
                <c:pt idx="3">
                  <c:v>0</c:v>
                </c:pt>
                <c:pt idx="4">
                  <c:v>0</c:v>
                </c:pt>
                <c:pt idx="5">
                  <c:v>1</c:v>
                </c:pt>
                <c:pt idx="6">
                  <c:v>1</c:v>
                </c:pt>
                <c:pt idx="7">
                  <c:v>0</c:v>
                </c:pt>
                <c:pt idx="8">
                  <c:v>1</c:v>
                </c:pt>
                <c:pt idx="9">
                  <c:v>1</c:v>
                </c:pt>
                <c:pt idx="10">
                  <c:v>0</c:v>
                </c:pt>
                <c:pt idx="11">
                  <c:v>6</c:v>
                </c:pt>
                <c:pt idx="12">
                  <c:v>1</c:v>
                </c:pt>
                <c:pt idx="13">
                  <c:v>0</c:v>
                </c:pt>
                <c:pt idx="14">
                  <c:v>3</c:v>
                </c:pt>
                <c:pt idx="15">
                  <c:v>1</c:v>
                </c:pt>
                <c:pt idx="16">
                  <c:v>2</c:v>
                </c:pt>
                <c:pt idx="17">
                  <c:v>0</c:v>
                </c:pt>
                <c:pt idx="18">
                  <c:v>0</c:v>
                </c:pt>
                <c:pt idx="19">
                  <c:v>2</c:v>
                </c:pt>
                <c:pt idx="20">
                  <c:v>3</c:v>
                </c:pt>
                <c:pt idx="21">
                  <c:v>0</c:v>
                </c:pt>
                <c:pt idx="22">
                  <c:v>0</c:v>
                </c:pt>
                <c:pt idx="23">
                  <c:v>0</c:v>
                </c:pt>
                <c:pt idx="24">
                  <c:v>3</c:v>
                </c:pt>
                <c:pt idx="25">
                  <c:v>1</c:v>
                </c:pt>
                <c:pt idx="26">
                  <c:v>0</c:v>
                </c:pt>
                <c:pt idx="27">
                  <c:v>0</c:v>
                </c:pt>
                <c:pt idx="28">
                  <c:v>0</c:v>
                </c:pt>
                <c:pt idx="29">
                  <c:v>0</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9-19AB-4261-AA68-8B38F7436A12}"/>
            </c:ext>
          </c:extLst>
        </c:ser>
        <c:ser>
          <c:idx val="10"/>
          <c:order val="10"/>
          <c:tx>
            <c:strRef>
              <c:f>'SPDR Chart'!$N$1</c:f>
              <c:strCache>
                <c:ptCount val="1"/>
                <c:pt idx="0">
                  <c:v>XLU</c:v>
                </c:pt>
              </c:strCache>
            </c:strRef>
          </c:tx>
          <c:spPr>
            <a:solidFill>
              <a:schemeClr val="bg1">
                <a:lumMod val="95000"/>
              </a:schemeClr>
            </a:solidFill>
            <a:ln>
              <a:solidFill>
                <a:sysClr val="windowText" lastClr="000000"/>
              </a:solidFill>
            </a:ln>
            <a:effectLst/>
          </c:spPr>
          <c:invertIfNegative val="0"/>
          <c:cat>
            <c:numRef>
              <c:f>'SPDR Chart'!$C$2:$C$47</c:f>
              <c:numCache>
                <c:formatCode>m/d/yyyy</c:formatCode>
                <c:ptCount val="46"/>
                <c:pt idx="0">
                  <c:v>45667</c:v>
                </c:pt>
                <c:pt idx="1">
                  <c:v>45672</c:v>
                </c:pt>
                <c:pt idx="2">
                  <c:v>45673</c:v>
                </c:pt>
                <c:pt idx="3">
                  <c:v>45674</c:v>
                </c:pt>
                <c:pt idx="4">
                  <c:v>45678</c:v>
                </c:pt>
                <c:pt idx="5">
                  <c:v>45679</c:v>
                </c:pt>
                <c:pt idx="6">
                  <c:v>45680</c:v>
                </c:pt>
                <c:pt idx="7">
                  <c:v>45681</c:v>
                </c:pt>
                <c:pt idx="8">
                  <c:v>45684</c:v>
                </c:pt>
                <c:pt idx="9">
                  <c:v>45685</c:v>
                </c:pt>
                <c:pt idx="10">
                  <c:v>45686</c:v>
                </c:pt>
                <c:pt idx="11">
                  <c:v>45687</c:v>
                </c:pt>
                <c:pt idx="12">
                  <c:v>45688</c:v>
                </c:pt>
                <c:pt idx="13">
                  <c:v>45691</c:v>
                </c:pt>
                <c:pt idx="14">
                  <c:v>45692</c:v>
                </c:pt>
                <c:pt idx="15">
                  <c:v>45693</c:v>
                </c:pt>
                <c:pt idx="16">
                  <c:v>45694</c:v>
                </c:pt>
                <c:pt idx="17">
                  <c:v>45695</c:v>
                </c:pt>
                <c:pt idx="18">
                  <c:v>45698</c:v>
                </c:pt>
                <c:pt idx="19">
                  <c:v>45699</c:v>
                </c:pt>
                <c:pt idx="20">
                  <c:v>45700</c:v>
                </c:pt>
                <c:pt idx="21">
                  <c:v>45701</c:v>
                </c:pt>
                <c:pt idx="22">
                  <c:v>45702</c:v>
                </c:pt>
                <c:pt idx="23">
                  <c:v>45705</c:v>
                </c:pt>
                <c:pt idx="24">
                  <c:v>45706</c:v>
                </c:pt>
                <c:pt idx="25">
                  <c:v>45707</c:v>
                </c:pt>
                <c:pt idx="26">
                  <c:v>45708</c:v>
                </c:pt>
                <c:pt idx="27">
                  <c:v>45712</c:v>
                </c:pt>
                <c:pt idx="28">
                  <c:v>45713</c:v>
                </c:pt>
                <c:pt idx="29">
                  <c:v>45714</c:v>
                </c:pt>
                <c:pt idx="30">
                  <c:v>45715</c:v>
                </c:pt>
                <c:pt idx="31">
                  <c:v>45719</c:v>
                </c:pt>
                <c:pt idx="32">
                  <c:v>45720</c:v>
                </c:pt>
                <c:pt idx="33">
                  <c:v>45721</c:v>
                </c:pt>
                <c:pt idx="34">
                  <c:v>45722</c:v>
                </c:pt>
                <c:pt idx="35">
                  <c:v>45726</c:v>
                </c:pt>
                <c:pt idx="36">
                  <c:v>45728</c:v>
                </c:pt>
                <c:pt idx="37">
                  <c:v>45729</c:v>
                </c:pt>
                <c:pt idx="38">
                  <c:v>45735</c:v>
                </c:pt>
                <c:pt idx="39">
                  <c:v>45736</c:v>
                </c:pt>
                <c:pt idx="40">
                  <c:v>45737</c:v>
                </c:pt>
                <c:pt idx="41">
                  <c:v>45742</c:v>
                </c:pt>
                <c:pt idx="42">
                  <c:v>45743</c:v>
                </c:pt>
                <c:pt idx="43">
                  <c:v>45749</c:v>
                </c:pt>
                <c:pt idx="44">
                  <c:v>45750</c:v>
                </c:pt>
                <c:pt idx="45">
                  <c:v>45757</c:v>
                </c:pt>
              </c:numCache>
            </c:numRef>
          </c:cat>
          <c:val>
            <c:numRef>
              <c:f>'SPDR Chart'!$N$2:$N$47</c:f>
              <c:numCache>
                <c:formatCode>General</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A-19AB-4261-AA68-8B38F7436A12}"/>
            </c:ext>
          </c:extLst>
        </c:ser>
        <c:ser>
          <c:idx val="11"/>
          <c:order val="11"/>
          <c:tx>
            <c:strRef>
              <c:f>'SPDR Chart'!$O$1</c:f>
              <c:strCache>
                <c:ptCount val="1"/>
                <c:pt idx="0">
                  <c:v>SMH</c:v>
                </c:pt>
              </c:strCache>
            </c:strRef>
          </c:tx>
          <c:spPr>
            <a:solidFill>
              <a:srgbClr val="FF0000"/>
            </a:solidFill>
            <a:ln>
              <a:solidFill>
                <a:sysClr val="windowText" lastClr="000000"/>
              </a:solidFill>
            </a:ln>
            <a:effectLst/>
          </c:spPr>
          <c:invertIfNegative val="0"/>
          <c:val>
            <c:numRef>
              <c:f>'SPDR Chart'!$O$2:$O$47</c:f>
              <c:numCache>
                <c:formatCode>General</c:formatCode>
                <c:ptCount val="46"/>
                <c:pt idx="0">
                  <c:v>0</c:v>
                </c:pt>
                <c:pt idx="1">
                  <c:v>0</c:v>
                </c:pt>
                <c:pt idx="2">
                  <c:v>0</c:v>
                </c:pt>
                <c:pt idx="3">
                  <c:v>0</c:v>
                </c:pt>
                <c:pt idx="4">
                  <c:v>0</c:v>
                </c:pt>
                <c:pt idx="5">
                  <c:v>0</c:v>
                </c:pt>
                <c:pt idx="6">
                  <c:v>1</c:v>
                </c:pt>
                <c:pt idx="7">
                  <c:v>0</c:v>
                </c:pt>
                <c:pt idx="8">
                  <c:v>0</c:v>
                </c:pt>
                <c:pt idx="9">
                  <c:v>0</c:v>
                </c:pt>
                <c:pt idx="10">
                  <c:v>2</c:v>
                </c:pt>
                <c:pt idx="11">
                  <c:v>2</c:v>
                </c:pt>
                <c:pt idx="12">
                  <c:v>0</c:v>
                </c:pt>
                <c:pt idx="13">
                  <c:v>1</c:v>
                </c:pt>
                <c:pt idx="14">
                  <c:v>1</c:v>
                </c:pt>
                <c:pt idx="15">
                  <c:v>2</c:v>
                </c:pt>
                <c:pt idx="16">
                  <c:v>2</c:v>
                </c:pt>
                <c:pt idx="17">
                  <c:v>0</c:v>
                </c:pt>
                <c:pt idx="18">
                  <c:v>1</c:v>
                </c:pt>
                <c:pt idx="19">
                  <c:v>0</c:v>
                </c:pt>
                <c:pt idx="20">
                  <c:v>0</c:v>
                </c:pt>
                <c:pt idx="21">
                  <c:v>1</c:v>
                </c:pt>
                <c:pt idx="22">
                  <c:v>0</c:v>
                </c:pt>
                <c:pt idx="23">
                  <c:v>0</c:v>
                </c:pt>
                <c:pt idx="24">
                  <c:v>1</c:v>
                </c:pt>
                <c:pt idx="25">
                  <c:v>1</c:v>
                </c:pt>
                <c:pt idx="26">
                  <c:v>0</c:v>
                </c:pt>
                <c:pt idx="27">
                  <c:v>0</c:v>
                </c:pt>
                <c:pt idx="28">
                  <c:v>0</c:v>
                </c:pt>
                <c:pt idx="29">
                  <c:v>2</c:v>
                </c:pt>
                <c:pt idx="30">
                  <c:v>0</c:v>
                </c:pt>
                <c:pt idx="31">
                  <c:v>0</c:v>
                </c:pt>
                <c:pt idx="32">
                  <c:v>0</c:v>
                </c:pt>
                <c:pt idx="33">
                  <c:v>0</c:v>
                </c:pt>
                <c:pt idx="34">
                  <c:v>1</c:v>
                </c:pt>
                <c:pt idx="35">
                  <c:v>0</c:v>
                </c:pt>
                <c:pt idx="36">
                  <c:v>0</c:v>
                </c:pt>
                <c:pt idx="37">
                  <c:v>1</c:v>
                </c:pt>
                <c:pt idx="38">
                  <c:v>0</c:v>
                </c:pt>
                <c:pt idx="39">
                  <c:v>1</c:v>
                </c:pt>
                <c:pt idx="40">
                  <c:v>0</c:v>
                </c:pt>
                <c:pt idx="41">
                  <c:v>0</c:v>
                </c:pt>
                <c:pt idx="42">
                  <c:v>0</c:v>
                </c:pt>
                <c:pt idx="43">
                  <c:v>0</c:v>
                </c:pt>
                <c:pt idx="44">
                  <c:v>0</c:v>
                </c:pt>
                <c:pt idx="45">
                  <c:v>0</c:v>
                </c:pt>
              </c:numCache>
            </c:numRef>
          </c:val>
          <c:extLst>
            <c:ext xmlns:c16="http://schemas.microsoft.com/office/drawing/2014/chart" uri="{C3380CC4-5D6E-409C-BE32-E72D297353CC}">
              <c16:uniqueId val="{00000000-2C73-4E11-A5C6-5C38BF5B6380}"/>
            </c:ext>
          </c:extLst>
        </c:ser>
        <c:ser>
          <c:idx val="12"/>
          <c:order val="12"/>
          <c:tx>
            <c:strRef>
              <c:f>'SPDR Chart'!$P$1</c:f>
              <c:strCache>
                <c:ptCount val="1"/>
                <c:pt idx="0">
                  <c:v>INS</c:v>
                </c:pt>
              </c:strCache>
            </c:strRef>
          </c:tx>
          <c:spPr>
            <a:solidFill>
              <a:schemeClr val="tx1"/>
            </a:solidFill>
            <a:ln>
              <a:solidFill>
                <a:sysClr val="windowText" lastClr="000000"/>
              </a:solidFill>
            </a:ln>
            <a:effectLst/>
          </c:spPr>
          <c:invertIfNegative val="0"/>
          <c:val>
            <c:numRef>
              <c:f>'SPDR Chart'!$P$2:$P$47</c:f>
              <c:numCache>
                <c:formatCode>General</c:formatCode>
                <c:ptCount val="46"/>
                <c:pt idx="0">
                  <c:v>0</c:v>
                </c:pt>
                <c:pt idx="1">
                  <c:v>0</c:v>
                </c:pt>
                <c:pt idx="2">
                  <c:v>0</c:v>
                </c:pt>
                <c:pt idx="3">
                  <c:v>0</c:v>
                </c:pt>
                <c:pt idx="4">
                  <c:v>0</c:v>
                </c:pt>
                <c:pt idx="5">
                  <c:v>1</c:v>
                </c:pt>
                <c:pt idx="6">
                  <c:v>0</c:v>
                </c:pt>
                <c:pt idx="7">
                  <c:v>0</c:v>
                </c:pt>
                <c:pt idx="8">
                  <c:v>2</c:v>
                </c:pt>
                <c:pt idx="9">
                  <c:v>1</c:v>
                </c:pt>
                <c:pt idx="10">
                  <c:v>1</c:v>
                </c:pt>
                <c:pt idx="11">
                  <c:v>3</c:v>
                </c:pt>
                <c:pt idx="12">
                  <c:v>1</c:v>
                </c:pt>
                <c:pt idx="13">
                  <c:v>0</c:v>
                </c:pt>
                <c:pt idx="14">
                  <c:v>1</c:v>
                </c:pt>
                <c:pt idx="15">
                  <c:v>4</c:v>
                </c:pt>
                <c:pt idx="16">
                  <c:v>1</c:v>
                </c:pt>
                <c:pt idx="17">
                  <c:v>0</c:v>
                </c:pt>
                <c:pt idx="18">
                  <c:v>3</c:v>
                </c:pt>
                <c:pt idx="19">
                  <c:v>2</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2C73-4E11-A5C6-5C38BF5B6380}"/>
            </c:ext>
          </c:extLst>
        </c:ser>
        <c:ser>
          <c:idx val="13"/>
          <c:order val="13"/>
          <c:tx>
            <c:strRef>
              <c:f>'SPDR Chart'!$Q$1</c:f>
              <c:strCache>
                <c:ptCount val="1"/>
                <c:pt idx="0">
                  <c:v>IGV</c:v>
                </c:pt>
              </c:strCache>
            </c:strRef>
          </c:tx>
          <c:spPr>
            <a:solidFill>
              <a:srgbClr val="FF66CC"/>
            </a:solidFill>
            <a:ln>
              <a:solidFill>
                <a:sysClr val="windowText" lastClr="000000"/>
              </a:solidFill>
            </a:ln>
            <a:effectLst/>
          </c:spPr>
          <c:invertIfNegative val="0"/>
          <c:val>
            <c:numRef>
              <c:f>'SPDR Chart'!$Q$2:$Q$47</c:f>
              <c:numCache>
                <c:formatCode>General</c:formatCode>
                <c:ptCount val="46"/>
                <c:pt idx="0">
                  <c:v>0</c:v>
                </c:pt>
                <c:pt idx="1">
                  <c:v>0</c:v>
                </c:pt>
                <c:pt idx="2">
                  <c:v>0</c:v>
                </c:pt>
                <c:pt idx="3">
                  <c:v>0</c:v>
                </c:pt>
                <c:pt idx="4">
                  <c:v>0</c:v>
                </c:pt>
                <c:pt idx="5">
                  <c:v>0</c:v>
                </c:pt>
                <c:pt idx="6">
                  <c:v>0</c:v>
                </c:pt>
                <c:pt idx="7">
                  <c:v>0</c:v>
                </c:pt>
                <c:pt idx="8">
                  <c:v>0</c:v>
                </c:pt>
                <c:pt idx="9">
                  <c:v>0</c:v>
                </c:pt>
                <c:pt idx="10">
                  <c:v>1</c:v>
                </c:pt>
                <c:pt idx="11">
                  <c:v>5</c:v>
                </c:pt>
                <c:pt idx="12">
                  <c:v>0</c:v>
                </c:pt>
                <c:pt idx="13">
                  <c:v>1</c:v>
                </c:pt>
                <c:pt idx="14">
                  <c:v>5</c:v>
                </c:pt>
                <c:pt idx="15">
                  <c:v>3</c:v>
                </c:pt>
                <c:pt idx="16">
                  <c:v>2</c:v>
                </c:pt>
                <c:pt idx="17">
                  <c:v>0</c:v>
                </c:pt>
                <c:pt idx="18">
                  <c:v>0</c:v>
                </c:pt>
                <c:pt idx="19">
                  <c:v>2</c:v>
                </c:pt>
                <c:pt idx="20">
                  <c:v>1</c:v>
                </c:pt>
                <c:pt idx="21">
                  <c:v>3</c:v>
                </c:pt>
                <c:pt idx="22">
                  <c:v>0</c:v>
                </c:pt>
                <c:pt idx="23">
                  <c:v>0</c:v>
                </c:pt>
                <c:pt idx="24">
                  <c:v>0</c:v>
                </c:pt>
                <c:pt idx="25">
                  <c:v>2</c:v>
                </c:pt>
                <c:pt idx="26">
                  <c:v>2</c:v>
                </c:pt>
                <c:pt idx="27">
                  <c:v>0</c:v>
                </c:pt>
                <c:pt idx="28">
                  <c:v>2</c:v>
                </c:pt>
                <c:pt idx="29">
                  <c:v>3</c:v>
                </c:pt>
                <c:pt idx="30">
                  <c:v>2</c:v>
                </c:pt>
                <c:pt idx="31">
                  <c:v>1</c:v>
                </c:pt>
                <c:pt idx="32">
                  <c:v>2</c:v>
                </c:pt>
                <c:pt idx="33">
                  <c:v>1</c:v>
                </c:pt>
                <c:pt idx="34">
                  <c:v>0</c:v>
                </c:pt>
                <c:pt idx="35">
                  <c:v>2</c:v>
                </c:pt>
                <c:pt idx="36">
                  <c:v>3</c:v>
                </c:pt>
                <c:pt idx="37">
                  <c:v>1</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0-E8AA-438F-8E03-10B9873A0AEE}"/>
            </c:ext>
          </c:extLst>
        </c:ser>
        <c:dLbls>
          <c:showLegendKey val="0"/>
          <c:showVal val="0"/>
          <c:showCatName val="0"/>
          <c:showSerName val="0"/>
          <c:showPercent val="0"/>
          <c:showBubbleSize val="0"/>
        </c:dLbls>
        <c:gapWidth val="10"/>
        <c:overlap val="100"/>
        <c:axId val="1489289600"/>
        <c:axId val="1489292960"/>
      </c:barChart>
      <c:dateAx>
        <c:axId val="1489289600"/>
        <c:scaling>
          <c:orientation val="minMax"/>
        </c:scaling>
        <c:delete val="0"/>
        <c:axPos val="b"/>
        <c:numFmt formatCode="m/d/yyyy"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92960"/>
        <c:crosses val="autoZero"/>
        <c:auto val="1"/>
        <c:lblOffset val="100"/>
        <c:baseTimeUnit val="days"/>
      </c:dateAx>
      <c:valAx>
        <c:axId val="148929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8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accent3">
                    <a:lumMod val="75000"/>
                  </a:schemeClr>
                </a:solidFill>
                <a:latin typeface="+mn-lt"/>
                <a:ea typeface="+mn-ea"/>
                <a:cs typeface="+mn-cs"/>
              </a:defRPr>
            </a:pPr>
            <a:r>
              <a:rPr lang="en-US" sz="2400" b="1">
                <a:solidFill>
                  <a:schemeClr val="accent3">
                    <a:lumMod val="75000"/>
                  </a:schemeClr>
                </a:solidFill>
              </a:rPr>
              <a:t>2025-Q1 P&amp;L</a:t>
            </a:r>
            <a:r>
              <a:rPr lang="en-US" sz="2400" b="1" baseline="0">
                <a:solidFill>
                  <a:schemeClr val="accent3">
                    <a:lumMod val="75000"/>
                  </a:schemeClr>
                </a:solidFill>
              </a:rPr>
              <a:t> Curve</a:t>
            </a:r>
          </a:p>
        </c:rich>
      </c:tx>
      <c:layout>
        <c:manualLayout>
          <c:xMode val="edge"/>
          <c:yMode val="edge"/>
          <c:x val="4.3995672740077624E-2"/>
          <c:y val="5.8910162002945507E-3"/>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3.9656227182128551E-2"/>
          <c:y val="0.11258706063803881"/>
          <c:w val="0.95115413204928334"/>
          <c:h val="0.86833594254326452"/>
        </c:manualLayout>
      </c:layout>
      <c:lineChart>
        <c:grouping val="standard"/>
        <c:varyColors val="0"/>
        <c:ser>
          <c:idx val="0"/>
          <c:order val="0"/>
          <c:tx>
            <c:v>Actual Revenue Curve</c:v>
          </c:tx>
          <c:spPr>
            <a:ln w="28575" cap="rnd">
              <a:solidFill>
                <a:sysClr val="windowText" lastClr="000000"/>
              </a:solidFill>
              <a:round/>
            </a:ln>
            <a:effectLst/>
          </c:spPr>
          <c:marker>
            <c:symbol val="none"/>
          </c:marker>
          <c:cat>
            <c:strRef>
              <c:f>'2025-Q1'!$A$4:$A$448</c:f>
              <c:strCache>
                <c:ptCount val="445"/>
                <c:pt idx="0">
                  <c:v>STZ</c:v>
                </c:pt>
                <c:pt idx="1">
                  <c:v>DAL</c:v>
                </c:pt>
                <c:pt idx="2">
                  <c:v>WBA</c:v>
                </c:pt>
                <c:pt idx="3">
                  <c:v>JPM</c:v>
                </c:pt>
                <c:pt idx="4">
                  <c:v>WFC</c:v>
                </c:pt>
                <c:pt idx="5">
                  <c:v>GS</c:v>
                </c:pt>
                <c:pt idx="6">
                  <c:v>BLK</c:v>
                </c:pt>
                <c:pt idx="7">
                  <c:v>C</c:v>
                </c:pt>
                <c:pt idx="8">
                  <c:v>BK</c:v>
                </c:pt>
                <c:pt idx="9">
                  <c:v>UNH</c:v>
                </c:pt>
                <c:pt idx="10">
                  <c:v>BAC</c:v>
                </c:pt>
                <c:pt idx="11">
                  <c:v>MS</c:v>
                </c:pt>
                <c:pt idx="12">
                  <c:v>PNC</c:v>
                </c:pt>
                <c:pt idx="13">
                  <c:v>USB</c:v>
                </c:pt>
                <c:pt idx="14">
                  <c:v>MTB</c:v>
                </c:pt>
                <c:pt idx="15">
                  <c:v>JBHT</c:v>
                </c:pt>
                <c:pt idx="16">
                  <c:v>TFC</c:v>
                </c:pt>
                <c:pt idx="17">
                  <c:v>SLB</c:v>
                </c:pt>
                <c:pt idx="18">
                  <c:v>FAST</c:v>
                </c:pt>
                <c:pt idx="19">
                  <c:v>STT</c:v>
                </c:pt>
                <c:pt idx="20">
                  <c:v>HBAN</c:v>
                </c:pt>
                <c:pt idx="21">
                  <c:v>RF</c:v>
                </c:pt>
                <c:pt idx="22">
                  <c:v>CFG</c:v>
                </c:pt>
                <c:pt idx="23">
                  <c:v>SCHW</c:v>
                </c:pt>
                <c:pt idx="24">
                  <c:v>MMM</c:v>
                </c:pt>
                <c:pt idx="25">
                  <c:v>DHI</c:v>
                </c:pt>
                <c:pt idx="26">
                  <c:v>FITB</c:v>
                </c:pt>
                <c:pt idx="27">
                  <c:v>KEY</c:v>
                </c:pt>
                <c:pt idx="28">
                  <c:v>NFLX</c:v>
                </c:pt>
                <c:pt idx="29">
                  <c:v>COF</c:v>
                </c:pt>
                <c:pt idx="30">
                  <c:v>UAL</c:v>
                </c:pt>
                <c:pt idx="31">
                  <c:v>STX</c:v>
                </c:pt>
                <c:pt idx="32">
                  <c:v>PG</c:v>
                </c:pt>
                <c:pt idx="33">
                  <c:v>JNJ</c:v>
                </c:pt>
                <c:pt idx="34">
                  <c:v>ABT</c:v>
                </c:pt>
                <c:pt idx="35">
                  <c:v>GEV</c:v>
                </c:pt>
                <c:pt idx="36">
                  <c:v>APH</c:v>
                </c:pt>
                <c:pt idx="37">
                  <c:v>TRV</c:v>
                </c:pt>
                <c:pt idx="38">
                  <c:v>TEL</c:v>
                </c:pt>
                <c:pt idx="39">
                  <c:v>HAL</c:v>
                </c:pt>
                <c:pt idx="40">
                  <c:v>TDY</c:v>
                </c:pt>
                <c:pt idx="41">
                  <c:v>TXT</c:v>
                </c:pt>
                <c:pt idx="42">
                  <c:v>KMI</c:v>
                </c:pt>
                <c:pt idx="43">
                  <c:v>DFS</c:v>
                </c:pt>
                <c:pt idx="44">
                  <c:v>STLD</c:v>
                </c:pt>
                <c:pt idx="45">
                  <c:v>GE</c:v>
                </c:pt>
                <c:pt idx="46">
                  <c:v>UNP</c:v>
                </c:pt>
                <c:pt idx="47">
                  <c:v>ELV</c:v>
                </c:pt>
                <c:pt idx="48">
                  <c:v>FCX</c:v>
                </c:pt>
                <c:pt idx="49">
                  <c:v>NTRS</c:v>
                </c:pt>
                <c:pt idx="50">
                  <c:v>MKC</c:v>
                </c:pt>
                <c:pt idx="51">
                  <c:v>ISRG</c:v>
                </c:pt>
                <c:pt idx="52">
                  <c:v>TXN</c:v>
                </c:pt>
                <c:pt idx="53">
                  <c:v>CSX</c:v>
                </c:pt>
                <c:pt idx="54">
                  <c:v>AXP</c:v>
                </c:pt>
                <c:pt idx="55">
                  <c:v>VZ</c:v>
                </c:pt>
                <c:pt idx="56">
                  <c:v>HCA</c:v>
                </c:pt>
                <c:pt idx="57">
                  <c:v>T</c:v>
                </c:pt>
                <c:pt idx="58">
                  <c:v>NUE</c:v>
                </c:pt>
                <c:pt idx="59">
                  <c:v>BRO</c:v>
                </c:pt>
                <c:pt idx="60">
                  <c:v>WRB</c:v>
                </c:pt>
                <c:pt idx="61">
                  <c:v>RTX</c:v>
                </c:pt>
                <c:pt idx="62">
                  <c:v>LMT</c:v>
                </c:pt>
                <c:pt idx="63">
                  <c:v>BA</c:v>
                </c:pt>
                <c:pt idx="64">
                  <c:v>RCL</c:v>
                </c:pt>
                <c:pt idx="65">
                  <c:v>GM</c:v>
                </c:pt>
                <c:pt idx="66">
                  <c:v>PCAR</c:v>
                </c:pt>
                <c:pt idx="67">
                  <c:v>KMB</c:v>
                </c:pt>
                <c:pt idx="68">
                  <c:v>SYY</c:v>
                </c:pt>
                <c:pt idx="69">
                  <c:v>SYF</c:v>
                </c:pt>
                <c:pt idx="70">
                  <c:v>IVZ</c:v>
                </c:pt>
                <c:pt idx="71">
                  <c:v>SYK</c:v>
                </c:pt>
                <c:pt idx="72">
                  <c:v>CB</c:v>
                </c:pt>
                <c:pt idx="73">
                  <c:v>SBUX</c:v>
                </c:pt>
                <c:pt idx="74">
                  <c:v>PKG</c:v>
                </c:pt>
                <c:pt idx="75">
                  <c:v>FFIV</c:v>
                </c:pt>
                <c:pt idx="76">
                  <c:v>TMUS</c:v>
                </c:pt>
                <c:pt idx="77">
                  <c:v>DHR</c:v>
                </c:pt>
                <c:pt idx="78">
                  <c:v>PGR</c:v>
                </c:pt>
                <c:pt idx="79">
                  <c:v>ADP</c:v>
                </c:pt>
                <c:pt idx="80">
                  <c:v>GD</c:v>
                </c:pt>
                <c:pt idx="81">
                  <c:v>NSC</c:v>
                </c:pt>
                <c:pt idx="82">
                  <c:v>NDAQ</c:v>
                </c:pt>
                <c:pt idx="83">
                  <c:v>HES</c:v>
                </c:pt>
                <c:pt idx="84">
                  <c:v>GLW</c:v>
                </c:pt>
                <c:pt idx="85">
                  <c:v>OTIS</c:v>
                </c:pt>
                <c:pt idx="86">
                  <c:v>MSFT</c:v>
                </c:pt>
                <c:pt idx="87">
                  <c:v>META</c:v>
                </c:pt>
                <c:pt idx="88">
                  <c:v>TSLA</c:v>
                </c:pt>
                <c:pt idx="89">
                  <c:v>IBM</c:v>
                </c:pt>
                <c:pt idx="90">
                  <c:v>LRCX</c:v>
                </c:pt>
                <c:pt idx="91">
                  <c:v>WM</c:v>
                </c:pt>
                <c:pt idx="92">
                  <c:v>AMP</c:v>
                </c:pt>
                <c:pt idx="93">
                  <c:v>URI</c:v>
                </c:pt>
                <c:pt idx="94">
                  <c:v>LVS</c:v>
                </c:pt>
                <c:pt idx="95">
                  <c:v>RJF</c:v>
                </c:pt>
                <c:pt idx="96">
                  <c:v>WDC</c:v>
                </c:pt>
                <c:pt idx="97">
                  <c:v>TER</c:v>
                </c:pt>
                <c:pt idx="98">
                  <c:v>CHRW</c:v>
                </c:pt>
                <c:pt idx="99">
                  <c:v>DLB</c:v>
                </c:pt>
                <c:pt idx="100">
                  <c:v>MA</c:v>
                </c:pt>
                <c:pt idx="101">
                  <c:v>BX</c:v>
                </c:pt>
                <c:pt idx="102">
                  <c:v>TMO</c:v>
                </c:pt>
                <c:pt idx="103">
                  <c:v>CAT</c:v>
                </c:pt>
                <c:pt idx="104">
                  <c:v>CMCSA</c:v>
                </c:pt>
                <c:pt idx="105">
                  <c:v>UPS</c:v>
                </c:pt>
                <c:pt idx="106">
                  <c:v>MMC</c:v>
                </c:pt>
                <c:pt idx="107">
                  <c:v>MO</c:v>
                </c:pt>
                <c:pt idx="108">
                  <c:v>SHW</c:v>
                </c:pt>
                <c:pt idx="109">
                  <c:v>TT</c:v>
                </c:pt>
                <c:pt idx="110">
                  <c:v>CI</c:v>
                </c:pt>
                <c:pt idx="111">
                  <c:v>PH</c:v>
                </c:pt>
                <c:pt idx="112">
                  <c:v>NOC</c:v>
                </c:pt>
                <c:pt idx="113">
                  <c:v>ROP</c:v>
                </c:pt>
                <c:pt idx="114">
                  <c:v>LHX</c:v>
                </c:pt>
                <c:pt idx="115">
                  <c:v>VLO</c:v>
                </c:pt>
                <c:pt idx="116">
                  <c:v>DOW</c:v>
                </c:pt>
                <c:pt idx="117">
                  <c:v>CAH</c:v>
                </c:pt>
                <c:pt idx="118">
                  <c:v>TSCO</c:v>
                </c:pt>
                <c:pt idx="119">
                  <c:v>DOV</c:v>
                </c:pt>
                <c:pt idx="120">
                  <c:v>PHM</c:v>
                </c:pt>
                <c:pt idx="121">
                  <c:v>IP</c:v>
                </c:pt>
                <c:pt idx="122">
                  <c:v>LUV</c:v>
                </c:pt>
                <c:pt idx="123">
                  <c:v>DGX</c:v>
                </c:pt>
                <c:pt idx="124">
                  <c:v>AVY</c:v>
                </c:pt>
                <c:pt idx="125">
                  <c:v>AOS</c:v>
                </c:pt>
                <c:pt idx="126">
                  <c:v>DT</c:v>
                </c:pt>
                <c:pt idx="127">
                  <c:v>AAPL</c:v>
                </c:pt>
                <c:pt idx="128">
                  <c:v>V</c:v>
                </c:pt>
                <c:pt idx="129">
                  <c:v>INTC</c:v>
                </c:pt>
                <c:pt idx="130">
                  <c:v>KLAC</c:v>
                </c:pt>
                <c:pt idx="131">
                  <c:v>AJG</c:v>
                </c:pt>
                <c:pt idx="132">
                  <c:v>BKR</c:v>
                </c:pt>
                <c:pt idx="133">
                  <c:v>RMD</c:v>
                </c:pt>
                <c:pt idx="134">
                  <c:v>HIG</c:v>
                </c:pt>
                <c:pt idx="135">
                  <c:v>PPG</c:v>
                </c:pt>
                <c:pt idx="136">
                  <c:v>DECK</c:v>
                </c:pt>
                <c:pt idx="137">
                  <c:v>GEN</c:v>
                </c:pt>
                <c:pt idx="138">
                  <c:v>SMCI</c:v>
                </c:pt>
                <c:pt idx="139">
                  <c:v>EMN</c:v>
                </c:pt>
                <c:pt idx="140">
                  <c:v>TEAM</c:v>
                </c:pt>
                <c:pt idx="141">
                  <c:v>APPF</c:v>
                </c:pt>
                <c:pt idx="142">
                  <c:v>XOM</c:v>
                </c:pt>
                <c:pt idx="143">
                  <c:v>ABBV</c:v>
                </c:pt>
                <c:pt idx="144">
                  <c:v>CVX</c:v>
                </c:pt>
                <c:pt idx="145">
                  <c:v>ETN</c:v>
                </c:pt>
                <c:pt idx="146">
                  <c:v>AON</c:v>
                </c:pt>
                <c:pt idx="147">
                  <c:v>CL</c:v>
                </c:pt>
                <c:pt idx="148">
                  <c:v>CHTR</c:v>
                </c:pt>
                <c:pt idx="149">
                  <c:v>GWW</c:v>
                </c:pt>
                <c:pt idx="150">
                  <c:v>PSX</c:v>
                </c:pt>
                <c:pt idx="151">
                  <c:v>CHD</c:v>
                </c:pt>
                <c:pt idx="152">
                  <c:v>LYB</c:v>
                </c:pt>
                <c:pt idx="153">
                  <c:v>BR</c:v>
                </c:pt>
                <c:pt idx="154">
                  <c:v>RVTY</c:v>
                </c:pt>
                <c:pt idx="155">
                  <c:v>BEN</c:v>
                </c:pt>
                <c:pt idx="156">
                  <c:v>IDXX</c:v>
                </c:pt>
                <c:pt idx="157">
                  <c:v>TSN</c:v>
                </c:pt>
                <c:pt idx="158">
                  <c:v>PLTR</c:v>
                </c:pt>
                <c:pt idx="159">
                  <c:v>NXPI</c:v>
                </c:pt>
                <c:pt idx="160">
                  <c:v>CLX</c:v>
                </c:pt>
                <c:pt idx="161">
                  <c:v>EG</c:v>
                </c:pt>
                <c:pt idx="162">
                  <c:v>MRK</c:v>
                </c:pt>
                <c:pt idx="163">
                  <c:v>PEP</c:v>
                </c:pt>
                <c:pt idx="164">
                  <c:v>PFE</c:v>
                </c:pt>
                <c:pt idx="165">
                  <c:v>KKR</c:v>
                </c:pt>
                <c:pt idx="166">
                  <c:v>PYPL</c:v>
                </c:pt>
                <c:pt idx="167">
                  <c:v>REGN</c:v>
                </c:pt>
                <c:pt idx="168">
                  <c:v>MPC</c:v>
                </c:pt>
                <c:pt idx="169">
                  <c:v>CMI</c:v>
                </c:pt>
                <c:pt idx="170">
                  <c:v>AME</c:v>
                </c:pt>
                <c:pt idx="171">
                  <c:v>IT</c:v>
                </c:pt>
                <c:pt idx="172">
                  <c:v>WTW</c:v>
                </c:pt>
                <c:pt idx="173">
                  <c:v>CNC</c:v>
                </c:pt>
                <c:pt idx="174">
                  <c:v>XYL</c:v>
                </c:pt>
                <c:pt idx="175">
                  <c:v>ADM</c:v>
                </c:pt>
                <c:pt idx="176">
                  <c:v>HUBB</c:v>
                </c:pt>
                <c:pt idx="177">
                  <c:v>EL</c:v>
                </c:pt>
                <c:pt idx="178">
                  <c:v>FOX</c:v>
                </c:pt>
                <c:pt idx="179">
                  <c:v>BALL</c:v>
                </c:pt>
                <c:pt idx="180">
                  <c:v>PNR</c:v>
                </c:pt>
                <c:pt idx="181">
                  <c:v>J</c:v>
                </c:pt>
                <c:pt idx="182">
                  <c:v>AMCR</c:v>
                </c:pt>
                <c:pt idx="183">
                  <c:v>GOOG</c:v>
                </c:pt>
                <c:pt idx="184">
                  <c:v>AMD</c:v>
                </c:pt>
                <c:pt idx="185">
                  <c:v>AMGN</c:v>
                </c:pt>
                <c:pt idx="186">
                  <c:v>MDLZ</c:v>
                </c:pt>
                <c:pt idx="187">
                  <c:v>CMG</c:v>
                </c:pt>
                <c:pt idx="188">
                  <c:v>FICO</c:v>
                </c:pt>
                <c:pt idx="189">
                  <c:v>PRU</c:v>
                </c:pt>
                <c:pt idx="190">
                  <c:v>EA</c:v>
                </c:pt>
                <c:pt idx="191">
                  <c:v>VLTO</c:v>
                </c:pt>
                <c:pt idx="192">
                  <c:v>OMC</c:v>
                </c:pt>
                <c:pt idx="193">
                  <c:v>IEX</c:v>
                </c:pt>
                <c:pt idx="194">
                  <c:v>JKHY</c:v>
                </c:pt>
                <c:pt idx="195">
                  <c:v>ENPH</c:v>
                </c:pt>
                <c:pt idx="196">
                  <c:v>MTCH</c:v>
                </c:pt>
                <c:pt idx="197">
                  <c:v>FMC</c:v>
                </c:pt>
                <c:pt idx="198">
                  <c:v>SNAP</c:v>
                </c:pt>
                <c:pt idx="199">
                  <c:v>VRNS</c:v>
                </c:pt>
                <c:pt idx="200">
                  <c:v>INTA</c:v>
                </c:pt>
                <c:pt idx="201">
                  <c:v>DIS</c:v>
                </c:pt>
                <c:pt idx="202">
                  <c:v>UBER</c:v>
                </c:pt>
                <c:pt idx="203">
                  <c:v>BSX</c:v>
                </c:pt>
                <c:pt idx="204">
                  <c:v>FI</c:v>
                </c:pt>
                <c:pt idx="205">
                  <c:v>ITW</c:v>
                </c:pt>
                <c:pt idx="206">
                  <c:v>EMR</c:v>
                </c:pt>
                <c:pt idx="207">
                  <c:v>JCI</c:v>
                </c:pt>
                <c:pt idx="208">
                  <c:v>COR</c:v>
                </c:pt>
                <c:pt idx="209">
                  <c:v>TROW</c:v>
                </c:pt>
                <c:pt idx="210">
                  <c:v>CDW</c:v>
                </c:pt>
                <c:pt idx="211">
                  <c:v>SWK</c:v>
                </c:pt>
                <c:pt idx="212">
                  <c:v>BG</c:v>
                </c:pt>
                <c:pt idx="213">
                  <c:v>DAY</c:v>
                </c:pt>
                <c:pt idx="214">
                  <c:v>TECH</c:v>
                </c:pt>
                <c:pt idx="215">
                  <c:v>QCOM</c:v>
                </c:pt>
                <c:pt idx="216">
                  <c:v>MCK</c:v>
                </c:pt>
                <c:pt idx="217">
                  <c:v>AFL</c:v>
                </c:pt>
                <c:pt idx="218">
                  <c:v>MET</c:v>
                </c:pt>
                <c:pt idx="219">
                  <c:v>ALL</c:v>
                </c:pt>
                <c:pt idx="220">
                  <c:v>F</c:v>
                </c:pt>
                <c:pt idx="221">
                  <c:v>CTVA</c:v>
                </c:pt>
                <c:pt idx="222">
                  <c:v>CTSH</c:v>
                </c:pt>
                <c:pt idx="223">
                  <c:v>CPAY</c:v>
                </c:pt>
                <c:pt idx="224">
                  <c:v>PTC</c:v>
                </c:pt>
                <c:pt idx="225">
                  <c:v>STE</c:v>
                </c:pt>
                <c:pt idx="226">
                  <c:v>HOLX</c:v>
                </c:pt>
                <c:pt idx="227">
                  <c:v>NWS</c:v>
                </c:pt>
                <c:pt idx="228">
                  <c:v>MOH</c:v>
                </c:pt>
                <c:pt idx="229">
                  <c:v>ALGN</c:v>
                </c:pt>
                <c:pt idx="230">
                  <c:v>SWKS</c:v>
                </c:pt>
                <c:pt idx="231">
                  <c:v>GL</c:v>
                </c:pt>
                <c:pt idx="232">
                  <c:v>MSTR</c:v>
                </c:pt>
                <c:pt idx="233">
                  <c:v>TENB</c:v>
                </c:pt>
                <c:pt idx="234">
                  <c:v>LLY</c:v>
                </c:pt>
                <c:pt idx="235">
                  <c:v>LIN</c:v>
                </c:pt>
                <c:pt idx="236">
                  <c:v>PM</c:v>
                </c:pt>
                <c:pt idx="237">
                  <c:v>HON</c:v>
                </c:pt>
                <c:pt idx="238">
                  <c:v>COP</c:v>
                </c:pt>
                <c:pt idx="239">
                  <c:v>BMY</c:v>
                </c:pt>
                <c:pt idx="240">
                  <c:v>ICE</c:v>
                </c:pt>
                <c:pt idx="241">
                  <c:v>APD</c:v>
                </c:pt>
                <c:pt idx="242">
                  <c:v>BDX</c:v>
                </c:pt>
                <c:pt idx="243">
                  <c:v>HLT</c:v>
                </c:pt>
                <c:pt idx="244">
                  <c:v>KVUE</c:v>
                </c:pt>
                <c:pt idx="245">
                  <c:v>YUM</c:v>
                </c:pt>
                <c:pt idx="246">
                  <c:v>HSY</c:v>
                </c:pt>
                <c:pt idx="247">
                  <c:v>IQV</c:v>
                </c:pt>
                <c:pt idx="248">
                  <c:v>ROK</c:v>
                </c:pt>
                <c:pt idx="249">
                  <c:v>EFX</c:v>
                </c:pt>
                <c:pt idx="250">
                  <c:v>ZBH</c:v>
                </c:pt>
                <c:pt idx="251">
                  <c:v>LH</c:v>
                </c:pt>
                <c:pt idx="252">
                  <c:v>SNA</c:v>
                </c:pt>
                <c:pt idx="253">
                  <c:v>TPR</c:v>
                </c:pt>
                <c:pt idx="254">
                  <c:v>RL</c:v>
                </c:pt>
                <c:pt idx="255">
                  <c:v>APTV</c:v>
                </c:pt>
                <c:pt idx="256">
                  <c:v>MKTX</c:v>
                </c:pt>
                <c:pt idx="257">
                  <c:v>HII</c:v>
                </c:pt>
                <c:pt idx="258">
                  <c:v>BWA</c:v>
                </c:pt>
                <c:pt idx="259">
                  <c:v>AMZN</c:v>
                </c:pt>
                <c:pt idx="260">
                  <c:v>FTNT</c:v>
                </c:pt>
                <c:pt idx="261">
                  <c:v>MCHP</c:v>
                </c:pt>
                <c:pt idx="262">
                  <c:v>TTWO</c:v>
                </c:pt>
                <c:pt idx="263">
                  <c:v>MPWR</c:v>
                </c:pt>
                <c:pt idx="264">
                  <c:v>MTD</c:v>
                </c:pt>
                <c:pt idx="265">
                  <c:v>EXPE</c:v>
                </c:pt>
                <c:pt idx="266">
                  <c:v>PFG</c:v>
                </c:pt>
                <c:pt idx="267">
                  <c:v>VRSN</c:v>
                </c:pt>
                <c:pt idx="268">
                  <c:v>MHK</c:v>
                </c:pt>
                <c:pt idx="269">
                  <c:v>FTV</c:v>
                </c:pt>
                <c:pt idx="270">
                  <c:v>MCD</c:v>
                </c:pt>
                <c:pt idx="271">
                  <c:v>ON</c:v>
                </c:pt>
                <c:pt idx="272">
                  <c:v>L</c:v>
                </c:pt>
                <c:pt idx="273">
                  <c:v>INCY</c:v>
                </c:pt>
                <c:pt idx="274">
                  <c:v>ACGL</c:v>
                </c:pt>
                <c:pt idx="275">
                  <c:v>CINF</c:v>
                </c:pt>
                <c:pt idx="276">
                  <c:v>KO</c:v>
                </c:pt>
                <c:pt idx="277">
                  <c:v>SPGI</c:v>
                </c:pt>
                <c:pt idx="278">
                  <c:v>MAR</c:v>
                </c:pt>
                <c:pt idx="279">
                  <c:v>ECL</c:v>
                </c:pt>
                <c:pt idx="280">
                  <c:v>CARR</c:v>
                </c:pt>
                <c:pt idx="281">
                  <c:v>FIS</c:v>
                </c:pt>
                <c:pt idx="282">
                  <c:v>HUM</c:v>
                </c:pt>
                <c:pt idx="283">
                  <c:v>DD</c:v>
                </c:pt>
                <c:pt idx="284">
                  <c:v>LDOS</c:v>
                </c:pt>
                <c:pt idx="285">
                  <c:v>MAS</c:v>
                </c:pt>
                <c:pt idx="286">
                  <c:v>GILD</c:v>
                </c:pt>
                <c:pt idx="287">
                  <c:v>AIG</c:v>
                </c:pt>
                <c:pt idx="288">
                  <c:v>EW</c:v>
                </c:pt>
                <c:pt idx="289">
                  <c:v>AIZ</c:v>
                </c:pt>
                <c:pt idx="290">
                  <c:v>CFLT</c:v>
                </c:pt>
                <c:pt idx="291">
                  <c:v>FRSH</c:v>
                </c:pt>
                <c:pt idx="292">
                  <c:v>CME</c:v>
                </c:pt>
                <c:pt idx="293">
                  <c:v>CVS</c:v>
                </c:pt>
                <c:pt idx="294">
                  <c:v>IPG</c:v>
                </c:pt>
                <c:pt idx="295">
                  <c:v>KHC</c:v>
                </c:pt>
                <c:pt idx="296">
                  <c:v>MLM</c:v>
                </c:pt>
                <c:pt idx="297">
                  <c:v>WAB</c:v>
                </c:pt>
                <c:pt idx="298">
                  <c:v>SW</c:v>
                </c:pt>
                <c:pt idx="299">
                  <c:v>BIIB</c:v>
                </c:pt>
                <c:pt idx="300">
                  <c:v>WAT</c:v>
                </c:pt>
                <c:pt idx="301">
                  <c:v>GNRC</c:v>
                </c:pt>
                <c:pt idx="302">
                  <c:v>CSCO</c:v>
                </c:pt>
                <c:pt idx="303">
                  <c:v>WMB</c:v>
                </c:pt>
                <c:pt idx="304">
                  <c:v>ROL</c:v>
                </c:pt>
                <c:pt idx="305">
                  <c:v>ALB</c:v>
                </c:pt>
                <c:pt idx="306">
                  <c:v>PAYC</c:v>
                </c:pt>
                <c:pt idx="307">
                  <c:v>MGM</c:v>
                </c:pt>
                <c:pt idx="308">
                  <c:v>APP</c:v>
                </c:pt>
                <c:pt idx="309">
                  <c:v>MCO</c:v>
                </c:pt>
                <c:pt idx="310">
                  <c:v>DE</c:v>
                </c:pt>
                <c:pt idx="311">
                  <c:v>ZTS</c:v>
                </c:pt>
                <c:pt idx="312">
                  <c:v>HWM</c:v>
                </c:pt>
                <c:pt idx="313">
                  <c:v>GEHC</c:v>
                </c:pt>
                <c:pt idx="314">
                  <c:v>GPN</c:v>
                </c:pt>
                <c:pt idx="315">
                  <c:v>WST</c:v>
                </c:pt>
                <c:pt idx="316">
                  <c:v>ZBRA</c:v>
                </c:pt>
                <c:pt idx="317">
                  <c:v>TAP</c:v>
                </c:pt>
                <c:pt idx="318">
                  <c:v>DDOG</c:v>
                </c:pt>
                <c:pt idx="319">
                  <c:v>MSI</c:v>
                </c:pt>
                <c:pt idx="320">
                  <c:v>ABNB</c:v>
                </c:pt>
                <c:pt idx="321">
                  <c:v>AMAT</c:v>
                </c:pt>
                <c:pt idx="322">
                  <c:v>RSG</c:v>
                </c:pt>
                <c:pt idx="323">
                  <c:v>IR</c:v>
                </c:pt>
                <c:pt idx="324">
                  <c:v>DXCM</c:v>
                </c:pt>
                <c:pt idx="325">
                  <c:v>GDDY</c:v>
                </c:pt>
                <c:pt idx="326">
                  <c:v>DVA</c:v>
                </c:pt>
                <c:pt idx="327">
                  <c:v>WYNN</c:v>
                </c:pt>
                <c:pt idx="328">
                  <c:v>PANW</c:v>
                </c:pt>
                <c:pt idx="329">
                  <c:v>PCOR</c:v>
                </c:pt>
                <c:pt idx="330">
                  <c:v>MRNA</c:v>
                </c:pt>
                <c:pt idx="331">
                  <c:v>GPC</c:v>
                </c:pt>
                <c:pt idx="332">
                  <c:v>MDT</c:v>
                </c:pt>
                <c:pt idx="333">
                  <c:v>VMC</c:v>
                </c:pt>
                <c:pt idx="334">
                  <c:v>EXPD</c:v>
                </c:pt>
                <c:pt idx="335">
                  <c:v>ALLE</c:v>
                </c:pt>
                <c:pt idx="336">
                  <c:v>ANET</c:v>
                </c:pt>
                <c:pt idx="337">
                  <c:v>CDNS</c:v>
                </c:pt>
                <c:pt idx="338">
                  <c:v>EQT</c:v>
                </c:pt>
                <c:pt idx="339">
                  <c:v>IFF</c:v>
                </c:pt>
                <c:pt idx="340">
                  <c:v>CE</c:v>
                </c:pt>
                <c:pt idx="341">
                  <c:v>CRL</c:v>
                </c:pt>
                <c:pt idx="342">
                  <c:v>TRMB</c:v>
                </c:pt>
                <c:pt idx="343">
                  <c:v>ADI</c:v>
                </c:pt>
                <c:pt idx="344">
                  <c:v>GRMN</c:v>
                </c:pt>
                <c:pt idx="345">
                  <c:v>CF</c:v>
                </c:pt>
                <c:pt idx="346">
                  <c:v>NDSN</c:v>
                </c:pt>
                <c:pt idx="347">
                  <c:v>CWAN</c:v>
                </c:pt>
                <c:pt idx="348">
                  <c:v>KVYO</c:v>
                </c:pt>
                <c:pt idx="349">
                  <c:v>BAX</c:v>
                </c:pt>
                <c:pt idx="350">
                  <c:v>WMT</c:v>
                </c:pt>
                <c:pt idx="351">
                  <c:v>PWR</c:v>
                </c:pt>
                <c:pt idx="352">
                  <c:v>TRGP</c:v>
                </c:pt>
                <c:pt idx="353">
                  <c:v>BLDR</c:v>
                </c:pt>
                <c:pt idx="354">
                  <c:v>POOL</c:v>
                </c:pt>
                <c:pt idx="355">
                  <c:v>EPAM</c:v>
                </c:pt>
                <c:pt idx="356">
                  <c:v>LKQ</c:v>
                </c:pt>
                <c:pt idx="357">
                  <c:v>HAS</c:v>
                </c:pt>
                <c:pt idx="358">
                  <c:v>U</c:v>
                </c:pt>
                <c:pt idx="359">
                  <c:v>LYV</c:v>
                </c:pt>
                <c:pt idx="360">
                  <c:v>PODD</c:v>
                </c:pt>
                <c:pt idx="361">
                  <c:v>AKAM</c:v>
                </c:pt>
                <c:pt idx="362">
                  <c:v>DBX</c:v>
                </c:pt>
                <c:pt idx="363">
                  <c:v>CPRT</c:v>
                </c:pt>
                <c:pt idx="364">
                  <c:v>HD</c:v>
                </c:pt>
                <c:pt idx="365">
                  <c:v>KDP</c:v>
                </c:pt>
                <c:pt idx="366">
                  <c:v>NCLH</c:v>
                </c:pt>
                <c:pt idx="367">
                  <c:v>HSIC</c:v>
                </c:pt>
                <c:pt idx="368">
                  <c:v>INTU</c:v>
                </c:pt>
                <c:pt idx="369">
                  <c:v>AXON</c:v>
                </c:pt>
                <c:pt idx="370">
                  <c:v>FSLR</c:v>
                </c:pt>
                <c:pt idx="371">
                  <c:v>CZR</c:v>
                </c:pt>
                <c:pt idx="372">
                  <c:v>ZETA</c:v>
                </c:pt>
                <c:pt idx="373">
                  <c:v>VRSK</c:v>
                </c:pt>
                <c:pt idx="374">
                  <c:v>LOW</c:v>
                </c:pt>
                <c:pt idx="375">
                  <c:v>TJX</c:v>
                </c:pt>
                <c:pt idx="376">
                  <c:v>NTNX</c:v>
                </c:pt>
                <c:pt idx="377">
                  <c:v>PARA</c:v>
                </c:pt>
                <c:pt idx="378">
                  <c:v>SNPS</c:v>
                </c:pt>
                <c:pt idx="379">
                  <c:v>NVDA</c:v>
                </c:pt>
                <c:pt idx="380">
                  <c:v>CRM</c:v>
                </c:pt>
                <c:pt idx="381">
                  <c:v>A</c:v>
                </c:pt>
                <c:pt idx="382">
                  <c:v>EBAY</c:v>
                </c:pt>
                <c:pt idx="383">
                  <c:v>UHS</c:v>
                </c:pt>
                <c:pt idx="384">
                  <c:v>AI</c:v>
                </c:pt>
                <c:pt idx="385">
                  <c:v>SJM</c:v>
                </c:pt>
                <c:pt idx="386">
                  <c:v>VTRS</c:v>
                </c:pt>
                <c:pt idx="387">
                  <c:v>WBD</c:v>
                </c:pt>
                <c:pt idx="388">
                  <c:v>HRL</c:v>
                </c:pt>
                <c:pt idx="389">
                  <c:v>MOS</c:v>
                </c:pt>
                <c:pt idx="390">
                  <c:v>DELL</c:v>
                </c:pt>
                <c:pt idx="391">
                  <c:v>ADSK</c:v>
                </c:pt>
                <c:pt idx="392">
                  <c:v>HPQ</c:v>
                </c:pt>
                <c:pt idx="393">
                  <c:v>NTAP</c:v>
                </c:pt>
                <c:pt idx="394">
                  <c:v>ERIE</c:v>
                </c:pt>
                <c:pt idx="395">
                  <c:v>SOLV</c:v>
                </c:pt>
                <c:pt idx="396">
                  <c:v>ESTC</c:v>
                </c:pt>
                <c:pt idx="397">
                  <c:v>MNST</c:v>
                </c:pt>
                <c:pt idx="398">
                  <c:v>GTLB</c:v>
                </c:pt>
                <c:pt idx="399">
                  <c:v>GCT</c:v>
                </c:pt>
                <c:pt idx="400">
                  <c:v>ASTS</c:v>
                </c:pt>
                <c:pt idx="401">
                  <c:v>BBY</c:v>
                </c:pt>
                <c:pt idx="402">
                  <c:v>TGT</c:v>
                </c:pt>
                <c:pt idx="403">
                  <c:v>BOX</c:v>
                </c:pt>
                <c:pt idx="404">
                  <c:v>CRWD</c:v>
                </c:pt>
                <c:pt idx="405">
                  <c:v>ROST</c:v>
                </c:pt>
                <c:pt idx="406">
                  <c:v>FL</c:v>
                </c:pt>
                <c:pt idx="407">
                  <c:v>ANF</c:v>
                </c:pt>
                <c:pt idx="408">
                  <c:v>REVG</c:v>
                </c:pt>
                <c:pt idx="409">
                  <c:v>CPB</c:v>
                </c:pt>
                <c:pt idx="410">
                  <c:v>VSCO</c:v>
                </c:pt>
                <c:pt idx="411">
                  <c:v>MEI</c:v>
                </c:pt>
                <c:pt idx="412">
                  <c:v>ZS</c:v>
                </c:pt>
                <c:pt idx="413">
                  <c:v>M</c:v>
                </c:pt>
                <c:pt idx="414">
                  <c:v>BURL</c:v>
                </c:pt>
                <c:pt idx="415">
                  <c:v>BJ</c:v>
                </c:pt>
                <c:pt idx="416">
                  <c:v>TTC</c:v>
                </c:pt>
                <c:pt idx="417">
                  <c:v>GAP</c:v>
                </c:pt>
                <c:pt idx="418">
                  <c:v>AVGO</c:v>
                </c:pt>
                <c:pt idx="419">
                  <c:v>COST</c:v>
                </c:pt>
                <c:pt idx="420">
                  <c:v>HPE</c:v>
                </c:pt>
                <c:pt idx="421">
                  <c:v>COO</c:v>
                </c:pt>
                <c:pt idx="422">
                  <c:v>ASAN</c:v>
                </c:pt>
                <c:pt idx="423">
                  <c:v>ORCL</c:v>
                </c:pt>
                <c:pt idx="424">
                  <c:v>DKS</c:v>
                </c:pt>
                <c:pt idx="425">
                  <c:v>CIEN</c:v>
                </c:pt>
                <c:pt idx="426">
                  <c:v>AEO</c:v>
                </c:pt>
                <c:pt idx="427">
                  <c:v>ADBE</c:v>
                </c:pt>
                <c:pt idx="428">
                  <c:v>S</c:v>
                </c:pt>
                <c:pt idx="429">
                  <c:v>PATH</c:v>
                </c:pt>
                <c:pt idx="430">
                  <c:v>DG</c:v>
                </c:pt>
                <c:pt idx="431">
                  <c:v>DOCU</c:v>
                </c:pt>
                <c:pt idx="432">
                  <c:v>ULTA</c:v>
                </c:pt>
                <c:pt idx="433">
                  <c:v>SMTC</c:v>
                </c:pt>
                <c:pt idx="434">
                  <c:v>KODK</c:v>
                </c:pt>
                <c:pt idx="435">
                  <c:v>HQY</c:v>
                </c:pt>
                <c:pt idx="436">
                  <c:v>WSM</c:v>
                </c:pt>
                <c:pt idx="437">
                  <c:v>OLLI</c:v>
                </c:pt>
                <c:pt idx="438">
                  <c:v>GIS</c:v>
                </c:pt>
                <c:pt idx="439">
                  <c:v>MU</c:v>
                </c:pt>
                <c:pt idx="440">
                  <c:v>NKE</c:v>
                </c:pt>
                <c:pt idx="441">
                  <c:v>LEN</c:v>
                </c:pt>
                <c:pt idx="442">
                  <c:v>CCL</c:v>
                </c:pt>
                <c:pt idx="443">
                  <c:v>CHWY</c:v>
                </c:pt>
                <c:pt idx="444">
                  <c:v>DLTR</c:v>
                </c:pt>
              </c:strCache>
            </c:strRef>
          </c:cat>
          <c:val>
            <c:numRef>
              <c:f>'2025-Q1'!$HF$4:$HF$448</c:f>
              <c:numCache>
                <c:formatCode>"$"#,##0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0</c:v>
                </c:pt>
                <c:pt idx="59">
                  <c:v>-1.5200000000000387</c:v>
                </c:pt>
                <c:pt idx="60">
                  <c:v>8.2099999999999227</c:v>
                </c:pt>
                <c:pt idx="61">
                  <c:v>26.059999999999945</c:v>
                </c:pt>
                <c:pt idx="62">
                  <c:v>51.459999999999923</c:v>
                </c:pt>
                <c:pt idx="63">
                  <c:v>64.739999999999952</c:v>
                </c:pt>
                <c:pt idx="64">
                  <c:v>84.099999999999966</c:v>
                </c:pt>
                <c:pt idx="65">
                  <c:v>54.349999999999966</c:v>
                </c:pt>
                <c:pt idx="66">
                  <c:v>38.829999999999984</c:v>
                </c:pt>
                <c:pt idx="67">
                  <c:v>39.31</c:v>
                </c:pt>
                <c:pt idx="68">
                  <c:v>24.009999999999991</c:v>
                </c:pt>
                <c:pt idx="69">
                  <c:v>3.8500000000000227</c:v>
                </c:pt>
                <c:pt idx="70">
                  <c:v>27.769999999999982</c:v>
                </c:pt>
                <c:pt idx="71">
                  <c:v>23.689999999999998</c:v>
                </c:pt>
                <c:pt idx="72">
                  <c:v>20.129999999999995</c:v>
                </c:pt>
                <c:pt idx="73">
                  <c:v>34.29000000000002</c:v>
                </c:pt>
                <c:pt idx="74">
                  <c:v>-8.4099999999999682</c:v>
                </c:pt>
                <c:pt idx="75">
                  <c:v>36.230000000000018</c:v>
                </c:pt>
                <c:pt idx="76">
                  <c:v>64.250000000000057</c:v>
                </c:pt>
                <c:pt idx="77">
                  <c:v>16.03000000000003</c:v>
                </c:pt>
                <c:pt idx="78">
                  <c:v>18.730000000000018</c:v>
                </c:pt>
                <c:pt idx="79">
                  <c:v>23.25</c:v>
                </c:pt>
                <c:pt idx="80">
                  <c:v>45.490000000000009</c:v>
                </c:pt>
                <c:pt idx="81">
                  <c:v>54.330000000000041</c:v>
                </c:pt>
                <c:pt idx="82">
                  <c:v>57.030000000000086</c:v>
                </c:pt>
                <c:pt idx="83">
                  <c:v>57.36000000000007</c:v>
                </c:pt>
                <c:pt idx="84">
                  <c:v>45.920000000000073</c:v>
                </c:pt>
                <c:pt idx="85">
                  <c:v>41.040000000000077</c:v>
                </c:pt>
                <c:pt idx="86">
                  <c:v>16.790000000000077</c:v>
                </c:pt>
                <c:pt idx="87">
                  <c:v>#N/A</c:v>
                </c:pt>
                <c:pt idx="88">
                  <c:v>#N/A</c:v>
                </c:pt>
                <c:pt idx="89">
                  <c:v>59.530000000000086</c:v>
                </c:pt>
                <c:pt idx="90">
                  <c:v>83.330000000000041</c:v>
                </c:pt>
                <c:pt idx="91">
                  <c:v>95.910000000000025</c:v>
                </c:pt>
                <c:pt idx="92">
                  <c:v>96.579999999999984</c:v>
                </c:pt>
                <c:pt idx="93">
                  <c:v>#N/A</c:v>
                </c:pt>
                <c:pt idx="94">
                  <c:v>59.949999999999989</c:v>
                </c:pt>
                <c:pt idx="95">
                  <c:v>56.169999999999959</c:v>
                </c:pt>
                <c:pt idx="96">
                  <c:v>78.07000000000005</c:v>
                </c:pt>
                <c:pt idx="97">
                  <c:v>17.920000000000073</c:v>
                </c:pt>
                <c:pt idx="98">
                  <c:v>-15.399999999999977</c:v>
                </c:pt>
                <c:pt idx="99">
                  <c:v>#N/A</c:v>
                </c:pt>
                <c:pt idx="100">
                  <c:v>-9.1999999999999318</c:v>
                </c:pt>
                <c:pt idx="101">
                  <c:v>-1.3399999999999181</c:v>
                </c:pt>
                <c:pt idx="102">
                  <c:v>#N/A</c:v>
                </c:pt>
                <c:pt idx="103">
                  <c:v>-21.069999999999936</c:v>
                </c:pt>
                <c:pt idx="104">
                  <c:v>8.3300000000000409</c:v>
                </c:pt>
                <c:pt idx="105">
                  <c:v>-38.269999999999982</c:v>
                </c:pt>
                <c:pt idx="106">
                  <c:v>-32.490000000000009</c:v>
                </c:pt>
                <c:pt idx="107">
                  <c:v>-45.769999999999982</c:v>
                </c:pt>
                <c:pt idx="108">
                  <c:v>-43.850000000000023</c:v>
                </c:pt>
                <c:pt idx="109">
                  <c:v>#N/A</c:v>
                </c:pt>
                <c:pt idx="110">
                  <c:v>-13.520000000000039</c:v>
                </c:pt>
                <c:pt idx="111">
                  <c:v>#N/A</c:v>
                </c:pt>
                <c:pt idx="112">
                  <c:v>#N/A</c:v>
                </c:pt>
                <c:pt idx="113">
                  <c:v>9.4499999999999886</c:v>
                </c:pt>
                <c:pt idx="114">
                  <c:v>18.549999999999955</c:v>
                </c:pt>
                <c:pt idx="115">
                  <c:v>31.779999999999973</c:v>
                </c:pt>
                <c:pt idx="116">
                  <c:v>48.279999999999973</c:v>
                </c:pt>
                <c:pt idx="117">
                  <c:v>#N/A</c:v>
                </c:pt>
                <c:pt idx="118">
                  <c:v>26.559999999999945</c:v>
                </c:pt>
                <c:pt idx="119">
                  <c:v>51.839999999999918</c:v>
                </c:pt>
                <c:pt idx="120">
                  <c:v>38.279999999999916</c:v>
                </c:pt>
                <c:pt idx="121">
                  <c:v>17.560000000000002</c:v>
                </c:pt>
                <c:pt idx="122">
                  <c:v>#N/A</c:v>
                </c:pt>
                <c:pt idx="123">
                  <c:v>16.240000000000009</c:v>
                </c:pt>
                <c:pt idx="124">
                  <c:v>29.839999999999975</c:v>
                </c:pt>
                <c:pt idx="125">
                  <c:v>41.659999999999968</c:v>
                </c:pt>
                <c:pt idx="126">
                  <c:v>#N/A</c:v>
                </c:pt>
                <c:pt idx="127">
                  <c:v>#N/A</c:v>
                </c:pt>
                <c:pt idx="128">
                  <c:v>48.609999999999957</c:v>
                </c:pt>
                <c:pt idx="129">
                  <c:v>48.609999999999957</c:v>
                </c:pt>
                <c:pt idx="130">
                  <c:v>65.109999999999957</c:v>
                </c:pt>
                <c:pt idx="131">
                  <c:v>63.449999999999989</c:v>
                </c:pt>
                <c:pt idx="132">
                  <c:v>76.049999999999955</c:v>
                </c:pt>
                <c:pt idx="133">
                  <c:v>78.349999999999966</c:v>
                </c:pt>
                <c:pt idx="134">
                  <c:v>45.709999999999923</c:v>
                </c:pt>
                <c:pt idx="135">
                  <c:v>63.979999999999905</c:v>
                </c:pt>
                <c:pt idx="136">
                  <c:v>9.7599999999998772</c:v>
                </c:pt>
                <c:pt idx="137">
                  <c:v>-8.3000000000001251</c:v>
                </c:pt>
                <c:pt idx="138">
                  <c:v>-9.2800000000000864</c:v>
                </c:pt>
                <c:pt idx="139">
                  <c:v>-42.320000000000107</c:v>
                </c:pt>
                <c:pt idx="140">
                  <c:v>#N/A</c:v>
                </c:pt>
                <c:pt idx="141">
                  <c:v>#N/A</c:v>
                </c:pt>
                <c:pt idx="142">
                  <c:v>-44.360000000000127</c:v>
                </c:pt>
                <c:pt idx="143">
                  <c:v>-69.060000000000116</c:v>
                </c:pt>
                <c:pt idx="144">
                  <c:v>-79.260000000000105</c:v>
                </c:pt>
                <c:pt idx="145">
                  <c:v>-85.300000000000125</c:v>
                </c:pt>
                <c:pt idx="146">
                  <c:v>-86.400000000000091</c:v>
                </c:pt>
                <c:pt idx="147">
                  <c:v>-64.560000000000116</c:v>
                </c:pt>
                <c:pt idx="148">
                  <c:v>-88.360000000000127</c:v>
                </c:pt>
                <c:pt idx="149">
                  <c:v>#N/A</c:v>
                </c:pt>
                <c:pt idx="150">
                  <c:v>-85.720000000000141</c:v>
                </c:pt>
                <c:pt idx="151">
                  <c:v>-91.600000000000136</c:v>
                </c:pt>
                <c:pt idx="152">
                  <c:v>-101.92000000000013</c:v>
                </c:pt>
                <c:pt idx="153">
                  <c:v>-118.10000000000014</c:v>
                </c:pt>
                <c:pt idx="154">
                  <c:v>-122.21000000000015</c:v>
                </c:pt>
                <c:pt idx="155">
                  <c:v>-141.01000000000016</c:v>
                </c:pt>
                <c:pt idx="156">
                  <c:v>-97.700000000000159</c:v>
                </c:pt>
                <c:pt idx="157">
                  <c:v>-104.77000000000015</c:v>
                </c:pt>
                <c:pt idx="158">
                  <c:v>-9.470000000000141</c:v>
                </c:pt>
                <c:pt idx="159">
                  <c:v>-18.830000000000155</c:v>
                </c:pt>
                <c:pt idx="160">
                  <c:v>-36.170000000000186</c:v>
                </c:pt>
                <c:pt idx="161">
                  <c:v>-40.540000000000191</c:v>
                </c:pt>
                <c:pt idx="162">
                  <c:v>-83.340000000000146</c:v>
                </c:pt>
                <c:pt idx="163">
                  <c:v>-70.830000000000041</c:v>
                </c:pt>
                <c:pt idx="164">
                  <c:v>-72.330000000000041</c:v>
                </c:pt>
                <c:pt idx="165">
                  <c:v>-76.38</c:v>
                </c:pt>
                <c:pt idx="166">
                  <c:v>-112.68</c:v>
                </c:pt>
                <c:pt idx="167">
                  <c:v>-95.829999999999984</c:v>
                </c:pt>
                <c:pt idx="168">
                  <c:v>-95.890000000000043</c:v>
                </c:pt>
                <c:pt idx="169">
                  <c:v>-84.100000000000023</c:v>
                </c:pt>
                <c:pt idx="170">
                  <c:v>-98.360000000000014</c:v>
                </c:pt>
                <c:pt idx="171">
                  <c:v>-69.939999999999941</c:v>
                </c:pt>
                <c:pt idx="172">
                  <c:v>-88.559999999999945</c:v>
                </c:pt>
                <c:pt idx="173">
                  <c:v>-114.4799999999999</c:v>
                </c:pt>
                <c:pt idx="174">
                  <c:v>-100.2299999999999</c:v>
                </c:pt>
                <c:pt idx="175">
                  <c:v>-88.069999999999879</c:v>
                </c:pt>
                <c:pt idx="176">
                  <c:v>-83.049999999999898</c:v>
                </c:pt>
                <c:pt idx="177">
                  <c:v>-48.999999999999886</c:v>
                </c:pt>
                <c:pt idx="178">
                  <c:v>-20.379999999999882</c:v>
                </c:pt>
                <c:pt idx="179">
                  <c:v>4.8200000000001069</c:v>
                </c:pt>
                <c:pt idx="180">
                  <c:v>-7.4999999999998863</c:v>
                </c:pt>
                <c:pt idx="181">
                  <c:v>-2.4599999999999227</c:v>
                </c:pt>
                <c:pt idx="182">
                  <c:v>-22.619999999999834</c:v>
                </c:pt>
                <c:pt idx="183">
                  <c:v>#N/A</c:v>
                </c:pt>
                <c:pt idx="184">
                  <c:v>13.200000000000159</c:v>
                </c:pt>
                <c:pt idx="185">
                  <c:v>11.530000000000143</c:v>
                </c:pt>
                <c:pt idx="186">
                  <c:v>24.620000000000118</c:v>
                </c:pt>
                <c:pt idx="187">
                  <c:v>3.480000000000075</c:v>
                </c:pt>
                <c:pt idx="188">
                  <c:v>#N/A</c:v>
                </c:pt>
                <c:pt idx="189">
                  <c:v>12.810000000000116</c:v>
                </c:pt>
                <c:pt idx="191">
                  <c:v>13.970000000000141</c:v>
                </c:pt>
                <c:pt idx="192">
                  <c:v>12.820000000000164</c:v>
                </c:pt>
                <c:pt idx="193">
                  <c:v>35.860000000000184</c:v>
                </c:pt>
                <c:pt idx="194">
                  <c:v>36.040000000000134</c:v>
                </c:pt>
                <c:pt idx="195">
                  <c:v>22.455094339622804</c:v>
                </c:pt>
                <c:pt idx="196">
                  <c:v>5.4454921448353844</c:v>
                </c:pt>
                <c:pt idx="197">
                  <c:v>82.935492144835393</c:v>
                </c:pt>
                <c:pt idx="198">
                  <c:v>#N/A</c:v>
                </c:pt>
                <c:pt idx="199">
                  <c:v>#N/A</c:v>
                </c:pt>
                <c:pt idx="200">
                  <c:v>#N/A</c:v>
                </c:pt>
                <c:pt idx="201">
                  <c:v>92.855492144835409</c:v>
                </c:pt>
                <c:pt idx="202">
                  <c:v>73.355492144835409</c:v>
                </c:pt>
                <c:pt idx="203">
                  <c:v>75.755492144835443</c:v>
                </c:pt>
                <c:pt idx="204">
                  <c:v>#N/A</c:v>
                </c:pt>
                <c:pt idx="205">
                  <c:v>89.115492144835457</c:v>
                </c:pt>
                <c:pt idx="206">
                  <c:v>93.795492144835464</c:v>
                </c:pt>
                <c:pt idx="207">
                  <c:v>40.395492144835487</c:v>
                </c:pt>
                <c:pt idx="208">
                  <c:v>34.875492144835448</c:v>
                </c:pt>
                <c:pt idx="209">
                  <c:v>26.175492144835516</c:v>
                </c:pt>
                <c:pt idx="210">
                  <c:v>73.47156919911464</c:v>
                </c:pt>
                <c:pt idx="211">
                  <c:v>88.821569199114549</c:v>
                </c:pt>
                <c:pt idx="212">
                  <c:v>106.87156919911456</c:v>
                </c:pt>
                <c:pt idx="213">
                  <c:v>135.13156919911449</c:v>
                </c:pt>
                <c:pt idx="214">
                  <c:v>94.751569199114442</c:v>
                </c:pt>
                <c:pt idx="215">
                  <c:v>110.47156919911447</c:v>
                </c:pt>
                <c:pt idx="216">
                  <c:v>#N/A</c:v>
                </c:pt>
                <c:pt idx="217">
                  <c:v>114.51156919911449</c:v>
                </c:pt>
                <c:pt idx="218">
                  <c:v>126.36156919911451</c:v>
                </c:pt>
                <c:pt idx="219">
                  <c:v>124.38156919911449</c:v>
                </c:pt>
                <c:pt idx="220">
                  <c:v>140.76156919911449</c:v>
                </c:pt>
                <c:pt idx="221">
                  <c:v>141.84156919911447</c:v>
                </c:pt>
                <c:pt idx="222">
                  <c:v>146.9415691991145</c:v>
                </c:pt>
                <c:pt idx="223">
                  <c:v>156.3115691991145</c:v>
                </c:pt>
                <c:pt idx="224">
                  <c:v>142.3115691991145</c:v>
                </c:pt>
                <c:pt idx="225">
                  <c:v>141.05156919911451</c:v>
                </c:pt>
                <c:pt idx="226">
                  <c:v>169.85156919911446</c:v>
                </c:pt>
                <c:pt idx="227">
                  <c:v>192.34156919911447</c:v>
                </c:pt>
                <c:pt idx="228">
                  <c:v>224.04156919911446</c:v>
                </c:pt>
                <c:pt idx="229">
                  <c:v>201.84156919911447</c:v>
                </c:pt>
                <c:pt idx="230">
                  <c:v>323.79156919911446</c:v>
                </c:pt>
                <c:pt idx="231">
                  <c:v>#N/A</c:v>
                </c:pt>
                <c:pt idx="232">
                  <c:v>#N/A</c:v>
                </c:pt>
                <c:pt idx="233">
                  <c:v>#N/A</c:v>
                </c:pt>
                <c:pt idx="234">
                  <c:v>#N/A</c:v>
                </c:pt>
                <c:pt idx="235">
                  <c:v>327.26156919911443</c:v>
                </c:pt>
                <c:pt idx="236">
                  <c:v>367.61156919911451</c:v>
                </c:pt>
                <c:pt idx="237">
                  <c:v>382.3115691991145</c:v>
                </c:pt>
                <c:pt idx="238">
                  <c:v>#N/A</c:v>
                </c:pt>
                <c:pt idx="239">
                  <c:v>365.93156919911445</c:v>
                </c:pt>
                <c:pt idx="240">
                  <c:v>375.59156919911447</c:v>
                </c:pt>
                <c:pt idx="241">
                  <c:v>378.81156919911444</c:v>
                </c:pt>
                <c:pt idx="242">
                  <c:v>402.13156919911444</c:v>
                </c:pt>
                <c:pt idx="243">
                  <c:v>401.79156919911441</c:v>
                </c:pt>
                <c:pt idx="244">
                  <c:v>404.99156919911439</c:v>
                </c:pt>
                <c:pt idx="245">
                  <c:v>379.6715691991144</c:v>
                </c:pt>
                <c:pt idx="246">
                  <c:v>#N/A</c:v>
                </c:pt>
                <c:pt idx="247">
                  <c:v>356.5515691991144</c:v>
                </c:pt>
                <c:pt idx="248">
                  <c:v>354.78156919911441</c:v>
                </c:pt>
                <c:pt idx="249">
                  <c:v>369.48156919911446</c:v>
                </c:pt>
                <c:pt idx="250">
                  <c:v>380.72156919911447</c:v>
                </c:pt>
                <c:pt idx="251">
                  <c:v>374.74156919911451</c:v>
                </c:pt>
                <c:pt idx="252">
                  <c:v>#N/A</c:v>
                </c:pt>
                <c:pt idx="253">
                  <c:v>306.19156919911444</c:v>
                </c:pt>
                <c:pt idx="254">
                  <c:v>236.99156919911439</c:v>
                </c:pt>
                <c:pt idx="255">
                  <c:v>#N/A</c:v>
                </c:pt>
                <c:pt idx="256">
                  <c:v>#N/A</c:v>
                </c:pt>
                <c:pt idx="257">
                  <c:v>288.27156919911442</c:v>
                </c:pt>
                <c:pt idx="258">
                  <c:v>279.30156919911445</c:v>
                </c:pt>
                <c:pt idx="259">
                  <c:v>265.78156919911441</c:v>
                </c:pt>
                <c:pt idx="260">
                  <c:v>285.3015691991144</c:v>
                </c:pt>
                <c:pt idx="261">
                  <c:v>292.10156919911441</c:v>
                </c:pt>
                <c:pt idx="262">
                  <c:v>336.8615691991144</c:v>
                </c:pt>
                <c:pt idx="263">
                  <c:v>279.08156919911443</c:v>
                </c:pt>
                <c:pt idx="264">
                  <c:v>#N/A</c:v>
                </c:pt>
                <c:pt idx="265">
                  <c:v>234.78156919911441</c:v>
                </c:pt>
                <c:pt idx="266">
                  <c:v>220.23156919911446</c:v>
                </c:pt>
                <c:pt idx="267">
                  <c:v>215.19156919911444</c:v>
                </c:pt>
                <c:pt idx="268">
                  <c:v>203.07156919911444</c:v>
                </c:pt>
                <c:pt idx="269">
                  <c:v>206.37657921915451</c:v>
                </c:pt>
                <c:pt idx="270">
                  <c:v>246.22657921915442</c:v>
                </c:pt>
                <c:pt idx="271">
                  <c:v>253.72657921915442</c:v>
                </c:pt>
                <c:pt idx="272">
                  <c:v>238.76657921915461</c:v>
                </c:pt>
                <c:pt idx="273">
                  <c:v>216.36657921915474</c:v>
                </c:pt>
                <c:pt idx="274">
                  <c:v>247.72657921915464</c:v>
                </c:pt>
                <c:pt idx="275">
                  <c:v>198.99657921915463</c:v>
                </c:pt>
                <c:pt idx="276">
                  <c:v>266.61657921915474</c:v>
                </c:pt>
                <c:pt idx="277">
                  <c:v>340.71657921915488</c:v>
                </c:pt>
                <c:pt idx="278">
                  <c:v>275.06657921915479</c:v>
                </c:pt>
                <c:pt idx="279">
                  <c:v>404.78657921915504</c:v>
                </c:pt>
                <c:pt idx="280">
                  <c:v>439.9765792191551</c:v>
                </c:pt>
                <c:pt idx="281">
                  <c:v>234.23657921915532</c:v>
                </c:pt>
                <c:pt idx="282">
                  <c:v>202.07657921915546</c:v>
                </c:pt>
                <c:pt idx="283">
                  <c:v>131.6765792191556</c:v>
                </c:pt>
                <c:pt idx="284">
                  <c:v>93.176579219155599</c:v>
                </c:pt>
                <c:pt idx="285">
                  <c:v>107.23657921915554</c:v>
                </c:pt>
                <c:pt idx="286">
                  <c:v>200.99657921915554</c:v>
                </c:pt>
                <c:pt idx="287">
                  <c:v>187.19657921915535</c:v>
                </c:pt>
                <c:pt idx="288">
                  <c:v>252.08657921915545</c:v>
                </c:pt>
                <c:pt idx="289">
                  <c:v>239.48657921915532</c:v>
                </c:pt>
                <c:pt idx="290">
                  <c:v>381.58657921915523</c:v>
                </c:pt>
                <c:pt idx="291">
                  <c:v>457.18657921915536</c:v>
                </c:pt>
                <c:pt idx="292">
                  <c:v>481.90657921915539</c:v>
                </c:pt>
                <c:pt idx="293">
                  <c:v>643.0965792191555</c:v>
                </c:pt>
                <c:pt idx="294">
                  <c:v>654.09657921915573</c:v>
                </c:pt>
                <c:pt idx="295">
                  <c:v>754.05657921915554</c:v>
                </c:pt>
                <c:pt idx="296">
                  <c:v>661.17657921915566</c:v>
                </c:pt>
                <c:pt idx="297">
                  <c:v>548.33657921915551</c:v>
                </c:pt>
                <c:pt idx="298">
                  <c:v>473.29657921915555</c:v>
                </c:pt>
                <c:pt idx="299">
                  <c:v>538.85657921915549</c:v>
                </c:pt>
                <c:pt idx="300">
                  <c:v>471.05657921915531</c:v>
                </c:pt>
                <c:pt idx="301">
                  <c:v>443.00657921915558</c:v>
                </c:pt>
                <c:pt idx="302">
                  <c:v>539.39657921915546</c:v>
                </c:pt>
                <c:pt idx="303">
                  <c:v>489.89657921915568</c:v>
                </c:pt>
                <c:pt idx="304">
                  <c:v>505.40657921915567</c:v>
                </c:pt>
                <c:pt idx="305">
                  <c:v>432.80657921915531</c:v>
                </c:pt>
                <c:pt idx="306">
                  <c:v>502.80657921915531</c:v>
                </c:pt>
                <c:pt idx="307">
                  <c:v>293.52657921915511</c:v>
                </c:pt>
                <c:pt idx="308">
                  <c:v>758.9265792191552</c:v>
                </c:pt>
                <c:pt idx="309">
                  <c:v>798.40657921915545</c:v>
                </c:pt>
                <c:pt idx="310">
                  <c:v>712.16657921915544</c:v>
                </c:pt>
                <c:pt idx="311">
                  <c:v>581.26657921915535</c:v>
                </c:pt>
                <c:pt idx="312">
                  <c:v>549.41657921915521</c:v>
                </c:pt>
                <c:pt idx="313">
                  <c:v>627.31657921915507</c:v>
                </c:pt>
                <c:pt idx="314">
                  <c:v>602.35657921915504</c:v>
                </c:pt>
                <c:pt idx="315">
                  <c:v>#N/A</c:v>
                </c:pt>
                <c:pt idx="316">
                  <c:v>485.15657921915499</c:v>
                </c:pt>
                <c:pt idx="317">
                  <c:v>375.72657921915516</c:v>
                </c:pt>
                <c:pt idx="318">
                  <c:v>242.73657921915515</c:v>
                </c:pt>
                <c:pt idx="319">
                  <c:v>262.73657921915515</c:v>
                </c:pt>
                <c:pt idx="320">
                  <c:v>466.25657921915513</c:v>
                </c:pt>
                <c:pt idx="321">
                  <c:v>382.82657921915506</c:v>
                </c:pt>
                <c:pt idx="322">
                  <c:v>411.10657921915504</c:v>
                </c:pt>
                <c:pt idx="323">
                  <c:v>493.0065792191549</c:v>
                </c:pt>
                <c:pt idx="324">
                  <c:v>#N/A</c:v>
                </c:pt>
                <c:pt idx="325">
                  <c:v>346.92657921915497</c:v>
                </c:pt>
                <c:pt idx="326">
                  <c:v>111.92657921915497</c:v>
                </c:pt>
                <c:pt idx="327">
                  <c:v>#N/A</c:v>
                </c:pt>
                <c:pt idx="328">
                  <c:v>22.106579219155037</c:v>
                </c:pt>
                <c:pt idx="329">
                  <c:v>195.90657921915522</c:v>
                </c:pt>
                <c:pt idx="330">
                  <c:v>260.7065792191554</c:v>
                </c:pt>
                <c:pt idx="331">
                  <c:v>253.94657921915541</c:v>
                </c:pt>
                <c:pt idx="332">
                  <c:v>153.32657921915552</c:v>
                </c:pt>
                <c:pt idx="333">
                  <c:v>211.46657921915562</c:v>
                </c:pt>
                <c:pt idx="334">
                  <c:v>130.16657921915566</c:v>
                </c:pt>
                <c:pt idx="335">
                  <c:v>65.816579219155983</c:v>
                </c:pt>
                <c:pt idx="336">
                  <c:v>-29.883420780844062</c:v>
                </c:pt>
                <c:pt idx="337">
                  <c:v>-122.46342078084399</c:v>
                </c:pt>
                <c:pt idx="338">
                  <c:v>-85.573420780844117</c:v>
                </c:pt>
                <c:pt idx="339">
                  <c:v>18.166579219155892</c:v>
                </c:pt>
                <c:pt idx="340">
                  <c:v>338.32657921915575</c:v>
                </c:pt>
                <c:pt idx="341">
                  <c:v>284.53657921915578</c:v>
                </c:pt>
                <c:pt idx="342">
                  <c:v>292.81657921915576</c:v>
                </c:pt>
                <c:pt idx="343">
                  <c:v>368.49657921915582</c:v>
                </c:pt>
                <c:pt idx="344">
                  <c:v>516.25657921915581</c:v>
                </c:pt>
                <c:pt idx="345">
                  <c:v>#N/A</c:v>
                </c:pt>
                <c:pt idx="346">
                  <c:v>564.0165792191558</c:v>
                </c:pt>
                <c:pt idx="347">
                  <c:v>805.57657921915575</c:v>
                </c:pt>
                <c:pt idx="348">
                  <c:v>658.33657921915551</c:v>
                </c:pt>
                <c:pt idx="349">
                  <c:v>532.19657921915541</c:v>
                </c:pt>
                <c:pt idx="350">
                  <c:v>452.19657921915541</c:v>
                </c:pt>
                <c:pt idx="351">
                  <c:v>529.89657921915523</c:v>
                </c:pt>
                <c:pt idx="352">
                  <c:v>461.73657921915537</c:v>
                </c:pt>
                <c:pt idx="353">
                  <c:v>445.45657921915517</c:v>
                </c:pt>
                <c:pt idx="354">
                  <c:v>530.55657921915508</c:v>
                </c:pt>
                <c:pt idx="355">
                  <c:v>393.93657921915496</c:v>
                </c:pt>
                <c:pt idx="356">
                  <c:v>456.93657921915496</c:v>
                </c:pt>
                <c:pt idx="357">
                  <c:v>374.04657921915509</c:v>
                </c:pt>
                <c:pt idx="358">
                  <c:v>649.38657921915524</c:v>
                </c:pt>
                <c:pt idx="359">
                  <c:v>698.33657921915528</c:v>
                </c:pt>
                <c:pt idx="360">
                  <c:v>626.69657921915518</c:v>
                </c:pt>
                <c:pt idx="361">
                  <c:v>405.10157921915516</c:v>
                </c:pt>
                <c:pt idx="362">
                  <c:v>281.34157921915516</c:v>
                </c:pt>
                <c:pt idx="363">
                  <c:v>#N/A</c:v>
                </c:pt>
                <c:pt idx="364">
                  <c:v>295.6615792191551</c:v>
                </c:pt>
                <c:pt idx="365">
                  <c:v>334.06157921915542</c:v>
                </c:pt>
                <c:pt idx="366">
                  <c:v>346.41157921915533</c:v>
                </c:pt>
                <c:pt idx="367">
                  <c:v>407.73157921915526</c:v>
                </c:pt>
                <c:pt idx="368">
                  <c:v>168.12157921915514</c:v>
                </c:pt>
                <c:pt idx="369">
                  <c:v>433.02157921915546</c:v>
                </c:pt>
                <c:pt idx="370">
                  <c:v>350.08157921915563</c:v>
                </c:pt>
                <c:pt idx="371">
                  <c:v>389.921579219156</c:v>
                </c:pt>
                <c:pt idx="372">
                  <c:v>405.921579219156</c:v>
                </c:pt>
                <c:pt idx="373">
                  <c:v>227.171579219156</c:v>
                </c:pt>
                <c:pt idx="374">
                  <c:v>294.44157921915598</c:v>
                </c:pt>
                <c:pt idx="375">
                  <c:v>311.60157921915584</c:v>
                </c:pt>
                <c:pt idx="376">
                  <c:v>560.00157921915616</c:v>
                </c:pt>
                <c:pt idx="377">
                  <c:v>522.20157921915597</c:v>
                </c:pt>
                <c:pt idx="378">
                  <c:v>555.32157921915609</c:v>
                </c:pt>
                <c:pt idx="379">
                  <c:v>599.96157921915596</c:v>
                </c:pt>
                <c:pt idx="380">
                  <c:v>545.01157921915592</c:v>
                </c:pt>
                <c:pt idx="381">
                  <c:v>473.61157921915628</c:v>
                </c:pt>
                <c:pt idx="382">
                  <c:v>365.51157921915615</c:v>
                </c:pt>
                <c:pt idx="383">
                  <c:v>275.78157921915613</c:v>
                </c:pt>
                <c:pt idx="384">
                  <c:v>189.38157921915604</c:v>
                </c:pt>
                <c:pt idx="385">
                  <c:v>177.83307921915593</c:v>
                </c:pt>
                <c:pt idx="386">
                  <c:v>-109.26692078084398</c:v>
                </c:pt>
                <c:pt idx="387">
                  <c:v>-4.2669207808439751</c:v>
                </c:pt>
                <c:pt idx="388">
                  <c:v>40.838579219156145</c:v>
                </c:pt>
                <c:pt idx="389">
                  <c:v>79.188579219156054</c:v>
                </c:pt>
                <c:pt idx="390">
                  <c:v>-30.761420780843991</c:v>
                </c:pt>
                <c:pt idx="391">
                  <c:v>-48.341420780844146</c:v>
                </c:pt>
                <c:pt idx="392">
                  <c:v>-120.84142078084437</c:v>
                </c:pt>
                <c:pt idx="393">
                  <c:v>-379.4214207808443</c:v>
                </c:pt>
                <c:pt idx="394">
                  <c:v>#N/A</c:v>
                </c:pt>
                <c:pt idx="395">
                  <c:v>#N/A</c:v>
                </c:pt>
                <c:pt idx="396">
                  <c:v>-207.90142078084432</c:v>
                </c:pt>
                <c:pt idx="397">
                  <c:v>-109.34142078084437</c:v>
                </c:pt>
                <c:pt idx="398">
                  <c:v>#N/A</c:v>
                </c:pt>
                <c:pt idx="399">
                  <c:v>116.65857921915585</c:v>
                </c:pt>
                <c:pt idx="400">
                  <c:v>#N/A</c:v>
                </c:pt>
                <c:pt idx="401">
                  <c:v>318.72357921915568</c:v>
                </c:pt>
                <c:pt idx="402">
                  <c:v>401.53357921915585</c:v>
                </c:pt>
                <c:pt idx="403">
                  <c:v>278.03357921915585</c:v>
                </c:pt>
                <c:pt idx="404">
                  <c:v>157.39357921915575</c:v>
                </c:pt>
                <c:pt idx="405">
                  <c:v>236.23357921915544</c:v>
                </c:pt>
                <c:pt idx="406">
                  <c:v>162.13357921915576</c:v>
                </c:pt>
                <c:pt idx="407">
                  <c:v>#N/A</c:v>
                </c:pt>
                <c:pt idx="408">
                  <c:v>#N/A</c:v>
                </c:pt>
                <c:pt idx="409">
                  <c:v>239.33357921915558</c:v>
                </c:pt>
                <c:pt idx="410">
                  <c:v>340.58357921915558</c:v>
                </c:pt>
                <c:pt idx="411">
                  <c:v>702.83357921915558</c:v>
                </c:pt>
                <c:pt idx="412">
                  <c:v>737.93357921915549</c:v>
                </c:pt>
                <c:pt idx="413">
                  <c:v>812.93357921915549</c:v>
                </c:pt>
                <c:pt idx="414">
                  <c:v>1022.2335792191559</c:v>
                </c:pt>
                <c:pt idx="415">
                  <c:v>1070.5535792191558</c:v>
                </c:pt>
                <c:pt idx="416">
                  <c:v>1090.7535792191559</c:v>
                </c:pt>
                <c:pt idx="417">
                  <c:v>797.15357921915597</c:v>
                </c:pt>
                <c:pt idx="418">
                  <c:v>724.43357921915594</c:v>
                </c:pt>
                <c:pt idx="419">
                  <c:v>692.81357921915605</c:v>
                </c:pt>
                <c:pt idx="420">
                  <c:v>907.91357921915619</c:v>
                </c:pt>
                <c:pt idx="421">
                  <c:v>989.63357921915622</c:v>
                </c:pt>
                <c:pt idx="422">
                  <c:v>1191.1335792191562</c:v>
                </c:pt>
                <c:pt idx="423">
                  <c:v>1219.7335792191561</c:v>
                </c:pt>
                <c:pt idx="424">
                  <c:v>1199.8135792191561</c:v>
                </c:pt>
                <c:pt idx="425">
                  <c:v>1248.5635792191561</c:v>
                </c:pt>
                <c:pt idx="426">
                  <c:v>1278.3135792191561</c:v>
                </c:pt>
                <c:pt idx="427">
                  <c:v>1347.0935792191563</c:v>
                </c:pt>
                <c:pt idx="428">
                  <c:v>1417.0935792191563</c:v>
                </c:pt>
                <c:pt idx="429">
                  <c:v>1571.4935792191563</c:v>
                </c:pt>
                <c:pt idx="430">
                  <c:v>1525.7335792191561</c:v>
                </c:pt>
                <c:pt idx="431">
                  <c:v>1446.1735792191562</c:v>
                </c:pt>
                <c:pt idx="432">
                  <c:v>1362.9835792191564</c:v>
                </c:pt>
                <c:pt idx="433">
                  <c:v>#N/A</c:v>
                </c:pt>
                <c:pt idx="434">
                  <c:v>1365.9835792191564</c:v>
                </c:pt>
                <c:pt idx="435">
                  <c:v>1236.0835792191565</c:v>
                </c:pt>
                <c:pt idx="436">
                  <c:v>1137.2035792191564</c:v>
                </c:pt>
                <c:pt idx="437">
                  <c:v>1226.0035792191566</c:v>
                </c:pt>
                <c:pt idx="438">
                  <c:v>1241.6435792191564</c:v>
                </c:pt>
                <c:pt idx="439">
                  <c:v>1271.7944792191565</c:v>
                </c:pt>
                <c:pt idx="440">
                  <c:v>1331.2044792191566</c:v>
                </c:pt>
                <c:pt idx="441">
                  <c:v>1388.6444792191564</c:v>
                </c:pt>
                <c:pt idx="442">
                  <c:v>1352.1944792191566</c:v>
                </c:pt>
                <c:pt idx="443">
                  <c:v>#N/A</c:v>
                </c:pt>
                <c:pt idx="444">
                  <c:v>#N/A</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32EC-4F77-AE99-591BE6637D8C}"/>
            </c:ext>
          </c:extLst>
        </c:ser>
        <c:dLbls>
          <c:showLegendKey val="0"/>
          <c:showVal val="0"/>
          <c:showCatName val="0"/>
          <c:showSerName val="0"/>
          <c:showPercent val="0"/>
          <c:showBubbleSize val="0"/>
        </c:dLbls>
        <c:marker val="1"/>
        <c:smooth val="0"/>
        <c:axId val="958105456"/>
        <c:axId val="958095376"/>
        <c:extLst>
          <c:ext xmlns:c15="http://schemas.microsoft.com/office/drawing/2012/chart" uri="{02D57815-91ED-43cb-92C2-25804820EDAC}">
            <c15:filteredLineSeries>
              <c15:ser>
                <c:idx val="2"/>
                <c:order val="2"/>
                <c:tx>
                  <c:v>Strategy Revenue Curve (Theoretical, No Slippage, No Human Intervention)</c:v>
                </c:tx>
                <c:spPr>
                  <a:ln w="28575" cap="rnd">
                    <a:solidFill>
                      <a:schemeClr val="accent3"/>
                    </a:solidFill>
                    <a:prstDash val="sysDash"/>
                    <a:round/>
                  </a:ln>
                  <a:effectLst/>
                </c:spPr>
                <c:marker>
                  <c:symbol val="none"/>
                </c:marker>
                <c:cat>
                  <c:strRef>
                    <c:extLst>
                      <c:ext uri="{02D57815-91ED-43cb-92C2-25804820EDAC}">
                        <c15:formulaRef>
                          <c15:sqref>'2025-Q1'!$A$4:$A$448</c15:sqref>
                        </c15:formulaRef>
                      </c:ext>
                    </c:extLst>
                    <c:strCache>
                      <c:ptCount val="445"/>
                      <c:pt idx="0">
                        <c:v>STZ</c:v>
                      </c:pt>
                      <c:pt idx="1">
                        <c:v>DAL</c:v>
                      </c:pt>
                      <c:pt idx="2">
                        <c:v>WBA</c:v>
                      </c:pt>
                      <c:pt idx="3">
                        <c:v>JPM</c:v>
                      </c:pt>
                      <c:pt idx="4">
                        <c:v>WFC</c:v>
                      </c:pt>
                      <c:pt idx="5">
                        <c:v>GS</c:v>
                      </c:pt>
                      <c:pt idx="6">
                        <c:v>BLK</c:v>
                      </c:pt>
                      <c:pt idx="7">
                        <c:v>C</c:v>
                      </c:pt>
                      <c:pt idx="8">
                        <c:v>BK</c:v>
                      </c:pt>
                      <c:pt idx="9">
                        <c:v>UNH</c:v>
                      </c:pt>
                      <c:pt idx="10">
                        <c:v>BAC</c:v>
                      </c:pt>
                      <c:pt idx="11">
                        <c:v>MS</c:v>
                      </c:pt>
                      <c:pt idx="12">
                        <c:v>PNC</c:v>
                      </c:pt>
                      <c:pt idx="13">
                        <c:v>USB</c:v>
                      </c:pt>
                      <c:pt idx="14">
                        <c:v>MTB</c:v>
                      </c:pt>
                      <c:pt idx="15">
                        <c:v>JBHT</c:v>
                      </c:pt>
                      <c:pt idx="16">
                        <c:v>TFC</c:v>
                      </c:pt>
                      <c:pt idx="17">
                        <c:v>SLB</c:v>
                      </c:pt>
                      <c:pt idx="18">
                        <c:v>FAST</c:v>
                      </c:pt>
                      <c:pt idx="19">
                        <c:v>STT</c:v>
                      </c:pt>
                      <c:pt idx="20">
                        <c:v>HBAN</c:v>
                      </c:pt>
                      <c:pt idx="21">
                        <c:v>RF</c:v>
                      </c:pt>
                      <c:pt idx="22">
                        <c:v>CFG</c:v>
                      </c:pt>
                      <c:pt idx="23">
                        <c:v>SCHW</c:v>
                      </c:pt>
                      <c:pt idx="24">
                        <c:v>MMM</c:v>
                      </c:pt>
                      <c:pt idx="25">
                        <c:v>DHI</c:v>
                      </c:pt>
                      <c:pt idx="26">
                        <c:v>FITB</c:v>
                      </c:pt>
                      <c:pt idx="27">
                        <c:v>KEY</c:v>
                      </c:pt>
                      <c:pt idx="28">
                        <c:v>NFLX</c:v>
                      </c:pt>
                      <c:pt idx="29">
                        <c:v>COF</c:v>
                      </c:pt>
                      <c:pt idx="30">
                        <c:v>UAL</c:v>
                      </c:pt>
                      <c:pt idx="31">
                        <c:v>STX</c:v>
                      </c:pt>
                      <c:pt idx="32">
                        <c:v>PG</c:v>
                      </c:pt>
                      <c:pt idx="33">
                        <c:v>JNJ</c:v>
                      </c:pt>
                      <c:pt idx="34">
                        <c:v>ABT</c:v>
                      </c:pt>
                      <c:pt idx="35">
                        <c:v>GEV</c:v>
                      </c:pt>
                      <c:pt idx="36">
                        <c:v>APH</c:v>
                      </c:pt>
                      <c:pt idx="37">
                        <c:v>TRV</c:v>
                      </c:pt>
                      <c:pt idx="38">
                        <c:v>TEL</c:v>
                      </c:pt>
                      <c:pt idx="39">
                        <c:v>HAL</c:v>
                      </c:pt>
                      <c:pt idx="40">
                        <c:v>TDY</c:v>
                      </c:pt>
                      <c:pt idx="41">
                        <c:v>TXT</c:v>
                      </c:pt>
                      <c:pt idx="42">
                        <c:v>KMI</c:v>
                      </c:pt>
                      <c:pt idx="43">
                        <c:v>DFS</c:v>
                      </c:pt>
                      <c:pt idx="44">
                        <c:v>STLD</c:v>
                      </c:pt>
                      <c:pt idx="45">
                        <c:v>GE</c:v>
                      </c:pt>
                      <c:pt idx="46">
                        <c:v>UNP</c:v>
                      </c:pt>
                      <c:pt idx="47">
                        <c:v>ELV</c:v>
                      </c:pt>
                      <c:pt idx="48">
                        <c:v>FCX</c:v>
                      </c:pt>
                      <c:pt idx="49">
                        <c:v>NTRS</c:v>
                      </c:pt>
                      <c:pt idx="50">
                        <c:v>MKC</c:v>
                      </c:pt>
                      <c:pt idx="51">
                        <c:v>ISRG</c:v>
                      </c:pt>
                      <c:pt idx="52">
                        <c:v>TXN</c:v>
                      </c:pt>
                      <c:pt idx="53">
                        <c:v>CSX</c:v>
                      </c:pt>
                      <c:pt idx="54">
                        <c:v>AXP</c:v>
                      </c:pt>
                      <c:pt idx="55">
                        <c:v>VZ</c:v>
                      </c:pt>
                      <c:pt idx="56">
                        <c:v>HCA</c:v>
                      </c:pt>
                      <c:pt idx="57">
                        <c:v>T</c:v>
                      </c:pt>
                      <c:pt idx="58">
                        <c:v>NUE</c:v>
                      </c:pt>
                      <c:pt idx="59">
                        <c:v>BRO</c:v>
                      </c:pt>
                      <c:pt idx="60">
                        <c:v>WRB</c:v>
                      </c:pt>
                      <c:pt idx="61">
                        <c:v>RTX</c:v>
                      </c:pt>
                      <c:pt idx="62">
                        <c:v>LMT</c:v>
                      </c:pt>
                      <c:pt idx="63">
                        <c:v>BA</c:v>
                      </c:pt>
                      <c:pt idx="64">
                        <c:v>RCL</c:v>
                      </c:pt>
                      <c:pt idx="65">
                        <c:v>GM</c:v>
                      </c:pt>
                      <c:pt idx="66">
                        <c:v>PCAR</c:v>
                      </c:pt>
                      <c:pt idx="67">
                        <c:v>KMB</c:v>
                      </c:pt>
                      <c:pt idx="68">
                        <c:v>SYY</c:v>
                      </c:pt>
                      <c:pt idx="69">
                        <c:v>SYF</c:v>
                      </c:pt>
                      <c:pt idx="70">
                        <c:v>IVZ</c:v>
                      </c:pt>
                      <c:pt idx="71">
                        <c:v>SYK</c:v>
                      </c:pt>
                      <c:pt idx="72">
                        <c:v>CB</c:v>
                      </c:pt>
                      <c:pt idx="73">
                        <c:v>SBUX</c:v>
                      </c:pt>
                      <c:pt idx="74">
                        <c:v>PKG</c:v>
                      </c:pt>
                      <c:pt idx="75">
                        <c:v>FFIV</c:v>
                      </c:pt>
                      <c:pt idx="76">
                        <c:v>TMUS</c:v>
                      </c:pt>
                      <c:pt idx="77">
                        <c:v>DHR</c:v>
                      </c:pt>
                      <c:pt idx="78">
                        <c:v>PGR</c:v>
                      </c:pt>
                      <c:pt idx="79">
                        <c:v>ADP</c:v>
                      </c:pt>
                      <c:pt idx="80">
                        <c:v>GD</c:v>
                      </c:pt>
                      <c:pt idx="81">
                        <c:v>NSC</c:v>
                      </c:pt>
                      <c:pt idx="82">
                        <c:v>NDAQ</c:v>
                      </c:pt>
                      <c:pt idx="83">
                        <c:v>HES</c:v>
                      </c:pt>
                      <c:pt idx="84">
                        <c:v>GLW</c:v>
                      </c:pt>
                      <c:pt idx="85">
                        <c:v>OTIS</c:v>
                      </c:pt>
                      <c:pt idx="86">
                        <c:v>MSFT</c:v>
                      </c:pt>
                      <c:pt idx="87">
                        <c:v>META</c:v>
                      </c:pt>
                      <c:pt idx="88">
                        <c:v>TSLA</c:v>
                      </c:pt>
                      <c:pt idx="89">
                        <c:v>IBM</c:v>
                      </c:pt>
                      <c:pt idx="90">
                        <c:v>LRCX</c:v>
                      </c:pt>
                      <c:pt idx="91">
                        <c:v>WM</c:v>
                      </c:pt>
                      <c:pt idx="92">
                        <c:v>AMP</c:v>
                      </c:pt>
                      <c:pt idx="93">
                        <c:v>URI</c:v>
                      </c:pt>
                      <c:pt idx="94">
                        <c:v>LVS</c:v>
                      </c:pt>
                      <c:pt idx="95">
                        <c:v>RJF</c:v>
                      </c:pt>
                      <c:pt idx="96">
                        <c:v>WDC</c:v>
                      </c:pt>
                      <c:pt idx="97">
                        <c:v>TER</c:v>
                      </c:pt>
                      <c:pt idx="98">
                        <c:v>CHRW</c:v>
                      </c:pt>
                      <c:pt idx="99">
                        <c:v>DLB</c:v>
                      </c:pt>
                      <c:pt idx="100">
                        <c:v>MA</c:v>
                      </c:pt>
                      <c:pt idx="101">
                        <c:v>BX</c:v>
                      </c:pt>
                      <c:pt idx="102">
                        <c:v>TMO</c:v>
                      </c:pt>
                      <c:pt idx="103">
                        <c:v>CAT</c:v>
                      </c:pt>
                      <c:pt idx="104">
                        <c:v>CMCSA</c:v>
                      </c:pt>
                      <c:pt idx="105">
                        <c:v>UPS</c:v>
                      </c:pt>
                      <c:pt idx="106">
                        <c:v>MMC</c:v>
                      </c:pt>
                      <c:pt idx="107">
                        <c:v>MO</c:v>
                      </c:pt>
                      <c:pt idx="108">
                        <c:v>SHW</c:v>
                      </c:pt>
                      <c:pt idx="109">
                        <c:v>TT</c:v>
                      </c:pt>
                      <c:pt idx="110">
                        <c:v>CI</c:v>
                      </c:pt>
                      <c:pt idx="111">
                        <c:v>PH</c:v>
                      </c:pt>
                      <c:pt idx="112">
                        <c:v>NOC</c:v>
                      </c:pt>
                      <c:pt idx="113">
                        <c:v>ROP</c:v>
                      </c:pt>
                      <c:pt idx="114">
                        <c:v>LHX</c:v>
                      </c:pt>
                      <c:pt idx="115">
                        <c:v>VLO</c:v>
                      </c:pt>
                      <c:pt idx="116">
                        <c:v>DOW</c:v>
                      </c:pt>
                      <c:pt idx="117">
                        <c:v>CAH</c:v>
                      </c:pt>
                      <c:pt idx="118">
                        <c:v>TSCO</c:v>
                      </c:pt>
                      <c:pt idx="119">
                        <c:v>DOV</c:v>
                      </c:pt>
                      <c:pt idx="120">
                        <c:v>PHM</c:v>
                      </c:pt>
                      <c:pt idx="121">
                        <c:v>IP</c:v>
                      </c:pt>
                      <c:pt idx="122">
                        <c:v>LUV</c:v>
                      </c:pt>
                      <c:pt idx="123">
                        <c:v>DGX</c:v>
                      </c:pt>
                      <c:pt idx="124">
                        <c:v>AVY</c:v>
                      </c:pt>
                      <c:pt idx="125">
                        <c:v>AOS</c:v>
                      </c:pt>
                      <c:pt idx="126">
                        <c:v>DT</c:v>
                      </c:pt>
                      <c:pt idx="127">
                        <c:v>AAPL</c:v>
                      </c:pt>
                      <c:pt idx="128">
                        <c:v>V</c:v>
                      </c:pt>
                      <c:pt idx="129">
                        <c:v>INTC</c:v>
                      </c:pt>
                      <c:pt idx="130">
                        <c:v>KLAC</c:v>
                      </c:pt>
                      <c:pt idx="131">
                        <c:v>AJG</c:v>
                      </c:pt>
                      <c:pt idx="132">
                        <c:v>BKR</c:v>
                      </c:pt>
                      <c:pt idx="133">
                        <c:v>RMD</c:v>
                      </c:pt>
                      <c:pt idx="134">
                        <c:v>HIG</c:v>
                      </c:pt>
                      <c:pt idx="135">
                        <c:v>PPG</c:v>
                      </c:pt>
                      <c:pt idx="136">
                        <c:v>DECK</c:v>
                      </c:pt>
                      <c:pt idx="137">
                        <c:v>GEN</c:v>
                      </c:pt>
                      <c:pt idx="138">
                        <c:v>SMCI</c:v>
                      </c:pt>
                      <c:pt idx="139">
                        <c:v>EMN</c:v>
                      </c:pt>
                      <c:pt idx="140">
                        <c:v>TEAM</c:v>
                      </c:pt>
                      <c:pt idx="141">
                        <c:v>APPF</c:v>
                      </c:pt>
                      <c:pt idx="142">
                        <c:v>XOM</c:v>
                      </c:pt>
                      <c:pt idx="143">
                        <c:v>ABBV</c:v>
                      </c:pt>
                      <c:pt idx="144">
                        <c:v>CVX</c:v>
                      </c:pt>
                      <c:pt idx="145">
                        <c:v>ETN</c:v>
                      </c:pt>
                      <c:pt idx="146">
                        <c:v>AON</c:v>
                      </c:pt>
                      <c:pt idx="147">
                        <c:v>CL</c:v>
                      </c:pt>
                      <c:pt idx="148">
                        <c:v>CHTR</c:v>
                      </c:pt>
                      <c:pt idx="149">
                        <c:v>GWW</c:v>
                      </c:pt>
                      <c:pt idx="150">
                        <c:v>PSX</c:v>
                      </c:pt>
                      <c:pt idx="151">
                        <c:v>CHD</c:v>
                      </c:pt>
                      <c:pt idx="152">
                        <c:v>LYB</c:v>
                      </c:pt>
                      <c:pt idx="153">
                        <c:v>BR</c:v>
                      </c:pt>
                      <c:pt idx="154">
                        <c:v>RVTY</c:v>
                      </c:pt>
                      <c:pt idx="155">
                        <c:v>BEN</c:v>
                      </c:pt>
                      <c:pt idx="156">
                        <c:v>IDXX</c:v>
                      </c:pt>
                      <c:pt idx="157">
                        <c:v>TSN</c:v>
                      </c:pt>
                      <c:pt idx="158">
                        <c:v>PLTR</c:v>
                      </c:pt>
                      <c:pt idx="159">
                        <c:v>NXPI</c:v>
                      </c:pt>
                      <c:pt idx="160">
                        <c:v>CLX</c:v>
                      </c:pt>
                      <c:pt idx="161">
                        <c:v>EG</c:v>
                      </c:pt>
                      <c:pt idx="162">
                        <c:v>MRK</c:v>
                      </c:pt>
                      <c:pt idx="163">
                        <c:v>PEP</c:v>
                      </c:pt>
                      <c:pt idx="164">
                        <c:v>PFE</c:v>
                      </c:pt>
                      <c:pt idx="165">
                        <c:v>KKR</c:v>
                      </c:pt>
                      <c:pt idx="166">
                        <c:v>PYPL</c:v>
                      </c:pt>
                      <c:pt idx="167">
                        <c:v>REGN</c:v>
                      </c:pt>
                      <c:pt idx="168">
                        <c:v>MPC</c:v>
                      </c:pt>
                      <c:pt idx="169">
                        <c:v>CMI</c:v>
                      </c:pt>
                      <c:pt idx="170">
                        <c:v>AME</c:v>
                      </c:pt>
                      <c:pt idx="171">
                        <c:v>IT</c:v>
                      </c:pt>
                      <c:pt idx="172">
                        <c:v>WTW</c:v>
                      </c:pt>
                      <c:pt idx="173">
                        <c:v>CNC</c:v>
                      </c:pt>
                      <c:pt idx="174">
                        <c:v>XYL</c:v>
                      </c:pt>
                      <c:pt idx="175">
                        <c:v>ADM</c:v>
                      </c:pt>
                      <c:pt idx="176">
                        <c:v>HUBB</c:v>
                      </c:pt>
                      <c:pt idx="177">
                        <c:v>EL</c:v>
                      </c:pt>
                      <c:pt idx="178">
                        <c:v>FOX</c:v>
                      </c:pt>
                      <c:pt idx="179">
                        <c:v>BALL</c:v>
                      </c:pt>
                      <c:pt idx="180">
                        <c:v>PNR</c:v>
                      </c:pt>
                      <c:pt idx="181">
                        <c:v>J</c:v>
                      </c:pt>
                      <c:pt idx="182">
                        <c:v>AMCR</c:v>
                      </c:pt>
                      <c:pt idx="183">
                        <c:v>GOOG</c:v>
                      </c:pt>
                      <c:pt idx="184">
                        <c:v>AMD</c:v>
                      </c:pt>
                      <c:pt idx="185">
                        <c:v>AMGN</c:v>
                      </c:pt>
                      <c:pt idx="186">
                        <c:v>MDLZ</c:v>
                      </c:pt>
                      <c:pt idx="187">
                        <c:v>CMG</c:v>
                      </c:pt>
                      <c:pt idx="188">
                        <c:v>FICO</c:v>
                      </c:pt>
                      <c:pt idx="189">
                        <c:v>PRU</c:v>
                      </c:pt>
                      <c:pt idx="190">
                        <c:v>EA</c:v>
                      </c:pt>
                      <c:pt idx="191">
                        <c:v>VLTO</c:v>
                      </c:pt>
                      <c:pt idx="192">
                        <c:v>OMC</c:v>
                      </c:pt>
                      <c:pt idx="193">
                        <c:v>IEX</c:v>
                      </c:pt>
                      <c:pt idx="194">
                        <c:v>JKHY</c:v>
                      </c:pt>
                      <c:pt idx="195">
                        <c:v>ENPH</c:v>
                      </c:pt>
                      <c:pt idx="196">
                        <c:v>MTCH</c:v>
                      </c:pt>
                      <c:pt idx="197">
                        <c:v>FMC</c:v>
                      </c:pt>
                      <c:pt idx="198">
                        <c:v>SNAP</c:v>
                      </c:pt>
                      <c:pt idx="199">
                        <c:v>VRNS</c:v>
                      </c:pt>
                      <c:pt idx="200">
                        <c:v>INTA</c:v>
                      </c:pt>
                      <c:pt idx="201">
                        <c:v>DIS</c:v>
                      </c:pt>
                      <c:pt idx="202">
                        <c:v>UBER</c:v>
                      </c:pt>
                      <c:pt idx="203">
                        <c:v>BSX</c:v>
                      </c:pt>
                      <c:pt idx="204">
                        <c:v>FI</c:v>
                      </c:pt>
                      <c:pt idx="205">
                        <c:v>ITW</c:v>
                      </c:pt>
                      <c:pt idx="206">
                        <c:v>EMR</c:v>
                      </c:pt>
                      <c:pt idx="207">
                        <c:v>JCI</c:v>
                      </c:pt>
                      <c:pt idx="208">
                        <c:v>COR</c:v>
                      </c:pt>
                      <c:pt idx="209">
                        <c:v>TROW</c:v>
                      </c:pt>
                      <c:pt idx="210">
                        <c:v>CDW</c:v>
                      </c:pt>
                      <c:pt idx="211">
                        <c:v>SWK</c:v>
                      </c:pt>
                      <c:pt idx="212">
                        <c:v>BG</c:v>
                      </c:pt>
                      <c:pt idx="213">
                        <c:v>DAY</c:v>
                      </c:pt>
                      <c:pt idx="214">
                        <c:v>TECH</c:v>
                      </c:pt>
                      <c:pt idx="215">
                        <c:v>QCOM</c:v>
                      </c:pt>
                      <c:pt idx="216">
                        <c:v>MCK</c:v>
                      </c:pt>
                      <c:pt idx="217">
                        <c:v>AFL</c:v>
                      </c:pt>
                      <c:pt idx="218">
                        <c:v>MET</c:v>
                      </c:pt>
                      <c:pt idx="219">
                        <c:v>ALL</c:v>
                      </c:pt>
                      <c:pt idx="220">
                        <c:v>F</c:v>
                      </c:pt>
                      <c:pt idx="221">
                        <c:v>CTVA</c:v>
                      </c:pt>
                      <c:pt idx="222">
                        <c:v>CTSH</c:v>
                      </c:pt>
                      <c:pt idx="223">
                        <c:v>CPAY</c:v>
                      </c:pt>
                      <c:pt idx="224">
                        <c:v>PTC</c:v>
                      </c:pt>
                      <c:pt idx="225">
                        <c:v>STE</c:v>
                      </c:pt>
                      <c:pt idx="226">
                        <c:v>HOLX</c:v>
                      </c:pt>
                      <c:pt idx="227">
                        <c:v>NWS</c:v>
                      </c:pt>
                      <c:pt idx="228">
                        <c:v>MOH</c:v>
                      </c:pt>
                      <c:pt idx="229">
                        <c:v>ALGN</c:v>
                      </c:pt>
                      <c:pt idx="230">
                        <c:v>SWKS</c:v>
                      </c:pt>
                      <c:pt idx="231">
                        <c:v>GL</c:v>
                      </c:pt>
                      <c:pt idx="232">
                        <c:v>MSTR</c:v>
                      </c:pt>
                      <c:pt idx="233">
                        <c:v>TENB</c:v>
                      </c:pt>
                      <c:pt idx="234">
                        <c:v>LLY</c:v>
                      </c:pt>
                      <c:pt idx="235">
                        <c:v>LIN</c:v>
                      </c:pt>
                      <c:pt idx="236">
                        <c:v>PM</c:v>
                      </c:pt>
                      <c:pt idx="237">
                        <c:v>HON</c:v>
                      </c:pt>
                      <c:pt idx="238">
                        <c:v>COP</c:v>
                      </c:pt>
                      <c:pt idx="239">
                        <c:v>BMY</c:v>
                      </c:pt>
                      <c:pt idx="240">
                        <c:v>ICE</c:v>
                      </c:pt>
                      <c:pt idx="241">
                        <c:v>APD</c:v>
                      </c:pt>
                      <c:pt idx="242">
                        <c:v>BDX</c:v>
                      </c:pt>
                      <c:pt idx="243">
                        <c:v>HLT</c:v>
                      </c:pt>
                      <c:pt idx="244">
                        <c:v>KVUE</c:v>
                      </c:pt>
                      <c:pt idx="245">
                        <c:v>YUM</c:v>
                      </c:pt>
                      <c:pt idx="246">
                        <c:v>HSY</c:v>
                      </c:pt>
                      <c:pt idx="247">
                        <c:v>IQV</c:v>
                      </c:pt>
                      <c:pt idx="248">
                        <c:v>ROK</c:v>
                      </c:pt>
                      <c:pt idx="249">
                        <c:v>EFX</c:v>
                      </c:pt>
                      <c:pt idx="250">
                        <c:v>ZBH</c:v>
                      </c:pt>
                      <c:pt idx="251">
                        <c:v>LH</c:v>
                      </c:pt>
                      <c:pt idx="252">
                        <c:v>SNA</c:v>
                      </c:pt>
                      <c:pt idx="253">
                        <c:v>TPR</c:v>
                      </c:pt>
                      <c:pt idx="254">
                        <c:v>RL</c:v>
                      </c:pt>
                      <c:pt idx="255">
                        <c:v>APTV</c:v>
                      </c:pt>
                      <c:pt idx="256">
                        <c:v>MKTX</c:v>
                      </c:pt>
                      <c:pt idx="257">
                        <c:v>HII</c:v>
                      </c:pt>
                      <c:pt idx="258">
                        <c:v>BWA</c:v>
                      </c:pt>
                      <c:pt idx="259">
                        <c:v>AMZN</c:v>
                      </c:pt>
                      <c:pt idx="260">
                        <c:v>FTNT</c:v>
                      </c:pt>
                      <c:pt idx="261">
                        <c:v>MCHP</c:v>
                      </c:pt>
                      <c:pt idx="262">
                        <c:v>TTWO</c:v>
                      </c:pt>
                      <c:pt idx="263">
                        <c:v>MPWR</c:v>
                      </c:pt>
                      <c:pt idx="264">
                        <c:v>MTD</c:v>
                      </c:pt>
                      <c:pt idx="265">
                        <c:v>EXPE</c:v>
                      </c:pt>
                      <c:pt idx="266">
                        <c:v>PFG</c:v>
                      </c:pt>
                      <c:pt idx="267">
                        <c:v>VRSN</c:v>
                      </c:pt>
                      <c:pt idx="268">
                        <c:v>MHK</c:v>
                      </c:pt>
                      <c:pt idx="269">
                        <c:v>FTV</c:v>
                      </c:pt>
                      <c:pt idx="270">
                        <c:v>MCD</c:v>
                      </c:pt>
                      <c:pt idx="271">
                        <c:v>ON</c:v>
                      </c:pt>
                      <c:pt idx="272">
                        <c:v>L</c:v>
                      </c:pt>
                      <c:pt idx="273">
                        <c:v>INCY</c:v>
                      </c:pt>
                      <c:pt idx="274">
                        <c:v>ACGL</c:v>
                      </c:pt>
                      <c:pt idx="275">
                        <c:v>CINF</c:v>
                      </c:pt>
                      <c:pt idx="276">
                        <c:v>KO</c:v>
                      </c:pt>
                      <c:pt idx="277">
                        <c:v>SPGI</c:v>
                      </c:pt>
                      <c:pt idx="278">
                        <c:v>MAR</c:v>
                      </c:pt>
                      <c:pt idx="279">
                        <c:v>ECL</c:v>
                      </c:pt>
                      <c:pt idx="280">
                        <c:v>CARR</c:v>
                      </c:pt>
                      <c:pt idx="281">
                        <c:v>FIS</c:v>
                      </c:pt>
                      <c:pt idx="282">
                        <c:v>HUM</c:v>
                      </c:pt>
                      <c:pt idx="283">
                        <c:v>DD</c:v>
                      </c:pt>
                      <c:pt idx="284">
                        <c:v>LDOS</c:v>
                      </c:pt>
                      <c:pt idx="285">
                        <c:v>MAS</c:v>
                      </c:pt>
                      <c:pt idx="286">
                        <c:v>GILD</c:v>
                      </c:pt>
                      <c:pt idx="287">
                        <c:v>AIG</c:v>
                      </c:pt>
                      <c:pt idx="288">
                        <c:v>EW</c:v>
                      </c:pt>
                      <c:pt idx="289">
                        <c:v>AIZ</c:v>
                      </c:pt>
                      <c:pt idx="290">
                        <c:v>CFLT</c:v>
                      </c:pt>
                      <c:pt idx="291">
                        <c:v>FRSH</c:v>
                      </c:pt>
                      <c:pt idx="292">
                        <c:v>CME</c:v>
                      </c:pt>
                      <c:pt idx="293">
                        <c:v>CVS</c:v>
                      </c:pt>
                      <c:pt idx="294">
                        <c:v>IPG</c:v>
                      </c:pt>
                      <c:pt idx="295">
                        <c:v>KHC</c:v>
                      </c:pt>
                      <c:pt idx="296">
                        <c:v>MLM</c:v>
                      </c:pt>
                      <c:pt idx="297">
                        <c:v>WAB</c:v>
                      </c:pt>
                      <c:pt idx="298">
                        <c:v>SW</c:v>
                      </c:pt>
                      <c:pt idx="299">
                        <c:v>BIIB</c:v>
                      </c:pt>
                      <c:pt idx="300">
                        <c:v>WAT</c:v>
                      </c:pt>
                      <c:pt idx="301">
                        <c:v>GNRC</c:v>
                      </c:pt>
                      <c:pt idx="302">
                        <c:v>CSCO</c:v>
                      </c:pt>
                      <c:pt idx="303">
                        <c:v>WMB</c:v>
                      </c:pt>
                      <c:pt idx="304">
                        <c:v>ROL</c:v>
                      </c:pt>
                      <c:pt idx="305">
                        <c:v>ALB</c:v>
                      </c:pt>
                      <c:pt idx="306">
                        <c:v>PAYC</c:v>
                      </c:pt>
                      <c:pt idx="307">
                        <c:v>MGM</c:v>
                      </c:pt>
                      <c:pt idx="308">
                        <c:v>APP</c:v>
                      </c:pt>
                      <c:pt idx="309">
                        <c:v>MCO</c:v>
                      </c:pt>
                      <c:pt idx="310">
                        <c:v>DE</c:v>
                      </c:pt>
                      <c:pt idx="311">
                        <c:v>ZTS</c:v>
                      </c:pt>
                      <c:pt idx="312">
                        <c:v>HWM</c:v>
                      </c:pt>
                      <c:pt idx="313">
                        <c:v>GEHC</c:v>
                      </c:pt>
                      <c:pt idx="314">
                        <c:v>GPN</c:v>
                      </c:pt>
                      <c:pt idx="315">
                        <c:v>WST</c:v>
                      </c:pt>
                      <c:pt idx="316">
                        <c:v>ZBRA</c:v>
                      </c:pt>
                      <c:pt idx="317">
                        <c:v>TAP</c:v>
                      </c:pt>
                      <c:pt idx="318">
                        <c:v>DDOG</c:v>
                      </c:pt>
                      <c:pt idx="319">
                        <c:v>MSI</c:v>
                      </c:pt>
                      <c:pt idx="320">
                        <c:v>ABNB</c:v>
                      </c:pt>
                      <c:pt idx="321">
                        <c:v>AMAT</c:v>
                      </c:pt>
                      <c:pt idx="322">
                        <c:v>RSG</c:v>
                      </c:pt>
                      <c:pt idx="323">
                        <c:v>IR</c:v>
                      </c:pt>
                      <c:pt idx="324">
                        <c:v>DXCM</c:v>
                      </c:pt>
                      <c:pt idx="325">
                        <c:v>GDDY</c:v>
                      </c:pt>
                      <c:pt idx="326">
                        <c:v>DVA</c:v>
                      </c:pt>
                      <c:pt idx="327">
                        <c:v>WYNN</c:v>
                      </c:pt>
                      <c:pt idx="328">
                        <c:v>PANW</c:v>
                      </c:pt>
                      <c:pt idx="329">
                        <c:v>PCOR</c:v>
                      </c:pt>
                      <c:pt idx="330">
                        <c:v>MRNA</c:v>
                      </c:pt>
                      <c:pt idx="331">
                        <c:v>GPC</c:v>
                      </c:pt>
                      <c:pt idx="332">
                        <c:v>MDT</c:v>
                      </c:pt>
                      <c:pt idx="333">
                        <c:v>VMC</c:v>
                      </c:pt>
                      <c:pt idx="334">
                        <c:v>EXPD</c:v>
                      </c:pt>
                      <c:pt idx="335">
                        <c:v>ALLE</c:v>
                      </c:pt>
                      <c:pt idx="336">
                        <c:v>ANET</c:v>
                      </c:pt>
                      <c:pt idx="337">
                        <c:v>CDNS</c:v>
                      </c:pt>
                      <c:pt idx="338">
                        <c:v>EQT</c:v>
                      </c:pt>
                      <c:pt idx="339">
                        <c:v>IFF</c:v>
                      </c:pt>
                      <c:pt idx="340">
                        <c:v>CE</c:v>
                      </c:pt>
                      <c:pt idx="341">
                        <c:v>CRL</c:v>
                      </c:pt>
                      <c:pt idx="342">
                        <c:v>TRMB</c:v>
                      </c:pt>
                      <c:pt idx="343">
                        <c:v>ADI</c:v>
                      </c:pt>
                      <c:pt idx="344">
                        <c:v>GRMN</c:v>
                      </c:pt>
                      <c:pt idx="345">
                        <c:v>CF</c:v>
                      </c:pt>
                      <c:pt idx="346">
                        <c:v>NDSN</c:v>
                      </c:pt>
                      <c:pt idx="347">
                        <c:v>CWAN</c:v>
                      </c:pt>
                      <c:pt idx="348">
                        <c:v>KVYO</c:v>
                      </c:pt>
                      <c:pt idx="349">
                        <c:v>BAX</c:v>
                      </c:pt>
                      <c:pt idx="350">
                        <c:v>WMT</c:v>
                      </c:pt>
                      <c:pt idx="351">
                        <c:v>PWR</c:v>
                      </c:pt>
                      <c:pt idx="352">
                        <c:v>TRGP</c:v>
                      </c:pt>
                      <c:pt idx="353">
                        <c:v>BLDR</c:v>
                      </c:pt>
                      <c:pt idx="354">
                        <c:v>POOL</c:v>
                      </c:pt>
                      <c:pt idx="355">
                        <c:v>EPAM</c:v>
                      </c:pt>
                      <c:pt idx="356">
                        <c:v>LKQ</c:v>
                      </c:pt>
                      <c:pt idx="357">
                        <c:v>HAS</c:v>
                      </c:pt>
                      <c:pt idx="358">
                        <c:v>U</c:v>
                      </c:pt>
                      <c:pt idx="359">
                        <c:v>LYV</c:v>
                      </c:pt>
                      <c:pt idx="360">
                        <c:v>PODD</c:v>
                      </c:pt>
                      <c:pt idx="361">
                        <c:v>AKAM</c:v>
                      </c:pt>
                      <c:pt idx="362">
                        <c:v>DBX</c:v>
                      </c:pt>
                      <c:pt idx="363">
                        <c:v>CPRT</c:v>
                      </c:pt>
                      <c:pt idx="364">
                        <c:v>HD</c:v>
                      </c:pt>
                      <c:pt idx="365">
                        <c:v>KDP</c:v>
                      </c:pt>
                      <c:pt idx="366">
                        <c:v>NCLH</c:v>
                      </c:pt>
                      <c:pt idx="367">
                        <c:v>HSIC</c:v>
                      </c:pt>
                      <c:pt idx="368">
                        <c:v>INTU</c:v>
                      </c:pt>
                      <c:pt idx="369">
                        <c:v>AXON</c:v>
                      </c:pt>
                      <c:pt idx="370">
                        <c:v>FSLR</c:v>
                      </c:pt>
                      <c:pt idx="371">
                        <c:v>CZR</c:v>
                      </c:pt>
                      <c:pt idx="372">
                        <c:v>ZETA</c:v>
                      </c:pt>
                      <c:pt idx="373">
                        <c:v>VRSK</c:v>
                      </c:pt>
                      <c:pt idx="374">
                        <c:v>LOW</c:v>
                      </c:pt>
                      <c:pt idx="375">
                        <c:v>TJX</c:v>
                      </c:pt>
                      <c:pt idx="376">
                        <c:v>NTNX</c:v>
                      </c:pt>
                      <c:pt idx="377">
                        <c:v>PARA</c:v>
                      </c:pt>
                      <c:pt idx="378">
                        <c:v>SNPS</c:v>
                      </c:pt>
                      <c:pt idx="379">
                        <c:v>NVDA</c:v>
                      </c:pt>
                      <c:pt idx="380">
                        <c:v>CRM</c:v>
                      </c:pt>
                      <c:pt idx="381">
                        <c:v>A</c:v>
                      </c:pt>
                      <c:pt idx="382">
                        <c:v>EBAY</c:v>
                      </c:pt>
                      <c:pt idx="383">
                        <c:v>UHS</c:v>
                      </c:pt>
                      <c:pt idx="384">
                        <c:v>AI</c:v>
                      </c:pt>
                      <c:pt idx="385">
                        <c:v>SJM</c:v>
                      </c:pt>
                      <c:pt idx="386">
                        <c:v>VTRS</c:v>
                      </c:pt>
                      <c:pt idx="387">
                        <c:v>WBD</c:v>
                      </c:pt>
                      <c:pt idx="388">
                        <c:v>HRL</c:v>
                      </c:pt>
                      <c:pt idx="389">
                        <c:v>MOS</c:v>
                      </c:pt>
                      <c:pt idx="390">
                        <c:v>DELL</c:v>
                      </c:pt>
                      <c:pt idx="391">
                        <c:v>ADSK</c:v>
                      </c:pt>
                      <c:pt idx="392">
                        <c:v>HPQ</c:v>
                      </c:pt>
                      <c:pt idx="393">
                        <c:v>NTAP</c:v>
                      </c:pt>
                      <c:pt idx="394">
                        <c:v>ERIE</c:v>
                      </c:pt>
                      <c:pt idx="395">
                        <c:v>SOLV</c:v>
                      </c:pt>
                      <c:pt idx="396">
                        <c:v>ESTC</c:v>
                      </c:pt>
                      <c:pt idx="397">
                        <c:v>MNST</c:v>
                      </c:pt>
                      <c:pt idx="398">
                        <c:v>GTLB</c:v>
                      </c:pt>
                      <c:pt idx="399">
                        <c:v>GCT</c:v>
                      </c:pt>
                      <c:pt idx="400">
                        <c:v>ASTS</c:v>
                      </c:pt>
                      <c:pt idx="401">
                        <c:v>BBY</c:v>
                      </c:pt>
                      <c:pt idx="402">
                        <c:v>TGT</c:v>
                      </c:pt>
                      <c:pt idx="403">
                        <c:v>BOX</c:v>
                      </c:pt>
                      <c:pt idx="404">
                        <c:v>CRWD</c:v>
                      </c:pt>
                      <c:pt idx="405">
                        <c:v>ROST</c:v>
                      </c:pt>
                      <c:pt idx="406">
                        <c:v>FL</c:v>
                      </c:pt>
                      <c:pt idx="407">
                        <c:v>ANF</c:v>
                      </c:pt>
                      <c:pt idx="408">
                        <c:v>REVG</c:v>
                      </c:pt>
                      <c:pt idx="409">
                        <c:v>CPB</c:v>
                      </c:pt>
                      <c:pt idx="410">
                        <c:v>VSCO</c:v>
                      </c:pt>
                      <c:pt idx="411">
                        <c:v>MEI</c:v>
                      </c:pt>
                      <c:pt idx="412">
                        <c:v>ZS</c:v>
                      </c:pt>
                      <c:pt idx="413">
                        <c:v>M</c:v>
                      </c:pt>
                      <c:pt idx="414">
                        <c:v>BURL</c:v>
                      </c:pt>
                      <c:pt idx="415">
                        <c:v>BJ</c:v>
                      </c:pt>
                      <c:pt idx="416">
                        <c:v>TTC</c:v>
                      </c:pt>
                      <c:pt idx="417">
                        <c:v>GAP</c:v>
                      </c:pt>
                      <c:pt idx="418">
                        <c:v>AVGO</c:v>
                      </c:pt>
                      <c:pt idx="419">
                        <c:v>COST</c:v>
                      </c:pt>
                      <c:pt idx="420">
                        <c:v>HPE</c:v>
                      </c:pt>
                      <c:pt idx="421">
                        <c:v>COO</c:v>
                      </c:pt>
                      <c:pt idx="422">
                        <c:v>ASAN</c:v>
                      </c:pt>
                      <c:pt idx="423">
                        <c:v>ORCL</c:v>
                      </c:pt>
                      <c:pt idx="424">
                        <c:v>DKS</c:v>
                      </c:pt>
                      <c:pt idx="425">
                        <c:v>CIEN</c:v>
                      </c:pt>
                      <c:pt idx="426">
                        <c:v>AEO</c:v>
                      </c:pt>
                      <c:pt idx="427">
                        <c:v>ADBE</c:v>
                      </c:pt>
                      <c:pt idx="428">
                        <c:v>S</c:v>
                      </c:pt>
                      <c:pt idx="429">
                        <c:v>PATH</c:v>
                      </c:pt>
                      <c:pt idx="430">
                        <c:v>DG</c:v>
                      </c:pt>
                      <c:pt idx="431">
                        <c:v>DOCU</c:v>
                      </c:pt>
                      <c:pt idx="432">
                        <c:v>ULTA</c:v>
                      </c:pt>
                      <c:pt idx="433">
                        <c:v>SMTC</c:v>
                      </c:pt>
                      <c:pt idx="434">
                        <c:v>KODK</c:v>
                      </c:pt>
                      <c:pt idx="435">
                        <c:v>HQY</c:v>
                      </c:pt>
                      <c:pt idx="436">
                        <c:v>WSM</c:v>
                      </c:pt>
                      <c:pt idx="437">
                        <c:v>OLLI</c:v>
                      </c:pt>
                      <c:pt idx="438">
                        <c:v>GIS</c:v>
                      </c:pt>
                      <c:pt idx="439">
                        <c:v>MU</c:v>
                      </c:pt>
                      <c:pt idx="440">
                        <c:v>NKE</c:v>
                      </c:pt>
                      <c:pt idx="441">
                        <c:v>LEN</c:v>
                      </c:pt>
                      <c:pt idx="442">
                        <c:v>CCL</c:v>
                      </c:pt>
                      <c:pt idx="443">
                        <c:v>CHWY</c:v>
                      </c:pt>
                      <c:pt idx="444">
                        <c:v>DLTR</c:v>
                      </c:pt>
                    </c:strCache>
                  </c:strRef>
                </c:cat>
                <c:val>
                  <c:numRef>
                    <c:extLst>
                      <c:ext uri="{02D57815-91ED-43cb-92C2-25804820EDAC}">
                        <c15:formulaRef>
                          <c15:sqref>'2025-Q1'!$EI$4:$EI$448</c15:sqref>
                        </c15:formulaRef>
                      </c:ext>
                    </c:extLst>
                    <c:numCache>
                      <c:formatCode>"$"#,##0</c:formatCode>
                      <c:ptCount val="445"/>
                      <c:pt idx="0">
                        <c:v>29.496534111638084</c:v>
                      </c:pt>
                      <c:pt idx="1">
                        <c:v>52.746289891514266</c:v>
                      </c:pt>
                      <c:pt idx="2">
                        <c:v>112.61613804769644</c:v>
                      </c:pt>
                      <c:pt idx="3">
                        <c:v>117.35206563487873</c:v>
                      </c:pt>
                      <c:pt idx="4">
                        <c:v>140.78232269345438</c:v>
                      </c:pt>
                      <c:pt idx="5">
                        <c:v>159.30803437963004</c:v>
                      </c:pt>
                      <c:pt idx="6">
                        <c:v>182.81374988156637</c:v>
                      </c:pt>
                      <c:pt idx="7">
                        <c:v>197.50762743258679</c:v>
                      </c:pt>
                      <c:pt idx="8">
                        <c:v>214.15234694799369</c:v>
                      </c:pt>
                      <c:pt idx="9">
                        <c:v>223.77289827109553</c:v>
                      </c:pt>
                      <c:pt idx="10">
                        <c:v>222.92364137088322</c:v>
                      </c:pt>
                      <c:pt idx="11">
                        <c:v>247.73506810816451</c:v>
                      </c:pt>
                      <c:pt idx="12">
                        <c:v>217.92065980642832</c:v>
                      </c:pt>
                      <c:pt idx="13">
                        <c:v>194.2664358378625</c:v>
                      </c:pt>
                      <c:pt idx="14">
                        <c:v>183.99113340345218</c:v>
                      </c:pt>
                      <c:pt idx="15">
                        <c:v>159.93098302751235</c:v>
                      </c:pt>
                      <c:pt idx="16">
                        <c:v>178.07237920359063</c:v>
                      </c:pt>
                      <c:pt idx="17">
                        <c:v>167.75356684048529</c:v>
                      </c:pt>
                      <c:pt idx="18">
                        <c:v>159.40797368815146</c:v>
                      </c:pt>
                      <c:pt idx="19">
                        <c:v>140.18218007684686</c:v>
                      </c:pt>
                      <c:pt idx="20">
                        <c:v>143.98265513622931</c:v>
                      </c:pt>
                      <c:pt idx="21">
                        <c:v>153.77058335808903</c:v>
                      </c:pt>
                      <c:pt idx="22">
                        <c:v>149.41160899911472</c:v>
                      </c:pt>
                      <c:pt idx="23">
                        <c:v>162.08010788669492</c:v>
                      </c:pt>
                      <c:pt idx="24">
                        <c:v>174.75826147103862</c:v>
                      </c:pt>
                      <c:pt idx="25">
                        <c:v>163.24454660480086</c:v>
                      </c:pt>
                      <c:pt idx="26">
                        <c:v>168.74747849474221</c:v>
                      </c:pt>
                      <c:pt idx="27">
                        <c:v>149.94966428709193</c:v>
                      </c:pt>
                      <c:pt idx="28">
                        <c:v>208.9828719036866</c:v>
                      </c:pt>
                      <c:pt idx="29">
                        <c:v>216.29098224994198</c:v>
                      </c:pt>
                      <c:pt idx="30">
                        <c:v>235.58160838095898</c:v>
                      </c:pt>
                      <c:pt idx="31">
                        <c:v>264.73716393651449</c:v>
                      </c:pt>
                      <c:pt idx="32">
                        <c:v>278.04411422095671</c:v>
                      </c:pt>
                      <c:pt idx="33">
                        <c:v>289.24897416020747</c:v>
                      </c:pt>
                      <c:pt idx="34">
                        <c:v>280.13860512176234</c:v>
                      </c:pt>
                      <c:pt idx="35">
                        <c:v>293.60014358330079</c:v>
                      </c:pt>
                      <c:pt idx="36">
                        <c:v>309.71675524446698</c:v>
                      </c:pt>
                      <c:pt idx="37">
                        <c:v>328.6831375826506</c:v>
                      </c:pt>
                      <c:pt idx="38">
                        <c:v>336.85576064401272</c:v>
                      </c:pt>
                      <c:pt idx="39">
                        <c:v>344.03490050178453</c:v>
                      </c:pt>
                      <c:pt idx="40">
                        <c:v>354.9755553590939</c:v>
                      </c:pt>
                      <c:pt idx="41">
                        <c:v>338.17752580244365</c:v>
                      </c:pt>
                      <c:pt idx="42">
                        <c:v>344.9351606302539</c:v>
                      </c:pt>
                      <c:pt idx="43">
                        <c:v>347.97313531379825</c:v>
                      </c:pt>
                      <c:pt idx="44">
                        <c:v>341.8212922020723</c:v>
                      </c:pt>
                      <c:pt idx="45">
                        <c:v>369.51294648111241</c:v>
                      </c:pt>
                      <c:pt idx="46">
                        <c:v>387.91837481020485</c:v>
                      </c:pt>
                      <c:pt idx="47">
                        <c:v>402.24028508072411</c:v>
                      </c:pt>
                      <c:pt idx="48">
                        <c:v>412.26842527003089</c:v>
                      </c:pt>
                      <c:pt idx="49">
                        <c:v>408.5436836739791</c:v>
                      </c:pt>
                      <c:pt idx="50">
                        <c:v>404.50217630095892</c:v>
                      </c:pt>
                      <c:pt idx="51">
                        <c:v>386.91600339654599</c:v>
                      </c:pt>
                      <c:pt idx="52">
                        <c:v>365.76052759773233</c:v>
                      </c:pt>
                      <c:pt idx="53">
                        <c:v>346.51490835211303</c:v>
                      </c:pt>
                      <c:pt idx="54">
                        <c:v>344.71050782429512</c:v>
                      </c:pt>
                      <c:pt idx="55">
                        <c:v>335.21586770178362</c:v>
                      </c:pt>
                      <c:pt idx="56">
                        <c:v>333.45781508314582</c:v>
                      </c:pt>
                      <c:pt idx="57">
                        <c:v>347.190209449343</c:v>
                      </c:pt>
                      <c:pt idx="58">
                        <c:v>347.190209449343</c:v>
                      </c:pt>
                      <c:pt idx="59">
                        <c:v>352.070209449343</c:v>
                      </c:pt>
                      <c:pt idx="60">
                        <c:v>362.71020944934293</c:v>
                      </c:pt>
                      <c:pt idx="61">
                        <c:v>381.08520944934298</c:v>
                      </c:pt>
                      <c:pt idx="62">
                        <c:v>411.07520944934299</c:v>
                      </c:pt>
                      <c:pt idx="63">
                        <c:v>423.375209449343</c:v>
                      </c:pt>
                      <c:pt idx="64">
                        <c:v>443.23520944934302</c:v>
                      </c:pt>
                      <c:pt idx="65">
                        <c:v>415.65520944934298</c:v>
                      </c:pt>
                      <c:pt idx="66">
                        <c:v>400.65520944934298</c:v>
                      </c:pt>
                      <c:pt idx="67">
                        <c:v>400.08520944934304</c:v>
                      </c:pt>
                      <c:pt idx="68">
                        <c:v>384.78520944934303</c:v>
                      </c:pt>
                      <c:pt idx="69">
                        <c:v>364.62520944934306</c:v>
                      </c:pt>
                      <c:pt idx="70">
                        <c:v>387.62520944934306</c:v>
                      </c:pt>
                      <c:pt idx="71">
                        <c:v>387.47520944934308</c:v>
                      </c:pt>
                      <c:pt idx="72">
                        <c:v>391.73520944934307</c:v>
                      </c:pt>
                      <c:pt idx="73">
                        <c:v>400.8952094493431</c:v>
                      </c:pt>
                      <c:pt idx="74">
                        <c:v>364.27520944934309</c:v>
                      </c:pt>
                      <c:pt idx="75">
                        <c:v>438.83520944934304</c:v>
                      </c:pt>
                      <c:pt idx="76">
                        <c:v>472.55520944934307</c:v>
                      </c:pt>
                      <c:pt idx="77">
                        <c:v>446.91520944934308</c:v>
                      </c:pt>
                      <c:pt idx="78">
                        <c:v>433.65520944934303</c:v>
                      </c:pt>
                      <c:pt idx="79">
                        <c:v>445.315209449343</c:v>
                      </c:pt>
                      <c:pt idx="80">
                        <c:v>462.815209449343</c:v>
                      </c:pt>
                      <c:pt idx="81">
                        <c:v>487.65520944934303</c:v>
                      </c:pt>
                      <c:pt idx="82">
                        <c:v>477.95520944934304</c:v>
                      </c:pt>
                      <c:pt idx="83">
                        <c:v>474.80520944934301</c:v>
                      </c:pt>
                      <c:pt idx="84">
                        <c:v>505.84520944934303</c:v>
                      </c:pt>
                      <c:pt idx="85">
                        <c:v>498.64520944934299</c:v>
                      </c:pt>
                      <c:pt idx="86">
                        <c:v>475.08520944934298</c:v>
                      </c:pt>
                      <c:pt idx="87">
                        <c:v>493.80319283450388</c:v>
                      </c:pt>
                      <c:pt idx="88">
                        <c:v>516.09052256979044</c:v>
                      </c:pt>
                      <c:pt idx="89">
                        <c:v>558.83052256979045</c:v>
                      </c:pt>
                      <c:pt idx="90">
                        <c:v>581.83052256979045</c:v>
                      </c:pt>
                      <c:pt idx="91">
                        <c:v>593.71052256979044</c:v>
                      </c:pt>
                      <c:pt idx="92">
                        <c:v>599.99052256979041</c:v>
                      </c:pt>
                      <c:pt idx="93">
                        <c:v>604.00428857408906</c:v>
                      </c:pt>
                      <c:pt idx="94">
                        <c:v>567.37428857408906</c:v>
                      </c:pt>
                      <c:pt idx="95">
                        <c:v>563.59428857408898</c:v>
                      </c:pt>
                      <c:pt idx="96">
                        <c:v>585.49428857408907</c:v>
                      </c:pt>
                      <c:pt idx="97">
                        <c:v>525.34428857408909</c:v>
                      </c:pt>
                      <c:pt idx="98">
                        <c:v>492.02428857408904</c:v>
                      </c:pt>
                      <c:pt idx="99">
                        <c:v>503.78169896724296</c:v>
                      </c:pt>
                      <c:pt idx="100">
                        <c:v>509.98169896724301</c:v>
                      </c:pt>
                      <c:pt idx="101">
                        <c:v>517.84169896724302</c:v>
                      </c:pt>
                      <c:pt idx="102">
                        <c:v>533.58884360937736</c:v>
                      </c:pt>
                      <c:pt idx="103">
                        <c:v>513.85884360937735</c:v>
                      </c:pt>
                      <c:pt idx="104">
                        <c:v>543.25884360937732</c:v>
                      </c:pt>
                      <c:pt idx="105">
                        <c:v>495.42884360937734</c:v>
                      </c:pt>
                      <c:pt idx="106">
                        <c:v>503.80884360937733</c:v>
                      </c:pt>
                      <c:pt idx="107">
                        <c:v>490.68884360937739</c:v>
                      </c:pt>
                      <c:pt idx="108">
                        <c:v>492.60884360937735</c:v>
                      </c:pt>
                      <c:pt idx="109">
                        <c:v>491.52093152146523</c:v>
                      </c:pt>
                      <c:pt idx="110">
                        <c:v>519.83093152146523</c:v>
                      </c:pt>
                      <c:pt idx="111">
                        <c:v>534.00314281297483</c:v>
                      </c:pt>
                      <c:pt idx="112">
                        <c:v>541.92771813382046</c:v>
                      </c:pt>
                      <c:pt idx="113">
                        <c:v>564.89771813382049</c:v>
                      </c:pt>
                      <c:pt idx="114">
                        <c:v>573.9977181338204</c:v>
                      </c:pt>
                      <c:pt idx="115">
                        <c:v>587.22771813382042</c:v>
                      </c:pt>
                      <c:pt idx="116">
                        <c:v>604.52771813382037</c:v>
                      </c:pt>
                      <c:pt idx="117">
                        <c:v>602.64919590464069</c:v>
                      </c:pt>
                      <c:pt idx="118">
                        <c:v>580.92919590464066</c:v>
                      </c:pt>
                      <c:pt idx="119">
                        <c:v>606.20919590464064</c:v>
                      </c:pt>
                      <c:pt idx="120">
                        <c:v>592.64919590464069</c:v>
                      </c:pt>
                      <c:pt idx="121">
                        <c:v>573.25919590464082</c:v>
                      </c:pt>
                      <c:pt idx="122">
                        <c:v>568.70943287146542</c:v>
                      </c:pt>
                      <c:pt idx="123">
                        <c:v>564.38943287146549</c:v>
                      </c:pt>
                      <c:pt idx="124">
                        <c:v>576.1294328714655</c:v>
                      </c:pt>
                      <c:pt idx="125">
                        <c:v>592.38943287146549</c:v>
                      </c:pt>
                      <c:pt idx="126">
                        <c:v>593.64488186885001</c:v>
                      </c:pt>
                      <c:pt idx="127">
                        <c:v>609.8071782617958</c:v>
                      </c:pt>
                      <c:pt idx="128">
                        <c:v>613.22717826179587</c:v>
                      </c:pt>
                      <c:pt idx="129">
                        <c:v>615.02717826179583</c:v>
                      </c:pt>
                      <c:pt idx="130">
                        <c:v>631.52717826179583</c:v>
                      </c:pt>
                      <c:pt idx="131">
                        <c:v>629.86717826179586</c:v>
                      </c:pt>
                      <c:pt idx="132">
                        <c:v>643.36717826179586</c:v>
                      </c:pt>
                      <c:pt idx="133">
                        <c:v>643.71717826179588</c:v>
                      </c:pt>
                      <c:pt idx="134">
                        <c:v>610.59717826179588</c:v>
                      </c:pt>
                      <c:pt idx="135">
                        <c:v>633.84717826179588</c:v>
                      </c:pt>
                      <c:pt idx="136">
                        <c:v>579.82717826179578</c:v>
                      </c:pt>
                      <c:pt idx="137">
                        <c:v>561.96317826179575</c:v>
                      </c:pt>
                      <c:pt idx="138">
                        <c:v>561.12317826179583</c:v>
                      </c:pt>
                      <c:pt idx="139">
                        <c:v>528.08317826179587</c:v>
                      </c:pt>
                      <c:pt idx="140">
                        <c:v>608.33790761186151</c:v>
                      </c:pt>
                      <c:pt idx="141">
                        <c:v>588.96729478750626</c:v>
                      </c:pt>
                      <c:pt idx="142">
                        <c:v>585.04729478750619</c:v>
                      </c:pt>
                      <c:pt idx="143">
                        <c:v>561.74729478750623</c:v>
                      </c:pt>
                      <c:pt idx="144">
                        <c:v>554.06729478750617</c:v>
                      </c:pt>
                      <c:pt idx="145">
                        <c:v>548.98729478750613</c:v>
                      </c:pt>
                      <c:pt idx="146">
                        <c:v>547.88729478750611</c:v>
                      </c:pt>
                      <c:pt idx="147">
                        <c:v>569.72729478750603</c:v>
                      </c:pt>
                      <c:pt idx="148">
                        <c:v>545.59729478750603</c:v>
                      </c:pt>
                      <c:pt idx="149">
                        <c:v>522.90954002980902</c:v>
                      </c:pt>
                      <c:pt idx="150">
                        <c:v>525.54954002980901</c:v>
                      </c:pt>
                      <c:pt idx="151">
                        <c:v>525.06954002980899</c:v>
                      </c:pt>
                      <c:pt idx="152">
                        <c:v>514.74954002980894</c:v>
                      </c:pt>
                      <c:pt idx="153">
                        <c:v>498.56954002980893</c:v>
                      </c:pt>
                      <c:pt idx="154">
                        <c:v>494.45954002980892</c:v>
                      </c:pt>
                      <c:pt idx="155">
                        <c:v>481.45954002980892</c:v>
                      </c:pt>
                      <c:pt idx="156">
                        <c:v>524.76954002980892</c:v>
                      </c:pt>
                      <c:pt idx="157">
                        <c:v>518.25954002980893</c:v>
                      </c:pt>
                      <c:pt idx="158">
                        <c:v>613.55954002980889</c:v>
                      </c:pt>
                      <c:pt idx="159">
                        <c:v>607.33954002980886</c:v>
                      </c:pt>
                      <c:pt idx="160">
                        <c:v>589.99954002980883</c:v>
                      </c:pt>
                      <c:pt idx="161">
                        <c:v>585.62954002980882</c:v>
                      </c:pt>
                      <c:pt idx="162">
                        <c:v>629.62954002980882</c:v>
                      </c:pt>
                      <c:pt idx="163">
                        <c:v>642.13954002980893</c:v>
                      </c:pt>
                      <c:pt idx="164">
                        <c:v>640.63954002980893</c:v>
                      </c:pt>
                      <c:pt idx="165">
                        <c:v>636.58954002980897</c:v>
                      </c:pt>
                      <c:pt idx="166">
                        <c:v>600.33954002980897</c:v>
                      </c:pt>
                      <c:pt idx="167">
                        <c:v>617.189540029809</c:v>
                      </c:pt>
                      <c:pt idx="168">
                        <c:v>617.12954002980894</c:v>
                      </c:pt>
                      <c:pt idx="169">
                        <c:v>629.91954002980901</c:v>
                      </c:pt>
                      <c:pt idx="170">
                        <c:v>613.65954002980902</c:v>
                      </c:pt>
                      <c:pt idx="171">
                        <c:v>640.6995400298091</c:v>
                      </c:pt>
                      <c:pt idx="172">
                        <c:v>622.0795400298091</c:v>
                      </c:pt>
                      <c:pt idx="173">
                        <c:v>594.65954002980914</c:v>
                      </c:pt>
                      <c:pt idx="174">
                        <c:v>601.25954002980916</c:v>
                      </c:pt>
                      <c:pt idx="175">
                        <c:v>613.41954002980924</c:v>
                      </c:pt>
                      <c:pt idx="176">
                        <c:v>616.51954002980915</c:v>
                      </c:pt>
                      <c:pt idx="177">
                        <c:v>647.86954002980906</c:v>
                      </c:pt>
                      <c:pt idx="178">
                        <c:v>676.48954002980906</c:v>
                      </c:pt>
                      <c:pt idx="179">
                        <c:v>701.689540029809</c:v>
                      </c:pt>
                      <c:pt idx="180">
                        <c:v>689.36954002980906</c:v>
                      </c:pt>
                      <c:pt idx="181">
                        <c:v>694.40954002980902</c:v>
                      </c:pt>
                      <c:pt idx="182">
                        <c:v>679.70954002980898</c:v>
                      </c:pt>
                      <c:pt idx="183">
                        <c:v>651.574158969677</c:v>
                      </c:pt>
                      <c:pt idx="184">
                        <c:v>687.24415896967707</c:v>
                      </c:pt>
                      <c:pt idx="185">
                        <c:v>688.91415896967715</c:v>
                      </c:pt>
                      <c:pt idx="186">
                        <c:v>702.00415896967706</c:v>
                      </c:pt>
                      <c:pt idx="187">
                        <c:v>681.00415896967706</c:v>
                      </c:pt>
                      <c:pt idx="188">
                        <c:v>716.44870778992345</c:v>
                      </c:pt>
                      <c:pt idx="189">
                        <c:v>707.11870778992341</c:v>
                      </c:pt>
                      <c:pt idx="190">
                        <c:v>688.01767686208836</c:v>
                      </c:pt>
                      <c:pt idx="191">
                        <c:v>689.17767686208845</c:v>
                      </c:pt>
                      <c:pt idx="192">
                        <c:v>688.02767686208847</c:v>
                      </c:pt>
                      <c:pt idx="193">
                        <c:v>667.04767686208845</c:v>
                      </c:pt>
                      <c:pt idx="194">
                        <c:v>667.2276768620884</c:v>
                      </c:pt>
                      <c:pt idx="195">
                        <c:v>653.64277120171107</c:v>
                      </c:pt>
                      <c:pt idx="196">
                        <c:v>636.63316900692371</c:v>
                      </c:pt>
                      <c:pt idx="197">
                        <c:v>763.47316900692363</c:v>
                      </c:pt>
                      <c:pt idx="198">
                        <c:v>765.54213452416502</c:v>
                      </c:pt>
                      <c:pt idx="199">
                        <c:v>796.54128055320007</c:v>
                      </c:pt>
                      <c:pt idx="200">
                        <c:v>750.23465560421346</c:v>
                      </c:pt>
                      <c:pt idx="201">
                        <c:v>759.83465560421348</c:v>
                      </c:pt>
                      <c:pt idx="202">
                        <c:v>740.33465560421348</c:v>
                      </c:pt>
                      <c:pt idx="203">
                        <c:v>737.9346556042135</c:v>
                      </c:pt>
                      <c:pt idx="204">
                        <c:v>756.96182393583513</c:v>
                      </c:pt>
                      <c:pt idx="205">
                        <c:v>743.60182393583511</c:v>
                      </c:pt>
                      <c:pt idx="206">
                        <c:v>741.62182393583521</c:v>
                      </c:pt>
                      <c:pt idx="207">
                        <c:v>790.72182393583512</c:v>
                      </c:pt>
                      <c:pt idx="208">
                        <c:v>796.2418239358351</c:v>
                      </c:pt>
                      <c:pt idx="209">
                        <c:v>787.54182393583517</c:v>
                      </c:pt>
                      <c:pt idx="210">
                        <c:v>834.83790099011435</c:v>
                      </c:pt>
                      <c:pt idx="211">
                        <c:v>853.1379009901143</c:v>
                      </c:pt>
                      <c:pt idx="212">
                        <c:v>871.93790099011426</c:v>
                      </c:pt>
                      <c:pt idx="213">
                        <c:v>843.67790099011427</c:v>
                      </c:pt>
                      <c:pt idx="214">
                        <c:v>884.05790099011438</c:v>
                      </c:pt>
                      <c:pt idx="215">
                        <c:v>868.01790099011441</c:v>
                      </c:pt>
                      <c:pt idx="216">
                        <c:v>856.87932791382514</c:v>
                      </c:pt>
                      <c:pt idx="217">
                        <c:v>853.0393279138251</c:v>
                      </c:pt>
                      <c:pt idx="218">
                        <c:v>844.33932791382517</c:v>
                      </c:pt>
                      <c:pt idx="219">
                        <c:v>848.31932791382519</c:v>
                      </c:pt>
                      <c:pt idx="220">
                        <c:v>868.59932791382516</c:v>
                      </c:pt>
                      <c:pt idx="221">
                        <c:v>867.09932791382516</c:v>
                      </c:pt>
                      <c:pt idx="222">
                        <c:v>870.04932791382521</c:v>
                      </c:pt>
                      <c:pt idx="223">
                        <c:v>859.5593279138252</c:v>
                      </c:pt>
                      <c:pt idx="224">
                        <c:v>845.5593279138252</c:v>
                      </c:pt>
                      <c:pt idx="225">
                        <c:v>846.81932791382519</c:v>
                      </c:pt>
                      <c:pt idx="226">
                        <c:v>875.61932791382515</c:v>
                      </c:pt>
                      <c:pt idx="227">
                        <c:v>898.10932791382515</c:v>
                      </c:pt>
                      <c:pt idx="228">
                        <c:v>928.02932791382523</c:v>
                      </c:pt>
                      <c:pt idx="229">
                        <c:v>905.82932791382518</c:v>
                      </c:pt>
                      <c:pt idx="230">
                        <c:v>1028.4793279138253</c:v>
                      </c:pt>
                      <c:pt idx="231">
                        <c:v>1031.8595180495204</c:v>
                      </c:pt>
                      <c:pt idx="232">
                        <c:v>1034.2355204255227</c:v>
                      </c:pt>
                      <c:pt idx="233">
                        <c:v>1038.0309381529005</c:v>
                      </c:pt>
                      <c:pt idx="234">
                        <c:v>1036.7675502785744</c:v>
                      </c:pt>
                      <c:pt idx="235">
                        <c:v>1033.0975502785743</c:v>
                      </c:pt>
                      <c:pt idx="236">
                        <c:v>1077.9775502785744</c:v>
                      </c:pt>
                      <c:pt idx="237">
                        <c:v>1063.2775502785744</c:v>
                      </c:pt>
                      <c:pt idx="238">
                        <c:v>1058.00861504257</c:v>
                      </c:pt>
                      <c:pt idx="239">
                        <c:v>1041.6286150425699</c:v>
                      </c:pt>
                      <c:pt idx="240">
                        <c:v>1051.28861504257</c:v>
                      </c:pt>
                      <c:pt idx="241">
                        <c:v>1048.0686150425699</c:v>
                      </c:pt>
                      <c:pt idx="242">
                        <c:v>1025.04861504257</c:v>
                      </c:pt>
                      <c:pt idx="243">
                        <c:v>1024.7086150425698</c:v>
                      </c:pt>
                      <c:pt idx="244">
                        <c:v>1028.8086150425697</c:v>
                      </c:pt>
                      <c:pt idx="245">
                        <c:v>1051.2486150425698</c:v>
                      </c:pt>
                      <c:pt idx="246">
                        <c:v>1025.6729571478329</c:v>
                      </c:pt>
                      <c:pt idx="247">
                        <c:v>1050.9929571478328</c:v>
                      </c:pt>
                      <c:pt idx="248">
                        <c:v>1049.2229571478329</c:v>
                      </c:pt>
                      <c:pt idx="249">
                        <c:v>1033.8229571478328</c:v>
                      </c:pt>
                      <c:pt idx="250">
                        <c:v>1016.8229571478328</c:v>
                      </c:pt>
                      <c:pt idx="251">
                        <c:v>1022.8029571478328</c:v>
                      </c:pt>
                      <c:pt idx="252">
                        <c:v>1011.7498821688943</c:v>
                      </c:pt>
                      <c:pt idx="253">
                        <c:v>1083.5998821688943</c:v>
                      </c:pt>
                      <c:pt idx="254">
                        <c:v>1156.5998821688943</c:v>
                      </c:pt>
                      <c:pt idx="255">
                        <c:v>1180.9511144195878</c:v>
                      </c:pt>
                      <c:pt idx="256">
                        <c:v>1158.8579150456292</c:v>
                      </c:pt>
                      <c:pt idx="257">
                        <c:v>1207.6379150456291</c:v>
                      </c:pt>
                      <c:pt idx="258">
                        <c:v>1198.6679150456291</c:v>
                      </c:pt>
                      <c:pt idx="259">
                        <c:v>1186.007915045629</c:v>
                      </c:pt>
                      <c:pt idx="260">
                        <c:v>1205.067915045629</c:v>
                      </c:pt>
                      <c:pt idx="261">
                        <c:v>1211.8679150456289</c:v>
                      </c:pt>
                      <c:pt idx="262">
                        <c:v>1256.6279150456289</c:v>
                      </c:pt>
                      <c:pt idx="263">
                        <c:v>1282.4279150456291</c:v>
                      </c:pt>
                      <c:pt idx="264">
                        <c:v>1306.3584810388802</c:v>
                      </c:pt>
                      <c:pt idx="265">
                        <c:v>1350.6584810388802</c:v>
                      </c:pt>
                      <c:pt idx="266">
                        <c:v>1365.2084810388801</c:v>
                      </c:pt>
                      <c:pt idx="267">
                        <c:v>1360.1684810388801</c:v>
                      </c:pt>
                      <c:pt idx="268">
                        <c:v>1348.0484810388803</c:v>
                      </c:pt>
                      <c:pt idx="269">
                        <c:v>1349.6500842452931</c:v>
                      </c:pt>
                      <c:pt idx="270">
                        <c:v>1389.500084245293</c:v>
                      </c:pt>
                      <c:pt idx="271">
                        <c:v>1398.8000842452932</c:v>
                      </c:pt>
                      <c:pt idx="272">
                        <c:v>1383.8400842452934</c:v>
                      </c:pt>
                      <c:pt idx="273">
                        <c:v>1361.4400842452935</c:v>
                      </c:pt>
                      <c:pt idx="274">
                        <c:v>1392.8000842452934</c:v>
                      </c:pt>
                      <c:pt idx="275">
                        <c:v>1328.0100842452937</c:v>
                      </c:pt>
                      <c:pt idx="276">
                        <c:v>1395.8600842452938</c:v>
                      </c:pt>
                      <c:pt idx="277">
                        <c:v>1469.960084245294</c:v>
                      </c:pt>
                      <c:pt idx="278">
                        <c:v>1404.3100842452939</c:v>
                      </c:pt>
                      <c:pt idx="279">
                        <c:v>1533.610084245294</c:v>
                      </c:pt>
                      <c:pt idx="280">
                        <c:v>1573.4000842452942</c:v>
                      </c:pt>
                      <c:pt idx="281">
                        <c:v>1381.5200842452944</c:v>
                      </c:pt>
                      <c:pt idx="282">
                        <c:v>1340.5400842452946</c:v>
                      </c:pt>
                      <c:pt idx="283">
                        <c:v>1270.5400842452946</c:v>
                      </c:pt>
                      <c:pt idx="284">
                        <c:v>1223.1400842452947</c:v>
                      </c:pt>
                      <c:pt idx="285">
                        <c:v>1231.8800842452949</c:v>
                      </c:pt>
                      <c:pt idx="286">
                        <c:v>1321.4800842452948</c:v>
                      </c:pt>
                      <c:pt idx="287">
                        <c:v>1307.6800842452947</c:v>
                      </c:pt>
                      <c:pt idx="288">
                        <c:v>1372.5700842452948</c:v>
                      </c:pt>
                      <c:pt idx="289">
                        <c:v>1359.9700842452946</c:v>
                      </c:pt>
                      <c:pt idx="290">
                        <c:v>1502.0700842452945</c:v>
                      </c:pt>
                      <c:pt idx="291">
                        <c:v>1577.6700842452947</c:v>
                      </c:pt>
                      <c:pt idx="292">
                        <c:v>1602.3900842452947</c:v>
                      </c:pt>
                      <c:pt idx="293">
                        <c:v>1753.8600842452947</c:v>
                      </c:pt>
                      <c:pt idx="294">
                        <c:v>1764.860084245295</c:v>
                      </c:pt>
                      <c:pt idx="295">
                        <c:v>1869.4100842452949</c:v>
                      </c:pt>
                      <c:pt idx="296">
                        <c:v>1786.7000842452949</c:v>
                      </c:pt>
                      <c:pt idx="297">
                        <c:v>1673.8600842452947</c:v>
                      </c:pt>
                      <c:pt idx="298">
                        <c:v>1598.8200842452948</c:v>
                      </c:pt>
                      <c:pt idx="299">
                        <c:v>1627.7500842452948</c:v>
                      </c:pt>
                      <c:pt idx="300">
                        <c:v>1559.9500842452946</c:v>
                      </c:pt>
                      <c:pt idx="301">
                        <c:v>1552.8000842452948</c:v>
                      </c:pt>
                      <c:pt idx="302">
                        <c:v>1649.1900842452947</c:v>
                      </c:pt>
                      <c:pt idx="303">
                        <c:v>1599.6900842452949</c:v>
                      </c:pt>
                      <c:pt idx="304">
                        <c:v>1615.2000842452949</c:v>
                      </c:pt>
                      <c:pt idx="305">
                        <c:v>1542.6000842452945</c:v>
                      </c:pt>
                      <c:pt idx="306">
                        <c:v>1612.5200842452944</c:v>
                      </c:pt>
                      <c:pt idx="307">
                        <c:v>1411.8800842452943</c:v>
                      </c:pt>
                      <c:pt idx="308">
                        <c:v>1887.9600842452942</c:v>
                      </c:pt>
                      <c:pt idx="309">
                        <c:v>1925.9700842452942</c:v>
                      </c:pt>
                      <c:pt idx="310">
                        <c:v>1837.7300842452942</c:v>
                      </c:pt>
                      <c:pt idx="311">
                        <c:v>1718.8300842452943</c:v>
                      </c:pt>
                      <c:pt idx="312">
                        <c:v>1686.9800842452942</c:v>
                      </c:pt>
                      <c:pt idx="313">
                        <c:v>1764.880084245294</c:v>
                      </c:pt>
                      <c:pt idx="314">
                        <c:v>1760.400084245294</c:v>
                      </c:pt>
                      <c:pt idx="315">
                        <c:v>1358.8051978111375</c:v>
                      </c:pt>
                      <c:pt idx="316">
                        <c:v>1241.6051978111375</c:v>
                      </c:pt>
                      <c:pt idx="317">
                        <c:v>1124.4251978111377</c:v>
                      </c:pt>
                      <c:pt idx="318">
                        <c:v>997.48519781113782</c:v>
                      </c:pt>
                      <c:pt idx="319">
                        <c:v>1017.4851978111378</c:v>
                      </c:pt>
                      <c:pt idx="320">
                        <c:v>1223.2251978111378</c:v>
                      </c:pt>
                      <c:pt idx="321">
                        <c:v>1138.3551978111377</c:v>
                      </c:pt>
                      <c:pt idx="322">
                        <c:v>1166.6351978111377</c:v>
                      </c:pt>
                      <c:pt idx="323">
                        <c:v>1248.5351978111376</c:v>
                      </c:pt>
                      <c:pt idx="324">
                        <c:v>1286.6015552852725</c:v>
                      </c:pt>
                      <c:pt idx="325">
                        <c:v>1144.2815552852726</c:v>
                      </c:pt>
                      <c:pt idx="326">
                        <c:v>913.68155528527268</c:v>
                      </c:pt>
                      <c:pt idx="327">
                        <c:v>828.17764078297364</c:v>
                      </c:pt>
                      <c:pt idx="328">
                        <c:v>739.25764078297357</c:v>
                      </c:pt>
                      <c:pt idx="329">
                        <c:v>870.15764078297366</c:v>
                      </c:pt>
                      <c:pt idx="330">
                        <c:v>934.95764078297384</c:v>
                      </c:pt>
                      <c:pt idx="331">
                        <c:v>928.19764078297385</c:v>
                      </c:pt>
                      <c:pt idx="332">
                        <c:v>840.89764078297389</c:v>
                      </c:pt>
                      <c:pt idx="333">
                        <c:v>899.03764078297399</c:v>
                      </c:pt>
                      <c:pt idx="334">
                        <c:v>817.73764078297404</c:v>
                      </c:pt>
                      <c:pt idx="335">
                        <c:v>785.88764078297436</c:v>
                      </c:pt>
                      <c:pt idx="336">
                        <c:v>687.48764078297427</c:v>
                      </c:pt>
                      <c:pt idx="337">
                        <c:v>596.2276407829745</c:v>
                      </c:pt>
                      <c:pt idx="338">
                        <c:v>633.11764078297438</c:v>
                      </c:pt>
                      <c:pt idx="339">
                        <c:v>736.85764078297439</c:v>
                      </c:pt>
                      <c:pt idx="340">
                        <c:v>1085.0976407829744</c:v>
                      </c:pt>
                      <c:pt idx="341">
                        <c:v>1031.3076407829744</c:v>
                      </c:pt>
                      <c:pt idx="342">
                        <c:v>1049.2476407829745</c:v>
                      </c:pt>
                      <c:pt idx="343">
                        <c:v>1127.6476407829746</c:v>
                      </c:pt>
                      <c:pt idx="344">
                        <c:v>1313.4076407829746</c:v>
                      </c:pt>
                      <c:pt idx="345">
                        <c:v>1293.7202526431345</c:v>
                      </c:pt>
                      <c:pt idx="346">
                        <c:v>1341.4802526431345</c:v>
                      </c:pt>
                      <c:pt idx="347">
                        <c:v>1630.0102526431344</c:v>
                      </c:pt>
                      <c:pt idx="348">
                        <c:v>1499.6902526431345</c:v>
                      </c:pt>
                      <c:pt idx="349">
                        <c:v>1369.0452526431347</c:v>
                      </c:pt>
                      <c:pt idx="350">
                        <c:v>1285.5252526431348</c:v>
                      </c:pt>
                      <c:pt idx="351">
                        <c:v>1378.5852526431347</c:v>
                      </c:pt>
                      <c:pt idx="352">
                        <c:v>1310.4252526431349</c:v>
                      </c:pt>
                      <c:pt idx="353">
                        <c:v>1306.4652526431346</c:v>
                      </c:pt>
                      <c:pt idx="354">
                        <c:v>1391.5652526431345</c:v>
                      </c:pt>
                      <c:pt idx="355">
                        <c:v>1254.9452526431344</c:v>
                      </c:pt>
                      <c:pt idx="356">
                        <c:v>1306.1852526431344</c:v>
                      </c:pt>
                      <c:pt idx="357">
                        <c:v>1226.2652526431345</c:v>
                      </c:pt>
                      <c:pt idx="358">
                        <c:v>1476.6452526431347</c:v>
                      </c:pt>
                      <c:pt idx="359">
                        <c:v>1525.5952526431347</c:v>
                      </c:pt>
                      <c:pt idx="360">
                        <c:v>1453.9552526431346</c:v>
                      </c:pt>
                      <c:pt idx="361">
                        <c:v>1300.4452526431346</c:v>
                      </c:pt>
                      <c:pt idx="362">
                        <c:v>1178.2452526431346</c:v>
                      </c:pt>
                      <c:pt idx="363">
                        <c:v>1192.6990485895446</c:v>
                      </c:pt>
                      <c:pt idx="364">
                        <c:v>1203.0190485895446</c:v>
                      </c:pt>
                      <c:pt idx="365">
                        <c:v>1241.4190485895449</c:v>
                      </c:pt>
                      <c:pt idx="366">
                        <c:v>1253.7690485895448</c:v>
                      </c:pt>
                      <c:pt idx="367">
                        <c:v>1315.0890485895447</c:v>
                      </c:pt>
                      <c:pt idx="368">
                        <c:v>1075.4790485895446</c:v>
                      </c:pt>
                      <c:pt idx="369">
                        <c:v>1340.3790485895449</c:v>
                      </c:pt>
                      <c:pt idx="370">
                        <c:v>1261.2340485895452</c:v>
                      </c:pt>
                      <c:pt idx="371">
                        <c:v>1305.3940485895455</c:v>
                      </c:pt>
                      <c:pt idx="372">
                        <c:v>1295.7940485895456</c:v>
                      </c:pt>
                      <c:pt idx="373">
                        <c:v>1117.0440485895456</c:v>
                      </c:pt>
                      <c:pt idx="374">
                        <c:v>1183.8240485895456</c:v>
                      </c:pt>
                      <c:pt idx="375">
                        <c:v>1225.1640485895455</c:v>
                      </c:pt>
                      <c:pt idx="376">
                        <c:v>1478.3640485895457</c:v>
                      </c:pt>
                      <c:pt idx="377">
                        <c:v>1440.5640485895456</c:v>
                      </c:pt>
                      <c:pt idx="378">
                        <c:v>1473.6840485895457</c:v>
                      </c:pt>
                      <c:pt idx="379">
                        <c:v>1518.3240485895456</c:v>
                      </c:pt>
                      <c:pt idx="380">
                        <c:v>1463.3740485895455</c:v>
                      </c:pt>
                      <c:pt idx="381">
                        <c:v>1395.0940485895458</c:v>
                      </c:pt>
                      <c:pt idx="382">
                        <c:v>1283.5440485895458</c:v>
                      </c:pt>
                      <c:pt idx="383">
                        <c:v>1193.8140485895458</c:v>
                      </c:pt>
                      <c:pt idx="384">
                        <c:v>1104.4140485895457</c:v>
                      </c:pt>
                      <c:pt idx="385">
                        <c:v>1173.3390485895457</c:v>
                      </c:pt>
                      <c:pt idx="386">
                        <c:v>886.23904858954575</c:v>
                      </c:pt>
                      <c:pt idx="387">
                        <c:v>1003.2390485895457</c:v>
                      </c:pt>
                      <c:pt idx="388">
                        <c:v>1012.8640485895457</c:v>
                      </c:pt>
                      <c:pt idx="389">
                        <c:v>1051.2140485895457</c:v>
                      </c:pt>
                      <c:pt idx="390">
                        <c:v>948.16404858954547</c:v>
                      </c:pt>
                      <c:pt idx="391">
                        <c:v>930.58404858954532</c:v>
                      </c:pt>
                      <c:pt idx="392">
                        <c:v>845.58404858954509</c:v>
                      </c:pt>
                      <c:pt idx="393">
                        <c:v>581.05404858954512</c:v>
                      </c:pt>
                      <c:pt idx="394">
                        <c:v>554.3268027996296</c:v>
                      </c:pt>
                      <c:pt idx="395">
                        <c:v>505.0878286864945</c:v>
                      </c:pt>
                      <c:pt idx="396">
                        <c:v>692.60782868649449</c:v>
                      </c:pt>
                      <c:pt idx="397">
                        <c:v>791.16782868649443</c:v>
                      </c:pt>
                      <c:pt idx="398">
                        <c:v>736.90116201982755</c:v>
                      </c:pt>
                      <c:pt idx="399">
                        <c:v>940.90116201982778</c:v>
                      </c:pt>
                      <c:pt idx="400">
                        <c:v>870.058070684933</c:v>
                      </c:pt>
                      <c:pt idx="401">
                        <c:v>1008.758070684933</c:v>
                      </c:pt>
                      <c:pt idx="402">
                        <c:v>1051.1380706849332</c:v>
                      </c:pt>
                      <c:pt idx="403">
                        <c:v>927.63807068493315</c:v>
                      </c:pt>
                      <c:pt idx="404">
                        <c:v>813.71807068493308</c:v>
                      </c:pt>
                      <c:pt idx="405">
                        <c:v>892.55807068493277</c:v>
                      </c:pt>
                      <c:pt idx="406">
                        <c:v>818.45807068493309</c:v>
                      </c:pt>
                      <c:pt idx="407">
                        <c:v>1023.956978186754</c:v>
                      </c:pt>
                      <c:pt idx="408">
                        <c:v>1162.3635715933474</c:v>
                      </c:pt>
                      <c:pt idx="409">
                        <c:v>1241.1635715933471</c:v>
                      </c:pt>
                      <c:pt idx="410">
                        <c:v>1342.4135715933471</c:v>
                      </c:pt>
                      <c:pt idx="411">
                        <c:v>1771.1635715933471</c:v>
                      </c:pt>
                      <c:pt idx="412">
                        <c:v>1809.5035715933473</c:v>
                      </c:pt>
                      <c:pt idx="413">
                        <c:v>1892.0035715933473</c:v>
                      </c:pt>
                      <c:pt idx="414">
                        <c:v>2113.5535715933474</c:v>
                      </c:pt>
                      <c:pt idx="415">
                        <c:v>2161.8735715933472</c:v>
                      </c:pt>
                      <c:pt idx="416">
                        <c:v>2182.073571593347</c:v>
                      </c:pt>
                      <c:pt idx="417">
                        <c:v>1943.6735715933469</c:v>
                      </c:pt>
                      <c:pt idx="418">
                        <c:v>2018.1935715933469</c:v>
                      </c:pt>
                      <c:pt idx="419">
                        <c:v>1986.7235715933471</c:v>
                      </c:pt>
                      <c:pt idx="420">
                        <c:v>2229.7235715933471</c:v>
                      </c:pt>
                      <c:pt idx="421">
                        <c:v>2316.1235715933472</c:v>
                      </c:pt>
                      <c:pt idx="422">
                        <c:v>2543.6235715933472</c:v>
                      </c:pt>
                      <c:pt idx="423">
                        <c:v>2570.4735715933471</c:v>
                      </c:pt>
                      <c:pt idx="424">
                        <c:v>2550.553571593347</c:v>
                      </c:pt>
                      <c:pt idx="425">
                        <c:v>2599.303571593347</c:v>
                      </c:pt>
                      <c:pt idx="426">
                        <c:v>2638.4035715933469</c:v>
                      </c:pt>
                      <c:pt idx="427">
                        <c:v>2705.0635715933468</c:v>
                      </c:pt>
                      <c:pt idx="428">
                        <c:v>2776.5635715933468</c:v>
                      </c:pt>
                      <c:pt idx="429">
                        <c:v>2938.9635715933468</c:v>
                      </c:pt>
                      <c:pt idx="430">
                        <c:v>2889.9535715933466</c:v>
                      </c:pt>
                      <c:pt idx="431">
                        <c:v>2801.2935715933468</c:v>
                      </c:pt>
                      <c:pt idx="432">
                        <c:v>2718.1035715933467</c:v>
                      </c:pt>
                      <c:pt idx="433">
                        <c:v>2579.002379297413</c:v>
                      </c:pt>
                      <c:pt idx="434">
                        <c:v>2585.002379297413</c:v>
                      </c:pt>
                      <c:pt idx="435">
                        <c:v>2418.3023792974127</c:v>
                      </c:pt>
                      <c:pt idx="436">
                        <c:v>2331.4223792974126</c:v>
                      </c:pt>
                      <c:pt idx="437">
                        <c:v>2405.3723792974124</c:v>
                      </c:pt>
                      <c:pt idx="438">
                        <c:v>2423.8173792974126</c:v>
                      </c:pt>
                      <c:pt idx="439">
                        <c:v>2380.6173792974128</c:v>
                      </c:pt>
                      <c:pt idx="440">
                        <c:v>2468.7573792974126</c:v>
                      </c:pt>
                      <c:pt idx="441">
                        <c:v>2525.5573792974128</c:v>
                      </c:pt>
                      <c:pt idx="442">
                        <c:v>2489.107379297413</c:v>
                      </c:pt>
                      <c:pt idx="443">
                        <c:v>2530.3451061644173</c:v>
                      </c:pt>
                      <c:pt idx="444">
                        <c:v>2530.0993510259004</c:v>
                      </c:pt>
                    </c:numCache>
                  </c:numRef>
                </c:val>
                <c:smooth val="0"/>
                <c:extLst>
                  <c:ext xmlns:c16="http://schemas.microsoft.com/office/drawing/2014/chart" uri="{C3380CC4-5D6E-409C-BE32-E72D297353CC}">
                    <c16:uniqueId val="{00000000-187C-4E5C-AF5C-3A16EB84652B}"/>
                  </c:ext>
                </c:extLst>
              </c15:ser>
            </c15:filteredLineSeries>
          </c:ext>
        </c:extLst>
      </c:lineChart>
      <c:lineChart>
        <c:grouping val="standard"/>
        <c:varyColors val="0"/>
        <c:ser>
          <c:idx val="1"/>
          <c:order val="1"/>
          <c:tx>
            <c:v>Risk Units (Strategy)</c:v>
          </c:tx>
          <c:spPr>
            <a:ln w="28575" cap="rnd">
              <a:solidFill>
                <a:srgbClr val="00D600"/>
              </a:solidFill>
              <a:prstDash val="solid"/>
              <a:round/>
            </a:ln>
            <a:effectLst/>
          </c:spPr>
          <c:marker>
            <c:symbol val="none"/>
          </c:marker>
          <c:val>
            <c:numRef>
              <c:f>'2025-Q1'!$FQ$4:$FQ$448</c:f>
              <c:numCache>
                <c:formatCode>0</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18.659279222586413</c:v>
                </c:pt>
                <c:pt idx="84">
                  <c:v>19.92156043802008</c:v>
                </c:pt>
                <c:pt idx="85">
                  <c:v>19.608636687107385</c:v>
                </c:pt>
                <c:pt idx="86">
                  <c:v>18.720913343299216</c:v>
                </c:pt>
                <c:pt idx="87">
                  <c:v>19.500829317680921</c:v>
                </c:pt>
                <c:pt idx="88">
                  <c:v>20.429468056651192</c:v>
                </c:pt>
                <c:pt idx="89">
                  <c:v>21.987298029387347</c:v>
                </c:pt>
                <c:pt idx="90">
                  <c:v>23.007479887892558</c:v>
                </c:pt>
                <c:pt idx="91">
                  <c:v>23.479920832774447</c:v>
                </c:pt>
                <c:pt idx="92">
                  <c:v>23.661908673204724</c:v>
                </c:pt>
                <c:pt idx="93">
                  <c:v>23.829148923383833</c:v>
                </c:pt>
                <c:pt idx="94">
                  <c:v>22.267248547299715</c:v>
                </c:pt>
                <c:pt idx="95">
                  <c:v>22.084130305234837</c:v>
                </c:pt>
                <c:pt idx="96">
                  <c:v>23.052813957039511</c:v>
                </c:pt>
                <c:pt idx="97">
                  <c:v>20.314865029004554</c:v>
                </c:pt>
                <c:pt idx="98">
                  <c:v>19.02853747101944</c:v>
                </c:pt>
                <c:pt idx="99">
                  <c:v>19.518429570734188</c:v>
                </c:pt>
                <c:pt idx="100">
                  <c:v>19.706719172289098</c:v>
                </c:pt>
                <c:pt idx="101">
                  <c:v>19.942271371375661</c:v>
                </c:pt>
                <c:pt idx="102">
                  <c:v>20.59840239813126</c:v>
                </c:pt>
                <c:pt idx="103">
                  <c:v>19.762165759692348</c:v>
                </c:pt>
                <c:pt idx="104">
                  <c:v>21.073728928857228</c:v>
                </c:pt>
                <c:pt idx="105">
                  <c:v>19.080812262190562</c:v>
                </c:pt>
                <c:pt idx="106">
                  <c:v>19.399235194721378</c:v>
                </c:pt>
                <c:pt idx="107">
                  <c:v>18.88018215003218</c:v>
                </c:pt>
                <c:pt idx="108">
                  <c:v>18.968969919516933</c:v>
                </c:pt>
                <c:pt idx="109">
                  <c:v>18.923640249187262</c:v>
                </c:pt>
                <c:pt idx="110">
                  <c:v>20.479254417310084</c:v>
                </c:pt>
                <c:pt idx="111">
                  <c:v>21.069763221122983</c:v>
                </c:pt>
                <c:pt idx="112">
                  <c:v>21.39995385949155</c:v>
                </c:pt>
                <c:pt idx="113">
                  <c:v>22.104961655398395</c:v>
                </c:pt>
                <c:pt idx="114">
                  <c:v>22.462750442061914</c:v>
                </c:pt>
                <c:pt idx="115">
                  <c:v>22.989707711921394</c:v>
                </c:pt>
                <c:pt idx="116">
                  <c:v>23.692103164621354</c:v>
                </c:pt>
                <c:pt idx="117">
                  <c:v>23.613831405072197</c:v>
                </c:pt>
                <c:pt idx="118">
                  <c:v>22.708831405072196</c:v>
                </c:pt>
                <c:pt idx="119">
                  <c:v>23.776254726245011</c:v>
                </c:pt>
                <c:pt idx="120">
                  <c:v>23.276210474541319</c:v>
                </c:pt>
                <c:pt idx="121">
                  <c:v>22.479958893536377</c:v>
                </c:pt>
                <c:pt idx="122">
                  <c:v>22.290385433820738</c:v>
                </c:pt>
                <c:pt idx="123">
                  <c:v>22.135985022086306</c:v>
                </c:pt>
                <c:pt idx="124">
                  <c:v>22.643129977419537</c:v>
                </c:pt>
                <c:pt idx="125">
                  <c:v>23.295638886212753</c:v>
                </c:pt>
                <c:pt idx="126">
                  <c:v>23.347949261103771</c:v>
                </c:pt>
                <c:pt idx="127">
                  <c:v>24.021378277476515</c:v>
                </c:pt>
                <c:pt idx="128">
                  <c:v>24.187534814424481</c:v>
                </c:pt>
                <c:pt idx="129">
                  <c:v>24.262497333165108</c:v>
                </c:pt>
                <c:pt idx="130">
                  <c:v>24.632902623899589</c:v>
                </c:pt>
                <c:pt idx="131">
                  <c:v>24.5866419365661</c:v>
                </c:pt>
                <c:pt idx="132">
                  <c:v>25.147180053158028</c:v>
                </c:pt>
                <c:pt idx="133">
                  <c:v>25.169820586180865</c:v>
                </c:pt>
                <c:pt idx="134">
                  <c:v>23.96204883753742</c:v>
                </c:pt>
                <c:pt idx="135">
                  <c:v>25.014323107734299</c:v>
                </c:pt>
                <c:pt idx="136">
                  <c:v>22.996633776612128</c:v>
                </c:pt>
                <c:pt idx="137">
                  <c:v>22.234114355075135</c:v>
                </c:pt>
                <c:pt idx="138">
                  <c:v>22.19919815395782</c:v>
                </c:pt>
                <c:pt idx="139">
                  <c:v>20.713640080507222</c:v>
                </c:pt>
                <c:pt idx="140">
                  <c:v>24.057587136759956</c:v>
                </c:pt>
                <c:pt idx="141">
                  <c:v>23.250478269078489</c:v>
                </c:pt>
                <c:pt idx="142">
                  <c:v>23.101410701922028</c:v>
                </c:pt>
                <c:pt idx="143">
                  <c:v>21.995992730577498</c:v>
                </c:pt>
                <c:pt idx="144">
                  <c:v>21.723048342996467</c:v>
                </c:pt>
                <c:pt idx="145">
                  <c:v>21.464208029127107</c:v>
                </c:pt>
                <c:pt idx="146">
                  <c:v>21.41494473923504</c:v>
                </c:pt>
                <c:pt idx="147">
                  <c:v>22.41615499338841</c:v>
                </c:pt>
                <c:pt idx="148">
                  <c:v>21.221434933182046</c:v>
                </c:pt>
                <c:pt idx="149">
                  <c:v>20.276111818278</c:v>
                </c:pt>
                <c:pt idx="150">
                  <c:v>20.397484432202749</c:v>
                </c:pt>
                <c:pt idx="151">
                  <c:v>20.378813782464135</c:v>
                </c:pt>
                <c:pt idx="152">
                  <c:v>20.002215428987171</c:v>
                </c:pt>
                <c:pt idx="153">
                  <c:v>19.438342338767477</c:v>
                </c:pt>
                <c:pt idx="154">
                  <c:v>19.258325519677811</c:v>
                </c:pt>
                <c:pt idx="155">
                  <c:v>18.720691111075659</c:v>
                </c:pt>
                <c:pt idx="156">
                  <c:v>20.432454096523106</c:v>
                </c:pt>
                <c:pt idx="157">
                  <c:v>20.158069249647554</c:v>
                </c:pt>
                <c:pt idx="158">
                  <c:v>23.951557029282935</c:v>
                </c:pt>
                <c:pt idx="159">
                  <c:v>23.698378045580821</c:v>
                </c:pt>
                <c:pt idx="160">
                  <c:v>23.095465707783013</c:v>
                </c:pt>
                <c:pt idx="161">
                  <c:v>22.884519684863751</c:v>
                </c:pt>
                <c:pt idx="162">
                  <c:v>24.717853018197083</c:v>
                </c:pt>
                <c:pt idx="163">
                  <c:v>25.180353850033114</c:v>
                </c:pt>
                <c:pt idx="164">
                  <c:v>25.11674061848095</c:v>
                </c:pt>
                <c:pt idx="165">
                  <c:v>24.978889864896832</c:v>
                </c:pt>
                <c:pt idx="166">
                  <c:v>23.628947586566664</c:v>
                </c:pt>
                <c:pt idx="167">
                  <c:v>24.050081774664939</c:v>
                </c:pt>
                <c:pt idx="168">
                  <c:v>24.047814200968791</c:v>
                </c:pt>
                <c:pt idx="169">
                  <c:v>24.659992675644034</c:v>
                </c:pt>
                <c:pt idx="170">
                  <c:v>23.924099556652017</c:v>
                </c:pt>
                <c:pt idx="171">
                  <c:v>24.746784234758383</c:v>
                </c:pt>
                <c:pt idx="172">
                  <c:v>23.808285630913662</c:v>
                </c:pt>
                <c:pt idx="173">
                  <c:v>22.633236777679066</c:v>
                </c:pt>
                <c:pt idx="174">
                  <c:v>22.93182526844997</c:v>
                </c:pt>
                <c:pt idx="175">
                  <c:v>23.438289349484222</c:v>
                </c:pt>
                <c:pt idx="176">
                  <c:v>23.564697165564926</c:v>
                </c:pt>
                <c:pt idx="177">
                  <c:v>24.827231900372222</c:v>
                </c:pt>
                <c:pt idx="178">
                  <c:v>25.904686667601336</c:v>
                </c:pt>
                <c:pt idx="179">
                  <c:v>26.982272874497887</c:v>
                </c:pt>
                <c:pt idx="180">
                  <c:v>26.482094239271021</c:v>
                </c:pt>
                <c:pt idx="181">
                  <c:v>26.683852417682893</c:v>
                </c:pt>
                <c:pt idx="182">
                  <c:v>26.073671106664762</c:v>
                </c:pt>
                <c:pt idx="183">
                  <c:v>24.901363562492598</c:v>
                </c:pt>
                <c:pt idx="184">
                  <c:v>26.559662028322446</c:v>
                </c:pt>
                <c:pt idx="185">
                  <c:v>26.655964475673265</c:v>
                </c:pt>
                <c:pt idx="186">
                  <c:v>27.211322042791345</c:v>
                </c:pt>
                <c:pt idx="187">
                  <c:v>26.364151592096665</c:v>
                </c:pt>
                <c:pt idx="188">
                  <c:v>27.841007792940268</c:v>
                </c:pt>
                <c:pt idx="189">
                  <c:v>27.401556047850537</c:v>
                </c:pt>
                <c:pt idx="190">
                  <c:v>26.605679759190743</c:v>
                </c:pt>
                <c:pt idx="191">
                  <c:v>26.653544022741283</c:v>
                </c:pt>
                <c:pt idx="192">
                  <c:v>26.609432016603961</c:v>
                </c:pt>
                <c:pt idx="193">
                  <c:v>25.809828388278632</c:v>
                </c:pt>
                <c:pt idx="194">
                  <c:v>25.818445116219806</c:v>
                </c:pt>
                <c:pt idx="195">
                  <c:v>25.252407380370752</c:v>
                </c:pt>
                <c:pt idx="196">
                  <c:v>24.543673955587941</c:v>
                </c:pt>
                <c:pt idx="197">
                  <c:v>30.132126953367365</c:v>
                </c:pt>
                <c:pt idx="198">
                  <c:v>30.218333849919091</c:v>
                </c:pt>
                <c:pt idx="199">
                  <c:v>31.509964934462218</c:v>
                </c:pt>
                <c:pt idx="200">
                  <c:v>29.580522228254445</c:v>
                </c:pt>
                <c:pt idx="201">
                  <c:v>29.933567241493634</c:v>
                </c:pt>
                <c:pt idx="202">
                  <c:v>29.156984206846083</c:v>
                </c:pt>
                <c:pt idx="203">
                  <c:v>29.060403175360666</c:v>
                </c:pt>
                <c:pt idx="204">
                  <c:v>29.853201855844901</c:v>
                </c:pt>
                <c:pt idx="205">
                  <c:v>29.416051968404453</c:v>
                </c:pt>
                <c:pt idx="206">
                  <c:v>29.329905833233337</c:v>
                </c:pt>
                <c:pt idx="207">
                  <c:v>31.447471710664654</c:v>
                </c:pt>
                <c:pt idx="208">
                  <c:v>31.630323402042801</c:v>
                </c:pt>
                <c:pt idx="209">
                  <c:v>31.21203406120911</c:v>
                </c:pt>
                <c:pt idx="210">
                  <c:v>33.182703938470738</c:v>
                </c:pt>
                <c:pt idx="211">
                  <c:v>33.886604238493817</c:v>
                </c:pt>
                <c:pt idx="212">
                  <c:v>34.721937038636</c:v>
                </c:pt>
                <c:pt idx="213">
                  <c:v>33.627707877777347</c:v>
                </c:pt>
                <c:pt idx="214">
                  <c:v>35.17376806615318</c:v>
                </c:pt>
                <c:pt idx="215">
                  <c:v>34.413693764625449</c:v>
                </c:pt>
                <c:pt idx="216">
                  <c:v>33.949586553113392</c:v>
                </c:pt>
                <c:pt idx="217">
                  <c:v>33.800458022961465</c:v>
                </c:pt>
                <c:pt idx="218">
                  <c:v>33.459281552373227</c:v>
                </c:pt>
                <c:pt idx="219">
                  <c:v>33.631120662609312</c:v>
                </c:pt>
                <c:pt idx="220">
                  <c:v>34.496921528410176</c:v>
                </c:pt>
                <c:pt idx="221">
                  <c:v>34.431633739838148</c:v>
                </c:pt>
                <c:pt idx="222">
                  <c:v>34.549257344303854</c:v>
                </c:pt>
                <c:pt idx="223">
                  <c:v>34.09943272873452</c:v>
                </c:pt>
                <c:pt idx="224">
                  <c:v>33.484621036772744</c:v>
                </c:pt>
                <c:pt idx="225">
                  <c:v>33.53216892428803</c:v>
                </c:pt>
                <c:pt idx="226">
                  <c:v>34.631070023189125</c:v>
                </c:pt>
                <c:pt idx="227">
                  <c:v>35.498498823830921</c:v>
                </c:pt>
                <c:pt idx="228">
                  <c:v>37.07153016879375</c:v>
                </c:pt>
                <c:pt idx="229">
                  <c:v>36.216473781291441</c:v>
                </c:pt>
                <c:pt idx="230">
                  <c:v>40.911390333121176</c:v>
                </c:pt>
                <c:pt idx="231">
                  <c:v>41.052231588775143</c:v>
                </c:pt>
                <c:pt idx="232">
                  <c:v>41.151231687775244</c:v>
                </c:pt>
                <c:pt idx="233">
                  <c:v>41.309374093082653</c:v>
                </c:pt>
                <c:pt idx="234">
                  <c:v>41.256732931652394</c:v>
                </c:pt>
                <c:pt idx="235">
                  <c:v>41.121915504571355</c:v>
                </c:pt>
                <c:pt idx="236">
                  <c:v>43.025514018339365</c:v>
                </c:pt>
                <c:pt idx="237">
                  <c:v>42.474580804937069</c:v>
                </c:pt>
                <c:pt idx="238">
                  <c:v>42.255041836770218</c:v>
                </c:pt>
                <c:pt idx="239">
                  <c:v>41.601884911632048</c:v>
                </c:pt>
                <c:pt idx="240">
                  <c:v>42.102818327935722</c:v>
                </c:pt>
                <c:pt idx="241">
                  <c:v>41.941729729206422</c:v>
                </c:pt>
                <c:pt idx="242">
                  <c:v>41.158928238415051</c:v>
                </c:pt>
                <c:pt idx="243">
                  <c:v>41.147939937723436</c:v>
                </c:pt>
                <c:pt idx="244">
                  <c:v>41.312677964081516</c:v>
                </c:pt>
                <c:pt idx="245">
                  <c:v>42.262519233922781</c:v>
                </c:pt>
                <c:pt idx="246">
                  <c:v>41.196866821642075</c:v>
                </c:pt>
                <c:pt idx="247">
                  <c:v>42.223930684570426</c:v>
                </c:pt>
                <c:pt idx="248">
                  <c:v>42.114897568071314</c:v>
                </c:pt>
                <c:pt idx="249">
                  <c:v>41.165089379984622</c:v>
                </c:pt>
                <c:pt idx="250">
                  <c:v>40.510739880369535</c:v>
                </c:pt>
                <c:pt idx="251">
                  <c:v>40.710081187355144</c:v>
                </c:pt>
                <c:pt idx="252">
                  <c:v>40.249536396566036</c:v>
                </c:pt>
                <c:pt idx="253">
                  <c:v>43.513368503407136</c:v>
                </c:pt>
                <c:pt idx="254">
                  <c:v>45.956474259765905</c:v>
                </c:pt>
                <c:pt idx="255">
                  <c:v>46.971108936878139</c:v>
                </c:pt>
                <c:pt idx="256">
                  <c:v>46.050558962963194</c:v>
                </c:pt>
                <c:pt idx="257">
                  <c:v>48.128992340609173</c:v>
                </c:pt>
                <c:pt idx="258">
                  <c:v>47.760047842694512</c:v>
                </c:pt>
                <c:pt idx="259">
                  <c:v>47.318311042460032</c:v>
                </c:pt>
                <c:pt idx="260">
                  <c:v>48.076682572890384</c:v>
                </c:pt>
                <c:pt idx="261">
                  <c:v>48.343424554940221</c:v>
                </c:pt>
                <c:pt idx="262">
                  <c:v>49.701665032691295</c:v>
                </c:pt>
                <c:pt idx="263">
                  <c:v>50.352292964299707</c:v>
                </c:pt>
                <c:pt idx="264">
                  <c:v>51.349399880685169</c:v>
                </c:pt>
                <c:pt idx="265">
                  <c:v>53.488628406307626</c:v>
                </c:pt>
                <c:pt idx="266">
                  <c:v>54.094878406307622</c:v>
                </c:pt>
                <c:pt idx="267">
                  <c:v>53.904125386051469</c:v>
                </c:pt>
                <c:pt idx="268">
                  <c:v>53.490089147632183</c:v>
                </c:pt>
                <c:pt idx="269">
                  <c:v>53.556956348968725</c:v>
                </c:pt>
                <c:pt idx="270">
                  <c:v>54.008309843135677</c:v>
                </c:pt>
                <c:pt idx="271">
                  <c:v>54.109122851265759</c:v>
                </c:pt>
                <c:pt idx="272">
                  <c:v>53.94009361689136</c:v>
                </c:pt>
                <c:pt idx="273">
                  <c:v>53.68828373335343</c:v>
                </c:pt>
                <c:pt idx="274">
                  <c:v>54.045452623214203</c:v>
                </c:pt>
                <c:pt idx="275">
                  <c:v>53.321616414198822</c:v>
                </c:pt>
                <c:pt idx="276">
                  <c:v>54.083299863721159</c:v>
                </c:pt>
                <c:pt idx="277">
                  <c:v>54.882187243241184</c:v>
                </c:pt>
                <c:pt idx="278">
                  <c:v>54.163404739272274</c:v>
                </c:pt>
                <c:pt idx="279">
                  <c:v>55.623788030589942</c:v>
                </c:pt>
                <c:pt idx="280">
                  <c:v>56.059139583259935</c:v>
                </c:pt>
                <c:pt idx="281">
                  <c:v>53.90977269883377</c:v>
                </c:pt>
                <c:pt idx="282">
                  <c:v>53.483111029668358</c:v>
                </c:pt>
                <c:pt idx="283">
                  <c:v>52.718184025559609</c:v>
                </c:pt>
                <c:pt idx="284">
                  <c:v>52.164846489662715</c:v>
                </c:pt>
                <c:pt idx="285">
                  <c:v>52.263669210295184</c:v>
                </c:pt>
                <c:pt idx="286">
                  <c:v>53.23447567309249</c:v>
                </c:pt>
                <c:pt idx="287">
                  <c:v>53.083020385327444</c:v>
                </c:pt>
                <c:pt idx="288">
                  <c:v>53.809293125420524</c:v>
                </c:pt>
                <c:pt idx="289">
                  <c:v>53.668315681811499</c:v>
                </c:pt>
                <c:pt idx="290">
                  <c:v>55.274074264314265</c:v>
                </c:pt>
                <c:pt idx="291">
                  <c:v>56.11393988581483</c:v>
                </c:pt>
                <c:pt idx="292">
                  <c:v>56.397991621839758</c:v>
                </c:pt>
                <c:pt idx="293">
                  <c:v>58.097991621839761</c:v>
                </c:pt>
                <c:pt idx="294">
                  <c:v>58.22067595505041</c:v>
                </c:pt>
                <c:pt idx="295">
                  <c:v>59.375735680089853</c:v>
                </c:pt>
                <c:pt idx="296">
                  <c:v>58.50711564228267</c:v>
                </c:pt>
                <c:pt idx="297">
                  <c:v>57.21619373825294</c:v>
                </c:pt>
                <c:pt idx="298">
                  <c:v>56.383481831715528</c:v>
                </c:pt>
                <c:pt idx="299">
                  <c:v>56.697947240520563</c:v>
                </c:pt>
                <c:pt idx="300">
                  <c:v>56.000915485480959</c:v>
                </c:pt>
                <c:pt idx="301">
                  <c:v>55.924484461540409</c:v>
                </c:pt>
                <c:pt idx="302">
                  <c:v>56.876027720775973</c:v>
                </c:pt>
                <c:pt idx="303">
                  <c:v>56.37438598418349</c:v>
                </c:pt>
                <c:pt idx="304">
                  <c:v>56.530739942932655</c:v>
                </c:pt>
                <c:pt idx="305">
                  <c:v>55.812724277136304</c:v>
                </c:pt>
                <c:pt idx="306">
                  <c:v>56.516258045147254</c:v>
                </c:pt>
                <c:pt idx="307">
                  <c:v>54.489296547717323</c:v>
                </c:pt>
                <c:pt idx="308">
                  <c:v>59.705079747829508</c:v>
                </c:pt>
                <c:pt idx="309">
                  <c:v>60.122867549876567</c:v>
                </c:pt>
                <c:pt idx="310">
                  <c:v>59.351366234896993</c:v>
                </c:pt>
                <c:pt idx="311">
                  <c:v>58.211691363338062</c:v>
                </c:pt>
                <c:pt idx="312">
                  <c:v>57.892905093267537</c:v>
                </c:pt>
                <c:pt idx="313">
                  <c:v>58.688403735099122</c:v>
                </c:pt>
                <c:pt idx="314">
                  <c:v>58.645523401857673</c:v>
                </c:pt>
                <c:pt idx="315">
                  <c:v>54.589009397472253</c:v>
                </c:pt>
                <c:pt idx="316">
                  <c:v>53.482054091264992</c:v>
                </c:pt>
                <c:pt idx="317">
                  <c:v>52.303382435511956</c:v>
                </c:pt>
                <c:pt idx="318">
                  <c:v>51.004622672304897</c:v>
                </c:pt>
                <c:pt idx="319">
                  <c:v>51.183430382493363</c:v>
                </c:pt>
                <c:pt idx="320">
                  <c:v>53.209451369447422</c:v>
                </c:pt>
                <c:pt idx="321">
                  <c:v>52.356536262991312</c:v>
                </c:pt>
                <c:pt idx="322">
                  <c:v>52.656475384258776</c:v>
                </c:pt>
                <c:pt idx="323">
                  <c:v>53.47585229763893</c:v>
                </c:pt>
                <c:pt idx="324">
                  <c:v>53.86036095899383</c:v>
                </c:pt>
                <c:pt idx="325">
                  <c:v>52.465329435515898</c:v>
                </c:pt>
                <c:pt idx="326">
                  <c:v>50.294690480735973</c:v>
                </c:pt>
                <c:pt idx="327">
                  <c:v>49.431014576672347</c:v>
                </c:pt>
                <c:pt idx="328">
                  <c:v>48.615348504418201</c:v>
                </c:pt>
                <c:pt idx="329">
                  <c:v>49.935810111164763</c:v>
                </c:pt>
                <c:pt idx="330">
                  <c:v>50.562376527204862</c:v>
                </c:pt>
                <c:pt idx="331">
                  <c:v>50.492987682795999</c:v>
                </c:pt>
                <c:pt idx="332">
                  <c:v>49.62203268513052</c:v>
                </c:pt>
                <c:pt idx="333">
                  <c:v>50.219163499298972</c:v>
                </c:pt>
                <c:pt idx="334">
                  <c:v>49.424325546519974</c:v>
                </c:pt>
                <c:pt idx="335">
                  <c:v>49.118205647477069</c:v>
                </c:pt>
                <c:pt idx="336">
                  <c:v>48.133752799166842</c:v>
                </c:pt>
                <c:pt idx="337">
                  <c:v>47.289962232312668</c:v>
                </c:pt>
                <c:pt idx="338">
                  <c:v>47.658748646097223</c:v>
                </c:pt>
                <c:pt idx="339">
                  <c:v>48.711380225044593</c:v>
                </c:pt>
                <c:pt idx="340">
                  <c:v>52.170589684826219</c:v>
                </c:pt>
                <c:pt idx="341">
                  <c:v>51.642705754519852</c:v>
                </c:pt>
                <c:pt idx="342">
                  <c:v>51.815716135142694</c:v>
                </c:pt>
                <c:pt idx="343">
                  <c:v>52.557398695007073</c:v>
                </c:pt>
                <c:pt idx="344">
                  <c:v>54.35924244209712</c:v>
                </c:pt>
                <c:pt idx="345">
                  <c:v>54.16037993563409</c:v>
                </c:pt>
                <c:pt idx="346">
                  <c:v>54.617367948310338</c:v>
                </c:pt>
                <c:pt idx="347">
                  <c:v>57.532801873359645</c:v>
                </c:pt>
                <c:pt idx="348">
                  <c:v>56.249113930097238</c:v>
                </c:pt>
                <c:pt idx="349">
                  <c:v>54.916105061397261</c:v>
                </c:pt>
                <c:pt idx="350">
                  <c:v>54.079566599858801</c:v>
                </c:pt>
                <c:pt idx="351">
                  <c:v>54.964628400112161</c:v>
                </c:pt>
                <c:pt idx="352">
                  <c:v>54.289370423032892</c:v>
                </c:pt>
                <c:pt idx="353">
                  <c:v>54.247931097112591</c:v>
                </c:pt>
                <c:pt idx="354">
                  <c:v>55.080115409802666</c:v>
                </c:pt>
                <c:pt idx="355">
                  <c:v>53.60981205076969</c:v>
                </c:pt>
                <c:pt idx="356">
                  <c:v>54.125886500854293</c:v>
                </c:pt>
                <c:pt idx="357">
                  <c:v>53.318995213099413</c:v>
                </c:pt>
                <c:pt idx="358">
                  <c:v>55.810844304855351</c:v>
                </c:pt>
                <c:pt idx="359">
                  <c:v>56.297757820261516</c:v>
                </c:pt>
                <c:pt idx="360">
                  <c:v>55.607480668782102</c:v>
                </c:pt>
                <c:pt idx="361">
                  <c:v>54.072236355816685</c:v>
                </c:pt>
                <c:pt idx="362">
                  <c:v>52.843670902031654</c:v>
                </c:pt>
                <c:pt idx="363">
                  <c:v>52.989668840884278</c:v>
                </c:pt>
                <c:pt idx="364">
                  <c:v>53.10211065878083</c:v>
                </c:pt>
                <c:pt idx="365">
                  <c:v>53.492888306299399</c:v>
                </c:pt>
                <c:pt idx="366">
                  <c:v>53.620319560491218</c:v>
                </c:pt>
                <c:pt idx="367">
                  <c:v>54.247144221318969</c:v>
                </c:pt>
                <c:pt idx="368">
                  <c:v>51.851365255700358</c:v>
                </c:pt>
                <c:pt idx="369">
                  <c:v>54.814551939817278</c:v>
                </c:pt>
                <c:pt idx="370">
                  <c:v>54.001337056685131</c:v>
                </c:pt>
                <c:pt idx="371">
                  <c:v>54.441065572123428</c:v>
                </c:pt>
                <c:pt idx="372">
                  <c:v>54.343978193482648</c:v>
                </c:pt>
                <c:pt idx="373">
                  <c:v>52.356011646928089</c:v>
                </c:pt>
                <c:pt idx="374">
                  <c:v>53.011979302359421</c:v>
                </c:pt>
                <c:pt idx="375">
                  <c:v>53.443927142620218</c:v>
                </c:pt>
                <c:pt idx="376">
                  <c:v>55.97937535218523</c:v>
                </c:pt>
                <c:pt idx="377">
                  <c:v>55.578305833468647</c:v>
                </c:pt>
                <c:pt idx="378">
                  <c:v>55.969412410010754</c:v>
                </c:pt>
                <c:pt idx="379">
                  <c:v>56.441685414276442</c:v>
                </c:pt>
                <c:pt idx="380">
                  <c:v>55.845691965323631</c:v>
                </c:pt>
                <c:pt idx="381">
                  <c:v>55.140454117972304</c:v>
                </c:pt>
                <c:pt idx="382">
                  <c:v>53.971328672017236</c:v>
                </c:pt>
                <c:pt idx="383">
                  <c:v>53.048795545953134</c:v>
                </c:pt>
                <c:pt idx="384">
                  <c:v>52.109562061333868</c:v>
                </c:pt>
                <c:pt idx="385">
                  <c:v>52.811131622833805</c:v>
                </c:pt>
                <c:pt idx="386">
                  <c:v>49.875188562335588</c:v>
                </c:pt>
                <c:pt idx="387">
                  <c:v>51.113283800430828</c:v>
                </c:pt>
                <c:pt idx="388">
                  <c:v>51.214803698330819</c:v>
                </c:pt>
                <c:pt idx="389">
                  <c:v>51.60672611097862</c:v>
                </c:pt>
                <c:pt idx="390">
                  <c:v>50.544869484807791</c:v>
                </c:pt>
                <c:pt idx="391">
                  <c:v>50.371916294323164</c:v>
                </c:pt>
                <c:pt idx="392">
                  <c:v>49.516699471705195</c:v>
                </c:pt>
                <c:pt idx="393">
                  <c:v>46.852880602929467</c:v>
                </c:pt>
                <c:pt idx="394">
                  <c:v>46.582908423233349</c:v>
                </c:pt>
                <c:pt idx="395">
                  <c:v>46.085545048353197</c:v>
                </c:pt>
                <c:pt idx="396">
                  <c:v>48.014191704488006</c:v>
                </c:pt>
                <c:pt idx="397">
                  <c:v>49.002892269459757</c:v>
                </c:pt>
                <c:pt idx="398">
                  <c:v>48.454744121311606</c:v>
                </c:pt>
                <c:pt idx="399">
                  <c:v>50.578416825871258</c:v>
                </c:pt>
                <c:pt idx="400">
                  <c:v>49.862830044710705</c:v>
                </c:pt>
                <c:pt idx="401">
                  <c:v>51.265489333005227</c:v>
                </c:pt>
                <c:pt idx="402">
                  <c:v>51.715417565311732</c:v>
                </c:pt>
                <c:pt idx="403">
                  <c:v>50.485460389731614</c:v>
                </c:pt>
                <c:pt idx="404">
                  <c:v>49.268865488494512</c:v>
                </c:pt>
                <c:pt idx="405">
                  <c:v>50.074190192473331</c:v>
                </c:pt>
                <c:pt idx="406">
                  <c:v>49.32577338188036</c:v>
                </c:pt>
                <c:pt idx="407">
                  <c:v>51.401519922302796</c:v>
                </c:pt>
                <c:pt idx="408">
                  <c:v>52.799566320349193</c:v>
                </c:pt>
                <c:pt idx="409">
                  <c:v>53.613683189511931</c:v>
                </c:pt>
                <c:pt idx="410">
                  <c:v>54.626740370961727</c:v>
                </c:pt>
                <c:pt idx="411">
                  <c:v>58.784920954804228</c:v>
                </c:pt>
                <c:pt idx="412">
                  <c:v>59.146336073154956</c:v>
                </c:pt>
                <c:pt idx="413">
                  <c:v>59.972782354146695</c:v>
                </c:pt>
                <c:pt idx="414">
                  <c:v>62.198990414919017</c:v>
                </c:pt>
                <c:pt idx="415">
                  <c:v>62.701871155585749</c:v>
                </c:pt>
                <c:pt idx="416">
                  <c:v>62.917655456743724</c:v>
                </c:pt>
                <c:pt idx="417">
                  <c:v>60.36803191122695</c:v>
                </c:pt>
                <c:pt idx="418">
                  <c:v>61.137048350346483</c:v>
                </c:pt>
                <c:pt idx="419">
                  <c:v>60.626148504249585</c:v>
                </c:pt>
                <c:pt idx="420">
                  <c:v>63.131716432980099</c:v>
                </c:pt>
                <c:pt idx="421">
                  <c:v>64.011030567954819</c:v>
                </c:pt>
                <c:pt idx="422">
                  <c:v>68.557393477627087</c:v>
                </c:pt>
                <c:pt idx="423">
                  <c:v>69.158912396909301</c:v>
                </c:pt>
                <c:pt idx="424">
                  <c:v>68.765584750240734</c:v>
                </c:pt>
                <c:pt idx="425">
                  <c:v>69.719346386132699</c:v>
                </c:pt>
                <c:pt idx="426">
                  <c:v>70.388924260950745</c:v>
                </c:pt>
                <c:pt idx="427">
                  <c:v>71.65545412871181</c:v>
                </c:pt>
                <c:pt idx="428">
                  <c:v>72.890341866190226</c:v>
                </c:pt>
                <c:pt idx="429">
                  <c:v>75.750302418458475</c:v>
                </c:pt>
                <c:pt idx="430">
                  <c:v>74.91084572729838</c:v>
                </c:pt>
                <c:pt idx="431">
                  <c:v>73.389203603246614</c:v>
                </c:pt>
                <c:pt idx="432">
                  <c:v>71.919535060407341</c:v>
                </c:pt>
                <c:pt idx="433">
                  <c:v>69.601181855475119</c:v>
                </c:pt>
                <c:pt idx="434">
                  <c:v>69.696692839238253</c:v>
                </c:pt>
                <c:pt idx="435">
                  <c:v>66.963995550624759</c:v>
                </c:pt>
                <c:pt idx="436">
                  <c:v>65.563175180684354</c:v>
                </c:pt>
                <c:pt idx="437">
                  <c:v>66.807370617793183</c:v>
                </c:pt>
                <c:pt idx="438">
                  <c:v>67.10656541152801</c:v>
                </c:pt>
                <c:pt idx="439">
                  <c:v>66.329866382401804</c:v>
                </c:pt>
                <c:pt idx="440">
                  <c:v>67.870005403800192</c:v>
                </c:pt>
                <c:pt idx="441">
                  <c:v>68.855541618785892</c:v>
                </c:pt>
                <c:pt idx="442">
                  <c:v>68.2187491659557</c:v>
                </c:pt>
                <c:pt idx="443">
                  <c:v>68.635291861582004</c:v>
                </c:pt>
                <c:pt idx="444">
                  <c:v>68.632809486445467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64C0-43C3-B584-6EBED46618AF}"/>
            </c:ext>
          </c:extLst>
        </c:ser>
        <c:dLbls>
          <c:showLegendKey val="0"/>
          <c:showVal val="0"/>
          <c:showCatName val="0"/>
          <c:showSerName val="0"/>
          <c:showPercent val="0"/>
          <c:showBubbleSize val="0"/>
        </c:dLbls>
        <c:marker val="1"/>
        <c:smooth val="0"/>
        <c:axId val="909211872"/>
        <c:axId val="909209952"/>
      </c:lineChart>
      <c:catAx>
        <c:axId val="958105456"/>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958095376"/>
        <c:crosses val="autoZero"/>
        <c:auto val="1"/>
        <c:lblAlgn val="ctr"/>
        <c:lblOffset val="100"/>
        <c:noMultiLvlLbl val="0"/>
      </c:catAx>
      <c:valAx>
        <c:axId val="958095376"/>
        <c:scaling>
          <c:orientation val="minMax"/>
          <c:max val="3000"/>
        </c:scaling>
        <c:delete val="0"/>
        <c:axPos val="l"/>
        <c:majorGridlines>
          <c:spPr>
            <a:ln w="9525" cap="flat" cmpd="sng" algn="ctr">
              <a:solidFill>
                <a:schemeClr val="accent3">
                  <a:lumMod val="60000"/>
                  <a:lumOff val="40000"/>
                </a:schemeClr>
              </a:solidFill>
              <a:round/>
            </a:ln>
            <a:effectLst/>
          </c:spPr>
        </c:majorGridlines>
        <c:minorGridlines>
          <c:spPr>
            <a:ln w="9525" cap="flat" cmpd="sng" algn="ctr">
              <a:noFill/>
              <a:prstDash val="sysDash"/>
              <a:round/>
            </a:ln>
            <a:effectLst/>
          </c:spPr>
        </c:minorGridlines>
        <c:numFmt formatCode="&quot;$&quot;0.0,&quot;k&quot;" sourceLinked="0"/>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58105456"/>
        <c:crosses val="autoZero"/>
        <c:crossBetween val="between"/>
        <c:minorUnit val="100"/>
      </c:valAx>
      <c:valAx>
        <c:axId val="9092099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11872"/>
        <c:crosses val="autoZero"/>
        <c:crossBetween val="between"/>
      </c:valAx>
      <c:catAx>
        <c:axId val="909211872"/>
        <c:scaling>
          <c:orientation val="minMax"/>
        </c:scaling>
        <c:delete val="1"/>
        <c:axPos val="b"/>
        <c:majorTickMark val="out"/>
        <c:minorTickMark val="none"/>
        <c:tickLblPos val="nextTo"/>
        <c:crossAx val="909209952"/>
        <c:crosses val="autoZero"/>
        <c:auto val="1"/>
        <c:lblAlgn val="ctr"/>
        <c:lblOffset val="100"/>
        <c:noMultiLvlLbl val="0"/>
      </c:catAx>
      <c:spPr>
        <a:gradFill>
          <a:gsLst>
            <a:gs pos="0">
              <a:srgbClr val="00FF00"/>
            </a:gs>
            <a:gs pos="44000">
              <a:srgbClr val="65FF65">
                <a:alpha val="79000"/>
              </a:srgbClr>
            </a:gs>
            <a:gs pos="100000">
              <a:schemeClr val="bg1"/>
            </a:gs>
          </a:gsLst>
          <a:lin ang="5400000" scaled="1"/>
        </a:gradFill>
        <a:ln>
          <a:solidFill>
            <a:sysClr val="windowText" lastClr="000000"/>
          </a:solidFill>
        </a:ln>
        <a:effectLst/>
      </c:spPr>
    </c:plotArea>
    <c:legend>
      <c:legendPos val="t"/>
      <c:layout>
        <c:manualLayout>
          <c:xMode val="edge"/>
          <c:yMode val="edge"/>
          <c:x val="0.24331478274759227"/>
          <c:y val="2.8708885616102114E-2"/>
          <c:w val="0.74838646206568582"/>
          <c:h val="3.5187147998252795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of The Strategy ($$$)</a:t>
            </a:r>
          </a:p>
        </c:rich>
      </c:tx>
      <c:layout>
        <c:manualLayout>
          <c:xMode val="edge"/>
          <c:yMode val="edge"/>
          <c:x val="2.203421174294962E-2"/>
          <c:y val="6.8846815834767644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3"/>
          <c:order val="0"/>
          <c:tx>
            <c:v>Total P/L</c:v>
          </c:tx>
          <c:spPr>
            <a:ln w="28575" cap="rnd">
              <a:solidFill>
                <a:sysClr val="windowText" lastClr="000000"/>
              </a:solidFill>
              <a:round/>
            </a:ln>
            <a:effectLst/>
          </c:spPr>
          <c:marker>
            <c:symbol val="none"/>
          </c:marker>
          <c:val>
            <c:numRef>
              <c:f>'2025-Q1'!$EI$4:$EI$448</c:f>
              <c:numCache>
                <c:formatCode>"$"#,##0</c:formatCode>
                <c:ptCount val="445"/>
                <c:pt idx="0">
                  <c:v>29.496534111638084</c:v>
                </c:pt>
                <c:pt idx="1">
                  <c:v>52.746289891514266</c:v>
                </c:pt>
                <c:pt idx="2">
                  <c:v>112.61613804769644</c:v>
                </c:pt>
                <c:pt idx="3">
                  <c:v>117.35206563487873</c:v>
                </c:pt>
                <c:pt idx="4">
                  <c:v>140.78232269345438</c:v>
                </c:pt>
                <c:pt idx="5">
                  <c:v>159.30803437963004</c:v>
                </c:pt>
                <c:pt idx="6">
                  <c:v>182.81374988156637</c:v>
                </c:pt>
                <c:pt idx="7">
                  <c:v>197.50762743258679</c:v>
                </c:pt>
                <c:pt idx="8">
                  <c:v>214.15234694799369</c:v>
                </c:pt>
                <c:pt idx="9">
                  <c:v>223.77289827109553</c:v>
                </c:pt>
                <c:pt idx="10">
                  <c:v>222.92364137088322</c:v>
                </c:pt>
                <c:pt idx="11">
                  <c:v>247.73506810816451</c:v>
                </c:pt>
                <c:pt idx="12">
                  <c:v>217.92065980642832</c:v>
                </c:pt>
                <c:pt idx="13">
                  <c:v>194.2664358378625</c:v>
                </c:pt>
                <c:pt idx="14">
                  <c:v>183.99113340345218</c:v>
                </c:pt>
                <c:pt idx="15">
                  <c:v>159.93098302751235</c:v>
                </c:pt>
                <c:pt idx="16">
                  <c:v>178.07237920359063</c:v>
                </c:pt>
                <c:pt idx="17">
                  <c:v>167.75356684048529</c:v>
                </c:pt>
                <c:pt idx="18">
                  <c:v>159.40797368815146</c:v>
                </c:pt>
                <c:pt idx="19">
                  <c:v>140.18218007684686</c:v>
                </c:pt>
                <c:pt idx="20">
                  <c:v>143.98265513622931</c:v>
                </c:pt>
                <c:pt idx="21">
                  <c:v>153.77058335808903</c:v>
                </c:pt>
                <c:pt idx="22">
                  <c:v>149.41160899911472</c:v>
                </c:pt>
                <c:pt idx="23">
                  <c:v>162.08010788669492</c:v>
                </c:pt>
                <c:pt idx="24">
                  <c:v>174.75826147103862</c:v>
                </c:pt>
                <c:pt idx="25">
                  <c:v>163.24454660480086</c:v>
                </c:pt>
                <c:pt idx="26">
                  <c:v>168.74747849474221</c:v>
                </c:pt>
                <c:pt idx="27">
                  <c:v>149.94966428709193</c:v>
                </c:pt>
                <c:pt idx="28">
                  <c:v>208.9828719036866</c:v>
                </c:pt>
                <c:pt idx="29">
                  <c:v>216.29098224994198</c:v>
                </c:pt>
                <c:pt idx="30">
                  <c:v>235.58160838095898</c:v>
                </c:pt>
                <c:pt idx="31">
                  <c:v>264.73716393651449</c:v>
                </c:pt>
                <c:pt idx="32">
                  <c:v>278.04411422095671</c:v>
                </c:pt>
                <c:pt idx="33">
                  <c:v>289.24897416020747</c:v>
                </c:pt>
                <c:pt idx="34">
                  <c:v>280.13860512176234</c:v>
                </c:pt>
                <c:pt idx="35">
                  <c:v>293.60014358330079</c:v>
                </c:pt>
                <c:pt idx="36">
                  <c:v>309.71675524446698</c:v>
                </c:pt>
                <c:pt idx="37">
                  <c:v>328.6831375826506</c:v>
                </c:pt>
                <c:pt idx="38">
                  <c:v>336.85576064401272</c:v>
                </c:pt>
                <c:pt idx="39">
                  <c:v>344.03490050178453</c:v>
                </c:pt>
                <c:pt idx="40">
                  <c:v>354.9755553590939</c:v>
                </c:pt>
                <c:pt idx="41">
                  <c:v>338.17752580244365</c:v>
                </c:pt>
                <c:pt idx="42">
                  <c:v>344.9351606302539</c:v>
                </c:pt>
                <c:pt idx="43">
                  <c:v>347.97313531379825</c:v>
                </c:pt>
                <c:pt idx="44">
                  <c:v>341.8212922020723</c:v>
                </c:pt>
                <c:pt idx="45">
                  <c:v>369.51294648111241</c:v>
                </c:pt>
                <c:pt idx="46">
                  <c:v>387.91837481020485</c:v>
                </c:pt>
                <c:pt idx="47">
                  <c:v>402.24028508072411</c:v>
                </c:pt>
                <c:pt idx="48">
                  <c:v>412.26842527003089</c:v>
                </c:pt>
                <c:pt idx="49">
                  <c:v>408.5436836739791</c:v>
                </c:pt>
                <c:pt idx="50">
                  <c:v>404.50217630095892</c:v>
                </c:pt>
                <c:pt idx="51">
                  <c:v>386.91600339654599</c:v>
                </c:pt>
                <c:pt idx="52">
                  <c:v>365.76052759773233</c:v>
                </c:pt>
                <c:pt idx="53">
                  <c:v>346.51490835211303</c:v>
                </c:pt>
                <c:pt idx="54">
                  <c:v>344.71050782429512</c:v>
                </c:pt>
                <c:pt idx="55">
                  <c:v>335.21586770178362</c:v>
                </c:pt>
                <c:pt idx="56">
                  <c:v>333.45781508314582</c:v>
                </c:pt>
                <c:pt idx="57">
                  <c:v>347.190209449343</c:v>
                </c:pt>
                <c:pt idx="58">
                  <c:v>347.190209449343</c:v>
                </c:pt>
                <c:pt idx="59">
                  <c:v>352.070209449343</c:v>
                </c:pt>
                <c:pt idx="60">
                  <c:v>362.71020944934293</c:v>
                </c:pt>
                <c:pt idx="61">
                  <c:v>381.08520944934298</c:v>
                </c:pt>
                <c:pt idx="62">
                  <c:v>411.07520944934299</c:v>
                </c:pt>
                <c:pt idx="63">
                  <c:v>423.375209449343</c:v>
                </c:pt>
                <c:pt idx="64">
                  <c:v>443.23520944934302</c:v>
                </c:pt>
                <c:pt idx="65">
                  <c:v>415.65520944934298</c:v>
                </c:pt>
                <c:pt idx="66">
                  <c:v>400.65520944934298</c:v>
                </c:pt>
                <c:pt idx="67">
                  <c:v>400.08520944934304</c:v>
                </c:pt>
                <c:pt idx="68">
                  <c:v>384.78520944934303</c:v>
                </c:pt>
                <c:pt idx="69">
                  <c:v>364.62520944934306</c:v>
                </c:pt>
                <c:pt idx="70">
                  <c:v>387.62520944934306</c:v>
                </c:pt>
                <c:pt idx="71">
                  <c:v>387.47520944934308</c:v>
                </c:pt>
                <c:pt idx="72">
                  <c:v>391.73520944934307</c:v>
                </c:pt>
                <c:pt idx="73">
                  <c:v>400.8952094493431</c:v>
                </c:pt>
                <c:pt idx="74">
                  <c:v>364.27520944934309</c:v>
                </c:pt>
                <c:pt idx="75">
                  <c:v>438.83520944934304</c:v>
                </c:pt>
                <c:pt idx="76">
                  <c:v>472.55520944934307</c:v>
                </c:pt>
                <c:pt idx="77">
                  <c:v>446.91520944934308</c:v>
                </c:pt>
                <c:pt idx="78">
                  <c:v>433.65520944934303</c:v>
                </c:pt>
                <c:pt idx="79">
                  <c:v>445.315209449343</c:v>
                </c:pt>
                <c:pt idx="80">
                  <c:v>462.815209449343</c:v>
                </c:pt>
                <c:pt idx="81">
                  <c:v>487.65520944934303</c:v>
                </c:pt>
                <c:pt idx="82">
                  <c:v>477.95520944934304</c:v>
                </c:pt>
                <c:pt idx="83">
                  <c:v>474.80520944934301</c:v>
                </c:pt>
                <c:pt idx="84">
                  <c:v>505.84520944934303</c:v>
                </c:pt>
                <c:pt idx="85">
                  <c:v>498.64520944934299</c:v>
                </c:pt>
                <c:pt idx="86">
                  <c:v>475.08520944934298</c:v>
                </c:pt>
                <c:pt idx="87">
                  <c:v>493.80319283450388</c:v>
                </c:pt>
                <c:pt idx="88">
                  <c:v>516.09052256979044</c:v>
                </c:pt>
                <c:pt idx="89">
                  <c:v>558.83052256979045</c:v>
                </c:pt>
                <c:pt idx="90">
                  <c:v>581.83052256979045</c:v>
                </c:pt>
                <c:pt idx="91">
                  <c:v>593.71052256979044</c:v>
                </c:pt>
                <c:pt idx="92">
                  <c:v>599.99052256979041</c:v>
                </c:pt>
                <c:pt idx="93">
                  <c:v>604.00428857408906</c:v>
                </c:pt>
                <c:pt idx="94">
                  <c:v>567.37428857408906</c:v>
                </c:pt>
                <c:pt idx="95">
                  <c:v>563.59428857408898</c:v>
                </c:pt>
                <c:pt idx="96">
                  <c:v>585.49428857408907</c:v>
                </c:pt>
                <c:pt idx="97">
                  <c:v>525.34428857408909</c:v>
                </c:pt>
                <c:pt idx="98">
                  <c:v>492.02428857408904</c:v>
                </c:pt>
                <c:pt idx="99">
                  <c:v>503.78169896724296</c:v>
                </c:pt>
                <c:pt idx="100">
                  <c:v>509.98169896724301</c:v>
                </c:pt>
                <c:pt idx="101">
                  <c:v>517.84169896724302</c:v>
                </c:pt>
                <c:pt idx="102">
                  <c:v>533.58884360937736</c:v>
                </c:pt>
                <c:pt idx="103">
                  <c:v>513.85884360937735</c:v>
                </c:pt>
                <c:pt idx="104">
                  <c:v>543.25884360937732</c:v>
                </c:pt>
                <c:pt idx="105">
                  <c:v>495.42884360937734</c:v>
                </c:pt>
                <c:pt idx="106">
                  <c:v>503.80884360937733</c:v>
                </c:pt>
                <c:pt idx="107">
                  <c:v>490.68884360937739</c:v>
                </c:pt>
                <c:pt idx="108">
                  <c:v>492.60884360937735</c:v>
                </c:pt>
                <c:pt idx="109">
                  <c:v>491.52093152146523</c:v>
                </c:pt>
                <c:pt idx="110">
                  <c:v>519.83093152146523</c:v>
                </c:pt>
                <c:pt idx="111">
                  <c:v>534.00314281297483</c:v>
                </c:pt>
                <c:pt idx="112">
                  <c:v>541.92771813382046</c:v>
                </c:pt>
                <c:pt idx="113">
                  <c:v>564.89771813382049</c:v>
                </c:pt>
                <c:pt idx="114">
                  <c:v>573.9977181338204</c:v>
                </c:pt>
                <c:pt idx="115">
                  <c:v>587.22771813382042</c:v>
                </c:pt>
                <c:pt idx="116">
                  <c:v>604.52771813382037</c:v>
                </c:pt>
                <c:pt idx="117">
                  <c:v>602.64919590464069</c:v>
                </c:pt>
                <c:pt idx="118">
                  <c:v>580.92919590464066</c:v>
                </c:pt>
                <c:pt idx="119">
                  <c:v>606.20919590464064</c:v>
                </c:pt>
                <c:pt idx="120">
                  <c:v>592.64919590464069</c:v>
                </c:pt>
                <c:pt idx="121">
                  <c:v>573.25919590464082</c:v>
                </c:pt>
                <c:pt idx="122">
                  <c:v>568.70943287146542</c:v>
                </c:pt>
                <c:pt idx="123">
                  <c:v>564.38943287146549</c:v>
                </c:pt>
                <c:pt idx="124">
                  <c:v>576.1294328714655</c:v>
                </c:pt>
                <c:pt idx="125">
                  <c:v>592.38943287146549</c:v>
                </c:pt>
                <c:pt idx="126">
                  <c:v>593.64488186885001</c:v>
                </c:pt>
                <c:pt idx="127">
                  <c:v>609.8071782617958</c:v>
                </c:pt>
                <c:pt idx="128">
                  <c:v>613.22717826179587</c:v>
                </c:pt>
                <c:pt idx="129">
                  <c:v>615.02717826179583</c:v>
                </c:pt>
                <c:pt idx="130">
                  <c:v>631.52717826179583</c:v>
                </c:pt>
                <c:pt idx="131">
                  <c:v>629.86717826179586</c:v>
                </c:pt>
                <c:pt idx="132">
                  <c:v>643.36717826179586</c:v>
                </c:pt>
                <c:pt idx="133">
                  <c:v>643.71717826179588</c:v>
                </c:pt>
                <c:pt idx="134">
                  <c:v>610.59717826179588</c:v>
                </c:pt>
                <c:pt idx="135">
                  <c:v>633.84717826179588</c:v>
                </c:pt>
                <c:pt idx="136">
                  <c:v>579.82717826179578</c:v>
                </c:pt>
                <c:pt idx="137">
                  <c:v>561.96317826179575</c:v>
                </c:pt>
                <c:pt idx="138">
                  <c:v>561.12317826179583</c:v>
                </c:pt>
                <c:pt idx="139">
                  <c:v>528.08317826179587</c:v>
                </c:pt>
                <c:pt idx="140">
                  <c:v>608.33790761186151</c:v>
                </c:pt>
                <c:pt idx="141">
                  <c:v>588.96729478750626</c:v>
                </c:pt>
                <c:pt idx="142">
                  <c:v>585.04729478750619</c:v>
                </c:pt>
                <c:pt idx="143">
                  <c:v>561.74729478750623</c:v>
                </c:pt>
                <c:pt idx="144">
                  <c:v>554.06729478750617</c:v>
                </c:pt>
                <c:pt idx="145">
                  <c:v>548.98729478750613</c:v>
                </c:pt>
                <c:pt idx="146">
                  <c:v>547.88729478750611</c:v>
                </c:pt>
                <c:pt idx="147">
                  <c:v>569.72729478750603</c:v>
                </c:pt>
                <c:pt idx="148">
                  <c:v>545.59729478750603</c:v>
                </c:pt>
                <c:pt idx="149">
                  <c:v>522.90954002980902</c:v>
                </c:pt>
                <c:pt idx="150">
                  <c:v>525.54954002980901</c:v>
                </c:pt>
                <c:pt idx="151">
                  <c:v>525.06954002980899</c:v>
                </c:pt>
                <c:pt idx="152">
                  <c:v>514.74954002980894</c:v>
                </c:pt>
                <c:pt idx="153">
                  <c:v>498.56954002980893</c:v>
                </c:pt>
                <c:pt idx="154">
                  <c:v>494.45954002980892</c:v>
                </c:pt>
                <c:pt idx="155">
                  <c:v>481.45954002980892</c:v>
                </c:pt>
                <c:pt idx="156">
                  <c:v>524.76954002980892</c:v>
                </c:pt>
                <c:pt idx="157">
                  <c:v>518.25954002980893</c:v>
                </c:pt>
                <c:pt idx="158">
                  <c:v>613.55954002980889</c:v>
                </c:pt>
                <c:pt idx="159">
                  <c:v>607.33954002980886</c:v>
                </c:pt>
                <c:pt idx="160">
                  <c:v>589.99954002980883</c:v>
                </c:pt>
                <c:pt idx="161">
                  <c:v>585.62954002980882</c:v>
                </c:pt>
                <c:pt idx="162">
                  <c:v>629.62954002980882</c:v>
                </c:pt>
                <c:pt idx="163">
                  <c:v>642.13954002980893</c:v>
                </c:pt>
                <c:pt idx="164">
                  <c:v>640.63954002980893</c:v>
                </c:pt>
                <c:pt idx="165">
                  <c:v>636.58954002980897</c:v>
                </c:pt>
                <c:pt idx="166">
                  <c:v>600.33954002980897</c:v>
                </c:pt>
                <c:pt idx="167">
                  <c:v>617.189540029809</c:v>
                </c:pt>
                <c:pt idx="168">
                  <c:v>617.12954002980894</c:v>
                </c:pt>
                <c:pt idx="169">
                  <c:v>629.91954002980901</c:v>
                </c:pt>
                <c:pt idx="170">
                  <c:v>613.65954002980902</c:v>
                </c:pt>
                <c:pt idx="171">
                  <c:v>640.6995400298091</c:v>
                </c:pt>
                <c:pt idx="172">
                  <c:v>622.0795400298091</c:v>
                </c:pt>
                <c:pt idx="173">
                  <c:v>594.65954002980914</c:v>
                </c:pt>
                <c:pt idx="174">
                  <c:v>601.25954002980916</c:v>
                </c:pt>
                <c:pt idx="175">
                  <c:v>613.41954002980924</c:v>
                </c:pt>
                <c:pt idx="176">
                  <c:v>616.51954002980915</c:v>
                </c:pt>
                <c:pt idx="177">
                  <c:v>647.86954002980906</c:v>
                </c:pt>
                <c:pt idx="178">
                  <c:v>676.48954002980906</c:v>
                </c:pt>
                <c:pt idx="179">
                  <c:v>701.689540029809</c:v>
                </c:pt>
                <c:pt idx="180">
                  <c:v>689.36954002980906</c:v>
                </c:pt>
                <c:pt idx="181">
                  <c:v>694.40954002980902</c:v>
                </c:pt>
                <c:pt idx="182">
                  <c:v>679.70954002980898</c:v>
                </c:pt>
                <c:pt idx="183">
                  <c:v>651.574158969677</c:v>
                </c:pt>
                <c:pt idx="184">
                  <c:v>687.24415896967707</c:v>
                </c:pt>
                <c:pt idx="185">
                  <c:v>688.91415896967715</c:v>
                </c:pt>
                <c:pt idx="186">
                  <c:v>702.00415896967706</c:v>
                </c:pt>
                <c:pt idx="187">
                  <c:v>681.00415896967706</c:v>
                </c:pt>
                <c:pt idx="188">
                  <c:v>716.44870778992345</c:v>
                </c:pt>
                <c:pt idx="189">
                  <c:v>707.11870778992341</c:v>
                </c:pt>
                <c:pt idx="190">
                  <c:v>688.01767686208836</c:v>
                </c:pt>
                <c:pt idx="191">
                  <c:v>689.17767686208845</c:v>
                </c:pt>
                <c:pt idx="192">
                  <c:v>688.02767686208847</c:v>
                </c:pt>
                <c:pt idx="193">
                  <c:v>667.04767686208845</c:v>
                </c:pt>
                <c:pt idx="194">
                  <c:v>667.2276768620884</c:v>
                </c:pt>
                <c:pt idx="195">
                  <c:v>653.64277120171107</c:v>
                </c:pt>
                <c:pt idx="196">
                  <c:v>636.63316900692371</c:v>
                </c:pt>
                <c:pt idx="197">
                  <c:v>763.47316900692363</c:v>
                </c:pt>
                <c:pt idx="198">
                  <c:v>765.54213452416502</c:v>
                </c:pt>
                <c:pt idx="199">
                  <c:v>796.54128055320007</c:v>
                </c:pt>
                <c:pt idx="200">
                  <c:v>750.23465560421346</c:v>
                </c:pt>
                <c:pt idx="201">
                  <c:v>759.83465560421348</c:v>
                </c:pt>
                <c:pt idx="202">
                  <c:v>740.33465560421348</c:v>
                </c:pt>
                <c:pt idx="203">
                  <c:v>737.9346556042135</c:v>
                </c:pt>
                <c:pt idx="204">
                  <c:v>756.96182393583513</c:v>
                </c:pt>
                <c:pt idx="205">
                  <c:v>743.60182393583511</c:v>
                </c:pt>
                <c:pt idx="206">
                  <c:v>741.62182393583521</c:v>
                </c:pt>
                <c:pt idx="207">
                  <c:v>790.72182393583512</c:v>
                </c:pt>
                <c:pt idx="208">
                  <c:v>796.2418239358351</c:v>
                </c:pt>
                <c:pt idx="209">
                  <c:v>787.54182393583517</c:v>
                </c:pt>
                <c:pt idx="210">
                  <c:v>834.83790099011435</c:v>
                </c:pt>
                <c:pt idx="211">
                  <c:v>853.1379009901143</c:v>
                </c:pt>
                <c:pt idx="212">
                  <c:v>871.93790099011426</c:v>
                </c:pt>
                <c:pt idx="213">
                  <c:v>843.67790099011427</c:v>
                </c:pt>
                <c:pt idx="214">
                  <c:v>884.05790099011438</c:v>
                </c:pt>
                <c:pt idx="215">
                  <c:v>868.01790099011441</c:v>
                </c:pt>
                <c:pt idx="216">
                  <c:v>856.87932791382514</c:v>
                </c:pt>
                <c:pt idx="217">
                  <c:v>853.0393279138251</c:v>
                </c:pt>
                <c:pt idx="218">
                  <c:v>844.33932791382517</c:v>
                </c:pt>
                <c:pt idx="219">
                  <c:v>848.31932791382519</c:v>
                </c:pt>
                <c:pt idx="220">
                  <c:v>868.59932791382516</c:v>
                </c:pt>
                <c:pt idx="221">
                  <c:v>867.09932791382516</c:v>
                </c:pt>
                <c:pt idx="222">
                  <c:v>870.04932791382521</c:v>
                </c:pt>
                <c:pt idx="223">
                  <c:v>859.5593279138252</c:v>
                </c:pt>
                <c:pt idx="224">
                  <c:v>845.5593279138252</c:v>
                </c:pt>
                <c:pt idx="225">
                  <c:v>846.81932791382519</c:v>
                </c:pt>
                <c:pt idx="226">
                  <c:v>875.61932791382515</c:v>
                </c:pt>
                <c:pt idx="227">
                  <c:v>898.10932791382515</c:v>
                </c:pt>
                <c:pt idx="228">
                  <c:v>928.02932791382523</c:v>
                </c:pt>
                <c:pt idx="229">
                  <c:v>905.82932791382518</c:v>
                </c:pt>
                <c:pt idx="230">
                  <c:v>1028.4793279138253</c:v>
                </c:pt>
                <c:pt idx="231">
                  <c:v>1031.8595180495204</c:v>
                </c:pt>
                <c:pt idx="232">
                  <c:v>1034.2355204255227</c:v>
                </c:pt>
                <c:pt idx="233">
                  <c:v>1038.0309381529005</c:v>
                </c:pt>
                <c:pt idx="234">
                  <c:v>1036.7675502785744</c:v>
                </c:pt>
                <c:pt idx="235">
                  <c:v>1033.0975502785743</c:v>
                </c:pt>
                <c:pt idx="236">
                  <c:v>1077.9775502785744</c:v>
                </c:pt>
                <c:pt idx="237">
                  <c:v>1063.2775502785744</c:v>
                </c:pt>
                <c:pt idx="238">
                  <c:v>1058.00861504257</c:v>
                </c:pt>
                <c:pt idx="239">
                  <c:v>1041.6286150425699</c:v>
                </c:pt>
                <c:pt idx="240">
                  <c:v>1051.28861504257</c:v>
                </c:pt>
                <c:pt idx="241">
                  <c:v>1048.0686150425699</c:v>
                </c:pt>
                <c:pt idx="242">
                  <c:v>1025.04861504257</c:v>
                </c:pt>
                <c:pt idx="243">
                  <c:v>1024.7086150425698</c:v>
                </c:pt>
                <c:pt idx="244">
                  <c:v>1028.8086150425697</c:v>
                </c:pt>
                <c:pt idx="245">
                  <c:v>1051.2486150425698</c:v>
                </c:pt>
                <c:pt idx="246">
                  <c:v>1025.6729571478329</c:v>
                </c:pt>
                <c:pt idx="247">
                  <c:v>1050.9929571478328</c:v>
                </c:pt>
                <c:pt idx="248">
                  <c:v>1049.2229571478329</c:v>
                </c:pt>
                <c:pt idx="249">
                  <c:v>1033.8229571478328</c:v>
                </c:pt>
                <c:pt idx="250">
                  <c:v>1016.8229571478328</c:v>
                </c:pt>
                <c:pt idx="251">
                  <c:v>1022.8029571478328</c:v>
                </c:pt>
                <c:pt idx="252">
                  <c:v>1011.7498821688943</c:v>
                </c:pt>
                <c:pt idx="253">
                  <c:v>1083.5998821688943</c:v>
                </c:pt>
                <c:pt idx="254">
                  <c:v>1156.5998821688943</c:v>
                </c:pt>
                <c:pt idx="255">
                  <c:v>1180.9511144195878</c:v>
                </c:pt>
                <c:pt idx="256">
                  <c:v>1158.8579150456292</c:v>
                </c:pt>
                <c:pt idx="257">
                  <c:v>1207.6379150456291</c:v>
                </c:pt>
                <c:pt idx="258">
                  <c:v>1198.6679150456291</c:v>
                </c:pt>
                <c:pt idx="259">
                  <c:v>1186.007915045629</c:v>
                </c:pt>
                <c:pt idx="260">
                  <c:v>1205.067915045629</c:v>
                </c:pt>
                <c:pt idx="261">
                  <c:v>1211.8679150456289</c:v>
                </c:pt>
                <c:pt idx="262">
                  <c:v>1256.6279150456289</c:v>
                </c:pt>
                <c:pt idx="263">
                  <c:v>1282.4279150456291</c:v>
                </c:pt>
                <c:pt idx="264">
                  <c:v>1306.3584810388802</c:v>
                </c:pt>
                <c:pt idx="265">
                  <c:v>1350.6584810388802</c:v>
                </c:pt>
                <c:pt idx="266">
                  <c:v>1365.2084810388801</c:v>
                </c:pt>
                <c:pt idx="267">
                  <c:v>1360.1684810388801</c:v>
                </c:pt>
                <c:pt idx="268">
                  <c:v>1348.0484810388803</c:v>
                </c:pt>
                <c:pt idx="269">
                  <c:v>1349.6500842452931</c:v>
                </c:pt>
                <c:pt idx="270">
                  <c:v>1389.500084245293</c:v>
                </c:pt>
                <c:pt idx="271">
                  <c:v>1398.8000842452932</c:v>
                </c:pt>
                <c:pt idx="272">
                  <c:v>1383.8400842452934</c:v>
                </c:pt>
                <c:pt idx="273">
                  <c:v>1361.4400842452935</c:v>
                </c:pt>
                <c:pt idx="274">
                  <c:v>1392.8000842452934</c:v>
                </c:pt>
                <c:pt idx="275">
                  <c:v>1328.0100842452937</c:v>
                </c:pt>
                <c:pt idx="276">
                  <c:v>1395.8600842452938</c:v>
                </c:pt>
                <c:pt idx="277">
                  <c:v>1469.960084245294</c:v>
                </c:pt>
                <c:pt idx="278">
                  <c:v>1404.3100842452939</c:v>
                </c:pt>
                <c:pt idx="279">
                  <c:v>1533.610084245294</c:v>
                </c:pt>
                <c:pt idx="280">
                  <c:v>1573.4000842452942</c:v>
                </c:pt>
                <c:pt idx="281">
                  <c:v>1381.5200842452944</c:v>
                </c:pt>
                <c:pt idx="282">
                  <c:v>1340.5400842452946</c:v>
                </c:pt>
                <c:pt idx="283">
                  <c:v>1270.5400842452946</c:v>
                </c:pt>
                <c:pt idx="284">
                  <c:v>1223.1400842452947</c:v>
                </c:pt>
                <c:pt idx="285">
                  <c:v>1231.8800842452949</c:v>
                </c:pt>
                <c:pt idx="286">
                  <c:v>1321.4800842452948</c:v>
                </c:pt>
                <c:pt idx="287">
                  <c:v>1307.6800842452947</c:v>
                </c:pt>
                <c:pt idx="288">
                  <c:v>1372.5700842452948</c:v>
                </c:pt>
                <c:pt idx="289">
                  <c:v>1359.9700842452946</c:v>
                </c:pt>
                <c:pt idx="290">
                  <c:v>1502.0700842452945</c:v>
                </c:pt>
                <c:pt idx="291">
                  <c:v>1577.6700842452947</c:v>
                </c:pt>
                <c:pt idx="292">
                  <c:v>1602.3900842452947</c:v>
                </c:pt>
                <c:pt idx="293">
                  <c:v>1753.8600842452947</c:v>
                </c:pt>
                <c:pt idx="294">
                  <c:v>1764.860084245295</c:v>
                </c:pt>
                <c:pt idx="295">
                  <c:v>1869.4100842452949</c:v>
                </c:pt>
                <c:pt idx="296">
                  <c:v>1786.7000842452949</c:v>
                </c:pt>
                <c:pt idx="297">
                  <c:v>1673.8600842452947</c:v>
                </c:pt>
                <c:pt idx="298">
                  <c:v>1598.8200842452948</c:v>
                </c:pt>
                <c:pt idx="299">
                  <c:v>1627.7500842452948</c:v>
                </c:pt>
                <c:pt idx="300">
                  <c:v>1559.9500842452946</c:v>
                </c:pt>
                <c:pt idx="301">
                  <c:v>1552.8000842452948</c:v>
                </c:pt>
                <c:pt idx="302">
                  <c:v>1649.1900842452947</c:v>
                </c:pt>
                <c:pt idx="303">
                  <c:v>1599.6900842452949</c:v>
                </c:pt>
                <c:pt idx="304">
                  <c:v>1615.2000842452949</c:v>
                </c:pt>
                <c:pt idx="305">
                  <c:v>1542.6000842452945</c:v>
                </c:pt>
                <c:pt idx="306">
                  <c:v>1612.5200842452944</c:v>
                </c:pt>
                <c:pt idx="307">
                  <c:v>1411.8800842452943</c:v>
                </c:pt>
                <c:pt idx="308">
                  <c:v>1887.9600842452942</c:v>
                </c:pt>
                <c:pt idx="309">
                  <c:v>1925.9700842452942</c:v>
                </c:pt>
                <c:pt idx="310">
                  <c:v>1837.7300842452942</c:v>
                </c:pt>
                <c:pt idx="311">
                  <c:v>1718.8300842452943</c:v>
                </c:pt>
                <c:pt idx="312">
                  <c:v>1686.9800842452942</c:v>
                </c:pt>
                <c:pt idx="313">
                  <c:v>1764.880084245294</c:v>
                </c:pt>
                <c:pt idx="314">
                  <c:v>1760.400084245294</c:v>
                </c:pt>
                <c:pt idx="315">
                  <c:v>1358.8051978111375</c:v>
                </c:pt>
                <c:pt idx="316">
                  <c:v>1241.6051978111375</c:v>
                </c:pt>
                <c:pt idx="317">
                  <c:v>1124.4251978111377</c:v>
                </c:pt>
                <c:pt idx="318">
                  <c:v>997.48519781113782</c:v>
                </c:pt>
                <c:pt idx="319">
                  <c:v>1017.4851978111378</c:v>
                </c:pt>
                <c:pt idx="320">
                  <c:v>1223.2251978111378</c:v>
                </c:pt>
                <c:pt idx="321">
                  <c:v>1138.3551978111377</c:v>
                </c:pt>
                <c:pt idx="322">
                  <c:v>1166.6351978111377</c:v>
                </c:pt>
                <c:pt idx="323">
                  <c:v>1248.5351978111376</c:v>
                </c:pt>
                <c:pt idx="324">
                  <c:v>1286.6015552852725</c:v>
                </c:pt>
                <c:pt idx="325">
                  <c:v>1144.2815552852726</c:v>
                </c:pt>
                <c:pt idx="326">
                  <c:v>913.68155528527268</c:v>
                </c:pt>
                <c:pt idx="327">
                  <c:v>828.17764078297364</c:v>
                </c:pt>
                <c:pt idx="328">
                  <c:v>739.25764078297357</c:v>
                </c:pt>
                <c:pt idx="329">
                  <c:v>870.15764078297366</c:v>
                </c:pt>
                <c:pt idx="330">
                  <c:v>934.95764078297384</c:v>
                </c:pt>
                <c:pt idx="331">
                  <c:v>928.19764078297385</c:v>
                </c:pt>
                <c:pt idx="332">
                  <c:v>840.89764078297389</c:v>
                </c:pt>
                <c:pt idx="333">
                  <c:v>899.03764078297399</c:v>
                </c:pt>
                <c:pt idx="334">
                  <c:v>817.73764078297404</c:v>
                </c:pt>
                <c:pt idx="335">
                  <c:v>785.88764078297436</c:v>
                </c:pt>
                <c:pt idx="336">
                  <c:v>687.48764078297427</c:v>
                </c:pt>
                <c:pt idx="337">
                  <c:v>596.2276407829745</c:v>
                </c:pt>
                <c:pt idx="338">
                  <c:v>633.11764078297438</c:v>
                </c:pt>
                <c:pt idx="339">
                  <c:v>736.85764078297439</c:v>
                </c:pt>
                <c:pt idx="340">
                  <c:v>1085.0976407829744</c:v>
                </c:pt>
                <c:pt idx="341">
                  <c:v>1031.3076407829744</c:v>
                </c:pt>
                <c:pt idx="342">
                  <c:v>1049.2476407829745</c:v>
                </c:pt>
                <c:pt idx="343">
                  <c:v>1127.6476407829746</c:v>
                </c:pt>
                <c:pt idx="344">
                  <c:v>1313.4076407829746</c:v>
                </c:pt>
                <c:pt idx="345">
                  <c:v>1293.7202526431345</c:v>
                </c:pt>
                <c:pt idx="346">
                  <c:v>1341.4802526431345</c:v>
                </c:pt>
                <c:pt idx="347">
                  <c:v>1630.0102526431344</c:v>
                </c:pt>
                <c:pt idx="348">
                  <c:v>1499.6902526431345</c:v>
                </c:pt>
                <c:pt idx="349">
                  <c:v>1369.0452526431347</c:v>
                </c:pt>
                <c:pt idx="350">
                  <c:v>1285.5252526431348</c:v>
                </c:pt>
                <c:pt idx="351">
                  <c:v>1378.5852526431347</c:v>
                </c:pt>
                <c:pt idx="352">
                  <c:v>1310.4252526431349</c:v>
                </c:pt>
                <c:pt idx="353">
                  <c:v>1306.4652526431346</c:v>
                </c:pt>
                <c:pt idx="354">
                  <c:v>1391.5652526431345</c:v>
                </c:pt>
                <c:pt idx="355">
                  <c:v>1254.9452526431344</c:v>
                </c:pt>
                <c:pt idx="356">
                  <c:v>1306.1852526431344</c:v>
                </c:pt>
                <c:pt idx="357">
                  <c:v>1226.2652526431345</c:v>
                </c:pt>
                <c:pt idx="358">
                  <c:v>1476.6452526431347</c:v>
                </c:pt>
                <c:pt idx="359">
                  <c:v>1525.5952526431347</c:v>
                </c:pt>
                <c:pt idx="360">
                  <c:v>1453.9552526431346</c:v>
                </c:pt>
                <c:pt idx="361">
                  <c:v>1300.4452526431346</c:v>
                </c:pt>
                <c:pt idx="362">
                  <c:v>1178.2452526431346</c:v>
                </c:pt>
                <c:pt idx="363">
                  <c:v>1192.6990485895446</c:v>
                </c:pt>
                <c:pt idx="364">
                  <c:v>1203.0190485895446</c:v>
                </c:pt>
                <c:pt idx="365">
                  <c:v>1241.4190485895449</c:v>
                </c:pt>
                <c:pt idx="366">
                  <c:v>1253.7690485895448</c:v>
                </c:pt>
                <c:pt idx="367">
                  <c:v>1315.0890485895447</c:v>
                </c:pt>
                <c:pt idx="368">
                  <c:v>1075.4790485895446</c:v>
                </c:pt>
                <c:pt idx="369">
                  <c:v>1340.3790485895449</c:v>
                </c:pt>
                <c:pt idx="370">
                  <c:v>1261.2340485895452</c:v>
                </c:pt>
                <c:pt idx="371">
                  <c:v>1305.3940485895455</c:v>
                </c:pt>
                <c:pt idx="372">
                  <c:v>1295.7940485895456</c:v>
                </c:pt>
                <c:pt idx="373">
                  <c:v>1117.0440485895456</c:v>
                </c:pt>
                <c:pt idx="374">
                  <c:v>1183.8240485895456</c:v>
                </c:pt>
                <c:pt idx="375">
                  <c:v>1225.1640485895455</c:v>
                </c:pt>
                <c:pt idx="376">
                  <c:v>1478.3640485895457</c:v>
                </c:pt>
                <c:pt idx="377">
                  <c:v>1440.5640485895456</c:v>
                </c:pt>
                <c:pt idx="378">
                  <c:v>1473.6840485895457</c:v>
                </c:pt>
                <c:pt idx="379">
                  <c:v>1518.3240485895456</c:v>
                </c:pt>
                <c:pt idx="380">
                  <c:v>1463.3740485895455</c:v>
                </c:pt>
                <c:pt idx="381">
                  <c:v>1395.0940485895458</c:v>
                </c:pt>
                <c:pt idx="382">
                  <c:v>1283.5440485895458</c:v>
                </c:pt>
                <c:pt idx="383">
                  <c:v>1193.8140485895458</c:v>
                </c:pt>
                <c:pt idx="384">
                  <c:v>1104.4140485895457</c:v>
                </c:pt>
                <c:pt idx="385">
                  <c:v>1173.3390485895457</c:v>
                </c:pt>
                <c:pt idx="386">
                  <c:v>886.23904858954575</c:v>
                </c:pt>
                <c:pt idx="387">
                  <c:v>1003.2390485895457</c:v>
                </c:pt>
                <c:pt idx="388">
                  <c:v>1012.8640485895457</c:v>
                </c:pt>
                <c:pt idx="389">
                  <c:v>1051.2140485895457</c:v>
                </c:pt>
                <c:pt idx="390">
                  <c:v>948.16404858954547</c:v>
                </c:pt>
                <c:pt idx="391">
                  <c:v>930.58404858954532</c:v>
                </c:pt>
                <c:pt idx="392">
                  <c:v>845.58404858954509</c:v>
                </c:pt>
                <c:pt idx="393">
                  <c:v>581.05404858954512</c:v>
                </c:pt>
                <c:pt idx="394">
                  <c:v>554.3268027996296</c:v>
                </c:pt>
                <c:pt idx="395">
                  <c:v>505.0878286864945</c:v>
                </c:pt>
                <c:pt idx="396">
                  <c:v>692.60782868649449</c:v>
                </c:pt>
                <c:pt idx="397">
                  <c:v>791.16782868649443</c:v>
                </c:pt>
                <c:pt idx="398">
                  <c:v>736.90116201982755</c:v>
                </c:pt>
                <c:pt idx="399">
                  <c:v>940.90116201982778</c:v>
                </c:pt>
                <c:pt idx="400">
                  <c:v>870.058070684933</c:v>
                </c:pt>
                <c:pt idx="401">
                  <c:v>1008.758070684933</c:v>
                </c:pt>
                <c:pt idx="402">
                  <c:v>1051.1380706849332</c:v>
                </c:pt>
                <c:pt idx="403">
                  <c:v>927.63807068493315</c:v>
                </c:pt>
                <c:pt idx="404">
                  <c:v>813.71807068493308</c:v>
                </c:pt>
                <c:pt idx="405">
                  <c:v>892.55807068493277</c:v>
                </c:pt>
                <c:pt idx="406">
                  <c:v>818.45807068493309</c:v>
                </c:pt>
                <c:pt idx="407">
                  <c:v>1023.956978186754</c:v>
                </c:pt>
                <c:pt idx="408">
                  <c:v>1162.3635715933474</c:v>
                </c:pt>
                <c:pt idx="409">
                  <c:v>1241.1635715933471</c:v>
                </c:pt>
                <c:pt idx="410">
                  <c:v>1342.4135715933471</c:v>
                </c:pt>
                <c:pt idx="411">
                  <c:v>1771.1635715933471</c:v>
                </c:pt>
                <c:pt idx="412">
                  <c:v>1809.5035715933473</c:v>
                </c:pt>
                <c:pt idx="413">
                  <c:v>1892.0035715933473</c:v>
                </c:pt>
                <c:pt idx="414">
                  <c:v>2113.5535715933474</c:v>
                </c:pt>
                <c:pt idx="415">
                  <c:v>2161.8735715933472</c:v>
                </c:pt>
                <c:pt idx="416">
                  <c:v>2182.073571593347</c:v>
                </c:pt>
                <c:pt idx="417">
                  <c:v>1943.6735715933469</c:v>
                </c:pt>
                <c:pt idx="418">
                  <c:v>2018.1935715933469</c:v>
                </c:pt>
                <c:pt idx="419">
                  <c:v>1986.7235715933471</c:v>
                </c:pt>
                <c:pt idx="420">
                  <c:v>2229.7235715933471</c:v>
                </c:pt>
                <c:pt idx="421">
                  <c:v>2316.1235715933472</c:v>
                </c:pt>
                <c:pt idx="422">
                  <c:v>2543.6235715933472</c:v>
                </c:pt>
                <c:pt idx="423">
                  <c:v>2570.4735715933471</c:v>
                </c:pt>
                <c:pt idx="424">
                  <c:v>2550.553571593347</c:v>
                </c:pt>
                <c:pt idx="425">
                  <c:v>2599.303571593347</c:v>
                </c:pt>
                <c:pt idx="426">
                  <c:v>2638.4035715933469</c:v>
                </c:pt>
                <c:pt idx="427">
                  <c:v>2705.0635715933468</c:v>
                </c:pt>
                <c:pt idx="428">
                  <c:v>2776.5635715933468</c:v>
                </c:pt>
                <c:pt idx="429">
                  <c:v>2938.9635715933468</c:v>
                </c:pt>
                <c:pt idx="430">
                  <c:v>2889.9535715933466</c:v>
                </c:pt>
                <c:pt idx="431">
                  <c:v>2801.2935715933468</c:v>
                </c:pt>
                <c:pt idx="432">
                  <c:v>2718.1035715933467</c:v>
                </c:pt>
                <c:pt idx="433">
                  <c:v>2579.002379297413</c:v>
                </c:pt>
                <c:pt idx="434">
                  <c:v>2585.002379297413</c:v>
                </c:pt>
                <c:pt idx="435">
                  <c:v>2418.3023792974127</c:v>
                </c:pt>
                <c:pt idx="436">
                  <c:v>2331.4223792974126</c:v>
                </c:pt>
                <c:pt idx="437">
                  <c:v>2405.3723792974124</c:v>
                </c:pt>
                <c:pt idx="438">
                  <c:v>2423.8173792974126</c:v>
                </c:pt>
                <c:pt idx="439">
                  <c:v>2380.6173792974128</c:v>
                </c:pt>
                <c:pt idx="440">
                  <c:v>2468.7573792974126</c:v>
                </c:pt>
                <c:pt idx="441">
                  <c:v>2525.5573792974128</c:v>
                </c:pt>
                <c:pt idx="442">
                  <c:v>2489.107379297413</c:v>
                </c:pt>
                <c:pt idx="443">
                  <c:v>2530.3451061644173</c:v>
                </c:pt>
                <c:pt idx="444">
                  <c:v>2530.0993510259004</c:v>
                </c:pt>
              </c:numCache>
            </c:numRef>
          </c:val>
          <c:smooth val="1"/>
          <c:extLst>
            <c:ext xmlns:c16="http://schemas.microsoft.com/office/drawing/2014/chart" uri="{C3380CC4-5D6E-409C-BE32-E72D297353CC}">
              <c16:uniqueId val="{00000003-1693-4AB0-BA75-620A9224444E}"/>
            </c:ext>
          </c:extLst>
        </c:ser>
        <c:ser>
          <c:idx val="7"/>
          <c:order val="1"/>
          <c:tx>
            <c:v>Total (MOC)</c:v>
          </c:tx>
          <c:spPr>
            <a:ln w="19050" cap="rnd">
              <a:solidFill>
                <a:sysClr val="windowText" lastClr="000000"/>
              </a:solidFill>
              <a:prstDash val="sysDash"/>
              <a:round/>
            </a:ln>
            <a:effectLst/>
          </c:spPr>
          <c:marker>
            <c:symbol val="none"/>
          </c:marker>
          <c:val>
            <c:numRef>
              <c:f>'2025-Q1'!$EK$4:$EK$448</c:f>
              <c:numCache>
                <c:formatCode>"$"#,##0</c:formatCode>
                <c:ptCount val="445"/>
                <c:pt idx="0">
                  <c:v>68.350966800437789</c:v>
                </c:pt>
                <c:pt idx="1">
                  <c:v>104.36529438103042</c:v>
                </c:pt>
                <c:pt idx="2">
                  <c:v>214.56052214675708</c:v>
                </c:pt>
                <c:pt idx="3">
                  <c:v>222.44834693359991</c:v>
                </c:pt>
                <c:pt idx="4">
                  <c:v>249.19367633379659</c:v>
                </c:pt>
                <c:pt idx="5">
                  <c:v>273.26240413461193</c:v>
                </c:pt>
                <c:pt idx="6">
                  <c:v>294.03132343234751</c:v>
                </c:pt>
                <c:pt idx="7">
                  <c:v>319.99050710581685</c:v>
                </c:pt>
                <c:pt idx="8">
                  <c:v>352.12113655011507</c:v>
                </c:pt>
                <c:pt idx="9">
                  <c:v>376.28660708855682</c:v>
                </c:pt>
                <c:pt idx="10">
                  <c:v>376.28660708855682</c:v>
                </c:pt>
                <c:pt idx="11">
                  <c:v>412.20379534084378</c:v>
                </c:pt>
                <c:pt idx="12">
                  <c:v>404.42091767171587</c:v>
                </c:pt>
                <c:pt idx="13">
                  <c:v>381.8668901668043</c:v>
                </c:pt>
                <c:pt idx="14">
                  <c:v>372.36820942801796</c:v>
                </c:pt>
                <c:pt idx="15">
                  <c:v>342.83007838612752</c:v>
                </c:pt>
                <c:pt idx="16">
                  <c:v>366.57396455775938</c:v>
                </c:pt>
                <c:pt idx="17">
                  <c:v>342.33449023310624</c:v>
                </c:pt>
                <c:pt idx="18">
                  <c:v>335.32633188082588</c:v>
                </c:pt>
                <c:pt idx="19">
                  <c:v>323.94211454576765</c:v>
                </c:pt>
                <c:pt idx="20">
                  <c:v>327.98011929636152</c:v>
                </c:pt>
                <c:pt idx="21">
                  <c:v>322.75989091136967</c:v>
                </c:pt>
                <c:pt idx="22">
                  <c:v>329.08467723615604</c:v>
                </c:pt>
                <c:pt idx="23">
                  <c:v>352.74650160469429</c:v>
                </c:pt>
                <c:pt idx="24">
                  <c:v>369.36707878685405</c:v>
                </c:pt>
                <c:pt idx="25">
                  <c:v>380.06806083900443</c:v>
                </c:pt>
                <c:pt idx="26">
                  <c:v>384.75908474518388</c:v>
                </c:pt>
                <c:pt idx="27">
                  <c:v>370.33285523698714</c:v>
                </c:pt>
                <c:pt idx="28">
                  <c:v>409.11033660944605</c:v>
                </c:pt>
                <c:pt idx="29">
                  <c:v>425.09294620522269</c:v>
                </c:pt>
                <c:pt idx="30">
                  <c:v>415.86384739957668</c:v>
                </c:pt>
                <c:pt idx="31">
                  <c:v>443.24162517735448</c:v>
                </c:pt>
                <c:pt idx="32">
                  <c:v>450.71132589464361</c:v>
                </c:pt>
                <c:pt idx="33">
                  <c:v>458.48722869585856</c:v>
                </c:pt>
                <c:pt idx="34">
                  <c:v>461.87792995452793</c:v>
                </c:pt>
                <c:pt idx="35">
                  <c:v>472.55100687760489</c:v>
                </c:pt>
                <c:pt idx="36">
                  <c:v>500.71382315923313</c:v>
                </c:pt>
                <c:pt idx="37">
                  <c:v>513.35807805135551</c:v>
                </c:pt>
                <c:pt idx="38">
                  <c:v>531.67230596774129</c:v>
                </c:pt>
                <c:pt idx="39">
                  <c:v>545.89513021427024</c:v>
                </c:pt>
                <c:pt idx="40">
                  <c:v>571.92289816248115</c:v>
                </c:pt>
                <c:pt idx="41">
                  <c:v>558.1790557979491</c:v>
                </c:pt>
                <c:pt idx="42">
                  <c:v>554.28042032036626</c:v>
                </c:pt>
                <c:pt idx="43">
                  <c:v>561.28801525707513</c:v>
                </c:pt>
                <c:pt idx="44">
                  <c:v>559.59544466548914</c:v>
                </c:pt>
                <c:pt idx="45">
                  <c:v>586.01294307279431</c:v>
                </c:pt>
                <c:pt idx="46">
                  <c:v>606.79326537983411</c:v>
                </c:pt>
                <c:pt idx="47">
                  <c:v>617.67546024585408</c:v>
                </c:pt>
                <c:pt idx="48">
                  <c:v>623.71280995166126</c:v>
                </c:pt>
                <c:pt idx="49">
                  <c:v>631.72100438317261</c:v>
                </c:pt>
                <c:pt idx="50">
                  <c:v>640.02247898721419</c:v>
                </c:pt>
                <c:pt idx="51">
                  <c:v>623.84924598356679</c:v>
                </c:pt>
                <c:pt idx="52">
                  <c:v>593.7610150877988</c:v>
                </c:pt>
                <c:pt idx="53">
                  <c:v>582.11860344538718</c:v>
                </c:pt>
                <c:pt idx="54">
                  <c:v>576.55810385966276</c:v>
                </c:pt>
                <c:pt idx="55">
                  <c:v>572.88275929610995</c:v>
                </c:pt>
                <c:pt idx="56">
                  <c:v>557.77334203522969</c:v>
                </c:pt>
                <c:pt idx="57">
                  <c:v>582.77334203522969</c:v>
                </c:pt>
                <c:pt idx="58">
                  <c:v>596.5133420352297</c:v>
                </c:pt>
                <c:pt idx="59">
                  <c:v>585.23334203522973</c:v>
                </c:pt>
                <c:pt idx="60">
                  <c:v>586.21334203522974</c:v>
                </c:pt>
                <c:pt idx="61">
                  <c:v>596.11334203522972</c:v>
                </c:pt>
                <c:pt idx="62">
                  <c:v>642.35334203522973</c:v>
                </c:pt>
                <c:pt idx="63">
                  <c:v>647.59334203522974</c:v>
                </c:pt>
                <c:pt idx="64">
                  <c:v>704.45334203522975</c:v>
                </c:pt>
                <c:pt idx="65">
                  <c:v>670.29334203522967</c:v>
                </c:pt>
                <c:pt idx="66">
                  <c:v>659.65334203522968</c:v>
                </c:pt>
                <c:pt idx="67">
                  <c:v>665.56334203522965</c:v>
                </c:pt>
                <c:pt idx="68">
                  <c:v>642.66334203522956</c:v>
                </c:pt>
                <c:pt idx="69">
                  <c:v>623.46334203522952</c:v>
                </c:pt>
                <c:pt idx="70">
                  <c:v>660.03334203522945</c:v>
                </c:pt>
                <c:pt idx="71">
                  <c:v>655.95334203522953</c:v>
                </c:pt>
                <c:pt idx="72">
                  <c:v>652.39334203522958</c:v>
                </c:pt>
                <c:pt idx="73">
                  <c:v>685.07334203522964</c:v>
                </c:pt>
                <c:pt idx="74">
                  <c:v>638.49334203522972</c:v>
                </c:pt>
                <c:pt idx="75">
                  <c:v>699.97334203522962</c:v>
                </c:pt>
                <c:pt idx="76">
                  <c:v>727.99334203522972</c:v>
                </c:pt>
                <c:pt idx="77">
                  <c:v>679.77334203522969</c:v>
                </c:pt>
                <c:pt idx="78">
                  <c:v>682.47334203522973</c:v>
                </c:pt>
                <c:pt idx="79">
                  <c:v>686.99334203522972</c:v>
                </c:pt>
                <c:pt idx="80">
                  <c:v>709.23334203522973</c:v>
                </c:pt>
                <c:pt idx="81">
                  <c:v>718.07334203522976</c:v>
                </c:pt>
                <c:pt idx="82">
                  <c:v>720.7733420352298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3-E40B-4614-BAB7-0785497FEB68}"/>
            </c:ext>
          </c:extLst>
        </c:ser>
        <c:ser>
          <c:idx val="0"/>
          <c:order val="2"/>
          <c:tx>
            <c:v>Up</c:v>
          </c:tx>
          <c:spPr>
            <a:ln w="28575" cap="rnd">
              <a:solidFill>
                <a:schemeClr val="accent6">
                  <a:lumMod val="75000"/>
                </a:schemeClr>
              </a:solidFill>
              <a:prstDash val="solid"/>
              <a:round/>
            </a:ln>
            <a:effectLst/>
          </c:spPr>
          <c:marker>
            <c:symbol val="none"/>
          </c:marker>
          <c:val>
            <c:numRef>
              <c:f>'2025-Q1'!$O$4:$O$448</c:f>
              <c:numCache>
                <c:formatCode>"$"#,##0_);[Red]\("$"#,##0\)</c:formatCode>
                <c:ptCount val="445"/>
                <c:pt idx="0">
                  <c:v>0</c:v>
                </c:pt>
                <c:pt idx="1">
                  <c:v>23.249755779876182</c:v>
                </c:pt>
                <c:pt idx="2">
                  <c:v>23.249755779876182</c:v>
                </c:pt>
                <c:pt idx="3">
                  <c:v>27.985683367058471</c:v>
                </c:pt>
                <c:pt idx="4">
                  <c:v>51.415940425634119</c:v>
                </c:pt>
                <c:pt idx="5">
                  <c:v>69.941652111809788</c:v>
                </c:pt>
                <c:pt idx="6">
                  <c:v>69.941652111809788</c:v>
                </c:pt>
                <c:pt idx="7">
                  <c:v>84.635529662830209</c:v>
                </c:pt>
                <c:pt idx="8">
                  <c:v>84.635529662830209</c:v>
                </c:pt>
                <c:pt idx="9">
                  <c:v>84.635529662830209</c:v>
                </c:pt>
                <c:pt idx="10">
                  <c:v>83.786272762617898</c:v>
                </c:pt>
                <c:pt idx="11">
                  <c:v>83.786272762617898</c:v>
                </c:pt>
                <c:pt idx="12">
                  <c:v>53.971864460881704</c:v>
                </c:pt>
                <c:pt idx="13">
                  <c:v>30.317640492315888</c:v>
                </c:pt>
                <c:pt idx="14">
                  <c:v>20.042338057905567</c:v>
                </c:pt>
                <c:pt idx="15">
                  <c:v>20.042338057905567</c:v>
                </c:pt>
                <c:pt idx="16">
                  <c:v>20.042338057905567</c:v>
                </c:pt>
                <c:pt idx="17">
                  <c:v>20.042338057905567</c:v>
                </c:pt>
                <c:pt idx="18">
                  <c:v>20.042338057905567</c:v>
                </c:pt>
                <c:pt idx="19">
                  <c:v>0.8165444466009717</c:v>
                </c:pt>
                <c:pt idx="20">
                  <c:v>0.8165444466009717</c:v>
                </c:pt>
                <c:pt idx="21">
                  <c:v>0.8165444466009717</c:v>
                </c:pt>
                <c:pt idx="22">
                  <c:v>0.8165444466009717</c:v>
                </c:pt>
                <c:pt idx="23">
                  <c:v>0.8165444466009717</c:v>
                </c:pt>
                <c:pt idx="24">
                  <c:v>13.494698030944676</c:v>
                </c:pt>
                <c:pt idx="25">
                  <c:v>13.494698030944676</c:v>
                </c:pt>
                <c:pt idx="26">
                  <c:v>13.494698030944676</c:v>
                </c:pt>
                <c:pt idx="27">
                  <c:v>13.494698030944676</c:v>
                </c:pt>
                <c:pt idx="28">
                  <c:v>13.494698030944676</c:v>
                </c:pt>
                <c:pt idx="29">
                  <c:v>20.802808377200051</c:v>
                </c:pt>
                <c:pt idx="30">
                  <c:v>40.093434508217058</c:v>
                </c:pt>
                <c:pt idx="31">
                  <c:v>40.093434508217058</c:v>
                </c:pt>
                <c:pt idx="32">
                  <c:v>40.093434508217058</c:v>
                </c:pt>
                <c:pt idx="33">
                  <c:v>40.093434508217058</c:v>
                </c:pt>
                <c:pt idx="34">
                  <c:v>40.093434508217058</c:v>
                </c:pt>
                <c:pt idx="35">
                  <c:v>53.554972969755511</c:v>
                </c:pt>
                <c:pt idx="36">
                  <c:v>69.6715846309217</c:v>
                </c:pt>
                <c:pt idx="37">
                  <c:v>69.6715846309217</c:v>
                </c:pt>
                <c:pt idx="38">
                  <c:v>69.6715846309217</c:v>
                </c:pt>
                <c:pt idx="39">
                  <c:v>69.6715846309217</c:v>
                </c:pt>
                <c:pt idx="40">
                  <c:v>80.612239488231069</c:v>
                </c:pt>
                <c:pt idx="41">
                  <c:v>80.612239488231069</c:v>
                </c:pt>
                <c:pt idx="42">
                  <c:v>80.612239488231069</c:v>
                </c:pt>
                <c:pt idx="43">
                  <c:v>83.650214171775417</c:v>
                </c:pt>
                <c:pt idx="44">
                  <c:v>83.650214171775417</c:v>
                </c:pt>
                <c:pt idx="45">
                  <c:v>111.34186845081553</c:v>
                </c:pt>
                <c:pt idx="46">
                  <c:v>111.34186845081553</c:v>
                </c:pt>
                <c:pt idx="47">
                  <c:v>111.34186845081553</c:v>
                </c:pt>
                <c:pt idx="48">
                  <c:v>111.34186845081553</c:v>
                </c:pt>
                <c:pt idx="49">
                  <c:v>107.61712685476374</c:v>
                </c:pt>
                <c:pt idx="50">
                  <c:v>107.61712685476374</c:v>
                </c:pt>
                <c:pt idx="51">
                  <c:v>90.030953950350806</c:v>
                </c:pt>
                <c:pt idx="52">
                  <c:v>90.030953950350806</c:v>
                </c:pt>
                <c:pt idx="53">
                  <c:v>90.030953950350806</c:v>
                </c:pt>
                <c:pt idx="54">
                  <c:v>88.226553422532902</c:v>
                </c:pt>
                <c:pt idx="55">
                  <c:v>88.226553422532902</c:v>
                </c:pt>
                <c:pt idx="56">
                  <c:v>88.226553422532902</c:v>
                </c:pt>
                <c:pt idx="57">
                  <c:v>101.95894778873009</c:v>
                </c:pt>
                <c:pt idx="58">
                  <c:v>101.95894778873009</c:v>
                </c:pt>
                <c:pt idx="59">
                  <c:v>101.95894778873009</c:v>
                </c:pt>
                <c:pt idx="60">
                  <c:v>101.95894778873009</c:v>
                </c:pt>
                <c:pt idx="61">
                  <c:v>101.95894778873009</c:v>
                </c:pt>
                <c:pt idx="62">
                  <c:v>101.95894778873009</c:v>
                </c:pt>
                <c:pt idx="63">
                  <c:v>101.95894778873009</c:v>
                </c:pt>
                <c:pt idx="64">
                  <c:v>121.8189477887301</c:v>
                </c:pt>
                <c:pt idx="65">
                  <c:v>94.238947788730059</c:v>
                </c:pt>
                <c:pt idx="66">
                  <c:v>79.238947788730059</c:v>
                </c:pt>
                <c:pt idx="67">
                  <c:v>79.238947788730059</c:v>
                </c:pt>
                <c:pt idx="68">
                  <c:v>79.238947788730059</c:v>
                </c:pt>
                <c:pt idx="69">
                  <c:v>59.07894778873009</c:v>
                </c:pt>
                <c:pt idx="70">
                  <c:v>59.07894778873009</c:v>
                </c:pt>
                <c:pt idx="71">
                  <c:v>59.07894778873009</c:v>
                </c:pt>
                <c:pt idx="72">
                  <c:v>59.07894778873009</c:v>
                </c:pt>
                <c:pt idx="73">
                  <c:v>59.07894778873009</c:v>
                </c:pt>
                <c:pt idx="74">
                  <c:v>59.07894778873009</c:v>
                </c:pt>
                <c:pt idx="75">
                  <c:v>133.63894778873004</c:v>
                </c:pt>
                <c:pt idx="76">
                  <c:v>133.63894778873004</c:v>
                </c:pt>
                <c:pt idx="77">
                  <c:v>133.63894778873004</c:v>
                </c:pt>
                <c:pt idx="78">
                  <c:v>133.63894778873004</c:v>
                </c:pt>
                <c:pt idx="79">
                  <c:v>145.29894778873</c:v>
                </c:pt>
                <c:pt idx="80">
                  <c:v>145.29894778873</c:v>
                </c:pt>
                <c:pt idx="81">
                  <c:v>145.29894778873</c:v>
                </c:pt>
                <c:pt idx="82">
                  <c:v>135.59894778873002</c:v>
                </c:pt>
                <c:pt idx="83">
                  <c:v>135.59894778873002</c:v>
                </c:pt>
                <c:pt idx="84">
                  <c:v>166.63894778873004</c:v>
                </c:pt>
                <c:pt idx="85">
                  <c:v>166.63894778873004</c:v>
                </c:pt>
                <c:pt idx="86">
                  <c:v>166.63894778873004</c:v>
                </c:pt>
                <c:pt idx="87">
                  <c:v>185.35693117389093</c:v>
                </c:pt>
                <c:pt idx="88">
                  <c:v>185.35693117389093</c:v>
                </c:pt>
                <c:pt idx="89">
                  <c:v>185.35693117389093</c:v>
                </c:pt>
                <c:pt idx="90">
                  <c:v>185.35693117389093</c:v>
                </c:pt>
                <c:pt idx="91">
                  <c:v>185.35693117389093</c:v>
                </c:pt>
                <c:pt idx="92">
                  <c:v>191.6369311738909</c:v>
                </c:pt>
                <c:pt idx="93">
                  <c:v>195.65069717818949</c:v>
                </c:pt>
                <c:pt idx="94">
                  <c:v>195.65069717818949</c:v>
                </c:pt>
                <c:pt idx="95">
                  <c:v>191.87069717818946</c:v>
                </c:pt>
                <c:pt idx="96">
                  <c:v>191.87069717818946</c:v>
                </c:pt>
                <c:pt idx="97">
                  <c:v>191.87069717818946</c:v>
                </c:pt>
                <c:pt idx="98">
                  <c:v>191.87069717818946</c:v>
                </c:pt>
                <c:pt idx="99">
                  <c:v>203.62810757134338</c:v>
                </c:pt>
                <c:pt idx="100">
                  <c:v>209.82810757134342</c:v>
                </c:pt>
                <c:pt idx="101">
                  <c:v>217.68810757134344</c:v>
                </c:pt>
                <c:pt idx="102">
                  <c:v>217.68810757134344</c:v>
                </c:pt>
                <c:pt idx="103">
                  <c:v>217.68810757134344</c:v>
                </c:pt>
                <c:pt idx="104">
                  <c:v>217.68810757134344</c:v>
                </c:pt>
                <c:pt idx="105">
                  <c:v>217.68810757134344</c:v>
                </c:pt>
                <c:pt idx="106">
                  <c:v>217.68810757134344</c:v>
                </c:pt>
                <c:pt idx="107">
                  <c:v>217.68810757134344</c:v>
                </c:pt>
                <c:pt idx="108">
                  <c:v>217.68810757134344</c:v>
                </c:pt>
                <c:pt idx="109">
                  <c:v>217.68810757134344</c:v>
                </c:pt>
                <c:pt idx="110">
                  <c:v>217.68810757134344</c:v>
                </c:pt>
                <c:pt idx="111">
                  <c:v>217.68810757134344</c:v>
                </c:pt>
                <c:pt idx="112">
                  <c:v>217.68810757134344</c:v>
                </c:pt>
                <c:pt idx="113">
                  <c:v>217.68810757134344</c:v>
                </c:pt>
                <c:pt idx="114">
                  <c:v>217.68810757134344</c:v>
                </c:pt>
                <c:pt idx="115">
                  <c:v>217.68810757134344</c:v>
                </c:pt>
                <c:pt idx="116">
                  <c:v>217.68810757134344</c:v>
                </c:pt>
                <c:pt idx="117">
                  <c:v>215.8095853421637</c:v>
                </c:pt>
                <c:pt idx="118">
                  <c:v>215.8095853421637</c:v>
                </c:pt>
                <c:pt idx="119">
                  <c:v>215.8095853421637</c:v>
                </c:pt>
                <c:pt idx="120">
                  <c:v>215.8095853421637</c:v>
                </c:pt>
                <c:pt idx="121">
                  <c:v>215.8095853421637</c:v>
                </c:pt>
                <c:pt idx="122">
                  <c:v>215.8095853421637</c:v>
                </c:pt>
                <c:pt idx="123">
                  <c:v>215.8095853421637</c:v>
                </c:pt>
                <c:pt idx="124">
                  <c:v>215.8095853421637</c:v>
                </c:pt>
                <c:pt idx="125">
                  <c:v>215.8095853421637</c:v>
                </c:pt>
                <c:pt idx="126">
                  <c:v>217.06503433954816</c:v>
                </c:pt>
                <c:pt idx="127">
                  <c:v>217.06503433954816</c:v>
                </c:pt>
                <c:pt idx="128">
                  <c:v>220.48503433954818</c:v>
                </c:pt>
                <c:pt idx="129">
                  <c:v>220.48503433954818</c:v>
                </c:pt>
                <c:pt idx="130">
                  <c:v>220.48503433954818</c:v>
                </c:pt>
                <c:pt idx="131">
                  <c:v>220.48503433954818</c:v>
                </c:pt>
                <c:pt idx="132">
                  <c:v>233.98503433954818</c:v>
                </c:pt>
                <c:pt idx="133">
                  <c:v>233.98503433954818</c:v>
                </c:pt>
                <c:pt idx="134">
                  <c:v>233.98503433954818</c:v>
                </c:pt>
                <c:pt idx="135">
                  <c:v>233.98503433954818</c:v>
                </c:pt>
                <c:pt idx="136">
                  <c:v>179.96503433954814</c:v>
                </c:pt>
                <c:pt idx="137">
                  <c:v>179.96503433954814</c:v>
                </c:pt>
                <c:pt idx="138">
                  <c:v>179.96503433954814</c:v>
                </c:pt>
                <c:pt idx="139">
                  <c:v>179.96503433954814</c:v>
                </c:pt>
                <c:pt idx="140">
                  <c:v>260.21976368961373</c:v>
                </c:pt>
                <c:pt idx="141">
                  <c:v>260.21976368961373</c:v>
                </c:pt>
                <c:pt idx="142">
                  <c:v>260.21976368961373</c:v>
                </c:pt>
                <c:pt idx="143">
                  <c:v>260.21976368961373</c:v>
                </c:pt>
                <c:pt idx="144">
                  <c:v>260.21976368961373</c:v>
                </c:pt>
                <c:pt idx="145">
                  <c:v>260.21976368961373</c:v>
                </c:pt>
                <c:pt idx="146">
                  <c:v>260.21976368961373</c:v>
                </c:pt>
                <c:pt idx="147">
                  <c:v>260.21976368961373</c:v>
                </c:pt>
                <c:pt idx="148">
                  <c:v>260.21976368961373</c:v>
                </c:pt>
                <c:pt idx="149">
                  <c:v>260.21976368961373</c:v>
                </c:pt>
                <c:pt idx="150">
                  <c:v>260.21976368961373</c:v>
                </c:pt>
                <c:pt idx="151">
                  <c:v>260.21976368961373</c:v>
                </c:pt>
                <c:pt idx="152">
                  <c:v>260.21976368961373</c:v>
                </c:pt>
                <c:pt idx="153">
                  <c:v>244.03976368961372</c:v>
                </c:pt>
                <c:pt idx="154">
                  <c:v>244.03976368961372</c:v>
                </c:pt>
                <c:pt idx="155">
                  <c:v>244.03976368961372</c:v>
                </c:pt>
                <c:pt idx="156">
                  <c:v>244.03976368961372</c:v>
                </c:pt>
                <c:pt idx="157">
                  <c:v>244.03976368961372</c:v>
                </c:pt>
                <c:pt idx="158">
                  <c:v>339.33976368961373</c:v>
                </c:pt>
                <c:pt idx="159">
                  <c:v>339.33976368961373</c:v>
                </c:pt>
                <c:pt idx="160">
                  <c:v>339.33976368961373</c:v>
                </c:pt>
                <c:pt idx="161">
                  <c:v>339.33976368961373</c:v>
                </c:pt>
                <c:pt idx="162">
                  <c:v>339.33976368961373</c:v>
                </c:pt>
                <c:pt idx="163">
                  <c:v>339.33976368961373</c:v>
                </c:pt>
                <c:pt idx="164">
                  <c:v>339.33976368961373</c:v>
                </c:pt>
                <c:pt idx="165">
                  <c:v>335.28976368961378</c:v>
                </c:pt>
                <c:pt idx="166">
                  <c:v>299.03976368961378</c:v>
                </c:pt>
                <c:pt idx="167">
                  <c:v>299.03976368961378</c:v>
                </c:pt>
                <c:pt idx="168">
                  <c:v>299.03976368961378</c:v>
                </c:pt>
                <c:pt idx="169">
                  <c:v>299.03976368961378</c:v>
                </c:pt>
                <c:pt idx="170">
                  <c:v>299.03976368961378</c:v>
                </c:pt>
                <c:pt idx="171">
                  <c:v>326.07976368961386</c:v>
                </c:pt>
                <c:pt idx="172">
                  <c:v>307.45976368961385</c:v>
                </c:pt>
                <c:pt idx="173">
                  <c:v>307.45976368961385</c:v>
                </c:pt>
                <c:pt idx="174">
                  <c:v>307.45976368961385</c:v>
                </c:pt>
                <c:pt idx="175">
                  <c:v>307.45976368961385</c:v>
                </c:pt>
                <c:pt idx="176">
                  <c:v>307.45976368961385</c:v>
                </c:pt>
                <c:pt idx="177">
                  <c:v>307.45976368961385</c:v>
                </c:pt>
                <c:pt idx="178">
                  <c:v>336.07976368961386</c:v>
                </c:pt>
                <c:pt idx="179">
                  <c:v>336.07976368961386</c:v>
                </c:pt>
                <c:pt idx="180">
                  <c:v>336.07976368961386</c:v>
                </c:pt>
                <c:pt idx="181">
                  <c:v>336.07976368961386</c:v>
                </c:pt>
                <c:pt idx="182">
                  <c:v>336.07976368961386</c:v>
                </c:pt>
                <c:pt idx="183">
                  <c:v>307.94438262948194</c:v>
                </c:pt>
                <c:pt idx="184">
                  <c:v>307.94438262948194</c:v>
                </c:pt>
                <c:pt idx="185">
                  <c:v>307.94438262948194</c:v>
                </c:pt>
                <c:pt idx="186">
                  <c:v>307.94438262948194</c:v>
                </c:pt>
                <c:pt idx="187">
                  <c:v>307.94438262948194</c:v>
                </c:pt>
                <c:pt idx="188">
                  <c:v>307.94438262948194</c:v>
                </c:pt>
                <c:pt idx="189">
                  <c:v>307.94438262948194</c:v>
                </c:pt>
                <c:pt idx="190">
                  <c:v>307.94438262948194</c:v>
                </c:pt>
                <c:pt idx="191">
                  <c:v>307.94438262948194</c:v>
                </c:pt>
                <c:pt idx="192">
                  <c:v>307.94438262948194</c:v>
                </c:pt>
                <c:pt idx="193">
                  <c:v>307.94438262948194</c:v>
                </c:pt>
                <c:pt idx="194">
                  <c:v>307.94438262948194</c:v>
                </c:pt>
                <c:pt idx="195">
                  <c:v>307.94438262948194</c:v>
                </c:pt>
                <c:pt idx="196">
                  <c:v>307.94438262948194</c:v>
                </c:pt>
                <c:pt idx="197">
                  <c:v>307.94438262948194</c:v>
                </c:pt>
                <c:pt idx="198">
                  <c:v>307.94438262948194</c:v>
                </c:pt>
                <c:pt idx="199">
                  <c:v>307.94438262948194</c:v>
                </c:pt>
                <c:pt idx="200">
                  <c:v>261.63775768049538</c:v>
                </c:pt>
                <c:pt idx="201">
                  <c:v>261.63775768049538</c:v>
                </c:pt>
                <c:pt idx="202">
                  <c:v>261.63775768049538</c:v>
                </c:pt>
                <c:pt idx="203">
                  <c:v>259.23775768049535</c:v>
                </c:pt>
                <c:pt idx="204">
                  <c:v>278.26492601211703</c:v>
                </c:pt>
                <c:pt idx="205">
                  <c:v>278.26492601211703</c:v>
                </c:pt>
                <c:pt idx="206">
                  <c:v>278.26492601211703</c:v>
                </c:pt>
                <c:pt idx="207">
                  <c:v>278.26492601211703</c:v>
                </c:pt>
                <c:pt idx="208">
                  <c:v>283.78492601211707</c:v>
                </c:pt>
                <c:pt idx="209">
                  <c:v>283.78492601211707</c:v>
                </c:pt>
                <c:pt idx="210">
                  <c:v>283.78492601211707</c:v>
                </c:pt>
                <c:pt idx="211">
                  <c:v>283.78492601211707</c:v>
                </c:pt>
                <c:pt idx="212">
                  <c:v>283.78492601211707</c:v>
                </c:pt>
                <c:pt idx="213">
                  <c:v>283.78492601211707</c:v>
                </c:pt>
                <c:pt idx="214">
                  <c:v>283.78492601211707</c:v>
                </c:pt>
                <c:pt idx="215">
                  <c:v>283.78492601211707</c:v>
                </c:pt>
                <c:pt idx="216">
                  <c:v>283.78492601211707</c:v>
                </c:pt>
                <c:pt idx="217">
                  <c:v>283.78492601211707</c:v>
                </c:pt>
                <c:pt idx="218">
                  <c:v>283.78492601211707</c:v>
                </c:pt>
                <c:pt idx="219">
                  <c:v>283.78492601211707</c:v>
                </c:pt>
                <c:pt idx="220">
                  <c:v>283.78492601211707</c:v>
                </c:pt>
                <c:pt idx="221">
                  <c:v>282.28492601211707</c:v>
                </c:pt>
                <c:pt idx="222">
                  <c:v>285.23492601211706</c:v>
                </c:pt>
                <c:pt idx="223">
                  <c:v>274.74492601211705</c:v>
                </c:pt>
                <c:pt idx="224">
                  <c:v>274.74492601211705</c:v>
                </c:pt>
                <c:pt idx="225">
                  <c:v>274.74492601211705</c:v>
                </c:pt>
                <c:pt idx="226">
                  <c:v>274.74492601211705</c:v>
                </c:pt>
                <c:pt idx="227">
                  <c:v>297.23492601211706</c:v>
                </c:pt>
                <c:pt idx="228">
                  <c:v>297.23492601211706</c:v>
                </c:pt>
                <c:pt idx="229">
                  <c:v>297.23492601211706</c:v>
                </c:pt>
                <c:pt idx="230">
                  <c:v>297.23492601211706</c:v>
                </c:pt>
                <c:pt idx="231">
                  <c:v>300.61511614781222</c:v>
                </c:pt>
                <c:pt idx="232">
                  <c:v>300.61511614781222</c:v>
                </c:pt>
                <c:pt idx="233">
                  <c:v>300.61511614781222</c:v>
                </c:pt>
                <c:pt idx="234">
                  <c:v>300.61511614781222</c:v>
                </c:pt>
                <c:pt idx="235">
                  <c:v>300.61511614781222</c:v>
                </c:pt>
                <c:pt idx="236">
                  <c:v>345.49511614781227</c:v>
                </c:pt>
                <c:pt idx="237">
                  <c:v>345.49511614781227</c:v>
                </c:pt>
                <c:pt idx="238">
                  <c:v>345.49511614781227</c:v>
                </c:pt>
                <c:pt idx="239">
                  <c:v>329.11511614781222</c:v>
                </c:pt>
                <c:pt idx="240">
                  <c:v>338.77511614781224</c:v>
                </c:pt>
                <c:pt idx="241">
                  <c:v>335.55511614781227</c:v>
                </c:pt>
                <c:pt idx="242">
                  <c:v>312.53511614781229</c:v>
                </c:pt>
                <c:pt idx="243">
                  <c:v>312.19511614781226</c:v>
                </c:pt>
                <c:pt idx="244">
                  <c:v>312.19511614781226</c:v>
                </c:pt>
                <c:pt idx="245">
                  <c:v>312.19511614781226</c:v>
                </c:pt>
                <c:pt idx="246">
                  <c:v>312.19511614781226</c:v>
                </c:pt>
                <c:pt idx="247">
                  <c:v>312.19511614781226</c:v>
                </c:pt>
                <c:pt idx="248">
                  <c:v>312.19511614781226</c:v>
                </c:pt>
                <c:pt idx="249">
                  <c:v>312.19511614781226</c:v>
                </c:pt>
                <c:pt idx="250">
                  <c:v>312.19511614781226</c:v>
                </c:pt>
                <c:pt idx="251">
                  <c:v>318.17511614781222</c:v>
                </c:pt>
                <c:pt idx="252">
                  <c:v>318.17511614781222</c:v>
                </c:pt>
                <c:pt idx="253">
                  <c:v>390.02511614781224</c:v>
                </c:pt>
                <c:pt idx="254">
                  <c:v>463.02511614781224</c:v>
                </c:pt>
                <c:pt idx="255">
                  <c:v>463.02511614781224</c:v>
                </c:pt>
                <c:pt idx="256">
                  <c:v>463.02511614781224</c:v>
                </c:pt>
                <c:pt idx="257">
                  <c:v>463.02511614781224</c:v>
                </c:pt>
                <c:pt idx="258">
                  <c:v>463.02511614781224</c:v>
                </c:pt>
                <c:pt idx="259">
                  <c:v>450.36511614781222</c:v>
                </c:pt>
                <c:pt idx="260">
                  <c:v>469.42511614781222</c:v>
                </c:pt>
                <c:pt idx="261">
                  <c:v>469.42511614781222</c:v>
                </c:pt>
                <c:pt idx="262">
                  <c:v>469.42511614781222</c:v>
                </c:pt>
                <c:pt idx="263">
                  <c:v>469.42511614781222</c:v>
                </c:pt>
                <c:pt idx="264">
                  <c:v>469.42511614781222</c:v>
                </c:pt>
                <c:pt idx="265">
                  <c:v>469.42511614781222</c:v>
                </c:pt>
                <c:pt idx="266">
                  <c:v>469.42511614781222</c:v>
                </c:pt>
                <c:pt idx="267">
                  <c:v>464.3851161478122</c:v>
                </c:pt>
                <c:pt idx="268">
                  <c:v>464.3851161478122</c:v>
                </c:pt>
                <c:pt idx="269">
                  <c:v>465.98671935422499</c:v>
                </c:pt>
                <c:pt idx="270">
                  <c:v>465.98671935422499</c:v>
                </c:pt>
                <c:pt idx="271">
                  <c:v>465.98671935422499</c:v>
                </c:pt>
                <c:pt idx="272">
                  <c:v>451.02671935422518</c:v>
                </c:pt>
                <c:pt idx="273">
                  <c:v>451.02671935422518</c:v>
                </c:pt>
                <c:pt idx="274">
                  <c:v>451.02671935422518</c:v>
                </c:pt>
                <c:pt idx="275">
                  <c:v>451.02671935422518</c:v>
                </c:pt>
                <c:pt idx="276">
                  <c:v>451.02671935422518</c:v>
                </c:pt>
                <c:pt idx="277">
                  <c:v>451.02671935422518</c:v>
                </c:pt>
                <c:pt idx="278">
                  <c:v>385.37671935422509</c:v>
                </c:pt>
                <c:pt idx="279">
                  <c:v>385.37671935422509</c:v>
                </c:pt>
                <c:pt idx="280">
                  <c:v>385.37671935422509</c:v>
                </c:pt>
                <c:pt idx="281">
                  <c:v>385.37671935422509</c:v>
                </c:pt>
                <c:pt idx="282">
                  <c:v>385.37671935422509</c:v>
                </c:pt>
                <c:pt idx="283">
                  <c:v>385.37671935422509</c:v>
                </c:pt>
                <c:pt idx="284">
                  <c:v>385.37671935422509</c:v>
                </c:pt>
                <c:pt idx="285">
                  <c:v>385.37671935422509</c:v>
                </c:pt>
                <c:pt idx="286">
                  <c:v>474.976719354225</c:v>
                </c:pt>
                <c:pt idx="287">
                  <c:v>474.976719354225</c:v>
                </c:pt>
                <c:pt idx="288">
                  <c:v>474.976719354225</c:v>
                </c:pt>
                <c:pt idx="289">
                  <c:v>474.976719354225</c:v>
                </c:pt>
                <c:pt idx="290">
                  <c:v>474.976719354225</c:v>
                </c:pt>
                <c:pt idx="291">
                  <c:v>550.57671935422513</c:v>
                </c:pt>
                <c:pt idx="292">
                  <c:v>575.29671935422516</c:v>
                </c:pt>
                <c:pt idx="293">
                  <c:v>575.29671935422516</c:v>
                </c:pt>
                <c:pt idx="294">
                  <c:v>575.29671935422516</c:v>
                </c:pt>
                <c:pt idx="295">
                  <c:v>575.29671935422516</c:v>
                </c:pt>
                <c:pt idx="296">
                  <c:v>575.29671935422516</c:v>
                </c:pt>
                <c:pt idx="297">
                  <c:v>462.45671935422502</c:v>
                </c:pt>
                <c:pt idx="298">
                  <c:v>462.45671935422502</c:v>
                </c:pt>
                <c:pt idx="299">
                  <c:v>462.45671935422502</c:v>
                </c:pt>
                <c:pt idx="300">
                  <c:v>394.65671935422483</c:v>
                </c:pt>
                <c:pt idx="301">
                  <c:v>394.65671935422483</c:v>
                </c:pt>
                <c:pt idx="302">
                  <c:v>491.04671935422471</c:v>
                </c:pt>
                <c:pt idx="303">
                  <c:v>491.04671935422471</c:v>
                </c:pt>
                <c:pt idx="304">
                  <c:v>491.04671935422471</c:v>
                </c:pt>
                <c:pt idx="305">
                  <c:v>491.04671935422471</c:v>
                </c:pt>
                <c:pt idx="306">
                  <c:v>491.04671935422471</c:v>
                </c:pt>
                <c:pt idx="307">
                  <c:v>491.04671935422471</c:v>
                </c:pt>
                <c:pt idx="308">
                  <c:v>967.12671935422463</c:v>
                </c:pt>
                <c:pt idx="309">
                  <c:v>1005.1367193542246</c:v>
                </c:pt>
                <c:pt idx="310">
                  <c:v>916.89671935422462</c:v>
                </c:pt>
                <c:pt idx="311">
                  <c:v>916.89671935422462</c:v>
                </c:pt>
                <c:pt idx="312">
                  <c:v>885.04671935422448</c:v>
                </c:pt>
                <c:pt idx="313">
                  <c:v>885.04671935422448</c:v>
                </c:pt>
                <c:pt idx="314">
                  <c:v>885.04671935422448</c:v>
                </c:pt>
                <c:pt idx="315">
                  <c:v>885.04671935422448</c:v>
                </c:pt>
                <c:pt idx="316">
                  <c:v>885.04671935422448</c:v>
                </c:pt>
                <c:pt idx="317">
                  <c:v>885.04671935422448</c:v>
                </c:pt>
                <c:pt idx="318">
                  <c:v>885.04671935422448</c:v>
                </c:pt>
                <c:pt idx="319">
                  <c:v>885.04671935422448</c:v>
                </c:pt>
                <c:pt idx="320">
                  <c:v>885.04671935422448</c:v>
                </c:pt>
                <c:pt idx="321">
                  <c:v>885.04671935422448</c:v>
                </c:pt>
                <c:pt idx="322">
                  <c:v>913.32671935422445</c:v>
                </c:pt>
                <c:pt idx="323">
                  <c:v>913.32671935422445</c:v>
                </c:pt>
                <c:pt idx="324">
                  <c:v>913.32671935422445</c:v>
                </c:pt>
                <c:pt idx="325">
                  <c:v>771.00671935422451</c:v>
                </c:pt>
                <c:pt idx="326">
                  <c:v>540.40671935422461</c:v>
                </c:pt>
                <c:pt idx="327">
                  <c:v>540.40671935422461</c:v>
                </c:pt>
                <c:pt idx="328">
                  <c:v>540.40671935422461</c:v>
                </c:pt>
                <c:pt idx="329">
                  <c:v>540.40671935422461</c:v>
                </c:pt>
                <c:pt idx="330">
                  <c:v>540.40671935422461</c:v>
                </c:pt>
                <c:pt idx="331">
                  <c:v>540.40671935422461</c:v>
                </c:pt>
                <c:pt idx="332">
                  <c:v>453.10671935422465</c:v>
                </c:pt>
                <c:pt idx="333">
                  <c:v>453.10671935422465</c:v>
                </c:pt>
                <c:pt idx="334">
                  <c:v>453.10671935422465</c:v>
                </c:pt>
                <c:pt idx="335">
                  <c:v>453.10671935422465</c:v>
                </c:pt>
                <c:pt idx="336">
                  <c:v>453.10671935422465</c:v>
                </c:pt>
                <c:pt idx="337">
                  <c:v>453.10671935422465</c:v>
                </c:pt>
                <c:pt idx="338">
                  <c:v>489.99671935422452</c:v>
                </c:pt>
                <c:pt idx="339">
                  <c:v>489.99671935422452</c:v>
                </c:pt>
                <c:pt idx="340">
                  <c:v>489.99671935422452</c:v>
                </c:pt>
                <c:pt idx="341">
                  <c:v>489.99671935422452</c:v>
                </c:pt>
                <c:pt idx="342">
                  <c:v>489.99671935422452</c:v>
                </c:pt>
                <c:pt idx="343">
                  <c:v>489.99671935422452</c:v>
                </c:pt>
                <c:pt idx="344">
                  <c:v>489.99671935422452</c:v>
                </c:pt>
                <c:pt idx="345">
                  <c:v>489.99671935422452</c:v>
                </c:pt>
                <c:pt idx="346">
                  <c:v>489.99671935422452</c:v>
                </c:pt>
                <c:pt idx="347">
                  <c:v>489.99671935422452</c:v>
                </c:pt>
                <c:pt idx="348">
                  <c:v>359.67671935422459</c:v>
                </c:pt>
                <c:pt idx="349">
                  <c:v>359.67671935422459</c:v>
                </c:pt>
                <c:pt idx="350">
                  <c:v>276.15671935422461</c:v>
                </c:pt>
                <c:pt idx="351">
                  <c:v>276.15671935422461</c:v>
                </c:pt>
                <c:pt idx="352">
                  <c:v>276.15671935422461</c:v>
                </c:pt>
                <c:pt idx="353">
                  <c:v>276.15671935422461</c:v>
                </c:pt>
                <c:pt idx="354">
                  <c:v>276.15671935422461</c:v>
                </c:pt>
                <c:pt idx="355">
                  <c:v>139.53671935422449</c:v>
                </c:pt>
                <c:pt idx="356">
                  <c:v>139.53671935422449</c:v>
                </c:pt>
                <c:pt idx="357">
                  <c:v>139.53671935422449</c:v>
                </c:pt>
                <c:pt idx="358">
                  <c:v>139.53671935422449</c:v>
                </c:pt>
                <c:pt idx="359">
                  <c:v>188.48671935422453</c:v>
                </c:pt>
                <c:pt idx="360">
                  <c:v>116.84671935422443</c:v>
                </c:pt>
                <c:pt idx="361">
                  <c:v>116.84671935422443</c:v>
                </c:pt>
                <c:pt idx="362">
                  <c:v>-5.3532806457756124</c:v>
                </c:pt>
                <c:pt idx="363">
                  <c:v>-5.3532806457756124</c:v>
                </c:pt>
                <c:pt idx="364">
                  <c:v>-5.3532806457756124</c:v>
                </c:pt>
                <c:pt idx="365">
                  <c:v>-5.3532806457756124</c:v>
                </c:pt>
                <c:pt idx="366">
                  <c:v>-5.3532806457756124</c:v>
                </c:pt>
                <c:pt idx="367">
                  <c:v>-5.3532806457756124</c:v>
                </c:pt>
                <c:pt idx="368">
                  <c:v>-5.3532806457756124</c:v>
                </c:pt>
                <c:pt idx="369">
                  <c:v>-5.3532806457756124</c:v>
                </c:pt>
                <c:pt idx="370">
                  <c:v>-5.3532806457756124</c:v>
                </c:pt>
                <c:pt idx="371">
                  <c:v>-5.3532806457756124</c:v>
                </c:pt>
                <c:pt idx="372">
                  <c:v>-5.3532806457756124</c:v>
                </c:pt>
                <c:pt idx="373">
                  <c:v>-184.10328064577561</c:v>
                </c:pt>
                <c:pt idx="374">
                  <c:v>-184.10328064577561</c:v>
                </c:pt>
                <c:pt idx="375">
                  <c:v>-184.10328064577561</c:v>
                </c:pt>
                <c:pt idx="376">
                  <c:v>-184.10328064577561</c:v>
                </c:pt>
                <c:pt idx="377">
                  <c:v>-184.10328064577561</c:v>
                </c:pt>
                <c:pt idx="378">
                  <c:v>-184.10328064577561</c:v>
                </c:pt>
                <c:pt idx="379">
                  <c:v>-184.10328064577561</c:v>
                </c:pt>
                <c:pt idx="380">
                  <c:v>-184.10328064577561</c:v>
                </c:pt>
                <c:pt idx="381">
                  <c:v>-184.10328064577561</c:v>
                </c:pt>
                <c:pt idx="382">
                  <c:v>-295.65328064577557</c:v>
                </c:pt>
                <c:pt idx="383">
                  <c:v>-295.65328064577557</c:v>
                </c:pt>
                <c:pt idx="384">
                  <c:v>-295.65328064577557</c:v>
                </c:pt>
                <c:pt idx="385">
                  <c:v>-295.65328064577557</c:v>
                </c:pt>
                <c:pt idx="386">
                  <c:v>-295.65328064577557</c:v>
                </c:pt>
                <c:pt idx="387">
                  <c:v>-295.65328064577557</c:v>
                </c:pt>
                <c:pt idx="388">
                  <c:v>-295.65328064577557</c:v>
                </c:pt>
                <c:pt idx="389">
                  <c:v>-295.65328064577557</c:v>
                </c:pt>
                <c:pt idx="390">
                  <c:v>-295.65328064577557</c:v>
                </c:pt>
                <c:pt idx="391">
                  <c:v>-295.65328064577557</c:v>
                </c:pt>
                <c:pt idx="392">
                  <c:v>-295.65328064577557</c:v>
                </c:pt>
                <c:pt idx="393">
                  <c:v>-295.65328064577557</c:v>
                </c:pt>
                <c:pt idx="394">
                  <c:v>-295.65328064577557</c:v>
                </c:pt>
                <c:pt idx="395">
                  <c:v>-344.89225475891067</c:v>
                </c:pt>
                <c:pt idx="396">
                  <c:v>-344.89225475891067</c:v>
                </c:pt>
                <c:pt idx="397">
                  <c:v>-344.89225475891067</c:v>
                </c:pt>
                <c:pt idx="398">
                  <c:v>-344.89225475891067</c:v>
                </c:pt>
                <c:pt idx="399">
                  <c:v>-344.89225475891067</c:v>
                </c:pt>
                <c:pt idx="400">
                  <c:v>-344.89225475891067</c:v>
                </c:pt>
                <c:pt idx="401">
                  <c:v>-344.89225475891067</c:v>
                </c:pt>
                <c:pt idx="402">
                  <c:v>-344.89225475891067</c:v>
                </c:pt>
                <c:pt idx="403">
                  <c:v>-344.89225475891067</c:v>
                </c:pt>
                <c:pt idx="404">
                  <c:v>-344.89225475891067</c:v>
                </c:pt>
                <c:pt idx="405">
                  <c:v>-344.89225475891067</c:v>
                </c:pt>
                <c:pt idx="406">
                  <c:v>-344.89225475891067</c:v>
                </c:pt>
                <c:pt idx="407">
                  <c:v>-344.89225475891067</c:v>
                </c:pt>
                <c:pt idx="408">
                  <c:v>-344.89225475891067</c:v>
                </c:pt>
                <c:pt idx="409">
                  <c:v>-344.89225475891067</c:v>
                </c:pt>
                <c:pt idx="410">
                  <c:v>-344.89225475891067</c:v>
                </c:pt>
                <c:pt idx="411">
                  <c:v>-344.89225475891067</c:v>
                </c:pt>
                <c:pt idx="412">
                  <c:v>-344.89225475891067</c:v>
                </c:pt>
                <c:pt idx="413">
                  <c:v>-344.89225475891067</c:v>
                </c:pt>
                <c:pt idx="414">
                  <c:v>-344.89225475891067</c:v>
                </c:pt>
                <c:pt idx="415">
                  <c:v>-296.57225475891073</c:v>
                </c:pt>
                <c:pt idx="416">
                  <c:v>-296.57225475891073</c:v>
                </c:pt>
                <c:pt idx="417">
                  <c:v>-296.57225475891073</c:v>
                </c:pt>
                <c:pt idx="418">
                  <c:v>-296.57225475891073</c:v>
                </c:pt>
                <c:pt idx="419">
                  <c:v>-328.04225475891064</c:v>
                </c:pt>
                <c:pt idx="420">
                  <c:v>-328.04225475891064</c:v>
                </c:pt>
                <c:pt idx="421">
                  <c:v>-328.04225475891064</c:v>
                </c:pt>
                <c:pt idx="422">
                  <c:v>-328.04225475891064</c:v>
                </c:pt>
                <c:pt idx="423">
                  <c:v>-328.04225475891064</c:v>
                </c:pt>
                <c:pt idx="424">
                  <c:v>-328.04225475891064</c:v>
                </c:pt>
                <c:pt idx="425">
                  <c:v>-328.04225475891064</c:v>
                </c:pt>
                <c:pt idx="426">
                  <c:v>-328.04225475891064</c:v>
                </c:pt>
                <c:pt idx="427">
                  <c:v>-328.04225475891064</c:v>
                </c:pt>
                <c:pt idx="428">
                  <c:v>-328.04225475891064</c:v>
                </c:pt>
                <c:pt idx="429">
                  <c:v>-328.04225475891064</c:v>
                </c:pt>
                <c:pt idx="430">
                  <c:v>-328.04225475891064</c:v>
                </c:pt>
                <c:pt idx="431">
                  <c:v>-328.04225475891064</c:v>
                </c:pt>
                <c:pt idx="432">
                  <c:v>-328.04225475891064</c:v>
                </c:pt>
                <c:pt idx="433">
                  <c:v>-328.04225475891064</c:v>
                </c:pt>
                <c:pt idx="434">
                  <c:v>-328.04225475891064</c:v>
                </c:pt>
                <c:pt idx="435">
                  <c:v>-328.04225475891064</c:v>
                </c:pt>
                <c:pt idx="436">
                  <c:v>-328.04225475891064</c:v>
                </c:pt>
                <c:pt idx="437">
                  <c:v>-328.04225475891064</c:v>
                </c:pt>
                <c:pt idx="438">
                  <c:v>-328.04225475891064</c:v>
                </c:pt>
                <c:pt idx="439">
                  <c:v>-328.04225475891064</c:v>
                </c:pt>
                <c:pt idx="440">
                  <c:v>-328.04225475891064</c:v>
                </c:pt>
                <c:pt idx="441">
                  <c:v>-328.04225475891064</c:v>
                </c:pt>
                <c:pt idx="442">
                  <c:v>-328.04225475891064</c:v>
                </c:pt>
                <c:pt idx="443">
                  <c:v>-328.04225475891064</c:v>
                </c:pt>
                <c:pt idx="444">
                  <c:v>-328.04225475891064</c:v>
                </c:pt>
              </c:numCache>
            </c:numRef>
          </c:val>
          <c:smooth val="1"/>
          <c:extLst>
            <c:ext xmlns:c16="http://schemas.microsoft.com/office/drawing/2014/chart" uri="{C3380CC4-5D6E-409C-BE32-E72D297353CC}">
              <c16:uniqueId val="{00000000-1693-4AB0-BA75-620A9224444E}"/>
            </c:ext>
          </c:extLst>
        </c:ser>
        <c:ser>
          <c:idx val="5"/>
          <c:order val="3"/>
          <c:tx>
            <c:v>Up (MOC)</c:v>
          </c:tx>
          <c:spPr>
            <a:ln w="19050" cap="rnd">
              <a:solidFill>
                <a:schemeClr val="accent6"/>
              </a:solidFill>
              <a:prstDash val="sysDash"/>
              <a:round/>
            </a:ln>
            <a:effectLst/>
          </c:spPr>
          <c:marker>
            <c:symbol val="none"/>
          </c:marker>
          <c:val>
            <c:numRef>
              <c:f>'2025-Q1'!$GV$4:$GV$448</c:f>
              <c:numCache>
                <c:formatCode>"$"#,##0</c:formatCode>
                <c:ptCount val="445"/>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1-E40B-4614-BAB7-0785497FEB68}"/>
            </c:ext>
          </c:extLst>
        </c:ser>
        <c:ser>
          <c:idx val="1"/>
          <c:order val="4"/>
          <c:tx>
            <c:v>Dwn</c:v>
          </c:tx>
          <c:spPr>
            <a:ln w="28575" cap="rnd">
              <a:solidFill>
                <a:schemeClr val="accent2"/>
              </a:solidFill>
              <a:prstDash val="solid"/>
              <a:round/>
            </a:ln>
            <a:effectLst/>
          </c:spPr>
          <c:marker>
            <c:symbol val="none"/>
          </c:marker>
          <c:val>
            <c:numRef>
              <c:f>'2025-Q1'!$Q$4:$Q$448</c:f>
              <c:numCache>
                <c:formatCode>"$"#,##0_);[Red]\("$"#,##0\)</c:formatCode>
                <c:ptCount val="445"/>
                <c:pt idx="0">
                  <c:v>29.496534111638084</c:v>
                </c:pt>
                <c:pt idx="1">
                  <c:v>29.496534111638084</c:v>
                </c:pt>
                <c:pt idx="2">
                  <c:v>29.496534111638084</c:v>
                </c:pt>
                <c:pt idx="3">
                  <c:v>29.496534111638084</c:v>
                </c:pt>
                <c:pt idx="4">
                  <c:v>29.496534111638084</c:v>
                </c:pt>
                <c:pt idx="5">
                  <c:v>29.496534111638084</c:v>
                </c:pt>
                <c:pt idx="6">
                  <c:v>29.496534111638084</c:v>
                </c:pt>
                <c:pt idx="7">
                  <c:v>29.496534111638084</c:v>
                </c:pt>
                <c:pt idx="8">
                  <c:v>29.496534111638084</c:v>
                </c:pt>
                <c:pt idx="9">
                  <c:v>39.11708543473992</c:v>
                </c:pt>
                <c:pt idx="10">
                  <c:v>39.11708543473992</c:v>
                </c:pt>
                <c:pt idx="11">
                  <c:v>39.11708543473992</c:v>
                </c:pt>
                <c:pt idx="12">
                  <c:v>39.11708543473992</c:v>
                </c:pt>
                <c:pt idx="13">
                  <c:v>39.11708543473992</c:v>
                </c:pt>
                <c:pt idx="14">
                  <c:v>39.11708543473992</c:v>
                </c:pt>
                <c:pt idx="15">
                  <c:v>39.11708543473992</c:v>
                </c:pt>
                <c:pt idx="16">
                  <c:v>39.11708543473992</c:v>
                </c:pt>
                <c:pt idx="17">
                  <c:v>28.798273071634583</c:v>
                </c:pt>
                <c:pt idx="18">
                  <c:v>20.452679919300749</c:v>
                </c:pt>
                <c:pt idx="19">
                  <c:v>20.452679919300749</c:v>
                </c:pt>
                <c:pt idx="20">
                  <c:v>20.452679919300749</c:v>
                </c:pt>
                <c:pt idx="21">
                  <c:v>20.452679919300749</c:v>
                </c:pt>
                <c:pt idx="22">
                  <c:v>20.452679919300749</c:v>
                </c:pt>
                <c:pt idx="23">
                  <c:v>20.452679919300749</c:v>
                </c:pt>
                <c:pt idx="24">
                  <c:v>20.452679919300749</c:v>
                </c:pt>
                <c:pt idx="25">
                  <c:v>8.9389650530629865</c:v>
                </c:pt>
                <c:pt idx="26">
                  <c:v>8.9389650530629865</c:v>
                </c:pt>
                <c:pt idx="27">
                  <c:v>8.9389650530629865</c:v>
                </c:pt>
                <c:pt idx="28">
                  <c:v>8.9389650530629865</c:v>
                </c:pt>
                <c:pt idx="29">
                  <c:v>8.9389650530629865</c:v>
                </c:pt>
                <c:pt idx="30">
                  <c:v>8.9389650530629865</c:v>
                </c:pt>
                <c:pt idx="31">
                  <c:v>8.9389650530629865</c:v>
                </c:pt>
                <c:pt idx="32">
                  <c:v>8.9389650530629865</c:v>
                </c:pt>
                <c:pt idx="33">
                  <c:v>20.143824992313739</c:v>
                </c:pt>
                <c:pt idx="34">
                  <c:v>20.143824992313739</c:v>
                </c:pt>
                <c:pt idx="35">
                  <c:v>20.143824992313739</c:v>
                </c:pt>
                <c:pt idx="36">
                  <c:v>20.143824992313739</c:v>
                </c:pt>
                <c:pt idx="37">
                  <c:v>20.143824992313739</c:v>
                </c:pt>
                <c:pt idx="38">
                  <c:v>20.143824992313739</c:v>
                </c:pt>
                <c:pt idx="39">
                  <c:v>27.322964850085555</c:v>
                </c:pt>
                <c:pt idx="40">
                  <c:v>27.322964850085555</c:v>
                </c:pt>
                <c:pt idx="41">
                  <c:v>27.322964850085555</c:v>
                </c:pt>
                <c:pt idx="42">
                  <c:v>27.322964850085555</c:v>
                </c:pt>
                <c:pt idx="43">
                  <c:v>27.322964850085555</c:v>
                </c:pt>
                <c:pt idx="44">
                  <c:v>27.322964850085555</c:v>
                </c:pt>
                <c:pt idx="45">
                  <c:v>27.322964850085555</c:v>
                </c:pt>
                <c:pt idx="46">
                  <c:v>27.322964850085555</c:v>
                </c:pt>
                <c:pt idx="47">
                  <c:v>27.322964850085555</c:v>
                </c:pt>
                <c:pt idx="48">
                  <c:v>37.351105039392337</c:v>
                </c:pt>
                <c:pt idx="49">
                  <c:v>37.351105039392337</c:v>
                </c:pt>
                <c:pt idx="50">
                  <c:v>37.351105039392337</c:v>
                </c:pt>
                <c:pt idx="51">
                  <c:v>37.351105039392337</c:v>
                </c:pt>
                <c:pt idx="52">
                  <c:v>37.351105039392337</c:v>
                </c:pt>
                <c:pt idx="53">
                  <c:v>37.351105039392337</c:v>
                </c:pt>
                <c:pt idx="54">
                  <c:v>37.351105039392337</c:v>
                </c:pt>
                <c:pt idx="55">
                  <c:v>27.856464916880839</c:v>
                </c:pt>
                <c:pt idx="56">
                  <c:v>27.856464916880839</c:v>
                </c:pt>
                <c:pt idx="57">
                  <c:v>27.856464916880839</c:v>
                </c:pt>
                <c:pt idx="58">
                  <c:v>27.856464916880839</c:v>
                </c:pt>
                <c:pt idx="59">
                  <c:v>27.856464916880839</c:v>
                </c:pt>
                <c:pt idx="60">
                  <c:v>27.856464916880839</c:v>
                </c:pt>
                <c:pt idx="61">
                  <c:v>27.856464916880839</c:v>
                </c:pt>
                <c:pt idx="62">
                  <c:v>57.846464916880848</c:v>
                </c:pt>
                <c:pt idx="63">
                  <c:v>57.846464916880848</c:v>
                </c:pt>
                <c:pt idx="64">
                  <c:v>57.846464916880848</c:v>
                </c:pt>
                <c:pt idx="65">
                  <c:v>57.846464916880848</c:v>
                </c:pt>
                <c:pt idx="66">
                  <c:v>57.846464916880848</c:v>
                </c:pt>
                <c:pt idx="67">
                  <c:v>57.276464916880911</c:v>
                </c:pt>
                <c:pt idx="68">
                  <c:v>57.276464916880911</c:v>
                </c:pt>
                <c:pt idx="69">
                  <c:v>57.276464916880911</c:v>
                </c:pt>
                <c:pt idx="70">
                  <c:v>57.276464916880911</c:v>
                </c:pt>
                <c:pt idx="71">
                  <c:v>57.276464916880911</c:v>
                </c:pt>
                <c:pt idx="72">
                  <c:v>61.536464916880902</c:v>
                </c:pt>
                <c:pt idx="73">
                  <c:v>61.536464916880902</c:v>
                </c:pt>
                <c:pt idx="74">
                  <c:v>61.536464916880902</c:v>
                </c:pt>
                <c:pt idx="75">
                  <c:v>61.536464916880902</c:v>
                </c:pt>
                <c:pt idx="76">
                  <c:v>61.536464916880902</c:v>
                </c:pt>
                <c:pt idx="77">
                  <c:v>61.536464916880902</c:v>
                </c:pt>
                <c:pt idx="78">
                  <c:v>61.536464916880902</c:v>
                </c:pt>
                <c:pt idx="79">
                  <c:v>61.536464916880902</c:v>
                </c:pt>
                <c:pt idx="80">
                  <c:v>79.036464916880902</c:v>
                </c:pt>
                <c:pt idx="81">
                  <c:v>79.036464916880902</c:v>
                </c:pt>
                <c:pt idx="82">
                  <c:v>79.036464916880902</c:v>
                </c:pt>
                <c:pt idx="83">
                  <c:v>79.036464916880902</c:v>
                </c:pt>
                <c:pt idx="84">
                  <c:v>79.036464916880902</c:v>
                </c:pt>
                <c:pt idx="85">
                  <c:v>79.036464916880902</c:v>
                </c:pt>
                <c:pt idx="86">
                  <c:v>79.036464916880902</c:v>
                </c:pt>
                <c:pt idx="87">
                  <c:v>79.036464916880902</c:v>
                </c:pt>
                <c:pt idx="88">
                  <c:v>79.036464916880902</c:v>
                </c:pt>
                <c:pt idx="89">
                  <c:v>79.036464916880902</c:v>
                </c:pt>
                <c:pt idx="90">
                  <c:v>79.036464916880902</c:v>
                </c:pt>
                <c:pt idx="91">
                  <c:v>79.036464916880902</c:v>
                </c:pt>
                <c:pt idx="92">
                  <c:v>79.036464916880902</c:v>
                </c:pt>
                <c:pt idx="93">
                  <c:v>79.036464916880902</c:v>
                </c:pt>
                <c:pt idx="94">
                  <c:v>42.406464916880907</c:v>
                </c:pt>
                <c:pt idx="95">
                  <c:v>42.406464916880907</c:v>
                </c:pt>
                <c:pt idx="96">
                  <c:v>42.406464916880907</c:v>
                </c:pt>
                <c:pt idx="97">
                  <c:v>42.406464916880907</c:v>
                </c:pt>
                <c:pt idx="98">
                  <c:v>42.406464916880907</c:v>
                </c:pt>
                <c:pt idx="99">
                  <c:v>42.406464916880907</c:v>
                </c:pt>
                <c:pt idx="100">
                  <c:v>42.406464916880907</c:v>
                </c:pt>
                <c:pt idx="101">
                  <c:v>42.406464916880907</c:v>
                </c:pt>
                <c:pt idx="102">
                  <c:v>42.406464916880907</c:v>
                </c:pt>
                <c:pt idx="103">
                  <c:v>42.406464916880907</c:v>
                </c:pt>
                <c:pt idx="104">
                  <c:v>71.806464916880884</c:v>
                </c:pt>
                <c:pt idx="105">
                  <c:v>71.806464916880884</c:v>
                </c:pt>
                <c:pt idx="106">
                  <c:v>71.806464916880884</c:v>
                </c:pt>
                <c:pt idx="107">
                  <c:v>71.806464916880884</c:v>
                </c:pt>
                <c:pt idx="108">
                  <c:v>71.806464916880884</c:v>
                </c:pt>
                <c:pt idx="109">
                  <c:v>71.806464916880884</c:v>
                </c:pt>
                <c:pt idx="110">
                  <c:v>100.11646491688089</c:v>
                </c:pt>
                <c:pt idx="111">
                  <c:v>100.11646491688089</c:v>
                </c:pt>
                <c:pt idx="112">
                  <c:v>108.04104023772652</c:v>
                </c:pt>
                <c:pt idx="113">
                  <c:v>108.04104023772652</c:v>
                </c:pt>
                <c:pt idx="114">
                  <c:v>117.14104023772649</c:v>
                </c:pt>
                <c:pt idx="115">
                  <c:v>117.14104023772649</c:v>
                </c:pt>
                <c:pt idx="116">
                  <c:v>134.4410402377265</c:v>
                </c:pt>
                <c:pt idx="117">
                  <c:v>134.4410402377265</c:v>
                </c:pt>
                <c:pt idx="118">
                  <c:v>134.4410402377265</c:v>
                </c:pt>
                <c:pt idx="119">
                  <c:v>134.4410402377265</c:v>
                </c:pt>
                <c:pt idx="120">
                  <c:v>120.88104023772649</c:v>
                </c:pt>
                <c:pt idx="121">
                  <c:v>120.88104023772649</c:v>
                </c:pt>
                <c:pt idx="122">
                  <c:v>120.88104023772649</c:v>
                </c:pt>
                <c:pt idx="123">
                  <c:v>120.88104023772649</c:v>
                </c:pt>
                <c:pt idx="124">
                  <c:v>132.6210402377265</c:v>
                </c:pt>
                <c:pt idx="125">
                  <c:v>148.88104023772644</c:v>
                </c:pt>
                <c:pt idx="126">
                  <c:v>148.88104023772644</c:v>
                </c:pt>
                <c:pt idx="127">
                  <c:v>148.88104023772644</c:v>
                </c:pt>
                <c:pt idx="128">
                  <c:v>148.88104023772644</c:v>
                </c:pt>
                <c:pt idx="129">
                  <c:v>148.88104023772644</c:v>
                </c:pt>
                <c:pt idx="130">
                  <c:v>148.88104023772644</c:v>
                </c:pt>
                <c:pt idx="131">
                  <c:v>148.88104023772644</c:v>
                </c:pt>
                <c:pt idx="132">
                  <c:v>148.88104023772644</c:v>
                </c:pt>
                <c:pt idx="133">
                  <c:v>148.88104023772644</c:v>
                </c:pt>
                <c:pt idx="134">
                  <c:v>148.88104023772644</c:v>
                </c:pt>
                <c:pt idx="135">
                  <c:v>172.13104023772644</c:v>
                </c:pt>
                <c:pt idx="136">
                  <c:v>172.13104023772644</c:v>
                </c:pt>
                <c:pt idx="137">
                  <c:v>172.13104023772644</c:v>
                </c:pt>
                <c:pt idx="138">
                  <c:v>171.29104023772646</c:v>
                </c:pt>
                <c:pt idx="139">
                  <c:v>138.25104023772644</c:v>
                </c:pt>
                <c:pt idx="140">
                  <c:v>138.25104023772644</c:v>
                </c:pt>
                <c:pt idx="141">
                  <c:v>138.25104023772644</c:v>
                </c:pt>
                <c:pt idx="142">
                  <c:v>134.33104023772643</c:v>
                </c:pt>
                <c:pt idx="143">
                  <c:v>111.03104023772642</c:v>
                </c:pt>
                <c:pt idx="144">
                  <c:v>111.03104023772642</c:v>
                </c:pt>
                <c:pt idx="145">
                  <c:v>111.03104023772642</c:v>
                </c:pt>
                <c:pt idx="146">
                  <c:v>111.03104023772642</c:v>
                </c:pt>
                <c:pt idx="147">
                  <c:v>132.87104023772639</c:v>
                </c:pt>
                <c:pt idx="148">
                  <c:v>108.74104023772639</c:v>
                </c:pt>
                <c:pt idx="149">
                  <c:v>108.74104023772639</c:v>
                </c:pt>
                <c:pt idx="150">
                  <c:v>111.38104023772638</c:v>
                </c:pt>
                <c:pt idx="151">
                  <c:v>111.38104023772638</c:v>
                </c:pt>
                <c:pt idx="152">
                  <c:v>101.06104023772639</c:v>
                </c:pt>
                <c:pt idx="153">
                  <c:v>101.06104023772639</c:v>
                </c:pt>
                <c:pt idx="154">
                  <c:v>101.06104023772639</c:v>
                </c:pt>
                <c:pt idx="155">
                  <c:v>88.061040237726388</c:v>
                </c:pt>
                <c:pt idx="156">
                  <c:v>88.061040237726388</c:v>
                </c:pt>
                <c:pt idx="157">
                  <c:v>81.551040237726397</c:v>
                </c:pt>
                <c:pt idx="158">
                  <c:v>81.551040237726397</c:v>
                </c:pt>
                <c:pt idx="159">
                  <c:v>75.33104023772637</c:v>
                </c:pt>
                <c:pt idx="160">
                  <c:v>75.33104023772637</c:v>
                </c:pt>
                <c:pt idx="161">
                  <c:v>75.33104023772637</c:v>
                </c:pt>
                <c:pt idx="162">
                  <c:v>119.33104023772631</c:v>
                </c:pt>
                <c:pt idx="163">
                  <c:v>131.84104023772642</c:v>
                </c:pt>
                <c:pt idx="164">
                  <c:v>131.84104023772642</c:v>
                </c:pt>
                <c:pt idx="165">
                  <c:v>131.84104023772642</c:v>
                </c:pt>
                <c:pt idx="166">
                  <c:v>131.84104023772642</c:v>
                </c:pt>
                <c:pt idx="167">
                  <c:v>148.69104023772644</c:v>
                </c:pt>
                <c:pt idx="168">
                  <c:v>148.63104023772638</c:v>
                </c:pt>
                <c:pt idx="169">
                  <c:v>148.63104023772638</c:v>
                </c:pt>
                <c:pt idx="170">
                  <c:v>148.63104023772638</c:v>
                </c:pt>
                <c:pt idx="171">
                  <c:v>148.63104023772638</c:v>
                </c:pt>
                <c:pt idx="172">
                  <c:v>148.63104023772638</c:v>
                </c:pt>
                <c:pt idx="173">
                  <c:v>148.63104023772638</c:v>
                </c:pt>
                <c:pt idx="174">
                  <c:v>148.63104023772638</c:v>
                </c:pt>
                <c:pt idx="175">
                  <c:v>160.79104023772641</c:v>
                </c:pt>
                <c:pt idx="176">
                  <c:v>160.79104023772641</c:v>
                </c:pt>
                <c:pt idx="177">
                  <c:v>192.14104023772637</c:v>
                </c:pt>
                <c:pt idx="178">
                  <c:v>192.14104023772637</c:v>
                </c:pt>
                <c:pt idx="179">
                  <c:v>217.34104023772636</c:v>
                </c:pt>
                <c:pt idx="180">
                  <c:v>217.34104023772636</c:v>
                </c:pt>
                <c:pt idx="181">
                  <c:v>217.34104023772636</c:v>
                </c:pt>
                <c:pt idx="182">
                  <c:v>202.64104023772637</c:v>
                </c:pt>
                <c:pt idx="183">
                  <c:v>202.64104023772637</c:v>
                </c:pt>
                <c:pt idx="184">
                  <c:v>238.31104023772639</c:v>
                </c:pt>
                <c:pt idx="185">
                  <c:v>238.31104023772639</c:v>
                </c:pt>
                <c:pt idx="186">
                  <c:v>251.40104023772636</c:v>
                </c:pt>
                <c:pt idx="187">
                  <c:v>251.40104023772636</c:v>
                </c:pt>
                <c:pt idx="188">
                  <c:v>286.8455890579728</c:v>
                </c:pt>
                <c:pt idx="189">
                  <c:v>286.8455890579728</c:v>
                </c:pt>
                <c:pt idx="190">
                  <c:v>267.74455813013776</c:v>
                </c:pt>
                <c:pt idx="191">
                  <c:v>268.90455813013779</c:v>
                </c:pt>
                <c:pt idx="192">
                  <c:v>267.75455813013781</c:v>
                </c:pt>
                <c:pt idx="193">
                  <c:v>267.75455813013781</c:v>
                </c:pt>
                <c:pt idx="194">
                  <c:v>267.75455813013781</c:v>
                </c:pt>
                <c:pt idx="195">
                  <c:v>254.16965246976048</c:v>
                </c:pt>
                <c:pt idx="196">
                  <c:v>254.16965246976048</c:v>
                </c:pt>
                <c:pt idx="197">
                  <c:v>381.00965246976045</c:v>
                </c:pt>
                <c:pt idx="198">
                  <c:v>383.07861798700185</c:v>
                </c:pt>
                <c:pt idx="199">
                  <c:v>414.07776401603689</c:v>
                </c:pt>
                <c:pt idx="200">
                  <c:v>414.07776401603689</c:v>
                </c:pt>
                <c:pt idx="201">
                  <c:v>414.07776401603689</c:v>
                </c:pt>
                <c:pt idx="202">
                  <c:v>414.07776401603689</c:v>
                </c:pt>
                <c:pt idx="203">
                  <c:v>414.07776401603689</c:v>
                </c:pt>
                <c:pt idx="204">
                  <c:v>414.07776401603689</c:v>
                </c:pt>
                <c:pt idx="205">
                  <c:v>414.07776401603689</c:v>
                </c:pt>
                <c:pt idx="206">
                  <c:v>414.07776401603689</c:v>
                </c:pt>
                <c:pt idx="207">
                  <c:v>414.07776401603689</c:v>
                </c:pt>
                <c:pt idx="208">
                  <c:v>414.07776401603689</c:v>
                </c:pt>
                <c:pt idx="209">
                  <c:v>414.07776401603689</c:v>
                </c:pt>
                <c:pt idx="210">
                  <c:v>414.07776401603689</c:v>
                </c:pt>
                <c:pt idx="211">
                  <c:v>432.37776401603685</c:v>
                </c:pt>
                <c:pt idx="212">
                  <c:v>451.1777640160368</c:v>
                </c:pt>
                <c:pt idx="213">
                  <c:v>451.1777640160368</c:v>
                </c:pt>
                <c:pt idx="214">
                  <c:v>451.1777640160368</c:v>
                </c:pt>
                <c:pt idx="215">
                  <c:v>451.1777640160368</c:v>
                </c:pt>
                <c:pt idx="216">
                  <c:v>451.1777640160368</c:v>
                </c:pt>
                <c:pt idx="217">
                  <c:v>451.1777640160368</c:v>
                </c:pt>
                <c:pt idx="218">
                  <c:v>451.1777640160368</c:v>
                </c:pt>
                <c:pt idx="219">
                  <c:v>451.1777640160368</c:v>
                </c:pt>
                <c:pt idx="220">
                  <c:v>471.45776401603678</c:v>
                </c:pt>
                <c:pt idx="221">
                  <c:v>471.45776401603678</c:v>
                </c:pt>
                <c:pt idx="222">
                  <c:v>471.45776401603678</c:v>
                </c:pt>
                <c:pt idx="223">
                  <c:v>471.45776401603678</c:v>
                </c:pt>
                <c:pt idx="224">
                  <c:v>471.45776401603678</c:v>
                </c:pt>
                <c:pt idx="225">
                  <c:v>471.45776401603678</c:v>
                </c:pt>
                <c:pt idx="226">
                  <c:v>500.25776401603673</c:v>
                </c:pt>
                <c:pt idx="227">
                  <c:v>500.25776401603673</c:v>
                </c:pt>
                <c:pt idx="228">
                  <c:v>530.17776401603669</c:v>
                </c:pt>
                <c:pt idx="229">
                  <c:v>507.9777640160367</c:v>
                </c:pt>
                <c:pt idx="230">
                  <c:v>630.62776401603674</c:v>
                </c:pt>
                <c:pt idx="231">
                  <c:v>630.62776401603674</c:v>
                </c:pt>
                <c:pt idx="232">
                  <c:v>630.62776401603674</c:v>
                </c:pt>
                <c:pt idx="233">
                  <c:v>630.62776401603674</c:v>
                </c:pt>
                <c:pt idx="234">
                  <c:v>630.62776401603674</c:v>
                </c:pt>
                <c:pt idx="235">
                  <c:v>630.62776401603674</c:v>
                </c:pt>
                <c:pt idx="236">
                  <c:v>630.62776401603674</c:v>
                </c:pt>
                <c:pt idx="237">
                  <c:v>630.62776401603674</c:v>
                </c:pt>
                <c:pt idx="238">
                  <c:v>630.62776401603674</c:v>
                </c:pt>
                <c:pt idx="239">
                  <c:v>630.62776401603674</c:v>
                </c:pt>
                <c:pt idx="240">
                  <c:v>630.62776401603674</c:v>
                </c:pt>
                <c:pt idx="241">
                  <c:v>630.62776401603674</c:v>
                </c:pt>
                <c:pt idx="242">
                  <c:v>630.62776401603674</c:v>
                </c:pt>
                <c:pt idx="243">
                  <c:v>630.62776401603674</c:v>
                </c:pt>
                <c:pt idx="244">
                  <c:v>634.72776401603664</c:v>
                </c:pt>
                <c:pt idx="245">
                  <c:v>634.72776401603664</c:v>
                </c:pt>
                <c:pt idx="246">
                  <c:v>609.15210612129977</c:v>
                </c:pt>
                <c:pt idx="247">
                  <c:v>609.15210612129977</c:v>
                </c:pt>
                <c:pt idx="248">
                  <c:v>607.38210612129978</c:v>
                </c:pt>
                <c:pt idx="249">
                  <c:v>607.38210612129978</c:v>
                </c:pt>
                <c:pt idx="250">
                  <c:v>607.38210612129978</c:v>
                </c:pt>
                <c:pt idx="251">
                  <c:v>607.38210612129978</c:v>
                </c:pt>
                <c:pt idx="252">
                  <c:v>607.38210612129978</c:v>
                </c:pt>
                <c:pt idx="253">
                  <c:v>607.38210612129978</c:v>
                </c:pt>
                <c:pt idx="254">
                  <c:v>607.38210612129978</c:v>
                </c:pt>
                <c:pt idx="255">
                  <c:v>607.38210612129978</c:v>
                </c:pt>
                <c:pt idx="256">
                  <c:v>585.28890674734112</c:v>
                </c:pt>
                <c:pt idx="257">
                  <c:v>634.06890674734109</c:v>
                </c:pt>
                <c:pt idx="258">
                  <c:v>625.09890674734106</c:v>
                </c:pt>
                <c:pt idx="259">
                  <c:v>625.09890674734106</c:v>
                </c:pt>
                <c:pt idx="260">
                  <c:v>625.09890674734106</c:v>
                </c:pt>
                <c:pt idx="261">
                  <c:v>631.89890674734102</c:v>
                </c:pt>
                <c:pt idx="262">
                  <c:v>631.89890674734102</c:v>
                </c:pt>
                <c:pt idx="263">
                  <c:v>631.89890674734102</c:v>
                </c:pt>
                <c:pt idx="264">
                  <c:v>631.89890674734102</c:v>
                </c:pt>
                <c:pt idx="265">
                  <c:v>631.89890674734102</c:v>
                </c:pt>
                <c:pt idx="266">
                  <c:v>631.89890674734102</c:v>
                </c:pt>
                <c:pt idx="267">
                  <c:v>631.89890674734102</c:v>
                </c:pt>
                <c:pt idx="268">
                  <c:v>619.77890674734101</c:v>
                </c:pt>
                <c:pt idx="269">
                  <c:v>619.77890674734101</c:v>
                </c:pt>
                <c:pt idx="270">
                  <c:v>619.77890674734101</c:v>
                </c:pt>
                <c:pt idx="271">
                  <c:v>629.07890674734119</c:v>
                </c:pt>
                <c:pt idx="272">
                  <c:v>629.07890674734119</c:v>
                </c:pt>
                <c:pt idx="273">
                  <c:v>629.07890674734119</c:v>
                </c:pt>
                <c:pt idx="274">
                  <c:v>660.43890674734109</c:v>
                </c:pt>
                <c:pt idx="275">
                  <c:v>595.64890674734136</c:v>
                </c:pt>
                <c:pt idx="276">
                  <c:v>595.64890674734136</c:v>
                </c:pt>
                <c:pt idx="277">
                  <c:v>595.64890674734136</c:v>
                </c:pt>
                <c:pt idx="278">
                  <c:v>595.64890674734136</c:v>
                </c:pt>
                <c:pt idx="279">
                  <c:v>595.64890674734136</c:v>
                </c:pt>
                <c:pt idx="280">
                  <c:v>635.43890674734155</c:v>
                </c:pt>
                <c:pt idx="281">
                  <c:v>635.43890674734155</c:v>
                </c:pt>
                <c:pt idx="282">
                  <c:v>594.45890674734176</c:v>
                </c:pt>
                <c:pt idx="283">
                  <c:v>524.45890674734176</c:v>
                </c:pt>
                <c:pt idx="284">
                  <c:v>477.05890674734189</c:v>
                </c:pt>
                <c:pt idx="285">
                  <c:v>477.05890674734189</c:v>
                </c:pt>
                <c:pt idx="286">
                  <c:v>477.05890674734189</c:v>
                </c:pt>
                <c:pt idx="287">
                  <c:v>477.05890674734189</c:v>
                </c:pt>
                <c:pt idx="288">
                  <c:v>477.05890674734189</c:v>
                </c:pt>
                <c:pt idx="289">
                  <c:v>477.05890674734189</c:v>
                </c:pt>
                <c:pt idx="290">
                  <c:v>477.05890674734189</c:v>
                </c:pt>
                <c:pt idx="291">
                  <c:v>477.05890674734189</c:v>
                </c:pt>
                <c:pt idx="292">
                  <c:v>477.05890674734189</c:v>
                </c:pt>
                <c:pt idx="293">
                  <c:v>477.05890674734189</c:v>
                </c:pt>
                <c:pt idx="294">
                  <c:v>488.05890674734212</c:v>
                </c:pt>
                <c:pt idx="295">
                  <c:v>592.60890674734208</c:v>
                </c:pt>
                <c:pt idx="296">
                  <c:v>592.60890674734208</c:v>
                </c:pt>
                <c:pt idx="297">
                  <c:v>592.60890674734208</c:v>
                </c:pt>
                <c:pt idx="298">
                  <c:v>592.60890674734208</c:v>
                </c:pt>
                <c:pt idx="299">
                  <c:v>621.53890674734214</c:v>
                </c:pt>
                <c:pt idx="300">
                  <c:v>621.53890674734214</c:v>
                </c:pt>
                <c:pt idx="301">
                  <c:v>614.38890674734228</c:v>
                </c:pt>
                <c:pt idx="302">
                  <c:v>614.38890674734228</c:v>
                </c:pt>
                <c:pt idx="303">
                  <c:v>614.38890674734228</c:v>
                </c:pt>
                <c:pt idx="304">
                  <c:v>614.38890674734228</c:v>
                </c:pt>
                <c:pt idx="305">
                  <c:v>541.78890674734191</c:v>
                </c:pt>
                <c:pt idx="306">
                  <c:v>541.78890674734191</c:v>
                </c:pt>
                <c:pt idx="307">
                  <c:v>341.14890674734181</c:v>
                </c:pt>
                <c:pt idx="308">
                  <c:v>341.14890674734181</c:v>
                </c:pt>
                <c:pt idx="309">
                  <c:v>341.14890674734181</c:v>
                </c:pt>
                <c:pt idx="310">
                  <c:v>341.14890674734181</c:v>
                </c:pt>
                <c:pt idx="311">
                  <c:v>341.14890674734181</c:v>
                </c:pt>
                <c:pt idx="312">
                  <c:v>341.14890674734181</c:v>
                </c:pt>
                <c:pt idx="313">
                  <c:v>341.14890674734181</c:v>
                </c:pt>
                <c:pt idx="314">
                  <c:v>341.14890674734181</c:v>
                </c:pt>
                <c:pt idx="315">
                  <c:v>341.14890674734181</c:v>
                </c:pt>
                <c:pt idx="316">
                  <c:v>341.14890674734181</c:v>
                </c:pt>
                <c:pt idx="317">
                  <c:v>223.96890674734198</c:v>
                </c:pt>
                <c:pt idx="318">
                  <c:v>223.96890674734198</c:v>
                </c:pt>
                <c:pt idx="319">
                  <c:v>223.96890674734198</c:v>
                </c:pt>
                <c:pt idx="320">
                  <c:v>223.96890674734198</c:v>
                </c:pt>
                <c:pt idx="321">
                  <c:v>223.96890674734198</c:v>
                </c:pt>
                <c:pt idx="322">
                  <c:v>223.96890674734198</c:v>
                </c:pt>
                <c:pt idx="323">
                  <c:v>305.86890674734184</c:v>
                </c:pt>
                <c:pt idx="324">
                  <c:v>305.86890674734184</c:v>
                </c:pt>
                <c:pt idx="325">
                  <c:v>305.86890674734184</c:v>
                </c:pt>
                <c:pt idx="326">
                  <c:v>305.86890674734184</c:v>
                </c:pt>
                <c:pt idx="327">
                  <c:v>220.3649922450428</c:v>
                </c:pt>
                <c:pt idx="328">
                  <c:v>220.3649922450428</c:v>
                </c:pt>
                <c:pt idx="329">
                  <c:v>220.3649922450428</c:v>
                </c:pt>
                <c:pt idx="330">
                  <c:v>285.16499224504298</c:v>
                </c:pt>
                <c:pt idx="331">
                  <c:v>285.16499224504298</c:v>
                </c:pt>
                <c:pt idx="332">
                  <c:v>285.16499224504298</c:v>
                </c:pt>
                <c:pt idx="333">
                  <c:v>285.16499224504298</c:v>
                </c:pt>
                <c:pt idx="334">
                  <c:v>203.86499224504303</c:v>
                </c:pt>
                <c:pt idx="335">
                  <c:v>203.86499224504303</c:v>
                </c:pt>
                <c:pt idx="336">
                  <c:v>203.86499224504303</c:v>
                </c:pt>
                <c:pt idx="337">
                  <c:v>203.86499224504303</c:v>
                </c:pt>
                <c:pt idx="338">
                  <c:v>203.86499224504303</c:v>
                </c:pt>
                <c:pt idx="339">
                  <c:v>307.60499224504304</c:v>
                </c:pt>
                <c:pt idx="340">
                  <c:v>655.84499224504304</c:v>
                </c:pt>
                <c:pt idx="341">
                  <c:v>602.05499224504308</c:v>
                </c:pt>
                <c:pt idx="342">
                  <c:v>602.05499224504308</c:v>
                </c:pt>
                <c:pt idx="343">
                  <c:v>602.05499224504308</c:v>
                </c:pt>
                <c:pt idx="344">
                  <c:v>602.05499224504308</c:v>
                </c:pt>
                <c:pt idx="345">
                  <c:v>602.05499224504308</c:v>
                </c:pt>
                <c:pt idx="346">
                  <c:v>649.81499224504307</c:v>
                </c:pt>
                <c:pt idx="347">
                  <c:v>649.81499224504307</c:v>
                </c:pt>
                <c:pt idx="348">
                  <c:v>649.81499224504307</c:v>
                </c:pt>
                <c:pt idx="349">
                  <c:v>519.16999224504332</c:v>
                </c:pt>
                <c:pt idx="350">
                  <c:v>519.16999224504332</c:v>
                </c:pt>
                <c:pt idx="351">
                  <c:v>519.16999224504332</c:v>
                </c:pt>
                <c:pt idx="352">
                  <c:v>519.16999224504332</c:v>
                </c:pt>
                <c:pt idx="353">
                  <c:v>515.20999224504305</c:v>
                </c:pt>
                <c:pt idx="354">
                  <c:v>515.20999224504305</c:v>
                </c:pt>
                <c:pt idx="355">
                  <c:v>515.20999224504305</c:v>
                </c:pt>
                <c:pt idx="356">
                  <c:v>515.20999224504305</c:v>
                </c:pt>
                <c:pt idx="357">
                  <c:v>435.28999224504321</c:v>
                </c:pt>
                <c:pt idx="358">
                  <c:v>435.28999224504321</c:v>
                </c:pt>
                <c:pt idx="359">
                  <c:v>435.28999224504321</c:v>
                </c:pt>
                <c:pt idx="360">
                  <c:v>435.28999224504321</c:v>
                </c:pt>
                <c:pt idx="361">
                  <c:v>435.28999224504321</c:v>
                </c:pt>
                <c:pt idx="362">
                  <c:v>435.28999224504321</c:v>
                </c:pt>
                <c:pt idx="363">
                  <c:v>435.28999224504321</c:v>
                </c:pt>
                <c:pt idx="364">
                  <c:v>435.28999224504321</c:v>
                </c:pt>
                <c:pt idx="365">
                  <c:v>435.28999224504321</c:v>
                </c:pt>
                <c:pt idx="366">
                  <c:v>435.28999224504321</c:v>
                </c:pt>
                <c:pt idx="367">
                  <c:v>435.28999224504321</c:v>
                </c:pt>
                <c:pt idx="368">
                  <c:v>195.67999224504308</c:v>
                </c:pt>
                <c:pt idx="369">
                  <c:v>195.67999224504308</c:v>
                </c:pt>
                <c:pt idx="370">
                  <c:v>116.53499224504333</c:v>
                </c:pt>
                <c:pt idx="371">
                  <c:v>116.53499224504333</c:v>
                </c:pt>
                <c:pt idx="372">
                  <c:v>116.53499224504333</c:v>
                </c:pt>
                <c:pt idx="373">
                  <c:v>116.53499224504333</c:v>
                </c:pt>
                <c:pt idx="374">
                  <c:v>116.53499224504333</c:v>
                </c:pt>
                <c:pt idx="375">
                  <c:v>116.53499224504333</c:v>
                </c:pt>
                <c:pt idx="376">
                  <c:v>116.53499224504333</c:v>
                </c:pt>
                <c:pt idx="377">
                  <c:v>116.53499224504333</c:v>
                </c:pt>
                <c:pt idx="378">
                  <c:v>116.53499224504333</c:v>
                </c:pt>
                <c:pt idx="379">
                  <c:v>116.53499224504333</c:v>
                </c:pt>
                <c:pt idx="380">
                  <c:v>116.53499224504333</c:v>
                </c:pt>
                <c:pt idx="381">
                  <c:v>116.53499224504333</c:v>
                </c:pt>
                <c:pt idx="382">
                  <c:v>116.53499224504333</c:v>
                </c:pt>
                <c:pt idx="383">
                  <c:v>26.804992245043309</c:v>
                </c:pt>
                <c:pt idx="384">
                  <c:v>26.804992245043309</c:v>
                </c:pt>
                <c:pt idx="385">
                  <c:v>95.729992245043263</c:v>
                </c:pt>
                <c:pt idx="386">
                  <c:v>95.729992245043263</c:v>
                </c:pt>
                <c:pt idx="387">
                  <c:v>95.729992245043263</c:v>
                </c:pt>
                <c:pt idx="388">
                  <c:v>105.35499224504326</c:v>
                </c:pt>
                <c:pt idx="389">
                  <c:v>143.70499224504317</c:v>
                </c:pt>
                <c:pt idx="390">
                  <c:v>143.70499224504317</c:v>
                </c:pt>
                <c:pt idx="391">
                  <c:v>143.70499224504317</c:v>
                </c:pt>
                <c:pt idx="392">
                  <c:v>143.70499224504317</c:v>
                </c:pt>
                <c:pt idx="393">
                  <c:v>143.70499224504317</c:v>
                </c:pt>
                <c:pt idx="394">
                  <c:v>116.97774645512766</c:v>
                </c:pt>
                <c:pt idx="395">
                  <c:v>116.97774645512766</c:v>
                </c:pt>
                <c:pt idx="396">
                  <c:v>116.97774645512766</c:v>
                </c:pt>
                <c:pt idx="397">
                  <c:v>116.97774645512766</c:v>
                </c:pt>
                <c:pt idx="398">
                  <c:v>116.97774645512766</c:v>
                </c:pt>
                <c:pt idx="399">
                  <c:v>320.97774645512789</c:v>
                </c:pt>
                <c:pt idx="400">
                  <c:v>320.97774645512789</c:v>
                </c:pt>
                <c:pt idx="401">
                  <c:v>459.67774645512793</c:v>
                </c:pt>
                <c:pt idx="402">
                  <c:v>502.05774645512804</c:v>
                </c:pt>
                <c:pt idx="403">
                  <c:v>502.05774645512804</c:v>
                </c:pt>
                <c:pt idx="404">
                  <c:v>502.05774645512804</c:v>
                </c:pt>
                <c:pt idx="405">
                  <c:v>580.89774645512773</c:v>
                </c:pt>
                <c:pt idx="406">
                  <c:v>506.79774645512805</c:v>
                </c:pt>
                <c:pt idx="407">
                  <c:v>712.29665395694894</c:v>
                </c:pt>
                <c:pt idx="408">
                  <c:v>712.29665395694894</c:v>
                </c:pt>
                <c:pt idx="409">
                  <c:v>791.09665395694867</c:v>
                </c:pt>
                <c:pt idx="410">
                  <c:v>892.34665395694867</c:v>
                </c:pt>
                <c:pt idx="411">
                  <c:v>1321.0966539569486</c:v>
                </c:pt>
                <c:pt idx="412">
                  <c:v>1321.0966539569486</c:v>
                </c:pt>
                <c:pt idx="413">
                  <c:v>1403.5966539569486</c:v>
                </c:pt>
                <c:pt idx="414">
                  <c:v>1403.5966539569486</c:v>
                </c:pt>
                <c:pt idx="415">
                  <c:v>1403.5966539569486</c:v>
                </c:pt>
                <c:pt idx="416">
                  <c:v>1423.7966539569486</c:v>
                </c:pt>
                <c:pt idx="417">
                  <c:v>1185.3966539569485</c:v>
                </c:pt>
                <c:pt idx="418">
                  <c:v>1185.3966539569485</c:v>
                </c:pt>
                <c:pt idx="419">
                  <c:v>1185.3966539569485</c:v>
                </c:pt>
                <c:pt idx="420">
                  <c:v>1428.3966539569485</c:v>
                </c:pt>
                <c:pt idx="421">
                  <c:v>1514.7966539569484</c:v>
                </c:pt>
                <c:pt idx="422">
                  <c:v>1742.2966539569484</c:v>
                </c:pt>
                <c:pt idx="423">
                  <c:v>1769.1466539569483</c:v>
                </c:pt>
                <c:pt idx="424">
                  <c:v>1769.1466539569483</c:v>
                </c:pt>
                <c:pt idx="425">
                  <c:v>1817.8966539569483</c:v>
                </c:pt>
                <c:pt idx="426">
                  <c:v>1856.9966539569482</c:v>
                </c:pt>
                <c:pt idx="427">
                  <c:v>1923.6566539569483</c:v>
                </c:pt>
                <c:pt idx="428">
                  <c:v>1995.1566539569483</c:v>
                </c:pt>
                <c:pt idx="429">
                  <c:v>2157.5566539569481</c:v>
                </c:pt>
                <c:pt idx="430">
                  <c:v>2108.5466539569479</c:v>
                </c:pt>
                <c:pt idx="431">
                  <c:v>2019.8866539569481</c:v>
                </c:pt>
                <c:pt idx="432">
                  <c:v>1936.6966539569482</c:v>
                </c:pt>
                <c:pt idx="433">
                  <c:v>1797.5954616610145</c:v>
                </c:pt>
                <c:pt idx="434">
                  <c:v>1797.5954616610145</c:v>
                </c:pt>
                <c:pt idx="435">
                  <c:v>1797.5954616610145</c:v>
                </c:pt>
                <c:pt idx="436">
                  <c:v>1797.5954616610145</c:v>
                </c:pt>
                <c:pt idx="437">
                  <c:v>1797.5954616610145</c:v>
                </c:pt>
                <c:pt idx="438">
                  <c:v>1816.0404616610144</c:v>
                </c:pt>
                <c:pt idx="439">
                  <c:v>1816.0404616610144</c:v>
                </c:pt>
                <c:pt idx="440">
                  <c:v>1904.1804616610143</c:v>
                </c:pt>
                <c:pt idx="441">
                  <c:v>1960.9804616610143</c:v>
                </c:pt>
                <c:pt idx="442">
                  <c:v>1960.9804616610143</c:v>
                </c:pt>
                <c:pt idx="443">
                  <c:v>1960.9804616610143</c:v>
                </c:pt>
                <c:pt idx="444">
                  <c:v>1960.7347065224976</c:v>
                </c:pt>
              </c:numCache>
            </c:numRef>
          </c:val>
          <c:smooth val="1"/>
          <c:extLst>
            <c:ext xmlns:c16="http://schemas.microsoft.com/office/drawing/2014/chart" uri="{C3380CC4-5D6E-409C-BE32-E72D297353CC}">
              <c16:uniqueId val="{00000001-1693-4AB0-BA75-620A9224444E}"/>
            </c:ext>
          </c:extLst>
        </c:ser>
        <c:ser>
          <c:idx val="6"/>
          <c:order val="5"/>
          <c:tx>
            <c:v>Dwn (MOC)</c:v>
          </c:tx>
          <c:spPr>
            <a:ln w="19050" cap="rnd">
              <a:solidFill>
                <a:schemeClr val="accent2">
                  <a:lumMod val="60000"/>
                  <a:lumOff val="40000"/>
                </a:schemeClr>
              </a:solidFill>
              <a:prstDash val="sysDash"/>
              <a:round/>
            </a:ln>
            <a:effectLst/>
          </c:spPr>
          <c:marker>
            <c:symbol val="none"/>
          </c:marker>
          <c:val>
            <c:numRef>
              <c:f>'2025-Q1'!$GX$4:$GX$448</c:f>
              <c:numCache>
                <c:formatCode>"$"#,##0</c:formatCode>
                <c:ptCount val="445"/>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2-E40B-4614-BAB7-0785497FEB68}"/>
            </c:ext>
          </c:extLst>
        </c:ser>
        <c:ser>
          <c:idx val="2"/>
          <c:order val="6"/>
          <c:tx>
            <c:v>SW</c:v>
          </c:tx>
          <c:spPr>
            <a:ln w="28575" cap="rnd">
              <a:solidFill>
                <a:srgbClr val="0070C0"/>
              </a:solidFill>
              <a:prstDash val="solid"/>
              <a:round/>
            </a:ln>
            <a:effectLst/>
          </c:spPr>
          <c:marker>
            <c:symbol val="none"/>
          </c:marker>
          <c:val>
            <c:numRef>
              <c:f>'2025-Q1'!$S$4:$S$448</c:f>
              <c:numCache>
                <c:formatCode>"$"#,##0</c:formatCode>
                <c:ptCount val="445"/>
                <c:pt idx="0">
                  <c:v>0</c:v>
                </c:pt>
                <c:pt idx="1">
                  <c:v>0</c:v>
                </c:pt>
                <c:pt idx="2">
                  <c:v>59.869848156182172</c:v>
                </c:pt>
                <c:pt idx="3">
                  <c:v>59.869848156182172</c:v>
                </c:pt>
                <c:pt idx="4">
                  <c:v>59.869848156182172</c:v>
                </c:pt>
                <c:pt idx="5">
                  <c:v>59.869848156182172</c:v>
                </c:pt>
                <c:pt idx="6">
                  <c:v>83.375563658118494</c:v>
                </c:pt>
                <c:pt idx="7">
                  <c:v>83.375563658118494</c:v>
                </c:pt>
                <c:pt idx="8">
                  <c:v>100.0202831735254</c:v>
                </c:pt>
                <c:pt idx="9">
                  <c:v>100.0202831735254</c:v>
                </c:pt>
                <c:pt idx="10">
                  <c:v>100.0202831735254</c:v>
                </c:pt>
                <c:pt idx="11">
                  <c:v>124.83170991080669</c:v>
                </c:pt>
                <c:pt idx="12">
                  <c:v>124.83170991080669</c:v>
                </c:pt>
                <c:pt idx="13">
                  <c:v>124.83170991080669</c:v>
                </c:pt>
                <c:pt idx="14">
                  <c:v>124.83170991080669</c:v>
                </c:pt>
                <c:pt idx="15">
                  <c:v>100.77155953486687</c:v>
                </c:pt>
                <c:pt idx="16">
                  <c:v>118.91295571094514</c:v>
                </c:pt>
                <c:pt idx="17">
                  <c:v>118.91295571094514</c:v>
                </c:pt>
                <c:pt idx="18">
                  <c:v>118.91295571094514</c:v>
                </c:pt>
                <c:pt idx="19">
                  <c:v>118.91295571094514</c:v>
                </c:pt>
                <c:pt idx="20">
                  <c:v>122.71343077032759</c:v>
                </c:pt>
                <c:pt idx="21">
                  <c:v>132.50135899218731</c:v>
                </c:pt>
                <c:pt idx="22">
                  <c:v>128.142384633213</c:v>
                </c:pt>
                <c:pt idx="23">
                  <c:v>140.8108835207932</c:v>
                </c:pt>
                <c:pt idx="24">
                  <c:v>140.8108835207932</c:v>
                </c:pt>
                <c:pt idx="25">
                  <c:v>140.8108835207932</c:v>
                </c:pt>
                <c:pt idx="26">
                  <c:v>146.31381541073455</c:v>
                </c:pt>
                <c:pt idx="27">
                  <c:v>127.51600120308427</c:v>
                </c:pt>
                <c:pt idx="28">
                  <c:v>186.54920881967894</c:v>
                </c:pt>
                <c:pt idx="29">
                  <c:v>186.54920881967894</c:v>
                </c:pt>
                <c:pt idx="30">
                  <c:v>186.54920881967894</c:v>
                </c:pt>
                <c:pt idx="31">
                  <c:v>215.70476437523445</c:v>
                </c:pt>
                <c:pt idx="32">
                  <c:v>229.01171465967667</c:v>
                </c:pt>
                <c:pt idx="33">
                  <c:v>229.01171465967667</c:v>
                </c:pt>
                <c:pt idx="34">
                  <c:v>219.90134562123154</c:v>
                </c:pt>
                <c:pt idx="35">
                  <c:v>219.90134562123154</c:v>
                </c:pt>
                <c:pt idx="36">
                  <c:v>219.90134562123154</c:v>
                </c:pt>
                <c:pt idx="37">
                  <c:v>238.86772795941516</c:v>
                </c:pt>
                <c:pt idx="38">
                  <c:v>247.04035102077728</c:v>
                </c:pt>
                <c:pt idx="39">
                  <c:v>247.04035102077728</c:v>
                </c:pt>
                <c:pt idx="40">
                  <c:v>247.04035102077728</c:v>
                </c:pt>
                <c:pt idx="41">
                  <c:v>230.24232146412703</c:v>
                </c:pt>
                <c:pt idx="42">
                  <c:v>236.99995629193728</c:v>
                </c:pt>
                <c:pt idx="43">
                  <c:v>236.99995629193728</c:v>
                </c:pt>
                <c:pt idx="44">
                  <c:v>230.84811318021133</c:v>
                </c:pt>
                <c:pt idx="45">
                  <c:v>230.84811318021133</c:v>
                </c:pt>
                <c:pt idx="46">
                  <c:v>249.25354150930377</c:v>
                </c:pt>
                <c:pt idx="47">
                  <c:v>263.57545177982303</c:v>
                </c:pt>
                <c:pt idx="48">
                  <c:v>263.57545177982303</c:v>
                </c:pt>
                <c:pt idx="49">
                  <c:v>263.57545177982303</c:v>
                </c:pt>
                <c:pt idx="50">
                  <c:v>259.53394440680285</c:v>
                </c:pt>
                <c:pt idx="51">
                  <c:v>259.53394440680285</c:v>
                </c:pt>
                <c:pt idx="52">
                  <c:v>238.37846860798919</c:v>
                </c:pt>
                <c:pt idx="53">
                  <c:v>219.13284936236988</c:v>
                </c:pt>
                <c:pt idx="54">
                  <c:v>219.13284936236988</c:v>
                </c:pt>
                <c:pt idx="55">
                  <c:v>219.13284936236988</c:v>
                </c:pt>
                <c:pt idx="56">
                  <c:v>217.37479674373208</c:v>
                </c:pt>
                <c:pt idx="57">
                  <c:v>217.37479674373208</c:v>
                </c:pt>
                <c:pt idx="58">
                  <c:v>217.37479674373208</c:v>
                </c:pt>
                <c:pt idx="59">
                  <c:v>222.25479674373207</c:v>
                </c:pt>
                <c:pt idx="60">
                  <c:v>232.894796743732</c:v>
                </c:pt>
                <c:pt idx="61">
                  <c:v>251.26979674373206</c:v>
                </c:pt>
                <c:pt idx="62">
                  <c:v>251.26979674373206</c:v>
                </c:pt>
                <c:pt idx="63">
                  <c:v>263.56979674373207</c:v>
                </c:pt>
                <c:pt idx="64">
                  <c:v>263.56979674373207</c:v>
                </c:pt>
                <c:pt idx="65">
                  <c:v>263.56979674373207</c:v>
                </c:pt>
                <c:pt idx="66">
                  <c:v>263.56979674373207</c:v>
                </c:pt>
                <c:pt idx="67">
                  <c:v>263.56979674373207</c:v>
                </c:pt>
                <c:pt idx="68">
                  <c:v>248.26979674373206</c:v>
                </c:pt>
                <c:pt idx="69" formatCode="&quot;$&quot;#,##0_);[Red]\(&quot;$&quot;#,##0\)">
                  <c:v>248.26979674373206</c:v>
                </c:pt>
                <c:pt idx="70" formatCode="&quot;$&quot;#,##0_);[Red]\(&quot;$&quot;#,##0\)">
                  <c:v>271.26979674373206</c:v>
                </c:pt>
                <c:pt idx="71" formatCode="&quot;$&quot;#,##0_);[Red]\(&quot;$&quot;#,##0\)">
                  <c:v>271.11979674373208</c:v>
                </c:pt>
                <c:pt idx="72" formatCode="&quot;$&quot;#,##0_);[Red]\(&quot;$&quot;#,##0\)">
                  <c:v>271.11979674373208</c:v>
                </c:pt>
                <c:pt idx="73" formatCode="&quot;$&quot;#,##0_);[Red]\(&quot;$&quot;#,##0\)">
                  <c:v>280.27979674373211</c:v>
                </c:pt>
                <c:pt idx="74" formatCode="&quot;$&quot;#,##0_);[Red]\(&quot;$&quot;#,##0\)">
                  <c:v>243.6597967437321</c:v>
                </c:pt>
                <c:pt idx="75" formatCode="&quot;$&quot;#,##0_);[Red]\(&quot;$&quot;#,##0\)">
                  <c:v>243.6597967437321</c:v>
                </c:pt>
                <c:pt idx="76" formatCode="&quot;$&quot;#,##0_);[Red]\(&quot;$&quot;#,##0\)">
                  <c:v>277.37979674373213</c:v>
                </c:pt>
                <c:pt idx="77" formatCode="&quot;$&quot;#,##0_);[Red]\(&quot;$&quot;#,##0\)">
                  <c:v>251.73979674373214</c:v>
                </c:pt>
                <c:pt idx="78" formatCode="&quot;$&quot;#,##0_);[Red]\(&quot;$&quot;#,##0\)">
                  <c:v>238.47979674373209</c:v>
                </c:pt>
                <c:pt idx="79" formatCode="&quot;$&quot;#,##0_);[Red]\(&quot;$&quot;#,##0\)">
                  <c:v>238.47979674373209</c:v>
                </c:pt>
                <c:pt idx="80" formatCode="&quot;$&quot;#,##0_);[Red]\(&quot;$&quot;#,##0\)">
                  <c:v>238.47979674373209</c:v>
                </c:pt>
                <c:pt idx="81" formatCode="&quot;$&quot;#,##0_);[Red]\(&quot;$&quot;#,##0\)">
                  <c:v>263.31979674373213</c:v>
                </c:pt>
                <c:pt idx="82" formatCode="&quot;$&quot;#,##0_);[Red]\(&quot;$&quot;#,##0\)">
                  <c:v>263.31979674373213</c:v>
                </c:pt>
                <c:pt idx="83" formatCode="&quot;$&quot;#,##0_);[Red]\(&quot;$&quot;#,##0\)">
                  <c:v>260.16979674373209</c:v>
                </c:pt>
                <c:pt idx="84" formatCode="&quot;$&quot;#,##0_);[Red]\(&quot;$&quot;#,##0\)">
                  <c:v>260.16979674373209</c:v>
                </c:pt>
                <c:pt idx="85" formatCode="&quot;$&quot;#,##0_);[Red]\(&quot;$&quot;#,##0\)">
                  <c:v>252.96979674373205</c:v>
                </c:pt>
                <c:pt idx="86" formatCode="&quot;$&quot;#,##0_);[Red]\(&quot;$&quot;#,##0\)">
                  <c:v>229.40979674373204</c:v>
                </c:pt>
                <c:pt idx="87" formatCode="&quot;$&quot;#,##0_);[Red]\(&quot;$&quot;#,##0\)">
                  <c:v>229.40979674373204</c:v>
                </c:pt>
                <c:pt idx="88" formatCode="&quot;$&quot;#,##0_);[Red]\(&quot;$&quot;#,##0\)">
                  <c:v>251.69712647901855</c:v>
                </c:pt>
                <c:pt idx="89" formatCode="&quot;$&quot;#,##0_);[Red]\(&quot;$&quot;#,##0\)">
                  <c:v>294.43712647901856</c:v>
                </c:pt>
                <c:pt idx="90" formatCode="&quot;$&quot;#,##0_);[Red]\(&quot;$&quot;#,##0\)">
                  <c:v>317.43712647901856</c:v>
                </c:pt>
                <c:pt idx="91" formatCode="&quot;$&quot;#,##0_);[Red]\(&quot;$&quot;#,##0\)">
                  <c:v>329.31712647901855</c:v>
                </c:pt>
                <c:pt idx="92" formatCode="&quot;$&quot;#,##0_);[Red]\(&quot;$&quot;#,##0\)">
                  <c:v>329.31712647901855</c:v>
                </c:pt>
                <c:pt idx="93" formatCode="&quot;$&quot;#,##0_);[Red]\(&quot;$&quot;#,##0\)">
                  <c:v>329.31712647901855</c:v>
                </c:pt>
                <c:pt idx="94" formatCode="&quot;$&quot;#,##0_);[Red]\(&quot;$&quot;#,##0\)">
                  <c:v>329.31712647901855</c:v>
                </c:pt>
                <c:pt idx="95" formatCode="&quot;$&quot;#,##0_);[Red]\(&quot;$&quot;#,##0\)">
                  <c:v>329.31712647901855</c:v>
                </c:pt>
                <c:pt idx="96" formatCode="&quot;$&quot;#,##0_);[Red]\(&quot;$&quot;#,##0\)">
                  <c:v>351.21712647901865</c:v>
                </c:pt>
                <c:pt idx="97" formatCode="&quot;$&quot;#,##0_);[Red]\(&quot;$&quot;#,##0\)">
                  <c:v>291.06712647901867</c:v>
                </c:pt>
                <c:pt idx="98" formatCode="&quot;$&quot;#,##0_);[Red]\(&quot;$&quot;#,##0\)">
                  <c:v>257.74712647901862</c:v>
                </c:pt>
                <c:pt idx="99" formatCode="&quot;$&quot;#,##0_);[Red]\(&quot;$&quot;#,##0\)">
                  <c:v>257.74712647901862</c:v>
                </c:pt>
                <c:pt idx="100" formatCode="&quot;$&quot;#,##0_);[Red]\(&quot;$&quot;#,##0\)">
                  <c:v>257.74712647901862</c:v>
                </c:pt>
                <c:pt idx="101" formatCode="&quot;$&quot;#,##0_);[Red]\(&quot;$&quot;#,##0\)">
                  <c:v>257.74712647901862</c:v>
                </c:pt>
                <c:pt idx="102" formatCode="&quot;$&quot;#,##0_);[Red]\(&quot;$&quot;#,##0\)">
                  <c:v>273.49427112115296</c:v>
                </c:pt>
                <c:pt idx="103" formatCode="&quot;$&quot;#,##0_);[Red]\(&quot;$&quot;#,##0\)">
                  <c:v>253.76427112115294</c:v>
                </c:pt>
                <c:pt idx="104" formatCode="&quot;$&quot;#,##0_);[Red]\(&quot;$&quot;#,##0\)">
                  <c:v>253.76427112115294</c:v>
                </c:pt>
                <c:pt idx="105" formatCode="&quot;$&quot;#,##0_);[Red]\(&quot;$&quot;#,##0\)">
                  <c:v>205.93427112115296</c:v>
                </c:pt>
                <c:pt idx="106" formatCode="&quot;$&quot;#,##0_);[Red]\(&quot;$&quot;#,##0\)">
                  <c:v>214.31427112115296</c:v>
                </c:pt>
                <c:pt idx="107" formatCode="&quot;$&quot;#,##0_);[Red]\(&quot;$&quot;#,##0\)">
                  <c:v>201.19427112115301</c:v>
                </c:pt>
                <c:pt idx="108" formatCode="&quot;$&quot;#,##0_);[Red]\(&quot;$&quot;#,##0\)">
                  <c:v>203.11427112115297</c:v>
                </c:pt>
                <c:pt idx="109" formatCode="&quot;$&quot;#,##0_);[Red]\(&quot;$&quot;#,##0\)">
                  <c:v>202.02635903324085</c:v>
                </c:pt>
                <c:pt idx="110" formatCode="&quot;$&quot;#,##0_);[Red]\(&quot;$&quot;#,##0\)">
                  <c:v>202.02635903324085</c:v>
                </c:pt>
                <c:pt idx="111" formatCode="&quot;$&quot;#,##0_);[Red]\(&quot;$&quot;#,##0\)">
                  <c:v>216.19857032475045</c:v>
                </c:pt>
                <c:pt idx="112" formatCode="&quot;$&quot;#,##0_);[Red]\(&quot;$&quot;#,##0\)">
                  <c:v>216.19857032475045</c:v>
                </c:pt>
                <c:pt idx="113" formatCode="&quot;$&quot;#,##0_);[Red]\(&quot;$&quot;#,##0\)">
                  <c:v>239.16857032475048</c:v>
                </c:pt>
                <c:pt idx="114" formatCode="&quot;$&quot;#,##0_);[Red]\(&quot;$&quot;#,##0\)">
                  <c:v>239.16857032475048</c:v>
                </c:pt>
                <c:pt idx="115" formatCode="&quot;$&quot;#,##0_);[Red]\(&quot;$&quot;#,##0\)">
                  <c:v>252.39857032475049</c:v>
                </c:pt>
                <c:pt idx="116" formatCode="&quot;$&quot;#,##0_);[Red]\(&quot;$&quot;#,##0\)">
                  <c:v>252.39857032475049</c:v>
                </c:pt>
                <c:pt idx="117" formatCode="&quot;$&quot;#,##0_);[Red]\(&quot;$&quot;#,##0\)">
                  <c:v>252.39857032475049</c:v>
                </c:pt>
                <c:pt idx="118" formatCode="&quot;$&quot;#,##0_);[Red]\(&quot;$&quot;#,##0\)">
                  <c:v>230.67857032475047</c:v>
                </c:pt>
                <c:pt idx="119" formatCode="&quot;$&quot;#,##0_);[Red]\(&quot;$&quot;#,##0\)">
                  <c:v>255.95857032475044</c:v>
                </c:pt>
                <c:pt idx="120" formatCode="&quot;$&quot;#,##0_);[Red]\(&quot;$&quot;#,##0\)">
                  <c:v>255.95857032475044</c:v>
                </c:pt>
                <c:pt idx="121" formatCode="&quot;$&quot;#,##0_);[Red]\(&quot;$&quot;#,##0\)">
                  <c:v>236.56857032475051</c:v>
                </c:pt>
                <c:pt idx="122" formatCode="&quot;$&quot;#,##0_);[Red]\(&quot;$&quot;#,##0\)">
                  <c:v>232.01880729157517</c:v>
                </c:pt>
                <c:pt idx="123" formatCode="&quot;$&quot;#,##0_);[Red]\(&quot;$&quot;#,##0\)">
                  <c:v>227.69880729157518</c:v>
                </c:pt>
                <c:pt idx="124" formatCode="&quot;$&quot;#,##0_);[Red]\(&quot;$&quot;#,##0\)">
                  <c:v>227.69880729157518</c:v>
                </c:pt>
                <c:pt idx="125" formatCode="&quot;$&quot;#,##0_);[Red]\(&quot;$&quot;#,##0\)">
                  <c:v>227.69880729157518</c:v>
                </c:pt>
                <c:pt idx="126" formatCode="&quot;$&quot;#,##0_);[Red]\(&quot;$&quot;#,##0\)">
                  <c:v>227.69880729157518</c:v>
                </c:pt>
                <c:pt idx="127" formatCode="&quot;$&quot;#,##0_);[Red]\(&quot;$&quot;#,##0\)">
                  <c:v>243.86110368452103</c:v>
                </c:pt>
                <c:pt idx="128" formatCode="&quot;$&quot;#,##0_);[Red]\(&quot;$&quot;#,##0\)">
                  <c:v>243.86110368452103</c:v>
                </c:pt>
                <c:pt idx="129" formatCode="&quot;$&quot;#,##0_);[Red]\(&quot;$&quot;#,##0\)">
                  <c:v>245.66110368452098</c:v>
                </c:pt>
                <c:pt idx="130" formatCode="&quot;$&quot;#,##0_);[Red]\(&quot;$&quot;#,##0\)">
                  <c:v>262.16110368452098</c:v>
                </c:pt>
                <c:pt idx="131" formatCode="&quot;$&quot;#,##0_);[Red]\(&quot;$&quot;#,##0\)">
                  <c:v>260.50110368452101</c:v>
                </c:pt>
                <c:pt idx="132" formatCode="&quot;$&quot;#,##0_);[Red]\(&quot;$&quot;#,##0\)">
                  <c:v>260.50110368452101</c:v>
                </c:pt>
                <c:pt idx="133" formatCode="&quot;$&quot;#,##0_);[Red]\(&quot;$&quot;#,##0\)">
                  <c:v>260.85110368452104</c:v>
                </c:pt>
                <c:pt idx="134" formatCode="&quot;$&quot;#,##0_);[Red]\(&quot;$&quot;#,##0\)">
                  <c:v>227.73110368452103</c:v>
                </c:pt>
                <c:pt idx="135" formatCode="&quot;$&quot;#,##0_);[Red]\(&quot;$&quot;#,##0\)">
                  <c:v>227.73110368452103</c:v>
                </c:pt>
                <c:pt idx="136" formatCode="&quot;$&quot;#,##0_);[Red]\(&quot;$&quot;#,##0\)">
                  <c:v>227.73110368452103</c:v>
                </c:pt>
                <c:pt idx="137" formatCode="&quot;$&quot;#,##0_);[Red]\(&quot;$&quot;#,##0\)">
                  <c:v>209.867103684521</c:v>
                </c:pt>
                <c:pt idx="138" formatCode="&quot;$&quot;#,##0_);[Red]\(&quot;$&quot;#,##0\)">
                  <c:v>209.867103684521</c:v>
                </c:pt>
                <c:pt idx="139" formatCode="&quot;$&quot;#,##0_);[Red]\(&quot;$&quot;#,##0\)">
                  <c:v>209.867103684521</c:v>
                </c:pt>
                <c:pt idx="140" formatCode="&quot;$&quot;#,##0_);[Red]\(&quot;$&quot;#,##0\)">
                  <c:v>209.867103684521</c:v>
                </c:pt>
                <c:pt idx="141" formatCode="&quot;$&quot;#,##0_);[Red]\(&quot;$&quot;#,##0\)">
                  <c:v>190.49649086016575</c:v>
                </c:pt>
                <c:pt idx="142" formatCode="&quot;$&quot;#,##0_);[Red]\(&quot;$&quot;#,##0\)">
                  <c:v>190.49649086016575</c:v>
                </c:pt>
                <c:pt idx="143" formatCode="&quot;$&quot;#,##0_);[Red]\(&quot;$&quot;#,##0\)">
                  <c:v>190.49649086016575</c:v>
                </c:pt>
                <c:pt idx="144" formatCode="&quot;$&quot;#,##0_);[Red]\(&quot;$&quot;#,##0\)">
                  <c:v>182.81649086016574</c:v>
                </c:pt>
                <c:pt idx="145" formatCode="&quot;$&quot;#,##0_);[Red]\(&quot;$&quot;#,##0\)">
                  <c:v>177.7364908601657</c:v>
                </c:pt>
                <c:pt idx="146" formatCode="&quot;$&quot;#,##0_);[Red]\(&quot;$&quot;#,##0\)">
                  <c:v>176.63649086016574</c:v>
                </c:pt>
                <c:pt idx="147" formatCode="&quot;$&quot;#,##0_);[Red]\(&quot;$&quot;#,##0\)">
                  <c:v>176.63649086016574</c:v>
                </c:pt>
                <c:pt idx="148" formatCode="&quot;$&quot;#,##0_);[Red]\(&quot;$&quot;#,##0\)">
                  <c:v>176.63649086016574</c:v>
                </c:pt>
                <c:pt idx="149" formatCode="&quot;$&quot;#,##0_);[Red]\(&quot;$&quot;#,##0\)">
                  <c:v>153.94873610246867</c:v>
                </c:pt>
                <c:pt idx="150" formatCode="&quot;$&quot;#,##0_);[Red]\(&quot;$&quot;#,##0\)">
                  <c:v>153.94873610246867</c:v>
                </c:pt>
                <c:pt idx="151" formatCode="&quot;$&quot;#,##0_);[Red]\(&quot;$&quot;#,##0\)">
                  <c:v>153.46873610246865</c:v>
                </c:pt>
                <c:pt idx="152" formatCode="&quot;$&quot;#,##0_);[Red]\(&quot;$&quot;#,##0\)">
                  <c:v>153.46873610246865</c:v>
                </c:pt>
                <c:pt idx="153" formatCode="&quot;$&quot;#,##0_);[Red]\(&quot;$&quot;#,##0\)">
                  <c:v>153.46873610246865</c:v>
                </c:pt>
                <c:pt idx="154" formatCode="&quot;$&quot;#,##0_);[Red]\(&quot;$&quot;#,##0\)">
                  <c:v>149.35873610246864</c:v>
                </c:pt>
                <c:pt idx="155" formatCode="&quot;$&quot;#,##0_);[Red]\(&quot;$&quot;#,##0\)">
                  <c:v>149.35873610246864</c:v>
                </c:pt>
                <c:pt idx="156" formatCode="&quot;$&quot;#,##0_);[Red]\(&quot;$&quot;#,##0\)">
                  <c:v>192.66873610246864</c:v>
                </c:pt>
                <c:pt idx="157" formatCode="&quot;$&quot;#,##0_);[Red]\(&quot;$&quot;#,##0\)">
                  <c:v>192.66873610246864</c:v>
                </c:pt>
                <c:pt idx="158" formatCode="&quot;$&quot;#,##0_);[Red]\(&quot;$&quot;#,##0\)">
                  <c:v>192.66873610246864</c:v>
                </c:pt>
                <c:pt idx="159" formatCode="&quot;$&quot;#,##0_);[Red]\(&quot;$&quot;#,##0\)">
                  <c:v>192.66873610246864</c:v>
                </c:pt>
                <c:pt idx="160" formatCode="&quot;$&quot;#,##0_);[Red]\(&quot;$&quot;#,##0\)">
                  <c:v>175.32873610246861</c:v>
                </c:pt>
                <c:pt idx="161" formatCode="&quot;$&quot;#,##0_);[Red]\(&quot;$&quot;#,##0\)">
                  <c:v>170.95873610246861</c:v>
                </c:pt>
                <c:pt idx="162" formatCode="&quot;$&quot;#,##0_);[Red]\(&quot;$&quot;#,##0\)">
                  <c:v>170.95873610246861</c:v>
                </c:pt>
                <c:pt idx="163" formatCode="&quot;$&quot;#,##0_);[Red]\(&quot;$&quot;#,##0\)">
                  <c:v>170.95873610246861</c:v>
                </c:pt>
                <c:pt idx="164" formatCode="&quot;$&quot;#,##0_);[Red]\(&quot;$&quot;#,##0\)">
                  <c:v>169.45873610246861</c:v>
                </c:pt>
                <c:pt idx="165" formatCode="&quot;$&quot;#,##0_);[Red]\(&quot;$&quot;#,##0\)">
                  <c:v>169.45873610246861</c:v>
                </c:pt>
                <c:pt idx="166" formatCode="&quot;$&quot;#,##0_);[Red]\(&quot;$&quot;#,##0\)">
                  <c:v>169.45873610246861</c:v>
                </c:pt>
                <c:pt idx="167" formatCode="&quot;$&quot;#,##0_);[Red]\(&quot;$&quot;#,##0\)">
                  <c:v>169.45873610246861</c:v>
                </c:pt>
                <c:pt idx="168" formatCode="&quot;$&quot;#,##0_);[Red]\(&quot;$&quot;#,##0\)">
                  <c:v>169.45873610246861</c:v>
                </c:pt>
                <c:pt idx="169" formatCode="&quot;$&quot;#,##0_);[Red]\(&quot;$&quot;#,##0\)">
                  <c:v>182.24873610246863</c:v>
                </c:pt>
                <c:pt idx="170" formatCode="&quot;$&quot;#,##0_);[Red]\(&quot;$&quot;#,##0\)">
                  <c:v>165.98873610246864</c:v>
                </c:pt>
                <c:pt idx="171" formatCode="&quot;$&quot;#,##0_);[Red]\(&quot;$&quot;#,##0\)">
                  <c:v>165.98873610246864</c:v>
                </c:pt>
                <c:pt idx="172" formatCode="&quot;$&quot;#,##0_);[Red]\(&quot;$&quot;#,##0\)">
                  <c:v>165.98873610246864</c:v>
                </c:pt>
                <c:pt idx="173" formatCode="&quot;$&quot;#,##0_);[Red]\(&quot;$&quot;#,##0\)">
                  <c:v>138.56873610246868</c:v>
                </c:pt>
                <c:pt idx="174" formatCode="&quot;$&quot;#,##0_);[Red]\(&quot;$&quot;#,##0\)">
                  <c:v>145.1687361024687</c:v>
                </c:pt>
                <c:pt idx="175" formatCode="&quot;$&quot;#,##0_);[Red]\(&quot;$&quot;#,##0\)">
                  <c:v>145.1687361024687</c:v>
                </c:pt>
                <c:pt idx="176" formatCode="&quot;$&quot;#,##0_);[Red]\(&quot;$&quot;#,##0\)">
                  <c:v>148.26873610246867</c:v>
                </c:pt>
                <c:pt idx="177" formatCode="&quot;$&quot;#,##0_);[Red]\(&quot;$&quot;#,##0\)">
                  <c:v>148.26873610246867</c:v>
                </c:pt>
                <c:pt idx="178" formatCode="&quot;$&quot;#,##0_);[Red]\(&quot;$&quot;#,##0\)">
                  <c:v>148.26873610246867</c:v>
                </c:pt>
                <c:pt idx="179" formatCode="&quot;$&quot;#,##0_);[Red]\(&quot;$&quot;#,##0\)">
                  <c:v>148.26873610246867</c:v>
                </c:pt>
                <c:pt idx="180" formatCode="&quot;$&quot;#,##0_);[Red]\(&quot;$&quot;#,##0\)">
                  <c:v>135.94873610246867</c:v>
                </c:pt>
                <c:pt idx="181" formatCode="&quot;$&quot;#,##0_);[Red]\(&quot;$&quot;#,##0\)">
                  <c:v>140.98873610246864</c:v>
                </c:pt>
                <c:pt idx="182" formatCode="&quot;$&quot;#,##0_);[Red]\(&quot;$&quot;#,##0\)">
                  <c:v>140.98873610246864</c:v>
                </c:pt>
                <c:pt idx="183" formatCode="&quot;$&quot;#,##0_);[Red]\(&quot;$&quot;#,##0\)">
                  <c:v>140.98873610246864</c:v>
                </c:pt>
                <c:pt idx="184" formatCode="&quot;$&quot;#,##0_);[Red]\(&quot;$&quot;#,##0\)">
                  <c:v>140.98873610246864</c:v>
                </c:pt>
                <c:pt idx="185" formatCode="&quot;$&quot;#,##0_);[Red]\(&quot;$&quot;#,##0\)">
                  <c:v>142.65873610246865</c:v>
                </c:pt>
                <c:pt idx="186" formatCode="&quot;$&quot;#,##0_);[Red]\(&quot;$&quot;#,##0\)">
                  <c:v>142.65873610246865</c:v>
                </c:pt>
                <c:pt idx="187" formatCode="&quot;$&quot;#,##0_);[Red]\(&quot;$&quot;#,##0\)">
                  <c:v>121.65873610246865</c:v>
                </c:pt>
                <c:pt idx="188" formatCode="&quot;$&quot;#,##0_);[Red]\(&quot;$&quot;#,##0\)">
                  <c:v>121.65873610246865</c:v>
                </c:pt>
                <c:pt idx="189" formatCode="&quot;$&quot;#,##0_);[Red]\(&quot;$&quot;#,##0\)">
                  <c:v>112.32873610246861</c:v>
                </c:pt>
                <c:pt idx="190" formatCode="&quot;$&quot;#,##0_);[Red]\(&quot;$&quot;#,##0\)">
                  <c:v>112.32873610246861</c:v>
                </c:pt>
                <c:pt idx="191" formatCode="&quot;$&quot;#,##0_);[Red]\(&quot;$&quot;#,##0\)">
                  <c:v>112.32873610246861</c:v>
                </c:pt>
                <c:pt idx="192" formatCode="&quot;$&quot;#,##0_);[Red]\(&quot;$&quot;#,##0\)">
                  <c:v>112.32873610246861</c:v>
                </c:pt>
                <c:pt idx="193" formatCode="&quot;$&quot;#,##0_);[Red]\(&quot;$&quot;#,##0\)">
                  <c:v>91.348736102468592</c:v>
                </c:pt>
                <c:pt idx="194" formatCode="&quot;$&quot;#,##0_);[Red]\(&quot;$&quot;#,##0\)">
                  <c:v>91.528736102468542</c:v>
                </c:pt>
                <c:pt idx="195" formatCode="&quot;$&quot;#,##0_);[Red]\(&quot;$&quot;#,##0\)">
                  <c:v>91.528736102468542</c:v>
                </c:pt>
                <c:pt idx="196" formatCode="&quot;$&quot;#,##0_);[Red]\(&quot;$&quot;#,##0\)">
                  <c:v>74.519133907681123</c:v>
                </c:pt>
                <c:pt idx="197" formatCode="&quot;$&quot;#,##0_);[Red]\(&quot;$&quot;#,##0\)">
                  <c:v>74.519133907681123</c:v>
                </c:pt>
                <c:pt idx="198" formatCode="&quot;$&quot;#,##0_);[Red]\(&quot;$&quot;#,##0\)">
                  <c:v>74.519133907681123</c:v>
                </c:pt>
                <c:pt idx="199" formatCode="&quot;$&quot;#,##0_);[Red]\(&quot;$&quot;#,##0\)">
                  <c:v>74.519133907681123</c:v>
                </c:pt>
                <c:pt idx="200" formatCode="&quot;$&quot;#,##0_);[Red]\(&quot;$&quot;#,##0\)">
                  <c:v>74.519133907681123</c:v>
                </c:pt>
                <c:pt idx="201" formatCode="&quot;$&quot;#,##0_);[Red]\(&quot;$&quot;#,##0\)">
                  <c:v>84.119133907681146</c:v>
                </c:pt>
                <c:pt idx="202" formatCode="&quot;$&quot;#,##0_);[Red]\(&quot;$&quot;#,##0\)">
                  <c:v>64.619133907681146</c:v>
                </c:pt>
                <c:pt idx="203" formatCode="&quot;$&quot;#,##0_);[Red]\(&quot;$&quot;#,##0\)">
                  <c:v>64.619133907681146</c:v>
                </c:pt>
                <c:pt idx="204" formatCode="&quot;$&quot;#,##0_);[Red]\(&quot;$&quot;#,##0\)">
                  <c:v>64.619133907681146</c:v>
                </c:pt>
                <c:pt idx="205" formatCode="&quot;$&quot;#,##0_);[Red]\(&quot;$&quot;#,##0\)">
                  <c:v>51.259133907681132</c:v>
                </c:pt>
                <c:pt idx="206" formatCode="&quot;$&quot;#,##0_);[Red]\(&quot;$&quot;#,##0\)">
                  <c:v>49.279133907681171</c:v>
                </c:pt>
                <c:pt idx="207" formatCode="&quot;$&quot;#,##0_);[Red]\(&quot;$&quot;#,##0\)">
                  <c:v>98.379133907681137</c:v>
                </c:pt>
                <c:pt idx="208" formatCode="&quot;$&quot;#,##0_);[Red]\(&quot;$&quot;#,##0\)">
                  <c:v>98.379133907681137</c:v>
                </c:pt>
                <c:pt idx="209" formatCode="&quot;$&quot;#,##0_);[Red]\(&quot;$&quot;#,##0\)">
                  <c:v>89.679133907681205</c:v>
                </c:pt>
                <c:pt idx="210" formatCode="&quot;$&quot;#,##0_);[Red]\(&quot;$&quot;#,##0\)">
                  <c:v>136.97521096196033</c:v>
                </c:pt>
                <c:pt idx="211" formatCode="&quot;$&quot;#,##0_);[Red]\(&quot;$&quot;#,##0\)">
                  <c:v>136.97521096196033</c:v>
                </c:pt>
                <c:pt idx="212" formatCode="&quot;$&quot;#,##0_);[Red]\(&quot;$&quot;#,##0\)">
                  <c:v>136.97521096196033</c:v>
                </c:pt>
                <c:pt idx="213" formatCode="&quot;$&quot;#,##0_);[Red]\(&quot;$&quot;#,##0\)">
                  <c:v>108.71521096196039</c:v>
                </c:pt>
                <c:pt idx="214" formatCode="&quot;$&quot;#,##0_);[Red]\(&quot;$&quot;#,##0\)">
                  <c:v>149.09521096196045</c:v>
                </c:pt>
                <c:pt idx="215" formatCode="&quot;$&quot;#,##0_);[Red]\(&quot;$&quot;#,##0\)">
                  <c:v>133.05521096196043</c:v>
                </c:pt>
                <c:pt idx="216" formatCode="&quot;$&quot;#,##0_);[Red]\(&quot;$&quot;#,##0\)">
                  <c:v>121.91663788567109</c:v>
                </c:pt>
                <c:pt idx="217" formatCode="&quot;$&quot;#,##0_);[Red]\(&quot;$&quot;#,##0\)">
                  <c:v>118.07663788567106</c:v>
                </c:pt>
                <c:pt idx="218" formatCode="&quot;$&quot;#,##0_);[Red]\(&quot;$&quot;#,##0\)">
                  <c:v>109.37663788567107</c:v>
                </c:pt>
                <c:pt idx="219" formatCode="&quot;$&quot;#,##0_);[Red]\(&quot;$&quot;#,##0\)">
                  <c:v>113.35663788567109</c:v>
                </c:pt>
                <c:pt idx="220" formatCode="&quot;$&quot;#,##0_);[Red]\(&quot;$&quot;#,##0\)">
                  <c:v>113.35663788567109</c:v>
                </c:pt>
                <c:pt idx="221" formatCode="&quot;$&quot;#,##0_);[Red]\(&quot;$&quot;#,##0\)">
                  <c:v>113.35663788567109</c:v>
                </c:pt>
                <c:pt idx="222" formatCode="&quot;$&quot;#,##0_);[Red]\(&quot;$&quot;#,##0\)">
                  <c:v>113.35663788567109</c:v>
                </c:pt>
                <c:pt idx="223" formatCode="&quot;$&quot;#,##0_);[Red]\(&quot;$&quot;#,##0\)">
                  <c:v>113.35663788567109</c:v>
                </c:pt>
                <c:pt idx="224" formatCode="&quot;$&quot;#,##0_);[Red]\(&quot;$&quot;#,##0\)">
                  <c:v>99.356637885671091</c:v>
                </c:pt>
                <c:pt idx="225" formatCode="&quot;$&quot;#,##0_);[Red]\(&quot;$&quot;#,##0\)">
                  <c:v>100.61663788567108</c:v>
                </c:pt>
                <c:pt idx="226" formatCode="&quot;$&quot;#,##0_);[Red]\(&quot;$&quot;#,##0\)">
                  <c:v>100.61663788567108</c:v>
                </c:pt>
                <c:pt idx="227" formatCode="&quot;$&quot;#,##0_);[Red]\(&quot;$&quot;#,##0\)">
                  <c:v>100.61663788567108</c:v>
                </c:pt>
                <c:pt idx="228" formatCode="&quot;$&quot;#,##0_);[Red]\(&quot;$&quot;#,##0\)">
                  <c:v>100.61663788567108</c:v>
                </c:pt>
                <c:pt idx="229" formatCode="&quot;$&quot;#,##0_);[Red]\(&quot;$&quot;#,##0\)">
                  <c:v>100.61663788567108</c:v>
                </c:pt>
                <c:pt idx="230" formatCode="&quot;$&quot;#,##0_);[Red]\(&quot;$&quot;#,##0\)">
                  <c:v>100.61663788567108</c:v>
                </c:pt>
                <c:pt idx="231" formatCode="&quot;$&quot;#,##0_);[Red]\(&quot;$&quot;#,##0\)">
                  <c:v>100.61663788567108</c:v>
                </c:pt>
                <c:pt idx="232" formatCode="&quot;$&quot;#,##0_);[Red]\(&quot;$&quot;#,##0\)">
                  <c:v>102.99264026167344</c:v>
                </c:pt>
                <c:pt idx="233" formatCode="&quot;$&quot;#,##0_);[Red]\(&quot;$&quot;#,##0\)">
                  <c:v>106.78805798905131</c:v>
                </c:pt>
                <c:pt idx="234" formatCode="&quot;$&quot;#,##0_);[Red]\(&quot;$&quot;#,##0\)">
                  <c:v>105.52467011472515</c:v>
                </c:pt>
                <c:pt idx="235" formatCode="&quot;$&quot;#,##0_);[Red]\(&quot;$&quot;#,##0\)">
                  <c:v>101.85467011472514</c:v>
                </c:pt>
                <c:pt idx="236" formatCode="&quot;$&quot;#,##0_);[Red]\(&quot;$&quot;#,##0\)">
                  <c:v>101.85467011472514</c:v>
                </c:pt>
                <c:pt idx="237" formatCode="&quot;$&quot;#,##0_);[Red]\(&quot;$&quot;#,##0\)">
                  <c:v>87.15467011472515</c:v>
                </c:pt>
                <c:pt idx="238" formatCode="&quot;$&quot;#,##0_);[Red]\(&quot;$&quot;#,##0\)">
                  <c:v>81.885734878720768</c:v>
                </c:pt>
                <c:pt idx="239" formatCode="&quot;$&quot;#,##0_);[Red]\(&quot;$&quot;#,##0\)">
                  <c:v>81.885734878720768</c:v>
                </c:pt>
                <c:pt idx="240" formatCode="&quot;$&quot;#,##0_);[Red]\(&quot;$&quot;#,##0\)">
                  <c:v>81.885734878720768</c:v>
                </c:pt>
                <c:pt idx="241" formatCode="&quot;$&quot;#,##0_);[Red]\(&quot;$&quot;#,##0\)">
                  <c:v>81.885734878720768</c:v>
                </c:pt>
                <c:pt idx="242" formatCode="&quot;$&quot;#,##0_);[Red]\(&quot;$&quot;#,##0\)">
                  <c:v>81.885734878720768</c:v>
                </c:pt>
                <c:pt idx="243" formatCode="&quot;$&quot;#,##0_);[Red]\(&quot;$&quot;#,##0\)">
                  <c:v>81.885734878720768</c:v>
                </c:pt>
                <c:pt idx="244" formatCode="&quot;$&quot;#,##0_);[Red]\(&quot;$&quot;#,##0\)">
                  <c:v>81.885734878720768</c:v>
                </c:pt>
                <c:pt idx="245" formatCode="&quot;$&quot;#,##0_);[Red]\(&quot;$&quot;#,##0\)">
                  <c:v>104.32573487872071</c:v>
                </c:pt>
                <c:pt idx="246" formatCode="&quot;$&quot;#,##0_);[Red]\(&quot;$&quot;#,##0\)">
                  <c:v>104.32573487872071</c:v>
                </c:pt>
                <c:pt idx="247" formatCode="&quot;$&quot;#,##0_);[Red]\(&quot;$&quot;#,##0\)">
                  <c:v>129.6457348787207</c:v>
                </c:pt>
                <c:pt idx="248" formatCode="&quot;$&quot;#,##0_);[Red]\(&quot;$&quot;#,##0\)">
                  <c:v>129.6457348787207</c:v>
                </c:pt>
                <c:pt idx="249" formatCode="&quot;$&quot;#,##0_);[Red]\(&quot;$&quot;#,##0\)">
                  <c:v>114.2457348787207</c:v>
                </c:pt>
                <c:pt idx="250" formatCode="&quot;$&quot;#,##0_);[Red]\(&quot;$&quot;#,##0\)">
                  <c:v>97.245734878720697</c:v>
                </c:pt>
                <c:pt idx="251" formatCode="&quot;$&quot;#,##0_);[Red]\(&quot;$&quot;#,##0\)">
                  <c:v>97.245734878720697</c:v>
                </c:pt>
                <c:pt idx="252" formatCode="&quot;$&quot;#,##0_);[Red]\(&quot;$&quot;#,##0\)">
                  <c:v>86.192659899782171</c:v>
                </c:pt>
                <c:pt idx="253" formatCode="&quot;$&quot;#,##0_);[Red]\(&quot;$&quot;#,##0\)">
                  <c:v>86.192659899782171</c:v>
                </c:pt>
                <c:pt idx="254" formatCode="&quot;$&quot;#,##0_);[Red]\(&quot;$&quot;#,##0\)">
                  <c:v>86.192659899782171</c:v>
                </c:pt>
                <c:pt idx="255" formatCode="&quot;$&quot;#,##0_);[Red]\(&quot;$&quot;#,##0\)">
                  <c:v>110.54389215047578</c:v>
                </c:pt>
                <c:pt idx="256" formatCode="&quot;$&quot;#,##0_);[Red]\(&quot;$&quot;#,##0\)">
                  <c:v>110.54389215047578</c:v>
                </c:pt>
                <c:pt idx="257" formatCode="&quot;$&quot;#,##0_);[Red]\(&quot;$&quot;#,##0\)">
                  <c:v>110.54389215047578</c:v>
                </c:pt>
                <c:pt idx="258" formatCode="&quot;$&quot;#,##0_);[Red]\(&quot;$&quot;#,##0\)">
                  <c:v>110.54389215047578</c:v>
                </c:pt>
                <c:pt idx="259" formatCode="&quot;$&quot;#,##0_);[Red]\(&quot;$&quot;#,##0\)">
                  <c:v>110.54389215047578</c:v>
                </c:pt>
                <c:pt idx="260" formatCode="&quot;$&quot;#,##0_);[Red]\(&quot;$&quot;#,##0\)">
                  <c:v>110.54389215047578</c:v>
                </c:pt>
                <c:pt idx="261" formatCode="&quot;$&quot;#,##0_);[Red]\(&quot;$&quot;#,##0\)">
                  <c:v>110.54389215047578</c:v>
                </c:pt>
                <c:pt idx="262" formatCode="&quot;$&quot;#,##0_);[Red]\(&quot;$&quot;#,##0\)">
                  <c:v>155.30389215047578</c:v>
                </c:pt>
                <c:pt idx="263" formatCode="&quot;$&quot;#,##0_);[Red]\(&quot;$&quot;#,##0\)">
                  <c:v>181.10389215047584</c:v>
                </c:pt>
                <c:pt idx="264" formatCode="&quot;$&quot;#,##0_);[Red]\(&quot;$&quot;#,##0\)">
                  <c:v>205.03445814372699</c:v>
                </c:pt>
                <c:pt idx="265" formatCode="&quot;$&quot;#,##0_);[Red]\(&quot;$&quot;#,##0\)">
                  <c:v>249.33445814372701</c:v>
                </c:pt>
                <c:pt idx="266" formatCode="&quot;$&quot;#,##0_);[Red]\(&quot;$&quot;#,##0\)">
                  <c:v>263.88445814372699</c:v>
                </c:pt>
                <c:pt idx="267" formatCode="&quot;$&quot;#,##0_);[Red]\(&quot;$&quot;#,##0\)">
                  <c:v>263.88445814372699</c:v>
                </c:pt>
                <c:pt idx="268" formatCode="&quot;$&quot;#,##0_);[Red]\(&quot;$&quot;#,##0\)">
                  <c:v>263.88445814372699</c:v>
                </c:pt>
                <c:pt idx="269" formatCode="&quot;$&quot;#,##0_);[Red]\(&quot;$&quot;#,##0\)">
                  <c:v>263.88445814372699</c:v>
                </c:pt>
                <c:pt idx="270" formatCode="&quot;$&quot;#,##0_);[Red]\(&quot;$&quot;#,##0\)">
                  <c:v>303.7344581437269</c:v>
                </c:pt>
                <c:pt idx="271" formatCode="&quot;$&quot;#,##0_);[Red]\(&quot;$&quot;#,##0\)">
                  <c:v>303.7344581437269</c:v>
                </c:pt>
                <c:pt idx="272" formatCode="&quot;$&quot;#,##0_);[Red]\(&quot;$&quot;#,##0\)">
                  <c:v>303.7344581437269</c:v>
                </c:pt>
                <c:pt idx="273" formatCode="&quot;$&quot;#,##0_);[Red]\(&quot;$&quot;#,##0\)">
                  <c:v>281.33445814372703</c:v>
                </c:pt>
                <c:pt idx="274" formatCode="&quot;$&quot;#,##0_);[Red]\(&quot;$&quot;#,##0\)">
                  <c:v>281.33445814372703</c:v>
                </c:pt>
                <c:pt idx="275" formatCode="&quot;$&quot;#,##0_);[Red]\(&quot;$&quot;#,##0\)">
                  <c:v>281.33445814372703</c:v>
                </c:pt>
                <c:pt idx="276" formatCode="&quot;$&quot;#,##0_);[Red]\(&quot;$&quot;#,##0\)">
                  <c:v>349.18445814372717</c:v>
                </c:pt>
                <c:pt idx="277" formatCode="&quot;$&quot;#,##0_);[Red]\(&quot;$&quot;#,##0\)">
                  <c:v>423.28445814372731</c:v>
                </c:pt>
                <c:pt idx="278" formatCode="&quot;$&quot;#,##0_);[Red]\(&quot;$&quot;#,##0\)">
                  <c:v>423.28445814372731</c:v>
                </c:pt>
                <c:pt idx="279" formatCode="&quot;$&quot;#,##0_);[Red]\(&quot;$&quot;#,##0\)">
                  <c:v>552.58445814372749</c:v>
                </c:pt>
                <c:pt idx="280" formatCode="&quot;$&quot;#,##0_);[Red]\(&quot;$&quot;#,##0\)">
                  <c:v>552.58445814372749</c:v>
                </c:pt>
                <c:pt idx="281" formatCode="&quot;$&quot;#,##0_);[Red]\(&quot;$&quot;#,##0\)">
                  <c:v>360.70445814372761</c:v>
                </c:pt>
                <c:pt idx="282" formatCode="&quot;$&quot;#,##0_);[Red]\(&quot;$&quot;#,##0\)">
                  <c:v>360.70445814372761</c:v>
                </c:pt>
                <c:pt idx="283" formatCode="&quot;$&quot;#,##0_);[Red]\(&quot;$&quot;#,##0\)">
                  <c:v>360.70445814372761</c:v>
                </c:pt>
                <c:pt idx="284" formatCode="&quot;$&quot;#,##0_);[Red]\(&quot;$&quot;#,##0\)">
                  <c:v>360.70445814372761</c:v>
                </c:pt>
                <c:pt idx="285" formatCode="&quot;$&quot;#,##0_);[Red]\(&quot;$&quot;#,##0\)">
                  <c:v>369.44445814372784</c:v>
                </c:pt>
                <c:pt idx="286" formatCode="&quot;$&quot;#,##0_);[Red]\(&quot;$&quot;#,##0\)">
                  <c:v>369.44445814372784</c:v>
                </c:pt>
                <c:pt idx="287" formatCode="&quot;$&quot;#,##0_);[Red]\(&quot;$&quot;#,##0\)">
                  <c:v>355.64445814372766</c:v>
                </c:pt>
                <c:pt idx="288" formatCode="&quot;$&quot;#,##0_);[Red]\(&quot;$&quot;#,##0\)">
                  <c:v>420.53445814372776</c:v>
                </c:pt>
                <c:pt idx="289" formatCode="&quot;$&quot;#,##0_);[Red]\(&quot;$&quot;#,##0\)">
                  <c:v>407.93445814372762</c:v>
                </c:pt>
                <c:pt idx="290" formatCode="&quot;$&quot;#,##0_);[Red]\(&quot;$&quot;#,##0\)">
                  <c:v>550.03445814372753</c:v>
                </c:pt>
                <c:pt idx="291" formatCode="&quot;$&quot;#,##0_);[Red]\(&quot;$&quot;#,##0\)">
                  <c:v>550.03445814372753</c:v>
                </c:pt>
                <c:pt idx="292" formatCode="&quot;$&quot;#,##0_);[Red]\(&quot;$&quot;#,##0\)">
                  <c:v>550.03445814372753</c:v>
                </c:pt>
                <c:pt idx="293" formatCode="&quot;$&quot;#,##0_);[Red]\(&quot;$&quot;#,##0\)">
                  <c:v>701.50445814372756</c:v>
                </c:pt>
                <c:pt idx="294" formatCode="&quot;$&quot;#,##0_);[Red]\(&quot;$&quot;#,##0\)">
                  <c:v>701.50445814372756</c:v>
                </c:pt>
                <c:pt idx="295" formatCode="&quot;$&quot;#,##0_);[Red]\(&quot;$&quot;#,##0\)">
                  <c:v>701.50445814372756</c:v>
                </c:pt>
                <c:pt idx="296" formatCode="&quot;$&quot;#,##0_);[Red]\(&quot;$&quot;#,##0\)">
                  <c:v>618.79445814372752</c:v>
                </c:pt>
                <c:pt idx="297" formatCode="&quot;$&quot;#,##0_);[Red]\(&quot;$&quot;#,##0\)">
                  <c:v>618.79445814372752</c:v>
                </c:pt>
                <c:pt idx="298" formatCode="&quot;$&quot;#,##0_);[Red]\(&quot;$&quot;#,##0\)">
                  <c:v>543.75445814372756</c:v>
                </c:pt>
                <c:pt idx="299" formatCode="&quot;$&quot;#,##0_);[Red]\(&quot;$&quot;#,##0\)">
                  <c:v>543.75445814372756</c:v>
                </c:pt>
                <c:pt idx="300" formatCode="&quot;$&quot;#,##0_);[Red]\(&quot;$&quot;#,##0\)">
                  <c:v>543.75445814372756</c:v>
                </c:pt>
                <c:pt idx="301" formatCode="&quot;$&quot;#,##0_);[Red]\(&quot;$&quot;#,##0\)">
                  <c:v>543.75445814372756</c:v>
                </c:pt>
                <c:pt idx="302" formatCode="&quot;$&quot;#,##0_);[Red]\(&quot;$&quot;#,##0\)">
                  <c:v>543.75445814372756</c:v>
                </c:pt>
                <c:pt idx="303" formatCode="&quot;$&quot;#,##0_);[Red]\(&quot;$&quot;#,##0\)">
                  <c:v>494.25445814372779</c:v>
                </c:pt>
                <c:pt idx="304" formatCode="&quot;$&quot;#,##0_);[Red]\(&quot;$&quot;#,##0\)">
                  <c:v>509.76445814372778</c:v>
                </c:pt>
                <c:pt idx="305" formatCode="&quot;$&quot;#,##0_);[Red]\(&quot;$&quot;#,##0\)">
                  <c:v>509.76445814372778</c:v>
                </c:pt>
                <c:pt idx="306" formatCode="&quot;$&quot;#,##0_);[Red]\(&quot;$&quot;#,##0\)">
                  <c:v>579.68445814372762</c:v>
                </c:pt>
                <c:pt idx="307" formatCode="&quot;$&quot;#,##0_);[Red]\(&quot;$&quot;#,##0\)">
                  <c:v>579.68445814372762</c:v>
                </c:pt>
                <c:pt idx="308" formatCode="&quot;$&quot;#,##0_);[Red]\(&quot;$&quot;#,##0\)">
                  <c:v>579.68445814372762</c:v>
                </c:pt>
                <c:pt idx="309" formatCode="&quot;$&quot;#,##0_);[Red]\(&quot;$&quot;#,##0\)">
                  <c:v>579.68445814372762</c:v>
                </c:pt>
                <c:pt idx="310" formatCode="&quot;$&quot;#,##0_);[Red]\(&quot;$&quot;#,##0\)">
                  <c:v>579.68445814372762</c:v>
                </c:pt>
                <c:pt idx="311" formatCode="&quot;$&quot;#,##0_);[Red]\(&quot;$&quot;#,##0\)">
                  <c:v>460.78445814372776</c:v>
                </c:pt>
                <c:pt idx="312" formatCode="&quot;$&quot;#,##0_);[Red]\(&quot;$&quot;#,##0\)">
                  <c:v>460.78445814372776</c:v>
                </c:pt>
                <c:pt idx="313" formatCode="&quot;$&quot;#,##0_);[Red]\(&quot;$&quot;#,##0\)">
                  <c:v>538.68445814372762</c:v>
                </c:pt>
                <c:pt idx="314" formatCode="&quot;$&quot;#,##0_);[Red]\(&quot;$&quot;#,##0\)">
                  <c:v>534.20445814372761</c:v>
                </c:pt>
                <c:pt idx="315" formatCode="&quot;$&quot;#,##0_);[Red]\(&quot;$&quot;#,##0\)">
                  <c:v>132.60957170957113</c:v>
                </c:pt>
                <c:pt idx="316" formatCode="&quot;$&quot;#,##0_);[Red]\(&quot;$&quot;#,##0\)">
                  <c:v>15.409571709571082</c:v>
                </c:pt>
                <c:pt idx="317" formatCode="&quot;$&quot;#,##0_);[Red]\(&quot;$&quot;#,##0\)">
                  <c:v>15.409571709571082</c:v>
                </c:pt>
                <c:pt idx="318" formatCode="&quot;$&quot;#,##0_);[Red]\(&quot;$&quot;#,##0\)">
                  <c:v>-111.53042829042874</c:v>
                </c:pt>
                <c:pt idx="319" formatCode="&quot;$&quot;#,##0_);[Red]\(&quot;$&quot;#,##0\)">
                  <c:v>-91.530428290428745</c:v>
                </c:pt>
                <c:pt idx="320" formatCode="&quot;$&quot;#,##0_);[Red]\(&quot;$&quot;#,##0\)">
                  <c:v>114.20957170957126</c:v>
                </c:pt>
                <c:pt idx="321" formatCode="&quot;$&quot;#,##0_);[Red]\(&quot;$&quot;#,##0\)">
                  <c:v>29.339571709571146</c:v>
                </c:pt>
                <c:pt idx="322" formatCode="&quot;$&quot;#,##0_);[Red]\(&quot;$&quot;#,##0\)">
                  <c:v>29.339571709571146</c:v>
                </c:pt>
                <c:pt idx="323" formatCode="&quot;$&quot;#,##0_);[Red]\(&quot;$&quot;#,##0\)">
                  <c:v>29.339571709571146</c:v>
                </c:pt>
                <c:pt idx="324" formatCode="&quot;$&quot;#,##0_);[Red]\(&quot;$&quot;#,##0\)">
                  <c:v>67.405929183706121</c:v>
                </c:pt>
                <c:pt idx="325" formatCode="&quot;$&quot;#,##0_);[Red]\(&quot;$&quot;#,##0\)">
                  <c:v>67.405929183706121</c:v>
                </c:pt>
                <c:pt idx="326" formatCode="&quot;$&quot;#,##0_);[Red]\(&quot;$&quot;#,##0\)">
                  <c:v>67.405929183706121</c:v>
                </c:pt>
                <c:pt idx="327" formatCode="&quot;$&quot;#,##0_);[Red]\(&quot;$&quot;#,##0\)">
                  <c:v>67.405929183706121</c:v>
                </c:pt>
                <c:pt idx="328" formatCode="&quot;$&quot;#,##0_);[Red]\(&quot;$&quot;#,##0\)">
                  <c:v>-21.514070816293952</c:v>
                </c:pt>
                <c:pt idx="329" formatCode="&quot;$&quot;#,##0_);[Red]\(&quot;$&quot;#,##0\)">
                  <c:v>109.38592918370614</c:v>
                </c:pt>
                <c:pt idx="330" formatCode="&quot;$&quot;#,##0_);[Red]\(&quot;$&quot;#,##0\)">
                  <c:v>109.38592918370614</c:v>
                </c:pt>
                <c:pt idx="331" formatCode="&quot;$&quot;#,##0_);[Red]\(&quot;$&quot;#,##0\)">
                  <c:v>102.62592918370615</c:v>
                </c:pt>
                <c:pt idx="332" formatCode="&quot;$&quot;#,##0_);[Red]\(&quot;$&quot;#,##0\)">
                  <c:v>102.62592918370615</c:v>
                </c:pt>
                <c:pt idx="333" formatCode="&quot;$&quot;#,##0_);[Red]\(&quot;$&quot;#,##0\)">
                  <c:v>160.76592918370625</c:v>
                </c:pt>
                <c:pt idx="334" formatCode="&quot;$&quot;#,##0_);[Red]\(&quot;$&quot;#,##0\)">
                  <c:v>160.76592918370625</c:v>
                </c:pt>
                <c:pt idx="335" formatCode="&quot;$&quot;#,##0_);[Red]\(&quot;$&quot;#,##0\)">
                  <c:v>128.91592918370657</c:v>
                </c:pt>
                <c:pt idx="336" formatCode="&quot;$&quot;#,##0_);[Red]\(&quot;$&quot;#,##0\)">
                  <c:v>30.515929183706476</c:v>
                </c:pt>
                <c:pt idx="337" formatCode="&quot;$&quot;#,##0_);[Red]\(&quot;$&quot;#,##0\)">
                  <c:v>-60.744070816293288</c:v>
                </c:pt>
                <c:pt idx="338" formatCode="&quot;$&quot;#,##0_);[Red]\(&quot;$&quot;#,##0\)">
                  <c:v>-60.744070816293288</c:v>
                </c:pt>
                <c:pt idx="339" formatCode="&quot;$&quot;#,##0_);[Red]\(&quot;$&quot;#,##0\)">
                  <c:v>-60.744070816293288</c:v>
                </c:pt>
                <c:pt idx="340" formatCode="&quot;$&quot;#,##0_);[Red]\(&quot;$&quot;#,##0\)">
                  <c:v>-60.744070816293288</c:v>
                </c:pt>
                <c:pt idx="341" formatCode="&quot;$&quot;#,##0_);[Red]\(&quot;$&quot;#,##0\)">
                  <c:v>-60.744070816293288</c:v>
                </c:pt>
                <c:pt idx="342" formatCode="&quot;$&quot;#,##0_);[Red]\(&quot;$&quot;#,##0\)">
                  <c:v>-42.804070816293233</c:v>
                </c:pt>
                <c:pt idx="343" formatCode="&quot;$&quot;#,##0_);[Red]\(&quot;$&quot;#,##0\)">
                  <c:v>35.595929183706858</c:v>
                </c:pt>
                <c:pt idx="344" formatCode="&quot;$&quot;#,##0_);[Red]\(&quot;$&quot;#,##0\)">
                  <c:v>221.35592918370685</c:v>
                </c:pt>
                <c:pt idx="345" formatCode="&quot;$&quot;#,##0_);[Red]\(&quot;$&quot;#,##0\)">
                  <c:v>201.66854104386675</c:v>
                </c:pt>
                <c:pt idx="346" formatCode="&quot;$&quot;#,##0_);[Red]\(&quot;$&quot;#,##0\)">
                  <c:v>201.66854104386675</c:v>
                </c:pt>
                <c:pt idx="347" formatCode="&quot;$&quot;#,##0_);[Red]\(&quot;$&quot;#,##0\)">
                  <c:v>490.19854104386673</c:v>
                </c:pt>
                <c:pt idx="348" formatCode="&quot;$&quot;#,##0_);[Red]\(&quot;$&quot;#,##0\)">
                  <c:v>490.19854104386673</c:v>
                </c:pt>
                <c:pt idx="349" formatCode="&quot;$&quot;#,##0_);[Red]\(&quot;$&quot;#,##0\)">
                  <c:v>490.19854104386673</c:v>
                </c:pt>
                <c:pt idx="350" formatCode="&quot;$&quot;#,##0_);[Red]\(&quot;$&quot;#,##0\)">
                  <c:v>490.19854104386673</c:v>
                </c:pt>
                <c:pt idx="351" formatCode="&quot;$&quot;#,##0_);[Red]\(&quot;$&quot;#,##0\)">
                  <c:v>583.25854104386667</c:v>
                </c:pt>
                <c:pt idx="352" formatCode="&quot;$&quot;#,##0_);[Red]\(&quot;$&quot;#,##0\)">
                  <c:v>515.09854104386682</c:v>
                </c:pt>
                <c:pt idx="353" formatCode="&quot;$&quot;#,##0_);[Red]\(&quot;$&quot;#,##0\)">
                  <c:v>515.09854104386682</c:v>
                </c:pt>
                <c:pt idx="354" formatCode="&quot;$&quot;#,##0_);[Red]\(&quot;$&quot;#,##0\)">
                  <c:v>600.19854104386673</c:v>
                </c:pt>
                <c:pt idx="355" formatCode="&quot;$&quot;#,##0_);[Red]\(&quot;$&quot;#,##0\)">
                  <c:v>600.19854104386673</c:v>
                </c:pt>
                <c:pt idx="356" formatCode="&quot;$&quot;#,##0_);[Red]\(&quot;$&quot;#,##0\)">
                  <c:v>651.43854104386673</c:v>
                </c:pt>
                <c:pt idx="357" formatCode="&quot;$&quot;#,##0_);[Red]\(&quot;$&quot;#,##0\)">
                  <c:v>651.43854104386673</c:v>
                </c:pt>
                <c:pt idx="358" formatCode="&quot;$&quot;#,##0_);[Red]\(&quot;$&quot;#,##0\)">
                  <c:v>901.81854104386684</c:v>
                </c:pt>
                <c:pt idx="359" formatCode="&quot;$&quot;#,##0_);[Red]\(&quot;$&quot;#,##0\)">
                  <c:v>901.81854104386684</c:v>
                </c:pt>
                <c:pt idx="360" formatCode="&quot;$&quot;#,##0_);[Red]\(&quot;$&quot;#,##0\)">
                  <c:v>901.81854104386684</c:v>
                </c:pt>
                <c:pt idx="361" formatCode="&quot;$&quot;#,##0_);[Red]\(&quot;$&quot;#,##0\)">
                  <c:v>748.30854104386685</c:v>
                </c:pt>
                <c:pt idx="362" formatCode="&quot;$&quot;#,##0_);[Red]\(&quot;$&quot;#,##0\)">
                  <c:v>748.30854104386685</c:v>
                </c:pt>
                <c:pt idx="363" formatCode="&quot;$&quot;#,##0_);[Red]\(&quot;$&quot;#,##0\)">
                  <c:v>762.76233699027694</c:v>
                </c:pt>
                <c:pt idx="364" formatCode="&quot;$&quot;#,##0_);[Red]\(&quot;$&quot;#,##0\)">
                  <c:v>773.08233699027687</c:v>
                </c:pt>
                <c:pt idx="365" formatCode="&quot;$&quot;#,##0_);[Red]\(&quot;$&quot;#,##0\)">
                  <c:v>811.48233699027719</c:v>
                </c:pt>
                <c:pt idx="366" formatCode="&quot;$&quot;#,##0_);[Red]\(&quot;$&quot;#,##0\)">
                  <c:v>823.8323369902771</c:v>
                </c:pt>
                <c:pt idx="367" formatCode="&quot;$&quot;#,##0_);[Red]\(&quot;$&quot;#,##0\)">
                  <c:v>885.15233699027704</c:v>
                </c:pt>
                <c:pt idx="368" formatCode="&quot;$&quot;#,##0_);[Red]\(&quot;$&quot;#,##0\)">
                  <c:v>885.15233699027704</c:v>
                </c:pt>
                <c:pt idx="369" formatCode="&quot;$&quot;#,##0_);[Red]\(&quot;$&quot;#,##0\)">
                  <c:v>1150.0523369902774</c:v>
                </c:pt>
                <c:pt idx="370" formatCode="&quot;$&quot;#,##0_);[Red]\(&quot;$&quot;#,##0\)">
                  <c:v>1150.0523369902774</c:v>
                </c:pt>
                <c:pt idx="371" formatCode="&quot;$&quot;#,##0_);[Red]\(&quot;$&quot;#,##0\)">
                  <c:v>1194.2123369902777</c:v>
                </c:pt>
                <c:pt idx="372" formatCode="&quot;$&quot;#,##0_);[Red]\(&quot;$&quot;#,##0\)">
                  <c:v>1184.6123369902778</c:v>
                </c:pt>
                <c:pt idx="373" formatCode="&quot;$&quot;#,##0_);[Red]\(&quot;$&quot;#,##0\)">
                  <c:v>1184.6123369902778</c:v>
                </c:pt>
                <c:pt idx="374" formatCode="&quot;$&quot;#,##0_);[Red]\(&quot;$&quot;#,##0\)">
                  <c:v>1251.3923369902777</c:v>
                </c:pt>
                <c:pt idx="375" formatCode="&quot;$&quot;#,##0_);[Red]\(&quot;$&quot;#,##0\)">
                  <c:v>1292.7323369902776</c:v>
                </c:pt>
                <c:pt idx="376" formatCode="&quot;$&quot;#,##0_);[Red]\(&quot;$&quot;#,##0\)">
                  <c:v>1545.9323369902779</c:v>
                </c:pt>
                <c:pt idx="377" formatCode="&quot;$&quot;#,##0_);[Red]\(&quot;$&quot;#,##0\)">
                  <c:v>1508.1323369902777</c:v>
                </c:pt>
                <c:pt idx="378" formatCode="&quot;$&quot;#,##0_);[Red]\(&quot;$&quot;#,##0\)">
                  <c:v>1541.2523369902779</c:v>
                </c:pt>
                <c:pt idx="379" formatCode="&quot;$&quot;#,##0_);[Red]\(&quot;$&quot;#,##0\)">
                  <c:v>1585.8923369902777</c:v>
                </c:pt>
                <c:pt idx="380" formatCode="&quot;$&quot;#,##0_);[Red]\(&quot;$&quot;#,##0\)">
                  <c:v>1530.9423369902777</c:v>
                </c:pt>
                <c:pt idx="381" formatCode="&quot;$&quot;#,##0_);[Red]\(&quot;$&quot;#,##0\)">
                  <c:v>1462.6623369902779</c:v>
                </c:pt>
                <c:pt idx="382" formatCode="&quot;$&quot;#,##0_);[Red]\(&quot;$&quot;#,##0\)">
                  <c:v>1462.6623369902779</c:v>
                </c:pt>
                <c:pt idx="383" formatCode="&quot;$&quot;#,##0_);[Red]\(&quot;$&quot;#,##0\)">
                  <c:v>1462.6623369902779</c:v>
                </c:pt>
                <c:pt idx="384" formatCode="&quot;$&quot;#,##0_);[Red]\(&quot;$&quot;#,##0\)">
                  <c:v>1373.2623369902778</c:v>
                </c:pt>
                <c:pt idx="385" formatCode="&quot;$&quot;#,##0_);[Red]\(&quot;$&quot;#,##0\)">
                  <c:v>1373.2623369902778</c:v>
                </c:pt>
                <c:pt idx="386" formatCode="&quot;$&quot;#,##0_);[Red]\(&quot;$&quot;#,##0\)">
                  <c:v>1086.1623369902779</c:v>
                </c:pt>
                <c:pt idx="387" formatCode="&quot;$&quot;#,##0_);[Red]\(&quot;$&quot;#,##0\)">
                  <c:v>1203.1623369902779</c:v>
                </c:pt>
                <c:pt idx="388" formatCode="&quot;$&quot;#,##0_);[Red]\(&quot;$&quot;#,##0\)">
                  <c:v>1203.1623369902779</c:v>
                </c:pt>
                <c:pt idx="389" formatCode="&quot;$&quot;#,##0_);[Red]\(&quot;$&quot;#,##0\)">
                  <c:v>1203.1623369902779</c:v>
                </c:pt>
                <c:pt idx="390" formatCode="&quot;$&quot;#,##0_);[Red]\(&quot;$&quot;#,##0\)">
                  <c:v>1100.1123369902778</c:v>
                </c:pt>
                <c:pt idx="391" formatCode="&quot;$&quot;#,##0_);[Red]\(&quot;$&quot;#,##0\)">
                  <c:v>1082.5323369902776</c:v>
                </c:pt>
                <c:pt idx="392" formatCode="&quot;$&quot;#,##0_);[Red]\(&quot;$&quot;#,##0\)">
                  <c:v>997.53233699027737</c:v>
                </c:pt>
                <c:pt idx="393" formatCode="&quot;$&quot;#,##0_);[Red]\(&quot;$&quot;#,##0\)">
                  <c:v>733.0023369902774</c:v>
                </c:pt>
                <c:pt idx="394" formatCode="&quot;$&quot;#,##0_);[Red]\(&quot;$&quot;#,##0\)">
                  <c:v>733.0023369902774</c:v>
                </c:pt>
                <c:pt idx="395" formatCode="&quot;$&quot;#,##0_);[Red]\(&quot;$&quot;#,##0\)">
                  <c:v>733.0023369902774</c:v>
                </c:pt>
                <c:pt idx="396" formatCode="&quot;$&quot;#,##0_);[Red]\(&quot;$&quot;#,##0\)">
                  <c:v>920.52233699027738</c:v>
                </c:pt>
                <c:pt idx="397" formatCode="&quot;$&quot;#,##0_);[Red]\(&quot;$&quot;#,##0\)">
                  <c:v>1019.0823369902773</c:v>
                </c:pt>
                <c:pt idx="398" formatCode="&quot;$&quot;#,##0_);[Red]\(&quot;$&quot;#,##0\)">
                  <c:v>964.81567032361045</c:v>
                </c:pt>
                <c:pt idx="399" formatCode="&quot;$&quot;#,##0_);[Red]\(&quot;$&quot;#,##0\)">
                  <c:v>964.81567032361045</c:v>
                </c:pt>
                <c:pt idx="400" formatCode="&quot;$&quot;#,##0_);[Red]\(&quot;$&quot;#,##0\)">
                  <c:v>893.97257898871567</c:v>
                </c:pt>
                <c:pt idx="401" formatCode="&quot;$&quot;#,##0_);[Red]\(&quot;$&quot;#,##0\)">
                  <c:v>893.97257898871567</c:v>
                </c:pt>
                <c:pt idx="402" formatCode="&quot;$&quot;#,##0_);[Red]\(&quot;$&quot;#,##0\)">
                  <c:v>893.97257898871567</c:v>
                </c:pt>
                <c:pt idx="403" formatCode="&quot;$&quot;#,##0_);[Red]\(&quot;$&quot;#,##0\)">
                  <c:v>770.47257898871567</c:v>
                </c:pt>
                <c:pt idx="404" formatCode="&quot;$&quot;#,##0_);[Red]\(&quot;$&quot;#,##0\)">
                  <c:v>656.5525789887156</c:v>
                </c:pt>
                <c:pt idx="405" formatCode="&quot;$&quot;#,##0_);[Red]\(&quot;$&quot;#,##0\)">
                  <c:v>656.5525789887156</c:v>
                </c:pt>
                <c:pt idx="406" formatCode="&quot;$&quot;#,##0_);[Red]\(&quot;$&quot;#,##0\)">
                  <c:v>656.5525789887156</c:v>
                </c:pt>
                <c:pt idx="407" formatCode="&quot;$&quot;#,##0_);[Red]\(&quot;$&quot;#,##0\)">
                  <c:v>656.5525789887156</c:v>
                </c:pt>
                <c:pt idx="408" formatCode="&quot;$&quot;#,##0_);[Red]\(&quot;$&quot;#,##0\)">
                  <c:v>794.959172395309</c:v>
                </c:pt>
                <c:pt idx="409" formatCode="&quot;$&quot;#,##0_);[Red]\(&quot;$&quot;#,##0\)">
                  <c:v>794.959172395309</c:v>
                </c:pt>
                <c:pt idx="410" formatCode="&quot;$&quot;#,##0_);[Red]\(&quot;$&quot;#,##0\)">
                  <c:v>794.959172395309</c:v>
                </c:pt>
                <c:pt idx="411" formatCode="&quot;$&quot;#,##0_);[Red]\(&quot;$&quot;#,##0\)">
                  <c:v>794.959172395309</c:v>
                </c:pt>
                <c:pt idx="412" formatCode="&quot;$&quot;#,##0_);[Red]\(&quot;$&quot;#,##0\)">
                  <c:v>833.29917239530914</c:v>
                </c:pt>
                <c:pt idx="413" formatCode="&quot;$&quot;#,##0_);[Red]\(&quot;$&quot;#,##0\)">
                  <c:v>833.29917239530914</c:v>
                </c:pt>
                <c:pt idx="414" formatCode="&quot;$&quot;#,##0_);[Red]\(&quot;$&quot;#,##0\)">
                  <c:v>1054.8491723953096</c:v>
                </c:pt>
                <c:pt idx="415" formatCode="&quot;$&quot;#,##0_);[Red]\(&quot;$&quot;#,##0\)">
                  <c:v>1054.8491723953096</c:v>
                </c:pt>
                <c:pt idx="416" formatCode="&quot;$&quot;#,##0_);[Red]\(&quot;$&quot;#,##0\)">
                  <c:v>1054.8491723953096</c:v>
                </c:pt>
                <c:pt idx="417" formatCode="&quot;$&quot;#,##0_);[Red]\(&quot;$&quot;#,##0\)">
                  <c:v>1054.8491723953096</c:v>
                </c:pt>
                <c:pt idx="418" formatCode="&quot;$&quot;#,##0_);[Red]\(&quot;$&quot;#,##0\)">
                  <c:v>1129.3691723953095</c:v>
                </c:pt>
                <c:pt idx="419" formatCode="&quot;$&quot;#,##0_);[Red]\(&quot;$&quot;#,##0\)">
                  <c:v>1129.3691723953095</c:v>
                </c:pt>
                <c:pt idx="420" formatCode="&quot;$&quot;#,##0_);[Red]\(&quot;$&quot;#,##0\)">
                  <c:v>1129.3691723953095</c:v>
                </c:pt>
                <c:pt idx="421" formatCode="&quot;$&quot;#,##0_);[Red]\(&quot;$&quot;#,##0\)">
                  <c:v>1129.3691723953095</c:v>
                </c:pt>
                <c:pt idx="422" formatCode="&quot;$&quot;#,##0_);[Red]\(&quot;$&quot;#,##0\)">
                  <c:v>1129.3691723953095</c:v>
                </c:pt>
                <c:pt idx="423" formatCode="&quot;$&quot;#,##0_);[Red]\(&quot;$&quot;#,##0\)">
                  <c:v>1129.3691723953095</c:v>
                </c:pt>
                <c:pt idx="424" formatCode="&quot;$&quot;#,##0_);[Red]\(&quot;$&quot;#,##0\)">
                  <c:v>1109.4491723953095</c:v>
                </c:pt>
                <c:pt idx="425" formatCode="&quot;$&quot;#,##0_);[Red]\(&quot;$&quot;#,##0\)">
                  <c:v>1109.4491723953095</c:v>
                </c:pt>
                <c:pt idx="426" formatCode="&quot;$&quot;#,##0_);[Red]\(&quot;$&quot;#,##0\)">
                  <c:v>1109.4491723953095</c:v>
                </c:pt>
                <c:pt idx="427" formatCode="&quot;$&quot;#,##0_);[Red]\(&quot;$&quot;#,##0\)">
                  <c:v>1109.4491723953095</c:v>
                </c:pt>
                <c:pt idx="428" formatCode="&quot;$&quot;#,##0_);[Red]\(&quot;$&quot;#,##0\)">
                  <c:v>1109.4491723953095</c:v>
                </c:pt>
                <c:pt idx="429" formatCode="&quot;$&quot;#,##0_);[Red]\(&quot;$&quot;#,##0\)">
                  <c:v>1109.4491723953095</c:v>
                </c:pt>
                <c:pt idx="430" formatCode="&quot;$&quot;#,##0_);[Red]\(&quot;$&quot;#,##0\)">
                  <c:v>1109.4491723953095</c:v>
                </c:pt>
                <c:pt idx="431" formatCode="&quot;$&quot;#,##0_);[Red]\(&quot;$&quot;#,##0\)">
                  <c:v>1109.4491723953095</c:v>
                </c:pt>
                <c:pt idx="432" formatCode="&quot;$&quot;#,##0_);[Red]\(&quot;$&quot;#,##0\)">
                  <c:v>1109.4491723953095</c:v>
                </c:pt>
                <c:pt idx="433" formatCode="&quot;$&quot;#,##0_);[Red]\(&quot;$&quot;#,##0\)">
                  <c:v>1109.4491723953095</c:v>
                </c:pt>
                <c:pt idx="434" formatCode="&quot;$&quot;#,##0_);[Red]\(&quot;$&quot;#,##0\)">
                  <c:v>1115.4491723953095</c:v>
                </c:pt>
                <c:pt idx="435" formatCode="&quot;$&quot;#,##0_);[Red]\(&quot;$&quot;#,##0\)">
                  <c:v>948.74917239530942</c:v>
                </c:pt>
                <c:pt idx="436" formatCode="&quot;$&quot;#,##0_);[Red]\(&quot;$&quot;#,##0\)">
                  <c:v>861.86917239530942</c:v>
                </c:pt>
                <c:pt idx="437" formatCode="&quot;$&quot;#,##0_);[Red]\(&quot;$&quot;#,##0\)">
                  <c:v>935.81917239530935</c:v>
                </c:pt>
                <c:pt idx="438" formatCode="&quot;$&quot;#,##0_);[Red]\(&quot;$&quot;#,##0\)">
                  <c:v>935.81917239530935</c:v>
                </c:pt>
                <c:pt idx="439" formatCode="&quot;$&quot;#,##0_);[Red]\(&quot;$&quot;#,##0\)">
                  <c:v>892.61917239530942</c:v>
                </c:pt>
                <c:pt idx="440" formatCode="&quot;$&quot;#,##0_);[Red]\(&quot;$&quot;#,##0\)">
                  <c:v>892.61917239530942</c:v>
                </c:pt>
                <c:pt idx="441" formatCode="&quot;$&quot;#,##0_);[Red]\(&quot;$&quot;#,##0\)">
                  <c:v>892.61917239530942</c:v>
                </c:pt>
                <c:pt idx="442" formatCode="&quot;$&quot;#,##0_);[Red]\(&quot;$&quot;#,##0\)">
                  <c:v>856.16917239530949</c:v>
                </c:pt>
                <c:pt idx="443" formatCode="&quot;$&quot;#,##0_);[Red]\(&quot;$&quot;#,##0\)">
                  <c:v>897.40689926231357</c:v>
                </c:pt>
                <c:pt idx="444" formatCode="&quot;$&quot;#,##0_);[Red]\(&quot;$&quot;#,##0\)">
                  <c:v>897.40689926231357</c:v>
                </c:pt>
              </c:numCache>
            </c:numRef>
          </c:val>
          <c:smooth val="1"/>
          <c:extLst>
            <c:ext xmlns:c16="http://schemas.microsoft.com/office/drawing/2014/chart" uri="{C3380CC4-5D6E-409C-BE32-E72D297353CC}">
              <c16:uniqueId val="{00000002-1693-4AB0-BA75-620A9224444E}"/>
            </c:ext>
          </c:extLst>
        </c:ser>
        <c:ser>
          <c:idx val="4"/>
          <c:order val="7"/>
          <c:tx>
            <c:v>SW (MOC)</c:v>
          </c:tx>
          <c:spPr>
            <a:ln w="19050" cap="rnd">
              <a:solidFill>
                <a:schemeClr val="accent4">
                  <a:lumMod val="60000"/>
                  <a:lumOff val="40000"/>
                </a:schemeClr>
              </a:solidFill>
              <a:prstDash val="sysDash"/>
              <a:round/>
            </a:ln>
            <a:effectLst/>
          </c:spPr>
          <c:marker>
            <c:symbol val="none"/>
          </c:marker>
          <c:val>
            <c:numRef>
              <c:f>'2025-Q1'!$GT$4:$GT$448</c:f>
              <c:numCache>
                <c:formatCode>"$"#,##0</c:formatCode>
                <c:ptCount val="445"/>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E40B-4614-BAB7-0785497FEB68}"/>
            </c:ext>
          </c:extLst>
        </c:ser>
        <c:dLbls>
          <c:showLegendKey val="0"/>
          <c:showVal val="0"/>
          <c:showCatName val="0"/>
          <c:showSerName val="0"/>
          <c:showPercent val="0"/>
          <c:showBubbleSize val="0"/>
        </c:dLbls>
        <c:smooth val="0"/>
        <c:axId val="147683023"/>
        <c:axId val="146645279"/>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quot;$&quot;#,##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(XLK)</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'2025-Q1'!$AA$4:$AA$448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0.67152548588192462</c:v>
                </c:pt>
                <c:pt idx="37">
                  <c:v>0.67152548588192462</c:v>
                </c:pt>
                <c:pt idx="38">
                  <c:v>0.67152548588192462</c:v>
                </c:pt>
                <c:pt idx="39">
                  <c:v>0.67152548588192462</c:v>
                </c:pt>
                <c:pt idx="40">
                  <c:v>1.1273861049364817</c:v>
                </c:pt>
                <c:pt idx="41">
                  <c:v>1.1273861049364817</c:v>
                </c:pt>
                <c:pt idx="42">
                  <c:v>1.1273861049364817</c:v>
                </c:pt>
                <c:pt idx="43">
                  <c:v>1.1273861049364817</c:v>
                </c:pt>
                <c:pt idx="44">
                  <c:v>1.1273861049364817</c:v>
                </c:pt>
                <c:pt idx="45">
                  <c:v>1.1273861049364817</c:v>
                </c:pt>
                <c:pt idx="46">
                  <c:v>1.1273861049364817</c:v>
                </c:pt>
                <c:pt idx="47">
                  <c:v>1.1273861049364817</c:v>
                </c:pt>
                <c:pt idx="48">
                  <c:v>1.1273861049364817</c:v>
                </c:pt>
                <c:pt idx="49">
                  <c:v>1.1273861049364817</c:v>
                </c:pt>
                <c:pt idx="50">
                  <c:v>1.1273861049364817</c:v>
                </c:pt>
                <c:pt idx="51">
                  <c:v>1.1273861049364817</c:v>
                </c:pt>
                <c:pt idx="52">
                  <c:v>1.1273861049364817</c:v>
                </c:pt>
                <c:pt idx="53">
                  <c:v>1.1273861049364817</c:v>
                </c:pt>
                <c:pt idx="54">
                  <c:v>1.1273861049364817</c:v>
                </c:pt>
                <c:pt idx="55">
                  <c:v>1.1273861049364817</c:v>
                </c:pt>
                <c:pt idx="56">
                  <c:v>1.1273861049364817</c:v>
                </c:pt>
                <c:pt idx="57">
                  <c:v>1.1273861049364817</c:v>
                </c:pt>
                <c:pt idx="58">
                  <c:v>1.1273861049364817</c:v>
                </c:pt>
                <c:pt idx="59">
                  <c:v>1.1273861049364817</c:v>
                </c:pt>
                <c:pt idx="60">
                  <c:v>1.1273861049364817</c:v>
                </c:pt>
                <c:pt idx="61">
                  <c:v>1.1273861049364817</c:v>
                </c:pt>
                <c:pt idx="62">
                  <c:v>1.1273861049364817</c:v>
                </c:pt>
                <c:pt idx="63">
                  <c:v>1.1273861049364817</c:v>
                </c:pt>
                <c:pt idx="64">
                  <c:v>1.1273861049364817</c:v>
                </c:pt>
                <c:pt idx="65">
                  <c:v>1.1273861049364817</c:v>
                </c:pt>
                <c:pt idx="66">
                  <c:v>1.1273861049364817</c:v>
                </c:pt>
                <c:pt idx="67">
                  <c:v>1.1273861049364817</c:v>
                </c:pt>
                <c:pt idx="68">
                  <c:v>1.1273861049364817</c:v>
                </c:pt>
                <c:pt idx="69">
                  <c:v>1.1273861049364817</c:v>
                </c:pt>
                <c:pt idx="70">
                  <c:v>1.1273861049364817</c:v>
                </c:pt>
                <c:pt idx="71">
                  <c:v>1.1273861049364817</c:v>
                </c:pt>
                <c:pt idx="72">
                  <c:v>1.1273861049364817</c:v>
                </c:pt>
                <c:pt idx="73">
                  <c:v>1.1273861049364817</c:v>
                </c:pt>
                <c:pt idx="74">
                  <c:v>1.1273861049364817</c:v>
                </c:pt>
                <c:pt idx="75">
                  <c:v>3.4310096157378052</c:v>
                </c:pt>
                <c:pt idx="76">
                  <c:v>3.4310096157378052</c:v>
                </c:pt>
                <c:pt idx="77">
                  <c:v>3.4310096157378052</c:v>
                </c:pt>
                <c:pt idx="78">
                  <c:v>3.4310096157378052</c:v>
                </c:pt>
                <c:pt idx="79">
                  <c:v>3.4310096157378052</c:v>
                </c:pt>
                <c:pt idx="80">
                  <c:v>3.4310096157378052</c:v>
                </c:pt>
                <c:pt idx="81">
                  <c:v>3.4310096157378052</c:v>
                </c:pt>
                <c:pt idx="82">
                  <c:v>3.4310096157378052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C32E-43EB-ABBC-9B224275713E}"/>
            </c:ext>
          </c:extLst>
        </c:ser>
        <c:ser>
          <c:idx val="1"/>
          <c:order val="2"/>
          <c:tx>
            <c:v>Dwn</c:v>
          </c:tx>
          <c:spPr>
            <a:ln w="28575" cap="rnd">
              <a:solidFill>
                <a:schemeClr val="accent2"/>
              </a:solidFill>
              <a:prstDash val="solid"/>
              <a:round/>
            </a:ln>
            <a:effectLst/>
          </c:spPr>
          <c:marker>
            <c:symbol val="none"/>
          </c:marker>
          <c:val>
            <c:numRef>
              <c:f>'2025-Q1'!$AC$4:$AC$448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C32E-43EB-ABBC-9B224275713E}"/>
            </c:ext>
          </c:extLst>
        </c:ser>
        <c:ser>
          <c:idx val="2"/>
          <c:order val="3"/>
          <c:tx>
            <c:v>SW</c:v>
          </c:tx>
          <c:spPr>
            <a:ln w="28575" cap="rnd">
              <a:solidFill>
                <a:srgbClr val="0070C0"/>
              </a:solidFill>
              <a:prstDash val="solid"/>
              <a:round/>
            </a:ln>
            <a:effectLst/>
          </c:spPr>
          <c:marker>
            <c:symbol val="none"/>
          </c:marker>
          <c:val>
            <c:numRef>
              <c:f>'2025-Q1'!$AE$4:$AE$448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1.2148148148148128</c:v>
                </c:pt>
                <c:pt idx="32">
                  <c:v>1.2148148148148128</c:v>
                </c:pt>
                <c:pt idx="33">
                  <c:v>1.2148148148148128</c:v>
                </c:pt>
                <c:pt idx="34">
                  <c:v>1.2148148148148128</c:v>
                </c:pt>
                <c:pt idx="35">
                  <c:v>1.2148148148148128</c:v>
                </c:pt>
                <c:pt idx="36">
                  <c:v>1.2148148148148128</c:v>
                </c:pt>
                <c:pt idx="37">
                  <c:v>1.2148148148148128</c:v>
                </c:pt>
                <c:pt idx="38">
                  <c:v>1.5553407757049009</c:v>
                </c:pt>
                <c:pt idx="39">
                  <c:v>1.5553407757049009</c:v>
                </c:pt>
                <c:pt idx="40">
                  <c:v>1.5553407757049009</c:v>
                </c:pt>
                <c:pt idx="41">
                  <c:v>1.5553407757049009</c:v>
                </c:pt>
                <c:pt idx="42">
                  <c:v>1.5553407757049009</c:v>
                </c:pt>
                <c:pt idx="43">
                  <c:v>1.5553407757049009</c:v>
                </c:pt>
                <c:pt idx="44">
                  <c:v>1.5553407757049009</c:v>
                </c:pt>
                <c:pt idx="45">
                  <c:v>1.5553407757049009</c:v>
                </c:pt>
                <c:pt idx="46">
                  <c:v>1.5553407757049009</c:v>
                </c:pt>
                <c:pt idx="47">
                  <c:v>1.5553407757049009</c:v>
                </c:pt>
                <c:pt idx="48">
                  <c:v>1.5553407757049009</c:v>
                </c:pt>
                <c:pt idx="49">
                  <c:v>1.5553407757049009</c:v>
                </c:pt>
                <c:pt idx="50">
                  <c:v>1.5553407757049009</c:v>
                </c:pt>
                <c:pt idx="51">
                  <c:v>1.5553407757049009</c:v>
                </c:pt>
                <c:pt idx="52">
                  <c:v>1.5553407757049009</c:v>
                </c:pt>
                <c:pt idx="53">
                  <c:v>1.5553407757049009</c:v>
                </c:pt>
                <c:pt idx="54">
                  <c:v>1.5553407757049009</c:v>
                </c:pt>
                <c:pt idx="55">
                  <c:v>1.5553407757049009</c:v>
                </c:pt>
                <c:pt idx="56">
                  <c:v>1.5553407757049009</c:v>
                </c:pt>
                <c:pt idx="57">
                  <c:v>1.5553407757049009</c:v>
                </c:pt>
                <c:pt idx="58">
                  <c:v>1.5553407757049009</c:v>
                </c:pt>
                <c:pt idx="59">
                  <c:v>1.5553407757049009</c:v>
                </c:pt>
                <c:pt idx="60">
                  <c:v>1.5553407757049009</c:v>
                </c:pt>
                <c:pt idx="61">
                  <c:v>1.5553407757049009</c:v>
                </c:pt>
                <c:pt idx="62">
                  <c:v>1.5553407757049009</c:v>
                </c:pt>
                <c:pt idx="63">
                  <c:v>1.5553407757049009</c:v>
                </c:pt>
                <c:pt idx="64">
                  <c:v>1.5553407757049009</c:v>
                </c:pt>
                <c:pt idx="65">
                  <c:v>1.5553407757049009</c:v>
                </c:pt>
                <c:pt idx="66">
                  <c:v>1.5553407757049009</c:v>
                </c:pt>
                <c:pt idx="67">
                  <c:v>1.5553407757049009</c:v>
                </c:pt>
                <c:pt idx="68">
                  <c:v>1.5553407757049009</c:v>
                </c:pt>
                <c:pt idx="69">
                  <c:v>1.5553407757049009</c:v>
                </c:pt>
                <c:pt idx="70">
                  <c:v>1.5553407757049009</c:v>
                </c:pt>
                <c:pt idx="71">
                  <c:v>1.5553407757049009</c:v>
                </c:pt>
                <c:pt idx="72">
                  <c:v>1.5553407757049009</c:v>
                </c:pt>
                <c:pt idx="73">
                  <c:v>1.5553407757049009</c:v>
                </c:pt>
                <c:pt idx="74">
                  <c:v>1.5553407757049009</c:v>
                </c:pt>
                <c:pt idx="75">
                  <c:v>1.5553407757049009</c:v>
                </c:pt>
                <c:pt idx="76">
                  <c:v>1.5553407757049009</c:v>
                </c:pt>
                <c:pt idx="77">
                  <c:v>1.5553407757049009</c:v>
                </c:pt>
                <c:pt idx="78">
                  <c:v>1.5553407757049009</c:v>
                </c:pt>
                <c:pt idx="79">
                  <c:v>1.5553407757049009</c:v>
                </c:pt>
                <c:pt idx="80">
                  <c:v>1.5553407757049009</c:v>
                </c:pt>
                <c:pt idx="81">
                  <c:v>1.5553407757049009</c:v>
                </c:pt>
                <c:pt idx="82">
                  <c:v>1.5553407757049009</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C32E-43EB-ABBC-9B224275713E}"/>
            </c:ext>
          </c:extLst>
        </c:ser>
        <c:ser>
          <c:idx val="3"/>
          <c:order val="5"/>
          <c:tx>
            <c:v>All Three</c:v>
          </c:tx>
          <c:spPr>
            <a:ln w="38100" cap="rnd">
              <a:solidFill>
                <a:sysClr val="windowText" lastClr="000000"/>
              </a:solidFill>
              <a:round/>
            </a:ln>
            <a:effectLst/>
          </c:spPr>
          <c:marker>
            <c:symbol val="none"/>
          </c:marker>
          <c:val>
            <c:numRef>
              <c:f>'2025-Q1'!$AF$4:$AF$448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1.2148148148148128</c:v>
                </c:pt>
                <c:pt idx="32">
                  <c:v>1.2148148148148128</c:v>
                </c:pt>
                <c:pt idx="33">
                  <c:v>1.2148148148148128</c:v>
                </c:pt>
                <c:pt idx="34">
                  <c:v>1.2148148148148128</c:v>
                </c:pt>
                <c:pt idx="35">
                  <c:v>1.2148148148148128</c:v>
                </c:pt>
                <c:pt idx="36">
                  <c:v>1.8863403006967374</c:v>
                </c:pt>
                <c:pt idx="37">
                  <c:v>1.8863403006967374</c:v>
                </c:pt>
                <c:pt idx="38">
                  <c:v>2.2268662615868253</c:v>
                </c:pt>
                <c:pt idx="39">
                  <c:v>2.2268662615868253</c:v>
                </c:pt>
                <c:pt idx="40">
                  <c:v>2.6827268806413822</c:v>
                </c:pt>
                <c:pt idx="41">
                  <c:v>2.6827268806413822</c:v>
                </c:pt>
                <c:pt idx="42">
                  <c:v>2.6827268806413822</c:v>
                </c:pt>
                <c:pt idx="43">
                  <c:v>2.6827268806413822</c:v>
                </c:pt>
                <c:pt idx="44">
                  <c:v>2.6827268806413822</c:v>
                </c:pt>
                <c:pt idx="45">
                  <c:v>2.6827268806413822</c:v>
                </c:pt>
                <c:pt idx="46">
                  <c:v>2.6827268806413822</c:v>
                </c:pt>
                <c:pt idx="47">
                  <c:v>2.6827268806413822</c:v>
                </c:pt>
                <c:pt idx="48">
                  <c:v>2.6827268806413822</c:v>
                </c:pt>
                <c:pt idx="49">
                  <c:v>2.6827268806413822</c:v>
                </c:pt>
                <c:pt idx="50">
                  <c:v>2.6827268806413822</c:v>
                </c:pt>
                <c:pt idx="51">
                  <c:v>2.6827268806413822</c:v>
                </c:pt>
                <c:pt idx="52">
                  <c:v>2.6827268806413822</c:v>
                </c:pt>
                <c:pt idx="53">
                  <c:v>2.6827268806413822</c:v>
                </c:pt>
                <c:pt idx="54">
                  <c:v>2.6827268806413822</c:v>
                </c:pt>
                <c:pt idx="55">
                  <c:v>2.6827268806413822</c:v>
                </c:pt>
                <c:pt idx="56">
                  <c:v>2.6827268806413822</c:v>
                </c:pt>
                <c:pt idx="57">
                  <c:v>2.6827268806413822</c:v>
                </c:pt>
                <c:pt idx="58">
                  <c:v>2.6827268806413822</c:v>
                </c:pt>
                <c:pt idx="59">
                  <c:v>2.6827268806413822</c:v>
                </c:pt>
                <c:pt idx="60">
                  <c:v>2.6827268806413822</c:v>
                </c:pt>
                <c:pt idx="61">
                  <c:v>2.6827268806413822</c:v>
                </c:pt>
                <c:pt idx="62">
                  <c:v>2.6827268806413822</c:v>
                </c:pt>
                <c:pt idx="63">
                  <c:v>2.6827268806413822</c:v>
                </c:pt>
                <c:pt idx="64">
                  <c:v>2.6827268806413822</c:v>
                </c:pt>
                <c:pt idx="65">
                  <c:v>2.6827268806413822</c:v>
                </c:pt>
                <c:pt idx="66">
                  <c:v>2.6827268806413822</c:v>
                </c:pt>
                <c:pt idx="67">
                  <c:v>2.6827268806413822</c:v>
                </c:pt>
                <c:pt idx="68">
                  <c:v>2.6827268806413822</c:v>
                </c:pt>
                <c:pt idx="69">
                  <c:v>2.6827268806413822</c:v>
                </c:pt>
                <c:pt idx="70">
                  <c:v>2.6827268806413822</c:v>
                </c:pt>
                <c:pt idx="71">
                  <c:v>2.6827268806413822</c:v>
                </c:pt>
                <c:pt idx="72">
                  <c:v>2.6827268806413822</c:v>
                </c:pt>
                <c:pt idx="73">
                  <c:v>2.6827268806413822</c:v>
                </c:pt>
                <c:pt idx="74">
                  <c:v>2.6827268806413822</c:v>
                </c:pt>
                <c:pt idx="75">
                  <c:v>4.9863503914427056</c:v>
                </c:pt>
                <c:pt idx="76">
                  <c:v>4.9863503914427056</c:v>
                </c:pt>
                <c:pt idx="77">
                  <c:v>4.9863503914427056</c:v>
                </c:pt>
                <c:pt idx="78">
                  <c:v>4.9863503914427056</c:v>
                </c:pt>
                <c:pt idx="79">
                  <c:v>4.9863503914427056</c:v>
                </c:pt>
                <c:pt idx="80">
                  <c:v>4.9863503914427056</c:v>
                </c:pt>
                <c:pt idx="81">
                  <c:v>4.9863503914427056</c:v>
                </c:pt>
                <c:pt idx="82">
                  <c:v>4.9863503914427056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5-C32E-43EB-ABBC-9B224275713E}"/>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1-C32E-43EB-ABBC-9B224275713E}"/>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4-C32E-43EB-ABBC-9B224275713E}"/>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C32E-43EB-ABBC-9B224275713E}"/>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(XLY)</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'2025-Q1'!$AO$4:$AO$448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0.69884300312473657</c:v>
                </c:pt>
                <c:pt idx="65">
                  <c:v>-0.49683555963321635</c:v>
                </c:pt>
                <c:pt idx="66">
                  <c:v>-0.49683555963321635</c:v>
                </c:pt>
                <c:pt idx="67">
                  <c:v>-0.49683555963321635</c:v>
                </c:pt>
                <c:pt idx="68">
                  <c:v>-0.49683555963321635</c:v>
                </c:pt>
                <c:pt idx="69">
                  <c:v>-0.49683555963321635</c:v>
                </c:pt>
                <c:pt idx="70">
                  <c:v>-0.49683555963321635</c:v>
                </c:pt>
                <c:pt idx="71">
                  <c:v>-0.49683555963321635</c:v>
                </c:pt>
                <c:pt idx="72">
                  <c:v>-0.49683555963321635</c:v>
                </c:pt>
                <c:pt idx="73">
                  <c:v>-0.49683555963321635</c:v>
                </c:pt>
                <c:pt idx="74">
                  <c:v>-0.49683555963321635</c:v>
                </c:pt>
                <c:pt idx="75">
                  <c:v>-0.49683555963321635</c:v>
                </c:pt>
                <c:pt idx="76">
                  <c:v>-0.49683555963321635</c:v>
                </c:pt>
                <c:pt idx="77">
                  <c:v>-0.49683555963321635</c:v>
                </c:pt>
                <c:pt idx="78">
                  <c:v>-0.49683555963321635</c:v>
                </c:pt>
                <c:pt idx="79">
                  <c:v>-0.49683555963321635</c:v>
                </c:pt>
                <c:pt idx="80">
                  <c:v>-0.49683555963321635</c:v>
                </c:pt>
                <c:pt idx="81">
                  <c:v>-0.49683555963321635</c:v>
                </c:pt>
                <c:pt idx="82">
                  <c:v>-0.49683555963321635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5D40-40BD-9241-5753290D1030}"/>
            </c:ext>
          </c:extLst>
        </c:ser>
        <c:ser>
          <c:idx val="1"/>
          <c:order val="2"/>
          <c:tx>
            <c:v>Dwn</c:v>
          </c:tx>
          <c:spPr>
            <a:ln w="28575" cap="rnd">
              <a:solidFill>
                <a:schemeClr val="accent2"/>
              </a:solidFill>
              <a:prstDash val="solid"/>
              <a:round/>
            </a:ln>
            <a:effectLst/>
          </c:spPr>
          <c:marker>
            <c:symbol val="none"/>
          </c:marker>
          <c:val>
            <c:numRef>
              <c:f>'2025-Q1'!$AQ$4:$AQ$448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5D40-40BD-9241-5753290D1030}"/>
            </c:ext>
          </c:extLst>
        </c:ser>
        <c:ser>
          <c:idx val="2"/>
          <c:order val="3"/>
          <c:tx>
            <c:v>SW</c:v>
          </c:tx>
          <c:spPr>
            <a:ln w="28575" cap="rnd">
              <a:solidFill>
                <a:srgbClr val="0070C0"/>
              </a:solidFill>
              <a:prstDash val="solid"/>
              <a:round/>
            </a:ln>
            <a:effectLst/>
          </c:spPr>
          <c:marker>
            <c:symbol val="none"/>
          </c:marker>
          <c:val>
            <c:numRef>
              <c:f>'2025-Q1'!$AS$4:$AS$448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0.38010822295256225</c:v>
                </c:pt>
                <c:pt idx="74">
                  <c:v>0.38010822295256225</c:v>
                </c:pt>
                <c:pt idx="75">
                  <c:v>0.38010822295256225</c:v>
                </c:pt>
                <c:pt idx="76">
                  <c:v>0.38010822295256225</c:v>
                </c:pt>
                <c:pt idx="77">
                  <c:v>0.38010822295256225</c:v>
                </c:pt>
                <c:pt idx="78">
                  <c:v>0.38010822295256225</c:v>
                </c:pt>
                <c:pt idx="79">
                  <c:v>0.38010822295256225</c:v>
                </c:pt>
                <c:pt idx="80">
                  <c:v>0.38010822295256225</c:v>
                </c:pt>
                <c:pt idx="81">
                  <c:v>0.38010822295256225</c:v>
                </c:pt>
                <c:pt idx="82">
                  <c:v>0.38010822295256225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5D40-40BD-9241-5753290D1030}"/>
            </c:ext>
          </c:extLst>
        </c:ser>
        <c:ser>
          <c:idx val="3"/>
          <c:order val="5"/>
          <c:tx>
            <c:v>All Three</c:v>
          </c:tx>
          <c:spPr>
            <a:ln w="38100" cap="rnd">
              <a:solidFill>
                <a:sysClr val="windowText" lastClr="000000"/>
              </a:solidFill>
              <a:round/>
            </a:ln>
            <a:effectLst/>
          </c:spPr>
          <c:marker>
            <c:symbol val="none"/>
          </c:marker>
          <c:val>
            <c:numRef>
              <c:f>'2025-Q1'!$AT$4:$AT$448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0.69884300312473657</c:v>
                </c:pt>
                <c:pt idx="65">
                  <c:v>-0.49683555963321635</c:v>
                </c:pt>
                <c:pt idx="66">
                  <c:v>-0.49683555963321635</c:v>
                </c:pt>
                <c:pt idx="67">
                  <c:v>-0.49683555963321635</c:v>
                </c:pt>
                <c:pt idx="68">
                  <c:v>-0.49683555963321635</c:v>
                </c:pt>
                <c:pt idx="69">
                  <c:v>-0.49683555963321635</c:v>
                </c:pt>
                <c:pt idx="70">
                  <c:v>-0.49683555963321635</c:v>
                </c:pt>
                <c:pt idx="71">
                  <c:v>-0.49683555963321635</c:v>
                </c:pt>
                <c:pt idx="72">
                  <c:v>-0.49683555963321635</c:v>
                </c:pt>
                <c:pt idx="73">
                  <c:v>-0.11672733668065405</c:v>
                </c:pt>
                <c:pt idx="74">
                  <c:v>-0.11672733668065405</c:v>
                </c:pt>
                <c:pt idx="75">
                  <c:v>-0.11672733668065405</c:v>
                </c:pt>
                <c:pt idx="76">
                  <c:v>-0.11672733668065405</c:v>
                </c:pt>
                <c:pt idx="77">
                  <c:v>-0.11672733668065405</c:v>
                </c:pt>
                <c:pt idx="78">
                  <c:v>-0.11672733668065405</c:v>
                </c:pt>
                <c:pt idx="79">
                  <c:v>-0.11672733668065405</c:v>
                </c:pt>
                <c:pt idx="80">
                  <c:v>-0.11672733668065405</c:v>
                </c:pt>
                <c:pt idx="81">
                  <c:v>-0.11672733668065405</c:v>
                </c:pt>
                <c:pt idx="82">
                  <c:v>-0.11672733668065405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5D40-40BD-9241-5753290D1030}"/>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5D40-40BD-9241-5753290D1030}"/>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5D40-40BD-9241-5753290D1030}"/>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5D40-40BD-9241-5753290D1030}"/>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(XLP)</a:t>
            </a:r>
          </a:p>
        </c:rich>
      </c:tx>
      <c:layout>
        <c:manualLayout>
          <c:xMode val="edge"/>
          <c:yMode val="edge"/>
          <c:x val="2.8694371536891222E-2"/>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'2025-Q1'!$AV$4:$AV$448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EBC8-4142-B284-300638C218BD}"/>
            </c:ext>
          </c:extLst>
        </c:ser>
        <c:ser>
          <c:idx val="1"/>
          <c:order val="2"/>
          <c:tx>
            <c:v>Dwn</c:v>
          </c:tx>
          <c:spPr>
            <a:ln w="28575" cap="rnd">
              <a:solidFill>
                <a:schemeClr val="accent2"/>
              </a:solidFill>
              <a:prstDash val="solid"/>
              <a:round/>
            </a:ln>
            <a:effectLst/>
          </c:spPr>
          <c:marker>
            <c:symbol val="none"/>
          </c:marker>
          <c:val>
            <c:numRef>
              <c:f>'2025-Q1'!$AX$4:$AX$448</c:f>
              <c:numCache>
                <c:formatCode>0.00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1.2290222546515868</c:v>
                </c:pt>
                <c:pt idx="10">
                  <c:v>1.2290222546515868</c:v>
                </c:pt>
                <c:pt idx="11">
                  <c:v>1.2290222546515868</c:v>
                </c:pt>
                <c:pt idx="12">
                  <c:v>1.2290222546515868</c:v>
                </c:pt>
                <c:pt idx="13">
                  <c:v>1.2290222546515868</c:v>
                </c:pt>
                <c:pt idx="14">
                  <c:v>1.2290222546515868</c:v>
                </c:pt>
                <c:pt idx="15">
                  <c:v>1.2290222546515868</c:v>
                </c:pt>
                <c:pt idx="16">
                  <c:v>1.2290222546515868</c:v>
                </c:pt>
                <c:pt idx="17">
                  <c:v>1.2290222546515868</c:v>
                </c:pt>
                <c:pt idx="18">
                  <c:v>1.2290222546515868</c:v>
                </c:pt>
                <c:pt idx="19">
                  <c:v>1.2290222546515868</c:v>
                </c:pt>
                <c:pt idx="20">
                  <c:v>1.2290222546515868</c:v>
                </c:pt>
                <c:pt idx="21">
                  <c:v>1.2290222546515868</c:v>
                </c:pt>
                <c:pt idx="22">
                  <c:v>1.2290222546515868</c:v>
                </c:pt>
                <c:pt idx="23">
                  <c:v>1.2290222546515868</c:v>
                </c:pt>
                <c:pt idx="24">
                  <c:v>1.2290222546515868</c:v>
                </c:pt>
                <c:pt idx="25">
                  <c:v>1.2290222546515868</c:v>
                </c:pt>
                <c:pt idx="26">
                  <c:v>1.2290222546515868</c:v>
                </c:pt>
                <c:pt idx="27">
                  <c:v>1.2290222546515868</c:v>
                </c:pt>
                <c:pt idx="28">
                  <c:v>1.2290222546515868</c:v>
                </c:pt>
                <c:pt idx="29">
                  <c:v>1.2290222546515868</c:v>
                </c:pt>
                <c:pt idx="30">
                  <c:v>1.2290222546515868</c:v>
                </c:pt>
                <c:pt idx="31">
                  <c:v>1.2290222546515868</c:v>
                </c:pt>
                <c:pt idx="32">
                  <c:v>1.2290222546515868</c:v>
                </c:pt>
                <c:pt idx="33">
                  <c:v>1.2290222546515868</c:v>
                </c:pt>
                <c:pt idx="34">
                  <c:v>1.2290222546515868</c:v>
                </c:pt>
                <c:pt idx="35">
                  <c:v>1.2290222546515868</c:v>
                </c:pt>
                <c:pt idx="36">
                  <c:v>1.2290222546515868</c:v>
                </c:pt>
                <c:pt idx="37">
                  <c:v>1.2290222546515868</c:v>
                </c:pt>
                <c:pt idx="38">
                  <c:v>1.2290222546515868</c:v>
                </c:pt>
                <c:pt idx="39">
                  <c:v>1.2290222546515868</c:v>
                </c:pt>
                <c:pt idx="40">
                  <c:v>1.2290222546515868</c:v>
                </c:pt>
                <c:pt idx="41">
                  <c:v>1.2290222546515868</c:v>
                </c:pt>
                <c:pt idx="42">
                  <c:v>1.2290222546515868</c:v>
                </c:pt>
                <c:pt idx="43">
                  <c:v>1.2290222546515868</c:v>
                </c:pt>
                <c:pt idx="44">
                  <c:v>1.2290222546515868</c:v>
                </c:pt>
                <c:pt idx="45">
                  <c:v>1.2290222546515868</c:v>
                </c:pt>
                <c:pt idx="46">
                  <c:v>1.2290222546515868</c:v>
                </c:pt>
                <c:pt idx="47">
                  <c:v>1.2290222546515868</c:v>
                </c:pt>
                <c:pt idx="48">
                  <c:v>1.2290222546515868</c:v>
                </c:pt>
                <c:pt idx="49">
                  <c:v>1.2290222546515868</c:v>
                </c:pt>
                <c:pt idx="50">
                  <c:v>1.2290222546515868</c:v>
                </c:pt>
                <c:pt idx="51">
                  <c:v>1.2290222546515868</c:v>
                </c:pt>
                <c:pt idx="52">
                  <c:v>1.2290222546515868</c:v>
                </c:pt>
                <c:pt idx="53">
                  <c:v>1.2290222546515868</c:v>
                </c:pt>
                <c:pt idx="54">
                  <c:v>1.2290222546515868</c:v>
                </c:pt>
                <c:pt idx="55">
                  <c:v>1.2290222546515868</c:v>
                </c:pt>
                <c:pt idx="56">
                  <c:v>1.2290222546515868</c:v>
                </c:pt>
                <c:pt idx="57">
                  <c:v>1.2290222546515868</c:v>
                </c:pt>
                <c:pt idx="58">
                  <c:v>1.2290222546515868</c:v>
                </c:pt>
                <c:pt idx="59">
                  <c:v>1.2290222546515868</c:v>
                </c:pt>
                <c:pt idx="60">
                  <c:v>1.2290222546515868</c:v>
                </c:pt>
                <c:pt idx="61">
                  <c:v>1.2290222546515868</c:v>
                </c:pt>
                <c:pt idx="62">
                  <c:v>1.2290222546515868</c:v>
                </c:pt>
                <c:pt idx="63">
                  <c:v>1.2290222546515868</c:v>
                </c:pt>
                <c:pt idx="64">
                  <c:v>1.2290222546515868</c:v>
                </c:pt>
                <c:pt idx="65">
                  <c:v>1.2290222546515868</c:v>
                </c:pt>
                <c:pt idx="66">
                  <c:v>1.2290222546515868</c:v>
                </c:pt>
                <c:pt idx="67">
                  <c:v>1.2049246466562569</c:v>
                </c:pt>
                <c:pt idx="68">
                  <c:v>1.2049246466562569</c:v>
                </c:pt>
                <c:pt idx="69">
                  <c:v>1.2049246466562569</c:v>
                </c:pt>
                <c:pt idx="70">
                  <c:v>1.2049246466562569</c:v>
                </c:pt>
                <c:pt idx="71">
                  <c:v>1.2049246466562569</c:v>
                </c:pt>
                <c:pt idx="72">
                  <c:v>1.2049246466562569</c:v>
                </c:pt>
                <c:pt idx="73">
                  <c:v>1.2049246466562569</c:v>
                </c:pt>
                <c:pt idx="74">
                  <c:v>1.2049246466562569</c:v>
                </c:pt>
                <c:pt idx="75">
                  <c:v>1.2049246466562569</c:v>
                </c:pt>
                <c:pt idx="76">
                  <c:v>1.2049246466562569</c:v>
                </c:pt>
                <c:pt idx="77">
                  <c:v>1.2049246466562569</c:v>
                </c:pt>
                <c:pt idx="78">
                  <c:v>1.2049246466562569</c:v>
                </c:pt>
                <c:pt idx="79">
                  <c:v>1.2049246466562569</c:v>
                </c:pt>
                <c:pt idx="80">
                  <c:v>1.2049246466562569</c:v>
                </c:pt>
                <c:pt idx="81">
                  <c:v>1.2049246466562569</c:v>
                </c:pt>
                <c:pt idx="82">
                  <c:v>1.2049246466562569</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EBC8-4142-B284-300638C218BD}"/>
            </c:ext>
          </c:extLst>
        </c:ser>
        <c:ser>
          <c:idx val="2"/>
          <c:order val="3"/>
          <c:tx>
            <c:v>SW</c:v>
          </c:tx>
          <c:spPr>
            <a:ln w="28575" cap="rnd">
              <a:solidFill>
                <a:srgbClr val="0070C0"/>
              </a:solidFill>
              <a:prstDash val="solid"/>
              <a:round/>
            </a:ln>
            <a:effectLst/>
          </c:spPr>
          <c:marker>
            <c:symbol val="none"/>
          </c:marker>
          <c:val>
            <c:numRef>
              <c:f>'2025-Q1'!$AZ$4:$AZ$448</c:f>
              <c:numCache>
                <c:formatCode>0.00</c:formatCode>
                <c:ptCount val="445"/>
                <c:pt idx="0">
                  <c:v>0</c:v>
                </c:pt>
                <c:pt idx="1">
                  <c:v>0</c:v>
                </c:pt>
                <c:pt idx="2">
                  <c:v>2.4945770065075905</c:v>
                </c:pt>
                <c:pt idx="3">
                  <c:v>2.4945770065075905</c:v>
                </c:pt>
                <c:pt idx="4">
                  <c:v>2.4945770065075905</c:v>
                </c:pt>
                <c:pt idx="5">
                  <c:v>2.4945770065075905</c:v>
                </c:pt>
                <c:pt idx="6">
                  <c:v>2.4945770065075905</c:v>
                </c:pt>
                <c:pt idx="7">
                  <c:v>2.4945770065075905</c:v>
                </c:pt>
                <c:pt idx="8">
                  <c:v>2.4945770065075905</c:v>
                </c:pt>
                <c:pt idx="9">
                  <c:v>2.4945770065075905</c:v>
                </c:pt>
                <c:pt idx="10">
                  <c:v>2.4945770065075905</c:v>
                </c:pt>
                <c:pt idx="11">
                  <c:v>2.4945770065075905</c:v>
                </c:pt>
                <c:pt idx="12">
                  <c:v>2.4945770065075905</c:v>
                </c:pt>
                <c:pt idx="13">
                  <c:v>2.4945770065075905</c:v>
                </c:pt>
                <c:pt idx="14">
                  <c:v>2.4945770065075905</c:v>
                </c:pt>
                <c:pt idx="15">
                  <c:v>2.4945770065075905</c:v>
                </c:pt>
                <c:pt idx="16">
                  <c:v>2.4945770065075905</c:v>
                </c:pt>
                <c:pt idx="17">
                  <c:v>2.4945770065075905</c:v>
                </c:pt>
                <c:pt idx="18">
                  <c:v>2.4945770065075905</c:v>
                </c:pt>
                <c:pt idx="19">
                  <c:v>2.4945770065075905</c:v>
                </c:pt>
                <c:pt idx="20">
                  <c:v>2.4945770065075905</c:v>
                </c:pt>
                <c:pt idx="21">
                  <c:v>2.4945770065075905</c:v>
                </c:pt>
                <c:pt idx="22">
                  <c:v>2.4945770065075905</c:v>
                </c:pt>
                <c:pt idx="23">
                  <c:v>2.4945770065075905</c:v>
                </c:pt>
                <c:pt idx="24">
                  <c:v>2.4945770065075905</c:v>
                </c:pt>
                <c:pt idx="25">
                  <c:v>2.4945770065075905</c:v>
                </c:pt>
                <c:pt idx="26">
                  <c:v>2.4945770065075905</c:v>
                </c:pt>
                <c:pt idx="27">
                  <c:v>2.4945770065075905</c:v>
                </c:pt>
                <c:pt idx="28">
                  <c:v>2.4945770065075905</c:v>
                </c:pt>
                <c:pt idx="29">
                  <c:v>2.4945770065075905</c:v>
                </c:pt>
                <c:pt idx="30">
                  <c:v>2.4945770065075905</c:v>
                </c:pt>
                <c:pt idx="31">
                  <c:v>2.4945770065075905</c:v>
                </c:pt>
                <c:pt idx="32">
                  <c:v>3.0490332683593495</c:v>
                </c:pt>
                <c:pt idx="33">
                  <c:v>3.0490332683593495</c:v>
                </c:pt>
                <c:pt idx="34">
                  <c:v>3.0490332683593495</c:v>
                </c:pt>
                <c:pt idx="35">
                  <c:v>3.0490332683593495</c:v>
                </c:pt>
                <c:pt idx="36">
                  <c:v>3.0490332683593495</c:v>
                </c:pt>
                <c:pt idx="37">
                  <c:v>3.0490332683593495</c:v>
                </c:pt>
                <c:pt idx="38">
                  <c:v>3.0490332683593495</c:v>
                </c:pt>
                <c:pt idx="39">
                  <c:v>3.0490332683593495</c:v>
                </c:pt>
                <c:pt idx="40">
                  <c:v>3.0490332683593495</c:v>
                </c:pt>
                <c:pt idx="41">
                  <c:v>3.0490332683593495</c:v>
                </c:pt>
                <c:pt idx="42">
                  <c:v>3.0490332683593495</c:v>
                </c:pt>
                <c:pt idx="43">
                  <c:v>3.0490332683593495</c:v>
                </c:pt>
                <c:pt idx="44">
                  <c:v>3.0490332683593495</c:v>
                </c:pt>
                <c:pt idx="45">
                  <c:v>3.0490332683593495</c:v>
                </c:pt>
                <c:pt idx="46">
                  <c:v>3.0490332683593495</c:v>
                </c:pt>
                <c:pt idx="47">
                  <c:v>3.0490332683593495</c:v>
                </c:pt>
                <c:pt idx="48">
                  <c:v>3.0490332683593495</c:v>
                </c:pt>
                <c:pt idx="49">
                  <c:v>3.0490332683593495</c:v>
                </c:pt>
                <c:pt idx="50">
                  <c:v>2.8806371278168421</c:v>
                </c:pt>
                <c:pt idx="51">
                  <c:v>2.8806371278168421</c:v>
                </c:pt>
                <c:pt idx="52">
                  <c:v>2.8806371278168421</c:v>
                </c:pt>
                <c:pt idx="53">
                  <c:v>2.8806371278168421</c:v>
                </c:pt>
                <c:pt idx="54">
                  <c:v>2.8806371278168421</c:v>
                </c:pt>
                <c:pt idx="55">
                  <c:v>2.8806371278168421</c:v>
                </c:pt>
                <c:pt idx="56">
                  <c:v>2.8806371278168421</c:v>
                </c:pt>
                <c:pt idx="57">
                  <c:v>2.8806371278168421</c:v>
                </c:pt>
                <c:pt idx="58">
                  <c:v>2.8806371278168421</c:v>
                </c:pt>
                <c:pt idx="59">
                  <c:v>2.8806371278168421</c:v>
                </c:pt>
                <c:pt idx="60">
                  <c:v>2.8806371278168421</c:v>
                </c:pt>
                <c:pt idx="61">
                  <c:v>2.8806371278168421</c:v>
                </c:pt>
                <c:pt idx="62">
                  <c:v>2.8806371278168421</c:v>
                </c:pt>
                <c:pt idx="63">
                  <c:v>2.8806371278168421</c:v>
                </c:pt>
                <c:pt idx="64">
                  <c:v>2.8806371278168421</c:v>
                </c:pt>
                <c:pt idx="65">
                  <c:v>2.8806371278168421</c:v>
                </c:pt>
                <c:pt idx="66">
                  <c:v>2.8806371278168421</c:v>
                </c:pt>
                <c:pt idx="67">
                  <c:v>2.8806371278168421</c:v>
                </c:pt>
                <c:pt idx="68">
                  <c:v>2.2170930216497844</c:v>
                </c:pt>
                <c:pt idx="69">
                  <c:v>2.2170930216497844</c:v>
                </c:pt>
                <c:pt idx="70">
                  <c:v>2.2170930216497844</c:v>
                </c:pt>
                <c:pt idx="71">
                  <c:v>2.2170930216497844</c:v>
                </c:pt>
                <c:pt idx="72">
                  <c:v>2.2170930216497844</c:v>
                </c:pt>
                <c:pt idx="73">
                  <c:v>2.2170930216497844</c:v>
                </c:pt>
                <c:pt idx="74">
                  <c:v>2.2170930216497844</c:v>
                </c:pt>
                <c:pt idx="75">
                  <c:v>2.2170930216497844</c:v>
                </c:pt>
                <c:pt idx="76">
                  <c:v>2.2170930216497844</c:v>
                </c:pt>
                <c:pt idx="77">
                  <c:v>2.2170930216497844</c:v>
                </c:pt>
                <c:pt idx="78">
                  <c:v>2.2170930216497844</c:v>
                </c:pt>
                <c:pt idx="79">
                  <c:v>2.2170930216497844</c:v>
                </c:pt>
                <c:pt idx="80">
                  <c:v>2.2170930216497844</c:v>
                </c:pt>
                <c:pt idx="81">
                  <c:v>2.2170930216497844</c:v>
                </c:pt>
                <c:pt idx="82">
                  <c:v>2.2170930216497844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EBC8-4142-B284-300638C218BD}"/>
            </c:ext>
          </c:extLst>
        </c:ser>
        <c:ser>
          <c:idx val="3"/>
          <c:order val="5"/>
          <c:tx>
            <c:v>All Three</c:v>
          </c:tx>
          <c:spPr>
            <a:ln w="38100" cap="rnd">
              <a:solidFill>
                <a:sysClr val="windowText" lastClr="000000"/>
              </a:solidFill>
              <a:round/>
            </a:ln>
            <a:effectLst/>
          </c:spPr>
          <c:marker>
            <c:symbol val="none"/>
          </c:marker>
          <c:val>
            <c:numRef>
              <c:f>'2025-Q1'!$BA$4:$BA$448</c:f>
              <c:numCache>
                <c:formatCode>0.00</c:formatCode>
                <c:ptCount val="445"/>
                <c:pt idx="0">
                  <c:v>1.2290222546515868</c:v>
                </c:pt>
                <c:pt idx="1">
                  <c:v>1.2290222546515868</c:v>
                </c:pt>
                <c:pt idx="2">
                  <c:v>3.7235992611591771</c:v>
                </c:pt>
                <c:pt idx="3">
                  <c:v>3.7235992611591771</c:v>
                </c:pt>
                <c:pt idx="4">
                  <c:v>3.7235992611591771</c:v>
                </c:pt>
                <c:pt idx="5">
                  <c:v>3.7235992611591771</c:v>
                </c:pt>
                <c:pt idx="6">
                  <c:v>3.7235992611591771</c:v>
                </c:pt>
                <c:pt idx="7">
                  <c:v>3.7235992611591771</c:v>
                </c:pt>
                <c:pt idx="8">
                  <c:v>3.7235992611591771</c:v>
                </c:pt>
                <c:pt idx="9">
                  <c:v>3.7235992611591771</c:v>
                </c:pt>
                <c:pt idx="10">
                  <c:v>3.7235992611591771</c:v>
                </c:pt>
                <c:pt idx="11">
                  <c:v>3.7235992611591771</c:v>
                </c:pt>
                <c:pt idx="12">
                  <c:v>3.7235992611591771</c:v>
                </c:pt>
                <c:pt idx="13">
                  <c:v>3.7235992611591771</c:v>
                </c:pt>
                <c:pt idx="14">
                  <c:v>3.7235992611591771</c:v>
                </c:pt>
                <c:pt idx="15">
                  <c:v>3.7235992611591771</c:v>
                </c:pt>
                <c:pt idx="16">
                  <c:v>3.7235992611591771</c:v>
                </c:pt>
                <c:pt idx="17">
                  <c:v>3.7235992611591771</c:v>
                </c:pt>
                <c:pt idx="18">
                  <c:v>3.7235992611591771</c:v>
                </c:pt>
                <c:pt idx="19">
                  <c:v>3.7235992611591771</c:v>
                </c:pt>
                <c:pt idx="20">
                  <c:v>3.7235992611591771</c:v>
                </c:pt>
                <c:pt idx="21">
                  <c:v>3.7235992611591771</c:v>
                </c:pt>
                <c:pt idx="22">
                  <c:v>3.7235992611591771</c:v>
                </c:pt>
                <c:pt idx="23">
                  <c:v>3.7235992611591771</c:v>
                </c:pt>
                <c:pt idx="24">
                  <c:v>3.7235992611591771</c:v>
                </c:pt>
                <c:pt idx="25">
                  <c:v>3.7235992611591771</c:v>
                </c:pt>
                <c:pt idx="26">
                  <c:v>3.7235992611591771</c:v>
                </c:pt>
                <c:pt idx="27">
                  <c:v>3.7235992611591771</c:v>
                </c:pt>
                <c:pt idx="28">
                  <c:v>3.7235992611591771</c:v>
                </c:pt>
                <c:pt idx="29">
                  <c:v>3.7235992611591771</c:v>
                </c:pt>
                <c:pt idx="30">
                  <c:v>3.7235992611591771</c:v>
                </c:pt>
                <c:pt idx="31">
                  <c:v>3.7235992611591771</c:v>
                </c:pt>
                <c:pt idx="32">
                  <c:v>4.2780555230109361</c:v>
                </c:pt>
                <c:pt idx="33">
                  <c:v>4.2780555230109361</c:v>
                </c:pt>
                <c:pt idx="34">
                  <c:v>4.2780555230109361</c:v>
                </c:pt>
                <c:pt idx="35">
                  <c:v>4.2780555230109361</c:v>
                </c:pt>
                <c:pt idx="36">
                  <c:v>4.2780555230109361</c:v>
                </c:pt>
                <c:pt idx="37">
                  <c:v>4.2780555230109361</c:v>
                </c:pt>
                <c:pt idx="38">
                  <c:v>4.2780555230109361</c:v>
                </c:pt>
                <c:pt idx="39">
                  <c:v>4.2780555230109361</c:v>
                </c:pt>
                <c:pt idx="40">
                  <c:v>4.2780555230109361</c:v>
                </c:pt>
                <c:pt idx="41">
                  <c:v>4.2780555230109361</c:v>
                </c:pt>
                <c:pt idx="42">
                  <c:v>4.2780555230109361</c:v>
                </c:pt>
                <c:pt idx="43">
                  <c:v>4.2780555230109361</c:v>
                </c:pt>
                <c:pt idx="44">
                  <c:v>4.2780555230109361</c:v>
                </c:pt>
                <c:pt idx="45">
                  <c:v>4.2780555230109361</c:v>
                </c:pt>
                <c:pt idx="46">
                  <c:v>4.2780555230109361</c:v>
                </c:pt>
                <c:pt idx="47">
                  <c:v>4.2780555230109361</c:v>
                </c:pt>
                <c:pt idx="48">
                  <c:v>4.2780555230109361</c:v>
                </c:pt>
                <c:pt idx="49">
                  <c:v>4.2780555230109361</c:v>
                </c:pt>
                <c:pt idx="50">
                  <c:v>4.1096593824684291</c:v>
                </c:pt>
                <c:pt idx="51">
                  <c:v>4.1096593824684291</c:v>
                </c:pt>
                <c:pt idx="52">
                  <c:v>4.1096593824684291</c:v>
                </c:pt>
                <c:pt idx="53">
                  <c:v>4.1096593824684291</c:v>
                </c:pt>
                <c:pt idx="54">
                  <c:v>4.1096593824684291</c:v>
                </c:pt>
                <c:pt idx="55">
                  <c:v>4.1096593824684291</c:v>
                </c:pt>
                <c:pt idx="56">
                  <c:v>4.1096593824684291</c:v>
                </c:pt>
                <c:pt idx="57">
                  <c:v>4.1096593824684291</c:v>
                </c:pt>
                <c:pt idx="58">
                  <c:v>4.1096593824684291</c:v>
                </c:pt>
                <c:pt idx="59">
                  <c:v>4.1096593824684291</c:v>
                </c:pt>
                <c:pt idx="60">
                  <c:v>4.1096593824684291</c:v>
                </c:pt>
                <c:pt idx="61">
                  <c:v>4.1096593824684291</c:v>
                </c:pt>
                <c:pt idx="62">
                  <c:v>4.1096593824684291</c:v>
                </c:pt>
                <c:pt idx="63">
                  <c:v>4.1096593824684291</c:v>
                </c:pt>
                <c:pt idx="64">
                  <c:v>4.1096593824684291</c:v>
                </c:pt>
                <c:pt idx="65">
                  <c:v>4.1096593824684291</c:v>
                </c:pt>
                <c:pt idx="66">
                  <c:v>4.1096593824684291</c:v>
                </c:pt>
                <c:pt idx="67">
                  <c:v>4.0855617744730992</c:v>
                </c:pt>
                <c:pt idx="68">
                  <c:v>3.422017668306041</c:v>
                </c:pt>
                <c:pt idx="69">
                  <c:v>3.422017668306041</c:v>
                </c:pt>
                <c:pt idx="70">
                  <c:v>3.422017668306041</c:v>
                </c:pt>
                <c:pt idx="71">
                  <c:v>3.422017668306041</c:v>
                </c:pt>
                <c:pt idx="72">
                  <c:v>3.422017668306041</c:v>
                </c:pt>
                <c:pt idx="73">
                  <c:v>3.422017668306041</c:v>
                </c:pt>
                <c:pt idx="74">
                  <c:v>3.422017668306041</c:v>
                </c:pt>
                <c:pt idx="75">
                  <c:v>3.422017668306041</c:v>
                </c:pt>
                <c:pt idx="76">
                  <c:v>3.422017668306041</c:v>
                </c:pt>
                <c:pt idx="77">
                  <c:v>3.422017668306041</c:v>
                </c:pt>
                <c:pt idx="78">
                  <c:v>3.422017668306041</c:v>
                </c:pt>
                <c:pt idx="79">
                  <c:v>3.422017668306041</c:v>
                </c:pt>
                <c:pt idx="80">
                  <c:v>3.422017668306041</c:v>
                </c:pt>
                <c:pt idx="81">
                  <c:v>3.422017668306041</c:v>
                </c:pt>
                <c:pt idx="82">
                  <c:v>3.422017668306041</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EBC8-4142-B284-300638C218BD}"/>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EBC8-4142-B284-300638C218BD}"/>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EBC8-4142-B284-300638C218BD}"/>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EBC8-4142-B284-300638C218BD}"/>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(XLC)</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'2025-Q1'!$BC$4:$BC$448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0.57218309859154926</c:v>
                </c:pt>
                <c:pt idx="58">
                  <c:v>0.57218309859154926</c:v>
                </c:pt>
                <c:pt idx="59">
                  <c:v>0.57218309859154926</c:v>
                </c:pt>
                <c:pt idx="60">
                  <c:v>0.57218309859154926</c:v>
                </c:pt>
                <c:pt idx="61">
                  <c:v>0.57218309859154926</c:v>
                </c:pt>
                <c:pt idx="62">
                  <c:v>0.57218309859154926</c:v>
                </c:pt>
                <c:pt idx="63">
                  <c:v>0.57218309859154926</c:v>
                </c:pt>
                <c:pt idx="64">
                  <c:v>0.57218309859154926</c:v>
                </c:pt>
                <c:pt idx="65">
                  <c:v>0.57218309859154926</c:v>
                </c:pt>
                <c:pt idx="66">
                  <c:v>0.57218309859154926</c:v>
                </c:pt>
                <c:pt idx="67">
                  <c:v>0.57218309859154926</c:v>
                </c:pt>
                <c:pt idx="68">
                  <c:v>0.57218309859154926</c:v>
                </c:pt>
                <c:pt idx="69">
                  <c:v>0.57218309859154926</c:v>
                </c:pt>
                <c:pt idx="70">
                  <c:v>0.57218309859154926</c:v>
                </c:pt>
                <c:pt idx="71">
                  <c:v>0.57218309859154926</c:v>
                </c:pt>
                <c:pt idx="72">
                  <c:v>0.57218309859154926</c:v>
                </c:pt>
                <c:pt idx="73">
                  <c:v>0.57218309859154926</c:v>
                </c:pt>
                <c:pt idx="74">
                  <c:v>0.57218309859154926</c:v>
                </c:pt>
                <c:pt idx="75">
                  <c:v>0.57218309859154926</c:v>
                </c:pt>
                <c:pt idx="76">
                  <c:v>0.57218309859154926</c:v>
                </c:pt>
                <c:pt idx="77">
                  <c:v>0.57218309859154926</c:v>
                </c:pt>
                <c:pt idx="78">
                  <c:v>0.57218309859154926</c:v>
                </c:pt>
                <c:pt idx="79">
                  <c:v>0.57218309859154926</c:v>
                </c:pt>
                <c:pt idx="80">
                  <c:v>0.57218309859154926</c:v>
                </c:pt>
                <c:pt idx="81">
                  <c:v>0.57218309859154926</c:v>
                </c:pt>
                <c:pt idx="82">
                  <c:v>0.57218309859154926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73E2-4837-99C7-F287FF0F145B}"/>
            </c:ext>
          </c:extLst>
        </c:ser>
        <c:ser>
          <c:idx val="1"/>
          <c:order val="2"/>
          <c:tx>
            <c:v>Dwn</c:v>
          </c:tx>
          <c:spPr>
            <a:ln w="28575" cap="rnd">
              <a:solidFill>
                <a:schemeClr val="accent2"/>
              </a:solidFill>
              <a:prstDash val="solid"/>
              <a:round/>
            </a:ln>
            <a:effectLst/>
          </c:spPr>
          <c:marker>
            <c:symbol val="none"/>
          </c:marker>
          <c:val>
            <c:numRef>
              <c:f>'2025-Q1'!$BE$4:$BE$448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-0.39561000510464578</c:v>
                </c:pt>
                <c:pt idx="56">
                  <c:v>-0.39561000510464578</c:v>
                </c:pt>
                <c:pt idx="57">
                  <c:v>-0.39561000510464578</c:v>
                </c:pt>
                <c:pt idx="58">
                  <c:v>-0.39561000510464578</c:v>
                </c:pt>
                <c:pt idx="59">
                  <c:v>-0.39561000510464578</c:v>
                </c:pt>
                <c:pt idx="60">
                  <c:v>-0.39561000510464578</c:v>
                </c:pt>
                <c:pt idx="61">
                  <c:v>-0.39561000510464578</c:v>
                </c:pt>
                <c:pt idx="62">
                  <c:v>-0.39561000510464578</c:v>
                </c:pt>
                <c:pt idx="63">
                  <c:v>-0.39561000510464578</c:v>
                </c:pt>
                <c:pt idx="64">
                  <c:v>-0.39561000510464578</c:v>
                </c:pt>
                <c:pt idx="65">
                  <c:v>-0.39561000510464578</c:v>
                </c:pt>
                <c:pt idx="66">
                  <c:v>-0.39561000510464578</c:v>
                </c:pt>
                <c:pt idx="67">
                  <c:v>-0.39561000510464578</c:v>
                </c:pt>
                <c:pt idx="68">
                  <c:v>-0.39561000510464578</c:v>
                </c:pt>
                <c:pt idx="69">
                  <c:v>-0.39561000510464578</c:v>
                </c:pt>
                <c:pt idx="70">
                  <c:v>-0.39561000510464578</c:v>
                </c:pt>
                <c:pt idx="71">
                  <c:v>-0.39561000510464578</c:v>
                </c:pt>
                <c:pt idx="72">
                  <c:v>-0.39561000510464578</c:v>
                </c:pt>
                <c:pt idx="73">
                  <c:v>-0.39561000510464578</c:v>
                </c:pt>
                <c:pt idx="74">
                  <c:v>-0.39561000510464578</c:v>
                </c:pt>
                <c:pt idx="75">
                  <c:v>-0.39561000510464578</c:v>
                </c:pt>
                <c:pt idx="76">
                  <c:v>-0.39561000510464578</c:v>
                </c:pt>
                <c:pt idx="77">
                  <c:v>-0.39561000510464578</c:v>
                </c:pt>
                <c:pt idx="78">
                  <c:v>-0.39561000510464578</c:v>
                </c:pt>
                <c:pt idx="79">
                  <c:v>-0.39561000510464578</c:v>
                </c:pt>
                <c:pt idx="80">
                  <c:v>-0.39561000510464578</c:v>
                </c:pt>
                <c:pt idx="81">
                  <c:v>-0.39561000510464578</c:v>
                </c:pt>
                <c:pt idx="82">
                  <c:v>-0.39561000510464578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73E2-4837-99C7-F287FF0F145B}"/>
            </c:ext>
          </c:extLst>
        </c:ser>
        <c:ser>
          <c:idx val="2"/>
          <c:order val="3"/>
          <c:tx>
            <c:v>SW</c:v>
          </c:tx>
          <c:spPr>
            <a:ln w="28575" cap="rnd">
              <a:solidFill>
                <a:srgbClr val="0070C0"/>
              </a:solidFill>
              <a:prstDash val="solid"/>
              <a:round/>
            </a:ln>
            <a:effectLst/>
          </c:spPr>
          <c:marker>
            <c:symbol val="none"/>
          </c:marker>
          <c:val>
            <c:numRef>
              <c:f>'2025-Q1'!$BG$4:$BG$448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2.4597169840247779</c:v>
                </c:pt>
                <c:pt idx="29">
                  <c:v>2.4597169840247779</c:v>
                </c:pt>
                <c:pt idx="30">
                  <c:v>2.4597169840247779</c:v>
                </c:pt>
                <c:pt idx="31">
                  <c:v>2.4597169840247779</c:v>
                </c:pt>
                <c:pt idx="32">
                  <c:v>2.4597169840247779</c:v>
                </c:pt>
                <c:pt idx="33">
                  <c:v>2.4597169840247779</c:v>
                </c:pt>
                <c:pt idx="34">
                  <c:v>2.4597169840247779</c:v>
                </c:pt>
                <c:pt idx="35">
                  <c:v>2.4597169840247779</c:v>
                </c:pt>
                <c:pt idx="36">
                  <c:v>2.4597169840247779</c:v>
                </c:pt>
                <c:pt idx="37">
                  <c:v>2.4597169840247779</c:v>
                </c:pt>
                <c:pt idx="38">
                  <c:v>2.4597169840247779</c:v>
                </c:pt>
                <c:pt idx="39">
                  <c:v>2.4597169840247779</c:v>
                </c:pt>
                <c:pt idx="40">
                  <c:v>2.4597169840247779</c:v>
                </c:pt>
                <c:pt idx="41">
                  <c:v>2.4597169840247779</c:v>
                </c:pt>
                <c:pt idx="42">
                  <c:v>2.4597169840247779</c:v>
                </c:pt>
                <c:pt idx="43">
                  <c:v>2.4597169840247779</c:v>
                </c:pt>
                <c:pt idx="44">
                  <c:v>2.4597169840247779</c:v>
                </c:pt>
                <c:pt idx="45">
                  <c:v>2.4597169840247779</c:v>
                </c:pt>
                <c:pt idx="46">
                  <c:v>2.4597169840247779</c:v>
                </c:pt>
                <c:pt idx="47">
                  <c:v>2.4597169840247779</c:v>
                </c:pt>
                <c:pt idx="48">
                  <c:v>2.4597169840247779</c:v>
                </c:pt>
                <c:pt idx="49">
                  <c:v>2.4597169840247779</c:v>
                </c:pt>
                <c:pt idx="50">
                  <c:v>2.4597169840247779</c:v>
                </c:pt>
                <c:pt idx="51">
                  <c:v>2.4597169840247779</c:v>
                </c:pt>
                <c:pt idx="52">
                  <c:v>2.4597169840247779</c:v>
                </c:pt>
                <c:pt idx="53">
                  <c:v>2.4597169840247779</c:v>
                </c:pt>
                <c:pt idx="54">
                  <c:v>2.4597169840247779</c:v>
                </c:pt>
                <c:pt idx="55">
                  <c:v>2.4597169840247779</c:v>
                </c:pt>
                <c:pt idx="56">
                  <c:v>2.4597169840247779</c:v>
                </c:pt>
                <c:pt idx="57">
                  <c:v>2.4597169840247779</c:v>
                </c:pt>
                <c:pt idx="58">
                  <c:v>2.4597169840247779</c:v>
                </c:pt>
                <c:pt idx="59">
                  <c:v>2.4597169840247779</c:v>
                </c:pt>
                <c:pt idx="60">
                  <c:v>2.4597169840247779</c:v>
                </c:pt>
                <c:pt idx="61">
                  <c:v>2.4597169840247779</c:v>
                </c:pt>
                <c:pt idx="62">
                  <c:v>2.4597169840247779</c:v>
                </c:pt>
                <c:pt idx="63">
                  <c:v>2.4597169840247779</c:v>
                </c:pt>
                <c:pt idx="64">
                  <c:v>2.4597169840247779</c:v>
                </c:pt>
                <c:pt idx="65">
                  <c:v>2.4597169840247779</c:v>
                </c:pt>
                <c:pt idx="66">
                  <c:v>2.4597169840247779</c:v>
                </c:pt>
                <c:pt idx="67">
                  <c:v>2.4597169840247779</c:v>
                </c:pt>
                <c:pt idx="68">
                  <c:v>2.4597169840247779</c:v>
                </c:pt>
                <c:pt idx="69">
                  <c:v>2.4597169840247779</c:v>
                </c:pt>
                <c:pt idx="70">
                  <c:v>2.4597169840247779</c:v>
                </c:pt>
                <c:pt idx="71">
                  <c:v>2.4597169840247779</c:v>
                </c:pt>
                <c:pt idx="72">
                  <c:v>2.4597169840247779</c:v>
                </c:pt>
                <c:pt idx="73">
                  <c:v>2.4597169840247779</c:v>
                </c:pt>
                <c:pt idx="74">
                  <c:v>2.4597169840247779</c:v>
                </c:pt>
                <c:pt idx="75">
                  <c:v>2.4597169840247779</c:v>
                </c:pt>
                <c:pt idx="76">
                  <c:v>3.730405235810978</c:v>
                </c:pt>
                <c:pt idx="77">
                  <c:v>3.730405235810978</c:v>
                </c:pt>
                <c:pt idx="78">
                  <c:v>3.730405235810978</c:v>
                </c:pt>
                <c:pt idx="79">
                  <c:v>3.730405235810978</c:v>
                </c:pt>
                <c:pt idx="80">
                  <c:v>3.730405235810978</c:v>
                </c:pt>
                <c:pt idx="81">
                  <c:v>3.730405235810978</c:v>
                </c:pt>
                <c:pt idx="82">
                  <c:v>3.730405235810978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73E2-4837-99C7-F287FF0F145B}"/>
            </c:ext>
          </c:extLst>
        </c:ser>
        <c:ser>
          <c:idx val="3"/>
          <c:order val="5"/>
          <c:tx>
            <c:v>All Three</c:v>
          </c:tx>
          <c:spPr>
            <a:ln w="38100" cap="rnd">
              <a:solidFill>
                <a:sysClr val="windowText" lastClr="000000"/>
              </a:solidFill>
              <a:round/>
            </a:ln>
            <a:effectLst/>
          </c:spPr>
          <c:marker>
            <c:symbol val="none"/>
          </c:marker>
          <c:val>
            <c:numRef>
              <c:f>'2025-Q1'!$BH$4:$BH$448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2.4597169840247779</c:v>
                </c:pt>
                <c:pt idx="29">
                  <c:v>2.4597169840247779</c:v>
                </c:pt>
                <c:pt idx="30">
                  <c:v>2.4597169840247779</c:v>
                </c:pt>
                <c:pt idx="31">
                  <c:v>2.4597169840247779</c:v>
                </c:pt>
                <c:pt idx="32">
                  <c:v>2.4597169840247779</c:v>
                </c:pt>
                <c:pt idx="33">
                  <c:v>2.4597169840247779</c:v>
                </c:pt>
                <c:pt idx="34">
                  <c:v>2.4597169840247779</c:v>
                </c:pt>
                <c:pt idx="35">
                  <c:v>2.4597169840247779</c:v>
                </c:pt>
                <c:pt idx="36">
                  <c:v>2.4597169840247779</c:v>
                </c:pt>
                <c:pt idx="37">
                  <c:v>2.4597169840247779</c:v>
                </c:pt>
                <c:pt idx="38">
                  <c:v>2.4597169840247779</c:v>
                </c:pt>
                <c:pt idx="39">
                  <c:v>2.4597169840247779</c:v>
                </c:pt>
                <c:pt idx="40">
                  <c:v>2.4597169840247779</c:v>
                </c:pt>
                <c:pt idx="41">
                  <c:v>2.4597169840247779</c:v>
                </c:pt>
                <c:pt idx="42">
                  <c:v>2.4597169840247779</c:v>
                </c:pt>
                <c:pt idx="43">
                  <c:v>2.4597169840247779</c:v>
                </c:pt>
                <c:pt idx="44">
                  <c:v>2.4597169840247779</c:v>
                </c:pt>
                <c:pt idx="45">
                  <c:v>2.4597169840247779</c:v>
                </c:pt>
                <c:pt idx="46">
                  <c:v>2.4597169840247779</c:v>
                </c:pt>
                <c:pt idx="47">
                  <c:v>2.4597169840247779</c:v>
                </c:pt>
                <c:pt idx="48">
                  <c:v>2.4597169840247779</c:v>
                </c:pt>
                <c:pt idx="49">
                  <c:v>2.4597169840247779</c:v>
                </c:pt>
                <c:pt idx="50">
                  <c:v>2.4597169840247779</c:v>
                </c:pt>
                <c:pt idx="51">
                  <c:v>2.4597169840247779</c:v>
                </c:pt>
                <c:pt idx="52">
                  <c:v>2.4597169840247779</c:v>
                </c:pt>
                <c:pt idx="53">
                  <c:v>2.4597169840247779</c:v>
                </c:pt>
                <c:pt idx="54">
                  <c:v>2.4597169840247779</c:v>
                </c:pt>
                <c:pt idx="55">
                  <c:v>2.0641069789201323</c:v>
                </c:pt>
                <c:pt idx="56">
                  <c:v>2.0641069789201323</c:v>
                </c:pt>
                <c:pt idx="57">
                  <c:v>2.6362900775116813</c:v>
                </c:pt>
                <c:pt idx="58">
                  <c:v>2.6362900775116813</c:v>
                </c:pt>
                <c:pt idx="59">
                  <c:v>2.6362900775116813</c:v>
                </c:pt>
                <c:pt idx="60">
                  <c:v>2.6362900775116813</c:v>
                </c:pt>
                <c:pt idx="61">
                  <c:v>2.6362900775116813</c:v>
                </c:pt>
                <c:pt idx="62">
                  <c:v>2.6362900775116813</c:v>
                </c:pt>
                <c:pt idx="63">
                  <c:v>2.6362900775116813</c:v>
                </c:pt>
                <c:pt idx="64">
                  <c:v>2.6362900775116813</c:v>
                </c:pt>
                <c:pt idx="65">
                  <c:v>2.6362900775116813</c:v>
                </c:pt>
                <c:pt idx="66">
                  <c:v>2.6362900775116813</c:v>
                </c:pt>
                <c:pt idx="67">
                  <c:v>2.6362900775116813</c:v>
                </c:pt>
                <c:pt idx="68">
                  <c:v>2.6362900775116813</c:v>
                </c:pt>
                <c:pt idx="69">
                  <c:v>2.6362900775116813</c:v>
                </c:pt>
                <c:pt idx="70">
                  <c:v>2.6362900775116813</c:v>
                </c:pt>
                <c:pt idx="71">
                  <c:v>2.6362900775116813</c:v>
                </c:pt>
                <c:pt idx="72">
                  <c:v>2.6362900775116813</c:v>
                </c:pt>
                <c:pt idx="73">
                  <c:v>2.6362900775116813</c:v>
                </c:pt>
                <c:pt idx="74">
                  <c:v>2.6362900775116813</c:v>
                </c:pt>
                <c:pt idx="75">
                  <c:v>2.6362900775116813</c:v>
                </c:pt>
                <c:pt idx="76">
                  <c:v>3.9069783292978819</c:v>
                </c:pt>
                <c:pt idx="77">
                  <c:v>3.9069783292978819</c:v>
                </c:pt>
                <c:pt idx="78">
                  <c:v>3.9069783292978819</c:v>
                </c:pt>
                <c:pt idx="79">
                  <c:v>3.9069783292978819</c:v>
                </c:pt>
                <c:pt idx="80">
                  <c:v>3.9069783292978819</c:v>
                </c:pt>
                <c:pt idx="81">
                  <c:v>3.9069783292978819</c:v>
                </c:pt>
                <c:pt idx="82">
                  <c:v>3.9069783292978819</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73E2-4837-99C7-F287FF0F145B}"/>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73E2-4837-99C7-F287FF0F145B}"/>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73E2-4837-99C7-F287FF0F145B}"/>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73E2-4837-99C7-F287FF0F145B}"/>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(XLI)</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'2025-Q1'!$BQ$4:$BQ$448</c:f>
              <c:numCache>
                <c:formatCode>0.00</c:formatCode>
                <c:ptCount val="445"/>
                <c:pt idx="0">
                  <c:v>0</c:v>
                </c:pt>
                <c:pt idx="1">
                  <c:v>0.96873982416150761</c:v>
                </c:pt>
                <c:pt idx="2">
                  <c:v>0.96873982416150761</c:v>
                </c:pt>
                <c:pt idx="3">
                  <c:v>0.96873982416150761</c:v>
                </c:pt>
                <c:pt idx="4">
                  <c:v>0.96873982416150761</c:v>
                </c:pt>
                <c:pt idx="5">
                  <c:v>0.96873982416150761</c:v>
                </c:pt>
                <c:pt idx="6">
                  <c:v>0.96873982416150761</c:v>
                </c:pt>
                <c:pt idx="7">
                  <c:v>0.96873982416150761</c:v>
                </c:pt>
                <c:pt idx="8">
                  <c:v>0.96873982416150761</c:v>
                </c:pt>
                <c:pt idx="9">
                  <c:v>0.96873982416150761</c:v>
                </c:pt>
                <c:pt idx="10">
                  <c:v>0.96873982416150761</c:v>
                </c:pt>
                <c:pt idx="11">
                  <c:v>0.96873982416150761</c:v>
                </c:pt>
                <c:pt idx="12">
                  <c:v>0.96873982416150761</c:v>
                </c:pt>
                <c:pt idx="13">
                  <c:v>0.96873982416150761</c:v>
                </c:pt>
                <c:pt idx="14">
                  <c:v>0.96873982416150761</c:v>
                </c:pt>
                <c:pt idx="15">
                  <c:v>0.96873982416150761</c:v>
                </c:pt>
                <c:pt idx="16">
                  <c:v>0.96873982416150761</c:v>
                </c:pt>
                <c:pt idx="17">
                  <c:v>0.96873982416150761</c:v>
                </c:pt>
                <c:pt idx="18">
                  <c:v>0.96873982416150761</c:v>
                </c:pt>
                <c:pt idx="19">
                  <c:v>0.96873982416150761</c:v>
                </c:pt>
                <c:pt idx="20">
                  <c:v>0.96873982416150761</c:v>
                </c:pt>
                <c:pt idx="21">
                  <c:v>0.96873982416150761</c:v>
                </c:pt>
                <c:pt idx="22">
                  <c:v>0.96873982416150761</c:v>
                </c:pt>
                <c:pt idx="23">
                  <c:v>0.96873982416150761</c:v>
                </c:pt>
                <c:pt idx="24">
                  <c:v>1.4969962235091621</c:v>
                </c:pt>
                <c:pt idx="25">
                  <c:v>1.4969962235091621</c:v>
                </c:pt>
                <c:pt idx="26">
                  <c:v>1.4969962235091621</c:v>
                </c:pt>
                <c:pt idx="27">
                  <c:v>1.4969962235091621</c:v>
                </c:pt>
                <c:pt idx="28">
                  <c:v>1.4969962235091621</c:v>
                </c:pt>
                <c:pt idx="29">
                  <c:v>1.4969962235091621</c:v>
                </c:pt>
                <c:pt idx="30">
                  <c:v>2.3007723123015373</c:v>
                </c:pt>
                <c:pt idx="31">
                  <c:v>2.3007723123015373</c:v>
                </c:pt>
                <c:pt idx="32">
                  <c:v>2.3007723123015373</c:v>
                </c:pt>
                <c:pt idx="33">
                  <c:v>2.3007723123015373</c:v>
                </c:pt>
                <c:pt idx="34">
                  <c:v>2.3007723123015373</c:v>
                </c:pt>
                <c:pt idx="35">
                  <c:v>2.861669748198973</c:v>
                </c:pt>
                <c:pt idx="36">
                  <c:v>2.861669748198973</c:v>
                </c:pt>
                <c:pt idx="37">
                  <c:v>2.861669748198973</c:v>
                </c:pt>
                <c:pt idx="38">
                  <c:v>2.861669748198973</c:v>
                </c:pt>
                <c:pt idx="39">
                  <c:v>2.861669748198973</c:v>
                </c:pt>
                <c:pt idx="40">
                  <c:v>2.861669748198973</c:v>
                </c:pt>
                <c:pt idx="41">
                  <c:v>2.861669748198973</c:v>
                </c:pt>
                <c:pt idx="42">
                  <c:v>2.861669748198973</c:v>
                </c:pt>
                <c:pt idx="43">
                  <c:v>2.861669748198973</c:v>
                </c:pt>
                <c:pt idx="44">
                  <c:v>2.861669748198973</c:v>
                </c:pt>
                <c:pt idx="45">
                  <c:v>4.0154886764923106</c:v>
                </c:pt>
                <c:pt idx="46">
                  <c:v>4.0154886764923106</c:v>
                </c:pt>
                <c:pt idx="47">
                  <c:v>4.0154886764923106</c:v>
                </c:pt>
                <c:pt idx="48">
                  <c:v>4.0154886764923106</c:v>
                </c:pt>
                <c:pt idx="49">
                  <c:v>4.0154886764923106</c:v>
                </c:pt>
                <c:pt idx="50">
                  <c:v>4.0154886764923106</c:v>
                </c:pt>
                <c:pt idx="51">
                  <c:v>4.0154886764923106</c:v>
                </c:pt>
                <c:pt idx="52">
                  <c:v>4.0154886764923106</c:v>
                </c:pt>
                <c:pt idx="53">
                  <c:v>4.0154886764923106</c:v>
                </c:pt>
                <c:pt idx="54">
                  <c:v>4.0154886764923106</c:v>
                </c:pt>
                <c:pt idx="55">
                  <c:v>4.0154886764923106</c:v>
                </c:pt>
                <c:pt idx="56">
                  <c:v>4.0154886764923106</c:v>
                </c:pt>
                <c:pt idx="57">
                  <c:v>4.0154886764923106</c:v>
                </c:pt>
                <c:pt idx="58">
                  <c:v>4.0154886764923106</c:v>
                </c:pt>
                <c:pt idx="59">
                  <c:v>4.0154886764923106</c:v>
                </c:pt>
                <c:pt idx="60">
                  <c:v>4.0154886764923106</c:v>
                </c:pt>
                <c:pt idx="61">
                  <c:v>4.0154886764923106</c:v>
                </c:pt>
                <c:pt idx="62">
                  <c:v>4.0154886764923106</c:v>
                </c:pt>
                <c:pt idx="63">
                  <c:v>4.0154886764923106</c:v>
                </c:pt>
                <c:pt idx="64">
                  <c:v>4.0154886764923106</c:v>
                </c:pt>
                <c:pt idx="65">
                  <c:v>4.0154886764923106</c:v>
                </c:pt>
                <c:pt idx="66">
                  <c:v>3.4468416016128636</c:v>
                </c:pt>
                <c:pt idx="67">
                  <c:v>3.4468416016128636</c:v>
                </c:pt>
                <c:pt idx="68">
                  <c:v>3.4468416016128636</c:v>
                </c:pt>
                <c:pt idx="69">
                  <c:v>3.4468416016128636</c:v>
                </c:pt>
                <c:pt idx="70">
                  <c:v>3.4468416016128636</c:v>
                </c:pt>
                <c:pt idx="71">
                  <c:v>3.4468416016128636</c:v>
                </c:pt>
                <c:pt idx="72">
                  <c:v>3.4468416016128636</c:v>
                </c:pt>
                <c:pt idx="73">
                  <c:v>3.4468416016128636</c:v>
                </c:pt>
                <c:pt idx="74">
                  <c:v>3.4468416016128636</c:v>
                </c:pt>
                <c:pt idx="75">
                  <c:v>3.4468416016128636</c:v>
                </c:pt>
                <c:pt idx="76">
                  <c:v>3.4468416016128636</c:v>
                </c:pt>
                <c:pt idx="77">
                  <c:v>3.4468416016128636</c:v>
                </c:pt>
                <c:pt idx="78">
                  <c:v>3.4468416016128636</c:v>
                </c:pt>
                <c:pt idx="79">
                  <c:v>3.7725654012396492</c:v>
                </c:pt>
                <c:pt idx="80">
                  <c:v>3.7725654012396492</c:v>
                </c:pt>
                <c:pt idx="81">
                  <c:v>3.7725654012396492</c:v>
                </c:pt>
                <c:pt idx="82">
                  <c:v>3.7725654012396492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5DD5-4FA1-AE49-D4B74D0A91B6}"/>
            </c:ext>
          </c:extLst>
        </c:ser>
        <c:ser>
          <c:idx val="1"/>
          <c:order val="2"/>
          <c:tx>
            <c:v>Dwn</c:v>
          </c:tx>
          <c:spPr>
            <a:ln w="28575" cap="rnd">
              <a:solidFill>
                <a:schemeClr val="accent2"/>
              </a:solidFill>
              <a:prstDash val="solid"/>
              <a:round/>
            </a:ln>
            <a:effectLst/>
          </c:spPr>
          <c:marker>
            <c:symbol val="none"/>
          </c:marker>
          <c:val>
            <c:numRef>
              <c:f>'2025-Q1'!$BS$4:$BS$448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-0.34773304801390975</c:v>
                </c:pt>
                <c:pt idx="19">
                  <c:v>-0.34773304801390975</c:v>
                </c:pt>
                <c:pt idx="20">
                  <c:v>-0.34773304801390975</c:v>
                </c:pt>
                <c:pt idx="21">
                  <c:v>-0.34773304801390975</c:v>
                </c:pt>
                <c:pt idx="22">
                  <c:v>-0.34773304801390975</c:v>
                </c:pt>
                <c:pt idx="23">
                  <c:v>-0.34773304801390975</c:v>
                </c:pt>
                <c:pt idx="24">
                  <c:v>-0.34773304801390975</c:v>
                </c:pt>
                <c:pt idx="25">
                  <c:v>-0.34773304801390975</c:v>
                </c:pt>
                <c:pt idx="26">
                  <c:v>-0.34773304801390975</c:v>
                </c:pt>
                <c:pt idx="27">
                  <c:v>-0.34773304801390975</c:v>
                </c:pt>
                <c:pt idx="28">
                  <c:v>-0.34773304801390975</c:v>
                </c:pt>
                <c:pt idx="29">
                  <c:v>-0.34773304801390975</c:v>
                </c:pt>
                <c:pt idx="30">
                  <c:v>-0.34773304801390975</c:v>
                </c:pt>
                <c:pt idx="31">
                  <c:v>-0.34773304801390975</c:v>
                </c:pt>
                <c:pt idx="32">
                  <c:v>-0.34773304801390975</c:v>
                </c:pt>
                <c:pt idx="33">
                  <c:v>-0.34773304801390975</c:v>
                </c:pt>
                <c:pt idx="34">
                  <c:v>-0.34773304801390975</c:v>
                </c:pt>
                <c:pt idx="35">
                  <c:v>-0.34773304801390975</c:v>
                </c:pt>
                <c:pt idx="36">
                  <c:v>-0.34773304801390975</c:v>
                </c:pt>
                <c:pt idx="37">
                  <c:v>-0.34773304801390975</c:v>
                </c:pt>
                <c:pt idx="38">
                  <c:v>-0.34773304801390975</c:v>
                </c:pt>
                <c:pt idx="39">
                  <c:v>-0.34773304801390975</c:v>
                </c:pt>
                <c:pt idx="40">
                  <c:v>-0.34773304801390975</c:v>
                </c:pt>
                <c:pt idx="41">
                  <c:v>-0.34773304801390975</c:v>
                </c:pt>
                <c:pt idx="42">
                  <c:v>-0.34773304801390975</c:v>
                </c:pt>
                <c:pt idx="43">
                  <c:v>-0.34773304801390975</c:v>
                </c:pt>
                <c:pt idx="44">
                  <c:v>-0.34773304801390975</c:v>
                </c:pt>
                <c:pt idx="45">
                  <c:v>-0.34773304801390975</c:v>
                </c:pt>
                <c:pt idx="46">
                  <c:v>-0.34773304801390975</c:v>
                </c:pt>
                <c:pt idx="47">
                  <c:v>-0.34773304801390975</c:v>
                </c:pt>
                <c:pt idx="48">
                  <c:v>-0.34773304801390975</c:v>
                </c:pt>
                <c:pt idx="49">
                  <c:v>-0.34773304801390975</c:v>
                </c:pt>
                <c:pt idx="50">
                  <c:v>-0.34773304801390975</c:v>
                </c:pt>
                <c:pt idx="51">
                  <c:v>-0.34773304801390975</c:v>
                </c:pt>
                <c:pt idx="52">
                  <c:v>-0.34773304801390975</c:v>
                </c:pt>
                <c:pt idx="53">
                  <c:v>-0.34773304801390975</c:v>
                </c:pt>
                <c:pt idx="54">
                  <c:v>-0.34773304801390975</c:v>
                </c:pt>
                <c:pt idx="55">
                  <c:v>-0.34773304801390975</c:v>
                </c:pt>
                <c:pt idx="56">
                  <c:v>-0.34773304801390975</c:v>
                </c:pt>
                <c:pt idx="57">
                  <c:v>-0.34773304801390975</c:v>
                </c:pt>
                <c:pt idx="58">
                  <c:v>-0.34773304801390975</c:v>
                </c:pt>
                <c:pt idx="59">
                  <c:v>-0.34773304801390975</c:v>
                </c:pt>
                <c:pt idx="60">
                  <c:v>-0.34773304801390975</c:v>
                </c:pt>
                <c:pt idx="61">
                  <c:v>-0.34773304801390975</c:v>
                </c:pt>
                <c:pt idx="62">
                  <c:v>0.64461012602832546</c:v>
                </c:pt>
                <c:pt idx="63">
                  <c:v>0.64461012602832546</c:v>
                </c:pt>
                <c:pt idx="64">
                  <c:v>0.64461012602832546</c:v>
                </c:pt>
                <c:pt idx="65">
                  <c:v>0.64461012602832546</c:v>
                </c:pt>
                <c:pt idx="66">
                  <c:v>0.64461012602832546</c:v>
                </c:pt>
                <c:pt idx="67">
                  <c:v>0.64461012602832546</c:v>
                </c:pt>
                <c:pt idx="68">
                  <c:v>0.64461012602832546</c:v>
                </c:pt>
                <c:pt idx="69">
                  <c:v>0.64461012602832546</c:v>
                </c:pt>
                <c:pt idx="70">
                  <c:v>0.64461012602832546</c:v>
                </c:pt>
                <c:pt idx="71">
                  <c:v>0.64461012602832546</c:v>
                </c:pt>
                <c:pt idx="72">
                  <c:v>0.64461012602832546</c:v>
                </c:pt>
                <c:pt idx="73">
                  <c:v>0.64461012602832546</c:v>
                </c:pt>
                <c:pt idx="74">
                  <c:v>0.64461012602832546</c:v>
                </c:pt>
                <c:pt idx="75">
                  <c:v>0.64461012602832546</c:v>
                </c:pt>
                <c:pt idx="76">
                  <c:v>0.64461012602832546</c:v>
                </c:pt>
                <c:pt idx="77">
                  <c:v>0.64461012602832546</c:v>
                </c:pt>
                <c:pt idx="78">
                  <c:v>0.64461012602832546</c:v>
                </c:pt>
                <c:pt idx="79">
                  <c:v>0.64461012602832546</c:v>
                </c:pt>
                <c:pt idx="80">
                  <c:v>1.2000175729313736</c:v>
                </c:pt>
                <c:pt idx="81">
                  <c:v>1.2000175729313736</c:v>
                </c:pt>
                <c:pt idx="82">
                  <c:v>1.2000175729313736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5DD5-4FA1-AE49-D4B74D0A91B6}"/>
            </c:ext>
          </c:extLst>
        </c:ser>
        <c:ser>
          <c:idx val="2"/>
          <c:order val="3"/>
          <c:tx>
            <c:v>SW</c:v>
          </c:tx>
          <c:spPr>
            <a:ln w="28575" cap="rnd">
              <a:solidFill>
                <a:srgbClr val="0070C0"/>
              </a:solidFill>
              <a:prstDash val="solid"/>
              <a:round/>
            </a:ln>
            <a:effectLst/>
          </c:spPr>
          <c:marker>
            <c:symbol val="none"/>
          </c:marker>
          <c:val>
            <c:numRef>
              <c:f>'2025-Q1'!$BU$4:$BU$448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-1.0025062656641595</c:v>
                </c:pt>
                <c:pt idx="16">
                  <c:v>-1.0025062656641595</c:v>
                </c:pt>
                <c:pt idx="17">
                  <c:v>-1.0025062656641595</c:v>
                </c:pt>
                <c:pt idx="18">
                  <c:v>-1.0025062656641595</c:v>
                </c:pt>
                <c:pt idx="19">
                  <c:v>-1.0025062656641595</c:v>
                </c:pt>
                <c:pt idx="20">
                  <c:v>-1.0025062656641595</c:v>
                </c:pt>
                <c:pt idx="21">
                  <c:v>-1.0025062656641595</c:v>
                </c:pt>
                <c:pt idx="22">
                  <c:v>-1.0025062656641595</c:v>
                </c:pt>
                <c:pt idx="23">
                  <c:v>-1.0025062656641595</c:v>
                </c:pt>
                <c:pt idx="24">
                  <c:v>-1.0025062656641595</c:v>
                </c:pt>
                <c:pt idx="25">
                  <c:v>-1.0025062656641595</c:v>
                </c:pt>
                <c:pt idx="26">
                  <c:v>-1.0025062656641595</c:v>
                </c:pt>
                <c:pt idx="27">
                  <c:v>-1.0025062656641595</c:v>
                </c:pt>
                <c:pt idx="28">
                  <c:v>-1.0025062656641595</c:v>
                </c:pt>
                <c:pt idx="29">
                  <c:v>-1.0025062656641595</c:v>
                </c:pt>
                <c:pt idx="30">
                  <c:v>-1.0025062656641595</c:v>
                </c:pt>
                <c:pt idx="31">
                  <c:v>-1.0025062656641595</c:v>
                </c:pt>
                <c:pt idx="32">
                  <c:v>-1.0025062656641595</c:v>
                </c:pt>
                <c:pt idx="33">
                  <c:v>-1.0025062656641595</c:v>
                </c:pt>
                <c:pt idx="34">
                  <c:v>-1.0025062656641595</c:v>
                </c:pt>
                <c:pt idx="35">
                  <c:v>-1.0025062656641595</c:v>
                </c:pt>
                <c:pt idx="36">
                  <c:v>-1.0025062656641595</c:v>
                </c:pt>
                <c:pt idx="37">
                  <c:v>-1.0025062656641595</c:v>
                </c:pt>
                <c:pt idx="38">
                  <c:v>-1.0025062656641595</c:v>
                </c:pt>
                <c:pt idx="39">
                  <c:v>-1.0025062656641595</c:v>
                </c:pt>
                <c:pt idx="40">
                  <c:v>-1.0025062656641595</c:v>
                </c:pt>
                <c:pt idx="41">
                  <c:v>-1.7024241638579198</c:v>
                </c:pt>
                <c:pt idx="42">
                  <c:v>-1.7024241638579198</c:v>
                </c:pt>
                <c:pt idx="43">
                  <c:v>-1.7024241638579198</c:v>
                </c:pt>
                <c:pt idx="44">
                  <c:v>-1.7024241638579198</c:v>
                </c:pt>
                <c:pt idx="45">
                  <c:v>-1.7024241638579198</c:v>
                </c:pt>
                <c:pt idx="46">
                  <c:v>-0.93553131681240131</c:v>
                </c:pt>
                <c:pt idx="47">
                  <c:v>-0.93553131681240131</c:v>
                </c:pt>
                <c:pt idx="48">
                  <c:v>-0.93553131681240131</c:v>
                </c:pt>
                <c:pt idx="49">
                  <c:v>-0.93553131681240131</c:v>
                </c:pt>
                <c:pt idx="50">
                  <c:v>-0.93553131681240131</c:v>
                </c:pt>
                <c:pt idx="51">
                  <c:v>-0.93553131681240131</c:v>
                </c:pt>
                <c:pt idx="52">
                  <c:v>-0.93553131681240131</c:v>
                </c:pt>
                <c:pt idx="53">
                  <c:v>-1.737432118713206</c:v>
                </c:pt>
                <c:pt idx="54">
                  <c:v>-1.737432118713206</c:v>
                </c:pt>
                <c:pt idx="55">
                  <c:v>-1.737432118713206</c:v>
                </c:pt>
                <c:pt idx="56">
                  <c:v>-1.737432118713206</c:v>
                </c:pt>
                <c:pt idx="57">
                  <c:v>-1.737432118713206</c:v>
                </c:pt>
                <c:pt idx="58">
                  <c:v>-1.737432118713206</c:v>
                </c:pt>
                <c:pt idx="59">
                  <c:v>-1.737432118713206</c:v>
                </c:pt>
                <c:pt idx="60">
                  <c:v>-1.737432118713206</c:v>
                </c:pt>
                <c:pt idx="61">
                  <c:v>-0.92109198809878245</c:v>
                </c:pt>
                <c:pt idx="62">
                  <c:v>-0.92109198809878245</c:v>
                </c:pt>
                <c:pt idx="63">
                  <c:v>-0.33591272342648226</c:v>
                </c:pt>
                <c:pt idx="64">
                  <c:v>-0.33591272342648226</c:v>
                </c:pt>
                <c:pt idx="65">
                  <c:v>-0.33591272342648226</c:v>
                </c:pt>
                <c:pt idx="66">
                  <c:v>-0.33591272342648226</c:v>
                </c:pt>
                <c:pt idx="67">
                  <c:v>-0.33591272342648226</c:v>
                </c:pt>
                <c:pt idx="68">
                  <c:v>-0.33591272342648226</c:v>
                </c:pt>
                <c:pt idx="69">
                  <c:v>-0.33591272342648226</c:v>
                </c:pt>
                <c:pt idx="70">
                  <c:v>-0.33591272342648226</c:v>
                </c:pt>
                <c:pt idx="71">
                  <c:v>-0.33591272342648226</c:v>
                </c:pt>
                <c:pt idx="72">
                  <c:v>-0.33591272342648226</c:v>
                </c:pt>
                <c:pt idx="73">
                  <c:v>-0.33591272342648226</c:v>
                </c:pt>
                <c:pt idx="74">
                  <c:v>-0.33591272342648226</c:v>
                </c:pt>
                <c:pt idx="75">
                  <c:v>-0.33591272342648226</c:v>
                </c:pt>
                <c:pt idx="76">
                  <c:v>-0.33591272342648226</c:v>
                </c:pt>
                <c:pt idx="77">
                  <c:v>-0.33591272342648226</c:v>
                </c:pt>
                <c:pt idx="78">
                  <c:v>-0.33591272342648226</c:v>
                </c:pt>
                <c:pt idx="79">
                  <c:v>-0.33591272342648226</c:v>
                </c:pt>
                <c:pt idx="80">
                  <c:v>-0.33591272342648226</c:v>
                </c:pt>
                <c:pt idx="81">
                  <c:v>0.48447408697301153</c:v>
                </c:pt>
                <c:pt idx="82">
                  <c:v>0.48447408697301153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5DD5-4FA1-AE49-D4B74D0A91B6}"/>
            </c:ext>
          </c:extLst>
        </c:ser>
        <c:ser>
          <c:idx val="3"/>
          <c:order val="5"/>
          <c:tx>
            <c:v>All Three</c:v>
          </c:tx>
          <c:spPr>
            <a:ln w="38100" cap="rnd">
              <a:solidFill>
                <a:sysClr val="windowText" lastClr="000000"/>
              </a:solidFill>
              <a:round/>
            </a:ln>
            <a:effectLst/>
          </c:spPr>
          <c:marker>
            <c:symbol val="none"/>
          </c:marker>
          <c:val>
            <c:numRef>
              <c:f>'2025-Q1'!$BV$4:$BV$448</c:f>
              <c:numCache>
                <c:formatCode>0.00</c:formatCode>
                <c:ptCount val="445"/>
                <c:pt idx="0">
                  <c:v>0</c:v>
                </c:pt>
                <c:pt idx="1">
                  <c:v>0.96873982416150761</c:v>
                </c:pt>
                <c:pt idx="2">
                  <c:v>0.96873982416150761</c:v>
                </c:pt>
                <c:pt idx="3">
                  <c:v>0.96873982416150761</c:v>
                </c:pt>
                <c:pt idx="4">
                  <c:v>0.96873982416150761</c:v>
                </c:pt>
                <c:pt idx="5">
                  <c:v>0.96873982416150761</c:v>
                </c:pt>
                <c:pt idx="6">
                  <c:v>0.96873982416150761</c:v>
                </c:pt>
                <c:pt idx="7">
                  <c:v>0.96873982416150761</c:v>
                </c:pt>
                <c:pt idx="8">
                  <c:v>0.96873982416150761</c:v>
                </c:pt>
                <c:pt idx="9">
                  <c:v>0.96873982416150761</c:v>
                </c:pt>
                <c:pt idx="10">
                  <c:v>0.96873982416150761</c:v>
                </c:pt>
                <c:pt idx="11">
                  <c:v>0.96873982416150761</c:v>
                </c:pt>
                <c:pt idx="12">
                  <c:v>0.96873982416150761</c:v>
                </c:pt>
                <c:pt idx="13">
                  <c:v>0.96873982416150761</c:v>
                </c:pt>
                <c:pt idx="14">
                  <c:v>0.96873982416150761</c:v>
                </c:pt>
                <c:pt idx="15">
                  <c:v>-3.3766441502651845E-2</c:v>
                </c:pt>
                <c:pt idx="16">
                  <c:v>-3.3766441502651845E-2</c:v>
                </c:pt>
                <c:pt idx="17">
                  <c:v>-3.3766441502651845E-2</c:v>
                </c:pt>
                <c:pt idx="18">
                  <c:v>-0.38149948951656165</c:v>
                </c:pt>
                <c:pt idx="19">
                  <c:v>-0.38149948951656165</c:v>
                </c:pt>
                <c:pt idx="20">
                  <c:v>-0.38149948951656165</c:v>
                </c:pt>
                <c:pt idx="21">
                  <c:v>-0.38149948951656165</c:v>
                </c:pt>
                <c:pt idx="22">
                  <c:v>-0.38149948951656165</c:v>
                </c:pt>
                <c:pt idx="23">
                  <c:v>-0.38149948951656165</c:v>
                </c:pt>
                <c:pt idx="24">
                  <c:v>0.14675690983109269</c:v>
                </c:pt>
                <c:pt idx="25">
                  <c:v>0.14675690983109269</c:v>
                </c:pt>
                <c:pt idx="26">
                  <c:v>0.14675690983109269</c:v>
                </c:pt>
                <c:pt idx="27">
                  <c:v>0.14675690983109269</c:v>
                </c:pt>
                <c:pt idx="28">
                  <c:v>0.14675690983109269</c:v>
                </c:pt>
                <c:pt idx="29">
                  <c:v>0.14675690983109269</c:v>
                </c:pt>
                <c:pt idx="30">
                  <c:v>0.95053299862346796</c:v>
                </c:pt>
                <c:pt idx="31">
                  <c:v>0.95053299862346796</c:v>
                </c:pt>
                <c:pt idx="32">
                  <c:v>0.95053299862346796</c:v>
                </c:pt>
                <c:pt idx="33">
                  <c:v>0.95053299862346796</c:v>
                </c:pt>
                <c:pt idx="34">
                  <c:v>0.95053299862346796</c:v>
                </c:pt>
                <c:pt idx="35">
                  <c:v>1.5114304345209035</c:v>
                </c:pt>
                <c:pt idx="36">
                  <c:v>1.5114304345209035</c:v>
                </c:pt>
                <c:pt idx="37">
                  <c:v>1.5114304345209035</c:v>
                </c:pt>
                <c:pt idx="38">
                  <c:v>1.5114304345209035</c:v>
                </c:pt>
                <c:pt idx="39">
                  <c:v>1.5114304345209035</c:v>
                </c:pt>
                <c:pt idx="40">
                  <c:v>1.5114304345209035</c:v>
                </c:pt>
                <c:pt idx="41">
                  <c:v>0.81151253632714349</c:v>
                </c:pt>
                <c:pt idx="42">
                  <c:v>0.81151253632714349</c:v>
                </c:pt>
                <c:pt idx="43">
                  <c:v>0.81151253632714349</c:v>
                </c:pt>
                <c:pt idx="44">
                  <c:v>0.81151253632714349</c:v>
                </c:pt>
                <c:pt idx="45">
                  <c:v>1.9653314646204811</c:v>
                </c:pt>
                <c:pt idx="46">
                  <c:v>2.7322243116659992</c:v>
                </c:pt>
                <c:pt idx="47">
                  <c:v>2.7322243116659992</c:v>
                </c:pt>
                <c:pt idx="48">
                  <c:v>2.7322243116659992</c:v>
                </c:pt>
                <c:pt idx="49">
                  <c:v>2.7322243116659992</c:v>
                </c:pt>
                <c:pt idx="50">
                  <c:v>2.7322243116659992</c:v>
                </c:pt>
                <c:pt idx="51">
                  <c:v>2.7322243116659992</c:v>
                </c:pt>
                <c:pt idx="52">
                  <c:v>2.7322243116659992</c:v>
                </c:pt>
                <c:pt idx="53">
                  <c:v>1.930323509765195</c:v>
                </c:pt>
                <c:pt idx="54">
                  <c:v>1.930323509765195</c:v>
                </c:pt>
                <c:pt idx="55">
                  <c:v>1.930323509765195</c:v>
                </c:pt>
                <c:pt idx="56">
                  <c:v>1.930323509765195</c:v>
                </c:pt>
                <c:pt idx="57">
                  <c:v>1.930323509765195</c:v>
                </c:pt>
                <c:pt idx="58">
                  <c:v>1.930323509765195</c:v>
                </c:pt>
                <c:pt idx="59">
                  <c:v>1.930323509765195</c:v>
                </c:pt>
                <c:pt idx="60">
                  <c:v>1.930323509765195</c:v>
                </c:pt>
                <c:pt idx="61">
                  <c:v>2.7466636403796185</c:v>
                </c:pt>
                <c:pt idx="62">
                  <c:v>3.7390068144218533</c:v>
                </c:pt>
                <c:pt idx="63">
                  <c:v>4.3241860790941535</c:v>
                </c:pt>
                <c:pt idx="64">
                  <c:v>4.3241860790941535</c:v>
                </c:pt>
                <c:pt idx="65">
                  <c:v>4.3241860790941535</c:v>
                </c:pt>
                <c:pt idx="66">
                  <c:v>3.7555390042147065</c:v>
                </c:pt>
                <c:pt idx="67">
                  <c:v>3.7555390042147065</c:v>
                </c:pt>
                <c:pt idx="68">
                  <c:v>3.7555390042147065</c:v>
                </c:pt>
                <c:pt idx="69">
                  <c:v>3.7555390042147065</c:v>
                </c:pt>
                <c:pt idx="70">
                  <c:v>3.7555390042147065</c:v>
                </c:pt>
                <c:pt idx="71">
                  <c:v>3.7555390042147065</c:v>
                </c:pt>
                <c:pt idx="72">
                  <c:v>3.7555390042147065</c:v>
                </c:pt>
                <c:pt idx="73">
                  <c:v>3.7555390042147065</c:v>
                </c:pt>
                <c:pt idx="74">
                  <c:v>3.7555390042147065</c:v>
                </c:pt>
                <c:pt idx="75">
                  <c:v>3.7555390042147065</c:v>
                </c:pt>
                <c:pt idx="76">
                  <c:v>3.7555390042147065</c:v>
                </c:pt>
                <c:pt idx="77">
                  <c:v>3.7555390042147065</c:v>
                </c:pt>
                <c:pt idx="78">
                  <c:v>3.7555390042147065</c:v>
                </c:pt>
                <c:pt idx="79">
                  <c:v>4.0812628038414918</c:v>
                </c:pt>
                <c:pt idx="80">
                  <c:v>4.6366702507445403</c:v>
                </c:pt>
                <c:pt idx="81">
                  <c:v>5.4570570611440337</c:v>
                </c:pt>
                <c:pt idx="82">
                  <c:v>5.4570570611440337</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5DD5-4FA1-AE49-D4B74D0A91B6}"/>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5DD5-4FA1-AE49-D4B74D0A91B6}"/>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5DD5-4FA1-AE49-D4B74D0A91B6}"/>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5DD5-4FA1-AE49-D4B74D0A91B6}"/>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(XLV)</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'2025-Q1'!$BX$4:$BX$448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-0.73275720435053893</c:v>
                </c:pt>
                <c:pt idx="52">
                  <c:v>-0.73275720435053893</c:v>
                </c:pt>
                <c:pt idx="53">
                  <c:v>-0.73275720435053893</c:v>
                </c:pt>
                <c:pt idx="54">
                  <c:v>-0.73275720435053893</c:v>
                </c:pt>
                <c:pt idx="55">
                  <c:v>-0.73275720435053893</c:v>
                </c:pt>
                <c:pt idx="56">
                  <c:v>-0.73275720435053893</c:v>
                </c:pt>
                <c:pt idx="57">
                  <c:v>-0.73275720435053893</c:v>
                </c:pt>
                <c:pt idx="58">
                  <c:v>-0.73275720435053893</c:v>
                </c:pt>
                <c:pt idx="59">
                  <c:v>-0.73275720435053893</c:v>
                </c:pt>
                <c:pt idx="60">
                  <c:v>-0.73275720435053893</c:v>
                </c:pt>
                <c:pt idx="61">
                  <c:v>-0.73275720435053893</c:v>
                </c:pt>
                <c:pt idx="62">
                  <c:v>-0.73275720435053893</c:v>
                </c:pt>
                <c:pt idx="63">
                  <c:v>-0.73275720435053893</c:v>
                </c:pt>
                <c:pt idx="64">
                  <c:v>-0.73275720435053893</c:v>
                </c:pt>
                <c:pt idx="65">
                  <c:v>-0.73275720435053893</c:v>
                </c:pt>
                <c:pt idx="66">
                  <c:v>-0.73275720435053893</c:v>
                </c:pt>
                <c:pt idx="67">
                  <c:v>-0.73275720435053893</c:v>
                </c:pt>
                <c:pt idx="68">
                  <c:v>-0.73275720435053893</c:v>
                </c:pt>
                <c:pt idx="69">
                  <c:v>-0.73275720435053893</c:v>
                </c:pt>
                <c:pt idx="70">
                  <c:v>-0.73275720435053893</c:v>
                </c:pt>
                <c:pt idx="71">
                  <c:v>-0.73275720435053893</c:v>
                </c:pt>
                <c:pt idx="72">
                  <c:v>-0.73275720435053893</c:v>
                </c:pt>
                <c:pt idx="73">
                  <c:v>-0.73275720435053893</c:v>
                </c:pt>
                <c:pt idx="74">
                  <c:v>-0.73275720435053893</c:v>
                </c:pt>
                <c:pt idx="75">
                  <c:v>-0.73275720435053893</c:v>
                </c:pt>
                <c:pt idx="76">
                  <c:v>-0.73275720435053893</c:v>
                </c:pt>
                <c:pt idx="77">
                  <c:v>-0.73275720435053893</c:v>
                </c:pt>
                <c:pt idx="78">
                  <c:v>-0.73275720435053893</c:v>
                </c:pt>
                <c:pt idx="79">
                  <c:v>-0.73275720435053893</c:v>
                </c:pt>
                <c:pt idx="80">
                  <c:v>-0.73275720435053893</c:v>
                </c:pt>
                <c:pt idx="81">
                  <c:v>-0.73275720435053893</c:v>
                </c:pt>
                <c:pt idx="82">
                  <c:v>-0.73275720435053893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2ABD-4318-B417-168281218F10}"/>
            </c:ext>
          </c:extLst>
        </c:ser>
        <c:ser>
          <c:idx val="1"/>
          <c:order val="2"/>
          <c:tx>
            <c:v>Dwn</c:v>
          </c:tx>
          <c:spPr>
            <a:ln w="28575" cap="rnd">
              <a:solidFill>
                <a:schemeClr val="accent2"/>
              </a:solidFill>
              <a:prstDash val="solid"/>
              <a:round/>
            </a:ln>
            <a:effectLst/>
          </c:spPr>
          <c:marker>
            <c:symbol val="none"/>
          </c:marker>
          <c:val>
            <c:numRef>
              <c:f>'2025-Q1'!$BZ$4:$BZ$448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0.46686916413544804</c:v>
                </c:pt>
                <c:pt idx="34">
                  <c:v>0.46686916413544804</c:v>
                </c:pt>
                <c:pt idx="35">
                  <c:v>0.46686916413544804</c:v>
                </c:pt>
                <c:pt idx="36">
                  <c:v>0.46686916413544804</c:v>
                </c:pt>
                <c:pt idx="37">
                  <c:v>0.46686916413544804</c:v>
                </c:pt>
                <c:pt idx="38">
                  <c:v>0.46686916413544804</c:v>
                </c:pt>
                <c:pt idx="39">
                  <c:v>0.46686916413544804</c:v>
                </c:pt>
                <c:pt idx="40">
                  <c:v>0.46686916413544804</c:v>
                </c:pt>
                <c:pt idx="41">
                  <c:v>0.46686916413544804</c:v>
                </c:pt>
                <c:pt idx="42">
                  <c:v>0.46686916413544804</c:v>
                </c:pt>
                <c:pt idx="43">
                  <c:v>0.46686916413544804</c:v>
                </c:pt>
                <c:pt idx="44">
                  <c:v>0.46686916413544804</c:v>
                </c:pt>
                <c:pt idx="45">
                  <c:v>0.46686916413544804</c:v>
                </c:pt>
                <c:pt idx="46">
                  <c:v>0.46686916413544804</c:v>
                </c:pt>
                <c:pt idx="47">
                  <c:v>0.46686916413544804</c:v>
                </c:pt>
                <c:pt idx="48">
                  <c:v>0.46686916413544804</c:v>
                </c:pt>
                <c:pt idx="49">
                  <c:v>0.46686916413544804</c:v>
                </c:pt>
                <c:pt idx="50">
                  <c:v>0.46686916413544804</c:v>
                </c:pt>
                <c:pt idx="51">
                  <c:v>0.46686916413544804</c:v>
                </c:pt>
                <c:pt idx="52">
                  <c:v>0.46686916413544804</c:v>
                </c:pt>
                <c:pt idx="53">
                  <c:v>0.46686916413544804</c:v>
                </c:pt>
                <c:pt idx="54">
                  <c:v>0.46686916413544804</c:v>
                </c:pt>
                <c:pt idx="55">
                  <c:v>0.46686916413544804</c:v>
                </c:pt>
                <c:pt idx="56">
                  <c:v>0.46686916413544804</c:v>
                </c:pt>
                <c:pt idx="57">
                  <c:v>0.46686916413544804</c:v>
                </c:pt>
                <c:pt idx="58">
                  <c:v>0.46686916413544804</c:v>
                </c:pt>
                <c:pt idx="59">
                  <c:v>0.46686916413544804</c:v>
                </c:pt>
                <c:pt idx="60">
                  <c:v>0.46686916413544804</c:v>
                </c:pt>
                <c:pt idx="61">
                  <c:v>0.46686916413544804</c:v>
                </c:pt>
                <c:pt idx="62">
                  <c:v>0.46686916413544804</c:v>
                </c:pt>
                <c:pt idx="63">
                  <c:v>0.46686916413544804</c:v>
                </c:pt>
                <c:pt idx="64">
                  <c:v>0.46686916413544804</c:v>
                </c:pt>
                <c:pt idx="65">
                  <c:v>0.46686916413544804</c:v>
                </c:pt>
                <c:pt idx="66">
                  <c:v>0.46686916413544804</c:v>
                </c:pt>
                <c:pt idx="67">
                  <c:v>0.46686916413544804</c:v>
                </c:pt>
                <c:pt idx="68">
                  <c:v>0.46686916413544804</c:v>
                </c:pt>
                <c:pt idx="69">
                  <c:v>0.46686916413544804</c:v>
                </c:pt>
                <c:pt idx="70">
                  <c:v>0.46686916413544804</c:v>
                </c:pt>
                <c:pt idx="71">
                  <c:v>0.46686916413544804</c:v>
                </c:pt>
                <c:pt idx="72">
                  <c:v>0.46686916413544804</c:v>
                </c:pt>
                <c:pt idx="73">
                  <c:v>0.46686916413544804</c:v>
                </c:pt>
                <c:pt idx="74">
                  <c:v>0.46686916413544804</c:v>
                </c:pt>
                <c:pt idx="75">
                  <c:v>0.46686916413544804</c:v>
                </c:pt>
                <c:pt idx="76">
                  <c:v>0.46686916413544804</c:v>
                </c:pt>
                <c:pt idx="77">
                  <c:v>0.46686916413544804</c:v>
                </c:pt>
                <c:pt idx="78">
                  <c:v>0.46686916413544804</c:v>
                </c:pt>
                <c:pt idx="79">
                  <c:v>0.46686916413544804</c:v>
                </c:pt>
                <c:pt idx="80">
                  <c:v>0.46686916413544804</c:v>
                </c:pt>
                <c:pt idx="81">
                  <c:v>0.46686916413544804</c:v>
                </c:pt>
                <c:pt idx="82">
                  <c:v>0.46686916413544804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2ABD-4318-B417-168281218F10}"/>
            </c:ext>
          </c:extLst>
        </c:ser>
        <c:ser>
          <c:idx val="2"/>
          <c:order val="3"/>
          <c:tx>
            <c:v>SW</c:v>
          </c:tx>
          <c:spPr>
            <a:ln w="28575" cap="rnd">
              <a:solidFill>
                <a:srgbClr val="0070C0"/>
              </a:solidFill>
              <a:prstDash val="solid"/>
              <a:round/>
            </a:ln>
            <a:effectLst/>
          </c:spPr>
          <c:marker>
            <c:symbol val="none"/>
          </c:marker>
          <c:val>
            <c:numRef>
              <c:f>'2025-Q1'!$CB$4:$CB$448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-0.37959870993521366</c:v>
                </c:pt>
                <c:pt idx="35">
                  <c:v>-0.37959870993521366</c:v>
                </c:pt>
                <c:pt idx="36">
                  <c:v>-0.37959870993521366</c:v>
                </c:pt>
                <c:pt idx="37">
                  <c:v>-0.37959870993521366</c:v>
                </c:pt>
                <c:pt idx="38">
                  <c:v>-0.37959870993521366</c:v>
                </c:pt>
                <c:pt idx="39">
                  <c:v>-0.37959870993521366</c:v>
                </c:pt>
                <c:pt idx="40">
                  <c:v>-0.37959870993521366</c:v>
                </c:pt>
                <c:pt idx="41">
                  <c:v>-0.37959870993521366</c:v>
                </c:pt>
                <c:pt idx="42">
                  <c:v>-0.37959870993521366</c:v>
                </c:pt>
                <c:pt idx="43">
                  <c:v>-0.37959870993521366</c:v>
                </c:pt>
                <c:pt idx="44">
                  <c:v>-0.37959870993521366</c:v>
                </c:pt>
                <c:pt idx="45">
                  <c:v>-0.37959870993521366</c:v>
                </c:pt>
                <c:pt idx="46">
                  <c:v>-0.37959870993521366</c:v>
                </c:pt>
                <c:pt idx="47">
                  <c:v>-0.37959870993521366</c:v>
                </c:pt>
                <c:pt idx="48">
                  <c:v>-0.37959870993521366</c:v>
                </c:pt>
                <c:pt idx="49">
                  <c:v>-0.37959870993521366</c:v>
                </c:pt>
                <c:pt idx="50">
                  <c:v>-0.37959870993521366</c:v>
                </c:pt>
                <c:pt idx="51">
                  <c:v>-0.37959870993521366</c:v>
                </c:pt>
                <c:pt idx="52">
                  <c:v>-0.37959870993521366</c:v>
                </c:pt>
                <c:pt idx="53">
                  <c:v>-0.37959870993521366</c:v>
                </c:pt>
                <c:pt idx="54">
                  <c:v>-0.37959870993521366</c:v>
                </c:pt>
                <c:pt idx="55">
                  <c:v>-0.37959870993521366</c:v>
                </c:pt>
                <c:pt idx="56">
                  <c:v>-0.45285090237845554</c:v>
                </c:pt>
                <c:pt idx="57">
                  <c:v>-0.45285090237845554</c:v>
                </c:pt>
                <c:pt idx="58">
                  <c:v>-0.45285090237845554</c:v>
                </c:pt>
                <c:pt idx="59">
                  <c:v>-0.45285090237845554</c:v>
                </c:pt>
                <c:pt idx="60">
                  <c:v>-0.45285090237845554</c:v>
                </c:pt>
                <c:pt idx="61">
                  <c:v>-0.45285090237845554</c:v>
                </c:pt>
                <c:pt idx="62">
                  <c:v>-0.45285090237845554</c:v>
                </c:pt>
                <c:pt idx="63">
                  <c:v>-0.45285090237845554</c:v>
                </c:pt>
                <c:pt idx="64">
                  <c:v>-0.45285090237845554</c:v>
                </c:pt>
                <c:pt idx="65">
                  <c:v>-0.45285090237845554</c:v>
                </c:pt>
                <c:pt idx="66">
                  <c:v>-0.45285090237845554</c:v>
                </c:pt>
                <c:pt idx="67">
                  <c:v>-0.45285090237845554</c:v>
                </c:pt>
                <c:pt idx="68">
                  <c:v>-0.45285090237845554</c:v>
                </c:pt>
                <c:pt idx="69">
                  <c:v>-0.45285090237845554</c:v>
                </c:pt>
                <c:pt idx="70">
                  <c:v>-0.45285090237845554</c:v>
                </c:pt>
                <c:pt idx="71">
                  <c:v>-0.45917761375388166</c:v>
                </c:pt>
                <c:pt idx="72">
                  <c:v>-0.45917761375388166</c:v>
                </c:pt>
                <c:pt idx="73">
                  <c:v>-0.45917761375388166</c:v>
                </c:pt>
                <c:pt idx="74">
                  <c:v>-0.45917761375388166</c:v>
                </c:pt>
                <c:pt idx="75">
                  <c:v>-0.45917761375388166</c:v>
                </c:pt>
                <c:pt idx="76">
                  <c:v>-0.45917761375388166</c:v>
                </c:pt>
                <c:pt idx="77">
                  <c:v>-1.3212929569860741</c:v>
                </c:pt>
                <c:pt idx="78">
                  <c:v>-1.3212929569860741</c:v>
                </c:pt>
                <c:pt idx="79">
                  <c:v>-1.3212929569860741</c:v>
                </c:pt>
                <c:pt idx="80">
                  <c:v>-1.3212929569860741</c:v>
                </c:pt>
                <c:pt idx="81">
                  <c:v>-1.3212929569860741</c:v>
                </c:pt>
                <c:pt idx="82">
                  <c:v>-1.3212929569860741</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2ABD-4318-B417-168281218F10}"/>
            </c:ext>
          </c:extLst>
        </c:ser>
        <c:ser>
          <c:idx val="3"/>
          <c:order val="5"/>
          <c:tx>
            <c:v>All Three</c:v>
          </c:tx>
          <c:spPr>
            <a:ln w="38100" cap="rnd">
              <a:solidFill>
                <a:sysClr val="windowText" lastClr="000000"/>
              </a:solidFill>
              <a:round/>
            </a:ln>
            <a:effectLst/>
          </c:spPr>
          <c:marker>
            <c:symbol val="none"/>
          </c:marker>
          <c:val>
            <c:numRef>
              <c:f>'2025-Q1'!$CC$4:$CC$448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0.46686916413544804</c:v>
                </c:pt>
                <c:pt idx="34">
                  <c:v>8.7270454200234382E-2</c:v>
                </c:pt>
                <c:pt idx="35">
                  <c:v>8.7270454200234382E-2</c:v>
                </c:pt>
                <c:pt idx="36">
                  <c:v>8.7270454200234382E-2</c:v>
                </c:pt>
                <c:pt idx="37">
                  <c:v>8.7270454200234382E-2</c:v>
                </c:pt>
                <c:pt idx="38">
                  <c:v>8.7270454200234382E-2</c:v>
                </c:pt>
                <c:pt idx="39">
                  <c:v>8.7270454200234382E-2</c:v>
                </c:pt>
                <c:pt idx="40">
                  <c:v>8.7270454200234382E-2</c:v>
                </c:pt>
                <c:pt idx="41">
                  <c:v>8.7270454200234382E-2</c:v>
                </c:pt>
                <c:pt idx="42">
                  <c:v>8.7270454200234382E-2</c:v>
                </c:pt>
                <c:pt idx="43">
                  <c:v>8.7270454200234382E-2</c:v>
                </c:pt>
                <c:pt idx="44">
                  <c:v>8.7270454200234382E-2</c:v>
                </c:pt>
                <c:pt idx="45">
                  <c:v>8.7270454200234382E-2</c:v>
                </c:pt>
                <c:pt idx="46">
                  <c:v>8.7270454200234382E-2</c:v>
                </c:pt>
                <c:pt idx="47">
                  <c:v>8.7270454200234382E-2</c:v>
                </c:pt>
                <c:pt idx="48">
                  <c:v>8.7270454200234382E-2</c:v>
                </c:pt>
                <c:pt idx="49">
                  <c:v>8.7270454200234382E-2</c:v>
                </c:pt>
                <c:pt idx="50">
                  <c:v>8.7270454200234382E-2</c:v>
                </c:pt>
                <c:pt idx="51">
                  <c:v>-0.64548675015030454</c:v>
                </c:pt>
                <c:pt idx="52">
                  <c:v>-0.64548675015030454</c:v>
                </c:pt>
                <c:pt idx="53">
                  <c:v>-0.64548675015030454</c:v>
                </c:pt>
                <c:pt idx="54">
                  <c:v>-0.64548675015030454</c:v>
                </c:pt>
                <c:pt idx="55">
                  <c:v>-0.64548675015030454</c:v>
                </c:pt>
                <c:pt idx="56">
                  <c:v>-0.71873894259354643</c:v>
                </c:pt>
                <c:pt idx="57">
                  <c:v>-0.71873894259354643</c:v>
                </c:pt>
                <c:pt idx="58">
                  <c:v>-0.71873894259354643</c:v>
                </c:pt>
                <c:pt idx="59">
                  <c:v>-0.71873894259354643</c:v>
                </c:pt>
                <c:pt idx="60">
                  <c:v>-0.71873894259354643</c:v>
                </c:pt>
                <c:pt idx="61">
                  <c:v>-0.71873894259354643</c:v>
                </c:pt>
                <c:pt idx="62">
                  <c:v>-0.71873894259354643</c:v>
                </c:pt>
                <c:pt idx="63">
                  <c:v>-0.71873894259354643</c:v>
                </c:pt>
                <c:pt idx="64">
                  <c:v>-0.71873894259354643</c:v>
                </c:pt>
                <c:pt idx="65">
                  <c:v>-0.71873894259354643</c:v>
                </c:pt>
                <c:pt idx="66">
                  <c:v>-0.71873894259354643</c:v>
                </c:pt>
                <c:pt idx="67">
                  <c:v>-0.71873894259354643</c:v>
                </c:pt>
                <c:pt idx="68">
                  <c:v>-0.71873894259354643</c:v>
                </c:pt>
                <c:pt idx="69">
                  <c:v>-0.71873894259354643</c:v>
                </c:pt>
                <c:pt idx="70">
                  <c:v>-0.71873894259354643</c:v>
                </c:pt>
                <c:pt idx="71">
                  <c:v>-0.7250656539689726</c:v>
                </c:pt>
                <c:pt idx="72">
                  <c:v>-0.7250656539689726</c:v>
                </c:pt>
                <c:pt idx="73">
                  <c:v>-0.7250656539689726</c:v>
                </c:pt>
                <c:pt idx="74">
                  <c:v>-0.7250656539689726</c:v>
                </c:pt>
                <c:pt idx="75">
                  <c:v>-0.7250656539689726</c:v>
                </c:pt>
                <c:pt idx="76">
                  <c:v>-0.7250656539689726</c:v>
                </c:pt>
                <c:pt idx="77">
                  <c:v>-1.5871809972011648</c:v>
                </c:pt>
                <c:pt idx="78">
                  <c:v>-1.5871809972011648</c:v>
                </c:pt>
                <c:pt idx="79">
                  <c:v>-1.5871809972011648</c:v>
                </c:pt>
                <c:pt idx="80">
                  <c:v>-1.5871809972011648</c:v>
                </c:pt>
                <c:pt idx="81">
                  <c:v>-1.5871809972011648</c:v>
                </c:pt>
                <c:pt idx="82">
                  <c:v>-1.5871809972011648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2ABD-4318-B417-168281218F10}"/>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2ABD-4318-B417-168281218F10}"/>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2ABD-4318-B417-168281218F10}"/>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2ABD-4318-B417-168281218F10}"/>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(XLB)</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'2025-Q1'!$CE$4:$CE$448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8B10-4F45-997A-CD7B20248F9C}"/>
            </c:ext>
          </c:extLst>
        </c:ser>
        <c:ser>
          <c:idx val="1"/>
          <c:order val="2"/>
          <c:tx>
            <c:v>Dwn</c:v>
          </c:tx>
          <c:spPr>
            <a:ln w="28575" cap="rnd">
              <a:solidFill>
                <a:schemeClr val="accent2"/>
              </a:solidFill>
              <a:prstDash val="solid"/>
              <a:round/>
            </a:ln>
            <a:effectLst/>
          </c:spPr>
          <c:marker>
            <c:symbol val="none"/>
          </c:marker>
          <c:val>
            <c:numRef>
              <c:f>'2025-Q1'!$CG$4:$CG$448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0.41783917455444924</c:v>
                </c:pt>
                <c:pt idx="49">
                  <c:v>0.41783917455444924</c:v>
                </c:pt>
                <c:pt idx="50">
                  <c:v>0.41783917455444924</c:v>
                </c:pt>
                <c:pt idx="51">
                  <c:v>0.41783917455444924</c:v>
                </c:pt>
                <c:pt idx="52">
                  <c:v>0.41783917455444924</c:v>
                </c:pt>
                <c:pt idx="53">
                  <c:v>0.41783917455444924</c:v>
                </c:pt>
                <c:pt idx="54">
                  <c:v>0.41783917455444924</c:v>
                </c:pt>
                <c:pt idx="55">
                  <c:v>0.41783917455444924</c:v>
                </c:pt>
                <c:pt idx="56">
                  <c:v>0.41783917455444924</c:v>
                </c:pt>
                <c:pt idx="57">
                  <c:v>0.41783917455444924</c:v>
                </c:pt>
                <c:pt idx="58">
                  <c:v>0.41783917455444924</c:v>
                </c:pt>
                <c:pt idx="59">
                  <c:v>0.41783917455444924</c:v>
                </c:pt>
                <c:pt idx="60">
                  <c:v>0.41783917455444924</c:v>
                </c:pt>
                <c:pt idx="61">
                  <c:v>0.41783917455444924</c:v>
                </c:pt>
                <c:pt idx="62">
                  <c:v>0.41783917455444924</c:v>
                </c:pt>
                <c:pt idx="63">
                  <c:v>0.41783917455444924</c:v>
                </c:pt>
                <c:pt idx="64">
                  <c:v>0.41783917455444924</c:v>
                </c:pt>
                <c:pt idx="65">
                  <c:v>0.41783917455444924</c:v>
                </c:pt>
                <c:pt idx="66">
                  <c:v>0.41783917455444924</c:v>
                </c:pt>
                <c:pt idx="67">
                  <c:v>0.41783917455444924</c:v>
                </c:pt>
                <c:pt idx="68">
                  <c:v>0.41783917455444924</c:v>
                </c:pt>
                <c:pt idx="69">
                  <c:v>0.41783917455444924</c:v>
                </c:pt>
                <c:pt idx="70">
                  <c:v>0.41783917455444924</c:v>
                </c:pt>
                <c:pt idx="71">
                  <c:v>0.41783917455444924</c:v>
                </c:pt>
                <c:pt idx="72">
                  <c:v>0.41783917455444924</c:v>
                </c:pt>
                <c:pt idx="73">
                  <c:v>0.41783917455444924</c:v>
                </c:pt>
                <c:pt idx="74">
                  <c:v>0.41783917455444924</c:v>
                </c:pt>
                <c:pt idx="75">
                  <c:v>0.41783917455444924</c:v>
                </c:pt>
                <c:pt idx="76">
                  <c:v>0.41783917455444924</c:v>
                </c:pt>
                <c:pt idx="77">
                  <c:v>0.41783917455444924</c:v>
                </c:pt>
                <c:pt idx="78">
                  <c:v>0.41783917455444924</c:v>
                </c:pt>
                <c:pt idx="79">
                  <c:v>0.41783917455444924</c:v>
                </c:pt>
                <c:pt idx="80">
                  <c:v>0.41783917455444924</c:v>
                </c:pt>
                <c:pt idx="81">
                  <c:v>0.41783917455444924</c:v>
                </c:pt>
                <c:pt idx="82">
                  <c:v>0.41783917455444924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8B10-4F45-997A-CD7B20248F9C}"/>
            </c:ext>
          </c:extLst>
        </c:ser>
        <c:ser>
          <c:idx val="2"/>
          <c:order val="3"/>
          <c:tx>
            <c:v>SW</c:v>
          </c:tx>
          <c:spPr>
            <a:ln w="28575" cap="rnd">
              <a:solidFill>
                <a:srgbClr val="0070C0"/>
              </a:solidFill>
              <a:prstDash val="solid"/>
              <a:round/>
            </a:ln>
            <a:effectLst/>
          </c:spPr>
          <c:marker>
            <c:symbol val="none"/>
          </c:marker>
          <c:val>
            <c:numRef>
              <c:f>'2025-Q1'!$CI$4:$CI$448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-0.25632679632191468</c:v>
                </c:pt>
                <c:pt idx="45">
                  <c:v>-0.25632679632191468</c:v>
                </c:pt>
                <c:pt idx="46">
                  <c:v>-0.25632679632191468</c:v>
                </c:pt>
                <c:pt idx="47">
                  <c:v>-0.25632679632191468</c:v>
                </c:pt>
                <c:pt idx="48">
                  <c:v>-0.25632679632191468</c:v>
                </c:pt>
                <c:pt idx="49">
                  <c:v>-0.25632679632191468</c:v>
                </c:pt>
                <c:pt idx="50">
                  <c:v>-0.25632679632191468</c:v>
                </c:pt>
                <c:pt idx="51">
                  <c:v>-0.25632679632191468</c:v>
                </c:pt>
                <c:pt idx="52">
                  <c:v>-0.25632679632191468</c:v>
                </c:pt>
                <c:pt idx="53">
                  <c:v>-0.25632679632191468</c:v>
                </c:pt>
                <c:pt idx="54">
                  <c:v>-0.25632679632191468</c:v>
                </c:pt>
                <c:pt idx="55">
                  <c:v>-0.25632679632191468</c:v>
                </c:pt>
                <c:pt idx="56">
                  <c:v>-0.25632679632191468</c:v>
                </c:pt>
                <c:pt idx="57">
                  <c:v>-0.25632679632191468</c:v>
                </c:pt>
                <c:pt idx="58">
                  <c:v>-0.25632679632191468</c:v>
                </c:pt>
                <c:pt idx="59">
                  <c:v>-0.25632679632191468</c:v>
                </c:pt>
                <c:pt idx="60">
                  <c:v>-0.25632679632191468</c:v>
                </c:pt>
                <c:pt idx="61">
                  <c:v>-0.25632679632191468</c:v>
                </c:pt>
                <c:pt idx="62">
                  <c:v>-0.25632679632191468</c:v>
                </c:pt>
                <c:pt idx="63">
                  <c:v>-0.25632679632191468</c:v>
                </c:pt>
                <c:pt idx="64">
                  <c:v>-0.25632679632191468</c:v>
                </c:pt>
                <c:pt idx="65">
                  <c:v>-0.25632679632191468</c:v>
                </c:pt>
                <c:pt idx="66">
                  <c:v>-0.25632679632191468</c:v>
                </c:pt>
                <c:pt idx="67">
                  <c:v>-0.25632679632191468</c:v>
                </c:pt>
                <c:pt idx="68">
                  <c:v>-0.25632679632191468</c:v>
                </c:pt>
                <c:pt idx="69">
                  <c:v>-0.25632679632191468</c:v>
                </c:pt>
                <c:pt idx="70">
                  <c:v>-0.25632679632191468</c:v>
                </c:pt>
                <c:pt idx="71">
                  <c:v>-0.25632679632191468</c:v>
                </c:pt>
                <c:pt idx="72">
                  <c:v>-0.25632679632191468</c:v>
                </c:pt>
                <c:pt idx="73">
                  <c:v>-0.25632679632191468</c:v>
                </c:pt>
                <c:pt idx="74">
                  <c:v>-1.5363346259711188</c:v>
                </c:pt>
                <c:pt idx="75">
                  <c:v>-1.5363346259711188</c:v>
                </c:pt>
                <c:pt idx="76">
                  <c:v>-1.5363346259711188</c:v>
                </c:pt>
                <c:pt idx="77">
                  <c:v>-1.5363346259711188</c:v>
                </c:pt>
                <c:pt idx="78">
                  <c:v>-1.5363346259711188</c:v>
                </c:pt>
                <c:pt idx="79">
                  <c:v>-1.5363346259711188</c:v>
                </c:pt>
                <c:pt idx="80">
                  <c:v>-1.5363346259711188</c:v>
                </c:pt>
                <c:pt idx="81">
                  <c:v>-1.5363346259711188</c:v>
                </c:pt>
                <c:pt idx="82">
                  <c:v>-1.5363346259711188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8B10-4F45-997A-CD7B20248F9C}"/>
            </c:ext>
          </c:extLst>
        </c:ser>
        <c:ser>
          <c:idx val="3"/>
          <c:order val="5"/>
          <c:tx>
            <c:v>All Three</c:v>
          </c:tx>
          <c:spPr>
            <a:ln w="38100" cap="rnd">
              <a:solidFill>
                <a:sysClr val="windowText" lastClr="000000"/>
              </a:solidFill>
              <a:round/>
            </a:ln>
            <a:effectLst/>
          </c:spPr>
          <c:marker>
            <c:symbol val="none"/>
          </c:marker>
          <c:val>
            <c:numRef>
              <c:f>'2025-Q1'!$CJ$4:$CJ$448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-0.25632679632191468</c:v>
                </c:pt>
                <c:pt idx="45">
                  <c:v>-0.25632679632191468</c:v>
                </c:pt>
                <c:pt idx="46">
                  <c:v>-0.25632679632191468</c:v>
                </c:pt>
                <c:pt idx="47">
                  <c:v>-0.25632679632191468</c:v>
                </c:pt>
                <c:pt idx="48">
                  <c:v>0.16151237823253456</c:v>
                </c:pt>
                <c:pt idx="49">
                  <c:v>0.16151237823253456</c:v>
                </c:pt>
                <c:pt idx="50">
                  <c:v>0.16151237823253456</c:v>
                </c:pt>
                <c:pt idx="51">
                  <c:v>0.16151237823253456</c:v>
                </c:pt>
                <c:pt idx="52">
                  <c:v>0.16151237823253456</c:v>
                </c:pt>
                <c:pt idx="53">
                  <c:v>0.16151237823253456</c:v>
                </c:pt>
                <c:pt idx="54">
                  <c:v>0.16151237823253456</c:v>
                </c:pt>
                <c:pt idx="55">
                  <c:v>0.16151237823253456</c:v>
                </c:pt>
                <c:pt idx="56">
                  <c:v>0.16151237823253456</c:v>
                </c:pt>
                <c:pt idx="57">
                  <c:v>0.16151237823253456</c:v>
                </c:pt>
                <c:pt idx="58">
                  <c:v>0.16151237823253456</c:v>
                </c:pt>
                <c:pt idx="59">
                  <c:v>0.16151237823253456</c:v>
                </c:pt>
                <c:pt idx="60">
                  <c:v>0.16151237823253456</c:v>
                </c:pt>
                <c:pt idx="61">
                  <c:v>0.16151237823253456</c:v>
                </c:pt>
                <c:pt idx="62">
                  <c:v>0.16151237823253456</c:v>
                </c:pt>
                <c:pt idx="63">
                  <c:v>0.16151237823253456</c:v>
                </c:pt>
                <c:pt idx="64">
                  <c:v>0.16151237823253456</c:v>
                </c:pt>
                <c:pt idx="65">
                  <c:v>0.16151237823253456</c:v>
                </c:pt>
                <c:pt idx="66">
                  <c:v>0.16151237823253456</c:v>
                </c:pt>
                <c:pt idx="67">
                  <c:v>0.16151237823253456</c:v>
                </c:pt>
                <c:pt idx="68">
                  <c:v>0.16151237823253456</c:v>
                </c:pt>
                <c:pt idx="69">
                  <c:v>0.16151237823253456</c:v>
                </c:pt>
                <c:pt idx="70">
                  <c:v>0.16151237823253456</c:v>
                </c:pt>
                <c:pt idx="71">
                  <c:v>0.16151237823253456</c:v>
                </c:pt>
                <c:pt idx="72">
                  <c:v>0.16151237823253456</c:v>
                </c:pt>
                <c:pt idx="73">
                  <c:v>0.16151237823253456</c:v>
                </c:pt>
                <c:pt idx="74">
                  <c:v>-1.1184954514166696</c:v>
                </c:pt>
                <c:pt idx="75">
                  <c:v>-1.1184954514166696</c:v>
                </c:pt>
                <c:pt idx="76">
                  <c:v>-1.1184954514166696</c:v>
                </c:pt>
                <c:pt idx="77">
                  <c:v>-1.1184954514166696</c:v>
                </c:pt>
                <c:pt idx="78">
                  <c:v>-1.1184954514166696</c:v>
                </c:pt>
                <c:pt idx="79">
                  <c:v>-1.1184954514166696</c:v>
                </c:pt>
                <c:pt idx="80">
                  <c:v>-1.1184954514166696</c:v>
                </c:pt>
                <c:pt idx="81">
                  <c:v>-1.1184954514166696</c:v>
                </c:pt>
                <c:pt idx="82">
                  <c:v>-1.1184954514166696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8B10-4F45-997A-CD7B20248F9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8B10-4F45-997A-CD7B20248F9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8B10-4F45-997A-CD7B20248F9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8B10-4F45-997A-CD7B20248F9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(SMH)</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'2025-Q1'!$CL$4:$CL$448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CCEC-4BD8-9508-C56E4326B937}"/>
            </c:ext>
          </c:extLst>
        </c:ser>
        <c:ser>
          <c:idx val="1"/>
          <c:order val="2"/>
          <c:tx>
            <c:v>Dwn</c:v>
          </c:tx>
          <c:spPr>
            <a:ln w="28575" cap="rnd">
              <a:solidFill>
                <a:schemeClr val="accent2"/>
              </a:solidFill>
              <a:prstDash val="solid"/>
              <a:round/>
            </a:ln>
            <a:effectLst/>
          </c:spPr>
          <c:marker>
            <c:symbol val="none"/>
          </c:marker>
          <c:val>
            <c:numRef>
              <c:f>'2025-Q1'!$CN$4:$CN$448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CCEC-4BD8-9508-C56E4326B937}"/>
            </c:ext>
          </c:extLst>
        </c:ser>
        <c:ser>
          <c:idx val="2"/>
          <c:order val="3"/>
          <c:tx>
            <c:v>SW</c:v>
          </c:tx>
          <c:spPr>
            <a:ln w="28575" cap="rnd">
              <a:solidFill>
                <a:srgbClr val="0070C0"/>
              </a:solidFill>
              <a:prstDash val="solid"/>
              <a:round/>
            </a:ln>
            <a:effectLst/>
          </c:spPr>
          <c:marker>
            <c:symbol val="none"/>
          </c:marker>
          <c:val>
            <c:numRef>
              <c:f>'2025-Q1'!$CP$4:$CP$448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-0.8814781582839023</c:v>
                </c:pt>
                <c:pt idx="53">
                  <c:v>-0.8814781582839023</c:v>
                </c:pt>
                <c:pt idx="54">
                  <c:v>-0.8814781582839023</c:v>
                </c:pt>
                <c:pt idx="55">
                  <c:v>-0.8814781582839023</c:v>
                </c:pt>
                <c:pt idx="56">
                  <c:v>-0.8814781582839023</c:v>
                </c:pt>
                <c:pt idx="57">
                  <c:v>-0.8814781582839023</c:v>
                </c:pt>
                <c:pt idx="58">
                  <c:v>-0.8814781582839023</c:v>
                </c:pt>
                <c:pt idx="59">
                  <c:v>-0.8814781582839023</c:v>
                </c:pt>
                <c:pt idx="60">
                  <c:v>-0.8814781582839023</c:v>
                </c:pt>
                <c:pt idx="61">
                  <c:v>-0.8814781582839023</c:v>
                </c:pt>
                <c:pt idx="62">
                  <c:v>-0.8814781582839023</c:v>
                </c:pt>
                <c:pt idx="63">
                  <c:v>-0.8814781582839023</c:v>
                </c:pt>
                <c:pt idx="64">
                  <c:v>-0.8814781582839023</c:v>
                </c:pt>
                <c:pt idx="65">
                  <c:v>-0.8814781582839023</c:v>
                </c:pt>
                <c:pt idx="66">
                  <c:v>-0.8814781582839023</c:v>
                </c:pt>
                <c:pt idx="67">
                  <c:v>-0.8814781582839023</c:v>
                </c:pt>
                <c:pt idx="68">
                  <c:v>-0.8814781582839023</c:v>
                </c:pt>
                <c:pt idx="69">
                  <c:v>-0.8814781582839023</c:v>
                </c:pt>
                <c:pt idx="70">
                  <c:v>-0.8814781582839023</c:v>
                </c:pt>
                <c:pt idx="71">
                  <c:v>-0.8814781582839023</c:v>
                </c:pt>
                <c:pt idx="72">
                  <c:v>-0.8814781582839023</c:v>
                </c:pt>
                <c:pt idx="73">
                  <c:v>-0.8814781582839023</c:v>
                </c:pt>
                <c:pt idx="74">
                  <c:v>-0.8814781582839023</c:v>
                </c:pt>
                <c:pt idx="75">
                  <c:v>-0.8814781582839023</c:v>
                </c:pt>
                <c:pt idx="76">
                  <c:v>-0.8814781582839023</c:v>
                </c:pt>
                <c:pt idx="77">
                  <c:v>-0.8814781582839023</c:v>
                </c:pt>
                <c:pt idx="78">
                  <c:v>-0.8814781582839023</c:v>
                </c:pt>
                <c:pt idx="79">
                  <c:v>-0.8814781582839023</c:v>
                </c:pt>
                <c:pt idx="80">
                  <c:v>-0.8814781582839023</c:v>
                </c:pt>
                <c:pt idx="81">
                  <c:v>-0.8814781582839023</c:v>
                </c:pt>
                <c:pt idx="82">
                  <c:v>-0.8814781582839023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CCEC-4BD8-9508-C56E4326B937}"/>
            </c:ext>
          </c:extLst>
        </c:ser>
        <c:ser>
          <c:idx val="3"/>
          <c:order val="5"/>
          <c:tx>
            <c:v>All Three</c:v>
          </c:tx>
          <c:spPr>
            <a:ln w="38100" cap="rnd">
              <a:solidFill>
                <a:sysClr val="windowText" lastClr="000000"/>
              </a:solidFill>
              <a:round/>
            </a:ln>
            <a:effectLst/>
          </c:spPr>
          <c:marker>
            <c:symbol val="none"/>
          </c:marker>
          <c:val>
            <c:numRef>
              <c:f>'2025-Q1'!$CQ$4:$CQ$448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-0.8814781582839023</c:v>
                </c:pt>
                <c:pt idx="53">
                  <c:v>-0.8814781582839023</c:v>
                </c:pt>
                <c:pt idx="54">
                  <c:v>-0.8814781582839023</c:v>
                </c:pt>
                <c:pt idx="55">
                  <c:v>-0.8814781582839023</c:v>
                </c:pt>
                <c:pt idx="56">
                  <c:v>-0.8814781582839023</c:v>
                </c:pt>
                <c:pt idx="57">
                  <c:v>-0.8814781582839023</c:v>
                </c:pt>
                <c:pt idx="58">
                  <c:v>-0.8814781582839023</c:v>
                </c:pt>
                <c:pt idx="59">
                  <c:v>-0.8814781582839023</c:v>
                </c:pt>
                <c:pt idx="60">
                  <c:v>-0.8814781582839023</c:v>
                </c:pt>
                <c:pt idx="61">
                  <c:v>-0.8814781582839023</c:v>
                </c:pt>
                <c:pt idx="62">
                  <c:v>-0.8814781582839023</c:v>
                </c:pt>
                <c:pt idx="63">
                  <c:v>-0.8814781582839023</c:v>
                </c:pt>
                <c:pt idx="64">
                  <c:v>-0.8814781582839023</c:v>
                </c:pt>
                <c:pt idx="65">
                  <c:v>-0.8814781582839023</c:v>
                </c:pt>
                <c:pt idx="66">
                  <c:v>-0.8814781582839023</c:v>
                </c:pt>
                <c:pt idx="67">
                  <c:v>-0.8814781582839023</c:v>
                </c:pt>
                <c:pt idx="68">
                  <c:v>-0.8814781582839023</c:v>
                </c:pt>
                <c:pt idx="69">
                  <c:v>-0.8814781582839023</c:v>
                </c:pt>
                <c:pt idx="70">
                  <c:v>-0.8814781582839023</c:v>
                </c:pt>
                <c:pt idx="71">
                  <c:v>-0.8814781582839023</c:v>
                </c:pt>
                <c:pt idx="72">
                  <c:v>-0.8814781582839023</c:v>
                </c:pt>
                <c:pt idx="73">
                  <c:v>-0.8814781582839023</c:v>
                </c:pt>
                <c:pt idx="74">
                  <c:v>-0.8814781582839023</c:v>
                </c:pt>
                <c:pt idx="75">
                  <c:v>-0.8814781582839023</c:v>
                </c:pt>
                <c:pt idx="76">
                  <c:v>-0.8814781582839023</c:v>
                </c:pt>
                <c:pt idx="77">
                  <c:v>-0.8814781582839023</c:v>
                </c:pt>
                <c:pt idx="78">
                  <c:v>-0.8814781582839023</c:v>
                </c:pt>
                <c:pt idx="79">
                  <c:v>-0.8814781582839023</c:v>
                </c:pt>
                <c:pt idx="80">
                  <c:v>-0.8814781582839023</c:v>
                </c:pt>
                <c:pt idx="81">
                  <c:v>-0.8814781582839023</c:v>
                </c:pt>
                <c:pt idx="82">
                  <c:v>-0.8814781582839023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CCEC-4BD8-9508-C56E4326B937}"/>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CCEC-4BD8-9508-C56E4326B937}"/>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CCEC-4BD8-9508-C56E4326B937}"/>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CCEC-4BD8-9508-C56E4326B937}"/>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(XLE)</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'2025-Q1'!$CS$4:$CS$448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2E46-40D7-92F2-A6C06678F79C}"/>
            </c:ext>
          </c:extLst>
        </c:ser>
        <c:ser>
          <c:idx val="1"/>
          <c:order val="2"/>
          <c:tx>
            <c:v>Dwn</c:v>
          </c:tx>
          <c:spPr>
            <a:ln w="28575" cap="rnd">
              <a:solidFill>
                <a:schemeClr val="accent2"/>
              </a:solidFill>
              <a:prstDash val="solid"/>
              <a:round/>
            </a:ln>
            <a:effectLst/>
          </c:spPr>
          <c:marker>
            <c:symbol val="none"/>
          </c:marker>
          <c:val>
            <c:numRef>
              <c:f>'2025-Q1'!$CU$4:$CU$448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-0.42995051512938903</c:v>
                </c:pt>
                <c:pt idx="18">
                  <c:v>-0.42995051512938903</c:v>
                </c:pt>
                <c:pt idx="19">
                  <c:v>-0.42995051512938903</c:v>
                </c:pt>
                <c:pt idx="20">
                  <c:v>-0.42995051512938903</c:v>
                </c:pt>
                <c:pt idx="21">
                  <c:v>-0.42995051512938903</c:v>
                </c:pt>
                <c:pt idx="22">
                  <c:v>-0.42995051512938903</c:v>
                </c:pt>
                <c:pt idx="23">
                  <c:v>-0.42995051512938903</c:v>
                </c:pt>
                <c:pt idx="24">
                  <c:v>-0.42995051512938903</c:v>
                </c:pt>
                <c:pt idx="25">
                  <c:v>-0.42995051512938903</c:v>
                </c:pt>
                <c:pt idx="26">
                  <c:v>-0.42995051512938903</c:v>
                </c:pt>
                <c:pt idx="27">
                  <c:v>-0.42995051512938903</c:v>
                </c:pt>
                <c:pt idx="28">
                  <c:v>-0.42995051512938903</c:v>
                </c:pt>
                <c:pt idx="29">
                  <c:v>-0.42995051512938903</c:v>
                </c:pt>
                <c:pt idx="30">
                  <c:v>-0.42995051512938903</c:v>
                </c:pt>
                <c:pt idx="31">
                  <c:v>-0.42995051512938903</c:v>
                </c:pt>
                <c:pt idx="32">
                  <c:v>-0.42995051512938903</c:v>
                </c:pt>
                <c:pt idx="33">
                  <c:v>-0.42995051512938903</c:v>
                </c:pt>
                <c:pt idx="34">
                  <c:v>-0.42995051512938903</c:v>
                </c:pt>
                <c:pt idx="35">
                  <c:v>-0.42995051512938903</c:v>
                </c:pt>
                <c:pt idx="36">
                  <c:v>-0.42995051512938903</c:v>
                </c:pt>
                <c:pt idx="37">
                  <c:v>-0.42995051512938903</c:v>
                </c:pt>
                <c:pt idx="38">
                  <c:v>-0.42995051512938903</c:v>
                </c:pt>
                <c:pt idx="39">
                  <c:v>-0.13081968772223007</c:v>
                </c:pt>
                <c:pt idx="40">
                  <c:v>-0.13081968772223007</c:v>
                </c:pt>
                <c:pt idx="41">
                  <c:v>-0.13081968772223007</c:v>
                </c:pt>
                <c:pt idx="42">
                  <c:v>-0.13081968772223007</c:v>
                </c:pt>
                <c:pt idx="43">
                  <c:v>-0.13081968772223007</c:v>
                </c:pt>
                <c:pt idx="44">
                  <c:v>-0.13081968772223007</c:v>
                </c:pt>
                <c:pt idx="45">
                  <c:v>-0.13081968772223007</c:v>
                </c:pt>
                <c:pt idx="46">
                  <c:v>-0.13081968772223007</c:v>
                </c:pt>
                <c:pt idx="47">
                  <c:v>-0.13081968772223007</c:v>
                </c:pt>
                <c:pt idx="48">
                  <c:v>-0.13081968772223007</c:v>
                </c:pt>
                <c:pt idx="49">
                  <c:v>-0.13081968772223007</c:v>
                </c:pt>
                <c:pt idx="50">
                  <c:v>-0.13081968772223007</c:v>
                </c:pt>
                <c:pt idx="51">
                  <c:v>-0.13081968772223007</c:v>
                </c:pt>
                <c:pt idx="52">
                  <c:v>-0.13081968772223007</c:v>
                </c:pt>
                <c:pt idx="53">
                  <c:v>-0.13081968772223007</c:v>
                </c:pt>
                <c:pt idx="54">
                  <c:v>-0.13081968772223007</c:v>
                </c:pt>
                <c:pt idx="55">
                  <c:v>-0.13081968772223007</c:v>
                </c:pt>
                <c:pt idx="56">
                  <c:v>-0.13081968772223007</c:v>
                </c:pt>
                <c:pt idx="57">
                  <c:v>-0.13081968772223007</c:v>
                </c:pt>
                <c:pt idx="58">
                  <c:v>-0.13081968772223007</c:v>
                </c:pt>
                <c:pt idx="59">
                  <c:v>-0.13081968772223007</c:v>
                </c:pt>
                <c:pt idx="60">
                  <c:v>-0.13081968772223007</c:v>
                </c:pt>
                <c:pt idx="61">
                  <c:v>-0.13081968772223007</c:v>
                </c:pt>
                <c:pt idx="62">
                  <c:v>-0.13081968772223007</c:v>
                </c:pt>
                <c:pt idx="63">
                  <c:v>-0.13081968772223007</c:v>
                </c:pt>
                <c:pt idx="64">
                  <c:v>-0.13081968772223007</c:v>
                </c:pt>
                <c:pt idx="65">
                  <c:v>-0.13081968772223007</c:v>
                </c:pt>
                <c:pt idx="66">
                  <c:v>-0.13081968772223007</c:v>
                </c:pt>
                <c:pt idx="67">
                  <c:v>-0.13081968772223007</c:v>
                </c:pt>
                <c:pt idx="68">
                  <c:v>-0.13081968772223007</c:v>
                </c:pt>
                <c:pt idx="69">
                  <c:v>-0.13081968772223007</c:v>
                </c:pt>
                <c:pt idx="70">
                  <c:v>-0.13081968772223007</c:v>
                </c:pt>
                <c:pt idx="71">
                  <c:v>-0.13081968772223007</c:v>
                </c:pt>
                <c:pt idx="72">
                  <c:v>-0.13081968772223007</c:v>
                </c:pt>
                <c:pt idx="73">
                  <c:v>-0.13081968772223007</c:v>
                </c:pt>
                <c:pt idx="74">
                  <c:v>-0.13081968772223007</c:v>
                </c:pt>
                <c:pt idx="75">
                  <c:v>-0.13081968772223007</c:v>
                </c:pt>
                <c:pt idx="76">
                  <c:v>-0.13081968772223007</c:v>
                </c:pt>
                <c:pt idx="77">
                  <c:v>-0.13081968772223007</c:v>
                </c:pt>
                <c:pt idx="78">
                  <c:v>-0.13081968772223007</c:v>
                </c:pt>
                <c:pt idx="79">
                  <c:v>-0.13081968772223007</c:v>
                </c:pt>
                <c:pt idx="80">
                  <c:v>-0.13081968772223007</c:v>
                </c:pt>
                <c:pt idx="81">
                  <c:v>-0.13081968772223007</c:v>
                </c:pt>
                <c:pt idx="82">
                  <c:v>-0.13081968772223007</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2E46-40D7-92F2-A6C06678F79C}"/>
            </c:ext>
          </c:extLst>
        </c:ser>
        <c:ser>
          <c:idx val="2"/>
          <c:order val="3"/>
          <c:tx>
            <c:v>SW</c:v>
          </c:tx>
          <c:spPr>
            <a:ln w="28575" cap="rnd">
              <a:solidFill>
                <a:srgbClr val="0070C0"/>
              </a:solidFill>
              <a:prstDash val="solid"/>
              <a:round/>
            </a:ln>
            <a:effectLst/>
          </c:spPr>
          <c:marker>
            <c:symbol val="none"/>
          </c:marker>
          <c:val>
            <c:numRef>
              <c:f>'2025-Q1'!$CW$4:$CW$448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0.28156811782542707</c:v>
                </c:pt>
                <c:pt idx="43">
                  <c:v>0.28156811782542707</c:v>
                </c:pt>
                <c:pt idx="44">
                  <c:v>0.28156811782542707</c:v>
                </c:pt>
                <c:pt idx="45">
                  <c:v>0.28156811782542707</c:v>
                </c:pt>
                <c:pt idx="46">
                  <c:v>0.28156811782542707</c:v>
                </c:pt>
                <c:pt idx="47">
                  <c:v>0.28156811782542707</c:v>
                </c:pt>
                <c:pt idx="48">
                  <c:v>0.28156811782542707</c:v>
                </c:pt>
                <c:pt idx="49">
                  <c:v>0.28156811782542707</c:v>
                </c:pt>
                <c:pt idx="50">
                  <c:v>0.28156811782542707</c:v>
                </c:pt>
                <c:pt idx="51">
                  <c:v>0.28156811782542707</c:v>
                </c:pt>
                <c:pt idx="52">
                  <c:v>0.28156811782542707</c:v>
                </c:pt>
                <c:pt idx="53">
                  <c:v>0.28156811782542707</c:v>
                </c:pt>
                <c:pt idx="54">
                  <c:v>0.28156811782542707</c:v>
                </c:pt>
                <c:pt idx="55">
                  <c:v>0.28156811782542707</c:v>
                </c:pt>
                <c:pt idx="56">
                  <c:v>0.28156811782542707</c:v>
                </c:pt>
                <c:pt idx="57">
                  <c:v>0.28156811782542707</c:v>
                </c:pt>
                <c:pt idx="58">
                  <c:v>0.28156811782542707</c:v>
                </c:pt>
                <c:pt idx="59">
                  <c:v>0.28156811782542707</c:v>
                </c:pt>
                <c:pt idx="60">
                  <c:v>0.28156811782542707</c:v>
                </c:pt>
                <c:pt idx="61">
                  <c:v>0.28156811782542707</c:v>
                </c:pt>
                <c:pt idx="62">
                  <c:v>0.28156811782542707</c:v>
                </c:pt>
                <c:pt idx="63">
                  <c:v>0.28156811782542707</c:v>
                </c:pt>
                <c:pt idx="64">
                  <c:v>0.28156811782542707</c:v>
                </c:pt>
                <c:pt idx="65">
                  <c:v>0.28156811782542707</c:v>
                </c:pt>
                <c:pt idx="66">
                  <c:v>0.28156811782542707</c:v>
                </c:pt>
                <c:pt idx="67">
                  <c:v>0.28156811782542707</c:v>
                </c:pt>
                <c:pt idx="68">
                  <c:v>0.28156811782542707</c:v>
                </c:pt>
                <c:pt idx="69">
                  <c:v>0.28156811782542707</c:v>
                </c:pt>
                <c:pt idx="70">
                  <c:v>0.28156811782542707</c:v>
                </c:pt>
                <c:pt idx="71">
                  <c:v>0.28156811782542707</c:v>
                </c:pt>
                <c:pt idx="72">
                  <c:v>0.28156811782542707</c:v>
                </c:pt>
                <c:pt idx="73">
                  <c:v>0.28156811782542707</c:v>
                </c:pt>
                <c:pt idx="74">
                  <c:v>0.28156811782542707</c:v>
                </c:pt>
                <c:pt idx="75">
                  <c:v>0.28156811782542707</c:v>
                </c:pt>
                <c:pt idx="76">
                  <c:v>0.28156811782542707</c:v>
                </c:pt>
                <c:pt idx="77">
                  <c:v>0.28156811782542707</c:v>
                </c:pt>
                <c:pt idx="78">
                  <c:v>0.28156811782542707</c:v>
                </c:pt>
                <c:pt idx="79">
                  <c:v>0.28156811782542707</c:v>
                </c:pt>
                <c:pt idx="80">
                  <c:v>0.28156811782542707</c:v>
                </c:pt>
                <c:pt idx="81">
                  <c:v>0.28156811782542707</c:v>
                </c:pt>
                <c:pt idx="82">
                  <c:v>0.28156811782542707</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2E46-40D7-92F2-A6C06678F79C}"/>
            </c:ext>
          </c:extLst>
        </c:ser>
        <c:ser>
          <c:idx val="3"/>
          <c:order val="5"/>
          <c:tx>
            <c:v>All Three</c:v>
          </c:tx>
          <c:spPr>
            <a:ln w="38100" cap="rnd">
              <a:solidFill>
                <a:sysClr val="windowText" lastClr="000000"/>
              </a:solidFill>
              <a:round/>
            </a:ln>
            <a:effectLst/>
          </c:spPr>
          <c:marker>
            <c:symbol val="none"/>
          </c:marker>
          <c:val>
            <c:numRef>
              <c:f>'2025-Q1'!$CX$4:$CX$448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-0.42995051512938903</c:v>
                </c:pt>
                <c:pt idx="18">
                  <c:v>-0.42995051512938903</c:v>
                </c:pt>
                <c:pt idx="19">
                  <c:v>-0.42995051512938903</c:v>
                </c:pt>
                <c:pt idx="20">
                  <c:v>-0.42995051512938903</c:v>
                </c:pt>
                <c:pt idx="21">
                  <c:v>-0.42995051512938903</c:v>
                </c:pt>
                <c:pt idx="22">
                  <c:v>-0.42995051512938903</c:v>
                </c:pt>
                <c:pt idx="23">
                  <c:v>-0.42995051512938903</c:v>
                </c:pt>
                <c:pt idx="24">
                  <c:v>-0.42995051512938903</c:v>
                </c:pt>
                <c:pt idx="25">
                  <c:v>-0.42995051512938903</c:v>
                </c:pt>
                <c:pt idx="26">
                  <c:v>-0.42995051512938903</c:v>
                </c:pt>
                <c:pt idx="27">
                  <c:v>-0.42995051512938903</c:v>
                </c:pt>
                <c:pt idx="28">
                  <c:v>-0.42995051512938903</c:v>
                </c:pt>
                <c:pt idx="29">
                  <c:v>-0.42995051512938903</c:v>
                </c:pt>
                <c:pt idx="30">
                  <c:v>-0.42995051512938903</c:v>
                </c:pt>
                <c:pt idx="31">
                  <c:v>-0.42995051512938903</c:v>
                </c:pt>
                <c:pt idx="32">
                  <c:v>-0.42995051512938903</c:v>
                </c:pt>
                <c:pt idx="33">
                  <c:v>-0.42995051512938903</c:v>
                </c:pt>
                <c:pt idx="34">
                  <c:v>-0.42995051512938903</c:v>
                </c:pt>
                <c:pt idx="35">
                  <c:v>-0.42995051512938903</c:v>
                </c:pt>
                <c:pt idx="36">
                  <c:v>-0.42995051512938903</c:v>
                </c:pt>
                <c:pt idx="37">
                  <c:v>-0.42995051512938903</c:v>
                </c:pt>
                <c:pt idx="38">
                  <c:v>-0.42995051512938903</c:v>
                </c:pt>
                <c:pt idx="39">
                  <c:v>-0.13081968772223007</c:v>
                </c:pt>
                <c:pt idx="40">
                  <c:v>-0.13081968772223007</c:v>
                </c:pt>
                <c:pt idx="41">
                  <c:v>-0.13081968772223007</c:v>
                </c:pt>
                <c:pt idx="42">
                  <c:v>0.150748430103197</c:v>
                </c:pt>
                <c:pt idx="43">
                  <c:v>0.150748430103197</c:v>
                </c:pt>
                <c:pt idx="44">
                  <c:v>0.150748430103197</c:v>
                </c:pt>
                <c:pt idx="45">
                  <c:v>0.150748430103197</c:v>
                </c:pt>
                <c:pt idx="46">
                  <c:v>0.150748430103197</c:v>
                </c:pt>
                <c:pt idx="47">
                  <c:v>0.150748430103197</c:v>
                </c:pt>
                <c:pt idx="48">
                  <c:v>0.150748430103197</c:v>
                </c:pt>
                <c:pt idx="49">
                  <c:v>0.150748430103197</c:v>
                </c:pt>
                <c:pt idx="50">
                  <c:v>0.150748430103197</c:v>
                </c:pt>
                <c:pt idx="51">
                  <c:v>0.150748430103197</c:v>
                </c:pt>
                <c:pt idx="52">
                  <c:v>0.150748430103197</c:v>
                </c:pt>
                <c:pt idx="53">
                  <c:v>0.150748430103197</c:v>
                </c:pt>
                <c:pt idx="54">
                  <c:v>0.150748430103197</c:v>
                </c:pt>
                <c:pt idx="55">
                  <c:v>0.150748430103197</c:v>
                </c:pt>
                <c:pt idx="56">
                  <c:v>0.150748430103197</c:v>
                </c:pt>
                <c:pt idx="57">
                  <c:v>0.150748430103197</c:v>
                </c:pt>
                <c:pt idx="58">
                  <c:v>0.150748430103197</c:v>
                </c:pt>
                <c:pt idx="59">
                  <c:v>0.150748430103197</c:v>
                </c:pt>
                <c:pt idx="60">
                  <c:v>0.150748430103197</c:v>
                </c:pt>
                <c:pt idx="61">
                  <c:v>0.150748430103197</c:v>
                </c:pt>
                <c:pt idx="62">
                  <c:v>0.150748430103197</c:v>
                </c:pt>
                <c:pt idx="63">
                  <c:v>0.150748430103197</c:v>
                </c:pt>
                <c:pt idx="64">
                  <c:v>0.150748430103197</c:v>
                </c:pt>
                <c:pt idx="65">
                  <c:v>0.150748430103197</c:v>
                </c:pt>
                <c:pt idx="66">
                  <c:v>0.150748430103197</c:v>
                </c:pt>
                <c:pt idx="67">
                  <c:v>0.150748430103197</c:v>
                </c:pt>
                <c:pt idx="68">
                  <c:v>0.150748430103197</c:v>
                </c:pt>
                <c:pt idx="69">
                  <c:v>0.150748430103197</c:v>
                </c:pt>
                <c:pt idx="70">
                  <c:v>0.150748430103197</c:v>
                </c:pt>
                <c:pt idx="71">
                  <c:v>0.150748430103197</c:v>
                </c:pt>
                <c:pt idx="72">
                  <c:v>0.150748430103197</c:v>
                </c:pt>
                <c:pt idx="73">
                  <c:v>0.150748430103197</c:v>
                </c:pt>
                <c:pt idx="74">
                  <c:v>0.150748430103197</c:v>
                </c:pt>
                <c:pt idx="75">
                  <c:v>0.150748430103197</c:v>
                </c:pt>
                <c:pt idx="76">
                  <c:v>0.150748430103197</c:v>
                </c:pt>
                <c:pt idx="77">
                  <c:v>0.150748430103197</c:v>
                </c:pt>
                <c:pt idx="78">
                  <c:v>0.150748430103197</c:v>
                </c:pt>
                <c:pt idx="79">
                  <c:v>0.150748430103197</c:v>
                </c:pt>
                <c:pt idx="80">
                  <c:v>0.150748430103197</c:v>
                </c:pt>
                <c:pt idx="81">
                  <c:v>0.150748430103197</c:v>
                </c:pt>
                <c:pt idx="82">
                  <c:v>0.150748430103197</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2E46-40D7-92F2-A6C06678F79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2E46-40D7-92F2-A6C06678F79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2E46-40D7-92F2-A6C06678F79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2E46-40D7-92F2-A6C06678F79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(XLU)</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'2025-Q1'!$CZ$4:$CZ$448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25A9-4B4A-8343-57270F941044}"/>
            </c:ext>
          </c:extLst>
        </c:ser>
        <c:ser>
          <c:idx val="1"/>
          <c:order val="2"/>
          <c:tx>
            <c:v>Dwn</c:v>
          </c:tx>
          <c:spPr>
            <a:ln w="28575" cap="rnd">
              <a:solidFill>
                <a:schemeClr val="accent2"/>
              </a:solidFill>
              <a:prstDash val="solid"/>
              <a:round/>
            </a:ln>
            <a:effectLst/>
          </c:spPr>
          <c:marker>
            <c:symbol val="none"/>
          </c:marker>
          <c:val>
            <c:numRef>
              <c:f>'2025-Q1'!$DB$4:$DB$448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25A9-4B4A-8343-57270F941044}"/>
            </c:ext>
          </c:extLst>
        </c:ser>
        <c:ser>
          <c:idx val="2"/>
          <c:order val="3"/>
          <c:tx>
            <c:v>SW</c:v>
          </c:tx>
          <c:spPr>
            <a:ln w="28575" cap="rnd">
              <a:solidFill>
                <a:srgbClr val="0070C0"/>
              </a:solidFill>
              <a:prstDash val="solid"/>
              <a:round/>
            </a:ln>
            <a:effectLst/>
          </c:spPr>
          <c:marker>
            <c:symbol val="none"/>
          </c:marker>
          <c:val>
            <c:numRef>
              <c:f>'2025-Q1'!$DD$4:$DD$448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25A9-4B4A-8343-57270F941044}"/>
            </c:ext>
          </c:extLst>
        </c:ser>
        <c:ser>
          <c:idx val="3"/>
          <c:order val="5"/>
          <c:tx>
            <c:v>All Three</c:v>
          </c:tx>
          <c:spPr>
            <a:ln w="38100" cap="rnd">
              <a:solidFill>
                <a:sysClr val="windowText" lastClr="000000"/>
              </a:solidFill>
              <a:round/>
            </a:ln>
            <a:effectLst/>
          </c:spPr>
          <c:marker>
            <c:symbol val="none"/>
          </c:marker>
          <c:val>
            <c:numRef>
              <c:f>'2025-Q1'!$DE$4:$DE$448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25A9-4B4A-8343-57270F941044}"/>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25A9-4B4A-8343-57270F941044}"/>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25A9-4B4A-8343-57270F941044}"/>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25A9-4B4A-8343-57270F941044}"/>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(INS)</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'2025-Q1'!$DN$4:$DN$448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77EB-4CF6-A82F-87CE09EC25EC}"/>
            </c:ext>
          </c:extLst>
        </c:ser>
        <c:ser>
          <c:idx val="1"/>
          <c:order val="2"/>
          <c:tx>
            <c:v>Dwn</c:v>
          </c:tx>
          <c:spPr>
            <a:ln w="28575" cap="rnd">
              <a:solidFill>
                <a:schemeClr val="accent2"/>
              </a:solidFill>
              <a:prstDash val="solid"/>
              <a:round/>
            </a:ln>
            <a:effectLst/>
          </c:spPr>
          <c:marker>
            <c:symbol val="none"/>
          </c:marker>
          <c:val>
            <c:numRef>
              <c:f>'2025-Q1'!$DP$4:$DP$448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0.26077055863664694</c:v>
                </c:pt>
                <c:pt idx="73">
                  <c:v>0.26077055863664694</c:v>
                </c:pt>
                <c:pt idx="74">
                  <c:v>0.26077055863664694</c:v>
                </c:pt>
                <c:pt idx="75">
                  <c:v>0.26077055863664694</c:v>
                </c:pt>
                <c:pt idx="76">
                  <c:v>0.26077055863664694</c:v>
                </c:pt>
                <c:pt idx="77">
                  <c:v>0.26077055863664694</c:v>
                </c:pt>
                <c:pt idx="78">
                  <c:v>0.26077055863664694</c:v>
                </c:pt>
                <c:pt idx="79">
                  <c:v>0.26077055863664694</c:v>
                </c:pt>
                <c:pt idx="80">
                  <c:v>0.26077055863664694</c:v>
                </c:pt>
                <c:pt idx="81">
                  <c:v>0.26077055863664694</c:v>
                </c:pt>
                <c:pt idx="82">
                  <c:v>0.26077055863664694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77EB-4CF6-A82F-87CE09EC25EC}"/>
            </c:ext>
          </c:extLst>
        </c:ser>
        <c:ser>
          <c:idx val="2"/>
          <c:order val="3"/>
          <c:tx>
            <c:v>SW</c:v>
          </c:tx>
          <c:spPr>
            <a:ln w="28575" cap="rnd">
              <a:solidFill>
                <a:srgbClr val="0070C0"/>
              </a:solidFill>
              <a:prstDash val="solid"/>
              <a:round/>
            </a:ln>
            <a:effectLst/>
          </c:spPr>
          <c:marker>
            <c:symbol val="none"/>
          </c:marker>
          <c:val>
            <c:numRef>
              <c:f>'2025-Q1'!$DR$4:$DR$448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0.79026593075765084</c:v>
                </c:pt>
                <c:pt idx="38">
                  <c:v>0.79026593075765084</c:v>
                </c:pt>
                <c:pt idx="39">
                  <c:v>0.79026593075765084</c:v>
                </c:pt>
                <c:pt idx="40">
                  <c:v>0.79026593075765084</c:v>
                </c:pt>
                <c:pt idx="41">
                  <c:v>0.79026593075765084</c:v>
                </c:pt>
                <c:pt idx="42">
                  <c:v>0.79026593075765084</c:v>
                </c:pt>
                <c:pt idx="43">
                  <c:v>0.79026593075765084</c:v>
                </c:pt>
                <c:pt idx="44">
                  <c:v>0.79026593075765084</c:v>
                </c:pt>
                <c:pt idx="45">
                  <c:v>0.79026593075765084</c:v>
                </c:pt>
                <c:pt idx="46">
                  <c:v>0.79026593075765084</c:v>
                </c:pt>
                <c:pt idx="47">
                  <c:v>0.79026593075765084</c:v>
                </c:pt>
                <c:pt idx="48">
                  <c:v>0.79026593075765084</c:v>
                </c:pt>
                <c:pt idx="49">
                  <c:v>0.79026593075765084</c:v>
                </c:pt>
                <c:pt idx="50">
                  <c:v>0.79026593075765084</c:v>
                </c:pt>
                <c:pt idx="51">
                  <c:v>0.79026593075765084</c:v>
                </c:pt>
                <c:pt idx="52">
                  <c:v>0.79026593075765084</c:v>
                </c:pt>
                <c:pt idx="53">
                  <c:v>0.79026593075765084</c:v>
                </c:pt>
                <c:pt idx="54">
                  <c:v>0.79026593075765084</c:v>
                </c:pt>
                <c:pt idx="55">
                  <c:v>0.79026593075765084</c:v>
                </c:pt>
                <c:pt idx="56">
                  <c:v>0.79026593075765084</c:v>
                </c:pt>
                <c:pt idx="57">
                  <c:v>0.79026593075765084</c:v>
                </c:pt>
                <c:pt idx="58">
                  <c:v>0.79026593075765084</c:v>
                </c:pt>
                <c:pt idx="59">
                  <c:v>0.97881687042135002</c:v>
                </c:pt>
                <c:pt idx="60">
                  <c:v>1.4067447983492751</c:v>
                </c:pt>
                <c:pt idx="61">
                  <c:v>1.4067447983492751</c:v>
                </c:pt>
                <c:pt idx="62">
                  <c:v>1.4067447983492751</c:v>
                </c:pt>
                <c:pt idx="63">
                  <c:v>1.4067447983492751</c:v>
                </c:pt>
                <c:pt idx="64">
                  <c:v>1.4067447983492751</c:v>
                </c:pt>
                <c:pt idx="65">
                  <c:v>1.4067447983492751</c:v>
                </c:pt>
                <c:pt idx="66">
                  <c:v>1.4067447983492751</c:v>
                </c:pt>
                <c:pt idx="67">
                  <c:v>1.4067447983492751</c:v>
                </c:pt>
                <c:pt idx="68">
                  <c:v>1.4067447983492751</c:v>
                </c:pt>
                <c:pt idx="69">
                  <c:v>1.4067447983492751</c:v>
                </c:pt>
                <c:pt idx="70">
                  <c:v>1.4067447983492751</c:v>
                </c:pt>
                <c:pt idx="71">
                  <c:v>1.4067447983492751</c:v>
                </c:pt>
                <c:pt idx="72">
                  <c:v>1.4067447983492751</c:v>
                </c:pt>
                <c:pt idx="73">
                  <c:v>1.4067447983492751</c:v>
                </c:pt>
                <c:pt idx="74">
                  <c:v>1.4067447983492751</c:v>
                </c:pt>
                <c:pt idx="75">
                  <c:v>1.4067447983492751</c:v>
                </c:pt>
                <c:pt idx="76">
                  <c:v>1.4067447983492751</c:v>
                </c:pt>
                <c:pt idx="77">
                  <c:v>1.4067447983492751</c:v>
                </c:pt>
                <c:pt idx="78">
                  <c:v>0.95581641638640868</c:v>
                </c:pt>
                <c:pt idx="79">
                  <c:v>0.95581641638640868</c:v>
                </c:pt>
                <c:pt idx="80">
                  <c:v>0.95581641638640868</c:v>
                </c:pt>
                <c:pt idx="81">
                  <c:v>0.95581641638640868</c:v>
                </c:pt>
                <c:pt idx="82">
                  <c:v>0.95581641638640868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77EB-4CF6-A82F-87CE09EC25EC}"/>
            </c:ext>
          </c:extLst>
        </c:ser>
        <c:ser>
          <c:idx val="3"/>
          <c:order val="5"/>
          <c:tx>
            <c:v>All Three</c:v>
          </c:tx>
          <c:spPr>
            <a:ln w="38100" cap="rnd">
              <a:solidFill>
                <a:sysClr val="windowText" lastClr="000000"/>
              </a:solidFill>
              <a:round/>
            </a:ln>
            <a:effectLst/>
          </c:spPr>
          <c:marker>
            <c:symbol val="none"/>
          </c:marker>
          <c:val>
            <c:numRef>
              <c:f>'2025-Q1'!$DS$4:$DS$448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0.79026593075765084</c:v>
                </c:pt>
                <c:pt idx="38">
                  <c:v>0.79026593075765084</c:v>
                </c:pt>
                <c:pt idx="39">
                  <c:v>0.79026593075765084</c:v>
                </c:pt>
                <c:pt idx="40">
                  <c:v>0.79026593075765084</c:v>
                </c:pt>
                <c:pt idx="41">
                  <c:v>0.79026593075765084</c:v>
                </c:pt>
                <c:pt idx="42">
                  <c:v>0.79026593075765084</c:v>
                </c:pt>
                <c:pt idx="43">
                  <c:v>0.79026593075765084</c:v>
                </c:pt>
                <c:pt idx="44">
                  <c:v>0.79026593075765084</c:v>
                </c:pt>
                <c:pt idx="45">
                  <c:v>0.79026593075765084</c:v>
                </c:pt>
                <c:pt idx="46">
                  <c:v>0.79026593075765084</c:v>
                </c:pt>
                <c:pt idx="47">
                  <c:v>0.79026593075765084</c:v>
                </c:pt>
                <c:pt idx="48">
                  <c:v>0.79026593075765084</c:v>
                </c:pt>
                <c:pt idx="49">
                  <c:v>0.79026593075765084</c:v>
                </c:pt>
                <c:pt idx="50">
                  <c:v>0.79026593075765084</c:v>
                </c:pt>
                <c:pt idx="51">
                  <c:v>0.79026593075765084</c:v>
                </c:pt>
                <c:pt idx="52">
                  <c:v>0.79026593075765084</c:v>
                </c:pt>
                <c:pt idx="53">
                  <c:v>0.79026593075765084</c:v>
                </c:pt>
                <c:pt idx="54">
                  <c:v>0.79026593075765084</c:v>
                </c:pt>
                <c:pt idx="55">
                  <c:v>0.79026593075765084</c:v>
                </c:pt>
                <c:pt idx="56">
                  <c:v>0.79026593075765084</c:v>
                </c:pt>
                <c:pt idx="57">
                  <c:v>0.79026593075765084</c:v>
                </c:pt>
                <c:pt idx="58">
                  <c:v>0.79026593075765084</c:v>
                </c:pt>
                <c:pt idx="59">
                  <c:v>0.97881687042135002</c:v>
                </c:pt>
                <c:pt idx="60">
                  <c:v>1.4067447983492751</c:v>
                </c:pt>
                <c:pt idx="61">
                  <c:v>1.4067447983492751</c:v>
                </c:pt>
                <c:pt idx="62">
                  <c:v>1.4067447983492751</c:v>
                </c:pt>
                <c:pt idx="63">
                  <c:v>1.4067447983492751</c:v>
                </c:pt>
                <c:pt idx="64">
                  <c:v>1.4067447983492751</c:v>
                </c:pt>
                <c:pt idx="65">
                  <c:v>1.4067447983492751</c:v>
                </c:pt>
                <c:pt idx="66">
                  <c:v>1.4067447983492751</c:v>
                </c:pt>
                <c:pt idx="67">
                  <c:v>1.4067447983492751</c:v>
                </c:pt>
                <c:pt idx="68">
                  <c:v>1.4067447983492751</c:v>
                </c:pt>
                <c:pt idx="69">
                  <c:v>1.4067447983492751</c:v>
                </c:pt>
                <c:pt idx="70">
                  <c:v>1.4067447983492751</c:v>
                </c:pt>
                <c:pt idx="71">
                  <c:v>1.4067447983492751</c:v>
                </c:pt>
                <c:pt idx="72">
                  <c:v>1.667515356985922</c:v>
                </c:pt>
                <c:pt idx="73">
                  <c:v>1.667515356985922</c:v>
                </c:pt>
                <c:pt idx="74">
                  <c:v>1.667515356985922</c:v>
                </c:pt>
                <c:pt idx="75">
                  <c:v>1.667515356985922</c:v>
                </c:pt>
                <c:pt idx="76">
                  <c:v>1.667515356985922</c:v>
                </c:pt>
                <c:pt idx="77">
                  <c:v>1.667515356985922</c:v>
                </c:pt>
                <c:pt idx="78">
                  <c:v>1.2165869750230556</c:v>
                </c:pt>
                <c:pt idx="79">
                  <c:v>1.2165869750230556</c:v>
                </c:pt>
                <c:pt idx="80">
                  <c:v>1.2165869750230556</c:v>
                </c:pt>
                <c:pt idx="81">
                  <c:v>1.2165869750230556</c:v>
                </c:pt>
                <c:pt idx="82">
                  <c:v>1.2165869750230556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77EB-4CF6-A82F-87CE09EC25E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77EB-4CF6-A82F-87CE09EC25E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77EB-4CF6-A82F-87CE09EC25E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77EB-4CF6-A82F-87CE09EC25E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(H-INS)</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'2025-Q1'!$DU$4:$DU$448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EEC5-400F-A636-203E78EE28CF}"/>
            </c:ext>
          </c:extLst>
        </c:ser>
        <c:ser>
          <c:idx val="1"/>
          <c:order val="2"/>
          <c:tx>
            <c:v>Dwn</c:v>
          </c:tx>
          <c:spPr>
            <a:ln w="28575" cap="rnd">
              <a:solidFill>
                <a:schemeClr val="accent2"/>
              </a:solidFill>
              <a:prstDash val="solid"/>
              <a:round/>
            </a:ln>
            <a:effectLst/>
          </c:spPr>
          <c:marker>
            <c:symbol val="none"/>
          </c:marker>
          <c:val>
            <c:numRef>
              <c:f>'2025-Q1'!$DW$4:$DW$448</c:f>
              <c:numCache>
                <c:formatCode>0.00</c:formatCode>
                <c:ptCount val="445"/>
                <c:pt idx="0">
                  <c:v>0</c:v>
                </c:pt>
                <c:pt idx="1">
                  <c:v>0</c:v>
                </c:pt>
                <c:pt idx="2">
                  <c:v>0</c:v>
                </c:pt>
                <c:pt idx="3">
                  <c:v>0</c:v>
                </c:pt>
                <c:pt idx="4">
                  <c:v>0</c:v>
                </c:pt>
                <c:pt idx="5">
                  <c:v>0</c:v>
                </c:pt>
                <c:pt idx="6">
                  <c:v>0</c:v>
                </c:pt>
                <c:pt idx="7">
                  <c:v>0</c:v>
                </c:pt>
                <c:pt idx="8">
                  <c:v>0</c:v>
                </c:pt>
                <c:pt idx="9">
                  <c:v>0.40085630512924314</c:v>
                </c:pt>
                <c:pt idx="10">
                  <c:v>0.40085630512924314</c:v>
                </c:pt>
                <c:pt idx="11">
                  <c:v>0.40085630512924314</c:v>
                </c:pt>
                <c:pt idx="12">
                  <c:v>0.40085630512924314</c:v>
                </c:pt>
                <c:pt idx="13">
                  <c:v>0.40085630512924314</c:v>
                </c:pt>
                <c:pt idx="14">
                  <c:v>0.40085630512924314</c:v>
                </c:pt>
                <c:pt idx="15">
                  <c:v>0.40085630512924314</c:v>
                </c:pt>
                <c:pt idx="16">
                  <c:v>0.40085630512924314</c:v>
                </c:pt>
                <c:pt idx="17">
                  <c:v>0.40085630512924314</c:v>
                </c:pt>
                <c:pt idx="18">
                  <c:v>0.40085630512924314</c:v>
                </c:pt>
                <c:pt idx="19">
                  <c:v>0.40085630512924314</c:v>
                </c:pt>
                <c:pt idx="20">
                  <c:v>0.40085630512924314</c:v>
                </c:pt>
                <c:pt idx="21">
                  <c:v>0.40085630512924314</c:v>
                </c:pt>
                <c:pt idx="22">
                  <c:v>0.40085630512924314</c:v>
                </c:pt>
                <c:pt idx="23">
                  <c:v>0.40085630512924314</c:v>
                </c:pt>
                <c:pt idx="24">
                  <c:v>0.40085630512924314</c:v>
                </c:pt>
                <c:pt idx="25">
                  <c:v>0.40085630512924314</c:v>
                </c:pt>
                <c:pt idx="26">
                  <c:v>0.40085630512924314</c:v>
                </c:pt>
                <c:pt idx="27">
                  <c:v>0.40085630512924314</c:v>
                </c:pt>
                <c:pt idx="28">
                  <c:v>0.40085630512924314</c:v>
                </c:pt>
                <c:pt idx="29">
                  <c:v>0.40085630512924314</c:v>
                </c:pt>
                <c:pt idx="30">
                  <c:v>0.40085630512924314</c:v>
                </c:pt>
                <c:pt idx="31">
                  <c:v>0.40085630512924314</c:v>
                </c:pt>
                <c:pt idx="32">
                  <c:v>0.40085630512924314</c:v>
                </c:pt>
                <c:pt idx="33">
                  <c:v>0.40085630512924314</c:v>
                </c:pt>
                <c:pt idx="34">
                  <c:v>0.40085630512924314</c:v>
                </c:pt>
                <c:pt idx="35">
                  <c:v>0.40085630512924314</c:v>
                </c:pt>
                <c:pt idx="36">
                  <c:v>0.40085630512924314</c:v>
                </c:pt>
                <c:pt idx="37">
                  <c:v>0.40085630512924314</c:v>
                </c:pt>
                <c:pt idx="38">
                  <c:v>0.40085630512924314</c:v>
                </c:pt>
                <c:pt idx="39">
                  <c:v>0.40085630512924314</c:v>
                </c:pt>
                <c:pt idx="40">
                  <c:v>0.40085630512924314</c:v>
                </c:pt>
                <c:pt idx="41">
                  <c:v>0.40085630512924314</c:v>
                </c:pt>
                <c:pt idx="42">
                  <c:v>0.40085630512924314</c:v>
                </c:pt>
                <c:pt idx="43">
                  <c:v>0.40085630512924314</c:v>
                </c:pt>
                <c:pt idx="44">
                  <c:v>0.40085630512924314</c:v>
                </c:pt>
                <c:pt idx="45">
                  <c:v>0.40085630512924314</c:v>
                </c:pt>
                <c:pt idx="46">
                  <c:v>0.40085630512924314</c:v>
                </c:pt>
                <c:pt idx="47">
                  <c:v>0.40085630512924314</c:v>
                </c:pt>
                <c:pt idx="48">
                  <c:v>0.40085630512924314</c:v>
                </c:pt>
                <c:pt idx="49">
                  <c:v>0.40085630512924314</c:v>
                </c:pt>
                <c:pt idx="50">
                  <c:v>0.40085630512924314</c:v>
                </c:pt>
                <c:pt idx="51">
                  <c:v>0.40085630512924314</c:v>
                </c:pt>
                <c:pt idx="52">
                  <c:v>0.40085630512924314</c:v>
                </c:pt>
                <c:pt idx="53">
                  <c:v>0.40085630512924314</c:v>
                </c:pt>
                <c:pt idx="54">
                  <c:v>0.40085630512924314</c:v>
                </c:pt>
                <c:pt idx="55">
                  <c:v>0.40085630512924314</c:v>
                </c:pt>
                <c:pt idx="56">
                  <c:v>0.40085630512924314</c:v>
                </c:pt>
                <c:pt idx="57">
                  <c:v>0.40085630512924314</c:v>
                </c:pt>
                <c:pt idx="58">
                  <c:v>0.40085630512924314</c:v>
                </c:pt>
                <c:pt idx="59">
                  <c:v>0.40085630512924314</c:v>
                </c:pt>
                <c:pt idx="60">
                  <c:v>0.40085630512924314</c:v>
                </c:pt>
                <c:pt idx="61">
                  <c:v>0.40085630512924314</c:v>
                </c:pt>
                <c:pt idx="62">
                  <c:v>0.40085630512924314</c:v>
                </c:pt>
                <c:pt idx="63">
                  <c:v>0.40085630512924314</c:v>
                </c:pt>
                <c:pt idx="64">
                  <c:v>0.40085630512924314</c:v>
                </c:pt>
                <c:pt idx="65">
                  <c:v>0.40085630512924314</c:v>
                </c:pt>
                <c:pt idx="66">
                  <c:v>0.40085630512924314</c:v>
                </c:pt>
                <c:pt idx="67">
                  <c:v>0.40085630512924314</c:v>
                </c:pt>
                <c:pt idx="68">
                  <c:v>0.40085630512924314</c:v>
                </c:pt>
                <c:pt idx="69">
                  <c:v>0.40085630512924314</c:v>
                </c:pt>
                <c:pt idx="70">
                  <c:v>0.40085630512924314</c:v>
                </c:pt>
                <c:pt idx="71">
                  <c:v>0.40085630512924314</c:v>
                </c:pt>
                <c:pt idx="72">
                  <c:v>0.40085630512924314</c:v>
                </c:pt>
                <c:pt idx="73">
                  <c:v>0.40085630512924314</c:v>
                </c:pt>
                <c:pt idx="74">
                  <c:v>0.40085630512924314</c:v>
                </c:pt>
                <c:pt idx="75">
                  <c:v>0.40085630512924314</c:v>
                </c:pt>
                <c:pt idx="76">
                  <c:v>0.40085630512924314</c:v>
                </c:pt>
                <c:pt idx="77">
                  <c:v>0.40085630512924314</c:v>
                </c:pt>
                <c:pt idx="78">
                  <c:v>0.40085630512924314</c:v>
                </c:pt>
                <c:pt idx="79">
                  <c:v>0.40085630512924314</c:v>
                </c:pt>
                <c:pt idx="80">
                  <c:v>0.40085630512924314</c:v>
                </c:pt>
                <c:pt idx="81">
                  <c:v>0.40085630512924314</c:v>
                </c:pt>
                <c:pt idx="82">
                  <c:v>0.40085630512924314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EEC5-400F-A636-203E78EE28CF}"/>
            </c:ext>
          </c:extLst>
        </c:ser>
        <c:ser>
          <c:idx val="2"/>
          <c:order val="3"/>
          <c:tx>
            <c:v>SW</c:v>
          </c:tx>
          <c:spPr>
            <a:ln w="28575" cap="rnd">
              <a:solidFill>
                <a:srgbClr val="0070C0"/>
              </a:solidFill>
              <a:prstDash val="solid"/>
              <a:round/>
            </a:ln>
            <a:effectLst/>
          </c:spPr>
          <c:marker>
            <c:symbol val="none"/>
          </c:marker>
          <c:val>
            <c:numRef>
              <c:f>'2025-Q1'!$DY$4:$DY$448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0.59674626127163555</c:v>
                </c:pt>
                <c:pt idx="48">
                  <c:v>0.59674626127163555</c:v>
                </c:pt>
                <c:pt idx="49">
                  <c:v>0.59674626127163555</c:v>
                </c:pt>
                <c:pt idx="50">
                  <c:v>0.59674626127163555</c:v>
                </c:pt>
                <c:pt idx="51">
                  <c:v>0.59674626127163555</c:v>
                </c:pt>
                <c:pt idx="52">
                  <c:v>0.59674626127163555</c:v>
                </c:pt>
                <c:pt idx="53">
                  <c:v>0.59674626127163555</c:v>
                </c:pt>
                <c:pt idx="54">
                  <c:v>0.59674626127163555</c:v>
                </c:pt>
                <c:pt idx="55">
                  <c:v>0.59674626127163555</c:v>
                </c:pt>
                <c:pt idx="56">
                  <c:v>0.59674626127163555</c:v>
                </c:pt>
                <c:pt idx="57">
                  <c:v>0.59674626127163555</c:v>
                </c:pt>
                <c:pt idx="58">
                  <c:v>0.59674626127163555</c:v>
                </c:pt>
                <c:pt idx="59">
                  <c:v>0.59674626127163555</c:v>
                </c:pt>
                <c:pt idx="60">
                  <c:v>0.59674626127163555</c:v>
                </c:pt>
                <c:pt idx="61">
                  <c:v>0.59674626127163555</c:v>
                </c:pt>
                <c:pt idx="62">
                  <c:v>0.59674626127163555</c:v>
                </c:pt>
                <c:pt idx="63">
                  <c:v>0.59674626127163555</c:v>
                </c:pt>
                <c:pt idx="64">
                  <c:v>0.59674626127163555</c:v>
                </c:pt>
                <c:pt idx="65">
                  <c:v>0.59674626127163555</c:v>
                </c:pt>
                <c:pt idx="66">
                  <c:v>0.59674626127163555</c:v>
                </c:pt>
                <c:pt idx="67">
                  <c:v>0.59674626127163555</c:v>
                </c:pt>
                <c:pt idx="68">
                  <c:v>0.59674626127163555</c:v>
                </c:pt>
                <c:pt idx="69">
                  <c:v>0.59674626127163555</c:v>
                </c:pt>
                <c:pt idx="70">
                  <c:v>0.59674626127163555</c:v>
                </c:pt>
                <c:pt idx="71">
                  <c:v>0.59674626127163555</c:v>
                </c:pt>
                <c:pt idx="72">
                  <c:v>0.59674626127163555</c:v>
                </c:pt>
                <c:pt idx="73">
                  <c:v>0.59674626127163555</c:v>
                </c:pt>
                <c:pt idx="74">
                  <c:v>0.59674626127163555</c:v>
                </c:pt>
                <c:pt idx="75">
                  <c:v>0.59674626127163555</c:v>
                </c:pt>
                <c:pt idx="76">
                  <c:v>0.59674626127163555</c:v>
                </c:pt>
                <c:pt idx="77">
                  <c:v>0.59674626127163555</c:v>
                </c:pt>
                <c:pt idx="78">
                  <c:v>0.59674626127163555</c:v>
                </c:pt>
                <c:pt idx="79">
                  <c:v>0.59674626127163555</c:v>
                </c:pt>
                <c:pt idx="80">
                  <c:v>0.59674626127163555</c:v>
                </c:pt>
                <c:pt idx="81">
                  <c:v>0.59674626127163555</c:v>
                </c:pt>
                <c:pt idx="82">
                  <c:v>0.59674626127163555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EEC5-400F-A636-203E78EE28CF}"/>
            </c:ext>
          </c:extLst>
        </c:ser>
        <c:ser>
          <c:idx val="3"/>
          <c:order val="5"/>
          <c:tx>
            <c:v>All Three</c:v>
          </c:tx>
          <c:spPr>
            <a:ln w="38100" cap="rnd">
              <a:solidFill>
                <a:sysClr val="windowText" lastClr="000000"/>
              </a:solidFill>
              <a:round/>
            </a:ln>
            <a:effectLst/>
          </c:spPr>
          <c:marker>
            <c:symbol val="none"/>
          </c:marker>
          <c:val>
            <c:numRef>
              <c:f>'2025-Q1'!$DZ$4:$DZ$448</c:f>
              <c:numCache>
                <c:formatCode>0.00</c:formatCode>
                <c:ptCount val="445"/>
                <c:pt idx="0">
                  <c:v>0</c:v>
                </c:pt>
                <c:pt idx="1">
                  <c:v>0</c:v>
                </c:pt>
                <c:pt idx="2">
                  <c:v>0</c:v>
                </c:pt>
                <c:pt idx="3">
                  <c:v>0</c:v>
                </c:pt>
                <c:pt idx="4">
                  <c:v>0</c:v>
                </c:pt>
                <c:pt idx="5">
                  <c:v>0</c:v>
                </c:pt>
                <c:pt idx="6">
                  <c:v>0</c:v>
                </c:pt>
                <c:pt idx="7">
                  <c:v>0</c:v>
                </c:pt>
                <c:pt idx="8">
                  <c:v>0</c:v>
                </c:pt>
                <c:pt idx="9">
                  <c:v>0.40085630512924314</c:v>
                </c:pt>
                <c:pt idx="10">
                  <c:v>0.40085630512924314</c:v>
                </c:pt>
                <c:pt idx="11">
                  <c:v>0.40085630512924314</c:v>
                </c:pt>
                <c:pt idx="12">
                  <c:v>0.40085630512924314</c:v>
                </c:pt>
                <c:pt idx="13">
                  <c:v>0.40085630512924314</c:v>
                </c:pt>
                <c:pt idx="14">
                  <c:v>0.40085630512924314</c:v>
                </c:pt>
                <c:pt idx="15">
                  <c:v>0.40085630512924314</c:v>
                </c:pt>
                <c:pt idx="16">
                  <c:v>0.40085630512924314</c:v>
                </c:pt>
                <c:pt idx="17">
                  <c:v>0.40085630512924314</c:v>
                </c:pt>
                <c:pt idx="18">
                  <c:v>0.40085630512924314</c:v>
                </c:pt>
                <c:pt idx="19">
                  <c:v>0.40085630512924314</c:v>
                </c:pt>
                <c:pt idx="20">
                  <c:v>0.40085630512924314</c:v>
                </c:pt>
                <c:pt idx="21">
                  <c:v>0.40085630512924314</c:v>
                </c:pt>
                <c:pt idx="22">
                  <c:v>0.40085630512924314</c:v>
                </c:pt>
                <c:pt idx="23">
                  <c:v>0.40085630512924314</c:v>
                </c:pt>
                <c:pt idx="24">
                  <c:v>0.40085630512924314</c:v>
                </c:pt>
                <c:pt idx="25">
                  <c:v>0.40085630512924314</c:v>
                </c:pt>
                <c:pt idx="26">
                  <c:v>0.40085630512924314</c:v>
                </c:pt>
                <c:pt idx="27">
                  <c:v>0.40085630512924314</c:v>
                </c:pt>
                <c:pt idx="28">
                  <c:v>0.40085630512924314</c:v>
                </c:pt>
                <c:pt idx="29">
                  <c:v>0.40085630512924314</c:v>
                </c:pt>
                <c:pt idx="30">
                  <c:v>0.40085630512924314</c:v>
                </c:pt>
                <c:pt idx="31">
                  <c:v>0.40085630512924314</c:v>
                </c:pt>
                <c:pt idx="32">
                  <c:v>0.40085630512924314</c:v>
                </c:pt>
                <c:pt idx="33">
                  <c:v>0.40085630512924314</c:v>
                </c:pt>
                <c:pt idx="34">
                  <c:v>0.40085630512924314</c:v>
                </c:pt>
                <c:pt idx="35">
                  <c:v>0.40085630512924314</c:v>
                </c:pt>
                <c:pt idx="36">
                  <c:v>0.40085630512924314</c:v>
                </c:pt>
                <c:pt idx="37">
                  <c:v>0.40085630512924314</c:v>
                </c:pt>
                <c:pt idx="38">
                  <c:v>0.40085630512924314</c:v>
                </c:pt>
                <c:pt idx="39">
                  <c:v>0.40085630512924314</c:v>
                </c:pt>
                <c:pt idx="40">
                  <c:v>0.40085630512924314</c:v>
                </c:pt>
                <c:pt idx="41">
                  <c:v>0.40085630512924314</c:v>
                </c:pt>
                <c:pt idx="42">
                  <c:v>0.40085630512924314</c:v>
                </c:pt>
                <c:pt idx="43">
                  <c:v>0.40085630512924314</c:v>
                </c:pt>
                <c:pt idx="44">
                  <c:v>0.40085630512924314</c:v>
                </c:pt>
                <c:pt idx="45">
                  <c:v>0.40085630512924314</c:v>
                </c:pt>
                <c:pt idx="46">
                  <c:v>0.40085630512924314</c:v>
                </c:pt>
                <c:pt idx="47">
                  <c:v>0.99760256640087874</c:v>
                </c:pt>
                <c:pt idx="48">
                  <c:v>0.99760256640087874</c:v>
                </c:pt>
                <c:pt idx="49">
                  <c:v>0.99760256640087874</c:v>
                </c:pt>
                <c:pt idx="50">
                  <c:v>0.99760256640087874</c:v>
                </c:pt>
                <c:pt idx="51">
                  <c:v>0.99760256640087874</c:v>
                </c:pt>
                <c:pt idx="52">
                  <c:v>0.99760256640087874</c:v>
                </c:pt>
                <c:pt idx="53">
                  <c:v>0.99760256640087874</c:v>
                </c:pt>
                <c:pt idx="54">
                  <c:v>0.99760256640087874</c:v>
                </c:pt>
                <c:pt idx="55">
                  <c:v>0.99760256640087874</c:v>
                </c:pt>
                <c:pt idx="56">
                  <c:v>0.99760256640087874</c:v>
                </c:pt>
                <c:pt idx="57">
                  <c:v>0.99760256640087874</c:v>
                </c:pt>
                <c:pt idx="58">
                  <c:v>0.99760256640087874</c:v>
                </c:pt>
                <c:pt idx="59">
                  <c:v>0.99760256640087874</c:v>
                </c:pt>
                <c:pt idx="60">
                  <c:v>0.99760256640087874</c:v>
                </c:pt>
                <c:pt idx="61">
                  <c:v>0.99760256640087874</c:v>
                </c:pt>
                <c:pt idx="62">
                  <c:v>0.99760256640087874</c:v>
                </c:pt>
                <c:pt idx="63">
                  <c:v>0.99760256640087874</c:v>
                </c:pt>
                <c:pt idx="64">
                  <c:v>0.99760256640087874</c:v>
                </c:pt>
                <c:pt idx="65">
                  <c:v>0.99760256640087874</c:v>
                </c:pt>
                <c:pt idx="66">
                  <c:v>0.99760256640087874</c:v>
                </c:pt>
                <c:pt idx="67">
                  <c:v>0.99760256640087874</c:v>
                </c:pt>
                <c:pt idx="68">
                  <c:v>0.99760256640087874</c:v>
                </c:pt>
                <c:pt idx="69">
                  <c:v>0.99760256640087874</c:v>
                </c:pt>
                <c:pt idx="70">
                  <c:v>0.99760256640087874</c:v>
                </c:pt>
                <c:pt idx="71">
                  <c:v>0.99760256640087874</c:v>
                </c:pt>
                <c:pt idx="72">
                  <c:v>0.99760256640087874</c:v>
                </c:pt>
                <c:pt idx="73">
                  <c:v>0.99760256640087874</c:v>
                </c:pt>
                <c:pt idx="74">
                  <c:v>0.99760256640087874</c:v>
                </c:pt>
                <c:pt idx="75">
                  <c:v>0.99760256640087874</c:v>
                </c:pt>
                <c:pt idx="76">
                  <c:v>0.99760256640087874</c:v>
                </c:pt>
                <c:pt idx="77">
                  <c:v>0.99760256640087874</c:v>
                </c:pt>
                <c:pt idx="78">
                  <c:v>0.99760256640087874</c:v>
                </c:pt>
                <c:pt idx="79">
                  <c:v>0.99760256640087874</c:v>
                </c:pt>
                <c:pt idx="80">
                  <c:v>0.99760256640087874</c:v>
                </c:pt>
                <c:pt idx="81">
                  <c:v>0.99760256640087874</c:v>
                </c:pt>
                <c:pt idx="82">
                  <c:v>0.99760256640087874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EEC5-400F-A636-203E78EE28CF}"/>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EEC5-400F-A636-203E78EE28CF}"/>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EEC5-400F-A636-203E78EE28CF}"/>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EEC5-400F-A636-203E78EE28CF}"/>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(XHB)</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'2025-Q1'!$EB$4:$EB$390</c:f>
              <c:numCache>
                <c:formatCode>0.00</c:formatCode>
                <c:ptCount val="38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1"/>
          <c:extLst>
            <c:ext xmlns:c16="http://schemas.microsoft.com/office/drawing/2014/chart" uri="{C3380CC4-5D6E-409C-BE32-E72D297353CC}">
              <c16:uniqueId val="{00000000-893C-40BA-BB39-4B339B67538A}"/>
            </c:ext>
          </c:extLst>
        </c:ser>
        <c:ser>
          <c:idx val="1"/>
          <c:order val="1"/>
          <c:tx>
            <c:v>Dwn</c:v>
          </c:tx>
          <c:spPr>
            <a:ln w="28575" cap="rnd">
              <a:solidFill>
                <a:schemeClr val="accent2"/>
              </a:solidFill>
              <a:prstDash val="solid"/>
              <a:round/>
            </a:ln>
            <a:effectLst/>
          </c:spPr>
          <c:marker>
            <c:symbol val="none"/>
          </c:marker>
          <c:val>
            <c:numRef>
              <c:f>'2025-Q1'!$ED$4:$ED$390</c:f>
              <c:numCache>
                <c:formatCode>0.00</c:formatCode>
                <c:ptCount val="38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-0.47973811942657352</c:v>
                </c:pt>
                <c:pt idx="26">
                  <c:v>-0.47973811942657352</c:v>
                </c:pt>
                <c:pt idx="27">
                  <c:v>-0.47973811942657352</c:v>
                </c:pt>
                <c:pt idx="28">
                  <c:v>-0.47973811942657352</c:v>
                </c:pt>
                <c:pt idx="29">
                  <c:v>-0.47973811942657352</c:v>
                </c:pt>
                <c:pt idx="30">
                  <c:v>-0.47973811942657352</c:v>
                </c:pt>
                <c:pt idx="31">
                  <c:v>-0.47973811942657352</c:v>
                </c:pt>
                <c:pt idx="32">
                  <c:v>-0.47973811942657352</c:v>
                </c:pt>
                <c:pt idx="33">
                  <c:v>-0.47973811942657352</c:v>
                </c:pt>
                <c:pt idx="34">
                  <c:v>-0.47973811942657352</c:v>
                </c:pt>
                <c:pt idx="35">
                  <c:v>-0.47973811942657352</c:v>
                </c:pt>
                <c:pt idx="36">
                  <c:v>-0.47973811942657352</c:v>
                </c:pt>
                <c:pt idx="37">
                  <c:v>-0.47973811942657352</c:v>
                </c:pt>
                <c:pt idx="38">
                  <c:v>-0.47973811942657352</c:v>
                </c:pt>
                <c:pt idx="39">
                  <c:v>-0.47973811942657352</c:v>
                </c:pt>
                <c:pt idx="40">
                  <c:v>-0.47973811942657352</c:v>
                </c:pt>
                <c:pt idx="41">
                  <c:v>-0.47973811942657352</c:v>
                </c:pt>
                <c:pt idx="42">
                  <c:v>-0.47973811942657352</c:v>
                </c:pt>
                <c:pt idx="43">
                  <c:v>-0.47973811942657352</c:v>
                </c:pt>
                <c:pt idx="44">
                  <c:v>-0.47973811942657352</c:v>
                </c:pt>
                <c:pt idx="45">
                  <c:v>-0.47973811942657352</c:v>
                </c:pt>
                <c:pt idx="46">
                  <c:v>-0.47973811942657352</c:v>
                </c:pt>
                <c:pt idx="47">
                  <c:v>-0.47973811942657352</c:v>
                </c:pt>
                <c:pt idx="48">
                  <c:v>-0.47973811942657352</c:v>
                </c:pt>
                <c:pt idx="49">
                  <c:v>-0.47973811942657352</c:v>
                </c:pt>
                <c:pt idx="50">
                  <c:v>-0.47973811942657352</c:v>
                </c:pt>
                <c:pt idx="51">
                  <c:v>-0.47973811942657352</c:v>
                </c:pt>
                <c:pt idx="52">
                  <c:v>-0.47973811942657352</c:v>
                </c:pt>
                <c:pt idx="53">
                  <c:v>-0.47973811942657352</c:v>
                </c:pt>
                <c:pt idx="54">
                  <c:v>-0.47973811942657352</c:v>
                </c:pt>
                <c:pt idx="55">
                  <c:v>-0.47973811942657352</c:v>
                </c:pt>
                <c:pt idx="56">
                  <c:v>-0.47973811942657352</c:v>
                </c:pt>
                <c:pt idx="57">
                  <c:v>-0.47973811942657352</c:v>
                </c:pt>
                <c:pt idx="58">
                  <c:v>-0.47973811942657352</c:v>
                </c:pt>
                <c:pt idx="59">
                  <c:v>-0.47973811942657352</c:v>
                </c:pt>
                <c:pt idx="60">
                  <c:v>-0.47973811942657352</c:v>
                </c:pt>
                <c:pt idx="61">
                  <c:v>-0.47973811942657352</c:v>
                </c:pt>
                <c:pt idx="62">
                  <c:v>-0.47973811942657352</c:v>
                </c:pt>
                <c:pt idx="63">
                  <c:v>-0.47973811942657352</c:v>
                </c:pt>
                <c:pt idx="64">
                  <c:v>-0.47973811942657352</c:v>
                </c:pt>
                <c:pt idx="65">
                  <c:v>-0.47973811942657352</c:v>
                </c:pt>
                <c:pt idx="66">
                  <c:v>-0.47973811942657352</c:v>
                </c:pt>
                <c:pt idx="67">
                  <c:v>-0.47973811942657352</c:v>
                </c:pt>
                <c:pt idx="68">
                  <c:v>-0.47973811942657352</c:v>
                </c:pt>
                <c:pt idx="69">
                  <c:v>-0.47973811942657352</c:v>
                </c:pt>
                <c:pt idx="70">
                  <c:v>-0.47973811942657352</c:v>
                </c:pt>
                <c:pt idx="71">
                  <c:v>-0.47973811942657352</c:v>
                </c:pt>
                <c:pt idx="72">
                  <c:v>-0.47973811942657352</c:v>
                </c:pt>
                <c:pt idx="73">
                  <c:v>-0.47973811942657352</c:v>
                </c:pt>
                <c:pt idx="74">
                  <c:v>-0.47973811942657352</c:v>
                </c:pt>
                <c:pt idx="75">
                  <c:v>-0.47973811942657352</c:v>
                </c:pt>
                <c:pt idx="76">
                  <c:v>-0.47973811942657352</c:v>
                </c:pt>
                <c:pt idx="77">
                  <c:v>-0.47973811942657352</c:v>
                </c:pt>
                <c:pt idx="78">
                  <c:v>-0.47973811942657352</c:v>
                </c:pt>
                <c:pt idx="79">
                  <c:v>-0.47973811942657352</c:v>
                </c:pt>
                <c:pt idx="80">
                  <c:v>-0.47973811942657352</c:v>
                </c:pt>
                <c:pt idx="81">
                  <c:v>-0.47973811942657352</c:v>
                </c:pt>
                <c:pt idx="82">
                  <c:v>-0.47973811942657352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1"/>
          <c:extLst>
            <c:ext xmlns:c16="http://schemas.microsoft.com/office/drawing/2014/chart" uri="{C3380CC4-5D6E-409C-BE32-E72D297353CC}">
              <c16:uniqueId val="{00000001-893C-40BA-BB39-4B339B67538A}"/>
            </c:ext>
          </c:extLst>
        </c:ser>
        <c:ser>
          <c:idx val="2"/>
          <c:order val="2"/>
          <c:tx>
            <c:v>SW</c:v>
          </c:tx>
          <c:spPr>
            <a:ln w="28575" cap="rnd">
              <a:solidFill>
                <a:srgbClr val="0070C0"/>
              </a:solidFill>
              <a:prstDash val="solid"/>
              <a:round/>
            </a:ln>
            <a:effectLst/>
          </c:spPr>
          <c:marker>
            <c:symbol val="none"/>
          </c:marker>
          <c:val>
            <c:numRef>
              <c:f>'2025-Q1'!$EF$4:$EF$448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893C-40BA-BB39-4B339B67538A}"/>
            </c:ext>
          </c:extLst>
        </c:ser>
        <c:ser>
          <c:idx val="3"/>
          <c:order val="3"/>
          <c:tx>
            <c:v>All Three</c:v>
          </c:tx>
          <c:spPr>
            <a:ln w="38100" cap="rnd">
              <a:solidFill>
                <a:sysClr val="windowText" lastClr="000000"/>
              </a:solidFill>
              <a:round/>
            </a:ln>
            <a:effectLst/>
          </c:spPr>
          <c:marker>
            <c:symbol val="none"/>
          </c:marker>
          <c:val>
            <c:numRef>
              <c:f>'2025-Q1'!$EG$4:$EG$448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-0.47973811942657352</c:v>
                </c:pt>
                <c:pt idx="26">
                  <c:v>-0.47973811942657352</c:v>
                </c:pt>
                <c:pt idx="27">
                  <c:v>-0.47973811942657352</c:v>
                </c:pt>
                <c:pt idx="28">
                  <c:v>-0.47973811942657352</c:v>
                </c:pt>
                <c:pt idx="29">
                  <c:v>-0.47973811942657352</c:v>
                </c:pt>
                <c:pt idx="30">
                  <c:v>-0.47973811942657352</c:v>
                </c:pt>
                <c:pt idx="31">
                  <c:v>-0.47973811942657352</c:v>
                </c:pt>
                <c:pt idx="32">
                  <c:v>-0.47973811942657352</c:v>
                </c:pt>
                <c:pt idx="33">
                  <c:v>-0.47973811942657352</c:v>
                </c:pt>
                <c:pt idx="34">
                  <c:v>-0.47973811942657352</c:v>
                </c:pt>
                <c:pt idx="35">
                  <c:v>-0.47973811942657352</c:v>
                </c:pt>
                <c:pt idx="36">
                  <c:v>-0.47973811942657352</c:v>
                </c:pt>
                <c:pt idx="37">
                  <c:v>-0.47973811942657352</c:v>
                </c:pt>
                <c:pt idx="38">
                  <c:v>-0.47973811942657352</c:v>
                </c:pt>
                <c:pt idx="39">
                  <c:v>-0.47973811942657352</c:v>
                </c:pt>
                <c:pt idx="40">
                  <c:v>-0.47973811942657352</c:v>
                </c:pt>
                <c:pt idx="41">
                  <c:v>-0.47973811942657352</c:v>
                </c:pt>
                <c:pt idx="42">
                  <c:v>-0.47973811942657352</c:v>
                </c:pt>
                <c:pt idx="43">
                  <c:v>-0.47973811942657352</c:v>
                </c:pt>
                <c:pt idx="44">
                  <c:v>-0.47973811942657352</c:v>
                </c:pt>
                <c:pt idx="45">
                  <c:v>-0.47973811942657352</c:v>
                </c:pt>
                <c:pt idx="46">
                  <c:v>-0.47973811942657352</c:v>
                </c:pt>
                <c:pt idx="47">
                  <c:v>-0.47973811942657352</c:v>
                </c:pt>
                <c:pt idx="48">
                  <c:v>-0.47973811942657352</c:v>
                </c:pt>
                <c:pt idx="49">
                  <c:v>-0.47973811942657352</c:v>
                </c:pt>
                <c:pt idx="50">
                  <c:v>-0.47973811942657352</c:v>
                </c:pt>
                <c:pt idx="51">
                  <c:v>-0.47973811942657352</c:v>
                </c:pt>
                <c:pt idx="52">
                  <c:v>-0.47973811942657352</c:v>
                </c:pt>
                <c:pt idx="53">
                  <c:v>-0.47973811942657352</c:v>
                </c:pt>
                <c:pt idx="54">
                  <c:v>-0.47973811942657352</c:v>
                </c:pt>
                <c:pt idx="55">
                  <c:v>-0.47973811942657352</c:v>
                </c:pt>
                <c:pt idx="56">
                  <c:v>-0.47973811942657352</c:v>
                </c:pt>
                <c:pt idx="57">
                  <c:v>-0.47973811942657352</c:v>
                </c:pt>
                <c:pt idx="58">
                  <c:v>-0.47973811942657352</c:v>
                </c:pt>
                <c:pt idx="59">
                  <c:v>-0.47973811942657352</c:v>
                </c:pt>
                <c:pt idx="60">
                  <c:v>-0.47973811942657352</c:v>
                </c:pt>
                <c:pt idx="61">
                  <c:v>-0.47973811942657352</c:v>
                </c:pt>
                <c:pt idx="62">
                  <c:v>-0.47973811942657352</c:v>
                </c:pt>
                <c:pt idx="63">
                  <c:v>-0.47973811942657352</c:v>
                </c:pt>
                <c:pt idx="64">
                  <c:v>-0.47973811942657352</c:v>
                </c:pt>
                <c:pt idx="65">
                  <c:v>-0.47973811942657352</c:v>
                </c:pt>
                <c:pt idx="66">
                  <c:v>-0.47973811942657352</c:v>
                </c:pt>
                <c:pt idx="67">
                  <c:v>-0.47973811942657352</c:v>
                </c:pt>
                <c:pt idx="68">
                  <c:v>-0.47973811942657352</c:v>
                </c:pt>
                <c:pt idx="69">
                  <c:v>-0.47973811942657352</c:v>
                </c:pt>
                <c:pt idx="70">
                  <c:v>-0.47973811942657352</c:v>
                </c:pt>
                <c:pt idx="71">
                  <c:v>-0.47973811942657352</c:v>
                </c:pt>
                <c:pt idx="72">
                  <c:v>-0.47973811942657352</c:v>
                </c:pt>
                <c:pt idx="73">
                  <c:v>-0.47973811942657352</c:v>
                </c:pt>
                <c:pt idx="74">
                  <c:v>-0.47973811942657352</c:v>
                </c:pt>
                <c:pt idx="75">
                  <c:v>-0.47973811942657352</c:v>
                </c:pt>
                <c:pt idx="76">
                  <c:v>-0.47973811942657352</c:v>
                </c:pt>
                <c:pt idx="77">
                  <c:v>-0.47973811942657352</c:v>
                </c:pt>
                <c:pt idx="78">
                  <c:v>-0.47973811942657352</c:v>
                </c:pt>
                <c:pt idx="79">
                  <c:v>-0.47973811942657352</c:v>
                </c:pt>
                <c:pt idx="80">
                  <c:v>-0.47973811942657352</c:v>
                </c:pt>
                <c:pt idx="81">
                  <c:v>-0.47973811942657352</c:v>
                </c:pt>
                <c:pt idx="82">
                  <c:v>-0.47973811942657352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893C-40BA-BB39-4B339B67538A}"/>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4"/>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893C-40BA-BB39-4B339B67538A}"/>
                  </c:ext>
                </c:extLst>
              </c15:ser>
            </c15:filteredLineSeries>
            <c15:filteredLineSeries>
              <c15:ser>
                <c:idx val="4"/>
                <c:order val="5"/>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893C-40BA-BB39-4B339B67538A}"/>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893C-40BA-BB39-4B339B67538A}"/>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Earnings Strategy By Sector (R)</a:t>
            </a:r>
          </a:p>
        </c:rich>
      </c:tx>
      <c:layout>
        <c:manualLayout>
          <c:xMode val="edge"/>
          <c:yMode val="edge"/>
          <c:x val="1.8335644937586697E-2"/>
          <c:y val="8.1674323634507405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3"/>
          <c:order val="0"/>
          <c:tx>
            <c:v>TOTAL</c:v>
          </c:tx>
          <c:spPr>
            <a:ln w="28575" cap="rnd">
              <a:solidFill>
                <a:sysClr val="windowText" lastClr="000000"/>
              </a:solidFill>
              <a:round/>
            </a:ln>
            <a:effectLst/>
          </c:spPr>
          <c:marker>
            <c:symbol val="none"/>
          </c:marker>
          <c:val>
            <c:numRef>
              <c:f>'2025-Q1'!$FQ$4:$FQ$448</c:f>
              <c:numCache>
                <c:formatCode>0</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18.659279222586413</c:v>
                </c:pt>
                <c:pt idx="84">
                  <c:v>19.92156043802008</c:v>
                </c:pt>
                <c:pt idx="85">
                  <c:v>19.608636687107385</c:v>
                </c:pt>
                <c:pt idx="86">
                  <c:v>18.720913343299216</c:v>
                </c:pt>
                <c:pt idx="87">
                  <c:v>19.500829317680921</c:v>
                </c:pt>
                <c:pt idx="88">
                  <c:v>20.429468056651192</c:v>
                </c:pt>
                <c:pt idx="89">
                  <c:v>21.987298029387347</c:v>
                </c:pt>
                <c:pt idx="90">
                  <c:v>23.007479887892558</c:v>
                </c:pt>
                <c:pt idx="91">
                  <c:v>23.479920832774447</c:v>
                </c:pt>
                <c:pt idx="92">
                  <c:v>23.661908673204724</c:v>
                </c:pt>
                <c:pt idx="93">
                  <c:v>23.829148923383833</c:v>
                </c:pt>
                <c:pt idx="94">
                  <c:v>22.267248547299715</c:v>
                </c:pt>
                <c:pt idx="95">
                  <c:v>22.084130305234837</c:v>
                </c:pt>
                <c:pt idx="96">
                  <c:v>23.052813957039511</c:v>
                </c:pt>
                <c:pt idx="97">
                  <c:v>20.314865029004554</c:v>
                </c:pt>
                <c:pt idx="98">
                  <c:v>19.02853747101944</c:v>
                </c:pt>
                <c:pt idx="99">
                  <c:v>19.518429570734188</c:v>
                </c:pt>
                <c:pt idx="100">
                  <c:v>19.706719172289098</c:v>
                </c:pt>
                <c:pt idx="101">
                  <c:v>19.942271371375661</c:v>
                </c:pt>
                <c:pt idx="102">
                  <c:v>20.59840239813126</c:v>
                </c:pt>
                <c:pt idx="103">
                  <c:v>19.762165759692348</c:v>
                </c:pt>
                <c:pt idx="104">
                  <c:v>21.073728928857228</c:v>
                </c:pt>
                <c:pt idx="105">
                  <c:v>19.080812262190562</c:v>
                </c:pt>
                <c:pt idx="106">
                  <c:v>19.399235194721378</c:v>
                </c:pt>
                <c:pt idx="107">
                  <c:v>18.88018215003218</c:v>
                </c:pt>
                <c:pt idx="108">
                  <c:v>18.968969919516933</c:v>
                </c:pt>
                <c:pt idx="109">
                  <c:v>18.923640249187262</c:v>
                </c:pt>
                <c:pt idx="110">
                  <c:v>20.479254417310084</c:v>
                </c:pt>
                <c:pt idx="111">
                  <c:v>21.069763221122983</c:v>
                </c:pt>
                <c:pt idx="112">
                  <c:v>21.39995385949155</c:v>
                </c:pt>
                <c:pt idx="113">
                  <c:v>22.104961655398395</c:v>
                </c:pt>
                <c:pt idx="114">
                  <c:v>22.462750442061914</c:v>
                </c:pt>
                <c:pt idx="115">
                  <c:v>22.989707711921394</c:v>
                </c:pt>
                <c:pt idx="116">
                  <c:v>23.692103164621354</c:v>
                </c:pt>
                <c:pt idx="117">
                  <c:v>23.613831405072197</c:v>
                </c:pt>
                <c:pt idx="118">
                  <c:v>22.708831405072196</c:v>
                </c:pt>
                <c:pt idx="119">
                  <c:v>23.776254726245011</c:v>
                </c:pt>
                <c:pt idx="120">
                  <c:v>23.276210474541319</c:v>
                </c:pt>
                <c:pt idx="121">
                  <c:v>22.479958893536377</c:v>
                </c:pt>
                <c:pt idx="122">
                  <c:v>22.290385433820738</c:v>
                </c:pt>
                <c:pt idx="123">
                  <c:v>22.135985022086306</c:v>
                </c:pt>
                <c:pt idx="124">
                  <c:v>22.643129977419537</c:v>
                </c:pt>
                <c:pt idx="125">
                  <c:v>23.295638886212753</c:v>
                </c:pt>
                <c:pt idx="126">
                  <c:v>23.347949261103771</c:v>
                </c:pt>
                <c:pt idx="127">
                  <c:v>24.021378277476515</c:v>
                </c:pt>
                <c:pt idx="128">
                  <c:v>24.187534814424481</c:v>
                </c:pt>
                <c:pt idx="129">
                  <c:v>24.262497333165108</c:v>
                </c:pt>
                <c:pt idx="130">
                  <c:v>24.632902623899589</c:v>
                </c:pt>
                <c:pt idx="131">
                  <c:v>24.5866419365661</c:v>
                </c:pt>
                <c:pt idx="132">
                  <c:v>25.147180053158028</c:v>
                </c:pt>
                <c:pt idx="133">
                  <c:v>25.169820586180865</c:v>
                </c:pt>
                <c:pt idx="134">
                  <c:v>23.96204883753742</c:v>
                </c:pt>
                <c:pt idx="135">
                  <c:v>25.014323107734299</c:v>
                </c:pt>
                <c:pt idx="136">
                  <c:v>22.996633776612128</c:v>
                </c:pt>
                <c:pt idx="137">
                  <c:v>22.234114355075135</c:v>
                </c:pt>
                <c:pt idx="138">
                  <c:v>22.19919815395782</c:v>
                </c:pt>
                <c:pt idx="139">
                  <c:v>20.713640080507222</c:v>
                </c:pt>
                <c:pt idx="140">
                  <c:v>24.057587136759956</c:v>
                </c:pt>
                <c:pt idx="141">
                  <c:v>23.250478269078489</c:v>
                </c:pt>
                <c:pt idx="142">
                  <c:v>23.101410701922028</c:v>
                </c:pt>
                <c:pt idx="143">
                  <c:v>21.995992730577498</c:v>
                </c:pt>
                <c:pt idx="144">
                  <c:v>21.723048342996467</c:v>
                </c:pt>
                <c:pt idx="145">
                  <c:v>21.464208029127107</c:v>
                </c:pt>
                <c:pt idx="146">
                  <c:v>21.41494473923504</c:v>
                </c:pt>
                <c:pt idx="147">
                  <c:v>22.41615499338841</c:v>
                </c:pt>
                <c:pt idx="148">
                  <c:v>21.221434933182046</c:v>
                </c:pt>
                <c:pt idx="149">
                  <c:v>20.276111818278</c:v>
                </c:pt>
                <c:pt idx="150">
                  <c:v>20.397484432202749</c:v>
                </c:pt>
                <c:pt idx="151">
                  <c:v>20.378813782464135</c:v>
                </c:pt>
                <c:pt idx="152">
                  <c:v>20.002215428987171</c:v>
                </c:pt>
                <c:pt idx="153">
                  <c:v>19.438342338767477</c:v>
                </c:pt>
                <c:pt idx="154">
                  <c:v>19.258325519677811</c:v>
                </c:pt>
                <c:pt idx="155">
                  <c:v>18.720691111075659</c:v>
                </c:pt>
                <c:pt idx="156">
                  <c:v>20.432454096523106</c:v>
                </c:pt>
                <c:pt idx="157">
                  <c:v>20.158069249647554</c:v>
                </c:pt>
                <c:pt idx="158">
                  <c:v>23.951557029282935</c:v>
                </c:pt>
                <c:pt idx="159">
                  <c:v>23.698378045580821</c:v>
                </c:pt>
                <c:pt idx="160">
                  <c:v>23.095465707783013</c:v>
                </c:pt>
                <c:pt idx="161">
                  <c:v>22.884519684863751</c:v>
                </c:pt>
                <c:pt idx="162">
                  <c:v>24.717853018197083</c:v>
                </c:pt>
                <c:pt idx="163">
                  <c:v>25.180353850033114</c:v>
                </c:pt>
                <c:pt idx="164">
                  <c:v>25.11674061848095</c:v>
                </c:pt>
                <c:pt idx="165">
                  <c:v>24.978889864896832</c:v>
                </c:pt>
                <c:pt idx="166">
                  <c:v>23.628947586566664</c:v>
                </c:pt>
                <c:pt idx="167">
                  <c:v>24.050081774664939</c:v>
                </c:pt>
                <c:pt idx="168">
                  <c:v>24.047814200968791</c:v>
                </c:pt>
                <c:pt idx="169">
                  <c:v>24.659992675644034</c:v>
                </c:pt>
                <c:pt idx="170">
                  <c:v>23.924099556652017</c:v>
                </c:pt>
                <c:pt idx="171">
                  <c:v>24.746784234758383</c:v>
                </c:pt>
                <c:pt idx="172">
                  <c:v>23.808285630913662</c:v>
                </c:pt>
                <c:pt idx="173">
                  <c:v>22.633236777679066</c:v>
                </c:pt>
                <c:pt idx="174">
                  <c:v>22.93182526844997</c:v>
                </c:pt>
                <c:pt idx="175">
                  <c:v>23.438289349484222</c:v>
                </c:pt>
                <c:pt idx="176">
                  <c:v>23.564697165564926</c:v>
                </c:pt>
                <c:pt idx="177">
                  <c:v>24.827231900372222</c:v>
                </c:pt>
                <c:pt idx="178">
                  <c:v>25.904686667601336</c:v>
                </c:pt>
                <c:pt idx="179">
                  <c:v>26.982272874497887</c:v>
                </c:pt>
                <c:pt idx="180">
                  <c:v>26.482094239271021</c:v>
                </c:pt>
                <c:pt idx="181">
                  <c:v>26.683852417682893</c:v>
                </c:pt>
                <c:pt idx="182">
                  <c:v>26.073671106664762</c:v>
                </c:pt>
                <c:pt idx="183">
                  <c:v>24.901363562492598</c:v>
                </c:pt>
                <c:pt idx="184">
                  <c:v>26.559662028322446</c:v>
                </c:pt>
                <c:pt idx="185">
                  <c:v>26.655964475673265</c:v>
                </c:pt>
                <c:pt idx="186">
                  <c:v>27.211322042791345</c:v>
                </c:pt>
                <c:pt idx="187">
                  <c:v>26.364151592096665</c:v>
                </c:pt>
                <c:pt idx="188">
                  <c:v>27.841007792940268</c:v>
                </c:pt>
                <c:pt idx="189">
                  <c:v>27.401556047850537</c:v>
                </c:pt>
                <c:pt idx="190">
                  <c:v>26.605679759190743</c:v>
                </c:pt>
                <c:pt idx="191">
                  <c:v>26.653544022741283</c:v>
                </c:pt>
                <c:pt idx="192">
                  <c:v>26.609432016603961</c:v>
                </c:pt>
                <c:pt idx="193">
                  <c:v>25.809828388278632</c:v>
                </c:pt>
                <c:pt idx="194">
                  <c:v>25.818445116219806</c:v>
                </c:pt>
                <c:pt idx="195">
                  <c:v>25.252407380370752</c:v>
                </c:pt>
                <c:pt idx="196">
                  <c:v>24.543673955587941</c:v>
                </c:pt>
                <c:pt idx="197">
                  <c:v>30.132126953367365</c:v>
                </c:pt>
                <c:pt idx="198">
                  <c:v>30.218333849919091</c:v>
                </c:pt>
                <c:pt idx="199">
                  <c:v>31.509964934462218</c:v>
                </c:pt>
                <c:pt idx="200">
                  <c:v>29.580522228254445</c:v>
                </c:pt>
                <c:pt idx="201">
                  <c:v>29.933567241493634</c:v>
                </c:pt>
                <c:pt idx="202">
                  <c:v>29.156984206846083</c:v>
                </c:pt>
                <c:pt idx="203">
                  <c:v>29.060403175360666</c:v>
                </c:pt>
                <c:pt idx="204">
                  <c:v>29.853201855844901</c:v>
                </c:pt>
                <c:pt idx="205">
                  <c:v>29.416051968404453</c:v>
                </c:pt>
                <c:pt idx="206">
                  <c:v>29.329905833233337</c:v>
                </c:pt>
                <c:pt idx="207">
                  <c:v>31.447471710664654</c:v>
                </c:pt>
                <c:pt idx="208">
                  <c:v>31.630323402042801</c:v>
                </c:pt>
                <c:pt idx="209">
                  <c:v>31.21203406120911</c:v>
                </c:pt>
                <c:pt idx="210">
                  <c:v>33.182703938470738</c:v>
                </c:pt>
                <c:pt idx="211">
                  <c:v>33.886604238493817</c:v>
                </c:pt>
                <c:pt idx="212">
                  <c:v>34.721937038636</c:v>
                </c:pt>
                <c:pt idx="213">
                  <c:v>33.627707877777347</c:v>
                </c:pt>
                <c:pt idx="214">
                  <c:v>35.17376806615318</c:v>
                </c:pt>
                <c:pt idx="215">
                  <c:v>34.413693764625449</c:v>
                </c:pt>
                <c:pt idx="216">
                  <c:v>33.949586553113392</c:v>
                </c:pt>
                <c:pt idx="217">
                  <c:v>33.800458022961465</c:v>
                </c:pt>
                <c:pt idx="218">
                  <c:v>33.459281552373227</c:v>
                </c:pt>
                <c:pt idx="219">
                  <c:v>33.631120662609312</c:v>
                </c:pt>
                <c:pt idx="220">
                  <c:v>34.496921528410176</c:v>
                </c:pt>
                <c:pt idx="221">
                  <c:v>34.431633739838148</c:v>
                </c:pt>
                <c:pt idx="222">
                  <c:v>34.549257344303854</c:v>
                </c:pt>
                <c:pt idx="223">
                  <c:v>34.09943272873452</c:v>
                </c:pt>
                <c:pt idx="224">
                  <c:v>33.484621036772744</c:v>
                </c:pt>
                <c:pt idx="225">
                  <c:v>33.53216892428803</c:v>
                </c:pt>
                <c:pt idx="226">
                  <c:v>34.631070023189125</c:v>
                </c:pt>
                <c:pt idx="227">
                  <c:v>35.498498823830921</c:v>
                </c:pt>
                <c:pt idx="228">
                  <c:v>37.07153016879375</c:v>
                </c:pt>
                <c:pt idx="229">
                  <c:v>36.216473781291441</c:v>
                </c:pt>
                <c:pt idx="230">
                  <c:v>40.911390333121176</c:v>
                </c:pt>
                <c:pt idx="231">
                  <c:v>41.052231588775143</c:v>
                </c:pt>
                <c:pt idx="232">
                  <c:v>41.151231687775244</c:v>
                </c:pt>
                <c:pt idx="233">
                  <c:v>41.309374093082653</c:v>
                </c:pt>
                <c:pt idx="234">
                  <c:v>41.256732931652394</c:v>
                </c:pt>
                <c:pt idx="235">
                  <c:v>41.121915504571355</c:v>
                </c:pt>
                <c:pt idx="236">
                  <c:v>43.025514018339365</c:v>
                </c:pt>
                <c:pt idx="237">
                  <c:v>42.474580804937069</c:v>
                </c:pt>
                <c:pt idx="238">
                  <c:v>42.255041836770218</c:v>
                </c:pt>
                <c:pt idx="239">
                  <c:v>41.601884911632048</c:v>
                </c:pt>
                <c:pt idx="240">
                  <c:v>42.102818327935722</c:v>
                </c:pt>
                <c:pt idx="241">
                  <c:v>41.941729729206422</c:v>
                </c:pt>
                <c:pt idx="242">
                  <c:v>41.158928238415051</c:v>
                </c:pt>
                <c:pt idx="243">
                  <c:v>41.147939937723436</c:v>
                </c:pt>
                <c:pt idx="244">
                  <c:v>41.312677964081516</c:v>
                </c:pt>
                <c:pt idx="245">
                  <c:v>42.262519233922781</c:v>
                </c:pt>
                <c:pt idx="246">
                  <c:v>41.196866821642075</c:v>
                </c:pt>
                <c:pt idx="247">
                  <c:v>42.223930684570426</c:v>
                </c:pt>
                <c:pt idx="248">
                  <c:v>42.114897568071314</c:v>
                </c:pt>
                <c:pt idx="249">
                  <c:v>41.165089379984622</c:v>
                </c:pt>
                <c:pt idx="250">
                  <c:v>40.510739880369535</c:v>
                </c:pt>
                <c:pt idx="251">
                  <c:v>40.710081187355144</c:v>
                </c:pt>
                <c:pt idx="252">
                  <c:v>40.249536396566036</c:v>
                </c:pt>
                <c:pt idx="253">
                  <c:v>43.513368503407136</c:v>
                </c:pt>
                <c:pt idx="254">
                  <c:v>45.956474259765905</c:v>
                </c:pt>
                <c:pt idx="255">
                  <c:v>46.971108936878139</c:v>
                </c:pt>
                <c:pt idx="256">
                  <c:v>46.050558962963194</c:v>
                </c:pt>
                <c:pt idx="257">
                  <c:v>48.128992340609173</c:v>
                </c:pt>
                <c:pt idx="258">
                  <c:v>47.760047842694512</c:v>
                </c:pt>
                <c:pt idx="259">
                  <c:v>47.318311042460032</c:v>
                </c:pt>
                <c:pt idx="260">
                  <c:v>48.076682572890384</c:v>
                </c:pt>
                <c:pt idx="261">
                  <c:v>48.343424554940221</c:v>
                </c:pt>
                <c:pt idx="262">
                  <c:v>49.701665032691295</c:v>
                </c:pt>
                <c:pt idx="263">
                  <c:v>50.352292964299707</c:v>
                </c:pt>
                <c:pt idx="264">
                  <c:v>51.349399880685169</c:v>
                </c:pt>
                <c:pt idx="265">
                  <c:v>53.488628406307626</c:v>
                </c:pt>
                <c:pt idx="266">
                  <c:v>54.094878406307622</c:v>
                </c:pt>
                <c:pt idx="267">
                  <c:v>53.904125386051469</c:v>
                </c:pt>
                <c:pt idx="268">
                  <c:v>53.490089147632183</c:v>
                </c:pt>
                <c:pt idx="269">
                  <c:v>53.556956348968725</c:v>
                </c:pt>
                <c:pt idx="270">
                  <c:v>54.008309843135677</c:v>
                </c:pt>
                <c:pt idx="271">
                  <c:v>54.109122851265759</c:v>
                </c:pt>
                <c:pt idx="272">
                  <c:v>53.94009361689136</c:v>
                </c:pt>
                <c:pt idx="273">
                  <c:v>53.68828373335343</c:v>
                </c:pt>
                <c:pt idx="274">
                  <c:v>54.045452623214203</c:v>
                </c:pt>
                <c:pt idx="275">
                  <c:v>53.321616414198822</c:v>
                </c:pt>
                <c:pt idx="276">
                  <c:v>54.083299863721159</c:v>
                </c:pt>
                <c:pt idx="277">
                  <c:v>54.882187243241184</c:v>
                </c:pt>
                <c:pt idx="278">
                  <c:v>54.163404739272274</c:v>
                </c:pt>
                <c:pt idx="279">
                  <c:v>55.623788030589942</c:v>
                </c:pt>
                <c:pt idx="280">
                  <c:v>56.059139583259935</c:v>
                </c:pt>
                <c:pt idx="281">
                  <c:v>53.90977269883377</c:v>
                </c:pt>
                <c:pt idx="282">
                  <c:v>53.483111029668358</c:v>
                </c:pt>
                <c:pt idx="283">
                  <c:v>52.718184025559609</c:v>
                </c:pt>
                <c:pt idx="284">
                  <c:v>52.164846489662715</c:v>
                </c:pt>
                <c:pt idx="285">
                  <c:v>52.263669210295184</c:v>
                </c:pt>
                <c:pt idx="286">
                  <c:v>53.23447567309249</c:v>
                </c:pt>
                <c:pt idx="287">
                  <c:v>53.083020385327444</c:v>
                </c:pt>
                <c:pt idx="288">
                  <c:v>53.809293125420524</c:v>
                </c:pt>
                <c:pt idx="289">
                  <c:v>53.668315681811499</c:v>
                </c:pt>
                <c:pt idx="290">
                  <c:v>55.274074264314265</c:v>
                </c:pt>
                <c:pt idx="291">
                  <c:v>56.11393988581483</c:v>
                </c:pt>
                <c:pt idx="292">
                  <c:v>56.397991621839758</c:v>
                </c:pt>
                <c:pt idx="293">
                  <c:v>58.097991621839761</c:v>
                </c:pt>
                <c:pt idx="294">
                  <c:v>58.22067595505041</c:v>
                </c:pt>
                <c:pt idx="295">
                  <c:v>59.375735680089853</c:v>
                </c:pt>
                <c:pt idx="296">
                  <c:v>58.50711564228267</c:v>
                </c:pt>
                <c:pt idx="297">
                  <c:v>57.21619373825294</c:v>
                </c:pt>
                <c:pt idx="298">
                  <c:v>56.383481831715528</c:v>
                </c:pt>
                <c:pt idx="299">
                  <c:v>56.697947240520563</c:v>
                </c:pt>
                <c:pt idx="300">
                  <c:v>56.000915485480959</c:v>
                </c:pt>
                <c:pt idx="301">
                  <c:v>55.924484461540409</c:v>
                </c:pt>
                <c:pt idx="302">
                  <c:v>56.876027720775973</c:v>
                </c:pt>
                <c:pt idx="303">
                  <c:v>56.37438598418349</c:v>
                </c:pt>
                <c:pt idx="304">
                  <c:v>56.530739942932655</c:v>
                </c:pt>
                <c:pt idx="305">
                  <c:v>55.812724277136304</c:v>
                </c:pt>
                <c:pt idx="306">
                  <c:v>56.516258045147254</c:v>
                </c:pt>
                <c:pt idx="307">
                  <c:v>54.489296547717323</c:v>
                </c:pt>
                <c:pt idx="308">
                  <c:v>59.705079747829508</c:v>
                </c:pt>
                <c:pt idx="309">
                  <c:v>60.122867549876567</c:v>
                </c:pt>
                <c:pt idx="310">
                  <c:v>59.351366234896993</c:v>
                </c:pt>
                <c:pt idx="311">
                  <c:v>58.211691363338062</c:v>
                </c:pt>
                <c:pt idx="312">
                  <c:v>57.892905093267537</c:v>
                </c:pt>
                <c:pt idx="313">
                  <c:v>58.688403735099122</c:v>
                </c:pt>
                <c:pt idx="314">
                  <c:v>58.645523401857673</c:v>
                </c:pt>
                <c:pt idx="315">
                  <c:v>54.589009397472253</c:v>
                </c:pt>
                <c:pt idx="316">
                  <c:v>53.482054091264992</c:v>
                </c:pt>
                <c:pt idx="317">
                  <c:v>52.303382435511956</c:v>
                </c:pt>
                <c:pt idx="318">
                  <c:v>51.004622672304897</c:v>
                </c:pt>
                <c:pt idx="319">
                  <c:v>51.183430382493363</c:v>
                </c:pt>
                <c:pt idx="320">
                  <c:v>53.209451369447422</c:v>
                </c:pt>
                <c:pt idx="321">
                  <c:v>52.356536262991312</c:v>
                </c:pt>
                <c:pt idx="322">
                  <c:v>52.656475384258776</c:v>
                </c:pt>
                <c:pt idx="323">
                  <c:v>53.47585229763893</c:v>
                </c:pt>
                <c:pt idx="324">
                  <c:v>53.86036095899383</c:v>
                </c:pt>
                <c:pt idx="325">
                  <c:v>52.465329435515898</c:v>
                </c:pt>
                <c:pt idx="326">
                  <c:v>50.294690480735973</c:v>
                </c:pt>
                <c:pt idx="327">
                  <c:v>49.431014576672347</c:v>
                </c:pt>
                <c:pt idx="328">
                  <c:v>48.615348504418201</c:v>
                </c:pt>
                <c:pt idx="329">
                  <c:v>49.935810111164763</c:v>
                </c:pt>
                <c:pt idx="330">
                  <c:v>50.562376527204862</c:v>
                </c:pt>
                <c:pt idx="331">
                  <c:v>50.492987682795999</c:v>
                </c:pt>
                <c:pt idx="332">
                  <c:v>49.62203268513052</c:v>
                </c:pt>
                <c:pt idx="333">
                  <c:v>50.219163499298972</c:v>
                </c:pt>
                <c:pt idx="334">
                  <c:v>49.424325546519974</c:v>
                </c:pt>
                <c:pt idx="335">
                  <c:v>49.118205647477069</c:v>
                </c:pt>
                <c:pt idx="336">
                  <c:v>48.133752799166842</c:v>
                </c:pt>
                <c:pt idx="337">
                  <c:v>47.289962232312668</c:v>
                </c:pt>
                <c:pt idx="338">
                  <c:v>47.658748646097223</c:v>
                </c:pt>
                <c:pt idx="339">
                  <c:v>48.711380225044593</c:v>
                </c:pt>
                <c:pt idx="340">
                  <c:v>52.170589684826219</c:v>
                </c:pt>
                <c:pt idx="341">
                  <c:v>51.642705754519852</c:v>
                </c:pt>
                <c:pt idx="342">
                  <c:v>51.815716135142694</c:v>
                </c:pt>
                <c:pt idx="343">
                  <c:v>52.557398695007073</c:v>
                </c:pt>
                <c:pt idx="344">
                  <c:v>54.35924244209712</c:v>
                </c:pt>
                <c:pt idx="345">
                  <c:v>54.16037993563409</c:v>
                </c:pt>
                <c:pt idx="346">
                  <c:v>54.617367948310338</c:v>
                </c:pt>
                <c:pt idx="347">
                  <c:v>57.532801873359645</c:v>
                </c:pt>
                <c:pt idx="348">
                  <c:v>56.249113930097238</c:v>
                </c:pt>
                <c:pt idx="349">
                  <c:v>54.916105061397261</c:v>
                </c:pt>
                <c:pt idx="350">
                  <c:v>54.079566599858801</c:v>
                </c:pt>
                <c:pt idx="351">
                  <c:v>54.964628400112161</c:v>
                </c:pt>
                <c:pt idx="352">
                  <c:v>54.289370423032892</c:v>
                </c:pt>
                <c:pt idx="353">
                  <c:v>54.247931097112591</c:v>
                </c:pt>
                <c:pt idx="354">
                  <c:v>55.080115409802666</c:v>
                </c:pt>
                <c:pt idx="355">
                  <c:v>53.60981205076969</c:v>
                </c:pt>
                <c:pt idx="356">
                  <c:v>54.125886500854293</c:v>
                </c:pt>
                <c:pt idx="357">
                  <c:v>53.318995213099413</c:v>
                </c:pt>
                <c:pt idx="358">
                  <c:v>55.810844304855351</c:v>
                </c:pt>
                <c:pt idx="359">
                  <c:v>56.297757820261516</c:v>
                </c:pt>
                <c:pt idx="360">
                  <c:v>55.607480668782102</c:v>
                </c:pt>
                <c:pt idx="361">
                  <c:v>54.072236355816685</c:v>
                </c:pt>
                <c:pt idx="362">
                  <c:v>52.843670902031654</c:v>
                </c:pt>
                <c:pt idx="363">
                  <c:v>52.989668840884278</c:v>
                </c:pt>
                <c:pt idx="364">
                  <c:v>53.10211065878083</c:v>
                </c:pt>
                <c:pt idx="365">
                  <c:v>53.492888306299399</c:v>
                </c:pt>
                <c:pt idx="366">
                  <c:v>53.620319560491218</c:v>
                </c:pt>
                <c:pt idx="367">
                  <c:v>54.247144221318969</c:v>
                </c:pt>
                <c:pt idx="368">
                  <c:v>51.851365255700358</c:v>
                </c:pt>
                <c:pt idx="369">
                  <c:v>54.814551939817278</c:v>
                </c:pt>
                <c:pt idx="370">
                  <c:v>54.001337056685131</c:v>
                </c:pt>
                <c:pt idx="371">
                  <c:v>54.441065572123428</c:v>
                </c:pt>
                <c:pt idx="372">
                  <c:v>54.343978193482648</c:v>
                </c:pt>
                <c:pt idx="373">
                  <c:v>52.356011646928089</c:v>
                </c:pt>
                <c:pt idx="374">
                  <c:v>53.011979302359421</c:v>
                </c:pt>
                <c:pt idx="375">
                  <c:v>53.443927142620218</c:v>
                </c:pt>
                <c:pt idx="376">
                  <c:v>55.97937535218523</c:v>
                </c:pt>
                <c:pt idx="377">
                  <c:v>55.578305833468647</c:v>
                </c:pt>
                <c:pt idx="378">
                  <c:v>55.969412410010754</c:v>
                </c:pt>
                <c:pt idx="379">
                  <c:v>56.441685414276442</c:v>
                </c:pt>
                <c:pt idx="380">
                  <c:v>55.845691965323631</c:v>
                </c:pt>
                <c:pt idx="381">
                  <c:v>55.140454117972304</c:v>
                </c:pt>
                <c:pt idx="382">
                  <c:v>53.971328672017236</c:v>
                </c:pt>
                <c:pt idx="383">
                  <c:v>53.048795545953134</c:v>
                </c:pt>
                <c:pt idx="384">
                  <c:v>52.109562061333868</c:v>
                </c:pt>
                <c:pt idx="385">
                  <c:v>52.811131622833805</c:v>
                </c:pt>
                <c:pt idx="386">
                  <c:v>49.875188562335588</c:v>
                </c:pt>
                <c:pt idx="387">
                  <c:v>51.113283800430828</c:v>
                </c:pt>
                <c:pt idx="388">
                  <c:v>51.214803698330819</c:v>
                </c:pt>
                <c:pt idx="389">
                  <c:v>51.60672611097862</c:v>
                </c:pt>
                <c:pt idx="390">
                  <c:v>50.544869484807791</c:v>
                </c:pt>
                <c:pt idx="391">
                  <c:v>50.371916294323164</c:v>
                </c:pt>
                <c:pt idx="392">
                  <c:v>49.516699471705195</c:v>
                </c:pt>
                <c:pt idx="393">
                  <c:v>46.852880602929467</c:v>
                </c:pt>
                <c:pt idx="394">
                  <c:v>46.582908423233349</c:v>
                </c:pt>
                <c:pt idx="395">
                  <c:v>46.085545048353197</c:v>
                </c:pt>
                <c:pt idx="396">
                  <c:v>48.014191704488006</c:v>
                </c:pt>
                <c:pt idx="397">
                  <c:v>49.002892269459757</c:v>
                </c:pt>
                <c:pt idx="398">
                  <c:v>48.454744121311606</c:v>
                </c:pt>
                <c:pt idx="399">
                  <c:v>50.578416825871258</c:v>
                </c:pt>
                <c:pt idx="400">
                  <c:v>49.862830044710705</c:v>
                </c:pt>
                <c:pt idx="401">
                  <c:v>51.265489333005227</c:v>
                </c:pt>
                <c:pt idx="402">
                  <c:v>51.715417565311732</c:v>
                </c:pt>
                <c:pt idx="403">
                  <c:v>50.485460389731614</c:v>
                </c:pt>
                <c:pt idx="404">
                  <c:v>49.268865488494512</c:v>
                </c:pt>
                <c:pt idx="405">
                  <c:v>50.074190192473331</c:v>
                </c:pt>
                <c:pt idx="406">
                  <c:v>49.32577338188036</c:v>
                </c:pt>
                <c:pt idx="407">
                  <c:v>51.401519922302796</c:v>
                </c:pt>
                <c:pt idx="408">
                  <c:v>52.799566320349193</c:v>
                </c:pt>
                <c:pt idx="409">
                  <c:v>53.613683189511931</c:v>
                </c:pt>
                <c:pt idx="410">
                  <c:v>54.626740370961727</c:v>
                </c:pt>
                <c:pt idx="411">
                  <c:v>58.784920954804228</c:v>
                </c:pt>
                <c:pt idx="412">
                  <c:v>59.146336073154956</c:v>
                </c:pt>
                <c:pt idx="413">
                  <c:v>59.972782354146695</c:v>
                </c:pt>
                <c:pt idx="414">
                  <c:v>62.198990414919017</c:v>
                </c:pt>
                <c:pt idx="415">
                  <c:v>62.701871155585749</c:v>
                </c:pt>
                <c:pt idx="416">
                  <c:v>62.917655456743724</c:v>
                </c:pt>
                <c:pt idx="417">
                  <c:v>60.36803191122695</c:v>
                </c:pt>
                <c:pt idx="418">
                  <c:v>61.137048350346483</c:v>
                </c:pt>
                <c:pt idx="419">
                  <c:v>60.626148504249585</c:v>
                </c:pt>
                <c:pt idx="420">
                  <c:v>63.131716432980099</c:v>
                </c:pt>
                <c:pt idx="421">
                  <c:v>64.011030567954819</c:v>
                </c:pt>
                <c:pt idx="422">
                  <c:v>68.557393477627087</c:v>
                </c:pt>
                <c:pt idx="423">
                  <c:v>69.158912396909301</c:v>
                </c:pt>
                <c:pt idx="424">
                  <c:v>68.765584750240734</c:v>
                </c:pt>
                <c:pt idx="425">
                  <c:v>69.719346386132699</c:v>
                </c:pt>
                <c:pt idx="426">
                  <c:v>70.388924260950745</c:v>
                </c:pt>
                <c:pt idx="427">
                  <c:v>71.65545412871181</c:v>
                </c:pt>
                <c:pt idx="428">
                  <c:v>72.890341866190226</c:v>
                </c:pt>
                <c:pt idx="429">
                  <c:v>75.750302418458475</c:v>
                </c:pt>
                <c:pt idx="430">
                  <c:v>74.91084572729838</c:v>
                </c:pt>
                <c:pt idx="431">
                  <c:v>73.389203603246614</c:v>
                </c:pt>
                <c:pt idx="432">
                  <c:v>71.919535060407341</c:v>
                </c:pt>
                <c:pt idx="433">
                  <c:v>69.601181855475119</c:v>
                </c:pt>
                <c:pt idx="434">
                  <c:v>69.696692839238253</c:v>
                </c:pt>
                <c:pt idx="435">
                  <c:v>66.963995550624759</c:v>
                </c:pt>
                <c:pt idx="436">
                  <c:v>65.563175180684354</c:v>
                </c:pt>
                <c:pt idx="437">
                  <c:v>66.807370617793183</c:v>
                </c:pt>
                <c:pt idx="438">
                  <c:v>67.10656541152801</c:v>
                </c:pt>
                <c:pt idx="439">
                  <c:v>66.329866382401804</c:v>
                </c:pt>
                <c:pt idx="440">
                  <c:v>67.870005403800192</c:v>
                </c:pt>
                <c:pt idx="441">
                  <c:v>68.855541618785892</c:v>
                </c:pt>
                <c:pt idx="442">
                  <c:v>68.2187491659557</c:v>
                </c:pt>
                <c:pt idx="443">
                  <c:v>68.635291861582004</c:v>
                </c:pt>
                <c:pt idx="444">
                  <c:v>68.632809486445467</c:v>
                </c:pt>
              </c:numCache>
            </c:numRef>
          </c:val>
          <c:smooth val="0"/>
          <c:extLst>
            <c:ext xmlns:c16="http://schemas.microsoft.com/office/drawing/2014/chart" uri="{C3380CC4-5D6E-409C-BE32-E72D297353CC}">
              <c16:uniqueId val="{00000005-CFC7-4AE2-BBA7-ADFD494951EC}"/>
            </c:ext>
          </c:extLst>
        </c:ser>
        <c:ser>
          <c:idx val="0"/>
          <c:order val="1"/>
          <c:tx>
            <c:v>XLK</c:v>
          </c:tx>
          <c:spPr>
            <a:ln w="19050" cap="rnd">
              <a:solidFill>
                <a:srgbClr val="0000FF"/>
              </a:solidFill>
              <a:prstDash val="sysDash"/>
              <a:round/>
            </a:ln>
            <a:effectLst/>
          </c:spPr>
          <c:marker>
            <c:symbol val="none"/>
          </c:marker>
          <c:val>
            <c:numRef>
              <c:f>'2025-Q1'!$AF$4:$AF$448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1.2148148148148128</c:v>
                </c:pt>
                <c:pt idx="32">
                  <c:v>1.2148148148148128</c:v>
                </c:pt>
                <c:pt idx="33">
                  <c:v>1.2148148148148128</c:v>
                </c:pt>
                <c:pt idx="34">
                  <c:v>1.2148148148148128</c:v>
                </c:pt>
                <c:pt idx="35">
                  <c:v>1.2148148148148128</c:v>
                </c:pt>
                <c:pt idx="36">
                  <c:v>1.8863403006967374</c:v>
                </c:pt>
                <c:pt idx="37">
                  <c:v>1.8863403006967374</c:v>
                </c:pt>
                <c:pt idx="38">
                  <c:v>2.2268662615868253</c:v>
                </c:pt>
                <c:pt idx="39">
                  <c:v>2.2268662615868253</c:v>
                </c:pt>
                <c:pt idx="40">
                  <c:v>2.6827268806413822</c:v>
                </c:pt>
                <c:pt idx="41">
                  <c:v>2.6827268806413822</c:v>
                </c:pt>
                <c:pt idx="42">
                  <c:v>2.6827268806413822</c:v>
                </c:pt>
                <c:pt idx="43">
                  <c:v>2.6827268806413822</c:v>
                </c:pt>
                <c:pt idx="44">
                  <c:v>2.6827268806413822</c:v>
                </c:pt>
                <c:pt idx="45">
                  <c:v>2.6827268806413822</c:v>
                </c:pt>
                <c:pt idx="46">
                  <c:v>2.6827268806413822</c:v>
                </c:pt>
                <c:pt idx="47">
                  <c:v>2.6827268806413822</c:v>
                </c:pt>
                <c:pt idx="48">
                  <c:v>2.6827268806413822</c:v>
                </c:pt>
                <c:pt idx="49">
                  <c:v>2.6827268806413822</c:v>
                </c:pt>
                <c:pt idx="50">
                  <c:v>2.6827268806413822</c:v>
                </c:pt>
                <c:pt idx="51">
                  <c:v>2.6827268806413822</c:v>
                </c:pt>
                <c:pt idx="52">
                  <c:v>2.6827268806413822</c:v>
                </c:pt>
                <c:pt idx="53">
                  <c:v>2.6827268806413822</c:v>
                </c:pt>
                <c:pt idx="54">
                  <c:v>2.6827268806413822</c:v>
                </c:pt>
                <c:pt idx="55">
                  <c:v>2.6827268806413822</c:v>
                </c:pt>
                <c:pt idx="56">
                  <c:v>2.6827268806413822</c:v>
                </c:pt>
                <c:pt idx="57">
                  <c:v>2.6827268806413822</c:v>
                </c:pt>
                <c:pt idx="58">
                  <c:v>2.6827268806413822</c:v>
                </c:pt>
                <c:pt idx="59">
                  <c:v>2.6827268806413822</c:v>
                </c:pt>
                <c:pt idx="60">
                  <c:v>2.6827268806413822</c:v>
                </c:pt>
                <c:pt idx="61">
                  <c:v>2.6827268806413822</c:v>
                </c:pt>
                <c:pt idx="62">
                  <c:v>2.6827268806413822</c:v>
                </c:pt>
                <c:pt idx="63">
                  <c:v>2.6827268806413822</c:v>
                </c:pt>
                <c:pt idx="64">
                  <c:v>2.6827268806413822</c:v>
                </c:pt>
                <c:pt idx="65">
                  <c:v>2.6827268806413822</c:v>
                </c:pt>
                <c:pt idx="66">
                  <c:v>2.6827268806413822</c:v>
                </c:pt>
                <c:pt idx="67">
                  <c:v>2.6827268806413822</c:v>
                </c:pt>
                <c:pt idx="68">
                  <c:v>2.6827268806413822</c:v>
                </c:pt>
                <c:pt idx="69">
                  <c:v>2.6827268806413822</c:v>
                </c:pt>
                <c:pt idx="70">
                  <c:v>2.6827268806413822</c:v>
                </c:pt>
                <c:pt idx="71">
                  <c:v>2.6827268806413822</c:v>
                </c:pt>
                <c:pt idx="72">
                  <c:v>2.6827268806413822</c:v>
                </c:pt>
                <c:pt idx="73">
                  <c:v>2.6827268806413822</c:v>
                </c:pt>
                <c:pt idx="74">
                  <c:v>2.6827268806413822</c:v>
                </c:pt>
                <c:pt idx="75">
                  <c:v>4.9863503914427056</c:v>
                </c:pt>
                <c:pt idx="76">
                  <c:v>4.9863503914427056</c:v>
                </c:pt>
                <c:pt idx="77">
                  <c:v>4.9863503914427056</c:v>
                </c:pt>
                <c:pt idx="78">
                  <c:v>4.9863503914427056</c:v>
                </c:pt>
                <c:pt idx="79">
                  <c:v>4.9863503914427056</c:v>
                </c:pt>
                <c:pt idx="80">
                  <c:v>4.9863503914427056</c:v>
                </c:pt>
                <c:pt idx="81">
                  <c:v>4.9863503914427056</c:v>
                </c:pt>
                <c:pt idx="82">
                  <c:v>4.9863503914427056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7-CFC7-4AE2-BBA7-ADFD494951EC}"/>
            </c:ext>
          </c:extLst>
        </c:ser>
        <c:ser>
          <c:idx val="4"/>
          <c:order val="2"/>
          <c:tx>
            <c:strRef>
              <c:f>'2025-Q1'!$BB$2</c:f>
              <c:strCache>
                <c:ptCount val="1"/>
                <c:pt idx="0">
                  <c:v>XLC</c:v>
                </c:pt>
              </c:strCache>
            </c:strRef>
          </c:tx>
          <c:spPr>
            <a:ln w="19050" cap="rnd">
              <a:solidFill>
                <a:srgbClr val="00B0F0"/>
              </a:solidFill>
              <a:prstDash val="sysDash"/>
              <a:round/>
            </a:ln>
            <a:effectLst/>
          </c:spPr>
          <c:marker>
            <c:symbol val="none"/>
          </c:marker>
          <c:val>
            <c:numRef>
              <c:f>'2025-Q1'!$BH$4:$BH$448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2.4597169840247779</c:v>
                </c:pt>
                <c:pt idx="29">
                  <c:v>2.4597169840247779</c:v>
                </c:pt>
                <c:pt idx="30">
                  <c:v>2.4597169840247779</c:v>
                </c:pt>
                <c:pt idx="31">
                  <c:v>2.4597169840247779</c:v>
                </c:pt>
                <c:pt idx="32">
                  <c:v>2.4597169840247779</c:v>
                </c:pt>
                <c:pt idx="33">
                  <c:v>2.4597169840247779</c:v>
                </c:pt>
                <c:pt idx="34">
                  <c:v>2.4597169840247779</c:v>
                </c:pt>
                <c:pt idx="35">
                  <c:v>2.4597169840247779</c:v>
                </c:pt>
                <c:pt idx="36">
                  <c:v>2.4597169840247779</c:v>
                </c:pt>
                <c:pt idx="37">
                  <c:v>2.4597169840247779</c:v>
                </c:pt>
                <c:pt idx="38">
                  <c:v>2.4597169840247779</c:v>
                </c:pt>
                <c:pt idx="39">
                  <c:v>2.4597169840247779</c:v>
                </c:pt>
                <c:pt idx="40">
                  <c:v>2.4597169840247779</c:v>
                </c:pt>
                <c:pt idx="41">
                  <c:v>2.4597169840247779</c:v>
                </c:pt>
                <c:pt idx="42">
                  <c:v>2.4597169840247779</c:v>
                </c:pt>
                <c:pt idx="43">
                  <c:v>2.4597169840247779</c:v>
                </c:pt>
                <c:pt idx="44">
                  <c:v>2.4597169840247779</c:v>
                </c:pt>
                <c:pt idx="45">
                  <c:v>2.4597169840247779</c:v>
                </c:pt>
                <c:pt idx="46">
                  <c:v>2.4597169840247779</c:v>
                </c:pt>
                <c:pt idx="47">
                  <c:v>2.4597169840247779</c:v>
                </c:pt>
                <c:pt idx="48">
                  <c:v>2.4597169840247779</c:v>
                </c:pt>
                <c:pt idx="49">
                  <c:v>2.4597169840247779</c:v>
                </c:pt>
                <c:pt idx="50">
                  <c:v>2.4597169840247779</c:v>
                </c:pt>
                <c:pt idx="51">
                  <c:v>2.4597169840247779</c:v>
                </c:pt>
                <c:pt idx="52">
                  <c:v>2.4597169840247779</c:v>
                </c:pt>
                <c:pt idx="53">
                  <c:v>2.4597169840247779</c:v>
                </c:pt>
                <c:pt idx="54">
                  <c:v>2.4597169840247779</c:v>
                </c:pt>
                <c:pt idx="55">
                  <c:v>2.0641069789201323</c:v>
                </c:pt>
                <c:pt idx="56">
                  <c:v>2.0641069789201323</c:v>
                </c:pt>
                <c:pt idx="57">
                  <c:v>2.6362900775116813</c:v>
                </c:pt>
                <c:pt idx="58">
                  <c:v>2.6362900775116813</c:v>
                </c:pt>
                <c:pt idx="59">
                  <c:v>2.6362900775116813</c:v>
                </c:pt>
                <c:pt idx="60">
                  <c:v>2.6362900775116813</c:v>
                </c:pt>
                <c:pt idx="61">
                  <c:v>2.6362900775116813</c:v>
                </c:pt>
                <c:pt idx="62">
                  <c:v>2.6362900775116813</c:v>
                </c:pt>
                <c:pt idx="63">
                  <c:v>2.6362900775116813</c:v>
                </c:pt>
                <c:pt idx="64">
                  <c:v>2.6362900775116813</c:v>
                </c:pt>
                <c:pt idx="65">
                  <c:v>2.6362900775116813</c:v>
                </c:pt>
                <c:pt idx="66">
                  <c:v>2.6362900775116813</c:v>
                </c:pt>
                <c:pt idx="67">
                  <c:v>2.6362900775116813</c:v>
                </c:pt>
                <c:pt idx="68">
                  <c:v>2.6362900775116813</c:v>
                </c:pt>
                <c:pt idx="69">
                  <c:v>2.6362900775116813</c:v>
                </c:pt>
                <c:pt idx="70">
                  <c:v>2.6362900775116813</c:v>
                </c:pt>
                <c:pt idx="71">
                  <c:v>2.6362900775116813</c:v>
                </c:pt>
                <c:pt idx="72">
                  <c:v>2.6362900775116813</c:v>
                </c:pt>
                <c:pt idx="73">
                  <c:v>2.6362900775116813</c:v>
                </c:pt>
                <c:pt idx="74">
                  <c:v>2.6362900775116813</c:v>
                </c:pt>
                <c:pt idx="75">
                  <c:v>2.6362900775116813</c:v>
                </c:pt>
                <c:pt idx="76">
                  <c:v>3.9069783292978819</c:v>
                </c:pt>
                <c:pt idx="77">
                  <c:v>3.9069783292978819</c:v>
                </c:pt>
                <c:pt idx="78">
                  <c:v>3.9069783292978819</c:v>
                </c:pt>
                <c:pt idx="79">
                  <c:v>3.9069783292978819</c:v>
                </c:pt>
                <c:pt idx="80">
                  <c:v>3.9069783292978819</c:v>
                </c:pt>
                <c:pt idx="81">
                  <c:v>3.9069783292978819</c:v>
                </c:pt>
                <c:pt idx="82">
                  <c:v>3.9069783292978819</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A-CFC7-4AE2-BBA7-ADFD494951EC}"/>
            </c:ext>
          </c:extLst>
        </c:ser>
        <c:ser>
          <c:idx val="5"/>
          <c:order val="3"/>
          <c:tx>
            <c:strRef>
              <c:f>'2025-Q1'!$CK$2</c:f>
              <c:strCache>
                <c:ptCount val="1"/>
                <c:pt idx="0">
                  <c:v>SMH</c:v>
                </c:pt>
              </c:strCache>
            </c:strRef>
          </c:tx>
          <c:spPr>
            <a:ln w="19050" cap="rnd">
              <a:solidFill>
                <a:schemeClr val="tx2">
                  <a:lumMod val="25000"/>
                  <a:lumOff val="75000"/>
                </a:schemeClr>
              </a:solidFill>
              <a:prstDash val="sysDash"/>
              <a:round/>
            </a:ln>
            <a:effectLst/>
          </c:spPr>
          <c:marker>
            <c:symbol val="none"/>
          </c:marker>
          <c:val>
            <c:numRef>
              <c:f>'2025-Q1'!$CQ$4:$CQ$448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-0.8814781582839023</c:v>
                </c:pt>
                <c:pt idx="53">
                  <c:v>-0.8814781582839023</c:v>
                </c:pt>
                <c:pt idx="54">
                  <c:v>-0.8814781582839023</c:v>
                </c:pt>
                <c:pt idx="55">
                  <c:v>-0.8814781582839023</c:v>
                </c:pt>
                <c:pt idx="56">
                  <c:v>-0.8814781582839023</c:v>
                </c:pt>
                <c:pt idx="57">
                  <c:v>-0.8814781582839023</c:v>
                </c:pt>
                <c:pt idx="58">
                  <c:v>-0.8814781582839023</c:v>
                </c:pt>
                <c:pt idx="59">
                  <c:v>-0.8814781582839023</c:v>
                </c:pt>
                <c:pt idx="60">
                  <c:v>-0.8814781582839023</c:v>
                </c:pt>
                <c:pt idx="61">
                  <c:v>-0.8814781582839023</c:v>
                </c:pt>
                <c:pt idx="62">
                  <c:v>-0.8814781582839023</c:v>
                </c:pt>
                <c:pt idx="63">
                  <c:v>-0.8814781582839023</c:v>
                </c:pt>
                <c:pt idx="64">
                  <c:v>-0.8814781582839023</c:v>
                </c:pt>
                <c:pt idx="65">
                  <c:v>-0.8814781582839023</c:v>
                </c:pt>
                <c:pt idx="66">
                  <c:v>-0.8814781582839023</c:v>
                </c:pt>
                <c:pt idx="67">
                  <c:v>-0.8814781582839023</c:v>
                </c:pt>
                <c:pt idx="68">
                  <c:v>-0.8814781582839023</c:v>
                </c:pt>
                <c:pt idx="69">
                  <c:v>-0.8814781582839023</c:v>
                </c:pt>
                <c:pt idx="70">
                  <c:v>-0.8814781582839023</c:v>
                </c:pt>
                <c:pt idx="71">
                  <c:v>-0.8814781582839023</c:v>
                </c:pt>
                <c:pt idx="72">
                  <c:v>-0.8814781582839023</c:v>
                </c:pt>
                <c:pt idx="73">
                  <c:v>-0.8814781582839023</c:v>
                </c:pt>
                <c:pt idx="74">
                  <c:v>-0.8814781582839023</c:v>
                </c:pt>
                <c:pt idx="75">
                  <c:v>-0.8814781582839023</c:v>
                </c:pt>
                <c:pt idx="76">
                  <c:v>-0.8814781582839023</c:v>
                </c:pt>
                <c:pt idx="77">
                  <c:v>-0.8814781582839023</c:v>
                </c:pt>
                <c:pt idx="78">
                  <c:v>-0.8814781582839023</c:v>
                </c:pt>
                <c:pt idx="79">
                  <c:v>-0.8814781582839023</c:v>
                </c:pt>
                <c:pt idx="80">
                  <c:v>-0.8814781582839023</c:v>
                </c:pt>
                <c:pt idx="81">
                  <c:v>-0.8814781582839023</c:v>
                </c:pt>
                <c:pt idx="82">
                  <c:v>-0.8814781582839023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B-CFC7-4AE2-BBA7-ADFD494951EC}"/>
            </c:ext>
          </c:extLst>
        </c:ser>
        <c:ser>
          <c:idx val="1"/>
          <c:order val="4"/>
          <c:tx>
            <c:strRef>
              <c:f>'2025-Q1'!$AN$2</c:f>
              <c:strCache>
                <c:ptCount val="1"/>
                <c:pt idx="0">
                  <c:v>XLY</c:v>
                </c:pt>
              </c:strCache>
            </c:strRef>
          </c:tx>
          <c:spPr>
            <a:ln w="19050" cap="rnd">
              <a:solidFill>
                <a:srgbClr val="FF0000"/>
              </a:solidFill>
              <a:prstDash val="sysDash"/>
              <a:round/>
            </a:ln>
            <a:effectLst/>
          </c:spPr>
          <c:marker>
            <c:symbol val="none"/>
          </c:marker>
          <c:val>
            <c:numRef>
              <c:f>'2025-Q1'!$AT$4:$AT$448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0.69884300312473657</c:v>
                </c:pt>
                <c:pt idx="65">
                  <c:v>-0.49683555963321635</c:v>
                </c:pt>
                <c:pt idx="66">
                  <c:v>-0.49683555963321635</c:v>
                </c:pt>
                <c:pt idx="67">
                  <c:v>-0.49683555963321635</c:v>
                </c:pt>
                <c:pt idx="68">
                  <c:v>-0.49683555963321635</c:v>
                </c:pt>
                <c:pt idx="69">
                  <c:v>-0.49683555963321635</c:v>
                </c:pt>
                <c:pt idx="70">
                  <c:v>-0.49683555963321635</c:v>
                </c:pt>
                <c:pt idx="71">
                  <c:v>-0.49683555963321635</c:v>
                </c:pt>
                <c:pt idx="72">
                  <c:v>-0.49683555963321635</c:v>
                </c:pt>
                <c:pt idx="73">
                  <c:v>-0.11672733668065405</c:v>
                </c:pt>
                <c:pt idx="74">
                  <c:v>-0.11672733668065405</c:v>
                </c:pt>
                <c:pt idx="75">
                  <c:v>-0.11672733668065405</c:v>
                </c:pt>
                <c:pt idx="76">
                  <c:v>-0.11672733668065405</c:v>
                </c:pt>
                <c:pt idx="77">
                  <c:v>-0.11672733668065405</c:v>
                </c:pt>
                <c:pt idx="78">
                  <c:v>-0.11672733668065405</c:v>
                </c:pt>
                <c:pt idx="79">
                  <c:v>-0.11672733668065405</c:v>
                </c:pt>
                <c:pt idx="80">
                  <c:v>-0.11672733668065405</c:v>
                </c:pt>
                <c:pt idx="81">
                  <c:v>-0.11672733668065405</c:v>
                </c:pt>
                <c:pt idx="82">
                  <c:v>-0.11672733668065405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8-CFC7-4AE2-BBA7-ADFD494951EC}"/>
            </c:ext>
          </c:extLst>
        </c:ser>
        <c:ser>
          <c:idx val="2"/>
          <c:order val="5"/>
          <c:tx>
            <c:strRef>
              <c:f>'2025-Q1'!$AU$2</c:f>
              <c:strCache>
                <c:ptCount val="1"/>
                <c:pt idx="0">
                  <c:v>XLP</c:v>
                </c:pt>
              </c:strCache>
            </c:strRef>
          </c:tx>
          <c:spPr>
            <a:ln w="19050" cap="rnd">
              <a:solidFill>
                <a:srgbClr val="FF9900"/>
              </a:solidFill>
              <a:prstDash val="sysDash"/>
              <a:round/>
            </a:ln>
            <a:effectLst/>
          </c:spPr>
          <c:marker>
            <c:symbol val="none"/>
          </c:marker>
          <c:val>
            <c:numRef>
              <c:f>'2025-Q1'!$BA$4:$BA$448</c:f>
              <c:numCache>
                <c:formatCode>0.00</c:formatCode>
                <c:ptCount val="445"/>
                <c:pt idx="0">
                  <c:v>1.2290222546515868</c:v>
                </c:pt>
                <c:pt idx="1">
                  <c:v>1.2290222546515868</c:v>
                </c:pt>
                <c:pt idx="2">
                  <c:v>3.7235992611591771</c:v>
                </c:pt>
                <c:pt idx="3">
                  <c:v>3.7235992611591771</c:v>
                </c:pt>
                <c:pt idx="4">
                  <c:v>3.7235992611591771</c:v>
                </c:pt>
                <c:pt idx="5">
                  <c:v>3.7235992611591771</c:v>
                </c:pt>
                <c:pt idx="6">
                  <c:v>3.7235992611591771</c:v>
                </c:pt>
                <c:pt idx="7">
                  <c:v>3.7235992611591771</c:v>
                </c:pt>
                <c:pt idx="8">
                  <c:v>3.7235992611591771</c:v>
                </c:pt>
                <c:pt idx="9">
                  <c:v>3.7235992611591771</c:v>
                </c:pt>
                <c:pt idx="10">
                  <c:v>3.7235992611591771</c:v>
                </c:pt>
                <c:pt idx="11">
                  <c:v>3.7235992611591771</c:v>
                </c:pt>
                <c:pt idx="12">
                  <c:v>3.7235992611591771</c:v>
                </c:pt>
                <c:pt idx="13">
                  <c:v>3.7235992611591771</c:v>
                </c:pt>
                <c:pt idx="14">
                  <c:v>3.7235992611591771</c:v>
                </c:pt>
                <c:pt idx="15">
                  <c:v>3.7235992611591771</c:v>
                </c:pt>
                <c:pt idx="16">
                  <c:v>3.7235992611591771</c:v>
                </c:pt>
                <c:pt idx="17">
                  <c:v>3.7235992611591771</c:v>
                </c:pt>
                <c:pt idx="18">
                  <c:v>3.7235992611591771</c:v>
                </c:pt>
                <c:pt idx="19">
                  <c:v>3.7235992611591771</c:v>
                </c:pt>
                <c:pt idx="20">
                  <c:v>3.7235992611591771</c:v>
                </c:pt>
                <c:pt idx="21">
                  <c:v>3.7235992611591771</c:v>
                </c:pt>
                <c:pt idx="22">
                  <c:v>3.7235992611591771</c:v>
                </c:pt>
                <c:pt idx="23">
                  <c:v>3.7235992611591771</c:v>
                </c:pt>
                <c:pt idx="24">
                  <c:v>3.7235992611591771</c:v>
                </c:pt>
                <c:pt idx="25">
                  <c:v>3.7235992611591771</c:v>
                </c:pt>
                <c:pt idx="26">
                  <c:v>3.7235992611591771</c:v>
                </c:pt>
                <c:pt idx="27">
                  <c:v>3.7235992611591771</c:v>
                </c:pt>
                <c:pt idx="28">
                  <c:v>3.7235992611591771</c:v>
                </c:pt>
                <c:pt idx="29">
                  <c:v>3.7235992611591771</c:v>
                </c:pt>
                <c:pt idx="30">
                  <c:v>3.7235992611591771</c:v>
                </c:pt>
                <c:pt idx="31">
                  <c:v>3.7235992611591771</c:v>
                </c:pt>
                <c:pt idx="32">
                  <c:v>4.2780555230109361</c:v>
                </c:pt>
                <c:pt idx="33">
                  <c:v>4.2780555230109361</c:v>
                </c:pt>
                <c:pt idx="34">
                  <c:v>4.2780555230109361</c:v>
                </c:pt>
                <c:pt idx="35">
                  <c:v>4.2780555230109361</c:v>
                </c:pt>
                <c:pt idx="36">
                  <c:v>4.2780555230109361</c:v>
                </c:pt>
                <c:pt idx="37">
                  <c:v>4.2780555230109361</c:v>
                </c:pt>
                <c:pt idx="38">
                  <c:v>4.2780555230109361</c:v>
                </c:pt>
                <c:pt idx="39">
                  <c:v>4.2780555230109361</c:v>
                </c:pt>
                <c:pt idx="40">
                  <c:v>4.2780555230109361</c:v>
                </c:pt>
                <c:pt idx="41">
                  <c:v>4.2780555230109361</c:v>
                </c:pt>
                <c:pt idx="42">
                  <c:v>4.2780555230109361</c:v>
                </c:pt>
                <c:pt idx="43">
                  <c:v>4.2780555230109361</c:v>
                </c:pt>
                <c:pt idx="44">
                  <c:v>4.2780555230109361</c:v>
                </c:pt>
                <c:pt idx="45">
                  <c:v>4.2780555230109361</c:v>
                </c:pt>
                <c:pt idx="46">
                  <c:v>4.2780555230109361</c:v>
                </c:pt>
                <c:pt idx="47">
                  <c:v>4.2780555230109361</c:v>
                </c:pt>
                <c:pt idx="48">
                  <c:v>4.2780555230109361</c:v>
                </c:pt>
                <c:pt idx="49">
                  <c:v>4.2780555230109361</c:v>
                </c:pt>
                <c:pt idx="50">
                  <c:v>4.1096593824684291</c:v>
                </c:pt>
                <c:pt idx="51">
                  <c:v>4.1096593824684291</c:v>
                </c:pt>
                <c:pt idx="52">
                  <c:v>4.1096593824684291</c:v>
                </c:pt>
                <c:pt idx="53">
                  <c:v>4.1096593824684291</c:v>
                </c:pt>
                <c:pt idx="54">
                  <c:v>4.1096593824684291</c:v>
                </c:pt>
                <c:pt idx="55">
                  <c:v>4.1096593824684291</c:v>
                </c:pt>
                <c:pt idx="56">
                  <c:v>4.1096593824684291</c:v>
                </c:pt>
                <c:pt idx="57">
                  <c:v>4.1096593824684291</c:v>
                </c:pt>
                <c:pt idx="58">
                  <c:v>4.1096593824684291</c:v>
                </c:pt>
                <c:pt idx="59">
                  <c:v>4.1096593824684291</c:v>
                </c:pt>
                <c:pt idx="60">
                  <c:v>4.1096593824684291</c:v>
                </c:pt>
                <c:pt idx="61">
                  <c:v>4.1096593824684291</c:v>
                </c:pt>
                <c:pt idx="62">
                  <c:v>4.1096593824684291</c:v>
                </c:pt>
                <c:pt idx="63">
                  <c:v>4.1096593824684291</c:v>
                </c:pt>
                <c:pt idx="64">
                  <c:v>4.1096593824684291</c:v>
                </c:pt>
                <c:pt idx="65">
                  <c:v>4.1096593824684291</c:v>
                </c:pt>
                <c:pt idx="66">
                  <c:v>4.1096593824684291</c:v>
                </c:pt>
                <c:pt idx="67">
                  <c:v>4.0855617744730992</c:v>
                </c:pt>
                <c:pt idx="68">
                  <c:v>3.422017668306041</c:v>
                </c:pt>
                <c:pt idx="69">
                  <c:v>3.422017668306041</c:v>
                </c:pt>
                <c:pt idx="70">
                  <c:v>3.422017668306041</c:v>
                </c:pt>
                <c:pt idx="71">
                  <c:v>3.422017668306041</c:v>
                </c:pt>
                <c:pt idx="72">
                  <c:v>3.422017668306041</c:v>
                </c:pt>
                <c:pt idx="73">
                  <c:v>3.422017668306041</c:v>
                </c:pt>
                <c:pt idx="74">
                  <c:v>3.422017668306041</c:v>
                </c:pt>
                <c:pt idx="75">
                  <c:v>3.422017668306041</c:v>
                </c:pt>
                <c:pt idx="76">
                  <c:v>3.422017668306041</c:v>
                </c:pt>
                <c:pt idx="77">
                  <c:v>3.422017668306041</c:v>
                </c:pt>
                <c:pt idx="78">
                  <c:v>3.422017668306041</c:v>
                </c:pt>
                <c:pt idx="79">
                  <c:v>3.422017668306041</c:v>
                </c:pt>
                <c:pt idx="80">
                  <c:v>3.422017668306041</c:v>
                </c:pt>
                <c:pt idx="81">
                  <c:v>3.422017668306041</c:v>
                </c:pt>
                <c:pt idx="82">
                  <c:v>3.422017668306041</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9-CFC7-4AE2-BBA7-ADFD494951EC}"/>
            </c:ext>
          </c:extLst>
        </c:ser>
        <c:ser>
          <c:idx val="6"/>
          <c:order val="6"/>
          <c:tx>
            <c:strRef>
              <c:f>'2025-Q1'!$BI$2</c:f>
              <c:strCache>
                <c:ptCount val="1"/>
                <c:pt idx="0">
                  <c:v>XLF</c:v>
                </c:pt>
              </c:strCache>
            </c:strRef>
          </c:tx>
          <c:spPr>
            <a:ln w="19050" cap="rnd">
              <a:solidFill>
                <a:srgbClr val="92D050"/>
              </a:solidFill>
              <a:prstDash val="sysDash"/>
              <a:round/>
            </a:ln>
            <a:effectLst/>
          </c:spPr>
          <c:marker>
            <c:symbol val="none"/>
          </c:marker>
          <c:val>
            <c:numRef>
              <c:f>'2025-Q1'!$BO$4:$BO$448</c:f>
              <c:numCache>
                <c:formatCode>0.00</c:formatCode>
                <c:ptCount val="445"/>
                <c:pt idx="0">
                  <c:v>0</c:v>
                </c:pt>
                <c:pt idx="1">
                  <c:v>0</c:v>
                </c:pt>
                <c:pt idx="2">
                  <c:v>0</c:v>
                </c:pt>
                <c:pt idx="3">
                  <c:v>0.19733031613259536</c:v>
                </c:pt>
                <c:pt idx="4">
                  <c:v>1.1735910269065808</c:v>
                </c:pt>
                <c:pt idx="5">
                  <c:v>1.9454956804972336</c:v>
                </c:pt>
                <c:pt idx="6">
                  <c:v>2.9249004930779137</c:v>
                </c:pt>
                <c:pt idx="7">
                  <c:v>3.537145391037098</c:v>
                </c:pt>
                <c:pt idx="8">
                  <c:v>4.2306753708457192</c:v>
                </c:pt>
                <c:pt idx="9">
                  <c:v>4.2306753708457192</c:v>
                </c:pt>
                <c:pt idx="10">
                  <c:v>4.195289666670206</c:v>
                </c:pt>
                <c:pt idx="11">
                  <c:v>5.2290991140569254</c:v>
                </c:pt>
                <c:pt idx="12">
                  <c:v>3.986832101484584</c:v>
                </c:pt>
                <c:pt idx="13">
                  <c:v>3.0012394361276749</c:v>
                </c:pt>
                <c:pt idx="14">
                  <c:v>2.5731018346939116</c:v>
                </c:pt>
                <c:pt idx="15">
                  <c:v>2.5731018346939116</c:v>
                </c:pt>
                <c:pt idx="16">
                  <c:v>3.3289933420305067</c:v>
                </c:pt>
                <c:pt idx="17">
                  <c:v>3.3289933420305067</c:v>
                </c:pt>
                <c:pt idx="18">
                  <c:v>3.3289933420305067</c:v>
                </c:pt>
                <c:pt idx="19">
                  <c:v>2.5279186082261487</c:v>
                </c:pt>
                <c:pt idx="20">
                  <c:v>2.6862717357004171</c:v>
                </c:pt>
                <c:pt idx="21">
                  <c:v>3.0941020782779063</c:v>
                </c:pt>
                <c:pt idx="22">
                  <c:v>2.9124781466539762</c:v>
                </c:pt>
                <c:pt idx="23">
                  <c:v>3.440332266969818</c:v>
                </c:pt>
                <c:pt idx="24">
                  <c:v>3.440332266969818</c:v>
                </c:pt>
                <c:pt idx="25">
                  <c:v>3.440332266969818</c:v>
                </c:pt>
                <c:pt idx="26">
                  <c:v>3.6696210957173743</c:v>
                </c:pt>
                <c:pt idx="27">
                  <c:v>2.8863788370652799</c:v>
                </c:pt>
                <c:pt idx="28">
                  <c:v>2.8863788370652799</c:v>
                </c:pt>
                <c:pt idx="29">
                  <c:v>3.1908834348259205</c:v>
                </c:pt>
                <c:pt idx="30">
                  <c:v>3.1908834348259205</c:v>
                </c:pt>
                <c:pt idx="31">
                  <c:v>3.1908834348259205</c:v>
                </c:pt>
                <c:pt idx="32">
                  <c:v>3.1908834348259205</c:v>
                </c:pt>
                <c:pt idx="33">
                  <c:v>3.1908834348259205</c:v>
                </c:pt>
                <c:pt idx="34">
                  <c:v>3.1908834348259205</c:v>
                </c:pt>
                <c:pt idx="35">
                  <c:v>3.1908834348259205</c:v>
                </c:pt>
                <c:pt idx="36">
                  <c:v>3.1908834348259205</c:v>
                </c:pt>
                <c:pt idx="37">
                  <c:v>3.1908834348259205</c:v>
                </c:pt>
                <c:pt idx="38">
                  <c:v>3.1908834348259205</c:v>
                </c:pt>
                <c:pt idx="39">
                  <c:v>3.1908834348259205</c:v>
                </c:pt>
                <c:pt idx="40">
                  <c:v>3.1908834348259205</c:v>
                </c:pt>
                <c:pt idx="41">
                  <c:v>3.1908834348259205</c:v>
                </c:pt>
                <c:pt idx="42">
                  <c:v>3.1908834348259205</c:v>
                </c:pt>
                <c:pt idx="43">
                  <c:v>3.3174657133069352</c:v>
                </c:pt>
                <c:pt idx="44">
                  <c:v>3.3174657133069352</c:v>
                </c:pt>
                <c:pt idx="45">
                  <c:v>3.3174657133069352</c:v>
                </c:pt>
                <c:pt idx="46">
                  <c:v>3.3174657133069352</c:v>
                </c:pt>
                <c:pt idx="47">
                  <c:v>3.3174657133069352</c:v>
                </c:pt>
                <c:pt idx="48">
                  <c:v>3.3174657133069352</c:v>
                </c:pt>
                <c:pt idx="49">
                  <c:v>3.1622681468047773</c:v>
                </c:pt>
                <c:pt idx="50">
                  <c:v>3.1622681468047773</c:v>
                </c:pt>
                <c:pt idx="51">
                  <c:v>3.1622681468047773</c:v>
                </c:pt>
                <c:pt idx="52">
                  <c:v>3.1622681468047773</c:v>
                </c:pt>
                <c:pt idx="53">
                  <c:v>3.1622681468047773</c:v>
                </c:pt>
                <c:pt idx="54">
                  <c:v>3.0870847914790311</c:v>
                </c:pt>
                <c:pt idx="55">
                  <c:v>3.0870847914790311</c:v>
                </c:pt>
                <c:pt idx="56">
                  <c:v>3.0870847914790311</c:v>
                </c:pt>
                <c:pt idx="57">
                  <c:v>3.0870847914790311</c:v>
                </c:pt>
                <c:pt idx="58">
                  <c:v>3.0870847914790311</c:v>
                </c:pt>
                <c:pt idx="59">
                  <c:v>3.0870847914790311</c:v>
                </c:pt>
                <c:pt idx="60">
                  <c:v>3.0870847914790311</c:v>
                </c:pt>
                <c:pt idx="61">
                  <c:v>3.0870847914790311</c:v>
                </c:pt>
                <c:pt idx="62">
                  <c:v>3.0870847914790311</c:v>
                </c:pt>
                <c:pt idx="63">
                  <c:v>3.0870847914790311</c:v>
                </c:pt>
                <c:pt idx="64">
                  <c:v>3.0870847914790311</c:v>
                </c:pt>
                <c:pt idx="65">
                  <c:v>3.0870847914790311</c:v>
                </c:pt>
                <c:pt idx="66">
                  <c:v>3.0870847914790311</c:v>
                </c:pt>
                <c:pt idx="67">
                  <c:v>3.0870847914790311</c:v>
                </c:pt>
                <c:pt idx="68">
                  <c:v>3.0870847914790311</c:v>
                </c:pt>
                <c:pt idx="69">
                  <c:v>2.2854815850662065</c:v>
                </c:pt>
                <c:pt idx="70">
                  <c:v>3.224448721216441</c:v>
                </c:pt>
                <c:pt idx="71">
                  <c:v>3.224448721216441</c:v>
                </c:pt>
                <c:pt idx="72">
                  <c:v>3.224448721216441</c:v>
                </c:pt>
                <c:pt idx="73">
                  <c:v>3.224448721216441</c:v>
                </c:pt>
                <c:pt idx="74">
                  <c:v>3.224448721216441</c:v>
                </c:pt>
                <c:pt idx="75">
                  <c:v>3.224448721216441</c:v>
                </c:pt>
                <c:pt idx="76">
                  <c:v>3.224448721216441</c:v>
                </c:pt>
                <c:pt idx="77">
                  <c:v>3.224448721216441</c:v>
                </c:pt>
                <c:pt idx="78">
                  <c:v>3.224448721216441</c:v>
                </c:pt>
                <c:pt idx="79">
                  <c:v>3.224448721216441</c:v>
                </c:pt>
                <c:pt idx="80">
                  <c:v>3.224448721216441</c:v>
                </c:pt>
                <c:pt idx="81">
                  <c:v>3.224448721216441</c:v>
                </c:pt>
                <c:pt idx="82">
                  <c:v>2.8262059162733042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C-CFC7-4AE2-BBA7-ADFD494951EC}"/>
            </c:ext>
          </c:extLst>
        </c:ser>
        <c:ser>
          <c:idx val="7"/>
          <c:order val="7"/>
          <c:tx>
            <c:strRef>
              <c:f>'2025-Q1'!$BP$2</c:f>
              <c:strCache>
                <c:ptCount val="1"/>
                <c:pt idx="0">
                  <c:v>XLI</c:v>
                </c:pt>
              </c:strCache>
            </c:strRef>
          </c:tx>
          <c:spPr>
            <a:ln w="19050" cap="rnd">
              <a:solidFill>
                <a:srgbClr val="FF6600"/>
              </a:solidFill>
              <a:prstDash val="sysDash"/>
              <a:round/>
            </a:ln>
            <a:effectLst/>
          </c:spPr>
          <c:marker>
            <c:symbol val="none"/>
          </c:marker>
          <c:val>
            <c:numRef>
              <c:f>'2025-Q1'!$BV$4:$BV$448</c:f>
              <c:numCache>
                <c:formatCode>0.00</c:formatCode>
                <c:ptCount val="445"/>
                <c:pt idx="0">
                  <c:v>0</c:v>
                </c:pt>
                <c:pt idx="1">
                  <c:v>0.96873982416150761</c:v>
                </c:pt>
                <c:pt idx="2">
                  <c:v>0.96873982416150761</c:v>
                </c:pt>
                <c:pt idx="3">
                  <c:v>0.96873982416150761</c:v>
                </c:pt>
                <c:pt idx="4">
                  <c:v>0.96873982416150761</c:v>
                </c:pt>
                <c:pt idx="5">
                  <c:v>0.96873982416150761</c:v>
                </c:pt>
                <c:pt idx="6">
                  <c:v>0.96873982416150761</c:v>
                </c:pt>
                <c:pt idx="7">
                  <c:v>0.96873982416150761</c:v>
                </c:pt>
                <c:pt idx="8">
                  <c:v>0.96873982416150761</c:v>
                </c:pt>
                <c:pt idx="9">
                  <c:v>0.96873982416150761</c:v>
                </c:pt>
                <c:pt idx="10">
                  <c:v>0.96873982416150761</c:v>
                </c:pt>
                <c:pt idx="11">
                  <c:v>0.96873982416150761</c:v>
                </c:pt>
                <c:pt idx="12">
                  <c:v>0.96873982416150761</c:v>
                </c:pt>
                <c:pt idx="13">
                  <c:v>0.96873982416150761</c:v>
                </c:pt>
                <c:pt idx="14">
                  <c:v>0.96873982416150761</c:v>
                </c:pt>
                <c:pt idx="15">
                  <c:v>-3.3766441502651845E-2</c:v>
                </c:pt>
                <c:pt idx="16">
                  <c:v>-3.3766441502651845E-2</c:v>
                </c:pt>
                <c:pt idx="17">
                  <c:v>-3.3766441502651845E-2</c:v>
                </c:pt>
                <c:pt idx="18">
                  <c:v>-0.38149948951656165</c:v>
                </c:pt>
                <c:pt idx="19">
                  <c:v>-0.38149948951656165</c:v>
                </c:pt>
                <c:pt idx="20">
                  <c:v>-0.38149948951656165</c:v>
                </c:pt>
                <c:pt idx="21">
                  <c:v>-0.38149948951656165</c:v>
                </c:pt>
                <c:pt idx="22">
                  <c:v>-0.38149948951656165</c:v>
                </c:pt>
                <c:pt idx="23">
                  <c:v>-0.38149948951656165</c:v>
                </c:pt>
                <c:pt idx="24">
                  <c:v>0.14675690983109269</c:v>
                </c:pt>
                <c:pt idx="25">
                  <c:v>0.14675690983109269</c:v>
                </c:pt>
                <c:pt idx="26">
                  <c:v>0.14675690983109269</c:v>
                </c:pt>
                <c:pt idx="27">
                  <c:v>0.14675690983109269</c:v>
                </c:pt>
                <c:pt idx="28">
                  <c:v>0.14675690983109269</c:v>
                </c:pt>
                <c:pt idx="29">
                  <c:v>0.14675690983109269</c:v>
                </c:pt>
                <c:pt idx="30">
                  <c:v>0.95053299862346796</c:v>
                </c:pt>
                <c:pt idx="31">
                  <c:v>0.95053299862346796</c:v>
                </c:pt>
                <c:pt idx="32">
                  <c:v>0.95053299862346796</c:v>
                </c:pt>
                <c:pt idx="33">
                  <c:v>0.95053299862346796</c:v>
                </c:pt>
                <c:pt idx="34">
                  <c:v>0.95053299862346796</c:v>
                </c:pt>
                <c:pt idx="35">
                  <c:v>1.5114304345209035</c:v>
                </c:pt>
                <c:pt idx="36">
                  <c:v>1.5114304345209035</c:v>
                </c:pt>
                <c:pt idx="37">
                  <c:v>1.5114304345209035</c:v>
                </c:pt>
                <c:pt idx="38">
                  <c:v>1.5114304345209035</c:v>
                </c:pt>
                <c:pt idx="39">
                  <c:v>1.5114304345209035</c:v>
                </c:pt>
                <c:pt idx="40">
                  <c:v>1.5114304345209035</c:v>
                </c:pt>
                <c:pt idx="41">
                  <c:v>0.81151253632714349</c:v>
                </c:pt>
                <c:pt idx="42">
                  <c:v>0.81151253632714349</c:v>
                </c:pt>
                <c:pt idx="43">
                  <c:v>0.81151253632714349</c:v>
                </c:pt>
                <c:pt idx="44">
                  <c:v>0.81151253632714349</c:v>
                </c:pt>
                <c:pt idx="45">
                  <c:v>1.9653314646204811</c:v>
                </c:pt>
                <c:pt idx="46">
                  <c:v>2.7322243116659992</c:v>
                </c:pt>
                <c:pt idx="47">
                  <c:v>2.7322243116659992</c:v>
                </c:pt>
                <c:pt idx="48">
                  <c:v>2.7322243116659992</c:v>
                </c:pt>
                <c:pt idx="49">
                  <c:v>2.7322243116659992</c:v>
                </c:pt>
                <c:pt idx="50">
                  <c:v>2.7322243116659992</c:v>
                </c:pt>
                <c:pt idx="51">
                  <c:v>2.7322243116659992</c:v>
                </c:pt>
                <c:pt idx="52">
                  <c:v>2.7322243116659992</c:v>
                </c:pt>
                <c:pt idx="53">
                  <c:v>1.930323509765195</c:v>
                </c:pt>
                <c:pt idx="54">
                  <c:v>1.930323509765195</c:v>
                </c:pt>
                <c:pt idx="55">
                  <c:v>1.930323509765195</c:v>
                </c:pt>
                <c:pt idx="56">
                  <c:v>1.930323509765195</c:v>
                </c:pt>
                <c:pt idx="57">
                  <c:v>1.930323509765195</c:v>
                </c:pt>
                <c:pt idx="58">
                  <c:v>1.930323509765195</c:v>
                </c:pt>
                <c:pt idx="59">
                  <c:v>1.930323509765195</c:v>
                </c:pt>
                <c:pt idx="60">
                  <c:v>1.930323509765195</c:v>
                </c:pt>
                <c:pt idx="61">
                  <c:v>2.7466636403796185</c:v>
                </c:pt>
                <c:pt idx="62">
                  <c:v>3.7390068144218533</c:v>
                </c:pt>
                <c:pt idx="63">
                  <c:v>4.3241860790941535</c:v>
                </c:pt>
                <c:pt idx="64">
                  <c:v>4.3241860790941535</c:v>
                </c:pt>
                <c:pt idx="65">
                  <c:v>4.3241860790941535</c:v>
                </c:pt>
                <c:pt idx="66">
                  <c:v>3.7555390042147065</c:v>
                </c:pt>
                <c:pt idx="67">
                  <c:v>3.7555390042147065</c:v>
                </c:pt>
                <c:pt idx="68">
                  <c:v>3.7555390042147065</c:v>
                </c:pt>
                <c:pt idx="69">
                  <c:v>3.7555390042147065</c:v>
                </c:pt>
                <c:pt idx="70">
                  <c:v>3.7555390042147065</c:v>
                </c:pt>
                <c:pt idx="71">
                  <c:v>3.7555390042147065</c:v>
                </c:pt>
                <c:pt idx="72">
                  <c:v>3.7555390042147065</c:v>
                </c:pt>
                <c:pt idx="73">
                  <c:v>3.7555390042147065</c:v>
                </c:pt>
                <c:pt idx="74">
                  <c:v>3.7555390042147065</c:v>
                </c:pt>
                <c:pt idx="75">
                  <c:v>3.7555390042147065</c:v>
                </c:pt>
                <c:pt idx="76">
                  <c:v>3.7555390042147065</c:v>
                </c:pt>
                <c:pt idx="77">
                  <c:v>3.7555390042147065</c:v>
                </c:pt>
                <c:pt idx="78">
                  <c:v>3.7555390042147065</c:v>
                </c:pt>
                <c:pt idx="79">
                  <c:v>4.0812628038414918</c:v>
                </c:pt>
                <c:pt idx="80">
                  <c:v>4.6366702507445403</c:v>
                </c:pt>
                <c:pt idx="81">
                  <c:v>5.4570570611440337</c:v>
                </c:pt>
                <c:pt idx="82">
                  <c:v>5.4570570611440337</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D-CFC7-4AE2-BBA7-ADFD494951EC}"/>
            </c:ext>
          </c:extLst>
        </c:ser>
        <c:ser>
          <c:idx val="8"/>
          <c:order val="8"/>
          <c:tx>
            <c:strRef>
              <c:f>'2025-Q1'!$BW$2</c:f>
              <c:strCache>
                <c:ptCount val="1"/>
                <c:pt idx="0">
                  <c:v>XLV</c:v>
                </c:pt>
              </c:strCache>
            </c:strRef>
          </c:tx>
          <c:spPr>
            <a:ln w="19050" cap="rnd">
              <a:solidFill>
                <a:schemeClr val="accent5"/>
              </a:solidFill>
              <a:prstDash val="sysDash"/>
              <a:round/>
            </a:ln>
            <a:effectLst/>
          </c:spPr>
          <c:marker>
            <c:symbol val="none"/>
          </c:marker>
          <c:val>
            <c:numRef>
              <c:f>'2025-Q1'!$CC$4:$CC$448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0.46686916413544804</c:v>
                </c:pt>
                <c:pt idx="34">
                  <c:v>8.7270454200234382E-2</c:v>
                </c:pt>
                <c:pt idx="35">
                  <c:v>8.7270454200234382E-2</c:v>
                </c:pt>
                <c:pt idx="36">
                  <c:v>8.7270454200234382E-2</c:v>
                </c:pt>
                <c:pt idx="37">
                  <c:v>8.7270454200234382E-2</c:v>
                </c:pt>
                <c:pt idx="38">
                  <c:v>8.7270454200234382E-2</c:v>
                </c:pt>
                <c:pt idx="39">
                  <c:v>8.7270454200234382E-2</c:v>
                </c:pt>
                <c:pt idx="40">
                  <c:v>8.7270454200234382E-2</c:v>
                </c:pt>
                <c:pt idx="41">
                  <c:v>8.7270454200234382E-2</c:v>
                </c:pt>
                <c:pt idx="42">
                  <c:v>8.7270454200234382E-2</c:v>
                </c:pt>
                <c:pt idx="43">
                  <c:v>8.7270454200234382E-2</c:v>
                </c:pt>
                <c:pt idx="44">
                  <c:v>8.7270454200234382E-2</c:v>
                </c:pt>
                <c:pt idx="45">
                  <c:v>8.7270454200234382E-2</c:v>
                </c:pt>
                <c:pt idx="46">
                  <c:v>8.7270454200234382E-2</c:v>
                </c:pt>
                <c:pt idx="47">
                  <c:v>8.7270454200234382E-2</c:v>
                </c:pt>
                <c:pt idx="48">
                  <c:v>8.7270454200234382E-2</c:v>
                </c:pt>
                <c:pt idx="49">
                  <c:v>8.7270454200234382E-2</c:v>
                </c:pt>
                <c:pt idx="50">
                  <c:v>8.7270454200234382E-2</c:v>
                </c:pt>
                <c:pt idx="51">
                  <c:v>-0.64548675015030454</c:v>
                </c:pt>
                <c:pt idx="52">
                  <c:v>-0.64548675015030454</c:v>
                </c:pt>
                <c:pt idx="53">
                  <c:v>-0.64548675015030454</c:v>
                </c:pt>
                <c:pt idx="54">
                  <c:v>-0.64548675015030454</c:v>
                </c:pt>
                <c:pt idx="55">
                  <c:v>-0.64548675015030454</c:v>
                </c:pt>
                <c:pt idx="56">
                  <c:v>-0.71873894259354643</c:v>
                </c:pt>
                <c:pt idx="57">
                  <c:v>-0.71873894259354643</c:v>
                </c:pt>
                <c:pt idx="58">
                  <c:v>-0.71873894259354643</c:v>
                </c:pt>
                <c:pt idx="59">
                  <c:v>-0.71873894259354643</c:v>
                </c:pt>
                <c:pt idx="60">
                  <c:v>-0.71873894259354643</c:v>
                </c:pt>
                <c:pt idx="61">
                  <c:v>-0.71873894259354643</c:v>
                </c:pt>
                <c:pt idx="62">
                  <c:v>-0.71873894259354643</c:v>
                </c:pt>
                <c:pt idx="63">
                  <c:v>-0.71873894259354643</c:v>
                </c:pt>
                <c:pt idx="64">
                  <c:v>-0.71873894259354643</c:v>
                </c:pt>
                <c:pt idx="65">
                  <c:v>-0.71873894259354643</c:v>
                </c:pt>
                <c:pt idx="66">
                  <c:v>-0.71873894259354643</c:v>
                </c:pt>
                <c:pt idx="67">
                  <c:v>-0.71873894259354643</c:v>
                </c:pt>
                <c:pt idx="68">
                  <c:v>-0.71873894259354643</c:v>
                </c:pt>
                <c:pt idx="69">
                  <c:v>-0.71873894259354643</c:v>
                </c:pt>
                <c:pt idx="70">
                  <c:v>-0.71873894259354643</c:v>
                </c:pt>
                <c:pt idx="71">
                  <c:v>-0.7250656539689726</c:v>
                </c:pt>
                <c:pt idx="72">
                  <c:v>-0.7250656539689726</c:v>
                </c:pt>
                <c:pt idx="73">
                  <c:v>-0.7250656539689726</c:v>
                </c:pt>
                <c:pt idx="74">
                  <c:v>-0.7250656539689726</c:v>
                </c:pt>
                <c:pt idx="75">
                  <c:v>-0.7250656539689726</c:v>
                </c:pt>
                <c:pt idx="76">
                  <c:v>-0.7250656539689726</c:v>
                </c:pt>
                <c:pt idx="77">
                  <c:v>-1.5871809972011648</c:v>
                </c:pt>
                <c:pt idx="78">
                  <c:v>-1.5871809972011648</c:v>
                </c:pt>
                <c:pt idx="79">
                  <c:v>-1.5871809972011648</c:v>
                </c:pt>
                <c:pt idx="80">
                  <c:v>-1.5871809972011648</c:v>
                </c:pt>
                <c:pt idx="81">
                  <c:v>-1.5871809972011648</c:v>
                </c:pt>
                <c:pt idx="82">
                  <c:v>-1.5871809972011648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E-CFC7-4AE2-BBA7-ADFD494951EC}"/>
            </c:ext>
          </c:extLst>
        </c:ser>
        <c:ser>
          <c:idx val="9"/>
          <c:order val="9"/>
          <c:tx>
            <c:strRef>
              <c:f>'2025-Q1'!$CD$2</c:f>
              <c:strCache>
                <c:ptCount val="1"/>
                <c:pt idx="0">
                  <c:v>XLB</c:v>
                </c:pt>
              </c:strCache>
            </c:strRef>
          </c:tx>
          <c:spPr>
            <a:ln w="19050" cap="rnd">
              <a:solidFill>
                <a:schemeClr val="bg1"/>
              </a:solidFill>
              <a:prstDash val="sysDash"/>
              <a:round/>
            </a:ln>
            <a:effectLst/>
          </c:spPr>
          <c:marker>
            <c:symbol val="none"/>
          </c:marker>
          <c:val>
            <c:numRef>
              <c:f>'2025-Q1'!$CJ$4:$CJ$448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-0.25632679632191468</c:v>
                </c:pt>
                <c:pt idx="45">
                  <c:v>-0.25632679632191468</c:v>
                </c:pt>
                <c:pt idx="46">
                  <c:v>-0.25632679632191468</c:v>
                </c:pt>
                <c:pt idx="47">
                  <c:v>-0.25632679632191468</c:v>
                </c:pt>
                <c:pt idx="48">
                  <c:v>0.16151237823253456</c:v>
                </c:pt>
                <c:pt idx="49">
                  <c:v>0.16151237823253456</c:v>
                </c:pt>
                <c:pt idx="50">
                  <c:v>0.16151237823253456</c:v>
                </c:pt>
                <c:pt idx="51">
                  <c:v>0.16151237823253456</c:v>
                </c:pt>
                <c:pt idx="52">
                  <c:v>0.16151237823253456</c:v>
                </c:pt>
                <c:pt idx="53">
                  <c:v>0.16151237823253456</c:v>
                </c:pt>
                <c:pt idx="54">
                  <c:v>0.16151237823253456</c:v>
                </c:pt>
                <c:pt idx="55">
                  <c:v>0.16151237823253456</c:v>
                </c:pt>
                <c:pt idx="56">
                  <c:v>0.16151237823253456</c:v>
                </c:pt>
                <c:pt idx="57">
                  <c:v>0.16151237823253456</c:v>
                </c:pt>
                <c:pt idx="58">
                  <c:v>0.16151237823253456</c:v>
                </c:pt>
                <c:pt idx="59">
                  <c:v>0.16151237823253456</c:v>
                </c:pt>
                <c:pt idx="60">
                  <c:v>0.16151237823253456</c:v>
                </c:pt>
                <c:pt idx="61">
                  <c:v>0.16151237823253456</c:v>
                </c:pt>
                <c:pt idx="62">
                  <c:v>0.16151237823253456</c:v>
                </c:pt>
                <c:pt idx="63">
                  <c:v>0.16151237823253456</c:v>
                </c:pt>
                <c:pt idx="64">
                  <c:v>0.16151237823253456</c:v>
                </c:pt>
                <c:pt idx="65">
                  <c:v>0.16151237823253456</c:v>
                </c:pt>
                <c:pt idx="66">
                  <c:v>0.16151237823253456</c:v>
                </c:pt>
                <c:pt idx="67">
                  <c:v>0.16151237823253456</c:v>
                </c:pt>
                <c:pt idx="68">
                  <c:v>0.16151237823253456</c:v>
                </c:pt>
                <c:pt idx="69">
                  <c:v>0.16151237823253456</c:v>
                </c:pt>
                <c:pt idx="70">
                  <c:v>0.16151237823253456</c:v>
                </c:pt>
                <c:pt idx="71">
                  <c:v>0.16151237823253456</c:v>
                </c:pt>
                <c:pt idx="72">
                  <c:v>0.16151237823253456</c:v>
                </c:pt>
                <c:pt idx="73">
                  <c:v>0.16151237823253456</c:v>
                </c:pt>
                <c:pt idx="74">
                  <c:v>-1.1184954514166696</c:v>
                </c:pt>
                <c:pt idx="75">
                  <c:v>-1.1184954514166696</c:v>
                </c:pt>
                <c:pt idx="76">
                  <c:v>-1.1184954514166696</c:v>
                </c:pt>
                <c:pt idx="77">
                  <c:v>-1.1184954514166696</c:v>
                </c:pt>
                <c:pt idx="78">
                  <c:v>-1.1184954514166696</c:v>
                </c:pt>
                <c:pt idx="79">
                  <c:v>-1.1184954514166696</c:v>
                </c:pt>
                <c:pt idx="80">
                  <c:v>-1.1184954514166696</c:v>
                </c:pt>
                <c:pt idx="81">
                  <c:v>-1.1184954514166696</c:v>
                </c:pt>
                <c:pt idx="82">
                  <c:v>-1.1184954514166696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0-CFC7-4AE2-BBA7-ADFD494951EC}"/>
            </c:ext>
          </c:extLst>
        </c:ser>
        <c:ser>
          <c:idx val="10"/>
          <c:order val="10"/>
          <c:tx>
            <c:v>IGV</c:v>
          </c:tx>
          <c:spPr>
            <a:ln w="19050" cap="rnd">
              <a:solidFill>
                <a:srgbClr val="FF66CC"/>
              </a:solidFill>
              <a:prstDash val="sysDash"/>
              <a:round/>
            </a:ln>
            <a:effectLst/>
          </c:spPr>
          <c:marker>
            <c:symbol val="none"/>
          </c:marker>
          <c:val>
            <c:numRef>
              <c:f>'2025-Q1'!$AM$4:$AM$448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AED3-4735-AD9A-0A7A8F944D01}"/>
            </c:ext>
          </c:extLst>
        </c:ser>
        <c:dLbls>
          <c:showLegendKey val="0"/>
          <c:showVal val="0"/>
          <c:showCatName val="0"/>
          <c:showSerName val="0"/>
          <c:showPercent val="0"/>
          <c:showBubbleSize val="0"/>
        </c:dLbls>
        <c:smooth val="0"/>
        <c:axId val="147683023"/>
        <c:axId val="146645279"/>
      </c:lineChart>
      <c:catAx>
        <c:axId val="147683023"/>
        <c:scaling>
          <c:orientation val="minMax"/>
        </c:scaling>
        <c:delete val="0"/>
        <c:axPos val="b"/>
        <c:majorGridlines>
          <c:spPr>
            <a:ln w="9525" cap="flat" cmpd="sng" algn="ctr">
              <a:no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noMultiLvlLbl val="0"/>
      </c:catAx>
      <c:valAx>
        <c:axId val="146645279"/>
        <c:scaling>
          <c:orientation val="minMax"/>
        </c:scaling>
        <c:delete val="0"/>
        <c:axPos val="r"/>
        <c:majorGridlines>
          <c:spPr>
            <a:ln w="9525" cap="flat" cmpd="sng" algn="ctr">
              <a:solidFill>
                <a:schemeClr val="tx1">
                  <a:lumMod val="85000"/>
                  <a:lumOff val="15000"/>
                </a:schemeClr>
              </a:solidFill>
              <a:prstDash val="dash"/>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75000"/>
            <a:lumOff val="25000"/>
          </a:schemeClr>
        </a:solidFill>
        <a:ln>
          <a:noFill/>
        </a:ln>
        <a:effectLst/>
      </c:spPr>
    </c:plotArea>
    <c:legend>
      <c:legendPos val="t"/>
      <c:layout>
        <c:manualLayout>
          <c:xMode val="edge"/>
          <c:yMode val="edge"/>
          <c:x val="0.27798872228350097"/>
          <c:y val="1.2316999395039325E-2"/>
          <c:w val="0.67757095896993458"/>
          <c:h val="4.186500424047300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a:gsLst>
        <a:gs pos="1000">
          <a:schemeClr val="tx1">
            <a:lumMod val="75000"/>
            <a:lumOff val="25000"/>
          </a:schemeClr>
        </a:gs>
        <a:gs pos="100000">
          <a:schemeClr val="tx1">
            <a:lumMod val="50000"/>
            <a:lumOff val="50000"/>
          </a:schemeClr>
        </a:gs>
        <a:gs pos="53000">
          <a:schemeClr val="tx1">
            <a:lumMod val="65000"/>
            <a:lumOff val="35000"/>
          </a:schemeClr>
        </a:gs>
      </a:gsLst>
      <a:lin ang="5400000" scaled="1"/>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(XLF)</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'2025-Q1'!$BJ$4:$BJ$448</c:f>
              <c:numCache>
                <c:formatCode>0.00</c:formatCode>
                <c:ptCount val="445"/>
                <c:pt idx="0">
                  <c:v>0</c:v>
                </c:pt>
                <c:pt idx="1">
                  <c:v>0</c:v>
                </c:pt>
                <c:pt idx="2">
                  <c:v>0</c:v>
                </c:pt>
                <c:pt idx="3">
                  <c:v>0.19733031613259536</c:v>
                </c:pt>
                <c:pt idx="4">
                  <c:v>1.1735910269065808</c:v>
                </c:pt>
                <c:pt idx="5">
                  <c:v>1.9454956804972336</c:v>
                </c:pt>
                <c:pt idx="6">
                  <c:v>1.9454956804972336</c:v>
                </c:pt>
                <c:pt idx="7">
                  <c:v>2.5577405784564178</c:v>
                </c:pt>
                <c:pt idx="8">
                  <c:v>2.5577405784564178</c:v>
                </c:pt>
                <c:pt idx="9">
                  <c:v>2.5577405784564178</c:v>
                </c:pt>
                <c:pt idx="10">
                  <c:v>2.522354874280905</c:v>
                </c:pt>
                <c:pt idx="11">
                  <c:v>2.522354874280905</c:v>
                </c:pt>
                <c:pt idx="12">
                  <c:v>1.2800878617085636</c:v>
                </c:pt>
                <c:pt idx="13">
                  <c:v>0.29449519635165455</c:v>
                </c:pt>
                <c:pt idx="14">
                  <c:v>-0.13364240508210884</c:v>
                </c:pt>
                <c:pt idx="15">
                  <c:v>-0.13364240508210884</c:v>
                </c:pt>
                <c:pt idx="16">
                  <c:v>-0.13364240508210884</c:v>
                </c:pt>
                <c:pt idx="17">
                  <c:v>-0.13364240508210884</c:v>
                </c:pt>
                <c:pt idx="18">
                  <c:v>-0.13364240508210884</c:v>
                </c:pt>
                <c:pt idx="19">
                  <c:v>-0.93471713888646701</c:v>
                </c:pt>
                <c:pt idx="20">
                  <c:v>-0.93471713888646701</c:v>
                </c:pt>
                <c:pt idx="21">
                  <c:v>-0.93471713888646701</c:v>
                </c:pt>
                <c:pt idx="22">
                  <c:v>-0.93471713888646701</c:v>
                </c:pt>
                <c:pt idx="23">
                  <c:v>-0.93471713888646701</c:v>
                </c:pt>
                <c:pt idx="24">
                  <c:v>-0.93471713888646701</c:v>
                </c:pt>
                <c:pt idx="25">
                  <c:v>-0.93471713888646701</c:v>
                </c:pt>
                <c:pt idx="26">
                  <c:v>-0.93471713888646701</c:v>
                </c:pt>
                <c:pt idx="27">
                  <c:v>-0.93471713888646701</c:v>
                </c:pt>
                <c:pt idx="28">
                  <c:v>-0.93471713888646701</c:v>
                </c:pt>
                <c:pt idx="29">
                  <c:v>-0.63021254112582636</c:v>
                </c:pt>
                <c:pt idx="30">
                  <c:v>-0.63021254112582636</c:v>
                </c:pt>
                <c:pt idx="31">
                  <c:v>-0.63021254112582636</c:v>
                </c:pt>
                <c:pt idx="32">
                  <c:v>-0.63021254112582636</c:v>
                </c:pt>
                <c:pt idx="33">
                  <c:v>-0.63021254112582636</c:v>
                </c:pt>
                <c:pt idx="34">
                  <c:v>-0.63021254112582636</c:v>
                </c:pt>
                <c:pt idx="35">
                  <c:v>-0.63021254112582636</c:v>
                </c:pt>
                <c:pt idx="36">
                  <c:v>-0.63021254112582636</c:v>
                </c:pt>
                <c:pt idx="37">
                  <c:v>-0.63021254112582636</c:v>
                </c:pt>
                <c:pt idx="38">
                  <c:v>-0.63021254112582636</c:v>
                </c:pt>
                <c:pt idx="39">
                  <c:v>-0.63021254112582636</c:v>
                </c:pt>
                <c:pt idx="40">
                  <c:v>-0.63021254112582636</c:v>
                </c:pt>
                <c:pt idx="41">
                  <c:v>-0.63021254112582636</c:v>
                </c:pt>
                <c:pt idx="42">
                  <c:v>-0.63021254112582636</c:v>
                </c:pt>
                <c:pt idx="43">
                  <c:v>-0.50363026264481181</c:v>
                </c:pt>
                <c:pt idx="44">
                  <c:v>-0.50363026264481181</c:v>
                </c:pt>
                <c:pt idx="45">
                  <c:v>-0.50363026264481181</c:v>
                </c:pt>
                <c:pt idx="46">
                  <c:v>-0.50363026264481181</c:v>
                </c:pt>
                <c:pt idx="47">
                  <c:v>-0.50363026264481181</c:v>
                </c:pt>
                <c:pt idx="48">
                  <c:v>-0.50363026264481181</c:v>
                </c:pt>
                <c:pt idx="49">
                  <c:v>-0.65882782914696958</c:v>
                </c:pt>
                <c:pt idx="50">
                  <c:v>-0.65882782914696958</c:v>
                </c:pt>
                <c:pt idx="51">
                  <c:v>-0.65882782914696958</c:v>
                </c:pt>
                <c:pt idx="52">
                  <c:v>-0.65882782914696958</c:v>
                </c:pt>
                <c:pt idx="53">
                  <c:v>-0.65882782914696958</c:v>
                </c:pt>
                <c:pt idx="54">
                  <c:v>-0.73401118447271563</c:v>
                </c:pt>
                <c:pt idx="55">
                  <c:v>-0.73401118447271563</c:v>
                </c:pt>
                <c:pt idx="56">
                  <c:v>-0.73401118447271563</c:v>
                </c:pt>
                <c:pt idx="57">
                  <c:v>-0.73401118447271563</c:v>
                </c:pt>
                <c:pt idx="58">
                  <c:v>-0.73401118447271563</c:v>
                </c:pt>
                <c:pt idx="59">
                  <c:v>-0.73401118447271563</c:v>
                </c:pt>
                <c:pt idx="60">
                  <c:v>-0.73401118447271563</c:v>
                </c:pt>
                <c:pt idx="61">
                  <c:v>-0.73401118447271563</c:v>
                </c:pt>
                <c:pt idx="62">
                  <c:v>-0.73401118447271563</c:v>
                </c:pt>
                <c:pt idx="63">
                  <c:v>-0.73401118447271563</c:v>
                </c:pt>
                <c:pt idx="64">
                  <c:v>-0.73401118447271563</c:v>
                </c:pt>
                <c:pt idx="65">
                  <c:v>-0.73401118447271563</c:v>
                </c:pt>
                <c:pt idx="66">
                  <c:v>-0.73401118447271563</c:v>
                </c:pt>
                <c:pt idx="67">
                  <c:v>-0.73401118447271563</c:v>
                </c:pt>
                <c:pt idx="68">
                  <c:v>-0.73401118447271563</c:v>
                </c:pt>
                <c:pt idx="69">
                  <c:v>-1.5356143908855402</c:v>
                </c:pt>
                <c:pt idx="70">
                  <c:v>-1.5356143908855402</c:v>
                </c:pt>
                <c:pt idx="71">
                  <c:v>-1.5356143908855402</c:v>
                </c:pt>
                <c:pt idx="72">
                  <c:v>-1.5356143908855402</c:v>
                </c:pt>
                <c:pt idx="73">
                  <c:v>-1.5356143908855402</c:v>
                </c:pt>
                <c:pt idx="74">
                  <c:v>-1.5356143908855402</c:v>
                </c:pt>
                <c:pt idx="75">
                  <c:v>-1.5356143908855402</c:v>
                </c:pt>
                <c:pt idx="76">
                  <c:v>-1.5356143908855402</c:v>
                </c:pt>
                <c:pt idx="77">
                  <c:v>-1.5356143908855402</c:v>
                </c:pt>
                <c:pt idx="78">
                  <c:v>-1.5356143908855402</c:v>
                </c:pt>
                <c:pt idx="79">
                  <c:v>-1.5356143908855402</c:v>
                </c:pt>
                <c:pt idx="80">
                  <c:v>-1.5356143908855402</c:v>
                </c:pt>
                <c:pt idx="81">
                  <c:v>-1.5356143908855402</c:v>
                </c:pt>
                <c:pt idx="82">
                  <c:v>-1.9338571958286772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C298-43C1-ACC8-BD9420F9EA2B}"/>
            </c:ext>
          </c:extLst>
        </c:ser>
        <c:ser>
          <c:idx val="1"/>
          <c:order val="2"/>
          <c:tx>
            <c:v>Dwn</c:v>
          </c:tx>
          <c:spPr>
            <a:ln w="28575" cap="rnd">
              <a:solidFill>
                <a:schemeClr val="accent2"/>
              </a:solidFill>
              <a:prstDash val="solid"/>
              <a:round/>
            </a:ln>
            <a:effectLst/>
          </c:spPr>
          <c:marker>
            <c:symbol val="none"/>
          </c:marker>
          <c:val>
            <c:numRef>
              <c:f>'2025-Q1'!$BL$4:$BL$448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C298-43C1-ACC8-BD9420F9EA2B}"/>
            </c:ext>
          </c:extLst>
        </c:ser>
        <c:ser>
          <c:idx val="2"/>
          <c:order val="3"/>
          <c:tx>
            <c:v>SW</c:v>
          </c:tx>
          <c:spPr>
            <a:ln w="28575" cap="rnd">
              <a:solidFill>
                <a:srgbClr val="0070C0"/>
              </a:solidFill>
              <a:prstDash val="solid"/>
              <a:round/>
            </a:ln>
            <a:effectLst/>
          </c:spPr>
          <c:marker>
            <c:symbol val="none"/>
          </c:marker>
          <c:val>
            <c:numRef>
              <c:f>'2025-Q1'!$BN$4:$BN$448</c:f>
              <c:numCache>
                <c:formatCode>0.00</c:formatCode>
                <c:ptCount val="445"/>
                <c:pt idx="0">
                  <c:v>0</c:v>
                </c:pt>
                <c:pt idx="1">
                  <c:v>0</c:v>
                </c:pt>
                <c:pt idx="2">
                  <c:v>0</c:v>
                </c:pt>
                <c:pt idx="3">
                  <c:v>0</c:v>
                </c:pt>
                <c:pt idx="4">
                  <c:v>0</c:v>
                </c:pt>
                <c:pt idx="5">
                  <c:v>0</c:v>
                </c:pt>
                <c:pt idx="6">
                  <c:v>0.97940481258068013</c:v>
                </c:pt>
                <c:pt idx="7">
                  <c:v>0.97940481258068013</c:v>
                </c:pt>
                <c:pt idx="8">
                  <c:v>1.6729347923893012</c:v>
                </c:pt>
                <c:pt idx="9">
                  <c:v>1.6729347923893012</c:v>
                </c:pt>
                <c:pt idx="10">
                  <c:v>1.6729347923893012</c:v>
                </c:pt>
                <c:pt idx="11">
                  <c:v>2.7067442397760217</c:v>
                </c:pt>
                <c:pt idx="12">
                  <c:v>2.7067442397760217</c:v>
                </c:pt>
                <c:pt idx="13">
                  <c:v>2.7067442397760217</c:v>
                </c:pt>
                <c:pt idx="14">
                  <c:v>2.7067442397760217</c:v>
                </c:pt>
                <c:pt idx="15">
                  <c:v>2.7067442397760217</c:v>
                </c:pt>
                <c:pt idx="16">
                  <c:v>3.4626357471126163</c:v>
                </c:pt>
                <c:pt idx="17">
                  <c:v>3.4626357471126163</c:v>
                </c:pt>
                <c:pt idx="18">
                  <c:v>3.4626357471126163</c:v>
                </c:pt>
                <c:pt idx="19">
                  <c:v>3.4626357471126163</c:v>
                </c:pt>
                <c:pt idx="20">
                  <c:v>3.6209888745868852</c:v>
                </c:pt>
                <c:pt idx="21">
                  <c:v>4.0288192171643731</c:v>
                </c:pt>
                <c:pt idx="22">
                  <c:v>3.8471952855404434</c:v>
                </c:pt>
                <c:pt idx="23">
                  <c:v>4.3750494058562852</c:v>
                </c:pt>
                <c:pt idx="24">
                  <c:v>4.3750494058562852</c:v>
                </c:pt>
                <c:pt idx="25">
                  <c:v>4.3750494058562852</c:v>
                </c:pt>
                <c:pt idx="26">
                  <c:v>4.6043382346038415</c:v>
                </c:pt>
                <c:pt idx="27">
                  <c:v>3.8210959759517467</c:v>
                </c:pt>
                <c:pt idx="28">
                  <c:v>3.8210959759517467</c:v>
                </c:pt>
                <c:pt idx="29">
                  <c:v>3.8210959759517467</c:v>
                </c:pt>
                <c:pt idx="30">
                  <c:v>3.8210959759517467</c:v>
                </c:pt>
                <c:pt idx="31">
                  <c:v>3.8210959759517467</c:v>
                </c:pt>
                <c:pt idx="32">
                  <c:v>3.8210959759517467</c:v>
                </c:pt>
                <c:pt idx="33">
                  <c:v>3.8210959759517467</c:v>
                </c:pt>
                <c:pt idx="34">
                  <c:v>3.8210959759517467</c:v>
                </c:pt>
                <c:pt idx="35">
                  <c:v>3.8210959759517467</c:v>
                </c:pt>
                <c:pt idx="36">
                  <c:v>3.8210959759517467</c:v>
                </c:pt>
                <c:pt idx="37">
                  <c:v>3.8210959759517467</c:v>
                </c:pt>
                <c:pt idx="38">
                  <c:v>3.8210959759517467</c:v>
                </c:pt>
                <c:pt idx="39">
                  <c:v>3.8210959759517467</c:v>
                </c:pt>
                <c:pt idx="40">
                  <c:v>3.8210959759517467</c:v>
                </c:pt>
                <c:pt idx="41">
                  <c:v>3.8210959759517467</c:v>
                </c:pt>
                <c:pt idx="42">
                  <c:v>3.8210959759517467</c:v>
                </c:pt>
                <c:pt idx="43">
                  <c:v>3.8210959759517467</c:v>
                </c:pt>
                <c:pt idx="44">
                  <c:v>3.8210959759517467</c:v>
                </c:pt>
                <c:pt idx="45">
                  <c:v>3.8210959759517467</c:v>
                </c:pt>
                <c:pt idx="46">
                  <c:v>3.8210959759517467</c:v>
                </c:pt>
                <c:pt idx="47">
                  <c:v>3.8210959759517467</c:v>
                </c:pt>
                <c:pt idx="48">
                  <c:v>3.8210959759517467</c:v>
                </c:pt>
                <c:pt idx="49">
                  <c:v>3.8210959759517467</c:v>
                </c:pt>
                <c:pt idx="50">
                  <c:v>3.8210959759517467</c:v>
                </c:pt>
                <c:pt idx="51">
                  <c:v>3.8210959759517467</c:v>
                </c:pt>
                <c:pt idx="52">
                  <c:v>3.8210959759517467</c:v>
                </c:pt>
                <c:pt idx="53">
                  <c:v>3.8210959759517467</c:v>
                </c:pt>
                <c:pt idx="54">
                  <c:v>3.8210959759517467</c:v>
                </c:pt>
                <c:pt idx="55">
                  <c:v>3.8210959759517467</c:v>
                </c:pt>
                <c:pt idx="56">
                  <c:v>3.8210959759517467</c:v>
                </c:pt>
                <c:pt idx="57">
                  <c:v>3.8210959759517467</c:v>
                </c:pt>
                <c:pt idx="58">
                  <c:v>3.8210959759517467</c:v>
                </c:pt>
                <c:pt idx="59">
                  <c:v>3.8210959759517467</c:v>
                </c:pt>
                <c:pt idx="60">
                  <c:v>3.8210959759517467</c:v>
                </c:pt>
                <c:pt idx="61">
                  <c:v>3.8210959759517467</c:v>
                </c:pt>
                <c:pt idx="62">
                  <c:v>3.8210959759517467</c:v>
                </c:pt>
                <c:pt idx="63">
                  <c:v>3.8210959759517467</c:v>
                </c:pt>
                <c:pt idx="64">
                  <c:v>3.8210959759517467</c:v>
                </c:pt>
                <c:pt idx="65">
                  <c:v>3.8210959759517467</c:v>
                </c:pt>
                <c:pt idx="66">
                  <c:v>3.8210959759517467</c:v>
                </c:pt>
                <c:pt idx="67">
                  <c:v>3.8210959759517467</c:v>
                </c:pt>
                <c:pt idx="68">
                  <c:v>3.8210959759517467</c:v>
                </c:pt>
                <c:pt idx="69">
                  <c:v>3.8210959759517467</c:v>
                </c:pt>
                <c:pt idx="70">
                  <c:v>4.7600631121019816</c:v>
                </c:pt>
                <c:pt idx="71">
                  <c:v>4.7600631121019816</c:v>
                </c:pt>
                <c:pt idx="72">
                  <c:v>4.7600631121019816</c:v>
                </c:pt>
                <c:pt idx="73">
                  <c:v>4.7600631121019816</c:v>
                </c:pt>
                <c:pt idx="74">
                  <c:v>4.7600631121019816</c:v>
                </c:pt>
                <c:pt idx="75">
                  <c:v>4.7600631121019816</c:v>
                </c:pt>
                <c:pt idx="76">
                  <c:v>4.7600631121019816</c:v>
                </c:pt>
                <c:pt idx="77">
                  <c:v>4.7600631121019816</c:v>
                </c:pt>
                <c:pt idx="78">
                  <c:v>4.7600631121019816</c:v>
                </c:pt>
                <c:pt idx="79">
                  <c:v>4.7600631121019816</c:v>
                </c:pt>
                <c:pt idx="80">
                  <c:v>4.7600631121019816</c:v>
                </c:pt>
                <c:pt idx="81">
                  <c:v>4.7600631121019816</c:v>
                </c:pt>
                <c:pt idx="82">
                  <c:v>4.7600631121019816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C298-43C1-ACC8-BD9420F9EA2B}"/>
            </c:ext>
          </c:extLst>
        </c:ser>
        <c:ser>
          <c:idx val="3"/>
          <c:order val="5"/>
          <c:tx>
            <c:v>All Three</c:v>
          </c:tx>
          <c:spPr>
            <a:ln w="38100" cap="rnd">
              <a:solidFill>
                <a:sysClr val="windowText" lastClr="000000"/>
              </a:solidFill>
              <a:round/>
            </a:ln>
            <a:effectLst/>
          </c:spPr>
          <c:marker>
            <c:symbol val="none"/>
          </c:marker>
          <c:val>
            <c:numRef>
              <c:f>'2025-Q1'!$BO$4:$BO$448</c:f>
              <c:numCache>
                <c:formatCode>0.00</c:formatCode>
                <c:ptCount val="445"/>
                <c:pt idx="0">
                  <c:v>0</c:v>
                </c:pt>
                <c:pt idx="1">
                  <c:v>0</c:v>
                </c:pt>
                <c:pt idx="2">
                  <c:v>0</c:v>
                </c:pt>
                <c:pt idx="3">
                  <c:v>0.19733031613259536</c:v>
                </c:pt>
                <c:pt idx="4">
                  <c:v>1.1735910269065808</c:v>
                </c:pt>
                <c:pt idx="5">
                  <c:v>1.9454956804972336</c:v>
                </c:pt>
                <c:pt idx="6">
                  <c:v>2.9249004930779137</c:v>
                </c:pt>
                <c:pt idx="7">
                  <c:v>3.537145391037098</c:v>
                </c:pt>
                <c:pt idx="8">
                  <c:v>4.2306753708457192</c:v>
                </c:pt>
                <c:pt idx="9">
                  <c:v>4.2306753708457192</c:v>
                </c:pt>
                <c:pt idx="10">
                  <c:v>4.195289666670206</c:v>
                </c:pt>
                <c:pt idx="11">
                  <c:v>5.2290991140569254</c:v>
                </c:pt>
                <c:pt idx="12">
                  <c:v>3.986832101484584</c:v>
                </c:pt>
                <c:pt idx="13">
                  <c:v>3.0012394361276749</c:v>
                </c:pt>
                <c:pt idx="14">
                  <c:v>2.5731018346939116</c:v>
                </c:pt>
                <c:pt idx="15">
                  <c:v>2.5731018346939116</c:v>
                </c:pt>
                <c:pt idx="16">
                  <c:v>3.3289933420305067</c:v>
                </c:pt>
                <c:pt idx="17">
                  <c:v>3.3289933420305067</c:v>
                </c:pt>
                <c:pt idx="18">
                  <c:v>3.3289933420305067</c:v>
                </c:pt>
                <c:pt idx="19">
                  <c:v>2.5279186082261487</c:v>
                </c:pt>
                <c:pt idx="20">
                  <c:v>2.6862717357004171</c:v>
                </c:pt>
                <c:pt idx="21">
                  <c:v>3.0941020782779063</c:v>
                </c:pt>
                <c:pt idx="22">
                  <c:v>2.9124781466539762</c:v>
                </c:pt>
                <c:pt idx="23">
                  <c:v>3.440332266969818</c:v>
                </c:pt>
                <c:pt idx="24">
                  <c:v>3.440332266969818</c:v>
                </c:pt>
                <c:pt idx="25">
                  <c:v>3.440332266969818</c:v>
                </c:pt>
                <c:pt idx="26">
                  <c:v>3.6696210957173743</c:v>
                </c:pt>
                <c:pt idx="27">
                  <c:v>2.8863788370652799</c:v>
                </c:pt>
                <c:pt idx="28">
                  <c:v>2.8863788370652799</c:v>
                </c:pt>
                <c:pt idx="29">
                  <c:v>3.1908834348259205</c:v>
                </c:pt>
                <c:pt idx="30">
                  <c:v>3.1908834348259205</c:v>
                </c:pt>
                <c:pt idx="31">
                  <c:v>3.1908834348259205</c:v>
                </c:pt>
                <c:pt idx="32">
                  <c:v>3.1908834348259205</c:v>
                </c:pt>
                <c:pt idx="33">
                  <c:v>3.1908834348259205</c:v>
                </c:pt>
                <c:pt idx="34">
                  <c:v>3.1908834348259205</c:v>
                </c:pt>
                <c:pt idx="35">
                  <c:v>3.1908834348259205</c:v>
                </c:pt>
                <c:pt idx="36">
                  <c:v>3.1908834348259205</c:v>
                </c:pt>
                <c:pt idx="37">
                  <c:v>3.1908834348259205</c:v>
                </c:pt>
                <c:pt idx="38">
                  <c:v>3.1908834348259205</c:v>
                </c:pt>
                <c:pt idx="39">
                  <c:v>3.1908834348259205</c:v>
                </c:pt>
                <c:pt idx="40">
                  <c:v>3.1908834348259205</c:v>
                </c:pt>
                <c:pt idx="41">
                  <c:v>3.1908834348259205</c:v>
                </c:pt>
                <c:pt idx="42">
                  <c:v>3.1908834348259205</c:v>
                </c:pt>
                <c:pt idx="43">
                  <c:v>3.3174657133069352</c:v>
                </c:pt>
                <c:pt idx="44">
                  <c:v>3.3174657133069352</c:v>
                </c:pt>
                <c:pt idx="45">
                  <c:v>3.3174657133069352</c:v>
                </c:pt>
                <c:pt idx="46">
                  <c:v>3.3174657133069352</c:v>
                </c:pt>
                <c:pt idx="47">
                  <c:v>3.3174657133069352</c:v>
                </c:pt>
                <c:pt idx="48">
                  <c:v>3.3174657133069352</c:v>
                </c:pt>
                <c:pt idx="49">
                  <c:v>3.1622681468047773</c:v>
                </c:pt>
                <c:pt idx="50">
                  <c:v>3.1622681468047773</c:v>
                </c:pt>
                <c:pt idx="51">
                  <c:v>3.1622681468047773</c:v>
                </c:pt>
                <c:pt idx="52">
                  <c:v>3.1622681468047773</c:v>
                </c:pt>
                <c:pt idx="53">
                  <c:v>3.1622681468047773</c:v>
                </c:pt>
                <c:pt idx="54">
                  <c:v>3.0870847914790311</c:v>
                </c:pt>
                <c:pt idx="55">
                  <c:v>3.0870847914790311</c:v>
                </c:pt>
                <c:pt idx="56">
                  <c:v>3.0870847914790311</c:v>
                </c:pt>
                <c:pt idx="57">
                  <c:v>3.0870847914790311</c:v>
                </c:pt>
                <c:pt idx="58">
                  <c:v>3.0870847914790311</c:v>
                </c:pt>
                <c:pt idx="59">
                  <c:v>3.0870847914790311</c:v>
                </c:pt>
                <c:pt idx="60">
                  <c:v>3.0870847914790311</c:v>
                </c:pt>
                <c:pt idx="61">
                  <c:v>3.0870847914790311</c:v>
                </c:pt>
                <c:pt idx="62">
                  <c:v>3.0870847914790311</c:v>
                </c:pt>
                <c:pt idx="63">
                  <c:v>3.0870847914790311</c:v>
                </c:pt>
                <c:pt idx="64">
                  <c:v>3.0870847914790311</c:v>
                </c:pt>
                <c:pt idx="65">
                  <c:v>3.0870847914790311</c:v>
                </c:pt>
                <c:pt idx="66">
                  <c:v>3.0870847914790311</c:v>
                </c:pt>
                <c:pt idx="67">
                  <c:v>3.0870847914790311</c:v>
                </c:pt>
                <c:pt idx="68">
                  <c:v>3.0870847914790311</c:v>
                </c:pt>
                <c:pt idx="69">
                  <c:v>2.2854815850662065</c:v>
                </c:pt>
                <c:pt idx="70">
                  <c:v>3.224448721216441</c:v>
                </c:pt>
                <c:pt idx="71">
                  <c:v>3.224448721216441</c:v>
                </c:pt>
                <c:pt idx="72">
                  <c:v>3.224448721216441</c:v>
                </c:pt>
                <c:pt idx="73">
                  <c:v>3.224448721216441</c:v>
                </c:pt>
                <c:pt idx="74">
                  <c:v>3.224448721216441</c:v>
                </c:pt>
                <c:pt idx="75">
                  <c:v>3.224448721216441</c:v>
                </c:pt>
                <c:pt idx="76">
                  <c:v>3.224448721216441</c:v>
                </c:pt>
                <c:pt idx="77">
                  <c:v>3.224448721216441</c:v>
                </c:pt>
                <c:pt idx="78">
                  <c:v>3.224448721216441</c:v>
                </c:pt>
                <c:pt idx="79">
                  <c:v>3.224448721216441</c:v>
                </c:pt>
                <c:pt idx="80">
                  <c:v>3.224448721216441</c:v>
                </c:pt>
                <c:pt idx="81">
                  <c:v>3.224448721216441</c:v>
                </c:pt>
                <c:pt idx="82">
                  <c:v>2.8262059162733042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C298-43C1-ACC8-BD9420F9EA2B}"/>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C298-43C1-ACC8-BD9420F9EA2B}"/>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C298-43C1-ACC8-BD9420F9EA2B}"/>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C298-43C1-ACC8-BD9420F9EA2B}"/>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(XLRE)</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'2025-Q1'!$DG$4:$DG$448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C4AE-4E16-B464-E769C74DF94D}"/>
            </c:ext>
          </c:extLst>
        </c:ser>
        <c:ser>
          <c:idx val="1"/>
          <c:order val="1"/>
          <c:tx>
            <c:v>Dwn</c:v>
          </c:tx>
          <c:spPr>
            <a:ln w="28575" cap="rnd">
              <a:solidFill>
                <a:schemeClr val="accent2"/>
              </a:solidFill>
              <a:prstDash val="solid"/>
              <a:round/>
            </a:ln>
            <a:effectLst/>
          </c:spPr>
          <c:marker>
            <c:symbol val="none"/>
          </c:marker>
          <c:val>
            <c:numRef>
              <c:f>'2025-Q1'!$DI$4:$DI$448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C4AE-4E16-B464-E769C74DF94D}"/>
            </c:ext>
          </c:extLst>
        </c:ser>
        <c:ser>
          <c:idx val="2"/>
          <c:order val="2"/>
          <c:tx>
            <c:v>SW</c:v>
          </c:tx>
          <c:spPr>
            <a:ln w="28575" cap="rnd">
              <a:solidFill>
                <a:srgbClr val="0070C0"/>
              </a:solidFill>
              <a:prstDash val="solid"/>
              <a:round/>
            </a:ln>
            <a:effectLst/>
          </c:spPr>
          <c:marker>
            <c:symbol val="none"/>
          </c:marker>
          <c:val>
            <c:numRef>
              <c:f>'2025-Q1'!$DK$4:$DK$448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C4AE-4E16-B464-E769C74DF94D}"/>
            </c:ext>
          </c:extLst>
        </c:ser>
        <c:ser>
          <c:idx val="3"/>
          <c:order val="3"/>
          <c:tx>
            <c:v>All Three</c:v>
          </c:tx>
          <c:spPr>
            <a:ln w="38100" cap="rnd">
              <a:solidFill>
                <a:sysClr val="windowText" lastClr="000000"/>
              </a:solidFill>
              <a:round/>
            </a:ln>
            <a:effectLst/>
          </c:spPr>
          <c:marker>
            <c:symbol val="none"/>
          </c:marker>
          <c:val>
            <c:numRef>
              <c:f>'2025-Q1'!$DL$4:$DL$448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C4AE-4E16-B464-E769C74DF94D}"/>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4"/>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C4AE-4E16-B464-E769C74DF94D}"/>
                  </c:ext>
                </c:extLst>
              </c15:ser>
            </c15:filteredLineSeries>
            <c15:filteredLineSeries>
              <c15:ser>
                <c:idx val="4"/>
                <c:order val="5"/>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C4AE-4E16-B464-E769C74DF94D}"/>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C4AE-4E16-B464-E769C74DF94D}"/>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(IGV)</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'2025-Q1'!$AH$4:$AH$448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0-A9A2-414D-A9C7-24E3C5932415}"/>
            </c:ext>
          </c:extLst>
        </c:ser>
        <c:ser>
          <c:idx val="1"/>
          <c:order val="2"/>
          <c:tx>
            <c:v>Dwn</c:v>
          </c:tx>
          <c:spPr>
            <a:ln w="28575" cap="rnd">
              <a:solidFill>
                <a:schemeClr val="accent2"/>
              </a:solidFill>
              <a:prstDash val="solid"/>
              <a:round/>
            </a:ln>
            <a:effectLst/>
          </c:spPr>
          <c:marker>
            <c:symbol val="none"/>
          </c:marker>
          <c:val>
            <c:numRef>
              <c:f>'2025-Q1'!$AJ$4:$AJ$448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1-A9A2-414D-A9C7-24E3C5932415}"/>
            </c:ext>
          </c:extLst>
        </c:ser>
        <c:ser>
          <c:idx val="2"/>
          <c:order val="3"/>
          <c:tx>
            <c:v>SW</c:v>
          </c:tx>
          <c:spPr>
            <a:ln w="28575" cap="rnd">
              <a:solidFill>
                <a:srgbClr val="0070C0"/>
              </a:solidFill>
              <a:prstDash val="solid"/>
              <a:round/>
            </a:ln>
            <a:effectLst/>
          </c:spPr>
          <c:marker>
            <c:symbol val="none"/>
          </c:marker>
          <c:val>
            <c:numRef>
              <c:f>'2025-Q1'!$AL$4:$AL$448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2-A9A2-414D-A9C7-24E3C5932415}"/>
            </c:ext>
          </c:extLst>
        </c:ser>
        <c:ser>
          <c:idx val="3"/>
          <c:order val="5"/>
          <c:tx>
            <c:v>All Three</c:v>
          </c:tx>
          <c:spPr>
            <a:ln w="38100" cap="rnd">
              <a:solidFill>
                <a:sysClr val="windowText" lastClr="000000"/>
              </a:solidFill>
              <a:round/>
            </a:ln>
            <a:effectLst/>
          </c:spPr>
          <c:marker>
            <c:symbol val="none"/>
          </c:marker>
          <c:val>
            <c:numRef>
              <c:f>'2025-Q1'!$AM$4:$AM$448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3-A9A2-414D-A9C7-24E3C5932415}"/>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'2025-Q1'!$GV$4:$GV$390</c15:sqref>
                        </c15:formulaRef>
                      </c:ext>
                    </c:extLst>
                    <c:numCache>
                      <c:formatCode>"$"#,##0</c:formatCode>
                      <c:ptCount val="387"/>
                      <c:pt idx="0">
                        <c:v>0</c:v>
                      </c:pt>
                      <c:pt idx="1">
                        <c:v>36.014327580592635</c:v>
                      </c:pt>
                      <c:pt idx="2">
                        <c:v>36.014327580592635</c:v>
                      </c:pt>
                      <c:pt idx="3">
                        <c:v>43.902152367435463</c:v>
                      </c:pt>
                      <c:pt idx="4">
                        <c:v>70.647481767632144</c:v>
                      </c:pt>
                      <c:pt idx="5">
                        <c:v>94.716209568447482</c:v>
                      </c:pt>
                      <c:pt idx="6">
                        <c:v>94.716209568447482</c:v>
                      </c:pt>
                      <c:pt idx="7">
                        <c:v>120.67539324191682</c:v>
                      </c:pt>
                      <c:pt idx="8">
                        <c:v>120.67539324191682</c:v>
                      </c:pt>
                      <c:pt idx="9">
                        <c:v>120.67539324191682</c:v>
                      </c:pt>
                      <c:pt idx="10">
                        <c:v>120.67539324191682</c:v>
                      </c:pt>
                      <c:pt idx="11">
                        <c:v>120.67539324191682</c:v>
                      </c:pt>
                      <c:pt idx="12">
                        <c:v>112.89251557278891</c:v>
                      </c:pt>
                      <c:pt idx="13">
                        <c:v>90.338488067877336</c:v>
                      </c:pt>
                      <c:pt idx="14">
                        <c:v>80.839807329091002</c:v>
                      </c:pt>
                      <c:pt idx="15">
                        <c:v>80.839807329091002</c:v>
                      </c:pt>
                      <c:pt idx="16">
                        <c:v>80.839807329091002</c:v>
                      </c:pt>
                      <c:pt idx="17">
                        <c:v>80.839807329091002</c:v>
                      </c:pt>
                      <c:pt idx="18">
                        <c:v>80.839807329091002</c:v>
                      </c:pt>
                      <c:pt idx="19">
                        <c:v>69.455589994032778</c:v>
                      </c:pt>
                      <c:pt idx="20">
                        <c:v>69.455589994032778</c:v>
                      </c:pt>
                      <c:pt idx="21">
                        <c:v>69.455589994032778</c:v>
                      </c:pt>
                      <c:pt idx="22">
                        <c:v>69.455589994032778</c:v>
                      </c:pt>
                      <c:pt idx="23">
                        <c:v>69.455589994032778</c:v>
                      </c:pt>
                      <c:pt idx="24">
                        <c:v>86.076167176192541</c:v>
                      </c:pt>
                      <c:pt idx="25">
                        <c:v>86.076167176192541</c:v>
                      </c:pt>
                      <c:pt idx="26">
                        <c:v>86.076167176192541</c:v>
                      </c:pt>
                      <c:pt idx="27">
                        <c:v>86.076167176192541</c:v>
                      </c:pt>
                      <c:pt idx="28">
                        <c:v>86.076167176192541</c:v>
                      </c:pt>
                      <c:pt idx="29">
                        <c:v>102.05877677196918</c:v>
                      </c:pt>
                      <c:pt idx="30">
                        <c:v>92.829677966323175</c:v>
                      </c:pt>
                      <c:pt idx="31">
                        <c:v>92.829677966323175</c:v>
                      </c:pt>
                      <c:pt idx="32">
                        <c:v>92.829677966323175</c:v>
                      </c:pt>
                      <c:pt idx="33">
                        <c:v>92.829677966323175</c:v>
                      </c:pt>
                      <c:pt idx="34">
                        <c:v>92.829677966323175</c:v>
                      </c:pt>
                      <c:pt idx="35">
                        <c:v>103.50275488940014</c:v>
                      </c:pt>
                      <c:pt idx="36">
                        <c:v>131.66557117102838</c:v>
                      </c:pt>
                      <c:pt idx="37">
                        <c:v>131.66557117102838</c:v>
                      </c:pt>
                      <c:pt idx="38">
                        <c:v>131.66557117102838</c:v>
                      </c:pt>
                      <c:pt idx="39">
                        <c:v>131.66557117102838</c:v>
                      </c:pt>
                      <c:pt idx="40">
                        <c:v>157.69333911923928</c:v>
                      </c:pt>
                      <c:pt idx="41">
                        <c:v>157.69333911923928</c:v>
                      </c:pt>
                      <c:pt idx="42">
                        <c:v>157.69333911923928</c:v>
                      </c:pt>
                      <c:pt idx="43">
                        <c:v>164.70093405594821</c:v>
                      </c:pt>
                      <c:pt idx="44">
                        <c:v>164.70093405594821</c:v>
                      </c:pt>
                      <c:pt idx="45">
                        <c:v>191.11843246325333</c:v>
                      </c:pt>
                      <c:pt idx="46">
                        <c:v>191.11843246325333</c:v>
                      </c:pt>
                      <c:pt idx="47">
                        <c:v>191.11843246325333</c:v>
                      </c:pt>
                      <c:pt idx="48">
                        <c:v>191.11843246325333</c:v>
                      </c:pt>
                      <c:pt idx="49">
                        <c:v>199.12662689476468</c:v>
                      </c:pt>
                      <c:pt idx="50">
                        <c:v>199.12662689476468</c:v>
                      </c:pt>
                      <c:pt idx="51">
                        <c:v>182.95339389111734</c:v>
                      </c:pt>
                      <c:pt idx="52">
                        <c:v>182.95339389111734</c:v>
                      </c:pt>
                      <c:pt idx="53">
                        <c:v>182.95339389111734</c:v>
                      </c:pt>
                      <c:pt idx="54">
                        <c:v>177.39289430539293</c:v>
                      </c:pt>
                      <c:pt idx="55">
                        <c:v>177.39289430539293</c:v>
                      </c:pt>
                      <c:pt idx="56">
                        <c:v>177.39289430539293</c:v>
                      </c:pt>
                      <c:pt idx="57">
                        <c:v>202.39289430539293</c:v>
                      </c:pt>
                      <c:pt idx="58">
                        <c:v>202.39289430539293</c:v>
                      </c:pt>
                      <c:pt idx="59">
                        <c:v>202.39289430539293</c:v>
                      </c:pt>
                      <c:pt idx="60">
                        <c:v>202.39289430539293</c:v>
                      </c:pt>
                      <c:pt idx="61">
                        <c:v>202.39289430539293</c:v>
                      </c:pt>
                      <c:pt idx="62">
                        <c:v>202.39289430539293</c:v>
                      </c:pt>
                      <c:pt idx="63">
                        <c:v>202.39289430539293</c:v>
                      </c:pt>
                      <c:pt idx="64">
                        <c:v>259.25289430539294</c:v>
                      </c:pt>
                      <c:pt idx="65">
                        <c:v>225.09289430539292</c:v>
                      </c:pt>
                      <c:pt idx="66">
                        <c:v>214.45289430539293</c:v>
                      </c:pt>
                      <c:pt idx="67">
                        <c:v>214.45289430539293</c:v>
                      </c:pt>
                      <c:pt idx="68">
                        <c:v>214.45289430539293</c:v>
                      </c:pt>
                      <c:pt idx="69">
                        <c:v>195.25289430539294</c:v>
                      </c:pt>
                      <c:pt idx="70">
                        <c:v>195.25289430539294</c:v>
                      </c:pt>
                      <c:pt idx="71">
                        <c:v>195.25289430539294</c:v>
                      </c:pt>
                      <c:pt idx="72">
                        <c:v>195.25289430539294</c:v>
                      </c:pt>
                      <c:pt idx="73">
                        <c:v>195.25289430539294</c:v>
                      </c:pt>
                      <c:pt idx="74">
                        <c:v>195.25289430539294</c:v>
                      </c:pt>
                      <c:pt idx="75">
                        <c:v>256.73289430539285</c:v>
                      </c:pt>
                      <c:pt idx="76">
                        <c:v>256.73289430539285</c:v>
                      </c:pt>
                      <c:pt idx="77">
                        <c:v>256.73289430539285</c:v>
                      </c:pt>
                      <c:pt idx="78">
                        <c:v>256.73289430539285</c:v>
                      </c:pt>
                      <c:pt idx="79">
                        <c:v>261.25289430539283</c:v>
                      </c:pt>
                      <c:pt idx="80">
                        <c:v>261.25289430539283</c:v>
                      </c:pt>
                      <c:pt idx="81">
                        <c:v>261.25289430539283</c:v>
                      </c:pt>
                      <c:pt idx="82">
                        <c:v>263.95289430539287</c:v>
                      </c:pt>
                      <c:pt idx="83">
                        <c:v>263.95289430539287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c:ext xmlns:c16="http://schemas.microsoft.com/office/drawing/2014/chart" uri="{C3380CC4-5D6E-409C-BE32-E72D297353CC}">
                    <c16:uniqueId val="{00000004-A9A2-414D-A9C7-24E3C5932415}"/>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'2025-Q1'!$GT$4:$GT$390</c15:sqref>
                        </c15:formulaRef>
                      </c:ext>
                    </c:extLst>
                    <c:numCache>
                      <c:formatCode>"$"#,##0</c:formatCode>
                      <c:ptCount val="387"/>
                      <c:pt idx="0">
                        <c:v>0</c:v>
                      </c:pt>
                      <c:pt idx="1">
                        <c:v>0</c:v>
                      </c:pt>
                      <c:pt idx="2">
                        <c:v>110.19522776572666</c:v>
                      </c:pt>
                      <c:pt idx="3">
                        <c:v>110.19522776572666</c:v>
                      </c:pt>
                      <c:pt idx="4">
                        <c:v>110.19522776572666</c:v>
                      </c:pt>
                      <c:pt idx="5">
                        <c:v>110.19522776572666</c:v>
                      </c:pt>
                      <c:pt idx="6">
                        <c:v>130.96414706346224</c:v>
                      </c:pt>
                      <c:pt idx="7">
                        <c:v>130.96414706346224</c:v>
                      </c:pt>
                      <c:pt idx="8">
                        <c:v>163.09477650776046</c:v>
                      </c:pt>
                      <c:pt idx="9">
                        <c:v>163.09477650776046</c:v>
                      </c:pt>
                      <c:pt idx="10">
                        <c:v>163.09477650776046</c:v>
                      </c:pt>
                      <c:pt idx="11">
                        <c:v>199.01196476004742</c:v>
                      </c:pt>
                      <c:pt idx="12">
                        <c:v>199.01196476004742</c:v>
                      </c:pt>
                      <c:pt idx="13">
                        <c:v>199.01196476004742</c:v>
                      </c:pt>
                      <c:pt idx="14">
                        <c:v>199.01196476004742</c:v>
                      </c:pt>
                      <c:pt idx="15">
                        <c:v>169.47383371815698</c:v>
                      </c:pt>
                      <c:pt idx="16">
                        <c:v>193.21771988978884</c:v>
                      </c:pt>
                      <c:pt idx="17">
                        <c:v>193.21771988978884</c:v>
                      </c:pt>
                      <c:pt idx="18">
                        <c:v>193.21771988978884</c:v>
                      </c:pt>
                      <c:pt idx="19">
                        <c:v>193.21771988978884</c:v>
                      </c:pt>
                      <c:pt idx="20">
                        <c:v>197.25572464038271</c:v>
                      </c:pt>
                      <c:pt idx="21">
                        <c:v>192.03549625539085</c:v>
                      </c:pt>
                      <c:pt idx="22">
                        <c:v>198.36028258017723</c:v>
                      </c:pt>
                      <c:pt idx="23">
                        <c:v>222.02210694871548</c:v>
                      </c:pt>
                      <c:pt idx="24">
                        <c:v>222.02210694871548</c:v>
                      </c:pt>
                      <c:pt idx="25">
                        <c:v>222.02210694871548</c:v>
                      </c:pt>
                      <c:pt idx="26">
                        <c:v>226.71313085489493</c:v>
                      </c:pt>
                      <c:pt idx="27">
                        <c:v>212.28690134669819</c:v>
                      </c:pt>
                      <c:pt idx="28">
                        <c:v>251.06438271915709</c:v>
                      </c:pt>
                      <c:pt idx="29">
                        <c:v>251.06438271915709</c:v>
                      </c:pt>
                      <c:pt idx="30">
                        <c:v>251.06438271915709</c:v>
                      </c:pt>
                      <c:pt idx="31">
                        <c:v>278.44216049693489</c:v>
                      </c:pt>
                      <c:pt idx="32">
                        <c:v>285.91186121422402</c:v>
                      </c:pt>
                      <c:pt idx="33">
                        <c:v>285.91186121422402</c:v>
                      </c:pt>
                      <c:pt idx="34">
                        <c:v>289.30256247289338</c:v>
                      </c:pt>
                      <c:pt idx="35">
                        <c:v>289.30256247289338</c:v>
                      </c:pt>
                      <c:pt idx="36">
                        <c:v>289.30256247289338</c:v>
                      </c:pt>
                      <c:pt idx="37">
                        <c:v>301.94681736501582</c:v>
                      </c:pt>
                      <c:pt idx="38">
                        <c:v>320.26104528140155</c:v>
                      </c:pt>
                      <c:pt idx="39">
                        <c:v>320.26104528140155</c:v>
                      </c:pt>
                      <c:pt idx="40">
                        <c:v>320.26104528140155</c:v>
                      </c:pt>
                      <c:pt idx="41">
                        <c:v>306.51720291686945</c:v>
                      </c:pt>
                      <c:pt idx="42">
                        <c:v>302.61856743928661</c:v>
                      </c:pt>
                      <c:pt idx="43">
                        <c:v>302.61856743928661</c:v>
                      </c:pt>
                      <c:pt idx="44">
                        <c:v>300.92599684770067</c:v>
                      </c:pt>
                      <c:pt idx="45">
                        <c:v>300.92599684770067</c:v>
                      </c:pt>
                      <c:pt idx="46">
                        <c:v>321.70631915474053</c:v>
                      </c:pt>
                      <c:pt idx="47">
                        <c:v>332.5885140207605</c:v>
                      </c:pt>
                      <c:pt idx="48">
                        <c:v>332.5885140207605</c:v>
                      </c:pt>
                      <c:pt idx="49">
                        <c:v>332.5885140207605</c:v>
                      </c:pt>
                      <c:pt idx="50">
                        <c:v>340.88998862480207</c:v>
                      </c:pt>
                      <c:pt idx="51">
                        <c:v>340.88998862480207</c:v>
                      </c:pt>
                      <c:pt idx="52">
                        <c:v>310.80175772903414</c:v>
                      </c:pt>
                      <c:pt idx="53">
                        <c:v>299.15934608662246</c:v>
                      </c:pt>
                      <c:pt idx="54">
                        <c:v>299.15934608662246</c:v>
                      </c:pt>
                      <c:pt idx="55">
                        <c:v>299.15934608662246</c:v>
                      </c:pt>
                      <c:pt idx="56">
                        <c:v>284.0499288257422</c:v>
                      </c:pt>
                      <c:pt idx="57">
                        <c:v>284.0499288257422</c:v>
                      </c:pt>
                      <c:pt idx="58">
                        <c:v>284.0499288257422</c:v>
                      </c:pt>
                      <c:pt idx="59">
                        <c:v>272.76992882574217</c:v>
                      </c:pt>
                      <c:pt idx="60">
                        <c:v>273.74992882574213</c:v>
                      </c:pt>
                      <c:pt idx="61">
                        <c:v>283.64992882574211</c:v>
                      </c:pt>
                      <c:pt idx="62">
                        <c:v>283.64992882574211</c:v>
                      </c:pt>
                      <c:pt idx="63">
                        <c:v>288.88992882574212</c:v>
                      </c:pt>
                      <c:pt idx="64">
                        <c:v>288.88992882574212</c:v>
                      </c:pt>
                      <c:pt idx="65">
                        <c:v>288.88992882574212</c:v>
                      </c:pt>
                      <c:pt idx="66">
                        <c:v>288.88992882574212</c:v>
                      </c:pt>
                      <c:pt idx="67">
                        <c:v>288.88992882574212</c:v>
                      </c:pt>
                      <c:pt idx="68">
                        <c:v>265.98992882574208</c:v>
                      </c:pt>
                      <c:pt idx="69">
                        <c:v>265.98992882574208</c:v>
                      </c:pt>
                      <c:pt idx="70">
                        <c:v>302.55992882574208</c:v>
                      </c:pt>
                      <c:pt idx="71">
                        <c:v>298.47992882574209</c:v>
                      </c:pt>
                      <c:pt idx="72">
                        <c:v>298.47992882574209</c:v>
                      </c:pt>
                      <c:pt idx="73">
                        <c:v>331.1599288257421</c:v>
                      </c:pt>
                      <c:pt idx="74">
                        <c:v>284.57992882574212</c:v>
                      </c:pt>
                      <c:pt idx="75">
                        <c:v>284.57992882574212</c:v>
                      </c:pt>
                      <c:pt idx="76">
                        <c:v>312.59992882574215</c:v>
                      </c:pt>
                      <c:pt idx="77">
                        <c:v>264.37992882574213</c:v>
                      </c:pt>
                      <c:pt idx="78">
                        <c:v>267.07992882574212</c:v>
                      </c:pt>
                      <c:pt idx="79">
                        <c:v>267.07992882574212</c:v>
                      </c:pt>
                      <c:pt idx="80">
                        <c:v>267.07992882574212</c:v>
                      </c:pt>
                      <c:pt idx="81">
                        <c:v>275.91992882574215</c:v>
                      </c:pt>
                      <c:pt idx="82">
                        <c:v>275.91992882574215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5-A9A2-414D-A9C7-24E3C5932415}"/>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'2025-Q1'!$GX$4:$GX$390</c15:sqref>
                        </c15:formulaRef>
                      </c:ext>
                    </c:extLst>
                    <c:numCache>
                      <c:formatCode>"$"#,##0</c:formatCode>
                      <c:ptCount val="387"/>
                      <c:pt idx="0">
                        <c:v>68.350966800437789</c:v>
                      </c:pt>
                      <c:pt idx="1">
                        <c:v>68.350966800437789</c:v>
                      </c:pt>
                      <c:pt idx="2">
                        <c:v>68.350966800437789</c:v>
                      </c:pt>
                      <c:pt idx="3">
                        <c:v>68.350966800437789</c:v>
                      </c:pt>
                      <c:pt idx="4">
                        <c:v>68.350966800437789</c:v>
                      </c:pt>
                      <c:pt idx="5">
                        <c:v>68.350966800437789</c:v>
                      </c:pt>
                      <c:pt idx="6">
                        <c:v>68.350966800437789</c:v>
                      </c:pt>
                      <c:pt idx="7">
                        <c:v>68.350966800437789</c:v>
                      </c:pt>
                      <c:pt idx="8">
                        <c:v>68.350966800437789</c:v>
                      </c:pt>
                      <c:pt idx="9">
                        <c:v>92.516437338879541</c:v>
                      </c:pt>
                      <c:pt idx="10">
                        <c:v>92.516437338879541</c:v>
                      </c:pt>
                      <c:pt idx="11">
                        <c:v>92.516437338879541</c:v>
                      </c:pt>
                      <c:pt idx="12">
                        <c:v>92.516437338879541</c:v>
                      </c:pt>
                      <c:pt idx="13">
                        <c:v>92.516437338879541</c:v>
                      </c:pt>
                      <c:pt idx="14">
                        <c:v>92.516437338879541</c:v>
                      </c:pt>
                      <c:pt idx="15">
                        <c:v>92.516437338879541</c:v>
                      </c:pt>
                      <c:pt idx="16">
                        <c:v>92.516437338879541</c:v>
                      </c:pt>
                      <c:pt idx="17">
                        <c:v>68.276963014226396</c:v>
                      </c:pt>
                      <c:pt idx="18">
                        <c:v>61.268804661946035</c:v>
                      </c:pt>
                      <c:pt idx="19">
                        <c:v>61.268804661946035</c:v>
                      </c:pt>
                      <c:pt idx="20">
                        <c:v>61.268804661946035</c:v>
                      </c:pt>
                      <c:pt idx="21">
                        <c:v>61.268804661946035</c:v>
                      </c:pt>
                      <c:pt idx="22">
                        <c:v>61.268804661946035</c:v>
                      </c:pt>
                      <c:pt idx="23">
                        <c:v>61.268804661946035</c:v>
                      </c:pt>
                      <c:pt idx="24">
                        <c:v>61.268804661946035</c:v>
                      </c:pt>
                      <c:pt idx="25">
                        <c:v>71.969786714096415</c:v>
                      </c:pt>
                      <c:pt idx="26">
                        <c:v>71.969786714096415</c:v>
                      </c:pt>
                      <c:pt idx="27">
                        <c:v>71.969786714096415</c:v>
                      </c:pt>
                      <c:pt idx="28">
                        <c:v>71.969786714096415</c:v>
                      </c:pt>
                      <c:pt idx="29">
                        <c:v>71.969786714096415</c:v>
                      </c:pt>
                      <c:pt idx="30">
                        <c:v>71.969786714096415</c:v>
                      </c:pt>
                      <c:pt idx="31">
                        <c:v>71.969786714096415</c:v>
                      </c:pt>
                      <c:pt idx="32">
                        <c:v>71.969786714096415</c:v>
                      </c:pt>
                      <c:pt idx="33">
                        <c:v>79.745689515311369</c:v>
                      </c:pt>
                      <c:pt idx="34">
                        <c:v>79.745689515311369</c:v>
                      </c:pt>
                      <c:pt idx="35">
                        <c:v>79.745689515311369</c:v>
                      </c:pt>
                      <c:pt idx="36">
                        <c:v>79.745689515311369</c:v>
                      </c:pt>
                      <c:pt idx="37">
                        <c:v>79.745689515311369</c:v>
                      </c:pt>
                      <c:pt idx="38">
                        <c:v>79.745689515311369</c:v>
                      </c:pt>
                      <c:pt idx="39">
                        <c:v>93.96851376184037</c:v>
                      </c:pt>
                      <c:pt idx="40">
                        <c:v>93.96851376184037</c:v>
                      </c:pt>
                      <c:pt idx="41">
                        <c:v>93.96851376184037</c:v>
                      </c:pt>
                      <c:pt idx="42">
                        <c:v>93.96851376184037</c:v>
                      </c:pt>
                      <c:pt idx="43">
                        <c:v>93.96851376184037</c:v>
                      </c:pt>
                      <c:pt idx="44">
                        <c:v>93.96851376184037</c:v>
                      </c:pt>
                      <c:pt idx="45">
                        <c:v>93.96851376184037</c:v>
                      </c:pt>
                      <c:pt idx="46">
                        <c:v>93.96851376184037</c:v>
                      </c:pt>
                      <c:pt idx="47">
                        <c:v>93.96851376184037</c:v>
                      </c:pt>
                      <c:pt idx="48">
                        <c:v>100.00586346764754</c:v>
                      </c:pt>
                      <c:pt idx="49">
                        <c:v>100.00586346764754</c:v>
                      </c:pt>
                      <c:pt idx="50">
                        <c:v>100.00586346764754</c:v>
                      </c:pt>
                      <c:pt idx="51">
                        <c:v>100.00586346764754</c:v>
                      </c:pt>
                      <c:pt idx="52">
                        <c:v>100.00586346764754</c:v>
                      </c:pt>
                      <c:pt idx="53">
                        <c:v>100.00586346764754</c:v>
                      </c:pt>
                      <c:pt idx="54">
                        <c:v>100.00586346764754</c:v>
                      </c:pt>
                      <c:pt idx="55">
                        <c:v>96.330518904094731</c:v>
                      </c:pt>
                      <c:pt idx="56">
                        <c:v>96.330518904094731</c:v>
                      </c:pt>
                      <c:pt idx="57">
                        <c:v>96.330518904094731</c:v>
                      </c:pt>
                      <c:pt idx="58">
                        <c:v>96.330518904094731</c:v>
                      </c:pt>
                      <c:pt idx="59">
                        <c:v>96.330518904094731</c:v>
                      </c:pt>
                      <c:pt idx="60">
                        <c:v>96.330518904094731</c:v>
                      </c:pt>
                      <c:pt idx="61">
                        <c:v>96.330518904094731</c:v>
                      </c:pt>
                      <c:pt idx="62">
                        <c:v>142.57051890409474</c:v>
                      </c:pt>
                      <c:pt idx="63">
                        <c:v>142.57051890409474</c:v>
                      </c:pt>
                      <c:pt idx="64">
                        <c:v>142.57051890409474</c:v>
                      </c:pt>
                      <c:pt idx="65">
                        <c:v>142.57051890409474</c:v>
                      </c:pt>
                      <c:pt idx="66">
                        <c:v>142.57051890409474</c:v>
                      </c:pt>
                      <c:pt idx="67">
                        <c:v>148.48051890409477</c:v>
                      </c:pt>
                      <c:pt idx="68">
                        <c:v>148.48051890409477</c:v>
                      </c:pt>
                      <c:pt idx="69">
                        <c:v>148.48051890409477</c:v>
                      </c:pt>
                      <c:pt idx="70">
                        <c:v>148.48051890409477</c:v>
                      </c:pt>
                      <c:pt idx="71">
                        <c:v>148.48051890409477</c:v>
                      </c:pt>
                      <c:pt idx="72">
                        <c:v>144.92051890409476</c:v>
                      </c:pt>
                      <c:pt idx="73">
                        <c:v>144.92051890409476</c:v>
                      </c:pt>
                      <c:pt idx="74">
                        <c:v>144.92051890409476</c:v>
                      </c:pt>
                      <c:pt idx="75">
                        <c:v>144.92051890409476</c:v>
                      </c:pt>
                      <c:pt idx="76">
                        <c:v>144.92051890409476</c:v>
                      </c:pt>
                      <c:pt idx="77">
                        <c:v>144.92051890409476</c:v>
                      </c:pt>
                      <c:pt idx="78">
                        <c:v>144.92051890409476</c:v>
                      </c:pt>
                      <c:pt idx="79">
                        <c:v>144.92051890409476</c:v>
                      </c:pt>
                      <c:pt idx="80">
                        <c:v>167.16051890409477</c:v>
                      </c:pt>
                      <c:pt idx="81">
                        <c:v>167.16051890409477</c:v>
                      </c:pt>
                      <c:pt idx="82">
                        <c:v>167.16051890409477</c:v>
                      </c:pt>
                      <c:pt idx="83">
                        <c:v>167.16051890409477</c:v>
                      </c:pt>
                      <c:pt idx="84">
                        <c:v>167.16051890409477</c:v>
                      </c:pt>
                      <c:pt idx="85">
                        <c:v>167.16051890409477</c:v>
                      </c:pt>
                      <c:pt idx="86">
                        <c:v>167.16051890409477</c:v>
                      </c:pt>
                      <c:pt idx="87">
                        <c:v>167.16051890409477</c:v>
                      </c:pt>
                      <c:pt idx="88">
                        <c:v>167.16051890409477</c:v>
                      </c:pt>
                      <c:pt idx="89">
                        <c:v>167.16051890409477</c:v>
                      </c:pt>
                      <c:pt idx="90">
                        <c:v>167.16051890409477</c:v>
                      </c:pt>
                      <c:pt idx="91">
                        <c:v>167.16051890409477</c:v>
                      </c:pt>
                      <c:pt idx="92">
                        <c:v>167.16051890409477</c:v>
                      </c:pt>
                      <c:pt idx="93">
                        <c:v>167.16051890409477</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numCache>
                  </c:numRef>
                </c:val>
                <c:smooth val="0"/>
                <c:extLst xmlns:c15="http://schemas.microsoft.com/office/drawing/2012/chart">
                  <c:ext xmlns:c16="http://schemas.microsoft.com/office/drawing/2014/chart" uri="{C3380CC4-5D6E-409C-BE32-E72D297353CC}">
                    <c16:uniqueId val="{00000006-A9A2-414D-A9C7-24E3C5932415}"/>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171058714748035E-2"/>
          <c:y val="7.7350558040499021E-2"/>
          <c:w val="0.95234997210983097"/>
          <c:h val="0.86018548951798435"/>
        </c:manualLayout>
      </c:layout>
      <c:lineChart>
        <c:grouping val="standard"/>
        <c:varyColors val="0"/>
        <c:ser>
          <c:idx val="3"/>
          <c:order val="0"/>
          <c:tx>
            <c:v>Total Risk Units</c:v>
          </c:tx>
          <c:spPr>
            <a:ln w="19050" cap="rnd">
              <a:solidFill>
                <a:schemeClr val="accent3">
                  <a:lumMod val="50000"/>
                </a:schemeClr>
              </a:solidFill>
              <a:round/>
            </a:ln>
            <a:effectLst/>
          </c:spPr>
          <c:marker>
            <c:symbol val="none"/>
          </c:marker>
          <c:val>
            <c:numRef>
              <c:f>'2025-Q1'!$FQ$4:$FQ$448</c:f>
              <c:numCache>
                <c:formatCode>0</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18.659279222586413</c:v>
                </c:pt>
                <c:pt idx="84">
                  <c:v>19.92156043802008</c:v>
                </c:pt>
                <c:pt idx="85">
                  <c:v>19.608636687107385</c:v>
                </c:pt>
                <c:pt idx="86">
                  <c:v>18.720913343299216</c:v>
                </c:pt>
                <c:pt idx="87">
                  <c:v>19.500829317680921</c:v>
                </c:pt>
                <c:pt idx="88">
                  <c:v>20.429468056651192</c:v>
                </c:pt>
                <c:pt idx="89">
                  <c:v>21.987298029387347</c:v>
                </c:pt>
                <c:pt idx="90">
                  <c:v>23.007479887892558</c:v>
                </c:pt>
                <c:pt idx="91">
                  <c:v>23.479920832774447</c:v>
                </c:pt>
                <c:pt idx="92">
                  <c:v>23.661908673204724</c:v>
                </c:pt>
                <c:pt idx="93">
                  <c:v>23.829148923383833</c:v>
                </c:pt>
                <c:pt idx="94">
                  <c:v>22.267248547299715</c:v>
                </c:pt>
                <c:pt idx="95">
                  <c:v>22.084130305234837</c:v>
                </c:pt>
                <c:pt idx="96">
                  <c:v>23.052813957039511</c:v>
                </c:pt>
                <c:pt idx="97">
                  <c:v>20.314865029004554</c:v>
                </c:pt>
                <c:pt idx="98">
                  <c:v>19.02853747101944</c:v>
                </c:pt>
                <c:pt idx="99">
                  <c:v>19.518429570734188</c:v>
                </c:pt>
                <c:pt idx="100">
                  <c:v>19.706719172289098</c:v>
                </c:pt>
                <c:pt idx="101">
                  <c:v>19.942271371375661</c:v>
                </c:pt>
                <c:pt idx="102">
                  <c:v>20.59840239813126</c:v>
                </c:pt>
                <c:pt idx="103">
                  <c:v>19.762165759692348</c:v>
                </c:pt>
                <c:pt idx="104">
                  <c:v>21.073728928857228</c:v>
                </c:pt>
                <c:pt idx="105">
                  <c:v>19.080812262190562</c:v>
                </c:pt>
                <c:pt idx="106">
                  <c:v>19.399235194721378</c:v>
                </c:pt>
                <c:pt idx="107">
                  <c:v>18.88018215003218</c:v>
                </c:pt>
                <c:pt idx="108">
                  <c:v>18.968969919516933</c:v>
                </c:pt>
                <c:pt idx="109">
                  <c:v>18.923640249187262</c:v>
                </c:pt>
                <c:pt idx="110">
                  <c:v>20.479254417310084</c:v>
                </c:pt>
                <c:pt idx="111">
                  <c:v>21.069763221122983</c:v>
                </c:pt>
                <c:pt idx="112">
                  <c:v>21.39995385949155</c:v>
                </c:pt>
                <c:pt idx="113">
                  <c:v>22.104961655398395</c:v>
                </c:pt>
                <c:pt idx="114">
                  <c:v>22.462750442061914</c:v>
                </c:pt>
                <c:pt idx="115">
                  <c:v>22.989707711921394</c:v>
                </c:pt>
                <c:pt idx="116">
                  <c:v>23.692103164621354</c:v>
                </c:pt>
                <c:pt idx="117">
                  <c:v>23.613831405072197</c:v>
                </c:pt>
                <c:pt idx="118">
                  <c:v>22.708831405072196</c:v>
                </c:pt>
                <c:pt idx="119">
                  <c:v>23.776254726245011</c:v>
                </c:pt>
                <c:pt idx="120">
                  <c:v>23.276210474541319</c:v>
                </c:pt>
                <c:pt idx="121">
                  <c:v>22.479958893536377</c:v>
                </c:pt>
                <c:pt idx="122">
                  <c:v>22.290385433820738</c:v>
                </c:pt>
                <c:pt idx="123">
                  <c:v>22.135985022086306</c:v>
                </c:pt>
                <c:pt idx="124">
                  <c:v>22.643129977419537</c:v>
                </c:pt>
                <c:pt idx="125">
                  <c:v>23.295638886212753</c:v>
                </c:pt>
                <c:pt idx="126">
                  <c:v>23.347949261103771</c:v>
                </c:pt>
                <c:pt idx="127">
                  <c:v>24.021378277476515</c:v>
                </c:pt>
                <c:pt idx="128">
                  <c:v>24.187534814424481</c:v>
                </c:pt>
                <c:pt idx="129">
                  <c:v>24.262497333165108</c:v>
                </c:pt>
                <c:pt idx="130">
                  <c:v>24.632902623899589</c:v>
                </c:pt>
                <c:pt idx="131">
                  <c:v>24.5866419365661</c:v>
                </c:pt>
                <c:pt idx="132">
                  <c:v>25.147180053158028</c:v>
                </c:pt>
                <c:pt idx="133">
                  <c:v>25.169820586180865</c:v>
                </c:pt>
                <c:pt idx="134">
                  <c:v>23.96204883753742</c:v>
                </c:pt>
                <c:pt idx="135">
                  <c:v>25.014323107734299</c:v>
                </c:pt>
                <c:pt idx="136">
                  <c:v>22.996633776612128</c:v>
                </c:pt>
                <c:pt idx="137">
                  <c:v>22.234114355075135</c:v>
                </c:pt>
                <c:pt idx="138">
                  <c:v>22.19919815395782</c:v>
                </c:pt>
                <c:pt idx="139">
                  <c:v>20.713640080507222</c:v>
                </c:pt>
                <c:pt idx="140">
                  <c:v>24.057587136759956</c:v>
                </c:pt>
                <c:pt idx="141">
                  <c:v>23.250478269078489</c:v>
                </c:pt>
                <c:pt idx="142">
                  <c:v>23.101410701922028</c:v>
                </c:pt>
                <c:pt idx="143">
                  <c:v>21.995992730577498</c:v>
                </c:pt>
                <c:pt idx="144">
                  <c:v>21.723048342996467</c:v>
                </c:pt>
                <c:pt idx="145">
                  <c:v>21.464208029127107</c:v>
                </c:pt>
                <c:pt idx="146">
                  <c:v>21.41494473923504</c:v>
                </c:pt>
                <c:pt idx="147">
                  <c:v>22.41615499338841</c:v>
                </c:pt>
                <c:pt idx="148">
                  <c:v>21.221434933182046</c:v>
                </c:pt>
                <c:pt idx="149">
                  <c:v>20.276111818278</c:v>
                </c:pt>
                <c:pt idx="150">
                  <c:v>20.397484432202749</c:v>
                </c:pt>
                <c:pt idx="151">
                  <c:v>20.378813782464135</c:v>
                </c:pt>
                <c:pt idx="152">
                  <c:v>20.002215428987171</c:v>
                </c:pt>
                <c:pt idx="153">
                  <c:v>19.438342338767477</c:v>
                </c:pt>
                <c:pt idx="154">
                  <c:v>19.258325519677811</c:v>
                </c:pt>
                <c:pt idx="155">
                  <c:v>18.720691111075659</c:v>
                </c:pt>
                <c:pt idx="156">
                  <c:v>20.432454096523106</c:v>
                </c:pt>
                <c:pt idx="157">
                  <c:v>20.158069249647554</c:v>
                </c:pt>
                <c:pt idx="158">
                  <c:v>23.951557029282935</c:v>
                </c:pt>
                <c:pt idx="159">
                  <c:v>23.698378045580821</c:v>
                </c:pt>
                <c:pt idx="160">
                  <c:v>23.095465707783013</c:v>
                </c:pt>
                <c:pt idx="161">
                  <c:v>22.884519684863751</c:v>
                </c:pt>
                <c:pt idx="162">
                  <c:v>24.717853018197083</c:v>
                </c:pt>
                <c:pt idx="163">
                  <c:v>25.180353850033114</c:v>
                </c:pt>
                <c:pt idx="164">
                  <c:v>25.11674061848095</c:v>
                </c:pt>
                <c:pt idx="165">
                  <c:v>24.978889864896832</c:v>
                </c:pt>
                <c:pt idx="166">
                  <c:v>23.628947586566664</c:v>
                </c:pt>
                <c:pt idx="167">
                  <c:v>24.050081774664939</c:v>
                </c:pt>
                <c:pt idx="168">
                  <c:v>24.047814200968791</c:v>
                </c:pt>
                <c:pt idx="169">
                  <c:v>24.659992675644034</c:v>
                </c:pt>
                <c:pt idx="170">
                  <c:v>23.924099556652017</c:v>
                </c:pt>
                <c:pt idx="171">
                  <c:v>24.746784234758383</c:v>
                </c:pt>
                <c:pt idx="172">
                  <c:v>23.808285630913662</c:v>
                </c:pt>
                <c:pt idx="173">
                  <c:v>22.633236777679066</c:v>
                </c:pt>
                <c:pt idx="174">
                  <c:v>22.93182526844997</c:v>
                </c:pt>
                <c:pt idx="175">
                  <c:v>23.438289349484222</c:v>
                </c:pt>
                <c:pt idx="176">
                  <c:v>23.564697165564926</c:v>
                </c:pt>
                <c:pt idx="177">
                  <c:v>24.827231900372222</c:v>
                </c:pt>
                <c:pt idx="178">
                  <c:v>25.904686667601336</c:v>
                </c:pt>
                <c:pt idx="179">
                  <c:v>26.982272874497887</c:v>
                </c:pt>
                <c:pt idx="180">
                  <c:v>26.482094239271021</c:v>
                </c:pt>
                <c:pt idx="181">
                  <c:v>26.683852417682893</c:v>
                </c:pt>
                <c:pt idx="182">
                  <c:v>26.073671106664762</c:v>
                </c:pt>
                <c:pt idx="183">
                  <c:v>24.901363562492598</c:v>
                </c:pt>
                <c:pt idx="184">
                  <c:v>26.559662028322446</c:v>
                </c:pt>
                <c:pt idx="185">
                  <c:v>26.655964475673265</c:v>
                </c:pt>
                <c:pt idx="186">
                  <c:v>27.211322042791345</c:v>
                </c:pt>
                <c:pt idx="187">
                  <c:v>26.364151592096665</c:v>
                </c:pt>
                <c:pt idx="188">
                  <c:v>27.841007792940268</c:v>
                </c:pt>
                <c:pt idx="189">
                  <c:v>27.401556047850537</c:v>
                </c:pt>
                <c:pt idx="190">
                  <c:v>26.605679759190743</c:v>
                </c:pt>
                <c:pt idx="191">
                  <c:v>26.653544022741283</c:v>
                </c:pt>
                <c:pt idx="192">
                  <c:v>26.609432016603961</c:v>
                </c:pt>
                <c:pt idx="193">
                  <c:v>25.809828388278632</c:v>
                </c:pt>
                <c:pt idx="194">
                  <c:v>25.818445116219806</c:v>
                </c:pt>
                <c:pt idx="195">
                  <c:v>25.252407380370752</c:v>
                </c:pt>
                <c:pt idx="196">
                  <c:v>24.543673955587941</c:v>
                </c:pt>
                <c:pt idx="197">
                  <c:v>30.132126953367365</c:v>
                </c:pt>
                <c:pt idx="198">
                  <c:v>30.218333849919091</c:v>
                </c:pt>
                <c:pt idx="199">
                  <c:v>31.509964934462218</c:v>
                </c:pt>
                <c:pt idx="200">
                  <c:v>29.580522228254445</c:v>
                </c:pt>
                <c:pt idx="201">
                  <c:v>29.933567241493634</c:v>
                </c:pt>
                <c:pt idx="202">
                  <c:v>29.156984206846083</c:v>
                </c:pt>
                <c:pt idx="203">
                  <c:v>29.060403175360666</c:v>
                </c:pt>
                <c:pt idx="204">
                  <c:v>29.853201855844901</c:v>
                </c:pt>
                <c:pt idx="205">
                  <c:v>29.416051968404453</c:v>
                </c:pt>
                <c:pt idx="206">
                  <c:v>29.329905833233337</c:v>
                </c:pt>
                <c:pt idx="207">
                  <c:v>31.447471710664654</c:v>
                </c:pt>
                <c:pt idx="208">
                  <c:v>31.630323402042801</c:v>
                </c:pt>
                <c:pt idx="209">
                  <c:v>31.21203406120911</c:v>
                </c:pt>
                <c:pt idx="210">
                  <c:v>33.182703938470738</c:v>
                </c:pt>
                <c:pt idx="211">
                  <c:v>33.886604238493817</c:v>
                </c:pt>
                <c:pt idx="212">
                  <c:v>34.721937038636</c:v>
                </c:pt>
                <c:pt idx="213">
                  <c:v>33.627707877777347</c:v>
                </c:pt>
                <c:pt idx="214">
                  <c:v>35.17376806615318</c:v>
                </c:pt>
                <c:pt idx="215">
                  <c:v>34.413693764625449</c:v>
                </c:pt>
                <c:pt idx="216">
                  <c:v>33.949586553113392</c:v>
                </c:pt>
                <c:pt idx="217">
                  <c:v>33.800458022961465</c:v>
                </c:pt>
                <c:pt idx="218">
                  <c:v>33.459281552373227</c:v>
                </c:pt>
                <c:pt idx="219">
                  <c:v>33.631120662609312</c:v>
                </c:pt>
                <c:pt idx="220">
                  <c:v>34.496921528410176</c:v>
                </c:pt>
                <c:pt idx="221">
                  <c:v>34.431633739838148</c:v>
                </c:pt>
                <c:pt idx="222">
                  <c:v>34.549257344303854</c:v>
                </c:pt>
                <c:pt idx="223">
                  <c:v>34.09943272873452</c:v>
                </c:pt>
                <c:pt idx="224">
                  <c:v>33.484621036772744</c:v>
                </c:pt>
                <c:pt idx="225">
                  <c:v>33.53216892428803</c:v>
                </c:pt>
                <c:pt idx="226">
                  <c:v>34.631070023189125</c:v>
                </c:pt>
                <c:pt idx="227">
                  <c:v>35.498498823830921</c:v>
                </c:pt>
                <c:pt idx="228">
                  <c:v>37.07153016879375</c:v>
                </c:pt>
                <c:pt idx="229">
                  <c:v>36.216473781291441</c:v>
                </c:pt>
                <c:pt idx="230">
                  <c:v>40.911390333121176</c:v>
                </c:pt>
                <c:pt idx="231">
                  <c:v>41.052231588775143</c:v>
                </c:pt>
                <c:pt idx="232">
                  <c:v>41.151231687775244</c:v>
                </c:pt>
                <c:pt idx="233">
                  <c:v>41.309374093082653</c:v>
                </c:pt>
                <c:pt idx="234">
                  <c:v>41.256732931652394</c:v>
                </c:pt>
                <c:pt idx="235">
                  <c:v>41.121915504571355</c:v>
                </c:pt>
                <c:pt idx="236">
                  <c:v>43.025514018339365</c:v>
                </c:pt>
                <c:pt idx="237">
                  <c:v>42.474580804937069</c:v>
                </c:pt>
                <c:pt idx="238">
                  <c:v>42.255041836770218</c:v>
                </c:pt>
                <c:pt idx="239">
                  <c:v>41.601884911632048</c:v>
                </c:pt>
                <c:pt idx="240">
                  <c:v>42.102818327935722</c:v>
                </c:pt>
                <c:pt idx="241">
                  <c:v>41.941729729206422</c:v>
                </c:pt>
                <c:pt idx="242">
                  <c:v>41.158928238415051</c:v>
                </c:pt>
                <c:pt idx="243">
                  <c:v>41.147939937723436</c:v>
                </c:pt>
                <c:pt idx="244">
                  <c:v>41.312677964081516</c:v>
                </c:pt>
                <c:pt idx="245">
                  <c:v>42.262519233922781</c:v>
                </c:pt>
                <c:pt idx="246">
                  <c:v>41.196866821642075</c:v>
                </c:pt>
                <c:pt idx="247">
                  <c:v>42.223930684570426</c:v>
                </c:pt>
                <c:pt idx="248">
                  <c:v>42.114897568071314</c:v>
                </c:pt>
                <c:pt idx="249">
                  <c:v>41.165089379984622</c:v>
                </c:pt>
                <c:pt idx="250">
                  <c:v>40.510739880369535</c:v>
                </c:pt>
                <c:pt idx="251">
                  <c:v>40.710081187355144</c:v>
                </c:pt>
                <c:pt idx="252">
                  <c:v>40.249536396566036</c:v>
                </c:pt>
                <c:pt idx="253">
                  <c:v>43.513368503407136</c:v>
                </c:pt>
                <c:pt idx="254">
                  <c:v>45.956474259765905</c:v>
                </c:pt>
                <c:pt idx="255">
                  <c:v>46.971108936878139</c:v>
                </c:pt>
                <c:pt idx="256">
                  <c:v>46.050558962963194</c:v>
                </c:pt>
                <c:pt idx="257">
                  <c:v>48.128992340609173</c:v>
                </c:pt>
                <c:pt idx="258">
                  <c:v>47.760047842694512</c:v>
                </c:pt>
                <c:pt idx="259">
                  <c:v>47.318311042460032</c:v>
                </c:pt>
                <c:pt idx="260">
                  <c:v>48.076682572890384</c:v>
                </c:pt>
                <c:pt idx="261">
                  <c:v>48.343424554940221</c:v>
                </c:pt>
                <c:pt idx="262">
                  <c:v>49.701665032691295</c:v>
                </c:pt>
                <c:pt idx="263">
                  <c:v>50.352292964299707</c:v>
                </c:pt>
                <c:pt idx="264">
                  <c:v>51.349399880685169</c:v>
                </c:pt>
                <c:pt idx="265">
                  <c:v>53.488628406307626</c:v>
                </c:pt>
                <c:pt idx="266">
                  <c:v>54.094878406307622</c:v>
                </c:pt>
                <c:pt idx="267">
                  <c:v>53.904125386051469</c:v>
                </c:pt>
                <c:pt idx="268">
                  <c:v>53.490089147632183</c:v>
                </c:pt>
                <c:pt idx="269">
                  <c:v>53.556956348968725</c:v>
                </c:pt>
                <c:pt idx="270">
                  <c:v>54.008309843135677</c:v>
                </c:pt>
                <c:pt idx="271">
                  <c:v>54.109122851265759</c:v>
                </c:pt>
                <c:pt idx="272">
                  <c:v>53.94009361689136</c:v>
                </c:pt>
                <c:pt idx="273">
                  <c:v>53.68828373335343</c:v>
                </c:pt>
                <c:pt idx="274">
                  <c:v>54.045452623214203</c:v>
                </c:pt>
                <c:pt idx="275">
                  <c:v>53.321616414198822</c:v>
                </c:pt>
                <c:pt idx="276">
                  <c:v>54.083299863721159</c:v>
                </c:pt>
                <c:pt idx="277">
                  <c:v>54.882187243241184</c:v>
                </c:pt>
                <c:pt idx="278">
                  <c:v>54.163404739272274</c:v>
                </c:pt>
                <c:pt idx="279">
                  <c:v>55.623788030589942</c:v>
                </c:pt>
                <c:pt idx="280">
                  <c:v>56.059139583259935</c:v>
                </c:pt>
                <c:pt idx="281">
                  <c:v>53.90977269883377</c:v>
                </c:pt>
                <c:pt idx="282">
                  <c:v>53.483111029668358</c:v>
                </c:pt>
                <c:pt idx="283">
                  <c:v>52.718184025559609</c:v>
                </c:pt>
                <c:pt idx="284">
                  <c:v>52.164846489662715</c:v>
                </c:pt>
                <c:pt idx="285">
                  <c:v>52.263669210295184</c:v>
                </c:pt>
                <c:pt idx="286">
                  <c:v>53.23447567309249</c:v>
                </c:pt>
                <c:pt idx="287">
                  <c:v>53.083020385327444</c:v>
                </c:pt>
                <c:pt idx="288">
                  <c:v>53.809293125420524</c:v>
                </c:pt>
                <c:pt idx="289">
                  <c:v>53.668315681811499</c:v>
                </c:pt>
                <c:pt idx="290">
                  <c:v>55.274074264314265</c:v>
                </c:pt>
                <c:pt idx="291">
                  <c:v>56.11393988581483</c:v>
                </c:pt>
                <c:pt idx="292">
                  <c:v>56.397991621839758</c:v>
                </c:pt>
                <c:pt idx="293">
                  <c:v>58.097991621839761</c:v>
                </c:pt>
                <c:pt idx="294">
                  <c:v>58.22067595505041</c:v>
                </c:pt>
                <c:pt idx="295">
                  <c:v>59.375735680089853</c:v>
                </c:pt>
                <c:pt idx="296">
                  <c:v>58.50711564228267</c:v>
                </c:pt>
                <c:pt idx="297">
                  <c:v>57.21619373825294</c:v>
                </c:pt>
                <c:pt idx="298">
                  <c:v>56.383481831715528</c:v>
                </c:pt>
                <c:pt idx="299">
                  <c:v>56.697947240520563</c:v>
                </c:pt>
                <c:pt idx="300">
                  <c:v>56.000915485480959</c:v>
                </c:pt>
                <c:pt idx="301">
                  <c:v>55.924484461540409</c:v>
                </c:pt>
                <c:pt idx="302">
                  <c:v>56.876027720775973</c:v>
                </c:pt>
                <c:pt idx="303">
                  <c:v>56.37438598418349</c:v>
                </c:pt>
                <c:pt idx="304">
                  <c:v>56.530739942932655</c:v>
                </c:pt>
                <c:pt idx="305">
                  <c:v>55.812724277136304</c:v>
                </c:pt>
                <c:pt idx="306">
                  <c:v>56.516258045147254</c:v>
                </c:pt>
                <c:pt idx="307">
                  <c:v>54.489296547717323</c:v>
                </c:pt>
                <c:pt idx="308">
                  <c:v>59.705079747829508</c:v>
                </c:pt>
                <c:pt idx="309">
                  <c:v>60.122867549876567</c:v>
                </c:pt>
                <c:pt idx="310">
                  <c:v>59.351366234896993</c:v>
                </c:pt>
                <c:pt idx="311">
                  <c:v>58.211691363338062</c:v>
                </c:pt>
                <c:pt idx="312">
                  <c:v>57.892905093267537</c:v>
                </c:pt>
                <c:pt idx="313">
                  <c:v>58.688403735099122</c:v>
                </c:pt>
                <c:pt idx="314">
                  <c:v>58.645523401857673</c:v>
                </c:pt>
                <c:pt idx="315">
                  <c:v>54.589009397472253</c:v>
                </c:pt>
                <c:pt idx="316">
                  <c:v>53.482054091264992</c:v>
                </c:pt>
                <c:pt idx="317">
                  <c:v>52.303382435511956</c:v>
                </c:pt>
                <c:pt idx="318">
                  <c:v>51.004622672304897</c:v>
                </c:pt>
                <c:pt idx="319">
                  <c:v>51.183430382493363</c:v>
                </c:pt>
                <c:pt idx="320">
                  <c:v>53.209451369447422</c:v>
                </c:pt>
                <c:pt idx="321">
                  <c:v>52.356536262991312</c:v>
                </c:pt>
                <c:pt idx="322">
                  <c:v>52.656475384258776</c:v>
                </c:pt>
                <c:pt idx="323">
                  <c:v>53.47585229763893</c:v>
                </c:pt>
                <c:pt idx="324">
                  <c:v>53.86036095899383</c:v>
                </c:pt>
                <c:pt idx="325">
                  <c:v>52.465329435515898</c:v>
                </c:pt>
                <c:pt idx="326">
                  <c:v>50.294690480735973</c:v>
                </c:pt>
                <c:pt idx="327">
                  <c:v>49.431014576672347</c:v>
                </c:pt>
                <c:pt idx="328">
                  <c:v>48.615348504418201</c:v>
                </c:pt>
                <c:pt idx="329">
                  <c:v>49.935810111164763</c:v>
                </c:pt>
                <c:pt idx="330">
                  <c:v>50.562376527204862</c:v>
                </c:pt>
                <c:pt idx="331">
                  <c:v>50.492987682795999</c:v>
                </c:pt>
                <c:pt idx="332">
                  <c:v>49.62203268513052</c:v>
                </c:pt>
                <c:pt idx="333">
                  <c:v>50.219163499298972</c:v>
                </c:pt>
                <c:pt idx="334">
                  <c:v>49.424325546519974</c:v>
                </c:pt>
                <c:pt idx="335">
                  <c:v>49.118205647477069</c:v>
                </c:pt>
                <c:pt idx="336">
                  <c:v>48.133752799166842</c:v>
                </c:pt>
                <c:pt idx="337">
                  <c:v>47.289962232312668</c:v>
                </c:pt>
                <c:pt idx="338">
                  <c:v>47.658748646097223</c:v>
                </c:pt>
                <c:pt idx="339">
                  <c:v>48.711380225044593</c:v>
                </c:pt>
                <c:pt idx="340">
                  <c:v>52.170589684826219</c:v>
                </c:pt>
                <c:pt idx="341">
                  <c:v>51.642705754519852</c:v>
                </c:pt>
                <c:pt idx="342">
                  <c:v>51.815716135142694</c:v>
                </c:pt>
                <c:pt idx="343">
                  <c:v>52.557398695007073</c:v>
                </c:pt>
                <c:pt idx="344">
                  <c:v>54.35924244209712</c:v>
                </c:pt>
                <c:pt idx="345">
                  <c:v>54.16037993563409</c:v>
                </c:pt>
                <c:pt idx="346">
                  <c:v>54.617367948310338</c:v>
                </c:pt>
                <c:pt idx="347">
                  <c:v>57.532801873359645</c:v>
                </c:pt>
                <c:pt idx="348">
                  <c:v>56.249113930097238</c:v>
                </c:pt>
                <c:pt idx="349">
                  <c:v>54.916105061397261</c:v>
                </c:pt>
                <c:pt idx="350">
                  <c:v>54.079566599858801</c:v>
                </c:pt>
                <c:pt idx="351">
                  <c:v>54.964628400112161</c:v>
                </c:pt>
                <c:pt idx="352">
                  <c:v>54.289370423032892</c:v>
                </c:pt>
                <c:pt idx="353">
                  <c:v>54.247931097112591</c:v>
                </c:pt>
                <c:pt idx="354">
                  <c:v>55.080115409802666</c:v>
                </c:pt>
                <c:pt idx="355">
                  <c:v>53.60981205076969</c:v>
                </c:pt>
                <c:pt idx="356">
                  <c:v>54.125886500854293</c:v>
                </c:pt>
                <c:pt idx="357">
                  <c:v>53.318995213099413</c:v>
                </c:pt>
                <c:pt idx="358">
                  <c:v>55.810844304855351</c:v>
                </c:pt>
                <c:pt idx="359">
                  <c:v>56.297757820261516</c:v>
                </c:pt>
                <c:pt idx="360">
                  <c:v>55.607480668782102</c:v>
                </c:pt>
                <c:pt idx="361">
                  <c:v>54.072236355816685</c:v>
                </c:pt>
                <c:pt idx="362">
                  <c:v>52.843670902031654</c:v>
                </c:pt>
                <c:pt idx="363">
                  <c:v>52.989668840884278</c:v>
                </c:pt>
                <c:pt idx="364">
                  <c:v>53.10211065878083</c:v>
                </c:pt>
                <c:pt idx="365">
                  <c:v>53.492888306299399</c:v>
                </c:pt>
                <c:pt idx="366">
                  <c:v>53.620319560491218</c:v>
                </c:pt>
                <c:pt idx="367">
                  <c:v>54.247144221318969</c:v>
                </c:pt>
                <c:pt idx="368">
                  <c:v>51.851365255700358</c:v>
                </c:pt>
                <c:pt idx="369">
                  <c:v>54.814551939817278</c:v>
                </c:pt>
                <c:pt idx="370">
                  <c:v>54.001337056685131</c:v>
                </c:pt>
                <c:pt idx="371">
                  <c:v>54.441065572123428</c:v>
                </c:pt>
                <c:pt idx="372">
                  <c:v>54.343978193482648</c:v>
                </c:pt>
                <c:pt idx="373">
                  <c:v>52.356011646928089</c:v>
                </c:pt>
                <c:pt idx="374">
                  <c:v>53.011979302359421</c:v>
                </c:pt>
                <c:pt idx="375">
                  <c:v>53.443927142620218</c:v>
                </c:pt>
                <c:pt idx="376">
                  <c:v>55.97937535218523</c:v>
                </c:pt>
                <c:pt idx="377">
                  <c:v>55.578305833468647</c:v>
                </c:pt>
                <c:pt idx="378">
                  <c:v>55.969412410010754</c:v>
                </c:pt>
                <c:pt idx="379">
                  <c:v>56.441685414276442</c:v>
                </c:pt>
                <c:pt idx="380">
                  <c:v>55.845691965323631</c:v>
                </c:pt>
                <c:pt idx="381">
                  <c:v>55.140454117972304</c:v>
                </c:pt>
                <c:pt idx="382">
                  <c:v>53.971328672017236</c:v>
                </c:pt>
                <c:pt idx="383">
                  <c:v>53.048795545953134</c:v>
                </c:pt>
                <c:pt idx="384">
                  <c:v>52.109562061333868</c:v>
                </c:pt>
                <c:pt idx="385">
                  <c:v>52.811131622833805</c:v>
                </c:pt>
                <c:pt idx="386">
                  <c:v>49.875188562335588</c:v>
                </c:pt>
                <c:pt idx="387">
                  <c:v>51.113283800430828</c:v>
                </c:pt>
                <c:pt idx="388">
                  <c:v>51.214803698330819</c:v>
                </c:pt>
                <c:pt idx="389">
                  <c:v>51.60672611097862</c:v>
                </c:pt>
                <c:pt idx="390">
                  <c:v>50.544869484807791</c:v>
                </c:pt>
                <c:pt idx="391">
                  <c:v>50.371916294323164</c:v>
                </c:pt>
                <c:pt idx="392">
                  <c:v>49.516699471705195</c:v>
                </c:pt>
                <c:pt idx="393">
                  <c:v>46.852880602929467</c:v>
                </c:pt>
                <c:pt idx="394">
                  <c:v>46.582908423233349</c:v>
                </c:pt>
                <c:pt idx="395">
                  <c:v>46.085545048353197</c:v>
                </c:pt>
                <c:pt idx="396">
                  <c:v>48.014191704488006</c:v>
                </c:pt>
                <c:pt idx="397">
                  <c:v>49.002892269459757</c:v>
                </c:pt>
                <c:pt idx="398">
                  <c:v>48.454744121311606</c:v>
                </c:pt>
                <c:pt idx="399">
                  <c:v>50.578416825871258</c:v>
                </c:pt>
                <c:pt idx="400">
                  <c:v>49.862830044710705</c:v>
                </c:pt>
                <c:pt idx="401">
                  <c:v>51.265489333005227</c:v>
                </c:pt>
                <c:pt idx="402">
                  <c:v>51.715417565311732</c:v>
                </c:pt>
                <c:pt idx="403">
                  <c:v>50.485460389731614</c:v>
                </c:pt>
                <c:pt idx="404">
                  <c:v>49.268865488494512</c:v>
                </c:pt>
                <c:pt idx="405">
                  <c:v>50.074190192473331</c:v>
                </c:pt>
                <c:pt idx="406">
                  <c:v>49.32577338188036</c:v>
                </c:pt>
                <c:pt idx="407">
                  <c:v>51.401519922302796</c:v>
                </c:pt>
                <c:pt idx="408">
                  <c:v>52.799566320349193</c:v>
                </c:pt>
                <c:pt idx="409">
                  <c:v>53.613683189511931</c:v>
                </c:pt>
                <c:pt idx="410">
                  <c:v>54.626740370961727</c:v>
                </c:pt>
                <c:pt idx="411">
                  <c:v>58.784920954804228</c:v>
                </c:pt>
                <c:pt idx="412">
                  <c:v>59.146336073154956</c:v>
                </c:pt>
                <c:pt idx="413">
                  <c:v>59.972782354146695</c:v>
                </c:pt>
                <c:pt idx="414">
                  <c:v>62.198990414919017</c:v>
                </c:pt>
                <c:pt idx="415">
                  <c:v>62.701871155585749</c:v>
                </c:pt>
                <c:pt idx="416">
                  <c:v>62.917655456743724</c:v>
                </c:pt>
                <c:pt idx="417">
                  <c:v>60.36803191122695</c:v>
                </c:pt>
                <c:pt idx="418">
                  <c:v>61.137048350346483</c:v>
                </c:pt>
                <c:pt idx="419">
                  <c:v>60.626148504249585</c:v>
                </c:pt>
                <c:pt idx="420">
                  <c:v>63.131716432980099</c:v>
                </c:pt>
                <c:pt idx="421">
                  <c:v>64.011030567954819</c:v>
                </c:pt>
                <c:pt idx="422">
                  <c:v>68.557393477627087</c:v>
                </c:pt>
                <c:pt idx="423">
                  <c:v>69.158912396909301</c:v>
                </c:pt>
                <c:pt idx="424">
                  <c:v>68.765584750240734</c:v>
                </c:pt>
                <c:pt idx="425">
                  <c:v>69.719346386132699</c:v>
                </c:pt>
                <c:pt idx="426">
                  <c:v>70.388924260950745</c:v>
                </c:pt>
                <c:pt idx="427">
                  <c:v>71.65545412871181</c:v>
                </c:pt>
                <c:pt idx="428">
                  <c:v>72.890341866190226</c:v>
                </c:pt>
                <c:pt idx="429">
                  <c:v>75.750302418458475</c:v>
                </c:pt>
                <c:pt idx="430">
                  <c:v>74.91084572729838</c:v>
                </c:pt>
                <c:pt idx="431">
                  <c:v>73.389203603246614</c:v>
                </c:pt>
                <c:pt idx="432">
                  <c:v>71.919535060407341</c:v>
                </c:pt>
                <c:pt idx="433">
                  <c:v>69.601181855475119</c:v>
                </c:pt>
                <c:pt idx="434">
                  <c:v>69.696692839238253</c:v>
                </c:pt>
                <c:pt idx="435">
                  <c:v>66.963995550624759</c:v>
                </c:pt>
                <c:pt idx="436">
                  <c:v>65.563175180684354</c:v>
                </c:pt>
                <c:pt idx="437">
                  <c:v>66.807370617793183</c:v>
                </c:pt>
                <c:pt idx="438">
                  <c:v>67.10656541152801</c:v>
                </c:pt>
                <c:pt idx="439">
                  <c:v>66.329866382401804</c:v>
                </c:pt>
                <c:pt idx="440">
                  <c:v>67.870005403800192</c:v>
                </c:pt>
                <c:pt idx="441">
                  <c:v>68.855541618785892</c:v>
                </c:pt>
                <c:pt idx="442">
                  <c:v>68.2187491659557</c:v>
                </c:pt>
                <c:pt idx="443">
                  <c:v>68.635291861582004</c:v>
                </c:pt>
                <c:pt idx="444">
                  <c:v>68.632809486445467</c:v>
                </c:pt>
              </c:numCache>
            </c:numRef>
          </c:val>
          <c:smooth val="1"/>
          <c:extLst>
            <c:ext xmlns:c16="http://schemas.microsoft.com/office/drawing/2014/chart" uri="{C3380CC4-5D6E-409C-BE32-E72D297353CC}">
              <c16:uniqueId val="{00000000-A9EF-47C0-896E-1A1AEE0E0DC8}"/>
            </c:ext>
          </c:extLst>
        </c:ser>
        <c:ser>
          <c:idx val="7"/>
          <c:order val="1"/>
          <c:tx>
            <c:v>Total (MOC)</c:v>
          </c:tx>
          <c:spPr>
            <a:ln w="19050" cap="rnd">
              <a:solidFill>
                <a:srgbClr val="0000FF"/>
              </a:solidFill>
              <a:prstDash val="sysDash"/>
              <a:round/>
            </a:ln>
            <a:effectLst/>
          </c:spPr>
          <c:marker>
            <c:symbol val="none"/>
          </c:marker>
          <c:val>
            <c:numRef>
              <c:f>'2025-Q1'!$FO$4:$FO$448</c:f>
              <c:numCache>
                <c:formatCode>0.0</c:formatCode>
                <c:ptCount val="445"/>
                <c:pt idx="0">
                  <c:v>2.8479569500182413</c:v>
                </c:pt>
                <c:pt idx="1">
                  <c:v>4.3485539325429343</c:v>
                </c:pt>
                <c:pt idx="2">
                  <c:v>8.9400217561148771</c:v>
                </c:pt>
                <c:pt idx="3">
                  <c:v>9.2686811222333283</c:v>
                </c:pt>
                <c:pt idx="4">
                  <c:v>10.383069847241524</c:v>
                </c:pt>
                <c:pt idx="5">
                  <c:v>11.385933505608829</c:v>
                </c:pt>
                <c:pt idx="6">
                  <c:v>12.251305143014479</c:v>
                </c:pt>
                <c:pt idx="7">
                  <c:v>13.332937796075701</c:v>
                </c:pt>
                <c:pt idx="8">
                  <c:v>14.67171402292146</c:v>
                </c:pt>
                <c:pt idx="9">
                  <c:v>15.678608628689867</c:v>
                </c:pt>
                <c:pt idx="10">
                  <c:v>15.678608628689867</c:v>
                </c:pt>
                <c:pt idx="11">
                  <c:v>17.175158139201823</c:v>
                </c:pt>
                <c:pt idx="12">
                  <c:v>16.850871569654828</c:v>
                </c:pt>
                <c:pt idx="13">
                  <c:v>15.911120423616845</c:v>
                </c:pt>
                <c:pt idx="14">
                  <c:v>15.515342059500748</c:v>
                </c:pt>
                <c:pt idx="15">
                  <c:v>14.28458659942198</c:v>
                </c:pt>
                <c:pt idx="16">
                  <c:v>15.27391518990664</c:v>
                </c:pt>
                <c:pt idx="17">
                  <c:v>14.263937093046092</c:v>
                </c:pt>
                <c:pt idx="18">
                  <c:v>13.97193049503441</c:v>
                </c:pt>
                <c:pt idx="19">
                  <c:v>13.497588106073652</c:v>
                </c:pt>
                <c:pt idx="20">
                  <c:v>13.665838304015063</c:v>
                </c:pt>
                <c:pt idx="21">
                  <c:v>13.448328787973736</c:v>
                </c:pt>
                <c:pt idx="22">
                  <c:v>13.711861551506502</c:v>
                </c:pt>
                <c:pt idx="23">
                  <c:v>14.697770900195595</c:v>
                </c:pt>
                <c:pt idx="24">
                  <c:v>15.390294949452251</c:v>
                </c:pt>
                <c:pt idx="25">
                  <c:v>15.836169201625184</c:v>
                </c:pt>
                <c:pt idx="26">
                  <c:v>16.031628531049329</c:v>
                </c:pt>
                <c:pt idx="27">
                  <c:v>15.430535634874465</c:v>
                </c:pt>
                <c:pt idx="28">
                  <c:v>17.046264025393587</c:v>
                </c:pt>
                <c:pt idx="29">
                  <c:v>17.71220609188428</c:v>
                </c:pt>
                <c:pt idx="30">
                  <c:v>17.327660308315696</c:v>
                </c:pt>
                <c:pt idx="31">
                  <c:v>18.468401049056439</c:v>
                </c:pt>
                <c:pt idx="32">
                  <c:v>18.779638578943487</c:v>
                </c:pt>
                <c:pt idx="33">
                  <c:v>19.10363452899411</c:v>
                </c:pt>
                <c:pt idx="34">
                  <c:v>19.244913748105333</c:v>
                </c:pt>
                <c:pt idx="35">
                  <c:v>19.689625286566873</c:v>
                </c:pt>
                <c:pt idx="36">
                  <c:v>20.863075964968051</c:v>
                </c:pt>
                <c:pt idx="37">
                  <c:v>21.389919918806484</c:v>
                </c:pt>
                <c:pt idx="38">
                  <c:v>22.15301274865589</c:v>
                </c:pt>
                <c:pt idx="39">
                  <c:v>22.745630425594598</c:v>
                </c:pt>
                <c:pt idx="40">
                  <c:v>23.830120756770054</c:v>
                </c:pt>
                <c:pt idx="41">
                  <c:v>23.257460658247883</c:v>
                </c:pt>
                <c:pt idx="42">
                  <c:v>23.095017513348598</c:v>
                </c:pt>
                <c:pt idx="43">
                  <c:v>23.38700063571147</c:v>
                </c:pt>
                <c:pt idx="44">
                  <c:v>23.316476861062057</c:v>
                </c:pt>
                <c:pt idx="45">
                  <c:v>24.417205961366438</c:v>
                </c:pt>
                <c:pt idx="46">
                  <c:v>25.283052724159766</c:v>
                </c:pt>
                <c:pt idx="47">
                  <c:v>25.736477510243933</c:v>
                </c:pt>
                <c:pt idx="48">
                  <c:v>25.988033747985899</c:v>
                </c:pt>
                <c:pt idx="49">
                  <c:v>26.32170851596554</c:v>
                </c:pt>
                <c:pt idx="50">
                  <c:v>26.66760329113394</c:v>
                </c:pt>
                <c:pt idx="51">
                  <c:v>25.993718582648633</c:v>
                </c:pt>
                <c:pt idx="52">
                  <c:v>24.740042295324969</c:v>
                </c:pt>
                <c:pt idx="53">
                  <c:v>24.254941810224484</c:v>
                </c:pt>
                <c:pt idx="54">
                  <c:v>24.023254327485965</c:v>
                </c:pt>
                <c:pt idx="55">
                  <c:v>23.870114970671263</c:v>
                </c:pt>
                <c:pt idx="56">
                  <c:v>23.240555918134586</c:v>
                </c:pt>
                <c:pt idx="57">
                  <c:v>24.282222584801254</c:v>
                </c:pt>
                <c:pt idx="58">
                  <c:v>24.908059539243602</c:v>
                </c:pt>
                <c:pt idx="59">
                  <c:v>24.472228678709477</c:v>
                </c:pt>
                <c:pt idx="60">
                  <c:v>24.51164309312389</c:v>
                </c:pt>
                <c:pt idx="61">
                  <c:v>24.951467163495742</c:v>
                </c:pt>
                <c:pt idx="62">
                  <c:v>26.481508789628219</c:v>
                </c:pt>
                <c:pt idx="63">
                  <c:v>26.730804671488613</c:v>
                </c:pt>
                <c:pt idx="64">
                  <c:v>28.731621043979676</c:v>
                </c:pt>
                <c:pt idx="65">
                  <c:v>27.250679067771856</c:v>
                </c:pt>
                <c:pt idx="66">
                  <c:v>26.847318742657368</c:v>
                </c:pt>
                <c:pt idx="67">
                  <c:v>27.09717288871424</c:v>
                </c:pt>
                <c:pt idx="68">
                  <c:v>26.10402517425505</c:v>
                </c:pt>
                <c:pt idx="69">
                  <c:v>25.340593549099978</c:v>
                </c:pt>
                <c:pt idx="70">
                  <c:v>26.83355129557885</c:v>
                </c:pt>
                <c:pt idx="71">
                  <c:v>26.661464746167233</c:v>
                </c:pt>
                <c:pt idx="72">
                  <c:v>26.443543809841771</c:v>
                </c:pt>
                <c:pt idx="73">
                  <c:v>27.799650439327547</c:v>
                </c:pt>
                <c:pt idx="74">
                  <c:v>26.171502850440056</c:v>
                </c:pt>
                <c:pt idx="75">
                  <c:v>28.071003567232776</c:v>
                </c:pt>
                <c:pt idx="76">
                  <c:v>29.126895762222375</c:v>
                </c:pt>
                <c:pt idx="77">
                  <c:v>27.505554036377742</c:v>
                </c:pt>
                <c:pt idx="78">
                  <c:v>27.597372032705021</c:v>
                </c:pt>
                <c:pt idx="79">
                  <c:v>27.723638891565489</c:v>
                </c:pt>
                <c:pt idx="80">
                  <c:v>28.429482412658277</c:v>
                </c:pt>
                <c:pt idx="81">
                  <c:v>28.721439715554073</c:v>
                </c:pt>
                <c:pt idx="82">
                  <c:v>28.832290805589793</c:v>
                </c:pt>
                <c:pt idx="83">
                  <c:v>28.844930125364581</c:v>
                </c:pt>
                <c:pt idx="84">
                  <c:v>28.379707924831038</c:v>
                </c:pt>
                <c:pt idx="85">
                  <c:v>28.167615160323546</c:v>
                </c:pt>
                <c:pt idx="86">
                  <c:v>27.137464217211694</c:v>
                </c:pt>
                <c:pt idx="87">
                  <c:v>27.671512619573225</c:v>
                </c:pt>
                <c:pt idx="88">
                  <c:v>28.150395511717488</c:v>
                </c:pt>
                <c:pt idx="89">
                  <c:v>30.311091833285086</c:v>
                </c:pt>
                <c:pt idx="90">
                  <c:v>31.548616783384887</c:v>
                </c:pt>
                <c:pt idx="91">
                  <c:v>32.573034185755041</c:v>
                </c:pt>
                <c:pt idx="92">
                  <c:v>31.782198490636837</c:v>
                </c:pt>
                <c:pt idx="93">
                  <c:v>32.127007889494948</c:v>
                </c:pt>
                <c:pt idx="94">
                  <c:v>30.281125626850077</c:v>
                </c:pt>
                <c:pt idx="95">
                  <c:v>30.148389123342731</c:v>
                </c:pt>
                <c:pt idx="96">
                  <c:v>30.939259611665452</c:v>
                </c:pt>
                <c:pt idx="97">
                  <c:v>29.987463899525622</c:v>
                </c:pt>
                <c:pt idx="98">
                  <c:v>28.830850044866736</c:v>
                </c:pt>
                <c:pt idx="99">
                  <c:v>30.213710022542539</c:v>
                </c:pt>
                <c:pt idx="100">
                  <c:v>30.736365513310275</c:v>
                </c:pt>
                <c:pt idx="101">
                  <c:v>30.053084325120253</c:v>
                </c:pt>
                <c:pt idx="102">
                  <c:v>31.182615207568087</c:v>
                </c:pt>
                <c:pt idx="103">
                  <c:v>30.409106913016128</c:v>
                </c:pt>
                <c:pt idx="104">
                  <c:v>32.242618690318054</c:v>
                </c:pt>
                <c:pt idx="105">
                  <c:v>29.93845202365139</c:v>
                </c:pt>
                <c:pt idx="106">
                  <c:v>30.053965832111256</c:v>
                </c:pt>
                <c:pt idx="107">
                  <c:v>29.699490582079608</c:v>
                </c:pt>
                <c:pt idx="108">
                  <c:v>29.937182839971083</c:v>
                </c:pt>
                <c:pt idx="109">
                  <c:v>30.043409946198189</c:v>
                </c:pt>
                <c:pt idx="110">
                  <c:v>31.160528845454174</c:v>
                </c:pt>
                <c:pt idx="111">
                  <c:v>32.113753739442949</c:v>
                </c:pt>
                <c:pt idx="112">
                  <c:v>32.050415283655269</c:v>
                </c:pt>
                <c:pt idx="113">
                  <c:v>32.896915719489435</c:v>
                </c:pt>
                <c:pt idx="114">
                  <c:v>32.888265880690973</c:v>
                </c:pt>
                <c:pt idx="115">
                  <c:v>32.403130616375897</c:v>
                </c:pt>
                <c:pt idx="116">
                  <c:v>33.418152946867167</c:v>
                </c:pt>
                <c:pt idx="117">
                  <c:v>33.483379413158126</c:v>
                </c:pt>
                <c:pt idx="118">
                  <c:v>32.651296079824789</c:v>
                </c:pt>
                <c:pt idx="119">
                  <c:v>33.331947343167577</c:v>
                </c:pt>
                <c:pt idx="120">
                  <c:v>32.51771599526068</c:v>
                </c:pt>
                <c:pt idx="121">
                  <c:v>32.25038243196299</c:v>
                </c:pt>
                <c:pt idx="122">
                  <c:v>32.045011183937717</c:v>
                </c:pt>
                <c:pt idx="123">
                  <c:v>32.98106368007771</c:v>
                </c:pt>
                <c:pt idx="124">
                  <c:v>33.881310772849815</c:v>
                </c:pt>
                <c:pt idx="125">
                  <c:v>34.341197125541711</c:v>
                </c:pt>
                <c:pt idx="126">
                  <c:v>34.463254666954093</c:v>
                </c:pt>
                <c:pt idx="127">
                  <c:v>34.351717986117357</c:v>
                </c:pt>
                <c:pt idx="128">
                  <c:v>34.290988257700704</c:v>
                </c:pt>
                <c:pt idx="129">
                  <c:v>33.807896470261092</c:v>
                </c:pt>
                <c:pt idx="130">
                  <c:v>33.713835975220036</c:v>
                </c:pt>
                <c:pt idx="131">
                  <c:v>33.869338767582008</c:v>
                </c:pt>
                <c:pt idx="132">
                  <c:v>34.45977225039217</c:v>
                </c:pt>
                <c:pt idx="133">
                  <c:v>33.070937267534291</c:v>
                </c:pt>
                <c:pt idx="134">
                  <c:v>32.675639992314032</c:v>
                </c:pt>
                <c:pt idx="135">
                  <c:v>33.676318878939966</c:v>
                </c:pt>
                <c:pt idx="136">
                  <c:v>30.258722177761175</c:v>
                </c:pt>
                <c:pt idx="137">
                  <c:v>29.673088139276651</c:v>
                </c:pt>
                <c:pt idx="138">
                  <c:v>29.742920541511289</c:v>
                </c:pt>
                <c:pt idx="139">
                  <c:v>28.487570014551828</c:v>
                </c:pt>
                <c:pt idx="140">
                  <c:v>30.974302860902579</c:v>
                </c:pt>
                <c:pt idx="141">
                  <c:v>29.681482712100095</c:v>
                </c:pt>
                <c:pt idx="142">
                  <c:v>30.098263461088564</c:v>
                </c:pt>
                <c:pt idx="143">
                  <c:v>29.315456743183638</c:v>
                </c:pt>
                <c:pt idx="144">
                  <c:v>28.555263976209911</c:v>
                </c:pt>
                <c:pt idx="145">
                  <c:v>28.521635116533968</c:v>
                </c:pt>
                <c:pt idx="146">
                  <c:v>28.462071320573557</c:v>
                </c:pt>
                <c:pt idx="147">
                  <c:v>29.23039933612349</c:v>
                </c:pt>
                <c:pt idx="148">
                  <c:v>28.79122955021257</c:v>
                </c:pt>
                <c:pt idx="149">
                  <c:v>27.852862782012846</c:v>
                </c:pt>
                <c:pt idx="150">
                  <c:v>28.262495354008873</c:v>
                </c:pt>
                <c:pt idx="151">
                  <c:v>28.013553357494061</c:v>
                </c:pt>
                <c:pt idx="152">
                  <c:v>28.105513420552388</c:v>
                </c:pt>
                <c:pt idx="153">
                  <c:v>28.042783410515586</c:v>
                </c:pt>
                <c:pt idx="154">
                  <c:v>27.949490022520212</c:v>
                </c:pt>
                <c:pt idx="155">
                  <c:v>26.220788616399453</c:v>
                </c:pt>
                <c:pt idx="156">
                  <c:v>28.092226560544837</c:v>
                </c:pt>
                <c:pt idx="157">
                  <c:v>27.723429723346513</c:v>
                </c:pt>
                <c:pt idx="158">
                  <c:v>31.721917104924412</c:v>
                </c:pt>
                <c:pt idx="159">
                  <c:v>31.911597822617633</c:v>
                </c:pt>
                <c:pt idx="160">
                  <c:v>30.704730046091576</c:v>
                </c:pt>
                <c:pt idx="161">
                  <c:v>30.533366572095382</c:v>
                </c:pt>
                <c:pt idx="162">
                  <c:v>32.076699905428711</c:v>
                </c:pt>
                <c:pt idx="163">
                  <c:v>32.828679675176502</c:v>
                </c:pt>
                <c:pt idx="164">
                  <c:v>32.618756011054366</c:v>
                </c:pt>
                <c:pt idx="165">
                  <c:v>31.197361574098114</c:v>
                </c:pt>
                <c:pt idx="166">
                  <c:v>29.002076131130849</c:v>
                </c:pt>
                <c:pt idx="167">
                  <c:v>28.247283699049675</c:v>
                </c:pt>
                <c:pt idx="168">
                  <c:v>27.123700932609765</c:v>
                </c:pt>
                <c:pt idx="169">
                  <c:v>27.85601763804614</c:v>
                </c:pt>
                <c:pt idx="170">
                  <c:v>27.527445433625349</c:v>
                </c:pt>
                <c:pt idx="171">
                  <c:v>27.507973606924608</c:v>
                </c:pt>
                <c:pt idx="172">
                  <c:v>26.985801451401983</c:v>
                </c:pt>
                <c:pt idx="173">
                  <c:v>26.07815977702165</c:v>
                </c:pt>
                <c:pt idx="174">
                  <c:v>26.952209722732835</c:v>
                </c:pt>
                <c:pt idx="175">
                  <c:v>27.795205857612217</c:v>
                </c:pt>
                <c:pt idx="176">
                  <c:v>27.476331947369921</c:v>
                </c:pt>
                <c:pt idx="177">
                  <c:v>30.15443593029449</c:v>
                </c:pt>
                <c:pt idx="178">
                  <c:v>30.954056449370182</c:v>
                </c:pt>
                <c:pt idx="179">
                  <c:v>32.103481736726501</c:v>
                </c:pt>
                <c:pt idx="180">
                  <c:v>31.393812699083188</c:v>
                </c:pt>
                <c:pt idx="181">
                  <c:v>30.818561702301711</c:v>
                </c:pt>
                <c:pt idx="182">
                  <c:v>29.964307866876329</c:v>
                </c:pt>
                <c:pt idx="183">
                  <c:v>28.80804833836703</c:v>
                </c:pt>
                <c:pt idx="184">
                  <c:v>29.852678742830069</c:v>
                </c:pt>
                <c:pt idx="185">
                  <c:v>30.936225440867116</c:v>
                </c:pt>
                <c:pt idx="186">
                  <c:v>30.547178161228246</c:v>
                </c:pt>
                <c:pt idx="187">
                  <c:v>30.12076903437859</c:v>
                </c:pt>
                <c:pt idx="188">
                  <c:v>29.769882147049199</c:v>
                </c:pt>
                <c:pt idx="189">
                  <c:v>29.220214208657225</c:v>
                </c:pt>
                <c:pt idx="190">
                  <c:v>27.952860256767192</c:v>
                </c:pt>
                <c:pt idx="191">
                  <c:v>28.806164541444026</c:v>
                </c:pt>
                <c:pt idx="192">
                  <c:v>29.183993463576744</c:v>
                </c:pt>
                <c:pt idx="193">
                  <c:v>27.577925927941408</c:v>
                </c:pt>
                <c:pt idx="194">
                  <c:v>27.453462079902192</c:v>
                </c:pt>
                <c:pt idx="195">
                  <c:v>27.700002960405339</c:v>
                </c:pt>
                <c:pt idx="196">
                  <c:v>26.387703006130074</c:v>
                </c:pt>
                <c:pt idx="197">
                  <c:v>31.976156003909498</c:v>
                </c:pt>
                <c:pt idx="198">
                  <c:v>33.369834164829037</c:v>
                </c:pt>
                <c:pt idx="199">
                  <c:v>34.60453385170635</c:v>
                </c:pt>
                <c:pt idx="200">
                  <c:v>34.402747246709296</c:v>
                </c:pt>
                <c:pt idx="201">
                  <c:v>33.996745481484233</c:v>
                </c:pt>
                <c:pt idx="202">
                  <c:v>32.737486222224973</c:v>
                </c:pt>
                <c:pt idx="203">
                  <c:v>32.967671013931884</c:v>
                </c:pt>
                <c:pt idx="204">
                  <c:v>34.158814075581901</c:v>
                </c:pt>
                <c:pt idx="205">
                  <c:v>34.130019771618755</c:v>
                </c:pt>
                <c:pt idx="206">
                  <c:v>33.747583141237889</c:v>
                </c:pt>
                <c:pt idx="207">
                  <c:v>35.62794713830521</c:v>
                </c:pt>
                <c:pt idx="208">
                  <c:v>35.741235686224279</c:v>
                </c:pt>
                <c:pt idx="209">
                  <c:v>35.041682823105859</c:v>
                </c:pt>
                <c:pt idx="210">
                  <c:v>35.609389588765872</c:v>
                </c:pt>
                <c:pt idx="211">
                  <c:v>35.809404974564778</c:v>
                </c:pt>
                <c:pt idx="212">
                  <c:v>36.953544315185056</c:v>
                </c:pt>
                <c:pt idx="213">
                  <c:v>35.620025125518673</c:v>
                </c:pt>
                <c:pt idx="214">
                  <c:v>36.240287013871537</c:v>
                </c:pt>
                <c:pt idx="215">
                  <c:v>35.620475800406275</c:v>
                </c:pt>
                <c:pt idx="216">
                  <c:v>35.424122749381944</c:v>
                </c:pt>
                <c:pt idx="217">
                  <c:v>34.770132007778187</c:v>
                </c:pt>
                <c:pt idx="218">
                  <c:v>34.5093476940527</c:v>
                </c:pt>
                <c:pt idx="219">
                  <c:v>34.411770711858338</c:v>
                </c:pt>
                <c:pt idx="220">
                  <c:v>35.660521960609586</c:v>
                </c:pt>
                <c:pt idx="221">
                  <c:v>35.279241275348951</c:v>
                </c:pt>
                <c:pt idx="222">
                  <c:v>35.975014800069843</c:v>
                </c:pt>
                <c:pt idx="223">
                  <c:v>36.012750325494153</c:v>
                </c:pt>
                <c:pt idx="224">
                  <c:v>34.418631438478975</c:v>
                </c:pt>
                <c:pt idx="225">
                  <c:v>34.766561218551125</c:v>
                </c:pt>
                <c:pt idx="226">
                  <c:v>36.449253526243432</c:v>
                </c:pt>
                <c:pt idx="227">
                  <c:v>36.308860425561519</c:v>
                </c:pt>
                <c:pt idx="228">
                  <c:v>37.991246890762405</c:v>
                </c:pt>
                <c:pt idx="229">
                  <c:v>37.835642034658385</c:v>
                </c:pt>
                <c:pt idx="230">
                  <c:v>41.946804184405742</c:v>
                </c:pt>
                <c:pt idx="231">
                  <c:v>41.526988903129507</c:v>
                </c:pt>
                <c:pt idx="232">
                  <c:v>40.970608346748946</c:v>
                </c:pt>
                <c:pt idx="233">
                  <c:v>39.67461204959551</c:v>
                </c:pt>
                <c:pt idx="234">
                  <c:v>40.232489621294356</c:v>
                </c:pt>
                <c:pt idx="235">
                  <c:v>40.488899877704611</c:v>
                </c:pt>
                <c:pt idx="236">
                  <c:v>42.31360593969881</c:v>
                </c:pt>
                <c:pt idx="237">
                  <c:v>41.374395985422517</c:v>
                </c:pt>
                <c:pt idx="238">
                  <c:v>41.329490287388388</c:v>
                </c:pt>
                <c:pt idx="239">
                  <c:v>40.690289706804457</c:v>
                </c:pt>
                <c:pt idx="240">
                  <c:v>41.414205906762973</c:v>
                </c:pt>
                <c:pt idx="241">
                  <c:v>41.163067780793689</c:v>
                </c:pt>
                <c:pt idx="242">
                  <c:v>39.949079369792301</c:v>
                </c:pt>
                <c:pt idx="243">
                  <c:v>40.75962813845625</c:v>
                </c:pt>
                <c:pt idx="244">
                  <c:v>41.515012259317707</c:v>
                </c:pt>
                <c:pt idx="245">
                  <c:v>43.135329719635166</c:v>
                </c:pt>
                <c:pt idx="246">
                  <c:v>42.402051210863235</c:v>
                </c:pt>
                <c:pt idx="247">
                  <c:v>42.768743838069881</c:v>
                </c:pt>
                <c:pt idx="248">
                  <c:v>42.882088998724328</c:v>
                </c:pt>
                <c:pt idx="249">
                  <c:v>41.478963266323532</c:v>
                </c:pt>
                <c:pt idx="250">
                  <c:v>40.622920156238848</c:v>
                </c:pt>
                <c:pt idx="251">
                  <c:v>40.472914155998836</c:v>
                </c:pt>
                <c:pt idx="252">
                  <c:v>39.711891971219281</c:v>
                </c:pt>
                <c:pt idx="253">
                  <c:v>41.715162617171856</c:v>
                </c:pt>
                <c:pt idx="254">
                  <c:v>43.330959136582834</c:v>
                </c:pt>
                <c:pt idx="255">
                  <c:v>43.932123382271314</c:v>
                </c:pt>
                <c:pt idx="256">
                  <c:v>43.659492494201437</c:v>
                </c:pt>
                <c:pt idx="257">
                  <c:v>46.712804012079886</c:v>
                </c:pt>
                <c:pt idx="258">
                  <c:v>47.210077031008346</c:v>
                </c:pt>
                <c:pt idx="259">
                  <c:v>46.534561671408071</c:v>
                </c:pt>
                <c:pt idx="260">
                  <c:v>47.002476109910745</c:v>
                </c:pt>
                <c:pt idx="261">
                  <c:v>47.385329307676386</c:v>
                </c:pt>
                <c:pt idx="262">
                  <c:v>49.724015492222307</c:v>
                </c:pt>
                <c:pt idx="263">
                  <c:v>51.220711916290497</c:v>
                </c:pt>
                <c:pt idx="264">
                  <c:v>51.622747389719805</c:v>
                </c:pt>
                <c:pt idx="265">
                  <c:v>54.500806534801029</c:v>
                </c:pt>
                <c:pt idx="266">
                  <c:v>54.986223201467695</c:v>
                </c:pt>
                <c:pt idx="267">
                  <c:v>55.077814929447833</c:v>
                </c:pt>
                <c:pt idx="268">
                  <c:v>55.301913751562559</c:v>
                </c:pt>
                <c:pt idx="269">
                  <c:v>55.178437005150563</c:v>
                </c:pt>
                <c:pt idx="270">
                  <c:v>55.978074563197907</c:v>
                </c:pt>
                <c:pt idx="271">
                  <c:v>57.347180254254816</c:v>
                </c:pt>
                <c:pt idx="272">
                  <c:v>57.187754953651691</c:v>
                </c:pt>
                <c:pt idx="273">
                  <c:v>55.876994577735509</c:v>
                </c:pt>
                <c:pt idx="274">
                  <c:v>56.215940565052371</c:v>
                </c:pt>
                <c:pt idx="275">
                  <c:v>55.747720538507615</c:v>
                </c:pt>
                <c:pt idx="276">
                  <c:v>56.535223765979858</c:v>
                </c:pt>
                <c:pt idx="277">
                  <c:v>57.350606390987942</c:v>
                </c:pt>
                <c:pt idx="278">
                  <c:v>56.450075378780134</c:v>
                </c:pt>
                <c:pt idx="279">
                  <c:v>57.486235959951699</c:v>
                </c:pt>
                <c:pt idx="280">
                  <c:v>57.755499637036607</c:v>
                </c:pt>
                <c:pt idx="281">
                  <c:v>55.840022582435431</c:v>
                </c:pt>
                <c:pt idx="282">
                  <c:v>56.430977105174065</c:v>
                </c:pt>
                <c:pt idx="283">
                  <c:v>55.290143116189014</c:v>
                </c:pt>
                <c:pt idx="284">
                  <c:v>55.893677939097657</c:v>
                </c:pt>
                <c:pt idx="285">
                  <c:v>56.123548180568825</c:v>
                </c:pt>
                <c:pt idx="286">
                  <c:v>57.366527169543239</c:v>
                </c:pt>
                <c:pt idx="287">
                  <c:v>57.570662557400475</c:v>
                </c:pt>
                <c:pt idx="288">
                  <c:v>58.724707591011153</c:v>
                </c:pt>
                <c:pt idx="289">
                  <c:v>58.297859220083836</c:v>
                </c:pt>
                <c:pt idx="290">
                  <c:v>62.478368633151391</c:v>
                </c:pt>
                <c:pt idx="291">
                  <c:v>62.413045751479125</c:v>
                </c:pt>
                <c:pt idx="292">
                  <c:v>62.910825735483975</c:v>
                </c:pt>
                <c:pt idx="293">
                  <c:v>65.401734826393067</c:v>
                </c:pt>
                <c:pt idx="294">
                  <c:v>65.640969276153839</c:v>
                </c:pt>
                <c:pt idx="295">
                  <c:v>66.181875293733285</c:v>
                </c:pt>
                <c:pt idx="296">
                  <c:v>65.808214298144122</c:v>
                </c:pt>
                <c:pt idx="297">
                  <c:v>64.298668523270649</c:v>
                </c:pt>
                <c:pt idx="298">
                  <c:v>63.456635214794389</c:v>
                </c:pt>
                <c:pt idx="299">
                  <c:v>64.169264049957121</c:v>
                </c:pt>
                <c:pt idx="300">
                  <c:v>63.207812578993945</c:v>
                </c:pt>
                <c:pt idx="301">
                  <c:v>61.948464476835063</c:v>
                </c:pt>
                <c:pt idx="302">
                  <c:v>62.297630210616184</c:v>
                </c:pt>
                <c:pt idx="303">
                  <c:v>63.100256989164158</c:v>
                </c:pt>
                <c:pt idx="304">
                  <c:v>63.705712744320515</c:v>
                </c:pt>
                <c:pt idx="305">
                  <c:v>63.129124406635569</c:v>
                </c:pt>
                <c:pt idx="306">
                  <c:v>63.5259689691406</c:v>
                </c:pt>
                <c:pt idx="307">
                  <c:v>60.616454857997162</c:v>
                </c:pt>
                <c:pt idx="308">
                  <c:v>64.619662682986643</c:v>
                </c:pt>
                <c:pt idx="309">
                  <c:v>65.346422206042462</c:v>
                </c:pt>
                <c:pt idx="310">
                  <c:v>64.984802822683946</c:v>
                </c:pt>
                <c:pt idx="311">
                  <c:v>64.126931493798125</c:v>
                </c:pt>
                <c:pt idx="312">
                  <c:v>64.125630325348865</c:v>
                </c:pt>
                <c:pt idx="313">
                  <c:v>65.596332692442388</c:v>
                </c:pt>
                <c:pt idx="314">
                  <c:v>64.87655567017525</c:v>
                </c:pt>
                <c:pt idx="315">
                  <c:v>58.506835757883664</c:v>
                </c:pt>
                <c:pt idx="316">
                  <c:v>57.113696613979471</c:v>
                </c:pt>
                <c:pt idx="317">
                  <c:v>55.526543511391381</c:v>
                </c:pt>
                <c:pt idx="318">
                  <c:v>54.153504593616155</c:v>
                </c:pt>
                <c:pt idx="319">
                  <c:v>53.155399955344151</c:v>
                </c:pt>
                <c:pt idx="320">
                  <c:v>55.563700201137308</c:v>
                </c:pt>
                <c:pt idx="321">
                  <c:v>54.20066407660989</c:v>
                </c:pt>
                <c:pt idx="322">
                  <c:v>54.711451491045572</c:v>
                </c:pt>
                <c:pt idx="323">
                  <c:v>55.941417275306328</c:v>
                </c:pt>
                <c:pt idx="324">
                  <c:v>56.928454973011164</c:v>
                </c:pt>
                <c:pt idx="325">
                  <c:v>54.548510805638749</c:v>
                </c:pt>
                <c:pt idx="326">
                  <c:v>52.699796622122804</c:v>
                </c:pt>
                <c:pt idx="327">
                  <c:v>50.970373648757992</c:v>
                </c:pt>
                <c:pt idx="328">
                  <c:v>50.817642653447244</c:v>
                </c:pt>
                <c:pt idx="329">
                  <c:v>53.469662182963447</c:v>
                </c:pt>
                <c:pt idx="330">
                  <c:v>52.910973795327692</c:v>
                </c:pt>
                <c:pt idx="331">
                  <c:v>52.477293517772317</c:v>
                </c:pt>
                <c:pt idx="332">
                  <c:v>51.266935438542347</c:v>
                </c:pt>
                <c:pt idx="333">
                  <c:v>51.408669274722683</c:v>
                </c:pt>
                <c:pt idx="334">
                  <c:v>50.766346353473232</c:v>
                </c:pt>
                <c:pt idx="335">
                  <c:v>49.829244621709236</c:v>
                </c:pt>
                <c:pt idx="336">
                  <c:v>48.757751734981341</c:v>
                </c:pt>
                <c:pt idx="337">
                  <c:v>47.293739042063415</c:v>
                </c:pt>
                <c:pt idx="338">
                  <c:v>47.436295134786853</c:v>
                </c:pt>
                <c:pt idx="339">
                  <c:v>48.296137047260345</c:v>
                </c:pt>
                <c:pt idx="340">
                  <c:v>51.872163366814057</c:v>
                </c:pt>
                <c:pt idx="341">
                  <c:v>50.726795575290424</c:v>
                </c:pt>
                <c:pt idx="342">
                  <c:v>50.822173092813266</c:v>
                </c:pt>
                <c:pt idx="343">
                  <c:v>52.444792897251254</c:v>
                </c:pt>
                <c:pt idx="344">
                  <c:v>54.551599862518039</c:v>
                </c:pt>
                <c:pt idx="345">
                  <c:v>53.84563796457428</c:v>
                </c:pt>
                <c:pt idx="346">
                  <c:v>53.790523832392218</c:v>
                </c:pt>
                <c:pt idx="347">
                  <c:v>55.577999177559875</c:v>
                </c:pt>
                <c:pt idx="348">
                  <c:v>54.606367971886115</c:v>
                </c:pt>
                <c:pt idx="349">
                  <c:v>53.189539072902775</c:v>
                </c:pt>
                <c:pt idx="350">
                  <c:v>52.101398047261746</c:v>
                </c:pt>
                <c:pt idx="351">
                  <c:v>51.478830397953928</c:v>
                </c:pt>
                <c:pt idx="352">
                  <c:v>51.035791420034549</c:v>
                </c:pt>
                <c:pt idx="353">
                  <c:v>51.081835115501548</c:v>
                </c:pt>
                <c:pt idx="354">
                  <c:v>51.25052112483062</c:v>
                </c:pt>
                <c:pt idx="355">
                  <c:v>49.117063813348437</c:v>
                </c:pt>
                <c:pt idx="356">
                  <c:v>50.111141647527795</c:v>
                </c:pt>
                <c:pt idx="357">
                  <c:v>47.952162255967437</c:v>
                </c:pt>
                <c:pt idx="358">
                  <c:v>53.021250906798059</c:v>
                </c:pt>
                <c:pt idx="359">
                  <c:v>52.701748105677609</c:v>
                </c:pt>
                <c:pt idx="360">
                  <c:v>52.384359365173253</c:v>
                </c:pt>
                <c:pt idx="361">
                  <c:v>48.763018959175092</c:v>
                </c:pt>
                <c:pt idx="362">
                  <c:v>46.070630837050459</c:v>
                </c:pt>
                <c:pt idx="363">
                  <c:v>45.604009973658727</c:v>
                </c:pt>
                <c:pt idx="364">
                  <c:v>46.07774740022289</c:v>
                </c:pt>
                <c:pt idx="365">
                  <c:v>46.478294488929414</c:v>
                </c:pt>
                <c:pt idx="366">
                  <c:v>46.303914877930083</c:v>
                </c:pt>
                <c:pt idx="367">
                  <c:v>45.913222794811411</c:v>
                </c:pt>
                <c:pt idx="368">
                  <c:v>43.817103674773492</c:v>
                </c:pt>
                <c:pt idx="369">
                  <c:v>46.359135286572545</c:v>
                </c:pt>
                <c:pt idx="370">
                  <c:v>45.298960775970805</c:v>
                </c:pt>
                <c:pt idx="371">
                  <c:v>45.150791384899208</c:v>
                </c:pt>
                <c:pt idx="372">
                  <c:v>42.861147371954225</c:v>
                </c:pt>
                <c:pt idx="373">
                  <c:v>42.211096213094841</c:v>
                </c:pt>
                <c:pt idx="374">
                  <c:v>42.53289166670266</c:v>
                </c:pt>
                <c:pt idx="375">
                  <c:v>42.830365179335097</c:v>
                </c:pt>
                <c:pt idx="376">
                  <c:v>44.55831519135144</c:v>
                </c:pt>
                <c:pt idx="377">
                  <c:v>44.588024044589702</c:v>
                </c:pt>
                <c:pt idx="378">
                  <c:v>44.030059499251095</c:v>
                </c:pt>
                <c:pt idx="379">
                  <c:v>42.617049139714226</c:v>
                </c:pt>
                <c:pt idx="380">
                  <c:v>41.942963737486437</c:v>
                </c:pt>
                <c:pt idx="381">
                  <c:v>41.027022139608349</c:v>
                </c:pt>
                <c:pt idx="382">
                  <c:v>39.662640691339135</c:v>
                </c:pt>
                <c:pt idx="383">
                  <c:v>39.113007113724208</c:v>
                </c:pt>
                <c:pt idx="384">
                  <c:v>37.499290522700505</c:v>
                </c:pt>
                <c:pt idx="385">
                  <c:v>37.502344144295719</c:v>
                </c:pt>
                <c:pt idx="386">
                  <c:v>34.966756955683621</c:v>
                </c:pt>
                <c:pt idx="387">
                  <c:v>35.760407749334412</c:v>
                </c:pt>
                <c:pt idx="388">
                  <c:v>35.963447545134393</c:v>
                </c:pt>
                <c:pt idx="389">
                  <c:v>36.740649617673249</c:v>
                </c:pt>
                <c:pt idx="390">
                  <c:v>35.957008701416179</c:v>
                </c:pt>
                <c:pt idx="391">
                  <c:v>35.476517585189271</c:v>
                </c:pt>
                <c:pt idx="392">
                  <c:v>34.339582279826558</c:v>
                </c:pt>
                <c:pt idx="393">
                  <c:v>31.74413875645206</c:v>
                </c:pt>
                <c:pt idx="394">
                  <c:v>30.793886069076553</c:v>
                </c:pt>
                <c:pt idx="395">
                  <c:v>30.056829501483076</c:v>
                </c:pt>
                <c:pt idx="396">
                  <c:v>32.538398748455165</c:v>
                </c:pt>
                <c:pt idx="397">
                  <c:v>33.414746976498307</c:v>
                </c:pt>
                <c:pt idx="398">
                  <c:v>35.355487717239043</c:v>
                </c:pt>
                <c:pt idx="399">
                  <c:v>35.855175412429553</c:v>
                </c:pt>
                <c:pt idx="400">
                  <c:v>37.800270390311411</c:v>
                </c:pt>
                <c:pt idx="401">
                  <c:v>40.017624936464664</c:v>
                </c:pt>
                <c:pt idx="402">
                  <c:v>40.517238495038143</c:v>
                </c:pt>
                <c:pt idx="403">
                  <c:v>39.979443454703514</c:v>
                </c:pt>
                <c:pt idx="404">
                  <c:v>38.923466419640974</c:v>
                </c:pt>
                <c:pt idx="405">
                  <c:v>38.59618834359479</c:v>
                </c:pt>
                <c:pt idx="406">
                  <c:v>37.74222557253357</c:v>
                </c:pt>
                <c:pt idx="407">
                  <c:v>39.282127767934668</c:v>
                </c:pt>
                <c:pt idx="408">
                  <c:v>39.678953164760067</c:v>
                </c:pt>
                <c:pt idx="409">
                  <c:v>40.154199052849989</c:v>
                </c:pt>
                <c:pt idx="410">
                  <c:v>41.527454343259713</c:v>
                </c:pt>
                <c:pt idx="411">
                  <c:v>46.347549387387346</c:v>
                </c:pt>
                <c:pt idx="412">
                  <c:v>46.831981388744772</c:v>
                </c:pt>
                <c:pt idx="413">
                  <c:v>46.944678608880011</c:v>
                </c:pt>
                <c:pt idx="414">
                  <c:v>48.400681985119725</c:v>
                </c:pt>
                <c:pt idx="415">
                  <c:v>50.438847636033898</c:v>
                </c:pt>
                <c:pt idx="416">
                  <c:v>51.254982319621476</c:v>
                </c:pt>
                <c:pt idx="417">
                  <c:v>48.115009698129349</c:v>
                </c:pt>
                <c:pt idx="418">
                  <c:v>49.55552237575543</c:v>
                </c:pt>
                <c:pt idx="419">
                  <c:v>48.543950421186068</c:v>
                </c:pt>
                <c:pt idx="420">
                  <c:v>50.539124882952954</c:v>
                </c:pt>
                <c:pt idx="421">
                  <c:v>51.634603742775624</c:v>
                </c:pt>
                <c:pt idx="422">
                  <c:v>55.671374326308801</c:v>
                </c:pt>
                <c:pt idx="423">
                  <c:v>56.18776207638161</c:v>
                </c:pt>
                <c:pt idx="424">
                  <c:v>55.236035541771933</c:v>
                </c:pt>
                <c:pt idx="425">
                  <c:v>55.637887111027744</c:v>
                </c:pt>
                <c:pt idx="426">
                  <c:v>56.322021026602705</c:v>
                </c:pt>
                <c:pt idx="427">
                  <c:v>58.630882555710471</c:v>
                </c:pt>
                <c:pt idx="428">
                  <c:v>59.554889464173336</c:v>
                </c:pt>
                <c:pt idx="429">
                  <c:v>62.175345930783649</c:v>
                </c:pt>
                <c:pt idx="430">
                  <c:v>61.039741388365478</c:v>
                </c:pt>
                <c:pt idx="431">
                  <c:v>58.572093017102645</c:v>
                </c:pt>
                <c:pt idx="432">
                  <c:v>56.292596297754748</c:v>
                </c:pt>
                <c:pt idx="433">
                  <c:v>52.781947158857371</c:v>
                </c:pt>
                <c:pt idx="434">
                  <c:v>51.70744859152213</c:v>
                </c:pt>
                <c:pt idx="435">
                  <c:v>48.863279547884218</c:v>
                </c:pt>
                <c:pt idx="436">
                  <c:v>48.281861700968349</c:v>
                </c:pt>
                <c:pt idx="437">
                  <c:v>49.775905714697402</c:v>
                </c:pt>
                <c:pt idx="438">
                  <c:v>50.117842621822923</c:v>
                </c:pt>
                <c:pt idx="439">
                  <c:v>48.778036796580203</c:v>
                </c:pt>
                <c:pt idx="440">
                  <c:v>50.011510968585107</c:v>
                </c:pt>
                <c:pt idx="441">
                  <c:v>50.684729368962664</c:v>
                </c:pt>
                <c:pt idx="442">
                  <c:v>50.480326853239397</c:v>
                </c:pt>
                <c:pt idx="443">
                  <c:v>50.301808555113837</c:v>
                </c:pt>
                <c:pt idx="444">
                  <c:v>49.787956901851999</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1-A9EF-47C0-896E-1A1AEE0E0DC8}"/>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0"/>
                <c:order val="2"/>
                <c:tx>
                  <c:v>Up</c:v>
                </c:tx>
                <c:spPr>
                  <a:ln w="19050" cap="rnd">
                    <a:solidFill>
                      <a:srgbClr val="00D600"/>
                    </a:solidFill>
                    <a:prstDash val="solid"/>
                    <a:round/>
                  </a:ln>
                  <a:effectLst/>
                </c:spPr>
                <c:marker>
                  <c:symbol val="none"/>
                </c:marker>
                <c:val>
                  <c:numRef>
                    <c:extLst>
                      <c:ext uri="{02D57815-91ED-43cb-92C2-25804820EDAC}">
                        <c15:formulaRef>
                          <c15:sqref>'2025-Q1'!$U$4:$U$448</c15:sqref>
                        </c15:formulaRef>
                      </c:ext>
                    </c:extLst>
                    <c:numCache>
                      <c:formatCode>0.0</c:formatCode>
                      <c:ptCount val="445"/>
                      <c:pt idx="0">
                        <c:v>0</c:v>
                      </c:pt>
                      <c:pt idx="1">
                        <c:v>0.96873982416150761</c:v>
                      </c:pt>
                      <c:pt idx="2">
                        <c:v>0.96873982416150761</c:v>
                      </c:pt>
                      <c:pt idx="3">
                        <c:v>1.1660701402941029</c:v>
                      </c:pt>
                      <c:pt idx="4">
                        <c:v>2.1423308510680883</c:v>
                      </c:pt>
                      <c:pt idx="5">
                        <c:v>2.9142355046587411</c:v>
                      </c:pt>
                      <c:pt idx="6">
                        <c:v>2.9142355046587411</c:v>
                      </c:pt>
                      <c:pt idx="7">
                        <c:v>3.5264804026179255</c:v>
                      </c:pt>
                      <c:pt idx="8">
                        <c:v>3.5264804026179255</c:v>
                      </c:pt>
                      <c:pt idx="9">
                        <c:v>3.5264804026179255</c:v>
                      </c:pt>
                      <c:pt idx="10">
                        <c:v>3.4910946984424127</c:v>
                      </c:pt>
                      <c:pt idx="11">
                        <c:v>3.4910946984424127</c:v>
                      </c:pt>
                      <c:pt idx="12">
                        <c:v>2.2488276858700713</c:v>
                      </c:pt>
                      <c:pt idx="13">
                        <c:v>1.2632350205131622</c:v>
                      </c:pt>
                      <c:pt idx="14">
                        <c:v>0.83509741907939872</c:v>
                      </c:pt>
                      <c:pt idx="15">
                        <c:v>0.83509741907939872</c:v>
                      </c:pt>
                      <c:pt idx="16">
                        <c:v>0.83509741907939872</c:v>
                      </c:pt>
                      <c:pt idx="17">
                        <c:v>0.83509741907939872</c:v>
                      </c:pt>
                      <c:pt idx="18">
                        <c:v>0.83509741907939872</c:v>
                      </c:pt>
                      <c:pt idx="19">
                        <c:v>3.4022685275040598E-2</c:v>
                      </c:pt>
                      <c:pt idx="20">
                        <c:v>3.4022685275040598E-2</c:v>
                      </c:pt>
                      <c:pt idx="21">
                        <c:v>3.4022685275040598E-2</c:v>
                      </c:pt>
                      <c:pt idx="22">
                        <c:v>3.4022685275040598E-2</c:v>
                      </c:pt>
                      <c:pt idx="23">
                        <c:v>3.4022685275040598E-2</c:v>
                      </c:pt>
                      <c:pt idx="24">
                        <c:v>0.56227908462269494</c:v>
                      </c:pt>
                      <c:pt idx="25">
                        <c:v>0.56227908462269494</c:v>
                      </c:pt>
                      <c:pt idx="26">
                        <c:v>0.56227908462269494</c:v>
                      </c:pt>
                      <c:pt idx="27">
                        <c:v>0.56227908462269494</c:v>
                      </c:pt>
                      <c:pt idx="28">
                        <c:v>0.56227908462269494</c:v>
                      </c:pt>
                      <c:pt idx="29">
                        <c:v>0.86678368238333559</c:v>
                      </c:pt>
                      <c:pt idx="30">
                        <c:v>1.6705597711757108</c:v>
                      </c:pt>
                      <c:pt idx="31">
                        <c:v>1.6705597711757108</c:v>
                      </c:pt>
                      <c:pt idx="32">
                        <c:v>1.6705597711757108</c:v>
                      </c:pt>
                      <c:pt idx="33">
                        <c:v>1.6705597711757108</c:v>
                      </c:pt>
                      <c:pt idx="34">
                        <c:v>1.6705597711757108</c:v>
                      </c:pt>
                      <c:pt idx="35">
                        <c:v>2.2314572070731464</c:v>
                      </c:pt>
                      <c:pt idx="36">
                        <c:v>2.9029826929550708</c:v>
                      </c:pt>
                      <c:pt idx="37">
                        <c:v>2.9029826929550708</c:v>
                      </c:pt>
                      <c:pt idx="38">
                        <c:v>2.9029826929550708</c:v>
                      </c:pt>
                      <c:pt idx="39">
                        <c:v>2.9029826929550708</c:v>
                      </c:pt>
                      <c:pt idx="40">
                        <c:v>3.3588433120096277</c:v>
                      </c:pt>
                      <c:pt idx="41">
                        <c:v>3.3588433120096277</c:v>
                      </c:pt>
                      <c:pt idx="42">
                        <c:v>3.3588433120096277</c:v>
                      </c:pt>
                      <c:pt idx="43">
                        <c:v>3.4854255904906424</c:v>
                      </c:pt>
                      <c:pt idx="44">
                        <c:v>3.4854255904906424</c:v>
                      </c:pt>
                      <c:pt idx="45">
                        <c:v>4.6392445187839799</c:v>
                      </c:pt>
                      <c:pt idx="46">
                        <c:v>4.6392445187839799</c:v>
                      </c:pt>
                      <c:pt idx="47">
                        <c:v>4.6392445187839799</c:v>
                      </c:pt>
                      <c:pt idx="48">
                        <c:v>4.6392445187839799</c:v>
                      </c:pt>
                      <c:pt idx="49">
                        <c:v>4.4840469522818225</c:v>
                      </c:pt>
                      <c:pt idx="50">
                        <c:v>4.4840469522818225</c:v>
                      </c:pt>
                      <c:pt idx="51">
                        <c:v>3.7512897479312834</c:v>
                      </c:pt>
                      <c:pt idx="52">
                        <c:v>3.7512897479312834</c:v>
                      </c:pt>
                      <c:pt idx="53">
                        <c:v>3.7512897479312834</c:v>
                      </c:pt>
                      <c:pt idx="54">
                        <c:v>3.6761063926055373</c:v>
                      </c:pt>
                      <c:pt idx="55">
                        <c:v>3.6761063926055373</c:v>
                      </c:pt>
                      <c:pt idx="56">
                        <c:v>3.6761063926055373</c:v>
                      </c:pt>
                      <c:pt idx="57">
                        <c:v>4.2482894911970863</c:v>
                      </c:pt>
                      <c:pt idx="58">
                        <c:v>4.2482894911970863</c:v>
                      </c:pt>
                      <c:pt idx="59">
                        <c:v>4.2482894911970863</c:v>
                      </c:pt>
                      <c:pt idx="60">
                        <c:v>4.2482894911970863</c:v>
                      </c:pt>
                      <c:pt idx="61">
                        <c:v>4.2482894911970863</c:v>
                      </c:pt>
                      <c:pt idx="62">
                        <c:v>4.2482894911970863</c:v>
                      </c:pt>
                      <c:pt idx="63">
                        <c:v>4.2482894911970863</c:v>
                      </c:pt>
                      <c:pt idx="64">
                        <c:v>4.9471324943218224</c:v>
                      </c:pt>
                      <c:pt idx="65">
                        <c:v>3.7514539315638693</c:v>
                      </c:pt>
                      <c:pt idx="66">
                        <c:v>3.1828068566844223</c:v>
                      </c:pt>
                      <c:pt idx="67">
                        <c:v>3.1828068566844223</c:v>
                      </c:pt>
                      <c:pt idx="68">
                        <c:v>3.1828068566844223</c:v>
                      </c:pt>
                      <c:pt idx="69">
                        <c:v>2.3812036502715976</c:v>
                      </c:pt>
                      <c:pt idx="70">
                        <c:v>2.3812036502715976</c:v>
                      </c:pt>
                      <c:pt idx="71">
                        <c:v>2.3812036502715976</c:v>
                      </c:pt>
                      <c:pt idx="72">
                        <c:v>2.3812036502715976</c:v>
                      </c:pt>
                      <c:pt idx="73">
                        <c:v>2.3812036502715976</c:v>
                      </c:pt>
                      <c:pt idx="74">
                        <c:v>2.3812036502715976</c:v>
                      </c:pt>
                      <c:pt idx="75">
                        <c:v>4.6848271610729206</c:v>
                      </c:pt>
                      <c:pt idx="76">
                        <c:v>4.6848271610729206</c:v>
                      </c:pt>
                      <c:pt idx="77">
                        <c:v>4.6848271610729206</c:v>
                      </c:pt>
                      <c:pt idx="78">
                        <c:v>4.6848271610729206</c:v>
                      </c:pt>
                      <c:pt idx="79">
                        <c:v>5.0105509606997058</c:v>
                      </c:pt>
                      <c:pt idx="80">
                        <c:v>5.0105509606997058</c:v>
                      </c:pt>
                      <c:pt idx="81">
                        <c:v>5.0105509606997058</c:v>
                      </c:pt>
                      <c:pt idx="82">
                        <c:v>4.6123081557565691</c:v>
                      </c:pt>
                      <c:pt idx="83">
                        <c:v>4.6123081557565691</c:v>
                      </c:pt>
                      <c:pt idx="84">
                        <c:v>5.8745893711902353</c:v>
                      </c:pt>
                      <c:pt idx="85">
                        <c:v>5.8745893711902353</c:v>
                      </c:pt>
                      <c:pt idx="86">
                        <c:v>5.8745893711902353</c:v>
                      </c:pt>
                      <c:pt idx="87">
                        <c:v>6.6545053455719394</c:v>
                      </c:pt>
                      <c:pt idx="88">
                        <c:v>6.6545053455719394</c:v>
                      </c:pt>
                      <c:pt idx="89">
                        <c:v>6.6545053455719394</c:v>
                      </c:pt>
                      <c:pt idx="90">
                        <c:v>6.6545053455719394</c:v>
                      </c:pt>
                      <c:pt idx="91">
                        <c:v>6.6545053455719394</c:v>
                      </c:pt>
                      <c:pt idx="92">
                        <c:v>6.836493186002218</c:v>
                      </c:pt>
                      <c:pt idx="93">
                        <c:v>7.0037334361813262</c:v>
                      </c:pt>
                      <c:pt idx="94">
                        <c:v>7.0037334361813262</c:v>
                      </c:pt>
                      <c:pt idx="95">
                        <c:v>6.8206151941164483</c:v>
                      </c:pt>
                      <c:pt idx="96">
                        <c:v>6.8206151941164483</c:v>
                      </c:pt>
                      <c:pt idx="97">
                        <c:v>6.8206151941164483</c:v>
                      </c:pt>
                      <c:pt idx="98">
                        <c:v>6.8206151941164483</c:v>
                      </c:pt>
                      <c:pt idx="99">
                        <c:v>7.3105072938311952</c:v>
                      </c:pt>
                      <c:pt idx="100">
                        <c:v>7.4987968953861044</c:v>
                      </c:pt>
                      <c:pt idx="101">
                        <c:v>7.7343490944726661</c:v>
                      </c:pt>
                      <c:pt idx="102">
                        <c:v>7.7343490944726661</c:v>
                      </c:pt>
                      <c:pt idx="103">
                        <c:v>7.7343490944726661</c:v>
                      </c:pt>
                      <c:pt idx="104">
                        <c:v>7.7343490944726661</c:v>
                      </c:pt>
                      <c:pt idx="105">
                        <c:v>7.7343490944726661</c:v>
                      </c:pt>
                      <c:pt idx="106">
                        <c:v>7.7343490944726661</c:v>
                      </c:pt>
                      <c:pt idx="107">
                        <c:v>7.7343490944726661</c:v>
                      </c:pt>
                      <c:pt idx="108">
                        <c:v>7.7343490944726661</c:v>
                      </c:pt>
                      <c:pt idx="109">
                        <c:v>7.7343490944726661</c:v>
                      </c:pt>
                      <c:pt idx="110">
                        <c:v>7.7343490944726661</c:v>
                      </c:pt>
                      <c:pt idx="111">
                        <c:v>7.7343490944726661</c:v>
                      </c:pt>
                      <c:pt idx="112">
                        <c:v>7.7343490944726661</c:v>
                      </c:pt>
                      <c:pt idx="113">
                        <c:v>7.7343490944726661</c:v>
                      </c:pt>
                      <c:pt idx="114">
                        <c:v>7.7343490944726661</c:v>
                      </c:pt>
                      <c:pt idx="115">
                        <c:v>7.7343490944726661</c:v>
                      </c:pt>
                      <c:pt idx="116">
                        <c:v>7.7343490944726661</c:v>
                      </c:pt>
                      <c:pt idx="117">
                        <c:v>7.6560773349235101</c:v>
                      </c:pt>
                      <c:pt idx="118">
                        <c:v>7.6560773349235101</c:v>
                      </c:pt>
                      <c:pt idx="119">
                        <c:v>7.6560773349235101</c:v>
                      </c:pt>
                      <c:pt idx="120">
                        <c:v>7.6560773349235101</c:v>
                      </c:pt>
                      <c:pt idx="121">
                        <c:v>7.6560773349235101</c:v>
                      </c:pt>
                      <c:pt idx="122">
                        <c:v>7.6560773349235101</c:v>
                      </c:pt>
                      <c:pt idx="123">
                        <c:v>7.6560773349235101</c:v>
                      </c:pt>
                      <c:pt idx="124">
                        <c:v>7.6560773349235101</c:v>
                      </c:pt>
                      <c:pt idx="125">
                        <c:v>7.6560773349235101</c:v>
                      </c:pt>
                      <c:pt idx="126">
                        <c:v>7.708387709814529</c:v>
                      </c:pt>
                      <c:pt idx="127">
                        <c:v>7.708387709814529</c:v>
                      </c:pt>
                      <c:pt idx="128">
                        <c:v>7.8745442467624969</c:v>
                      </c:pt>
                      <c:pt idx="129">
                        <c:v>7.8745442467624969</c:v>
                      </c:pt>
                      <c:pt idx="130">
                        <c:v>7.8745442467624969</c:v>
                      </c:pt>
                      <c:pt idx="131">
                        <c:v>7.8745442467624969</c:v>
                      </c:pt>
                      <c:pt idx="132">
                        <c:v>8.4350823633544252</c:v>
                      </c:pt>
                      <c:pt idx="133">
                        <c:v>8.4350823633544252</c:v>
                      </c:pt>
                      <c:pt idx="134">
                        <c:v>8.4350823633544252</c:v>
                      </c:pt>
                      <c:pt idx="135">
                        <c:v>8.4350823633544252</c:v>
                      </c:pt>
                      <c:pt idx="136">
                        <c:v>6.4173930322322565</c:v>
                      </c:pt>
                      <c:pt idx="137">
                        <c:v>6.4173930322322565</c:v>
                      </c:pt>
                      <c:pt idx="138">
                        <c:v>6.4173930322322565</c:v>
                      </c:pt>
                      <c:pt idx="139">
                        <c:v>6.4173930322322565</c:v>
                      </c:pt>
                      <c:pt idx="140">
                        <c:v>9.7613400884849888</c:v>
                      </c:pt>
                      <c:pt idx="141">
                        <c:v>9.7613400884849888</c:v>
                      </c:pt>
                      <c:pt idx="142">
                        <c:v>9.7613400884849888</c:v>
                      </c:pt>
                      <c:pt idx="143">
                        <c:v>9.7613400884849888</c:v>
                      </c:pt>
                      <c:pt idx="144">
                        <c:v>9.7613400884849888</c:v>
                      </c:pt>
                      <c:pt idx="145">
                        <c:v>9.7613400884849888</c:v>
                      </c:pt>
                      <c:pt idx="146">
                        <c:v>9.7613400884849888</c:v>
                      </c:pt>
                      <c:pt idx="147">
                        <c:v>9.7613400884849888</c:v>
                      </c:pt>
                      <c:pt idx="148">
                        <c:v>9.7613400884849888</c:v>
                      </c:pt>
                      <c:pt idx="149">
                        <c:v>9.7613400884849888</c:v>
                      </c:pt>
                      <c:pt idx="150">
                        <c:v>9.7613400884849888</c:v>
                      </c:pt>
                      <c:pt idx="151">
                        <c:v>9.7613400884849888</c:v>
                      </c:pt>
                      <c:pt idx="152">
                        <c:v>9.7613400884849888</c:v>
                      </c:pt>
                      <c:pt idx="153">
                        <c:v>9.1974669982652948</c:v>
                      </c:pt>
                      <c:pt idx="154">
                        <c:v>9.1974669982652948</c:v>
                      </c:pt>
                      <c:pt idx="155">
                        <c:v>9.1974669982652948</c:v>
                      </c:pt>
                      <c:pt idx="156">
                        <c:v>9.1974669982652948</c:v>
                      </c:pt>
                      <c:pt idx="157">
                        <c:v>9.1974669982652948</c:v>
                      </c:pt>
                      <c:pt idx="158">
                        <c:v>12.990954777900674</c:v>
                      </c:pt>
                      <c:pt idx="159">
                        <c:v>12.990954777900674</c:v>
                      </c:pt>
                      <c:pt idx="160">
                        <c:v>12.990954777900674</c:v>
                      </c:pt>
                      <c:pt idx="161">
                        <c:v>12.990954777900674</c:v>
                      </c:pt>
                      <c:pt idx="162">
                        <c:v>12.990954777900674</c:v>
                      </c:pt>
                      <c:pt idx="163">
                        <c:v>12.990954777900674</c:v>
                      </c:pt>
                      <c:pt idx="164">
                        <c:v>12.990954777900674</c:v>
                      </c:pt>
                      <c:pt idx="165">
                        <c:v>12.853104024316556</c:v>
                      </c:pt>
                      <c:pt idx="166">
                        <c:v>11.503161745986388</c:v>
                      </c:pt>
                      <c:pt idx="167">
                        <c:v>11.503161745986388</c:v>
                      </c:pt>
                      <c:pt idx="168">
                        <c:v>11.503161745986388</c:v>
                      </c:pt>
                      <c:pt idx="169">
                        <c:v>11.503161745986388</c:v>
                      </c:pt>
                      <c:pt idx="170">
                        <c:v>11.503161745986388</c:v>
                      </c:pt>
                      <c:pt idx="171">
                        <c:v>12.325846424092756</c:v>
                      </c:pt>
                      <c:pt idx="172">
                        <c:v>11.387347820248037</c:v>
                      </c:pt>
                      <c:pt idx="173">
                        <c:v>11.387347820248037</c:v>
                      </c:pt>
                      <c:pt idx="174">
                        <c:v>11.387347820248037</c:v>
                      </c:pt>
                      <c:pt idx="175">
                        <c:v>11.387347820248037</c:v>
                      </c:pt>
                      <c:pt idx="176">
                        <c:v>11.387347820248037</c:v>
                      </c:pt>
                      <c:pt idx="177">
                        <c:v>11.387347820248037</c:v>
                      </c:pt>
                      <c:pt idx="178">
                        <c:v>12.464802587477148</c:v>
                      </c:pt>
                      <c:pt idx="179">
                        <c:v>12.464802587477148</c:v>
                      </c:pt>
                      <c:pt idx="180">
                        <c:v>12.464802587477148</c:v>
                      </c:pt>
                      <c:pt idx="181">
                        <c:v>12.464802587477148</c:v>
                      </c:pt>
                      <c:pt idx="182">
                        <c:v>12.464802587477148</c:v>
                      </c:pt>
                      <c:pt idx="183">
                        <c:v>11.292495043304985</c:v>
                      </c:pt>
                      <c:pt idx="184">
                        <c:v>11.292495043304985</c:v>
                      </c:pt>
                      <c:pt idx="185">
                        <c:v>11.292495043304985</c:v>
                      </c:pt>
                      <c:pt idx="186">
                        <c:v>11.292495043304985</c:v>
                      </c:pt>
                      <c:pt idx="187">
                        <c:v>11.292495043304985</c:v>
                      </c:pt>
                      <c:pt idx="188">
                        <c:v>11.292495043304985</c:v>
                      </c:pt>
                      <c:pt idx="189">
                        <c:v>11.292495043304985</c:v>
                      </c:pt>
                      <c:pt idx="190">
                        <c:v>11.292495043304985</c:v>
                      </c:pt>
                      <c:pt idx="191">
                        <c:v>11.292495043304985</c:v>
                      </c:pt>
                      <c:pt idx="192">
                        <c:v>11.292495043304985</c:v>
                      </c:pt>
                      <c:pt idx="193">
                        <c:v>11.292495043304985</c:v>
                      </c:pt>
                      <c:pt idx="194">
                        <c:v>11.292495043304985</c:v>
                      </c:pt>
                      <c:pt idx="195">
                        <c:v>11.292495043304985</c:v>
                      </c:pt>
                      <c:pt idx="196">
                        <c:v>11.292495043304985</c:v>
                      </c:pt>
                      <c:pt idx="197">
                        <c:v>11.292495043304985</c:v>
                      </c:pt>
                      <c:pt idx="198">
                        <c:v>11.292495043304985</c:v>
                      </c:pt>
                      <c:pt idx="199">
                        <c:v>11.292495043304985</c:v>
                      </c:pt>
                      <c:pt idx="200">
                        <c:v>9.3630523370972121</c:v>
                      </c:pt>
                      <c:pt idx="201">
                        <c:v>9.3630523370972121</c:v>
                      </c:pt>
                      <c:pt idx="202">
                        <c:v>9.3630523370972121</c:v>
                      </c:pt>
                      <c:pt idx="203">
                        <c:v>9.2664713056117947</c:v>
                      </c:pt>
                      <c:pt idx="204">
                        <c:v>10.059269986096032</c:v>
                      </c:pt>
                      <c:pt idx="205">
                        <c:v>10.059269986096032</c:v>
                      </c:pt>
                      <c:pt idx="206">
                        <c:v>10.059269986096032</c:v>
                      </c:pt>
                      <c:pt idx="207">
                        <c:v>10.059269986096032</c:v>
                      </c:pt>
                      <c:pt idx="208">
                        <c:v>10.242121677474179</c:v>
                      </c:pt>
                      <c:pt idx="209">
                        <c:v>10.242121677474179</c:v>
                      </c:pt>
                      <c:pt idx="210">
                        <c:v>10.242121677474179</c:v>
                      </c:pt>
                      <c:pt idx="211">
                        <c:v>10.242121677474179</c:v>
                      </c:pt>
                      <c:pt idx="212">
                        <c:v>10.242121677474179</c:v>
                      </c:pt>
                      <c:pt idx="213">
                        <c:v>10.242121677474179</c:v>
                      </c:pt>
                      <c:pt idx="214">
                        <c:v>10.242121677474179</c:v>
                      </c:pt>
                      <c:pt idx="215">
                        <c:v>10.242121677474179</c:v>
                      </c:pt>
                      <c:pt idx="216">
                        <c:v>10.242121677474179</c:v>
                      </c:pt>
                      <c:pt idx="217">
                        <c:v>10.242121677474179</c:v>
                      </c:pt>
                      <c:pt idx="218">
                        <c:v>10.242121677474179</c:v>
                      </c:pt>
                      <c:pt idx="219">
                        <c:v>10.242121677474179</c:v>
                      </c:pt>
                      <c:pt idx="220">
                        <c:v>10.242121677474179</c:v>
                      </c:pt>
                      <c:pt idx="221">
                        <c:v>10.176833888902154</c:v>
                      </c:pt>
                      <c:pt idx="222">
                        <c:v>10.294457493367863</c:v>
                      </c:pt>
                      <c:pt idx="223">
                        <c:v>9.8446328777985279</c:v>
                      </c:pt>
                      <c:pt idx="224">
                        <c:v>9.8446328777985279</c:v>
                      </c:pt>
                      <c:pt idx="225">
                        <c:v>9.8446328777985279</c:v>
                      </c:pt>
                      <c:pt idx="226">
                        <c:v>9.8446328777985279</c:v>
                      </c:pt>
                      <c:pt idx="227">
                        <c:v>10.712061678440325</c:v>
                      </c:pt>
                      <c:pt idx="228">
                        <c:v>10.712061678440325</c:v>
                      </c:pt>
                      <c:pt idx="229">
                        <c:v>10.712061678440325</c:v>
                      </c:pt>
                      <c:pt idx="230">
                        <c:v>10.712061678440325</c:v>
                      </c:pt>
                      <c:pt idx="231">
                        <c:v>10.85290293409429</c:v>
                      </c:pt>
                      <c:pt idx="232">
                        <c:v>10.85290293409429</c:v>
                      </c:pt>
                      <c:pt idx="233">
                        <c:v>10.85290293409429</c:v>
                      </c:pt>
                      <c:pt idx="234">
                        <c:v>10.85290293409429</c:v>
                      </c:pt>
                      <c:pt idx="235">
                        <c:v>10.85290293409429</c:v>
                      </c:pt>
                      <c:pt idx="236">
                        <c:v>12.756501447862298</c:v>
                      </c:pt>
                      <c:pt idx="237">
                        <c:v>12.756501447862298</c:v>
                      </c:pt>
                      <c:pt idx="238">
                        <c:v>12.756501447862298</c:v>
                      </c:pt>
                      <c:pt idx="239">
                        <c:v>12.103344522724129</c:v>
                      </c:pt>
                      <c:pt idx="240">
                        <c:v>12.604277939027801</c:v>
                      </c:pt>
                      <c:pt idx="241">
                        <c:v>12.443189340298501</c:v>
                      </c:pt>
                      <c:pt idx="242">
                        <c:v>11.660387849507131</c:v>
                      </c:pt>
                      <c:pt idx="243">
                        <c:v>11.649399548815515</c:v>
                      </c:pt>
                      <c:pt idx="244">
                        <c:v>11.649399548815515</c:v>
                      </c:pt>
                      <c:pt idx="245">
                        <c:v>11.649399548815515</c:v>
                      </c:pt>
                      <c:pt idx="246">
                        <c:v>11.649399548815515</c:v>
                      </c:pt>
                      <c:pt idx="247">
                        <c:v>11.649399548815515</c:v>
                      </c:pt>
                      <c:pt idx="248">
                        <c:v>11.649399548815515</c:v>
                      </c:pt>
                      <c:pt idx="249">
                        <c:v>11.649399548815515</c:v>
                      </c:pt>
                      <c:pt idx="250">
                        <c:v>11.649399548815515</c:v>
                      </c:pt>
                      <c:pt idx="251">
                        <c:v>11.848740855801125</c:v>
                      </c:pt>
                      <c:pt idx="252">
                        <c:v>11.848740855801125</c:v>
                      </c:pt>
                      <c:pt idx="253">
                        <c:v>15.112572962642227</c:v>
                      </c:pt>
                      <c:pt idx="254">
                        <c:v>17.555678719000994</c:v>
                      </c:pt>
                      <c:pt idx="255">
                        <c:v>17.555678719000994</c:v>
                      </c:pt>
                      <c:pt idx="256">
                        <c:v>17.555678719000994</c:v>
                      </c:pt>
                      <c:pt idx="257">
                        <c:v>17.555678719000994</c:v>
                      </c:pt>
                      <c:pt idx="258">
                        <c:v>17.555678719000994</c:v>
                      </c:pt>
                      <c:pt idx="259">
                        <c:v>17.113941918766518</c:v>
                      </c:pt>
                      <c:pt idx="260">
                        <c:v>17.87231344919687</c:v>
                      </c:pt>
                      <c:pt idx="261">
                        <c:v>17.87231344919687</c:v>
                      </c:pt>
                      <c:pt idx="262">
                        <c:v>17.87231344919687</c:v>
                      </c:pt>
                      <c:pt idx="263">
                        <c:v>17.87231344919687</c:v>
                      </c:pt>
                      <c:pt idx="264">
                        <c:v>17.87231344919687</c:v>
                      </c:pt>
                      <c:pt idx="265">
                        <c:v>17.87231344919687</c:v>
                      </c:pt>
                      <c:pt idx="266">
                        <c:v>17.87231344919687</c:v>
                      </c:pt>
                      <c:pt idx="267">
                        <c:v>17.681560428940717</c:v>
                      </c:pt>
                      <c:pt idx="268">
                        <c:v>17.681560428940717</c:v>
                      </c:pt>
                      <c:pt idx="269">
                        <c:v>17.748427630277256</c:v>
                      </c:pt>
                      <c:pt idx="270">
                        <c:v>17.748427630277256</c:v>
                      </c:pt>
                      <c:pt idx="271">
                        <c:v>17.748427630277256</c:v>
                      </c:pt>
                      <c:pt idx="272">
                        <c:v>17.579398395902857</c:v>
                      </c:pt>
                      <c:pt idx="273">
                        <c:v>17.579398395902857</c:v>
                      </c:pt>
                      <c:pt idx="274">
                        <c:v>17.579398395902857</c:v>
                      </c:pt>
                      <c:pt idx="275">
                        <c:v>17.579398395902857</c:v>
                      </c:pt>
                      <c:pt idx="276">
                        <c:v>17.579398395902857</c:v>
                      </c:pt>
                      <c:pt idx="277">
                        <c:v>17.579398395902857</c:v>
                      </c:pt>
                      <c:pt idx="278">
                        <c:v>16.86061589193395</c:v>
                      </c:pt>
                      <c:pt idx="279">
                        <c:v>16.86061589193395</c:v>
                      </c:pt>
                      <c:pt idx="280">
                        <c:v>16.86061589193395</c:v>
                      </c:pt>
                      <c:pt idx="281">
                        <c:v>16.86061589193395</c:v>
                      </c:pt>
                      <c:pt idx="282">
                        <c:v>16.86061589193395</c:v>
                      </c:pt>
                      <c:pt idx="283">
                        <c:v>16.86061589193395</c:v>
                      </c:pt>
                      <c:pt idx="284">
                        <c:v>16.86061589193395</c:v>
                      </c:pt>
                      <c:pt idx="285">
                        <c:v>16.86061589193395</c:v>
                      </c:pt>
                      <c:pt idx="286">
                        <c:v>17.831422354731259</c:v>
                      </c:pt>
                      <c:pt idx="287">
                        <c:v>17.831422354731259</c:v>
                      </c:pt>
                      <c:pt idx="288">
                        <c:v>17.831422354731259</c:v>
                      </c:pt>
                      <c:pt idx="289">
                        <c:v>17.831422354731259</c:v>
                      </c:pt>
                      <c:pt idx="290">
                        <c:v>17.831422354731259</c:v>
                      </c:pt>
                      <c:pt idx="291">
                        <c:v>18.67128797623182</c:v>
                      </c:pt>
                      <c:pt idx="292">
                        <c:v>18.955339712256752</c:v>
                      </c:pt>
                      <c:pt idx="293">
                        <c:v>18.955339712256752</c:v>
                      </c:pt>
                      <c:pt idx="294">
                        <c:v>18.955339712256752</c:v>
                      </c:pt>
                      <c:pt idx="295">
                        <c:v>18.955339712256752</c:v>
                      </c:pt>
                      <c:pt idx="296">
                        <c:v>18.955339712256752</c:v>
                      </c:pt>
                      <c:pt idx="297">
                        <c:v>17.664417808227025</c:v>
                      </c:pt>
                      <c:pt idx="298">
                        <c:v>17.664417808227025</c:v>
                      </c:pt>
                      <c:pt idx="299">
                        <c:v>17.664417808227025</c:v>
                      </c:pt>
                      <c:pt idx="300">
                        <c:v>16.967386053187422</c:v>
                      </c:pt>
                      <c:pt idx="301">
                        <c:v>16.967386053187422</c:v>
                      </c:pt>
                      <c:pt idx="302">
                        <c:v>17.918929312422989</c:v>
                      </c:pt>
                      <c:pt idx="303">
                        <c:v>17.918929312422989</c:v>
                      </c:pt>
                      <c:pt idx="304">
                        <c:v>17.918929312422989</c:v>
                      </c:pt>
                      <c:pt idx="305">
                        <c:v>17.918929312422989</c:v>
                      </c:pt>
                      <c:pt idx="306">
                        <c:v>17.918929312422989</c:v>
                      </c:pt>
                      <c:pt idx="307">
                        <c:v>17.918929312422989</c:v>
                      </c:pt>
                      <c:pt idx="308">
                        <c:v>23.134712512535174</c:v>
                      </c:pt>
                      <c:pt idx="309">
                        <c:v>23.552500314582236</c:v>
                      </c:pt>
                      <c:pt idx="310">
                        <c:v>22.780998999602659</c:v>
                      </c:pt>
                      <c:pt idx="311">
                        <c:v>22.780998999602659</c:v>
                      </c:pt>
                      <c:pt idx="312">
                        <c:v>22.462212729532133</c:v>
                      </c:pt>
                      <c:pt idx="313">
                        <c:v>22.462212729532133</c:v>
                      </c:pt>
                      <c:pt idx="314">
                        <c:v>22.462212729532133</c:v>
                      </c:pt>
                      <c:pt idx="315">
                        <c:v>22.462212729532133</c:v>
                      </c:pt>
                      <c:pt idx="316">
                        <c:v>22.462212729532133</c:v>
                      </c:pt>
                      <c:pt idx="317">
                        <c:v>22.462212729532133</c:v>
                      </c:pt>
                      <c:pt idx="318">
                        <c:v>22.462212729532133</c:v>
                      </c:pt>
                      <c:pt idx="319">
                        <c:v>22.462212729532133</c:v>
                      </c:pt>
                      <c:pt idx="320">
                        <c:v>22.462212729532133</c:v>
                      </c:pt>
                      <c:pt idx="321">
                        <c:v>22.462212729532133</c:v>
                      </c:pt>
                      <c:pt idx="322">
                        <c:v>22.762151850799597</c:v>
                      </c:pt>
                      <c:pt idx="323">
                        <c:v>22.762151850799597</c:v>
                      </c:pt>
                      <c:pt idx="324">
                        <c:v>22.762151850799597</c:v>
                      </c:pt>
                      <c:pt idx="325">
                        <c:v>21.367120327321665</c:v>
                      </c:pt>
                      <c:pt idx="326">
                        <c:v>19.19648137254174</c:v>
                      </c:pt>
                      <c:pt idx="327">
                        <c:v>19.19648137254174</c:v>
                      </c:pt>
                      <c:pt idx="328">
                        <c:v>19.19648137254174</c:v>
                      </c:pt>
                      <c:pt idx="329">
                        <c:v>19.19648137254174</c:v>
                      </c:pt>
                      <c:pt idx="330">
                        <c:v>19.19648137254174</c:v>
                      </c:pt>
                      <c:pt idx="331">
                        <c:v>19.19648137254174</c:v>
                      </c:pt>
                      <c:pt idx="332">
                        <c:v>18.325526374876258</c:v>
                      </c:pt>
                      <c:pt idx="333">
                        <c:v>18.325526374876258</c:v>
                      </c:pt>
                      <c:pt idx="334">
                        <c:v>18.325526374876258</c:v>
                      </c:pt>
                      <c:pt idx="335">
                        <c:v>18.325526374876258</c:v>
                      </c:pt>
                      <c:pt idx="336">
                        <c:v>18.325526374876258</c:v>
                      </c:pt>
                      <c:pt idx="337">
                        <c:v>18.325526374876258</c:v>
                      </c:pt>
                      <c:pt idx="338">
                        <c:v>18.69431278866081</c:v>
                      </c:pt>
                      <c:pt idx="339">
                        <c:v>18.69431278866081</c:v>
                      </c:pt>
                      <c:pt idx="340">
                        <c:v>18.69431278866081</c:v>
                      </c:pt>
                      <c:pt idx="341">
                        <c:v>18.69431278866081</c:v>
                      </c:pt>
                      <c:pt idx="342">
                        <c:v>18.69431278866081</c:v>
                      </c:pt>
                      <c:pt idx="343">
                        <c:v>18.69431278866081</c:v>
                      </c:pt>
                      <c:pt idx="344">
                        <c:v>18.69431278866081</c:v>
                      </c:pt>
                      <c:pt idx="345">
                        <c:v>18.69431278866081</c:v>
                      </c:pt>
                      <c:pt idx="346">
                        <c:v>18.69431278866081</c:v>
                      </c:pt>
                      <c:pt idx="347">
                        <c:v>18.69431278866081</c:v>
                      </c:pt>
                      <c:pt idx="348">
                        <c:v>17.410624845398399</c:v>
                      </c:pt>
                      <c:pt idx="349">
                        <c:v>17.410624845398399</c:v>
                      </c:pt>
                      <c:pt idx="350">
                        <c:v>16.574086383859939</c:v>
                      </c:pt>
                      <c:pt idx="351">
                        <c:v>16.574086383859939</c:v>
                      </c:pt>
                      <c:pt idx="352">
                        <c:v>16.574086383859939</c:v>
                      </c:pt>
                      <c:pt idx="353">
                        <c:v>16.574086383859939</c:v>
                      </c:pt>
                      <c:pt idx="354">
                        <c:v>16.574086383859939</c:v>
                      </c:pt>
                      <c:pt idx="355">
                        <c:v>15.103783024826967</c:v>
                      </c:pt>
                      <c:pt idx="356">
                        <c:v>15.103783024826967</c:v>
                      </c:pt>
                      <c:pt idx="357">
                        <c:v>15.103783024826967</c:v>
                      </c:pt>
                      <c:pt idx="358">
                        <c:v>15.103783024826967</c:v>
                      </c:pt>
                      <c:pt idx="359">
                        <c:v>15.590696540233131</c:v>
                      </c:pt>
                      <c:pt idx="360">
                        <c:v>14.900419388753717</c:v>
                      </c:pt>
                      <c:pt idx="361">
                        <c:v>14.900419388753717</c:v>
                      </c:pt>
                      <c:pt idx="362">
                        <c:v>13.67185393496869</c:v>
                      </c:pt>
                      <c:pt idx="363">
                        <c:v>13.67185393496869</c:v>
                      </c:pt>
                      <c:pt idx="364">
                        <c:v>13.67185393496869</c:v>
                      </c:pt>
                      <c:pt idx="365">
                        <c:v>13.67185393496869</c:v>
                      </c:pt>
                      <c:pt idx="366">
                        <c:v>13.67185393496869</c:v>
                      </c:pt>
                      <c:pt idx="367">
                        <c:v>13.67185393496869</c:v>
                      </c:pt>
                      <c:pt idx="368">
                        <c:v>13.67185393496869</c:v>
                      </c:pt>
                      <c:pt idx="369">
                        <c:v>13.67185393496869</c:v>
                      </c:pt>
                      <c:pt idx="370">
                        <c:v>13.67185393496869</c:v>
                      </c:pt>
                      <c:pt idx="371">
                        <c:v>13.67185393496869</c:v>
                      </c:pt>
                      <c:pt idx="372">
                        <c:v>13.67185393496869</c:v>
                      </c:pt>
                      <c:pt idx="373">
                        <c:v>11.683887388414128</c:v>
                      </c:pt>
                      <c:pt idx="374">
                        <c:v>11.683887388414128</c:v>
                      </c:pt>
                      <c:pt idx="375">
                        <c:v>11.683887388414128</c:v>
                      </c:pt>
                      <c:pt idx="376">
                        <c:v>11.683887388414128</c:v>
                      </c:pt>
                      <c:pt idx="377">
                        <c:v>11.683887388414128</c:v>
                      </c:pt>
                      <c:pt idx="378">
                        <c:v>11.683887388414128</c:v>
                      </c:pt>
                      <c:pt idx="379">
                        <c:v>11.683887388414128</c:v>
                      </c:pt>
                      <c:pt idx="380">
                        <c:v>11.683887388414128</c:v>
                      </c:pt>
                      <c:pt idx="381">
                        <c:v>11.683887388414128</c:v>
                      </c:pt>
                      <c:pt idx="382">
                        <c:v>10.514761942459062</c:v>
                      </c:pt>
                      <c:pt idx="383">
                        <c:v>10.514761942459062</c:v>
                      </c:pt>
                      <c:pt idx="384">
                        <c:v>10.514761942459062</c:v>
                      </c:pt>
                      <c:pt idx="385">
                        <c:v>10.514761942459062</c:v>
                      </c:pt>
                      <c:pt idx="386">
                        <c:v>10.514761942459062</c:v>
                      </c:pt>
                      <c:pt idx="387">
                        <c:v>10.514761942459062</c:v>
                      </c:pt>
                      <c:pt idx="388">
                        <c:v>10.514761942459062</c:v>
                      </c:pt>
                      <c:pt idx="389">
                        <c:v>10.514761942459062</c:v>
                      </c:pt>
                      <c:pt idx="390">
                        <c:v>10.514761942459062</c:v>
                      </c:pt>
                      <c:pt idx="391">
                        <c:v>10.514761942459062</c:v>
                      </c:pt>
                      <c:pt idx="392">
                        <c:v>10.514761942459062</c:v>
                      </c:pt>
                      <c:pt idx="393">
                        <c:v>10.514761942459062</c:v>
                      </c:pt>
                      <c:pt idx="394">
                        <c:v>10.514761942459062</c:v>
                      </c:pt>
                      <c:pt idx="395">
                        <c:v>10.01739856757891</c:v>
                      </c:pt>
                      <c:pt idx="396">
                        <c:v>10.01739856757891</c:v>
                      </c:pt>
                      <c:pt idx="397">
                        <c:v>10.01739856757891</c:v>
                      </c:pt>
                      <c:pt idx="398">
                        <c:v>10.01739856757891</c:v>
                      </c:pt>
                      <c:pt idx="399">
                        <c:v>10.01739856757891</c:v>
                      </c:pt>
                      <c:pt idx="400">
                        <c:v>10.01739856757891</c:v>
                      </c:pt>
                      <c:pt idx="401">
                        <c:v>10.01739856757891</c:v>
                      </c:pt>
                      <c:pt idx="402">
                        <c:v>10.01739856757891</c:v>
                      </c:pt>
                      <c:pt idx="403">
                        <c:v>10.01739856757891</c:v>
                      </c:pt>
                      <c:pt idx="404">
                        <c:v>10.01739856757891</c:v>
                      </c:pt>
                      <c:pt idx="405">
                        <c:v>10.01739856757891</c:v>
                      </c:pt>
                      <c:pt idx="406">
                        <c:v>10.01739856757891</c:v>
                      </c:pt>
                      <c:pt idx="407">
                        <c:v>10.01739856757891</c:v>
                      </c:pt>
                      <c:pt idx="408">
                        <c:v>10.01739856757891</c:v>
                      </c:pt>
                      <c:pt idx="409">
                        <c:v>10.01739856757891</c:v>
                      </c:pt>
                      <c:pt idx="410">
                        <c:v>10.01739856757891</c:v>
                      </c:pt>
                      <c:pt idx="411">
                        <c:v>10.01739856757891</c:v>
                      </c:pt>
                      <c:pt idx="412">
                        <c:v>10.01739856757891</c:v>
                      </c:pt>
                      <c:pt idx="413">
                        <c:v>10.01739856757891</c:v>
                      </c:pt>
                      <c:pt idx="414">
                        <c:v>10.01739856757891</c:v>
                      </c:pt>
                      <c:pt idx="415">
                        <c:v>10.520279308245643</c:v>
                      </c:pt>
                      <c:pt idx="416">
                        <c:v>10.520279308245643</c:v>
                      </c:pt>
                      <c:pt idx="417">
                        <c:v>10.520279308245643</c:v>
                      </c:pt>
                      <c:pt idx="418">
                        <c:v>10.520279308245643</c:v>
                      </c:pt>
                      <c:pt idx="419">
                        <c:v>10.009379462148743</c:v>
                      </c:pt>
                      <c:pt idx="420">
                        <c:v>10.009379462148743</c:v>
                      </c:pt>
                      <c:pt idx="421">
                        <c:v>10.009379462148743</c:v>
                      </c:pt>
                      <c:pt idx="422">
                        <c:v>10.009379462148743</c:v>
                      </c:pt>
                      <c:pt idx="423">
                        <c:v>10.009379462148743</c:v>
                      </c:pt>
                      <c:pt idx="424">
                        <c:v>10.009379462148743</c:v>
                      </c:pt>
                      <c:pt idx="425">
                        <c:v>10.009379462148743</c:v>
                      </c:pt>
                      <c:pt idx="426">
                        <c:v>10.009379462148743</c:v>
                      </c:pt>
                      <c:pt idx="427">
                        <c:v>10.009379462148743</c:v>
                      </c:pt>
                      <c:pt idx="428">
                        <c:v>10.009379462148743</c:v>
                      </c:pt>
                      <c:pt idx="429">
                        <c:v>10.009379462148743</c:v>
                      </c:pt>
                      <c:pt idx="430">
                        <c:v>10.009379462148743</c:v>
                      </c:pt>
                      <c:pt idx="431">
                        <c:v>10.009379462148743</c:v>
                      </c:pt>
                      <c:pt idx="432">
                        <c:v>10.009379462148743</c:v>
                      </c:pt>
                      <c:pt idx="433">
                        <c:v>10.009379462148743</c:v>
                      </c:pt>
                      <c:pt idx="434">
                        <c:v>10.009379462148743</c:v>
                      </c:pt>
                      <c:pt idx="435">
                        <c:v>10.009379462148743</c:v>
                      </c:pt>
                      <c:pt idx="436">
                        <c:v>10.009379462148743</c:v>
                      </c:pt>
                      <c:pt idx="437">
                        <c:v>10.009379462148743</c:v>
                      </c:pt>
                      <c:pt idx="438">
                        <c:v>10.009379462148743</c:v>
                      </c:pt>
                      <c:pt idx="439">
                        <c:v>10.009379462148743</c:v>
                      </c:pt>
                      <c:pt idx="440">
                        <c:v>10.009379462148743</c:v>
                      </c:pt>
                      <c:pt idx="441">
                        <c:v>10.009379462148743</c:v>
                      </c:pt>
                      <c:pt idx="442">
                        <c:v>10.009379462148743</c:v>
                      </c:pt>
                      <c:pt idx="443">
                        <c:v>10.009379462148743</c:v>
                      </c:pt>
                      <c:pt idx="444">
                        <c:v>10.009379462148743</c:v>
                      </c:pt>
                    </c:numCache>
                  </c:numRef>
                </c:val>
                <c:smooth val="1"/>
                <c:extLst>
                  <c:ext xmlns:c16="http://schemas.microsoft.com/office/drawing/2014/chart" uri="{C3380CC4-5D6E-409C-BE32-E72D297353CC}">
                    <c16:uniqueId val="{00000002-A9EF-47C0-896E-1A1AEE0E0DC8}"/>
                  </c:ext>
                </c:extLst>
              </c15:ser>
            </c15:filteredLineSeries>
            <c15:filteredLineSeries>
              <c15:ser>
                <c:idx val="5"/>
                <c:order val="3"/>
                <c:tx>
                  <c:v>Up (MOC)</c:v>
                </c:tx>
                <c:spPr>
                  <a:ln w="19050" cap="rnd">
                    <a:solidFill>
                      <a:schemeClr val="accent6"/>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'2025-Q1'!$GP$4:$GP$448</c15:sqref>
                        </c15:formulaRef>
                      </c:ext>
                    </c:extLst>
                    <c:numCache>
                      <c:formatCode>0.0</c:formatCode>
                      <c:ptCount val="445"/>
                      <c:pt idx="0">
                        <c:v>0</c:v>
                      </c:pt>
                      <c:pt idx="1">
                        <c:v>1.5005969825246932</c:v>
                      </c:pt>
                      <c:pt idx="2">
                        <c:v>1.5005969825246932</c:v>
                      </c:pt>
                      <c:pt idx="3">
                        <c:v>1.8292563486431443</c:v>
                      </c:pt>
                      <c:pt idx="4">
                        <c:v>2.9436450736513393</c:v>
                      </c:pt>
                      <c:pt idx="5">
                        <c:v>3.9465087320186454</c:v>
                      </c:pt>
                      <c:pt idx="6">
                        <c:v>3.9465087320186454</c:v>
                      </c:pt>
                      <c:pt idx="7">
                        <c:v>5.0281413850798682</c:v>
                      </c:pt>
                      <c:pt idx="8">
                        <c:v>5.0281413850798682</c:v>
                      </c:pt>
                      <c:pt idx="9">
                        <c:v>5.0281413850798682</c:v>
                      </c:pt>
                      <c:pt idx="10">
                        <c:v>5.0281413850798682</c:v>
                      </c:pt>
                      <c:pt idx="11">
                        <c:v>5.0281413850798682</c:v>
                      </c:pt>
                      <c:pt idx="12">
                        <c:v>4.7038548155328721</c:v>
                      </c:pt>
                      <c:pt idx="13">
                        <c:v>3.7641036694948897</c:v>
                      </c:pt>
                      <c:pt idx="14">
                        <c:v>3.3683253053787925</c:v>
                      </c:pt>
                      <c:pt idx="15">
                        <c:v>3.3683253053787925</c:v>
                      </c:pt>
                      <c:pt idx="16">
                        <c:v>3.3683253053787925</c:v>
                      </c:pt>
                      <c:pt idx="17">
                        <c:v>3.3683253053787925</c:v>
                      </c:pt>
                      <c:pt idx="18">
                        <c:v>3.3683253053787925</c:v>
                      </c:pt>
                      <c:pt idx="19">
                        <c:v>2.8939829164180333</c:v>
                      </c:pt>
                      <c:pt idx="20">
                        <c:v>2.8939829164180333</c:v>
                      </c:pt>
                      <c:pt idx="21">
                        <c:v>2.8939829164180333</c:v>
                      </c:pt>
                      <c:pt idx="22">
                        <c:v>2.8939829164180333</c:v>
                      </c:pt>
                      <c:pt idx="23">
                        <c:v>2.8939829164180333</c:v>
                      </c:pt>
                      <c:pt idx="24">
                        <c:v>3.58650696567469</c:v>
                      </c:pt>
                      <c:pt idx="25">
                        <c:v>3.58650696567469</c:v>
                      </c:pt>
                      <c:pt idx="26">
                        <c:v>3.58650696567469</c:v>
                      </c:pt>
                      <c:pt idx="27">
                        <c:v>3.58650696567469</c:v>
                      </c:pt>
                      <c:pt idx="28">
                        <c:v>3.58650696567469</c:v>
                      </c:pt>
                      <c:pt idx="29">
                        <c:v>4.2524490321653836</c:v>
                      </c:pt>
                      <c:pt idx="30">
                        <c:v>3.8679032485968001</c:v>
                      </c:pt>
                      <c:pt idx="31">
                        <c:v>3.8679032485968001</c:v>
                      </c:pt>
                      <c:pt idx="32">
                        <c:v>3.8679032485968001</c:v>
                      </c:pt>
                      <c:pt idx="33">
                        <c:v>3.8679032485968001</c:v>
                      </c:pt>
                      <c:pt idx="34">
                        <c:v>3.8679032485968001</c:v>
                      </c:pt>
                      <c:pt idx="35">
                        <c:v>4.3126147870583402</c:v>
                      </c:pt>
                      <c:pt idx="36">
                        <c:v>5.4860654654595171</c:v>
                      </c:pt>
                      <c:pt idx="37">
                        <c:v>5.4860654654595171</c:v>
                      </c:pt>
                      <c:pt idx="38">
                        <c:v>5.4860654654595171</c:v>
                      </c:pt>
                      <c:pt idx="39">
                        <c:v>5.4860654654595171</c:v>
                      </c:pt>
                      <c:pt idx="40">
                        <c:v>6.5705557966349719</c:v>
                      </c:pt>
                      <c:pt idx="41">
                        <c:v>6.5705557966349719</c:v>
                      </c:pt>
                      <c:pt idx="42">
                        <c:v>6.5705557966349719</c:v>
                      </c:pt>
                      <c:pt idx="43">
                        <c:v>6.8625389189978439</c:v>
                      </c:pt>
                      <c:pt idx="44">
                        <c:v>6.8625389189978439</c:v>
                      </c:pt>
                      <c:pt idx="45">
                        <c:v>7.9632680193022232</c:v>
                      </c:pt>
                      <c:pt idx="46">
                        <c:v>7.9632680193022232</c:v>
                      </c:pt>
                      <c:pt idx="47">
                        <c:v>7.9632680193022232</c:v>
                      </c:pt>
                      <c:pt idx="48">
                        <c:v>7.9632680193022232</c:v>
                      </c:pt>
                      <c:pt idx="49">
                        <c:v>8.2969427872818624</c:v>
                      </c:pt>
                      <c:pt idx="50">
                        <c:v>8.2969427872818624</c:v>
                      </c:pt>
                      <c:pt idx="51">
                        <c:v>7.6230580787965563</c:v>
                      </c:pt>
                      <c:pt idx="52">
                        <c:v>7.6230580787965563</c:v>
                      </c:pt>
                      <c:pt idx="53">
                        <c:v>7.6230580787965563</c:v>
                      </c:pt>
                      <c:pt idx="54">
                        <c:v>7.3913705960580387</c:v>
                      </c:pt>
                      <c:pt idx="55">
                        <c:v>7.3913705960580387</c:v>
                      </c:pt>
                      <c:pt idx="56">
                        <c:v>7.3913705960580387</c:v>
                      </c:pt>
                      <c:pt idx="57">
                        <c:v>8.4330372627247048</c:v>
                      </c:pt>
                      <c:pt idx="58">
                        <c:v>8.4330372627247048</c:v>
                      </c:pt>
                      <c:pt idx="59">
                        <c:v>8.4330372627247048</c:v>
                      </c:pt>
                      <c:pt idx="60">
                        <c:v>8.4330372627247048</c:v>
                      </c:pt>
                      <c:pt idx="61">
                        <c:v>8.4330372627247048</c:v>
                      </c:pt>
                      <c:pt idx="62">
                        <c:v>8.4330372627247048</c:v>
                      </c:pt>
                      <c:pt idx="63">
                        <c:v>8.4330372627247048</c:v>
                      </c:pt>
                      <c:pt idx="64">
                        <c:v>10.433853635215767</c:v>
                      </c:pt>
                      <c:pt idx="65">
                        <c:v>8.9529116590079489</c:v>
                      </c:pt>
                      <c:pt idx="66">
                        <c:v>8.5495513338934614</c:v>
                      </c:pt>
                      <c:pt idx="67">
                        <c:v>8.5495513338934614</c:v>
                      </c:pt>
                      <c:pt idx="68">
                        <c:v>8.5495513338934614</c:v>
                      </c:pt>
                      <c:pt idx="69">
                        <c:v>7.78611970873839</c:v>
                      </c:pt>
                      <c:pt idx="70">
                        <c:v>7.78611970873839</c:v>
                      </c:pt>
                      <c:pt idx="71">
                        <c:v>7.78611970873839</c:v>
                      </c:pt>
                      <c:pt idx="72">
                        <c:v>7.78611970873839</c:v>
                      </c:pt>
                      <c:pt idx="73">
                        <c:v>7.78611970873839</c:v>
                      </c:pt>
                      <c:pt idx="74">
                        <c:v>7.78611970873839</c:v>
                      </c:pt>
                      <c:pt idx="75">
                        <c:v>9.6856204255311109</c:v>
                      </c:pt>
                      <c:pt idx="76">
                        <c:v>9.6856204255311109</c:v>
                      </c:pt>
                      <c:pt idx="77">
                        <c:v>9.6856204255311109</c:v>
                      </c:pt>
                      <c:pt idx="78">
                        <c:v>9.6856204255311109</c:v>
                      </c:pt>
                      <c:pt idx="79">
                        <c:v>9.8118872843915792</c:v>
                      </c:pt>
                      <c:pt idx="80">
                        <c:v>9.8118872843915792</c:v>
                      </c:pt>
                      <c:pt idx="81">
                        <c:v>9.8118872843915792</c:v>
                      </c:pt>
                      <c:pt idx="82">
                        <c:v>9.9227383744273006</c:v>
                      </c:pt>
                      <c:pt idx="83">
                        <c:v>9.9227383744273006</c:v>
                      </c:pt>
                      <c:pt idx="84">
                        <c:v>9.4575161738937599</c:v>
                      </c:pt>
                      <c:pt idx="85">
                        <c:v>9.4575161738937599</c:v>
                      </c:pt>
                      <c:pt idx="86">
                        <c:v>9.4575161738937599</c:v>
                      </c:pt>
                      <c:pt idx="87">
                        <c:v>9.9915645762552927</c:v>
                      </c:pt>
                      <c:pt idx="88">
                        <c:v>9.9915645762552927</c:v>
                      </c:pt>
                      <c:pt idx="89">
                        <c:v>9.9915645762552927</c:v>
                      </c:pt>
                      <c:pt idx="90">
                        <c:v>9.9915645762552927</c:v>
                      </c:pt>
                      <c:pt idx="91">
                        <c:v>9.9915645762552927</c:v>
                      </c:pt>
                      <c:pt idx="92">
                        <c:v>9.2007288811370884</c:v>
                      </c:pt>
                      <c:pt idx="93">
                        <c:v>9.5455382799951973</c:v>
                      </c:pt>
                      <c:pt idx="94">
                        <c:v>9.5455382799951973</c:v>
                      </c:pt>
                      <c:pt idx="95">
                        <c:v>9.4128017764878535</c:v>
                      </c:pt>
                      <c:pt idx="96">
                        <c:v>9.4128017764878535</c:v>
                      </c:pt>
                      <c:pt idx="97">
                        <c:v>9.4128017764878535</c:v>
                      </c:pt>
                      <c:pt idx="98">
                        <c:v>9.4128017764878535</c:v>
                      </c:pt>
                      <c:pt idx="99">
                        <c:v>10.795661754163655</c:v>
                      </c:pt>
                      <c:pt idx="100">
                        <c:v>11.318317244931391</c:v>
                      </c:pt>
                      <c:pt idx="101">
                        <c:v>10.635036056741368</c:v>
                      </c:pt>
                      <c:pt idx="102">
                        <c:v>10.635036056741368</c:v>
                      </c:pt>
                      <c:pt idx="103">
                        <c:v>10.635036056741368</c:v>
                      </c:pt>
                      <c:pt idx="104">
                        <c:v>10.635036056741368</c:v>
                      </c:pt>
                      <c:pt idx="105">
                        <c:v>10.635036056741368</c:v>
                      </c:pt>
                      <c:pt idx="106">
                        <c:v>10.635036056741368</c:v>
                      </c:pt>
                      <c:pt idx="107">
                        <c:v>10.635036056741368</c:v>
                      </c:pt>
                      <c:pt idx="108">
                        <c:v>10.635036056741368</c:v>
                      </c:pt>
                      <c:pt idx="109">
                        <c:v>10.635036056741368</c:v>
                      </c:pt>
                      <c:pt idx="110">
                        <c:v>10.635036056741368</c:v>
                      </c:pt>
                      <c:pt idx="111">
                        <c:v>10.635036056741368</c:v>
                      </c:pt>
                      <c:pt idx="112">
                        <c:v>10.635036056741368</c:v>
                      </c:pt>
                      <c:pt idx="113">
                        <c:v>10.635036056741368</c:v>
                      </c:pt>
                      <c:pt idx="114">
                        <c:v>10.635036056741368</c:v>
                      </c:pt>
                      <c:pt idx="115">
                        <c:v>10.635036056741368</c:v>
                      </c:pt>
                      <c:pt idx="116">
                        <c:v>10.635036056741368</c:v>
                      </c:pt>
                      <c:pt idx="117">
                        <c:v>10.700262523032329</c:v>
                      </c:pt>
                      <c:pt idx="118">
                        <c:v>10.700262523032329</c:v>
                      </c:pt>
                      <c:pt idx="119">
                        <c:v>10.700262523032329</c:v>
                      </c:pt>
                      <c:pt idx="120">
                        <c:v>10.700262523032329</c:v>
                      </c:pt>
                      <c:pt idx="121">
                        <c:v>10.700262523032329</c:v>
                      </c:pt>
                      <c:pt idx="122">
                        <c:v>10.700262523032329</c:v>
                      </c:pt>
                      <c:pt idx="123">
                        <c:v>10.700262523032329</c:v>
                      </c:pt>
                      <c:pt idx="124">
                        <c:v>10.700262523032329</c:v>
                      </c:pt>
                      <c:pt idx="125">
                        <c:v>10.700262523032329</c:v>
                      </c:pt>
                      <c:pt idx="126">
                        <c:v>10.822320064444709</c:v>
                      </c:pt>
                      <c:pt idx="127">
                        <c:v>10.822320064444709</c:v>
                      </c:pt>
                      <c:pt idx="128">
                        <c:v>10.761590336028053</c:v>
                      </c:pt>
                      <c:pt idx="129">
                        <c:v>10.761590336028053</c:v>
                      </c:pt>
                      <c:pt idx="130">
                        <c:v>10.761590336028053</c:v>
                      </c:pt>
                      <c:pt idx="131">
                        <c:v>10.761590336028053</c:v>
                      </c:pt>
                      <c:pt idx="132">
                        <c:v>11.352023818838216</c:v>
                      </c:pt>
                      <c:pt idx="133">
                        <c:v>11.352023818838216</c:v>
                      </c:pt>
                      <c:pt idx="134">
                        <c:v>11.352023818838216</c:v>
                      </c:pt>
                      <c:pt idx="135">
                        <c:v>11.352023818838216</c:v>
                      </c:pt>
                      <c:pt idx="136">
                        <c:v>7.9344271176594248</c:v>
                      </c:pt>
                      <c:pt idx="137">
                        <c:v>7.9344271176594248</c:v>
                      </c:pt>
                      <c:pt idx="138">
                        <c:v>7.9344271176594248</c:v>
                      </c:pt>
                      <c:pt idx="139">
                        <c:v>7.9344271176594248</c:v>
                      </c:pt>
                      <c:pt idx="140">
                        <c:v>10.421159964010178</c:v>
                      </c:pt>
                      <c:pt idx="141">
                        <c:v>10.421159964010178</c:v>
                      </c:pt>
                      <c:pt idx="142">
                        <c:v>10.421159964010178</c:v>
                      </c:pt>
                      <c:pt idx="143">
                        <c:v>10.421159964010178</c:v>
                      </c:pt>
                      <c:pt idx="144">
                        <c:v>10.421159964010178</c:v>
                      </c:pt>
                      <c:pt idx="145">
                        <c:v>10.421159964010178</c:v>
                      </c:pt>
                      <c:pt idx="146">
                        <c:v>10.421159964010178</c:v>
                      </c:pt>
                      <c:pt idx="147">
                        <c:v>10.421159964010178</c:v>
                      </c:pt>
                      <c:pt idx="148">
                        <c:v>10.421159964010178</c:v>
                      </c:pt>
                      <c:pt idx="149">
                        <c:v>10.421159964010178</c:v>
                      </c:pt>
                      <c:pt idx="150">
                        <c:v>10.421159964010178</c:v>
                      </c:pt>
                      <c:pt idx="151">
                        <c:v>10.421159964010178</c:v>
                      </c:pt>
                      <c:pt idx="152">
                        <c:v>10.421159964010178</c:v>
                      </c:pt>
                      <c:pt idx="153">
                        <c:v>10.358429953973376</c:v>
                      </c:pt>
                      <c:pt idx="154">
                        <c:v>10.358429953973376</c:v>
                      </c:pt>
                      <c:pt idx="155">
                        <c:v>10.358429953973376</c:v>
                      </c:pt>
                      <c:pt idx="156">
                        <c:v>10.358429953973376</c:v>
                      </c:pt>
                      <c:pt idx="157">
                        <c:v>10.358429953973376</c:v>
                      </c:pt>
                      <c:pt idx="158">
                        <c:v>14.356917335551275</c:v>
                      </c:pt>
                      <c:pt idx="159">
                        <c:v>14.356917335551275</c:v>
                      </c:pt>
                      <c:pt idx="160">
                        <c:v>14.356917335551275</c:v>
                      </c:pt>
                      <c:pt idx="161">
                        <c:v>14.356917335551275</c:v>
                      </c:pt>
                      <c:pt idx="162">
                        <c:v>14.356917335551275</c:v>
                      </c:pt>
                      <c:pt idx="163">
                        <c:v>14.356917335551275</c:v>
                      </c:pt>
                      <c:pt idx="164">
                        <c:v>14.356917335551275</c:v>
                      </c:pt>
                      <c:pt idx="165">
                        <c:v>12.935522898595021</c:v>
                      </c:pt>
                      <c:pt idx="166">
                        <c:v>10.740237455627755</c:v>
                      </c:pt>
                      <c:pt idx="167">
                        <c:v>10.740237455627755</c:v>
                      </c:pt>
                      <c:pt idx="168">
                        <c:v>10.740237455627755</c:v>
                      </c:pt>
                      <c:pt idx="169">
                        <c:v>10.740237455627755</c:v>
                      </c:pt>
                      <c:pt idx="170">
                        <c:v>10.740237455627755</c:v>
                      </c:pt>
                      <c:pt idx="171">
                        <c:v>10.720765628927012</c:v>
                      </c:pt>
                      <c:pt idx="172">
                        <c:v>10.198593473404385</c:v>
                      </c:pt>
                      <c:pt idx="173">
                        <c:v>10.198593473404385</c:v>
                      </c:pt>
                      <c:pt idx="174">
                        <c:v>10.198593473404385</c:v>
                      </c:pt>
                      <c:pt idx="175">
                        <c:v>10.198593473404385</c:v>
                      </c:pt>
                      <c:pt idx="176">
                        <c:v>10.198593473404385</c:v>
                      </c:pt>
                      <c:pt idx="177">
                        <c:v>10.198593473404385</c:v>
                      </c:pt>
                      <c:pt idx="178">
                        <c:v>10.998213992480078</c:v>
                      </c:pt>
                      <c:pt idx="179">
                        <c:v>10.998213992480078</c:v>
                      </c:pt>
                      <c:pt idx="180">
                        <c:v>10.998213992480078</c:v>
                      </c:pt>
                      <c:pt idx="181">
                        <c:v>10.998213992480078</c:v>
                      </c:pt>
                      <c:pt idx="182">
                        <c:v>10.998213992480078</c:v>
                      </c:pt>
                      <c:pt idx="183">
                        <c:v>9.8419544639707812</c:v>
                      </c:pt>
                      <c:pt idx="184">
                        <c:v>9.8419544639707812</c:v>
                      </c:pt>
                      <c:pt idx="185">
                        <c:v>9.8419544639707812</c:v>
                      </c:pt>
                      <c:pt idx="186">
                        <c:v>9.8419544639707812</c:v>
                      </c:pt>
                      <c:pt idx="187">
                        <c:v>9.8419544639707812</c:v>
                      </c:pt>
                      <c:pt idx="188">
                        <c:v>9.8419544639707812</c:v>
                      </c:pt>
                      <c:pt idx="189">
                        <c:v>9.8419544639707812</c:v>
                      </c:pt>
                      <c:pt idx="190">
                        <c:v>9.8419544639707812</c:v>
                      </c:pt>
                      <c:pt idx="191">
                        <c:v>9.8419544639707812</c:v>
                      </c:pt>
                      <c:pt idx="192">
                        <c:v>9.8419544639707812</c:v>
                      </c:pt>
                      <c:pt idx="193">
                        <c:v>9.8419544639707812</c:v>
                      </c:pt>
                      <c:pt idx="194">
                        <c:v>9.8419544639707812</c:v>
                      </c:pt>
                      <c:pt idx="195">
                        <c:v>9.8419544639707812</c:v>
                      </c:pt>
                      <c:pt idx="196">
                        <c:v>9.8419544639707812</c:v>
                      </c:pt>
                      <c:pt idx="197">
                        <c:v>9.8419544639707812</c:v>
                      </c:pt>
                      <c:pt idx="198">
                        <c:v>9.8419544639707812</c:v>
                      </c:pt>
                      <c:pt idx="199">
                        <c:v>9.8419544639707812</c:v>
                      </c:pt>
                      <c:pt idx="200">
                        <c:v>9.6401678589737294</c:v>
                      </c:pt>
                      <c:pt idx="201">
                        <c:v>9.6401678589737294</c:v>
                      </c:pt>
                      <c:pt idx="202">
                        <c:v>9.6401678589737294</c:v>
                      </c:pt>
                      <c:pt idx="203">
                        <c:v>9.8703526506806369</c:v>
                      </c:pt>
                      <c:pt idx="204">
                        <c:v>11.061495712330654</c:v>
                      </c:pt>
                      <c:pt idx="205">
                        <c:v>11.061495712330654</c:v>
                      </c:pt>
                      <c:pt idx="206">
                        <c:v>11.061495712330654</c:v>
                      </c:pt>
                      <c:pt idx="207">
                        <c:v>11.061495712330654</c:v>
                      </c:pt>
                      <c:pt idx="208">
                        <c:v>11.174784260249723</c:v>
                      </c:pt>
                      <c:pt idx="209">
                        <c:v>11.174784260249723</c:v>
                      </c:pt>
                      <c:pt idx="210">
                        <c:v>11.174784260249723</c:v>
                      </c:pt>
                      <c:pt idx="211">
                        <c:v>11.174784260249723</c:v>
                      </c:pt>
                      <c:pt idx="212">
                        <c:v>11.174784260249723</c:v>
                      </c:pt>
                      <c:pt idx="213">
                        <c:v>11.174784260249723</c:v>
                      </c:pt>
                      <c:pt idx="214">
                        <c:v>11.174784260249723</c:v>
                      </c:pt>
                      <c:pt idx="215">
                        <c:v>11.174784260249723</c:v>
                      </c:pt>
                      <c:pt idx="216">
                        <c:v>11.174784260249723</c:v>
                      </c:pt>
                      <c:pt idx="217">
                        <c:v>11.174784260249723</c:v>
                      </c:pt>
                      <c:pt idx="218">
                        <c:v>11.174784260249723</c:v>
                      </c:pt>
                      <c:pt idx="219">
                        <c:v>11.174784260249723</c:v>
                      </c:pt>
                      <c:pt idx="220">
                        <c:v>11.174784260249723</c:v>
                      </c:pt>
                      <c:pt idx="221">
                        <c:v>10.793503574989092</c:v>
                      </c:pt>
                      <c:pt idx="222">
                        <c:v>11.489277099709987</c:v>
                      </c:pt>
                      <c:pt idx="223">
                        <c:v>11.527012625134297</c:v>
                      </c:pt>
                      <c:pt idx="224">
                        <c:v>11.527012625134297</c:v>
                      </c:pt>
                      <c:pt idx="225">
                        <c:v>11.527012625134297</c:v>
                      </c:pt>
                      <c:pt idx="226">
                        <c:v>11.527012625134297</c:v>
                      </c:pt>
                      <c:pt idx="227">
                        <c:v>11.386619524452389</c:v>
                      </c:pt>
                      <c:pt idx="228">
                        <c:v>11.386619524452389</c:v>
                      </c:pt>
                      <c:pt idx="229">
                        <c:v>11.386619524452389</c:v>
                      </c:pt>
                      <c:pt idx="230">
                        <c:v>11.386619524452389</c:v>
                      </c:pt>
                      <c:pt idx="231">
                        <c:v>10.966804243176151</c:v>
                      </c:pt>
                      <c:pt idx="232">
                        <c:v>10.966804243176151</c:v>
                      </c:pt>
                      <c:pt idx="233">
                        <c:v>10.966804243176151</c:v>
                      </c:pt>
                      <c:pt idx="234">
                        <c:v>10.966804243176151</c:v>
                      </c:pt>
                      <c:pt idx="235">
                        <c:v>10.966804243176151</c:v>
                      </c:pt>
                      <c:pt idx="236">
                        <c:v>12.79151030517035</c:v>
                      </c:pt>
                      <c:pt idx="237">
                        <c:v>12.79151030517035</c:v>
                      </c:pt>
                      <c:pt idx="238">
                        <c:v>12.79151030517035</c:v>
                      </c:pt>
                      <c:pt idx="239">
                        <c:v>12.152309724586415</c:v>
                      </c:pt>
                      <c:pt idx="240">
                        <c:v>12.876225924544931</c:v>
                      </c:pt>
                      <c:pt idx="241">
                        <c:v>12.625087798575649</c:v>
                      </c:pt>
                      <c:pt idx="242">
                        <c:v>11.411099387574263</c:v>
                      </c:pt>
                      <c:pt idx="243">
                        <c:v>12.221648156238212</c:v>
                      </c:pt>
                      <c:pt idx="244">
                        <c:v>12.221648156238212</c:v>
                      </c:pt>
                      <c:pt idx="245">
                        <c:v>12.221648156238212</c:v>
                      </c:pt>
                      <c:pt idx="246">
                        <c:v>12.221648156238212</c:v>
                      </c:pt>
                      <c:pt idx="247">
                        <c:v>12.221648156238212</c:v>
                      </c:pt>
                      <c:pt idx="248">
                        <c:v>12.221648156238212</c:v>
                      </c:pt>
                      <c:pt idx="249">
                        <c:v>12.221648156238212</c:v>
                      </c:pt>
                      <c:pt idx="250">
                        <c:v>12.221648156238212</c:v>
                      </c:pt>
                      <c:pt idx="251">
                        <c:v>12.071642155998202</c:v>
                      </c:pt>
                      <c:pt idx="252">
                        <c:v>12.071642155998202</c:v>
                      </c:pt>
                      <c:pt idx="253">
                        <c:v>14.074912801950779</c:v>
                      </c:pt>
                      <c:pt idx="254">
                        <c:v>15.690709321361755</c:v>
                      </c:pt>
                      <c:pt idx="255">
                        <c:v>15.690709321361755</c:v>
                      </c:pt>
                      <c:pt idx="256">
                        <c:v>15.690709321361755</c:v>
                      </c:pt>
                      <c:pt idx="257">
                        <c:v>15.690709321361755</c:v>
                      </c:pt>
                      <c:pt idx="258">
                        <c:v>15.690709321361755</c:v>
                      </c:pt>
                      <c:pt idx="259">
                        <c:v>15.015193961761481</c:v>
                      </c:pt>
                      <c:pt idx="260">
                        <c:v>15.483108400264154</c:v>
                      </c:pt>
                      <c:pt idx="261">
                        <c:v>15.483108400264154</c:v>
                      </c:pt>
                      <c:pt idx="262">
                        <c:v>15.483108400264154</c:v>
                      </c:pt>
                      <c:pt idx="263">
                        <c:v>15.483108400264154</c:v>
                      </c:pt>
                      <c:pt idx="264">
                        <c:v>15.483108400264154</c:v>
                      </c:pt>
                      <c:pt idx="265">
                        <c:v>15.483108400264154</c:v>
                      </c:pt>
                      <c:pt idx="266">
                        <c:v>15.483108400264154</c:v>
                      </c:pt>
                      <c:pt idx="267">
                        <c:v>15.57470012824429</c:v>
                      </c:pt>
                      <c:pt idx="268">
                        <c:v>15.57470012824429</c:v>
                      </c:pt>
                      <c:pt idx="269">
                        <c:v>15.451223381832293</c:v>
                      </c:pt>
                      <c:pt idx="270">
                        <c:v>15.451223381832293</c:v>
                      </c:pt>
                      <c:pt idx="271">
                        <c:v>15.451223381832293</c:v>
                      </c:pt>
                      <c:pt idx="272">
                        <c:v>15.291798081229167</c:v>
                      </c:pt>
                      <c:pt idx="273">
                        <c:v>15.291798081229167</c:v>
                      </c:pt>
                      <c:pt idx="274">
                        <c:v>15.291798081229167</c:v>
                      </c:pt>
                      <c:pt idx="275">
                        <c:v>15.291798081229167</c:v>
                      </c:pt>
                      <c:pt idx="276">
                        <c:v>15.291798081229167</c:v>
                      </c:pt>
                      <c:pt idx="277">
                        <c:v>15.291798081229167</c:v>
                      </c:pt>
                      <c:pt idx="278">
                        <c:v>14.39126706902136</c:v>
                      </c:pt>
                      <c:pt idx="279">
                        <c:v>14.39126706902136</c:v>
                      </c:pt>
                      <c:pt idx="280">
                        <c:v>14.39126706902136</c:v>
                      </c:pt>
                      <c:pt idx="281">
                        <c:v>14.39126706902136</c:v>
                      </c:pt>
                      <c:pt idx="282">
                        <c:v>14.39126706902136</c:v>
                      </c:pt>
                      <c:pt idx="283">
                        <c:v>14.39126706902136</c:v>
                      </c:pt>
                      <c:pt idx="284">
                        <c:v>14.39126706902136</c:v>
                      </c:pt>
                      <c:pt idx="285">
                        <c:v>14.39126706902136</c:v>
                      </c:pt>
                      <c:pt idx="286">
                        <c:v>15.634246057995773</c:v>
                      </c:pt>
                      <c:pt idx="287">
                        <c:v>15.634246057995773</c:v>
                      </c:pt>
                      <c:pt idx="288">
                        <c:v>15.634246057995773</c:v>
                      </c:pt>
                      <c:pt idx="289">
                        <c:v>15.634246057995773</c:v>
                      </c:pt>
                      <c:pt idx="290">
                        <c:v>15.634246057995773</c:v>
                      </c:pt>
                      <c:pt idx="291">
                        <c:v>15.568923176323505</c:v>
                      </c:pt>
                      <c:pt idx="292">
                        <c:v>16.066703160328359</c:v>
                      </c:pt>
                      <c:pt idx="293">
                        <c:v>16.066703160328359</c:v>
                      </c:pt>
                      <c:pt idx="294">
                        <c:v>16.066703160328359</c:v>
                      </c:pt>
                      <c:pt idx="295">
                        <c:v>16.066703160328359</c:v>
                      </c:pt>
                      <c:pt idx="296">
                        <c:v>16.066703160328359</c:v>
                      </c:pt>
                      <c:pt idx="297">
                        <c:v>14.557157385454888</c:v>
                      </c:pt>
                      <c:pt idx="298">
                        <c:v>14.557157385454888</c:v>
                      </c:pt>
                      <c:pt idx="299">
                        <c:v>14.557157385454888</c:v>
                      </c:pt>
                      <c:pt idx="300">
                        <c:v>13.59570591449171</c:v>
                      </c:pt>
                      <c:pt idx="301">
                        <c:v>13.59570591449171</c:v>
                      </c:pt>
                      <c:pt idx="302">
                        <c:v>13.94487164827283</c:v>
                      </c:pt>
                      <c:pt idx="303">
                        <c:v>13.94487164827283</c:v>
                      </c:pt>
                      <c:pt idx="304">
                        <c:v>13.94487164827283</c:v>
                      </c:pt>
                      <c:pt idx="305">
                        <c:v>13.94487164827283</c:v>
                      </c:pt>
                      <c:pt idx="306">
                        <c:v>13.94487164827283</c:v>
                      </c:pt>
                      <c:pt idx="307">
                        <c:v>13.94487164827283</c:v>
                      </c:pt>
                      <c:pt idx="308">
                        <c:v>17.948079473262315</c:v>
                      </c:pt>
                      <c:pt idx="309">
                        <c:v>18.674838996318137</c:v>
                      </c:pt>
                      <c:pt idx="310">
                        <c:v>18.313219612959625</c:v>
                      </c:pt>
                      <c:pt idx="311">
                        <c:v>18.313219612959625</c:v>
                      </c:pt>
                      <c:pt idx="312">
                        <c:v>18.311918444510358</c:v>
                      </c:pt>
                      <c:pt idx="313">
                        <c:v>18.311918444510358</c:v>
                      </c:pt>
                      <c:pt idx="314">
                        <c:v>18.311918444510358</c:v>
                      </c:pt>
                      <c:pt idx="315">
                        <c:v>18.311918444510358</c:v>
                      </c:pt>
                      <c:pt idx="316">
                        <c:v>18.311918444510358</c:v>
                      </c:pt>
                      <c:pt idx="317">
                        <c:v>18.311918444510358</c:v>
                      </c:pt>
                      <c:pt idx="318">
                        <c:v>18.311918444510358</c:v>
                      </c:pt>
                      <c:pt idx="319">
                        <c:v>18.311918444510358</c:v>
                      </c:pt>
                      <c:pt idx="320">
                        <c:v>18.311918444510358</c:v>
                      </c:pt>
                      <c:pt idx="321">
                        <c:v>18.311918444510358</c:v>
                      </c:pt>
                      <c:pt idx="322">
                        <c:v>18.822705858946044</c:v>
                      </c:pt>
                      <c:pt idx="323">
                        <c:v>18.822705858946044</c:v>
                      </c:pt>
                      <c:pt idx="324">
                        <c:v>18.822705858946044</c:v>
                      </c:pt>
                      <c:pt idx="325">
                        <c:v>16.442761691573629</c:v>
                      </c:pt>
                      <c:pt idx="326">
                        <c:v>14.594047508057683</c:v>
                      </c:pt>
                      <c:pt idx="327">
                        <c:v>14.594047508057683</c:v>
                      </c:pt>
                      <c:pt idx="328">
                        <c:v>14.594047508057683</c:v>
                      </c:pt>
                      <c:pt idx="329">
                        <c:v>14.594047508057683</c:v>
                      </c:pt>
                      <c:pt idx="330">
                        <c:v>14.594047508057683</c:v>
                      </c:pt>
                      <c:pt idx="331">
                        <c:v>14.594047508057683</c:v>
                      </c:pt>
                      <c:pt idx="332">
                        <c:v>13.383689428827713</c:v>
                      </c:pt>
                      <c:pt idx="333">
                        <c:v>13.383689428827713</c:v>
                      </c:pt>
                      <c:pt idx="334">
                        <c:v>13.383689428827713</c:v>
                      </c:pt>
                      <c:pt idx="335">
                        <c:v>13.383689428827713</c:v>
                      </c:pt>
                      <c:pt idx="336">
                        <c:v>13.383689428827713</c:v>
                      </c:pt>
                      <c:pt idx="337">
                        <c:v>13.383689428827713</c:v>
                      </c:pt>
                      <c:pt idx="338">
                        <c:v>13.526245521551154</c:v>
                      </c:pt>
                      <c:pt idx="339">
                        <c:v>13.526245521551154</c:v>
                      </c:pt>
                      <c:pt idx="340">
                        <c:v>13.526245521551154</c:v>
                      </c:pt>
                      <c:pt idx="341">
                        <c:v>13.526245521551154</c:v>
                      </c:pt>
                      <c:pt idx="342">
                        <c:v>13.526245521551154</c:v>
                      </c:pt>
                      <c:pt idx="343">
                        <c:v>13.526245521551154</c:v>
                      </c:pt>
                      <c:pt idx="344">
                        <c:v>13.526245521551154</c:v>
                      </c:pt>
                      <c:pt idx="345">
                        <c:v>13.526245521551154</c:v>
                      </c:pt>
                      <c:pt idx="346">
                        <c:v>13.526245521551154</c:v>
                      </c:pt>
                      <c:pt idx="347">
                        <c:v>13.526245521551154</c:v>
                      </c:pt>
                      <c:pt idx="348">
                        <c:v>12.554614315877394</c:v>
                      </c:pt>
                      <c:pt idx="349">
                        <c:v>12.554614315877394</c:v>
                      </c:pt>
                      <c:pt idx="350">
                        <c:v>11.466473290236367</c:v>
                      </c:pt>
                      <c:pt idx="351">
                        <c:v>11.466473290236367</c:v>
                      </c:pt>
                      <c:pt idx="352">
                        <c:v>11.466473290236367</c:v>
                      </c:pt>
                      <c:pt idx="353">
                        <c:v>11.466473290236367</c:v>
                      </c:pt>
                      <c:pt idx="354">
                        <c:v>11.466473290236367</c:v>
                      </c:pt>
                      <c:pt idx="355">
                        <c:v>9.3330159787541831</c:v>
                      </c:pt>
                      <c:pt idx="356">
                        <c:v>9.3330159787541831</c:v>
                      </c:pt>
                      <c:pt idx="357">
                        <c:v>9.3330159787541831</c:v>
                      </c:pt>
                      <c:pt idx="358">
                        <c:v>9.3330159787541831</c:v>
                      </c:pt>
                      <c:pt idx="359">
                        <c:v>9.0135131776337367</c:v>
                      </c:pt>
                      <c:pt idx="360">
                        <c:v>8.6961244371293827</c:v>
                      </c:pt>
                      <c:pt idx="361">
                        <c:v>8.6961244371293827</c:v>
                      </c:pt>
                      <c:pt idx="362">
                        <c:v>6.0037363150047494</c:v>
                      </c:pt>
                      <c:pt idx="363">
                        <c:v>6.0037363150047494</c:v>
                      </c:pt>
                      <c:pt idx="364">
                        <c:v>6.0037363150047494</c:v>
                      </c:pt>
                      <c:pt idx="365">
                        <c:v>6.0037363150047494</c:v>
                      </c:pt>
                      <c:pt idx="366">
                        <c:v>6.0037363150047494</c:v>
                      </c:pt>
                      <c:pt idx="367">
                        <c:v>6.0037363150047494</c:v>
                      </c:pt>
                      <c:pt idx="368">
                        <c:v>6.0037363150047494</c:v>
                      </c:pt>
                      <c:pt idx="369">
                        <c:v>6.0037363150047494</c:v>
                      </c:pt>
                      <c:pt idx="370">
                        <c:v>6.0037363150047494</c:v>
                      </c:pt>
                      <c:pt idx="371">
                        <c:v>6.0037363150047494</c:v>
                      </c:pt>
                      <c:pt idx="372">
                        <c:v>6.0037363150047494</c:v>
                      </c:pt>
                      <c:pt idx="373">
                        <c:v>5.3536851561453664</c:v>
                      </c:pt>
                      <c:pt idx="374">
                        <c:v>5.3536851561453664</c:v>
                      </c:pt>
                      <c:pt idx="375">
                        <c:v>5.3536851561453664</c:v>
                      </c:pt>
                      <c:pt idx="376">
                        <c:v>5.3536851561453664</c:v>
                      </c:pt>
                      <c:pt idx="377">
                        <c:v>5.3536851561453664</c:v>
                      </c:pt>
                      <c:pt idx="378">
                        <c:v>5.3536851561453664</c:v>
                      </c:pt>
                      <c:pt idx="379">
                        <c:v>5.3536851561453664</c:v>
                      </c:pt>
                      <c:pt idx="380">
                        <c:v>5.3536851561453664</c:v>
                      </c:pt>
                      <c:pt idx="381">
                        <c:v>5.3536851561453664</c:v>
                      </c:pt>
                      <c:pt idx="382">
                        <c:v>3.9893037078761537</c:v>
                      </c:pt>
                      <c:pt idx="383">
                        <c:v>3.9893037078761537</c:v>
                      </c:pt>
                      <c:pt idx="384">
                        <c:v>3.9893037078761537</c:v>
                      </c:pt>
                      <c:pt idx="385">
                        <c:v>3.9893037078761537</c:v>
                      </c:pt>
                      <c:pt idx="386">
                        <c:v>3.9893037078761537</c:v>
                      </c:pt>
                      <c:pt idx="387">
                        <c:v>3.9893037078761537</c:v>
                      </c:pt>
                      <c:pt idx="388">
                        <c:v>3.9893037078761537</c:v>
                      </c:pt>
                      <c:pt idx="389">
                        <c:v>3.9893037078761537</c:v>
                      </c:pt>
                      <c:pt idx="390">
                        <c:v>3.9893037078761537</c:v>
                      </c:pt>
                      <c:pt idx="391">
                        <c:v>3.9893037078761537</c:v>
                      </c:pt>
                      <c:pt idx="392">
                        <c:v>3.9893037078761537</c:v>
                      </c:pt>
                      <c:pt idx="393">
                        <c:v>3.9893037078761537</c:v>
                      </c:pt>
                      <c:pt idx="394">
                        <c:v>3.9893037078761537</c:v>
                      </c:pt>
                      <c:pt idx="395">
                        <c:v>3.2522471402826749</c:v>
                      </c:pt>
                      <c:pt idx="396">
                        <c:v>3.2522471402826749</c:v>
                      </c:pt>
                      <c:pt idx="397">
                        <c:v>3.2522471402826749</c:v>
                      </c:pt>
                      <c:pt idx="398">
                        <c:v>3.2522471402826749</c:v>
                      </c:pt>
                      <c:pt idx="399">
                        <c:v>3.2522471402826749</c:v>
                      </c:pt>
                      <c:pt idx="400">
                        <c:v>3.2522471402826749</c:v>
                      </c:pt>
                      <c:pt idx="401">
                        <c:v>3.2522471402826749</c:v>
                      </c:pt>
                      <c:pt idx="402">
                        <c:v>3.2522471402826749</c:v>
                      </c:pt>
                      <c:pt idx="403">
                        <c:v>3.2522471402826749</c:v>
                      </c:pt>
                      <c:pt idx="404">
                        <c:v>3.2522471402826749</c:v>
                      </c:pt>
                      <c:pt idx="405">
                        <c:v>3.2522471402826749</c:v>
                      </c:pt>
                      <c:pt idx="406">
                        <c:v>3.2522471402826749</c:v>
                      </c:pt>
                      <c:pt idx="407">
                        <c:v>3.2522471402826749</c:v>
                      </c:pt>
                      <c:pt idx="408">
                        <c:v>3.2522471402826749</c:v>
                      </c:pt>
                      <c:pt idx="409">
                        <c:v>3.2522471402826749</c:v>
                      </c:pt>
                      <c:pt idx="410">
                        <c:v>3.2522471402826749</c:v>
                      </c:pt>
                      <c:pt idx="411">
                        <c:v>3.2522471402826749</c:v>
                      </c:pt>
                      <c:pt idx="412">
                        <c:v>3.2522471402826749</c:v>
                      </c:pt>
                      <c:pt idx="413">
                        <c:v>3.2522471402826749</c:v>
                      </c:pt>
                      <c:pt idx="414">
                        <c:v>3.2522471402826749</c:v>
                      </c:pt>
                      <c:pt idx="415">
                        <c:v>5.2904127911968519</c:v>
                      </c:pt>
                      <c:pt idx="416">
                        <c:v>5.2904127911968519</c:v>
                      </c:pt>
                      <c:pt idx="417">
                        <c:v>5.2904127911968519</c:v>
                      </c:pt>
                      <c:pt idx="418">
                        <c:v>5.2904127911968519</c:v>
                      </c:pt>
                      <c:pt idx="419">
                        <c:v>4.2788408366274897</c:v>
                      </c:pt>
                      <c:pt idx="420">
                        <c:v>4.2788408366274897</c:v>
                      </c:pt>
                      <c:pt idx="421">
                        <c:v>4.2788408366274897</c:v>
                      </c:pt>
                      <c:pt idx="422">
                        <c:v>4.2788408366274897</c:v>
                      </c:pt>
                      <c:pt idx="423">
                        <c:v>4.2788408366274897</c:v>
                      </c:pt>
                      <c:pt idx="424">
                        <c:v>4.2788408366274897</c:v>
                      </c:pt>
                      <c:pt idx="425">
                        <c:v>4.2788408366274897</c:v>
                      </c:pt>
                      <c:pt idx="426">
                        <c:v>4.2788408366274897</c:v>
                      </c:pt>
                      <c:pt idx="427">
                        <c:v>4.2788408366274897</c:v>
                      </c:pt>
                      <c:pt idx="428">
                        <c:v>4.2788408366274897</c:v>
                      </c:pt>
                      <c:pt idx="429">
                        <c:v>4.2788408366274897</c:v>
                      </c:pt>
                      <c:pt idx="430">
                        <c:v>4.2788408366274897</c:v>
                      </c:pt>
                      <c:pt idx="431">
                        <c:v>4.2788408366274897</c:v>
                      </c:pt>
                      <c:pt idx="432">
                        <c:v>4.2788408366274897</c:v>
                      </c:pt>
                      <c:pt idx="433">
                        <c:v>4.2788408366274897</c:v>
                      </c:pt>
                      <c:pt idx="434">
                        <c:v>4.2788408366274897</c:v>
                      </c:pt>
                      <c:pt idx="435">
                        <c:v>4.2788408366274897</c:v>
                      </c:pt>
                      <c:pt idx="436">
                        <c:v>4.2788408366274897</c:v>
                      </c:pt>
                      <c:pt idx="437">
                        <c:v>4.2788408366274897</c:v>
                      </c:pt>
                      <c:pt idx="438">
                        <c:v>4.2788408366274897</c:v>
                      </c:pt>
                      <c:pt idx="439">
                        <c:v>4.2788408366274897</c:v>
                      </c:pt>
                      <c:pt idx="440">
                        <c:v>4.2788408366274897</c:v>
                      </c:pt>
                      <c:pt idx="441">
                        <c:v>4.2788408366274897</c:v>
                      </c:pt>
                      <c:pt idx="442">
                        <c:v>4.2788408366274897</c:v>
                      </c:pt>
                      <c:pt idx="443">
                        <c:v>4.2788408366274897</c:v>
                      </c:pt>
                      <c:pt idx="444">
                        <c:v>4.2788408366274897</c:v>
                      </c:pt>
                    </c:numCache>
                  </c:numRef>
                </c:val>
                <c:smooth val="1"/>
                <c:extLst xmlns:c15="http://schemas.microsoft.com/office/drawing/2012/chart">
                  <c:ext xmlns:c16="http://schemas.microsoft.com/office/drawing/2014/chart" uri="{C3380CC4-5D6E-409C-BE32-E72D297353CC}">
                    <c16:uniqueId val="{00000003-A9EF-47C0-896E-1A1AEE0E0DC8}"/>
                  </c:ext>
                </c:extLst>
              </c15:ser>
            </c15:filteredLineSeries>
            <c15:filteredLineSeries>
              <c15:ser>
                <c:idx val="1"/>
                <c:order val="4"/>
                <c:tx>
                  <c:v>Dwn</c:v>
                </c:tx>
                <c:spPr>
                  <a:ln w="19050" cap="rnd">
                    <a:solidFill>
                      <a:schemeClr val="accent2"/>
                    </a:solidFill>
                    <a:prstDash val="solid"/>
                    <a:round/>
                  </a:ln>
                  <a:effectLst/>
                </c:spPr>
                <c:marker>
                  <c:symbol val="none"/>
                </c:marker>
                <c:val>
                  <c:numRef>
                    <c:extLst xmlns:c15="http://schemas.microsoft.com/office/drawing/2012/chart">
                      <c:ext xmlns:c15="http://schemas.microsoft.com/office/drawing/2012/chart" uri="{02D57815-91ED-43cb-92C2-25804820EDAC}">
                        <c15:formulaRef>
                          <c15:sqref>'2025-Q1'!$W$4:$W$448</c15:sqref>
                        </c15:formulaRef>
                      </c:ext>
                    </c:extLst>
                    <c:numCache>
                      <c:formatCode>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1.6298785597808298</c:v>
                      </c:pt>
                      <c:pt idx="10">
                        <c:v>1.6298785597808298</c:v>
                      </c:pt>
                      <c:pt idx="11">
                        <c:v>1.6298785597808298</c:v>
                      </c:pt>
                      <c:pt idx="12">
                        <c:v>1.6298785597808298</c:v>
                      </c:pt>
                      <c:pt idx="13">
                        <c:v>1.6298785597808298</c:v>
                      </c:pt>
                      <c:pt idx="14">
                        <c:v>1.6298785597808298</c:v>
                      </c:pt>
                      <c:pt idx="15">
                        <c:v>1.6298785597808298</c:v>
                      </c:pt>
                      <c:pt idx="16">
                        <c:v>1.6298785597808298</c:v>
                      </c:pt>
                      <c:pt idx="17">
                        <c:v>1.1999280446514409</c:v>
                      </c:pt>
                      <c:pt idx="18">
                        <c:v>0.85219499663753107</c:v>
                      </c:pt>
                      <c:pt idx="19">
                        <c:v>0.85219499663753107</c:v>
                      </c:pt>
                      <c:pt idx="20">
                        <c:v>0.85219499663753107</c:v>
                      </c:pt>
                      <c:pt idx="21">
                        <c:v>0.85219499663753107</c:v>
                      </c:pt>
                      <c:pt idx="22">
                        <c:v>0.85219499663753107</c:v>
                      </c:pt>
                      <c:pt idx="23">
                        <c:v>0.85219499663753107</c:v>
                      </c:pt>
                      <c:pt idx="24">
                        <c:v>0.85219499663753107</c:v>
                      </c:pt>
                      <c:pt idx="25">
                        <c:v>0.37245687721095755</c:v>
                      </c:pt>
                      <c:pt idx="26">
                        <c:v>0.37245687721095755</c:v>
                      </c:pt>
                      <c:pt idx="27">
                        <c:v>0.37245687721095755</c:v>
                      </c:pt>
                      <c:pt idx="28">
                        <c:v>0.37245687721095755</c:v>
                      </c:pt>
                      <c:pt idx="29">
                        <c:v>0.37245687721095755</c:v>
                      </c:pt>
                      <c:pt idx="30">
                        <c:v>0.37245687721095755</c:v>
                      </c:pt>
                      <c:pt idx="31">
                        <c:v>0.37245687721095755</c:v>
                      </c:pt>
                      <c:pt idx="32">
                        <c:v>0.37245687721095755</c:v>
                      </c:pt>
                      <c:pt idx="33">
                        <c:v>0.83932604134640565</c:v>
                      </c:pt>
                      <c:pt idx="34">
                        <c:v>0.83932604134640565</c:v>
                      </c:pt>
                      <c:pt idx="35">
                        <c:v>0.83932604134640565</c:v>
                      </c:pt>
                      <c:pt idx="36">
                        <c:v>0.83932604134640565</c:v>
                      </c:pt>
                      <c:pt idx="37">
                        <c:v>0.83932604134640565</c:v>
                      </c:pt>
                      <c:pt idx="38">
                        <c:v>0.83932604134640565</c:v>
                      </c:pt>
                      <c:pt idx="39">
                        <c:v>1.1384568687535646</c:v>
                      </c:pt>
                      <c:pt idx="40">
                        <c:v>1.1384568687535646</c:v>
                      </c:pt>
                      <c:pt idx="41">
                        <c:v>1.1384568687535646</c:v>
                      </c:pt>
                      <c:pt idx="42">
                        <c:v>1.1384568687535646</c:v>
                      </c:pt>
                      <c:pt idx="43">
                        <c:v>1.1384568687535646</c:v>
                      </c:pt>
                      <c:pt idx="44">
                        <c:v>1.1384568687535646</c:v>
                      </c:pt>
                      <c:pt idx="45">
                        <c:v>1.1384568687535646</c:v>
                      </c:pt>
                      <c:pt idx="46">
                        <c:v>1.1384568687535646</c:v>
                      </c:pt>
                      <c:pt idx="47">
                        <c:v>1.1384568687535646</c:v>
                      </c:pt>
                      <c:pt idx="48">
                        <c:v>1.5562960433080137</c:v>
                      </c:pt>
                      <c:pt idx="49">
                        <c:v>1.5562960433080137</c:v>
                      </c:pt>
                      <c:pt idx="50">
                        <c:v>1.5562960433080137</c:v>
                      </c:pt>
                      <c:pt idx="51">
                        <c:v>1.5562960433080137</c:v>
                      </c:pt>
                      <c:pt idx="52">
                        <c:v>1.5562960433080137</c:v>
                      </c:pt>
                      <c:pt idx="53">
                        <c:v>1.5562960433080137</c:v>
                      </c:pt>
                      <c:pt idx="54">
                        <c:v>1.5562960433080137</c:v>
                      </c:pt>
                      <c:pt idx="55">
                        <c:v>1.1606860382033679</c:v>
                      </c:pt>
                      <c:pt idx="56">
                        <c:v>1.1606860382033679</c:v>
                      </c:pt>
                      <c:pt idx="57">
                        <c:v>1.1606860382033679</c:v>
                      </c:pt>
                      <c:pt idx="58">
                        <c:v>1.1606860382033679</c:v>
                      </c:pt>
                      <c:pt idx="59">
                        <c:v>1.1606860382033679</c:v>
                      </c:pt>
                      <c:pt idx="60">
                        <c:v>1.1606860382033679</c:v>
                      </c:pt>
                      <c:pt idx="61">
                        <c:v>1.1606860382033679</c:v>
                      </c:pt>
                      <c:pt idx="62">
                        <c:v>2.1530292122456034</c:v>
                      </c:pt>
                      <c:pt idx="63">
                        <c:v>2.1530292122456034</c:v>
                      </c:pt>
                      <c:pt idx="64">
                        <c:v>2.1530292122456034</c:v>
                      </c:pt>
                      <c:pt idx="65">
                        <c:v>2.1530292122456034</c:v>
                      </c:pt>
                      <c:pt idx="66">
                        <c:v>2.1530292122456034</c:v>
                      </c:pt>
                      <c:pt idx="67">
                        <c:v>2.1289316042502735</c:v>
                      </c:pt>
                      <c:pt idx="68">
                        <c:v>2.1289316042502735</c:v>
                      </c:pt>
                      <c:pt idx="69">
                        <c:v>2.1289316042502735</c:v>
                      </c:pt>
                      <c:pt idx="70">
                        <c:v>2.1289316042502735</c:v>
                      </c:pt>
                      <c:pt idx="71">
                        <c:v>2.1289316042502735</c:v>
                      </c:pt>
                      <c:pt idx="72">
                        <c:v>2.3897021628869206</c:v>
                      </c:pt>
                      <c:pt idx="73">
                        <c:v>2.3897021628869206</c:v>
                      </c:pt>
                      <c:pt idx="74">
                        <c:v>2.3897021628869206</c:v>
                      </c:pt>
                      <c:pt idx="75">
                        <c:v>2.3897021628869206</c:v>
                      </c:pt>
                      <c:pt idx="76">
                        <c:v>2.3897021628869206</c:v>
                      </c:pt>
                      <c:pt idx="77">
                        <c:v>2.3897021628869206</c:v>
                      </c:pt>
                      <c:pt idx="78">
                        <c:v>2.3897021628869206</c:v>
                      </c:pt>
                      <c:pt idx="79">
                        <c:v>2.3897021628869206</c:v>
                      </c:pt>
                      <c:pt idx="80">
                        <c:v>2.9451096097899687</c:v>
                      </c:pt>
                      <c:pt idx="81">
                        <c:v>2.9451096097899687</c:v>
                      </c:pt>
                      <c:pt idx="82">
                        <c:v>2.9451096097899687</c:v>
                      </c:pt>
                      <c:pt idx="83">
                        <c:v>2.9451096097899687</c:v>
                      </c:pt>
                      <c:pt idx="84">
                        <c:v>2.9451096097899687</c:v>
                      </c:pt>
                      <c:pt idx="85">
                        <c:v>2.9451096097899687</c:v>
                      </c:pt>
                      <c:pt idx="86">
                        <c:v>2.9451096097899687</c:v>
                      </c:pt>
                      <c:pt idx="87">
                        <c:v>2.9451096097899687</c:v>
                      </c:pt>
                      <c:pt idx="88">
                        <c:v>2.9451096097899687</c:v>
                      </c:pt>
                      <c:pt idx="89">
                        <c:v>2.9451096097899687</c:v>
                      </c:pt>
                      <c:pt idx="90">
                        <c:v>2.9451096097899687</c:v>
                      </c:pt>
                      <c:pt idx="91">
                        <c:v>2.9451096097899687</c:v>
                      </c:pt>
                      <c:pt idx="92">
                        <c:v>2.9451096097899687</c:v>
                      </c:pt>
                      <c:pt idx="93">
                        <c:v>2.9451096097899687</c:v>
                      </c:pt>
                      <c:pt idx="94">
                        <c:v>1.3832092337058488</c:v>
                      </c:pt>
                      <c:pt idx="95">
                        <c:v>1.3832092337058488</c:v>
                      </c:pt>
                      <c:pt idx="96">
                        <c:v>1.3832092337058488</c:v>
                      </c:pt>
                      <c:pt idx="97">
                        <c:v>1.3832092337058488</c:v>
                      </c:pt>
                      <c:pt idx="98">
                        <c:v>1.3832092337058488</c:v>
                      </c:pt>
                      <c:pt idx="99">
                        <c:v>1.3832092337058488</c:v>
                      </c:pt>
                      <c:pt idx="100">
                        <c:v>1.3832092337058488</c:v>
                      </c:pt>
                      <c:pt idx="101">
                        <c:v>1.3832092337058488</c:v>
                      </c:pt>
                      <c:pt idx="102">
                        <c:v>1.3832092337058488</c:v>
                      </c:pt>
                      <c:pt idx="103">
                        <c:v>1.3832092337058488</c:v>
                      </c:pt>
                      <c:pt idx="104">
                        <c:v>2.6947724028707301</c:v>
                      </c:pt>
                      <c:pt idx="105">
                        <c:v>2.6947724028707301</c:v>
                      </c:pt>
                      <c:pt idx="106">
                        <c:v>2.6947724028707301</c:v>
                      </c:pt>
                      <c:pt idx="107">
                        <c:v>2.6947724028707301</c:v>
                      </c:pt>
                      <c:pt idx="108">
                        <c:v>2.6947724028707301</c:v>
                      </c:pt>
                      <c:pt idx="109">
                        <c:v>2.6947724028707301</c:v>
                      </c:pt>
                      <c:pt idx="110">
                        <c:v>4.2503865709935527</c:v>
                      </c:pt>
                      <c:pt idx="111">
                        <c:v>4.2503865709935527</c:v>
                      </c:pt>
                      <c:pt idx="112">
                        <c:v>4.5805772093621204</c:v>
                      </c:pt>
                      <c:pt idx="113">
                        <c:v>4.5805772093621204</c:v>
                      </c:pt>
                      <c:pt idx="114">
                        <c:v>4.9383659960256407</c:v>
                      </c:pt>
                      <c:pt idx="115">
                        <c:v>4.9383659960256407</c:v>
                      </c:pt>
                      <c:pt idx="116">
                        <c:v>5.6407614487256001</c:v>
                      </c:pt>
                      <c:pt idx="117">
                        <c:v>5.6407614487256001</c:v>
                      </c:pt>
                      <c:pt idx="118">
                        <c:v>5.6407614487256001</c:v>
                      </c:pt>
                      <c:pt idx="119">
                        <c:v>5.6407614487256001</c:v>
                      </c:pt>
                      <c:pt idx="120">
                        <c:v>5.1407171970219094</c:v>
                      </c:pt>
                      <c:pt idx="121">
                        <c:v>5.1407171970219094</c:v>
                      </c:pt>
                      <c:pt idx="122">
                        <c:v>5.1407171970219094</c:v>
                      </c:pt>
                      <c:pt idx="123">
                        <c:v>5.1407171970219094</c:v>
                      </c:pt>
                      <c:pt idx="124">
                        <c:v>5.6478621523551391</c:v>
                      </c:pt>
                      <c:pt idx="125">
                        <c:v>6.3003710611483559</c:v>
                      </c:pt>
                      <c:pt idx="126">
                        <c:v>6.3003710611483559</c:v>
                      </c:pt>
                      <c:pt idx="127">
                        <c:v>6.3003710611483559</c:v>
                      </c:pt>
                      <c:pt idx="128">
                        <c:v>6.3003710611483559</c:v>
                      </c:pt>
                      <c:pt idx="129">
                        <c:v>6.3003710611483559</c:v>
                      </c:pt>
                      <c:pt idx="130">
                        <c:v>6.3003710611483559</c:v>
                      </c:pt>
                      <c:pt idx="131">
                        <c:v>6.3003710611483559</c:v>
                      </c:pt>
                      <c:pt idx="132">
                        <c:v>6.3003710611483559</c:v>
                      </c:pt>
                      <c:pt idx="133">
                        <c:v>6.3003710611483559</c:v>
                      </c:pt>
                      <c:pt idx="134">
                        <c:v>6.3003710611483559</c:v>
                      </c:pt>
                      <c:pt idx="135">
                        <c:v>7.3526453313452329</c:v>
                      </c:pt>
                      <c:pt idx="136">
                        <c:v>7.3526453313452329</c:v>
                      </c:pt>
                      <c:pt idx="137">
                        <c:v>7.3526453313452329</c:v>
                      </c:pt>
                      <c:pt idx="138">
                        <c:v>7.3177291302279155</c:v>
                      </c:pt>
                      <c:pt idx="139">
                        <c:v>5.8321710567773195</c:v>
                      </c:pt>
                      <c:pt idx="140">
                        <c:v>5.8321710567773195</c:v>
                      </c:pt>
                      <c:pt idx="141">
                        <c:v>5.8321710567773195</c:v>
                      </c:pt>
                      <c:pt idx="142">
                        <c:v>5.6831034896208585</c:v>
                      </c:pt>
                      <c:pt idx="143">
                        <c:v>4.5776855182763283</c:v>
                      </c:pt>
                      <c:pt idx="144">
                        <c:v>4.5776855182763283</c:v>
                      </c:pt>
                      <c:pt idx="145">
                        <c:v>4.5776855182763283</c:v>
                      </c:pt>
                      <c:pt idx="146">
                        <c:v>4.5776855182763283</c:v>
                      </c:pt>
                      <c:pt idx="147">
                        <c:v>5.578895772429699</c:v>
                      </c:pt>
                      <c:pt idx="148">
                        <c:v>4.3841757122233336</c:v>
                      </c:pt>
                      <c:pt idx="149">
                        <c:v>4.3841757122233336</c:v>
                      </c:pt>
                      <c:pt idx="150">
                        <c:v>4.505548326148082</c:v>
                      </c:pt>
                      <c:pt idx="151">
                        <c:v>4.505548326148082</c:v>
                      </c:pt>
                      <c:pt idx="152">
                        <c:v>4.1289499726711156</c:v>
                      </c:pt>
                      <c:pt idx="153">
                        <c:v>4.1289499726711156</c:v>
                      </c:pt>
                      <c:pt idx="154">
                        <c:v>4.1289499726711156</c:v>
                      </c:pt>
                      <c:pt idx="155">
                        <c:v>3.5913155640689651</c:v>
                      </c:pt>
                      <c:pt idx="156">
                        <c:v>3.5913155640689651</c:v>
                      </c:pt>
                      <c:pt idx="157">
                        <c:v>3.3169307171934124</c:v>
                      </c:pt>
                      <c:pt idx="158">
                        <c:v>3.3169307171934124</c:v>
                      </c:pt>
                      <c:pt idx="159">
                        <c:v>3.0637517334912996</c:v>
                      </c:pt>
                      <c:pt idx="160">
                        <c:v>3.0637517334912996</c:v>
                      </c:pt>
                      <c:pt idx="161">
                        <c:v>3.0637517334912996</c:v>
                      </c:pt>
                      <c:pt idx="162">
                        <c:v>4.8970850668246309</c:v>
                      </c:pt>
                      <c:pt idx="163">
                        <c:v>5.3595858986606633</c:v>
                      </c:pt>
                      <c:pt idx="164">
                        <c:v>5.3595858986606633</c:v>
                      </c:pt>
                      <c:pt idx="165">
                        <c:v>5.3595858986606633</c:v>
                      </c:pt>
                      <c:pt idx="166">
                        <c:v>5.3595858986606633</c:v>
                      </c:pt>
                      <c:pt idx="167">
                        <c:v>5.7807200867589366</c:v>
                      </c:pt>
                      <c:pt idx="168">
                        <c:v>5.7784525130627893</c:v>
                      </c:pt>
                      <c:pt idx="169">
                        <c:v>5.7784525130627893</c:v>
                      </c:pt>
                      <c:pt idx="170">
                        <c:v>5.7784525130627893</c:v>
                      </c:pt>
                      <c:pt idx="171">
                        <c:v>5.7784525130627893</c:v>
                      </c:pt>
                      <c:pt idx="172">
                        <c:v>5.7784525130627893</c:v>
                      </c:pt>
                      <c:pt idx="173">
                        <c:v>5.7784525130627893</c:v>
                      </c:pt>
                      <c:pt idx="174">
                        <c:v>5.7784525130627893</c:v>
                      </c:pt>
                      <c:pt idx="175">
                        <c:v>6.2849165940970435</c:v>
                      </c:pt>
                      <c:pt idx="176">
                        <c:v>6.2849165940970435</c:v>
                      </c:pt>
                      <c:pt idx="177">
                        <c:v>7.5474513289043399</c:v>
                      </c:pt>
                      <c:pt idx="178">
                        <c:v>7.5474513289043399</c:v>
                      </c:pt>
                      <c:pt idx="179">
                        <c:v>8.6250375358008906</c:v>
                      </c:pt>
                      <c:pt idx="180">
                        <c:v>8.6250375358008906</c:v>
                      </c:pt>
                      <c:pt idx="181">
                        <c:v>8.6250375358008906</c:v>
                      </c:pt>
                      <c:pt idx="182">
                        <c:v>8.0148562247827595</c:v>
                      </c:pt>
                      <c:pt idx="183">
                        <c:v>8.0148562247827595</c:v>
                      </c:pt>
                      <c:pt idx="184">
                        <c:v>9.6731546906126074</c:v>
                      </c:pt>
                      <c:pt idx="185">
                        <c:v>9.6731546906126074</c:v>
                      </c:pt>
                      <c:pt idx="186">
                        <c:v>10.228512257730687</c:v>
                      </c:pt>
                      <c:pt idx="187">
                        <c:v>10.228512257730687</c:v>
                      </c:pt>
                      <c:pt idx="188">
                        <c:v>11.705368458574288</c:v>
                      </c:pt>
                      <c:pt idx="189">
                        <c:v>11.705368458574288</c:v>
                      </c:pt>
                      <c:pt idx="190">
                        <c:v>10.909492169914495</c:v>
                      </c:pt>
                      <c:pt idx="191">
                        <c:v>10.957356433465034</c:v>
                      </c:pt>
                      <c:pt idx="192">
                        <c:v>10.913244427327712</c:v>
                      </c:pt>
                      <c:pt idx="193">
                        <c:v>10.913244427327712</c:v>
                      </c:pt>
                      <c:pt idx="194">
                        <c:v>10.913244427327712</c:v>
                      </c:pt>
                      <c:pt idx="195">
                        <c:v>10.347206691478656</c:v>
                      </c:pt>
                      <c:pt idx="196">
                        <c:v>10.347206691478656</c:v>
                      </c:pt>
                      <c:pt idx="197">
                        <c:v>15.935659689258078</c:v>
                      </c:pt>
                      <c:pt idx="198">
                        <c:v>16.021866585809803</c:v>
                      </c:pt>
                      <c:pt idx="199">
                        <c:v>17.31349767035293</c:v>
                      </c:pt>
                      <c:pt idx="200">
                        <c:v>17.31349767035293</c:v>
                      </c:pt>
                      <c:pt idx="201">
                        <c:v>17.31349767035293</c:v>
                      </c:pt>
                      <c:pt idx="202">
                        <c:v>17.31349767035293</c:v>
                      </c:pt>
                      <c:pt idx="203">
                        <c:v>17.31349767035293</c:v>
                      </c:pt>
                      <c:pt idx="204">
                        <c:v>17.31349767035293</c:v>
                      </c:pt>
                      <c:pt idx="205">
                        <c:v>17.31349767035293</c:v>
                      </c:pt>
                      <c:pt idx="206">
                        <c:v>17.31349767035293</c:v>
                      </c:pt>
                      <c:pt idx="207">
                        <c:v>17.31349767035293</c:v>
                      </c:pt>
                      <c:pt idx="208">
                        <c:v>17.31349767035293</c:v>
                      </c:pt>
                      <c:pt idx="209">
                        <c:v>17.31349767035293</c:v>
                      </c:pt>
                      <c:pt idx="210">
                        <c:v>17.31349767035293</c:v>
                      </c:pt>
                      <c:pt idx="211">
                        <c:v>18.017397970376006</c:v>
                      </c:pt>
                      <c:pt idx="212">
                        <c:v>18.852730770518189</c:v>
                      </c:pt>
                      <c:pt idx="213">
                        <c:v>18.852730770518189</c:v>
                      </c:pt>
                      <c:pt idx="214">
                        <c:v>18.852730770518189</c:v>
                      </c:pt>
                      <c:pt idx="215">
                        <c:v>18.852730770518189</c:v>
                      </c:pt>
                      <c:pt idx="216">
                        <c:v>18.852730770518189</c:v>
                      </c:pt>
                      <c:pt idx="217">
                        <c:v>18.852730770518189</c:v>
                      </c:pt>
                      <c:pt idx="218">
                        <c:v>18.852730770518189</c:v>
                      </c:pt>
                      <c:pt idx="219">
                        <c:v>18.852730770518189</c:v>
                      </c:pt>
                      <c:pt idx="220">
                        <c:v>19.718531636319053</c:v>
                      </c:pt>
                      <c:pt idx="221">
                        <c:v>19.718531636319053</c:v>
                      </c:pt>
                      <c:pt idx="222">
                        <c:v>19.718531636319053</c:v>
                      </c:pt>
                      <c:pt idx="223">
                        <c:v>19.718531636319053</c:v>
                      </c:pt>
                      <c:pt idx="224">
                        <c:v>19.718531636319053</c:v>
                      </c:pt>
                      <c:pt idx="225">
                        <c:v>19.718531636319053</c:v>
                      </c:pt>
                      <c:pt idx="226">
                        <c:v>20.817432735220152</c:v>
                      </c:pt>
                      <c:pt idx="227">
                        <c:v>20.817432735220152</c:v>
                      </c:pt>
                      <c:pt idx="228">
                        <c:v>22.390464080182984</c:v>
                      </c:pt>
                      <c:pt idx="229">
                        <c:v>21.535407692680671</c:v>
                      </c:pt>
                      <c:pt idx="230">
                        <c:v>26.230324244510406</c:v>
                      </c:pt>
                      <c:pt idx="231">
                        <c:v>26.230324244510406</c:v>
                      </c:pt>
                      <c:pt idx="232">
                        <c:v>26.230324244510406</c:v>
                      </c:pt>
                      <c:pt idx="233">
                        <c:v>26.230324244510406</c:v>
                      </c:pt>
                      <c:pt idx="234">
                        <c:v>26.230324244510406</c:v>
                      </c:pt>
                      <c:pt idx="235">
                        <c:v>26.230324244510406</c:v>
                      </c:pt>
                      <c:pt idx="236">
                        <c:v>26.230324244510406</c:v>
                      </c:pt>
                      <c:pt idx="237">
                        <c:v>26.230324244510406</c:v>
                      </c:pt>
                      <c:pt idx="238">
                        <c:v>26.230324244510406</c:v>
                      </c:pt>
                      <c:pt idx="239">
                        <c:v>26.230324244510406</c:v>
                      </c:pt>
                      <c:pt idx="240">
                        <c:v>26.230324244510406</c:v>
                      </c:pt>
                      <c:pt idx="241">
                        <c:v>26.230324244510406</c:v>
                      </c:pt>
                      <c:pt idx="242">
                        <c:v>26.230324244510406</c:v>
                      </c:pt>
                      <c:pt idx="243">
                        <c:v>26.230324244510406</c:v>
                      </c:pt>
                      <c:pt idx="244">
                        <c:v>26.39506227086849</c:v>
                      </c:pt>
                      <c:pt idx="245">
                        <c:v>26.39506227086849</c:v>
                      </c:pt>
                      <c:pt idx="246">
                        <c:v>25.329409858587788</c:v>
                      </c:pt>
                      <c:pt idx="247">
                        <c:v>25.329409858587788</c:v>
                      </c:pt>
                      <c:pt idx="248">
                        <c:v>25.220376742088675</c:v>
                      </c:pt>
                      <c:pt idx="249">
                        <c:v>25.220376742088675</c:v>
                      </c:pt>
                      <c:pt idx="250">
                        <c:v>25.220376742088675</c:v>
                      </c:pt>
                      <c:pt idx="251">
                        <c:v>25.220376742088675</c:v>
                      </c:pt>
                      <c:pt idx="252">
                        <c:v>25.220376742088675</c:v>
                      </c:pt>
                      <c:pt idx="253">
                        <c:v>25.220376742088675</c:v>
                      </c:pt>
                      <c:pt idx="254">
                        <c:v>25.220376742088675</c:v>
                      </c:pt>
                      <c:pt idx="255">
                        <c:v>25.220376742088675</c:v>
                      </c:pt>
                      <c:pt idx="256">
                        <c:v>24.29982676817373</c:v>
                      </c:pt>
                      <c:pt idx="257">
                        <c:v>26.378260145819709</c:v>
                      </c:pt>
                      <c:pt idx="258">
                        <c:v>26.009315647905048</c:v>
                      </c:pt>
                      <c:pt idx="259">
                        <c:v>26.009315647905048</c:v>
                      </c:pt>
                      <c:pt idx="260">
                        <c:v>26.009315647905048</c:v>
                      </c:pt>
                      <c:pt idx="261">
                        <c:v>26.276057629954881</c:v>
                      </c:pt>
                      <c:pt idx="262">
                        <c:v>26.276057629954881</c:v>
                      </c:pt>
                      <c:pt idx="263">
                        <c:v>26.276057629954881</c:v>
                      </c:pt>
                      <c:pt idx="264">
                        <c:v>26.276057629954881</c:v>
                      </c:pt>
                      <c:pt idx="265">
                        <c:v>26.276057629954881</c:v>
                      </c:pt>
                      <c:pt idx="266">
                        <c:v>26.276057629954881</c:v>
                      </c:pt>
                      <c:pt idx="267">
                        <c:v>26.276057629954881</c:v>
                      </c:pt>
                      <c:pt idx="268">
                        <c:v>25.862021391535599</c:v>
                      </c:pt>
                      <c:pt idx="269">
                        <c:v>25.862021391535599</c:v>
                      </c:pt>
                      <c:pt idx="270">
                        <c:v>25.862021391535599</c:v>
                      </c:pt>
                      <c:pt idx="271">
                        <c:v>25.962834399665681</c:v>
                      </c:pt>
                      <c:pt idx="272">
                        <c:v>25.962834399665681</c:v>
                      </c:pt>
                      <c:pt idx="273">
                        <c:v>25.962834399665681</c:v>
                      </c:pt>
                      <c:pt idx="274">
                        <c:v>26.320003289526458</c:v>
                      </c:pt>
                      <c:pt idx="275">
                        <c:v>25.596167080511073</c:v>
                      </c:pt>
                      <c:pt idx="276">
                        <c:v>25.596167080511073</c:v>
                      </c:pt>
                      <c:pt idx="277">
                        <c:v>25.596167080511073</c:v>
                      </c:pt>
                      <c:pt idx="278">
                        <c:v>25.596167080511073</c:v>
                      </c:pt>
                      <c:pt idx="279">
                        <c:v>25.596167080511073</c:v>
                      </c:pt>
                      <c:pt idx="280">
                        <c:v>26.031518633181065</c:v>
                      </c:pt>
                      <c:pt idx="281">
                        <c:v>26.031518633181065</c:v>
                      </c:pt>
                      <c:pt idx="282">
                        <c:v>25.604856964015649</c:v>
                      </c:pt>
                      <c:pt idx="283">
                        <c:v>24.839929959906897</c:v>
                      </c:pt>
                      <c:pt idx="284">
                        <c:v>24.286592424010003</c:v>
                      </c:pt>
                      <c:pt idx="285">
                        <c:v>24.286592424010003</c:v>
                      </c:pt>
                      <c:pt idx="286">
                        <c:v>24.286592424010003</c:v>
                      </c:pt>
                      <c:pt idx="287">
                        <c:v>24.286592424010003</c:v>
                      </c:pt>
                      <c:pt idx="288">
                        <c:v>24.286592424010003</c:v>
                      </c:pt>
                      <c:pt idx="289">
                        <c:v>24.286592424010003</c:v>
                      </c:pt>
                      <c:pt idx="290">
                        <c:v>24.286592424010003</c:v>
                      </c:pt>
                      <c:pt idx="291">
                        <c:v>24.286592424010003</c:v>
                      </c:pt>
                      <c:pt idx="292">
                        <c:v>24.286592424010003</c:v>
                      </c:pt>
                      <c:pt idx="293">
                        <c:v>24.286592424010003</c:v>
                      </c:pt>
                      <c:pt idx="294">
                        <c:v>24.409276757220653</c:v>
                      </c:pt>
                      <c:pt idx="295">
                        <c:v>25.564336482260092</c:v>
                      </c:pt>
                      <c:pt idx="296">
                        <c:v>25.564336482260092</c:v>
                      </c:pt>
                      <c:pt idx="297">
                        <c:v>25.564336482260092</c:v>
                      </c:pt>
                      <c:pt idx="298">
                        <c:v>25.564336482260092</c:v>
                      </c:pt>
                      <c:pt idx="299">
                        <c:v>25.878801891065123</c:v>
                      </c:pt>
                      <c:pt idx="300">
                        <c:v>25.878801891065123</c:v>
                      </c:pt>
                      <c:pt idx="301">
                        <c:v>25.802370867124576</c:v>
                      </c:pt>
                      <c:pt idx="302">
                        <c:v>25.802370867124576</c:v>
                      </c:pt>
                      <c:pt idx="303">
                        <c:v>25.802370867124576</c:v>
                      </c:pt>
                      <c:pt idx="304">
                        <c:v>25.802370867124576</c:v>
                      </c:pt>
                      <c:pt idx="305">
                        <c:v>25.084355201328229</c:v>
                      </c:pt>
                      <c:pt idx="306">
                        <c:v>25.084355201328229</c:v>
                      </c:pt>
                      <c:pt idx="307">
                        <c:v>23.057393703898299</c:v>
                      </c:pt>
                      <c:pt idx="308">
                        <c:v>23.057393703898299</c:v>
                      </c:pt>
                      <c:pt idx="309">
                        <c:v>23.057393703898299</c:v>
                      </c:pt>
                      <c:pt idx="310">
                        <c:v>23.057393703898299</c:v>
                      </c:pt>
                      <c:pt idx="311">
                        <c:v>23.057393703898299</c:v>
                      </c:pt>
                      <c:pt idx="312">
                        <c:v>23.057393703898299</c:v>
                      </c:pt>
                      <c:pt idx="313">
                        <c:v>23.057393703898299</c:v>
                      </c:pt>
                      <c:pt idx="314">
                        <c:v>23.057393703898299</c:v>
                      </c:pt>
                      <c:pt idx="315">
                        <c:v>23.057393703898299</c:v>
                      </c:pt>
                      <c:pt idx="316">
                        <c:v>23.057393703898299</c:v>
                      </c:pt>
                      <c:pt idx="317">
                        <c:v>21.87872204814526</c:v>
                      </c:pt>
                      <c:pt idx="318">
                        <c:v>21.87872204814526</c:v>
                      </c:pt>
                      <c:pt idx="319">
                        <c:v>21.87872204814526</c:v>
                      </c:pt>
                      <c:pt idx="320">
                        <c:v>21.87872204814526</c:v>
                      </c:pt>
                      <c:pt idx="321">
                        <c:v>21.87872204814526</c:v>
                      </c:pt>
                      <c:pt idx="322">
                        <c:v>21.87872204814526</c:v>
                      </c:pt>
                      <c:pt idx="323">
                        <c:v>22.698098961525414</c:v>
                      </c:pt>
                      <c:pt idx="324">
                        <c:v>22.698098961525414</c:v>
                      </c:pt>
                      <c:pt idx="325">
                        <c:v>22.698098961525414</c:v>
                      </c:pt>
                      <c:pt idx="326">
                        <c:v>22.698098961525414</c:v>
                      </c:pt>
                      <c:pt idx="327">
                        <c:v>21.834423057461787</c:v>
                      </c:pt>
                      <c:pt idx="328">
                        <c:v>21.834423057461787</c:v>
                      </c:pt>
                      <c:pt idx="329">
                        <c:v>21.834423057461787</c:v>
                      </c:pt>
                      <c:pt idx="330">
                        <c:v>22.46098947350189</c:v>
                      </c:pt>
                      <c:pt idx="331">
                        <c:v>22.46098947350189</c:v>
                      </c:pt>
                      <c:pt idx="332">
                        <c:v>22.46098947350189</c:v>
                      </c:pt>
                      <c:pt idx="333">
                        <c:v>22.46098947350189</c:v>
                      </c:pt>
                      <c:pt idx="334">
                        <c:v>21.666151520722892</c:v>
                      </c:pt>
                      <c:pt idx="335">
                        <c:v>21.666151520722892</c:v>
                      </c:pt>
                      <c:pt idx="336">
                        <c:v>21.666151520722892</c:v>
                      </c:pt>
                      <c:pt idx="337">
                        <c:v>21.666151520722892</c:v>
                      </c:pt>
                      <c:pt idx="338">
                        <c:v>21.666151520722892</c:v>
                      </c:pt>
                      <c:pt idx="339">
                        <c:v>22.718783099670262</c:v>
                      </c:pt>
                      <c:pt idx="340">
                        <c:v>26.177992559451887</c:v>
                      </c:pt>
                      <c:pt idx="341">
                        <c:v>25.650108629145521</c:v>
                      </c:pt>
                      <c:pt idx="342">
                        <c:v>25.650108629145521</c:v>
                      </c:pt>
                      <c:pt idx="343">
                        <c:v>25.650108629145521</c:v>
                      </c:pt>
                      <c:pt idx="344">
                        <c:v>25.650108629145521</c:v>
                      </c:pt>
                      <c:pt idx="345">
                        <c:v>25.650108629145521</c:v>
                      </c:pt>
                      <c:pt idx="346">
                        <c:v>26.107096641821773</c:v>
                      </c:pt>
                      <c:pt idx="347">
                        <c:v>26.107096641821773</c:v>
                      </c:pt>
                      <c:pt idx="348">
                        <c:v>26.107096641821773</c:v>
                      </c:pt>
                      <c:pt idx="349">
                        <c:v>24.774087773121796</c:v>
                      </c:pt>
                      <c:pt idx="350">
                        <c:v>24.774087773121796</c:v>
                      </c:pt>
                      <c:pt idx="351">
                        <c:v>24.774087773121796</c:v>
                      </c:pt>
                      <c:pt idx="352">
                        <c:v>24.774087773121796</c:v>
                      </c:pt>
                      <c:pt idx="353">
                        <c:v>24.732648447201495</c:v>
                      </c:pt>
                      <c:pt idx="354">
                        <c:v>24.732648447201495</c:v>
                      </c:pt>
                      <c:pt idx="355">
                        <c:v>24.732648447201495</c:v>
                      </c:pt>
                      <c:pt idx="356">
                        <c:v>24.732648447201495</c:v>
                      </c:pt>
                      <c:pt idx="357">
                        <c:v>23.925757159446615</c:v>
                      </c:pt>
                      <c:pt idx="358">
                        <c:v>23.925757159446615</c:v>
                      </c:pt>
                      <c:pt idx="359">
                        <c:v>23.925757159446615</c:v>
                      </c:pt>
                      <c:pt idx="360">
                        <c:v>23.925757159446615</c:v>
                      </c:pt>
                      <c:pt idx="361">
                        <c:v>23.925757159446615</c:v>
                      </c:pt>
                      <c:pt idx="362">
                        <c:v>23.925757159446615</c:v>
                      </c:pt>
                      <c:pt idx="363">
                        <c:v>23.925757159446615</c:v>
                      </c:pt>
                      <c:pt idx="364">
                        <c:v>23.925757159446615</c:v>
                      </c:pt>
                      <c:pt idx="365">
                        <c:v>23.925757159446615</c:v>
                      </c:pt>
                      <c:pt idx="366">
                        <c:v>23.925757159446615</c:v>
                      </c:pt>
                      <c:pt idx="367">
                        <c:v>23.925757159446615</c:v>
                      </c:pt>
                      <c:pt idx="368">
                        <c:v>21.529978193828008</c:v>
                      </c:pt>
                      <c:pt idx="369">
                        <c:v>21.529978193828008</c:v>
                      </c:pt>
                      <c:pt idx="370">
                        <c:v>20.71676331069586</c:v>
                      </c:pt>
                      <c:pt idx="371">
                        <c:v>20.71676331069586</c:v>
                      </c:pt>
                      <c:pt idx="372">
                        <c:v>20.71676331069586</c:v>
                      </c:pt>
                      <c:pt idx="373">
                        <c:v>20.71676331069586</c:v>
                      </c:pt>
                      <c:pt idx="374">
                        <c:v>20.71676331069586</c:v>
                      </c:pt>
                      <c:pt idx="375">
                        <c:v>20.71676331069586</c:v>
                      </c:pt>
                      <c:pt idx="376">
                        <c:v>20.71676331069586</c:v>
                      </c:pt>
                      <c:pt idx="377">
                        <c:v>20.71676331069586</c:v>
                      </c:pt>
                      <c:pt idx="378">
                        <c:v>20.71676331069586</c:v>
                      </c:pt>
                      <c:pt idx="379">
                        <c:v>20.71676331069586</c:v>
                      </c:pt>
                      <c:pt idx="380">
                        <c:v>20.71676331069586</c:v>
                      </c:pt>
                      <c:pt idx="381">
                        <c:v>20.71676331069586</c:v>
                      </c:pt>
                      <c:pt idx="382">
                        <c:v>20.71676331069586</c:v>
                      </c:pt>
                      <c:pt idx="383">
                        <c:v>19.794230184631754</c:v>
                      </c:pt>
                      <c:pt idx="384">
                        <c:v>19.794230184631754</c:v>
                      </c:pt>
                      <c:pt idx="385">
                        <c:v>20.495799746131691</c:v>
                      </c:pt>
                      <c:pt idx="386">
                        <c:v>20.495799746131691</c:v>
                      </c:pt>
                      <c:pt idx="387">
                        <c:v>20.495799746131691</c:v>
                      </c:pt>
                      <c:pt idx="388">
                        <c:v>20.597319644031678</c:v>
                      </c:pt>
                      <c:pt idx="389">
                        <c:v>20.98924205667948</c:v>
                      </c:pt>
                      <c:pt idx="390">
                        <c:v>20.98924205667948</c:v>
                      </c:pt>
                      <c:pt idx="391">
                        <c:v>20.98924205667948</c:v>
                      </c:pt>
                      <c:pt idx="392">
                        <c:v>20.98924205667948</c:v>
                      </c:pt>
                      <c:pt idx="393">
                        <c:v>20.98924205667948</c:v>
                      </c:pt>
                      <c:pt idx="394">
                        <c:v>20.719269876983365</c:v>
                      </c:pt>
                      <c:pt idx="395">
                        <c:v>20.719269876983365</c:v>
                      </c:pt>
                      <c:pt idx="396">
                        <c:v>20.719269876983365</c:v>
                      </c:pt>
                      <c:pt idx="397">
                        <c:v>20.719269876983365</c:v>
                      </c:pt>
                      <c:pt idx="398">
                        <c:v>20.719269876983365</c:v>
                      </c:pt>
                      <c:pt idx="399">
                        <c:v>22.842942581543017</c:v>
                      </c:pt>
                      <c:pt idx="400">
                        <c:v>22.842942581543017</c:v>
                      </c:pt>
                      <c:pt idx="401">
                        <c:v>24.245601869837536</c:v>
                      </c:pt>
                      <c:pt idx="402">
                        <c:v>24.695530102144041</c:v>
                      </c:pt>
                      <c:pt idx="403">
                        <c:v>24.695530102144041</c:v>
                      </c:pt>
                      <c:pt idx="404">
                        <c:v>24.695530102144041</c:v>
                      </c:pt>
                      <c:pt idx="405">
                        <c:v>25.500854806122856</c:v>
                      </c:pt>
                      <c:pt idx="406">
                        <c:v>24.752437995529881</c:v>
                      </c:pt>
                      <c:pt idx="407">
                        <c:v>26.828184535952314</c:v>
                      </c:pt>
                      <c:pt idx="408">
                        <c:v>26.828184535952314</c:v>
                      </c:pt>
                      <c:pt idx="409">
                        <c:v>27.642301405115052</c:v>
                      </c:pt>
                      <c:pt idx="410">
                        <c:v>28.655358586564851</c:v>
                      </c:pt>
                      <c:pt idx="411">
                        <c:v>32.813539170407353</c:v>
                      </c:pt>
                      <c:pt idx="412">
                        <c:v>32.813539170407353</c:v>
                      </c:pt>
                      <c:pt idx="413">
                        <c:v>33.639985451399092</c:v>
                      </c:pt>
                      <c:pt idx="414">
                        <c:v>33.639985451399092</c:v>
                      </c:pt>
                      <c:pt idx="415">
                        <c:v>33.639985451399092</c:v>
                      </c:pt>
                      <c:pt idx="416">
                        <c:v>33.855769752557066</c:v>
                      </c:pt>
                      <c:pt idx="417">
                        <c:v>31.306146207040296</c:v>
                      </c:pt>
                      <c:pt idx="418">
                        <c:v>31.306146207040296</c:v>
                      </c:pt>
                      <c:pt idx="419">
                        <c:v>31.306146207040296</c:v>
                      </c:pt>
                      <c:pt idx="420">
                        <c:v>33.811714135770806</c:v>
                      </c:pt>
                      <c:pt idx="421">
                        <c:v>34.691028270745527</c:v>
                      </c:pt>
                      <c:pt idx="422">
                        <c:v>39.237391180417788</c:v>
                      </c:pt>
                      <c:pt idx="423">
                        <c:v>39.838910099700001</c:v>
                      </c:pt>
                      <c:pt idx="424">
                        <c:v>39.838910099700001</c:v>
                      </c:pt>
                      <c:pt idx="425">
                        <c:v>40.792671735591959</c:v>
                      </c:pt>
                      <c:pt idx="426">
                        <c:v>41.462249610410005</c:v>
                      </c:pt>
                      <c:pt idx="427">
                        <c:v>42.728779478171063</c:v>
                      </c:pt>
                      <c:pt idx="428">
                        <c:v>43.963667215649473</c:v>
                      </c:pt>
                      <c:pt idx="429">
                        <c:v>46.823627767917714</c:v>
                      </c:pt>
                      <c:pt idx="430">
                        <c:v>45.984171076757612</c:v>
                      </c:pt>
                      <c:pt idx="431">
                        <c:v>44.462528952705853</c:v>
                      </c:pt>
                      <c:pt idx="432">
                        <c:v>42.99286040986658</c:v>
                      </c:pt>
                      <c:pt idx="433">
                        <c:v>40.674507204934351</c:v>
                      </c:pt>
                      <c:pt idx="434">
                        <c:v>40.674507204934351</c:v>
                      </c:pt>
                      <c:pt idx="435">
                        <c:v>40.674507204934351</c:v>
                      </c:pt>
                      <c:pt idx="436">
                        <c:v>40.674507204934351</c:v>
                      </c:pt>
                      <c:pt idx="437">
                        <c:v>40.674507204934351</c:v>
                      </c:pt>
                      <c:pt idx="438">
                        <c:v>40.973701998669185</c:v>
                      </c:pt>
                      <c:pt idx="439">
                        <c:v>40.973701998669185</c:v>
                      </c:pt>
                      <c:pt idx="440">
                        <c:v>42.513841020067574</c:v>
                      </c:pt>
                      <c:pt idx="441">
                        <c:v>43.499377235053274</c:v>
                      </c:pt>
                      <c:pt idx="442">
                        <c:v>43.499377235053274</c:v>
                      </c:pt>
                      <c:pt idx="443">
                        <c:v>43.499377235053274</c:v>
                      </c:pt>
                      <c:pt idx="444">
                        <c:v>43.496894859916743</c:v>
                      </c:pt>
                    </c:numCache>
                  </c:numRef>
                </c:val>
                <c:smooth val="1"/>
                <c:extLst xmlns:c15="http://schemas.microsoft.com/office/drawing/2012/chart">
                  <c:ext xmlns:c16="http://schemas.microsoft.com/office/drawing/2014/chart" uri="{C3380CC4-5D6E-409C-BE32-E72D297353CC}">
                    <c16:uniqueId val="{00000004-A9EF-47C0-896E-1A1AEE0E0DC8}"/>
                  </c:ext>
                </c:extLst>
              </c15:ser>
            </c15:filteredLineSeries>
            <c15:filteredLineSeries>
              <c15:ser>
                <c:idx val="6"/>
                <c:order val="5"/>
                <c:tx>
                  <c:v>Dwn (MOC)</c:v>
                </c:tx>
                <c:spPr>
                  <a:ln w="19050"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'2025-Q1'!$GR$4:$GR$448</c15:sqref>
                        </c15:formulaRef>
                      </c:ext>
                    </c:extLst>
                    <c:numCache>
                      <c:formatCode>0.0</c:formatCode>
                      <c:ptCount val="445"/>
                      <c:pt idx="0">
                        <c:v>2.8479569500182413</c:v>
                      </c:pt>
                      <c:pt idx="1">
                        <c:v>2.8479569500182413</c:v>
                      </c:pt>
                      <c:pt idx="2">
                        <c:v>2.8479569500182413</c:v>
                      </c:pt>
                      <c:pt idx="3">
                        <c:v>2.8479569500182413</c:v>
                      </c:pt>
                      <c:pt idx="4">
                        <c:v>2.8479569500182413</c:v>
                      </c:pt>
                      <c:pt idx="5">
                        <c:v>2.8479569500182413</c:v>
                      </c:pt>
                      <c:pt idx="6">
                        <c:v>2.8479569500182413</c:v>
                      </c:pt>
                      <c:pt idx="7">
                        <c:v>2.8479569500182413</c:v>
                      </c:pt>
                      <c:pt idx="8">
                        <c:v>2.8479569500182413</c:v>
                      </c:pt>
                      <c:pt idx="9">
                        <c:v>3.8548515557866478</c:v>
                      </c:pt>
                      <c:pt idx="10">
                        <c:v>3.8548515557866478</c:v>
                      </c:pt>
                      <c:pt idx="11">
                        <c:v>3.8548515557866478</c:v>
                      </c:pt>
                      <c:pt idx="12">
                        <c:v>3.8548515557866478</c:v>
                      </c:pt>
                      <c:pt idx="13">
                        <c:v>3.8548515557866478</c:v>
                      </c:pt>
                      <c:pt idx="14">
                        <c:v>3.8548515557866478</c:v>
                      </c:pt>
                      <c:pt idx="15">
                        <c:v>3.8548515557866478</c:v>
                      </c:pt>
                      <c:pt idx="16">
                        <c:v>3.8548515557866478</c:v>
                      </c:pt>
                      <c:pt idx="17">
                        <c:v>2.8448734589261004</c:v>
                      </c:pt>
                      <c:pt idx="18">
                        <c:v>2.5528668609144187</c:v>
                      </c:pt>
                      <c:pt idx="19">
                        <c:v>2.5528668609144187</c:v>
                      </c:pt>
                      <c:pt idx="20">
                        <c:v>2.5528668609144187</c:v>
                      </c:pt>
                      <c:pt idx="21">
                        <c:v>2.5528668609144187</c:v>
                      </c:pt>
                      <c:pt idx="22">
                        <c:v>2.5528668609144187</c:v>
                      </c:pt>
                      <c:pt idx="23">
                        <c:v>2.5528668609144187</c:v>
                      </c:pt>
                      <c:pt idx="24">
                        <c:v>2.5528668609144187</c:v>
                      </c:pt>
                      <c:pt idx="25">
                        <c:v>2.9987411130873514</c:v>
                      </c:pt>
                      <c:pt idx="26">
                        <c:v>2.9987411130873514</c:v>
                      </c:pt>
                      <c:pt idx="27">
                        <c:v>2.9987411130873514</c:v>
                      </c:pt>
                      <c:pt idx="28">
                        <c:v>2.9987411130873514</c:v>
                      </c:pt>
                      <c:pt idx="29">
                        <c:v>2.9987411130873514</c:v>
                      </c:pt>
                      <c:pt idx="30">
                        <c:v>2.9987411130873514</c:v>
                      </c:pt>
                      <c:pt idx="31">
                        <c:v>2.9987411130873514</c:v>
                      </c:pt>
                      <c:pt idx="32">
                        <c:v>2.9987411130873514</c:v>
                      </c:pt>
                      <c:pt idx="33">
                        <c:v>3.3227370631379745</c:v>
                      </c:pt>
                      <c:pt idx="34">
                        <c:v>3.3227370631379745</c:v>
                      </c:pt>
                      <c:pt idx="35">
                        <c:v>3.3227370631379745</c:v>
                      </c:pt>
                      <c:pt idx="36">
                        <c:v>3.3227370631379745</c:v>
                      </c:pt>
                      <c:pt idx="37">
                        <c:v>3.3227370631379745</c:v>
                      </c:pt>
                      <c:pt idx="38">
                        <c:v>3.3227370631379745</c:v>
                      </c:pt>
                      <c:pt idx="39">
                        <c:v>3.9153547400766828</c:v>
                      </c:pt>
                      <c:pt idx="40">
                        <c:v>3.9153547400766828</c:v>
                      </c:pt>
                      <c:pt idx="41">
                        <c:v>3.9153547400766828</c:v>
                      </c:pt>
                      <c:pt idx="42">
                        <c:v>3.9153547400766828</c:v>
                      </c:pt>
                      <c:pt idx="43">
                        <c:v>3.9153547400766828</c:v>
                      </c:pt>
                      <c:pt idx="44">
                        <c:v>3.9153547400766828</c:v>
                      </c:pt>
                      <c:pt idx="45">
                        <c:v>3.9153547400766828</c:v>
                      </c:pt>
                      <c:pt idx="46">
                        <c:v>3.9153547400766828</c:v>
                      </c:pt>
                      <c:pt idx="47">
                        <c:v>3.9153547400766828</c:v>
                      </c:pt>
                      <c:pt idx="48">
                        <c:v>4.1669109778186488</c:v>
                      </c:pt>
                      <c:pt idx="49">
                        <c:v>4.1669109778186488</c:v>
                      </c:pt>
                      <c:pt idx="50">
                        <c:v>4.1669109778186488</c:v>
                      </c:pt>
                      <c:pt idx="51">
                        <c:v>4.1669109778186488</c:v>
                      </c:pt>
                      <c:pt idx="52">
                        <c:v>4.1669109778186488</c:v>
                      </c:pt>
                      <c:pt idx="53">
                        <c:v>4.1669109778186488</c:v>
                      </c:pt>
                      <c:pt idx="54">
                        <c:v>4.1669109778186488</c:v>
                      </c:pt>
                      <c:pt idx="55">
                        <c:v>4.013771621003948</c:v>
                      </c:pt>
                      <c:pt idx="56">
                        <c:v>4.013771621003948</c:v>
                      </c:pt>
                      <c:pt idx="57">
                        <c:v>4.013771621003948</c:v>
                      </c:pt>
                      <c:pt idx="58">
                        <c:v>4.013771621003948</c:v>
                      </c:pt>
                      <c:pt idx="59">
                        <c:v>4.013771621003948</c:v>
                      </c:pt>
                      <c:pt idx="60">
                        <c:v>4.013771621003948</c:v>
                      </c:pt>
                      <c:pt idx="61">
                        <c:v>4.013771621003948</c:v>
                      </c:pt>
                      <c:pt idx="62">
                        <c:v>5.5438132471364243</c:v>
                      </c:pt>
                      <c:pt idx="63">
                        <c:v>5.5438132471364243</c:v>
                      </c:pt>
                      <c:pt idx="64">
                        <c:v>5.5438132471364243</c:v>
                      </c:pt>
                      <c:pt idx="65">
                        <c:v>5.5438132471364243</c:v>
                      </c:pt>
                      <c:pt idx="66">
                        <c:v>5.5438132471364243</c:v>
                      </c:pt>
                      <c:pt idx="67">
                        <c:v>5.7936673931932958</c:v>
                      </c:pt>
                      <c:pt idx="68">
                        <c:v>5.7936673931932958</c:v>
                      </c:pt>
                      <c:pt idx="69">
                        <c:v>5.7936673931932958</c:v>
                      </c:pt>
                      <c:pt idx="70">
                        <c:v>5.7936673931932958</c:v>
                      </c:pt>
                      <c:pt idx="71">
                        <c:v>5.7936673931932958</c:v>
                      </c:pt>
                      <c:pt idx="72">
                        <c:v>5.5757464568678348</c:v>
                      </c:pt>
                      <c:pt idx="73">
                        <c:v>5.5757464568678348</c:v>
                      </c:pt>
                      <c:pt idx="74">
                        <c:v>5.5757464568678348</c:v>
                      </c:pt>
                      <c:pt idx="75">
                        <c:v>5.5757464568678348</c:v>
                      </c:pt>
                      <c:pt idx="76">
                        <c:v>5.5757464568678348</c:v>
                      </c:pt>
                      <c:pt idx="77">
                        <c:v>5.5757464568678348</c:v>
                      </c:pt>
                      <c:pt idx="78">
                        <c:v>5.5757464568678348</c:v>
                      </c:pt>
                      <c:pt idx="79">
                        <c:v>5.5757464568678348</c:v>
                      </c:pt>
                      <c:pt idx="80">
                        <c:v>6.281589977960623</c:v>
                      </c:pt>
                      <c:pt idx="81">
                        <c:v>6.281589977960623</c:v>
                      </c:pt>
                      <c:pt idx="82">
                        <c:v>6.281589977960623</c:v>
                      </c:pt>
                      <c:pt idx="83">
                        <c:v>6.281589977960623</c:v>
                      </c:pt>
                      <c:pt idx="84">
                        <c:v>6.281589977960623</c:v>
                      </c:pt>
                      <c:pt idx="85">
                        <c:v>6.281589977960623</c:v>
                      </c:pt>
                      <c:pt idx="86">
                        <c:v>6.281589977960623</c:v>
                      </c:pt>
                      <c:pt idx="87">
                        <c:v>6.281589977960623</c:v>
                      </c:pt>
                      <c:pt idx="88">
                        <c:v>6.281589977960623</c:v>
                      </c:pt>
                      <c:pt idx="89">
                        <c:v>6.281589977960623</c:v>
                      </c:pt>
                      <c:pt idx="90">
                        <c:v>6.281589977960623</c:v>
                      </c:pt>
                      <c:pt idx="91">
                        <c:v>6.281589977960623</c:v>
                      </c:pt>
                      <c:pt idx="92">
                        <c:v>6.281589977960623</c:v>
                      </c:pt>
                      <c:pt idx="93">
                        <c:v>6.281589977960623</c:v>
                      </c:pt>
                      <c:pt idx="94">
                        <c:v>4.4357077153157531</c:v>
                      </c:pt>
                      <c:pt idx="95">
                        <c:v>4.4357077153157531</c:v>
                      </c:pt>
                      <c:pt idx="96">
                        <c:v>4.4357077153157531</c:v>
                      </c:pt>
                      <c:pt idx="97">
                        <c:v>4.4357077153157531</c:v>
                      </c:pt>
                      <c:pt idx="98">
                        <c:v>4.4357077153157531</c:v>
                      </c:pt>
                      <c:pt idx="99">
                        <c:v>4.4357077153157531</c:v>
                      </c:pt>
                      <c:pt idx="100">
                        <c:v>4.4357077153157531</c:v>
                      </c:pt>
                      <c:pt idx="101">
                        <c:v>4.4357077153157531</c:v>
                      </c:pt>
                      <c:pt idx="102">
                        <c:v>4.4357077153157531</c:v>
                      </c:pt>
                      <c:pt idx="103">
                        <c:v>4.4357077153157531</c:v>
                      </c:pt>
                      <c:pt idx="104">
                        <c:v>6.2692194926176814</c:v>
                      </c:pt>
                      <c:pt idx="105">
                        <c:v>6.2692194926176814</c:v>
                      </c:pt>
                      <c:pt idx="106">
                        <c:v>6.2692194926176814</c:v>
                      </c:pt>
                      <c:pt idx="107">
                        <c:v>6.2692194926176814</c:v>
                      </c:pt>
                      <c:pt idx="108">
                        <c:v>6.2692194926176814</c:v>
                      </c:pt>
                      <c:pt idx="109">
                        <c:v>6.2692194926176814</c:v>
                      </c:pt>
                      <c:pt idx="110">
                        <c:v>7.3863383918736671</c:v>
                      </c:pt>
                      <c:pt idx="111">
                        <c:v>7.3863383918736671</c:v>
                      </c:pt>
                      <c:pt idx="112">
                        <c:v>7.322999936085985</c:v>
                      </c:pt>
                      <c:pt idx="113">
                        <c:v>7.322999936085985</c:v>
                      </c:pt>
                      <c:pt idx="114">
                        <c:v>7.3143500972875248</c:v>
                      </c:pt>
                      <c:pt idx="115">
                        <c:v>7.3143500972875248</c:v>
                      </c:pt>
                      <c:pt idx="116">
                        <c:v>8.3293724277787966</c:v>
                      </c:pt>
                      <c:pt idx="117">
                        <c:v>8.3293724277787966</c:v>
                      </c:pt>
                      <c:pt idx="118">
                        <c:v>8.3293724277787966</c:v>
                      </c:pt>
                      <c:pt idx="119">
                        <c:v>8.3293724277787966</c:v>
                      </c:pt>
                      <c:pt idx="120">
                        <c:v>7.5151410798719009</c:v>
                      </c:pt>
                      <c:pt idx="121">
                        <c:v>7.5151410798719009</c:v>
                      </c:pt>
                      <c:pt idx="122">
                        <c:v>7.5151410798719009</c:v>
                      </c:pt>
                      <c:pt idx="123">
                        <c:v>7.5151410798719009</c:v>
                      </c:pt>
                      <c:pt idx="124">
                        <c:v>8.4153881726440041</c:v>
                      </c:pt>
                      <c:pt idx="125">
                        <c:v>8.8752745253359038</c:v>
                      </c:pt>
                      <c:pt idx="126">
                        <c:v>8.8752745253359038</c:v>
                      </c:pt>
                      <c:pt idx="127">
                        <c:v>8.8752745253359038</c:v>
                      </c:pt>
                      <c:pt idx="128">
                        <c:v>8.8752745253359038</c:v>
                      </c:pt>
                      <c:pt idx="129">
                        <c:v>8.8752745253359038</c:v>
                      </c:pt>
                      <c:pt idx="130">
                        <c:v>8.8752745253359038</c:v>
                      </c:pt>
                      <c:pt idx="131">
                        <c:v>8.8752745253359038</c:v>
                      </c:pt>
                      <c:pt idx="132">
                        <c:v>8.8752745253359038</c:v>
                      </c:pt>
                      <c:pt idx="133">
                        <c:v>8.8752745253359038</c:v>
                      </c:pt>
                      <c:pt idx="134">
                        <c:v>8.8752745253359038</c:v>
                      </c:pt>
                      <c:pt idx="135">
                        <c:v>9.875953411961838</c:v>
                      </c:pt>
                      <c:pt idx="136">
                        <c:v>9.875953411961838</c:v>
                      </c:pt>
                      <c:pt idx="137">
                        <c:v>9.875953411961838</c:v>
                      </c:pt>
                      <c:pt idx="138">
                        <c:v>9.9457858141964781</c:v>
                      </c:pt>
                      <c:pt idx="139">
                        <c:v>8.6904352872370154</c:v>
                      </c:pt>
                      <c:pt idx="140">
                        <c:v>8.6904352872370154</c:v>
                      </c:pt>
                      <c:pt idx="141">
                        <c:v>8.6904352872370154</c:v>
                      </c:pt>
                      <c:pt idx="142">
                        <c:v>9.1072160362254841</c:v>
                      </c:pt>
                      <c:pt idx="143">
                        <c:v>8.3244093183205603</c:v>
                      </c:pt>
                      <c:pt idx="144">
                        <c:v>8.3244093183205603</c:v>
                      </c:pt>
                      <c:pt idx="145">
                        <c:v>8.3244093183205603</c:v>
                      </c:pt>
                      <c:pt idx="146">
                        <c:v>8.3244093183205603</c:v>
                      </c:pt>
                      <c:pt idx="147">
                        <c:v>9.0927373338704918</c:v>
                      </c:pt>
                      <c:pt idx="148">
                        <c:v>8.6535675479595735</c:v>
                      </c:pt>
                      <c:pt idx="149">
                        <c:v>8.6535675479595735</c:v>
                      </c:pt>
                      <c:pt idx="150">
                        <c:v>9.0632001199555994</c:v>
                      </c:pt>
                      <c:pt idx="151">
                        <c:v>9.0632001199555994</c:v>
                      </c:pt>
                      <c:pt idx="152">
                        <c:v>9.155160183013928</c:v>
                      </c:pt>
                      <c:pt idx="153">
                        <c:v>9.155160183013928</c:v>
                      </c:pt>
                      <c:pt idx="154">
                        <c:v>9.155160183013928</c:v>
                      </c:pt>
                      <c:pt idx="155">
                        <c:v>7.4264587768931687</c:v>
                      </c:pt>
                      <c:pt idx="156">
                        <c:v>7.4264587768931687</c:v>
                      </c:pt>
                      <c:pt idx="157">
                        <c:v>7.0576619396948441</c:v>
                      </c:pt>
                      <c:pt idx="158">
                        <c:v>7.0576619396948441</c:v>
                      </c:pt>
                      <c:pt idx="159">
                        <c:v>7.2473426573880646</c:v>
                      </c:pt>
                      <c:pt idx="160">
                        <c:v>7.2473426573880646</c:v>
                      </c:pt>
                      <c:pt idx="161">
                        <c:v>7.2473426573880646</c:v>
                      </c:pt>
                      <c:pt idx="162">
                        <c:v>8.7906759907213967</c:v>
                      </c:pt>
                      <c:pt idx="163">
                        <c:v>9.5426557604691844</c:v>
                      </c:pt>
                      <c:pt idx="164">
                        <c:v>9.5426557604691844</c:v>
                      </c:pt>
                      <c:pt idx="165">
                        <c:v>9.5426557604691844</c:v>
                      </c:pt>
                      <c:pt idx="166">
                        <c:v>9.5426557604691844</c:v>
                      </c:pt>
                      <c:pt idx="167">
                        <c:v>8.7878633283880081</c:v>
                      </c:pt>
                      <c:pt idx="168">
                        <c:v>7.6642805619480985</c:v>
                      </c:pt>
                      <c:pt idx="169">
                        <c:v>7.6642805619480985</c:v>
                      </c:pt>
                      <c:pt idx="170">
                        <c:v>7.6642805619480985</c:v>
                      </c:pt>
                      <c:pt idx="171">
                        <c:v>7.6642805619480985</c:v>
                      </c:pt>
                      <c:pt idx="172">
                        <c:v>7.6642805619480985</c:v>
                      </c:pt>
                      <c:pt idx="173">
                        <c:v>7.6642805619480985</c:v>
                      </c:pt>
                      <c:pt idx="174">
                        <c:v>7.6642805619480985</c:v>
                      </c:pt>
                      <c:pt idx="175">
                        <c:v>8.5072766968274802</c:v>
                      </c:pt>
                      <c:pt idx="176">
                        <c:v>8.5072766968274802</c:v>
                      </c:pt>
                      <c:pt idx="177">
                        <c:v>11.185380679752049</c:v>
                      </c:pt>
                      <c:pt idx="178">
                        <c:v>11.185380679752049</c:v>
                      </c:pt>
                      <c:pt idx="179">
                        <c:v>12.33480596710837</c:v>
                      </c:pt>
                      <c:pt idx="180">
                        <c:v>12.33480596710837</c:v>
                      </c:pt>
                      <c:pt idx="181">
                        <c:v>12.33480596710837</c:v>
                      </c:pt>
                      <c:pt idx="182">
                        <c:v>11.480552131682987</c:v>
                      </c:pt>
                      <c:pt idx="183">
                        <c:v>11.480552131682987</c:v>
                      </c:pt>
                      <c:pt idx="184">
                        <c:v>12.525182536146026</c:v>
                      </c:pt>
                      <c:pt idx="185">
                        <c:v>12.525182536146026</c:v>
                      </c:pt>
                      <c:pt idx="186">
                        <c:v>12.136135256507156</c:v>
                      </c:pt>
                      <c:pt idx="187">
                        <c:v>12.136135256507156</c:v>
                      </c:pt>
                      <c:pt idx="188">
                        <c:v>11.785248369177763</c:v>
                      </c:pt>
                      <c:pt idx="189">
                        <c:v>11.785248369177763</c:v>
                      </c:pt>
                      <c:pt idx="190">
                        <c:v>10.517894417287732</c:v>
                      </c:pt>
                      <c:pt idx="191">
                        <c:v>11.371198701964566</c:v>
                      </c:pt>
                      <c:pt idx="192">
                        <c:v>11.749027624097284</c:v>
                      </c:pt>
                      <c:pt idx="193">
                        <c:v>11.749027624097284</c:v>
                      </c:pt>
                      <c:pt idx="194">
                        <c:v>11.749027624097284</c:v>
                      </c:pt>
                      <c:pt idx="195">
                        <c:v>11.995568504600431</c:v>
                      </c:pt>
                      <c:pt idx="196">
                        <c:v>11.995568504600431</c:v>
                      </c:pt>
                      <c:pt idx="197">
                        <c:v>17.584021502379855</c:v>
                      </c:pt>
                      <c:pt idx="198">
                        <c:v>18.977699663299394</c:v>
                      </c:pt>
                      <c:pt idx="199">
                        <c:v>20.212399350176707</c:v>
                      </c:pt>
                      <c:pt idx="200">
                        <c:v>20.212399350176707</c:v>
                      </c:pt>
                      <c:pt idx="201">
                        <c:v>20.212399350176707</c:v>
                      </c:pt>
                      <c:pt idx="202">
                        <c:v>20.212399350176707</c:v>
                      </c:pt>
                      <c:pt idx="203">
                        <c:v>20.212399350176707</c:v>
                      </c:pt>
                      <c:pt idx="204">
                        <c:v>20.212399350176707</c:v>
                      </c:pt>
                      <c:pt idx="205">
                        <c:v>20.212399350176707</c:v>
                      </c:pt>
                      <c:pt idx="206">
                        <c:v>20.212399350176707</c:v>
                      </c:pt>
                      <c:pt idx="207">
                        <c:v>20.212399350176707</c:v>
                      </c:pt>
                      <c:pt idx="208">
                        <c:v>20.212399350176707</c:v>
                      </c:pt>
                      <c:pt idx="209">
                        <c:v>20.212399350176707</c:v>
                      </c:pt>
                      <c:pt idx="210">
                        <c:v>20.212399350176707</c:v>
                      </c:pt>
                      <c:pt idx="211">
                        <c:v>20.412414735975613</c:v>
                      </c:pt>
                      <c:pt idx="212">
                        <c:v>21.556554076595891</c:v>
                      </c:pt>
                      <c:pt idx="213">
                        <c:v>21.556554076595891</c:v>
                      </c:pt>
                      <c:pt idx="214">
                        <c:v>21.556554076595891</c:v>
                      </c:pt>
                      <c:pt idx="215">
                        <c:v>21.556554076595891</c:v>
                      </c:pt>
                      <c:pt idx="216">
                        <c:v>21.556554076595891</c:v>
                      </c:pt>
                      <c:pt idx="217">
                        <c:v>21.556554076595891</c:v>
                      </c:pt>
                      <c:pt idx="218">
                        <c:v>21.556554076595891</c:v>
                      </c:pt>
                      <c:pt idx="219">
                        <c:v>21.556554076595891</c:v>
                      </c:pt>
                      <c:pt idx="220">
                        <c:v>22.805305325347138</c:v>
                      </c:pt>
                      <c:pt idx="221">
                        <c:v>22.805305325347138</c:v>
                      </c:pt>
                      <c:pt idx="222">
                        <c:v>22.805305325347138</c:v>
                      </c:pt>
                      <c:pt idx="223">
                        <c:v>22.805305325347138</c:v>
                      </c:pt>
                      <c:pt idx="224">
                        <c:v>22.805305325347138</c:v>
                      </c:pt>
                      <c:pt idx="225">
                        <c:v>22.805305325347138</c:v>
                      </c:pt>
                      <c:pt idx="226">
                        <c:v>24.487997633039441</c:v>
                      </c:pt>
                      <c:pt idx="227">
                        <c:v>24.487997633039441</c:v>
                      </c:pt>
                      <c:pt idx="228">
                        <c:v>26.17038409824033</c:v>
                      </c:pt>
                      <c:pt idx="229">
                        <c:v>26.014779242136306</c:v>
                      </c:pt>
                      <c:pt idx="230">
                        <c:v>30.125941391883664</c:v>
                      </c:pt>
                      <c:pt idx="231">
                        <c:v>30.125941391883664</c:v>
                      </c:pt>
                      <c:pt idx="232">
                        <c:v>30.125941391883664</c:v>
                      </c:pt>
                      <c:pt idx="233">
                        <c:v>30.125941391883664</c:v>
                      </c:pt>
                      <c:pt idx="234">
                        <c:v>30.125941391883664</c:v>
                      </c:pt>
                      <c:pt idx="235">
                        <c:v>30.125941391883664</c:v>
                      </c:pt>
                      <c:pt idx="236">
                        <c:v>30.125941391883664</c:v>
                      </c:pt>
                      <c:pt idx="237">
                        <c:v>30.125941391883664</c:v>
                      </c:pt>
                      <c:pt idx="238">
                        <c:v>30.125941391883664</c:v>
                      </c:pt>
                      <c:pt idx="239">
                        <c:v>30.125941391883664</c:v>
                      </c:pt>
                      <c:pt idx="240">
                        <c:v>30.125941391883664</c:v>
                      </c:pt>
                      <c:pt idx="241">
                        <c:v>30.125941391883664</c:v>
                      </c:pt>
                      <c:pt idx="242">
                        <c:v>30.125941391883664</c:v>
                      </c:pt>
                      <c:pt idx="243">
                        <c:v>30.125941391883664</c:v>
                      </c:pt>
                      <c:pt idx="244">
                        <c:v>30.881325512745121</c:v>
                      </c:pt>
                      <c:pt idx="245">
                        <c:v>30.881325512745121</c:v>
                      </c:pt>
                      <c:pt idx="246">
                        <c:v>30.14804700397319</c:v>
                      </c:pt>
                      <c:pt idx="247">
                        <c:v>30.14804700397319</c:v>
                      </c:pt>
                      <c:pt idx="248">
                        <c:v>30.261392164627633</c:v>
                      </c:pt>
                      <c:pt idx="249">
                        <c:v>30.261392164627633</c:v>
                      </c:pt>
                      <c:pt idx="250">
                        <c:v>30.261392164627633</c:v>
                      </c:pt>
                      <c:pt idx="251">
                        <c:v>30.261392164627633</c:v>
                      </c:pt>
                      <c:pt idx="252">
                        <c:v>30.261392164627633</c:v>
                      </c:pt>
                      <c:pt idx="253">
                        <c:v>30.261392164627633</c:v>
                      </c:pt>
                      <c:pt idx="254">
                        <c:v>30.261392164627633</c:v>
                      </c:pt>
                      <c:pt idx="255">
                        <c:v>30.261392164627633</c:v>
                      </c:pt>
                      <c:pt idx="256">
                        <c:v>29.98876127655776</c:v>
                      </c:pt>
                      <c:pt idx="257">
                        <c:v>33.042072794436208</c:v>
                      </c:pt>
                      <c:pt idx="258">
                        <c:v>33.539345813364669</c:v>
                      </c:pt>
                      <c:pt idx="259">
                        <c:v>33.539345813364669</c:v>
                      </c:pt>
                      <c:pt idx="260">
                        <c:v>33.539345813364669</c:v>
                      </c:pt>
                      <c:pt idx="261">
                        <c:v>33.92219901113031</c:v>
                      </c:pt>
                      <c:pt idx="262">
                        <c:v>33.92219901113031</c:v>
                      </c:pt>
                      <c:pt idx="263">
                        <c:v>33.92219901113031</c:v>
                      </c:pt>
                      <c:pt idx="264">
                        <c:v>33.92219901113031</c:v>
                      </c:pt>
                      <c:pt idx="265">
                        <c:v>33.92219901113031</c:v>
                      </c:pt>
                      <c:pt idx="266">
                        <c:v>33.92219901113031</c:v>
                      </c:pt>
                      <c:pt idx="267">
                        <c:v>33.92219901113031</c:v>
                      </c:pt>
                      <c:pt idx="268">
                        <c:v>34.146297833245036</c:v>
                      </c:pt>
                      <c:pt idx="269">
                        <c:v>34.146297833245036</c:v>
                      </c:pt>
                      <c:pt idx="270">
                        <c:v>34.146297833245036</c:v>
                      </c:pt>
                      <c:pt idx="271">
                        <c:v>35.515403524301945</c:v>
                      </c:pt>
                      <c:pt idx="272">
                        <c:v>35.515403524301945</c:v>
                      </c:pt>
                      <c:pt idx="273">
                        <c:v>35.515403524301945</c:v>
                      </c:pt>
                      <c:pt idx="274">
                        <c:v>35.854349511618807</c:v>
                      </c:pt>
                      <c:pt idx="275">
                        <c:v>35.386129485074051</c:v>
                      </c:pt>
                      <c:pt idx="276">
                        <c:v>35.386129485074051</c:v>
                      </c:pt>
                      <c:pt idx="277">
                        <c:v>35.386129485074051</c:v>
                      </c:pt>
                      <c:pt idx="278">
                        <c:v>35.386129485074051</c:v>
                      </c:pt>
                      <c:pt idx="279">
                        <c:v>35.386129485074051</c:v>
                      </c:pt>
                      <c:pt idx="280">
                        <c:v>35.655393162158958</c:v>
                      </c:pt>
                      <c:pt idx="281">
                        <c:v>35.655393162158958</c:v>
                      </c:pt>
                      <c:pt idx="282">
                        <c:v>36.246347684897593</c:v>
                      </c:pt>
                      <c:pt idx="283">
                        <c:v>35.105513695912542</c:v>
                      </c:pt>
                      <c:pt idx="284">
                        <c:v>35.709048518821184</c:v>
                      </c:pt>
                      <c:pt idx="285">
                        <c:v>35.709048518821184</c:v>
                      </c:pt>
                      <c:pt idx="286">
                        <c:v>35.709048518821184</c:v>
                      </c:pt>
                      <c:pt idx="287">
                        <c:v>35.709048518821184</c:v>
                      </c:pt>
                      <c:pt idx="288">
                        <c:v>35.709048518821184</c:v>
                      </c:pt>
                      <c:pt idx="289">
                        <c:v>35.709048518821184</c:v>
                      </c:pt>
                      <c:pt idx="290">
                        <c:v>35.709048518821184</c:v>
                      </c:pt>
                      <c:pt idx="291">
                        <c:v>35.709048518821184</c:v>
                      </c:pt>
                      <c:pt idx="292">
                        <c:v>35.709048518821184</c:v>
                      </c:pt>
                      <c:pt idx="293">
                        <c:v>35.709048518821184</c:v>
                      </c:pt>
                      <c:pt idx="294">
                        <c:v>35.94828296858195</c:v>
                      </c:pt>
                      <c:pt idx="295">
                        <c:v>36.489188986161395</c:v>
                      </c:pt>
                      <c:pt idx="296">
                        <c:v>36.489188986161395</c:v>
                      </c:pt>
                      <c:pt idx="297">
                        <c:v>36.489188986161395</c:v>
                      </c:pt>
                      <c:pt idx="298">
                        <c:v>36.489188986161395</c:v>
                      </c:pt>
                      <c:pt idx="299">
                        <c:v>37.201817821324127</c:v>
                      </c:pt>
                      <c:pt idx="300">
                        <c:v>37.201817821324127</c:v>
                      </c:pt>
                      <c:pt idx="301">
                        <c:v>35.942469719165246</c:v>
                      </c:pt>
                      <c:pt idx="302">
                        <c:v>35.942469719165246</c:v>
                      </c:pt>
                      <c:pt idx="303">
                        <c:v>35.942469719165246</c:v>
                      </c:pt>
                      <c:pt idx="304">
                        <c:v>35.942469719165246</c:v>
                      </c:pt>
                      <c:pt idx="305">
                        <c:v>35.3658813814803</c:v>
                      </c:pt>
                      <c:pt idx="306">
                        <c:v>35.3658813814803</c:v>
                      </c:pt>
                      <c:pt idx="307">
                        <c:v>32.456367270336862</c:v>
                      </c:pt>
                      <c:pt idx="308">
                        <c:v>32.456367270336862</c:v>
                      </c:pt>
                      <c:pt idx="309">
                        <c:v>32.456367270336862</c:v>
                      </c:pt>
                      <c:pt idx="310">
                        <c:v>32.456367270336862</c:v>
                      </c:pt>
                      <c:pt idx="311">
                        <c:v>32.456367270336862</c:v>
                      </c:pt>
                      <c:pt idx="312">
                        <c:v>32.456367270336862</c:v>
                      </c:pt>
                      <c:pt idx="313">
                        <c:v>32.456367270336862</c:v>
                      </c:pt>
                      <c:pt idx="314">
                        <c:v>32.456367270336862</c:v>
                      </c:pt>
                      <c:pt idx="315">
                        <c:v>32.456367270336862</c:v>
                      </c:pt>
                      <c:pt idx="316">
                        <c:v>32.456367270336862</c:v>
                      </c:pt>
                      <c:pt idx="317">
                        <c:v>30.869214167748773</c:v>
                      </c:pt>
                      <c:pt idx="318">
                        <c:v>30.869214167748773</c:v>
                      </c:pt>
                      <c:pt idx="319">
                        <c:v>30.869214167748773</c:v>
                      </c:pt>
                      <c:pt idx="320">
                        <c:v>30.869214167748773</c:v>
                      </c:pt>
                      <c:pt idx="321">
                        <c:v>30.869214167748773</c:v>
                      </c:pt>
                      <c:pt idx="322">
                        <c:v>30.869214167748773</c:v>
                      </c:pt>
                      <c:pt idx="323">
                        <c:v>32.099179952009528</c:v>
                      </c:pt>
                      <c:pt idx="324">
                        <c:v>32.099179952009528</c:v>
                      </c:pt>
                      <c:pt idx="325">
                        <c:v>32.099179952009528</c:v>
                      </c:pt>
                      <c:pt idx="326">
                        <c:v>32.099179952009528</c:v>
                      </c:pt>
                      <c:pt idx="327">
                        <c:v>30.369756978644716</c:v>
                      </c:pt>
                      <c:pt idx="328">
                        <c:v>30.369756978644716</c:v>
                      </c:pt>
                      <c:pt idx="329">
                        <c:v>30.369756978644716</c:v>
                      </c:pt>
                      <c:pt idx="330">
                        <c:v>29.811068591008961</c:v>
                      </c:pt>
                      <c:pt idx="331">
                        <c:v>29.811068591008961</c:v>
                      </c:pt>
                      <c:pt idx="332">
                        <c:v>29.811068591008961</c:v>
                      </c:pt>
                      <c:pt idx="333">
                        <c:v>29.811068591008961</c:v>
                      </c:pt>
                      <c:pt idx="334">
                        <c:v>29.16874566975951</c:v>
                      </c:pt>
                      <c:pt idx="335">
                        <c:v>29.16874566975951</c:v>
                      </c:pt>
                      <c:pt idx="336">
                        <c:v>29.16874566975951</c:v>
                      </c:pt>
                      <c:pt idx="337">
                        <c:v>29.16874566975951</c:v>
                      </c:pt>
                      <c:pt idx="338">
                        <c:v>29.16874566975951</c:v>
                      </c:pt>
                      <c:pt idx="339">
                        <c:v>30.028587582233001</c:v>
                      </c:pt>
                      <c:pt idx="340">
                        <c:v>33.604613901786713</c:v>
                      </c:pt>
                      <c:pt idx="341">
                        <c:v>32.459246110263081</c:v>
                      </c:pt>
                      <c:pt idx="342">
                        <c:v>32.459246110263081</c:v>
                      </c:pt>
                      <c:pt idx="343">
                        <c:v>32.459246110263081</c:v>
                      </c:pt>
                      <c:pt idx="344">
                        <c:v>32.459246110263081</c:v>
                      </c:pt>
                      <c:pt idx="345">
                        <c:v>32.459246110263081</c:v>
                      </c:pt>
                      <c:pt idx="346">
                        <c:v>32.404131978081018</c:v>
                      </c:pt>
                      <c:pt idx="347">
                        <c:v>32.404131978081018</c:v>
                      </c:pt>
                      <c:pt idx="348">
                        <c:v>32.404131978081018</c:v>
                      </c:pt>
                      <c:pt idx="349">
                        <c:v>30.987303079097675</c:v>
                      </c:pt>
                      <c:pt idx="350">
                        <c:v>30.987303079097675</c:v>
                      </c:pt>
                      <c:pt idx="351">
                        <c:v>30.987303079097675</c:v>
                      </c:pt>
                      <c:pt idx="352">
                        <c:v>30.987303079097675</c:v>
                      </c:pt>
                      <c:pt idx="353">
                        <c:v>31.03334677456467</c:v>
                      </c:pt>
                      <c:pt idx="354">
                        <c:v>31.03334677456467</c:v>
                      </c:pt>
                      <c:pt idx="355">
                        <c:v>31.03334677456467</c:v>
                      </c:pt>
                      <c:pt idx="356">
                        <c:v>31.03334677456467</c:v>
                      </c:pt>
                      <c:pt idx="357">
                        <c:v>28.874367383004316</c:v>
                      </c:pt>
                      <c:pt idx="358">
                        <c:v>28.874367383004316</c:v>
                      </c:pt>
                      <c:pt idx="359">
                        <c:v>28.874367383004316</c:v>
                      </c:pt>
                      <c:pt idx="360">
                        <c:v>28.874367383004316</c:v>
                      </c:pt>
                      <c:pt idx="361">
                        <c:v>28.874367383004316</c:v>
                      </c:pt>
                      <c:pt idx="362">
                        <c:v>28.874367383004316</c:v>
                      </c:pt>
                      <c:pt idx="363">
                        <c:v>28.874367383004316</c:v>
                      </c:pt>
                      <c:pt idx="364">
                        <c:v>28.874367383004316</c:v>
                      </c:pt>
                      <c:pt idx="365">
                        <c:v>28.874367383004316</c:v>
                      </c:pt>
                      <c:pt idx="366">
                        <c:v>28.874367383004316</c:v>
                      </c:pt>
                      <c:pt idx="367">
                        <c:v>28.874367383004316</c:v>
                      </c:pt>
                      <c:pt idx="368">
                        <c:v>26.7782482629664</c:v>
                      </c:pt>
                      <c:pt idx="369">
                        <c:v>26.7782482629664</c:v>
                      </c:pt>
                      <c:pt idx="370">
                        <c:v>25.718073752364656</c:v>
                      </c:pt>
                      <c:pt idx="371">
                        <c:v>25.718073752364656</c:v>
                      </c:pt>
                      <c:pt idx="372">
                        <c:v>25.718073752364656</c:v>
                      </c:pt>
                      <c:pt idx="373">
                        <c:v>25.718073752364656</c:v>
                      </c:pt>
                      <c:pt idx="374">
                        <c:v>25.718073752364656</c:v>
                      </c:pt>
                      <c:pt idx="375">
                        <c:v>25.718073752364656</c:v>
                      </c:pt>
                      <c:pt idx="376">
                        <c:v>25.718073752364656</c:v>
                      </c:pt>
                      <c:pt idx="377">
                        <c:v>25.718073752364656</c:v>
                      </c:pt>
                      <c:pt idx="378">
                        <c:v>25.718073752364656</c:v>
                      </c:pt>
                      <c:pt idx="379">
                        <c:v>25.718073752364656</c:v>
                      </c:pt>
                      <c:pt idx="380">
                        <c:v>25.718073752364656</c:v>
                      </c:pt>
                      <c:pt idx="381">
                        <c:v>25.718073752364656</c:v>
                      </c:pt>
                      <c:pt idx="382">
                        <c:v>25.718073752364656</c:v>
                      </c:pt>
                      <c:pt idx="383">
                        <c:v>25.168440174749733</c:v>
                      </c:pt>
                      <c:pt idx="384">
                        <c:v>25.168440174749733</c:v>
                      </c:pt>
                      <c:pt idx="385">
                        <c:v>25.171493796344944</c:v>
                      </c:pt>
                      <c:pt idx="386">
                        <c:v>25.171493796344944</c:v>
                      </c:pt>
                      <c:pt idx="387">
                        <c:v>25.171493796344944</c:v>
                      </c:pt>
                      <c:pt idx="388">
                        <c:v>25.374533592144921</c:v>
                      </c:pt>
                      <c:pt idx="389">
                        <c:v>26.151735664683777</c:v>
                      </c:pt>
                      <c:pt idx="390">
                        <c:v>26.151735664683777</c:v>
                      </c:pt>
                      <c:pt idx="391">
                        <c:v>26.151735664683777</c:v>
                      </c:pt>
                      <c:pt idx="392">
                        <c:v>26.151735664683777</c:v>
                      </c:pt>
                      <c:pt idx="393">
                        <c:v>26.151735664683777</c:v>
                      </c:pt>
                      <c:pt idx="394">
                        <c:v>25.20148297730827</c:v>
                      </c:pt>
                      <c:pt idx="395">
                        <c:v>25.20148297730827</c:v>
                      </c:pt>
                      <c:pt idx="396">
                        <c:v>25.20148297730827</c:v>
                      </c:pt>
                      <c:pt idx="397">
                        <c:v>25.20148297730827</c:v>
                      </c:pt>
                      <c:pt idx="398">
                        <c:v>25.20148297730827</c:v>
                      </c:pt>
                      <c:pt idx="399">
                        <c:v>25.70117067249878</c:v>
                      </c:pt>
                      <c:pt idx="400">
                        <c:v>25.70117067249878</c:v>
                      </c:pt>
                      <c:pt idx="401">
                        <c:v>27.918525218652036</c:v>
                      </c:pt>
                      <c:pt idx="402">
                        <c:v>28.418138777225515</c:v>
                      </c:pt>
                      <c:pt idx="403">
                        <c:v>28.418138777225515</c:v>
                      </c:pt>
                      <c:pt idx="404">
                        <c:v>28.418138777225515</c:v>
                      </c:pt>
                      <c:pt idx="405">
                        <c:v>28.090860701179327</c:v>
                      </c:pt>
                      <c:pt idx="406">
                        <c:v>27.236897930118111</c:v>
                      </c:pt>
                      <c:pt idx="407">
                        <c:v>28.776800125519213</c:v>
                      </c:pt>
                      <c:pt idx="408">
                        <c:v>28.776800125519213</c:v>
                      </c:pt>
                      <c:pt idx="409">
                        <c:v>29.252046013609135</c:v>
                      </c:pt>
                      <c:pt idx="410">
                        <c:v>30.625301304018862</c:v>
                      </c:pt>
                      <c:pt idx="411">
                        <c:v>35.445396348146495</c:v>
                      </c:pt>
                      <c:pt idx="412">
                        <c:v>35.445396348146495</c:v>
                      </c:pt>
                      <c:pt idx="413">
                        <c:v>35.558093568281734</c:v>
                      </c:pt>
                      <c:pt idx="414">
                        <c:v>35.558093568281734</c:v>
                      </c:pt>
                      <c:pt idx="415">
                        <c:v>35.558093568281734</c:v>
                      </c:pt>
                      <c:pt idx="416">
                        <c:v>36.374228251869312</c:v>
                      </c:pt>
                      <c:pt idx="417">
                        <c:v>33.234255630377184</c:v>
                      </c:pt>
                      <c:pt idx="418">
                        <c:v>33.234255630377184</c:v>
                      </c:pt>
                      <c:pt idx="419">
                        <c:v>33.234255630377184</c:v>
                      </c:pt>
                      <c:pt idx="420">
                        <c:v>35.229430092144071</c:v>
                      </c:pt>
                      <c:pt idx="421">
                        <c:v>36.324908951966741</c:v>
                      </c:pt>
                      <c:pt idx="422">
                        <c:v>40.361679535499917</c:v>
                      </c:pt>
                      <c:pt idx="423">
                        <c:v>40.878067285572726</c:v>
                      </c:pt>
                      <c:pt idx="424">
                        <c:v>40.878067285572726</c:v>
                      </c:pt>
                      <c:pt idx="425">
                        <c:v>41.279918854828537</c:v>
                      </c:pt>
                      <c:pt idx="426">
                        <c:v>41.964052770403498</c:v>
                      </c:pt>
                      <c:pt idx="427">
                        <c:v>44.272914299511264</c:v>
                      </c:pt>
                      <c:pt idx="428">
                        <c:v>45.196921207974128</c:v>
                      </c:pt>
                      <c:pt idx="429">
                        <c:v>47.817377674584442</c:v>
                      </c:pt>
                      <c:pt idx="430">
                        <c:v>46.681773132166271</c:v>
                      </c:pt>
                      <c:pt idx="431">
                        <c:v>44.214124760903438</c:v>
                      </c:pt>
                      <c:pt idx="432">
                        <c:v>41.934628041555541</c:v>
                      </c:pt>
                      <c:pt idx="433">
                        <c:v>38.423978902658163</c:v>
                      </c:pt>
                      <c:pt idx="434">
                        <c:v>38.423978902658163</c:v>
                      </c:pt>
                      <c:pt idx="435">
                        <c:v>38.423978902658163</c:v>
                      </c:pt>
                      <c:pt idx="436">
                        <c:v>38.423978902658163</c:v>
                      </c:pt>
                      <c:pt idx="437">
                        <c:v>38.423978902658163</c:v>
                      </c:pt>
                      <c:pt idx="438">
                        <c:v>38.765915809783685</c:v>
                      </c:pt>
                      <c:pt idx="439">
                        <c:v>38.765915809783685</c:v>
                      </c:pt>
                      <c:pt idx="440">
                        <c:v>39.999389981788589</c:v>
                      </c:pt>
                      <c:pt idx="441">
                        <c:v>40.672608382166146</c:v>
                      </c:pt>
                      <c:pt idx="442">
                        <c:v>40.672608382166146</c:v>
                      </c:pt>
                      <c:pt idx="443">
                        <c:v>40.672608382166146</c:v>
                      </c:pt>
                      <c:pt idx="444">
                        <c:v>40.158756728904308</c:v>
                      </c:pt>
                    </c:numCache>
                  </c:numRef>
                </c:val>
                <c:smooth val="1"/>
                <c:extLst xmlns:c15="http://schemas.microsoft.com/office/drawing/2012/chart">
                  <c:ext xmlns:c16="http://schemas.microsoft.com/office/drawing/2014/chart" uri="{C3380CC4-5D6E-409C-BE32-E72D297353CC}">
                    <c16:uniqueId val="{00000005-A9EF-47C0-896E-1A1AEE0E0DC8}"/>
                  </c:ext>
                </c:extLst>
              </c15:ser>
            </c15:filteredLineSeries>
            <c15:filteredLineSeries>
              <c15:ser>
                <c:idx val="2"/>
                <c:order val="6"/>
                <c:tx>
                  <c:v>SW</c:v>
                </c:tx>
                <c:spPr>
                  <a:ln w="19050" cap="rnd">
                    <a:solidFill>
                      <a:srgbClr val="0070C0"/>
                    </a:solidFill>
                    <a:prstDash val="solid"/>
                    <a:round/>
                  </a:ln>
                  <a:effectLst/>
                </c:spPr>
                <c:marker>
                  <c:symbol val="none"/>
                </c:marker>
                <c:val>
                  <c:numRef>
                    <c:extLst xmlns:c15="http://schemas.microsoft.com/office/drawing/2012/chart">
                      <c:ext xmlns:c15="http://schemas.microsoft.com/office/drawing/2012/chart" uri="{02D57815-91ED-43cb-92C2-25804820EDAC}">
                        <c15:formulaRef>
                          <c15:sqref>'2025-Q1'!$Y$4:$Y$448</c15:sqref>
                        </c15:formulaRef>
                      </c:ext>
                    </c:extLst>
                    <c:numCache>
                      <c:formatCode>0.0</c:formatCode>
                      <c:ptCount val="445"/>
                      <c:pt idx="0">
                        <c:v>0</c:v>
                      </c:pt>
                      <c:pt idx="1">
                        <c:v>0</c:v>
                      </c:pt>
                      <c:pt idx="2">
                        <c:v>2.4945770065075905</c:v>
                      </c:pt>
                      <c:pt idx="3">
                        <c:v>2.4945770065075905</c:v>
                      </c:pt>
                      <c:pt idx="4">
                        <c:v>2.4945770065075905</c:v>
                      </c:pt>
                      <c:pt idx="5">
                        <c:v>2.4945770065075905</c:v>
                      </c:pt>
                      <c:pt idx="6">
                        <c:v>3.4739818190882708</c:v>
                      </c:pt>
                      <c:pt idx="7">
                        <c:v>3.4739818190882708</c:v>
                      </c:pt>
                      <c:pt idx="8">
                        <c:v>4.1675117988968919</c:v>
                      </c:pt>
                      <c:pt idx="9">
                        <c:v>4.1675117988968919</c:v>
                      </c:pt>
                      <c:pt idx="10">
                        <c:v>4.1675117988968919</c:v>
                      </c:pt>
                      <c:pt idx="11">
                        <c:v>5.2013212462836123</c:v>
                      </c:pt>
                      <c:pt idx="12">
                        <c:v>5.2013212462836123</c:v>
                      </c:pt>
                      <c:pt idx="13">
                        <c:v>5.2013212462836123</c:v>
                      </c:pt>
                      <c:pt idx="14">
                        <c:v>5.2013212462836123</c:v>
                      </c:pt>
                      <c:pt idx="15">
                        <c:v>4.1988149806194528</c:v>
                      </c:pt>
                      <c:pt idx="16">
                        <c:v>4.9547064879560478</c:v>
                      </c:pt>
                      <c:pt idx="17">
                        <c:v>4.9547064879560478</c:v>
                      </c:pt>
                      <c:pt idx="18">
                        <c:v>4.9547064879560478</c:v>
                      </c:pt>
                      <c:pt idx="19">
                        <c:v>4.9547064879560478</c:v>
                      </c:pt>
                      <c:pt idx="20">
                        <c:v>5.1130596154303163</c:v>
                      </c:pt>
                      <c:pt idx="21">
                        <c:v>5.5208899580078041</c:v>
                      </c:pt>
                      <c:pt idx="22">
                        <c:v>5.3392660263838749</c:v>
                      </c:pt>
                      <c:pt idx="23">
                        <c:v>5.8671201466997163</c:v>
                      </c:pt>
                      <c:pt idx="24">
                        <c:v>5.8671201466997163</c:v>
                      </c:pt>
                      <c:pt idx="25">
                        <c:v>5.8671201466997163</c:v>
                      </c:pt>
                      <c:pt idx="26">
                        <c:v>6.0964089754472726</c:v>
                      </c:pt>
                      <c:pt idx="27">
                        <c:v>5.3131667167951777</c:v>
                      </c:pt>
                      <c:pt idx="28">
                        <c:v>7.7728837008199552</c:v>
                      </c:pt>
                      <c:pt idx="29">
                        <c:v>7.7728837008199552</c:v>
                      </c:pt>
                      <c:pt idx="30">
                        <c:v>7.7728837008199552</c:v>
                      </c:pt>
                      <c:pt idx="31">
                        <c:v>8.9876985156347686</c:v>
                      </c:pt>
                      <c:pt idx="32">
                        <c:v>9.5421547774865285</c:v>
                      </c:pt>
                      <c:pt idx="33">
                        <c:v>9.5421547774865285</c:v>
                      </c:pt>
                      <c:pt idx="34">
                        <c:v>9.1625560675513142</c:v>
                      </c:pt>
                      <c:pt idx="35">
                        <c:v>9.1625560675513142</c:v>
                      </c:pt>
                      <c:pt idx="36">
                        <c:v>9.1625560675513142</c:v>
                      </c:pt>
                      <c:pt idx="37">
                        <c:v>9.9528219983089645</c:v>
                      </c:pt>
                      <c:pt idx="38">
                        <c:v>10.293347959199053</c:v>
                      </c:pt>
                      <c:pt idx="39">
                        <c:v>10.293347959199053</c:v>
                      </c:pt>
                      <c:pt idx="40">
                        <c:v>10.293347959199053</c:v>
                      </c:pt>
                      <c:pt idx="41">
                        <c:v>9.5934300610052929</c:v>
                      </c:pt>
                      <c:pt idx="42">
                        <c:v>9.8749981788307206</c:v>
                      </c:pt>
                      <c:pt idx="43">
                        <c:v>9.8749981788307206</c:v>
                      </c:pt>
                      <c:pt idx="44">
                        <c:v>9.6186713825088059</c:v>
                      </c:pt>
                      <c:pt idx="45">
                        <c:v>9.6186713825088059</c:v>
                      </c:pt>
                      <c:pt idx="46">
                        <c:v>10.385564229554324</c:v>
                      </c:pt>
                      <c:pt idx="47">
                        <c:v>10.982310490825959</c:v>
                      </c:pt>
                      <c:pt idx="48">
                        <c:v>10.982310490825959</c:v>
                      </c:pt>
                      <c:pt idx="49">
                        <c:v>10.982310490825959</c:v>
                      </c:pt>
                      <c:pt idx="50">
                        <c:v>10.813914350283452</c:v>
                      </c:pt>
                      <c:pt idx="51">
                        <c:v>10.813914350283452</c:v>
                      </c:pt>
                      <c:pt idx="52">
                        <c:v>9.9324361919995496</c:v>
                      </c:pt>
                      <c:pt idx="53">
                        <c:v>9.1305353900987445</c:v>
                      </c:pt>
                      <c:pt idx="54">
                        <c:v>9.1305353900987445</c:v>
                      </c:pt>
                      <c:pt idx="55">
                        <c:v>9.1305353900987445</c:v>
                      </c:pt>
                      <c:pt idx="56">
                        <c:v>9.0572831976555026</c:v>
                      </c:pt>
                      <c:pt idx="57">
                        <c:v>9.0572831976555026</c:v>
                      </c:pt>
                      <c:pt idx="58">
                        <c:v>9.0572831976555026</c:v>
                      </c:pt>
                      <c:pt idx="59">
                        <c:v>9.2458341373192017</c:v>
                      </c:pt>
                      <c:pt idx="60">
                        <c:v>9.6737620652471268</c:v>
                      </c:pt>
                      <c:pt idx="61">
                        <c:v>10.490102195861549</c:v>
                      </c:pt>
                      <c:pt idx="62">
                        <c:v>10.490102195861549</c:v>
                      </c:pt>
                      <c:pt idx="63">
                        <c:v>11.07528146053385</c:v>
                      </c:pt>
                      <c:pt idx="64">
                        <c:v>11.07528146053385</c:v>
                      </c:pt>
                      <c:pt idx="65">
                        <c:v>11.07528146053385</c:v>
                      </c:pt>
                      <c:pt idx="66">
                        <c:v>11.07528146053385</c:v>
                      </c:pt>
                      <c:pt idx="67">
                        <c:v>11.07528146053385</c:v>
                      </c:pt>
                      <c:pt idx="68">
                        <c:v>10.411737354366792</c:v>
                      </c:pt>
                      <c:pt idx="69">
                        <c:v>10.411737354366792</c:v>
                      </c:pt>
                      <c:pt idx="70">
                        <c:v>11.350704490517026</c:v>
                      </c:pt>
                      <c:pt idx="71">
                        <c:v>11.344377779141601</c:v>
                      </c:pt>
                      <c:pt idx="72">
                        <c:v>11.344377779141601</c:v>
                      </c:pt>
                      <c:pt idx="73">
                        <c:v>11.724486002094164</c:v>
                      </c:pt>
                      <c:pt idx="74">
                        <c:v>10.44447817244496</c:v>
                      </c:pt>
                      <c:pt idx="75">
                        <c:v>10.44447817244496</c:v>
                      </c:pt>
                      <c:pt idx="76">
                        <c:v>11.71516642423116</c:v>
                      </c:pt>
                      <c:pt idx="77">
                        <c:v>10.853051080998968</c:v>
                      </c:pt>
                      <c:pt idx="78">
                        <c:v>10.402122699036102</c:v>
                      </c:pt>
                      <c:pt idx="79">
                        <c:v>10.402122699036102</c:v>
                      </c:pt>
                      <c:pt idx="80">
                        <c:v>10.402122699036102</c:v>
                      </c:pt>
                      <c:pt idx="81">
                        <c:v>11.222509509435596</c:v>
                      </c:pt>
                      <c:pt idx="82">
                        <c:v>11.222509509435596</c:v>
                      </c:pt>
                      <c:pt idx="83">
                        <c:v>11.10186145703987</c:v>
                      </c:pt>
                      <c:pt idx="84">
                        <c:v>11.10186145703987</c:v>
                      </c:pt>
                      <c:pt idx="85">
                        <c:v>10.788937706127173</c:v>
                      </c:pt>
                      <c:pt idx="86">
                        <c:v>9.9012143623190063</c:v>
                      </c:pt>
                      <c:pt idx="87">
                        <c:v>9.9012143623190063</c:v>
                      </c:pt>
                      <c:pt idx="88">
                        <c:v>10.829853101289277</c:v>
                      </c:pt>
                      <c:pt idx="89">
                        <c:v>12.38768307402543</c:v>
                      </c:pt>
                      <c:pt idx="90">
                        <c:v>13.407864932530643</c:v>
                      </c:pt>
                      <c:pt idx="91">
                        <c:v>13.880305877412532</c:v>
                      </c:pt>
                      <c:pt idx="92">
                        <c:v>13.880305877412532</c:v>
                      </c:pt>
                      <c:pt idx="93">
                        <c:v>13.880305877412532</c:v>
                      </c:pt>
                      <c:pt idx="94">
                        <c:v>13.880305877412532</c:v>
                      </c:pt>
                      <c:pt idx="95">
                        <c:v>13.880305877412532</c:v>
                      </c:pt>
                      <c:pt idx="96">
                        <c:v>14.848989529217206</c:v>
                      </c:pt>
                      <c:pt idx="97">
                        <c:v>12.11104060118225</c:v>
                      </c:pt>
                      <c:pt idx="98">
                        <c:v>10.824713043197134</c:v>
                      </c:pt>
                      <c:pt idx="99">
                        <c:v>10.824713043197134</c:v>
                      </c:pt>
                      <c:pt idx="100">
                        <c:v>10.824713043197134</c:v>
                      </c:pt>
                      <c:pt idx="101">
                        <c:v>10.824713043197134</c:v>
                      </c:pt>
                      <c:pt idx="102">
                        <c:v>11.480844069952731</c:v>
                      </c:pt>
                      <c:pt idx="103">
                        <c:v>10.644607431513819</c:v>
                      </c:pt>
                      <c:pt idx="104">
                        <c:v>10.644607431513819</c:v>
                      </c:pt>
                      <c:pt idx="105">
                        <c:v>8.651690764847153</c:v>
                      </c:pt>
                      <c:pt idx="106">
                        <c:v>8.97011369737797</c:v>
                      </c:pt>
                      <c:pt idx="107">
                        <c:v>8.4510606526887706</c:v>
                      </c:pt>
                      <c:pt idx="108">
                        <c:v>8.539848422173522</c:v>
                      </c:pt>
                      <c:pt idx="109">
                        <c:v>8.4945187518438505</c:v>
                      </c:pt>
                      <c:pt idx="110">
                        <c:v>8.4945187518438505</c:v>
                      </c:pt>
                      <c:pt idx="111">
                        <c:v>9.085027555656751</c:v>
                      </c:pt>
                      <c:pt idx="112">
                        <c:v>9.085027555656751</c:v>
                      </c:pt>
                      <c:pt idx="113">
                        <c:v>9.7900353515635938</c:v>
                      </c:pt>
                      <c:pt idx="114">
                        <c:v>9.7900353515635938</c:v>
                      </c:pt>
                      <c:pt idx="115">
                        <c:v>10.316992621423072</c:v>
                      </c:pt>
                      <c:pt idx="116">
                        <c:v>10.316992621423072</c:v>
                      </c:pt>
                      <c:pt idx="117">
                        <c:v>10.316992621423072</c:v>
                      </c:pt>
                      <c:pt idx="118">
                        <c:v>9.4119926214230709</c:v>
                      </c:pt>
                      <c:pt idx="119">
                        <c:v>10.479415942595885</c:v>
                      </c:pt>
                      <c:pt idx="120">
                        <c:v>10.479415942595885</c:v>
                      </c:pt>
                      <c:pt idx="121">
                        <c:v>9.6831643615909435</c:v>
                      </c:pt>
                      <c:pt idx="122">
                        <c:v>9.4935909018753044</c:v>
                      </c:pt>
                      <c:pt idx="123">
                        <c:v>9.339190490140874</c:v>
                      </c:pt>
                      <c:pt idx="124">
                        <c:v>9.339190490140874</c:v>
                      </c:pt>
                      <c:pt idx="125">
                        <c:v>9.339190490140874</c:v>
                      </c:pt>
                      <c:pt idx="126">
                        <c:v>9.339190490140874</c:v>
                      </c:pt>
                      <c:pt idx="127">
                        <c:v>10.012619506513618</c:v>
                      </c:pt>
                      <c:pt idx="128">
                        <c:v>10.012619506513618</c:v>
                      </c:pt>
                      <c:pt idx="129">
                        <c:v>10.087582025254246</c:v>
                      </c:pt>
                      <c:pt idx="130">
                        <c:v>10.457987315988726</c:v>
                      </c:pt>
                      <c:pt idx="131">
                        <c:v>10.411726628655238</c:v>
                      </c:pt>
                      <c:pt idx="132">
                        <c:v>10.411726628655238</c:v>
                      </c:pt>
                      <c:pt idx="133">
                        <c:v>10.434367161678074</c:v>
                      </c:pt>
                      <c:pt idx="134">
                        <c:v>9.2265954130346284</c:v>
                      </c:pt>
                      <c:pt idx="135">
                        <c:v>9.2265954130346284</c:v>
                      </c:pt>
                      <c:pt idx="136">
                        <c:v>9.2265954130346284</c:v>
                      </c:pt>
                      <c:pt idx="137">
                        <c:v>8.4640759914976371</c:v>
                      </c:pt>
                      <c:pt idx="138">
                        <c:v>8.4640759914976371</c:v>
                      </c:pt>
                      <c:pt idx="139">
                        <c:v>8.4640759914976371</c:v>
                      </c:pt>
                      <c:pt idx="140">
                        <c:v>8.4640759914976371</c:v>
                      </c:pt>
                      <c:pt idx="141">
                        <c:v>7.6569671238161687</c:v>
                      </c:pt>
                      <c:pt idx="142">
                        <c:v>7.6569671238161687</c:v>
                      </c:pt>
                      <c:pt idx="143">
                        <c:v>7.6569671238161687</c:v>
                      </c:pt>
                      <c:pt idx="144">
                        <c:v>7.3840227362351385</c:v>
                      </c:pt>
                      <c:pt idx="145">
                        <c:v>7.1251824223657794</c:v>
                      </c:pt>
                      <c:pt idx="146">
                        <c:v>7.0759191324737118</c:v>
                      </c:pt>
                      <c:pt idx="147">
                        <c:v>7.0759191324737118</c:v>
                      </c:pt>
                      <c:pt idx="148">
                        <c:v>7.0759191324737118</c:v>
                      </c:pt>
                      <c:pt idx="149">
                        <c:v>6.1305960175696672</c:v>
                      </c:pt>
                      <c:pt idx="150">
                        <c:v>6.1305960175696672</c:v>
                      </c:pt>
                      <c:pt idx="151">
                        <c:v>6.1119253678310557</c:v>
                      </c:pt>
                      <c:pt idx="152">
                        <c:v>6.1119253678310557</c:v>
                      </c:pt>
                      <c:pt idx="153">
                        <c:v>6.1119253678310557</c:v>
                      </c:pt>
                      <c:pt idx="154">
                        <c:v>5.9319085487413883</c:v>
                      </c:pt>
                      <c:pt idx="155">
                        <c:v>5.9319085487413883</c:v>
                      </c:pt>
                      <c:pt idx="156">
                        <c:v>7.6436715341888339</c:v>
                      </c:pt>
                      <c:pt idx="157">
                        <c:v>7.6436715341888339</c:v>
                      </c:pt>
                      <c:pt idx="158">
                        <c:v>7.6436715341888339</c:v>
                      </c:pt>
                      <c:pt idx="159">
                        <c:v>7.6436715341888339</c:v>
                      </c:pt>
                      <c:pt idx="160">
                        <c:v>7.0407591963910274</c:v>
                      </c:pt>
                      <c:pt idx="161">
                        <c:v>6.8298131734717655</c:v>
                      </c:pt>
                      <c:pt idx="162">
                        <c:v>6.8298131734717655</c:v>
                      </c:pt>
                      <c:pt idx="163">
                        <c:v>6.8298131734717655</c:v>
                      </c:pt>
                      <c:pt idx="164">
                        <c:v>6.7661999419196031</c:v>
                      </c:pt>
                      <c:pt idx="165">
                        <c:v>6.7661999419196031</c:v>
                      </c:pt>
                      <c:pt idx="166">
                        <c:v>6.7661999419196031</c:v>
                      </c:pt>
                      <c:pt idx="167">
                        <c:v>6.7661999419196031</c:v>
                      </c:pt>
                      <c:pt idx="168">
                        <c:v>6.7661999419196031</c:v>
                      </c:pt>
                      <c:pt idx="169">
                        <c:v>7.3783784165948481</c:v>
                      </c:pt>
                      <c:pt idx="170">
                        <c:v>6.6424852976028319</c:v>
                      </c:pt>
                      <c:pt idx="171">
                        <c:v>6.6424852976028319</c:v>
                      </c:pt>
                      <c:pt idx="172">
                        <c:v>6.6424852976028319</c:v>
                      </c:pt>
                      <c:pt idx="173">
                        <c:v>5.4674364443682348</c:v>
                      </c:pt>
                      <c:pt idx="174">
                        <c:v>5.7660249351391375</c:v>
                      </c:pt>
                      <c:pt idx="175">
                        <c:v>5.7660249351391375</c:v>
                      </c:pt>
                      <c:pt idx="176">
                        <c:v>5.8924327512198413</c:v>
                      </c:pt>
                      <c:pt idx="177">
                        <c:v>5.8924327512198413</c:v>
                      </c:pt>
                      <c:pt idx="178">
                        <c:v>5.8924327512198413</c:v>
                      </c:pt>
                      <c:pt idx="179">
                        <c:v>5.8924327512198413</c:v>
                      </c:pt>
                      <c:pt idx="180">
                        <c:v>5.3922541159929747</c:v>
                      </c:pt>
                      <c:pt idx="181">
                        <c:v>5.5940122944048483</c:v>
                      </c:pt>
                      <c:pt idx="182">
                        <c:v>5.5940122944048483</c:v>
                      </c:pt>
                      <c:pt idx="183">
                        <c:v>5.5940122944048483</c:v>
                      </c:pt>
                      <c:pt idx="184">
                        <c:v>5.5940122944048483</c:v>
                      </c:pt>
                      <c:pt idx="185">
                        <c:v>5.6903147417556665</c:v>
                      </c:pt>
                      <c:pt idx="186">
                        <c:v>5.6903147417556665</c:v>
                      </c:pt>
                      <c:pt idx="187">
                        <c:v>4.8431442910609865</c:v>
                      </c:pt>
                      <c:pt idx="188">
                        <c:v>4.8431442910609865</c:v>
                      </c:pt>
                      <c:pt idx="189">
                        <c:v>4.403692545971257</c:v>
                      </c:pt>
                      <c:pt idx="190">
                        <c:v>4.403692545971257</c:v>
                      </c:pt>
                      <c:pt idx="191">
                        <c:v>4.403692545971257</c:v>
                      </c:pt>
                      <c:pt idx="192">
                        <c:v>4.403692545971257</c:v>
                      </c:pt>
                      <c:pt idx="193">
                        <c:v>3.6040889176459268</c:v>
                      </c:pt>
                      <c:pt idx="194">
                        <c:v>3.6127056455871007</c:v>
                      </c:pt>
                      <c:pt idx="195">
                        <c:v>3.6127056455871007</c:v>
                      </c:pt>
                      <c:pt idx="196">
                        <c:v>2.9039722208042917</c:v>
                      </c:pt>
                      <c:pt idx="197">
                        <c:v>2.9039722208042917</c:v>
                      </c:pt>
                      <c:pt idx="198">
                        <c:v>2.9039722208042917</c:v>
                      </c:pt>
                      <c:pt idx="199">
                        <c:v>2.9039722208042917</c:v>
                      </c:pt>
                      <c:pt idx="200">
                        <c:v>2.9039722208042917</c:v>
                      </c:pt>
                      <c:pt idx="201">
                        <c:v>3.2570172340434804</c:v>
                      </c:pt>
                      <c:pt idx="202">
                        <c:v>2.4804341993959298</c:v>
                      </c:pt>
                      <c:pt idx="203">
                        <c:v>2.4804341993959298</c:v>
                      </c:pt>
                      <c:pt idx="204">
                        <c:v>2.4804341993959298</c:v>
                      </c:pt>
                      <c:pt idx="205">
                        <c:v>2.0432843119554813</c:v>
                      </c:pt>
                      <c:pt idx="206">
                        <c:v>1.9571381767843654</c:v>
                      </c:pt>
                      <c:pt idx="207">
                        <c:v>4.0747040542156832</c:v>
                      </c:pt>
                      <c:pt idx="208">
                        <c:v>4.0747040542156832</c:v>
                      </c:pt>
                      <c:pt idx="209">
                        <c:v>3.6564147133819924</c:v>
                      </c:pt>
                      <c:pt idx="210">
                        <c:v>5.6270845906436229</c:v>
                      </c:pt>
                      <c:pt idx="211">
                        <c:v>5.6270845906436229</c:v>
                      </c:pt>
                      <c:pt idx="212">
                        <c:v>5.6270845906436229</c:v>
                      </c:pt>
                      <c:pt idx="213">
                        <c:v>4.532855429784969</c:v>
                      </c:pt>
                      <c:pt idx="214">
                        <c:v>6.0789156181608046</c:v>
                      </c:pt>
                      <c:pt idx="215">
                        <c:v>5.3188413166330735</c:v>
                      </c:pt>
                      <c:pt idx="216">
                        <c:v>4.8547341051210182</c:v>
                      </c:pt>
                      <c:pt idx="217">
                        <c:v>4.7056055749690922</c:v>
                      </c:pt>
                      <c:pt idx="218">
                        <c:v>4.3644291043808572</c:v>
                      </c:pt>
                      <c:pt idx="219">
                        <c:v>4.5362682146169426</c:v>
                      </c:pt>
                      <c:pt idx="220">
                        <c:v>4.5362682146169426</c:v>
                      </c:pt>
                      <c:pt idx="221">
                        <c:v>4.5362682146169426</c:v>
                      </c:pt>
                      <c:pt idx="222">
                        <c:v>4.5362682146169426</c:v>
                      </c:pt>
                      <c:pt idx="223">
                        <c:v>4.5362682146169426</c:v>
                      </c:pt>
                      <c:pt idx="224">
                        <c:v>3.9214565226551663</c:v>
                      </c:pt>
                      <c:pt idx="225">
                        <c:v>3.9690044101704491</c:v>
                      </c:pt>
                      <c:pt idx="226">
                        <c:v>3.9690044101704491</c:v>
                      </c:pt>
                      <c:pt idx="227">
                        <c:v>3.9690044101704491</c:v>
                      </c:pt>
                      <c:pt idx="228">
                        <c:v>3.9690044101704491</c:v>
                      </c:pt>
                      <c:pt idx="229">
                        <c:v>3.9690044101704491</c:v>
                      </c:pt>
                      <c:pt idx="230">
                        <c:v>3.9690044101704491</c:v>
                      </c:pt>
                      <c:pt idx="231">
                        <c:v>3.9690044101704491</c:v>
                      </c:pt>
                      <c:pt idx="232">
                        <c:v>4.0680045091705477</c:v>
                      </c:pt>
                      <c:pt idx="233">
                        <c:v>4.2261469144779591</c:v>
                      </c:pt>
                      <c:pt idx="234">
                        <c:v>4.1735057530477029</c:v>
                      </c:pt>
                      <c:pt idx="235">
                        <c:v>4.0386883259666648</c:v>
                      </c:pt>
                      <c:pt idx="236">
                        <c:v>4.0386883259666648</c:v>
                      </c:pt>
                      <c:pt idx="237">
                        <c:v>3.4877551125643715</c:v>
                      </c:pt>
                      <c:pt idx="238">
                        <c:v>3.2682161443975222</c:v>
                      </c:pt>
                      <c:pt idx="239">
                        <c:v>3.2682161443975222</c:v>
                      </c:pt>
                      <c:pt idx="240">
                        <c:v>3.2682161443975222</c:v>
                      </c:pt>
                      <c:pt idx="241">
                        <c:v>3.2682161443975222</c:v>
                      </c:pt>
                      <c:pt idx="242">
                        <c:v>3.2682161443975222</c:v>
                      </c:pt>
                      <c:pt idx="243">
                        <c:v>3.2682161443975222</c:v>
                      </c:pt>
                      <c:pt idx="244">
                        <c:v>3.2682161443975222</c:v>
                      </c:pt>
                      <c:pt idx="245">
                        <c:v>4.2180574142387899</c:v>
                      </c:pt>
                      <c:pt idx="246">
                        <c:v>4.2180574142387899</c:v>
                      </c:pt>
                      <c:pt idx="247">
                        <c:v>5.2451212771671383</c:v>
                      </c:pt>
                      <c:pt idx="248">
                        <c:v>5.2451212771671383</c:v>
                      </c:pt>
                      <c:pt idx="249">
                        <c:v>4.2953130890804463</c:v>
                      </c:pt>
                      <c:pt idx="250">
                        <c:v>3.6409635894653576</c:v>
                      </c:pt>
                      <c:pt idx="251">
                        <c:v>3.6409635894653576</c:v>
                      </c:pt>
                      <c:pt idx="252">
                        <c:v>3.1804187986762522</c:v>
                      </c:pt>
                      <c:pt idx="253">
                        <c:v>3.1804187986762522</c:v>
                      </c:pt>
                      <c:pt idx="254">
                        <c:v>3.1804187986762522</c:v>
                      </c:pt>
                      <c:pt idx="255">
                        <c:v>4.1950534757884856</c:v>
                      </c:pt>
                      <c:pt idx="256">
                        <c:v>4.1950534757884856</c:v>
                      </c:pt>
                      <c:pt idx="257">
                        <c:v>4.1950534757884856</c:v>
                      </c:pt>
                      <c:pt idx="258">
                        <c:v>4.1950534757884856</c:v>
                      </c:pt>
                      <c:pt idx="259">
                        <c:v>4.1950534757884856</c:v>
                      </c:pt>
                      <c:pt idx="260">
                        <c:v>4.1950534757884856</c:v>
                      </c:pt>
                      <c:pt idx="261">
                        <c:v>4.1950534757884856</c:v>
                      </c:pt>
                      <c:pt idx="262">
                        <c:v>5.5532939535395593</c:v>
                      </c:pt>
                      <c:pt idx="263">
                        <c:v>6.2039218851479738</c:v>
                      </c:pt>
                      <c:pt idx="264">
                        <c:v>7.2010288015334387</c:v>
                      </c:pt>
                      <c:pt idx="265">
                        <c:v>9.3402573271558929</c:v>
                      </c:pt>
                      <c:pt idx="266">
                        <c:v>9.9465073271558904</c:v>
                      </c:pt>
                      <c:pt idx="267">
                        <c:v>9.9465073271558904</c:v>
                      </c:pt>
                      <c:pt idx="268">
                        <c:v>9.9465073271558904</c:v>
                      </c:pt>
                      <c:pt idx="269">
                        <c:v>9.9465073271558904</c:v>
                      </c:pt>
                      <c:pt idx="270">
                        <c:v>10.397860821322839</c:v>
                      </c:pt>
                      <c:pt idx="271">
                        <c:v>10.397860821322839</c:v>
                      </c:pt>
                      <c:pt idx="272">
                        <c:v>10.397860821322839</c:v>
                      </c:pt>
                      <c:pt idx="273">
                        <c:v>10.146050937784912</c:v>
                      </c:pt>
                      <c:pt idx="274">
                        <c:v>10.146050937784912</c:v>
                      </c:pt>
                      <c:pt idx="275">
                        <c:v>10.146050937784912</c:v>
                      </c:pt>
                      <c:pt idx="276">
                        <c:v>10.907734387307247</c:v>
                      </c:pt>
                      <c:pt idx="277">
                        <c:v>11.706621766827269</c:v>
                      </c:pt>
                      <c:pt idx="278">
                        <c:v>11.706621766827269</c:v>
                      </c:pt>
                      <c:pt idx="279">
                        <c:v>13.167005058144936</c:v>
                      </c:pt>
                      <c:pt idx="280">
                        <c:v>13.167005058144936</c:v>
                      </c:pt>
                      <c:pt idx="281">
                        <c:v>11.017638173718773</c:v>
                      </c:pt>
                      <c:pt idx="282">
                        <c:v>11.017638173718773</c:v>
                      </c:pt>
                      <c:pt idx="283">
                        <c:v>11.017638173718773</c:v>
                      </c:pt>
                      <c:pt idx="284">
                        <c:v>11.017638173718773</c:v>
                      </c:pt>
                      <c:pt idx="285">
                        <c:v>11.11646089435124</c:v>
                      </c:pt>
                      <c:pt idx="286">
                        <c:v>11.11646089435124</c:v>
                      </c:pt>
                      <c:pt idx="287">
                        <c:v>10.965005606586191</c:v>
                      </c:pt>
                      <c:pt idx="288">
                        <c:v>11.691278346679267</c:v>
                      </c:pt>
                      <c:pt idx="289">
                        <c:v>11.550300903070243</c:v>
                      </c:pt>
                      <c:pt idx="290">
                        <c:v>13.15605948557301</c:v>
                      </c:pt>
                      <c:pt idx="291">
                        <c:v>13.15605948557301</c:v>
                      </c:pt>
                      <c:pt idx="292">
                        <c:v>13.15605948557301</c:v>
                      </c:pt>
                      <c:pt idx="293">
                        <c:v>14.856059485573011</c:v>
                      </c:pt>
                      <c:pt idx="294">
                        <c:v>14.856059485573011</c:v>
                      </c:pt>
                      <c:pt idx="295">
                        <c:v>14.856059485573011</c:v>
                      </c:pt>
                      <c:pt idx="296">
                        <c:v>13.987439447765828</c:v>
                      </c:pt>
                      <c:pt idx="297">
                        <c:v>13.987439447765828</c:v>
                      </c:pt>
                      <c:pt idx="298">
                        <c:v>13.154727541228418</c:v>
                      </c:pt>
                      <c:pt idx="299">
                        <c:v>13.154727541228418</c:v>
                      </c:pt>
                      <c:pt idx="300">
                        <c:v>13.154727541228418</c:v>
                      </c:pt>
                      <c:pt idx="301">
                        <c:v>13.154727541228418</c:v>
                      </c:pt>
                      <c:pt idx="302">
                        <c:v>13.154727541228418</c:v>
                      </c:pt>
                      <c:pt idx="303">
                        <c:v>12.653085804635936</c:v>
                      </c:pt>
                      <c:pt idx="304">
                        <c:v>12.809439763385104</c:v>
                      </c:pt>
                      <c:pt idx="305">
                        <c:v>12.809439763385104</c:v>
                      </c:pt>
                      <c:pt idx="306">
                        <c:v>13.51297353139605</c:v>
                      </c:pt>
                      <c:pt idx="307">
                        <c:v>13.51297353139605</c:v>
                      </c:pt>
                      <c:pt idx="308">
                        <c:v>13.51297353139605</c:v>
                      </c:pt>
                      <c:pt idx="309">
                        <c:v>13.51297353139605</c:v>
                      </c:pt>
                      <c:pt idx="310">
                        <c:v>13.51297353139605</c:v>
                      </c:pt>
                      <c:pt idx="311">
                        <c:v>12.373298659837122</c:v>
                      </c:pt>
                      <c:pt idx="312">
                        <c:v>12.373298659837122</c:v>
                      </c:pt>
                      <c:pt idx="313">
                        <c:v>13.168797301668707</c:v>
                      </c:pt>
                      <c:pt idx="314">
                        <c:v>13.12591696842726</c:v>
                      </c:pt>
                      <c:pt idx="315">
                        <c:v>9.0694029640418403</c:v>
                      </c:pt>
                      <c:pt idx="316">
                        <c:v>7.9624476578345789</c:v>
                      </c:pt>
                      <c:pt idx="317">
                        <c:v>7.9624476578345789</c:v>
                      </c:pt>
                      <c:pt idx="318">
                        <c:v>6.6636878946275218</c:v>
                      </c:pt>
                      <c:pt idx="319">
                        <c:v>6.8424956048159853</c:v>
                      </c:pt>
                      <c:pt idx="320">
                        <c:v>8.8685165917700406</c:v>
                      </c:pt>
                      <c:pt idx="321">
                        <c:v>8.0156014853139332</c:v>
                      </c:pt>
                      <c:pt idx="322">
                        <c:v>8.0156014853139332</c:v>
                      </c:pt>
                      <c:pt idx="323">
                        <c:v>8.0156014853139332</c:v>
                      </c:pt>
                      <c:pt idx="324">
                        <c:v>8.4001101466688315</c:v>
                      </c:pt>
                      <c:pt idx="325">
                        <c:v>8.4001101466688315</c:v>
                      </c:pt>
                      <c:pt idx="326">
                        <c:v>8.4001101466688315</c:v>
                      </c:pt>
                      <c:pt idx="327">
                        <c:v>8.4001101466688315</c:v>
                      </c:pt>
                      <c:pt idx="328">
                        <c:v>7.5844440744146864</c:v>
                      </c:pt>
                      <c:pt idx="329">
                        <c:v>8.9049056811612477</c:v>
                      </c:pt>
                      <c:pt idx="330">
                        <c:v>8.9049056811612477</c:v>
                      </c:pt>
                      <c:pt idx="331">
                        <c:v>8.8355168367523866</c:v>
                      </c:pt>
                      <c:pt idx="332">
                        <c:v>8.8355168367523866</c:v>
                      </c:pt>
                      <c:pt idx="333">
                        <c:v>9.4326476509208419</c:v>
                      </c:pt>
                      <c:pt idx="334">
                        <c:v>9.4326476509208419</c:v>
                      </c:pt>
                      <c:pt idx="335">
                        <c:v>9.1265277518779389</c:v>
                      </c:pt>
                      <c:pt idx="336">
                        <c:v>8.1420749035677158</c:v>
                      </c:pt>
                      <c:pt idx="337">
                        <c:v>7.2982843367135422</c:v>
                      </c:pt>
                      <c:pt idx="338">
                        <c:v>7.2982843367135422</c:v>
                      </c:pt>
                      <c:pt idx="339">
                        <c:v>7.2982843367135422</c:v>
                      </c:pt>
                      <c:pt idx="340">
                        <c:v>7.2982843367135422</c:v>
                      </c:pt>
                      <c:pt idx="341">
                        <c:v>7.2982843367135422</c:v>
                      </c:pt>
                      <c:pt idx="342">
                        <c:v>7.47129471733638</c:v>
                      </c:pt>
                      <c:pt idx="343">
                        <c:v>8.2129772772007588</c:v>
                      </c:pt>
                      <c:pt idx="344">
                        <c:v>10.014821024290804</c:v>
                      </c:pt>
                      <c:pt idx="345">
                        <c:v>9.815958517827772</c:v>
                      </c:pt>
                      <c:pt idx="346">
                        <c:v>9.815958517827772</c:v>
                      </c:pt>
                      <c:pt idx="347">
                        <c:v>12.731392442877082</c:v>
                      </c:pt>
                      <c:pt idx="348">
                        <c:v>12.731392442877082</c:v>
                      </c:pt>
                      <c:pt idx="349">
                        <c:v>12.731392442877082</c:v>
                      </c:pt>
                      <c:pt idx="350">
                        <c:v>12.731392442877082</c:v>
                      </c:pt>
                      <c:pt idx="351">
                        <c:v>13.616454243130445</c:v>
                      </c:pt>
                      <c:pt idx="352">
                        <c:v>12.941196266051175</c:v>
                      </c:pt>
                      <c:pt idx="353">
                        <c:v>12.941196266051175</c:v>
                      </c:pt>
                      <c:pt idx="354">
                        <c:v>13.773380578741252</c:v>
                      </c:pt>
                      <c:pt idx="355">
                        <c:v>13.773380578741252</c:v>
                      </c:pt>
                      <c:pt idx="356">
                        <c:v>14.289455028825854</c:v>
                      </c:pt>
                      <c:pt idx="357">
                        <c:v>14.289455028825854</c:v>
                      </c:pt>
                      <c:pt idx="358">
                        <c:v>16.781304120581794</c:v>
                      </c:pt>
                      <c:pt idx="359">
                        <c:v>16.781304120581794</c:v>
                      </c:pt>
                      <c:pt idx="360">
                        <c:v>16.781304120581794</c:v>
                      </c:pt>
                      <c:pt idx="361">
                        <c:v>15.246059807616374</c:v>
                      </c:pt>
                      <c:pt idx="362">
                        <c:v>15.246059807616374</c:v>
                      </c:pt>
                      <c:pt idx="363">
                        <c:v>15.392057746469002</c:v>
                      </c:pt>
                      <c:pt idx="364">
                        <c:v>15.504499564365554</c:v>
                      </c:pt>
                      <c:pt idx="365">
                        <c:v>15.895277211884119</c:v>
                      </c:pt>
                      <c:pt idx="366">
                        <c:v>16.022708466075937</c:v>
                      </c:pt>
                      <c:pt idx="367">
                        <c:v>16.649533126903687</c:v>
                      </c:pt>
                      <c:pt idx="368">
                        <c:v>16.649533126903687</c:v>
                      </c:pt>
                      <c:pt idx="369">
                        <c:v>19.612719811020607</c:v>
                      </c:pt>
                      <c:pt idx="370">
                        <c:v>19.612719811020607</c:v>
                      </c:pt>
                      <c:pt idx="371">
                        <c:v>20.052448326458904</c:v>
                      </c:pt>
                      <c:pt idx="372">
                        <c:v>19.955360947818129</c:v>
                      </c:pt>
                      <c:pt idx="373">
                        <c:v>19.955360947818129</c:v>
                      </c:pt>
                      <c:pt idx="374">
                        <c:v>20.611328603249458</c:v>
                      </c:pt>
                      <c:pt idx="375">
                        <c:v>21.043276443510255</c:v>
                      </c:pt>
                      <c:pt idx="376">
                        <c:v>23.578724653075266</c:v>
                      </c:pt>
                      <c:pt idx="377">
                        <c:v>23.177655134358687</c:v>
                      </c:pt>
                      <c:pt idx="378">
                        <c:v>23.568761710900798</c:v>
                      </c:pt>
                      <c:pt idx="379">
                        <c:v>24.041034715166489</c:v>
                      </c:pt>
                      <c:pt idx="380">
                        <c:v>23.445041266213678</c:v>
                      </c:pt>
                      <c:pt idx="381">
                        <c:v>22.739803418862351</c:v>
                      </c:pt>
                      <c:pt idx="382">
                        <c:v>22.739803418862351</c:v>
                      </c:pt>
                      <c:pt idx="383">
                        <c:v>22.739803418862351</c:v>
                      </c:pt>
                      <c:pt idx="384">
                        <c:v>21.800569934243086</c:v>
                      </c:pt>
                      <c:pt idx="385">
                        <c:v>21.800569934243086</c:v>
                      </c:pt>
                      <c:pt idx="386">
                        <c:v>18.864626873744868</c:v>
                      </c:pt>
                      <c:pt idx="387">
                        <c:v>20.102722111840105</c:v>
                      </c:pt>
                      <c:pt idx="388">
                        <c:v>20.102722111840105</c:v>
                      </c:pt>
                      <c:pt idx="389">
                        <c:v>20.102722111840105</c:v>
                      </c:pt>
                      <c:pt idx="390">
                        <c:v>19.040865485669279</c:v>
                      </c:pt>
                      <c:pt idx="391">
                        <c:v>18.867912295184656</c:v>
                      </c:pt>
                      <c:pt idx="392">
                        <c:v>18.012695472566683</c:v>
                      </c:pt>
                      <c:pt idx="393">
                        <c:v>15.348876603790954</c:v>
                      </c:pt>
                      <c:pt idx="394">
                        <c:v>15.348876603790954</c:v>
                      </c:pt>
                      <c:pt idx="395">
                        <c:v>15.348876603790954</c:v>
                      </c:pt>
                      <c:pt idx="396">
                        <c:v>17.277523259925761</c:v>
                      </c:pt>
                      <c:pt idx="397">
                        <c:v>18.266223824897512</c:v>
                      </c:pt>
                      <c:pt idx="398">
                        <c:v>17.718075676749361</c:v>
                      </c:pt>
                      <c:pt idx="399">
                        <c:v>17.718075676749361</c:v>
                      </c:pt>
                      <c:pt idx="400">
                        <c:v>17.002488895588808</c:v>
                      </c:pt>
                      <c:pt idx="401">
                        <c:v>17.002488895588808</c:v>
                      </c:pt>
                      <c:pt idx="402">
                        <c:v>17.002488895588808</c:v>
                      </c:pt>
                      <c:pt idx="403">
                        <c:v>15.772531720008686</c:v>
                      </c:pt>
                      <c:pt idx="404">
                        <c:v>14.555936818771587</c:v>
                      </c:pt>
                      <c:pt idx="405">
                        <c:v>14.555936818771587</c:v>
                      </c:pt>
                      <c:pt idx="406">
                        <c:v>14.555936818771587</c:v>
                      </c:pt>
                      <c:pt idx="407">
                        <c:v>14.555936818771587</c:v>
                      </c:pt>
                      <c:pt idx="408">
                        <c:v>15.953983216817985</c:v>
                      </c:pt>
                      <c:pt idx="409">
                        <c:v>15.953983216817985</c:v>
                      </c:pt>
                      <c:pt idx="410">
                        <c:v>15.953983216817985</c:v>
                      </c:pt>
                      <c:pt idx="411">
                        <c:v>15.953983216817985</c:v>
                      </c:pt>
                      <c:pt idx="412">
                        <c:v>16.315398335168712</c:v>
                      </c:pt>
                      <c:pt idx="413">
                        <c:v>16.315398335168712</c:v>
                      </c:pt>
                      <c:pt idx="414">
                        <c:v>18.541606395941031</c:v>
                      </c:pt>
                      <c:pt idx="415">
                        <c:v>18.541606395941031</c:v>
                      </c:pt>
                      <c:pt idx="416">
                        <c:v>18.541606395941031</c:v>
                      </c:pt>
                      <c:pt idx="417">
                        <c:v>18.541606395941031</c:v>
                      </c:pt>
                      <c:pt idx="418">
                        <c:v>19.310622835060563</c:v>
                      </c:pt>
                      <c:pt idx="419">
                        <c:v>19.310622835060563</c:v>
                      </c:pt>
                      <c:pt idx="420">
                        <c:v>19.310622835060563</c:v>
                      </c:pt>
                      <c:pt idx="421">
                        <c:v>19.310622835060563</c:v>
                      </c:pt>
                      <c:pt idx="422">
                        <c:v>19.310622835060563</c:v>
                      </c:pt>
                      <c:pt idx="423">
                        <c:v>19.310622835060563</c:v>
                      </c:pt>
                      <c:pt idx="424">
                        <c:v>18.917295188392</c:v>
                      </c:pt>
                      <c:pt idx="425">
                        <c:v>18.917295188392</c:v>
                      </c:pt>
                      <c:pt idx="426">
                        <c:v>18.917295188392</c:v>
                      </c:pt>
                      <c:pt idx="427">
                        <c:v>18.917295188392</c:v>
                      </c:pt>
                      <c:pt idx="428">
                        <c:v>18.917295188392</c:v>
                      </c:pt>
                      <c:pt idx="429">
                        <c:v>18.917295188392</c:v>
                      </c:pt>
                      <c:pt idx="430">
                        <c:v>18.917295188392</c:v>
                      </c:pt>
                      <c:pt idx="431">
                        <c:v>18.917295188392</c:v>
                      </c:pt>
                      <c:pt idx="432">
                        <c:v>18.917295188392</c:v>
                      </c:pt>
                      <c:pt idx="433">
                        <c:v>18.917295188392</c:v>
                      </c:pt>
                      <c:pt idx="434">
                        <c:v>19.012806172155134</c:v>
                      </c:pt>
                      <c:pt idx="435">
                        <c:v>16.280108883541644</c:v>
                      </c:pt>
                      <c:pt idx="436">
                        <c:v>14.879288513601237</c:v>
                      </c:pt>
                      <c:pt idx="437">
                        <c:v>16.12348395071006</c:v>
                      </c:pt>
                      <c:pt idx="438">
                        <c:v>16.12348395071006</c:v>
                      </c:pt>
                      <c:pt idx="439">
                        <c:v>15.346784921583847</c:v>
                      </c:pt>
                      <c:pt idx="440">
                        <c:v>15.346784921583847</c:v>
                      </c:pt>
                      <c:pt idx="441">
                        <c:v>15.346784921583847</c:v>
                      </c:pt>
                      <c:pt idx="442">
                        <c:v>14.70999246875366</c:v>
                      </c:pt>
                      <c:pt idx="443">
                        <c:v>15.126535164379963</c:v>
                      </c:pt>
                      <c:pt idx="444">
                        <c:v>15.126535164379963</c:v>
                      </c:pt>
                    </c:numCache>
                  </c:numRef>
                </c:val>
                <c:smooth val="1"/>
                <c:extLst xmlns:c15="http://schemas.microsoft.com/office/drawing/2012/chart">
                  <c:ext xmlns:c16="http://schemas.microsoft.com/office/drawing/2014/chart" uri="{C3380CC4-5D6E-409C-BE32-E72D297353CC}">
                    <c16:uniqueId val="{00000006-A9EF-47C0-896E-1A1AEE0E0DC8}"/>
                  </c:ext>
                </c:extLst>
              </c15:ser>
            </c15:filteredLineSeries>
            <c15:filteredLineSeries>
              <c15:ser>
                <c:idx val="4"/>
                <c:order val="7"/>
                <c:tx>
                  <c:v>SW (MOC)</c:v>
                </c:tx>
                <c:spPr>
                  <a:ln w="19050"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'2025-Q1'!$GN$4:$GN$448</c15:sqref>
                        </c15:formulaRef>
                      </c:ext>
                    </c:extLst>
                    <c:numCache>
                      <c:formatCode>0.0</c:formatCode>
                      <c:ptCount val="445"/>
                      <c:pt idx="0">
                        <c:v>0</c:v>
                      </c:pt>
                      <c:pt idx="1">
                        <c:v>0</c:v>
                      </c:pt>
                      <c:pt idx="2">
                        <c:v>4.5914678235719437</c:v>
                      </c:pt>
                      <c:pt idx="3">
                        <c:v>4.5914678235719437</c:v>
                      </c:pt>
                      <c:pt idx="4">
                        <c:v>4.5914678235719437</c:v>
                      </c:pt>
                      <c:pt idx="5">
                        <c:v>4.5914678235719437</c:v>
                      </c:pt>
                      <c:pt idx="6">
                        <c:v>5.4568394609775925</c:v>
                      </c:pt>
                      <c:pt idx="7">
                        <c:v>5.4568394609775925</c:v>
                      </c:pt>
                      <c:pt idx="8">
                        <c:v>6.7956156878233518</c:v>
                      </c:pt>
                      <c:pt idx="9">
                        <c:v>6.7956156878233518</c:v>
                      </c:pt>
                      <c:pt idx="10">
                        <c:v>6.7956156878233518</c:v>
                      </c:pt>
                      <c:pt idx="11">
                        <c:v>8.292165198335308</c:v>
                      </c:pt>
                      <c:pt idx="12">
                        <c:v>8.292165198335308</c:v>
                      </c:pt>
                      <c:pt idx="13">
                        <c:v>8.292165198335308</c:v>
                      </c:pt>
                      <c:pt idx="14">
                        <c:v>8.292165198335308</c:v>
                      </c:pt>
                      <c:pt idx="15">
                        <c:v>7.0614097382565397</c:v>
                      </c:pt>
                      <c:pt idx="16">
                        <c:v>8.0507383287412004</c:v>
                      </c:pt>
                      <c:pt idx="17">
                        <c:v>8.0507383287412004</c:v>
                      </c:pt>
                      <c:pt idx="18">
                        <c:v>8.0507383287412004</c:v>
                      </c:pt>
                      <c:pt idx="19">
                        <c:v>8.0507383287412004</c:v>
                      </c:pt>
                      <c:pt idx="20">
                        <c:v>8.2189885266826117</c:v>
                      </c:pt>
                      <c:pt idx="21">
                        <c:v>8.001479010641285</c:v>
                      </c:pt>
                      <c:pt idx="22">
                        <c:v>8.2650117741740505</c:v>
                      </c:pt>
                      <c:pt idx="23">
                        <c:v>9.2509211228631436</c:v>
                      </c:pt>
                      <c:pt idx="24">
                        <c:v>9.2509211228631436</c:v>
                      </c:pt>
                      <c:pt idx="25">
                        <c:v>9.2509211228631436</c:v>
                      </c:pt>
                      <c:pt idx="26">
                        <c:v>9.4463804522872881</c:v>
                      </c:pt>
                      <c:pt idx="27">
                        <c:v>8.8452875561124245</c:v>
                      </c:pt>
                      <c:pt idx="28">
                        <c:v>10.461015946631546</c:v>
                      </c:pt>
                      <c:pt idx="29">
                        <c:v>10.461015946631546</c:v>
                      </c:pt>
                      <c:pt idx="30">
                        <c:v>10.461015946631546</c:v>
                      </c:pt>
                      <c:pt idx="31">
                        <c:v>11.601756687372287</c:v>
                      </c:pt>
                      <c:pt idx="32">
                        <c:v>11.912994217259333</c:v>
                      </c:pt>
                      <c:pt idx="33">
                        <c:v>11.912994217259333</c:v>
                      </c:pt>
                      <c:pt idx="34">
                        <c:v>12.054273436370558</c:v>
                      </c:pt>
                      <c:pt idx="35">
                        <c:v>12.054273436370558</c:v>
                      </c:pt>
                      <c:pt idx="36">
                        <c:v>12.054273436370558</c:v>
                      </c:pt>
                      <c:pt idx="37">
                        <c:v>12.581117390208993</c:v>
                      </c:pt>
                      <c:pt idx="38">
                        <c:v>13.344210220058399</c:v>
                      </c:pt>
                      <c:pt idx="39">
                        <c:v>13.344210220058399</c:v>
                      </c:pt>
                      <c:pt idx="40">
                        <c:v>13.344210220058399</c:v>
                      </c:pt>
                      <c:pt idx="41">
                        <c:v>12.771550121536228</c:v>
                      </c:pt>
                      <c:pt idx="42">
                        <c:v>12.609106976636943</c:v>
                      </c:pt>
                      <c:pt idx="43">
                        <c:v>12.609106976636943</c:v>
                      </c:pt>
                      <c:pt idx="44">
                        <c:v>12.538583201987528</c:v>
                      </c:pt>
                      <c:pt idx="45">
                        <c:v>12.538583201987528</c:v>
                      </c:pt>
                      <c:pt idx="46">
                        <c:v>13.404429964780855</c:v>
                      </c:pt>
                      <c:pt idx="47">
                        <c:v>13.85785475086502</c:v>
                      </c:pt>
                      <c:pt idx="48">
                        <c:v>13.85785475086502</c:v>
                      </c:pt>
                      <c:pt idx="49">
                        <c:v>13.85785475086502</c:v>
                      </c:pt>
                      <c:pt idx="50">
                        <c:v>14.203749526033418</c:v>
                      </c:pt>
                      <c:pt idx="51">
                        <c:v>14.203749526033418</c:v>
                      </c:pt>
                      <c:pt idx="52">
                        <c:v>12.950073238709754</c:v>
                      </c:pt>
                      <c:pt idx="53">
                        <c:v>12.464972753609267</c:v>
                      </c:pt>
                      <c:pt idx="54">
                        <c:v>12.464972753609267</c:v>
                      </c:pt>
                      <c:pt idx="55">
                        <c:v>12.464972753609267</c:v>
                      </c:pt>
                      <c:pt idx="56">
                        <c:v>11.835413701072589</c:v>
                      </c:pt>
                      <c:pt idx="57">
                        <c:v>11.835413701072589</c:v>
                      </c:pt>
                      <c:pt idx="58">
                        <c:v>11.835413701072589</c:v>
                      </c:pt>
                      <c:pt idx="59">
                        <c:v>11.399582840538464</c:v>
                      </c:pt>
                      <c:pt idx="60">
                        <c:v>11.438997254952877</c:v>
                      </c:pt>
                      <c:pt idx="61">
                        <c:v>11.878821325324727</c:v>
                      </c:pt>
                      <c:pt idx="62">
                        <c:v>11.878821325324727</c:v>
                      </c:pt>
                      <c:pt idx="63">
                        <c:v>12.128117207185122</c:v>
                      </c:pt>
                      <c:pt idx="64">
                        <c:v>12.128117207185122</c:v>
                      </c:pt>
                      <c:pt idx="65">
                        <c:v>12.128117207185122</c:v>
                      </c:pt>
                      <c:pt idx="66">
                        <c:v>12.128117207185122</c:v>
                      </c:pt>
                      <c:pt idx="67">
                        <c:v>12.128117207185122</c:v>
                      </c:pt>
                      <c:pt idx="68">
                        <c:v>11.134969492725931</c:v>
                      </c:pt>
                      <c:pt idx="69">
                        <c:v>11.134969492725931</c:v>
                      </c:pt>
                      <c:pt idx="70">
                        <c:v>12.627927239204805</c:v>
                      </c:pt>
                      <c:pt idx="71">
                        <c:v>12.45584068979319</c:v>
                      </c:pt>
                      <c:pt idx="72">
                        <c:v>12.45584068979319</c:v>
                      </c:pt>
                      <c:pt idx="73">
                        <c:v>13.811947319278966</c:v>
                      </c:pt>
                      <c:pt idx="74">
                        <c:v>12.183799730391476</c:v>
                      </c:pt>
                      <c:pt idx="75">
                        <c:v>12.183799730391476</c:v>
                      </c:pt>
                      <c:pt idx="76">
                        <c:v>13.239691925381077</c:v>
                      </c:pt>
                      <c:pt idx="77">
                        <c:v>11.618350199536446</c:v>
                      </c:pt>
                      <c:pt idx="78">
                        <c:v>11.710168195863725</c:v>
                      </c:pt>
                      <c:pt idx="79">
                        <c:v>11.710168195863725</c:v>
                      </c:pt>
                      <c:pt idx="80">
                        <c:v>11.710168195863725</c:v>
                      </c:pt>
                      <c:pt idx="81">
                        <c:v>12.00212549875952</c:v>
                      </c:pt>
                      <c:pt idx="82">
                        <c:v>12.00212549875952</c:v>
                      </c:pt>
                      <c:pt idx="83">
                        <c:v>12.01476481853431</c:v>
                      </c:pt>
                      <c:pt idx="84">
                        <c:v>12.01476481853431</c:v>
                      </c:pt>
                      <c:pt idx="85">
                        <c:v>11.802672054026818</c:v>
                      </c:pt>
                      <c:pt idx="86">
                        <c:v>10.772521110914964</c:v>
                      </c:pt>
                      <c:pt idx="87">
                        <c:v>10.772521110914964</c:v>
                      </c:pt>
                      <c:pt idx="88">
                        <c:v>11.251404003059227</c:v>
                      </c:pt>
                      <c:pt idx="89">
                        <c:v>13.412100324626824</c:v>
                      </c:pt>
                      <c:pt idx="90">
                        <c:v>14.649625274726626</c:v>
                      </c:pt>
                      <c:pt idx="91">
                        <c:v>15.674042677096784</c:v>
                      </c:pt>
                      <c:pt idx="92">
                        <c:v>15.674042677096784</c:v>
                      </c:pt>
                      <c:pt idx="93">
                        <c:v>15.674042677096784</c:v>
                      </c:pt>
                      <c:pt idx="94">
                        <c:v>15.674042677096784</c:v>
                      </c:pt>
                      <c:pt idx="95">
                        <c:v>15.674042677096784</c:v>
                      </c:pt>
                      <c:pt idx="96">
                        <c:v>16.464913165419503</c:v>
                      </c:pt>
                      <c:pt idx="97">
                        <c:v>15.513117453279671</c:v>
                      </c:pt>
                      <c:pt idx="98">
                        <c:v>14.356503598620787</c:v>
                      </c:pt>
                      <c:pt idx="99">
                        <c:v>14.356503598620787</c:v>
                      </c:pt>
                      <c:pt idx="100">
                        <c:v>14.356503598620787</c:v>
                      </c:pt>
                      <c:pt idx="101">
                        <c:v>14.356503598620787</c:v>
                      </c:pt>
                      <c:pt idx="102">
                        <c:v>15.486034481068623</c:v>
                      </c:pt>
                      <c:pt idx="103">
                        <c:v>14.712526186516666</c:v>
                      </c:pt>
                      <c:pt idx="104">
                        <c:v>14.712526186516666</c:v>
                      </c:pt>
                      <c:pt idx="105">
                        <c:v>12.40835951985</c:v>
                      </c:pt>
                      <c:pt idx="106">
                        <c:v>12.523873328309868</c:v>
                      </c:pt>
                      <c:pt idx="107">
                        <c:v>12.169398078278219</c:v>
                      </c:pt>
                      <c:pt idx="108">
                        <c:v>12.407090336169693</c:v>
                      </c:pt>
                      <c:pt idx="109">
                        <c:v>12.513317442396797</c:v>
                      </c:pt>
                      <c:pt idx="110">
                        <c:v>12.513317442396797</c:v>
                      </c:pt>
                      <c:pt idx="111">
                        <c:v>13.466542336385572</c:v>
                      </c:pt>
                      <c:pt idx="112">
                        <c:v>13.466542336385572</c:v>
                      </c:pt>
                      <c:pt idx="113">
                        <c:v>14.313042772219736</c:v>
                      </c:pt>
                      <c:pt idx="114">
                        <c:v>14.313042772219736</c:v>
                      </c:pt>
                      <c:pt idx="115">
                        <c:v>13.827907507904664</c:v>
                      </c:pt>
                      <c:pt idx="116">
                        <c:v>13.827907507904664</c:v>
                      </c:pt>
                      <c:pt idx="117">
                        <c:v>13.827907507904664</c:v>
                      </c:pt>
                      <c:pt idx="118">
                        <c:v>12.995824174571329</c:v>
                      </c:pt>
                      <c:pt idx="119">
                        <c:v>13.676475437914117</c:v>
                      </c:pt>
                      <c:pt idx="120">
                        <c:v>13.676475437914117</c:v>
                      </c:pt>
                      <c:pt idx="121">
                        <c:v>13.409141874616429</c:v>
                      </c:pt>
                      <c:pt idx="122">
                        <c:v>13.203770626591155</c:v>
                      </c:pt>
                      <c:pt idx="123">
                        <c:v>14.139823122731144</c:v>
                      </c:pt>
                      <c:pt idx="124">
                        <c:v>14.139823122731144</c:v>
                      </c:pt>
                      <c:pt idx="125">
                        <c:v>14.139823122731144</c:v>
                      </c:pt>
                      <c:pt idx="126">
                        <c:v>14.139823122731144</c:v>
                      </c:pt>
                      <c:pt idx="127">
                        <c:v>14.028286441894409</c:v>
                      </c:pt>
                      <c:pt idx="128">
                        <c:v>14.028286441894409</c:v>
                      </c:pt>
                      <c:pt idx="129">
                        <c:v>13.545194654454795</c:v>
                      </c:pt>
                      <c:pt idx="130">
                        <c:v>13.451134159413737</c:v>
                      </c:pt>
                      <c:pt idx="131">
                        <c:v>13.606636951775709</c:v>
                      </c:pt>
                      <c:pt idx="132">
                        <c:v>13.606636951775709</c:v>
                      </c:pt>
                      <c:pt idx="133">
                        <c:v>12.217801968917829</c:v>
                      </c:pt>
                      <c:pt idx="134">
                        <c:v>11.822504693697571</c:v>
                      </c:pt>
                      <c:pt idx="135">
                        <c:v>11.822504693697571</c:v>
                      </c:pt>
                      <c:pt idx="136">
                        <c:v>11.822504693697571</c:v>
                      </c:pt>
                      <c:pt idx="137">
                        <c:v>11.236870655213048</c:v>
                      </c:pt>
                      <c:pt idx="138">
                        <c:v>11.236870655213048</c:v>
                      </c:pt>
                      <c:pt idx="139">
                        <c:v>11.236870655213048</c:v>
                      </c:pt>
                      <c:pt idx="140">
                        <c:v>11.236870655213048</c:v>
                      </c:pt>
                      <c:pt idx="141">
                        <c:v>9.944050506410564</c:v>
                      </c:pt>
                      <c:pt idx="142">
                        <c:v>9.944050506410564</c:v>
                      </c:pt>
                      <c:pt idx="143">
                        <c:v>9.944050506410564</c:v>
                      </c:pt>
                      <c:pt idx="144">
                        <c:v>9.183857739436835</c:v>
                      </c:pt>
                      <c:pt idx="145">
                        <c:v>9.1502288797608937</c:v>
                      </c:pt>
                      <c:pt idx="146">
                        <c:v>9.0906650838004843</c:v>
                      </c:pt>
                      <c:pt idx="147">
                        <c:v>9.0906650838004843</c:v>
                      </c:pt>
                      <c:pt idx="148">
                        <c:v>9.0906650838004843</c:v>
                      </c:pt>
                      <c:pt idx="149">
                        <c:v>8.152298315600758</c:v>
                      </c:pt>
                      <c:pt idx="150">
                        <c:v>8.152298315600758</c:v>
                      </c:pt>
                      <c:pt idx="151">
                        <c:v>7.9033563190859448</c:v>
                      </c:pt>
                      <c:pt idx="152">
                        <c:v>7.9033563190859448</c:v>
                      </c:pt>
                      <c:pt idx="153">
                        <c:v>7.9033563190859448</c:v>
                      </c:pt>
                      <c:pt idx="154">
                        <c:v>7.8100629310905703</c:v>
                      </c:pt>
                      <c:pt idx="155">
                        <c:v>7.8100629310905703</c:v>
                      </c:pt>
                      <c:pt idx="156">
                        <c:v>9.6815008752359546</c:v>
                      </c:pt>
                      <c:pt idx="157">
                        <c:v>9.6815008752359546</c:v>
                      </c:pt>
                      <c:pt idx="158">
                        <c:v>9.6815008752359546</c:v>
                      </c:pt>
                      <c:pt idx="159">
                        <c:v>9.6815008752359546</c:v>
                      </c:pt>
                      <c:pt idx="160">
                        <c:v>8.4746330987098961</c:v>
                      </c:pt>
                      <c:pt idx="161">
                        <c:v>8.3032696247137014</c:v>
                      </c:pt>
                      <c:pt idx="162">
                        <c:v>8.3032696247137014</c:v>
                      </c:pt>
                      <c:pt idx="163">
                        <c:v>8.3032696247137014</c:v>
                      </c:pt>
                      <c:pt idx="164">
                        <c:v>8.0933459605915647</c:v>
                      </c:pt>
                      <c:pt idx="165">
                        <c:v>8.0933459605915647</c:v>
                      </c:pt>
                      <c:pt idx="166">
                        <c:v>8.0933459605915647</c:v>
                      </c:pt>
                      <c:pt idx="167">
                        <c:v>8.0933459605915647</c:v>
                      </c:pt>
                      <c:pt idx="168">
                        <c:v>8.0933459605915647</c:v>
                      </c:pt>
                      <c:pt idx="169">
                        <c:v>8.8256626660279398</c:v>
                      </c:pt>
                      <c:pt idx="170">
                        <c:v>8.4970904616071508</c:v>
                      </c:pt>
                      <c:pt idx="171">
                        <c:v>8.4970904616071508</c:v>
                      </c:pt>
                      <c:pt idx="172">
                        <c:v>8.4970904616071508</c:v>
                      </c:pt>
                      <c:pt idx="173">
                        <c:v>7.5894487872268179</c:v>
                      </c:pt>
                      <c:pt idx="174">
                        <c:v>8.4634987329380031</c:v>
                      </c:pt>
                      <c:pt idx="175">
                        <c:v>8.4634987329380031</c:v>
                      </c:pt>
                      <c:pt idx="176">
                        <c:v>8.1446248226957074</c:v>
                      </c:pt>
                      <c:pt idx="177">
                        <c:v>8.1446248226957074</c:v>
                      </c:pt>
                      <c:pt idx="178">
                        <c:v>8.1446248226957074</c:v>
                      </c:pt>
                      <c:pt idx="179">
                        <c:v>8.1446248226957074</c:v>
                      </c:pt>
                      <c:pt idx="180">
                        <c:v>7.4349557850523951</c:v>
                      </c:pt>
                      <c:pt idx="181">
                        <c:v>6.8597047882709186</c:v>
                      </c:pt>
                      <c:pt idx="182">
                        <c:v>6.8597047882709186</c:v>
                      </c:pt>
                      <c:pt idx="183">
                        <c:v>6.8597047882709186</c:v>
                      </c:pt>
                      <c:pt idx="184">
                        <c:v>6.8597047882709186</c:v>
                      </c:pt>
                      <c:pt idx="185">
                        <c:v>7.9432514863079646</c:v>
                      </c:pt>
                      <c:pt idx="186">
                        <c:v>7.9432514863079646</c:v>
                      </c:pt>
                      <c:pt idx="187">
                        <c:v>7.5168423594583071</c:v>
                      </c:pt>
                      <c:pt idx="188">
                        <c:v>7.5168423594583071</c:v>
                      </c:pt>
                      <c:pt idx="189">
                        <c:v>6.967174421066332</c:v>
                      </c:pt>
                      <c:pt idx="190">
                        <c:v>6.967174421066332</c:v>
                      </c:pt>
                      <c:pt idx="191">
                        <c:v>6.967174421066332</c:v>
                      </c:pt>
                      <c:pt idx="192">
                        <c:v>6.967174421066332</c:v>
                      </c:pt>
                      <c:pt idx="193">
                        <c:v>5.3611068854309947</c:v>
                      </c:pt>
                      <c:pt idx="194">
                        <c:v>5.2366430373917776</c:v>
                      </c:pt>
                      <c:pt idx="195">
                        <c:v>5.2366430373917776</c:v>
                      </c:pt>
                      <c:pt idx="196">
                        <c:v>3.9243430831165123</c:v>
                      </c:pt>
                      <c:pt idx="197">
                        <c:v>3.9243430831165123</c:v>
                      </c:pt>
                      <c:pt idx="198">
                        <c:v>3.9243430831165123</c:v>
                      </c:pt>
                      <c:pt idx="199">
                        <c:v>3.9243430831165123</c:v>
                      </c:pt>
                      <c:pt idx="200">
                        <c:v>3.9243430831165123</c:v>
                      </c:pt>
                      <c:pt idx="201">
                        <c:v>3.5183413178914473</c:v>
                      </c:pt>
                      <c:pt idx="202">
                        <c:v>2.2590820586321878</c:v>
                      </c:pt>
                      <c:pt idx="203">
                        <c:v>2.2590820586321878</c:v>
                      </c:pt>
                      <c:pt idx="204">
                        <c:v>2.2590820586321878</c:v>
                      </c:pt>
                      <c:pt idx="205">
                        <c:v>2.2302877546690447</c:v>
                      </c:pt>
                      <c:pt idx="206">
                        <c:v>1.8478511242881759</c:v>
                      </c:pt>
                      <c:pt idx="207">
                        <c:v>3.7282151213554968</c:v>
                      </c:pt>
                      <c:pt idx="208">
                        <c:v>3.7282151213554968</c:v>
                      </c:pt>
                      <c:pt idx="209">
                        <c:v>3.0286622582370799</c:v>
                      </c:pt>
                      <c:pt idx="210">
                        <c:v>3.5963690238970907</c:v>
                      </c:pt>
                      <c:pt idx="211">
                        <c:v>3.5963690238970907</c:v>
                      </c:pt>
                      <c:pt idx="212">
                        <c:v>3.5963690238970907</c:v>
                      </c:pt>
                      <c:pt idx="213">
                        <c:v>2.2628498342307051</c:v>
                      </c:pt>
                      <c:pt idx="214">
                        <c:v>2.8831117225835672</c:v>
                      </c:pt>
                      <c:pt idx="215">
                        <c:v>2.2633005091183089</c:v>
                      </c:pt>
                      <c:pt idx="216">
                        <c:v>2.0669474580939773</c:v>
                      </c:pt>
                      <c:pt idx="217">
                        <c:v>1.412956716490223</c:v>
                      </c:pt>
                      <c:pt idx="218">
                        <c:v>1.1521724027647338</c:v>
                      </c:pt>
                      <c:pt idx="219">
                        <c:v>1.0545954205703747</c:v>
                      </c:pt>
                      <c:pt idx="220">
                        <c:v>1.0545954205703747</c:v>
                      </c:pt>
                      <c:pt idx="221">
                        <c:v>1.0545954205703747</c:v>
                      </c:pt>
                      <c:pt idx="222">
                        <c:v>1.0545954205703747</c:v>
                      </c:pt>
                      <c:pt idx="223">
                        <c:v>1.0545954205703747</c:v>
                      </c:pt>
                      <c:pt idx="224">
                        <c:v>-0.53952346644480054</c:v>
                      </c:pt>
                      <c:pt idx="225">
                        <c:v>-0.19159368637264962</c:v>
                      </c:pt>
                      <c:pt idx="226">
                        <c:v>-0.19159368637264962</c:v>
                      </c:pt>
                      <c:pt idx="227">
                        <c:v>-0.19159368637264962</c:v>
                      </c:pt>
                      <c:pt idx="228">
                        <c:v>-0.19159368637264962</c:v>
                      </c:pt>
                      <c:pt idx="229">
                        <c:v>-0.19159368637264962</c:v>
                      </c:pt>
                      <c:pt idx="230">
                        <c:v>-0.19159368637264962</c:v>
                      </c:pt>
                      <c:pt idx="231">
                        <c:v>-0.19159368637264962</c:v>
                      </c:pt>
                      <c:pt idx="232">
                        <c:v>-0.74797424275320745</c:v>
                      </c:pt>
                      <c:pt idx="233">
                        <c:v>-2.0439705399066441</c:v>
                      </c:pt>
                      <c:pt idx="234">
                        <c:v>-1.4860929682077981</c:v>
                      </c:pt>
                      <c:pt idx="235">
                        <c:v>-1.2296827117975411</c:v>
                      </c:pt>
                      <c:pt idx="236">
                        <c:v>-1.2296827117975411</c:v>
                      </c:pt>
                      <c:pt idx="237">
                        <c:v>-2.1688926660738321</c:v>
                      </c:pt>
                      <c:pt idx="238">
                        <c:v>-2.2137983641079604</c:v>
                      </c:pt>
                      <c:pt idx="239">
                        <c:v>-2.2137983641079604</c:v>
                      </c:pt>
                      <c:pt idx="240">
                        <c:v>-2.2137983641079604</c:v>
                      </c:pt>
                      <c:pt idx="241">
                        <c:v>-2.2137983641079604</c:v>
                      </c:pt>
                      <c:pt idx="242">
                        <c:v>-2.2137983641079604</c:v>
                      </c:pt>
                      <c:pt idx="243">
                        <c:v>-2.2137983641079604</c:v>
                      </c:pt>
                      <c:pt idx="244">
                        <c:v>-2.2137983641079604</c:v>
                      </c:pt>
                      <c:pt idx="245">
                        <c:v>-0.59348090379050111</c:v>
                      </c:pt>
                      <c:pt idx="246">
                        <c:v>-0.59348090379050111</c:v>
                      </c:pt>
                      <c:pt idx="247">
                        <c:v>-0.22678827658385436</c:v>
                      </c:pt>
                      <c:pt idx="248">
                        <c:v>-0.22678827658385436</c:v>
                      </c:pt>
                      <c:pt idx="249">
                        <c:v>-1.6299140089846507</c:v>
                      </c:pt>
                      <c:pt idx="250">
                        <c:v>-2.4859571190693313</c:v>
                      </c:pt>
                      <c:pt idx="251">
                        <c:v>-2.4859571190693313</c:v>
                      </c:pt>
                      <c:pt idx="252">
                        <c:v>-3.2469793038488892</c:v>
                      </c:pt>
                      <c:pt idx="253">
                        <c:v>-3.2469793038488892</c:v>
                      </c:pt>
                      <c:pt idx="254">
                        <c:v>-3.2469793038488892</c:v>
                      </c:pt>
                      <c:pt idx="255">
                        <c:v>-2.645815058160407</c:v>
                      </c:pt>
                      <c:pt idx="256">
                        <c:v>-2.645815058160407</c:v>
                      </c:pt>
                      <c:pt idx="257">
                        <c:v>-2.645815058160407</c:v>
                      </c:pt>
                      <c:pt idx="258">
                        <c:v>-2.645815058160407</c:v>
                      </c:pt>
                      <c:pt idx="259">
                        <c:v>-2.645815058160407</c:v>
                      </c:pt>
                      <c:pt idx="260">
                        <c:v>-2.645815058160407</c:v>
                      </c:pt>
                      <c:pt idx="261">
                        <c:v>-2.645815058160407</c:v>
                      </c:pt>
                      <c:pt idx="262">
                        <c:v>-0.30712887361448749</c:v>
                      </c:pt>
                      <c:pt idx="263">
                        <c:v>1.1895675504537031</c:v>
                      </c:pt>
                      <c:pt idx="264">
                        <c:v>1.5916030238830134</c:v>
                      </c:pt>
                      <c:pt idx="265">
                        <c:v>4.4696621689642377</c:v>
                      </c:pt>
                      <c:pt idx="266">
                        <c:v>4.9550788356309035</c:v>
                      </c:pt>
                      <c:pt idx="267">
                        <c:v>4.9550788356309035</c:v>
                      </c:pt>
                      <c:pt idx="268">
                        <c:v>4.9550788356309035</c:v>
                      </c:pt>
                      <c:pt idx="269">
                        <c:v>4.9550788356309035</c:v>
                      </c:pt>
                      <c:pt idx="270">
                        <c:v>5.7547163936782493</c:v>
                      </c:pt>
                      <c:pt idx="271">
                        <c:v>5.7547163936782493</c:v>
                      </c:pt>
                      <c:pt idx="272">
                        <c:v>5.7547163936782493</c:v>
                      </c:pt>
                      <c:pt idx="273">
                        <c:v>4.4439560177620674</c:v>
                      </c:pt>
                      <c:pt idx="274">
                        <c:v>4.4439560177620674</c:v>
                      </c:pt>
                      <c:pt idx="275">
                        <c:v>4.4439560177620674</c:v>
                      </c:pt>
                      <c:pt idx="276">
                        <c:v>5.231459245234312</c:v>
                      </c:pt>
                      <c:pt idx="277">
                        <c:v>6.0468418702423996</c:v>
                      </c:pt>
                      <c:pt idx="278">
                        <c:v>6.0468418702423996</c:v>
                      </c:pt>
                      <c:pt idx="279">
                        <c:v>7.0830024514139618</c:v>
                      </c:pt>
                      <c:pt idx="280">
                        <c:v>7.0830024514139618</c:v>
                      </c:pt>
                      <c:pt idx="281">
                        <c:v>5.1675253968127839</c:v>
                      </c:pt>
                      <c:pt idx="282">
                        <c:v>5.1675253968127839</c:v>
                      </c:pt>
                      <c:pt idx="283">
                        <c:v>5.1675253968127839</c:v>
                      </c:pt>
                      <c:pt idx="284">
                        <c:v>5.1675253968127839</c:v>
                      </c:pt>
                      <c:pt idx="285">
                        <c:v>5.397395638283955</c:v>
                      </c:pt>
                      <c:pt idx="286">
                        <c:v>5.397395638283955</c:v>
                      </c:pt>
                      <c:pt idx="287">
                        <c:v>5.601531026141191</c:v>
                      </c:pt>
                      <c:pt idx="288">
                        <c:v>6.7555760597518706</c:v>
                      </c:pt>
                      <c:pt idx="289">
                        <c:v>6.3287276888245509</c:v>
                      </c:pt>
                      <c:pt idx="290">
                        <c:v>10.509237101892101</c:v>
                      </c:pt>
                      <c:pt idx="291">
                        <c:v>10.509237101892101</c:v>
                      </c:pt>
                      <c:pt idx="292">
                        <c:v>10.509237101892101</c:v>
                      </c:pt>
                      <c:pt idx="293">
                        <c:v>13.000146192801193</c:v>
                      </c:pt>
                      <c:pt idx="294">
                        <c:v>13.000146192801193</c:v>
                      </c:pt>
                      <c:pt idx="295">
                        <c:v>13.000146192801193</c:v>
                      </c:pt>
                      <c:pt idx="296">
                        <c:v>12.626485197212032</c:v>
                      </c:pt>
                      <c:pt idx="297">
                        <c:v>12.626485197212032</c:v>
                      </c:pt>
                      <c:pt idx="298">
                        <c:v>11.78445188873577</c:v>
                      </c:pt>
                      <c:pt idx="299">
                        <c:v>11.78445188873577</c:v>
                      </c:pt>
                      <c:pt idx="300">
                        <c:v>11.78445188873577</c:v>
                      </c:pt>
                      <c:pt idx="301">
                        <c:v>11.78445188873577</c:v>
                      </c:pt>
                      <c:pt idx="302">
                        <c:v>11.78445188873577</c:v>
                      </c:pt>
                      <c:pt idx="303">
                        <c:v>12.587078667283746</c:v>
                      </c:pt>
                      <c:pt idx="304">
                        <c:v>13.192534422440103</c:v>
                      </c:pt>
                      <c:pt idx="305">
                        <c:v>13.192534422440103</c:v>
                      </c:pt>
                      <c:pt idx="306">
                        <c:v>13.589378984945132</c:v>
                      </c:pt>
                      <c:pt idx="307">
                        <c:v>13.589378984945132</c:v>
                      </c:pt>
                      <c:pt idx="308">
                        <c:v>13.589378984945132</c:v>
                      </c:pt>
                      <c:pt idx="309">
                        <c:v>13.589378984945132</c:v>
                      </c:pt>
                      <c:pt idx="310">
                        <c:v>13.589378984945132</c:v>
                      </c:pt>
                      <c:pt idx="311">
                        <c:v>12.731507656059312</c:v>
                      </c:pt>
                      <c:pt idx="312">
                        <c:v>12.731507656059312</c:v>
                      </c:pt>
                      <c:pt idx="313">
                        <c:v>14.202210023152832</c:v>
                      </c:pt>
                      <c:pt idx="314">
                        <c:v>13.482433000885687</c:v>
                      </c:pt>
                      <c:pt idx="315">
                        <c:v>7.1127130885940995</c:v>
                      </c:pt>
                      <c:pt idx="316">
                        <c:v>5.7195739446899099</c:v>
                      </c:pt>
                      <c:pt idx="317">
                        <c:v>5.7195739446899099</c:v>
                      </c:pt>
                      <c:pt idx="318">
                        <c:v>4.3465350269146832</c:v>
                      </c:pt>
                      <c:pt idx="319">
                        <c:v>3.3484303886426803</c:v>
                      </c:pt>
                      <c:pt idx="320">
                        <c:v>5.7567306344358355</c:v>
                      </c:pt>
                      <c:pt idx="321">
                        <c:v>4.3936945099084195</c:v>
                      </c:pt>
                      <c:pt idx="322">
                        <c:v>4.3936945099084195</c:v>
                      </c:pt>
                      <c:pt idx="323">
                        <c:v>4.3936945099084195</c:v>
                      </c:pt>
                      <c:pt idx="324">
                        <c:v>5.3807322076132582</c:v>
                      </c:pt>
                      <c:pt idx="325">
                        <c:v>5.3807322076132582</c:v>
                      </c:pt>
                      <c:pt idx="326">
                        <c:v>5.3807322076132582</c:v>
                      </c:pt>
                      <c:pt idx="327">
                        <c:v>5.3807322076132582</c:v>
                      </c:pt>
                      <c:pt idx="328">
                        <c:v>5.2280012123025115</c:v>
                      </c:pt>
                      <c:pt idx="329">
                        <c:v>7.8800207418187131</c:v>
                      </c:pt>
                      <c:pt idx="330">
                        <c:v>7.8800207418187131</c:v>
                      </c:pt>
                      <c:pt idx="331">
                        <c:v>7.4463404642633355</c:v>
                      </c:pt>
                      <c:pt idx="332">
                        <c:v>7.4463404642633355</c:v>
                      </c:pt>
                      <c:pt idx="333">
                        <c:v>7.5880743004436724</c:v>
                      </c:pt>
                      <c:pt idx="334">
                        <c:v>7.5880743004436724</c:v>
                      </c:pt>
                      <c:pt idx="335">
                        <c:v>6.6509725686796743</c:v>
                      </c:pt>
                      <c:pt idx="336">
                        <c:v>5.5794796819517778</c:v>
                      </c:pt>
                      <c:pt idx="337">
                        <c:v>4.1154669890338518</c:v>
                      </c:pt>
                      <c:pt idx="338">
                        <c:v>4.1154669890338518</c:v>
                      </c:pt>
                      <c:pt idx="339">
                        <c:v>4.1154669890338518</c:v>
                      </c:pt>
                      <c:pt idx="340">
                        <c:v>4.1154669890338518</c:v>
                      </c:pt>
                      <c:pt idx="341">
                        <c:v>4.1154669890338518</c:v>
                      </c:pt>
                      <c:pt idx="342">
                        <c:v>4.2108445065566968</c:v>
                      </c:pt>
                      <c:pt idx="343">
                        <c:v>5.8334643109946835</c:v>
                      </c:pt>
                      <c:pt idx="344">
                        <c:v>7.9402712762614689</c:v>
                      </c:pt>
                      <c:pt idx="345">
                        <c:v>7.2343093783177075</c:v>
                      </c:pt>
                      <c:pt idx="346">
                        <c:v>7.2343093783177075</c:v>
                      </c:pt>
                      <c:pt idx="347">
                        <c:v>9.0217847234853608</c:v>
                      </c:pt>
                      <c:pt idx="348">
                        <c:v>9.0217847234853608</c:v>
                      </c:pt>
                      <c:pt idx="349">
                        <c:v>9.0217847234853608</c:v>
                      </c:pt>
                      <c:pt idx="350">
                        <c:v>9.0217847234853608</c:v>
                      </c:pt>
                      <c:pt idx="351">
                        <c:v>8.399217074177546</c:v>
                      </c:pt>
                      <c:pt idx="352">
                        <c:v>7.9561780962581645</c:v>
                      </c:pt>
                      <c:pt idx="353">
                        <c:v>7.9561780962581645</c:v>
                      </c:pt>
                      <c:pt idx="354">
                        <c:v>8.1248641055872337</c:v>
                      </c:pt>
                      <c:pt idx="355">
                        <c:v>8.1248641055872337</c:v>
                      </c:pt>
                      <c:pt idx="356">
                        <c:v>9.1189419397665912</c:v>
                      </c:pt>
                      <c:pt idx="357">
                        <c:v>9.1189419397665912</c:v>
                      </c:pt>
                      <c:pt idx="358">
                        <c:v>14.18803059059721</c:v>
                      </c:pt>
                      <c:pt idx="359">
                        <c:v>14.18803059059721</c:v>
                      </c:pt>
                      <c:pt idx="360">
                        <c:v>14.18803059059721</c:v>
                      </c:pt>
                      <c:pt idx="361">
                        <c:v>10.566690184599047</c:v>
                      </c:pt>
                      <c:pt idx="362">
                        <c:v>10.566690184599047</c:v>
                      </c:pt>
                      <c:pt idx="363">
                        <c:v>10.100069321207314</c:v>
                      </c:pt>
                      <c:pt idx="364">
                        <c:v>10.573806747771476</c:v>
                      </c:pt>
                      <c:pt idx="365">
                        <c:v>10.974353836478004</c:v>
                      </c:pt>
                      <c:pt idx="366">
                        <c:v>10.799974225478675</c:v>
                      </c:pt>
                      <c:pt idx="367">
                        <c:v>10.409282142360004</c:v>
                      </c:pt>
                      <c:pt idx="368">
                        <c:v>10.409282142360004</c:v>
                      </c:pt>
                      <c:pt idx="369">
                        <c:v>12.951313754159058</c:v>
                      </c:pt>
                      <c:pt idx="370">
                        <c:v>12.951313754159058</c:v>
                      </c:pt>
                      <c:pt idx="371">
                        <c:v>12.803144363087462</c:v>
                      </c:pt>
                      <c:pt idx="372">
                        <c:v>10.513500350142477</c:v>
                      </c:pt>
                      <c:pt idx="373">
                        <c:v>10.513500350142477</c:v>
                      </c:pt>
                      <c:pt idx="374">
                        <c:v>10.835295803750299</c:v>
                      </c:pt>
                      <c:pt idx="375">
                        <c:v>11.132769316382733</c:v>
                      </c:pt>
                      <c:pt idx="376">
                        <c:v>12.860719328399076</c:v>
                      </c:pt>
                      <c:pt idx="377">
                        <c:v>12.890428181637342</c:v>
                      </c:pt>
                      <c:pt idx="378">
                        <c:v>12.332463636298737</c:v>
                      </c:pt>
                      <c:pt idx="379">
                        <c:v>10.919453276761869</c:v>
                      </c:pt>
                      <c:pt idx="380">
                        <c:v>10.245367874534081</c:v>
                      </c:pt>
                      <c:pt idx="381">
                        <c:v>9.3294262766559921</c:v>
                      </c:pt>
                      <c:pt idx="382">
                        <c:v>9.3294262766559921</c:v>
                      </c:pt>
                      <c:pt idx="383">
                        <c:v>9.3294262766559921</c:v>
                      </c:pt>
                      <c:pt idx="384">
                        <c:v>7.7157096856322891</c:v>
                      </c:pt>
                      <c:pt idx="385">
                        <c:v>7.7157096856322891</c:v>
                      </c:pt>
                      <c:pt idx="386">
                        <c:v>5.1801224970201893</c:v>
                      </c:pt>
                      <c:pt idx="387">
                        <c:v>5.9737732906709828</c:v>
                      </c:pt>
                      <c:pt idx="388">
                        <c:v>5.9737732906709828</c:v>
                      </c:pt>
                      <c:pt idx="389">
                        <c:v>5.9737732906709828</c:v>
                      </c:pt>
                      <c:pt idx="390">
                        <c:v>5.1901323744139116</c:v>
                      </c:pt>
                      <c:pt idx="391">
                        <c:v>4.7096412581870029</c:v>
                      </c:pt>
                      <c:pt idx="392">
                        <c:v>3.5727059528242879</c:v>
                      </c:pt>
                      <c:pt idx="393">
                        <c:v>0.97726242944979003</c:v>
                      </c:pt>
                      <c:pt idx="394">
                        <c:v>0.97726242944979003</c:v>
                      </c:pt>
                      <c:pt idx="395">
                        <c:v>0.97726242944979003</c:v>
                      </c:pt>
                      <c:pt idx="396">
                        <c:v>3.4588316764218807</c:v>
                      </c:pt>
                      <c:pt idx="397">
                        <c:v>4.335179904465023</c:v>
                      </c:pt>
                      <c:pt idx="398">
                        <c:v>6.2759206452057628</c:v>
                      </c:pt>
                      <c:pt idx="399">
                        <c:v>6.2759206452057628</c:v>
                      </c:pt>
                      <c:pt idx="400">
                        <c:v>8.2210156230876237</c:v>
                      </c:pt>
                      <c:pt idx="401">
                        <c:v>8.2210156230876237</c:v>
                      </c:pt>
                      <c:pt idx="402">
                        <c:v>8.2210156230876237</c:v>
                      </c:pt>
                      <c:pt idx="403">
                        <c:v>7.6832205827529956</c:v>
                      </c:pt>
                      <c:pt idx="404">
                        <c:v>6.6272435476904565</c:v>
                      </c:pt>
                      <c:pt idx="405">
                        <c:v>6.6272435476904565</c:v>
                      </c:pt>
                      <c:pt idx="406">
                        <c:v>6.6272435476904565</c:v>
                      </c:pt>
                      <c:pt idx="407">
                        <c:v>6.6272435476904565</c:v>
                      </c:pt>
                      <c:pt idx="408">
                        <c:v>7.0240689445158528</c:v>
                      </c:pt>
                      <c:pt idx="409">
                        <c:v>7.0240689445158528</c:v>
                      </c:pt>
                      <c:pt idx="410">
                        <c:v>7.0240689445158528</c:v>
                      </c:pt>
                      <c:pt idx="411">
                        <c:v>7.0240689445158528</c:v>
                      </c:pt>
                      <c:pt idx="412">
                        <c:v>7.5085009458732817</c:v>
                      </c:pt>
                      <c:pt idx="413">
                        <c:v>7.5085009458732817</c:v>
                      </c:pt>
                      <c:pt idx="414">
                        <c:v>8.9645043221129939</c:v>
                      </c:pt>
                      <c:pt idx="415">
                        <c:v>8.9645043221129939</c:v>
                      </c:pt>
                      <c:pt idx="416">
                        <c:v>8.9645043221129939</c:v>
                      </c:pt>
                      <c:pt idx="417">
                        <c:v>8.9645043221129939</c:v>
                      </c:pt>
                      <c:pt idx="418">
                        <c:v>10.405016999739075</c:v>
                      </c:pt>
                      <c:pt idx="419">
                        <c:v>10.405016999739075</c:v>
                      </c:pt>
                      <c:pt idx="420">
                        <c:v>10.405016999739075</c:v>
                      </c:pt>
                      <c:pt idx="421">
                        <c:v>10.405016999739075</c:v>
                      </c:pt>
                      <c:pt idx="422">
                        <c:v>10.405016999739075</c:v>
                      </c:pt>
                      <c:pt idx="423">
                        <c:v>10.405016999739075</c:v>
                      </c:pt>
                      <c:pt idx="424">
                        <c:v>9.4532904651294007</c:v>
                      </c:pt>
                      <c:pt idx="425">
                        <c:v>9.4532904651294007</c:v>
                      </c:pt>
                      <c:pt idx="426">
                        <c:v>9.4532904651294007</c:v>
                      </c:pt>
                      <c:pt idx="427">
                        <c:v>9.4532904651294007</c:v>
                      </c:pt>
                      <c:pt idx="428">
                        <c:v>9.4532904651294007</c:v>
                      </c:pt>
                      <c:pt idx="429">
                        <c:v>9.4532904651294007</c:v>
                      </c:pt>
                      <c:pt idx="430">
                        <c:v>9.4532904651294007</c:v>
                      </c:pt>
                      <c:pt idx="431">
                        <c:v>9.4532904651294007</c:v>
                      </c:pt>
                      <c:pt idx="432">
                        <c:v>9.4532904651294007</c:v>
                      </c:pt>
                      <c:pt idx="433">
                        <c:v>9.4532904651294007</c:v>
                      </c:pt>
                      <c:pt idx="434">
                        <c:v>8.3787918977941569</c:v>
                      </c:pt>
                      <c:pt idx="435">
                        <c:v>5.5346228541562414</c:v>
                      </c:pt>
                      <c:pt idx="436">
                        <c:v>4.9532050072403688</c:v>
                      </c:pt>
                      <c:pt idx="437">
                        <c:v>6.4472490209694229</c:v>
                      </c:pt>
                      <c:pt idx="438">
                        <c:v>6.4472490209694229</c:v>
                      </c:pt>
                      <c:pt idx="439">
                        <c:v>5.107443195726705</c:v>
                      </c:pt>
                      <c:pt idx="440">
                        <c:v>5.107443195726705</c:v>
                      </c:pt>
                      <c:pt idx="441">
                        <c:v>5.107443195726705</c:v>
                      </c:pt>
                      <c:pt idx="442">
                        <c:v>4.9030406800034356</c:v>
                      </c:pt>
                      <c:pt idx="443">
                        <c:v>4.7245223818778781</c:v>
                      </c:pt>
                      <c:pt idx="444">
                        <c:v>4.7245223818778781</c:v>
                      </c:pt>
                    </c:numCache>
                  </c:numRef>
                </c:val>
                <c:smooth val="1"/>
                <c:extLst xmlns:c15="http://schemas.microsoft.com/office/drawing/2012/chart">
                  <c:ext xmlns:c16="http://schemas.microsoft.com/office/drawing/2014/chart" uri="{C3380CC4-5D6E-409C-BE32-E72D297353CC}">
                    <c16:uniqueId val="{00000007-A9EF-47C0-896E-1A1AEE0E0DC8}"/>
                  </c:ext>
                </c:extLst>
              </c15:ser>
            </c15:filteredLineSeries>
            <c15:filteredLineSeries>
              <c15:ser>
                <c:idx val="8"/>
                <c:order val="8"/>
                <c:tx>
                  <c:v>Actual R</c:v>
                </c:tx>
                <c:spPr>
                  <a:ln w="28575" cap="rnd">
                    <a:solidFill>
                      <a:schemeClr val="bg1"/>
                    </a:solidFill>
                    <a:prstDash val="solid"/>
                    <a:round/>
                  </a:ln>
                  <a:effectLst/>
                </c:spPr>
                <c:marker>
                  <c:symbol val="none"/>
                </c:marker>
                <c:val>
                  <c:numRef>
                    <c:extLst xmlns:c15="http://schemas.microsoft.com/office/drawing/2012/chart">
                      <c:ext xmlns:c15="http://schemas.microsoft.com/office/drawing/2012/chart" uri="{02D57815-91ED-43cb-92C2-25804820EDAC}">
                        <c15:formulaRef>
                          <c15:sqref>'2025-Q1'!$HE$4:$HE$448</c15:sqref>
                        </c15:formulaRef>
                      </c:ext>
                    </c:extLst>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0</c:v>
                      </c:pt>
                      <c:pt idx="59">
                        <c:v>-5.872898120672751E-2</c:v>
                      </c:pt>
                      <c:pt idx="60">
                        <c:v>0.33259984762209971</c:v>
                      </c:pt>
                      <c:pt idx="61">
                        <c:v>1.1256159745046812</c:v>
                      </c:pt>
                      <c:pt idx="62">
                        <c:v>1.9660800165411181</c:v>
                      </c:pt>
                      <c:pt idx="63">
                        <c:v>2.5978833201873099</c:v>
                      </c:pt>
                      <c:pt idx="64">
                        <c:v>3.2791320885908801</c:v>
                      </c:pt>
                      <c:pt idx="65">
                        <c:v>1.9893772937377603</c:v>
                      </c:pt>
                      <c:pt idx="66">
                        <c:v>1.4010171202624933</c:v>
                      </c:pt>
                      <c:pt idx="67">
                        <c:v>1.4213098427848794</c:v>
                      </c:pt>
                      <c:pt idx="68">
                        <c:v>0.75776573661782187</c:v>
                      </c:pt>
                      <c:pt idx="69">
                        <c:v>-4.3837469795002693E-2</c:v>
                      </c:pt>
                      <c:pt idx="70">
                        <c:v>0.93268835180123988</c:v>
                      </c:pt>
                      <c:pt idx="71">
                        <c:v>0.76060180238962471</c:v>
                      </c:pt>
                      <c:pt idx="72">
                        <c:v>0.54268086606416333</c:v>
                      </c:pt>
                      <c:pt idx="73">
                        <c:v>1.1302717434668135</c:v>
                      </c:pt>
                      <c:pt idx="74">
                        <c:v>-0.3622551359985331</c:v>
                      </c:pt>
                      <c:pt idx="75">
                        <c:v>1.0169529316271524</c:v>
                      </c:pt>
                      <c:pt idx="76">
                        <c:v>2.0728451266167536</c:v>
                      </c:pt>
                      <c:pt idx="77">
                        <c:v>0.4515034007721217</c:v>
                      </c:pt>
                      <c:pt idx="78">
                        <c:v>0.54332139709940142</c:v>
                      </c:pt>
                      <c:pt idx="79">
                        <c:v>0.66958825595987048</c:v>
                      </c:pt>
                      <c:pt idx="80">
                        <c:v>1.3754317770526587</c:v>
                      </c:pt>
                      <c:pt idx="81">
                        <c:v>1.6673890799484536</c:v>
                      </c:pt>
                      <c:pt idx="82">
                        <c:v>1.7782401699841741</c:v>
                      </c:pt>
                      <c:pt idx="83">
                        <c:v>1.7908794897589637</c:v>
                      </c:pt>
                      <c:pt idx="84">
                        <c:v>1.3256572892254224</c:v>
                      </c:pt>
                      <c:pt idx="85">
                        <c:v>1.1135645247179298</c:v>
                      </c:pt>
                      <c:pt idx="86">
                        <c:v>0.19984249214797822</c:v>
                      </c:pt>
                      <c:pt idx="87">
                        <c:v>#N/A</c:v>
                      </c:pt>
                      <c:pt idx="88">
                        <c:v>#N/A</c:v>
                      </c:pt>
                      <c:pt idx="89">
                        <c:v>1.7576724648841318</c:v>
                      </c:pt>
                      <c:pt idx="90">
                        <c:v>2.8133389097721313</c:v>
                      </c:pt>
                      <c:pt idx="91">
                        <c:v>3.313617284066253</c:v>
                      </c:pt>
                      <c:pt idx="92">
                        <c:v>3.3330331842395458</c:v>
                      </c:pt>
                      <c:pt idx="93">
                        <c:v>#N/A</c:v>
                      </c:pt>
                      <c:pt idx="94">
                        <c:v>1.7711328081554258</c:v>
                      </c:pt>
                      <c:pt idx="95">
                        <c:v>1.5880145660905483</c:v>
                      </c:pt>
                      <c:pt idx="96">
                        <c:v>2.5566982178952236</c:v>
                      </c:pt>
                      <c:pt idx="97">
                        <c:v>-0.18125071013973404</c:v>
                      </c:pt>
                      <c:pt idx="98">
                        <c:v>-1.4675782681248497</c:v>
                      </c:pt>
                      <c:pt idx="99">
                        <c:v>#N/A</c:v>
                      </c:pt>
                      <c:pt idx="100">
                        <c:v>-1.2792886665699406</c:v>
                      </c:pt>
                      <c:pt idx="101">
                        <c:v>-1.0437364674833791</c:v>
                      </c:pt>
                      <c:pt idx="102">
                        <c:v>#N/A</c:v>
                      </c:pt>
                      <c:pt idx="103">
                        <c:v>-1.8799731059222917</c:v>
                      </c:pt>
                      <c:pt idx="104">
                        <c:v>-0.56840993675741047</c:v>
                      </c:pt>
                      <c:pt idx="105">
                        <c:v>-2.510076603424078</c:v>
                      </c:pt>
                      <c:pt idx="106">
                        <c:v>-2.2904483754970961</c:v>
                      </c:pt>
                      <c:pt idx="107">
                        <c:v>-2.815831335365433</c:v>
                      </c:pt>
                      <c:pt idx="108">
                        <c:v>-2.7270435658806815</c:v>
                      </c:pt>
                      <c:pt idx="109">
                        <c:v>#N/A</c:v>
                      </c:pt>
                      <c:pt idx="110">
                        <c:v>-1.0604318484958286</c:v>
                      </c:pt>
                      <c:pt idx="111">
                        <c:v>#N/A</c:v>
                      </c:pt>
                      <c:pt idx="112">
                        <c:v>#N/A</c:v>
                      </c:pt>
                      <c:pt idx="113">
                        <c:v>-0.35542405258898568</c:v>
                      </c:pt>
                      <c:pt idx="114">
                        <c:v>2.3647340745343026E-3</c:v>
                      </c:pt>
                      <c:pt idx="115">
                        <c:v>0.52932200393401319</c:v>
                      </c:pt>
                      <c:pt idx="116">
                        <c:v>1.1992367420582519</c:v>
                      </c:pt>
                      <c:pt idx="117">
                        <c:v>#N/A</c:v>
                      </c:pt>
                      <c:pt idx="118">
                        <c:v>0.29423674205825079</c:v>
                      </c:pt>
                      <c:pt idx="119">
                        <c:v>1.3616600632310643</c:v>
                      </c:pt>
                      <c:pt idx="120">
                        <c:v>0.86161581152737354</c:v>
                      </c:pt>
                      <c:pt idx="121">
                        <c:v>1.0747696085270486E-2</c:v>
                      </c:pt>
                      <c:pt idx="122">
                        <c:v>#N/A</c:v>
                      </c:pt>
                      <c:pt idx="123">
                        <c:v>-3.6430207500249945E-2</c:v>
                      </c:pt>
                      <c:pt idx="124">
                        <c:v>0.55106309680400101</c:v>
                      </c:pt>
                      <c:pt idx="125">
                        <c:v>1.0253961412035</c:v>
                      </c:pt>
                      <c:pt idx="126">
                        <c:v>#N/A</c:v>
                      </c:pt>
                      <c:pt idx="127">
                        <c:v>#N/A</c:v>
                      </c:pt>
                      <c:pt idx="128">
                        <c:v>1.3630534312000986</c:v>
                      </c:pt>
                      <c:pt idx="129">
                        <c:v>1.3630534312000986</c:v>
                      </c:pt>
                      <c:pt idx="130">
                        <c:v>1.7334587219345787</c:v>
                      </c:pt>
                      <c:pt idx="131">
                        <c:v>1.6871980346010902</c:v>
                      </c:pt>
                      <c:pt idx="132">
                        <c:v>2.2103669434202216</c:v>
                      </c:pt>
                      <c:pt idx="133">
                        <c:v>2.3591475889988498</c:v>
                      </c:pt>
                      <c:pt idx="134">
                        <c:v>1.1688797787415404</c:v>
                      </c:pt>
                      <c:pt idx="135">
                        <c:v>1.9957636891285051</c:v>
                      </c:pt>
                      <c:pt idx="136">
                        <c:v>-2.9395798717550825E-2</c:v>
                      </c:pt>
                      <c:pt idx="137">
                        <c:v>-0.8002814208043203</c:v>
                      </c:pt>
                      <c:pt idx="138">
                        <c:v>-0.84101698877452358</c:v>
                      </c:pt>
                      <c:pt idx="139">
                        <c:v>-2.3265750622251198</c:v>
                      </c:pt>
                      <c:pt idx="140">
                        <c:v>#N/A</c:v>
                      </c:pt>
                      <c:pt idx="141">
                        <c:v>#N/A</c:v>
                      </c:pt>
                      <c:pt idx="142">
                        <c:v>-2.4041510410514415</c:v>
                      </c:pt>
                      <c:pt idx="143">
                        <c:v>-3.5759889763394188</c:v>
                      </c:pt>
                      <c:pt idx="144">
                        <c:v>-3.9384932410954745</c:v>
                      </c:pt>
                      <c:pt idx="145">
                        <c:v>-4.2462482599480182</c:v>
                      </c:pt>
                      <c:pt idx="146">
                        <c:v>-4.2955115498400858</c:v>
                      </c:pt>
                      <c:pt idx="147">
                        <c:v>-3.294301295686715</c:v>
                      </c:pt>
                      <c:pt idx="148">
                        <c:v>-4.4726824574319082</c:v>
                      </c:pt>
                      <c:pt idx="149">
                        <c:v>#N/A</c:v>
                      </c:pt>
                      <c:pt idx="150">
                        <c:v>-4.3513098435071598</c:v>
                      </c:pt>
                      <c:pt idx="151">
                        <c:v>-4.5800253028051428</c:v>
                      </c:pt>
                      <c:pt idx="152">
                        <c:v>-4.9566236562821082</c:v>
                      </c:pt>
                      <c:pt idx="153">
                        <c:v>-5.5204967465018031</c:v>
                      </c:pt>
                      <c:pt idx="154">
                        <c:v>-5.7005135655914705</c:v>
                      </c:pt>
                      <c:pt idx="155">
                        <c:v>-6.4780156334161196</c:v>
                      </c:pt>
                      <c:pt idx="156">
                        <c:v>-4.766252647968674</c:v>
                      </c:pt>
                      <c:pt idx="157">
                        <c:v>-5.0642404924249194</c:v>
                      </c:pt>
                      <c:pt idx="158">
                        <c:v>-1.2707527127895397</c:v>
                      </c:pt>
                      <c:pt idx="159">
                        <c:v>-1.6517423088428789</c:v>
                      </c:pt>
                      <c:pt idx="160">
                        <c:v>-2.2546546466406854</c:v>
                      </c:pt>
                      <c:pt idx="161">
                        <c:v>-2.4656006695599468</c:v>
                      </c:pt>
                      <c:pt idx="162">
                        <c:v>-4.2489340028932787</c:v>
                      </c:pt>
                      <c:pt idx="163">
                        <c:v>-3.7864331710572463</c:v>
                      </c:pt>
                      <c:pt idx="164">
                        <c:v>-3.8500464026094092</c:v>
                      </c:pt>
                      <c:pt idx="165">
                        <c:v>-3.9878971561935272</c:v>
                      </c:pt>
                      <c:pt idx="166">
                        <c:v>-5.3397014238731169</c:v>
                      </c:pt>
                      <c:pt idx="167">
                        <c:v>-4.9185672357748436</c:v>
                      </c:pt>
                      <c:pt idx="168">
                        <c:v>-4.9208348094709908</c:v>
                      </c:pt>
                      <c:pt idx="169">
                        <c:v>-4.3565201717523721</c:v>
                      </c:pt>
                      <c:pt idx="170">
                        <c:v>-5.0018975319507826</c:v>
                      </c:pt>
                      <c:pt idx="171">
                        <c:v>-4.1372267275209396</c:v>
                      </c:pt>
                      <c:pt idx="172">
                        <c:v>-5.0757253313656587</c:v>
                      </c:pt>
                      <c:pt idx="173">
                        <c:v>-6.1864936127602883</c:v>
                      </c:pt>
                      <c:pt idx="174">
                        <c:v>-5.5418139167776603</c:v>
                      </c:pt>
                      <c:pt idx="175">
                        <c:v>-5.0353498357434061</c:v>
                      </c:pt>
                      <c:pt idx="176">
                        <c:v>-4.8306507271223937</c:v>
                      </c:pt>
                      <c:pt idx="177">
                        <c:v>-3.4593809433843239</c:v>
                      </c:pt>
                      <c:pt idx="178">
                        <c:v>-2.3819261761552122</c:v>
                      </c:pt>
                      <c:pt idx="179">
                        <c:v>-1.304339969258661</c:v>
                      </c:pt>
                      <c:pt idx="180">
                        <c:v>-1.8045186044855275</c:v>
                      </c:pt>
                      <c:pt idx="181">
                        <c:v>-1.6027604260736541</c:v>
                      </c:pt>
                      <c:pt idx="182">
                        <c:v>-2.4395805097556589</c:v>
                      </c:pt>
                      <c:pt idx="183">
                        <c:v>#N/A</c:v>
                      </c:pt>
                      <c:pt idx="184">
                        <c:v>-0.77430854322846243</c:v>
                      </c:pt>
                      <c:pt idx="185">
                        <c:v>-0.87061099057928104</c:v>
                      </c:pt>
                      <c:pt idx="186">
                        <c:v>-0.31525342346120178</c:v>
                      </c:pt>
                      <c:pt idx="187">
                        <c:v>-1.1680716771605144</c:v>
                      </c:pt>
                      <c:pt idx="188">
                        <c:v>#N/A</c:v>
                      </c:pt>
                      <c:pt idx="189">
                        <c:v>-0.72861993207078524</c:v>
                      </c:pt>
                      <c:pt idx="191">
                        <c:v>-0.68075566852024616</c:v>
                      </c:pt>
                      <c:pt idx="192">
                        <c:v>-0.72486767465756785</c:v>
                      </c:pt>
                      <c:pt idx="193">
                        <c:v>0.15324803538130782</c:v>
                      </c:pt>
                      <c:pt idx="194">
                        <c:v>0.1618647633224819</c:v>
                      </c:pt>
                      <c:pt idx="195" formatCode="0.0">
                        <c:v>-0.40417297252657347</c:v>
                      </c:pt>
                      <c:pt idx="196" formatCode="0.0">
                        <c:v>-1.1129063973093825</c:v>
                      </c:pt>
                      <c:pt idx="197" formatCode="0.0">
                        <c:v>2.3012312784863256</c:v>
                      </c:pt>
                      <c:pt idx="198" formatCode="0.0">
                        <c:v>#N/A</c:v>
                      </c:pt>
                      <c:pt idx="199" formatCode="0.0">
                        <c:v>#N/A</c:v>
                      </c:pt>
                      <c:pt idx="200" formatCode="0.0">
                        <c:v>#N/A</c:v>
                      </c:pt>
                      <c:pt idx="201" formatCode="0.0">
                        <c:v>2.6660444588334871</c:v>
                      </c:pt>
                      <c:pt idx="202" formatCode="0.0">
                        <c:v>1.8894614241859364</c:v>
                      </c:pt>
                      <c:pt idx="203" formatCode="0.0">
                        <c:v>1.9860424556713541</c:v>
                      </c:pt>
                      <c:pt idx="204" formatCode="0.0">
                        <c:v>#N/A</c:v>
                      </c:pt>
                      <c:pt idx="205" formatCode="0.0">
                        <c:v>2.4231923431118028</c:v>
                      </c:pt>
                      <c:pt idx="206" formatCode="0.0">
                        <c:v>2.6268104807889898</c:v>
                      </c:pt>
                      <c:pt idx="207" formatCode="0.0">
                        <c:v>0.32379586052763765</c:v>
                      </c:pt>
                      <c:pt idx="208" formatCode="0.0">
                        <c:v>0.14094416914949109</c:v>
                      </c:pt>
                      <c:pt idx="209" formatCode="0.0">
                        <c:v>-0.27734517168419959</c:v>
                      </c:pt>
                      <c:pt idx="210" formatCode="0.0">
                        <c:v>1.6933247055774308</c:v>
                      </c:pt>
                      <c:pt idx="211" formatCode="0.0">
                        <c:v>2.2837547386568948</c:v>
                      </c:pt>
                      <c:pt idx="212" formatCode="0.0">
                        <c:v>3.0857630919848971</c:v>
                      </c:pt>
                      <c:pt idx="213" formatCode="0.0">
                        <c:v>4.1799922528435509</c:v>
                      </c:pt>
                      <c:pt idx="214" formatCode="0.0">
                        <c:v>2.6339320644677158</c:v>
                      </c:pt>
                      <c:pt idx="215" formatCode="0.0">
                        <c:v>3.3788427889076122</c:v>
                      </c:pt>
                      <c:pt idx="216" formatCode="0.0">
                        <c:v>#N/A</c:v>
                      </c:pt>
                      <c:pt idx="217" formatCode="0.0">
                        <c:v>3.5357384300049506</c:v>
                      </c:pt>
                      <c:pt idx="218" formatCode="0.0">
                        <c:v>4.0004443123578923</c:v>
                      </c:pt>
                      <c:pt idx="219" formatCode="0.0">
                        <c:v>3.9149565137982316</c:v>
                      </c:pt>
                      <c:pt idx="220" formatCode="0.0">
                        <c:v>4.6142572130989308</c:v>
                      </c:pt>
                      <c:pt idx="221" formatCode="0.0">
                        <c:v>4.6612644208707881</c:v>
                      </c:pt>
                      <c:pt idx="222" formatCode="0.0">
                        <c:v>4.8646137031674401</c:v>
                      </c:pt>
                      <c:pt idx="223" formatCode="0.0">
                        <c:v>5.2664112863785624</c:v>
                      </c:pt>
                      <c:pt idx="224" formatCode="0.0">
                        <c:v>4.6515995944167861</c:v>
                      </c:pt>
                      <c:pt idx="225" formatCode="0.0">
                        <c:v>4.6040517069015028</c:v>
                      </c:pt>
                      <c:pt idx="226" formatCode="0.0">
                        <c:v>5.7029528058026004</c:v>
                      </c:pt>
                      <c:pt idx="227" formatCode="0.0">
                        <c:v>6.5703816064443981</c:v>
                      </c:pt>
                      <c:pt idx="228" formatCode="0.0">
                        <c:v>8.2369956985340274</c:v>
                      </c:pt>
                      <c:pt idx="229" formatCode="0.0">
                        <c:v>7.3819393110317169</c:v>
                      </c:pt>
                      <c:pt idx="230" formatCode="0.0">
                        <c:v>12.050060578831442</c:v>
                      </c:pt>
                      <c:pt idx="231" formatCode="0.0">
                        <c:v>#N/A</c:v>
                      </c:pt>
                      <c:pt idx="232" formatCode="0.0">
                        <c:v>#N/A</c:v>
                      </c:pt>
                      <c:pt idx="233" formatCode="0.0">
                        <c:v>#N/A</c:v>
                      </c:pt>
                      <c:pt idx="234" formatCode="0.0">
                        <c:v>#N/A</c:v>
                      </c:pt>
                      <c:pt idx="235" formatCode="0.0">
                        <c:v>12.177531007161468</c:v>
                      </c:pt>
                      <c:pt idx="236" formatCode="0.0">
                        <c:v>13.888988227093268</c:v>
                      </c:pt>
                      <c:pt idx="237" formatCode="0.0">
                        <c:v>14.439921440495562</c:v>
                      </c:pt>
                      <c:pt idx="238" formatCode="0.0">
                        <c:v>#N/A</c:v>
                      </c:pt>
                      <c:pt idx="239" formatCode="0.0">
                        <c:v>13.786764515357392</c:v>
                      </c:pt>
                      <c:pt idx="240" formatCode="0.0">
                        <c:v>14.287697931661064</c:v>
                      </c:pt>
                      <c:pt idx="241" formatCode="0.0">
                        <c:v>14.448786530390365</c:v>
                      </c:pt>
                      <c:pt idx="242" formatCode="0.0">
                        <c:v>15.241789604467462</c:v>
                      </c:pt>
                      <c:pt idx="243" formatCode="0.0">
                        <c:v>15.230801303775845</c:v>
                      </c:pt>
                      <c:pt idx="244" formatCode="0.0">
                        <c:v>15.359377324348008</c:v>
                      </c:pt>
                      <c:pt idx="245" formatCode="0.0">
                        <c:v>14.287631292601978</c:v>
                      </c:pt>
                      <c:pt idx="246" formatCode="0.0">
                        <c:v>#N/A</c:v>
                      </c:pt>
                      <c:pt idx="247" formatCode="0.0">
                        <c:v>13.349806785852238</c:v>
                      </c:pt>
                      <c:pt idx="248" formatCode="0.0">
                        <c:v>13.240773669353127</c:v>
                      </c:pt>
                      <c:pt idx="249" formatCode="0.0">
                        <c:v>14.147408757981333</c:v>
                      </c:pt>
                      <c:pt idx="250" formatCode="0.0">
                        <c:v>14.580049250668015</c:v>
                      </c:pt>
                      <c:pt idx="251" formatCode="0.0">
                        <c:v>14.380707943682404</c:v>
                      </c:pt>
                      <c:pt idx="252" formatCode="0.0">
                        <c:v>#N/A</c:v>
                      </c:pt>
                      <c:pt idx="253" formatCode="0.0">
                        <c:v>11.266780443001016</c:v>
                      </c:pt>
                      <c:pt idx="254" formatCode="0.0">
                        <c:v>8.9508500547814691</c:v>
                      </c:pt>
                      <c:pt idx="255" formatCode="0.0">
                        <c:v>#N/A</c:v>
                      </c:pt>
                      <c:pt idx="256" formatCode="0.0">
                        <c:v>#N/A</c:v>
                      </c:pt>
                      <c:pt idx="257" formatCode="0.0">
                        <c:v>11.135804208239561</c:v>
                      </c:pt>
                      <c:pt idx="258" formatCode="0.0">
                        <c:v>10.766859710324901</c:v>
                      </c:pt>
                      <c:pt idx="259" formatCode="0.0">
                        <c:v>10.295115512918098</c:v>
                      </c:pt>
                      <c:pt idx="260" formatCode="0.0">
                        <c:v>11.071789819004168</c:v>
                      </c:pt>
                      <c:pt idx="261" formatCode="0.0">
                        <c:v>11.338531801054003</c:v>
                      </c:pt>
                      <c:pt idx="262" formatCode="0.0">
                        <c:v>12.696772278805078</c:v>
                      </c:pt>
                      <c:pt idx="263" formatCode="0.0">
                        <c:v>11.239668329644843</c:v>
                      </c:pt>
                      <c:pt idx="264" formatCode="0.0">
                        <c:v>#N/A</c:v>
                      </c:pt>
                      <c:pt idx="265" formatCode="0.0">
                        <c:v>9.1004398040223897</c:v>
                      </c:pt>
                      <c:pt idx="266" formatCode="0.0">
                        <c:v>8.4941898040223922</c:v>
                      </c:pt>
                      <c:pt idx="267" formatCode="0.0">
                        <c:v>8.3034367837662373</c:v>
                      </c:pt>
                      <c:pt idx="268" formatCode="0.0">
                        <c:v>7.8894005453469536</c:v>
                      </c:pt>
                      <c:pt idx="269" formatCode="0.0">
                        <c:v>8.0273852656225078</c:v>
                      </c:pt>
                      <c:pt idx="270" formatCode="0.0">
                        <c:v>8.4787387597894561</c:v>
                      </c:pt>
                      <c:pt idx="271" formatCode="0.0">
                        <c:v>8.5600395727975869</c:v>
                      </c:pt>
                      <c:pt idx="272" formatCode="0.0">
                        <c:v>8.3910103384231896</c:v>
                      </c:pt>
                      <c:pt idx="273" formatCode="0.0">
                        <c:v>8.1392004548852626</c:v>
                      </c:pt>
                      <c:pt idx="274" formatCode="0.0">
                        <c:v>8.4963693447460393</c:v>
                      </c:pt>
                      <c:pt idx="275" formatCode="0.0">
                        <c:v>7.9519560330417676</c:v>
                      </c:pt>
                      <c:pt idx="276" formatCode="0.0">
                        <c:v>8.7110575047691121</c:v>
                      </c:pt>
                      <c:pt idx="277" formatCode="0.0">
                        <c:v>9.5099448842891334</c:v>
                      </c:pt>
                      <c:pt idx="278" formatCode="0.0">
                        <c:v>8.7911623803202268</c:v>
                      </c:pt>
                      <c:pt idx="279" formatCode="0.0">
                        <c:v>10.25628937606445</c:v>
                      </c:pt>
                      <c:pt idx="280" formatCode="0.0">
                        <c:v>10.641311269466232</c:v>
                      </c:pt>
                      <c:pt idx="281" formatCode="0.0">
                        <c:v>8.3366899290355541</c:v>
                      </c:pt>
                      <c:pt idx="282" formatCode="0.0">
                        <c:v>8.0018573453274104</c:v>
                      </c:pt>
                      <c:pt idx="283" formatCode="0.0">
                        <c:v>7.2325593297666115</c:v>
                      </c:pt>
                      <c:pt idx="284" formatCode="0.0">
                        <c:v>6.7831185041963469</c:v>
                      </c:pt>
                      <c:pt idx="285" formatCode="0.0">
                        <c:v>6.942094185213791</c:v>
                      </c:pt>
                      <c:pt idx="286" formatCode="0.0">
                        <c:v>7.9579738052124043</c:v>
                      </c:pt>
                      <c:pt idx="287" formatCode="0.0">
                        <c:v>7.8065185174473557</c:v>
                      </c:pt>
                      <c:pt idx="288" formatCode="0.0">
                        <c:v>8.532791257540433</c:v>
                      </c:pt>
                      <c:pt idx="289" formatCode="0.0">
                        <c:v>8.3918138139314085</c:v>
                      </c:pt>
                      <c:pt idx="290" formatCode="0.0">
                        <c:v>9.9975723964341761</c:v>
                      </c:pt>
                      <c:pt idx="291" formatCode="0.0">
                        <c:v>10.837438017934737</c:v>
                      </c:pt>
                      <c:pt idx="292" formatCode="0.0">
                        <c:v>11.121489753959668</c:v>
                      </c:pt>
                      <c:pt idx="293" formatCode="0.0">
                        <c:v>12.930580663050579</c:v>
                      </c:pt>
                      <c:pt idx="294" formatCode="0.0">
                        <c:v>13.05326499626123</c:v>
                      </c:pt>
                      <c:pt idx="295" formatCode="0.0">
                        <c:v>14.157614782152596</c:v>
                      </c:pt>
                      <c:pt idx="296" formatCode="0.0">
                        <c:v>13.182189451339742</c:v>
                      </c:pt>
                      <c:pt idx="297" formatCode="0.0">
                        <c:v>11.891267547310013</c:v>
                      </c:pt>
                      <c:pt idx="298" formatCode="0.0">
                        <c:v>11.058555640772603</c:v>
                      </c:pt>
                      <c:pt idx="299" formatCode="0.0">
                        <c:v>11.771184475935335</c:v>
                      </c:pt>
                      <c:pt idx="300" formatCode="0.0">
                        <c:v>11.074152720895732</c:v>
                      </c:pt>
                      <c:pt idx="301" formatCode="0.0">
                        <c:v>10.77430793466743</c:v>
                      </c:pt>
                      <c:pt idx="302" formatCode="0.0">
                        <c:v>11.725851193902995</c:v>
                      </c:pt>
                      <c:pt idx="303" formatCode="0.0">
                        <c:v>11.224209457310513</c:v>
                      </c:pt>
                      <c:pt idx="304" formatCode="0.0">
                        <c:v>11.380563416059681</c:v>
                      </c:pt>
                      <c:pt idx="305" formatCode="0.0">
                        <c:v>10.662547750263332</c:v>
                      </c:pt>
                      <c:pt idx="306" formatCode="0.0">
                        <c:v>11.366886476818914</c:v>
                      </c:pt>
                      <c:pt idx="307" formatCode="0.0">
                        <c:v>9.2526395560546799</c:v>
                      </c:pt>
                      <c:pt idx="308" formatCode="0.0">
                        <c:v>14.351416024993119</c:v>
                      </c:pt>
                      <c:pt idx="309" formatCode="0.0">
                        <c:v>14.785361366345871</c:v>
                      </c:pt>
                      <c:pt idx="310" formatCode="0.0">
                        <c:v>14.031346481896204</c:v>
                      </c:pt>
                      <c:pt idx="311" formatCode="0.0">
                        <c:v>12.776649756184984</c:v>
                      </c:pt>
                      <c:pt idx="312" formatCode="0.0">
                        <c:v>12.457863486114459</c:v>
                      </c:pt>
                      <c:pt idx="313" formatCode="0.0">
                        <c:v>13.253362127946044</c:v>
                      </c:pt>
                      <c:pt idx="314" formatCode="0.0">
                        <c:v>13.014457414172268</c:v>
                      </c:pt>
                      <c:pt idx="315" formatCode="0.0">
                        <c:v>#N/A</c:v>
                      </c:pt>
                      <c:pt idx="316" formatCode="0.0">
                        <c:v>11.907502107965007</c:v>
                      </c:pt>
                      <c:pt idx="317" formatCode="0.0">
                        <c:v>10.806784926798809</c:v>
                      </c:pt>
                      <c:pt idx="318" formatCode="0.0">
                        <c:v>9.4461258681182763</c:v>
                      </c:pt>
                      <c:pt idx="319" formatCode="0.0">
                        <c:v>9.6249335783067398</c:v>
                      </c:pt>
                      <c:pt idx="320" formatCode="0.0">
                        <c:v>11.629093154786226</c:v>
                      </c:pt>
                      <c:pt idx="321" formatCode="0.0">
                        <c:v>10.790649566573277</c:v>
                      </c:pt>
                      <c:pt idx="322" formatCode="0.0">
                        <c:v>11.090588687840743</c:v>
                      </c:pt>
                      <c:pt idx="323" formatCode="0.0">
                        <c:v>11.909965601220897</c:v>
                      </c:pt>
                      <c:pt idx="324" formatCode="0.0">
                        <c:v>#N/A</c:v>
                      </c:pt>
                      <c:pt idx="325" formatCode="0.0">
                        <c:v>10.478078270208696</c:v>
                      </c:pt>
                      <c:pt idx="326" formatCode="0.0">
                        <c:v>8.2660220933948096</c:v>
                      </c:pt>
                      <c:pt idx="327" formatCode="0.0">
                        <c:v>#N/A</c:v>
                      </c:pt>
                      <c:pt idx="328" formatCode="0.0">
                        <c:v>7.442100291664409</c:v>
                      </c:pt>
                      <c:pt idx="329" formatCode="0.0">
                        <c:v>9.195318223311105</c:v>
                      </c:pt>
                      <c:pt idx="330" formatCode="0.0">
                        <c:v>9.8218846393512074</c:v>
                      </c:pt>
                      <c:pt idx="331" formatCode="0.0">
                        <c:v>9.7524957949423463</c:v>
                      </c:pt>
                      <c:pt idx="332" formatCode="0.0">
                        <c:v>8.7486528182516174</c:v>
                      </c:pt>
                      <c:pt idx="333" formatCode="0.0">
                        <c:v>9.3457836324200727</c:v>
                      </c:pt>
                      <c:pt idx="334" formatCode="0.0">
                        <c:v>8.5509456796410728</c:v>
                      </c:pt>
                      <c:pt idx="335" formatCode="0.0">
                        <c:v>7.9324585366768359</c:v>
                      </c:pt>
                      <c:pt idx="336" formatCode="0.0">
                        <c:v>6.9750181140824417</c:v>
                      </c:pt>
                      <c:pt idx="337" formatCode="0.0">
                        <c:v>6.1190228184506257</c:v>
                      </c:pt>
                      <c:pt idx="338" formatCode="0.0">
                        <c:v>6.487809232235179</c:v>
                      </c:pt>
                      <c:pt idx="339" formatCode="0.0">
                        <c:v>7.5404408111825472</c:v>
                      </c:pt>
                      <c:pt idx="340" formatCode="0.0">
                        <c:v>10.720720218038981</c:v>
                      </c:pt>
                      <c:pt idx="341" formatCode="0.0">
                        <c:v>10.192836287732614</c:v>
                      </c:pt>
                      <c:pt idx="342" formatCode="0.0">
                        <c:v>10.272687232635462</c:v>
                      </c:pt>
                      <c:pt idx="343" formatCode="0.0">
                        <c:v>10.988637948586179</c:v>
                      </c:pt>
                      <c:pt idx="344" formatCode="0.0">
                        <c:v>12.421887475233602</c:v>
                      </c:pt>
                      <c:pt idx="345" formatCode="0.0">
                        <c:v>#N/A</c:v>
                      </c:pt>
                      <c:pt idx="346" formatCode="0.0">
                        <c:v>12.878875487909852</c:v>
                      </c:pt>
                      <c:pt idx="347" formatCode="0.0">
                        <c:v>15.319703890276715</c:v>
                      </c:pt>
                      <c:pt idx="348" formatCode="0.0">
                        <c:v>13.869349280347635</c:v>
                      </c:pt>
                      <c:pt idx="349" formatCode="0.0">
                        <c:v>12.582306234706275</c:v>
                      </c:pt>
                      <c:pt idx="350" formatCode="0.0">
                        <c:v>11.781024183424224</c:v>
                      </c:pt>
                      <c:pt idx="351" formatCode="0.0">
                        <c:v>12.520002282281801</c:v>
                      </c:pt>
                      <c:pt idx="352" formatCode="0.0">
                        <c:v>11.844744305202532</c:v>
                      </c:pt>
                      <c:pt idx="353" formatCode="0.0">
                        <c:v>11.674382631974638</c:v>
                      </c:pt>
                      <c:pt idx="354" formatCode="0.0">
                        <c:v>12.506566944664714</c:v>
                      </c:pt>
                      <c:pt idx="355" formatCode="0.0">
                        <c:v>11.036263585631742</c:v>
                      </c:pt>
                      <c:pt idx="356" formatCode="0.0">
                        <c:v>11.670781352129204</c:v>
                      </c:pt>
                      <c:pt idx="357" formatCode="0.0">
                        <c:v>10.833904239491543</c:v>
                      </c:pt>
                      <c:pt idx="358" formatCode="0.0">
                        <c:v>13.574161963447452</c:v>
                      </c:pt>
                      <c:pt idx="359" formatCode="0.0">
                        <c:v>14.061075478853615</c:v>
                      </c:pt>
                      <c:pt idx="360" formatCode="0.0">
                        <c:v>13.370798327374201</c:v>
                      </c:pt>
                      <c:pt idx="361" formatCode="0.0">
                        <c:v>11.154640008492226</c:v>
                      </c:pt>
                      <c:pt idx="362" formatCode="0.0">
                        <c:v>9.9103907404035603</c:v>
                      </c:pt>
                      <c:pt idx="363" formatCode="0.0">
                        <c:v>#N/A</c:v>
                      </c:pt>
                      <c:pt idx="364" formatCode="0.0">
                        <c:v>10.066414658260017</c:v>
                      </c:pt>
                      <c:pt idx="365" formatCode="0.0">
                        <c:v>10.457192305778582</c:v>
                      </c:pt>
                      <c:pt idx="366" formatCode="0.0">
                        <c:v>10.584623559970399</c:v>
                      </c:pt>
                      <c:pt idx="367" formatCode="0.0">
                        <c:v>11.21144822079815</c:v>
                      </c:pt>
                      <c:pt idx="368" formatCode="0.0">
                        <c:v>8.8156692551795413</c:v>
                      </c:pt>
                      <c:pt idx="369" formatCode="0.0">
                        <c:v>11.778855939296461</c:v>
                      </c:pt>
                      <c:pt idx="370" formatCode="0.0">
                        <c:v>10.926647430774377</c:v>
                      </c:pt>
                      <c:pt idx="371" formatCode="0.0">
                        <c:v>11.323359026224146</c:v>
                      </c:pt>
                      <c:pt idx="372" formatCode="0.0">
                        <c:v>11.485171323958774</c:v>
                      </c:pt>
                      <c:pt idx="373" formatCode="0.0">
                        <c:v>9.4972047774042121</c:v>
                      </c:pt>
                      <c:pt idx="374" formatCode="0.0">
                        <c:v>10.157985612697198</c:v>
                      </c:pt>
                      <c:pt idx="375" formatCode="0.0">
                        <c:v>10.33728471620168</c:v>
                      </c:pt>
                      <c:pt idx="376" formatCode="0.0">
                        <c:v>12.824667556864984</c:v>
                      </c:pt>
                      <c:pt idx="377" formatCode="0.0">
                        <c:v>12.423598038148405</c:v>
                      </c:pt>
                      <c:pt idx="378" formatCode="0.0">
                        <c:v>12.814704614690514</c:v>
                      </c:pt>
                      <c:pt idx="379" formatCode="0.0">
                        <c:v>13.286977618956204</c:v>
                      </c:pt>
                      <c:pt idx="380" formatCode="0.0">
                        <c:v>12.690984170003395</c:v>
                      </c:pt>
                      <c:pt idx="381" formatCode="0.0">
                        <c:v>11.953521043159741</c:v>
                      </c:pt>
                      <c:pt idx="382" formatCode="0.0">
                        <c:v>10.820554116151737</c:v>
                      </c:pt>
                      <c:pt idx="383" formatCode="0.0">
                        <c:v>9.8980209900876304</c:v>
                      </c:pt>
                      <c:pt idx="384" formatCode="0.0">
                        <c:v>8.9903054076367965</c:v>
                      </c:pt>
                      <c:pt idx="385" formatCode="0.0">
                        <c:v>8.8727562443291124</c:v>
                      </c:pt>
                      <c:pt idx="386" formatCode="0.0">
                        <c:v>5.9368131838308926</c:v>
                      </c:pt>
                      <c:pt idx="387" formatCode="0.0">
                        <c:v>7.0479242949420033</c:v>
                      </c:pt>
                      <c:pt idx="388" formatCode="0.0">
                        <c:v>7.5236755421864645</c:v>
                      </c:pt>
                      <c:pt idx="389" formatCode="0.0">
                        <c:v>7.915597954834265</c:v>
                      </c:pt>
                      <c:pt idx="390" formatCode="0.0">
                        <c:v>6.7826417583521472</c:v>
                      </c:pt>
                      <c:pt idx="391" formatCode="0.0">
                        <c:v>6.609688567867523</c:v>
                      </c:pt>
                      <c:pt idx="392" formatCode="0.0">
                        <c:v>5.8802389250463118</c:v>
                      </c:pt>
                      <c:pt idx="393" formatCode="0.0">
                        <c:v>3.2763365960551658</c:v>
                      </c:pt>
                      <c:pt idx="394" formatCode="0.0">
                        <c:v>#N/A</c:v>
                      </c:pt>
                      <c:pt idx="395" formatCode="0.0">
                        <c:v>#N/A</c:v>
                      </c:pt>
                      <c:pt idx="396" formatCode="0.0">
                        <c:v>5.0404229572979249</c:v>
                      </c:pt>
                      <c:pt idx="397" formatCode="0.0">
                        <c:v>6.0291235222696757</c:v>
                      </c:pt>
                      <c:pt idx="398" formatCode="0.0">
                        <c:v>#N/A</c:v>
                      </c:pt>
                      <c:pt idx="399" formatCode="0.0">
                        <c:v>8.3818197537916426</c:v>
                      </c:pt>
                      <c:pt idx="400" formatCode="0.0">
                        <c:v>#N/A</c:v>
                      </c:pt>
                      <c:pt idx="401" formatCode="0.0">
                        <c:v>10.425282977217972</c:v>
                      </c:pt>
                      <c:pt idx="402" formatCode="0.0">
                        <c:v>11.304437222553073</c:v>
                      </c:pt>
                      <c:pt idx="403" formatCode="0.0">
                        <c:v>10.074480046972951</c:v>
                      </c:pt>
                      <c:pt idx="404" formatCode="0.0">
                        <c:v>8.7861197161684945</c:v>
                      </c:pt>
                      <c:pt idx="405" formatCode="0.0">
                        <c:v>9.5914444201473099</c:v>
                      </c:pt>
                      <c:pt idx="406" formatCode="0.0">
                        <c:v>8.843027609554337</c:v>
                      </c:pt>
                      <c:pt idx="407" formatCode="0.0">
                        <c:v>#N/A</c:v>
                      </c:pt>
                      <c:pt idx="408" formatCode="0.0">
                        <c:v>#N/A</c:v>
                      </c:pt>
                      <c:pt idx="409" formatCode="0.0">
                        <c:v>9.6406141869574267</c:v>
                      </c:pt>
                      <c:pt idx="410" formatCode="0.0">
                        <c:v>10.653671368407224</c:v>
                      </c:pt>
                      <c:pt idx="411" formatCode="0.0">
                        <c:v>14.166909657612926</c:v>
                      </c:pt>
                      <c:pt idx="412" formatCode="0.0">
                        <c:v>14.497782653286125</c:v>
                      </c:pt>
                      <c:pt idx="413" formatCode="0.0">
                        <c:v>15.249097454187702</c:v>
                      </c:pt>
                      <c:pt idx="414" formatCode="0.0">
                        <c:v>17.352213442089514</c:v>
                      </c:pt>
                      <c:pt idx="415" formatCode="0.0">
                        <c:v>17.855094182756247</c:v>
                      </c:pt>
                      <c:pt idx="416" formatCode="0.0">
                        <c:v>18.070878483914218</c:v>
                      </c:pt>
                      <c:pt idx="417" formatCode="0.0">
                        <c:v>14.93090586242209</c:v>
                      </c:pt>
                      <c:pt idx="418" formatCode="0.0">
                        <c:v>14.180464699609793</c:v>
                      </c:pt>
                      <c:pt idx="419" formatCode="0.0">
                        <c:v>13.667129677888028</c:v>
                      </c:pt>
                      <c:pt idx="420" formatCode="0.0">
                        <c:v>15.885021288875407</c:v>
                      </c:pt>
                      <c:pt idx="421" formatCode="0.0">
                        <c:v>16.716705908205665</c:v>
                      </c:pt>
                      <c:pt idx="422" formatCode="0.0">
                        <c:v>20.743484485343956</c:v>
                      </c:pt>
                      <c:pt idx="423" formatCode="0.0">
                        <c:v>21.384208548341022</c:v>
                      </c:pt>
                      <c:pt idx="424" formatCode="0.0">
                        <c:v>20.990880901672458</c:v>
                      </c:pt>
                      <c:pt idx="425" formatCode="0.0">
                        <c:v>21.944642537564416</c:v>
                      </c:pt>
                      <c:pt idx="426" formatCode="0.0">
                        <c:v>22.454103964056408</c:v>
                      </c:pt>
                      <c:pt idx="427" formatCode="0.0">
                        <c:v>23.760913509580046</c:v>
                      </c:pt>
                      <c:pt idx="428" formatCode="0.0">
                        <c:v>24.969894511307164</c:v>
                      </c:pt>
                      <c:pt idx="429" formatCode="0.0">
                        <c:v>27.688970307306036</c:v>
                      </c:pt>
                      <c:pt idx="430" formatCode="0.0">
                        <c:v>26.90518050548016</c:v>
                      </c:pt>
                      <c:pt idx="431" formatCode="0.0">
                        <c:v>25.539718658090607</c:v>
                      </c:pt>
                      <c:pt idx="432" formatCode="0.0">
                        <c:v>24.070050115251334</c:v>
                      </c:pt>
                      <c:pt idx="433" formatCode="0.0">
                        <c:v>#N/A</c:v>
                      </c:pt>
                      <c:pt idx="434" formatCode="0.0">
                        <c:v>24.117805607132901</c:v>
                      </c:pt>
                      <c:pt idx="435" formatCode="0.0">
                        <c:v>21.988367228063364</c:v>
                      </c:pt>
                      <c:pt idx="436" formatCode="0.0">
                        <c:v>20.394063381611851</c:v>
                      </c:pt>
                      <c:pt idx="437" formatCode="0.0">
                        <c:v>21.888107395340906</c:v>
                      </c:pt>
                      <c:pt idx="438" formatCode="0.0">
                        <c:v>22.141802519982424</c:v>
                      </c:pt>
                      <c:pt idx="439" formatCode="0.0">
                        <c:v>22.6838898986232</c:v>
                      </c:pt>
                      <c:pt idx="440" formatCode="0.0">
                        <c:v>23.722007203607074</c:v>
                      </c:pt>
                      <c:pt idx="441" formatCode="0.0">
                        <c:v>24.718648052001065</c:v>
                      </c:pt>
                      <c:pt idx="442" formatCode="0.0">
                        <c:v>24.081855599170876</c:v>
                      </c:pt>
                      <c:pt idx="443" formatCode="0.0">
                        <c:v>#N/A</c:v>
                      </c:pt>
                      <c:pt idx="444" formatCode="0.0">
                        <c:v>#N/A</c:v>
                      </c:pt>
                    </c:numCache>
                  </c:numRef>
                </c:val>
                <c:smooth val="0"/>
                <c:extLst xmlns:c15="http://schemas.microsoft.com/office/drawing/2012/chart">
                  <c:ext xmlns:c16="http://schemas.microsoft.com/office/drawing/2014/chart" uri="{C3380CC4-5D6E-409C-BE32-E72D297353CC}">
                    <c16:uniqueId val="{00000000-D333-41A3-854D-81D79B6DF59A}"/>
                  </c:ext>
                </c:extLst>
              </c15:ser>
            </c15:filteredLineSeries>
            <c15:filteredLineSeries>
              <c15:ser>
                <c:idx val="9"/>
                <c:order val="9"/>
                <c:tx>
                  <c:v>Variance</c:v>
                </c:tx>
                <c:spPr>
                  <a:ln w="3175" cap="rnd">
                    <a:solidFill>
                      <a:srgbClr val="FFFF00"/>
                    </a:solidFill>
                    <a:prstDash val="sysDot"/>
                    <a:round/>
                  </a:ln>
                  <a:effectLst/>
                </c:spPr>
                <c:marker>
                  <c:symbol val="none"/>
                </c:marker>
                <c:val>
                  <c:numRef>
                    <c:extLst xmlns:c15="http://schemas.microsoft.com/office/drawing/2012/chart">
                      <c:ext xmlns:c15="http://schemas.microsoft.com/office/drawing/2012/chart" uri="{02D57815-91ED-43cb-92C2-25804820EDAC}">
                        <c15:formulaRef>
                          <c15:sqref>'2025-Q1'!$FU$4:$FU$448</c15:sqref>
                        </c15:formulaRef>
                      </c:ext>
                    </c:extLst>
                    <c:numCache>
                      <c:formatCode>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-6.3741272944035643E-2</c:v>
                      </c:pt>
                      <c:pt idx="59">
                        <c:v>0.1835386479263903</c:v>
                      </c:pt>
                      <c:pt idx="60">
                        <c:v>0.22013774702548794</c:v>
                      </c:pt>
                      <c:pt idx="61">
                        <c:v>0.24346175075733001</c:v>
                      </c:pt>
                      <c:pt idx="62">
                        <c:v>0.39534088276312929</c:v>
                      </c:pt>
                      <c:pt idx="63">
                        <c:v>0.34871684378923895</c:v>
                      </c:pt>
                      <c:pt idx="64">
                        <c:v>0.3663110785104049</c:v>
                      </c:pt>
                      <c:pt idx="65">
                        <c:v>0.46038731060557403</c:v>
                      </c:pt>
                      <c:pt idx="66">
                        <c:v>0.48010040920139474</c:v>
                      </c:pt>
                      <c:pt idx="67">
                        <c:v>0.4357100786836785</c:v>
                      </c:pt>
                      <c:pt idx="68">
                        <c:v>0.4357100786836785</c:v>
                      </c:pt>
                      <c:pt idx="69">
                        <c:v>0.4357100786836785</c:v>
                      </c:pt>
                      <c:pt idx="70">
                        <c:v>0.39815139323767035</c:v>
                      </c:pt>
                      <c:pt idx="71">
                        <c:v>0.56391123127385967</c:v>
                      </c:pt>
                      <c:pt idx="72">
                        <c:v>1.0426027262359678</c:v>
                      </c:pt>
                      <c:pt idx="73">
                        <c:v>0.83512007178587844</c:v>
                      </c:pt>
                      <c:pt idx="74">
                        <c:v>1.0476391216020211</c:v>
                      </c:pt>
                      <c:pt idx="75">
                        <c:v>1.9720545647776593</c:v>
                      </c:pt>
                      <c:pt idx="76">
                        <c:v>2.1868506215742602</c:v>
                      </c:pt>
                      <c:pt idx="77">
                        <c:v>2.9460770041866962</c:v>
                      </c:pt>
                      <c:pt idx="78">
                        <c:v>2.4033306258965492</c:v>
                      </c:pt>
                      <c:pt idx="79">
                        <c:v>2.602787566662867</c:v>
                      </c:pt>
                      <c:pt idx="80">
                        <c:v>2.4523514924731256</c:v>
                      </c:pt>
                      <c:pt idx="81">
                        <c:v>2.9807809999768242</c:v>
                      </c:pt>
                      <c:pt idx="82">
                        <c:v>2.471687104997967</c:v>
                      </c:pt>
                      <c:pt idx="83">
                        <c:v>2.3383997328274493</c:v>
                      </c:pt>
                      <c:pt idx="84">
                        <c:v>4.0659031487946589</c:v>
                      </c:pt>
                      <c:pt idx="85">
                        <c:v>3.9650721623894558</c:v>
                      </c:pt>
                      <c:pt idx="86">
                        <c:v>3.9910708511512372</c:v>
                      </c:pt>
                      <c:pt idx="89">
                        <c:v>5.6996255645032168</c:v>
                      </c:pt>
                      <c:pt idx="90">
                        <c:v>5.6641409781204271</c:v>
                      </c:pt>
                      <c:pt idx="91">
                        <c:v>5.6363035487081934</c:v>
                      </c:pt>
                      <c:pt idx="92">
                        <c:v>5.7988754889651783</c:v>
                      </c:pt>
                      <c:pt idx="94">
                        <c:v>5.9661157391442909</c:v>
                      </c:pt>
                      <c:pt idx="95">
                        <c:v>5.9661157391442874</c:v>
                      </c:pt>
                      <c:pt idx="96">
                        <c:v>5.9661157391442874</c:v>
                      </c:pt>
                      <c:pt idx="97">
                        <c:v>5.9661157391442874</c:v>
                      </c:pt>
                      <c:pt idx="98">
                        <c:v>5.9661157391442909</c:v>
                      </c:pt>
                      <c:pt idx="100">
                        <c:v>6.4560078388590387</c:v>
                      </c:pt>
                      <c:pt idx="101">
                        <c:v>6.4560078388590387</c:v>
                      </c:pt>
                      <c:pt idx="103">
                        <c:v>7.1121388656146411</c:v>
                      </c:pt>
                      <c:pt idx="104">
                        <c:v>7.1121388656146411</c:v>
                      </c:pt>
                      <c:pt idx="105">
                        <c:v>7.0608888656146416</c:v>
                      </c:pt>
                      <c:pt idx="106">
                        <c:v>7.1596835702184745</c:v>
                      </c:pt>
                      <c:pt idx="107">
                        <c:v>7.166013485397615</c:v>
                      </c:pt>
                      <c:pt idx="108">
                        <c:v>7.166013485397615</c:v>
                      </c:pt>
                      <c:pt idx="110">
                        <c:v>7.0096862658059127</c:v>
                      </c:pt>
                      <c:pt idx="113">
                        <c:v>7.9303857079873818</c:v>
                      </c:pt>
                      <c:pt idx="114">
                        <c:v>7.9303857079873818</c:v>
                      </c:pt>
                      <c:pt idx="115">
                        <c:v>7.9303857079873818</c:v>
                      </c:pt>
                      <c:pt idx="116">
                        <c:v>7.9628664225631045</c:v>
                      </c:pt>
                      <c:pt idx="118">
                        <c:v>7.8845946630139476</c:v>
                      </c:pt>
                      <c:pt idx="119">
                        <c:v>7.8845946630139476</c:v>
                      </c:pt>
                      <c:pt idx="120">
                        <c:v>7.8845946630139476</c:v>
                      </c:pt>
                      <c:pt idx="121">
                        <c:v>7.9392111974511064</c:v>
                      </c:pt>
                      <c:pt idx="123">
                        <c:v>7.6424152295865557</c:v>
                      </c:pt>
                      <c:pt idx="124">
                        <c:v>7.5620668806155376</c:v>
                      </c:pt>
                      <c:pt idx="125">
                        <c:v>7.7402427450092528</c:v>
                      </c:pt>
                      <c:pt idx="128">
                        <c:v>8.2944813832243813</c:v>
                      </c:pt>
                      <c:pt idx="129">
                        <c:v>8.369443901965008</c:v>
                      </c:pt>
                      <c:pt idx="130">
                        <c:v>8.3694439019650115</c:v>
                      </c:pt>
                      <c:pt idx="131">
                        <c:v>8.3694439019650115</c:v>
                      </c:pt>
                      <c:pt idx="132">
                        <c:v>8.406813109737806</c:v>
                      </c:pt>
                      <c:pt idx="133">
                        <c:v>8.2806729971820179</c:v>
                      </c:pt>
                      <c:pt idx="134">
                        <c:v>8.2631690587958797</c:v>
                      </c:pt>
                      <c:pt idx="135">
                        <c:v>8.488559418605794</c:v>
                      </c:pt>
                      <c:pt idx="136">
                        <c:v>8.4960295753296808</c:v>
                      </c:pt>
                      <c:pt idx="137">
                        <c:v>8.5043957758794573</c:v>
                      </c:pt>
                      <c:pt idx="138">
                        <c:v>8.5102151427323438</c:v>
                      </c:pt>
                      <c:pt idx="139">
                        <c:v>8.5102151427323438</c:v>
                      </c:pt>
                      <c:pt idx="142">
                        <c:v>10.97556174297347</c:v>
                      </c:pt>
                      <c:pt idx="143">
                        <c:v>11.041981706916916</c:v>
                      </c:pt>
                      <c:pt idx="144">
                        <c:v>11.131541584091943</c:v>
                      </c:pt>
                      <c:pt idx="145">
                        <c:v>11.180456289075126</c:v>
                      </c:pt>
                      <c:pt idx="146">
                        <c:v>11.180456289075126</c:v>
                      </c:pt>
                      <c:pt idx="147">
                        <c:v>11.180456289075126</c:v>
                      </c:pt>
                      <c:pt idx="148">
                        <c:v>11.164117390613955</c:v>
                      </c:pt>
                      <c:pt idx="150">
                        <c:v>10.218794275709909</c:v>
                      </c:pt>
                      <c:pt idx="151">
                        <c:v>10.42883908526928</c:v>
                      </c:pt>
                      <c:pt idx="152">
                        <c:v>10.42883908526928</c:v>
                      </c:pt>
                      <c:pt idx="153">
                        <c:v>10.42883908526928</c:v>
                      </c:pt>
                      <c:pt idx="154">
                        <c:v>10.428839085269283</c:v>
                      </c:pt>
                      <c:pt idx="155">
                        <c:v>10.66870674449178</c:v>
                      </c:pt>
                      <c:pt idx="156">
                        <c:v>10.66870674449178</c:v>
                      </c:pt>
                      <c:pt idx="157">
                        <c:v>10.692309742072473</c:v>
                      </c:pt>
                      <c:pt idx="158">
                        <c:v>10.692309742072476</c:v>
                      </c:pt>
                      <c:pt idx="159">
                        <c:v>10.820120354423702</c:v>
                      </c:pt>
                      <c:pt idx="160">
                        <c:v>10.820120354423699</c:v>
                      </c:pt>
                      <c:pt idx="161">
                        <c:v>10.820120354423699</c:v>
                      </c:pt>
                      <c:pt idx="162">
                        <c:v>14.436787021090362</c:v>
                      </c:pt>
                      <c:pt idx="163">
                        <c:v>14.436787021090362</c:v>
                      </c:pt>
                      <c:pt idx="164">
                        <c:v>14.436787021090359</c:v>
                      </c:pt>
                      <c:pt idx="165">
                        <c:v>14.436787021090359</c:v>
                      </c:pt>
                      <c:pt idx="166">
                        <c:v>14.43864901043978</c:v>
                      </c:pt>
                      <c:pt idx="167">
                        <c:v>14.438649010439784</c:v>
                      </c:pt>
                      <c:pt idx="168">
                        <c:v>14.438649010439784</c:v>
                      </c:pt>
                      <c:pt idx="169">
                        <c:v>14.486512847396407</c:v>
                      </c:pt>
                      <c:pt idx="170">
                        <c:v>14.395997088602799</c:v>
                      </c:pt>
                      <c:pt idx="171">
                        <c:v>14.354010962279323</c:v>
                      </c:pt>
                      <c:pt idx="172">
                        <c:v>14.35401096227932</c:v>
                      </c:pt>
                      <c:pt idx="173">
                        <c:v>14.289730390439354</c:v>
                      </c:pt>
                      <c:pt idx="174">
                        <c:v>13.94363918522763</c:v>
                      </c:pt>
                      <c:pt idx="175">
                        <c:v>13.94363918522763</c:v>
                      </c:pt>
                      <c:pt idx="176">
                        <c:v>13.865347892687319</c:v>
                      </c:pt>
                      <c:pt idx="177">
                        <c:v>13.756612843756548</c:v>
                      </c:pt>
                      <c:pt idx="178">
                        <c:v>13.756612843756548</c:v>
                      </c:pt>
                      <c:pt idx="179">
                        <c:v>13.756612843756548</c:v>
                      </c:pt>
                      <c:pt idx="180">
                        <c:v>13.756612843756548</c:v>
                      </c:pt>
                      <c:pt idx="181">
                        <c:v>13.756612843756548</c:v>
                      </c:pt>
                      <c:pt idx="182">
                        <c:v>13.98325161642042</c:v>
                      </c:pt>
                      <c:pt idx="184">
                        <c:v>12.803970571550908</c:v>
                      </c:pt>
                      <c:pt idx="185">
                        <c:v>12.996575466252546</c:v>
                      </c:pt>
                      <c:pt idx="186">
                        <c:v>12.996575466252546</c:v>
                      </c:pt>
                      <c:pt idx="187">
                        <c:v>13.002223269257181</c:v>
                      </c:pt>
                      <c:pt idx="189">
                        <c:v>13.600175979921323</c:v>
                      </c:pt>
                      <c:pt idx="191">
                        <c:v>12.804299691261528</c:v>
                      </c:pt>
                      <c:pt idx="192">
                        <c:v>12.804299691261528</c:v>
                      </c:pt>
                      <c:pt idx="193">
                        <c:v>11.126580352897326</c:v>
                      </c:pt>
                      <c:pt idx="194">
                        <c:v>11.126580352897326</c:v>
                      </c:pt>
                      <c:pt idx="195">
                        <c:v>11.126580352897326</c:v>
                      </c:pt>
                      <c:pt idx="196">
                        <c:v>11.126580352897323</c:v>
                      </c:pt>
                      <c:pt idx="197">
                        <c:v>13.300895674881039</c:v>
                      </c:pt>
                      <c:pt idx="201">
                        <c:v>12.737522782660148</c:v>
                      </c:pt>
                      <c:pt idx="202">
                        <c:v>12.737522782660148</c:v>
                      </c:pt>
                      <c:pt idx="203">
                        <c:v>12.544360719689314</c:v>
                      </c:pt>
                      <c:pt idx="205">
                        <c:v>12.46285962529265</c:v>
                      </c:pt>
                      <c:pt idx="206">
                        <c:v>12.173095352444347</c:v>
                      </c:pt>
                      <c:pt idx="207">
                        <c:v>16.593675850137018</c:v>
                      </c:pt>
                      <c:pt idx="208">
                        <c:v>16.959379232893312</c:v>
                      </c:pt>
                      <c:pt idx="209">
                        <c:v>16.959379232893312</c:v>
                      </c:pt>
                      <c:pt idx="210">
                        <c:v>16.959379232893305</c:v>
                      </c:pt>
                      <c:pt idx="211">
                        <c:v>17.07284949983692</c:v>
                      </c:pt>
                      <c:pt idx="212">
                        <c:v>17.106173946651104</c:v>
                      </c:pt>
                      <c:pt idx="213">
                        <c:v>14.917715624933797</c:v>
                      </c:pt>
                      <c:pt idx="214">
                        <c:v>18.009836001685464</c:v>
                      </c:pt>
                      <c:pt idx="215">
                        <c:v>16.504850975717837</c:v>
                      </c:pt>
                      <c:pt idx="217">
                        <c:v>15.734719592956514</c:v>
                      </c:pt>
                      <c:pt idx="218">
                        <c:v>14.928837240015335</c:v>
                      </c:pt>
                      <c:pt idx="219">
                        <c:v>15.186164148811082</c:v>
                      </c:pt>
                      <c:pt idx="220">
                        <c:v>15.352664315311246</c:v>
                      </c:pt>
                      <c:pt idx="221">
                        <c:v>15.240369318967362</c:v>
                      </c:pt>
                      <c:pt idx="222">
                        <c:v>15.154643641136415</c:v>
                      </c:pt>
                      <c:pt idx="223">
                        <c:v>14.303021442355957</c:v>
                      </c:pt>
                      <c:pt idx="224">
                        <c:v>14.303021442355957</c:v>
                      </c:pt>
                      <c:pt idx="225">
                        <c:v>14.398117217386529</c:v>
                      </c:pt>
                      <c:pt idx="226">
                        <c:v>14.398117217386526</c:v>
                      </c:pt>
                      <c:pt idx="227">
                        <c:v>14.398117217386522</c:v>
                      </c:pt>
                      <c:pt idx="228">
                        <c:v>14.304534470259723</c:v>
                      </c:pt>
                      <c:pt idx="229">
                        <c:v>14.304534470259727</c:v>
                      </c:pt>
                      <c:pt idx="230">
                        <c:v>14.331329754289735</c:v>
                      </c:pt>
                      <c:pt idx="235">
                        <c:v>14.414384497409886</c:v>
                      </c:pt>
                      <c:pt idx="236">
                        <c:v>14.606525791246098</c:v>
                      </c:pt>
                      <c:pt idx="237">
                        <c:v>13.50465936444151</c:v>
                      </c:pt>
                      <c:pt idx="239">
                        <c:v>13.285120396274658</c:v>
                      </c:pt>
                      <c:pt idx="240">
                        <c:v>13.285120396274658</c:v>
                      </c:pt>
                      <c:pt idx="241">
                        <c:v>12.962943198816058</c:v>
                      </c:pt>
                      <c:pt idx="242">
                        <c:v>11.387138633947588</c:v>
                      </c:pt>
                      <c:pt idx="243">
                        <c:v>11.387138633947592</c:v>
                      </c:pt>
                      <c:pt idx="244">
                        <c:v>11.423300639733506</c:v>
                      </c:pt>
                      <c:pt idx="245">
                        <c:v>13.444887941320802</c:v>
                      </c:pt>
                      <c:pt idx="247">
                        <c:v>14.344123898718189</c:v>
                      </c:pt>
                      <c:pt idx="248">
                        <c:v>14.344123898718189</c:v>
                      </c:pt>
                      <c:pt idx="249">
                        <c:v>12.487680622003291</c:v>
                      </c:pt>
                      <c:pt idx="250">
                        <c:v>11.40069062970152</c:v>
                      </c:pt>
                      <c:pt idx="251">
                        <c:v>11.799373243672742</c:v>
                      </c:pt>
                      <c:pt idx="253">
                        <c:v>17.716588060406117</c:v>
                      </c:pt>
                      <c:pt idx="254">
                        <c:v>22.475624204984435</c:v>
                      </c:pt>
                      <c:pt idx="257">
                        <c:v>22.463188132369609</c:v>
                      </c:pt>
                      <c:pt idx="258">
                        <c:v>22.463188132369609</c:v>
                      </c:pt>
                      <c:pt idx="259">
                        <c:v>22.493195529541936</c:v>
                      </c:pt>
                      <c:pt idx="260">
                        <c:v>22.474892753886216</c:v>
                      </c:pt>
                      <c:pt idx="261">
                        <c:v>22.474892753886216</c:v>
                      </c:pt>
                      <c:pt idx="262">
                        <c:v>22.474892753886216</c:v>
                      </c:pt>
                      <c:pt idx="263">
                        <c:v>24.582624634654863</c:v>
                      </c:pt>
                      <c:pt idx="265">
                        <c:v>29.858188602285239</c:v>
                      </c:pt>
                      <c:pt idx="266">
                        <c:v>31.07068860228523</c:v>
                      </c:pt>
                      <c:pt idx="267">
                        <c:v>31.07068860228523</c:v>
                      </c:pt>
                      <c:pt idx="268">
                        <c:v>31.07068860228523</c:v>
                      </c:pt>
                      <c:pt idx="269">
                        <c:v>30.999571083346218</c:v>
                      </c:pt>
                      <c:pt idx="270">
                        <c:v>30.999571083346218</c:v>
                      </c:pt>
                      <c:pt idx="271">
                        <c:v>31.019083278468173</c:v>
                      </c:pt>
                      <c:pt idx="272">
                        <c:v>31.019083278468173</c:v>
                      </c:pt>
                      <c:pt idx="273">
                        <c:v>31.019083278468166</c:v>
                      </c:pt>
                      <c:pt idx="274">
                        <c:v>31.019083278468159</c:v>
                      </c:pt>
                      <c:pt idx="275">
                        <c:v>30.839660381157053</c:v>
                      </c:pt>
                      <c:pt idx="276">
                        <c:v>30.842242358952049</c:v>
                      </c:pt>
                      <c:pt idx="277">
                        <c:v>30.842242358952049</c:v>
                      </c:pt>
                      <c:pt idx="278">
                        <c:v>30.842242358952049</c:v>
                      </c:pt>
                      <c:pt idx="279">
                        <c:v>30.83749865452549</c:v>
                      </c:pt>
                      <c:pt idx="280">
                        <c:v>30.887828313793705</c:v>
                      </c:pt>
                      <c:pt idx="281">
                        <c:v>31.043082769798218</c:v>
                      </c:pt>
                      <c:pt idx="282">
                        <c:v>30.951253684340948</c:v>
                      </c:pt>
                      <c:pt idx="283">
                        <c:v>30.955624695792999</c:v>
                      </c:pt>
                      <c:pt idx="284">
                        <c:v>30.851727985466368</c:v>
                      </c:pt>
                      <c:pt idx="285">
                        <c:v>30.791575025081393</c:v>
                      </c:pt>
                      <c:pt idx="286">
                        <c:v>30.746501867880085</c:v>
                      </c:pt>
                      <c:pt idx="287">
                        <c:v>30.746501867880085</c:v>
                      </c:pt>
                      <c:pt idx="288">
                        <c:v>30.746501867880092</c:v>
                      </c:pt>
                      <c:pt idx="289">
                        <c:v>30.746501867880092</c:v>
                      </c:pt>
                      <c:pt idx="290">
                        <c:v>30.746501867880085</c:v>
                      </c:pt>
                      <c:pt idx="291">
                        <c:v>30.746501867880092</c:v>
                      </c:pt>
                      <c:pt idx="292">
                        <c:v>30.746501867880085</c:v>
                      </c:pt>
                      <c:pt idx="293">
                        <c:v>30.637410958789182</c:v>
                      </c:pt>
                      <c:pt idx="294">
                        <c:v>30.637410958789175</c:v>
                      </c:pt>
                      <c:pt idx="295">
                        <c:v>30.688120897937253</c:v>
                      </c:pt>
                      <c:pt idx="296">
                        <c:v>30.794926190942931</c:v>
                      </c:pt>
                      <c:pt idx="297">
                        <c:v>30.794926190942924</c:v>
                      </c:pt>
                      <c:pt idx="298">
                        <c:v>30.794926190942924</c:v>
                      </c:pt>
                      <c:pt idx="299">
                        <c:v>30.396762764585226</c:v>
                      </c:pt>
                      <c:pt idx="300">
                        <c:v>30.396762764585226</c:v>
                      </c:pt>
                      <c:pt idx="301">
                        <c:v>30.620176526872982</c:v>
                      </c:pt>
                      <c:pt idx="302">
                        <c:v>30.620176526872974</c:v>
                      </c:pt>
                      <c:pt idx="303">
                        <c:v>30.620176526872974</c:v>
                      </c:pt>
                      <c:pt idx="304">
                        <c:v>30.620176526872974</c:v>
                      </c:pt>
                      <c:pt idx="305">
                        <c:v>30.620176526872967</c:v>
                      </c:pt>
                      <c:pt idx="306">
                        <c:v>30.61937156832834</c:v>
                      </c:pt>
                      <c:pt idx="307">
                        <c:v>30.706656991662641</c:v>
                      </c:pt>
                      <c:pt idx="308">
                        <c:v>30.823663722836386</c:v>
                      </c:pt>
                      <c:pt idx="309">
                        <c:v>30.807506183530691</c:v>
                      </c:pt>
                      <c:pt idx="310">
                        <c:v>30.790019753000792</c:v>
                      </c:pt>
                      <c:pt idx="311">
                        <c:v>30.90504160715308</c:v>
                      </c:pt>
                      <c:pt idx="312">
                        <c:v>30.90504160715308</c:v>
                      </c:pt>
                      <c:pt idx="313">
                        <c:v>30.90504160715308</c:v>
                      </c:pt>
                      <c:pt idx="314">
                        <c:v>31.101065987685402</c:v>
                      </c:pt>
                      <c:pt idx="316">
                        <c:v>27.044551983299982</c:v>
                      </c:pt>
                      <c:pt idx="317">
                        <c:v>26.96659750871315</c:v>
                      </c:pt>
                      <c:pt idx="318">
                        <c:v>27.028496804186616</c:v>
                      </c:pt>
                      <c:pt idx="319">
                        <c:v>27.028496804186624</c:v>
                      </c:pt>
                      <c:pt idx="320">
                        <c:v>27.050358214661195</c:v>
                      </c:pt>
                      <c:pt idx="321">
                        <c:v>27.035886696418032</c:v>
                      </c:pt>
                      <c:pt idx="322">
                        <c:v>27.035886696418032</c:v>
                      </c:pt>
                      <c:pt idx="323">
                        <c:v>27.035886696418032</c:v>
                      </c:pt>
                      <c:pt idx="325">
                        <c:v>27.457251165307198</c:v>
                      </c:pt>
                      <c:pt idx="326">
                        <c:v>27.498668387341162</c:v>
                      </c:pt>
                      <c:pt idx="328">
                        <c:v>26.64324821275379</c:v>
                      </c:pt>
                      <c:pt idx="329">
                        <c:v>26.210491887853657</c:v>
                      </c:pt>
                      <c:pt idx="330">
                        <c:v>26.210491887853649</c:v>
                      </c:pt>
                      <c:pt idx="331">
                        <c:v>26.210491887853649</c:v>
                      </c:pt>
                      <c:pt idx="332">
                        <c:v>26.343379866878905</c:v>
                      </c:pt>
                      <c:pt idx="333">
                        <c:v>26.343379866878898</c:v>
                      </c:pt>
                      <c:pt idx="334">
                        <c:v>26.343379866878898</c:v>
                      </c:pt>
                      <c:pt idx="335">
                        <c:v>26.655747110800235</c:v>
                      </c:pt>
                      <c:pt idx="336">
                        <c:v>26.628734685084396</c:v>
                      </c:pt>
                      <c:pt idx="337">
                        <c:v>26.640939413862043</c:v>
                      </c:pt>
                      <c:pt idx="338">
                        <c:v>26.640939413862043</c:v>
                      </c:pt>
                      <c:pt idx="339">
                        <c:v>26.640939413862043</c:v>
                      </c:pt>
                      <c:pt idx="340">
                        <c:v>26.919869466787233</c:v>
                      </c:pt>
                      <c:pt idx="341">
                        <c:v>26.919869466787233</c:v>
                      </c:pt>
                      <c:pt idx="342">
                        <c:v>27.01302890250723</c:v>
                      </c:pt>
                      <c:pt idx="343">
                        <c:v>27.038760746420891</c:v>
                      </c:pt>
                      <c:pt idx="344">
                        <c:v>27.407354966863515</c:v>
                      </c:pt>
                      <c:pt idx="346">
                        <c:v>27.208492460400485</c:v>
                      </c:pt>
                      <c:pt idx="347">
                        <c:v>27.683097983082931</c:v>
                      </c:pt>
                      <c:pt idx="348">
                        <c:v>27.849764649749602</c:v>
                      </c:pt>
                      <c:pt idx="349">
                        <c:v>27.803798826690986</c:v>
                      </c:pt>
                      <c:pt idx="350">
                        <c:v>27.768542416434578</c:v>
                      </c:pt>
                      <c:pt idx="351">
                        <c:v>27.914626117830359</c:v>
                      </c:pt>
                      <c:pt idx="352">
                        <c:v>27.914626117830359</c:v>
                      </c:pt>
                      <c:pt idx="353">
                        <c:v>28.043548465137953</c:v>
                      </c:pt>
                      <c:pt idx="354">
                        <c:v>28.043548465137953</c:v>
                      </c:pt>
                      <c:pt idx="355">
                        <c:v>28.043548465137945</c:v>
                      </c:pt>
                      <c:pt idx="356">
                        <c:v>27.925105148725088</c:v>
                      </c:pt>
                      <c:pt idx="357">
                        <c:v>27.955090973607867</c:v>
                      </c:pt>
                      <c:pt idx="358">
                        <c:v>27.706682341407898</c:v>
                      </c:pt>
                      <c:pt idx="359">
                        <c:v>27.706682341407898</c:v>
                      </c:pt>
                      <c:pt idx="360">
                        <c:v>27.706682341407898</c:v>
                      </c:pt>
                      <c:pt idx="361">
                        <c:v>28.387596347324461</c:v>
                      </c:pt>
                      <c:pt idx="362">
                        <c:v>28.403280161628089</c:v>
                      </c:pt>
                      <c:pt idx="364">
                        <c:v>28.505696000520814</c:v>
                      </c:pt>
                      <c:pt idx="365">
                        <c:v>28.505696000520814</c:v>
                      </c:pt>
                      <c:pt idx="366">
                        <c:v>28.505696000520814</c:v>
                      </c:pt>
                      <c:pt idx="367">
                        <c:v>28.505696000520814</c:v>
                      </c:pt>
                      <c:pt idx="368">
                        <c:v>28.505696000520814</c:v>
                      </c:pt>
                      <c:pt idx="369">
                        <c:v>28.505696000520814</c:v>
                      </c:pt>
                      <c:pt idx="370">
                        <c:v>28.544689625910749</c:v>
                      </c:pt>
                      <c:pt idx="371">
                        <c:v>28.58770654589928</c:v>
                      </c:pt>
                      <c:pt idx="372">
                        <c:v>28.328806869523874</c:v>
                      </c:pt>
                      <c:pt idx="373">
                        <c:v>28.328806869523874</c:v>
                      </c:pt>
                      <c:pt idx="374">
                        <c:v>28.323993689662224</c:v>
                      </c:pt>
                      <c:pt idx="375">
                        <c:v>28.576642426418537</c:v>
                      </c:pt>
                      <c:pt idx="376">
                        <c:v>28.624707795320248</c:v>
                      </c:pt>
                      <c:pt idx="377">
                        <c:v>28.624707795320241</c:v>
                      </c:pt>
                      <c:pt idx="378">
                        <c:v>28.624707795320241</c:v>
                      </c:pt>
                      <c:pt idx="379">
                        <c:v>28.624707795320234</c:v>
                      </c:pt>
                      <c:pt idx="380">
                        <c:v>28.624707795320234</c:v>
                      </c:pt>
                      <c:pt idx="381">
                        <c:v>28.656933074812564</c:v>
                      </c:pt>
                      <c:pt idx="382">
                        <c:v>28.620774555865495</c:v>
                      </c:pt>
                      <c:pt idx="383">
                        <c:v>28.620774555865502</c:v>
                      </c:pt>
                      <c:pt idx="384">
                        <c:v>28.58925665369707</c:v>
                      </c:pt>
                      <c:pt idx="385">
                        <c:v>29.408375378504694</c:v>
                      </c:pt>
                      <c:pt idx="386">
                        <c:v>29.408375378504694</c:v>
                      </c:pt>
                      <c:pt idx="387">
                        <c:v>29.535359505488827</c:v>
                      </c:pt>
                      <c:pt idx="388">
                        <c:v>29.16112815614435</c:v>
                      </c:pt>
                      <c:pt idx="389">
                        <c:v>29.161128156144358</c:v>
                      </c:pt>
                      <c:pt idx="390">
                        <c:v>29.23222772645564</c:v>
                      </c:pt>
                      <c:pt idx="391">
                        <c:v>29.23222772645564</c:v>
                      </c:pt>
                      <c:pt idx="392">
                        <c:v>29.10646054665888</c:v>
                      </c:pt>
                      <c:pt idx="393">
                        <c:v>29.046544006874299</c:v>
                      </c:pt>
                      <c:pt idx="396">
                        <c:v>28.443768747190077</c:v>
                      </c:pt>
                      <c:pt idx="397">
                        <c:v>28.443768747190077</c:v>
                      </c:pt>
                      <c:pt idx="399">
                        <c:v>27.666597072079611</c:v>
                      </c:pt>
                      <c:pt idx="401">
                        <c:v>26.310206355787258</c:v>
                      </c:pt>
                      <c:pt idx="402">
                        <c:v>25.880980342758662</c:v>
                      </c:pt>
                      <c:pt idx="403">
                        <c:v>25.880980342758662</c:v>
                      </c:pt>
                      <c:pt idx="404">
                        <c:v>25.952745772326018</c:v>
                      </c:pt>
                      <c:pt idx="405">
                        <c:v>25.952745772326018</c:v>
                      </c:pt>
                      <c:pt idx="406">
                        <c:v>25.952745772326026</c:v>
                      </c:pt>
                      <c:pt idx="409">
                        <c:v>29.443069002554502</c:v>
                      </c:pt>
                      <c:pt idx="410">
                        <c:v>29.443069002554502</c:v>
                      </c:pt>
                      <c:pt idx="411">
                        <c:v>30.088011297191301</c:v>
                      </c:pt>
                      <c:pt idx="412">
                        <c:v>30.118553419868832</c:v>
                      </c:pt>
                      <c:pt idx="413">
                        <c:v>30.193684899958996</c:v>
                      </c:pt>
                      <c:pt idx="414">
                        <c:v>30.316776972829501</c:v>
                      </c:pt>
                      <c:pt idx="415">
                        <c:v>30.316776972829501</c:v>
                      </c:pt>
                      <c:pt idx="416">
                        <c:v>30.316776972829501</c:v>
                      </c:pt>
                      <c:pt idx="417">
                        <c:v>30.907126048804855</c:v>
                      </c:pt>
                      <c:pt idx="418">
                        <c:v>32.426583650736688</c:v>
                      </c:pt>
                      <c:pt idx="419">
                        <c:v>32.429018826361556</c:v>
                      </c:pt>
                      <c:pt idx="420">
                        <c:v>32.71669514410469</c:v>
                      </c:pt>
                      <c:pt idx="421">
                        <c:v>32.76432465974915</c:v>
                      </c:pt>
                      <c:pt idx="422">
                        <c:v>33.283908992283131</c:v>
                      </c:pt>
                      <c:pt idx="423">
                        <c:v>33.244703848568278</c:v>
                      </c:pt>
                      <c:pt idx="424">
                        <c:v>33.244703848568278</c:v>
                      </c:pt>
                      <c:pt idx="425">
                        <c:v>33.244703848568278</c:v>
                      </c:pt>
                      <c:pt idx="426">
                        <c:v>33.404820296894336</c:v>
                      </c:pt>
                      <c:pt idx="427">
                        <c:v>33.364540619131759</c:v>
                      </c:pt>
                      <c:pt idx="428">
                        <c:v>33.390447354883065</c:v>
                      </c:pt>
                      <c:pt idx="429">
                        <c:v>33.531332111152437</c:v>
                      </c:pt>
                      <c:pt idx="430">
                        <c:v>33.475665221818218</c:v>
                      </c:pt>
                      <c:pt idx="431">
                        <c:v>33.319484945156006</c:v>
                      </c:pt>
                      <c:pt idx="432">
                        <c:v>33.319484945156006</c:v>
                      </c:pt>
                      <c:pt idx="434">
                        <c:v>31.048887232105351</c:v>
                      </c:pt>
                      <c:pt idx="435">
                        <c:v>30.44562832256139</c:v>
                      </c:pt>
                      <c:pt idx="436">
                        <c:v>30.639111799072502</c:v>
                      </c:pt>
                      <c:pt idx="437">
                        <c:v>30.389263222452271</c:v>
                      </c:pt>
                      <c:pt idx="438">
                        <c:v>30.434762891545589</c:v>
                      </c:pt>
                      <c:pt idx="439">
                        <c:v>29.115976483778603</c:v>
                      </c:pt>
                      <c:pt idx="440">
                        <c:v>29.617998200193114</c:v>
                      </c:pt>
                      <c:pt idx="441">
                        <c:v>29.606893566784827</c:v>
                      </c:pt>
                      <c:pt idx="442">
                        <c:v>29.606893566784819</c:v>
                      </c:pt>
                    </c:numCache>
                  </c:numRef>
                </c:val>
                <c:smooth val="0"/>
                <c:extLst xmlns:c15="http://schemas.microsoft.com/office/drawing/2012/chart">
                  <c:ext xmlns:c16="http://schemas.microsoft.com/office/drawing/2014/chart" uri="{C3380CC4-5D6E-409C-BE32-E72D297353CC}">
                    <c16:uniqueId val="{00000000-521F-4567-890B-C303C393BA61}"/>
                  </c:ext>
                </c:extLst>
              </c15:ser>
            </c15:filteredLineSeries>
          </c:ext>
        </c:extLst>
      </c:lineChart>
      <c:catAx>
        <c:axId val="147683023"/>
        <c:scaling>
          <c:orientation val="minMax"/>
        </c:scaling>
        <c:delete val="1"/>
        <c:axPos val="b"/>
        <c:majorGridlines>
          <c:spPr>
            <a:ln w="9525" cap="flat" cmpd="sng" algn="ctr">
              <a:noFill/>
              <a:prstDash val="dash"/>
              <a:round/>
            </a:ln>
            <a:effectLst/>
          </c:spPr>
        </c:majorGridlines>
        <c:majorTickMark val="none"/>
        <c:minorTickMark val="none"/>
        <c:tickLblPos val="low"/>
        <c:crossAx val="146645279"/>
        <c:crosses val="autoZero"/>
        <c:auto val="1"/>
        <c:lblAlgn val="ctr"/>
        <c:lblOffset val="100"/>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midCat"/>
      </c:valAx>
      <c:spPr>
        <a:gradFill>
          <a:gsLst>
            <a:gs pos="0">
              <a:srgbClr val="00FF00"/>
            </a:gs>
            <a:gs pos="55000">
              <a:srgbClr val="69FF69"/>
            </a:gs>
            <a:gs pos="100000">
              <a:schemeClr val="bg1"/>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Downtrend Management Options</a:t>
            </a:r>
          </a:p>
        </c:rich>
      </c:tx>
      <c:layout>
        <c:manualLayout>
          <c:xMode val="edge"/>
          <c:yMode val="edge"/>
          <c:x val="0.17809180423288978"/>
          <c:y val="1.205253261252791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1"/>
          <c:order val="0"/>
          <c:tx>
            <c:v>Dwn</c:v>
          </c:tx>
          <c:spPr>
            <a:ln w="19050" cap="rnd">
              <a:solidFill>
                <a:schemeClr val="accent2"/>
              </a:solidFill>
              <a:prstDash val="solid"/>
              <a:round/>
            </a:ln>
            <a:effectLst/>
          </c:spPr>
          <c:marker>
            <c:symbol val="none"/>
          </c:marker>
          <c:val>
            <c:numRef>
              <c:f>'2025-Q1'!$W$4:$W$448</c:f>
              <c:numCache>
                <c:formatCode>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1.6298785597808298</c:v>
                </c:pt>
                <c:pt idx="10">
                  <c:v>1.6298785597808298</c:v>
                </c:pt>
                <c:pt idx="11">
                  <c:v>1.6298785597808298</c:v>
                </c:pt>
                <c:pt idx="12">
                  <c:v>1.6298785597808298</c:v>
                </c:pt>
                <c:pt idx="13">
                  <c:v>1.6298785597808298</c:v>
                </c:pt>
                <c:pt idx="14">
                  <c:v>1.6298785597808298</c:v>
                </c:pt>
                <c:pt idx="15">
                  <c:v>1.6298785597808298</c:v>
                </c:pt>
                <c:pt idx="16">
                  <c:v>1.6298785597808298</c:v>
                </c:pt>
                <c:pt idx="17">
                  <c:v>1.1999280446514409</c:v>
                </c:pt>
                <c:pt idx="18">
                  <c:v>0.85219499663753107</c:v>
                </c:pt>
                <c:pt idx="19">
                  <c:v>0.85219499663753107</c:v>
                </c:pt>
                <c:pt idx="20">
                  <c:v>0.85219499663753107</c:v>
                </c:pt>
                <c:pt idx="21">
                  <c:v>0.85219499663753107</c:v>
                </c:pt>
                <c:pt idx="22">
                  <c:v>0.85219499663753107</c:v>
                </c:pt>
                <c:pt idx="23">
                  <c:v>0.85219499663753107</c:v>
                </c:pt>
                <c:pt idx="24">
                  <c:v>0.85219499663753107</c:v>
                </c:pt>
                <c:pt idx="25">
                  <c:v>0.37245687721095755</c:v>
                </c:pt>
                <c:pt idx="26">
                  <c:v>0.37245687721095755</c:v>
                </c:pt>
                <c:pt idx="27">
                  <c:v>0.37245687721095755</c:v>
                </c:pt>
                <c:pt idx="28">
                  <c:v>0.37245687721095755</c:v>
                </c:pt>
                <c:pt idx="29">
                  <c:v>0.37245687721095755</c:v>
                </c:pt>
                <c:pt idx="30">
                  <c:v>0.37245687721095755</c:v>
                </c:pt>
                <c:pt idx="31">
                  <c:v>0.37245687721095755</c:v>
                </c:pt>
                <c:pt idx="32">
                  <c:v>0.37245687721095755</c:v>
                </c:pt>
                <c:pt idx="33">
                  <c:v>0.83932604134640565</c:v>
                </c:pt>
                <c:pt idx="34">
                  <c:v>0.83932604134640565</c:v>
                </c:pt>
                <c:pt idx="35">
                  <c:v>0.83932604134640565</c:v>
                </c:pt>
                <c:pt idx="36">
                  <c:v>0.83932604134640565</c:v>
                </c:pt>
                <c:pt idx="37">
                  <c:v>0.83932604134640565</c:v>
                </c:pt>
                <c:pt idx="38">
                  <c:v>0.83932604134640565</c:v>
                </c:pt>
                <c:pt idx="39">
                  <c:v>1.1384568687535646</c:v>
                </c:pt>
                <c:pt idx="40">
                  <c:v>1.1384568687535646</c:v>
                </c:pt>
                <c:pt idx="41">
                  <c:v>1.1384568687535646</c:v>
                </c:pt>
                <c:pt idx="42">
                  <c:v>1.1384568687535646</c:v>
                </c:pt>
                <c:pt idx="43">
                  <c:v>1.1384568687535646</c:v>
                </c:pt>
                <c:pt idx="44">
                  <c:v>1.1384568687535646</c:v>
                </c:pt>
                <c:pt idx="45">
                  <c:v>1.1384568687535646</c:v>
                </c:pt>
                <c:pt idx="46">
                  <c:v>1.1384568687535646</c:v>
                </c:pt>
                <c:pt idx="47">
                  <c:v>1.1384568687535646</c:v>
                </c:pt>
                <c:pt idx="48">
                  <c:v>1.5562960433080137</c:v>
                </c:pt>
                <c:pt idx="49">
                  <c:v>1.5562960433080137</c:v>
                </c:pt>
                <c:pt idx="50">
                  <c:v>1.5562960433080137</c:v>
                </c:pt>
                <c:pt idx="51">
                  <c:v>1.5562960433080137</c:v>
                </c:pt>
                <c:pt idx="52">
                  <c:v>1.5562960433080137</c:v>
                </c:pt>
                <c:pt idx="53">
                  <c:v>1.5562960433080137</c:v>
                </c:pt>
                <c:pt idx="54">
                  <c:v>1.5562960433080137</c:v>
                </c:pt>
                <c:pt idx="55">
                  <c:v>1.1606860382033679</c:v>
                </c:pt>
                <c:pt idx="56">
                  <c:v>1.1606860382033679</c:v>
                </c:pt>
                <c:pt idx="57">
                  <c:v>1.1606860382033679</c:v>
                </c:pt>
                <c:pt idx="58">
                  <c:v>1.1606860382033679</c:v>
                </c:pt>
                <c:pt idx="59">
                  <c:v>1.1606860382033679</c:v>
                </c:pt>
                <c:pt idx="60">
                  <c:v>1.1606860382033679</c:v>
                </c:pt>
                <c:pt idx="61">
                  <c:v>1.1606860382033679</c:v>
                </c:pt>
                <c:pt idx="62">
                  <c:v>2.1530292122456034</c:v>
                </c:pt>
                <c:pt idx="63">
                  <c:v>2.1530292122456034</c:v>
                </c:pt>
                <c:pt idx="64">
                  <c:v>2.1530292122456034</c:v>
                </c:pt>
                <c:pt idx="65">
                  <c:v>2.1530292122456034</c:v>
                </c:pt>
                <c:pt idx="66">
                  <c:v>2.1530292122456034</c:v>
                </c:pt>
                <c:pt idx="67">
                  <c:v>2.1289316042502735</c:v>
                </c:pt>
                <c:pt idx="68">
                  <c:v>2.1289316042502735</c:v>
                </c:pt>
                <c:pt idx="69">
                  <c:v>2.1289316042502735</c:v>
                </c:pt>
                <c:pt idx="70">
                  <c:v>2.1289316042502735</c:v>
                </c:pt>
                <c:pt idx="71">
                  <c:v>2.1289316042502735</c:v>
                </c:pt>
                <c:pt idx="72">
                  <c:v>2.3897021628869206</c:v>
                </c:pt>
                <c:pt idx="73">
                  <c:v>2.3897021628869206</c:v>
                </c:pt>
                <c:pt idx="74">
                  <c:v>2.3897021628869206</c:v>
                </c:pt>
                <c:pt idx="75">
                  <c:v>2.3897021628869206</c:v>
                </c:pt>
                <c:pt idx="76">
                  <c:v>2.3897021628869206</c:v>
                </c:pt>
                <c:pt idx="77">
                  <c:v>2.3897021628869206</c:v>
                </c:pt>
                <c:pt idx="78">
                  <c:v>2.3897021628869206</c:v>
                </c:pt>
                <c:pt idx="79">
                  <c:v>2.3897021628869206</c:v>
                </c:pt>
                <c:pt idx="80">
                  <c:v>2.9451096097899687</c:v>
                </c:pt>
                <c:pt idx="81">
                  <c:v>2.9451096097899687</c:v>
                </c:pt>
                <c:pt idx="82">
                  <c:v>2.9451096097899687</c:v>
                </c:pt>
                <c:pt idx="83">
                  <c:v>2.9451096097899687</c:v>
                </c:pt>
                <c:pt idx="84">
                  <c:v>2.9451096097899687</c:v>
                </c:pt>
                <c:pt idx="85">
                  <c:v>2.9451096097899687</c:v>
                </c:pt>
                <c:pt idx="86">
                  <c:v>2.9451096097899687</c:v>
                </c:pt>
                <c:pt idx="87">
                  <c:v>2.9451096097899687</c:v>
                </c:pt>
                <c:pt idx="88">
                  <c:v>2.9451096097899687</c:v>
                </c:pt>
                <c:pt idx="89">
                  <c:v>2.9451096097899687</c:v>
                </c:pt>
                <c:pt idx="90">
                  <c:v>2.9451096097899687</c:v>
                </c:pt>
                <c:pt idx="91">
                  <c:v>2.9451096097899687</c:v>
                </c:pt>
                <c:pt idx="92">
                  <c:v>2.9451096097899687</c:v>
                </c:pt>
                <c:pt idx="93">
                  <c:v>2.9451096097899687</c:v>
                </c:pt>
                <c:pt idx="94">
                  <c:v>1.3832092337058488</c:v>
                </c:pt>
                <c:pt idx="95">
                  <c:v>1.3832092337058488</c:v>
                </c:pt>
                <c:pt idx="96">
                  <c:v>1.3832092337058488</c:v>
                </c:pt>
                <c:pt idx="97">
                  <c:v>1.3832092337058488</c:v>
                </c:pt>
                <c:pt idx="98">
                  <c:v>1.3832092337058488</c:v>
                </c:pt>
                <c:pt idx="99">
                  <c:v>1.3832092337058488</c:v>
                </c:pt>
                <c:pt idx="100">
                  <c:v>1.3832092337058488</c:v>
                </c:pt>
                <c:pt idx="101">
                  <c:v>1.3832092337058488</c:v>
                </c:pt>
                <c:pt idx="102">
                  <c:v>1.3832092337058488</c:v>
                </c:pt>
                <c:pt idx="103">
                  <c:v>1.3832092337058488</c:v>
                </c:pt>
                <c:pt idx="104">
                  <c:v>2.6947724028707301</c:v>
                </c:pt>
                <c:pt idx="105">
                  <c:v>2.6947724028707301</c:v>
                </c:pt>
                <c:pt idx="106">
                  <c:v>2.6947724028707301</c:v>
                </c:pt>
                <c:pt idx="107">
                  <c:v>2.6947724028707301</c:v>
                </c:pt>
                <c:pt idx="108">
                  <c:v>2.6947724028707301</c:v>
                </c:pt>
                <c:pt idx="109">
                  <c:v>2.6947724028707301</c:v>
                </c:pt>
                <c:pt idx="110">
                  <c:v>4.2503865709935527</c:v>
                </c:pt>
                <c:pt idx="111">
                  <c:v>4.2503865709935527</c:v>
                </c:pt>
                <c:pt idx="112">
                  <c:v>4.5805772093621204</c:v>
                </c:pt>
                <c:pt idx="113">
                  <c:v>4.5805772093621204</c:v>
                </c:pt>
                <c:pt idx="114">
                  <c:v>4.9383659960256407</c:v>
                </c:pt>
                <c:pt idx="115">
                  <c:v>4.9383659960256407</c:v>
                </c:pt>
                <c:pt idx="116">
                  <c:v>5.6407614487256001</c:v>
                </c:pt>
                <c:pt idx="117">
                  <c:v>5.6407614487256001</c:v>
                </c:pt>
                <c:pt idx="118">
                  <c:v>5.6407614487256001</c:v>
                </c:pt>
                <c:pt idx="119">
                  <c:v>5.6407614487256001</c:v>
                </c:pt>
                <c:pt idx="120">
                  <c:v>5.1407171970219094</c:v>
                </c:pt>
                <c:pt idx="121">
                  <c:v>5.1407171970219094</c:v>
                </c:pt>
                <c:pt idx="122">
                  <c:v>5.1407171970219094</c:v>
                </c:pt>
                <c:pt idx="123">
                  <c:v>5.1407171970219094</c:v>
                </c:pt>
                <c:pt idx="124">
                  <c:v>5.6478621523551391</c:v>
                </c:pt>
                <c:pt idx="125">
                  <c:v>6.3003710611483559</c:v>
                </c:pt>
                <c:pt idx="126">
                  <c:v>6.3003710611483559</c:v>
                </c:pt>
                <c:pt idx="127">
                  <c:v>6.3003710611483559</c:v>
                </c:pt>
                <c:pt idx="128">
                  <c:v>6.3003710611483559</c:v>
                </c:pt>
                <c:pt idx="129">
                  <c:v>6.3003710611483559</c:v>
                </c:pt>
                <c:pt idx="130">
                  <c:v>6.3003710611483559</c:v>
                </c:pt>
                <c:pt idx="131">
                  <c:v>6.3003710611483559</c:v>
                </c:pt>
                <c:pt idx="132">
                  <c:v>6.3003710611483559</c:v>
                </c:pt>
                <c:pt idx="133">
                  <c:v>6.3003710611483559</c:v>
                </c:pt>
                <c:pt idx="134">
                  <c:v>6.3003710611483559</c:v>
                </c:pt>
                <c:pt idx="135">
                  <c:v>7.3526453313452329</c:v>
                </c:pt>
                <c:pt idx="136">
                  <c:v>7.3526453313452329</c:v>
                </c:pt>
                <c:pt idx="137">
                  <c:v>7.3526453313452329</c:v>
                </c:pt>
                <c:pt idx="138">
                  <c:v>7.3177291302279155</c:v>
                </c:pt>
                <c:pt idx="139">
                  <c:v>5.8321710567773195</c:v>
                </c:pt>
                <c:pt idx="140">
                  <c:v>5.8321710567773195</c:v>
                </c:pt>
                <c:pt idx="141">
                  <c:v>5.8321710567773195</c:v>
                </c:pt>
                <c:pt idx="142">
                  <c:v>5.6831034896208585</c:v>
                </c:pt>
                <c:pt idx="143">
                  <c:v>4.5776855182763283</c:v>
                </c:pt>
                <c:pt idx="144">
                  <c:v>4.5776855182763283</c:v>
                </c:pt>
                <c:pt idx="145">
                  <c:v>4.5776855182763283</c:v>
                </c:pt>
                <c:pt idx="146">
                  <c:v>4.5776855182763283</c:v>
                </c:pt>
                <c:pt idx="147">
                  <c:v>5.578895772429699</c:v>
                </c:pt>
                <c:pt idx="148">
                  <c:v>4.3841757122233336</c:v>
                </c:pt>
                <c:pt idx="149">
                  <c:v>4.3841757122233336</c:v>
                </c:pt>
                <c:pt idx="150">
                  <c:v>4.505548326148082</c:v>
                </c:pt>
                <c:pt idx="151">
                  <c:v>4.505548326148082</c:v>
                </c:pt>
                <c:pt idx="152">
                  <c:v>4.1289499726711156</c:v>
                </c:pt>
                <c:pt idx="153">
                  <c:v>4.1289499726711156</c:v>
                </c:pt>
                <c:pt idx="154">
                  <c:v>4.1289499726711156</c:v>
                </c:pt>
                <c:pt idx="155">
                  <c:v>3.5913155640689651</c:v>
                </c:pt>
                <c:pt idx="156">
                  <c:v>3.5913155640689651</c:v>
                </c:pt>
                <c:pt idx="157">
                  <c:v>3.3169307171934124</c:v>
                </c:pt>
                <c:pt idx="158">
                  <c:v>3.3169307171934124</c:v>
                </c:pt>
                <c:pt idx="159">
                  <c:v>3.0637517334912996</c:v>
                </c:pt>
                <c:pt idx="160">
                  <c:v>3.0637517334912996</c:v>
                </c:pt>
                <c:pt idx="161">
                  <c:v>3.0637517334912996</c:v>
                </c:pt>
                <c:pt idx="162">
                  <c:v>4.8970850668246309</c:v>
                </c:pt>
                <c:pt idx="163">
                  <c:v>5.3595858986606633</c:v>
                </c:pt>
                <c:pt idx="164">
                  <c:v>5.3595858986606633</c:v>
                </c:pt>
                <c:pt idx="165">
                  <c:v>5.3595858986606633</c:v>
                </c:pt>
                <c:pt idx="166">
                  <c:v>5.3595858986606633</c:v>
                </c:pt>
                <c:pt idx="167">
                  <c:v>5.7807200867589366</c:v>
                </c:pt>
                <c:pt idx="168">
                  <c:v>5.7784525130627893</c:v>
                </c:pt>
                <c:pt idx="169">
                  <c:v>5.7784525130627893</c:v>
                </c:pt>
                <c:pt idx="170">
                  <c:v>5.7784525130627893</c:v>
                </c:pt>
                <c:pt idx="171">
                  <c:v>5.7784525130627893</c:v>
                </c:pt>
                <c:pt idx="172">
                  <c:v>5.7784525130627893</c:v>
                </c:pt>
                <c:pt idx="173">
                  <c:v>5.7784525130627893</c:v>
                </c:pt>
                <c:pt idx="174">
                  <c:v>5.7784525130627893</c:v>
                </c:pt>
                <c:pt idx="175">
                  <c:v>6.2849165940970435</c:v>
                </c:pt>
                <c:pt idx="176">
                  <c:v>6.2849165940970435</c:v>
                </c:pt>
                <c:pt idx="177">
                  <c:v>7.5474513289043399</c:v>
                </c:pt>
                <c:pt idx="178">
                  <c:v>7.5474513289043399</c:v>
                </c:pt>
                <c:pt idx="179">
                  <c:v>8.6250375358008906</c:v>
                </c:pt>
                <c:pt idx="180">
                  <c:v>8.6250375358008906</c:v>
                </c:pt>
                <c:pt idx="181">
                  <c:v>8.6250375358008906</c:v>
                </c:pt>
                <c:pt idx="182">
                  <c:v>8.0148562247827595</c:v>
                </c:pt>
                <c:pt idx="183">
                  <c:v>8.0148562247827595</c:v>
                </c:pt>
                <c:pt idx="184">
                  <c:v>9.6731546906126074</c:v>
                </c:pt>
                <c:pt idx="185">
                  <c:v>9.6731546906126074</c:v>
                </c:pt>
                <c:pt idx="186">
                  <c:v>10.228512257730687</c:v>
                </c:pt>
                <c:pt idx="187">
                  <c:v>10.228512257730687</c:v>
                </c:pt>
                <c:pt idx="188">
                  <c:v>11.705368458574288</c:v>
                </c:pt>
                <c:pt idx="189">
                  <c:v>11.705368458574288</c:v>
                </c:pt>
                <c:pt idx="190">
                  <c:v>10.909492169914495</c:v>
                </c:pt>
                <c:pt idx="191">
                  <c:v>10.957356433465034</c:v>
                </c:pt>
                <c:pt idx="192">
                  <c:v>10.913244427327712</c:v>
                </c:pt>
                <c:pt idx="193">
                  <c:v>10.913244427327712</c:v>
                </c:pt>
                <c:pt idx="194">
                  <c:v>10.913244427327712</c:v>
                </c:pt>
                <c:pt idx="195">
                  <c:v>10.347206691478656</c:v>
                </c:pt>
                <c:pt idx="196">
                  <c:v>10.347206691478656</c:v>
                </c:pt>
                <c:pt idx="197">
                  <c:v>15.935659689258078</c:v>
                </c:pt>
                <c:pt idx="198">
                  <c:v>16.021866585809803</c:v>
                </c:pt>
                <c:pt idx="199">
                  <c:v>17.31349767035293</c:v>
                </c:pt>
                <c:pt idx="200">
                  <c:v>17.31349767035293</c:v>
                </c:pt>
                <c:pt idx="201">
                  <c:v>17.31349767035293</c:v>
                </c:pt>
                <c:pt idx="202">
                  <c:v>17.31349767035293</c:v>
                </c:pt>
                <c:pt idx="203">
                  <c:v>17.31349767035293</c:v>
                </c:pt>
                <c:pt idx="204">
                  <c:v>17.31349767035293</c:v>
                </c:pt>
                <c:pt idx="205">
                  <c:v>17.31349767035293</c:v>
                </c:pt>
                <c:pt idx="206">
                  <c:v>17.31349767035293</c:v>
                </c:pt>
                <c:pt idx="207">
                  <c:v>17.31349767035293</c:v>
                </c:pt>
                <c:pt idx="208">
                  <c:v>17.31349767035293</c:v>
                </c:pt>
                <c:pt idx="209">
                  <c:v>17.31349767035293</c:v>
                </c:pt>
                <c:pt idx="210">
                  <c:v>17.31349767035293</c:v>
                </c:pt>
                <c:pt idx="211">
                  <c:v>18.017397970376006</c:v>
                </c:pt>
                <c:pt idx="212">
                  <c:v>18.852730770518189</c:v>
                </c:pt>
                <c:pt idx="213">
                  <c:v>18.852730770518189</c:v>
                </c:pt>
                <c:pt idx="214">
                  <c:v>18.852730770518189</c:v>
                </c:pt>
                <c:pt idx="215">
                  <c:v>18.852730770518189</c:v>
                </c:pt>
                <c:pt idx="216">
                  <c:v>18.852730770518189</c:v>
                </c:pt>
                <c:pt idx="217">
                  <c:v>18.852730770518189</c:v>
                </c:pt>
                <c:pt idx="218">
                  <c:v>18.852730770518189</c:v>
                </c:pt>
                <c:pt idx="219">
                  <c:v>18.852730770518189</c:v>
                </c:pt>
                <c:pt idx="220">
                  <c:v>19.718531636319053</c:v>
                </c:pt>
                <c:pt idx="221">
                  <c:v>19.718531636319053</c:v>
                </c:pt>
                <c:pt idx="222">
                  <c:v>19.718531636319053</c:v>
                </c:pt>
                <c:pt idx="223">
                  <c:v>19.718531636319053</c:v>
                </c:pt>
                <c:pt idx="224">
                  <c:v>19.718531636319053</c:v>
                </c:pt>
                <c:pt idx="225">
                  <c:v>19.718531636319053</c:v>
                </c:pt>
                <c:pt idx="226">
                  <c:v>20.817432735220152</c:v>
                </c:pt>
                <c:pt idx="227">
                  <c:v>20.817432735220152</c:v>
                </c:pt>
                <c:pt idx="228">
                  <c:v>22.390464080182984</c:v>
                </c:pt>
                <c:pt idx="229">
                  <c:v>21.535407692680671</c:v>
                </c:pt>
                <c:pt idx="230">
                  <c:v>26.230324244510406</c:v>
                </c:pt>
                <c:pt idx="231">
                  <c:v>26.230324244510406</c:v>
                </c:pt>
                <c:pt idx="232">
                  <c:v>26.230324244510406</c:v>
                </c:pt>
                <c:pt idx="233">
                  <c:v>26.230324244510406</c:v>
                </c:pt>
                <c:pt idx="234">
                  <c:v>26.230324244510406</c:v>
                </c:pt>
                <c:pt idx="235">
                  <c:v>26.230324244510406</c:v>
                </c:pt>
                <c:pt idx="236">
                  <c:v>26.230324244510406</c:v>
                </c:pt>
                <c:pt idx="237">
                  <c:v>26.230324244510406</c:v>
                </c:pt>
                <c:pt idx="238">
                  <c:v>26.230324244510406</c:v>
                </c:pt>
                <c:pt idx="239">
                  <c:v>26.230324244510406</c:v>
                </c:pt>
                <c:pt idx="240">
                  <c:v>26.230324244510406</c:v>
                </c:pt>
                <c:pt idx="241">
                  <c:v>26.230324244510406</c:v>
                </c:pt>
                <c:pt idx="242">
                  <c:v>26.230324244510406</c:v>
                </c:pt>
                <c:pt idx="243">
                  <c:v>26.230324244510406</c:v>
                </c:pt>
                <c:pt idx="244">
                  <c:v>26.39506227086849</c:v>
                </c:pt>
                <c:pt idx="245">
                  <c:v>26.39506227086849</c:v>
                </c:pt>
                <c:pt idx="246">
                  <c:v>25.329409858587788</c:v>
                </c:pt>
                <c:pt idx="247">
                  <c:v>25.329409858587788</c:v>
                </c:pt>
                <c:pt idx="248">
                  <c:v>25.220376742088675</c:v>
                </c:pt>
                <c:pt idx="249">
                  <c:v>25.220376742088675</c:v>
                </c:pt>
                <c:pt idx="250">
                  <c:v>25.220376742088675</c:v>
                </c:pt>
                <c:pt idx="251">
                  <c:v>25.220376742088675</c:v>
                </c:pt>
                <c:pt idx="252">
                  <c:v>25.220376742088675</c:v>
                </c:pt>
                <c:pt idx="253">
                  <c:v>25.220376742088675</c:v>
                </c:pt>
                <c:pt idx="254">
                  <c:v>25.220376742088675</c:v>
                </c:pt>
                <c:pt idx="255">
                  <c:v>25.220376742088675</c:v>
                </c:pt>
                <c:pt idx="256">
                  <c:v>24.29982676817373</c:v>
                </c:pt>
                <c:pt idx="257">
                  <c:v>26.378260145819709</c:v>
                </c:pt>
                <c:pt idx="258">
                  <c:v>26.009315647905048</c:v>
                </c:pt>
                <c:pt idx="259">
                  <c:v>26.009315647905048</c:v>
                </c:pt>
                <c:pt idx="260">
                  <c:v>26.009315647905048</c:v>
                </c:pt>
                <c:pt idx="261">
                  <c:v>26.276057629954881</c:v>
                </c:pt>
                <c:pt idx="262">
                  <c:v>26.276057629954881</c:v>
                </c:pt>
                <c:pt idx="263">
                  <c:v>26.276057629954881</c:v>
                </c:pt>
                <c:pt idx="264">
                  <c:v>26.276057629954881</c:v>
                </c:pt>
                <c:pt idx="265">
                  <c:v>26.276057629954881</c:v>
                </c:pt>
                <c:pt idx="266">
                  <c:v>26.276057629954881</c:v>
                </c:pt>
                <c:pt idx="267">
                  <c:v>26.276057629954881</c:v>
                </c:pt>
                <c:pt idx="268">
                  <c:v>25.862021391535599</c:v>
                </c:pt>
                <c:pt idx="269">
                  <c:v>25.862021391535599</c:v>
                </c:pt>
                <c:pt idx="270">
                  <c:v>25.862021391535599</c:v>
                </c:pt>
                <c:pt idx="271">
                  <c:v>25.962834399665681</c:v>
                </c:pt>
                <c:pt idx="272">
                  <c:v>25.962834399665681</c:v>
                </c:pt>
                <c:pt idx="273">
                  <c:v>25.962834399665681</c:v>
                </c:pt>
                <c:pt idx="274">
                  <c:v>26.320003289526458</c:v>
                </c:pt>
                <c:pt idx="275">
                  <c:v>25.596167080511073</c:v>
                </c:pt>
                <c:pt idx="276">
                  <c:v>25.596167080511073</c:v>
                </c:pt>
                <c:pt idx="277">
                  <c:v>25.596167080511073</c:v>
                </c:pt>
                <c:pt idx="278">
                  <c:v>25.596167080511073</c:v>
                </c:pt>
                <c:pt idx="279">
                  <c:v>25.596167080511073</c:v>
                </c:pt>
                <c:pt idx="280">
                  <c:v>26.031518633181065</c:v>
                </c:pt>
                <c:pt idx="281">
                  <c:v>26.031518633181065</c:v>
                </c:pt>
                <c:pt idx="282">
                  <c:v>25.604856964015649</c:v>
                </c:pt>
                <c:pt idx="283">
                  <c:v>24.839929959906897</c:v>
                </c:pt>
                <c:pt idx="284">
                  <c:v>24.286592424010003</c:v>
                </c:pt>
                <c:pt idx="285">
                  <c:v>24.286592424010003</c:v>
                </c:pt>
                <c:pt idx="286">
                  <c:v>24.286592424010003</c:v>
                </c:pt>
                <c:pt idx="287">
                  <c:v>24.286592424010003</c:v>
                </c:pt>
                <c:pt idx="288">
                  <c:v>24.286592424010003</c:v>
                </c:pt>
                <c:pt idx="289">
                  <c:v>24.286592424010003</c:v>
                </c:pt>
                <c:pt idx="290">
                  <c:v>24.286592424010003</c:v>
                </c:pt>
                <c:pt idx="291">
                  <c:v>24.286592424010003</c:v>
                </c:pt>
                <c:pt idx="292">
                  <c:v>24.286592424010003</c:v>
                </c:pt>
                <c:pt idx="293">
                  <c:v>24.286592424010003</c:v>
                </c:pt>
                <c:pt idx="294">
                  <c:v>24.409276757220653</c:v>
                </c:pt>
                <c:pt idx="295">
                  <c:v>25.564336482260092</c:v>
                </c:pt>
                <c:pt idx="296">
                  <c:v>25.564336482260092</c:v>
                </c:pt>
                <c:pt idx="297">
                  <c:v>25.564336482260092</c:v>
                </c:pt>
                <c:pt idx="298">
                  <c:v>25.564336482260092</c:v>
                </c:pt>
                <c:pt idx="299">
                  <c:v>25.878801891065123</c:v>
                </c:pt>
                <c:pt idx="300">
                  <c:v>25.878801891065123</c:v>
                </c:pt>
                <c:pt idx="301">
                  <c:v>25.802370867124576</c:v>
                </c:pt>
                <c:pt idx="302">
                  <c:v>25.802370867124576</c:v>
                </c:pt>
                <c:pt idx="303">
                  <c:v>25.802370867124576</c:v>
                </c:pt>
                <c:pt idx="304">
                  <c:v>25.802370867124576</c:v>
                </c:pt>
                <c:pt idx="305">
                  <c:v>25.084355201328229</c:v>
                </c:pt>
                <c:pt idx="306">
                  <c:v>25.084355201328229</c:v>
                </c:pt>
                <c:pt idx="307">
                  <c:v>23.057393703898299</c:v>
                </c:pt>
                <c:pt idx="308">
                  <c:v>23.057393703898299</c:v>
                </c:pt>
                <c:pt idx="309">
                  <c:v>23.057393703898299</c:v>
                </c:pt>
                <c:pt idx="310">
                  <c:v>23.057393703898299</c:v>
                </c:pt>
                <c:pt idx="311">
                  <c:v>23.057393703898299</c:v>
                </c:pt>
                <c:pt idx="312">
                  <c:v>23.057393703898299</c:v>
                </c:pt>
                <c:pt idx="313">
                  <c:v>23.057393703898299</c:v>
                </c:pt>
                <c:pt idx="314">
                  <c:v>23.057393703898299</c:v>
                </c:pt>
                <c:pt idx="315">
                  <c:v>23.057393703898299</c:v>
                </c:pt>
                <c:pt idx="316">
                  <c:v>23.057393703898299</c:v>
                </c:pt>
                <c:pt idx="317">
                  <c:v>21.87872204814526</c:v>
                </c:pt>
                <c:pt idx="318">
                  <c:v>21.87872204814526</c:v>
                </c:pt>
                <c:pt idx="319">
                  <c:v>21.87872204814526</c:v>
                </c:pt>
                <c:pt idx="320">
                  <c:v>21.87872204814526</c:v>
                </c:pt>
                <c:pt idx="321">
                  <c:v>21.87872204814526</c:v>
                </c:pt>
                <c:pt idx="322">
                  <c:v>21.87872204814526</c:v>
                </c:pt>
                <c:pt idx="323">
                  <c:v>22.698098961525414</c:v>
                </c:pt>
                <c:pt idx="324">
                  <c:v>22.698098961525414</c:v>
                </c:pt>
                <c:pt idx="325">
                  <c:v>22.698098961525414</c:v>
                </c:pt>
                <c:pt idx="326">
                  <c:v>22.698098961525414</c:v>
                </c:pt>
                <c:pt idx="327">
                  <c:v>21.834423057461787</c:v>
                </c:pt>
                <c:pt idx="328">
                  <c:v>21.834423057461787</c:v>
                </c:pt>
                <c:pt idx="329">
                  <c:v>21.834423057461787</c:v>
                </c:pt>
                <c:pt idx="330">
                  <c:v>22.46098947350189</c:v>
                </c:pt>
                <c:pt idx="331">
                  <c:v>22.46098947350189</c:v>
                </c:pt>
                <c:pt idx="332">
                  <c:v>22.46098947350189</c:v>
                </c:pt>
                <c:pt idx="333">
                  <c:v>22.46098947350189</c:v>
                </c:pt>
                <c:pt idx="334">
                  <c:v>21.666151520722892</c:v>
                </c:pt>
                <c:pt idx="335">
                  <c:v>21.666151520722892</c:v>
                </c:pt>
                <c:pt idx="336">
                  <c:v>21.666151520722892</c:v>
                </c:pt>
                <c:pt idx="337">
                  <c:v>21.666151520722892</c:v>
                </c:pt>
                <c:pt idx="338">
                  <c:v>21.666151520722892</c:v>
                </c:pt>
                <c:pt idx="339">
                  <c:v>22.718783099670262</c:v>
                </c:pt>
                <c:pt idx="340">
                  <c:v>26.177992559451887</c:v>
                </c:pt>
                <c:pt idx="341">
                  <c:v>25.650108629145521</c:v>
                </c:pt>
                <c:pt idx="342">
                  <c:v>25.650108629145521</c:v>
                </c:pt>
                <c:pt idx="343">
                  <c:v>25.650108629145521</c:v>
                </c:pt>
                <c:pt idx="344">
                  <c:v>25.650108629145521</c:v>
                </c:pt>
                <c:pt idx="345">
                  <c:v>25.650108629145521</c:v>
                </c:pt>
                <c:pt idx="346">
                  <c:v>26.107096641821773</c:v>
                </c:pt>
                <c:pt idx="347">
                  <c:v>26.107096641821773</c:v>
                </c:pt>
                <c:pt idx="348">
                  <c:v>26.107096641821773</c:v>
                </c:pt>
                <c:pt idx="349">
                  <c:v>24.774087773121796</c:v>
                </c:pt>
                <c:pt idx="350">
                  <c:v>24.774087773121796</c:v>
                </c:pt>
                <c:pt idx="351">
                  <c:v>24.774087773121796</c:v>
                </c:pt>
                <c:pt idx="352">
                  <c:v>24.774087773121796</c:v>
                </c:pt>
                <c:pt idx="353">
                  <c:v>24.732648447201495</c:v>
                </c:pt>
                <c:pt idx="354">
                  <c:v>24.732648447201495</c:v>
                </c:pt>
                <c:pt idx="355">
                  <c:v>24.732648447201495</c:v>
                </c:pt>
                <c:pt idx="356">
                  <c:v>24.732648447201495</c:v>
                </c:pt>
                <c:pt idx="357">
                  <c:v>23.925757159446615</c:v>
                </c:pt>
                <c:pt idx="358">
                  <c:v>23.925757159446615</c:v>
                </c:pt>
                <c:pt idx="359">
                  <c:v>23.925757159446615</c:v>
                </c:pt>
                <c:pt idx="360">
                  <c:v>23.925757159446615</c:v>
                </c:pt>
                <c:pt idx="361">
                  <c:v>23.925757159446615</c:v>
                </c:pt>
                <c:pt idx="362">
                  <c:v>23.925757159446615</c:v>
                </c:pt>
                <c:pt idx="363">
                  <c:v>23.925757159446615</c:v>
                </c:pt>
                <c:pt idx="364">
                  <c:v>23.925757159446615</c:v>
                </c:pt>
                <c:pt idx="365">
                  <c:v>23.925757159446615</c:v>
                </c:pt>
                <c:pt idx="366">
                  <c:v>23.925757159446615</c:v>
                </c:pt>
                <c:pt idx="367">
                  <c:v>23.925757159446615</c:v>
                </c:pt>
                <c:pt idx="368">
                  <c:v>21.529978193828008</c:v>
                </c:pt>
                <c:pt idx="369">
                  <c:v>21.529978193828008</c:v>
                </c:pt>
                <c:pt idx="370">
                  <c:v>20.71676331069586</c:v>
                </c:pt>
                <c:pt idx="371">
                  <c:v>20.71676331069586</c:v>
                </c:pt>
                <c:pt idx="372">
                  <c:v>20.71676331069586</c:v>
                </c:pt>
                <c:pt idx="373">
                  <c:v>20.71676331069586</c:v>
                </c:pt>
                <c:pt idx="374">
                  <c:v>20.71676331069586</c:v>
                </c:pt>
                <c:pt idx="375">
                  <c:v>20.71676331069586</c:v>
                </c:pt>
                <c:pt idx="376">
                  <c:v>20.71676331069586</c:v>
                </c:pt>
                <c:pt idx="377">
                  <c:v>20.71676331069586</c:v>
                </c:pt>
                <c:pt idx="378">
                  <c:v>20.71676331069586</c:v>
                </c:pt>
                <c:pt idx="379">
                  <c:v>20.71676331069586</c:v>
                </c:pt>
                <c:pt idx="380">
                  <c:v>20.71676331069586</c:v>
                </c:pt>
                <c:pt idx="381">
                  <c:v>20.71676331069586</c:v>
                </c:pt>
                <c:pt idx="382">
                  <c:v>20.71676331069586</c:v>
                </c:pt>
                <c:pt idx="383">
                  <c:v>19.794230184631754</c:v>
                </c:pt>
                <c:pt idx="384">
                  <c:v>19.794230184631754</c:v>
                </c:pt>
                <c:pt idx="385">
                  <c:v>20.495799746131691</c:v>
                </c:pt>
                <c:pt idx="386">
                  <c:v>20.495799746131691</c:v>
                </c:pt>
                <c:pt idx="387">
                  <c:v>20.495799746131691</c:v>
                </c:pt>
                <c:pt idx="388">
                  <c:v>20.597319644031678</c:v>
                </c:pt>
                <c:pt idx="389">
                  <c:v>20.98924205667948</c:v>
                </c:pt>
                <c:pt idx="390">
                  <c:v>20.98924205667948</c:v>
                </c:pt>
                <c:pt idx="391">
                  <c:v>20.98924205667948</c:v>
                </c:pt>
                <c:pt idx="392">
                  <c:v>20.98924205667948</c:v>
                </c:pt>
                <c:pt idx="393">
                  <c:v>20.98924205667948</c:v>
                </c:pt>
                <c:pt idx="394">
                  <c:v>20.719269876983365</c:v>
                </c:pt>
                <c:pt idx="395">
                  <c:v>20.719269876983365</c:v>
                </c:pt>
                <c:pt idx="396">
                  <c:v>20.719269876983365</c:v>
                </c:pt>
                <c:pt idx="397">
                  <c:v>20.719269876983365</c:v>
                </c:pt>
                <c:pt idx="398">
                  <c:v>20.719269876983365</c:v>
                </c:pt>
                <c:pt idx="399">
                  <c:v>22.842942581543017</c:v>
                </c:pt>
                <c:pt idx="400">
                  <c:v>22.842942581543017</c:v>
                </c:pt>
                <c:pt idx="401">
                  <c:v>24.245601869837536</c:v>
                </c:pt>
                <c:pt idx="402">
                  <c:v>24.695530102144041</c:v>
                </c:pt>
                <c:pt idx="403">
                  <c:v>24.695530102144041</c:v>
                </c:pt>
                <c:pt idx="404">
                  <c:v>24.695530102144041</c:v>
                </c:pt>
                <c:pt idx="405">
                  <c:v>25.500854806122856</c:v>
                </c:pt>
                <c:pt idx="406">
                  <c:v>24.752437995529881</c:v>
                </c:pt>
                <c:pt idx="407">
                  <c:v>26.828184535952314</c:v>
                </c:pt>
                <c:pt idx="408">
                  <c:v>26.828184535952314</c:v>
                </c:pt>
                <c:pt idx="409">
                  <c:v>27.642301405115052</c:v>
                </c:pt>
                <c:pt idx="410">
                  <c:v>28.655358586564851</c:v>
                </c:pt>
                <c:pt idx="411">
                  <c:v>32.813539170407353</c:v>
                </c:pt>
                <c:pt idx="412">
                  <c:v>32.813539170407353</c:v>
                </c:pt>
                <c:pt idx="413">
                  <c:v>33.639985451399092</c:v>
                </c:pt>
                <c:pt idx="414">
                  <c:v>33.639985451399092</c:v>
                </c:pt>
                <c:pt idx="415">
                  <c:v>33.639985451399092</c:v>
                </c:pt>
                <c:pt idx="416">
                  <c:v>33.855769752557066</c:v>
                </c:pt>
                <c:pt idx="417">
                  <c:v>31.306146207040296</c:v>
                </c:pt>
                <c:pt idx="418">
                  <c:v>31.306146207040296</c:v>
                </c:pt>
                <c:pt idx="419">
                  <c:v>31.306146207040296</c:v>
                </c:pt>
                <c:pt idx="420">
                  <c:v>33.811714135770806</c:v>
                </c:pt>
                <c:pt idx="421">
                  <c:v>34.691028270745527</c:v>
                </c:pt>
                <c:pt idx="422">
                  <c:v>39.237391180417788</c:v>
                </c:pt>
                <c:pt idx="423">
                  <c:v>39.838910099700001</c:v>
                </c:pt>
                <c:pt idx="424">
                  <c:v>39.838910099700001</c:v>
                </c:pt>
                <c:pt idx="425">
                  <c:v>40.792671735591959</c:v>
                </c:pt>
                <c:pt idx="426">
                  <c:v>41.462249610410005</c:v>
                </c:pt>
                <c:pt idx="427">
                  <c:v>42.728779478171063</c:v>
                </c:pt>
                <c:pt idx="428">
                  <c:v>43.963667215649473</c:v>
                </c:pt>
                <c:pt idx="429">
                  <c:v>46.823627767917714</c:v>
                </c:pt>
                <c:pt idx="430">
                  <c:v>45.984171076757612</c:v>
                </c:pt>
                <c:pt idx="431">
                  <c:v>44.462528952705853</c:v>
                </c:pt>
                <c:pt idx="432">
                  <c:v>42.99286040986658</c:v>
                </c:pt>
                <c:pt idx="433">
                  <c:v>40.674507204934351</c:v>
                </c:pt>
                <c:pt idx="434">
                  <c:v>40.674507204934351</c:v>
                </c:pt>
                <c:pt idx="435">
                  <c:v>40.674507204934351</c:v>
                </c:pt>
                <c:pt idx="436">
                  <c:v>40.674507204934351</c:v>
                </c:pt>
                <c:pt idx="437">
                  <c:v>40.674507204934351</c:v>
                </c:pt>
                <c:pt idx="438">
                  <c:v>40.973701998669185</c:v>
                </c:pt>
                <c:pt idx="439">
                  <c:v>40.973701998669185</c:v>
                </c:pt>
                <c:pt idx="440">
                  <c:v>42.513841020067574</c:v>
                </c:pt>
                <c:pt idx="441">
                  <c:v>43.499377235053274</c:v>
                </c:pt>
                <c:pt idx="442">
                  <c:v>43.499377235053274</c:v>
                </c:pt>
                <c:pt idx="443">
                  <c:v>43.499377235053274</c:v>
                </c:pt>
                <c:pt idx="444">
                  <c:v>43.496894859916743</c:v>
                </c:pt>
              </c:numCache>
            </c:numRef>
          </c:val>
          <c:smooth val="0"/>
          <c:extLst xmlns:c15="http://schemas.microsoft.com/office/drawing/2012/chart">
            <c:ext xmlns:c16="http://schemas.microsoft.com/office/drawing/2014/chart" uri="{C3380CC4-5D6E-409C-BE32-E72D297353CC}">
              <c16:uniqueId val="{00000004-3268-4A45-9311-8BC8E6FC2F8D}"/>
            </c:ext>
          </c:extLst>
        </c:ser>
        <c:ser>
          <c:idx val="6"/>
          <c:order val="1"/>
          <c:tx>
            <c:v>Dwn (MOC)</c:v>
          </c:tx>
          <c:spPr>
            <a:ln w="19050" cap="rnd">
              <a:solidFill>
                <a:schemeClr val="accent2">
                  <a:lumMod val="60000"/>
                  <a:lumOff val="40000"/>
                </a:schemeClr>
              </a:solidFill>
              <a:prstDash val="sysDash"/>
              <a:round/>
            </a:ln>
            <a:effectLst/>
          </c:spPr>
          <c:marker>
            <c:symbol val="none"/>
          </c:marker>
          <c:val>
            <c:numRef>
              <c:f>'2025-Q1'!$GR$4:$GR$448</c:f>
              <c:numCache>
                <c:formatCode>0.0</c:formatCode>
                <c:ptCount val="445"/>
                <c:pt idx="0">
                  <c:v>2.8479569500182413</c:v>
                </c:pt>
                <c:pt idx="1">
                  <c:v>2.8479569500182413</c:v>
                </c:pt>
                <c:pt idx="2">
                  <c:v>2.8479569500182413</c:v>
                </c:pt>
                <c:pt idx="3">
                  <c:v>2.8479569500182413</c:v>
                </c:pt>
                <c:pt idx="4">
                  <c:v>2.8479569500182413</c:v>
                </c:pt>
                <c:pt idx="5">
                  <c:v>2.8479569500182413</c:v>
                </c:pt>
                <c:pt idx="6">
                  <c:v>2.8479569500182413</c:v>
                </c:pt>
                <c:pt idx="7">
                  <c:v>2.8479569500182413</c:v>
                </c:pt>
                <c:pt idx="8">
                  <c:v>2.8479569500182413</c:v>
                </c:pt>
                <c:pt idx="9">
                  <c:v>3.8548515557866478</c:v>
                </c:pt>
                <c:pt idx="10">
                  <c:v>3.8548515557866478</c:v>
                </c:pt>
                <c:pt idx="11">
                  <c:v>3.8548515557866478</c:v>
                </c:pt>
                <c:pt idx="12">
                  <c:v>3.8548515557866478</c:v>
                </c:pt>
                <c:pt idx="13">
                  <c:v>3.8548515557866478</c:v>
                </c:pt>
                <c:pt idx="14">
                  <c:v>3.8548515557866478</c:v>
                </c:pt>
                <c:pt idx="15">
                  <c:v>3.8548515557866478</c:v>
                </c:pt>
                <c:pt idx="16">
                  <c:v>3.8548515557866478</c:v>
                </c:pt>
                <c:pt idx="17">
                  <c:v>2.8448734589261004</c:v>
                </c:pt>
                <c:pt idx="18">
                  <c:v>2.5528668609144187</c:v>
                </c:pt>
                <c:pt idx="19">
                  <c:v>2.5528668609144187</c:v>
                </c:pt>
                <c:pt idx="20">
                  <c:v>2.5528668609144187</c:v>
                </c:pt>
                <c:pt idx="21">
                  <c:v>2.5528668609144187</c:v>
                </c:pt>
                <c:pt idx="22">
                  <c:v>2.5528668609144187</c:v>
                </c:pt>
                <c:pt idx="23">
                  <c:v>2.5528668609144187</c:v>
                </c:pt>
                <c:pt idx="24">
                  <c:v>2.5528668609144187</c:v>
                </c:pt>
                <c:pt idx="25">
                  <c:v>2.9987411130873514</c:v>
                </c:pt>
                <c:pt idx="26">
                  <c:v>2.9987411130873514</c:v>
                </c:pt>
                <c:pt idx="27">
                  <c:v>2.9987411130873514</c:v>
                </c:pt>
                <c:pt idx="28">
                  <c:v>2.9987411130873514</c:v>
                </c:pt>
                <c:pt idx="29">
                  <c:v>2.9987411130873514</c:v>
                </c:pt>
                <c:pt idx="30">
                  <c:v>2.9987411130873514</c:v>
                </c:pt>
                <c:pt idx="31">
                  <c:v>2.9987411130873514</c:v>
                </c:pt>
                <c:pt idx="32">
                  <c:v>2.9987411130873514</c:v>
                </c:pt>
                <c:pt idx="33">
                  <c:v>3.3227370631379745</c:v>
                </c:pt>
                <c:pt idx="34">
                  <c:v>3.3227370631379745</c:v>
                </c:pt>
                <c:pt idx="35">
                  <c:v>3.3227370631379745</c:v>
                </c:pt>
                <c:pt idx="36">
                  <c:v>3.3227370631379745</c:v>
                </c:pt>
                <c:pt idx="37">
                  <c:v>3.3227370631379745</c:v>
                </c:pt>
                <c:pt idx="38">
                  <c:v>3.3227370631379745</c:v>
                </c:pt>
                <c:pt idx="39">
                  <c:v>3.9153547400766828</c:v>
                </c:pt>
                <c:pt idx="40">
                  <c:v>3.9153547400766828</c:v>
                </c:pt>
                <c:pt idx="41">
                  <c:v>3.9153547400766828</c:v>
                </c:pt>
                <c:pt idx="42">
                  <c:v>3.9153547400766828</c:v>
                </c:pt>
                <c:pt idx="43">
                  <c:v>3.9153547400766828</c:v>
                </c:pt>
                <c:pt idx="44">
                  <c:v>3.9153547400766828</c:v>
                </c:pt>
                <c:pt idx="45">
                  <c:v>3.9153547400766828</c:v>
                </c:pt>
                <c:pt idx="46">
                  <c:v>3.9153547400766828</c:v>
                </c:pt>
                <c:pt idx="47">
                  <c:v>3.9153547400766828</c:v>
                </c:pt>
                <c:pt idx="48">
                  <c:v>4.1669109778186488</c:v>
                </c:pt>
                <c:pt idx="49">
                  <c:v>4.1669109778186488</c:v>
                </c:pt>
                <c:pt idx="50">
                  <c:v>4.1669109778186488</c:v>
                </c:pt>
                <c:pt idx="51">
                  <c:v>4.1669109778186488</c:v>
                </c:pt>
                <c:pt idx="52">
                  <c:v>4.1669109778186488</c:v>
                </c:pt>
                <c:pt idx="53">
                  <c:v>4.1669109778186488</c:v>
                </c:pt>
                <c:pt idx="54">
                  <c:v>4.1669109778186488</c:v>
                </c:pt>
                <c:pt idx="55">
                  <c:v>4.013771621003948</c:v>
                </c:pt>
                <c:pt idx="56">
                  <c:v>4.013771621003948</c:v>
                </c:pt>
                <c:pt idx="57">
                  <c:v>4.013771621003948</c:v>
                </c:pt>
                <c:pt idx="58">
                  <c:v>4.013771621003948</c:v>
                </c:pt>
                <c:pt idx="59">
                  <c:v>4.013771621003948</c:v>
                </c:pt>
                <c:pt idx="60">
                  <c:v>4.013771621003948</c:v>
                </c:pt>
                <c:pt idx="61">
                  <c:v>4.013771621003948</c:v>
                </c:pt>
                <c:pt idx="62">
                  <c:v>5.5438132471364243</c:v>
                </c:pt>
                <c:pt idx="63">
                  <c:v>5.5438132471364243</c:v>
                </c:pt>
                <c:pt idx="64">
                  <c:v>5.5438132471364243</c:v>
                </c:pt>
                <c:pt idx="65">
                  <c:v>5.5438132471364243</c:v>
                </c:pt>
                <c:pt idx="66">
                  <c:v>5.5438132471364243</c:v>
                </c:pt>
                <c:pt idx="67">
                  <c:v>5.7936673931932958</c:v>
                </c:pt>
                <c:pt idx="68">
                  <c:v>5.7936673931932958</c:v>
                </c:pt>
                <c:pt idx="69">
                  <c:v>5.7936673931932958</c:v>
                </c:pt>
                <c:pt idx="70">
                  <c:v>5.7936673931932958</c:v>
                </c:pt>
                <c:pt idx="71">
                  <c:v>5.7936673931932958</c:v>
                </c:pt>
                <c:pt idx="72">
                  <c:v>5.5757464568678348</c:v>
                </c:pt>
                <c:pt idx="73">
                  <c:v>5.5757464568678348</c:v>
                </c:pt>
                <c:pt idx="74">
                  <c:v>5.5757464568678348</c:v>
                </c:pt>
                <c:pt idx="75">
                  <c:v>5.5757464568678348</c:v>
                </c:pt>
                <c:pt idx="76">
                  <c:v>5.5757464568678348</c:v>
                </c:pt>
                <c:pt idx="77">
                  <c:v>5.5757464568678348</c:v>
                </c:pt>
                <c:pt idx="78">
                  <c:v>5.5757464568678348</c:v>
                </c:pt>
                <c:pt idx="79">
                  <c:v>5.5757464568678348</c:v>
                </c:pt>
                <c:pt idx="80">
                  <c:v>6.281589977960623</c:v>
                </c:pt>
                <c:pt idx="81">
                  <c:v>6.281589977960623</c:v>
                </c:pt>
                <c:pt idx="82">
                  <c:v>6.281589977960623</c:v>
                </c:pt>
                <c:pt idx="83">
                  <c:v>6.281589977960623</c:v>
                </c:pt>
                <c:pt idx="84">
                  <c:v>6.281589977960623</c:v>
                </c:pt>
                <c:pt idx="85">
                  <c:v>6.281589977960623</c:v>
                </c:pt>
                <c:pt idx="86">
                  <c:v>6.281589977960623</c:v>
                </c:pt>
                <c:pt idx="87">
                  <c:v>6.281589977960623</c:v>
                </c:pt>
                <c:pt idx="88">
                  <c:v>6.281589977960623</c:v>
                </c:pt>
                <c:pt idx="89">
                  <c:v>6.281589977960623</c:v>
                </c:pt>
                <c:pt idx="90">
                  <c:v>6.281589977960623</c:v>
                </c:pt>
                <c:pt idx="91">
                  <c:v>6.281589977960623</c:v>
                </c:pt>
                <c:pt idx="92">
                  <c:v>6.281589977960623</c:v>
                </c:pt>
                <c:pt idx="93">
                  <c:v>6.281589977960623</c:v>
                </c:pt>
                <c:pt idx="94">
                  <c:v>4.4357077153157531</c:v>
                </c:pt>
                <c:pt idx="95">
                  <c:v>4.4357077153157531</c:v>
                </c:pt>
                <c:pt idx="96">
                  <c:v>4.4357077153157531</c:v>
                </c:pt>
                <c:pt idx="97">
                  <c:v>4.4357077153157531</c:v>
                </c:pt>
                <c:pt idx="98">
                  <c:v>4.4357077153157531</c:v>
                </c:pt>
                <c:pt idx="99">
                  <c:v>4.4357077153157531</c:v>
                </c:pt>
                <c:pt idx="100">
                  <c:v>4.4357077153157531</c:v>
                </c:pt>
                <c:pt idx="101">
                  <c:v>4.4357077153157531</c:v>
                </c:pt>
                <c:pt idx="102">
                  <c:v>4.4357077153157531</c:v>
                </c:pt>
                <c:pt idx="103">
                  <c:v>4.4357077153157531</c:v>
                </c:pt>
                <c:pt idx="104">
                  <c:v>6.2692194926176814</c:v>
                </c:pt>
                <c:pt idx="105">
                  <c:v>6.2692194926176814</c:v>
                </c:pt>
                <c:pt idx="106">
                  <c:v>6.2692194926176814</c:v>
                </c:pt>
                <c:pt idx="107">
                  <c:v>6.2692194926176814</c:v>
                </c:pt>
                <c:pt idx="108">
                  <c:v>6.2692194926176814</c:v>
                </c:pt>
                <c:pt idx="109">
                  <c:v>6.2692194926176814</c:v>
                </c:pt>
                <c:pt idx="110">
                  <c:v>7.3863383918736671</c:v>
                </c:pt>
                <c:pt idx="111">
                  <c:v>7.3863383918736671</c:v>
                </c:pt>
                <c:pt idx="112">
                  <c:v>7.322999936085985</c:v>
                </c:pt>
                <c:pt idx="113">
                  <c:v>7.322999936085985</c:v>
                </c:pt>
                <c:pt idx="114">
                  <c:v>7.3143500972875248</c:v>
                </c:pt>
                <c:pt idx="115">
                  <c:v>7.3143500972875248</c:v>
                </c:pt>
                <c:pt idx="116">
                  <c:v>8.3293724277787966</c:v>
                </c:pt>
                <c:pt idx="117">
                  <c:v>8.3293724277787966</c:v>
                </c:pt>
                <c:pt idx="118">
                  <c:v>8.3293724277787966</c:v>
                </c:pt>
                <c:pt idx="119">
                  <c:v>8.3293724277787966</c:v>
                </c:pt>
                <c:pt idx="120">
                  <c:v>7.5151410798719009</c:v>
                </c:pt>
                <c:pt idx="121">
                  <c:v>7.5151410798719009</c:v>
                </c:pt>
                <c:pt idx="122">
                  <c:v>7.5151410798719009</c:v>
                </c:pt>
                <c:pt idx="123">
                  <c:v>7.5151410798719009</c:v>
                </c:pt>
                <c:pt idx="124">
                  <c:v>8.4153881726440041</c:v>
                </c:pt>
                <c:pt idx="125">
                  <c:v>8.8752745253359038</c:v>
                </c:pt>
                <c:pt idx="126">
                  <c:v>8.8752745253359038</c:v>
                </c:pt>
                <c:pt idx="127">
                  <c:v>8.8752745253359038</c:v>
                </c:pt>
                <c:pt idx="128">
                  <c:v>8.8752745253359038</c:v>
                </c:pt>
                <c:pt idx="129">
                  <c:v>8.8752745253359038</c:v>
                </c:pt>
                <c:pt idx="130">
                  <c:v>8.8752745253359038</c:v>
                </c:pt>
                <c:pt idx="131">
                  <c:v>8.8752745253359038</c:v>
                </c:pt>
                <c:pt idx="132">
                  <c:v>8.8752745253359038</c:v>
                </c:pt>
                <c:pt idx="133">
                  <c:v>8.8752745253359038</c:v>
                </c:pt>
                <c:pt idx="134">
                  <c:v>8.8752745253359038</c:v>
                </c:pt>
                <c:pt idx="135">
                  <c:v>9.875953411961838</c:v>
                </c:pt>
                <c:pt idx="136">
                  <c:v>9.875953411961838</c:v>
                </c:pt>
                <c:pt idx="137">
                  <c:v>9.875953411961838</c:v>
                </c:pt>
                <c:pt idx="138">
                  <c:v>9.9457858141964781</c:v>
                </c:pt>
                <c:pt idx="139">
                  <c:v>8.6904352872370154</c:v>
                </c:pt>
                <c:pt idx="140">
                  <c:v>8.6904352872370154</c:v>
                </c:pt>
                <c:pt idx="141">
                  <c:v>8.6904352872370154</c:v>
                </c:pt>
                <c:pt idx="142">
                  <c:v>9.1072160362254841</c:v>
                </c:pt>
                <c:pt idx="143">
                  <c:v>8.3244093183205603</c:v>
                </c:pt>
                <c:pt idx="144">
                  <c:v>8.3244093183205603</c:v>
                </c:pt>
                <c:pt idx="145">
                  <c:v>8.3244093183205603</c:v>
                </c:pt>
                <c:pt idx="146">
                  <c:v>8.3244093183205603</c:v>
                </c:pt>
                <c:pt idx="147">
                  <c:v>9.0927373338704918</c:v>
                </c:pt>
                <c:pt idx="148">
                  <c:v>8.6535675479595735</c:v>
                </c:pt>
                <c:pt idx="149">
                  <c:v>8.6535675479595735</c:v>
                </c:pt>
                <c:pt idx="150">
                  <c:v>9.0632001199555994</c:v>
                </c:pt>
                <c:pt idx="151">
                  <c:v>9.0632001199555994</c:v>
                </c:pt>
                <c:pt idx="152">
                  <c:v>9.155160183013928</c:v>
                </c:pt>
                <c:pt idx="153">
                  <c:v>9.155160183013928</c:v>
                </c:pt>
                <c:pt idx="154">
                  <c:v>9.155160183013928</c:v>
                </c:pt>
                <c:pt idx="155">
                  <c:v>7.4264587768931687</c:v>
                </c:pt>
                <c:pt idx="156">
                  <c:v>7.4264587768931687</c:v>
                </c:pt>
                <c:pt idx="157">
                  <c:v>7.0576619396948441</c:v>
                </c:pt>
                <c:pt idx="158">
                  <c:v>7.0576619396948441</c:v>
                </c:pt>
                <c:pt idx="159">
                  <c:v>7.2473426573880646</c:v>
                </c:pt>
                <c:pt idx="160">
                  <c:v>7.2473426573880646</c:v>
                </c:pt>
                <c:pt idx="161">
                  <c:v>7.2473426573880646</c:v>
                </c:pt>
                <c:pt idx="162">
                  <c:v>8.7906759907213967</c:v>
                </c:pt>
                <c:pt idx="163">
                  <c:v>9.5426557604691844</c:v>
                </c:pt>
                <c:pt idx="164">
                  <c:v>9.5426557604691844</c:v>
                </c:pt>
                <c:pt idx="165">
                  <c:v>9.5426557604691844</c:v>
                </c:pt>
                <c:pt idx="166">
                  <c:v>9.5426557604691844</c:v>
                </c:pt>
                <c:pt idx="167">
                  <c:v>8.7878633283880081</c:v>
                </c:pt>
                <c:pt idx="168">
                  <c:v>7.6642805619480985</c:v>
                </c:pt>
                <c:pt idx="169">
                  <c:v>7.6642805619480985</c:v>
                </c:pt>
                <c:pt idx="170">
                  <c:v>7.6642805619480985</c:v>
                </c:pt>
                <c:pt idx="171">
                  <c:v>7.6642805619480985</c:v>
                </c:pt>
                <c:pt idx="172">
                  <c:v>7.6642805619480985</c:v>
                </c:pt>
                <c:pt idx="173">
                  <c:v>7.6642805619480985</c:v>
                </c:pt>
                <c:pt idx="174">
                  <c:v>7.6642805619480985</c:v>
                </c:pt>
                <c:pt idx="175">
                  <c:v>8.5072766968274802</c:v>
                </c:pt>
                <c:pt idx="176">
                  <c:v>8.5072766968274802</c:v>
                </c:pt>
                <c:pt idx="177">
                  <c:v>11.185380679752049</c:v>
                </c:pt>
                <c:pt idx="178">
                  <c:v>11.185380679752049</c:v>
                </c:pt>
                <c:pt idx="179">
                  <c:v>12.33480596710837</c:v>
                </c:pt>
                <c:pt idx="180">
                  <c:v>12.33480596710837</c:v>
                </c:pt>
                <c:pt idx="181">
                  <c:v>12.33480596710837</c:v>
                </c:pt>
                <c:pt idx="182">
                  <c:v>11.480552131682987</c:v>
                </c:pt>
                <c:pt idx="183">
                  <c:v>11.480552131682987</c:v>
                </c:pt>
                <c:pt idx="184">
                  <c:v>12.525182536146026</c:v>
                </c:pt>
                <c:pt idx="185">
                  <c:v>12.525182536146026</c:v>
                </c:pt>
                <c:pt idx="186">
                  <c:v>12.136135256507156</c:v>
                </c:pt>
                <c:pt idx="187">
                  <c:v>12.136135256507156</c:v>
                </c:pt>
                <c:pt idx="188">
                  <c:v>11.785248369177763</c:v>
                </c:pt>
                <c:pt idx="189">
                  <c:v>11.785248369177763</c:v>
                </c:pt>
                <c:pt idx="190">
                  <c:v>10.517894417287732</c:v>
                </c:pt>
                <c:pt idx="191">
                  <c:v>11.371198701964566</c:v>
                </c:pt>
                <c:pt idx="192">
                  <c:v>11.749027624097284</c:v>
                </c:pt>
                <c:pt idx="193">
                  <c:v>11.749027624097284</c:v>
                </c:pt>
                <c:pt idx="194">
                  <c:v>11.749027624097284</c:v>
                </c:pt>
                <c:pt idx="195">
                  <c:v>11.995568504600431</c:v>
                </c:pt>
                <c:pt idx="196">
                  <c:v>11.995568504600431</c:v>
                </c:pt>
                <c:pt idx="197">
                  <c:v>17.584021502379855</c:v>
                </c:pt>
                <c:pt idx="198">
                  <c:v>18.977699663299394</c:v>
                </c:pt>
                <c:pt idx="199">
                  <c:v>20.212399350176707</c:v>
                </c:pt>
                <c:pt idx="200">
                  <c:v>20.212399350176707</c:v>
                </c:pt>
                <c:pt idx="201">
                  <c:v>20.212399350176707</c:v>
                </c:pt>
                <c:pt idx="202">
                  <c:v>20.212399350176707</c:v>
                </c:pt>
                <c:pt idx="203">
                  <c:v>20.212399350176707</c:v>
                </c:pt>
                <c:pt idx="204">
                  <c:v>20.212399350176707</c:v>
                </c:pt>
                <c:pt idx="205">
                  <c:v>20.212399350176707</c:v>
                </c:pt>
                <c:pt idx="206">
                  <c:v>20.212399350176707</c:v>
                </c:pt>
                <c:pt idx="207">
                  <c:v>20.212399350176707</c:v>
                </c:pt>
                <c:pt idx="208">
                  <c:v>20.212399350176707</c:v>
                </c:pt>
                <c:pt idx="209">
                  <c:v>20.212399350176707</c:v>
                </c:pt>
                <c:pt idx="210">
                  <c:v>20.212399350176707</c:v>
                </c:pt>
                <c:pt idx="211">
                  <c:v>20.412414735975613</c:v>
                </c:pt>
                <c:pt idx="212">
                  <c:v>21.556554076595891</c:v>
                </c:pt>
                <c:pt idx="213">
                  <c:v>21.556554076595891</c:v>
                </c:pt>
                <c:pt idx="214">
                  <c:v>21.556554076595891</c:v>
                </c:pt>
                <c:pt idx="215">
                  <c:v>21.556554076595891</c:v>
                </c:pt>
                <c:pt idx="216">
                  <c:v>21.556554076595891</c:v>
                </c:pt>
                <c:pt idx="217">
                  <c:v>21.556554076595891</c:v>
                </c:pt>
                <c:pt idx="218">
                  <c:v>21.556554076595891</c:v>
                </c:pt>
                <c:pt idx="219">
                  <c:v>21.556554076595891</c:v>
                </c:pt>
                <c:pt idx="220">
                  <c:v>22.805305325347138</c:v>
                </c:pt>
                <c:pt idx="221">
                  <c:v>22.805305325347138</c:v>
                </c:pt>
                <c:pt idx="222">
                  <c:v>22.805305325347138</c:v>
                </c:pt>
                <c:pt idx="223">
                  <c:v>22.805305325347138</c:v>
                </c:pt>
                <c:pt idx="224">
                  <c:v>22.805305325347138</c:v>
                </c:pt>
                <c:pt idx="225">
                  <c:v>22.805305325347138</c:v>
                </c:pt>
                <c:pt idx="226">
                  <c:v>24.487997633039441</c:v>
                </c:pt>
                <c:pt idx="227">
                  <c:v>24.487997633039441</c:v>
                </c:pt>
                <c:pt idx="228">
                  <c:v>26.17038409824033</c:v>
                </c:pt>
                <c:pt idx="229">
                  <c:v>26.014779242136306</c:v>
                </c:pt>
                <c:pt idx="230">
                  <c:v>30.125941391883664</c:v>
                </c:pt>
                <c:pt idx="231">
                  <c:v>30.125941391883664</c:v>
                </c:pt>
                <c:pt idx="232">
                  <c:v>30.125941391883664</c:v>
                </c:pt>
                <c:pt idx="233">
                  <c:v>30.125941391883664</c:v>
                </c:pt>
                <c:pt idx="234">
                  <c:v>30.125941391883664</c:v>
                </c:pt>
                <c:pt idx="235">
                  <c:v>30.125941391883664</c:v>
                </c:pt>
                <c:pt idx="236">
                  <c:v>30.125941391883664</c:v>
                </c:pt>
                <c:pt idx="237">
                  <c:v>30.125941391883664</c:v>
                </c:pt>
                <c:pt idx="238">
                  <c:v>30.125941391883664</c:v>
                </c:pt>
                <c:pt idx="239">
                  <c:v>30.125941391883664</c:v>
                </c:pt>
                <c:pt idx="240">
                  <c:v>30.125941391883664</c:v>
                </c:pt>
                <c:pt idx="241">
                  <c:v>30.125941391883664</c:v>
                </c:pt>
                <c:pt idx="242">
                  <c:v>30.125941391883664</c:v>
                </c:pt>
                <c:pt idx="243">
                  <c:v>30.125941391883664</c:v>
                </c:pt>
                <c:pt idx="244">
                  <c:v>30.881325512745121</c:v>
                </c:pt>
                <c:pt idx="245">
                  <c:v>30.881325512745121</c:v>
                </c:pt>
                <c:pt idx="246">
                  <c:v>30.14804700397319</c:v>
                </c:pt>
                <c:pt idx="247">
                  <c:v>30.14804700397319</c:v>
                </c:pt>
                <c:pt idx="248">
                  <c:v>30.261392164627633</c:v>
                </c:pt>
                <c:pt idx="249">
                  <c:v>30.261392164627633</c:v>
                </c:pt>
                <c:pt idx="250">
                  <c:v>30.261392164627633</c:v>
                </c:pt>
                <c:pt idx="251">
                  <c:v>30.261392164627633</c:v>
                </c:pt>
                <c:pt idx="252">
                  <c:v>30.261392164627633</c:v>
                </c:pt>
                <c:pt idx="253">
                  <c:v>30.261392164627633</c:v>
                </c:pt>
                <c:pt idx="254">
                  <c:v>30.261392164627633</c:v>
                </c:pt>
                <c:pt idx="255">
                  <c:v>30.261392164627633</c:v>
                </c:pt>
                <c:pt idx="256">
                  <c:v>29.98876127655776</c:v>
                </c:pt>
                <c:pt idx="257">
                  <c:v>33.042072794436208</c:v>
                </c:pt>
                <c:pt idx="258">
                  <c:v>33.539345813364669</c:v>
                </c:pt>
                <c:pt idx="259">
                  <c:v>33.539345813364669</c:v>
                </c:pt>
                <c:pt idx="260">
                  <c:v>33.539345813364669</c:v>
                </c:pt>
                <c:pt idx="261">
                  <c:v>33.92219901113031</c:v>
                </c:pt>
                <c:pt idx="262">
                  <c:v>33.92219901113031</c:v>
                </c:pt>
                <c:pt idx="263">
                  <c:v>33.92219901113031</c:v>
                </c:pt>
                <c:pt idx="264">
                  <c:v>33.92219901113031</c:v>
                </c:pt>
                <c:pt idx="265">
                  <c:v>33.92219901113031</c:v>
                </c:pt>
                <c:pt idx="266">
                  <c:v>33.92219901113031</c:v>
                </c:pt>
                <c:pt idx="267">
                  <c:v>33.92219901113031</c:v>
                </c:pt>
                <c:pt idx="268">
                  <c:v>34.146297833245036</c:v>
                </c:pt>
                <c:pt idx="269">
                  <c:v>34.146297833245036</c:v>
                </c:pt>
                <c:pt idx="270">
                  <c:v>34.146297833245036</c:v>
                </c:pt>
                <c:pt idx="271">
                  <c:v>35.515403524301945</c:v>
                </c:pt>
                <c:pt idx="272">
                  <c:v>35.515403524301945</c:v>
                </c:pt>
                <c:pt idx="273">
                  <c:v>35.515403524301945</c:v>
                </c:pt>
                <c:pt idx="274">
                  <c:v>35.854349511618807</c:v>
                </c:pt>
                <c:pt idx="275">
                  <c:v>35.386129485074051</c:v>
                </c:pt>
                <c:pt idx="276">
                  <c:v>35.386129485074051</c:v>
                </c:pt>
                <c:pt idx="277">
                  <c:v>35.386129485074051</c:v>
                </c:pt>
                <c:pt idx="278">
                  <c:v>35.386129485074051</c:v>
                </c:pt>
                <c:pt idx="279">
                  <c:v>35.386129485074051</c:v>
                </c:pt>
                <c:pt idx="280">
                  <c:v>35.655393162158958</c:v>
                </c:pt>
                <c:pt idx="281">
                  <c:v>35.655393162158958</c:v>
                </c:pt>
                <c:pt idx="282">
                  <c:v>36.246347684897593</c:v>
                </c:pt>
                <c:pt idx="283">
                  <c:v>35.105513695912542</c:v>
                </c:pt>
                <c:pt idx="284">
                  <c:v>35.709048518821184</c:v>
                </c:pt>
                <c:pt idx="285">
                  <c:v>35.709048518821184</c:v>
                </c:pt>
                <c:pt idx="286">
                  <c:v>35.709048518821184</c:v>
                </c:pt>
                <c:pt idx="287">
                  <c:v>35.709048518821184</c:v>
                </c:pt>
                <c:pt idx="288">
                  <c:v>35.709048518821184</c:v>
                </c:pt>
                <c:pt idx="289">
                  <c:v>35.709048518821184</c:v>
                </c:pt>
                <c:pt idx="290">
                  <c:v>35.709048518821184</c:v>
                </c:pt>
                <c:pt idx="291">
                  <c:v>35.709048518821184</c:v>
                </c:pt>
                <c:pt idx="292">
                  <c:v>35.709048518821184</c:v>
                </c:pt>
                <c:pt idx="293">
                  <c:v>35.709048518821184</c:v>
                </c:pt>
                <c:pt idx="294">
                  <c:v>35.94828296858195</c:v>
                </c:pt>
                <c:pt idx="295">
                  <c:v>36.489188986161395</c:v>
                </c:pt>
                <c:pt idx="296">
                  <c:v>36.489188986161395</c:v>
                </c:pt>
                <c:pt idx="297">
                  <c:v>36.489188986161395</c:v>
                </c:pt>
                <c:pt idx="298">
                  <c:v>36.489188986161395</c:v>
                </c:pt>
                <c:pt idx="299">
                  <c:v>37.201817821324127</c:v>
                </c:pt>
                <c:pt idx="300">
                  <c:v>37.201817821324127</c:v>
                </c:pt>
                <c:pt idx="301">
                  <c:v>35.942469719165246</c:v>
                </c:pt>
                <c:pt idx="302">
                  <c:v>35.942469719165246</c:v>
                </c:pt>
                <c:pt idx="303">
                  <c:v>35.942469719165246</c:v>
                </c:pt>
                <c:pt idx="304">
                  <c:v>35.942469719165246</c:v>
                </c:pt>
                <c:pt idx="305">
                  <c:v>35.3658813814803</c:v>
                </c:pt>
                <c:pt idx="306">
                  <c:v>35.3658813814803</c:v>
                </c:pt>
                <c:pt idx="307">
                  <c:v>32.456367270336862</c:v>
                </c:pt>
                <c:pt idx="308">
                  <c:v>32.456367270336862</c:v>
                </c:pt>
                <c:pt idx="309">
                  <c:v>32.456367270336862</c:v>
                </c:pt>
                <c:pt idx="310">
                  <c:v>32.456367270336862</c:v>
                </c:pt>
                <c:pt idx="311">
                  <c:v>32.456367270336862</c:v>
                </c:pt>
                <c:pt idx="312">
                  <c:v>32.456367270336862</c:v>
                </c:pt>
                <c:pt idx="313">
                  <c:v>32.456367270336862</c:v>
                </c:pt>
                <c:pt idx="314">
                  <c:v>32.456367270336862</c:v>
                </c:pt>
                <c:pt idx="315">
                  <c:v>32.456367270336862</c:v>
                </c:pt>
                <c:pt idx="316">
                  <c:v>32.456367270336862</c:v>
                </c:pt>
                <c:pt idx="317">
                  <c:v>30.869214167748773</c:v>
                </c:pt>
                <c:pt idx="318">
                  <c:v>30.869214167748773</c:v>
                </c:pt>
                <c:pt idx="319">
                  <c:v>30.869214167748773</c:v>
                </c:pt>
                <c:pt idx="320">
                  <c:v>30.869214167748773</c:v>
                </c:pt>
                <c:pt idx="321">
                  <c:v>30.869214167748773</c:v>
                </c:pt>
                <c:pt idx="322">
                  <c:v>30.869214167748773</c:v>
                </c:pt>
                <c:pt idx="323">
                  <c:v>32.099179952009528</c:v>
                </c:pt>
                <c:pt idx="324">
                  <c:v>32.099179952009528</c:v>
                </c:pt>
                <c:pt idx="325">
                  <c:v>32.099179952009528</c:v>
                </c:pt>
                <c:pt idx="326">
                  <c:v>32.099179952009528</c:v>
                </c:pt>
                <c:pt idx="327">
                  <c:v>30.369756978644716</c:v>
                </c:pt>
                <c:pt idx="328">
                  <c:v>30.369756978644716</c:v>
                </c:pt>
                <c:pt idx="329">
                  <c:v>30.369756978644716</c:v>
                </c:pt>
                <c:pt idx="330">
                  <c:v>29.811068591008961</c:v>
                </c:pt>
                <c:pt idx="331">
                  <c:v>29.811068591008961</c:v>
                </c:pt>
                <c:pt idx="332">
                  <c:v>29.811068591008961</c:v>
                </c:pt>
                <c:pt idx="333">
                  <c:v>29.811068591008961</c:v>
                </c:pt>
                <c:pt idx="334">
                  <c:v>29.16874566975951</c:v>
                </c:pt>
                <c:pt idx="335">
                  <c:v>29.16874566975951</c:v>
                </c:pt>
                <c:pt idx="336">
                  <c:v>29.16874566975951</c:v>
                </c:pt>
                <c:pt idx="337">
                  <c:v>29.16874566975951</c:v>
                </c:pt>
                <c:pt idx="338">
                  <c:v>29.16874566975951</c:v>
                </c:pt>
                <c:pt idx="339">
                  <c:v>30.028587582233001</c:v>
                </c:pt>
                <c:pt idx="340">
                  <c:v>33.604613901786713</c:v>
                </c:pt>
                <c:pt idx="341">
                  <c:v>32.459246110263081</c:v>
                </c:pt>
                <c:pt idx="342">
                  <c:v>32.459246110263081</c:v>
                </c:pt>
                <c:pt idx="343">
                  <c:v>32.459246110263081</c:v>
                </c:pt>
                <c:pt idx="344">
                  <c:v>32.459246110263081</c:v>
                </c:pt>
                <c:pt idx="345">
                  <c:v>32.459246110263081</c:v>
                </c:pt>
                <c:pt idx="346">
                  <c:v>32.404131978081018</c:v>
                </c:pt>
                <c:pt idx="347">
                  <c:v>32.404131978081018</c:v>
                </c:pt>
                <c:pt idx="348">
                  <c:v>32.404131978081018</c:v>
                </c:pt>
                <c:pt idx="349">
                  <c:v>30.987303079097675</c:v>
                </c:pt>
                <c:pt idx="350">
                  <c:v>30.987303079097675</c:v>
                </c:pt>
                <c:pt idx="351">
                  <c:v>30.987303079097675</c:v>
                </c:pt>
                <c:pt idx="352">
                  <c:v>30.987303079097675</c:v>
                </c:pt>
                <c:pt idx="353">
                  <c:v>31.03334677456467</c:v>
                </c:pt>
                <c:pt idx="354">
                  <c:v>31.03334677456467</c:v>
                </c:pt>
                <c:pt idx="355">
                  <c:v>31.03334677456467</c:v>
                </c:pt>
                <c:pt idx="356">
                  <c:v>31.03334677456467</c:v>
                </c:pt>
                <c:pt idx="357">
                  <c:v>28.874367383004316</c:v>
                </c:pt>
                <c:pt idx="358">
                  <c:v>28.874367383004316</c:v>
                </c:pt>
                <c:pt idx="359">
                  <c:v>28.874367383004316</c:v>
                </c:pt>
                <c:pt idx="360">
                  <c:v>28.874367383004316</c:v>
                </c:pt>
                <c:pt idx="361">
                  <c:v>28.874367383004316</c:v>
                </c:pt>
                <c:pt idx="362">
                  <c:v>28.874367383004316</c:v>
                </c:pt>
                <c:pt idx="363">
                  <c:v>28.874367383004316</c:v>
                </c:pt>
                <c:pt idx="364">
                  <c:v>28.874367383004316</c:v>
                </c:pt>
                <c:pt idx="365">
                  <c:v>28.874367383004316</c:v>
                </c:pt>
                <c:pt idx="366">
                  <c:v>28.874367383004316</c:v>
                </c:pt>
                <c:pt idx="367">
                  <c:v>28.874367383004316</c:v>
                </c:pt>
                <c:pt idx="368">
                  <c:v>26.7782482629664</c:v>
                </c:pt>
                <c:pt idx="369">
                  <c:v>26.7782482629664</c:v>
                </c:pt>
                <c:pt idx="370">
                  <c:v>25.718073752364656</c:v>
                </c:pt>
                <c:pt idx="371">
                  <c:v>25.718073752364656</c:v>
                </c:pt>
                <c:pt idx="372">
                  <c:v>25.718073752364656</c:v>
                </c:pt>
                <c:pt idx="373">
                  <c:v>25.718073752364656</c:v>
                </c:pt>
                <c:pt idx="374">
                  <c:v>25.718073752364656</c:v>
                </c:pt>
                <c:pt idx="375">
                  <c:v>25.718073752364656</c:v>
                </c:pt>
                <c:pt idx="376">
                  <c:v>25.718073752364656</c:v>
                </c:pt>
                <c:pt idx="377">
                  <c:v>25.718073752364656</c:v>
                </c:pt>
                <c:pt idx="378">
                  <c:v>25.718073752364656</c:v>
                </c:pt>
                <c:pt idx="379">
                  <c:v>25.718073752364656</c:v>
                </c:pt>
                <c:pt idx="380">
                  <c:v>25.718073752364656</c:v>
                </c:pt>
                <c:pt idx="381">
                  <c:v>25.718073752364656</c:v>
                </c:pt>
                <c:pt idx="382">
                  <c:v>25.718073752364656</c:v>
                </c:pt>
                <c:pt idx="383">
                  <c:v>25.168440174749733</c:v>
                </c:pt>
                <c:pt idx="384">
                  <c:v>25.168440174749733</c:v>
                </c:pt>
                <c:pt idx="385">
                  <c:v>25.171493796344944</c:v>
                </c:pt>
                <c:pt idx="386">
                  <c:v>25.171493796344944</c:v>
                </c:pt>
                <c:pt idx="387">
                  <c:v>25.171493796344944</c:v>
                </c:pt>
                <c:pt idx="388">
                  <c:v>25.374533592144921</c:v>
                </c:pt>
                <c:pt idx="389">
                  <c:v>26.151735664683777</c:v>
                </c:pt>
                <c:pt idx="390">
                  <c:v>26.151735664683777</c:v>
                </c:pt>
                <c:pt idx="391">
                  <c:v>26.151735664683777</c:v>
                </c:pt>
                <c:pt idx="392">
                  <c:v>26.151735664683777</c:v>
                </c:pt>
                <c:pt idx="393">
                  <c:v>26.151735664683777</c:v>
                </c:pt>
                <c:pt idx="394">
                  <c:v>25.20148297730827</c:v>
                </c:pt>
                <c:pt idx="395">
                  <c:v>25.20148297730827</c:v>
                </c:pt>
                <c:pt idx="396">
                  <c:v>25.20148297730827</c:v>
                </c:pt>
                <c:pt idx="397">
                  <c:v>25.20148297730827</c:v>
                </c:pt>
                <c:pt idx="398">
                  <c:v>25.20148297730827</c:v>
                </c:pt>
                <c:pt idx="399">
                  <c:v>25.70117067249878</c:v>
                </c:pt>
                <c:pt idx="400">
                  <c:v>25.70117067249878</c:v>
                </c:pt>
                <c:pt idx="401">
                  <c:v>27.918525218652036</c:v>
                </c:pt>
                <c:pt idx="402">
                  <c:v>28.418138777225515</c:v>
                </c:pt>
                <c:pt idx="403">
                  <c:v>28.418138777225515</c:v>
                </c:pt>
                <c:pt idx="404">
                  <c:v>28.418138777225515</c:v>
                </c:pt>
                <c:pt idx="405">
                  <c:v>28.090860701179327</c:v>
                </c:pt>
                <c:pt idx="406">
                  <c:v>27.236897930118111</c:v>
                </c:pt>
                <c:pt idx="407">
                  <c:v>28.776800125519213</c:v>
                </c:pt>
                <c:pt idx="408">
                  <c:v>28.776800125519213</c:v>
                </c:pt>
                <c:pt idx="409">
                  <c:v>29.252046013609135</c:v>
                </c:pt>
                <c:pt idx="410">
                  <c:v>30.625301304018862</c:v>
                </c:pt>
                <c:pt idx="411">
                  <c:v>35.445396348146495</c:v>
                </c:pt>
                <c:pt idx="412">
                  <c:v>35.445396348146495</c:v>
                </c:pt>
                <c:pt idx="413">
                  <c:v>35.558093568281734</c:v>
                </c:pt>
                <c:pt idx="414">
                  <c:v>35.558093568281734</c:v>
                </c:pt>
                <c:pt idx="415">
                  <c:v>35.558093568281734</c:v>
                </c:pt>
                <c:pt idx="416">
                  <c:v>36.374228251869312</c:v>
                </c:pt>
                <c:pt idx="417">
                  <c:v>33.234255630377184</c:v>
                </c:pt>
                <c:pt idx="418">
                  <c:v>33.234255630377184</c:v>
                </c:pt>
                <c:pt idx="419">
                  <c:v>33.234255630377184</c:v>
                </c:pt>
                <c:pt idx="420">
                  <c:v>35.229430092144071</c:v>
                </c:pt>
                <c:pt idx="421">
                  <c:v>36.324908951966741</c:v>
                </c:pt>
                <c:pt idx="422">
                  <c:v>40.361679535499917</c:v>
                </c:pt>
                <c:pt idx="423">
                  <c:v>40.878067285572726</c:v>
                </c:pt>
                <c:pt idx="424">
                  <c:v>40.878067285572726</c:v>
                </c:pt>
                <c:pt idx="425">
                  <c:v>41.279918854828537</c:v>
                </c:pt>
                <c:pt idx="426">
                  <c:v>41.964052770403498</c:v>
                </c:pt>
                <c:pt idx="427">
                  <c:v>44.272914299511264</c:v>
                </c:pt>
                <c:pt idx="428">
                  <c:v>45.196921207974128</c:v>
                </c:pt>
                <c:pt idx="429">
                  <c:v>47.817377674584442</c:v>
                </c:pt>
                <c:pt idx="430">
                  <c:v>46.681773132166271</c:v>
                </c:pt>
                <c:pt idx="431">
                  <c:v>44.214124760903438</c:v>
                </c:pt>
                <c:pt idx="432">
                  <c:v>41.934628041555541</c:v>
                </c:pt>
                <c:pt idx="433">
                  <c:v>38.423978902658163</c:v>
                </c:pt>
                <c:pt idx="434">
                  <c:v>38.423978902658163</c:v>
                </c:pt>
                <c:pt idx="435">
                  <c:v>38.423978902658163</c:v>
                </c:pt>
                <c:pt idx="436">
                  <c:v>38.423978902658163</c:v>
                </c:pt>
                <c:pt idx="437">
                  <c:v>38.423978902658163</c:v>
                </c:pt>
                <c:pt idx="438">
                  <c:v>38.765915809783685</c:v>
                </c:pt>
                <c:pt idx="439">
                  <c:v>38.765915809783685</c:v>
                </c:pt>
                <c:pt idx="440">
                  <c:v>39.999389981788589</c:v>
                </c:pt>
                <c:pt idx="441">
                  <c:v>40.672608382166146</c:v>
                </c:pt>
                <c:pt idx="442">
                  <c:v>40.672608382166146</c:v>
                </c:pt>
                <c:pt idx="443">
                  <c:v>40.672608382166146</c:v>
                </c:pt>
                <c:pt idx="444">
                  <c:v>40.158756728904308</c:v>
                </c:pt>
              </c:numCache>
            </c:numRef>
          </c:val>
          <c:smooth val="0"/>
          <c:extLst xmlns:c15="http://schemas.microsoft.com/office/drawing/2012/chart">
            <c:ext xmlns:c16="http://schemas.microsoft.com/office/drawing/2014/chart" uri="{C3380CC4-5D6E-409C-BE32-E72D297353CC}">
              <c16:uniqueId val="{00000005-3268-4A45-9311-8BC8E6FC2F8D}"/>
            </c:ext>
          </c:extLst>
        </c:ser>
        <c:ser>
          <c:idx val="3"/>
          <c:order val="2"/>
          <c:tx>
            <c:v>Gaps Down from a Down Trend</c:v>
          </c:tx>
          <c:spPr>
            <a:ln w="19050" cap="rnd">
              <a:solidFill>
                <a:schemeClr val="accent2">
                  <a:lumMod val="50000"/>
                </a:schemeClr>
              </a:solidFill>
              <a:prstDash val="sysDash"/>
              <a:round/>
            </a:ln>
            <a:effectLst/>
          </c:spPr>
          <c:marker>
            <c:symbol val="none"/>
          </c:marker>
          <c:val>
            <c:numRef>
              <c:f>'2025-Q1'!$FC$4:$FC$448</c:f>
              <c:numCache>
                <c:formatCode>0.0</c:formatCode>
                <c:ptCount val="445"/>
                <c:pt idx="0">
                  <c:v>1.6189346953666546</c:v>
                </c:pt>
                <c:pt idx="1">
                  <c:v>#N/A</c:v>
                </c:pt>
                <c:pt idx="2">
                  <c:v>#N/A</c:v>
                </c:pt>
                <c:pt idx="3">
                  <c:v>#N/A</c:v>
                </c:pt>
                <c:pt idx="4">
                  <c:v>#N/A</c:v>
                </c:pt>
                <c:pt idx="5">
                  <c:v>#N/A</c:v>
                </c:pt>
                <c:pt idx="6">
                  <c:v>#N/A</c:v>
                </c:pt>
                <c:pt idx="7">
                  <c:v>#N/A</c:v>
                </c:pt>
                <c:pt idx="8">
                  <c:v>#N/A</c:v>
                </c:pt>
                <c:pt idx="9">
                  <c:v>2.2249729960058175</c:v>
                </c:pt>
                <c:pt idx="10">
                  <c:v>#N/A</c:v>
                </c:pt>
                <c:pt idx="11">
                  <c:v>#N/A</c:v>
                </c:pt>
                <c:pt idx="12">
                  <c:v>#N/A</c:v>
                </c:pt>
                <c:pt idx="13">
                  <c:v>#N/A</c:v>
                </c:pt>
                <c:pt idx="14">
                  <c:v>#N/A</c:v>
                </c:pt>
                <c:pt idx="15">
                  <c:v>#N/A</c:v>
                </c:pt>
                <c:pt idx="16">
                  <c:v>#N/A</c:v>
                </c:pt>
                <c:pt idx="17" formatCode="0">
                  <c:v>#N/A</c:v>
                </c:pt>
                <c:pt idx="18" formatCode="0">
                  <c:v>#N/A</c:v>
                </c:pt>
                <c:pt idx="19" formatCode="0">
                  <c:v>#N/A</c:v>
                </c:pt>
                <c:pt idx="20" formatCode="0">
                  <c:v>#N/A</c:v>
                </c:pt>
                <c:pt idx="21" formatCode="0">
                  <c:v>#N/A</c:v>
                </c:pt>
                <c:pt idx="22" formatCode="0">
                  <c:v>#N/A</c:v>
                </c:pt>
                <c:pt idx="23" formatCode="0">
                  <c:v>#N/A</c:v>
                </c:pt>
                <c:pt idx="24" formatCode="0">
                  <c:v>#N/A</c:v>
                </c:pt>
                <c:pt idx="25" formatCode="0">
                  <c:v>#N/A</c:v>
                </c:pt>
                <c:pt idx="26" formatCode="0">
                  <c:v>#N/A</c:v>
                </c:pt>
                <c:pt idx="27" formatCode="0">
                  <c:v>#N/A</c:v>
                </c:pt>
                <c:pt idx="28" formatCode="0">
                  <c:v>#N/A</c:v>
                </c:pt>
                <c:pt idx="29" formatCode="0">
                  <c:v>#N/A</c:v>
                </c:pt>
                <c:pt idx="30" formatCode="0">
                  <c:v>#N/A</c:v>
                </c:pt>
                <c:pt idx="31" formatCode="0">
                  <c:v>#N/A</c:v>
                </c:pt>
                <c:pt idx="32" formatCode="0">
                  <c:v>#N/A</c:v>
                </c:pt>
                <c:pt idx="33" formatCode="0">
                  <c:v>2.0820997819209928</c:v>
                </c:pt>
                <c:pt idx="34" formatCode="0">
                  <c:v>#N/A</c:v>
                </c:pt>
                <c:pt idx="35" formatCode="0">
                  <c:v>#N/A</c:v>
                </c:pt>
                <c:pt idx="36" formatCode="0">
                  <c:v>#N/A</c:v>
                </c:pt>
                <c:pt idx="37" formatCode="0">
                  <c:v>#N/A</c:v>
                </c:pt>
                <c:pt idx="38" formatCode="0">
                  <c:v>#N/A</c:v>
                </c:pt>
                <c:pt idx="39" formatCode="0">
                  <c:v>2.375586631452542</c:v>
                </c:pt>
                <c:pt idx="40" formatCode="0">
                  <c:v>#N/A</c:v>
                </c:pt>
                <c:pt idx="41" formatCode="0">
                  <c:v>#N/A</c:v>
                </c:pt>
                <c:pt idx="42" formatCode="0">
                  <c:v>#N/A</c:v>
                </c:pt>
                <c:pt idx="43" formatCode="0">
                  <c:v>#N/A</c:v>
                </c:pt>
                <c:pt idx="44" formatCode="0">
                  <c:v>#N/A</c:v>
                </c:pt>
                <c:pt idx="45" formatCode="0">
                  <c:v>#N/A</c:v>
                </c:pt>
                <c:pt idx="46" formatCode="0">
                  <c:v>#N/A</c:v>
                </c:pt>
                <c:pt idx="47" formatCode="0">
                  <c:v>#N/A</c:v>
                </c:pt>
                <c:pt idx="48" formatCode="0">
                  <c:v>2.2093036946400582</c:v>
                </c:pt>
                <c:pt idx="49" formatCode="0">
                  <c:v>#N/A</c:v>
                </c:pt>
                <c:pt idx="50" formatCode="0">
                  <c:v>#N/A</c:v>
                </c:pt>
                <c:pt idx="51" formatCode="0">
                  <c:v>#N/A</c:v>
                </c:pt>
                <c:pt idx="52" formatCode="0">
                  <c:v>#N/A</c:v>
                </c:pt>
                <c:pt idx="53" formatCode="0">
                  <c:v>#N/A</c:v>
                </c:pt>
                <c:pt idx="54" formatCode="0">
                  <c:v>#N/A</c:v>
                </c:pt>
                <c:pt idx="55" formatCode="0">
                  <c:v>#N/A</c:v>
                </c:pt>
                <c:pt idx="56" formatCode="0">
                  <c:v>#N/A</c:v>
                </c:pt>
                <c:pt idx="57" formatCode="0">
                  <c:v>#N/A</c:v>
                </c:pt>
                <c:pt idx="58" formatCode="0">
                  <c:v>#N/A</c:v>
                </c:pt>
                <c:pt idx="59" formatCode="0">
                  <c:v>#N/A</c:v>
                </c:pt>
                <c:pt idx="60" formatCode="0">
                  <c:v>#N/A</c:v>
                </c:pt>
                <c:pt idx="61" formatCode="0">
                  <c:v>#N/A</c:v>
                </c:pt>
                <c:pt idx="62" formatCode="0">
                  <c:v>2.7470021467302992</c:v>
                </c:pt>
                <c:pt idx="63" formatCode="0">
                  <c:v>#N/A</c:v>
                </c:pt>
                <c:pt idx="64" formatCode="0">
                  <c:v>#N/A</c:v>
                </c:pt>
                <c:pt idx="65" formatCode="0">
                  <c:v>#N/A</c:v>
                </c:pt>
                <c:pt idx="66" formatCode="0">
                  <c:v>#N/A</c:v>
                </c:pt>
                <c:pt idx="67" formatCode="0">
                  <c:v>#N/A</c:v>
                </c:pt>
                <c:pt idx="68" formatCode="0">
                  <c:v>#N/A</c:v>
                </c:pt>
                <c:pt idx="69" formatCode="0">
                  <c:v>#N/A</c:v>
                </c:pt>
                <c:pt idx="70" formatCode="0">
                  <c:v>#N/A</c:v>
                </c:pt>
                <c:pt idx="71" formatCode="0">
                  <c:v>#N/A</c:v>
                </c:pt>
                <c:pt idx="72" formatCode="0">
                  <c:v>2.268310651768191</c:v>
                </c:pt>
                <c:pt idx="73" formatCode="0">
                  <c:v>#N/A</c:v>
                </c:pt>
                <c:pt idx="74" formatCode="0">
                  <c:v>#N/A</c:v>
                </c:pt>
                <c:pt idx="75" formatCode="0">
                  <c:v>#N/A</c:v>
                </c:pt>
                <c:pt idx="76" formatCode="0">
                  <c:v>#N/A</c:v>
                </c:pt>
                <c:pt idx="77" formatCode="0">
                  <c:v>#N/A</c:v>
                </c:pt>
                <c:pt idx="78" formatCode="0">
                  <c:v>#N/A</c:v>
                </c:pt>
                <c:pt idx="79" formatCode="0">
                  <c:v>#N/A</c:v>
                </c:pt>
                <c:pt idx="80" formatCode="0">
                  <c:v>2.4187467259579312</c:v>
                </c:pt>
                <c:pt idx="81" formatCode="0">
                  <c:v>#N/A</c:v>
                </c:pt>
                <c:pt idx="82" formatCode="0">
                  <c:v>#N/A</c:v>
                </c:pt>
                <c:pt idx="83" formatCode="0">
                  <c:v>#N/A</c:v>
                </c:pt>
                <c:pt idx="84" formatCode="0">
                  <c:v>#N/A</c:v>
                </c:pt>
                <c:pt idx="85" formatCode="0">
                  <c:v>#N/A</c:v>
                </c:pt>
                <c:pt idx="86" formatCode="0">
                  <c:v>#N/A</c:v>
                </c:pt>
                <c:pt idx="87" formatCode="0">
                  <c:v>#N/A</c:v>
                </c:pt>
                <c:pt idx="88" formatCode="0">
                  <c:v>#N/A</c:v>
                </c:pt>
                <c:pt idx="89" formatCode="0">
                  <c:v>#N/A</c:v>
                </c:pt>
                <c:pt idx="90" formatCode="0">
                  <c:v>#N/A</c:v>
                </c:pt>
                <c:pt idx="91" formatCode="0">
                  <c:v>#N/A</c:v>
                </c:pt>
                <c:pt idx="92" formatCode="0">
                  <c:v>#N/A</c:v>
                </c:pt>
                <c:pt idx="93" formatCode="0">
                  <c:v>#N/A</c:v>
                </c:pt>
                <c:pt idx="94" formatCode="0">
                  <c:v>#N/A</c:v>
                </c:pt>
                <c:pt idx="95" formatCode="0">
                  <c:v>#N/A</c:v>
                </c:pt>
                <c:pt idx="96" formatCode="0">
                  <c:v>#N/A</c:v>
                </c:pt>
                <c:pt idx="97" formatCode="0">
                  <c:v>#N/A</c:v>
                </c:pt>
                <c:pt idx="98" formatCode="0">
                  <c:v>#N/A</c:v>
                </c:pt>
                <c:pt idx="99" formatCode="0">
                  <c:v>#N/A</c:v>
                </c:pt>
                <c:pt idx="100" formatCode="0">
                  <c:v>#N/A</c:v>
                </c:pt>
                <c:pt idx="101" formatCode="0">
                  <c:v>#N/A</c:v>
                </c:pt>
                <c:pt idx="102" formatCode="0">
                  <c:v>#N/A</c:v>
                </c:pt>
                <c:pt idx="103" formatCode="0">
                  <c:v>#N/A</c:v>
                </c:pt>
                <c:pt idx="104" formatCode="0">
                  <c:v>2.9406953340949782</c:v>
                </c:pt>
                <c:pt idx="105" formatCode="0">
                  <c:v>#N/A</c:v>
                </c:pt>
                <c:pt idx="106" formatCode="0">
                  <c:v>#N/A</c:v>
                </c:pt>
                <c:pt idx="107" formatCode="0">
                  <c:v>#N/A</c:v>
                </c:pt>
                <c:pt idx="108" formatCode="0">
                  <c:v>#N/A</c:v>
                </c:pt>
                <c:pt idx="109" formatCode="0">
                  <c:v>#N/A</c:v>
                </c:pt>
                <c:pt idx="110" formatCode="0">
                  <c:v>2.5022000652281413</c:v>
                </c:pt>
                <c:pt idx="111" formatCode="0">
                  <c:v>#N/A</c:v>
                </c:pt>
                <c:pt idx="112" formatCode="0">
                  <c:v>2.1086709710718914</c:v>
                </c:pt>
                <c:pt idx="113" formatCode="0">
                  <c:v>#N/A</c:v>
                </c:pt>
                <c:pt idx="114" formatCode="0">
                  <c:v>1.7422323456099116</c:v>
                </c:pt>
                <c:pt idx="115" formatCode="0">
                  <c:v>#N/A</c:v>
                </c:pt>
                <c:pt idx="116" formatCode="0">
                  <c:v>2.0548592234012224</c:v>
                </c:pt>
                <c:pt idx="117" formatCode="0">
                  <c:v>#N/A</c:v>
                </c:pt>
                <c:pt idx="118" formatCode="0">
                  <c:v>#N/A</c:v>
                </c:pt>
                <c:pt idx="119" formatCode="0">
                  <c:v>#N/A</c:v>
                </c:pt>
                <c:pt idx="120" formatCode="0">
                  <c:v>#N/A</c:v>
                </c:pt>
                <c:pt idx="121" formatCode="0">
                  <c:v>#N/A</c:v>
                </c:pt>
                <c:pt idx="122" formatCode="0">
                  <c:v>#N/A</c:v>
                </c:pt>
                <c:pt idx="123" formatCode="0">
                  <c:v>#N/A</c:v>
                </c:pt>
                <c:pt idx="124" formatCode="0">
                  <c:v>2.4479613608400959</c:v>
                </c:pt>
                <c:pt idx="125" formatCode="0">
                  <c:v>2.2553388047387783</c:v>
                </c:pt>
                <c:pt idx="126" formatCode="0">
                  <c:v>#N/A</c:v>
                </c:pt>
                <c:pt idx="127" formatCode="0">
                  <c:v>#N/A</c:v>
                </c:pt>
                <c:pt idx="128" formatCode="0">
                  <c:v>#N/A</c:v>
                </c:pt>
                <c:pt idx="129" formatCode="0">
                  <c:v>#N/A</c:v>
                </c:pt>
                <c:pt idx="130" formatCode="0">
                  <c:v>#N/A</c:v>
                </c:pt>
                <c:pt idx="131" formatCode="0">
                  <c:v>#N/A</c:v>
                </c:pt>
                <c:pt idx="132" formatCode="0">
                  <c:v>#N/A</c:v>
                </c:pt>
                <c:pt idx="133" formatCode="0">
                  <c:v>#N/A</c:v>
                </c:pt>
                <c:pt idx="134" formatCode="0">
                  <c:v>#N/A</c:v>
                </c:pt>
                <c:pt idx="135" formatCode="0">
                  <c:v>2.2037434211678351</c:v>
                </c:pt>
                <c:pt idx="136" formatCode="0">
                  <c:v>#N/A</c:v>
                </c:pt>
                <c:pt idx="137" formatCode="0">
                  <c:v>#N/A</c:v>
                </c:pt>
                <c:pt idx="138" formatCode="0">
                  <c:v>#N/A</c:v>
                </c:pt>
                <c:pt idx="139" formatCode="0">
                  <c:v>#N/A</c:v>
                </c:pt>
                <c:pt idx="140" formatCode="0">
                  <c:v>#N/A</c:v>
                </c:pt>
                <c:pt idx="141" formatCode="0">
                  <c:v>#N/A</c:v>
                </c:pt>
                <c:pt idx="142" formatCode="0">
                  <c:v>#N/A</c:v>
                </c:pt>
                <c:pt idx="143" formatCode="0">
                  <c:v>#N/A</c:v>
                </c:pt>
                <c:pt idx="144" formatCode="0">
                  <c:v>#N/A</c:v>
                </c:pt>
                <c:pt idx="145" formatCode="0">
                  <c:v>#N/A</c:v>
                </c:pt>
                <c:pt idx="146" formatCode="0">
                  <c:v>#N/A</c:v>
                </c:pt>
                <c:pt idx="147" formatCode="0">
                  <c:v>1.9708611825643958</c:v>
                </c:pt>
                <c:pt idx="148" formatCode="0">
                  <c:v>#N/A</c:v>
                </c:pt>
                <c:pt idx="149" formatCode="0">
                  <c:v>#N/A</c:v>
                </c:pt>
                <c:pt idx="150" formatCode="0">
                  <c:v>2.2591211406356737</c:v>
                </c:pt>
                <c:pt idx="151" formatCode="0">
                  <c:v>#N/A</c:v>
                </c:pt>
                <c:pt idx="152" formatCode="0">
                  <c:v>#N/A</c:v>
                </c:pt>
                <c:pt idx="153" formatCode="0">
                  <c:v>#N/A</c:v>
                </c:pt>
                <c:pt idx="154" formatCode="0">
                  <c:v>#N/A</c:v>
                </c:pt>
                <c:pt idx="155" formatCode="0">
                  <c:v>#N/A</c:v>
                </c:pt>
                <c:pt idx="156" formatCode="0">
                  <c:v>#N/A</c:v>
                </c:pt>
                <c:pt idx="157" formatCode="0">
                  <c:v>#N/A</c:v>
                </c:pt>
                <c:pt idx="158" formatCode="0">
                  <c:v>#N/A</c:v>
                </c:pt>
                <c:pt idx="159" formatCode="0">
                  <c:v>#N/A</c:v>
                </c:pt>
                <c:pt idx="160" formatCode="0">
                  <c:v>#N/A</c:v>
                </c:pt>
                <c:pt idx="161" formatCode="0">
                  <c:v>#N/A</c:v>
                </c:pt>
                <c:pt idx="162" formatCode="0">
                  <c:v>1.9691211406356746</c:v>
                </c:pt>
                <c:pt idx="163" formatCode="0">
                  <c:v>2.2586000785474307</c:v>
                </c:pt>
                <c:pt idx="164" formatCode="0">
                  <c:v>#N/A</c:v>
                </c:pt>
                <c:pt idx="165" formatCode="0">
                  <c:v>#N/A</c:v>
                </c:pt>
                <c:pt idx="166" formatCode="0">
                  <c:v>#N/A</c:v>
                </c:pt>
                <c:pt idx="167" formatCode="0">
                  <c:v>1.0826734583679811</c:v>
                </c:pt>
                <c:pt idx="168" formatCode="0">
                  <c:v>#N/A</c:v>
                </c:pt>
                <c:pt idx="169" formatCode="0">
                  <c:v>#N/A</c:v>
                </c:pt>
                <c:pt idx="170" formatCode="0">
                  <c:v>#N/A</c:v>
                </c:pt>
                <c:pt idx="171" formatCode="0">
                  <c:v>#N/A</c:v>
                </c:pt>
                <c:pt idx="172" formatCode="0">
                  <c:v>#N/A</c:v>
                </c:pt>
                <c:pt idx="173" formatCode="0">
                  <c:v>#N/A</c:v>
                </c:pt>
                <c:pt idx="174" formatCode="0">
                  <c:v>#N/A</c:v>
                </c:pt>
                <c:pt idx="175" formatCode="0">
                  <c:v>1.4192055122131091</c:v>
                </c:pt>
                <c:pt idx="176" formatCode="0">
                  <c:v>#N/A</c:v>
                </c:pt>
                <c:pt idx="177" formatCode="0">
                  <c:v>2.8347747603303812</c:v>
                </c:pt>
                <c:pt idx="178" formatCode="0">
                  <c:v>#N/A</c:v>
                </c:pt>
                <c:pt idx="179" formatCode="0">
                  <c:v>2.9066138407901514</c:v>
                </c:pt>
                <c:pt idx="180" formatCode="0">
                  <c:v>#N/A</c:v>
                </c:pt>
                <c:pt idx="181" formatCode="0">
                  <c:v>#N/A</c:v>
                </c:pt>
                <c:pt idx="182" formatCode="0">
                  <c:v>#N/A</c:v>
                </c:pt>
                <c:pt idx="183" formatCode="0">
                  <c:v>#N/A</c:v>
                </c:pt>
                <c:pt idx="184" formatCode="0">
                  <c:v>2.2929457794233432</c:v>
                </c:pt>
                <c:pt idx="185" formatCode="0">
                  <c:v>#N/A</c:v>
                </c:pt>
                <c:pt idx="186" formatCode="0">
                  <c:v>1.3485409326663942</c:v>
                </c:pt>
                <c:pt idx="187" formatCode="0">
                  <c:v>#N/A</c:v>
                </c:pt>
                <c:pt idx="188" formatCode="0">
                  <c:v>-0.47920215550659995</c:v>
                </c:pt>
                <c:pt idx="189" formatCode="0">
                  <c:v>#N/A</c:v>
                </c:pt>
                <c:pt idx="190" formatCode="0">
                  <c:v>#N/A</c:v>
                </c:pt>
                <c:pt idx="191" formatCode="0">
                  <c:v>0.32623786561969503</c:v>
                </c:pt>
                <c:pt idx="192" formatCode="0">
                  <c:v>#N/A</c:v>
                </c:pt>
                <c:pt idx="193" formatCode="0">
                  <c:v>#N/A</c:v>
                </c:pt>
                <c:pt idx="194" formatCode="0">
                  <c:v>#N/A</c:v>
                </c:pt>
                <c:pt idx="195" formatCode="0">
                  <c:v>#N/A</c:v>
                </c:pt>
                <c:pt idx="196" formatCode="0">
                  <c:v>#N/A</c:v>
                </c:pt>
                <c:pt idx="197" formatCode="0">
                  <c:v>0.32623786561969503</c:v>
                </c:pt>
                <c:pt idx="198" formatCode="0">
                  <c:v>1.6337091299875075</c:v>
                </c:pt>
                <c:pt idx="199" formatCode="0">
                  <c:v>1.5767777323216938</c:v>
                </c:pt>
                <c:pt idx="200" formatCode="0">
                  <c:v>#N/A</c:v>
                </c:pt>
                <c:pt idx="201" formatCode="0">
                  <c:v>#N/A</c:v>
                </c:pt>
                <c:pt idx="202" formatCode="0">
                  <c:v>#N/A</c:v>
                </c:pt>
                <c:pt idx="203" formatCode="0">
                  <c:v>#N/A</c:v>
                </c:pt>
                <c:pt idx="204" formatCode="0">
                  <c:v>#N/A</c:v>
                </c:pt>
                <c:pt idx="205" formatCode="0">
                  <c:v>#N/A</c:v>
                </c:pt>
                <c:pt idx="206" formatCode="0">
                  <c:v>#N/A</c:v>
                </c:pt>
                <c:pt idx="207" formatCode="0">
                  <c:v>#N/A</c:v>
                </c:pt>
                <c:pt idx="208" formatCode="0">
                  <c:v>#N/A</c:v>
                </c:pt>
                <c:pt idx="209" formatCode="0">
                  <c:v>#N/A</c:v>
                </c:pt>
                <c:pt idx="210" formatCode="0">
                  <c:v>#N/A</c:v>
                </c:pt>
                <c:pt idx="211" formatCode="0">
                  <c:v>1.0728928180975217</c:v>
                </c:pt>
                <c:pt idx="212" formatCode="0">
                  <c:v>1.3816993585756161</c:v>
                </c:pt>
                <c:pt idx="213" formatCode="0">
                  <c:v>#N/A</c:v>
                </c:pt>
                <c:pt idx="214" formatCode="0">
                  <c:v>#N/A</c:v>
                </c:pt>
                <c:pt idx="215" formatCode="0">
                  <c:v>#N/A</c:v>
                </c:pt>
                <c:pt idx="216" formatCode="0">
                  <c:v>#N/A</c:v>
                </c:pt>
                <c:pt idx="217" formatCode="0">
                  <c:v>#N/A</c:v>
                </c:pt>
                <c:pt idx="218" formatCode="0">
                  <c:v>#N/A</c:v>
                </c:pt>
                <c:pt idx="219" formatCode="0">
                  <c:v>#N/A</c:v>
                </c:pt>
                <c:pt idx="220" formatCode="0">
                  <c:v>1.7646497415260003</c:v>
                </c:pt>
                <c:pt idx="221" formatCode="0">
                  <c:v>#N/A</c:v>
                </c:pt>
                <c:pt idx="222" formatCode="0">
                  <c:v>#N/A</c:v>
                </c:pt>
                <c:pt idx="223" formatCode="0">
                  <c:v>#N/A</c:v>
                </c:pt>
                <c:pt idx="224" formatCode="0">
                  <c:v>#N/A</c:v>
                </c:pt>
                <c:pt idx="225" formatCode="0">
                  <c:v>#N/A</c:v>
                </c:pt>
                <c:pt idx="226" formatCode="0">
                  <c:v>2.3484409503172072</c:v>
                </c:pt>
                <c:pt idx="227" formatCode="0">
                  <c:v>#N/A</c:v>
                </c:pt>
                <c:pt idx="228" formatCode="0">
                  <c:v>2.4577960705552639</c:v>
                </c:pt>
                <c:pt idx="229" formatCode="0">
                  <c:v>#N/A</c:v>
                </c:pt>
                <c:pt idx="230" formatCode="0">
                  <c:v>1.8740416684728869</c:v>
                </c:pt>
                <c:pt idx="231" formatCode="0">
                  <c:v>#N/A</c:v>
                </c:pt>
                <c:pt idx="232" formatCode="0">
                  <c:v>#N/A</c:v>
                </c:pt>
                <c:pt idx="233" formatCode="0">
                  <c:v>#N/A</c:v>
                </c:pt>
                <c:pt idx="234" formatCode="0">
                  <c:v>#N/A</c:v>
                </c:pt>
                <c:pt idx="235" formatCode="0">
                  <c:v>#N/A</c:v>
                </c:pt>
                <c:pt idx="236" formatCode="0">
                  <c:v>#N/A</c:v>
                </c:pt>
                <c:pt idx="237" formatCode="0">
                  <c:v>#N/A</c:v>
                </c:pt>
                <c:pt idx="238" formatCode="0">
                  <c:v>#N/A</c:v>
                </c:pt>
                <c:pt idx="239" formatCode="0">
                  <c:v>#N/A</c:v>
                </c:pt>
                <c:pt idx="240" formatCode="0">
                  <c:v>#N/A</c:v>
                </c:pt>
                <c:pt idx="241" formatCode="0">
                  <c:v>#N/A</c:v>
                </c:pt>
                <c:pt idx="242" formatCode="0">
                  <c:v>#N/A</c:v>
                </c:pt>
                <c:pt idx="243" formatCode="0">
                  <c:v>#N/A</c:v>
                </c:pt>
                <c:pt idx="244" formatCode="0">
                  <c:v>2.4646877629762614</c:v>
                </c:pt>
                <c:pt idx="245" formatCode="0">
                  <c:v>#N/A</c:v>
                </c:pt>
                <c:pt idx="246" formatCode="0">
                  <c:v>#N/A</c:v>
                </c:pt>
                <c:pt idx="247" formatCode="0">
                  <c:v>#N/A</c:v>
                </c:pt>
                <c:pt idx="248" formatCode="0">
                  <c:v>#N/A</c:v>
                </c:pt>
                <c:pt idx="249" formatCode="0">
                  <c:v>#N/A</c:v>
                </c:pt>
                <c:pt idx="250" formatCode="0">
                  <c:v>#N/A</c:v>
                </c:pt>
                <c:pt idx="251" formatCode="0">
                  <c:v>#N/A</c:v>
                </c:pt>
                <c:pt idx="252" formatCode="0">
                  <c:v>#N/A</c:v>
                </c:pt>
                <c:pt idx="253" formatCode="0">
                  <c:v>#N/A</c:v>
                </c:pt>
                <c:pt idx="254" formatCode="0">
                  <c:v>#N/A</c:v>
                </c:pt>
                <c:pt idx="255" formatCode="0">
                  <c:v>#N/A</c:v>
                </c:pt>
                <c:pt idx="256" formatCode="0">
                  <c:v>#N/A</c:v>
                </c:pt>
                <c:pt idx="257" formatCode="0">
                  <c:v>3.4395659032087322</c:v>
                </c:pt>
                <c:pt idx="258" formatCode="0">
                  <c:v>#N/A</c:v>
                </c:pt>
                <c:pt idx="259" formatCode="0">
                  <c:v>#N/A</c:v>
                </c:pt>
                <c:pt idx="260" formatCode="0">
                  <c:v>#N/A</c:v>
                </c:pt>
                <c:pt idx="261" formatCode="0">
                  <c:v>3.5556771189245415</c:v>
                </c:pt>
                <c:pt idx="262" formatCode="0">
                  <c:v>#N/A</c:v>
                </c:pt>
                <c:pt idx="263" formatCode="0">
                  <c:v>#N/A</c:v>
                </c:pt>
                <c:pt idx="264" formatCode="0">
                  <c:v>#N/A</c:v>
                </c:pt>
                <c:pt idx="265" formatCode="0">
                  <c:v>#N/A</c:v>
                </c:pt>
                <c:pt idx="266" formatCode="0">
                  <c:v>#N/A</c:v>
                </c:pt>
                <c:pt idx="267" formatCode="0">
                  <c:v>#N/A</c:v>
                </c:pt>
                <c:pt idx="268" formatCode="0">
                  <c:v>#N/A</c:v>
                </c:pt>
                <c:pt idx="269" formatCode="0">
                  <c:v>#N/A</c:v>
                </c:pt>
                <c:pt idx="270" formatCode="0">
                  <c:v>#N/A</c:v>
                </c:pt>
                <c:pt idx="271" formatCode="0">
                  <c:v>4.8239698018513684</c:v>
                </c:pt>
                <c:pt idx="272" formatCode="0">
                  <c:v>#N/A</c:v>
                </c:pt>
                <c:pt idx="273" formatCode="0">
                  <c:v>#N/A</c:v>
                </c:pt>
                <c:pt idx="274" formatCode="0">
                  <c:v>4.8057468993074526</c:v>
                </c:pt>
                <c:pt idx="275" formatCode="0">
                  <c:v>#N/A</c:v>
                </c:pt>
                <c:pt idx="276" formatCode="0">
                  <c:v>#N/A</c:v>
                </c:pt>
                <c:pt idx="277" formatCode="0">
                  <c:v>#N/A</c:v>
                </c:pt>
                <c:pt idx="278" formatCode="0">
                  <c:v>#N/A</c:v>
                </c:pt>
                <c:pt idx="279" formatCode="0">
                  <c:v>#N/A</c:v>
                </c:pt>
                <c:pt idx="280" formatCode="0">
                  <c:v>4.6396590237223725</c:v>
                </c:pt>
                <c:pt idx="281" formatCode="0">
                  <c:v>#N/A</c:v>
                </c:pt>
                <c:pt idx="282" formatCode="0">
                  <c:v>#N/A</c:v>
                </c:pt>
                <c:pt idx="283" formatCode="0">
                  <c:v>#N/A</c:v>
                </c:pt>
                <c:pt idx="284" formatCode="0">
                  <c:v>#N/A</c:v>
                </c:pt>
                <c:pt idx="285" formatCode="0">
                  <c:v>#N/A</c:v>
                </c:pt>
                <c:pt idx="286" formatCode="0">
                  <c:v>#N/A</c:v>
                </c:pt>
                <c:pt idx="287" formatCode="0">
                  <c:v>#N/A</c:v>
                </c:pt>
                <c:pt idx="288" formatCode="0">
                  <c:v>#N/A</c:v>
                </c:pt>
                <c:pt idx="289" formatCode="0">
                  <c:v>#N/A</c:v>
                </c:pt>
                <c:pt idx="290" formatCode="0">
                  <c:v>#N/A</c:v>
                </c:pt>
                <c:pt idx="291" formatCode="0">
                  <c:v>#N/A</c:v>
                </c:pt>
                <c:pt idx="292" formatCode="0">
                  <c:v>#N/A</c:v>
                </c:pt>
                <c:pt idx="293" formatCode="0">
                  <c:v>#N/A</c:v>
                </c:pt>
                <c:pt idx="294" formatCode="0">
                  <c:v>4.7562091402724871</c:v>
                </c:pt>
                <c:pt idx="295" formatCode="0">
                  <c:v>4.1420554328124899</c:v>
                </c:pt>
                <c:pt idx="296" formatCode="0">
                  <c:v>#N/A</c:v>
                </c:pt>
                <c:pt idx="297" formatCode="0">
                  <c:v>#N/A</c:v>
                </c:pt>
                <c:pt idx="298" formatCode="0">
                  <c:v>#N/A</c:v>
                </c:pt>
                <c:pt idx="299" formatCode="0">
                  <c:v>4.5402188591701904</c:v>
                </c:pt>
                <c:pt idx="300" formatCode="0">
                  <c:v>#N/A</c:v>
                </c:pt>
                <c:pt idx="301" formatCode="0">
                  <c:v>#N/A</c:v>
                </c:pt>
                <c:pt idx="302" formatCode="0">
                  <c:v>#N/A</c:v>
                </c:pt>
                <c:pt idx="303" formatCode="0">
                  <c:v>#N/A</c:v>
                </c:pt>
                <c:pt idx="304" formatCode="0">
                  <c:v>#N/A</c:v>
                </c:pt>
                <c:pt idx="305" formatCode="0">
                  <c:v>#N/A</c:v>
                </c:pt>
                <c:pt idx="306" formatCode="0">
                  <c:v>#N/A</c:v>
                </c:pt>
                <c:pt idx="307" formatCode="0">
                  <c:v>#N/A</c:v>
                </c:pt>
                <c:pt idx="308" formatCode="0">
                  <c:v>#N/A</c:v>
                </c:pt>
                <c:pt idx="309" formatCode="0">
                  <c:v>#N/A</c:v>
                </c:pt>
                <c:pt idx="310" formatCode="0">
                  <c:v>#N/A</c:v>
                </c:pt>
                <c:pt idx="311" formatCode="0">
                  <c:v>#N/A</c:v>
                </c:pt>
                <c:pt idx="312" formatCode="0">
                  <c:v>#N/A</c:v>
                </c:pt>
                <c:pt idx="313" formatCode="0">
                  <c:v>#N/A</c:v>
                </c:pt>
                <c:pt idx="314" formatCode="0">
                  <c:v>#N/A</c:v>
                </c:pt>
                <c:pt idx="315" formatCode="0">
                  <c:v>#N/A</c:v>
                </c:pt>
                <c:pt idx="316" formatCode="0">
                  <c:v>#N/A</c:v>
                </c:pt>
                <c:pt idx="317" formatCode="0">
                  <c:v>#N/A</c:v>
                </c:pt>
                <c:pt idx="318" formatCode="0">
                  <c:v>#N/A</c:v>
                </c:pt>
                <c:pt idx="319" formatCode="0">
                  <c:v>#N/A</c:v>
                </c:pt>
                <c:pt idx="320" formatCode="0">
                  <c:v>#N/A</c:v>
                </c:pt>
                <c:pt idx="321" formatCode="0">
                  <c:v>#N/A</c:v>
                </c:pt>
                <c:pt idx="322" formatCode="0">
                  <c:v>#N/A</c:v>
                </c:pt>
                <c:pt idx="323" formatCode="0">
                  <c:v>4.9508077300507951</c:v>
                </c:pt>
                <c:pt idx="324" formatCode="0">
                  <c:v>#N/A</c:v>
                </c:pt>
                <c:pt idx="325" formatCode="0">
                  <c:v>#N/A</c:v>
                </c:pt>
                <c:pt idx="326" formatCode="0">
                  <c:v>#N/A</c:v>
                </c:pt>
                <c:pt idx="327" formatCode="0">
                  <c:v>#N/A</c:v>
                </c:pt>
                <c:pt idx="328" formatCode="0">
                  <c:v>#N/A</c:v>
                </c:pt>
                <c:pt idx="329" formatCode="0">
                  <c:v>#N/A</c:v>
                </c:pt>
                <c:pt idx="330" formatCode="0">
                  <c:v>3.7655529263749372</c:v>
                </c:pt>
                <c:pt idx="331" formatCode="0">
                  <c:v>#N/A</c:v>
                </c:pt>
                <c:pt idx="332" formatCode="0">
                  <c:v>#N/A</c:v>
                </c:pt>
                <c:pt idx="333" formatCode="0">
                  <c:v>#N/A</c:v>
                </c:pt>
                <c:pt idx="334" formatCode="0">
                  <c:v>#N/A</c:v>
                </c:pt>
                <c:pt idx="335" formatCode="0">
                  <c:v>#N/A</c:v>
                </c:pt>
                <c:pt idx="336" formatCode="0">
                  <c:v>#N/A</c:v>
                </c:pt>
                <c:pt idx="337" formatCode="0">
                  <c:v>#N/A</c:v>
                </c:pt>
                <c:pt idx="338" formatCode="0">
                  <c:v>#N/A</c:v>
                </c:pt>
                <c:pt idx="339" formatCode="0">
                  <c:v>3.5727632599010599</c:v>
                </c:pt>
                <c:pt idx="340" formatCode="0">
                  <c:v>3.6895801196731477</c:v>
                </c:pt>
                <c:pt idx="341" formatCode="0">
                  <c:v>#N/A</c:v>
                </c:pt>
                <c:pt idx="342" formatCode="0">
                  <c:v>#N/A</c:v>
                </c:pt>
                <c:pt idx="343" formatCode="0">
                  <c:v>#N/A</c:v>
                </c:pt>
                <c:pt idx="344" formatCode="0">
                  <c:v>#N/A</c:v>
                </c:pt>
                <c:pt idx="345" formatCode="0">
                  <c:v>#N/A</c:v>
                </c:pt>
                <c:pt idx="346" formatCode="0">
                  <c:v>3.177477974814837</c:v>
                </c:pt>
                <c:pt idx="347" formatCode="0">
                  <c:v>#N/A</c:v>
                </c:pt>
                <c:pt idx="348" formatCode="0">
                  <c:v>#N/A</c:v>
                </c:pt>
                <c:pt idx="349" formatCode="0">
                  <c:v>#N/A</c:v>
                </c:pt>
                <c:pt idx="350" formatCode="0">
                  <c:v>#N/A</c:v>
                </c:pt>
                <c:pt idx="351" formatCode="0">
                  <c:v>#N/A</c:v>
                </c:pt>
                <c:pt idx="352" formatCode="0">
                  <c:v>#N/A</c:v>
                </c:pt>
                <c:pt idx="353" formatCode="0">
                  <c:v>#N/A</c:v>
                </c:pt>
                <c:pt idx="354" formatCode="0">
                  <c:v>#N/A</c:v>
                </c:pt>
                <c:pt idx="355" formatCode="0">
                  <c:v>#N/A</c:v>
                </c:pt>
                <c:pt idx="356" formatCode="0">
                  <c:v>#N/A</c:v>
                </c:pt>
                <c:pt idx="357" formatCode="0">
                  <c:v>#N/A</c:v>
                </c:pt>
                <c:pt idx="358" formatCode="0">
                  <c:v>#N/A</c:v>
                </c:pt>
                <c:pt idx="359" formatCode="0">
                  <c:v>#N/A</c:v>
                </c:pt>
                <c:pt idx="360" formatCode="0">
                  <c:v>#N/A</c:v>
                </c:pt>
                <c:pt idx="361" formatCode="0">
                  <c:v>#N/A</c:v>
                </c:pt>
                <c:pt idx="362" formatCode="0">
                  <c:v>#N/A</c:v>
                </c:pt>
                <c:pt idx="363" formatCode="0">
                  <c:v>#N/A</c:v>
                </c:pt>
                <c:pt idx="364" formatCode="0">
                  <c:v>#N/A</c:v>
                </c:pt>
                <c:pt idx="365" formatCode="0">
                  <c:v>#N/A</c:v>
                </c:pt>
                <c:pt idx="366" formatCode="0">
                  <c:v>#N/A</c:v>
                </c:pt>
                <c:pt idx="367" formatCode="0">
                  <c:v>#N/A</c:v>
                </c:pt>
                <c:pt idx="368" formatCode="0">
                  <c:v>#N/A</c:v>
                </c:pt>
                <c:pt idx="369" formatCode="0">
                  <c:v>#N/A</c:v>
                </c:pt>
                <c:pt idx="370" formatCode="0">
                  <c:v>#N/A</c:v>
                </c:pt>
                <c:pt idx="371" formatCode="0">
                  <c:v>#N/A</c:v>
                </c:pt>
                <c:pt idx="372" formatCode="0">
                  <c:v>#N/A</c:v>
                </c:pt>
                <c:pt idx="373" formatCode="0">
                  <c:v>#N/A</c:v>
                </c:pt>
                <c:pt idx="374" formatCode="0">
                  <c:v>#N/A</c:v>
                </c:pt>
                <c:pt idx="375" formatCode="0">
                  <c:v>#N/A</c:v>
                </c:pt>
                <c:pt idx="376" formatCode="0">
                  <c:v>#N/A</c:v>
                </c:pt>
                <c:pt idx="377" formatCode="0">
                  <c:v>#N/A</c:v>
                </c:pt>
                <c:pt idx="378" formatCode="0">
                  <c:v>#N/A</c:v>
                </c:pt>
                <c:pt idx="379" formatCode="0">
                  <c:v>#N/A</c:v>
                </c:pt>
                <c:pt idx="380" formatCode="0">
                  <c:v>#N/A</c:v>
                </c:pt>
                <c:pt idx="381" formatCode="0">
                  <c:v>#N/A</c:v>
                </c:pt>
                <c:pt idx="382" formatCode="0">
                  <c:v>#N/A</c:v>
                </c:pt>
                <c:pt idx="383" formatCode="0">
                  <c:v>#N/A</c:v>
                </c:pt>
                <c:pt idx="384" formatCode="0">
                  <c:v>#N/A</c:v>
                </c:pt>
                <c:pt idx="385" formatCode="0">
                  <c:v>2.47896203491011</c:v>
                </c:pt>
                <c:pt idx="386" formatCode="0">
                  <c:v>#N/A</c:v>
                </c:pt>
                <c:pt idx="387" formatCode="0">
                  <c:v>#N/A</c:v>
                </c:pt>
                <c:pt idx="388" formatCode="0">
                  <c:v>2.580481932810101</c:v>
                </c:pt>
                <c:pt idx="389" formatCode="0">
                  <c:v>2.965761592701158</c:v>
                </c:pt>
                <c:pt idx="390" formatCode="0">
                  <c:v>#N/A</c:v>
                </c:pt>
                <c:pt idx="391" formatCode="0">
                  <c:v>#N/A</c:v>
                </c:pt>
                <c:pt idx="392" formatCode="0">
                  <c:v>#N/A</c:v>
                </c:pt>
                <c:pt idx="393" formatCode="0">
                  <c:v>#N/A</c:v>
                </c:pt>
                <c:pt idx="394" formatCode="0">
                  <c:v>#N/A</c:v>
                </c:pt>
                <c:pt idx="395" formatCode="0">
                  <c:v>#N/A</c:v>
                </c:pt>
                <c:pt idx="396" formatCode="0">
                  <c:v>#N/A</c:v>
                </c:pt>
                <c:pt idx="397" formatCode="0">
                  <c:v>#N/A</c:v>
                </c:pt>
                <c:pt idx="398" formatCode="0">
                  <c:v>#N/A</c:v>
                </c:pt>
                <c:pt idx="399" formatCode="0">
                  <c:v>1.3417765833320139</c:v>
                </c:pt>
                <c:pt idx="400" formatCode="0">
                  <c:v>#N/A</c:v>
                </c:pt>
                <c:pt idx="401" formatCode="0">
                  <c:v>2.1564718411907489</c:v>
                </c:pt>
                <c:pt idx="402" formatCode="0">
                  <c:v>2.2061571674577252</c:v>
                </c:pt>
                <c:pt idx="403" formatCode="0">
                  <c:v>#N/A</c:v>
                </c:pt>
                <c:pt idx="404" formatCode="0">
                  <c:v>#N/A</c:v>
                </c:pt>
                <c:pt idx="405" formatCode="0">
                  <c:v>1.0735543874327231</c:v>
                </c:pt>
                <c:pt idx="406" formatCode="0">
                  <c:v>#N/A</c:v>
                </c:pt>
                <c:pt idx="407" formatCode="0">
                  <c:v>0.53771004241139098</c:v>
                </c:pt>
                <c:pt idx="408" formatCode="0">
                  <c:v>#N/A</c:v>
                </c:pt>
                <c:pt idx="409" formatCode="0">
                  <c:v>0.19883906133857554</c:v>
                </c:pt>
                <c:pt idx="410" formatCode="0">
                  <c:v>0.55903717029850353</c:v>
                </c:pt>
                <c:pt idx="411" formatCode="0">
                  <c:v>1.2209516305836356</c:v>
                </c:pt>
                <c:pt idx="412" formatCode="0">
                  <c:v>#N/A</c:v>
                </c:pt>
                <c:pt idx="413" formatCode="0">
                  <c:v>0.50720256972713673</c:v>
                </c:pt>
                <c:pt idx="414" formatCode="0">
                  <c:v>#N/A</c:v>
                </c:pt>
                <c:pt idx="415" formatCode="0">
                  <c:v>#N/A</c:v>
                </c:pt>
                <c:pt idx="416" formatCode="0">
                  <c:v>1.1075529521567402</c:v>
                </c:pt>
                <c:pt idx="417" formatCode="0">
                  <c:v>#N/A</c:v>
                </c:pt>
                <c:pt idx="418" formatCode="0">
                  <c:v>#N/A</c:v>
                </c:pt>
                <c:pt idx="419" formatCode="0">
                  <c:v>#N/A</c:v>
                </c:pt>
                <c:pt idx="420" formatCode="0">
                  <c:v>0.59715948519311723</c:v>
                </c:pt>
                <c:pt idx="421" formatCode="0">
                  <c:v>0.81332421004107158</c:v>
                </c:pt>
                <c:pt idx="422" formatCode="0">
                  <c:v>0.30373188390198291</c:v>
                </c:pt>
                <c:pt idx="423" formatCode="0">
                  <c:v>0.21860071469257847</c:v>
                </c:pt>
                <c:pt idx="424" formatCode="0">
                  <c:v>#N/A</c:v>
                </c:pt>
                <c:pt idx="425" formatCode="0">
                  <c:v>-0.33330935194356859</c:v>
                </c:pt>
                <c:pt idx="426" formatCode="0">
                  <c:v>-0.31875331118665606</c:v>
                </c:pt>
                <c:pt idx="427" formatCode="0">
                  <c:v>0.72357835016005345</c:v>
                </c:pt>
                <c:pt idx="428" formatCode="0">
                  <c:v>0.41269752114450942</c:v>
                </c:pt>
                <c:pt idx="429" formatCode="0">
                  <c:v>0.1731934354865774</c:v>
                </c:pt>
                <c:pt idx="430" formatCode="0">
                  <c:v>#N/A</c:v>
                </c:pt>
                <c:pt idx="431" formatCode="0">
                  <c:v>#N/A</c:v>
                </c:pt>
                <c:pt idx="432" formatCode="0">
                  <c:v>#N/A</c:v>
                </c:pt>
                <c:pt idx="433" formatCode="0">
                  <c:v>#N/A</c:v>
                </c:pt>
                <c:pt idx="434" formatCode="0">
                  <c:v>#N/A</c:v>
                </c:pt>
                <c:pt idx="435" formatCode="0">
                  <c:v>#N/A</c:v>
                </c:pt>
                <c:pt idx="436" formatCode="0">
                  <c:v>#N/A</c:v>
                </c:pt>
                <c:pt idx="437" formatCode="0">
                  <c:v>#N/A</c:v>
                </c:pt>
                <c:pt idx="438" formatCode="0">
                  <c:v>0.2159355488772659</c:v>
                </c:pt>
                <c:pt idx="439" formatCode="0">
                  <c:v>#N/A</c:v>
                </c:pt>
                <c:pt idx="440" formatCode="0">
                  <c:v>-9.0729300516218359E-2</c:v>
                </c:pt>
                <c:pt idx="441" formatCode="0">
                  <c:v>-0.40304711512436359</c:v>
                </c:pt>
                <c:pt idx="442" formatCode="0">
                  <c:v>#N/A</c:v>
                </c:pt>
                <c:pt idx="443" formatCode="0">
                  <c:v>#N/A</c:v>
                </c:pt>
                <c:pt idx="444" formatCode="0">
                  <c:v>#N/A</c:v>
                </c:pt>
              </c:numCache>
            </c:numRef>
          </c:val>
          <c:smooth val="0"/>
          <c:extLst>
            <c:ext xmlns:c16="http://schemas.microsoft.com/office/drawing/2014/chart" uri="{C3380CC4-5D6E-409C-BE32-E72D297353CC}">
              <c16:uniqueId val="{00000008-3268-4A45-9311-8BC8E6FC2F8D}"/>
            </c:ext>
          </c:extLst>
        </c:ser>
        <c:ser>
          <c:idx val="7"/>
          <c:order val="3"/>
          <c:tx>
            <c:v>Gaps Up from Dwn Trend</c:v>
          </c:tx>
          <c:spPr>
            <a:ln w="19050" cap="rnd">
              <a:solidFill>
                <a:srgbClr val="FF9966"/>
              </a:solidFill>
              <a:prstDash val="dashDot"/>
              <a:round/>
            </a:ln>
            <a:effectLst/>
          </c:spPr>
          <c:marker>
            <c:symbol val="none"/>
          </c:marker>
          <c:val>
            <c:numRef>
              <c:f>'2025-Q1'!$FE$4:$FE$448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-0.58002758173115865</c:v>
                </c:pt>
                <c:pt idx="18">
                  <c:v>-0.52430113172893056</c:v>
                </c:pt>
                <c:pt idx="19">
                  <c:v>#N/A</c:v>
                </c:pt>
                <c:pt idx="20">
                  <c:v>#N/A</c:v>
                </c:pt>
                <c:pt idx="21">
                  <c:v>#N/A</c:v>
                </c:pt>
                <c:pt idx="22">
                  <c:v>#N/A</c:v>
                </c:pt>
                <c:pt idx="23">
                  <c:v>#N/A</c:v>
                </c:pt>
                <c:pt idx="24">
                  <c:v>#N/A</c:v>
                </c:pt>
                <c:pt idx="25">
                  <c:v>0.4013112398705756</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0.64378188816052084</c:v>
                </c:pt>
                <c:pt idx="56">
                  <c:v>#N/A</c:v>
                </c:pt>
                <c:pt idx="57">
                  <c:v>#N/A</c:v>
                </c:pt>
                <c:pt idx="58">
                  <c:v>#N/A</c:v>
                </c:pt>
                <c:pt idx="59">
                  <c:v>#N/A</c:v>
                </c:pt>
                <c:pt idx="60">
                  <c:v>#N/A</c:v>
                </c:pt>
                <c:pt idx="61">
                  <c:v>#N/A</c:v>
                </c:pt>
                <c:pt idx="62">
                  <c:v>#N/A</c:v>
                </c:pt>
                <c:pt idx="63">
                  <c:v>#N/A</c:v>
                </c:pt>
                <c:pt idx="64">
                  <c:v>#N/A</c:v>
                </c:pt>
                <c:pt idx="65">
                  <c:v>#N/A</c:v>
                </c:pt>
                <c:pt idx="66">
                  <c:v>#N/A</c:v>
                </c:pt>
                <c:pt idx="67">
                  <c:v>0.91773364221272224</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0.63375175565197206</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0.31956465944876689</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0.42431326280072379</c:v>
                </c:pt>
                <c:pt idx="139">
                  <c:v>0.6545208092918573</c:v>
                </c:pt>
                <c:pt idx="140">
                  <c:v>#N/A</c:v>
                </c:pt>
                <c:pt idx="141">
                  <c:v>#N/A</c:v>
                </c:pt>
                <c:pt idx="142">
                  <c:v>1.2203691254367874</c:v>
                </c:pt>
                <c:pt idx="143">
                  <c:v>1.5429803788763934</c:v>
                </c:pt>
                <c:pt idx="144">
                  <c:v>#N/A</c:v>
                </c:pt>
                <c:pt idx="145">
                  <c:v>#N/A</c:v>
                </c:pt>
                <c:pt idx="146">
                  <c:v>#N/A</c:v>
                </c:pt>
                <c:pt idx="147">
                  <c:v>#N/A</c:v>
                </c:pt>
                <c:pt idx="148">
                  <c:v>2.2985306531718397</c:v>
                </c:pt>
                <c:pt idx="149">
                  <c:v>#N/A</c:v>
                </c:pt>
                <c:pt idx="150">
                  <c:v>#N/A</c:v>
                </c:pt>
                <c:pt idx="151">
                  <c:v>#N/A</c:v>
                </c:pt>
                <c:pt idx="152">
                  <c:v>2.7670890697071338</c:v>
                </c:pt>
                <c:pt idx="153">
                  <c:v>#N/A</c:v>
                </c:pt>
                <c:pt idx="154">
                  <c:v>#N/A</c:v>
                </c:pt>
                <c:pt idx="155">
                  <c:v>1.5760220721885252</c:v>
                </c:pt>
                <c:pt idx="156">
                  <c:v>#N/A</c:v>
                </c:pt>
                <c:pt idx="157">
                  <c:v>1.4816100818657538</c:v>
                </c:pt>
                <c:pt idx="158">
                  <c:v>#N/A</c:v>
                </c:pt>
                <c:pt idx="159">
                  <c:v>1.9244697832610873</c:v>
                </c:pt>
                <c:pt idx="160">
                  <c:v>#N/A</c:v>
                </c:pt>
                <c:pt idx="161">
                  <c:v>#N/A</c:v>
                </c:pt>
                <c:pt idx="162">
                  <c:v>#N/A</c:v>
                </c:pt>
                <c:pt idx="163">
                  <c:v>#N/A</c:v>
                </c:pt>
                <c:pt idx="164">
                  <c:v>#N/A</c:v>
                </c:pt>
                <c:pt idx="165">
                  <c:v>#N/A</c:v>
                </c:pt>
                <c:pt idx="166">
                  <c:v>#N/A</c:v>
                </c:pt>
                <c:pt idx="167">
                  <c:v>#N/A</c:v>
                </c:pt>
                <c:pt idx="168">
                  <c:v>0.80315459051732452</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0.55908206611007227</c:v>
                </c:pt>
                <c:pt idx="183">
                  <c:v>#N/A</c:v>
                </c:pt>
                <c:pt idx="184">
                  <c:v>#N/A</c:v>
                </c:pt>
                <c:pt idx="185">
                  <c:v>#N/A</c:v>
                </c:pt>
                <c:pt idx="186">
                  <c:v>#N/A</c:v>
                </c:pt>
                <c:pt idx="187">
                  <c:v>#N/A</c:v>
                </c:pt>
                <c:pt idx="188">
                  <c:v>#N/A</c:v>
                </c:pt>
                <c:pt idx="189">
                  <c:v>#N/A</c:v>
                </c:pt>
                <c:pt idx="190">
                  <c:v>8.7604402879833287E-2</c:v>
                </c:pt>
                <c:pt idx="191">
                  <c:v>#N/A</c:v>
                </c:pt>
                <c:pt idx="192">
                  <c:v>0.50954533114987333</c:v>
                </c:pt>
                <c:pt idx="193">
                  <c:v>#N/A</c:v>
                </c:pt>
                <c:pt idx="194">
                  <c:v>#N/A</c:v>
                </c:pt>
                <c:pt idx="195">
                  <c:v>1.3221239475020758</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2.0215754789003637</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2.3539493824091355</c:v>
                </c:pt>
                <c:pt idx="247">
                  <c:v>#N/A</c:v>
                </c:pt>
                <c:pt idx="248">
                  <c:v>2.5763276595626907</c:v>
                </c:pt>
                <c:pt idx="249">
                  <c:v>#N/A</c:v>
                </c:pt>
                <c:pt idx="250">
                  <c:v>#N/A</c:v>
                </c:pt>
                <c:pt idx="251">
                  <c:v>#N/A</c:v>
                </c:pt>
                <c:pt idx="252">
                  <c:v>#N/A</c:v>
                </c:pt>
                <c:pt idx="253">
                  <c:v>#N/A</c:v>
                </c:pt>
                <c:pt idx="254">
                  <c:v>#N/A</c:v>
                </c:pt>
                <c:pt idx="255">
                  <c:v>#N/A</c:v>
                </c:pt>
                <c:pt idx="256">
                  <c:v>3.2242467454077612</c:v>
                </c:pt>
                <c:pt idx="257">
                  <c:v>#N/A</c:v>
                </c:pt>
                <c:pt idx="258">
                  <c:v>4.0904642622508796</c:v>
                </c:pt>
                <c:pt idx="259">
                  <c:v>#N/A</c:v>
                </c:pt>
                <c:pt idx="260">
                  <c:v>#N/A</c:v>
                </c:pt>
                <c:pt idx="261">
                  <c:v>#N/A</c:v>
                </c:pt>
                <c:pt idx="262">
                  <c:v>#N/A</c:v>
                </c:pt>
                <c:pt idx="263">
                  <c:v>#N/A</c:v>
                </c:pt>
                <c:pt idx="264">
                  <c:v>#N/A</c:v>
                </c:pt>
                <c:pt idx="265">
                  <c:v>#N/A</c:v>
                </c:pt>
                <c:pt idx="266">
                  <c:v>#N/A</c:v>
                </c:pt>
                <c:pt idx="267">
                  <c:v>#N/A</c:v>
                </c:pt>
                <c:pt idx="268">
                  <c:v>4.7285993227848913</c:v>
                </c:pt>
                <c:pt idx="269">
                  <c:v>#N/A</c:v>
                </c:pt>
                <c:pt idx="270">
                  <c:v>#N/A</c:v>
                </c:pt>
                <c:pt idx="271">
                  <c:v>#N/A</c:v>
                </c:pt>
                <c:pt idx="272">
                  <c:v>#N/A</c:v>
                </c:pt>
                <c:pt idx="273">
                  <c:v>#N/A</c:v>
                </c:pt>
                <c:pt idx="274">
                  <c:v>#N/A</c:v>
                </c:pt>
                <c:pt idx="275">
                  <c:v>4.984215505255519</c:v>
                </c:pt>
                <c:pt idx="276">
                  <c:v>#N/A</c:v>
                </c:pt>
                <c:pt idx="277">
                  <c:v>#N/A</c:v>
                </c:pt>
                <c:pt idx="278">
                  <c:v>#N/A</c:v>
                </c:pt>
                <c:pt idx="279">
                  <c:v>#N/A</c:v>
                </c:pt>
                <c:pt idx="280">
                  <c:v>#N/A</c:v>
                </c:pt>
                <c:pt idx="281">
                  <c:v>#N/A</c:v>
                </c:pt>
                <c:pt idx="282">
                  <c:v>6.0018316971595667</c:v>
                </c:pt>
                <c:pt idx="283">
                  <c:v>5.6259247122832656</c:v>
                </c:pt>
                <c:pt idx="284">
                  <c:v>6.7827970710888028</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5.5998799928704699</c:v>
                </c:pt>
                <c:pt idx="302">
                  <c:v>#N/A</c:v>
                </c:pt>
                <c:pt idx="303">
                  <c:v>#N/A</c:v>
                </c:pt>
                <c:pt idx="304">
                  <c:v>#N/A</c:v>
                </c:pt>
                <c:pt idx="305">
                  <c:v>5.741307320981873</c:v>
                </c:pt>
                <c:pt idx="306">
                  <c:v>#N/A</c:v>
                </c:pt>
                <c:pt idx="307">
                  <c:v>4.8587547072683641</c:v>
                </c:pt>
                <c:pt idx="308">
                  <c:v>#N/A</c:v>
                </c:pt>
                <c:pt idx="309">
                  <c:v>#N/A</c:v>
                </c:pt>
                <c:pt idx="310">
                  <c:v>#N/A</c:v>
                </c:pt>
                <c:pt idx="311">
                  <c:v>#N/A</c:v>
                </c:pt>
                <c:pt idx="312">
                  <c:v>#N/A</c:v>
                </c:pt>
                <c:pt idx="313">
                  <c:v>#N/A</c:v>
                </c:pt>
                <c:pt idx="314">
                  <c:v>#N/A</c:v>
                </c:pt>
                <c:pt idx="315">
                  <c:v>#N/A</c:v>
                </c:pt>
                <c:pt idx="316">
                  <c:v>#N/A</c:v>
                </c:pt>
                <c:pt idx="317">
                  <c:v>4.4502732604333151</c:v>
                </c:pt>
                <c:pt idx="318">
                  <c:v>#N/A</c:v>
                </c:pt>
                <c:pt idx="319">
                  <c:v>#N/A</c:v>
                </c:pt>
                <c:pt idx="320">
                  <c:v>#N/A</c:v>
                </c:pt>
                <c:pt idx="321">
                  <c:v>#N/A</c:v>
                </c:pt>
                <c:pt idx="322">
                  <c:v>#N/A</c:v>
                </c:pt>
                <c:pt idx="323">
                  <c:v>#N/A</c:v>
                </c:pt>
                <c:pt idx="324">
                  <c:v>#N/A</c:v>
                </c:pt>
                <c:pt idx="325">
                  <c:v>#N/A</c:v>
                </c:pt>
                <c:pt idx="326">
                  <c:v>#N/A</c:v>
                </c:pt>
                <c:pt idx="327">
                  <c:v>3.5845261911321287</c:v>
                </c:pt>
                <c:pt idx="328">
                  <c:v>#N/A</c:v>
                </c:pt>
                <c:pt idx="329">
                  <c:v>#N/A</c:v>
                </c:pt>
                <c:pt idx="330">
                  <c:v>#N/A</c:v>
                </c:pt>
                <c:pt idx="331">
                  <c:v>#N/A</c:v>
                </c:pt>
                <c:pt idx="332">
                  <c:v>#N/A</c:v>
                </c:pt>
                <c:pt idx="333">
                  <c:v>#N/A</c:v>
                </c:pt>
                <c:pt idx="334">
                  <c:v>3.7370412226616776</c:v>
                </c:pt>
                <c:pt idx="335">
                  <c:v>#N/A</c:v>
                </c:pt>
                <c:pt idx="336">
                  <c:v>#N/A</c:v>
                </c:pt>
                <c:pt idx="337">
                  <c:v>#N/A</c:v>
                </c:pt>
                <c:pt idx="338">
                  <c:v>#N/A</c:v>
                </c:pt>
                <c:pt idx="339">
                  <c:v>#N/A</c:v>
                </c:pt>
                <c:pt idx="340">
                  <c:v>#N/A</c:v>
                </c:pt>
                <c:pt idx="341">
                  <c:v>3.1195573614444134</c:v>
                </c:pt>
                <c:pt idx="342">
                  <c:v>#N/A</c:v>
                </c:pt>
                <c:pt idx="343">
                  <c:v>#N/A</c:v>
                </c:pt>
                <c:pt idx="344">
                  <c:v>#N/A</c:v>
                </c:pt>
                <c:pt idx="345">
                  <c:v>#N/A</c:v>
                </c:pt>
                <c:pt idx="346">
                  <c:v>#N/A</c:v>
                </c:pt>
                <c:pt idx="347">
                  <c:v>#N/A</c:v>
                </c:pt>
                <c:pt idx="348">
                  <c:v>#N/A</c:v>
                </c:pt>
                <c:pt idx="349">
                  <c:v>3.0357373311610463</c:v>
                </c:pt>
                <c:pt idx="350">
                  <c:v>#N/A</c:v>
                </c:pt>
                <c:pt idx="351">
                  <c:v>#N/A</c:v>
                </c:pt>
                <c:pt idx="352">
                  <c:v>#N/A</c:v>
                </c:pt>
                <c:pt idx="353">
                  <c:v>3.1232203525483442</c:v>
                </c:pt>
                <c:pt idx="354">
                  <c:v>#N/A</c:v>
                </c:pt>
                <c:pt idx="355">
                  <c:v>#N/A</c:v>
                </c:pt>
                <c:pt idx="356">
                  <c:v>#N/A</c:v>
                </c:pt>
                <c:pt idx="357">
                  <c:v>1.7711322487428673</c:v>
                </c:pt>
                <c:pt idx="358">
                  <c:v>#N/A</c:v>
                </c:pt>
                <c:pt idx="359">
                  <c:v>#N/A</c:v>
                </c:pt>
                <c:pt idx="360">
                  <c:v>#N/A</c:v>
                </c:pt>
                <c:pt idx="361">
                  <c:v>#N/A</c:v>
                </c:pt>
                <c:pt idx="362">
                  <c:v>#N/A</c:v>
                </c:pt>
                <c:pt idx="363">
                  <c:v>#N/A</c:v>
                </c:pt>
                <c:pt idx="364">
                  <c:v>#N/A</c:v>
                </c:pt>
                <c:pt idx="365">
                  <c:v>#N/A</c:v>
                </c:pt>
                <c:pt idx="366">
                  <c:v>#N/A</c:v>
                </c:pt>
                <c:pt idx="367">
                  <c:v>#N/A</c:v>
                </c:pt>
                <c:pt idx="368">
                  <c:v>2.0707920943235596</c:v>
                </c:pt>
                <c:pt idx="369">
                  <c:v>#N/A</c:v>
                </c:pt>
                <c:pt idx="370">
                  <c:v>1.8238324668539625</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2.1967320153031444</c:v>
                </c:pt>
                <c:pt idx="384">
                  <c:v>#N/A</c:v>
                </c:pt>
                <c:pt idx="385">
                  <c:v>#N/A</c:v>
                </c:pt>
                <c:pt idx="386">
                  <c:v>#N/A</c:v>
                </c:pt>
                <c:pt idx="387">
                  <c:v>#N/A</c:v>
                </c:pt>
                <c:pt idx="388">
                  <c:v>#N/A</c:v>
                </c:pt>
                <c:pt idx="389">
                  <c:v>#N/A</c:v>
                </c:pt>
                <c:pt idx="390">
                  <c:v>#N/A</c:v>
                </c:pt>
                <c:pt idx="391">
                  <c:v>#N/A</c:v>
                </c:pt>
                <c:pt idx="392">
                  <c:v>#N/A</c:v>
                </c:pt>
                <c:pt idx="393">
                  <c:v>#N/A</c:v>
                </c:pt>
                <c:pt idx="394">
                  <c:v>1.5164515076237532</c:v>
                </c:pt>
                <c:pt idx="395">
                  <c:v>#N/A</c:v>
                </c:pt>
                <c:pt idx="396">
                  <c:v>#N/A</c:v>
                </c:pt>
                <c:pt idx="397">
                  <c:v>#N/A</c:v>
                </c:pt>
                <c:pt idx="398">
                  <c:v>#N/A</c:v>
                </c:pt>
                <c:pt idx="399">
                  <c:v>#N/A</c:v>
                </c:pt>
                <c:pt idx="400">
                  <c:v>#N/A</c:v>
                </c:pt>
                <c:pt idx="401">
                  <c:v>#N/A</c:v>
                </c:pt>
                <c:pt idx="402">
                  <c:v>#N/A</c:v>
                </c:pt>
                <c:pt idx="403">
                  <c:v>#N/A</c:v>
                </c:pt>
                <c:pt idx="404">
                  <c:v>#N/A</c:v>
                </c:pt>
                <c:pt idx="405">
                  <c:v>#N/A</c:v>
                </c:pt>
                <c:pt idx="406">
                  <c:v>1.4109055471555103</c:v>
                </c:pt>
                <c:pt idx="407">
                  <c:v>#N/A</c:v>
                </c:pt>
                <c:pt idx="408">
                  <c:v>#N/A</c:v>
                </c:pt>
                <c:pt idx="409">
                  <c:v>#N/A</c:v>
                </c:pt>
                <c:pt idx="410">
                  <c:v>#N/A</c:v>
                </c:pt>
                <c:pt idx="411">
                  <c:v>#N/A</c:v>
                </c:pt>
                <c:pt idx="412">
                  <c:v>#N/A</c:v>
                </c:pt>
                <c:pt idx="413">
                  <c:v>#N/A</c:v>
                </c:pt>
                <c:pt idx="414">
                  <c:v>#N/A</c:v>
                </c:pt>
                <c:pt idx="415">
                  <c:v>#N/A</c:v>
                </c:pt>
                <c:pt idx="416">
                  <c:v>#N/A</c:v>
                </c:pt>
                <c:pt idx="417">
                  <c:v>0.82055647118015296</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0.52440861992207988</c:v>
                </c:pt>
                <c:pt idx="431">
                  <c:v>-0.42159762728898875</c:v>
                </c:pt>
                <c:pt idx="432">
                  <c:v>-1.2314258037976142</c:v>
                </c:pt>
                <c:pt idx="433">
                  <c:v>-2.4237217377627651</c:v>
                </c:pt>
                <c:pt idx="434">
                  <c:v>#N/A</c:v>
                </c:pt>
                <c:pt idx="435">
                  <c:v>#N/A</c:v>
                </c:pt>
                <c:pt idx="436">
                  <c:v>#N/A</c:v>
                </c:pt>
                <c:pt idx="437">
                  <c:v>#N/A</c:v>
                </c:pt>
                <c:pt idx="438">
                  <c:v>#N/A</c:v>
                </c:pt>
                <c:pt idx="439">
                  <c:v>#N/A</c:v>
                </c:pt>
                <c:pt idx="440">
                  <c:v>#N/A</c:v>
                </c:pt>
                <c:pt idx="441">
                  <c:v>#N/A</c:v>
                </c:pt>
                <c:pt idx="442">
                  <c:v>#N/A</c:v>
                </c:pt>
                <c:pt idx="443">
                  <c:v>#N/A</c:v>
                </c:pt>
                <c:pt idx="444">
                  <c:v>-2.9350910158880721</c:v>
                </c:pt>
              </c:numCache>
            </c:numRef>
          </c:val>
          <c:smooth val="0"/>
          <c:extLst>
            <c:ext xmlns:c16="http://schemas.microsoft.com/office/drawing/2014/chart" uri="{C3380CC4-5D6E-409C-BE32-E72D297353CC}">
              <c16:uniqueId val="{0000000B-3268-4A45-9311-8BC8E6FC2F8D}"/>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2.5809370513768658E-2"/>
          <c:y val="9.4406510753320003E-2"/>
          <c:w val="0.25907651384458213"/>
          <c:h val="0.14199729697966859"/>
        </c:manualLayout>
      </c:layout>
      <c:overlay val="0"/>
      <c:spPr>
        <a:solidFill>
          <a:schemeClr val="accent2">
            <a:lumMod val="20000"/>
            <a:lumOff val="80000"/>
          </a:schemeClr>
        </a:solidFill>
        <a:ln>
          <a:solidFill>
            <a:sysClr val="windowText" lastClr="000000"/>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Uptrend Management Options</a:t>
            </a:r>
          </a:p>
        </c:rich>
      </c:tx>
      <c:layout>
        <c:manualLayout>
          <c:xMode val="edge"/>
          <c:yMode val="edge"/>
          <c:x val="0.24789944972725403"/>
          <c:y val="4.5898460453637326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0"/>
          <c:order val="0"/>
          <c:tx>
            <c:v>Up</c:v>
          </c:tx>
          <c:spPr>
            <a:ln w="19050" cap="rnd">
              <a:solidFill>
                <a:srgbClr val="00FF00"/>
              </a:solidFill>
              <a:prstDash val="solid"/>
              <a:round/>
            </a:ln>
            <a:effectLst/>
          </c:spPr>
          <c:marker>
            <c:symbol val="none"/>
          </c:marker>
          <c:val>
            <c:numRef>
              <c:f>'2025-Q1'!$U$4:$U$448</c:f>
              <c:numCache>
                <c:formatCode>0.0</c:formatCode>
                <c:ptCount val="445"/>
                <c:pt idx="0">
                  <c:v>0</c:v>
                </c:pt>
                <c:pt idx="1">
                  <c:v>0.96873982416150761</c:v>
                </c:pt>
                <c:pt idx="2">
                  <c:v>0.96873982416150761</c:v>
                </c:pt>
                <c:pt idx="3">
                  <c:v>1.1660701402941029</c:v>
                </c:pt>
                <c:pt idx="4">
                  <c:v>2.1423308510680883</c:v>
                </c:pt>
                <c:pt idx="5">
                  <c:v>2.9142355046587411</c:v>
                </c:pt>
                <c:pt idx="6">
                  <c:v>2.9142355046587411</c:v>
                </c:pt>
                <c:pt idx="7">
                  <c:v>3.5264804026179255</c:v>
                </c:pt>
                <c:pt idx="8">
                  <c:v>3.5264804026179255</c:v>
                </c:pt>
                <c:pt idx="9">
                  <c:v>3.5264804026179255</c:v>
                </c:pt>
                <c:pt idx="10">
                  <c:v>3.4910946984424127</c:v>
                </c:pt>
                <c:pt idx="11">
                  <c:v>3.4910946984424127</c:v>
                </c:pt>
                <c:pt idx="12">
                  <c:v>2.2488276858700713</c:v>
                </c:pt>
                <c:pt idx="13">
                  <c:v>1.2632350205131622</c:v>
                </c:pt>
                <c:pt idx="14">
                  <c:v>0.83509741907939872</c:v>
                </c:pt>
                <c:pt idx="15">
                  <c:v>0.83509741907939872</c:v>
                </c:pt>
                <c:pt idx="16">
                  <c:v>0.83509741907939872</c:v>
                </c:pt>
                <c:pt idx="17">
                  <c:v>0.83509741907939872</c:v>
                </c:pt>
                <c:pt idx="18">
                  <c:v>0.83509741907939872</c:v>
                </c:pt>
                <c:pt idx="19">
                  <c:v>3.4022685275040598E-2</c:v>
                </c:pt>
                <c:pt idx="20">
                  <c:v>3.4022685275040598E-2</c:v>
                </c:pt>
                <c:pt idx="21">
                  <c:v>3.4022685275040598E-2</c:v>
                </c:pt>
                <c:pt idx="22">
                  <c:v>3.4022685275040598E-2</c:v>
                </c:pt>
                <c:pt idx="23">
                  <c:v>3.4022685275040598E-2</c:v>
                </c:pt>
                <c:pt idx="24">
                  <c:v>0.56227908462269494</c:v>
                </c:pt>
                <c:pt idx="25">
                  <c:v>0.56227908462269494</c:v>
                </c:pt>
                <c:pt idx="26">
                  <c:v>0.56227908462269494</c:v>
                </c:pt>
                <c:pt idx="27">
                  <c:v>0.56227908462269494</c:v>
                </c:pt>
                <c:pt idx="28">
                  <c:v>0.56227908462269494</c:v>
                </c:pt>
                <c:pt idx="29">
                  <c:v>0.86678368238333559</c:v>
                </c:pt>
                <c:pt idx="30">
                  <c:v>1.6705597711757108</c:v>
                </c:pt>
                <c:pt idx="31">
                  <c:v>1.6705597711757108</c:v>
                </c:pt>
                <c:pt idx="32">
                  <c:v>1.6705597711757108</c:v>
                </c:pt>
                <c:pt idx="33">
                  <c:v>1.6705597711757108</c:v>
                </c:pt>
                <c:pt idx="34">
                  <c:v>1.6705597711757108</c:v>
                </c:pt>
                <c:pt idx="35">
                  <c:v>2.2314572070731464</c:v>
                </c:pt>
                <c:pt idx="36">
                  <c:v>2.9029826929550708</c:v>
                </c:pt>
                <c:pt idx="37">
                  <c:v>2.9029826929550708</c:v>
                </c:pt>
                <c:pt idx="38">
                  <c:v>2.9029826929550708</c:v>
                </c:pt>
                <c:pt idx="39">
                  <c:v>2.9029826929550708</c:v>
                </c:pt>
                <c:pt idx="40">
                  <c:v>3.3588433120096277</c:v>
                </c:pt>
                <c:pt idx="41">
                  <c:v>3.3588433120096277</c:v>
                </c:pt>
                <c:pt idx="42">
                  <c:v>3.3588433120096277</c:v>
                </c:pt>
                <c:pt idx="43">
                  <c:v>3.4854255904906424</c:v>
                </c:pt>
                <c:pt idx="44">
                  <c:v>3.4854255904906424</c:v>
                </c:pt>
                <c:pt idx="45">
                  <c:v>4.6392445187839799</c:v>
                </c:pt>
                <c:pt idx="46">
                  <c:v>4.6392445187839799</c:v>
                </c:pt>
                <c:pt idx="47">
                  <c:v>4.6392445187839799</c:v>
                </c:pt>
                <c:pt idx="48">
                  <c:v>4.6392445187839799</c:v>
                </c:pt>
                <c:pt idx="49">
                  <c:v>4.4840469522818225</c:v>
                </c:pt>
                <c:pt idx="50">
                  <c:v>4.4840469522818225</c:v>
                </c:pt>
                <c:pt idx="51">
                  <c:v>3.7512897479312834</c:v>
                </c:pt>
                <c:pt idx="52">
                  <c:v>3.7512897479312834</c:v>
                </c:pt>
                <c:pt idx="53">
                  <c:v>3.7512897479312834</c:v>
                </c:pt>
                <c:pt idx="54">
                  <c:v>3.6761063926055373</c:v>
                </c:pt>
                <c:pt idx="55">
                  <c:v>3.6761063926055373</c:v>
                </c:pt>
                <c:pt idx="56">
                  <c:v>3.6761063926055373</c:v>
                </c:pt>
                <c:pt idx="57">
                  <c:v>4.2482894911970863</c:v>
                </c:pt>
                <c:pt idx="58">
                  <c:v>4.2482894911970863</c:v>
                </c:pt>
                <c:pt idx="59">
                  <c:v>4.2482894911970863</c:v>
                </c:pt>
                <c:pt idx="60">
                  <c:v>4.2482894911970863</c:v>
                </c:pt>
                <c:pt idx="61">
                  <c:v>4.2482894911970863</c:v>
                </c:pt>
                <c:pt idx="62">
                  <c:v>4.2482894911970863</c:v>
                </c:pt>
                <c:pt idx="63">
                  <c:v>4.2482894911970863</c:v>
                </c:pt>
                <c:pt idx="64">
                  <c:v>4.9471324943218224</c:v>
                </c:pt>
                <c:pt idx="65">
                  <c:v>3.7514539315638693</c:v>
                </c:pt>
                <c:pt idx="66">
                  <c:v>3.1828068566844223</c:v>
                </c:pt>
                <c:pt idx="67">
                  <c:v>3.1828068566844223</c:v>
                </c:pt>
                <c:pt idx="68">
                  <c:v>3.1828068566844223</c:v>
                </c:pt>
                <c:pt idx="69">
                  <c:v>2.3812036502715976</c:v>
                </c:pt>
                <c:pt idx="70">
                  <c:v>2.3812036502715976</c:v>
                </c:pt>
                <c:pt idx="71">
                  <c:v>2.3812036502715976</c:v>
                </c:pt>
                <c:pt idx="72">
                  <c:v>2.3812036502715976</c:v>
                </c:pt>
                <c:pt idx="73">
                  <c:v>2.3812036502715976</c:v>
                </c:pt>
                <c:pt idx="74">
                  <c:v>2.3812036502715976</c:v>
                </c:pt>
                <c:pt idx="75">
                  <c:v>4.6848271610729206</c:v>
                </c:pt>
                <c:pt idx="76">
                  <c:v>4.6848271610729206</c:v>
                </c:pt>
                <c:pt idx="77">
                  <c:v>4.6848271610729206</c:v>
                </c:pt>
                <c:pt idx="78">
                  <c:v>4.6848271610729206</c:v>
                </c:pt>
                <c:pt idx="79">
                  <c:v>5.0105509606997058</c:v>
                </c:pt>
                <c:pt idx="80">
                  <c:v>5.0105509606997058</c:v>
                </c:pt>
                <c:pt idx="81">
                  <c:v>5.0105509606997058</c:v>
                </c:pt>
                <c:pt idx="82">
                  <c:v>4.6123081557565691</c:v>
                </c:pt>
                <c:pt idx="83">
                  <c:v>4.6123081557565691</c:v>
                </c:pt>
                <c:pt idx="84">
                  <c:v>5.8745893711902353</c:v>
                </c:pt>
                <c:pt idx="85">
                  <c:v>5.8745893711902353</c:v>
                </c:pt>
                <c:pt idx="86">
                  <c:v>5.8745893711902353</c:v>
                </c:pt>
                <c:pt idx="87">
                  <c:v>6.6545053455719394</c:v>
                </c:pt>
                <c:pt idx="88">
                  <c:v>6.6545053455719394</c:v>
                </c:pt>
                <c:pt idx="89">
                  <c:v>6.6545053455719394</c:v>
                </c:pt>
                <c:pt idx="90">
                  <c:v>6.6545053455719394</c:v>
                </c:pt>
                <c:pt idx="91">
                  <c:v>6.6545053455719394</c:v>
                </c:pt>
                <c:pt idx="92">
                  <c:v>6.836493186002218</c:v>
                </c:pt>
                <c:pt idx="93">
                  <c:v>7.0037334361813262</c:v>
                </c:pt>
                <c:pt idx="94">
                  <c:v>7.0037334361813262</c:v>
                </c:pt>
                <c:pt idx="95">
                  <c:v>6.8206151941164483</c:v>
                </c:pt>
                <c:pt idx="96">
                  <c:v>6.8206151941164483</c:v>
                </c:pt>
                <c:pt idx="97">
                  <c:v>6.8206151941164483</c:v>
                </c:pt>
                <c:pt idx="98">
                  <c:v>6.8206151941164483</c:v>
                </c:pt>
                <c:pt idx="99">
                  <c:v>7.3105072938311952</c:v>
                </c:pt>
                <c:pt idx="100">
                  <c:v>7.4987968953861044</c:v>
                </c:pt>
                <c:pt idx="101">
                  <c:v>7.7343490944726661</c:v>
                </c:pt>
                <c:pt idx="102">
                  <c:v>7.7343490944726661</c:v>
                </c:pt>
                <c:pt idx="103">
                  <c:v>7.7343490944726661</c:v>
                </c:pt>
                <c:pt idx="104">
                  <c:v>7.7343490944726661</c:v>
                </c:pt>
                <c:pt idx="105">
                  <c:v>7.7343490944726661</c:v>
                </c:pt>
                <c:pt idx="106">
                  <c:v>7.7343490944726661</c:v>
                </c:pt>
                <c:pt idx="107">
                  <c:v>7.7343490944726661</c:v>
                </c:pt>
                <c:pt idx="108">
                  <c:v>7.7343490944726661</c:v>
                </c:pt>
                <c:pt idx="109">
                  <c:v>7.7343490944726661</c:v>
                </c:pt>
                <c:pt idx="110">
                  <c:v>7.7343490944726661</c:v>
                </c:pt>
                <c:pt idx="111">
                  <c:v>7.7343490944726661</c:v>
                </c:pt>
                <c:pt idx="112">
                  <c:v>7.7343490944726661</c:v>
                </c:pt>
                <c:pt idx="113">
                  <c:v>7.7343490944726661</c:v>
                </c:pt>
                <c:pt idx="114">
                  <c:v>7.7343490944726661</c:v>
                </c:pt>
                <c:pt idx="115">
                  <c:v>7.7343490944726661</c:v>
                </c:pt>
                <c:pt idx="116">
                  <c:v>7.7343490944726661</c:v>
                </c:pt>
                <c:pt idx="117">
                  <c:v>7.6560773349235101</c:v>
                </c:pt>
                <c:pt idx="118">
                  <c:v>7.6560773349235101</c:v>
                </c:pt>
                <c:pt idx="119">
                  <c:v>7.6560773349235101</c:v>
                </c:pt>
                <c:pt idx="120">
                  <c:v>7.6560773349235101</c:v>
                </c:pt>
                <c:pt idx="121">
                  <c:v>7.6560773349235101</c:v>
                </c:pt>
                <c:pt idx="122">
                  <c:v>7.6560773349235101</c:v>
                </c:pt>
                <c:pt idx="123">
                  <c:v>7.6560773349235101</c:v>
                </c:pt>
                <c:pt idx="124">
                  <c:v>7.6560773349235101</c:v>
                </c:pt>
                <c:pt idx="125">
                  <c:v>7.6560773349235101</c:v>
                </c:pt>
                <c:pt idx="126">
                  <c:v>7.708387709814529</c:v>
                </c:pt>
                <c:pt idx="127">
                  <c:v>7.708387709814529</c:v>
                </c:pt>
                <c:pt idx="128">
                  <c:v>7.8745442467624969</c:v>
                </c:pt>
                <c:pt idx="129">
                  <c:v>7.8745442467624969</c:v>
                </c:pt>
                <c:pt idx="130">
                  <c:v>7.8745442467624969</c:v>
                </c:pt>
                <c:pt idx="131">
                  <c:v>7.8745442467624969</c:v>
                </c:pt>
                <c:pt idx="132">
                  <c:v>8.4350823633544252</c:v>
                </c:pt>
                <c:pt idx="133">
                  <c:v>8.4350823633544252</c:v>
                </c:pt>
                <c:pt idx="134">
                  <c:v>8.4350823633544252</c:v>
                </c:pt>
                <c:pt idx="135">
                  <c:v>8.4350823633544252</c:v>
                </c:pt>
                <c:pt idx="136">
                  <c:v>6.4173930322322565</c:v>
                </c:pt>
                <c:pt idx="137">
                  <c:v>6.4173930322322565</c:v>
                </c:pt>
                <c:pt idx="138">
                  <c:v>6.4173930322322565</c:v>
                </c:pt>
                <c:pt idx="139">
                  <c:v>6.4173930322322565</c:v>
                </c:pt>
                <c:pt idx="140">
                  <c:v>9.7613400884849888</c:v>
                </c:pt>
                <c:pt idx="141">
                  <c:v>9.7613400884849888</c:v>
                </c:pt>
                <c:pt idx="142">
                  <c:v>9.7613400884849888</c:v>
                </c:pt>
                <c:pt idx="143">
                  <c:v>9.7613400884849888</c:v>
                </c:pt>
                <c:pt idx="144">
                  <c:v>9.7613400884849888</c:v>
                </c:pt>
                <c:pt idx="145">
                  <c:v>9.7613400884849888</c:v>
                </c:pt>
                <c:pt idx="146">
                  <c:v>9.7613400884849888</c:v>
                </c:pt>
                <c:pt idx="147">
                  <c:v>9.7613400884849888</c:v>
                </c:pt>
                <c:pt idx="148">
                  <c:v>9.7613400884849888</c:v>
                </c:pt>
                <c:pt idx="149">
                  <c:v>9.7613400884849888</c:v>
                </c:pt>
                <c:pt idx="150">
                  <c:v>9.7613400884849888</c:v>
                </c:pt>
                <c:pt idx="151">
                  <c:v>9.7613400884849888</c:v>
                </c:pt>
                <c:pt idx="152">
                  <c:v>9.7613400884849888</c:v>
                </c:pt>
                <c:pt idx="153">
                  <c:v>9.1974669982652948</c:v>
                </c:pt>
                <c:pt idx="154">
                  <c:v>9.1974669982652948</c:v>
                </c:pt>
                <c:pt idx="155">
                  <c:v>9.1974669982652948</c:v>
                </c:pt>
                <c:pt idx="156">
                  <c:v>9.1974669982652948</c:v>
                </c:pt>
                <c:pt idx="157">
                  <c:v>9.1974669982652948</c:v>
                </c:pt>
                <c:pt idx="158">
                  <c:v>12.990954777900674</c:v>
                </c:pt>
                <c:pt idx="159">
                  <c:v>12.990954777900674</c:v>
                </c:pt>
                <c:pt idx="160">
                  <c:v>12.990954777900674</c:v>
                </c:pt>
                <c:pt idx="161">
                  <c:v>12.990954777900674</c:v>
                </c:pt>
                <c:pt idx="162">
                  <c:v>12.990954777900674</c:v>
                </c:pt>
                <c:pt idx="163">
                  <c:v>12.990954777900674</c:v>
                </c:pt>
                <c:pt idx="164">
                  <c:v>12.990954777900674</c:v>
                </c:pt>
                <c:pt idx="165">
                  <c:v>12.853104024316556</c:v>
                </c:pt>
                <c:pt idx="166">
                  <c:v>11.503161745986388</c:v>
                </c:pt>
                <c:pt idx="167">
                  <c:v>11.503161745986388</c:v>
                </c:pt>
                <c:pt idx="168">
                  <c:v>11.503161745986388</c:v>
                </c:pt>
                <c:pt idx="169">
                  <c:v>11.503161745986388</c:v>
                </c:pt>
                <c:pt idx="170">
                  <c:v>11.503161745986388</c:v>
                </c:pt>
                <c:pt idx="171">
                  <c:v>12.325846424092756</c:v>
                </c:pt>
                <c:pt idx="172">
                  <c:v>11.387347820248037</c:v>
                </c:pt>
                <c:pt idx="173">
                  <c:v>11.387347820248037</c:v>
                </c:pt>
                <c:pt idx="174">
                  <c:v>11.387347820248037</c:v>
                </c:pt>
                <c:pt idx="175">
                  <c:v>11.387347820248037</c:v>
                </c:pt>
                <c:pt idx="176">
                  <c:v>11.387347820248037</c:v>
                </c:pt>
                <c:pt idx="177">
                  <c:v>11.387347820248037</c:v>
                </c:pt>
                <c:pt idx="178">
                  <c:v>12.464802587477148</c:v>
                </c:pt>
                <c:pt idx="179">
                  <c:v>12.464802587477148</c:v>
                </c:pt>
                <c:pt idx="180">
                  <c:v>12.464802587477148</c:v>
                </c:pt>
                <c:pt idx="181">
                  <c:v>12.464802587477148</c:v>
                </c:pt>
                <c:pt idx="182">
                  <c:v>12.464802587477148</c:v>
                </c:pt>
                <c:pt idx="183">
                  <c:v>11.292495043304985</c:v>
                </c:pt>
                <c:pt idx="184">
                  <c:v>11.292495043304985</c:v>
                </c:pt>
                <c:pt idx="185">
                  <c:v>11.292495043304985</c:v>
                </c:pt>
                <c:pt idx="186">
                  <c:v>11.292495043304985</c:v>
                </c:pt>
                <c:pt idx="187">
                  <c:v>11.292495043304985</c:v>
                </c:pt>
                <c:pt idx="188">
                  <c:v>11.292495043304985</c:v>
                </c:pt>
                <c:pt idx="189">
                  <c:v>11.292495043304985</c:v>
                </c:pt>
                <c:pt idx="190">
                  <c:v>11.292495043304985</c:v>
                </c:pt>
                <c:pt idx="191">
                  <c:v>11.292495043304985</c:v>
                </c:pt>
                <c:pt idx="192">
                  <c:v>11.292495043304985</c:v>
                </c:pt>
                <c:pt idx="193">
                  <c:v>11.292495043304985</c:v>
                </c:pt>
                <c:pt idx="194">
                  <c:v>11.292495043304985</c:v>
                </c:pt>
                <c:pt idx="195">
                  <c:v>11.292495043304985</c:v>
                </c:pt>
                <c:pt idx="196">
                  <c:v>11.292495043304985</c:v>
                </c:pt>
                <c:pt idx="197">
                  <c:v>11.292495043304985</c:v>
                </c:pt>
                <c:pt idx="198">
                  <c:v>11.292495043304985</c:v>
                </c:pt>
                <c:pt idx="199">
                  <c:v>11.292495043304985</c:v>
                </c:pt>
                <c:pt idx="200">
                  <c:v>9.3630523370972121</c:v>
                </c:pt>
                <c:pt idx="201">
                  <c:v>9.3630523370972121</c:v>
                </c:pt>
                <c:pt idx="202">
                  <c:v>9.3630523370972121</c:v>
                </c:pt>
                <c:pt idx="203">
                  <c:v>9.2664713056117947</c:v>
                </c:pt>
                <c:pt idx="204">
                  <c:v>10.059269986096032</c:v>
                </c:pt>
                <c:pt idx="205">
                  <c:v>10.059269986096032</c:v>
                </c:pt>
                <c:pt idx="206">
                  <c:v>10.059269986096032</c:v>
                </c:pt>
                <c:pt idx="207">
                  <c:v>10.059269986096032</c:v>
                </c:pt>
                <c:pt idx="208">
                  <c:v>10.242121677474179</c:v>
                </c:pt>
                <c:pt idx="209">
                  <c:v>10.242121677474179</c:v>
                </c:pt>
                <c:pt idx="210">
                  <c:v>10.242121677474179</c:v>
                </c:pt>
                <c:pt idx="211">
                  <c:v>10.242121677474179</c:v>
                </c:pt>
                <c:pt idx="212">
                  <c:v>10.242121677474179</c:v>
                </c:pt>
                <c:pt idx="213">
                  <c:v>10.242121677474179</c:v>
                </c:pt>
                <c:pt idx="214">
                  <c:v>10.242121677474179</c:v>
                </c:pt>
                <c:pt idx="215">
                  <c:v>10.242121677474179</c:v>
                </c:pt>
                <c:pt idx="216">
                  <c:v>10.242121677474179</c:v>
                </c:pt>
                <c:pt idx="217">
                  <c:v>10.242121677474179</c:v>
                </c:pt>
                <c:pt idx="218">
                  <c:v>10.242121677474179</c:v>
                </c:pt>
                <c:pt idx="219">
                  <c:v>10.242121677474179</c:v>
                </c:pt>
                <c:pt idx="220">
                  <c:v>10.242121677474179</c:v>
                </c:pt>
                <c:pt idx="221">
                  <c:v>10.176833888902154</c:v>
                </c:pt>
                <c:pt idx="222">
                  <c:v>10.294457493367863</c:v>
                </c:pt>
                <c:pt idx="223">
                  <c:v>9.8446328777985279</c:v>
                </c:pt>
                <c:pt idx="224">
                  <c:v>9.8446328777985279</c:v>
                </c:pt>
                <c:pt idx="225">
                  <c:v>9.8446328777985279</c:v>
                </c:pt>
                <c:pt idx="226">
                  <c:v>9.8446328777985279</c:v>
                </c:pt>
                <c:pt idx="227">
                  <c:v>10.712061678440325</c:v>
                </c:pt>
                <c:pt idx="228">
                  <c:v>10.712061678440325</c:v>
                </c:pt>
                <c:pt idx="229">
                  <c:v>10.712061678440325</c:v>
                </c:pt>
                <c:pt idx="230">
                  <c:v>10.712061678440325</c:v>
                </c:pt>
                <c:pt idx="231">
                  <c:v>10.85290293409429</c:v>
                </c:pt>
                <c:pt idx="232">
                  <c:v>10.85290293409429</c:v>
                </c:pt>
                <c:pt idx="233">
                  <c:v>10.85290293409429</c:v>
                </c:pt>
                <c:pt idx="234">
                  <c:v>10.85290293409429</c:v>
                </c:pt>
                <c:pt idx="235">
                  <c:v>10.85290293409429</c:v>
                </c:pt>
                <c:pt idx="236">
                  <c:v>12.756501447862298</c:v>
                </c:pt>
                <c:pt idx="237">
                  <c:v>12.756501447862298</c:v>
                </c:pt>
                <c:pt idx="238">
                  <c:v>12.756501447862298</c:v>
                </c:pt>
                <c:pt idx="239">
                  <c:v>12.103344522724129</c:v>
                </c:pt>
                <c:pt idx="240">
                  <c:v>12.604277939027801</c:v>
                </c:pt>
                <c:pt idx="241">
                  <c:v>12.443189340298501</c:v>
                </c:pt>
                <c:pt idx="242">
                  <c:v>11.660387849507131</c:v>
                </c:pt>
                <c:pt idx="243">
                  <c:v>11.649399548815515</c:v>
                </c:pt>
                <c:pt idx="244">
                  <c:v>11.649399548815515</c:v>
                </c:pt>
                <c:pt idx="245">
                  <c:v>11.649399548815515</c:v>
                </c:pt>
                <c:pt idx="246">
                  <c:v>11.649399548815515</c:v>
                </c:pt>
                <c:pt idx="247">
                  <c:v>11.649399548815515</c:v>
                </c:pt>
                <c:pt idx="248">
                  <c:v>11.649399548815515</c:v>
                </c:pt>
                <c:pt idx="249">
                  <c:v>11.649399548815515</c:v>
                </c:pt>
                <c:pt idx="250">
                  <c:v>11.649399548815515</c:v>
                </c:pt>
                <c:pt idx="251">
                  <c:v>11.848740855801125</c:v>
                </c:pt>
                <c:pt idx="252">
                  <c:v>11.848740855801125</c:v>
                </c:pt>
                <c:pt idx="253">
                  <c:v>15.112572962642227</c:v>
                </c:pt>
                <c:pt idx="254">
                  <c:v>17.555678719000994</c:v>
                </c:pt>
                <c:pt idx="255">
                  <c:v>17.555678719000994</c:v>
                </c:pt>
                <c:pt idx="256">
                  <c:v>17.555678719000994</c:v>
                </c:pt>
                <c:pt idx="257">
                  <c:v>17.555678719000994</c:v>
                </c:pt>
                <c:pt idx="258">
                  <c:v>17.555678719000994</c:v>
                </c:pt>
                <c:pt idx="259">
                  <c:v>17.113941918766518</c:v>
                </c:pt>
                <c:pt idx="260">
                  <c:v>17.87231344919687</c:v>
                </c:pt>
                <c:pt idx="261">
                  <c:v>17.87231344919687</c:v>
                </c:pt>
                <c:pt idx="262">
                  <c:v>17.87231344919687</c:v>
                </c:pt>
                <c:pt idx="263">
                  <c:v>17.87231344919687</c:v>
                </c:pt>
                <c:pt idx="264">
                  <c:v>17.87231344919687</c:v>
                </c:pt>
                <c:pt idx="265">
                  <c:v>17.87231344919687</c:v>
                </c:pt>
                <c:pt idx="266">
                  <c:v>17.87231344919687</c:v>
                </c:pt>
                <c:pt idx="267">
                  <c:v>17.681560428940717</c:v>
                </c:pt>
                <c:pt idx="268">
                  <c:v>17.681560428940717</c:v>
                </c:pt>
                <c:pt idx="269">
                  <c:v>17.748427630277256</c:v>
                </c:pt>
                <c:pt idx="270">
                  <c:v>17.748427630277256</c:v>
                </c:pt>
                <c:pt idx="271">
                  <c:v>17.748427630277256</c:v>
                </c:pt>
                <c:pt idx="272">
                  <c:v>17.579398395902857</c:v>
                </c:pt>
                <c:pt idx="273">
                  <c:v>17.579398395902857</c:v>
                </c:pt>
                <c:pt idx="274">
                  <c:v>17.579398395902857</c:v>
                </c:pt>
                <c:pt idx="275">
                  <c:v>17.579398395902857</c:v>
                </c:pt>
                <c:pt idx="276">
                  <c:v>17.579398395902857</c:v>
                </c:pt>
                <c:pt idx="277">
                  <c:v>17.579398395902857</c:v>
                </c:pt>
                <c:pt idx="278">
                  <c:v>16.86061589193395</c:v>
                </c:pt>
                <c:pt idx="279">
                  <c:v>16.86061589193395</c:v>
                </c:pt>
                <c:pt idx="280">
                  <c:v>16.86061589193395</c:v>
                </c:pt>
                <c:pt idx="281">
                  <c:v>16.86061589193395</c:v>
                </c:pt>
                <c:pt idx="282">
                  <c:v>16.86061589193395</c:v>
                </c:pt>
                <c:pt idx="283">
                  <c:v>16.86061589193395</c:v>
                </c:pt>
                <c:pt idx="284">
                  <c:v>16.86061589193395</c:v>
                </c:pt>
                <c:pt idx="285">
                  <c:v>16.86061589193395</c:v>
                </c:pt>
                <c:pt idx="286">
                  <c:v>17.831422354731259</c:v>
                </c:pt>
                <c:pt idx="287">
                  <c:v>17.831422354731259</c:v>
                </c:pt>
                <c:pt idx="288">
                  <c:v>17.831422354731259</c:v>
                </c:pt>
                <c:pt idx="289">
                  <c:v>17.831422354731259</c:v>
                </c:pt>
                <c:pt idx="290">
                  <c:v>17.831422354731259</c:v>
                </c:pt>
                <c:pt idx="291">
                  <c:v>18.67128797623182</c:v>
                </c:pt>
                <c:pt idx="292">
                  <c:v>18.955339712256752</c:v>
                </c:pt>
                <c:pt idx="293">
                  <c:v>18.955339712256752</c:v>
                </c:pt>
                <c:pt idx="294">
                  <c:v>18.955339712256752</c:v>
                </c:pt>
                <c:pt idx="295">
                  <c:v>18.955339712256752</c:v>
                </c:pt>
                <c:pt idx="296">
                  <c:v>18.955339712256752</c:v>
                </c:pt>
                <c:pt idx="297">
                  <c:v>17.664417808227025</c:v>
                </c:pt>
                <c:pt idx="298">
                  <c:v>17.664417808227025</c:v>
                </c:pt>
                <c:pt idx="299">
                  <c:v>17.664417808227025</c:v>
                </c:pt>
                <c:pt idx="300">
                  <c:v>16.967386053187422</c:v>
                </c:pt>
                <c:pt idx="301">
                  <c:v>16.967386053187422</c:v>
                </c:pt>
                <c:pt idx="302">
                  <c:v>17.918929312422989</c:v>
                </c:pt>
                <c:pt idx="303">
                  <c:v>17.918929312422989</c:v>
                </c:pt>
                <c:pt idx="304">
                  <c:v>17.918929312422989</c:v>
                </c:pt>
                <c:pt idx="305">
                  <c:v>17.918929312422989</c:v>
                </c:pt>
                <c:pt idx="306">
                  <c:v>17.918929312422989</c:v>
                </c:pt>
                <c:pt idx="307">
                  <c:v>17.918929312422989</c:v>
                </c:pt>
                <c:pt idx="308">
                  <c:v>23.134712512535174</c:v>
                </c:pt>
                <c:pt idx="309">
                  <c:v>23.552500314582236</c:v>
                </c:pt>
                <c:pt idx="310">
                  <c:v>22.780998999602659</c:v>
                </c:pt>
                <c:pt idx="311">
                  <c:v>22.780998999602659</c:v>
                </c:pt>
                <c:pt idx="312">
                  <c:v>22.462212729532133</c:v>
                </c:pt>
                <c:pt idx="313">
                  <c:v>22.462212729532133</c:v>
                </c:pt>
                <c:pt idx="314">
                  <c:v>22.462212729532133</c:v>
                </c:pt>
                <c:pt idx="315">
                  <c:v>22.462212729532133</c:v>
                </c:pt>
                <c:pt idx="316">
                  <c:v>22.462212729532133</c:v>
                </c:pt>
                <c:pt idx="317">
                  <c:v>22.462212729532133</c:v>
                </c:pt>
                <c:pt idx="318">
                  <c:v>22.462212729532133</c:v>
                </c:pt>
                <c:pt idx="319">
                  <c:v>22.462212729532133</c:v>
                </c:pt>
                <c:pt idx="320">
                  <c:v>22.462212729532133</c:v>
                </c:pt>
                <c:pt idx="321">
                  <c:v>22.462212729532133</c:v>
                </c:pt>
                <c:pt idx="322">
                  <c:v>22.762151850799597</c:v>
                </c:pt>
                <c:pt idx="323">
                  <c:v>22.762151850799597</c:v>
                </c:pt>
                <c:pt idx="324">
                  <c:v>22.762151850799597</c:v>
                </c:pt>
                <c:pt idx="325">
                  <c:v>21.367120327321665</c:v>
                </c:pt>
                <c:pt idx="326">
                  <c:v>19.19648137254174</c:v>
                </c:pt>
                <c:pt idx="327">
                  <c:v>19.19648137254174</c:v>
                </c:pt>
                <c:pt idx="328">
                  <c:v>19.19648137254174</c:v>
                </c:pt>
                <c:pt idx="329">
                  <c:v>19.19648137254174</c:v>
                </c:pt>
                <c:pt idx="330">
                  <c:v>19.19648137254174</c:v>
                </c:pt>
                <c:pt idx="331">
                  <c:v>19.19648137254174</c:v>
                </c:pt>
                <c:pt idx="332">
                  <c:v>18.325526374876258</c:v>
                </c:pt>
                <c:pt idx="333">
                  <c:v>18.325526374876258</c:v>
                </c:pt>
                <c:pt idx="334">
                  <c:v>18.325526374876258</c:v>
                </c:pt>
                <c:pt idx="335">
                  <c:v>18.325526374876258</c:v>
                </c:pt>
                <c:pt idx="336">
                  <c:v>18.325526374876258</c:v>
                </c:pt>
                <c:pt idx="337">
                  <c:v>18.325526374876258</c:v>
                </c:pt>
                <c:pt idx="338">
                  <c:v>18.69431278866081</c:v>
                </c:pt>
                <c:pt idx="339">
                  <c:v>18.69431278866081</c:v>
                </c:pt>
                <c:pt idx="340">
                  <c:v>18.69431278866081</c:v>
                </c:pt>
                <c:pt idx="341">
                  <c:v>18.69431278866081</c:v>
                </c:pt>
                <c:pt idx="342">
                  <c:v>18.69431278866081</c:v>
                </c:pt>
                <c:pt idx="343">
                  <c:v>18.69431278866081</c:v>
                </c:pt>
                <c:pt idx="344">
                  <c:v>18.69431278866081</c:v>
                </c:pt>
                <c:pt idx="345">
                  <c:v>18.69431278866081</c:v>
                </c:pt>
                <c:pt idx="346">
                  <c:v>18.69431278866081</c:v>
                </c:pt>
                <c:pt idx="347">
                  <c:v>18.69431278866081</c:v>
                </c:pt>
                <c:pt idx="348">
                  <c:v>17.410624845398399</c:v>
                </c:pt>
                <c:pt idx="349">
                  <c:v>17.410624845398399</c:v>
                </c:pt>
                <c:pt idx="350">
                  <c:v>16.574086383859939</c:v>
                </c:pt>
                <c:pt idx="351">
                  <c:v>16.574086383859939</c:v>
                </c:pt>
                <c:pt idx="352">
                  <c:v>16.574086383859939</c:v>
                </c:pt>
                <c:pt idx="353">
                  <c:v>16.574086383859939</c:v>
                </c:pt>
                <c:pt idx="354">
                  <c:v>16.574086383859939</c:v>
                </c:pt>
                <c:pt idx="355">
                  <c:v>15.103783024826967</c:v>
                </c:pt>
                <c:pt idx="356">
                  <c:v>15.103783024826967</c:v>
                </c:pt>
                <c:pt idx="357">
                  <c:v>15.103783024826967</c:v>
                </c:pt>
                <c:pt idx="358">
                  <c:v>15.103783024826967</c:v>
                </c:pt>
                <c:pt idx="359">
                  <c:v>15.590696540233131</c:v>
                </c:pt>
                <c:pt idx="360">
                  <c:v>14.900419388753717</c:v>
                </c:pt>
                <c:pt idx="361">
                  <c:v>14.900419388753717</c:v>
                </c:pt>
                <c:pt idx="362">
                  <c:v>13.67185393496869</c:v>
                </c:pt>
                <c:pt idx="363">
                  <c:v>13.67185393496869</c:v>
                </c:pt>
                <c:pt idx="364">
                  <c:v>13.67185393496869</c:v>
                </c:pt>
                <c:pt idx="365">
                  <c:v>13.67185393496869</c:v>
                </c:pt>
                <c:pt idx="366">
                  <c:v>13.67185393496869</c:v>
                </c:pt>
                <c:pt idx="367">
                  <c:v>13.67185393496869</c:v>
                </c:pt>
                <c:pt idx="368">
                  <c:v>13.67185393496869</c:v>
                </c:pt>
                <c:pt idx="369">
                  <c:v>13.67185393496869</c:v>
                </c:pt>
                <c:pt idx="370">
                  <c:v>13.67185393496869</c:v>
                </c:pt>
                <c:pt idx="371">
                  <c:v>13.67185393496869</c:v>
                </c:pt>
                <c:pt idx="372">
                  <c:v>13.67185393496869</c:v>
                </c:pt>
                <c:pt idx="373">
                  <c:v>11.683887388414128</c:v>
                </c:pt>
                <c:pt idx="374">
                  <c:v>11.683887388414128</c:v>
                </c:pt>
                <c:pt idx="375">
                  <c:v>11.683887388414128</c:v>
                </c:pt>
                <c:pt idx="376">
                  <c:v>11.683887388414128</c:v>
                </c:pt>
                <c:pt idx="377">
                  <c:v>11.683887388414128</c:v>
                </c:pt>
                <c:pt idx="378">
                  <c:v>11.683887388414128</c:v>
                </c:pt>
                <c:pt idx="379">
                  <c:v>11.683887388414128</c:v>
                </c:pt>
                <c:pt idx="380">
                  <c:v>11.683887388414128</c:v>
                </c:pt>
                <c:pt idx="381">
                  <c:v>11.683887388414128</c:v>
                </c:pt>
                <c:pt idx="382">
                  <c:v>10.514761942459062</c:v>
                </c:pt>
                <c:pt idx="383">
                  <c:v>10.514761942459062</c:v>
                </c:pt>
                <c:pt idx="384">
                  <c:v>10.514761942459062</c:v>
                </c:pt>
                <c:pt idx="385">
                  <c:v>10.514761942459062</c:v>
                </c:pt>
                <c:pt idx="386">
                  <c:v>10.514761942459062</c:v>
                </c:pt>
                <c:pt idx="387">
                  <c:v>10.514761942459062</c:v>
                </c:pt>
                <c:pt idx="388">
                  <c:v>10.514761942459062</c:v>
                </c:pt>
                <c:pt idx="389">
                  <c:v>10.514761942459062</c:v>
                </c:pt>
                <c:pt idx="390">
                  <c:v>10.514761942459062</c:v>
                </c:pt>
                <c:pt idx="391">
                  <c:v>10.514761942459062</c:v>
                </c:pt>
                <c:pt idx="392">
                  <c:v>10.514761942459062</c:v>
                </c:pt>
                <c:pt idx="393">
                  <c:v>10.514761942459062</c:v>
                </c:pt>
                <c:pt idx="394">
                  <c:v>10.514761942459062</c:v>
                </c:pt>
                <c:pt idx="395">
                  <c:v>10.01739856757891</c:v>
                </c:pt>
                <c:pt idx="396">
                  <c:v>10.01739856757891</c:v>
                </c:pt>
                <c:pt idx="397">
                  <c:v>10.01739856757891</c:v>
                </c:pt>
                <c:pt idx="398">
                  <c:v>10.01739856757891</c:v>
                </c:pt>
                <c:pt idx="399">
                  <c:v>10.01739856757891</c:v>
                </c:pt>
                <c:pt idx="400">
                  <c:v>10.01739856757891</c:v>
                </c:pt>
                <c:pt idx="401">
                  <c:v>10.01739856757891</c:v>
                </c:pt>
                <c:pt idx="402">
                  <c:v>10.01739856757891</c:v>
                </c:pt>
                <c:pt idx="403">
                  <c:v>10.01739856757891</c:v>
                </c:pt>
                <c:pt idx="404">
                  <c:v>10.01739856757891</c:v>
                </c:pt>
                <c:pt idx="405">
                  <c:v>10.01739856757891</c:v>
                </c:pt>
                <c:pt idx="406">
                  <c:v>10.01739856757891</c:v>
                </c:pt>
                <c:pt idx="407">
                  <c:v>10.01739856757891</c:v>
                </c:pt>
                <c:pt idx="408">
                  <c:v>10.01739856757891</c:v>
                </c:pt>
                <c:pt idx="409">
                  <c:v>10.01739856757891</c:v>
                </c:pt>
                <c:pt idx="410">
                  <c:v>10.01739856757891</c:v>
                </c:pt>
                <c:pt idx="411">
                  <c:v>10.01739856757891</c:v>
                </c:pt>
                <c:pt idx="412">
                  <c:v>10.01739856757891</c:v>
                </c:pt>
                <c:pt idx="413">
                  <c:v>10.01739856757891</c:v>
                </c:pt>
                <c:pt idx="414">
                  <c:v>10.01739856757891</c:v>
                </c:pt>
                <c:pt idx="415">
                  <c:v>10.520279308245643</c:v>
                </c:pt>
                <c:pt idx="416">
                  <c:v>10.520279308245643</c:v>
                </c:pt>
                <c:pt idx="417">
                  <c:v>10.520279308245643</c:v>
                </c:pt>
                <c:pt idx="418">
                  <c:v>10.520279308245643</c:v>
                </c:pt>
                <c:pt idx="419">
                  <c:v>10.009379462148743</c:v>
                </c:pt>
                <c:pt idx="420">
                  <c:v>10.009379462148743</c:v>
                </c:pt>
                <c:pt idx="421">
                  <c:v>10.009379462148743</c:v>
                </c:pt>
                <c:pt idx="422">
                  <c:v>10.009379462148743</c:v>
                </c:pt>
                <c:pt idx="423">
                  <c:v>10.009379462148743</c:v>
                </c:pt>
                <c:pt idx="424">
                  <c:v>10.009379462148743</c:v>
                </c:pt>
                <c:pt idx="425">
                  <c:v>10.009379462148743</c:v>
                </c:pt>
                <c:pt idx="426">
                  <c:v>10.009379462148743</c:v>
                </c:pt>
                <c:pt idx="427">
                  <c:v>10.009379462148743</c:v>
                </c:pt>
                <c:pt idx="428">
                  <c:v>10.009379462148743</c:v>
                </c:pt>
                <c:pt idx="429">
                  <c:v>10.009379462148743</c:v>
                </c:pt>
                <c:pt idx="430">
                  <c:v>10.009379462148743</c:v>
                </c:pt>
                <c:pt idx="431">
                  <c:v>10.009379462148743</c:v>
                </c:pt>
                <c:pt idx="432">
                  <c:v>10.009379462148743</c:v>
                </c:pt>
                <c:pt idx="433">
                  <c:v>10.009379462148743</c:v>
                </c:pt>
                <c:pt idx="434">
                  <c:v>10.009379462148743</c:v>
                </c:pt>
                <c:pt idx="435">
                  <c:v>10.009379462148743</c:v>
                </c:pt>
                <c:pt idx="436">
                  <c:v>10.009379462148743</c:v>
                </c:pt>
                <c:pt idx="437">
                  <c:v>10.009379462148743</c:v>
                </c:pt>
                <c:pt idx="438">
                  <c:v>10.009379462148743</c:v>
                </c:pt>
                <c:pt idx="439">
                  <c:v>10.009379462148743</c:v>
                </c:pt>
                <c:pt idx="440">
                  <c:v>10.009379462148743</c:v>
                </c:pt>
                <c:pt idx="441">
                  <c:v>10.009379462148743</c:v>
                </c:pt>
                <c:pt idx="442">
                  <c:v>10.009379462148743</c:v>
                </c:pt>
                <c:pt idx="443">
                  <c:v>10.009379462148743</c:v>
                </c:pt>
                <c:pt idx="444">
                  <c:v>10.009379462148743</c:v>
                </c:pt>
              </c:numCache>
            </c:numRef>
          </c:val>
          <c:smooth val="0"/>
          <c:extLst xmlns:c15="http://schemas.microsoft.com/office/drawing/2012/chart">
            <c:ext xmlns:c16="http://schemas.microsoft.com/office/drawing/2014/chart" uri="{C3380CC4-5D6E-409C-BE32-E72D297353CC}">
              <c16:uniqueId val="{00000000-014A-4B80-A216-E469238CD77A}"/>
            </c:ext>
          </c:extLst>
        </c:ser>
        <c:ser>
          <c:idx val="5"/>
          <c:order val="1"/>
          <c:tx>
            <c:v>Up (MOC)</c:v>
          </c:tx>
          <c:spPr>
            <a:ln w="19050" cap="rnd">
              <a:solidFill>
                <a:srgbClr val="00FF00"/>
              </a:solidFill>
              <a:prstDash val="sysDash"/>
              <a:round/>
            </a:ln>
            <a:effectLst/>
          </c:spPr>
          <c:marker>
            <c:symbol val="none"/>
          </c:marker>
          <c:val>
            <c:numRef>
              <c:f>'2025-Q1'!$GP$4:$GP$448</c:f>
              <c:numCache>
                <c:formatCode>0.0</c:formatCode>
                <c:ptCount val="445"/>
                <c:pt idx="0">
                  <c:v>0</c:v>
                </c:pt>
                <c:pt idx="1">
                  <c:v>1.5005969825246932</c:v>
                </c:pt>
                <c:pt idx="2">
                  <c:v>1.5005969825246932</c:v>
                </c:pt>
                <c:pt idx="3">
                  <c:v>1.8292563486431443</c:v>
                </c:pt>
                <c:pt idx="4">
                  <c:v>2.9436450736513393</c:v>
                </c:pt>
                <c:pt idx="5">
                  <c:v>3.9465087320186454</c:v>
                </c:pt>
                <c:pt idx="6">
                  <c:v>3.9465087320186454</c:v>
                </c:pt>
                <c:pt idx="7">
                  <c:v>5.0281413850798682</c:v>
                </c:pt>
                <c:pt idx="8">
                  <c:v>5.0281413850798682</c:v>
                </c:pt>
                <c:pt idx="9">
                  <c:v>5.0281413850798682</c:v>
                </c:pt>
                <c:pt idx="10">
                  <c:v>5.0281413850798682</c:v>
                </c:pt>
                <c:pt idx="11">
                  <c:v>5.0281413850798682</c:v>
                </c:pt>
                <c:pt idx="12">
                  <c:v>4.7038548155328721</c:v>
                </c:pt>
                <c:pt idx="13">
                  <c:v>3.7641036694948897</c:v>
                </c:pt>
                <c:pt idx="14">
                  <c:v>3.3683253053787925</c:v>
                </c:pt>
                <c:pt idx="15">
                  <c:v>3.3683253053787925</c:v>
                </c:pt>
                <c:pt idx="16">
                  <c:v>3.3683253053787925</c:v>
                </c:pt>
                <c:pt idx="17">
                  <c:v>3.3683253053787925</c:v>
                </c:pt>
                <c:pt idx="18">
                  <c:v>3.3683253053787925</c:v>
                </c:pt>
                <c:pt idx="19">
                  <c:v>2.8939829164180333</c:v>
                </c:pt>
                <c:pt idx="20">
                  <c:v>2.8939829164180333</c:v>
                </c:pt>
                <c:pt idx="21">
                  <c:v>2.8939829164180333</c:v>
                </c:pt>
                <c:pt idx="22">
                  <c:v>2.8939829164180333</c:v>
                </c:pt>
                <c:pt idx="23">
                  <c:v>2.8939829164180333</c:v>
                </c:pt>
                <c:pt idx="24">
                  <c:v>3.58650696567469</c:v>
                </c:pt>
                <c:pt idx="25">
                  <c:v>3.58650696567469</c:v>
                </c:pt>
                <c:pt idx="26">
                  <c:v>3.58650696567469</c:v>
                </c:pt>
                <c:pt idx="27">
                  <c:v>3.58650696567469</c:v>
                </c:pt>
                <c:pt idx="28">
                  <c:v>3.58650696567469</c:v>
                </c:pt>
                <c:pt idx="29">
                  <c:v>4.2524490321653836</c:v>
                </c:pt>
                <c:pt idx="30">
                  <c:v>3.8679032485968001</c:v>
                </c:pt>
                <c:pt idx="31">
                  <c:v>3.8679032485968001</c:v>
                </c:pt>
                <c:pt idx="32">
                  <c:v>3.8679032485968001</c:v>
                </c:pt>
                <c:pt idx="33">
                  <c:v>3.8679032485968001</c:v>
                </c:pt>
                <c:pt idx="34">
                  <c:v>3.8679032485968001</c:v>
                </c:pt>
                <c:pt idx="35">
                  <c:v>4.3126147870583402</c:v>
                </c:pt>
                <c:pt idx="36">
                  <c:v>5.4860654654595171</c:v>
                </c:pt>
                <c:pt idx="37">
                  <c:v>5.4860654654595171</c:v>
                </c:pt>
                <c:pt idx="38">
                  <c:v>5.4860654654595171</c:v>
                </c:pt>
                <c:pt idx="39">
                  <c:v>5.4860654654595171</c:v>
                </c:pt>
                <c:pt idx="40">
                  <c:v>6.5705557966349719</c:v>
                </c:pt>
                <c:pt idx="41">
                  <c:v>6.5705557966349719</c:v>
                </c:pt>
                <c:pt idx="42">
                  <c:v>6.5705557966349719</c:v>
                </c:pt>
                <c:pt idx="43">
                  <c:v>6.8625389189978439</c:v>
                </c:pt>
                <c:pt idx="44">
                  <c:v>6.8625389189978439</c:v>
                </c:pt>
                <c:pt idx="45">
                  <c:v>7.9632680193022232</c:v>
                </c:pt>
                <c:pt idx="46">
                  <c:v>7.9632680193022232</c:v>
                </c:pt>
                <c:pt idx="47">
                  <c:v>7.9632680193022232</c:v>
                </c:pt>
                <c:pt idx="48">
                  <c:v>7.9632680193022232</c:v>
                </c:pt>
                <c:pt idx="49">
                  <c:v>8.2969427872818624</c:v>
                </c:pt>
                <c:pt idx="50">
                  <c:v>8.2969427872818624</c:v>
                </c:pt>
                <c:pt idx="51">
                  <c:v>7.6230580787965563</c:v>
                </c:pt>
                <c:pt idx="52">
                  <c:v>7.6230580787965563</c:v>
                </c:pt>
                <c:pt idx="53">
                  <c:v>7.6230580787965563</c:v>
                </c:pt>
                <c:pt idx="54">
                  <c:v>7.3913705960580387</c:v>
                </c:pt>
                <c:pt idx="55">
                  <c:v>7.3913705960580387</c:v>
                </c:pt>
                <c:pt idx="56">
                  <c:v>7.3913705960580387</c:v>
                </c:pt>
                <c:pt idx="57">
                  <c:v>8.4330372627247048</c:v>
                </c:pt>
                <c:pt idx="58">
                  <c:v>8.4330372627247048</c:v>
                </c:pt>
                <c:pt idx="59">
                  <c:v>8.4330372627247048</c:v>
                </c:pt>
                <c:pt idx="60">
                  <c:v>8.4330372627247048</c:v>
                </c:pt>
                <c:pt idx="61">
                  <c:v>8.4330372627247048</c:v>
                </c:pt>
                <c:pt idx="62">
                  <c:v>8.4330372627247048</c:v>
                </c:pt>
                <c:pt idx="63">
                  <c:v>8.4330372627247048</c:v>
                </c:pt>
                <c:pt idx="64">
                  <c:v>10.433853635215767</c:v>
                </c:pt>
                <c:pt idx="65">
                  <c:v>8.9529116590079489</c:v>
                </c:pt>
                <c:pt idx="66">
                  <c:v>8.5495513338934614</c:v>
                </c:pt>
                <c:pt idx="67">
                  <c:v>8.5495513338934614</c:v>
                </c:pt>
                <c:pt idx="68">
                  <c:v>8.5495513338934614</c:v>
                </c:pt>
                <c:pt idx="69">
                  <c:v>7.78611970873839</c:v>
                </c:pt>
                <c:pt idx="70">
                  <c:v>7.78611970873839</c:v>
                </c:pt>
                <c:pt idx="71">
                  <c:v>7.78611970873839</c:v>
                </c:pt>
                <c:pt idx="72">
                  <c:v>7.78611970873839</c:v>
                </c:pt>
                <c:pt idx="73">
                  <c:v>7.78611970873839</c:v>
                </c:pt>
                <c:pt idx="74">
                  <c:v>7.78611970873839</c:v>
                </c:pt>
                <c:pt idx="75">
                  <c:v>9.6856204255311109</c:v>
                </c:pt>
                <c:pt idx="76">
                  <c:v>9.6856204255311109</c:v>
                </c:pt>
                <c:pt idx="77">
                  <c:v>9.6856204255311109</c:v>
                </c:pt>
                <c:pt idx="78">
                  <c:v>9.6856204255311109</c:v>
                </c:pt>
                <c:pt idx="79">
                  <c:v>9.8118872843915792</c:v>
                </c:pt>
                <c:pt idx="80">
                  <c:v>9.8118872843915792</c:v>
                </c:pt>
                <c:pt idx="81">
                  <c:v>9.8118872843915792</c:v>
                </c:pt>
                <c:pt idx="82">
                  <c:v>9.9227383744273006</c:v>
                </c:pt>
                <c:pt idx="83">
                  <c:v>9.9227383744273006</c:v>
                </c:pt>
                <c:pt idx="84">
                  <c:v>9.4575161738937599</c:v>
                </c:pt>
                <c:pt idx="85">
                  <c:v>9.4575161738937599</c:v>
                </c:pt>
                <c:pt idx="86">
                  <c:v>9.4575161738937599</c:v>
                </c:pt>
                <c:pt idx="87">
                  <c:v>9.9915645762552927</c:v>
                </c:pt>
                <c:pt idx="88">
                  <c:v>9.9915645762552927</c:v>
                </c:pt>
                <c:pt idx="89">
                  <c:v>9.9915645762552927</c:v>
                </c:pt>
                <c:pt idx="90">
                  <c:v>9.9915645762552927</c:v>
                </c:pt>
                <c:pt idx="91">
                  <c:v>9.9915645762552927</c:v>
                </c:pt>
                <c:pt idx="92">
                  <c:v>9.2007288811370884</c:v>
                </c:pt>
                <c:pt idx="93">
                  <c:v>9.5455382799951973</c:v>
                </c:pt>
                <c:pt idx="94">
                  <c:v>9.5455382799951973</c:v>
                </c:pt>
                <c:pt idx="95">
                  <c:v>9.4128017764878535</c:v>
                </c:pt>
                <c:pt idx="96">
                  <c:v>9.4128017764878535</c:v>
                </c:pt>
                <c:pt idx="97">
                  <c:v>9.4128017764878535</c:v>
                </c:pt>
                <c:pt idx="98">
                  <c:v>9.4128017764878535</c:v>
                </c:pt>
                <c:pt idx="99">
                  <c:v>10.795661754163655</c:v>
                </c:pt>
                <c:pt idx="100">
                  <c:v>11.318317244931391</c:v>
                </c:pt>
                <c:pt idx="101">
                  <c:v>10.635036056741368</c:v>
                </c:pt>
                <c:pt idx="102">
                  <c:v>10.635036056741368</c:v>
                </c:pt>
                <c:pt idx="103">
                  <c:v>10.635036056741368</c:v>
                </c:pt>
                <c:pt idx="104">
                  <c:v>10.635036056741368</c:v>
                </c:pt>
                <c:pt idx="105">
                  <c:v>10.635036056741368</c:v>
                </c:pt>
                <c:pt idx="106">
                  <c:v>10.635036056741368</c:v>
                </c:pt>
                <c:pt idx="107">
                  <c:v>10.635036056741368</c:v>
                </c:pt>
                <c:pt idx="108">
                  <c:v>10.635036056741368</c:v>
                </c:pt>
                <c:pt idx="109">
                  <c:v>10.635036056741368</c:v>
                </c:pt>
                <c:pt idx="110">
                  <c:v>10.635036056741368</c:v>
                </c:pt>
                <c:pt idx="111">
                  <c:v>10.635036056741368</c:v>
                </c:pt>
                <c:pt idx="112">
                  <c:v>10.635036056741368</c:v>
                </c:pt>
                <c:pt idx="113">
                  <c:v>10.635036056741368</c:v>
                </c:pt>
                <c:pt idx="114">
                  <c:v>10.635036056741368</c:v>
                </c:pt>
                <c:pt idx="115">
                  <c:v>10.635036056741368</c:v>
                </c:pt>
                <c:pt idx="116">
                  <c:v>10.635036056741368</c:v>
                </c:pt>
                <c:pt idx="117">
                  <c:v>10.700262523032329</c:v>
                </c:pt>
                <c:pt idx="118">
                  <c:v>10.700262523032329</c:v>
                </c:pt>
                <c:pt idx="119">
                  <c:v>10.700262523032329</c:v>
                </c:pt>
                <c:pt idx="120">
                  <c:v>10.700262523032329</c:v>
                </c:pt>
                <c:pt idx="121">
                  <c:v>10.700262523032329</c:v>
                </c:pt>
                <c:pt idx="122">
                  <c:v>10.700262523032329</c:v>
                </c:pt>
                <c:pt idx="123">
                  <c:v>10.700262523032329</c:v>
                </c:pt>
                <c:pt idx="124">
                  <c:v>10.700262523032329</c:v>
                </c:pt>
                <c:pt idx="125">
                  <c:v>10.700262523032329</c:v>
                </c:pt>
                <c:pt idx="126">
                  <c:v>10.822320064444709</c:v>
                </c:pt>
                <c:pt idx="127">
                  <c:v>10.822320064444709</c:v>
                </c:pt>
                <c:pt idx="128">
                  <c:v>10.761590336028053</c:v>
                </c:pt>
                <c:pt idx="129">
                  <c:v>10.761590336028053</c:v>
                </c:pt>
                <c:pt idx="130">
                  <c:v>10.761590336028053</c:v>
                </c:pt>
                <c:pt idx="131">
                  <c:v>10.761590336028053</c:v>
                </c:pt>
                <c:pt idx="132">
                  <c:v>11.352023818838216</c:v>
                </c:pt>
                <c:pt idx="133">
                  <c:v>11.352023818838216</c:v>
                </c:pt>
                <c:pt idx="134">
                  <c:v>11.352023818838216</c:v>
                </c:pt>
                <c:pt idx="135">
                  <c:v>11.352023818838216</c:v>
                </c:pt>
                <c:pt idx="136">
                  <c:v>7.9344271176594248</c:v>
                </c:pt>
                <c:pt idx="137">
                  <c:v>7.9344271176594248</c:v>
                </c:pt>
                <c:pt idx="138">
                  <c:v>7.9344271176594248</c:v>
                </c:pt>
                <c:pt idx="139">
                  <c:v>7.9344271176594248</c:v>
                </c:pt>
                <c:pt idx="140">
                  <c:v>10.421159964010178</c:v>
                </c:pt>
                <c:pt idx="141">
                  <c:v>10.421159964010178</c:v>
                </c:pt>
                <c:pt idx="142">
                  <c:v>10.421159964010178</c:v>
                </c:pt>
                <c:pt idx="143">
                  <c:v>10.421159964010178</c:v>
                </c:pt>
                <c:pt idx="144">
                  <c:v>10.421159964010178</c:v>
                </c:pt>
                <c:pt idx="145">
                  <c:v>10.421159964010178</c:v>
                </c:pt>
                <c:pt idx="146">
                  <c:v>10.421159964010178</c:v>
                </c:pt>
                <c:pt idx="147">
                  <c:v>10.421159964010178</c:v>
                </c:pt>
                <c:pt idx="148">
                  <c:v>10.421159964010178</c:v>
                </c:pt>
                <c:pt idx="149">
                  <c:v>10.421159964010178</c:v>
                </c:pt>
                <c:pt idx="150">
                  <c:v>10.421159964010178</c:v>
                </c:pt>
                <c:pt idx="151">
                  <c:v>10.421159964010178</c:v>
                </c:pt>
                <c:pt idx="152">
                  <c:v>10.421159964010178</c:v>
                </c:pt>
                <c:pt idx="153">
                  <c:v>10.358429953973376</c:v>
                </c:pt>
                <c:pt idx="154">
                  <c:v>10.358429953973376</c:v>
                </c:pt>
                <c:pt idx="155">
                  <c:v>10.358429953973376</c:v>
                </c:pt>
                <c:pt idx="156">
                  <c:v>10.358429953973376</c:v>
                </c:pt>
                <c:pt idx="157">
                  <c:v>10.358429953973376</c:v>
                </c:pt>
                <c:pt idx="158">
                  <c:v>14.356917335551275</c:v>
                </c:pt>
                <c:pt idx="159">
                  <c:v>14.356917335551275</c:v>
                </c:pt>
                <c:pt idx="160">
                  <c:v>14.356917335551275</c:v>
                </c:pt>
                <c:pt idx="161">
                  <c:v>14.356917335551275</c:v>
                </c:pt>
                <c:pt idx="162">
                  <c:v>14.356917335551275</c:v>
                </c:pt>
                <c:pt idx="163">
                  <c:v>14.356917335551275</c:v>
                </c:pt>
                <c:pt idx="164">
                  <c:v>14.356917335551275</c:v>
                </c:pt>
                <c:pt idx="165">
                  <c:v>12.935522898595021</c:v>
                </c:pt>
                <c:pt idx="166">
                  <c:v>10.740237455627755</c:v>
                </c:pt>
                <c:pt idx="167">
                  <c:v>10.740237455627755</c:v>
                </c:pt>
                <c:pt idx="168">
                  <c:v>10.740237455627755</c:v>
                </c:pt>
                <c:pt idx="169">
                  <c:v>10.740237455627755</c:v>
                </c:pt>
                <c:pt idx="170">
                  <c:v>10.740237455627755</c:v>
                </c:pt>
                <c:pt idx="171">
                  <c:v>10.720765628927012</c:v>
                </c:pt>
                <c:pt idx="172">
                  <c:v>10.198593473404385</c:v>
                </c:pt>
                <c:pt idx="173">
                  <c:v>10.198593473404385</c:v>
                </c:pt>
                <c:pt idx="174">
                  <c:v>10.198593473404385</c:v>
                </c:pt>
                <c:pt idx="175">
                  <c:v>10.198593473404385</c:v>
                </c:pt>
                <c:pt idx="176">
                  <c:v>10.198593473404385</c:v>
                </c:pt>
                <c:pt idx="177">
                  <c:v>10.198593473404385</c:v>
                </c:pt>
                <c:pt idx="178">
                  <c:v>10.998213992480078</c:v>
                </c:pt>
                <c:pt idx="179">
                  <c:v>10.998213992480078</c:v>
                </c:pt>
                <c:pt idx="180">
                  <c:v>10.998213992480078</c:v>
                </c:pt>
                <c:pt idx="181">
                  <c:v>10.998213992480078</c:v>
                </c:pt>
                <c:pt idx="182">
                  <c:v>10.998213992480078</c:v>
                </c:pt>
                <c:pt idx="183">
                  <c:v>9.8419544639707812</c:v>
                </c:pt>
                <c:pt idx="184">
                  <c:v>9.8419544639707812</c:v>
                </c:pt>
                <c:pt idx="185">
                  <c:v>9.8419544639707812</c:v>
                </c:pt>
                <c:pt idx="186">
                  <c:v>9.8419544639707812</c:v>
                </c:pt>
                <c:pt idx="187">
                  <c:v>9.8419544639707812</c:v>
                </c:pt>
                <c:pt idx="188">
                  <c:v>9.8419544639707812</c:v>
                </c:pt>
                <c:pt idx="189">
                  <c:v>9.8419544639707812</c:v>
                </c:pt>
                <c:pt idx="190">
                  <c:v>9.8419544639707812</c:v>
                </c:pt>
                <c:pt idx="191">
                  <c:v>9.8419544639707812</c:v>
                </c:pt>
                <c:pt idx="192">
                  <c:v>9.8419544639707812</c:v>
                </c:pt>
                <c:pt idx="193">
                  <c:v>9.8419544639707812</c:v>
                </c:pt>
                <c:pt idx="194">
                  <c:v>9.8419544639707812</c:v>
                </c:pt>
                <c:pt idx="195">
                  <c:v>9.8419544639707812</c:v>
                </c:pt>
                <c:pt idx="196">
                  <c:v>9.8419544639707812</c:v>
                </c:pt>
                <c:pt idx="197">
                  <c:v>9.8419544639707812</c:v>
                </c:pt>
                <c:pt idx="198">
                  <c:v>9.8419544639707812</c:v>
                </c:pt>
                <c:pt idx="199">
                  <c:v>9.8419544639707812</c:v>
                </c:pt>
                <c:pt idx="200">
                  <c:v>9.6401678589737294</c:v>
                </c:pt>
                <c:pt idx="201">
                  <c:v>9.6401678589737294</c:v>
                </c:pt>
                <c:pt idx="202">
                  <c:v>9.6401678589737294</c:v>
                </c:pt>
                <c:pt idx="203">
                  <c:v>9.8703526506806369</c:v>
                </c:pt>
                <c:pt idx="204">
                  <c:v>11.061495712330654</c:v>
                </c:pt>
                <c:pt idx="205">
                  <c:v>11.061495712330654</c:v>
                </c:pt>
                <c:pt idx="206">
                  <c:v>11.061495712330654</c:v>
                </c:pt>
                <c:pt idx="207">
                  <c:v>11.061495712330654</c:v>
                </c:pt>
                <c:pt idx="208">
                  <c:v>11.174784260249723</c:v>
                </c:pt>
                <c:pt idx="209">
                  <c:v>11.174784260249723</c:v>
                </c:pt>
                <c:pt idx="210">
                  <c:v>11.174784260249723</c:v>
                </c:pt>
                <c:pt idx="211">
                  <c:v>11.174784260249723</c:v>
                </c:pt>
                <c:pt idx="212">
                  <c:v>11.174784260249723</c:v>
                </c:pt>
                <c:pt idx="213">
                  <c:v>11.174784260249723</c:v>
                </c:pt>
                <c:pt idx="214">
                  <c:v>11.174784260249723</c:v>
                </c:pt>
                <c:pt idx="215">
                  <c:v>11.174784260249723</c:v>
                </c:pt>
                <c:pt idx="216">
                  <c:v>11.174784260249723</c:v>
                </c:pt>
                <c:pt idx="217">
                  <c:v>11.174784260249723</c:v>
                </c:pt>
                <c:pt idx="218">
                  <c:v>11.174784260249723</c:v>
                </c:pt>
                <c:pt idx="219">
                  <c:v>11.174784260249723</c:v>
                </c:pt>
                <c:pt idx="220">
                  <c:v>11.174784260249723</c:v>
                </c:pt>
                <c:pt idx="221">
                  <c:v>10.793503574989092</c:v>
                </c:pt>
                <c:pt idx="222">
                  <c:v>11.489277099709987</c:v>
                </c:pt>
                <c:pt idx="223">
                  <c:v>11.527012625134297</c:v>
                </c:pt>
                <c:pt idx="224">
                  <c:v>11.527012625134297</c:v>
                </c:pt>
                <c:pt idx="225">
                  <c:v>11.527012625134297</c:v>
                </c:pt>
                <c:pt idx="226">
                  <c:v>11.527012625134297</c:v>
                </c:pt>
                <c:pt idx="227">
                  <c:v>11.386619524452389</c:v>
                </c:pt>
                <c:pt idx="228">
                  <c:v>11.386619524452389</c:v>
                </c:pt>
                <c:pt idx="229">
                  <c:v>11.386619524452389</c:v>
                </c:pt>
                <c:pt idx="230">
                  <c:v>11.386619524452389</c:v>
                </c:pt>
                <c:pt idx="231">
                  <c:v>10.966804243176151</c:v>
                </c:pt>
                <c:pt idx="232">
                  <c:v>10.966804243176151</c:v>
                </c:pt>
                <c:pt idx="233">
                  <c:v>10.966804243176151</c:v>
                </c:pt>
                <c:pt idx="234">
                  <c:v>10.966804243176151</c:v>
                </c:pt>
                <c:pt idx="235">
                  <c:v>10.966804243176151</c:v>
                </c:pt>
                <c:pt idx="236">
                  <c:v>12.79151030517035</c:v>
                </c:pt>
                <c:pt idx="237">
                  <c:v>12.79151030517035</c:v>
                </c:pt>
                <c:pt idx="238">
                  <c:v>12.79151030517035</c:v>
                </c:pt>
                <c:pt idx="239">
                  <c:v>12.152309724586415</c:v>
                </c:pt>
                <c:pt idx="240">
                  <c:v>12.876225924544931</c:v>
                </c:pt>
                <c:pt idx="241">
                  <c:v>12.625087798575649</c:v>
                </c:pt>
                <c:pt idx="242">
                  <c:v>11.411099387574263</c:v>
                </c:pt>
                <c:pt idx="243">
                  <c:v>12.221648156238212</c:v>
                </c:pt>
                <c:pt idx="244">
                  <c:v>12.221648156238212</c:v>
                </c:pt>
                <c:pt idx="245">
                  <c:v>12.221648156238212</c:v>
                </c:pt>
                <c:pt idx="246">
                  <c:v>12.221648156238212</c:v>
                </c:pt>
                <c:pt idx="247">
                  <c:v>12.221648156238212</c:v>
                </c:pt>
                <c:pt idx="248">
                  <c:v>12.221648156238212</c:v>
                </c:pt>
                <c:pt idx="249">
                  <c:v>12.221648156238212</c:v>
                </c:pt>
                <c:pt idx="250">
                  <c:v>12.221648156238212</c:v>
                </c:pt>
                <c:pt idx="251">
                  <c:v>12.071642155998202</c:v>
                </c:pt>
                <c:pt idx="252">
                  <c:v>12.071642155998202</c:v>
                </c:pt>
                <c:pt idx="253">
                  <c:v>14.074912801950779</c:v>
                </c:pt>
                <c:pt idx="254">
                  <c:v>15.690709321361755</c:v>
                </c:pt>
                <c:pt idx="255">
                  <c:v>15.690709321361755</c:v>
                </c:pt>
                <c:pt idx="256">
                  <c:v>15.690709321361755</c:v>
                </c:pt>
                <c:pt idx="257">
                  <c:v>15.690709321361755</c:v>
                </c:pt>
                <c:pt idx="258">
                  <c:v>15.690709321361755</c:v>
                </c:pt>
                <c:pt idx="259">
                  <c:v>15.015193961761481</c:v>
                </c:pt>
                <c:pt idx="260">
                  <c:v>15.483108400264154</c:v>
                </c:pt>
                <c:pt idx="261">
                  <c:v>15.483108400264154</c:v>
                </c:pt>
                <c:pt idx="262">
                  <c:v>15.483108400264154</c:v>
                </c:pt>
                <c:pt idx="263">
                  <c:v>15.483108400264154</c:v>
                </c:pt>
                <c:pt idx="264">
                  <c:v>15.483108400264154</c:v>
                </c:pt>
                <c:pt idx="265">
                  <c:v>15.483108400264154</c:v>
                </c:pt>
                <c:pt idx="266">
                  <c:v>15.483108400264154</c:v>
                </c:pt>
                <c:pt idx="267">
                  <c:v>15.57470012824429</c:v>
                </c:pt>
                <c:pt idx="268">
                  <c:v>15.57470012824429</c:v>
                </c:pt>
                <c:pt idx="269">
                  <c:v>15.451223381832293</c:v>
                </c:pt>
                <c:pt idx="270">
                  <c:v>15.451223381832293</c:v>
                </c:pt>
                <c:pt idx="271">
                  <c:v>15.451223381832293</c:v>
                </c:pt>
                <c:pt idx="272">
                  <c:v>15.291798081229167</c:v>
                </c:pt>
                <c:pt idx="273">
                  <c:v>15.291798081229167</c:v>
                </c:pt>
                <c:pt idx="274">
                  <c:v>15.291798081229167</c:v>
                </c:pt>
                <c:pt idx="275">
                  <c:v>15.291798081229167</c:v>
                </c:pt>
                <c:pt idx="276">
                  <c:v>15.291798081229167</c:v>
                </c:pt>
                <c:pt idx="277">
                  <c:v>15.291798081229167</c:v>
                </c:pt>
                <c:pt idx="278">
                  <c:v>14.39126706902136</c:v>
                </c:pt>
                <c:pt idx="279">
                  <c:v>14.39126706902136</c:v>
                </c:pt>
                <c:pt idx="280">
                  <c:v>14.39126706902136</c:v>
                </c:pt>
                <c:pt idx="281">
                  <c:v>14.39126706902136</c:v>
                </c:pt>
                <c:pt idx="282">
                  <c:v>14.39126706902136</c:v>
                </c:pt>
                <c:pt idx="283">
                  <c:v>14.39126706902136</c:v>
                </c:pt>
                <c:pt idx="284">
                  <c:v>14.39126706902136</c:v>
                </c:pt>
                <c:pt idx="285">
                  <c:v>14.39126706902136</c:v>
                </c:pt>
                <c:pt idx="286">
                  <c:v>15.634246057995773</c:v>
                </c:pt>
                <c:pt idx="287">
                  <c:v>15.634246057995773</c:v>
                </c:pt>
                <c:pt idx="288">
                  <c:v>15.634246057995773</c:v>
                </c:pt>
                <c:pt idx="289">
                  <c:v>15.634246057995773</c:v>
                </c:pt>
                <c:pt idx="290">
                  <c:v>15.634246057995773</c:v>
                </c:pt>
                <c:pt idx="291">
                  <c:v>15.568923176323505</c:v>
                </c:pt>
                <c:pt idx="292">
                  <c:v>16.066703160328359</c:v>
                </c:pt>
                <c:pt idx="293">
                  <c:v>16.066703160328359</c:v>
                </c:pt>
                <c:pt idx="294">
                  <c:v>16.066703160328359</c:v>
                </c:pt>
                <c:pt idx="295">
                  <c:v>16.066703160328359</c:v>
                </c:pt>
                <c:pt idx="296">
                  <c:v>16.066703160328359</c:v>
                </c:pt>
                <c:pt idx="297">
                  <c:v>14.557157385454888</c:v>
                </c:pt>
                <c:pt idx="298">
                  <c:v>14.557157385454888</c:v>
                </c:pt>
                <c:pt idx="299">
                  <c:v>14.557157385454888</c:v>
                </c:pt>
                <c:pt idx="300">
                  <c:v>13.59570591449171</c:v>
                </c:pt>
                <c:pt idx="301">
                  <c:v>13.59570591449171</c:v>
                </c:pt>
                <c:pt idx="302">
                  <c:v>13.94487164827283</c:v>
                </c:pt>
                <c:pt idx="303">
                  <c:v>13.94487164827283</c:v>
                </c:pt>
                <c:pt idx="304">
                  <c:v>13.94487164827283</c:v>
                </c:pt>
                <c:pt idx="305">
                  <c:v>13.94487164827283</c:v>
                </c:pt>
                <c:pt idx="306">
                  <c:v>13.94487164827283</c:v>
                </c:pt>
                <c:pt idx="307">
                  <c:v>13.94487164827283</c:v>
                </c:pt>
                <c:pt idx="308">
                  <c:v>17.948079473262315</c:v>
                </c:pt>
                <c:pt idx="309">
                  <c:v>18.674838996318137</c:v>
                </c:pt>
                <c:pt idx="310">
                  <c:v>18.313219612959625</c:v>
                </c:pt>
                <c:pt idx="311">
                  <c:v>18.313219612959625</c:v>
                </c:pt>
                <c:pt idx="312">
                  <c:v>18.311918444510358</c:v>
                </c:pt>
                <c:pt idx="313">
                  <c:v>18.311918444510358</c:v>
                </c:pt>
                <c:pt idx="314">
                  <c:v>18.311918444510358</c:v>
                </c:pt>
                <c:pt idx="315">
                  <c:v>18.311918444510358</c:v>
                </c:pt>
                <c:pt idx="316">
                  <c:v>18.311918444510358</c:v>
                </c:pt>
                <c:pt idx="317">
                  <c:v>18.311918444510358</c:v>
                </c:pt>
                <c:pt idx="318">
                  <c:v>18.311918444510358</c:v>
                </c:pt>
                <c:pt idx="319">
                  <c:v>18.311918444510358</c:v>
                </c:pt>
                <c:pt idx="320">
                  <c:v>18.311918444510358</c:v>
                </c:pt>
                <c:pt idx="321">
                  <c:v>18.311918444510358</c:v>
                </c:pt>
                <c:pt idx="322">
                  <c:v>18.822705858946044</c:v>
                </c:pt>
                <c:pt idx="323">
                  <c:v>18.822705858946044</c:v>
                </c:pt>
                <c:pt idx="324">
                  <c:v>18.822705858946044</c:v>
                </c:pt>
                <c:pt idx="325">
                  <c:v>16.442761691573629</c:v>
                </c:pt>
                <c:pt idx="326">
                  <c:v>14.594047508057683</c:v>
                </c:pt>
                <c:pt idx="327">
                  <c:v>14.594047508057683</c:v>
                </c:pt>
                <c:pt idx="328">
                  <c:v>14.594047508057683</c:v>
                </c:pt>
                <c:pt idx="329">
                  <c:v>14.594047508057683</c:v>
                </c:pt>
                <c:pt idx="330">
                  <c:v>14.594047508057683</c:v>
                </c:pt>
                <c:pt idx="331">
                  <c:v>14.594047508057683</c:v>
                </c:pt>
                <c:pt idx="332">
                  <c:v>13.383689428827713</c:v>
                </c:pt>
                <c:pt idx="333">
                  <c:v>13.383689428827713</c:v>
                </c:pt>
                <c:pt idx="334">
                  <c:v>13.383689428827713</c:v>
                </c:pt>
                <c:pt idx="335">
                  <c:v>13.383689428827713</c:v>
                </c:pt>
                <c:pt idx="336">
                  <c:v>13.383689428827713</c:v>
                </c:pt>
                <c:pt idx="337">
                  <c:v>13.383689428827713</c:v>
                </c:pt>
                <c:pt idx="338">
                  <c:v>13.526245521551154</c:v>
                </c:pt>
                <c:pt idx="339">
                  <c:v>13.526245521551154</c:v>
                </c:pt>
                <c:pt idx="340">
                  <c:v>13.526245521551154</c:v>
                </c:pt>
                <c:pt idx="341">
                  <c:v>13.526245521551154</c:v>
                </c:pt>
                <c:pt idx="342">
                  <c:v>13.526245521551154</c:v>
                </c:pt>
                <c:pt idx="343">
                  <c:v>13.526245521551154</c:v>
                </c:pt>
                <c:pt idx="344">
                  <c:v>13.526245521551154</c:v>
                </c:pt>
                <c:pt idx="345">
                  <c:v>13.526245521551154</c:v>
                </c:pt>
                <c:pt idx="346">
                  <c:v>13.526245521551154</c:v>
                </c:pt>
                <c:pt idx="347">
                  <c:v>13.526245521551154</c:v>
                </c:pt>
                <c:pt idx="348">
                  <c:v>12.554614315877394</c:v>
                </c:pt>
                <c:pt idx="349">
                  <c:v>12.554614315877394</c:v>
                </c:pt>
                <c:pt idx="350">
                  <c:v>11.466473290236367</c:v>
                </c:pt>
                <c:pt idx="351">
                  <c:v>11.466473290236367</c:v>
                </c:pt>
                <c:pt idx="352">
                  <c:v>11.466473290236367</c:v>
                </c:pt>
                <c:pt idx="353">
                  <c:v>11.466473290236367</c:v>
                </c:pt>
                <c:pt idx="354">
                  <c:v>11.466473290236367</c:v>
                </c:pt>
                <c:pt idx="355">
                  <c:v>9.3330159787541831</c:v>
                </c:pt>
                <c:pt idx="356">
                  <c:v>9.3330159787541831</c:v>
                </c:pt>
                <c:pt idx="357">
                  <c:v>9.3330159787541831</c:v>
                </c:pt>
                <c:pt idx="358">
                  <c:v>9.3330159787541831</c:v>
                </c:pt>
                <c:pt idx="359">
                  <c:v>9.0135131776337367</c:v>
                </c:pt>
                <c:pt idx="360">
                  <c:v>8.6961244371293827</c:v>
                </c:pt>
                <c:pt idx="361">
                  <c:v>8.6961244371293827</c:v>
                </c:pt>
                <c:pt idx="362">
                  <c:v>6.0037363150047494</c:v>
                </c:pt>
                <c:pt idx="363">
                  <c:v>6.0037363150047494</c:v>
                </c:pt>
                <c:pt idx="364">
                  <c:v>6.0037363150047494</c:v>
                </c:pt>
                <c:pt idx="365">
                  <c:v>6.0037363150047494</c:v>
                </c:pt>
                <c:pt idx="366">
                  <c:v>6.0037363150047494</c:v>
                </c:pt>
                <c:pt idx="367">
                  <c:v>6.0037363150047494</c:v>
                </c:pt>
                <c:pt idx="368">
                  <c:v>6.0037363150047494</c:v>
                </c:pt>
                <c:pt idx="369">
                  <c:v>6.0037363150047494</c:v>
                </c:pt>
                <c:pt idx="370">
                  <c:v>6.0037363150047494</c:v>
                </c:pt>
                <c:pt idx="371">
                  <c:v>6.0037363150047494</c:v>
                </c:pt>
                <c:pt idx="372">
                  <c:v>6.0037363150047494</c:v>
                </c:pt>
                <c:pt idx="373">
                  <c:v>5.3536851561453664</c:v>
                </c:pt>
                <c:pt idx="374">
                  <c:v>5.3536851561453664</c:v>
                </c:pt>
                <c:pt idx="375">
                  <c:v>5.3536851561453664</c:v>
                </c:pt>
                <c:pt idx="376">
                  <c:v>5.3536851561453664</c:v>
                </c:pt>
                <c:pt idx="377">
                  <c:v>5.3536851561453664</c:v>
                </c:pt>
                <c:pt idx="378">
                  <c:v>5.3536851561453664</c:v>
                </c:pt>
                <c:pt idx="379">
                  <c:v>5.3536851561453664</c:v>
                </c:pt>
                <c:pt idx="380">
                  <c:v>5.3536851561453664</c:v>
                </c:pt>
                <c:pt idx="381">
                  <c:v>5.3536851561453664</c:v>
                </c:pt>
                <c:pt idx="382">
                  <c:v>3.9893037078761537</c:v>
                </c:pt>
                <c:pt idx="383">
                  <c:v>3.9893037078761537</c:v>
                </c:pt>
                <c:pt idx="384">
                  <c:v>3.9893037078761537</c:v>
                </c:pt>
                <c:pt idx="385">
                  <c:v>3.9893037078761537</c:v>
                </c:pt>
                <c:pt idx="386">
                  <c:v>3.9893037078761537</c:v>
                </c:pt>
                <c:pt idx="387">
                  <c:v>3.9893037078761537</c:v>
                </c:pt>
                <c:pt idx="388">
                  <c:v>3.9893037078761537</c:v>
                </c:pt>
                <c:pt idx="389">
                  <c:v>3.9893037078761537</c:v>
                </c:pt>
                <c:pt idx="390">
                  <c:v>3.9893037078761537</c:v>
                </c:pt>
                <c:pt idx="391">
                  <c:v>3.9893037078761537</c:v>
                </c:pt>
                <c:pt idx="392">
                  <c:v>3.9893037078761537</c:v>
                </c:pt>
                <c:pt idx="393">
                  <c:v>3.9893037078761537</c:v>
                </c:pt>
                <c:pt idx="394">
                  <c:v>3.9893037078761537</c:v>
                </c:pt>
                <c:pt idx="395">
                  <c:v>3.2522471402826749</c:v>
                </c:pt>
                <c:pt idx="396">
                  <c:v>3.2522471402826749</c:v>
                </c:pt>
                <c:pt idx="397">
                  <c:v>3.2522471402826749</c:v>
                </c:pt>
                <c:pt idx="398">
                  <c:v>3.2522471402826749</c:v>
                </c:pt>
                <c:pt idx="399">
                  <c:v>3.2522471402826749</c:v>
                </c:pt>
                <c:pt idx="400">
                  <c:v>3.2522471402826749</c:v>
                </c:pt>
                <c:pt idx="401">
                  <c:v>3.2522471402826749</c:v>
                </c:pt>
                <c:pt idx="402">
                  <c:v>3.2522471402826749</c:v>
                </c:pt>
                <c:pt idx="403">
                  <c:v>3.2522471402826749</c:v>
                </c:pt>
                <c:pt idx="404">
                  <c:v>3.2522471402826749</c:v>
                </c:pt>
                <c:pt idx="405">
                  <c:v>3.2522471402826749</c:v>
                </c:pt>
                <c:pt idx="406">
                  <c:v>3.2522471402826749</c:v>
                </c:pt>
                <c:pt idx="407">
                  <c:v>3.2522471402826749</c:v>
                </c:pt>
                <c:pt idx="408">
                  <c:v>3.2522471402826749</c:v>
                </c:pt>
                <c:pt idx="409">
                  <c:v>3.2522471402826749</c:v>
                </c:pt>
                <c:pt idx="410">
                  <c:v>3.2522471402826749</c:v>
                </c:pt>
                <c:pt idx="411">
                  <c:v>3.2522471402826749</c:v>
                </c:pt>
                <c:pt idx="412">
                  <c:v>3.2522471402826749</c:v>
                </c:pt>
                <c:pt idx="413">
                  <c:v>3.2522471402826749</c:v>
                </c:pt>
                <c:pt idx="414">
                  <c:v>3.2522471402826749</c:v>
                </c:pt>
                <c:pt idx="415">
                  <c:v>5.2904127911968519</c:v>
                </c:pt>
                <c:pt idx="416">
                  <c:v>5.2904127911968519</c:v>
                </c:pt>
                <c:pt idx="417">
                  <c:v>5.2904127911968519</c:v>
                </c:pt>
                <c:pt idx="418">
                  <c:v>5.2904127911968519</c:v>
                </c:pt>
                <c:pt idx="419">
                  <c:v>4.2788408366274897</c:v>
                </c:pt>
                <c:pt idx="420">
                  <c:v>4.2788408366274897</c:v>
                </c:pt>
                <c:pt idx="421">
                  <c:v>4.2788408366274897</c:v>
                </c:pt>
                <c:pt idx="422">
                  <c:v>4.2788408366274897</c:v>
                </c:pt>
                <c:pt idx="423">
                  <c:v>4.2788408366274897</c:v>
                </c:pt>
                <c:pt idx="424">
                  <c:v>4.2788408366274897</c:v>
                </c:pt>
                <c:pt idx="425">
                  <c:v>4.2788408366274897</c:v>
                </c:pt>
                <c:pt idx="426">
                  <c:v>4.2788408366274897</c:v>
                </c:pt>
                <c:pt idx="427">
                  <c:v>4.2788408366274897</c:v>
                </c:pt>
                <c:pt idx="428">
                  <c:v>4.2788408366274897</c:v>
                </c:pt>
                <c:pt idx="429">
                  <c:v>4.2788408366274897</c:v>
                </c:pt>
                <c:pt idx="430">
                  <c:v>4.2788408366274897</c:v>
                </c:pt>
                <c:pt idx="431">
                  <c:v>4.2788408366274897</c:v>
                </c:pt>
                <c:pt idx="432">
                  <c:v>4.2788408366274897</c:v>
                </c:pt>
                <c:pt idx="433">
                  <c:v>4.2788408366274897</c:v>
                </c:pt>
                <c:pt idx="434">
                  <c:v>4.2788408366274897</c:v>
                </c:pt>
                <c:pt idx="435">
                  <c:v>4.2788408366274897</c:v>
                </c:pt>
                <c:pt idx="436">
                  <c:v>4.2788408366274897</c:v>
                </c:pt>
                <c:pt idx="437">
                  <c:v>4.2788408366274897</c:v>
                </c:pt>
                <c:pt idx="438">
                  <c:v>4.2788408366274897</c:v>
                </c:pt>
                <c:pt idx="439">
                  <c:v>4.2788408366274897</c:v>
                </c:pt>
                <c:pt idx="440">
                  <c:v>4.2788408366274897</c:v>
                </c:pt>
                <c:pt idx="441">
                  <c:v>4.2788408366274897</c:v>
                </c:pt>
                <c:pt idx="442">
                  <c:v>4.2788408366274897</c:v>
                </c:pt>
                <c:pt idx="443">
                  <c:v>4.2788408366274897</c:v>
                </c:pt>
                <c:pt idx="444">
                  <c:v>4.2788408366274897</c:v>
                </c:pt>
              </c:numCache>
            </c:numRef>
          </c:val>
          <c:smooth val="0"/>
          <c:extLst xmlns:c15="http://schemas.microsoft.com/office/drawing/2012/chart">
            <c:ext xmlns:c16="http://schemas.microsoft.com/office/drawing/2014/chart" uri="{C3380CC4-5D6E-409C-BE32-E72D297353CC}">
              <c16:uniqueId val="{00000001-014A-4B80-A216-E469238CD77A}"/>
            </c:ext>
          </c:extLst>
        </c:ser>
        <c:ser>
          <c:idx val="1"/>
          <c:order val="2"/>
          <c:tx>
            <c:v>Gaps Up From Up Trend</c:v>
          </c:tx>
          <c:spPr>
            <a:ln w="19050" cap="rnd">
              <a:solidFill>
                <a:schemeClr val="accent3">
                  <a:lumMod val="75000"/>
                </a:schemeClr>
              </a:solidFill>
              <a:prstDash val="sysDash"/>
              <a:round/>
            </a:ln>
            <a:effectLst/>
          </c:spPr>
          <c:marker>
            <c:symbol val="none"/>
          </c:marker>
          <c:val>
            <c:numRef>
              <c:f>'2025-Q1'!$FG$4:$FG$448</c:f>
              <c:numCache>
                <c:formatCode>0.00</c:formatCode>
                <c:ptCount val="445"/>
                <c:pt idx="0" formatCode="0.0">
                  <c:v>#N/A</c:v>
                </c:pt>
                <c:pt idx="1">
                  <c:v>0.53185715836318559</c:v>
                </c:pt>
                <c:pt idx="2">
                  <c:v>#N/A</c:v>
                </c:pt>
                <c:pt idx="3">
                  <c:v>0.66318620834904141</c:v>
                </c:pt>
                <c:pt idx="4">
                  <c:v>0.80131422258325102</c:v>
                </c:pt>
                <c:pt idx="5">
                  <c:v>1.032273227359904</c:v>
                </c:pt>
                <c:pt idx="6">
                  <c:v>#N/A</c:v>
                </c:pt>
                <c:pt idx="7">
                  <c:v>1.5016609824619422</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1.6659286323709446</c:v>
                </c:pt>
                <c:pt idx="25">
                  <c:v>#N/A</c:v>
                </c:pt>
                <c:pt idx="26">
                  <c:v>#N/A</c:v>
                </c:pt>
                <c:pt idx="27">
                  <c:v>#N/A</c:v>
                </c:pt>
                <c:pt idx="28">
                  <c:v>#N/A</c:v>
                </c:pt>
                <c:pt idx="29">
                  <c:v>2.0273661011009971</c:v>
                </c:pt>
                <c:pt idx="30">
                  <c:v>0.83904422874003837</c:v>
                </c:pt>
                <c:pt idx="31">
                  <c:v>#N/A</c:v>
                </c:pt>
                <c:pt idx="32">
                  <c:v>#N/A</c:v>
                </c:pt>
                <c:pt idx="33">
                  <c:v>#N/A</c:v>
                </c:pt>
                <c:pt idx="34">
                  <c:v>#N/A</c:v>
                </c:pt>
                <c:pt idx="35">
                  <c:v>0.7228583313041429</c:v>
                </c:pt>
                <c:pt idx="36">
                  <c:v>1.2247835238233948</c:v>
                </c:pt>
                <c:pt idx="37">
                  <c:v>#N/A</c:v>
                </c:pt>
                <c:pt idx="38">
                  <c:v>#N/A</c:v>
                </c:pt>
                <c:pt idx="39">
                  <c:v>#N/A</c:v>
                </c:pt>
                <c:pt idx="40">
                  <c:v>1.8534132359442923</c:v>
                </c:pt>
                <c:pt idx="41">
                  <c:v>#N/A</c:v>
                </c:pt>
                <c:pt idx="42">
                  <c:v>#N/A</c:v>
                </c:pt>
                <c:pt idx="43">
                  <c:v>2.0188140798261496</c:v>
                </c:pt>
                <c:pt idx="44">
                  <c:v>#N/A</c:v>
                </c:pt>
                <c:pt idx="45">
                  <c:v>1.9657242518371916</c:v>
                </c:pt>
                <c:pt idx="46">
                  <c:v>#N/A</c:v>
                </c:pt>
                <c:pt idx="47">
                  <c:v>#N/A</c:v>
                </c:pt>
                <c:pt idx="48">
                  <c:v>#N/A</c:v>
                </c:pt>
                <c:pt idx="49">
                  <c:v>#N/A</c:v>
                </c:pt>
                <c:pt idx="50">
                  <c:v>#N/A</c:v>
                </c:pt>
                <c:pt idx="51">
                  <c:v>#N/A</c:v>
                </c:pt>
                <c:pt idx="52">
                  <c:v>#N/A</c:v>
                </c:pt>
                <c:pt idx="53">
                  <c:v>#N/A</c:v>
                </c:pt>
                <c:pt idx="54">
                  <c:v>#N/A</c:v>
                </c:pt>
                <c:pt idx="55">
                  <c:v>#N/A</c:v>
                </c:pt>
                <c:pt idx="56">
                  <c:v>#N/A</c:v>
                </c:pt>
                <c:pt idx="57">
                  <c:v>2.4352078199123088</c:v>
                </c:pt>
                <c:pt idx="58">
                  <c:v>#N/A</c:v>
                </c:pt>
                <c:pt idx="59">
                  <c:v>#N/A</c:v>
                </c:pt>
                <c:pt idx="60">
                  <c:v>#N/A</c:v>
                </c:pt>
                <c:pt idx="61">
                  <c:v>#N/A</c:v>
                </c:pt>
                <c:pt idx="62">
                  <c:v>#N/A</c:v>
                </c:pt>
                <c:pt idx="63">
                  <c:v>#N/A</c:v>
                </c:pt>
                <c:pt idx="64">
                  <c:v>3.7371811892786351</c:v>
                </c:pt>
                <c:pt idx="65">
                  <c:v>#N/A</c:v>
                </c:pt>
                <c:pt idx="66">
                  <c:v>#N/A</c:v>
                </c:pt>
                <c:pt idx="67">
                  <c:v>#N/A</c:v>
                </c:pt>
                <c:pt idx="68">
                  <c:v>#N/A</c:v>
                </c:pt>
                <c:pt idx="69">
                  <c:v>#N/A</c:v>
                </c:pt>
                <c:pt idx="70">
                  <c:v>#N/A</c:v>
                </c:pt>
                <c:pt idx="71">
                  <c:v>#N/A</c:v>
                </c:pt>
                <c:pt idx="72">
                  <c:v>#N/A</c:v>
                </c:pt>
                <c:pt idx="73">
                  <c:v>#N/A</c:v>
                </c:pt>
                <c:pt idx="74">
                  <c:v>#N/A</c:v>
                </c:pt>
                <c:pt idx="75">
                  <c:v>3.3330583952700321</c:v>
                </c:pt>
                <c:pt idx="76">
                  <c:v>#N/A</c:v>
                </c:pt>
                <c:pt idx="77">
                  <c:v>#N/A</c:v>
                </c:pt>
                <c:pt idx="78">
                  <c:v>#N/A</c:v>
                </c:pt>
                <c:pt idx="79">
                  <c:v>3.1336014545037156</c:v>
                </c:pt>
                <c:pt idx="80">
                  <c:v>#N/A</c:v>
                </c:pt>
                <c:pt idx="81">
                  <c:v>#N/A</c:v>
                </c:pt>
                <c:pt idx="82">
                  <c:v>#N/A</c:v>
                </c:pt>
                <c:pt idx="83">
                  <c:v>#N/A</c:v>
                </c:pt>
                <c:pt idx="84">
                  <c:v>1.4060980385365083</c:v>
                </c:pt>
                <c:pt idx="85">
                  <c:v>#N/A</c:v>
                </c:pt>
                <c:pt idx="86">
                  <c:v>#N/A</c:v>
                </c:pt>
                <c:pt idx="87">
                  <c:v>1.1602304665163368</c:v>
                </c:pt>
                <c:pt idx="88">
                  <c:v>#N/A</c:v>
                </c:pt>
                <c:pt idx="89">
                  <c:v>#N/A</c:v>
                </c:pt>
                <c:pt idx="90">
                  <c:v>#N/A</c:v>
                </c:pt>
                <c:pt idx="91">
                  <c:v>#N/A</c:v>
                </c:pt>
                <c:pt idx="92">
                  <c:v>0.18740693096785388</c:v>
                </c:pt>
                <c:pt idx="93">
                  <c:v>0.3649760796468543</c:v>
                </c:pt>
                <c:pt idx="94">
                  <c:v>#N/A</c:v>
                </c:pt>
                <c:pt idx="95">
                  <c:v>#N/A</c:v>
                </c:pt>
                <c:pt idx="96">
                  <c:v>#N/A</c:v>
                </c:pt>
                <c:pt idx="97">
                  <c:v>#N/A</c:v>
                </c:pt>
                <c:pt idx="98">
                  <c:v>#N/A</c:v>
                </c:pt>
                <c:pt idx="99">
                  <c:v>1.2579439576079099</c:v>
                </c:pt>
                <c:pt idx="100">
                  <c:v>1.5923098468207377</c:v>
                </c:pt>
                <c:pt idx="101">
                  <c:v>0.67347645954415369</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0.74322362606551351</c:v>
                </c:pt>
                <c:pt idx="127">
                  <c:v>#N/A</c:v>
                </c:pt>
                <c:pt idx="128">
                  <c:v>0.51633736070089142</c:v>
                </c:pt>
                <c:pt idx="129">
                  <c:v>#N/A</c:v>
                </c:pt>
                <c:pt idx="130">
                  <c:v>#N/A</c:v>
                </c:pt>
                <c:pt idx="131">
                  <c:v>#N/A</c:v>
                </c:pt>
                <c:pt idx="132">
                  <c:v>0.54623272691912628</c:v>
                </c:pt>
                <c:pt idx="133">
                  <c:v>#N/A</c:v>
                </c:pt>
                <c:pt idx="134">
                  <c:v>#N/A</c:v>
                </c:pt>
                <c:pt idx="135">
                  <c:v>#N/A</c:v>
                </c:pt>
                <c:pt idx="136">
                  <c:v>#N/A</c:v>
                </c:pt>
                <c:pt idx="137">
                  <c:v>#N/A</c:v>
                </c:pt>
                <c:pt idx="138">
                  <c:v>#N/A</c:v>
                </c:pt>
                <c:pt idx="139">
                  <c:v>#N/A</c:v>
                </c:pt>
                <c:pt idx="140">
                  <c:v>-0.31098148298285389</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-0.10598188104033412</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-0.94813838584744348</c:v>
                </c:pt>
                <c:pt idx="172">
                  <c:v>#N/A</c:v>
                </c:pt>
                <c:pt idx="173">
                  <c:v>#N/A</c:v>
                </c:pt>
                <c:pt idx="174">
                  <c:v>#N/A</c:v>
                </c:pt>
                <c:pt idx="175">
                  <c:v>#N/A</c:v>
                </c:pt>
                <c:pt idx="176">
                  <c:v>#N/A</c:v>
                </c:pt>
                <c:pt idx="177">
                  <c:v>#N/A</c:v>
                </c:pt>
                <c:pt idx="178">
                  <c:v>-1.2259726340008621</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-0.8276282528350819</c:v>
                </c:pt>
                <c:pt idx="205">
                  <c:v>#N/A</c:v>
                </c:pt>
                <c:pt idx="206">
                  <c:v>#N/A</c:v>
                </c:pt>
                <c:pt idx="207">
                  <c:v>#N/A</c:v>
                </c:pt>
                <c:pt idx="208">
                  <c:v>-0.89719139629415967</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-0.31904147603897393</c:v>
                </c:pt>
                <c:pt idx="223">
                  <c:v>#N/A</c:v>
                </c:pt>
                <c:pt idx="224">
                  <c:v>#N/A</c:v>
                </c:pt>
                <c:pt idx="225">
                  <c:v>#N/A</c:v>
                </c:pt>
                <c:pt idx="226">
                  <c:v>#N/A</c:v>
                </c:pt>
                <c:pt idx="227">
                  <c:v>-1.3268633773626801</c:v>
                </c:pt>
                <c:pt idx="228">
                  <c:v>#N/A</c:v>
                </c:pt>
                <c:pt idx="229">
                  <c:v>#N/A</c:v>
                </c:pt>
                <c:pt idx="230">
                  <c:v>#N/A</c:v>
                </c:pt>
                <c:pt idx="231">
                  <c:v>-1.8875199142928833</c:v>
                </c:pt>
                <c:pt idx="232">
                  <c:v>#N/A</c:v>
                </c:pt>
                <c:pt idx="233">
                  <c:v>#N/A</c:v>
                </c:pt>
                <c:pt idx="234">
                  <c:v>#N/A</c:v>
                </c:pt>
                <c:pt idx="235">
                  <c:v>#N/A</c:v>
                </c:pt>
                <c:pt idx="236">
                  <c:v>-1.9664123660666917</c:v>
                </c:pt>
                <c:pt idx="237">
                  <c:v>#N/A</c:v>
                </c:pt>
                <c:pt idx="238">
                  <c:v>#N/A</c:v>
                </c:pt>
                <c:pt idx="239">
                  <c:v>#N/A</c:v>
                </c:pt>
                <c:pt idx="240">
                  <c:v>-1.7434295824118475</c:v>
                </c:pt>
                <c:pt idx="241">
                  <c:v>#N/A</c:v>
                </c:pt>
                <c:pt idx="242">
                  <c:v>#N/A</c:v>
                </c:pt>
                <c:pt idx="243">
                  <c:v>#N/A</c:v>
                </c:pt>
                <c:pt idx="244">
                  <c:v>#N/A</c:v>
                </c:pt>
                <c:pt idx="245">
                  <c:v>#N/A</c:v>
                </c:pt>
                <c:pt idx="246">
                  <c:v>#N/A</c:v>
                </c:pt>
                <c:pt idx="247">
                  <c:v>#N/A</c:v>
                </c:pt>
                <c:pt idx="248">
                  <c:v>#N/A</c:v>
                </c:pt>
                <c:pt idx="249">
                  <c:v>#N/A</c:v>
                </c:pt>
                <c:pt idx="250">
                  <c:v>#N/A</c:v>
                </c:pt>
                <c:pt idx="251">
                  <c:v>-2.0927768896374688</c:v>
                </c:pt>
                <c:pt idx="252">
                  <c:v>#N/A</c:v>
                </c:pt>
                <c:pt idx="253">
                  <c:v>-3.3533383505259939</c:v>
                </c:pt>
                <c:pt idx="254">
                  <c:v>-4.1806475874737856</c:v>
                </c:pt>
                <c:pt idx="255">
                  <c:v>#N/A</c:v>
                </c:pt>
                <c:pt idx="256">
                  <c:v>#N/A</c:v>
                </c:pt>
                <c:pt idx="257">
                  <c:v>#N/A</c:v>
                </c:pt>
                <c:pt idx="258">
                  <c:v>#N/A</c:v>
                </c:pt>
                <c:pt idx="259">
                  <c:v>#N/A</c:v>
                </c:pt>
                <c:pt idx="260">
                  <c:v>-4.4711046794014662</c:v>
                </c:pt>
                <c:pt idx="261">
                  <c:v>#N/A</c:v>
                </c:pt>
                <c:pt idx="262">
                  <c:v>#N/A</c:v>
                </c:pt>
                <c:pt idx="263">
                  <c:v>#N/A</c:v>
                </c:pt>
                <c:pt idx="264">
                  <c:v>#N/A</c:v>
                </c:pt>
                <c:pt idx="265">
                  <c:v>#N/A</c:v>
                </c:pt>
                <c:pt idx="266">
                  <c:v>#N/A</c:v>
                </c:pt>
                <c:pt idx="267">
                  <c:v>#N/A</c:v>
                </c:pt>
                <c:pt idx="268">
                  <c:v>#N/A</c:v>
                </c:pt>
                <c:pt idx="269">
                  <c:v>-4.6614486271500031</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-4.3892761009728991</c:v>
                </c:pt>
                <c:pt idx="287">
                  <c:v>#N/A</c:v>
                </c:pt>
                <c:pt idx="288">
                  <c:v>#N/A</c:v>
                </c:pt>
                <c:pt idx="289">
                  <c:v>#N/A</c:v>
                </c:pt>
                <c:pt idx="290">
                  <c:v>#N/A</c:v>
                </c:pt>
                <c:pt idx="291">
                  <c:v>-5.2944646041457277</c:v>
                </c:pt>
                <c:pt idx="292">
                  <c:v>-5.0807363561658052</c:v>
                </c:pt>
                <c:pt idx="293">
                  <c:v>#N/A</c:v>
                </c:pt>
                <c:pt idx="294">
                  <c:v>#N/A</c:v>
                </c:pt>
                <c:pt idx="295">
                  <c:v>#N/A</c:v>
                </c:pt>
                <c:pt idx="296">
                  <c:v>#N/A</c:v>
                </c:pt>
                <c:pt idx="297">
                  <c:v>#N/A</c:v>
                </c:pt>
                <c:pt idx="298">
                  <c:v>#N/A</c:v>
                </c:pt>
                <c:pt idx="299">
                  <c:v>#N/A</c:v>
                </c:pt>
                <c:pt idx="300">
                  <c:v>#N/A</c:v>
                </c:pt>
                <c:pt idx="301">
                  <c:v>#N/A</c:v>
                </c:pt>
                <c:pt idx="302">
                  <c:v>-5.6831138816202511</c:v>
                </c:pt>
                <c:pt idx="303">
                  <c:v>#N/A</c:v>
                </c:pt>
                <c:pt idx="304">
                  <c:v>#N/A</c:v>
                </c:pt>
                <c:pt idx="305">
                  <c:v>#N/A</c:v>
                </c:pt>
                <c:pt idx="306">
                  <c:v>#N/A</c:v>
                </c:pt>
                <c:pt idx="307">
                  <c:v>#N/A</c:v>
                </c:pt>
                <c:pt idx="308">
                  <c:v>-6.8956892567429531</c:v>
                </c:pt>
                <c:pt idx="309">
                  <c:v>-6.5867175357341932</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-6.3758692425659733</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-6.6020995636270854</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-7.4085158801536952</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-5.8732309699062508</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8-014A-4B80-A216-E469238CD77A}"/>
            </c:ext>
          </c:extLst>
        </c:ser>
        <c:ser>
          <c:idx val="2"/>
          <c:order val="3"/>
          <c:tx>
            <c:v>Gaps Dwn from Up Trend</c:v>
          </c:tx>
          <c:spPr>
            <a:ln w="19050" cap="rnd">
              <a:solidFill>
                <a:schemeClr val="accent6"/>
              </a:solidFill>
              <a:prstDash val="sysDash"/>
              <a:round/>
            </a:ln>
            <a:effectLst/>
          </c:spPr>
          <c:marker>
            <c:symbol val="none"/>
          </c:marker>
          <c:val>
            <c:numRef>
              <c:f>'2025-Q1'!$FI$4:$FI$448</c:f>
              <c:numCache>
                <c:formatCode>0.00</c:formatCode>
                <c:ptCount val="445"/>
                <c:pt idx="0">
                  <c:v>#N/A</c:v>
                </c:pt>
                <c:pt idx="1">
                  <c:v>#N/A</c:v>
                </c:pt>
                <c:pt idx="2">
                  <c:v>#N/A</c:v>
                </c:pt>
                <c:pt idx="3">
                  <c:v>#N/A</c:v>
                </c:pt>
                <c:pt idx="4">
                  <c:v>#N/A</c:v>
                </c:pt>
                <c:pt idx="5">
                  <c:v>#N/A</c:v>
                </c:pt>
                <c:pt idx="6">
                  <c:v>#N/A</c:v>
                </c:pt>
                <c:pt idx="7">
                  <c:v>#N/A</c:v>
                </c:pt>
                <c:pt idx="8">
                  <c:v>#N/A</c:v>
                </c:pt>
                <c:pt idx="9">
                  <c:v>#N/A</c:v>
                </c:pt>
                <c:pt idx="10">
                  <c:v>3.5385704175512935E-2</c:v>
                </c:pt>
                <c:pt idx="11">
                  <c:v>#N/A</c:v>
                </c:pt>
                <c:pt idx="12">
                  <c:v>0.95336614720085799</c:v>
                </c:pt>
                <c:pt idx="13">
                  <c:v>0.99920766651978477</c:v>
                </c:pt>
                <c:pt idx="14">
                  <c:v>1.0315669038374509</c:v>
                </c:pt>
                <c:pt idx="15">
                  <c:v>#N/A</c:v>
                </c:pt>
                <c:pt idx="16">
                  <c:v>#N/A</c:v>
                </c:pt>
                <c:pt idx="17">
                  <c:v>#N/A</c:v>
                </c:pt>
                <c:pt idx="18">
                  <c:v>#N/A</c:v>
                </c:pt>
                <c:pt idx="19">
                  <c:v>1.3582992486810497</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1.8471715831628472</c:v>
                </c:pt>
                <c:pt idx="50">
                  <c:v>#N/A</c:v>
                </c:pt>
                <c:pt idx="51">
                  <c:v>1.9060440790280804</c:v>
                </c:pt>
                <c:pt idx="52">
                  <c:v>#N/A</c:v>
                </c:pt>
                <c:pt idx="53">
                  <c:v>#N/A</c:v>
                </c:pt>
                <c:pt idx="54">
                  <c:v>1.7495399516153092</c:v>
                </c:pt>
                <c:pt idx="55">
                  <c:v>#N/A</c:v>
                </c:pt>
                <c:pt idx="56">
                  <c:v>#N/A</c:v>
                </c:pt>
                <c:pt idx="57">
                  <c:v>#N/A</c:v>
                </c:pt>
                <c:pt idx="58">
                  <c:v>#N/A</c:v>
                </c:pt>
                <c:pt idx="59">
                  <c:v>#N/A</c:v>
                </c:pt>
                <c:pt idx="60">
                  <c:v>#N/A</c:v>
                </c:pt>
                <c:pt idx="61">
                  <c:v>#N/A</c:v>
                </c:pt>
                <c:pt idx="62">
                  <c:v>#N/A</c:v>
                </c:pt>
                <c:pt idx="63">
                  <c:v>#N/A</c:v>
                </c:pt>
                <c:pt idx="64">
                  <c:v>#N/A</c:v>
                </c:pt>
                <c:pt idx="65">
                  <c:v>1.4642765381654435</c:v>
                </c:pt>
                <c:pt idx="66">
                  <c:v>1.6295632879304032</c:v>
                </c:pt>
                <c:pt idx="67">
                  <c:v>#N/A</c:v>
                </c:pt>
                <c:pt idx="68">
                  <c:v>#N/A</c:v>
                </c:pt>
                <c:pt idx="69">
                  <c:v>1.6677348691881559</c:v>
                </c:pt>
                <c:pt idx="70">
                  <c:v>#N/A</c:v>
                </c:pt>
                <c:pt idx="71">
                  <c:v>#N/A</c:v>
                </c:pt>
                <c:pt idx="72">
                  <c:v>#N/A</c:v>
                </c:pt>
                <c:pt idx="73">
                  <c:v>#N/A</c:v>
                </c:pt>
                <c:pt idx="74">
                  <c:v>#N/A</c:v>
                </c:pt>
                <c:pt idx="75">
                  <c:v>#N/A</c:v>
                </c:pt>
                <c:pt idx="76">
                  <c:v>#N/A</c:v>
                </c:pt>
                <c:pt idx="77">
                  <c:v>#N/A</c:v>
                </c:pt>
                <c:pt idx="78">
                  <c:v>#N/A</c:v>
                </c:pt>
                <c:pt idx="79">
                  <c:v>#N/A</c:v>
                </c:pt>
                <c:pt idx="80">
                  <c:v>#N/A</c:v>
                </c:pt>
                <c:pt idx="81">
                  <c:v>#N/A</c:v>
                </c:pt>
                <c:pt idx="82">
                  <c:v>2.1768287641670137</c:v>
                </c:pt>
                <c:pt idx="83">
                  <c:v>#N/A</c:v>
                </c:pt>
                <c:pt idx="84">
                  <c:v>#N/A</c:v>
                </c:pt>
                <c:pt idx="85">
                  <c:v>#N/A</c:v>
                </c:pt>
                <c:pt idx="86">
                  <c:v>#N/A</c:v>
                </c:pt>
                <c:pt idx="87">
                  <c:v>#N/A</c:v>
                </c:pt>
                <c:pt idx="88">
                  <c:v>#N/A</c:v>
                </c:pt>
                <c:pt idx="89">
                  <c:v>#N/A</c:v>
                </c:pt>
                <c:pt idx="90">
                  <c:v>#N/A</c:v>
                </c:pt>
                <c:pt idx="91">
                  <c:v>#N/A</c:v>
                </c:pt>
                <c:pt idx="92">
                  <c:v>#N/A</c:v>
                </c:pt>
                <c:pt idx="93">
                  <c:v>#N/A</c:v>
                </c:pt>
                <c:pt idx="94">
                  <c:v>#N/A</c:v>
                </c:pt>
                <c:pt idx="95">
                  <c:v>2.2272105027245468</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2.3707087285646637</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0.97080135850804172</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1.4719444386909344</c:v>
                </c:pt>
                <c:pt idx="154">
                  <c:v>#N/A</c:v>
                </c:pt>
                <c:pt idx="155">
                  <c:v>#N/A</c:v>
                </c:pt>
                <c:pt idx="156">
                  <c:v>#N/A</c:v>
                </c:pt>
                <c:pt idx="157">
                  <c:v>#N/A</c:v>
                </c:pt>
                <c:pt idx="158">
                  <c:v>#N/A</c:v>
                </c:pt>
                <c:pt idx="159">
                  <c:v>#N/A</c:v>
                </c:pt>
                <c:pt idx="160">
                  <c:v>#N/A</c:v>
                </c:pt>
                <c:pt idx="161">
                  <c:v>#N/A</c:v>
                </c:pt>
                <c:pt idx="162">
                  <c:v>#N/A</c:v>
                </c:pt>
                <c:pt idx="163">
                  <c:v>#N/A</c:v>
                </c:pt>
                <c:pt idx="164">
                  <c:v>#N/A</c:v>
                </c:pt>
                <c:pt idx="165">
                  <c:v>0.18840075531879918</c:v>
                </c:pt>
                <c:pt idx="166">
                  <c:v>-0.65694240931829895</c:v>
                </c:pt>
                <c:pt idx="167">
                  <c:v>#N/A</c:v>
                </c:pt>
                <c:pt idx="168">
                  <c:v>#N/A</c:v>
                </c:pt>
                <c:pt idx="169">
                  <c:v>#N/A</c:v>
                </c:pt>
                <c:pt idx="170">
                  <c:v>#N/A</c:v>
                </c:pt>
                <c:pt idx="171">
                  <c:v>#N/A</c:v>
                </c:pt>
                <c:pt idx="172">
                  <c:v>-0.24061596099620586</c:v>
                </c:pt>
                <c:pt idx="173">
                  <c:v>#N/A</c:v>
                </c:pt>
                <c:pt idx="174">
                  <c:v>#N/A</c:v>
                </c:pt>
                <c:pt idx="175">
                  <c:v>#N/A</c:v>
                </c:pt>
                <c:pt idx="176">
                  <c:v>#N/A</c:v>
                </c:pt>
                <c:pt idx="177">
                  <c:v>#N/A</c:v>
                </c:pt>
                <c:pt idx="178">
                  <c:v>#N/A</c:v>
                </c:pt>
                <c:pt idx="179">
                  <c:v>#N/A</c:v>
                </c:pt>
                <c:pt idx="180">
                  <c:v>#N/A</c:v>
                </c:pt>
                <c:pt idx="181">
                  <c:v>#N/A</c:v>
                </c:pt>
                <c:pt idx="182">
                  <c:v>#N/A</c:v>
                </c:pt>
                <c:pt idx="183">
                  <c:v>-0.22456794533334035</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1.5030881558773816</c:v>
                </c:pt>
                <c:pt idx="201">
                  <c:v>#N/A</c:v>
                </c:pt>
                <c:pt idx="202">
                  <c:v>#N/A</c:v>
                </c:pt>
                <c:pt idx="203">
                  <c:v>1.8298539790697068</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1.5138610823811014</c:v>
                </c:pt>
                <c:pt idx="222">
                  <c:v>#N/A</c:v>
                </c:pt>
                <c:pt idx="223">
                  <c:v>2.0014212233747468</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2.015377567928982</c:v>
                </c:pt>
                <c:pt idx="240">
                  <c:v>#N/A</c:v>
                </c:pt>
                <c:pt idx="241">
                  <c:v>1.9253280406889994</c:v>
                </c:pt>
                <c:pt idx="242">
                  <c:v>1.4941411204789827</c:v>
                </c:pt>
                <c:pt idx="243">
                  <c:v>2.31567818983455</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2.0818996304687531</c:v>
                </c:pt>
                <c:pt idx="260">
                  <c:v>#N/A</c:v>
                </c:pt>
                <c:pt idx="261">
                  <c:v>#N/A</c:v>
                </c:pt>
                <c:pt idx="262">
                  <c:v>#N/A</c:v>
                </c:pt>
                <c:pt idx="263">
                  <c:v>#N/A</c:v>
                </c:pt>
                <c:pt idx="264">
                  <c:v>#N/A</c:v>
                </c:pt>
                <c:pt idx="265">
                  <c:v>#N/A</c:v>
                </c:pt>
                <c:pt idx="266">
                  <c:v>#N/A</c:v>
                </c:pt>
                <c:pt idx="267">
                  <c:v>2.364244378705044</c:v>
                </c:pt>
                <c:pt idx="268">
                  <c:v>#N/A</c:v>
                </c:pt>
                <c:pt idx="269">
                  <c:v>#N/A</c:v>
                </c:pt>
                <c:pt idx="270">
                  <c:v>#N/A</c:v>
                </c:pt>
                <c:pt idx="271">
                  <c:v>#N/A</c:v>
                </c:pt>
                <c:pt idx="272">
                  <c:v>2.3738483124763157</c:v>
                </c:pt>
                <c:pt idx="273">
                  <c:v>#N/A</c:v>
                </c:pt>
                <c:pt idx="274">
                  <c:v>#N/A</c:v>
                </c:pt>
                <c:pt idx="275">
                  <c:v>#N/A</c:v>
                </c:pt>
                <c:pt idx="276">
                  <c:v>#N/A</c:v>
                </c:pt>
                <c:pt idx="277">
                  <c:v>#N/A</c:v>
                </c:pt>
                <c:pt idx="278">
                  <c:v>2.192099804237416</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1.9734759333936731</c:v>
                </c:pt>
                <c:pt idx="298">
                  <c:v>#N/A</c:v>
                </c:pt>
                <c:pt idx="299">
                  <c:v>#N/A</c:v>
                </c:pt>
                <c:pt idx="300">
                  <c:v>1.7090562174700978</c:v>
                </c:pt>
                <c:pt idx="301">
                  <c:v>#N/A</c:v>
                </c:pt>
                <c:pt idx="302">
                  <c:v>#N/A</c:v>
                </c:pt>
                <c:pt idx="303">
                  <c:v>#N/A</c:v>
                </c:pt>
                <c:pt idx="304">
                  <c:v>#N/A</c:v>
                </c:pt>
                <c:pt idx="305">
                  <c:v>#N/A</c:v>
                </c:pt>
                <c:pt idx="306">
                  <c:v>#N/A</c:v>
                </c:pt>
                <c:pt idx="307">
                  <c:v>#N/A</c:v>
                </c:pt>
                <c:pt idx="308">
                  <c:v>#N/A</c:v>
                </c:pt>
                <c:pt idx="309">
                  <c:v>#N/A</c:v>
                </c:pt>
                <c:pt idx="310">
                  <c:v>2.1189381490911607</c:v>
                </c:pt>
                <c:pt idx="311">
                  <c:v>#N/A</c:v>
                </c:pt>
                <c:pt idx="312">
                  <c:v>2.4364232507124193</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1.4515106068179362</c:v>
                </c:pt>
                <c:pt idx="326">
                  <c:v>1.773435378081913</c:v>
                </c:pt>
                <c:pt idx="327">
                  <c:v>#N/A</c:v>
                </c:pt>
                <c:pt idx="328">
                  <c:v>#N/A</c:v>
                </c:pt>
                <c:pt idx="329">
                  <c:v>#N/A</c:v>
                </c:pt>
                <c:pt idx="330">
                  <c:v>#N/A</c:v>
                </c:pt>
                <c:pt idx="331">
                  <c:v>#N/A</c:v>
                </c:pt>
                <c:pt idx="332">
                  <c:v>1.4340322965174241</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1.7460890341060751</c:v>
                </c:pt>
                <c:pt idx="349">
                  <c:v>#N/A</c:v>
                </c:pt>
                <c:pt idx="350">
                  <c:v>1.4944864700035096</c:v>
                </c:pt>
                <c:pt idx="351">
                  <c:v>#N/A</c:v>
                </c:pt>
                <c:pt idx="352">
                  <c:v>#N/A</c:v>
                </c:pt>
                <c:pt idx="353">
                  <c:v>#N/A</c:v>
                </c:pt>
                <c:pt idx="354">
                  <c:v>#N/A</c:v>
                </c:pt>
                <c:pt idx="355">
                  <c:v>0.83133251755429693</c:v>
                </c:pt>
                <c:pt idx="356">
                  <c:v>#N/A</c:v>
                </c:pt>
                <c:pt idx="357">
                  <c:v>#N/A</c:v>
                </c:pt>
                <c:pt idx="358">
                  <c:v>#N/A</c:v>
                </c:pt>
                <c:pt idx="359">
                  <c:v>#N/A</c:v>
                </c:pt>
                <c:pt idx="360">
                  <c:v>1.2042209285293572</c:v>
                </c:pt>
                <c:pt idx="361">
                  <c:v>#N/A</c:v>
                </c:pt>
                <c:pt idx="362">
                  <c:v>-0.25960173981024881</c:v>
                </c:pt>
                <c:pt idx="363">
                  <c:v>#N/A</c:v>
                </c:pt>
                <c:pt idx="364">
                  <c:v>#N/A</c:v>
                </c:pt>
                <c:pt idx="365">
                  <c:v>#N/A</c:v>
                </c:pt>
                <c:pt idx="366">
                  <c:v>#N/A</c:v>
                </c:pt>
                <c:pt idx="367">
                  <c:v>#N/A</c:v>
                </c:pt>
                <c:pt idx="368">
                  <c:v>#N/A</c:v>
                </c:pt>
                <c:pt idx="369">
                  <c:v>#N/A</c:v>
                </c:pt>
                <c:pt idx="370">
                  <c:v>#N/A</c:v>
                </c:pt>
                <c:pt idx="371">
                  <c:v>#N/A</c:v>
                </c:pt>
                <c:pt idx="372">
                  <c:v>#N/A</c:v>
                </c:pt>
                <c:pt idx="373">
                  <c:v>1.07831364788493</c:v>
                </c:pt>
                <c:pt idx="374">
                  <c:v>#N/A</c:v>
                </c:pt>
                <c:pt idx="375">
                  <c:v>#N/A</c:v>
                </c:pt>
                <c:pt idx="376">
                  <c:v>#N/A</c:v>
                </c:pt>
                <c:pt idx="377">
                  <c:v>#N/A</c:v>
                </c:pt>
                <c:pt idx="378">
                  <c:v>#N/A</c:v>
                </c:pt>
                <c:pt idx="379">
                  <c:v>#N/A</c:v>
                </c:pt>
                <c:pt idx="380">
                  <c:v>#N/A</c:v>
                </c:pt>
                <c:pt idx="381">
                  <c:v>#N/A</c:v>
                </c:pt>
                <c:pt idx="382">
                  <c:v>0.88305764557078348</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0.64336445285745736</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0.1426923443849939</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9-014A-4B80-A216-E469238CD77A}"/>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1.5915161340126598E-2"/>
          <c:y val="8.1968699808046372E-2"/>
          <c:w val="0.23825369255313675"/>
          <c:h val="0.11214655071101187"/>
        </c:manualLayout>
      </c:layout>
      <c:overlay val="0"/>
      <c:spPr>
        <a:solidFill>
          <a:schemeClr val="accent6">
            <a:lumMod val="20000"/>
            <a:lumOff val="80000"/>
          </a:schemeClr>
        </a:solidFill>
        <a:ln>
          <a:solidFill>
            <a:sysClr val="windowText" lastClr="000000"/>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3">
                    <a:lumMod val="75000"/>
                  </a:schemeClr>
                </a:solidFill>
                <a:latin typeface="+mn-lt"/>
                <a:ea typeface="+mn-ea"/>
                <a:cs typeface="+mn-cs"/>
              </a:defRPr>
            </a:pPr>
            <a:r>
              <a:rPr lang="en-US" sz="1800" b="1">
                <a:solidFill>
                  <a:schemeClr val="accent3">
                    <a:lumMod val="75000"/>
                  </a:schemeClr>
                </a:solidFill>
              </a:rPr>
              <a:t>The Three Tiers of The Strategy (Risk Unit)</a:t>
            </a:r>
          </a:p>
        </c:rich>
      </c:tx>
      <c:layout>
        <c:manualLayout>
          <c:xMode val="edge"/>
          <c:yMode val="edge"/>
          <c:x val="2.203421174294962E-2"/>
          <c:y val="4.5897877223178424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2"/>
          <c:order val="0"/>
          <c:tx>
            <c:v>SW</c:v>
          </c:tx>
          <c:spPr>
            <a:ln w="19050" cap="rnd">
              <a:solidFill>
                <a:srgbClr val="00B0F0"/>
              </a:solidFill>
              <a:prstDash val="solid"/>
              <a:round/>
            </a:ln>
            <a:effectLst/>
          </c:spPr>
          <c:marker>
            <c:symbol val="none"/>
          </c:marker>
          <c:val>
            <c:numRef>
              <c:f>'2025-Q1'!$Y$4:$Y$448</c:f>
              <c:numCache>
                <c:formatCode>0.0</c:formatCode>
                <c:ptCount val="445"/>
                <c:pt idx="0">
                  <c:v>0</c:v>
                </c:pt>
                <c:pt idx="1">
                  <c:v>0</c:v>
                </c:pt>
                <c:pt idx="2">
                  <c:v>2.4945770065075905</c:v>
                </c:pt>
                <c:pt idx="3">
                  <c:v>2.4945770065075905</c:v>
                </c:pt>
                <c:pt idx="4">
                  <c:v>2.4945770065075905</c:v>
                </c:pt>
                <c:pt idx="5">
                  <c:v>2.4945770065075905</c:v>
                </c:pt>
                <c:pt idx="6">
                  <c:v>3.4739818190882708</c:v>
                </c:pt>
                <c:pt idx="7">
                  <c:v>3.4739818190882708</c:v>
                </c:pt>
                <c:pt idx="8">
                  <c:v>4.1675117988968919</c:v>
                </c:pt>
                <c:pt idx="9">
                  <c:v>4.1675117988968919</c:v>
                </c:pt>
                <c:pt idx="10">
                  <c:v>4.1675117988968919</c:v>
                </c:pt>
                <c:pt idx="11">
                  <c:v>5.2013212462836123</c:v>
                </c:pt>
                <c:pt idx="12">
                  <c:v>5.2013212462836123</c:v>
                </c:pt>
                <c:pt idx="13">
                  <c:v>5.2013212462836123</c:v>
                </c:pt>
                <c:pt idx="14">
                  <c:v>5.2013212462836123</c:v>
                </c:pt>
                <c:pt idx="15">
                  <c:v>4.1988149806194528</c:v>
                </c:pt>
                <c:pt idx="16">
                  <c:v>4.9547064879560478</c:v>
                </c:pt>
                <c:pt idx="17">
                  <c:v>4.9547064879560478</c:v>
                </c:pt>
                <c:pt idx="18">
                  <c:v>4.9547064879560478</c:v>
                </c:pt>
                <c:pt idx="19">
                  <c:v>4.9547064879560478</c:v>
                </c:pt>
                <c:pt idx="20">
                  <c:v>5.1130596154303163</c:v>
                </c:pt>
                <c:pt idx="21">
                  <c:v>5.5208899580078041</c:v>
                </c:pt>
                <c:pt idx="22">
                  <c:v>5.3392660263838749</c:v>
                </c:pt>
                <c:pt idx="23">
                  <c:v>5.8671201466997163</c:v>
                </c:pt>
                <c:pt idx="24">
                  <c:v>5.8671201466997163</c:v>
                </c:pt>
                <c:pt idx="25">
                  <c:v>5.8671201466997163</c:v>
                </c:pt>
                <c:pt idx="26">
                  <c:v>6.0964089754472726</c:v>
                </c:pt>
                <c:pt idx="27">
                  <c:v>5.3131667167951777</c:v>
                </c:pt>
                <c:pt idx="28">
                  <c:v>7.7728837008199552</c:v>
                </c:pt>
                <c:pt idx="29">
                  <c:v>7.7728837008199552</c:v>
                </c:pt>
                <c:pt idx="30">
                  <c:v>7.7728837008199552</c:v>
                </c:pt>
                <c:pt idx="31">
                  <c:v>8.9876985156347686</c:v>
                </c:pt>
                <c:pt idx="32">
                  <c:v>9.5421547774865285</c:v>
                </c:pt>
                <c:pt idx="33">
                  <c:v>9.5421547774865285</c:v>
                </c:pt>
                <c:pt idx="34">
                  <c:v>9.1625560675513142</c:v>
                </c:pt>
                <c:pt idx="35">
                  <c:v>9.1625560675513142</c:v>
                </c:pt>
                <c:pt idx="36">
                  <c:v>9.1625560675513142</c:v>
                </c:pt>
                <c:pt idx="37">
                  <c:v>9.9528219983089645</c:v>
                </c:pt>
                <c:pt idx="38">
                  <c:v>10.293347959199053</c:v>
                </c:pt>
                <c:pt idx="39">
                  <c:v>10.293347959199053</c:v>
                </c:pt>
                <c:pt idx="40">
                  <c:v>10.293347959199053</c:v>
                </c:pt>
                <c:pt idx="41">
                  <c:v>9.5934300610052929</c:v>
                </c:pt>
                <c:pt idx="42">
                  <c:v>9.8749981788307206</c:v>
                </c:pt>
                <c:pt idx="43">
                  <c:v>9.8749981788307206</c:v>
                </c:pt>
                <c:pt idx="44">
                  <c:v>9.6186713825088059</c:v>
                </c:pt>
                <c:pt idx="45">
                  <c:v>9.6186713825088059</c:v>
                </c:pt>
                <c:pt idx="46">
                  <c:v>10.385564229554324</c:v>
                </c:pt>
                <c:pt idx="47">
                  <c:v>10.982310490825959</c:v>
                </c:pt>
                <c:pt idx="48">
                  <c:v>10.982310490825959</c:v>
                </c:pt>
                <c:pt idx="49">
                  <c:v>10.982310490825959</c:v>
                </c:pt>
                <c:pt idx="50">
                  <c:v>10.813914350283452</c:v>
                </c:pt>
                <c:pt idx="51">
                  <c:v>10.813914350283452</c:v>
                </c:pt>
                <c:pt idx="52">
                  <c:v>9.9324361919995496</c:v>
                </c:pt>
                <c:pt idx="53">
                  <c:v>9.1305353900987445</c:v>
                </c:pt>
                <c:pt idx="54">
                  <c:v>9.1305353900987445</c:v>
                </c:pt>
                <c:pt idx="55">
                  <c:v>9.1305353900987445</c:v>
                </c:pt>
                <c:pt idx="56">
                  <c:v>9.0572831976555026</c:v>
                </c:pt>
                <c:pt idx="57">
                  <c:v>9.0572831976555026</c:v>
                </c:pt>
                <c:pt idx="58">
                  <c:v>9.0572831976555026</c:v>
                </c:pt>
                <c:pt idx="59">
                  <c:v>9.2458341373192017</c:v>
                </c:pt>
                <c:pt idx="60">
                  <c:v>9.6737620652471268</c:v>
                </c:pt>
                <c:pt idx="61">
                  <c:v>10.490102195861549</c:v>
                </c:pt>
                <c:pt idx="62">
                  <c:v>10.490102195861549</c:v>
                </c:pt>
                <c:pt idx="63">
                  <c:v>11.07528146053385</c:v>
                </c:pt>
                <c:pt idx="64">
                  <c:v>11.07528146053385</c:v>
                </c:pt>
                <c:pt idx="65">
                  <c:v>11.07528146053385</c:v>
                </c:pt>
                <c:pt idx="66">
                  <c:v>11.07528146053385</c:v>
                </c:pt>
                <c:pt idx="67">
                  <c:v>11.07528146053385</c:v>
                </c:pt>
                <c:pt idx="68">
                  <c:v>10.411737354366792</c:v>
                </c:pt>
                <c:pt idx="69">
                  <c:v>10.411737354366792</c:v>
                </c:pt>
                <c:pt idx="70">
                  <c:v>11.350704490517026</c:v>
                </c:pt>
                <c:pt idx="71">
                  <c:v>11.344377779141601</c:v>
                </c:pt>
                <c:pt idx="72">
                  <c:v>11.344377779141601</c:v>
                </c:pt>
                <c:pt idx="73">
                  <c:v>11.724486002094164</c:v>
                </c:pt>
                <c:pt idx="74">
                  <c:v>10.44447817244496</c:v>
                </c:pt>
                <c:pt idx="75">
                  <c:v>10.44447817244496</c:v>
                </c:pt>
                <c:pt idx="76">
                  <c:v>11.71516642423116</c:v>
                </c:pt>
                <c:pt idx="77">
                  <c:v>10.853051080998968</c:v>
                </c:pt>
                <c:pt idx="78">
                  <c:v>10.402122699036102</c:v>
                </c:pt>
                <c:pt idx="79">
                  <c:v>10.402122699036102</c:v>
                </c:pt>
                <c:pt idx="80">
                  <c:v>10.402122699036102</c:v>
                </c:pt>
                <c:pt idx="81">
                  <c:v>11.222509509435596</c:v>
                </c:pt>
                <c:pt idx="82">
                  <c:v>11.222509509435596</c:v>
                </c:pt>
                <c:pt idx="83">
                  <c:v>11.10186145703987</c:v>
                </c:pt>
                <c:pt idx="84">
                  <c:v>11.10186145703987</c:v>
                </c:pt>
                <c:pt idx="85">
                  <c:v>10.788937706127173</c:v>
                </c:pt>
                <c:pt idx="86">
                  <c:v>9.9012143623190063</c:v>
                </c:pt>
                <c:pt idx="87">
                  <c:v>9.9012143623190063</c:v>
                </c:pt>
                <c:pt idx="88">
                  <c:v>10.829853101289277</c:v>
                </c:pt>
                <c:pt idx="89">
                  <c:v>12.38768307402543</c:v>
                </c:pt>
                <c:pt idx="90">
                  <c:v>13.407864932530643</c:v>
                </c:pt>
                <c:pt idx="91">
                  <c:v>13.880305877412532</c:v>
                </c:pt>
                <c:pt idx="92">
                  <c:v>13.880305877412532</c:v>
                </c:pt>
                <c:pt idx="93">
                  <c:v>13.880305877412532</c:v>
                </c:pt>
                <c:pt idx="94">
                  <c:v>13.880305877412532</c:v>
                </c:pt>
                <c:pt idx="95">
                  <c:v>13.880305877412532</c:v>
                </c:pt>
                <c:pt idx="96">
                  <c:v>14.848989529217206</c:v>
                </c:pt>
                <c:pt idx="97">
                  <c:v>12.11104060118225</c:v>
                </c:pt>
                <c:pt idx="98">
                  <c:v>10.824713043197134</c:v>
                </c:pt>
                <c:pt idx="99">
                  <c:v>10.824713043197134</c:v>
                </c:pt>
                <c:pt idx="100">
                  <c:v>10.824713043197134</c:v>
                </c:pt>
                <c:pt idx="101">
                  <c:v>10.824713043197134</c:v>
                </c:pt>
                <c:pt idx="102">
                  <c:v>11.480844069952731</c:v>
                </c:pt>
                <c:pt idx="103">
                  <c:v>10.644607431513819</c:v>
                </c:pt>
                <c:pt idx="104">
                  <c:v>10.644607431513819</c:v>
                </c:pt>
                <c:pt idx="105">
                  <c:v>8.651690764847153</c:v>
                </c:pt>
                <c:pt idx="106">
                  <c:v>8.97011369737797</c:v>
                </c:pt>
                <c:pt idx="107">
                  <c:v>8.4510606526887706</c:v>
                </c:pt>
                <c:pt idx="108">
                  <c:v>8.539848422173522</c:v>
                </c:pt>
                <c:pt idx="109">
                  <c:v>8.4945187518438505</c:v>
                </c:pt>
                <c:pt idx="110">
                  <c:v>8.4945187518438505</c:v>
                </c:pt>
                <c:pt idx="111">
                  <c:v>9.085027555656751</c:v>
                </c:pt>
                <c:pt idx="112">
                  <c:v>9.085027555656751</c:v>
                </c:pt>
                <c:pt idx="113">
                  <c:v>9.7900353515635938</c:v>
                </c:pt>
                <c:pt idx="114">
                  <c:v>9.7900353515635938</c:v>
                </c:pt>
                <c:pt idx="115">
                  <c:v>10.316992621423072</c:v>
                </c:pt>
                <c:pt idx="116">
                  <c:v>10.316992621423072</c:v>
                </c:pt>
                <c:pt idx="117">
                  <c:v>10.316992621423072</c:v>
                </c:pt>
                <c:pt idx="118">
                  <c:v>9.4119926214230709</c:v>
                </c:pt>
                <c:pt idx="119">
                  <c:v>10.479415942595885</c:v>
                </c:pt>
                <c:pt idx="120">
                  <c:v>10.479415942595885</c:v>
                </c:pt>
                <c:pt idx="121">
                  <c:v>9.6831643615909435</c:v>
                </c:pt>
                <c:pt idx="122">
                  <c:v>9.4935909018753044</c:v>
                </c:pt>
                <c:pt idx="123">
                  <c:v>9.339190490140874</c:v>
                </c:pt>
                <c:pt idx="124">
                  <c:v>9.339190490140874</c:v>
                </c:pt>
                <c:pt idx="125">
                  <c:v>9.339190490140874</c:v>
                </c:pt>
                <c:pt idx="126">
                  <c:v>9.339190490140874</c:v>
                </c:pt>
                <c:pt idx="127">
                  <c:v>10.012619506513618</c:v>
                </c:pt>
                <c:pt idx="128">
                  <c:v>10.012619506513618</c:v>
                </c:pt>
                <c:pt idx="129">
                  <c:v>10.087582025254246</c:v>
                </c:pt>
                <c:pt idx="130">
                  <c:v>10.457987315988726</c:v>
                </c:pt>
                <c:pt idx="131">
                  <c:v>10.411726628655238</c:v>
                </c:pt>
                <c:pt idx="132">
                  <c:v>10.411726628655238</c:v>
                </c:pt>
                <c:pt idx="133">
                  <c:v>10.434367161678074</c:v>
                </c:pt>
                <c:pt idx="134">
                  <c:v>9.2265954130346284</c:v>
                </c:pt>
                <c:pt idx="135">
                  <c:v>9.2265954130346284</c:v>
                </c:pt>
                <c:pt idx="136">
                  <c:v>9.2265954130346284</c:v>
                </c:pt>
                <c:pt idx="137">
                  <c:v>8.4640759914976371</c:v>
                </c:pt>
                <c:pt idx="138">
                  <c:v>8.4640759914976371</c:v>
                </c:pt>
                <c:pt idx="139">
                  <c:v>8.4640759914976371</c:v>
                </c:pt>
                <c:pt idx="140">
                  <c:v>8.4640759914976371</c:v>
                </c:pt>
                <c:pt idx="141">
                  <c:v>7.6569671238161687</c:v>
                </c:pt>
                <c:pt idx="142">
                  <c:v>7.6569671238161687</c:v>
                </c:pt>
                <c:pt idx="143">
                  <c:v>7.6569671238161687</c:v>
                </c:pt>
                <c:pt idx="144">
                  <c:v>7.3840227362351385</c:v>
                </c:pt>
                <c:pt idx="145">
                  <c:v>7.1251824223657794</c:v>
                </c:pt>
                <c:pt idx="146">
                  <c:v>7.0759191324737118</c:v>
                </c:pt>
                <c:pt idx="147">
                  <c:v>7.0759191324737118</c:v>
                </c:pt>
                <c:pt idx="148">
                  <c:v>7.0759191324737118</c:v>
                </c:pt>
                <c:pt idx="149">
                  <c:v>6.1305960175696672</c:v>
                </c:pt>
                <c:pt idx="150">
                  <c:v>6.1305960175696672</c:v>
                </c:pt>
                <c:pt idx="151">
                  <c:v>6.1119253678310557</c:v>
                </c:pt>
                <c:pt idx="152">
                  <c:v>6.1119253678310557</c:v>
                </c:pt>
                <c:pt idx="153">
                  <c:v>6.1119253678310557</c:v>
                </c:pt>
                <c:pt idx="154">
                  <c:v>5.9319085487413883</c:v>
                </c:pt>
                <c:pt idx="155">
                  <c:v>5.9319085487413883</c:v>
                </c:pt>
                <c:pt idx="156">
                  <c:v>7.6436715341888339</c:v>
                </c:pt>
                <c:pt idx="157">
                  <c:v>7.6436715341888339</c:v>
                </c:pt>
                <c:pt idx="158">
                  <c:v>7.6436715341888339</c:v>
                </c:pt>
                <c:pt idx="159">
                  <c:v>7.6436715341888339</c:v>
                </c:pt>
                <c:pt idx="160">
                  <c:v>7.0407591963910274</c:v>
                </c:pt>
                <c:pt idx="161">
                  <c:v>6.8298131734717655</c:v>
                </c:pt>
                <c:pt idx="162">
                  <c:v>6.8298131734717655</c:v>
                </c:pt>
                <c:pt idx="163">
                  <c:v>6.8298131734717655</c:v>
                </c:pt>
                <c:pt idx="164">
                  <c:v>6.7661999419196031</c:v>
                </c:pt>
                <c:pt idx="165">
                  <c:v>6.7661999419196031</c:v>
                </c:pt>
                <c:pt idx="166">
                  <c:v>6.7661999419196031</c:v>
                </c:pt>
                <c:pt idx="167">
                  <c:v>6.7661999419196031</c:v>
                </c:pt>
                <c:pt idx="168">
                  <c:v>6.7661999419196031</c:v>
                </c:pt>
                <c:pt idx="169">
                  <c:v>7.3783784165948481</c:v>
                </c:pt>
                <c:pt idx="170">
                  <c:v>6.6424852976028319</c:v>
                </c:pt>
                <c:pt idx="171">
                  <c:v>6.6424852976028319</c:v>
                </c:pt>
                <c:pt idx="172">
                  <c:v>6.6424852976028319</c:v>
                </c:pt>
                <c:pt idx="173">
                  <c:v>5.4674364443682348</c:v>
                </c:pt>
                <c:pt idx="174">
                  <c:v>5.7660249351391375</c:v>
                </c:pt>
                <c:pt idx="175">
                  <c:v>5.7660249351391375</c:v>
                </c:pt>
                <c:pt idx="176">
                  <c:v>5.8924327512198413</c:v>
                </c:pt>
                <c:pt idx="177">
                  <c:v>5.8924327512198413</c:v>
                </c:pt>
                <c:pt idx="178">
                  <c:v>5.8924327512198413</c:v>
                </c:pt>
                <c:pt idx="179">
                  <c:v>5.8924327512198413</c:v>
                </c:pt>
                <c:pt idx="180">
                  <c:v>5.3922541159929747</c:v>
                </c:pt>
                <c:pt idx="181">
                  <c:v>5.5940122944048483</c:v>
                </c:pt>
                <c:pt idx="182">
                  <c:v>5.5940122944048483</c:v>
                </c:pt>
                <c:pt idx="183">
                  <c:v>5.5940122944048483</c:v>
                </c:pt>
                <c:pt idx="184">
                  <c:v>5.5940122944048483</c:v>
                </c:pt>
                <c:pt idx="185">
                  <c:v>5.6903147417556665</c:v>
                </c:pt>
                <c:pt idx="186">
                  <c:v>5.6903147417556665</c:v>
                </c:pt>
                <c:pt idx="187">
                  <c:v>4.8431442910609865</c:v>
                </c:pt>
                <c:pt idx="188">
                  <c:v>4.8431442910609865</c:v>
                </c:pt>
                <c:pt idx="189">
                  <c:v>4.403692545971257</c:v>
                </c:pt>
                <c:pt idx="190">
                  <c:v>4.403692545971257</c:v>
                </c:pt>
                <c:pt idx="191">
                  <c:v>4.403692545971257</c:v>
                </c:pt>
                <c:pt idx="192">
                  <c:v>4.403692545971257</c:v>
                </c:pt>
                <c:pt idx="193">
                  <c:v>3.6040889176459268</c:v>
                </c:pt>
                <c:pt idx="194">
                  <c:v>3.6127056455871007</c:v>
                </c:pt>
                <c:pt idx="195">
                  <c:v>3.6127056455871007</c:v>
                </c:pt>
                <c:pt idx="196">
                  <c:v>2.9039722208042917</c:v>
                </c:pt>
                <c:pt idx="197">
                  <c:v>2.9039722208042917</c:v>
                </c:pt>
                <c:pt idx="198">
                  <c:v>2.9039722208042917</c:v>
                </c:pt>
                <c:pt idx="199">
                  <c:v>2.9039722208042917</c:v>
                </c:pt>
                <c:pt idx="200">
                  <c:v>2.9039722208042917</c:v>
                </c:pt>
                <c:pt idx="201">
                  <c:v>3.2570172340434804</c:v>
                </c:pt>
                <c:pt idx="202">
                  <c:v>2.4804341993959298</c:v>
                </c:pt>
                <c:pt idx="203">
                  <c:v>2.4804341993959298</c:v>
                </c:pt>
                <c:pt idx="204">
                  <c:v>2.4804341993959298</c:v>
                </c:pt>
                <c:pt idx="205">
                  <c:v>2.0432843119554813</c:v>
                </c:pt>
                <c:pt idx="206">
                  <c:v>1.9571381767843654</c:v>
                </c:pt>
                <c:pt idx="207">
                  <c:v>4.0747040542156832</c:v>
                </c:pt>
                <c:pt idx="208">
                  <c:v>4.0747040542156832</c:v>
                </c:pt>
                <c:pt idx="209">
                  <c:v>3.6564147133819924</c:v>
                </c:pt>
                <c:pt idx="210">
                  <c:v>5.6270845906436229</c:v>
                </c:pt>
                <c:pt idx="211">
                  <c:v>5.6270845906436229</c:v>
                </c:pt>
                <c:pt idx="212">
                  <c:v>5.6270845906436229</c:v>
                </c:pt>
                <c:pt idx="213">
                  <c:v>4.532855429784969</c:v>
                </c:pt>
                <c:pt idx="214">
                  <c:v>6.0789156181608046</c:v>
                </c:pt>
                <c:pt idx="215">
                  <c:v>5.3188413166330735</c:v>
                </c:pt>
                <c:pt idx="216">
                  <c:v>4.8547341051210182</c:v>
                </c:pt>
                <c:pt idx="217">
                  <c:v>4.7056055749690922</c:v>
                </c:pt>
                <c:pt idx="218">
                  <c:v>4.3644291043808572</c:v>
                </c:pt>
                <c:pt idx="219">
                  <c:v>4.5362682146169426</c:v>
                </c:pt>
                <c:pt idx="220">
                  <c:v>4.5362682146169426</c:v>
                </c:pt>
                <c:pt idx="221">
                  <c:v>4.5362682146169426</c:v>
                </c:pt>
                <c:pt idx="222">
                  <c:v>4.5362682146169426</c:v>
                </c:pt>
                <c:pt idx="223">
                  <c:v>4.5362682146169426</c:v>
                </c:pt>
                <c:pt idx="224">
                  <c:v>3.9214565226551663</c:v>
                </c:pt>
                <c:pt idx="225">
                  <c:v>3.9690044101704491</c:v>
                </c:pt>
                <c:pt idx="226">
                  <c:v>3.9690044101704491</c:v>
                </c:pt>
                <c:pt idx="227">
                  <c:v>3.9690044101704491</c:v>
                </c:pt>
                <c:pt idx="228">
                  <c:v>3.9690044101704491</c:v>
                </c:pt>
                <c:pt idx="229">
                  <c:v>3.9690044101704491</c:v>
                </c:pt>
                <c:pt idx="230">
                  <c:v>3.9690044101704491</c:v>
                </c:pt>
                <c:pt idx="231">
                  <c:v>3.9690044101704491</c:v>
                </c:pt>
                <c:pt idx="232">
                  <c:v>4.0680045091705477</c:v>
                </c:pt>
                <c:pt idx="233">
                  <c:v>4.2261469144779591</c:v>
                </c:pt>
                <c:pt idx="234">
                  <c:v>4.1735057530477029</c:v>
                </c:pt>
                <c:pt idx="235">
                  <c:v>4.0386883259666648</c:v>
                </c:pt>
                <c:pt idx="236">
                  <c:v>4.0386883259666648</c:v>
                </c:pt>
                <c:pt idx="237">
                  <c:v>3.4877551125643715</c:v>
                </c:pt>
                <c:pt idx="238">
                  <c:v>3.2682161443975222</c:v>
                </c:pt>
                <c:pt idx="239">
                  <c:v>3.2682161443975222</c:v>
                </c:pt>
                <c:pt idx="240">
                  <c:v>3.2682161443975222</c:v>
                </c:pt>
                <c:pt idx="241">
                  <c:v>3.2682161443975222</c:v>
                </c:pt>
                <c:pt idx="242">
                  <c:v>3.2682161443975222</c:v>
                </c:pt>
                <c:pt idx="243">
                  <c:v>3.2682161443975222</c:v>
                </c:pt>
                <c:pt idx="244">
                  <c:v>3.2682161443975222</c:v>
                </c:pt>
                <c:pt idx="245">
                  <c:v>4.2180574142387899</c:v>
                </c:pt>
                <c:pt idx="246">
                  <c:v>4.2180574142387899</c:v>
                </c:pt>
                <c:pt idx="247">
                  <c:v>5.2451212771671383</c:v>
                </c:pt>
                <c:pt idx="248">
                  <c:v>5.2451212771671383</c:v>
                </c:pt>
                <c:pt idx="249">
                  <c:v>4.2953130890804463</c:v>
                </c:pt>
                <c:pt idx="250">
                  <c:v>3.6409635894653576</c:v>
                </c:pt>
                <c:pt idx="251">
                  <c:v>3.6409635894653576</c:v>
                </c:pt>
                <c:pt idx="252">
                  <c:v>3.1804187986762522</c:v>
                </c:pt>
                <c:pt idx="253">
                  <c:v>3.1804187986762522</c:v>
                </c:pt>
                <c:pt idx="254">
                  <c:v>3.1804187986762522</c:v>
                </c:pt>
                <c:pt idx="255">
                  <c:v>4.1950534757884856</c:v>
                </c:pt>
                <c:pt idx="256">
                  <c:v>4.1950534757884856</c:v>
                </c:pt>
                <c:pt idx="257">
                  <c:v>4.1950534757884856</c:v>
                </c:pt>
                <c:pt idx="258">
                  <c:v>4.1950534757884856</c:v>
                </c:pt>
                <c:pt idx="259">
                  <c:v>4.1950534757884856</c:v>
                </c:pt>
                <c:pt idx="260">
                  <c:v>4.1950534757884856</c:v>
                </c:pt>
                <c:pt idx="261">
                  <c:v>4.1950534757884856</c:v>
                </c:pt>
                <c:pt idx="262">
                  <c:v>5.5532939535395593</c:v>
                </c:pt>
                <c:pt idx="263">
                  <c:v>6.2039218851479738</c:v>
                </c:pt>
                <c:pt idx="264">
                  <c:v>7.2010288015334387</c:v>
                </c:pt>
                <c:pt idx="265">
                  <c:v>9.3402573271558929</c:v>
                </c:pt>
                <c:pt idx="266">
                  <c:v>9.9465073271558904</c:v>
                </c:pt>
                <c:pt idx="267">
                  <c:v>9.9465073271558904</c:v>
                </c:pt>
                <c:pt idx="268">
                  <c:v>9.9465073271558904</c:v>
                </c:pt>
                <c:pt idx="269">
                  <c:v>9.9465073271558904</c:v>
                </c:pt>
                <c:pt idx="270">
                  <c:v>10.397860821322839</c:v>
                </c:pt>
                <c:pt idx="271">
                  <c:v>10.397860821322839</c:v>
                </c:pt>
                <c:pt idx="272">
                  <c:v>10.397860821322839</c:v>
                </c:pt>
                <c:pt idx="273">
                  <c:v>10.146050937784912</c:v>
                </c:pt>
                <c:pt idx="274">
                  <c:v>10.146050937784912</c:v>
                </c:pt>
                <c:pt idx="275">
                  <c:v>10.146050937784912</c:v>
                </c:pt>
                <c:pt idx="276">
                  <c:v>10.907734387307247</c:v>
                </c:pt>
                <c:pt idx="277">
                  <c:v>11.706621766827269</c:v>
                </c:pt>
                <c:pt idx="278">
                  <c:v>11.706621766827269</c:v>
                </c:pt>
                <c:pt idx="279">
                  <c:v>13.167005058144936</c:v>
                </c:pt>
                <c:pt idx="280">
                  <c:v>13.167005058144936</c:v>
                </c:pt>
                <c:pt idx="281">
                  <c:v>11.017638173718773</c:v>
                </c:pt>
                <c:pt idx="282">
                  <c:v>11.017638173718773</c:v>
                </c:pt>
                <c:pt idx="283">
                  <c:v>11.017638173718773</c:v>
                </c:pt>
                <c:pt idx="284">
                  <c:v>11.017638173718773</c:v>
                </c:pt>
                <c:pt idx="285">
                  <c:v>11.11646089435124</c:v>
                </c:pt>
                <c:pt idx="286">
                  <c:v>11.11646089435124</c:v>
                </c:pt>
                <c:pt idx="287">
                  <c:v>10.965005606586191</c:v>
                </c:pt>
                <c:pt idx="288">
                  <c:v>11.691278346679267</c:v>
                </c:pt>
                <c:pt idx="289">
                  <c:v>11.550300903070243</c:v>
                </c:pt>
                <c:pt idx="290">
                  <c:v>13.15605948557301</c:v>
                </c:pt>
                <c:pt idx="291">
                  <c:v>13.15605948557301</c:v>
                </c:pt>
                <c:pt idx="292">
                  <c:v>13.15605948557301</c:v>
                </c:pt>
                <c:pt idx="293">
                  <c:v>14.856059485573011</c:v>
                </c:pt>
                <c:pt idx="294">
                  <c:v>14.856059485573011</c:v>
                </c:pt>
                <c:pt idx="295">
                  <c:v>14.856059485573011</c:v>
                </c:pt>
                <c:pt idx="296">
                  <c:v>13.987439447765828</c:v>
                </c:pt>
                <c:pt idx="297">
                  <c:v>13.987439447765828</c:v>
                </c:pt>
                <c:pt idx="298">
                  <c:v>13.154727541228418</c:v>
                </c:pt>
                <c:pt idx="299">
                  <c:v>13.154727541228418</c:v>
                </c:pt>
                <c:pt idx="300">
                  <c:v>13.154727541228418</c:v>
                </c:pt>
                <c:pt idx="301">
                  <c:v>13.154727541228418</c:v>
                </c:pt>
                <c:pt idx="302">
                  <c:v>13.154727541228418</c:v>
                </c:pt>
                <c:pt idx="303">
                  <c:v>12.653085804635936</c:v>
                </c:pt>
                <c:pt idx="304">
                  <c:v>12.809439763385104</c:v>
                </c:pt>
                <c:pt idx="305">
                  <c:v>12.809439763385104</c:v>
                </c:pt>
                <c:pt idx="306">
                  <c:v>13.51297353139605</c:v>
                </c:pt>
                <c:pt idx="307">
                  <c:v>13.51297353139605</c:v>
                </c:pt>
                <c:pt idx="308">
                  <c:v>13.51297353139605</c:v>
                </c:pt>
                <c:pt idx="309">
                  <c:v>13.51297353139605</c:v>
                </c:pt>
                <c:pt idx="310">
                  <c:v>13.51297353139605</c:v>
                </c:pt>
                <c:pt idx="311">
                  <c:v>12.373298659837122</c:v>
                </c:pt>
                <c:pt idx="312">
                  <c:v>12.373298659837122</c:v>
                </c:pt>
                <c:pt idx="313">
                  <c:v>13.168797301668707</c:v>
                </c:pt>
                <c:pt idx="314">
                  <c:v>13.12591696842726</c:v>
                </c:pt>
                <c:pt idx="315">
                  <c:v>9.0694029640418403</c:v>
                </c:pt>
                <c:pt idx="316">
                  <c:v>7.9624476578345789</c:v>
                </c:pt>
                <c:pt idx="317">
                  <c:v>7.9624476578345789</c:v>
                </c:pt>
                <c:pt idx="318">
                  <c:v>6.6636878946275218</c:v>
                </c:pt>
                <c:pt idx="319">
                  <c:v>6.8424956048159853</c:v>
                </c:pt>
                <c:pt idx="320">
                  <c:v>8.8685165917700406</c:v>
                </c:pt>
                <c:pt idx="321">
                  <c:v>8.0156014853139332</c:v>
                </c:pt>
                <c:pt idx="322">
                  <c:v>8.0156014853139332</c:v>
                </c:pt>
                <c:pt idx="323">
                  <c:v>8.0156014853139332</c:v>
                </c:pt>
                <c:pt idx="324">
                  <c:v>8.4001101466688315</c:v>
                </c:pt>
                <c:pt idx="325">
                  <c:v>8.4001101466688315</c:v>
                </c:pt>
                <c:pt idx="326">
                  <c:v>8.4001101466688315</c:v>
                </c:pt>
                <c:pt idx="327">
                  <c:v>8.4001101466688315</c:v>
                </c:pt>
                <c:pt idx="328">
                  <c:v>7.5844440744146864</c:v>
                </c:pt>
                <c:pt idx="329">
                  <c:v>8.9049056811612477</c:v>
                </c:pt>
                <c:pt idx="330">
                  <c:v>8.9049056811612477</c:v>
                </c:pt>
                <c:pt idx="331">
                  <c:v>8.8355168367523866</c:v>
                </c:pt>
                <c:pt idx="332">
                  <c:v>8.8355168367523866</c:v>
                </c:pt>
                <c:pt idx="333">
                  <c:v>9.4326476509208419</c:v>
                </c:pt>
                <c:pt idx="334">
                  <c:v>9.4326476509208419</c:v>
                </c:pt>
                <c:pt idx="335">
                  <c:v>9.1265277518779389</c:v>
                </c:pt>
                <c:pt idx="336">
                  <c:v>8.1420749035677158</c:v>
                </c:pt>
                <c:pt idx="337">
                  <c:v>7.2982843367135422</c:v>
                </c:pt>
                <c:pt idx="338">
                  <c:v>7.2982843367135422</c:v>
                </c:pt>
                <c:pt idx="339">
                  <c:v>7.2982843367135422</c:v>
                </c:pt>
                <c:pt idx="340">
                  <c:v>7.2982843367135422</c:v>
                </c:pt>
                <c:pt idx="341">
                  <c:v>7.2982843367135422</c:v>
                </c:pt>
                <c:pt idx="342">
                  <c:v>7.47129471733638</c:v>
                </c:pt>
                <c:pt idx="343">
                  <c:v>8.2129772772007588</c:v>
                </c:pt>
                <c:pt idx="344">
                  <c:v>10.014821024290804</c:v>
                </c:pt>
                <c:pt idx="345">
                  <c:v>9.815958517827772</c:v>
                </c:pt>
                <c:pt idx="346">
                  <c:v>9.815958517827772</c:v>
                </c:pt>
                <c:pt idx="347">
                  <c:v>12.731392442877082</c:v>
                </c:pt>
                <c:pt idx="348">
                  <c:v>12.731392442877082</c:v>
                </c:pt>
                <c:pt idx="349">
                  <c:v>12.731392442877082</c:v>
                </c:pt>
                <c:pt idx="350">
                  <c:v>12.731392442877082</c:v>
                </c:pt>
                <c:pt idx="351">
                  <c:v>13.616454243130445</c:v>
                </c:pt>
                <c:pt idx="352">
                  <c:v>12.941196266051175</c:v>
                </c:pt>
                <c:pt idx="353">
                  <c:v>12.941196266051175</c:v>
                </c:pt>
                <c:pt idx="354">
                  <c:v>13.773380578741252</c:v>
                </c:pt>
                <c:pt idx="355">
                  <c:v>13.773380578741252</c:v>
                </c:pt>
                <c:pt idx="356">
                  <c:v>14.289455028825854</c:v>
                </c:pt>
                <c:pt idx="357">
                  <c:v>14.289455028825854</c:v>
                </c:pt>
                <c:pt idx="358">
                  <c:v>16.781304120581794</c:v>
                </c:pt>
                <c:pt idx="359">
                  <c:v>16.781304120581794</c:v>
                </c:pt>
                <c:pt idx="360">
                  <c:v>16.781304120581794</c:v>
                </c:pt>
                <c:pt idx="361">
                  <c:v>15.246059807616374</c:v>
                </c:pt>
                <c:pt idx="362">
                  <c:v>15.246059807616374</c:v>
                </c:pt>
                <c:pt idx="363">
                  <c:v>15.392057746469002</c:v>
                </c:pt>
                <c:pt idx="364">
                  <c:v>15.504499564365554</c:v>
                </c:pt>
                <c:pt idx="365">
                  <c:v>15.895277211884119</c:v>
                </c:pt>
                <c:pt idx="366">
                  <c:v>16.022708466075937</c:v>
                </c:pt>
                <c:pt idx="367">
                  <c:v>16.649533126903687</c:v>
                </c:pt>
                <c:pt idx="368">
                  <c:v>16.649533126903687</c:v>
                </c:pt>
                <c:pt idx="369">
                  <c:v>19.612719811020607</c:v>
                </c:pt>
                <c:pt idx="370">
                  <c:v>19.612719811020607</c:v>
                </c:pt>
                <c:pt idx="371">
                  <c:v>20.052448326458904</c:v>
                </c:pt>
                <c:pt idx="372">
                  <c:v>19.955360947818129</c:v>
                </c:pt>
                <c:pt idx="373">
                  <c:v>19.955360947818129</c:v>
                </c:pt>
                <c:pt idx="374">
                  <c:v>20.611328603249458</c:v>
                </c:pt>
                <c:pt idx="375">
                  <c:v>21.043276443510255</c:v>
                </c:pt>
                <c:pt idx="376">
                  <c:v>23.578724653075266</c:v>
                </c:pt>
                <c:pt idx="377">
                  <c:v>23.177655134358687</c:v>
                </c:pt>
                <c:pt idx="378">
                  <c:v>23.568761710900798</c:v>
                </c:pt>
                <c:pt idx="379">
                  <c:v>24.041034715166489</c:v>
                </c:pt>
                <c:pt idx="380">
                  <c:v>23.445041266213678</c:v>
                </c:pt>
                <c:pt idx="381">
                  <c:v>22.739803418862351</c:v>
                </c:pt>
                <c:pt idx="382">
                  <c:v>22.739803418862351</c:v>
                </c:pt>
                <c:pt idx="383">
                  <c:v>22.739803418862351</c:v>
                </c:pt>
                <c:pt idx="384">
                  <c:v>21.800569934243086</c:v>
                </c:pt>
                <c:pt idx="385">
                  <c:v>21.800569934243086</c:v>
                </c:pt>
                <c:pt idx="386">
                  <c:v>18.864626873744868</c:v>
                </c:pt>
                <c:pt idx="387">
                  <c:v>20.102722111840105</c:v>
                </c:pt>
                <c:pt idx="388">
                  <c:v>20.102722111840105</c:v>
                </c:pt>
                <c:pt idx="389">
                  <c:v>20.102722111840105</c:v>
                </c:pt>
                <c:pt idx="390">
                  <c:v>19.040865485669279</c:v>
                </c:pt>
                <c:pt idx="391">
                  <c:v>18.867912295184656</c:v>
                </c:pt>
                <c:pt idx="392">
                  <c:v>18.012695472566683</c:v>
                </c:pt>
                <c:pt idx="393">
                  <c:v>15.348876603790954</c:v>
                </c:pt>
                <c:pt idx="394">
                  <c:v>15.348876603790954</c:v>
                </c:pt>
                <c:pt idx="395">
                  <c:v>15.348876603790954</c:v>
                </c:pt>
                <c:pt idx="396">
                  <c:v>17.277523259925761</c:v>
                </c:pt>
                <c:pt idx="397">
                  <c:v>18.266223824897512</c:v>
                </c:pt>
                <c:pt idx="398">
                  <c:v>17.718075676749361</c:v>
                </c:pt>
                <c:pt idx="399">
                  <c:v>17.718075676749361</c:v>
                </c:pt>
                <c:pt idx="400">
                  <c:v>17.002488895588808</c:v>
                </c:pt>
                <c:pt idx="401">
                  <c:v>17.002488895588808</c:v>
                </c:pt>
                <c:pt idx="402">
                  <c:v>17.002488895588808</c:v>
                </c:pt>
                <c:pt idx="403">
                  <c:v>15.772531720008686</c:v>
                </c:pt>
                <c:pt idx="404">
                  <c:v>14.555936818771587</c:v>
                </c:pt>
                <c:pt idx="405">
                  <c:v>14.555936818771587</c:v>
                </c:pt>
                <c:pt idx="406">
                  <c:v>14.555936818771587</c:v>
                </c:pt>
                <c:pt idx="407">
                  <c:v>14.555936818771587</c:v>
                </c:pt>
                <c:pt idx="408">
                  <c:v>15.953983216817985</c:v>
                </c:pt>
                <c:pt idx="409">
                  <c:v>15.953983216817985</c:v>
                </c:pt>
                <c:pt idx="410">
                  <c:v>15.953983216817985</c:v>
                </c:pt>
                <c:pt idx="411">
                  <c:v>15.953983216817985</c:v>
                </c:pt>
                <c:pt idx="412">
                  <c:v>16.315398335168712</c:v>
                </c:pt>
                <c:pt idx="413">
                  <c:v>16.315398335168712</c:v>
                </c:pt>
                <c:pt idx="414">
                  <c:v>18.541606395941031</c:v>
                </c:pt>
                <c:pt idx="415">
                  <c:v>18.541606395941031</c:v>
                </c:pt>
                <c:pt idx="416">
                  <c:v>18.541606395941031</c:v>
                </c:pt>
                <c:pt idx="417">
                  <c:v>18.541606395941031</c:v>
                </c:pt>
                <c:pt idx="418">
                  <c:v>19.310622835060563</c:v>
                </c:pt>
                <c:pt idx="419">
                  <c:v>19.310622835060563</c:v>
                </c:pt>
                <c:pt idx="420">
                  <c:v>19.310622835060563</c:v>
                </c:pt>
                <c:pt idx="421">
                  <c:v>19.310622835060563</c:v>
                </c:pt>
                <c:pt idx="422">
                  <c:v>19.310622835060563</c:v>
                </c:pt>
                <c:pt idx="423">
                  <c:v>19.310622835060563</c:v>
                </c:pt>
                <c:pt idx="424">
                  <c:v>18.917295188392</c:v>
                </c:pt>
                <c:pt idx="425">
                  <c:v>18.917295188392</c:v>
                </c:pt>
                <c:pt idx="426">
                  <c:v>18.917295188392</c:v>
                </c:pt>
                <c:pt idx="427">
                  <c:v>18.917295188392</c:v>
                </c:pt>
                <c:pt idx="428">
                  <c:v>18.917295188392</c:v>
                </c:pt>
                <c:pt idx="429">
                  <c:v>18.917295188392</c:v>
                </c:pt>
                <c:pt idx="430">
                  <c:v>18.917295188392</c:v>
                </c:pt>
                <c:pt idx="431">
                  <c:v>18.917295188392</c:v>
                </c:pt>
                <c:pt idx="432">
                  <c:v>18.917295188392</c:v>
                </c:pt>
                <c:pt idx="433">
                  <c:v>18.917295188392</c:v>
                </c:pt>
                <c:pt idx="434">
                  <c:v>19.012806172155134</c:v>
                </c:pt>
                <c:pt idx="435">
                  <c:v>16.280108883541644</c:v>
                </c:pt>
                <c:pt idx="436">
                  <c:v>14.879288513601237</c:v>
                </c:pt>
                <c:pt idx="437">
                  <c:v>16.12348395071006</c:v>
                </c:pt>
                <c:pt idx="438">
                  <c:v>16.12348395071006</c:v>
                </c:pt>
                <c:pt idx="439">
                  <c:v>15.346784921583847</c:v>
                </c:pt>
                <c:pt idx="440">
                  <c:v>15.346784921583847</c:v>
                </c:pt>
                <c:pt idx="441">
                  <c:v>15.346784921583847</c:v>
                </c:pt>
                <c:pt idx="442">
                  <c:v>14.70999246875366</c:v>
                </c:pt>
                <c:pt idx="443">
                  <c:v>15.126535164379963</c:v>
                </c:pt>
                <c:pt idx="444">
                  <c:v>15.126535164379963</c:v>
                </c:pt>
              </c:numCache>
            </c:numRef>
          </c:val>
          <c:smooth val="0"/>
          <c:extLst xmlns:c15="http://schemas.microsoft.com/office/drawing/2012/chart">
            <c:ext xmlns:c16="http://schemas.microsoft.com/office/drawing/2014/chart" uri="{C3380CC4-5D6E-409C-BE32-E72D297353CC}">
              <c16:uniqueId val="{00000002-B4C0-4FB1-A775-5F368678E3F3}"/>
            </c:ext>
          </c:extLst>
        </c:ser>
        <c:ser>
          <c:idx val="4"/>
          <c:order val="1"/>
          <c:tx>
            <c:v>SW (MOC)</c:v>
          </c:tx>
          <c:spPr>
            <a:ln w="19050" cap="rnd">
              <a:solidFill>
                <a:srgbClr val="00B0F0"/>
              </a:solidFill>
              <a:prstDash val="sysDash"/>
              <a:round/>
            </a:ln>
            <a:effectLst/>
          </c:spPr>
          <c:marker>
            <c:symbol val="none"/>
          </c:marker>
          <c:val>
            <c:numRef>
              <c:f>'2025-Q1'!$GN$4:$GN$448</c:f>
              <c:numCache>
                <c:formatCode>0.0</c:formatCode>
                <c:ptCount val="445"/>
                <c:pt idx="0">
                  <c:v>0</c:v>
                </c:pt>
                <c:pt idx="1">
                  <c:v>0</c:v>
                </c:pt>
                <c:pt idx="2">
                  <c:v>4.5914678235719437</c:v>
                </c:pt>
                <c:pt idx="3">
                  <c:v>4.5914678235719437</c:v>
                </c:pt>
                <c:pt idx="4">
                  <c:v>4.5914678235719437</c:v>
                </c:pt>
                <c:pt idx="5">
                  <c:v>4.5914678235719437</c:v>
                </c:pt>
                <c:pt idx="6">
                  <c:v>5.4568394609775925</c:v>
                </c:pt>
                <c:pt idx="7">
                  <c:v>5.4568394609775925</c:v>
                </c:pt>
                <c:pt idx="8">
                  <c:v>6.7956156878233518</c:v>
                </c:pt>
                <c:pt idx="9">
                  <c:v>6.7956156878233518</c:v>
                </c:pt>
                <c:pt idx="10">
                  <c:v>6.7956156878233518</c:v>
                </c:pt>
                <c:pt idx="11">
                  <c:v>8.292165198335308</c:v>
                </c:pt>
                <c:pt idx="12">
                  <c:v>8.292165198335308</c:v>
                </c:pt>
                <c:pt idx="13">
                  <c:v>8.292165198335308</c:v>
                </c:pt>
                <c:pt idx="14">
                  <c:v>8.292165198335308</c:v>
                </c:pt>
                <c:pt idx="15">
                  <c:v>7.0614097382565397</c:v>
                </c:pt>
                <c:pt idx="16">
                  <c:v>8.0507383287412004</c:v>
                </c:pt>
                <c:pt idx="17">
                  <c:v>8.0507383287412004</c:v>
                </c:pt>
                <c:pt idx="18">
                  <c:v>8.0507383287412004</c:v>
                </c:pt>
                <c:pt idx="19">
                  <c:v>8.0507383287412004</c:v>
                </c:pt>
                <c:pt idx="20">
                  <c:v>8.2189885266826117</c:v>
                </c:pt>
                <c:pt idx="21">
                  <c:v>8.001479010641285</c:v>
                </c:pt>
                <c:pt idx="22">
                  <c:v>8.2650117741740505</c:v>
                </c:pt>
                <c:pt idx="23">
                  <c:v>9.2509211228631436</c:v>
                </c:pt>
                <c:pt idx="24">
                  <c:v>9.2509211228631436</c:v>
                </c:pt>
                <c:pt idx="25">
                  <c:v>9.2509211228631436</c:v>
                </c:pt>
                <c:pt idx="26">
                  <c:v>9.4463804522872881</c:v>
                </c:pt>
                <c:pt idx="27">
                  <c:v>8.8452875561124245</c:v>
                </c:pt>
                <c:pt idx="28">
                  <c:v>10.461015946631546</c:v>
                </c:pt>
                <c:pt idx="29">
                  <c:v>10.461015946631546</c:v>
                </c:pt>
                <c:pt idx="30">
                  <c:v>10.461015946631546</c:v>
                </c:pt>
                <c:pt idx="31">
                  <c:v>11.601756687372287</c:v>
                </c:pt>
                <c:pt idx="32">
                  <c:v>11.912994217259333</c:v>
                </c:pt>
                <c:pt idx="33">
                  <c:v>11.912994217259333</c:v>
                </c:pt>
                <c:pt idx="34">
                  <c:v>12.054273436370558</c:v>
                </c:pt>
                <c:pt idx="35">
                  <c:v>12.054273436370558</c:v>
                </c:pt>
                <c:pt idx="36">
                  <c:v>12.054273436370558</c:v>
                </c:pt>
                <c:pt idx="37">
                  <c:v>12.581117390208993</c:v>
                </c:pt>
                <c:pt idx="38">
                  <c:v>13.344210220058399</c:v>
                </c:pt>
                <c:pt idx="39">
                  <c:v>13.344210220058399</c:v>
                </c:pt>
                <c:pt idx="40">
                  <c:v>13.344210220058399</c:v>
                </c:pt>
                <c:pt idx="41">
                  <c:v>12.771550121536228</c:v>
                </c:pt>
                <c:pt idx="42">
                  <c:v>12.609106976636943</c:v>
                </c:pt>
                <c:pt idx="43">
                  <c:v>12.609106976636943</c:v>
                </c:pt>
                <c:pt idx="44">
                  <c:v>12.538583201987528</c:v>
                </c:pt>
                <c:pt idx="45">
                  <c:v>12.538583201987528</c:v>
                </c:pt>
                <c:pt idx="46">
                  <c:v>13.404429964780855</c:v>
                </c:pt>
                <c:pt idx="47">
                  <c:v>13.85785475086502</c:v>
                </c:pt>
                <c:pt idx="48">
                  <c:v>13.85785475086502</c:v>
                </c:pt>
                <c:pt idx="49">
                  <c:v>13.85785475086502</c:v>
                </c:pt>
                <c:pt idx="50">
                  <c:v>14.203749526033418</c:v>
                </c:pt>
                <c:pt idx="51">
                  <c:v>14.203749526033418</c:v>
                </c:pt>
                <c:pt idx="52">
                  <c:v>12.950073238709754</c:v>
                </c:pt>
                <c:pt idx="53">
                  <c:v>12.464972753609267</c:v>
                </c:pt>
                <c:pt idx="54">
                  <c:v>12.464972753609267</c:v>
                </c:pt>
                <c:pt idx="55">
                  <c:v>12.464972753609267</c:v>
                </c:pt>
                <c:pt idx="56">
                  <c:v>11.835413701072589</c:v>
                </c:pt>
                <c:pt idx="57">
                  <c:v>11.835413701072589</c:v>
                </c:pt>
                <c:pt idx="58">
                  <c:v>11.835413701072589</c:v>
                </c:pt>
                <c:pt idx="59">
                  <c:v>11.399582840538464</c:v>
                </c:pt>
                <c:pt idx="60">
                  <c:v>11.438997254952877</c:v>
                </c:pt>
                <c:pt idx="61">
                  <c:v>11.878821325324727</c:v>
                </c:pt>
                <c:pt idx="62">
                  <c:v>11.878821325324727</c:v>
                </c:pt>
                <c:pt idx="63">
                  <c:v>12.128117207185122</c:v>
                </c:pt>
                <c:pt idx="64">
                  <c:v>12.128117207185122</c:v>
                </c:pt>
                <c:pt idx="65">
                  <c:v>12.128117207185122</c:v>
                </c:pt>
                <c:pt idx="66">
                  <c:v>12.128117207185122</c:v>
                </c:pt>
                <c:pt idx="67">
                  <c:v>12.128117207185122</c:v>
                </c:pt>
                <c:pt idx="68">
                  <c:v>11.134969492725931</c:v>
                </c:pt>
                <c:pt idx="69">
                  <c:v>11.134969492725931</c:v>
                </c:pt>
                <c:pt idx="70">
                  <c:v>12.627927239204805</c:v>
                </c:pt>
                <c:pt idx="71">
                  <c:v>12.45584068979319</c:v>
                </c:pt>
                <c:pt idx="72">
                  <c:v>12.45584068979319</c:v>
                </c:pt>
                <c:pt idx="73">
                  <c:v>13.811947319278966</c:v>
                </c:pt>
                <c:pt idx="74">
                  <c:v>12.183799730391476</c:v>
                </c:pt>
                <c:pt idx="75">
                  <c:v>12.183799730391476</c:v>
                </c:pt>
                <c:pt idx="76">
                  <c:v>13.239691925381077</c:v>
                </c:pt>
                <c:pt idx="77">
                  <c:v>11.618350199536446</c:v>
                </c:pt>
                <c:pt idx="78">
                  <c:v>11.710168195863725</c:v>
                </c:pt>
                <c:pt idx="79">
                  <c:v>11.710168195863725</c:v>
                </c:pt>
                <c:pt idx="80">
                  <c:v>11.710168195863725</c:v>
                </c:pt>
                <c:pt idx="81">
                  <c:v>12.00212549875952</c:v>
                </c:pt>
                <c:pt idx="82">
                  <c:v>12.00212549875952</c:v>
                </c:pt>
                <c:pt idx="83">
                  <c:v>12.01476481853431</c:v>
                </c:pt>
                <c:pt idx="84">
                  <c:v>12.01476481853431</c:v>
                </c:pt>
                <c:pt idx="85">
                  <c:v>11.802672054026818</c:v>
                </c:pt>
                <c:pt idx="86">
                  <c:v>10.772521110914964</c:v>
                </c:pt>
                <c:pt idx="87">
                  <c:v>10.772521110914964</c:v>
                </c:pt>
                <c:pt idx="88">
                  <c:v>11.251404003059227</c:v>
                </c:pt>
                <c:pt idx="89">
                  <c:v>13.412100324626824</c:v>
                </c:pt>
                <c:pt idx="90">
                  <c:v>14.649625274726626</c:v>
                </c:pt>
                <c:pt idx="91">
                  <c:v>15.674042677096784</c:v>
                </c:pt>
                <c:pt idx="92">
                  <c:v>15.674042677096784</c:v>
                </c:pt>
                <c:pt idx="93">
                  <c:v>15.674042677096784</c:v>
                </c:pt>
                <c:pt idx="94">
                  <c:v>15.674042677096784</c:v>
                </c:pt>
                <c:pt idx="95">
                  <c:v>15.674042677096784</c:v>
                </c:pt>
                <c:pt idx="96">
                  <c:v>16.464913165419503</c:v>
                </c:pt>
                <c:pt idx="97">
                  <c:v>15.513117453279671</c:v>
                </c:pt>
                <c:pt idx="98">
                  <c:v>14.356503598620787</c:v>
                </c:pt>
                <c:pt idx="99">
                  <c:v>14.356503598620787</c:v>
                </c:pt>
                <c:pt idx="100">
                  <c:v>14.356503598620787</c:v>
                </c:pt>
                <c:pt idx="101">
                  <c:v>14.356503598620787</c:v>
                </c:pt>
                <c:pt idx="102">
                  <c:v>15.486034481068623</c:v>
                </c:pt>
                <c:pt idx="103">
                  <c:v>14.712526186516666</c:v>
                </c:pt>
                <c:pt idx="104">
                  <c:v>14.712526186516666</c:v>
                </c:pt>
                <c:pt idx="105">
                  <c:v>12.40835951985</c:v>
                </c:pt>
                <c:pt idx="106">
                  <c:v>12.523873328309868</c:v>
                </c:pt>
                <c:pt idx="107">
                  <c:v>12.169398078278219</c:v>
                </c:pt>
                <c:pt idx="108">
                  <c:v>12.407090336169693</c:v>
                </c:pt>
                <c:pt idx="109">
                  <c:v>12.513317442396797</c:v>
                </c:pt>
                <c:pt idx="110">
                  <c:v>12.513317442396797</c:v>
                </c:pt>
                <c:pt idx="111">
                  <c:v>13.466542336385572</c:v>
                </c:pt>
                <c:pt idx="112">
                  <c:v>13.466542336385572</c:v>
                </c:pt>
                <c:pt idx="113">
                  <c:v>14.313042772219736</c:v>
                </c:pt>
                <c:pt idx="114">
                  <c:v>14.313042772219736</c:v>
                </c:pt>
                <c:pt idx="115">
                  <c:v>13.827907507904664</c:v>
                </c:pt>
                <c:pt idx="116">
                  <c:v>13.827907507904664</c:v>
                </c:pt>
                <c:pt idx="117">
                  <c:v>13.827907507904664</c:v>
                </c:pt>
                <c:pt idx="118">
                  <c:v>12.995824174571329</c:v>
                </c:pt>
                <c:pt idx="119">
                  <c:v>13.676475437914117</c:v>
                </c:pt>
                <c:pt idx="120">
                  <c:v>13.676475437914117</c:v>
                </c:pt>
                <c:pt idx="121">
                  <c:v>13.409141874616429</c:v>
                </c:pt>
                <c:pt idx="122">
                  <c:v>13.203770626591155</c:v>
                </c:pt>
                <c:pt idx="123">
                  <c:v>14.139823122731144</c:v>
                </c:pt>
                <c:pt idx="124">
                  <c:v>14.139823122731144</c:v>
                </c:pt>
                <c:pt idx="125">
                  <c:v>14.139823122731144</c:v>
                </c:pt>
                <c:pt idx="126">
                  <c:v>14.139823122731144</c:v>
                </c:pt>
                <c:pt idx="127">
                  <c:v>14.028286441894409</c:v>
                </c:pt>
                <c:pt idx="128">
                  <c:v>14.028286441894409</c:v>
                </c:pt>
                <c:pt idx="129">
                  <c:v>13.545194654454795</c:v>
                </c:pt>
                <c:pt idx="130">
                  <c:v>13.451134159413737</c:v>
                </c:pt>
                <c:pt idx="131">
                  <c:v>13.606636951775709</c:v>
                </c:pt>
                <c:pt idx="132">
                  <c:v>13.606636951775709</c:v>
                </c:pt>
                <c:pt idx="133">
                  <c:v>12.217801968917829</c:v>
                </c:pt>
                <c:pt idx="134">
                  <c:v>11.822504693697571</c:v>
                </c:pt>
                <c:pt idx="135">
                  <c:v>11.822504693697571</c:v>
                </c:pt>
                <c:pt idx="136">
                  <c:v>11.822504693697571</c:v>
                </c:pt>
                <c:pt idx="137">
                  <c:v>11.236870655213048</c:v>
                </c:pt>
                <c:pt idx="138">
                  <c:v>11.236870655213048</c:v>
                </c:pt>
                <c:pt idx="139">
                  <c:v>11.236870655213048</c:v>
                </c:pt>
                <c:pt idx="140">
                  <c:v>11.236870655213048</c:v>
                </c:pt>
                <c:pt idx="141">
                  <c:v>9.944050506410564</c:v>
                </c:pt>
                <c:pt idx="142">
                  <c:v>9.944050506410564</c:v>
                </c:pt>
                <c:pt idx="143">
                  <c:v>9.944050506410564</c:v>
                </c:pt>
                <c:pt idx="144">
                  <c:v>9.183857739436835</c:v>
                </c:pt>
                <c:pt idx="145">
                  <c:v>9.1502288797608937</c:v>
                </c:pt>
                <c:pt idx="146">
                  <c:v>9.0906650838004843</c:v>
                </c:pt>
                <c:pt idx="147">
                  <c:v>9.0906650838004843</c:v>
                </c:pt>
                <c:pt idx="148">
                  <c:v>9.0906650838004843</c:v>
                </c:pt>
                <c:pt idx="149">
                  <c:v>8.152298315600758</c:v>
                </c:pt>
                <c:pt idx="150">
                  <c:v>8.152298315600758</c:v>
                </c:pt>
                <c:pt idx="151">
                  <c:v>7.9033563190859448</c:v>
                </c:pt>
                <c:pt idx="152">
                  <c:v>7.9033563190859448</c:v>
                </c:pt>
                <c:pt idx="153">
                  <c:v>7.9033563190859448</c:v>
                </c:pt>
                <c:pt idx="154">
                  <c:v>7.8100629310905703</c:v>
                </c:pt>
                <c:pt idx="155">
                  <c:v>7.8100629310905703</c:v>
                </c:pt>
                <c:pt idx="156">
                  <c:v>9.6815008752359546</c:v>
                </c:pt>
                <c:pt idx="157">
                  <c:v>9.6815008752359546</c:v>
                </c:pt>
                <c:pt idx="158">
                  <c:v>9.6815008752359546</c:v>
                </c:pt>
                <c:pt idx="159">
                  <c:v>9.6815008752359546</c:v>
                </c:pt>
                <c:pt idx="160">
                  <c:v>8.4746330987098961</c:v>
                </c:pt>
                <c:pt idx="161">
                  <c:v>8.3032696247137014</c:v>
                </c:pt>
                <c:pt idx="162">
                  <c:v>8.3032696247137014</c:v>
                </c:pt>
                <c:pt idx="163">
                  <c:v>8.3032696247137014</c:v>
                </c:pt>
                <c:pt idx="164">
                  <c:v>8.0933459605915647</c:v>
                </c:pt>
                <c:pt idx="165">
                  <c:v>8.0933459605915647</c:v>
                </c:pt>
                <c:pt idx="166">
                  <c:v>8.0933459605915647</c:v>
                </c:pt>
                <c:pt idx="167">
                  <c:v>8.0933459605915647</c:v>
                </c:pt>
                <c:pt idx="168">
                  <c:v>8.0933459605915647</c:v>
                </c:pt>
                <c:pt idx="169">
                  <c:v>8.8256626660279398</c:v>
                </c:pt>
                <c:pt idx="170">
                  <c:v>8.4970904616071508</c:v>
                </c:pt>
                <c:pt idx="171">
                  <c:v>8.4970904616071508</c:v>
                </c:pt>
                <c:pt idx="172">
                  <c:v>8.4970904616071508</c:v>
                </c:pt>
                <c:pt idx="173">
                  <c:v>7.5894487872268179</c:v>
                </c:pt>
                <c:pt idx="174">
                  <c:v>8.4634987329380031</c:v>
                </c:pt>
                <c:pt idx="175">
                  <c:v>8.4634987329380031</c:v>
                </c:pt>
                <c:pt idx="176">
                  <c:v>8.1446248226957074</c:v>
                </c:pt>
                <c:pt idx="177">
                  <c:v>8.1446248226957074</c:v>
                </c:pt>
                <c:pt idx="178">
                  <c:v>8.1446248226957074</c:v>
                </c:pt>
                <c:pt idx="179">
                  <c:v>8.1446248226957074</c:v>
                </c:pt>
                <c:pt idx="180">
                  <c:v>7.4349557850523951</c:v>
                </c:pt>
                <c:pt idx="181">
                  <c:v>6.8597047882709186</c:v>
                </c:pt>
                <c:pt idx="182">
                  <c:v>6.8597047882709186</c:v>
                </c:pt>
                <c:pt idx="183">
                  <c:v>6.8597047882709186</c:v>
                </c:pt>
                <c:pt idx="184">
                  <c:v>6.8597047882709186</c:v>
                </c:pt>
                <c:pt idx="185">
                  <c:v>7.9432514863079646</c:v>
                </c:pt>
                <c:pt idx="186">
                  <c:v>7.9432514863079646</c:v>
                </c:pt>
                <c:pt idx="187">
                  <c:v>7.5168423594583071</c:v>
                </c:pt>
                <c:pt idx="188">
                  <c:v>7.5168423594583071</c:v>
                </c:pt>
                <c:pt idx="189">
                  <c:v>6.967174421066332</c:v>
                </c:pt>
                <c:pt idx="190">
                  <c:v>6.967174421066332</c:v>
                </c:pt>
                <c:pt idx="191">
                  <c:v>6.967174421066332</c:v>
                </c:pt>
                <c:pt idx="192">
                  <c:v>6.967174421066332</c:v>
                </c:pt>
                <c:pt idx="193">
                  <c:v>5.3611068854309947</c:v>
                </c:pt>
                <c:pt idx="194">
                  <c:v>5.2366430373917776</c:v>
                </c:pt>
                <c:pt idx="195">
                  <c:v>5.2366430373917776</c:v>
                </c:pt>
                <c:pt idx="196">
                  <c:v>3.9243430831165123</c:v>
                </c:pt>
                <c:pt idx="197">
                  <c:v>3.9243430831165123</c:v>
                </c:pt>
                <c:pt idx="198">
                  <c:v>3.9243430831165123</c:v>
                </c:pt>
                <c:pt idx="199">
                  <c:v>3.9243430831165123</c:v>
                </c:pt>
                <c:pt idx="200">
                  <c:v>3.9243430831165123</c:v>
                </c:pt>
                <c:pt idx="201">
                  <c:v>3.5183413178914473</c:v>
                </c:pt>
                <c:pt idx="202">
                  <c:v>2.2590820586321878</c:v>
                </c:pt>
                <c:pt idx="203">
                  <c:v>2.2590820586321878</c:v>
                </c:pt>
                <c:pt idx="204">
                  <c:v>2.2590820586321878</c:v>
                </c:pt>
                <c:pt idx="205">
                  <c:v>2.2302877546690447</c:v>
                </c:pt>
                <c:pt idx="206">
                  <c:v>1.8478511242881759</c:v>
                </c:pt>
                <c:pt idx="207">
                  <c:v>3.7282151213554968</c:v>
                </c:pt>
                <c:pt idx="208">
                  <c:v>3.7282151213554968</c:v>
                </c:pt>
                <c:pt idx="209">
                  <c:v>3.0286622582370799</c:v>
                </c:pt>
                <c:pt idx="210">
                  <c:v>3.5963690238970907</c:v>
                </c:pt>
                <c:pt idx="211">
                  <c:v>3.5963690238970907</c:v>
                </c:pt>
                <c:pt idx="212">
                  <c:v>3.5963690238970907</c:v>
                </c:pt>
                <c:pt idx="213">
                  <c:v>2.2628498342307051</c:v>
                </c:pt>
                <c:pt idx="214">
                  <c:v>2.8831117225835672</c:v>
                </c:pt>
                <c:pt idx="215">
                  <c:v>2.2633005091183089</c:v>
                </c:pt>
                <c:pt idx="216">
                  <c:v>2.0669474580939773</c:v>
                </c:pt>
                <c:pt idx="217">
                  <c:v>1.412956716490223</c:v>
                </c:pt>
                <c:pt idx="218">
                  <c:v>1.1521724027647338</c:v>
                </c:pt>
                <c:pt idx="219">
                  <c:v>1.0545954205703747</c:v>
                </c:pt>
                <c:pt idx="220">
                  <c:v>1.0545954205703747</c:v>
                </c:pt>
                <c:pt idx="221">
                  <c:v>1.0545954205703747</c:v>
                </c:pt>
                <c:pt idx="222">
                  <c:v>1.0545954205703747</c:v>
                </c:pt>
                <c:pt idx="223">
                  <c:v>1.0545954205703747</c:v>
                </c:pt>
                <c:pt idx="224">
                  <c:v>-0.53952346644480054</c:v>
                </c:pt>
                <c:pt idx="225">
                  <c:v>-0.19159368637264962</c:v>
                </c:pt>
                <c:pt idx="226">
                  <c:v>-0.19159368637264962</c:v>
                </c:pt>
                <c:pt idx="227">
                  <c:v>-0.19159368637264962</c:v>
                </c:pt>
                <c:pt idx="228">
                  <c:v>-0.19159368637264962</c:v>
                </c:pt>
                <c:pt idx="229">
                  <c:v>-0.19159368637264962</c:v>
                </c:pt>
                <c:pt idx="230">
                  <c:v>-0.19159368637264962</c:v>
                </c:pt>
                <c:pt idx="231">
                  <c:v>-0.19159368637264962</c:v>
                </c:pt>
                <c:pt idx="232">
                  <c:v>-0.74797424275320745</c:v>
                </c:pt>
                <c:pt idx="233">
                  <c:v>-2.0439705399066441</c:v>
                </c:pt>
                <c:pt idx="234">
                  <c:v>-1.4860929682077981</c:v>
                </c:pt>
                <c:pt idx="235">
                  <c:v>-1.2296827117975411</c:v>
                </c:pt>
                <c:pt idx="236">
                  <c:v>-1.2296827117975411</c:v>
                </c:pt>
                <c:pt idx="237">
                  <c:v>-2.1688926660738321</c:v>
                </c:pt>
                <c:pt idx="238">
                  <c:v>-2.2137983641079604</c:v>
                </c:pt>
                <c:pt idx="239">
                  <c:v>-2.2137983641079604</c:v>
                </c:pt>
                <c:pt idx="240">
                  <c:v>-2.2137983641079604</c:v>
                </c:pt>
                <c:pt idx="241">
                  <c:v>-2.2137983641079604</c:v>
                </c:pt>
                <c:pt idx="242">
                  <c:v>-2.2137983641079604</c:v>
                </c:pt>
                <c:pt idx="243">
                  <c:v>-2.2137983641079604</c:v>
                </c:pt>
                <c:pt idx="244">
                  <c:v>-2.2137983641079604</c:v>
                </c:pt>
                <c:pt idx="245">
                  <c:v>-0.59348090379050111</c:v>
                </c:pt>
                <c:pt idx="246">
                  <c:v>-0.59348090379050111</c:v>
                </c:pt>
                <c:pt idx="247">
                  <c:v>-0.22678827658385436</c:v>
                </c:pt>
                <c:pt idx="248">
                  <c:v>-0.22678827658385436</c:v>
                </c:pt>
                <c:pt idx="249">
                  <c:v>-1.6299140089846507</c:v>
                </c:pt>
                <c:pt idx="250">
                  <c:v>-2.4859571190693313</c:v>
                </c:pt>
                <c:pt idx="251">
                  <c:v>-2.4859571190693313</c:v>
                </c:pt>
                <c:pt idx="252">
                  <c:v>-3.2469793038488892</c:v>
                </c:pt>
                <c:pt idx="253">
                  <c:v>-3.2469793038488892</c:v>
                </c:pt>
                <c:pt idx="254">
                  <c:v>-3.2469793038488892</c:v>
                </c:pt>
                <c:pt idx="255">
                  <c:v>-2.645815058160407</c:v>
                </c:pt>
                <c:pt idx="256">
                  <c:v>-2.645815058160407</c:v>
                </c:pt>
                <c:pt idx="257">
                  <c:v>-2.645815058160407</c:v>
                </c:pt>
                <c:pt idx="258">
                  <c:v>-2.645815058160407</c:v>
                </c:pt>
                <c:pt idx="259">
                  <c:v>-2.645815058160407</c:v>
                </c:pt>
                <c:pt idx="260">
                  <c:v>-2.645815058160407</c:v>
                </c:pt>
                <c:pt idx="261">
                  <c:v>-2.645815058160407</c:v>
                </c:pt>
                <c:pt idx="262">
                  <c:v>-0.30712887361448749</c:v>
                </c:pt>
                <c:pt idx="263">
                  <c:v>1.1895675504537031</c:v>
                </c:pt>
                <c:pt idx="264">
                  <c:v>1.5916030238830134</c:v>
                </c:pt>
                <c:pt idx="265">
                  <c:v>4.4696621689642377</c:v>
                </c:pt>
                <c:pt idx="266">
                  <c:v>4.9550788356309035</c:v>
                </c:pt>
                <c:pt idx="267">
                  <c:v>4.9550788356309035</c:v>
                </c:pt>
                <c:pt idx="268">
                  <c:v>4.9550788356309035</c:v>
                </c:pt>
                <c:pt idx="269">
                  <c:v>4.9550788356309035</c:v>
                </c:pt>
                <c:pt idx="270">
                  <c:v>5.7547163936782493</c:v>
                </c:pt>
                <c:pt idx="271">
                  <c:v>5.7547163936782493</c:v>
                </c:pt>
                <c:pt idx="272">
                  <c:v>5.7547163936782493</c:v>
                </c:pt>
                <c:pt idx="273">
                  <c:v>4.4439560177620674</c:v>
                </c:pt>
                <c:pt idx="274">
                  <c:v>4.4439560177620674</c:v>
                </c:pt>
                <c:pt idx="275">
                  <c:v>4.4439560177620674</c:v>
                </c:pt>
                <c:pt idx="276">
                  <c:v>5.231459245234312</c:v>
                </c:pt>
                <c:pt idx="277">
                  <c:v>6.0468418702423996</c:v>
                </c:pt>
                <c:pt idx="278">
                  <c:v>6.0468418702423996</c:v>
                </c:pt>
                <c:pt idx="279">
                  <c:v>7.0830024514139618</c:v>
                </c:pt>
                <c:pt idx="280">
                  <c:v>7.0830024514139618</c:v>
                </c:pt>
                <c:pt idx="281">
                  <c:v>5.1675253968127839</c:v>
                </c:pt>
                <c:pt idx="282">
                  <c:v>5.1675253968127839</c:v>
                </c:pt>
                <c:pt idx="283">
                  <c:v>5.1675253968127839</c:v>
                </c:pt>
                <c:pt idx="284">
                  <c:v>5.1675253968127839</c:v>
                </c:pt>
                <c:pt idx="285">
                  <c:v>5.397395638283955</c:v>
                </c:pt>
                <c:pt idx="286">
                  <c:v>5.397395638283955</c:v>
                </c:pt>
                <c:pt idx="287">
                  <c:v>5.601531026141191</c:v>
                </c:pt>
                <c:pt idx="288">
                  <c:v>6.7555760597518706</c:v>
                </c:pt>
                <c:pt idx="289">
                  <c:v>6.3287276888245509</c:v>
                </c:pt>
                <c:pt idx="290">
                  <c:v>10.509237101892101</c:v>
                </c:pt>
                <c:pt idx="291">
                  <c:v>10.509237101892101</c:v>
                </c:pt>
                <c:pt idx="292">
                  <c:v>10.509237101892101</c:v>
                </c:pt>
                <c:pt idx="293">
                  <c:v>13.000146192801193</c:v>
                </c:pt>
                <c:pt idx="294">
                  <c:v>13.000146192801193</c:v>
                </c:pt>
                <c:pt idx="295">
                  <c:v>13.000146192801193</c:v>
                </c:pt>
                <c:pt idx="296">
                  <c:v>12.626485197212032</c:v>
                </c:pt>
                <c:pt idx="297">
                  <c:v>12.626485197212032</c:v>
                </c:pt>
                <c:pt idx="298">
                  <c:v>11.78445188873577</c:v>
                </c:pt>
                <c:pt idx="299">
                  <c:v>11.78445188873577</c:v>
                </c:pt>
                <c:pt idx="300">
                  <c:v>11.78445188873577</c:v>
                </c:pt>
                <c:pt idx="301">
                  <c:v>11.78445188873577</c:v>
                </c:pt>
                <c:pt idx="302">
                  <c:v>11.78445188873577</c:v>
                </c:pt>
                <c:pt idx="303">
                  <c:v>12.587078667283746</c:v>
                </c:pt>
                <c:pt idx="304">
                  <c:v>13.192534422440103</c:v>
                </c:pt>
                <c:pt idx="305">
                  <c:v>13.192534422440103</c:v>
                </c:pt>
                <c:pt idx="306">
                  <c:v>13.589378984945132</c:v>
                </c:pt>
                <c:pt idx="307">
                  <c:v>13.589378984945132</c:v>
                </c:pt>
                <c:pt idx="308">
                  <c:v>13.589378984945132</c:v>
                </c:pt>
                <c:pt idx="309">
                  <c:v>13.589378984945132</c:v>
                </c:pt>
                <c:pt idx="310">
                  <c:v>13.589378984945132</c:v>
                </c:pt>
                <c:pt idx="311">
                  <c:v>12.731507656059312</c:v>
                </c:pt>
                <c:pt idx="312">
                  <c:v>12.731507656059312</c:v>
                </c:pt>
                <c:pt idx="313">
                  <c:v>14.202210023152832</c:v>
                </c:pt>
                <c:pt idx="314">
                  <c:v>13.482433000885687</c:v>
                </c:pt>
                <c:pt idx="315">
                  <c:v>7.1127130885940995</c:v>
                </c:pt>
                <c:pt idx="316">
                  <c:v>5.7195739446899099</c:v>
                </c:pt>
                <c:pt idx="317">
                  <c:v>5.7195739446899099</c:v>
                </c:pt>
                <c:pt idx="318">
                  <c:v>4.3465350269146832</c:v>
                </c:pt>
                <c:pt idx="319">
                  <c:v>3.3484303886426803</c:v>
                </c:pt>
                <c:pt idx="320">
                  <c:v>5.7567306344358355</c:v>
                </c:pt>
                <c:pt idx="321">
                  <c:v>4.3936945099084195</c:v>
                </c:pt>
                <c:pt idx="322">
                  <c:v>4.3936945099084195</c:v>
                </c:pt>
                <c:pt idx="323">
                  <c:v>4.3936945099084195</c:v>
                </c:pt>
                <c:pt idx="324">
                  <c:v>5.3807322076132582</c:v>
                </c:pt>
                <c:pt idx="325">
                  <c:v>5.3807322076132582</c:v>
                </c:pt>
                <c:pt idx="326">
                  <c:v>5.3807322076132582</c:v>
                </c:pt>
                <c:pt idx="327">
                  <c:v>5.3807322076132582</c:v>
                </c:pt>
                <c:pt idx="328">
                  <c:v>5.2280012123025115</c:v>
                </c:pt>
                <c:pt idx="329">
                  <c:v>7.8800207418187131</c:v>
                </c:pt>
                <c:pt idx="330">
                  <c:v>7.8800207418187131</c:v>
                </c:pt>
                <c:pt idx="331">
                  <c:v>7.4463404642633355</c:v>
                </c:pt>
                <c:pt idx="332">
                  <c:v>7.4463404642633355</c:v>
                </c:pt>
                <c:pt idx="333">
                  <c:v>7.5880743004436724</c:v>
                </c:pt>
                <c:pt idx="334">
                  <c:v>7.5880743004436724</c:v>
                </c:pt>
                <c:pt idx="335">
                  <c:v>6.6509725686796743</c:v>
                </c:pt>
                <c:pt idx="336">
                  <c:v>5.5794796819517778</c:v>
                </c:pt>
                <c:pt idx="337">
                  <c:v>4.1154669890338518</c:v>
                </c:pt>
                <c:pt idx="338">
                  <c:v>4.1154669890338518</c:v>
                </c:pt>
                <c:pt idx="339">
                  <c:v>4.1154669890338518</c:v>
                </c:pt>
                <c:pt idx="340">
                  <c:v>4.1154669890338518</c:v>
                </c:pt>
                <c:pt idx="341">
                  <c:v>4.1154669890338518</c:v>
                </c:pt>
                <c:pt idx="342">
                  <c:v>4.2108445065566968</c:v>
                </c:pt>
                <c:pt idx="343">
                  <c:v>5.8334643109946835</c:v>
                </c:pt>
                <c:pt idx="344">
                  <c:v>7.9402712762614689</c:v>
                </c:pt>
                <c:pt idx="345">
                  <c:v>7.2343093783177075</c:v>
                </c:pt>
                <c:pt idx="346">
                  <c:v>7.2343093783177075</c:v>
                </c:pt>
                <c:pt idx="347">
                  <c:v>9.0217847234853608</c:v>
                </c:pt>
                <c:pt idx="348">
                  <c:v>9.0217847234853608</c:v>
                </c:pt>
                <c:pt idx="349">
                  <c:v>9.0217847234853608</c:v>
                </c:pt>
                <c:pt idx="350">
                  <c:v>9.0217847234853608</c:v>
                </c:pt>
                <c:pt idx="351">
                  <c:v>8.399217074177546</c:v>
                </c:pt>
                <c:pt idx="352">
                  <c:v>7.9561780962581645</c:v>
                </c:pt>
                <c:pt idx="353">
                  <c:v>7.9561780962581645</c:v>
                </c:pt>
                <c:pt idx="354">
                  <c:v>8.1248641055872337</c:v>
                </c:pt>
                <c:pt idx="355">
                  <c:v>8.1248641055872337</c:v>
                </c:pt>
                <c:pt idx="356">
                  <c:v>9.1189419397665912</c:v>
                </c:pt>
                <c:pt idx="357">
                  <c:v>9.1189419397665912</c:v>
                </c:pt>
                <c:pt idx="358">
                  <c:v>14.18803059059721</c:v>
                </c:pt>
                <c:pt idx="359">
                  <c:v>14.18803059059721</c:v>
                </c:pt>
                <c:pt idx="360">
                  <c:v>14.18803059059721</c:v>
                </c:pt>
                <c:pt idx="361">
                  <c:v>10.566690184599047</c:v>
                </c:pt>
                <c:pt idx="362">
                  <c:v>10.566690184599047</c:v>
                </c:pt>
                <c:pt idx="363">
                  <c:v>10.100069321207314</c:v>
                </c:pt>
                <c:pt idx="364">
                  <c:v>10.573806747771476</c:v>
                </c:pt>
                <c:pt idx="365">
                  <c:v>10.974353836478004</c:v>
                </c:pt>
                <c:pt idx="366">
                  <c:v>10.799974225478675</c:v>
                </c:pt>
                <c:pt idx="367">
                  <c:v>10.409282142360004</c:v>
                </c:pt>
                <c:pt idx="368">
                  <c:v>10.409282142360004</c:v>
                </c:pt>
                <c:pt idx="369">
                  <c:v>12.951313754159058</c:v>
                </c:pt>
                <c:pt idx="370">
                  <c:v>12.951313754159058</c:v>
                </c:pt>
                <c:pt idx="371">
                  <c:v>12.803144363087462</c:v>
                </c:pt>
                <c:pt idx="372">
                  <c:v>10.513500350142477</c:v>
                </c:pt>
                <c:pt idx="373">
                  <c:v>10.513500350142477</c:v>
                </c:pt>
                <c:pt idx="374">
                  <c:v>10.835295803750299</c:v>
                </c:pt>
                <c:pt idx="375">
                  <c:v>11.132769316382733</c:v>
                </c:pt>
                <c:pt idx="376">
                  <c:v>12.860719328399076</c:v>
                </c:pt>
                <c:pt idx="377">
                  <c:v>12.890428181637342</c:v>
                </c:pt>
                <c:pt idx="378">
                  <c:v>12.332463636298737</c:v>
                </c:pt>
                <c:pt idx="379">
                  <c:v>10.919453276761869</c:v>
                </c:pt>
                <c:pt idx="380">
                  <c:v>10.245367874534081</c:v>
                </c:pt>
                <c:pt idx="381">
                  <c:v>9.3294262766559921</c:v>
                </c:pt>
                <c:pt idx="382">
                  <c:v>9.3294262766559921</c:v>
                </c:pt>
                <c:pt idx="383">
                  <c:v>9.3294262766559921</c:v>
                </c:pt>
                <c:pt idx="384">
                  <c:v>7.7157096856322891</c:v>
                </c:pt>
                <c:pt idx="385">
                  <c:v>7.7157096856322891</c:v>
                </c:pt>
                <c:pt idx="386">
                  <c:v>5.1801224970201893</c:v>
                </c:pt>
                <c:pt idx="387">
                  <c:v>5.9737732906709828</c:v>
                </c:pt>
                <c:pt idx="388">
                  <c:v>5.9737732906709828</c:v>
                </c:pt>
                <c:pt idx="389">
                  <c:v>5.9737732906709828</c:v>
                </c:pt>
                <c:pt idx="390">
                  <c:v>5.1901323744139116</c:v>
                </c:pt>
                <c:pt idx="391">
                  <c:v>4.7096412581870029</c:v>
                </c:pt>
                <c:pt idx="392">
                  <c:v>3.5727059528242879</c:v>
                </c:pt>
                <c:pt idx="393">
                  <c:v>0.97726242944979003</c:v>
                </c:pt>
                <c:pt idx="394">
                  <c:v>0.97726242944979003</c:v>
                </c:pt>
                <c:pt idx="395">
                  <c:v>0.97726242944979003</c:v>
                </c:pt>
                <c:pt idx="396">
                  <c:v>3.4588316764218807</c:v>
                </c:pt>
                <c:pt idx="397">
                  <c:v>4.335179904465023</c:v>
                </c:pt>
                <c:pt idx="398">
                  <c:v>6.2759206452057628</c:v>
                </c:pt>
                <c:pt idx="399">
                  <c:v>6.2759206452057628</c:v>
                </c:pt>
                <c:pt idx="400">
                  <c:v>8.2210156230876237</c:v>
                </c:pt>
                <c:pt idx="401">
                  <c:v>8.2210156230876237</c:v>
                </c:pt>
                <c:pt idx="402">
                  <c:v>8.2210156230876237</c:v>
                </c:pt>
                <c:pt idx="403">
                  <c:v>7.6832205827529956</c:v>
                </c:pt>
                <c:pt idx="404">
                  <c:v>6.6272435476904565</c:v>
                </c:pt>
                <c:pt idx="405">
                  <c:v>6.6272435476904565</c:v>
                </c:pt>
                <c:pt idx="406">
                  <c:v>6.6272435476904565</c:v>
                </c:pt>
                <c:pt idx="407">
                  <c:v>6.6272435476904565</c:v>
                </c:pt>
                <c:pt idx="408">
                  <c:v>7.0240689445158528</c:v>
                </c:pt>
                <c:pt idx="409">
                  <c:v>7.0240689445158528</c:v>
                </c:pt>
                <c:pt idx="410">
                  <c:v>7.0240689445158528</c:v>
                </c:pt>
                <c:pt idx="411">
                  <c:v>7.0240689445158528</c:v>
                </c:pt>
                <c:pt idx="412">
                  <c:v>7.5085009458732817</c:v>
                </c:pt>
                <c:pt idx="413">
                  <c:v>7.5085009458732817</c:v>
                </c:pt>
                <c:pt idx="414">
                  <c:v>8.9645043221129939</c:v>
                </c:pt>
                <c:pt idx="415">
                  <c:v>8.9645043221129939</c:v>
                </c:pt>
                <c:pt idx="416">
                  <c:v>8.9645043221129939</c:v>
                </c:pt>
                <c:pt idx="417">
                  <c:v>8.9645043221129939</c:v>
                </c:pt>
                <c:pt idx="418">
                  <c:v>10.405016999739075</c:v>
                </c:pt>
                <c:pt idx="419">
                  <c:v>10.405016999739075</c:v>
                </c:pt>
                <c:pt idx="420">
                  <c:v>10.405016999739075</c:v>
                </c:pt>
                <c:pt idx="421">
                  <c:v>10.405016999739075</c:v>
                </c:pt>
                <c:pt idx="422">
                  <c:v>10.405016999739075</c:v>
                </c:pt>
                <c:pt idx="423">
                  <c:v>10.405016999739075</c:v>
                </c:pt>
                <c:pt idx="424">
                  <c:v>9.4532904651294007</c:v>
                </c:pt>
                <c:pt idx="425">
                  <c:v>9.4532904651294007</c:v>
                </c:pt>
                <c:pt idx="426">
                  <c:v>9.4532904651294007</c:v>
                </c:pt>
                <c:pt idx="427">
                  <c:v>9.4532904651294007</c:v>
                </c:pt>
                <c:pt idx="428">
                  <c:v>9.4532904651294007</c:v>
                </c:pt>
                <c:pt idx="429">
                  <c:v>9.4532904651294007</c:v>
                </c:pt>
                <c:pt idx="430">
                  <c:v>9.4532904651294007</c:v>
                </c:pt>
                <c:pt idx="431">
                  <c:v>9.4532904651294007</c:v>
                </c:pt>
                <c:pt idx="432">
                  <c:v>9.4532904651294007</c:v>
                </c:pt>
                <c:pt idx="433">
                  <c:v>9.4532904651294007</c:v>
                </c:pt>
                <c:pt idx="434">
                  <c:v>8.3787918977941569</c:v>
                </c:pt>
                <c:pt idx="435">
                  <c:v>5.5346228541562414</c:v>
                </c:pt>
                <c:pt idx="436">
                  <c:v>4.9532050072403688</c:v>
                </c:pt>
                <c:pt idx="437">
                  <c:v>6.4472490209694229</c:v>
                </c:pt>
                <c:pt idx="438">
                  <c:v>6.4472490209694229</c:v>
                </c:pt>
                <c:pt idx="439">
                  <c:v>5.107443195726705</c:v>
                </c:pt>
                <c:pt idx="440">
                  <c:v>5.107443195726705</c:v>
                </c:pt>
                <c:pt idx="441">
                  <c:v>5.107443195726705</c:v>
                </c:pt>
                <c:pt idx="442">
                  <c:v>4.9030406800034356</c:v>
                </c:pt>
                <c:pt idx="443">
                  <c:v>4.7245223818778781</c:v>
                </c:pt>
                <c:pt idx="444">
                  <c:v>4.7245223818778781</c:v>
                </c:pt>
              </c:numCache>
            </c:numRef>
          </c:val>
          <c:smooth val="1"/>
          <c:extLst xmlns:c15="http://schemas.microsoft.com/office/drawing/2012/chart">
            <c:ext xmlns:c16="http://schemas.microsoft.com/office/drawing/2014/chart" uri="{C3380CC4-5D6E-409C-BE32-E72D297353CC}">
              <c16:uniqueId val="{00000003-B4C0-4FB1-A775-5F368678E3F3}"/>
            </c:ext>
          </c:extLst>
        </c:ser>
        <c:ser>
          <c:idx val="0"/>
          <c:order val="2"/>
          <c:tx>
            <c:v>Gaps Up from SW Trend</c:v>
          </c:tx>
          <c:spPr>
            <a:ln w="19050" cap="rnd">
              <a:solidFill>
                <a:schemeClr val="accent1">
                  <a:lumMod val="50000"/>
                </a:schemeClr>
              </a:solidFill>
              <a:prstDash val="sysDash"/>
              <a:round/>
            </a:ln>
            <a:effectLst/>
          </c:spPr>
          <c:marker>
            <c:symbol val="none"/>
          </c:marker>
          <c:val>
            <c:numRef>
              <c:f>'2025-Q1'!$FK$4:$FK$448</c:f>
              <c:numCache>
                <c:formatCode>0.00</c:formatCode>
                <c:ptCount val="445"/>
                <c:pt idx="0">
                  <c:v>#N/A</c:v>
                </c:pt>
                <c:pt idx="1">
                  <c:v>#N/A</c:v>
                </c:pt>
                <c:pt idx="2">
                  <c:v>2.0968908170643532</c:v>
                </c:pt>
                <c:pt idx="3">
                  <c:v>#N/A</c:v>
                </c:pt>
                <c:pt idx="4">
                  <c:v>#N/A</c:v>
                </c:pt>
                <c:pt idx="5">
                  <c:v>#N/A</c:v>
                </c:pt>
                <c:pt idx="6">
                  <c:v>1.9828576418893222</c:v>
                </c:pt>
                <c:pt idx="7">
                  <c:v>#N/A</c:v>
                </c:pt>
                <c:pt idx="8">
                  <c:v>2.6281038889264603</c:v>
                </c:pt>
                <c:pt idx="9">
                  <c:v>#N/A</c:v>
                </c:pt>
                <c:pt idx="10">
                  <c:v>#N/A</c:v>
                </c:pt>
                <c:pt idx="11">
                  <c:v>3.0908439520516966</c:v>
                </c:pt>
                <c:pt idx="12">
                  <c:v>#N/A</c:v>
                </c:pt>
                <c:pt idx="13">
                  <c:v>#N/A</c:v>
                </c:pt>
                <c:pt idx="14">
                  <c:v>#N/A</c:v>
                </c:pt>
                <c:pt idx="15">
                  <c:v>#N/A</c:v>
                </c:pt>
                <c:pt idx="16">
                  <c:v>3.3242810351997627</c:v>
                </c:pt>
                <c:pt idx="17">
                  <c:v>#N/A</c:v>
                </c:pt>
                <c:pt idx="18">
                  <c:v>#N/A</c:v>
                </c:pt>
                <c:pt idx="19">
                  <c:v>#N/A</c:v>
                </c:pt>
                <c:pt idx="20">
                  <c:v>3.3341781056669051</c:v>
                </c:pt>
                <c:pt idx="21">
                  <c:v>2.7088382470480896</c:v>
                </c:pt>
                <c:pt idx="22">
                  <c:v>#N/A</c:v>
                </c:pt>
                <c:pt idx="23">
                  <c:v>3.1668934754213418</c:v>
                </c:pt>
                <c:pt idx="24">
                  <c:v>#N/A</c:v>
                </c:pt>
                <c:pt idx="25">
                  <c:v>#N/A</c:v>
                </c:pt>
                <c:pt idx="26">
                  <c:v>3.1330639760979295</c:v>
                </c:pt>
                <c:pt idx="27">
                  <c:v>#N/A</c:v>
                </c:pt>
                <c:pt idx="28">
                  <c:v>2.2890753825922729</c:v>
                </c:pt>
                <c:pt idx="29">
                  <c:v>#N/A</c:v>
                </c:pt>
                <c:pt idx="30">
                  <c:v>#N/A</c:v>
                </c:pt>
                <c:pt idx="31">
                  <c:v>2.2150013085182017</c:v>
                </c:pt>
                <c:pt idx="32">
                  <c:v>1.9717825765534895</c:v>
                </c:pt>
                <c:pt idx="33">
                  <c:v>#N/A</c:v>
                </c:pt>
                <c:pt idx="34">
                  <c:v>#N/A</c:v>
                </c:pt>
                <c:pt idx="35">
                  <c:v>#N/A</c:v>
                </c:pt>
                <c:pt idx="36">
                  <c:v>#N/A</c:v>
                </c:pt>
                <c:pt idx="37">
                  <c:v>1.7083605996342734</c:v>
                </c:pt>
                <c:pt idx="38">
                  <c:v>2.1309274685935908</c:v>
                </c:pt>
                <c:pt idx="39">
                  <c:v>#N/A</c:v>
                </c:pt>
                <c:pt idx="40">
                  <c:v>#N/A</c:v>
                </c:pt>
                <c:pt idx="41">
                  <c:v>#N/A</c:v>
                </c:pt>
                <c:pt idx="42">
                  <c:v>1.6869162058688787</c:v>
                </c:pt>
                <c:pt idx="43">
                  <c:v>#N/A</c:v>
                </c:pt>
                <c:pt idx="44">
                  <c:v>#N/A</c:v>
                </c:pt>
                <c:pt idx="45">
                  <c:v>#N/A</c:v>
                </c:pt>
                <c:pt idx="46">
                  <c:v>1.7858701216166875</c:v>
                </c:pt>
                <c:pt idx="47">
                  <c:v>1.6425486464292174</c:v>
                </c:pt>
                <c:pt idx="48">
                  <c:v>#N/A</c:v>
                </c:pt>
                <c:pt idx="49">
                  <c:v>#N/A</c:v>
                </c:pt>
                <c:pt idx="50">
                  <c:v>#N/A</c:v>
                </c:pt>
                <c:pt idx="51">
                  <c:v>#N/A</c:v>
                </c:pt>
                <c:pt idx="52">
                  <c:v>#N/A</c:v>
                </c:pt>
                <c:pt idx="53">
                  <c:v>#N/A</c:v>
                </c:pt>
                <c:pt idx="54">
                  <c:v>#N/A</c:v>
                </c:pt>
                <c:pt idx="55">
                  <c:v>#N/A</c:v>
                </c:pt>
                <c:pt idx="56">
                  <c:v>#N/A</c:v>
                </c:pt>
                <c:pt idx="57">
                  <c:v>#N/A</c:v>
                </c:pt>
                <c:pt idx="58">
                  <c:v>#N/A</c:v>
                </c:pt>
                <c:pt idx="59">
                  <c:v>1.0181668462313924</c:v>
                </c:pt>
                <c:pt idx="60">
                  <c:v>0.62965333271788015</c:v>
                </c:pt>
                <c:pt idx="61">
                  <c:v>0.25313727247530693</c:v>
                </c:pt>
                <c:pt idx="62">
                  <c:v>#N/A</c:v>
                </c:pt>
                <c:pt idx="63">
                  <c:v>-8.2746110336598511E-2</c:v>
                </c:pt>
                <c:pt idx="64">
                  <c:v>#N/A</c:v>
                </c:pt>
                <c:pt idx="65">
                  <c:v>#N/A</c:v>
                </c:pt>
                <c:pt idx="66">
                  <c:v>#N/A</c:v>
                </c:pt>
                <c:pt idx="67">
                  <c:v>#N/A</c:v>
                </c:pt>
                <c:pt idx="68">
                  <c:v>#N/A</c:v>
                </c:pt>
                <c:pt idx="69">
                  <c:v>#N/A</c:v>
                </c:pt>
                <c:pt idx="70">
                  <c:v>0.47124449999203966</c:v>
                </c:pt>
                <c:pt idx="71">
                  <c:v>#N/A</c:v>
                </c:pt>
                <c:pt idx="72">
                  <c:v>#N/A</c:v>
                </c:pt>
                <c:pt idx="73">
                  <c:v>1.4472429065252528</c:v>
                </c:pt>
                <c:pt idx="74">
                  <c:v>#N/A</c:v>
                </c:pt>
                <c:pt idx="75">
                  <c:v>#N/A</c:v>
                </c:pt>
                <c:pt idx="76">
                  <c:v>1.2324468497286538</c:v>
                </c:pt>
                <c:pt idx="77">
                  <c:v>#N/A</c:v>
                </c:pt>
                <c:pt idx="78">
                  <c:v>#N/A</c:v>
                </c:pt>
                <c:pt idx="79">
                  <c:v>#N/A</c:v>
                </c:pt>
                <c:pt idx="80">
                  <c:v>#N/A</c:v>
                </c:pt>
                <c:pt idx="81">
                  <c:v>0.70401734222495482</c:v>
                </c:pt>
                <c:pt idx="82">
                  <c:v>#N/A</c:v>
                </c:pt>
                <c:pt idx="83">
                  <c:v>#N/A</c:v>
                </c:pt>
                <c:pt idx="84">
                  <c:v>#N/A</c:v>
                </c:pt>
                <c:pt idx="85">
                  <c:v>#N/A</c:v>
                </c:pt>
                <c:pt idx="86">
                  <c:v>#N/A</c:v>
                </c:pt>
                <c:pt idx="87">
                  <c:v>#N/A</c:v>
                </c:pt>
                <c:pt idx="88">
                  <c:v>0.25426149539894666</c:v>
                </c:pt>
                <c:pt idx="89">
                  <c:v>0.85712784423039068</c:v>
                </c:pt>
                <c:pt idx="90">
                  <c:v>1.0744709358249809</c:v>
                </c:pt>
                <c:pt idx="91">
                  <c:v>1.6264473933132493</c:v>
                </c:pt>
                <c:pt idx="92">
                  <c:v>#N/A</c:v>
                </c:pt>
                <c:pt idx="93">
                  <c:v>#N/A</c:v>
                </c:pt>
                <c:pt idx="94">
                  <c:v>#N/A</c:v>
                </c:pt>
                <c:pt idx="95">
                  <c:v>#N/A</c:v>
                </c:pt>
                <c:pt idx="96">
                  <c:v>1.4486342298312942</c:v>
                </c:pt>
                <c:pt idx="97">
                  <c:v>#N/A</c:v>
                </c:pt>
                <c:pt idx="98">
                  <c:v>#N/A</c:v>
                </c:pt>
                <c:pt idx="99">
                  <c:v>#N/A</c:v>
                </c:pt>
                <c:pt idx="100">
                  <c:v>#N/A</c:v>
                </c:pt>
                <c:pt idx="101">
                  <c:v>#N/A</c:v>
                </c:pt>
                <c:pt idx="102">
                  <c:v>1.9220340855235323</c:v>
                </c:pt>
                <c:pt idx="103">
                  <c:v>#N/A</c:v>
                </c:pt>
                <c:pt idx="104">
                  <c:v>#N/A</c:v>
                </c:pt>
                <c:pt idx="105">
                  <c:v>#N/A</c:v>
                </c:pt>
                <c:pt idx="106">
                  <c:v>1.7191249614525834</c:v>
                </c:pt>
                <c:pt idx="107">
                  <c:v>#N/A</c:v>
                </c:pt>
                <c:pt idx="108">
                  <c:v>1.8680294498593066</c:v>
                </c:pt>
                <c:pt idx="109">
                  <c:v>#N/A</c:v>
                </c:pt>
                <c:pt idx="110">
                  <c:v>#N/A</c:v>
                </c:pt>
                <c:pt idx="111">
                  <c:v>2.2307455400351817</c:v>
                </c:pt>
                <c:pt idx="112">
                  <c:v>#N/A</c:v>
                </c:pt>
                <c:pt idx="113">
                  <c:v>2.3722381799625021</c:v>
                </c:pt>
                <c:pt idx="114">
                  <c:v>#N/A</c:v>
                </c:pt>
                <c:pt idx="115">
                  <c:v>1.3601456457879502</c:v>
                </c:pt>
                <c:pt idx="116">
                  <c:v>#N/A</c:v>
                </c:pt>
                <c:pt idx="117">
                  <c:v>#N/A</c:v>
                </c:pt>
                <c:pt idx="118">
                  <c:v>#N/A</c:v>
                </c:pt>
                <c:pt idx="119">
                  <c:v>0.97337358795792606</c:v>
                </c:pt>
                <c:pt idx="120">
                  <c:v>#N/A</c:v>
                </c:pt>
                <c:pt idx="121">
                  <c:v>#N/A</c:v>
                </c:pt>
                <c:pt idx="122">
                  <c:v>#N/A</c:v>
                </c:pt>
                <c:pt idx="123">
                  <c:v>#N/A</c:v>
                </c:pt>
                <c:pt idx="124">
                  <c:v>#N/A</c:v>
                </c:pt>
                <c:pt idx="125">
                  <c:v>#N/A</c:v>
                </c:pt>
                <c:pt idx="126">
                  <c:v>#N/A</c:v>
                </c:pt>
                <c:pt idx="127">
                  <c:v>0.18840789074844688</c:v>
                </c:pt>
                <c:pt idx="128">
                  <c:v>#N/A</c:v>
                </c:pt>
                <c:pt idx="129">
                  <c:v>-0.36964641543179533</c:v>
                </c:pt>
                <c:pt idx="130">
                  <c:v>-0.83411220120733298</c:v>
                </c:pt>
                <c:pt idx="131">
                  <c:v>#N/A</c:v>
                </c:pt>
                <c:pt idx="132">
                  <c:v>#N/A</c:v>
                </c:pt>
                <c:pt idx="133">
                  <c:v>-2.2455877170880494</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-2.0859127583901111</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-1.9657745276289809</c:v>
                </c:pt>
                <c:pt idx="170">
                  <c:v>#N/A</c:v>
                </c:pt>
                <c:pt idx="171">
                  <c:v>#N/A</c:v>
                </c:pt>
                <c:pt idx="172">
                  <c:v>#N/A</c:v>
                </c:pt>
                <c:pt idx="173">
                  <c:v>#N/A</c:v>
                </c:pt>
                <c:pt idx="174">
                  <c:v>-1.3903130726886972</c:v>
                </c:pt>
                <c:pt idx="175">
                  <c:v>#N/A</c:v>
                </c:pt>
                <c:pt idx="176">
                  <c:v>-1.8355947990116959</c:v>
                </c:pt>
                <c:pt idx="177">
                  <c:v>#N/A</c:v>
                </c:pt>
                <c:pt idx="178">
                  <c:v>#N/A</c:v>
                </c:pt>
                <c:pt idx="179">
                  <c:v>#N/A</c:v>
                </c:pt>
                <c:pt idx="180">
                  <c:v>#N/A</c:v>
                </c:pt>
                <c:pt idx="181">
                  <c:v>-2.6126039742050464</c:v>
                </c:pt>
                <c:pt idx="182">
                  <c:v>#N/A</c:v>
                </c:pt>
                <c:pt idx="183">
                  <c:v>#N/A</c:v>
                </c:pt>
                <c:pt idx="184">
                  <c:v>#N/A</c:v>
                </c:pt>
                <c:pt idx="185">
                  <c:v>-1.6253597235188191</c:v>
                </c:pt>
                <c:pt idx="186">
                  <c:v>#N/A</c:v>
                </c:pt>
                <c:pt idx="187">
                  <c:v>#N/A</c:v>
                </c:pt>
                <c:pt idx="188">
                  <c:v>#N/A</c:v>
                </c:pt>
                <c:pt idx="189">
                  <c:v>#N/A</c:v>
                </c:pt>
                <c:pt idx="190">
                  <c:v>#N/A</c:v>
                </c:pt>
                <c:pt idx="191">
                  <c:v>#N/A</c:v>
                </c:pt>
                <c:pt idx="192">
                  <c:v>#N/A</c:v>
                </c:pt>
                <c:pt idx="193">
                  <c:v>#N/A</c:v>
                </c:pt>
                <c:pt idx="194">
                  <c:v>-1.7584402994992099</c:v>
                </c:pt>
                <c:pt idx="195">
                  <c:v>#N/A</c:v>
                </c:pt>
                <c:pt idx="196">
                  <c:v>#N/A</c:v>
                </c:pt>
                <c:pt idx="197">
                  <c:v>#N/A</c:v>
                </c:pt>
                <c:pt idx="198">
                  <c:v>#N/A</c:v>
                </c:pt>
                <c:pt idx="199">
                  <c:v>#N/A</c:v>
                </c:pt>
                <c:pt idx="200">
                  <c:v>#N/A</c:v>
                </c:pt>
                <c:pt idx="201">
                  <c:v>-2.5174870779634637</c:v>
                </c:pt>
                <c:pt idx="202">
                  <c:v>#N/A</c:v>
                </c:pt>
                <c:pt idx="203">
                  <c:v>#N/A</c:v>
                </c:pt>
                <c:pt idx="204">
                  <c:v>#N/A</c:v>
                </c:pt>
                <c:pt idx="205">
                  <c:v>#N/A</c:v>
                </c:pt>
                <c:pt idx="206">
                  <c:v>#N/A</c:v>
                </c:pt>
                <c:pt idx="207">
                  <c:v>-2.7546889583274607</c:v>
                </c:pt>
                <c:pt idx="208">
                  <c:v>#N/A</c:v>
                </c:pt>
                <c:pt idx="209">
                  <c:v>#N/A</c:v>
                </c:pt>
                <c:pt idx="210">
                  <c:v>-4.15765206992908</c:v>
                </c:pt>
                <c:pt idx="211">
                  <c:v>#N/A</c:v>
                </c:pt>
                <c:pt idx="212">
                  <c:v>#N/A</c:v>
                </c:pt>
                <c:pt idx="213">
                  <c:v>#N/A</c:v>
                </c:pt>
                <c:pt idx="214">
                  <c:v>-5.083450369952053</c:v>
                </c:pt>
                <c:pt idx="215">
                  <c:v>#N/A</c:v>
                </c:pt>
                <c:pt idx="216">
                  <c:v>#N/A</c:v>
                </c:pt>
                <c:pt idx="217">
                  <c:v>#N/A</c:v>
                </c:pt>
                <c:pt idx="218">
                  <c:v>#N/A</c:v>
                </c:pt>
                <c:pt idx="219">
                  <c:v>-5.3528664623824973</c:v>
                </c:pt>
                <c:pt idx="220">
                  <c:v>#N/A</c:v>
                </c:pt>
                <c:pt idx="221">
                  <c:v>#N/A</c:v>
                </c:pt>
                <c:pt idx="222">
                  <c:v>#N/A</c:v>
                </c:pt>
                <c:pt idx="223">
                  <c:v>#N/A</c:v>
                </c:pt>
                <c:pt idx="224">
                  <c:v>#N/A</c:v>
                </c:pt>
                <c:pt idx="225">
                  <c:v>-5.0524845698256291</c:v>
                </c:pt>
                <c:pt idx="226">
                  <c:v>#N/A</c:v>
                </c:pt>
                <c:pt idx="227">
                  <c:v>#N/A</c:v>
                </c:pt>
                <c:pt idx="228">
                  <c:v>#N/A</c:v>
                </c:pt>
                <c:pt idx="229">
                  <c:v>#N/A</c:v>
                </c:pt>
                <c:pt idx="230">
                  <c:v>#N/A</c:v>
                </c:pt>
                <c:pt idx="231">
                  <c:v>#N/A</c:v>
                </c:pt>
                <c:pt idx="232">
                  <c:v>-5.7078652252062856</c:v>
                </c:pt>
                <c:pt idx="233">
                  <c:v>-7.1620039276671337</c:v>
                </c:pt>
                <c:pt idx="234">
                  <c:v>#N/A</c:v>
                </c:pt>
                <c:pt idx="235">
                  <c:v>#N/A</c:v>
                </c:pt>
                <c:pt idx="236">
                  <c:v>#N/A</c:v>
                </c:pt>
                <c:pt idx="237">
                  <c:v>#N/A</c:v>
                </c:pt>
                <c:pt idx="238">
                  <c:v>#N/A</c:v>
                </c:pt>
                <c:pt idx="239">
                  <c:v>#N/A</c:v>
                </c:pt>
                <c:pt idx="240">
                  <c:v>#N/A</c:v>
                </c:pt>
                <c:pt idx="241">
                  <c:v>#N/A</c:v>
                </c:pt>
                <c:pt idx="242">
                  <c:v>#N/A</c:v>
                </c:pt>
                <c:pt idx="243">
                  <c:v>#N/A</c:v>
                </c:pt>
                <c:pt idx="244">
                  <c:v>#N/A</c:v>
                </c:pt>
                <c:pt idx="245">
                  <c:v>-6.4915277371909417</c:v>
                </c:pt>
                <c:pt idx="246">
                  <c:v>#N/A</c:v>
                </c:pt>
                <c:pt idx="247">
                  <c:v>-7.1518989729126439</c:v>
                </c:pt>
                <c:pt idx="248">
                  <c:v>#N/A</c:v>
                </c:pt>
                <c:pt idx="249">
                  <c:v>#N/A</c:v>
                </c:pt>
                <c:pt idx="250">
                  <c:v>#N/A</c:v>
                </c:pt>
                <c:pt idx="251">
                  <c:v>#N/A</c:v>
                </c:pt>
                <c:pt idx="252">
                  <c:v>#N/A</c:v>
                </c:pt>
                <c:pt idx="253">
                  <c:v>#N/A</c:v>
                </c:pt>
                <c:pt idx="254">
                  <c:v>#N/A</c:v>
                </c:pt>
                <c:pt idx="255">
                  <c:v>-7.565369404336395</c:v>
                </c:pt>
                <c:pt idx="256">
                  <c:v>#N/A</c:v>
                </c:pt>
                <c:pt idx="257">
                  <c:v>#N/A</c:v>
                </c:pt>
                <c:pt idx="258">
                  <c:v>#N/A</c:v>
                </c:pt>
                <c:pt idx="259">
                  <c:v>#N/A</c:v>
                </c:pt>
                <c:pt idx="260">
                  <c:v>#N/A</c:v>
                </c:pt>
                <c:pt idx="261">
                  <c:v>#N/A</c:v>
                </c:pt>
                <c:pt idx="262">
                  <c:v>-6.5849236975415497</c:v>
                </c:pt>
                <c:pt idx="263">
                  <c:v>-5.7388552050817738</c:v>
                </c:pt>
                <c:pt idx="264">
                  <c:v>-6.3339266480379282</c:v>
                </c:pt>
                <c:pt idx="265">
                  <c:v>-5.5950960285791567</c:v>
                </c:pt>
                <c:pt idx="266">
                  <c:v>-5.7159293619124893</c:v>
                </c:pt>
                <c:pt idx="267">
                  <c:v>#N/A</c:v>
                </c:pt>
                <c:pt idx="268">
                  <c:v>#N/A</c:v>
                </c:pt>
                <c:pt idx="269">
                  <c:v>#N/A</c:v>
                </c:pt>
                <c:pt idx="270">
                  <c:v>-5.3676452980320928</c:v>
                </c:pt>
                <c:pt idx="271">
                  <c:v>#N/A</c:v>
                </c:pt>
                <c:pt idx="272">
                  <c:v>#N/A</c:v>
                </c:pt>
                <c:pt idx="273">
                  <c:v>#N/A</c:v>
                </c:pt>
                <c:pt idx="274">
                  <c:v>#N/A</c:v>
                </c:pt>
                <c:pt idx="275">
                  <c:v>#N/A</c:v>
                </c:pt>
                <c:pt idx="276">
                  <c:v>-5.3418255200821836</c:v>
                </c:pt>
                <c:pt idx="277">
                  <c:v>-5.3253302745941191</c:v>
                </c:pt>
                <c:pt idx="278">
                  <c:v>#N/A</c:v>
                </c:pt>
                <c:pt idx="279">
                  <c:v>-5.7495529847402249</c:v>
                </c:pt>
                <c:pt idx="280">
                  <c:v>#N/A</c:v>
                </c:pt>
                <c:pt idx="281">
                  <c:v>#N/A</c:v>
                </c:pt>
                <c:pt idx="282">
                  <c:v>#N/A</c:v>
                </c:pt>
                <c:pt idx="283">
                  <c:v>#N/A</c:v>
                </c:pt>
                <c:pt idx="284">
                  <c:v>#N/A</c:v>
                </c:pt>
                <c:pt idx="285">
                  <c:v>-5.6185054639015215</c:v>
                </c:pt>
                <c:pt idx="286">
                  <c:v>#N/A</c:v>
                </c:pt>
                <c:pt idx="287">
                  <c:v>#N/A</c:v>
                </c:pt>
                <c:pt idx="288">
                  <c:v>-5.1907331703839192</c:v>
                </c:pt>
                <c:pt idx="289">
                  <c:v>#N/A</c:v>
                </c:pt>
                <c:pt idx="290">
                  <c:v>-2.6159823398191362</c:v>
                </c:pt>
                <c:pt idx="291">
                  <c:v>#N/A</c:v>
                </c:pt>
                <c:pt idx="292">
                  <c:v>#N/A</c:v>
                </c:pt>
                <c:pt idx="293">
                  <c:v>-1.825073248910045</c:v>
                </c:pt>
                <c:pt idx="294">
                  <c:v>#N/A</c:v>
                </c:pt>
                <c:pt idx="295">
                  <c:v>#N/A</c:v>
                </c:pt>
                <c:pt idx="296">
                  <c:v>#N/A</c:v>
                </c:pt>
                <c:pt idx="297">
                  <c:v>#N/A</c:v>
                </c:pt>
                <c:pt idx="298">
                  <c:v>#N/A</c:v>
                </c:pt>
                <c:pt idx="299">
                  <c:v>#N/A</c:v>
                </c:pt>
                <c:pt idx="300">
                  <c:v>#N/A</c:v>
                </c:pt>
                <c:pt idx="301">
                  <c:v>#N/A</c:v>
                </c:pt>
                <c:pt idx="302">
                  <c:v>#N/A</c:v>
                </c:pt>
                <c:pt idx="303">
                  <c:v>#N/A</c:v>
                </c:pt>
                <c:pt idx="304">
                  <c:v>-1.3759714525028575</c:v>
                </c:pt>
                <c:pt idx="305">
                  <c:v>#N/A</c:v>
                </c:pt>
                <c:pt idx="306">
                  <c:v>-1.6826606580087742</c:v>
                </c:pt>
                <c:pt idx="307">
                  <c:v>#N/A</c:v>
                </c:pt>
                <c:pt idx="308">
                  <c:v>#N/A</c:v>
                </c:pt>
                <c:pt idx="309">
                  <c:v>#N/A</c:v>
                </c:pt>
                <c:pt idx="310">
                  <c:v>#N/A</c:v>
                </c:pt>
                <c:pt idx="311">
                  <c:v>#N/A</c:v>
                </c:pt>
                <c:pt idx="312">
                  <c:v>#N/A</c:v>
                </c:pt>
                <c:pt idx="313">
                  <c:v>-1.0074569327468406</c:v>
                </c:pt>
                <c:pt idx="314">
                  <c:v>#N/A</c:v>
                </c:pt>
                <c:pt idx="315">
                  <c:v>#N/A</c:v>
                </c:pt>
                <c:pt idx="316">
                  <c:v>#N/A</c:v>
                </c:pt>
                <c:pt idx="317">
                  <c:v>#N/A</c:v>
                </c:pt>
                <c:pt idx="318">
                  <c:v>#N/A</c:v>
                </c:pt>
                <c:pt idx="319">
                  <c:v>-2.184369281207307</c:v>
                </c:pt>
                <c:pt idx="320">
                  <c:v>-1.8020900223682075</c:v>
                </c:pt>
                <c:pt idx="321">
                  <c:v>#N/A</c:v>
                </c:pt>
                <c:pt idx="322">
                  <c:v>#N/A</c:v>
                </c:pt>
                <c:pt idx="323">
                  <c:v>#N/A</c:v>
                </c:pt>
                <c:pt idx="324">
                  <c:v>-1.1995609860182679</c:v>
                </c:pt>
                <c:pt idx="325">
                  <c:v>#N/A</c:v>
                </c:pt>
                <c:pt idx="326">
                  <c:v>#N/A</c:v>
                </c:pt>
                <c:pt idx="327">
                  <c:v>#N/A</c:v>
                </c:pt>
                <c:pt idx="328">
                  <c:v>#N/A</c:v>
                </c:pt>
                <c:pt idx="329">
                  <c:v>0.1319969367513727</c:v>
                </c:pt>
                <c:pt idx="330">
                  <c:v>#N/A</c:v>
                </c:pt>
                <c:pt idx="331">
                  <c:v>#N/A</c:v>
                </c:pt>
                <c:pt idx="332">
                  <c:v>#N/A</c:v>
                </c:pt>
                <c:pt idx="333">
                  <c:v>-0.32340004123674548</c:v>
                </c:pt>
                <c:pt idx="334">
                  <c:v>#N/A</c:v>
                </c:pt>
                <c:pt idx="335">
                  <c:v>#N/A</c:v>
                </c:pt>
                <c:pt idx="336">
                  <c:v>#N/A</c:v>
                </c:pt>
                <c:pt idx="337">
                  <c:v>#N/A</c:v>
                </c:pt>
                <c:pt idx="338">
                  <c:v>#N/A</c:v>
                </c:pt>
                <c:pt idx="339">
                  <c:v>#N/A</c:v>
                </c:pt>
                <c:pt idx="340">
                  <c:v>#N/A</c:v>
                </c:pt>
                <c:pt idx="341">
                  <c:v>#N/A</c:v>
                </c:pt>
                <c:pt idx="342">
                  <c:v>-0.40103290433673833</c:v>
                </c:pt>
                <c:pt idx="343">
                  <c:v>0.4799043402368689</c:v>
                </c:pt>
                <c:pt idx="344">
                  <c:v>0.78486755841360856</c:v>
                </c:pt>
                <c:pt idx="345">
                  <c:v>#N/A</c:v>
                </c:pt>
                <c:pt idx="346">
                  <c:v>#N/A</c:v>
                </c:pt>
                <c:pt idx="347">
                  <c:v>-0.34309102146804726</c:v>
                </c:pt>
                <c:pt idx="348">
                  <c:v>#N/A</c:v>
                </c:pt>
                <c:pt idx="349">
                  <c:v>#N/A</c:v>
                </c:pt>
                <c:pt idx="350">
                  <c:v>#N/A</c:v>
                </c:pt>
                <c:pt idx="351">
                  <c:v>-1.8507204710292253</c:v>
                </c:pt>
                <c:pt idx="352">
                  <c:v>#N/A</c:v>
                </c:pt>
                <c:pt idx="353">
                  <c:v>#N/A</c:v>
                </c:pt>
                <c:pt idx="354">
                  <c:v>-2.514218774390232</c:v>
                </c:pt>
                <c:pt idx="355">
                  <c:v>#N/A</c:v>
                </c:pt>
                <c:pt idx="356">
                  <c:v>-2.0362153902954772</c:v>
                </c:pt>
                <c:pt idx="357">
                  <c:v>#N/A</c:v>
                </c:pt>
                <c:pt idx="358">
                  <c:v>0.54102416877920145</c:v>
                </c:pt>
                <c:pt idx="359">
                  <c:v>#N/A</c:v>
                </c:pt>
                <c:pt idx="360">
                  <c:v>#N/A</c:v>
                </c:pt>
                <c:pt idx="361">
                  <c:v>#N/A</c:v>
                </c:pt>
                <c:pt idx="362">
                  <c:v>#N/A</c:v>
                </c:pt>
                <c:pt idx="363">
                  <c:v>-7.1594633465157709E-2</c:v>
                </c:pt>
                <c:pt idx="364">
                  <c:v>0.28970097520245125</c:v>
                </c:pt>
                <c:pt idx="365">
                  <c:v>0.29947041639041339</c:v>
                </c:pt>
                <c:pt idx="366">
                  <c:v>-2.34044880073353E-3</c:v>
                </c:pt>
                <c:pt idx="367">
                  <c:v>-1.0198571927471547</c:v>
                </c:pt>
                <c:pt idx="368">
                  <c:v>#N/A</c:v>
                </c:pt>
                <c:pt idx="369">
                  <c:v>-1.4410122650650212</c:v>
                </c:pt>
                <c:pt idx="370">
                  <c:v>#N/A</c:v>
                </c:pt>
                <c:pt idx="371">
                  <c:v>-2.0289101715749149</c:v>
                </c:pt>
                <c:pt idx="372">
                  <c:v>#N/A</c:v>
                </c:pt>
                <c:pt idx="373">
                  <c:v>#N/A</c:v>
                </c:pt>
                <c:pt idx="374">
                  <c:v>-2.3630823733984223</c:v>
                </c:pt>
                <c:pt idx="375">
                  <c:v>-2.4975567010267854</c:v>
                </c:pt>
                <c:pt idx="376">
                  <c:v>-3.3050548985754524</c:v>
                </c:pt>
                <c:pt idx="377">
                  <c:v>#N/A</c:v>
                </c:pt>
                <c:pt idx="378">
                  <c:v>-4.2541260204561659</c:v>
                </c:pt>
                <c:pt idx="379">
                  <c:v>-6.1394093842587232</c:v>
                </c:pt>
                <c:pt idx="380">
                  <c:v>#N/A</c:v>
                </c:pt>
                <c:pt idx="381">
                  <c:v>#N/A</c:v>
                </c:pt>
                <c:pt idx="382">
                  <c:v>#N/A</c:v>
                </c:pt>
                <c:pt idx="383">
                  <c:v>#N/A</c:v>
                </c:pt>
                <c:pt idx="384">
                  <c:v>#N/A</c:v>
                </c:pt>
                <c:pt idx="385">
                  <c:v>#N/A</c:v>
                </c:pt>
                <c:pt idx="386">
                  <c:v>#N/A</c:v>
                </c:pt>
                <c:pt idx="387">
                  <c:v>-6.5838538287031678</c:v>
                </c:pt>
                <c:pt idx="388">
                  <c:v>#N/A</c:v>
                </c:pt>
                <c:pt idx="389">
                  <c:v>#N/A</c:v>
                </c:pt>
                <c:pt idx="390">
                  <c:v>#N/A</c:v>
                </c:pt>
                <c:pt idx="391">
                  <c:v>#N/A</c:v>
                </c:pt>
                <c:pt idx="392">
                  <c:v>#N/A</c:v>
                </c:pt>
                <c:pt idx="393">
                  <c:v>#N/A</c:v>
                </c:pt>
                <c:pt idx="394">
                  <c:v>#N/A</c:v>
                </c:pt>
                <c:pt idx="395">
                  <c:v>#N/A</c:v>
                </c:pt>
                <c:pt idx="396">
                  <c:v>-6.030931237865885</c:v>
                </c:pt>
                <c:pt idx="397">
                  <c:v>-6.1432835747944932</c:v>
                </c:pt>
                <c:pt idx="398">
                  <c:v>#N/A</c:v>
                </c:pt>
                <c:pt idx="399">
                  <c:v>#N/A</c:v>
                </c:pt>
                <c:pt idx="400">
                  <c:v>#N/A</c:v>
                </c:pt>
                <c:pt idx="401">
                  <c:v>#N/A</c:v>
                </c:pt>
                <c:pt idx="402">
                  <c:v>#N/A</c:v>
                </c:pt>
                <c:pt idx="403">
                  <c:v>#N/A</c:v>
                </c:pt>
                <c:pt idx="404">
                  <c:v>#N/A</c:v>
                </c:pt>
                <c:pt idx="405">
                  <c:v>#N/A</c:v>
                </c:pt>
                <c:pt idx="406">
                  <c:v>#N/A</c:v>
                </c:pt>
                <c:pt idx="407">
                  <c:v>#N/A</c:v>
                </c:pt>
                <c:pt idx="408">
                  <c:v>-7.1445045760154944</c:v>
                </c:pt>
                <c:pt idx="409">
                  <c:v>#N/A</c:v>
                </c:pt>
                <c:pt idx="410">
                  <c:v>#N/A</c:v>
                </c:pt>
                <c:pt idx="411">
                  <c:v>#N/A</c:v>
                </c:pt>
                <c:pt idx="412">
                  <c:v>-7.0214876930087922</c:v>
                </c:pt>
                <c:pt idx="413">
                  <c:v>#N/A</c:v>
                </c:pt>
                <c:pt idx="414">
                  <c:v>-7.7916923775414002</c:v>
                </c:pt>
                <c:pt idx="415">
                  <c:v>#N/A</c:v>
                </c:pt>
                <c:pt idx="416">
                  <c:v>#N/A</c:v>
                </c:pt>
                <c:pt idx="417">
                  <c:v>#N/A</c:v>
                </c:pt>
                <c:pt idx="418">
                  <c:v>-7.1201961390348512</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-8.2902056901332273</c:v>
                </c:pt>
                <c:pt idx="435">
                  <c:v>#N/A</c:v>
                </c:pt>
                <c:pt idx="436">
                  <c:v>#N/A</c:v>
                </c:pt>
                <c:pt idx="437">
                  <c:v>-8.0403571135129948</c:v>
                </c:pt>
                <c:pt idx="438">
                  <c:v>#N/A</c:v>
                </c:pt>
                <c:pt idx="439">
                  <c:v>#N/A</c:v>
                </c:pt>
                <c:pt idx="440">
                  <c:v>#N/A</c:v>
                </c:pt>
                <c:pt idx="441">
                  <c:v>#N/A</c:v>
                </c:pt>
                <c:pt idx="442">
                  <c:v>#N/A</c:v>
                </c:pt>
                <c:pt idx="443">
                  <c:v>-8.6354181072648561</c:v>
                </c:pt>
                <c:pt idx="444">
                  <c:v>#N/A</c:v>
                </c:pt>
              </c:numCache>
            </c:numRef>
          </c:val>
          <c:smooth val="0"/>
          <c:extLst>
            <c:ext xmlns:c16="http://schemas.microsoft.com/office/drawing/2014/chart" uri="{C3380CC4-5D6E-409C-BE32-E72D297353CC}">
              <c16:uniqueId val="{00000004-B4C0-4FB1-A775-5F368678E3F3}"/>
            </c:ext>
          </c:extLst>
        </c:ser>
        <c:ser>
          <c:idx val="1"/>
          <c:order val="3"/>
          <c:tx>
            <c:v>Gaps Down from SW Trend</c:v>
          </c:tx>
          <c:spPr>
            <a:ln w="19050" cap="rnd">
              <a:solidFill>
                <a:schemeClr val="tx2">
                  <a:lumMod val="75000"/>
                  <a:lumOff val="25000"/>
                </a:schemeClr>
              </a:solidFill>
              <a:prstDash val="sysDash"/>
              <a:round/>
            </a:ln>
            <a:effectLst/>
          </c:spPr>
          <c:marker>
            <c:symbol val="none"/>
          </c:marker>
          <c:val>
            <c:numRef>
              <c:f>'2025-Q1'!$FM$4:$FM$448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-0.22824919441460878</c:v>
                </c:pt>
                <c:pt idx="16">
                  <c:v>#N/A</c:v>
                </c:pt>
                <c:pt idx="17">
                  <c:v>#N/A</c:v>
                </c:pt>
                <c:pt idx="18">
                  <c:v>#N/A</c:v>
                </c:pt>
                <c:pt idx="19">
                  <c:v>#N/A</c:v>
                </c:pt>
                <c:pt idx="20">
                  <c:v>#N/A</c:v>
                </c:pt>
                <c:pt idx="21">
                  <c:v>#N/A</c:v>
                </c:pt>
                <c:pt idx="22">
                  <c:v>0.21690750074208637</c:v>
                </c:pt>
                <c:pt idx="23">
                  <c:v>#N/A</c:v>
                </c:pt>
                <c:pt idx="24">
                  <c:v>#N/A</c:v>
                </c:pt>
                <c:pt idx="25">
                  <c:v>#N/A</c:v>
                </c:pt>
                <c:pt idx="26">
                  <c:v>#N/A</c:v>
                </c:pt>
                <c:pt idx="27">
                  <c:v>0.39905686321931705</c:v>
                </c:pt>
                <c:pt idx="28">
                  <c:v>#N/A</c:v>
                </c:pt>
                <c:pt idx="29">
                  <c:v>#N/A</c:v>
                </c:pt>
                <c:pt idx="30">
                  <c:v>#N/A</c:v>
                </c:pt>
                <c:pt idx="31">
                  <c:v>#N/A</c:v>
                </c:pt>
                <c:pt idx="32">
                  <c:v>#N/A</c:v>
                </c:pt>
                <c:pt idx="33">
                  <c:v>#N/A</c:v>
                </c:pt>
                <c:pt idx="34">
                  <c:v>0.91993479226575436</c:v>
                </c:pt>
                <c:pt idx="35">
                  <c:v>#N/A</c:v>
                </c:pt>
                <c:pt idx="36">
                  <c:v>#N/A</c:v>
                </c:pt>
                <c:pt idx="37">
                  <c:v>#N/A</c:v>
                </c:pt>
                <c:pt idx="38">
                  <c:v>#N/A</c:v>
                </c:pt>
                <c:pt idx="39">
                  <c:v>#N/A</c:v>
                </c:pt>
                <c:pt idx="40">
                  <c:v>#N/A</c:v>
                </c:pt>
                <c:pt idx="41">
                  <c:v>1.0471925919373439</c:v>
                </c:pt>
                <c:pt idx="42">
                  <c:v>#N/A</c:v>
                </c:pt>
                <c:pt idx="43">
                  <c:v>#N/A</c:v>
                </c:pt>
                <c:pt idx="44">
                  <c:v>1.2329956136098448</c:v>
                </c:pt>
                <c:pt idx="45">
                  <c:v>#N/A</c:v>
                </c:pt>
                <c:pt idx="46">
                  <c:v>#N/A</c:v>
                </c:pt>
                <c:pt idx="47">
                  <c:v>#N/A</c:v>
                </c:pt>
                <c:pt idx="48">
                  <c:v>#N/A</c:v>
                </c:pt>
                <c:pt idx="49">
                  <c:v>#N/A</c:v>
                </c:pt>
                <c:pt idx="50">
                  <c:v>1.7472865293207511</c:v>
                </c:pt>
                <c:pt idx="51">
                  <c:v>#N/A</c:v>
                </c:pt>
                <c:pt idx="52">
                  <c:v>1.3750884002809896</c:v>
                </c:pt>
                <c:pt idx="53">
                  <c:v>1.6918887170813077</c:v>
                </c:pt>
                <c:pt idx="54">
                  <c:v>#N/A</c:v>
                </c:pt>
                <c:pt idx="55">
                  <c:v>#N/A</c:v>
                </c:pt>
                <c:pt idx="56">
                  <c:v>1.135581856987872</c:v>
                </c:pt>
                <c:pt idx="57">
                  <c:v>#N/A</c:v>
                </c:pt>
                <c:pt idx="58">
                  <c:v>#N/A</c:v>
                </c:pt>
                <c:pt idx="59">
                  <c:v>#N/A</c:v>
                </c:pt>
                <c:pt idx="60">
                  <c:v>#N/A</c:v>
                </c:pt>
                <c:pt idx="61">
                  <c:v>#N/A</c:v>
                </c:pt>
                <c:pt idx="62">
                  <c:v>#N/A</c:v>
                </c:pt>
                <c:pt idx="63">
                  <c:v>#N/A</c:v>
                </c:pt>
                <c:pt idx="64">
                  <c:v>#N/A</c:v>
                </c:pt>
                <c:pt idx="65">
                  <c:v>#N/A</c:v>
                </c:pt>
                <c:pt idx="66">
                  <c:v>#N/A</c:v>
                </c:pt>
                <c:pt idx="67">
                  <c:v>#N/A</c:v>
                </c:pt>
                <c:pt idx="68">
                  <c:v>0.80597824869573809</c:v>
                </c:pt>
                <c:pt idx="69">
                  <c:v>#N/A</c:v>
                </c:pt>
                <c:pt idx="70">
                  <c:v>#N/A</c:v>
                </c:pt>
                <c:pt idx="71">
                  <c:v>0.64021841065954899</c:v>
                </c:pt>
                <c:pt idx="72">
                  <c:v>#N/A</c:v>
                </c:pt>
                <c:pt idx="73">
                  <c:v>#N/A</c:v>
                </c:pt>
                <c:pt idx="74">
                  <c:v>0.29207865142126277</c:v>
                </c:pt>
                <c:pt idx="75">
                  <c:v>#N/A</c:v>
                </c:pt>
                <c:pt idx="76">
                  <c:v>#N/A</c:v>
                </c:pt>
                <c:pt idx="77">
                  <c:v>-0.46714773119117681</c:v>
                </c:pt>
                <c:pt idx="78">
                  <c:v>7.5598647098969352E-2</c:v>
                </c:pt>
                <c:pt idx="79">
                  <c:v>#N/A</c:v>
                </c:pt>
                <c:pt idx="80">
                  <c:v>#N/A</c:v>
                </c:pt>
                <c:pt idx="81">
                  <c:v>#N/A</c:v>
                </c:pt>
                <c:pt idx="82">
                  <c:v>#N/A</c:v>
                </c:pt>
                <c:pt idx="83">
                  <c:v>0.20888601926948597</c:v>
                </c:pt>
                <c:pt idx="84">
                  <c:v>#N/A</c:v>
                </c:pt>
                <c:pt idx="85">
                  <c:v>0.30971700567468963</c:v>
                </c:pt>
                <c:pt idx="86">
                  <c:v>0.16728940637100342</c:v>
                </c:pt>
                <c:pt idx="87">
                  <c:v>#N/A</c:v>
                </c:pt>
                <c:pt idx="88">
                  <c:v>#N/A</c:v>
                </c:pt>
                <c:pt idx="89">
                  <c:v>#N/A</c:v>
                </c:pt>
                <c:pt idx="90">
                  <c:v>#N/A</c:v>
                </c:pt>
                <c:pt idx="91">
                  <c:v>#N/A</c:v>
                </c:pt>
                <c:pt idx="92">
                  <c:v>#N/A</c:v>
                </c:pt>
                <c:pt idx="93">
                  <c:v>#N/A</c:v>
                </c:pt>
                <c:pt idx="94">
                  <c:v>#N/A</c:v>
                </c:pt>
                <c:pt idx="95">
                  <c:v>#N/A</c:v>
                </c:pt>
                <c:pt idx="96">
                  <c:v>#N/A</c:v>
                </c:pt>
                <c:pt idx="97">
                  <c:v>1.9534426222661287</c:v>
                </c:pt>
                <c:pt idx="98">
                  <c:v>2.0831563255923591</c:v>
                </c:pt>
                <c:pt idx="99">
                  <c:v>#N/A</c:v>
                </c:pt>
                <c:pt idx="100">
                  <c:v>#N/A</c:v>
                </c:pt>
                <c:pt idx="101">
                  <c:v>#N/A</c:v>
                </c:pt>
                <c:pt idx="102">
                  <c:v>#N/A</c:v>
                </c:pt>
                <c:pt idx="103">
                  <c:v>2.1458846694793134</c:v>
                </c:pt>
                <c:pt idx="104">
                  <c:v>#N/A</c:v>
                </c:pt>
                <c:pt idx="105">
                  <c:v>1.8346346694793145</c:v>
                </c:pt>
                <c:pt idx="106">
                  <c:v>#N/A</c:v>
                </c:pt>
                <c:pt idx="107">
                  <c:v>1.9992124641368649</c:v>
                </c:pt>
                <c:pt idx="108">
                  <c:v>#N/A</c:v>
                </c:pt>
                <c:pt idx="109">
                  <c:v>2.1507692406936409</c:v>
                </c:pt>
                <c:pt idx="110">
                  <c:v>#N/A</c:v>
                </c:pt>
                <c:pt idx="111">
                  <c:v>#N/A</c:v>
                </c:pt>
                <c:pt idx="112">
                  <c:v>#N/A</c:v>
                </c:pt>
                <c:pt idx="113">
                  <c:v>#N/A</c:v>
                </c:pt>
                <c:pt idx="114">
                  <c:v>#N/A</c:v>
                </c:pt>
                <c:pt idx="115">
                  <c:v>#N/A</c:v>
                </c:pt>
                <c:pt idx="116">
                  <c:v>#N/A</c:v>
                </c:pt>
                <c:pt idx="117">
                  <c:v>#N/A</c:v>
                </c:pt>
                <c:pt idx="118">
                  <c:v>2.2236859073603075</c:v>
                </c:pt>
                <c:pt idx="119">
                  <c:v>#N/A</c:v>
                </c:pt>
                <c:pt idx="120">
                  <c:v>#N/A</c:v>
                </c:pt>
                <c:pt idx="121">
                  <c:v>2.7526039250675605</c:v>
                </c:pt>
                <c:pt idx="122">
                  <c:v>2.7368061367579246</c:v>
                </c:pt>
                <c:pt idx="123">
                  <c:v>3.8272590446323456</c:v>
                </c:pt>
                <c:pt idx="124">
                  <c:v>#N/A</c:v>
                </c:pt>
                <c:pt idx="125">
                  <c:v>#N/A</c:v>
                </c:pt>
                <c:pt idx="126">
                  <c:v>#N/A</c:v>
                </c:pt>
                <c:pt idx="127">
                  <c:v>#N/A</c:v>
                </c:pt>
                <c:pt idx="128">
                  <c:v>#N/A</c:v>
                </c:pt>
                <c:pt idx="129">
                  <c:v>#N/A</c:v>
                </c:pt>
                <c:pt idx="130">
                  <c:v>#N/A</c:v>
                </c:pt>
                <c:pt idx="131">
                  <c:v>4.0290225243278055</c:v>
                </c:pt>
                <c:pt idx="132">
                  <c:v>#N/A</c:v>
                </c:pt>
                <c:pt idx="133">
                  <c:v>#N/A</c:v>
                </c:pt>
                <c:pt idx="134">
                  <c:v>4.8414969977509914</c:v>
                </c:pt>
                <c:pt idx="135">
                  <c:v>#N/A</c:v>
                </c:pt>
                <c:pt idx="136">
                  <c:v>#N/A</c:v>
                </c:pt>
                <c:pt idx="137">
                  <c:v>5.0183823808034598</c:v>
                </c:pt>
                <c:pt idx="138">
                  <c:v>#N/A</c:v>
                </c:pt>
                <c:pt idx="139">
                  <c:v>#N/A</c:v>
                </c:pt>
                <c:pt idx="140">
                  <c:v>#N/A</c:v>
                </c:pt>
                <c:pt idx="141">
                  <c:v>4.5326710996824442</c:v>
                </c:pt>
                <c:pt idx="142">
                  <c:v>#N/A</c:v>
                </c:pt>
                <c:pt idx="143">
                  <c:v>#N/A</c:v>
                </c:pt>
                <c:pt idx="144">
                  <c:v>4.0454227202897464</c:v>
                </c:pt>
                <c:pt idx="145">
                  <c:v>4.2706341744831642</c:v>
                </c:pt>
                <c:pt idx="146">
                  <c:v>4.2603336684148214</c:v>
                </c:pt>
                <c:pt idx="147">
                  <c:v>#N/A</c:v>
                </c:pt>
                <c:pt idx="148">
                  <c:v>#N/A</c:v>
                </c:pt>
                <c:pt idx="149">
                  <c:v>4.2672900151191397</c:v>
                </c:pt>
                <c:pt idx="150">
                  <c:v>#N/A</c:v>
                </c:pt>
                <c:pt idx="151">
                  <c:v>4.0370186683429381</c:v>
                </c:pt>
                <c:pt idx="152">
                  <c:v>#N/A</c:v>
                </c:pt>
                <c:pt idx="153">
                  <c:v>#N/A</c:v>
                </c:pt>
                <c:pt idx="154">
                  <c:v>4.1237420994372309</c:v>
                </c:pt>
                <c:pt idx="155">
                  <c:v>#N/A</c:v>
                </c:pt>
                <c:pt idx="156">
                  <c:v>#N/A</c:v>
                </c:pt>
                <c:pt idx="157">
                  <c:v>#N/A</c:v>
                </c:pt>
                <c:pt idx="158">
                  <c:v>#N/A</c:v>
                </c:pt>
                <c:pt idx="159">
                  <c:v>#N/A</c:v>
                </c:pt>
                <c:pt idx="160">
                  <c:v>3.5197866607089794</c:v>
                </c:pt>
                <c:pt idx="161">
                  <c:v>3.5593692096320471</c:v>
                </c:pt>
                <c:pt idx="162">
                  <c:v>#N/A</c:v>
                </c:pt>
                <c:pt idx="163">
                  <c:v>#N/A</c:v>
                </c:pt>
                <c:pt idx="164">
                  <c:v>3.4130587770620728</c:v>
                </c:pt>
                <c:pt idx="165">
                  <c:v>#N/A</c:v>
                </c:pt>
                <c:pt idx="166">
                  <c:v>#N/A</c:v>
                </c:pt>
                <c:pt idx="167">
                  <c:v>#N/A</c:v>
                </c:pt>
                <c:pt idx="168">
                  <c:v>#N/A</c:v>
                </c:pt>
                <c:pt idx="169">
                  <c:v>#N/A</c:v>
                </c:pt>
                <c:pt idx="170">
                  <c:v>3.8203796916332999</c:v>
                </c:pt>
                <c:pt idx="171">
                  <c:v>#N/A</c:v>
                </c:pt>
                <c:pt idx="172">
                  <c:v>#N/A</c:v>
                </c:pt>
                <c:pt idx="173">
                  <c:v>4.0877868704875633</c:v>
                </c:pt>
                <c:pt idx="174">
                  <c:v>#N/A</c:v>
                </c:pt>
                <c:pt idx="175">
                  <c:v>#N/A</c:v>
                </c:pt>
                <c:pt idx="176">
                  <c:v>#N/A</c:v>
                </c:pt>
                <c:pt idx="177">
                  <c:v>#N/A</c:v>
                </c:pt>
                <c:pt idx="178">
                  <c:v>#N/A</c:v>
                </c:pt>
                <c:pt idx="179">
                  <c:v>#N/A</c:v>
                </c:pt>
                <c:pt idx="180">
                  <c:v>3.8782964680711172</c:v>
                </c:pt>
                <c:pt idx="181">
                  <c:v>#N/A</c:v>
                </c:pt>
                <c:pt idx="182">
                  <c:v>#N/A</c:v>
                </c:pt>
                <c:pt idx="183">
                  <c:v>#N/A</c:v>
                </c:pt>
                <c:pt idx="184">
                  <c:v>#N/A</c:v>
                </c:pt>
                <c:pt idx="185">
                  <c:v>#N/A</c:v>
                </c:pt>
                <c:pt idx="186">
                  <c:v>#N/A</c:v>
                </c:pt>
                <c:pt idx="187">
                  <c:v>4.2990577919161392</c:v>
                </c:pt>
                <c:pt idx="188">
                  <c:v>#N/A</c:v>
                </c:pt>
                <c:pt idx="189">
                  <c:v>4.1888415986138936</c:v>
                </c:pt>
                <c:pt idx="190">
                  <c:v>#N/A</c:v>
                </c:pt>
                <c:pt idx="191">
                  <c:v>#N/A</c:v>
                </c:pt>
                <c:pt idx="192">
                  <c:v>#N/A</c:v>
                </c:pt>
                <c:pt idx="193">
                  <c:v>3.3823776913038865</c:v>
                </c:pt>
                <c:pt idx="194">
                  <c:v>#N/A</c:v>
                </c:pt>
                <c:pt idx="195">
                  <c:v>#N/A</c:v>
                </c:pt>
                <c:pt idx="196">
                  <c:v>2.7788111618114302</c:v>
                </c:pt>
                <c:pt idx="197">
                  <c:v>#N/A</c:v>
                </c:pt>
                <c:pt idx="198">
                  <c:v>#N/A</c:v>
                </c:pt>
                <c:pt idx="199">
                  <c:v>#N/A</c:v>
                </c:pt>
                <c:pt idx="200">
                  <c:v>#N/A</c:v>
                </c:pt>
                <c:pt idx="201">
                  <c:v>#N/A</c:v>
                </c:pt>
                <c:pt idx="202">
                  <c:v>2.2961349371997213</c:v>
                </c:pt>
                <c:pt idx="203">
                  <c:v>#N/A</c:v>
                </c:pt>
                <c:pt idx="204">
                  <c:v>#N/A</c:v>
                </c:pt>
                <c:pt idx="205">
                  <c:v>2.7044905206770267</c:v>
                </c:pt>
                <c:pt idx="206">
                  <c:v>2.4082000254672735</c:v>
                </c:pt>
                <c:pt idx="207">
                  <c:v>#N/A</c:v>
                </c:pt>
                <c:pt idx="208">
                  <c:v>#N/A</c:v>
                </c:pt>
                <c:pt idx="209">
                  <c:v>2.1269365031825473</c:v>
                </c:pt>
                <c:pt idx="210">
                  <c:v>#N/A</c:v>
                </c:pt>
                <c:pt idx="211">
                  <c:v>#N/A</c:v>
                </c:pt>
                <c:pt idx="212">
                  <c:v>#N/A</c:v>
                </c:pt>
                <c:pt idx="213">
                  <c:v>1.8876464743748154</c:v>
                </c:pt>
                <c:pt idx="214">
                  <c:v>#N/A</c:v>
                </c:pt>
                <c:pt idx="215">
                  <c:v>2.0279095624372885</c:v>
                </c:pt>
                <c:pt idx="216">
                  <c:v>2.2956637229250125</c:v>
                </c:pt>
                <c:pt idx="217">
                  <c:v>1.7908015114731843</c:v>
                </c:pt>
                <c:pt idx="218">
                  <c:v>1.8711936683359298</c:v>
                </c:pt>
                <c:pt idx="219">
                  <c:v>#N/A</c:v>
                </c:pt>
                <c:pt idx="220">
                  <c:v>#N/A</c:v>
                </c:pt>
                <c:pt idx="221">
                  <c:v>#N/A</c:v>
                </c:pt>
                <c:pt idx="222">
                  <c:v>#N/A</c:v>
                </c:pt>
                <c:pt idx="223">
                  <c:v>#N/A</c:v>
                </c:pt>
                <c:pt idx="224">
                  <c:v>0.8918864732825309</c:v>
                </c:pt>
                <c:pt idx="225">
                  <c:v>#N/A</c:v>
                </c:pt>
                <c:pt idx="226">
                  <c:v>#N/A</c:v>
                </c:pt>
                <c:pt idx="227">
                  <c:v>#N/A</c:v>
                </c:pt>
                <c:pt idx="228">
                  <c:v>#N/A</c:v>
                </c:pt>
                <c:pt idx="229">
                  <c:v>#N/A</c:v>
                </c:pt>
                <c:pt idx="230">
                  <c:v>#N/A</c:v>
                </c:pt>
                <c:pt idx="231">
                  <c:v>#N/A</c:v>
                </c:pt>
                <c:pt idx="232">
                  <c:v>#N/A</c:v>
                </c:pt>
                <c:pt idx="233">
                  <c:v>#N/A</c:v>
                </c:pt>
                <c:pt idx="234">
                  <c:v>1.5024052064116336</c:v>
                </c:pt>
                <c:pt idx="235">
                  <c:v>1.8936328899029287</c:v>
                </c:pt>
                <c:pt idx="236">
                  <c:v>#N/A</c:v>
                </c:pt>
                <c:pt idx="237">
                  <c:v>1.5053561490289307</c:v>
                </c:pt>
                <c:pt idx="238">
                  <c:v>1.6799894191616516</c:v>
                </c:pt>
                <c:pt idx="239">
                  <c:v>#N/A</c:v>
                </c:pt>
                <c:pt idx="240">
                  <c:v>#N/A</c:v>
                </c:pt>
                <c:pt idx="241">
                  <c:v>#N/A</c:v>
                </c:pt>
                <c:pt idx="242">
                  <c:v>#N/A</c:v>
                </c:pt>
                <c:pt idx="243">
                  <c:v>#N/A</c:v>
                </c:pt>
                <c:pt idx="244">
                  <c:v>#N/A</c:v>
                </c:pt>
                <c:pt idx="245">
                  <c:v>#N/A</c:v>
                </c:pt>
                <c:pt idx="246">
                  <c:v>#N/A</c:v>
                </c:pt>
                <c:pt idx="247">
                  <c:v>#N/A</c:v>
                </c:pt>
                <c:pt idx="248">
                  <c:v>#N/A</c:v>
                </c:pt>
                <c:pt idx="249">
                  <c:v>1.2266718748475474</c:v>
                </c:pt>
                <c:pt idx="250">
                  <c:v>1.024978264377955</c:v>
                </c:pt>
                <c:pt idx="251">
                  <c:v>#N/A</c:v>
                </c:pt>
                <c:pt idx="252">
                  <c:v>0.72450087038750222</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-0.33444962199075268</c:v>
                </c:pt>
                <c:pt idx="274">
                  <c:v>#N/A</c:v>
                </c:pt>
                <c:pt idx="275">
                  <c:v>#N/A</c:v>
                </c:pt>
                <c:pt idx="276">
                  <c:v>#N/A</c:v>
                </c:pt>
                <c:pt idx="277">
                  <c:v>#N/A</c:v>
                </c:pt>
                <c:pt idx="278">
                  <c:v>#N/A</c:v>
                </c:pt>
                <c:pt idx="279">
                  <c:v>#N/A</c:v>
                </c:pt>
                <c:pt idx="280">
                  <c:v>#N/A</c:v>
                </c:pt>
                <c:pt idx="281">
                  <c:v>-0.10055979216576816</c:v>
                </c:pt>
                <c:pt idx="282">
                  <c:v>#N/A</c:v>
                </c:pt>
                <c:pt idx="283">
                  <c:v>#N/A</c:v>
                </c:pt>
                <c:pt idx="284">
                  <c:v>#N/A</c:v>
                </c:pt>
                <c:pt idx="285">
                  <c:v>#N/A</c:v>
                </c:pt>
                <c:pt idx="286">
                  <c:v>#N/A</c:v>
                </c:pt>
                <c:pt idx="287">
                  <c:v>0.25503088345651648</c:v>
                </c:pt>
                <c:pt idx="288">
                  <c:v>#N/A</c:v>
                </c:pt>
                <c:pt idx="289">
                  <c:v>-3.0840043861778743E-2</c:v>
                </c:pt>
                <c:pt idx="290">
                  <c:v>#N/A</c:v>
                </c:pt>
                <c:pt idx="291">
                  <c:v>#N/A</c:v>
                </c:pt>
                <c:pt idx="292">
                  <c:v>#N/A</c:v>
                </c:pt>
                <c:pt idx="293">
                  <c:v>#N/A</c:v>
                </c:pt>
                <c:pt idx="294">
                  <c:v>#N/A</c:v>
                </c:pt>
                <c:pt idx="295">
                  <c:v>#N/A</c:v>
                </c:pt>
                <c:pt idx="296">
                  <c:v>0.46411899835624387</c:v>
                </c:pt>
                <c:pt idx="297">
                  <c:v>#N/A</c:v>
                </c:pt>
                <c:pt idx="298">
                  <c:v>0.45479759641739065</c:v>
                </c:pt>
                <c:pt idx="299">
                  <c:v>#N/A</c:v>
                </c:pt>
                <c:pt idx="300">
                  <c:v>#N/A</c:v>
                </c:pt>
                <c:pt idx="301">
                  <c:v>#N/A</c:v>
                </c:pt>
                <c:pt idx="302">
                  <c:v>#N/A</c:v>
                </c:pt>
                <c:pt idx="303">
                  <c:v>1.7590661115578485</c:v>
                </c:pt>
                <c:pt idx="304">
                  <c:v>#N/A</c:v>
                </c:pt>
                <c:pt idx="305">
                  <c:v>#N/A</c:v>
                </c:pt>
                <c:pt idx="306">
                  <c:v>#N/A</c:v>
                </c:pt>
                <c:pt idx="307">
                  <c:v>#N/A</c:v>
                </c:pt>
                <c:pt idx="308">
                  <c:v>#N/A</c:v>
                </c:pt>
                <c:pt idx="309">
                  <c:v>#N/A</c:v>
                </c:pt>
                <c:pt idx="310">
                  <c:v>#N/A</c:v>
                </c:pt>
                <c:pt idx="311">
                  <c:v>2.0408696542309572</c:v>
                </c:pt>
                <c:pt idx="312">
                  <c:v>#N/A</c:v>
                </c:pt>
                <c:pt idx="313">
                  <c:v>#N/A</c:v>
                </c:pt>
                <c:pt idx="314">
                  <c:v>1.3639729652052595</c:v>
                </c:pt>
                <c:pt idx="315">
                  <c:v>-0.94923294270090763</c:v>
                </c:pt>
                <c:pt idx="316">
                  <c:v>-1.2354167803978358</c:v>
                </c:pt>
                <c:pt idx="317">
                  <c:v>#N/A</c:v>
                </c:pt>
                <c:pt idx="318">
                  <c:v>-1.309695934966006</c:v>
                </c:pt>
                <c:pt idx="319">
                  <c:v>#N/A</c:v>
                </c:pt>
                <c:pt idx="320">
                  <c:v>#N/A</c:v>
                </c:pt>
                <c:pt idx="321">
                  <c:v>-1.8198169530373143</c:v>
                </c:pt>
                <c:pt idx="322">
                  <c:v>#N/A</c:v>
                </c:pt>
                <c:pt idx="323">
                  <c:v>#N/A</c:v>
                </c:pt>
                <c:pt idx="324">
                  <c:v>#N/A</c:v>
                </c:pt>
                <c:pt idx="325">
                  <c:v>#N/A</c:v>
                </c:pt>
                <c:pt idx="326">
                  <c:v>#N/A</c:v>
                </c:pt>
                <c:pt idx="327">
                  <c:v>#N/A</c:v>
                </c:pt>
                <c:pt idx="328">
                  <c:v>-1.1568818760939159</c:v>
                </c:pt>
                <c:pt idx="329">
                  <c:v>#N/A</c:v>
                </c:pt>
                <c:pt idx="330">
                  <c:v>#N/A</c:v>
                </c:pt>
                <c:pt idx="331">
                  <c:v>-1.5211733092404331</c:v>
                </c:pt>
                <c:pt idx="332">
                  <c:v>#N/A</c:v>
                </c:pt>
                <c:pt idx="333">
                  <c:v>#N/A</c:v>
                </c:pt>
                <c:pt idx="334">
                  <c:v>#N/A</c:v>
                </c:pt>
                <c:pt idx="335">
                  <c:v>-2.1521551419615275</c:v>
                </c:pt>
                <c:pt idx="336">
                  <c:v>-2.2391951803792001</c:v>
                </c:pt>
                <c:pt idx="337">
                  <c:v>-2.8594173064429524</c:v>
                </c:pt>
                <c:pt idx="338">
                  <c:v>#N/A</c:v>
                </c:pt>
                <c:pt idx="339">
                  <c:v>#N/A</c:v>
                </c:pt>
                <c:pt idx="340">
                  <c:v>#N/A</c:v>
                </c:pt>
                <c:pt idx="341">
                  <c:v>#N/A</c:v>
                </c:pt>
                <c:pt idx="342">
                  <c:v>#N/A</c:v>
                </c:pt>
                <c:pt idx="343">
                  <c:v>#N/A</c:v>
                </c:pt>
                <c:pt idx="344">
                  <c:v>#N/A</c:v>
                </c:pt>
                <c:pt idx="345">
                  <c:v>-3.3665166979236831</c:v>
                </c:pt>
                <c:pt idx="346">
                  <c:v>#N/A</c:v>
                </c:pt>
                <c:pt idx="347">
                  <c:v>#N/A</c:v>
                </c:pt>
                <c:pt idx="348">
                  <c:v>#N/A</c:v>
                </c:pt>
                <c:pt idx="349">
                  <c:v>#N/A</c:v>
                </c:pt>
                <c:pt idx="350">
                  <c:v>#N/A</c:v>
                </c:pt>
                <c:pt idx="351">
                  <c:v>#N/A</c:v>
                </c:pt>
                <c:pt idx="352">
                  <c:v>-3.1342976987637945</c:v>
                </c:pt>
                <c:pt idx="353">
                  <c:v>#N/A</c:v>
                </c:pt>
                <c:pt idx="354">
                  <c:v>#N/A</c:v>
                </c:pt>
                <c:pt idx="355">
                  <c:v>#N/A</c:v>
                </c:pt>
                <c:pt idx="356">
                  <c:v>#N/A</c:v>
                </c:pt>
                <c:pt idx="357">
                  <c:v>#N/A</c:v>
                </c:pt>
                <c:pt idx="358">
                  <c:v>#N/A</c:v>
                </c:pt>
                <c:pt idx="359">
                  <c:v>#N/A</c:v>
                </c:pt>
                <c:pt idx="360">
                  <c:v>#N/A</c:v>
                </c:pt>
                <c:pt idx="361">
                  <c:v>-5.2203937917965391</c:v>
                </c:pt>
                <c:pt idx="362">
                  <c:v>#N/A</c:v>
                </c:pt>
                <c:pt idx="363">
                  <c:v>#N/A</c:v>
                </c:pt>
                <c:pt idx="364">
                  <c:v>#N/A</c:v>
                </c:pt>
                <c:pt idx="365">
                  <c:v>#N/A</c:v>
                </c:pt>
                <c:pt idx="366">
                  <c:v>#N/A</c:v>
                </c:pt>
                <c:pt idx="367">
                  <c:v>#N/A</c:v>
                </c:pt>
                <c:pt idx="368">
                  <c:v>#N/A</c:v>
                </c:pt>
                <c:pt idx="369">
                  <c:v>#N/A</c:v>
                </c:pt>
                <c:pt idx="370">
                  <c:v>#N/A</c:v>
                </c:pt>
                <c:pt idx="371">
                  <c:v>#N/A</c:v>
                </c:pt>
                <c:pt idx="372">
                  <c:v>-7.4129504261007479</c:v>
                </c:pt>
                <c:pt idx="373">
                  <c:v>#N/A</c:v>
                </c:pt>
                <c:pt idx="374">
                  <c:v>#N/A</c:v>
                </c:pt>
                <c:pt idx="375">
                  <c:v>#N/A</c:v>
                </c:pt>
                <c:pt idx="376">
                  <c:v>#N/A</c:v>
                </c:pt>
                <c:pt idx="377">
                  <c:v>-6.982172054145904</c:v>
                </c:pt>
                <c:pt idx="378">
                  <c:v>#N/A</c:v>
                </c:pt>
                <c:pt idx="379">
                  <c:v>#N/A</c:v>
                </c:pt>
                <c:pt idx="380">
                  <c:v>-7.0602640074208836</c:v>
                </c:pt>
                <c:pt idx="381">
                  <c:v>-7.2709677579476439</c:v>
                </c:pt>
                <c:pt idx="382">
                  <c:v>#N/A</c:v>
                </c:pt>
                <c:pt idx="383">
                  <c:v>#N/A</c:v>
                </c:pt>
                <c:pt idx="384">
                  <c:v>-7.9454508643520825</c:v>
                </c:pt>
                <c:pt idx="385">
                  <c:v>#N/A</c:v>
                </c:pt>
                <c:pt idx="386">
                  <c:v>-7.5450949924659625</c:v>
                </c:pt>
                <c:pt idx="387">
                  <c:v>#N/A</c:v>
                </c:pt>
                <c:pt idx="388">
                  <c:v>#N/A</c:v>
                </c:pt>
                <c:pt idx="389">
                  <c:v>#N/A</c:v>
                </c:pt>
                <c:pt idx="390">
                  <c:v>-7.2668792825522068</c:v>
                </c:pt>
                <c:pt idx="391">
                  <c:v>-7.5744172082944914</c:v>
                </c:pt>
                <c:pt idx="392">
                  <c:v>-7.8561356910392339</c:v>
                </c:pt>
                <c:pt idx="393">
                  <c:v>-7.7877603456380022</c:v>
                </c:pt>
                <c:pt idx="394">
                  <c:v>#N/A</c:v>
                </c:pt>
                <c:pt idx="395">
                  <c:v>#N/A</c:v>
                </c:pt>
                <c:pt idx="396">
                  <c:v>#N/A</c:v>
                </c:pt>
                <c:pt idx="397">
                  <c:v>#N/A</c:v>
                </c:pt>
                <c:pt idx="398">
                  <c:v>-5.2988714567491124</c:v>
                </c:pt>
                <c:pt idx="399">
                  <c:v>#N/A</c:v>
                </c:pt>
                <c:pt idx="400">
                  <c:v>-2.6381896977066979</c:v>
                </c:pt>
                <c:pt idx="401">
                  <c:v>#N/A</c:v>
                </c:pt>
                <c:pt idx="402">
                  <c:v>#N/A</c:v>
                </c:pt>
                <c:pt idx="403">
                  <c:v>-1.9460275624612042</c:v>
                </c:pt>
                <c:pt idx="404">
                  <c:v>-1.7854096962866437</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-2.3438085842277543</c:v>
                </c:pt>
                <c:pt idx="425">
                  <c:v>#N/A</c:v>
                </c:pt>
                <c:pt idx="426">
                  <c:v>#N/A</c:v>
                </c:pt>
                <c:pt idx="427">
                  <c:v>#N/A</c:v>
                </c:pt>
                <c:pt idx="428">
                  <c:v>#N/A</c:v>
                </c:pt>
                <c:pt idx="429">
                  <c:v>#N/A</c:v>
                </c:pt>
                <c:pt idx="430">
                  <c:v>#N/A</c:v>
                </c:pt>
                <c:pt idx="431">
                  <c:v>#N/A</c:v>
                </c:pt>
                <c:pt idx="432">
                  <c:v>#N/A</c:v>
                </c:pt>
                <c:pt idx="433">
                  <c:v>#N/A</c:v>
                </c:pt>
                <c:pt idx="434">
                  <c:v>#N/A</c:v>
                </c:pt>
                <c:pt idx="435">
                  <c:v>-2.4552803392521811</c:v>
                </c:pt>
                <c:pt idx="436">
                  <c:v>-1.6358778162276466</c:v>
                </c:pt>
                <c:pt idx="437">
                  <c:v>#N/A</c:v>
                </c:pt>
                <c:pt idx="438">
                  <c:v>#N/A</c:v>
                </c:pt>
                <c:pt idx="439">
                  <c:v>-2.1989846123441525</c:v>
                </c:pt>
                <c:pt idx="440">
                  <c:v>#N/A</c:v>
                </c:pt>
                <c:pt idx="441">
                  <c:v>#N/A</c:v>
                </c:pt>
                <c:pt idx="442">
                  <c:v>-1.7665946752372341</c:v>
                </c:pt>
                <c:pt idx="443">
                  <c:v>#N/A</c:v>
                </c:pt>
                <c:pt idx="444">
                  <c:v>#N/A</c:v>
                </c:pt>
              </c:numCache>
            </c:numRef>
          </c:val>
          <c:smooth val="0"/>
          <c:extLst>
            <c:ext xmlns:c16="http://schemas.microsoft.com/office/drawing/2014/chart" uri="{C3380CC4-5D6E-409C-BE32-E72D297353CC}">
              <c16:uniqueId val="{00000005-B4C0-4FB1-A775-5F368678E3F3}"/>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91727299910296"/>
          <c:y val="1.2851365801497035E-2"/>
          <c:w val="0.53340941559520239"/>
          <c:h val="4.8919967093665528E-2"/>
        </c:manualLayout>
      </c:layout>
      <c:overlay val="0"/>
      <c:spPr>
        <a:solidFill>
          <a:schemeClr val="tx2">
            <a:lumMod val="10000"/>
            <a:lumOff val="90000"/>
          </a:schemeClr>
        </a:solidFill>
        <a:ln>
          <a:solidFill>
            <a:sysClr val="windowText" lastClr="00000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Up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'2025-Q1'!$AA$4:$AA$448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0.67152548588192462</c:v>
                </c:pt>
                <c:pt idx="37">
                  <c:v>0.67152548588192462</c:v>
                </c:pt>
                <c:pt idx="38">
                  <c:v>0.67152548588192462</c:v>
                </c:pt>
                <c:pt idx="39">
                  <c:v>0.67152548588192462</c:v>
                </c:pt>
                <c:pt idx="40">
                  <c:v>1.1273861049364817</c:v>
                </c:pt>
                <c:pt idx="41">
                  <c:v>1.1273861049364817</c:v>
                </c:pt>
                <c:pt idx="42">
                  <c:v>1.1273861049364817</c:v>
                </c:pt>
                <c:pt idx="43">
                  <c:v>1.1273861049364817</c:v>
                </c:pt>
                <c:pt idx="44">
                  <c:v>1.1273861049364817</c:v>
                </c:pt>
                <c:pt idx="45">
                  <c:v>1.1273861049364817</c:v>
                </c:pt>
                <c:pt idx="46">
                  <c:v>1.1273861049364817</c:v>
                </c:pt>
                <c:pt idx="47">
                  <c:v>1.1273861049364817</c:v>
                </c:pt>
                <c:pt idx="48">
                  <c:v>1.1273861049364817</c:v>
                </c:pt>
                <c:pt idx="49">
                  <c:v>1.1273861049364817</c:v>
                </c:pt>
                <c:pt idx="50">
                  <c:v>1.1273861049364817</c:v>
                </c:pt>
                <c:pt idx="51">
                  <c:v>1.1273861049364817</c:v>
                </c:pt>
                <c:pt idx="52">
                  <c:v>1.1273861049364817</c:v>
                </c:pt>
                <c:pt idx="53">
                  <c:v>1.1273861049364817</c:v>
                </c:pt>
                <c:pt idx="54">
                  <c:v>1.1273861049364817</c:v>
                </c:pt>
                <c:pt idx="55">
                  <c:v>1.1273861049364817</c:v>
                </c:pt>
                <c:pt idx="56">
                  <c:v>1.1273861049364817</c:v>
                </c:pt>
                <c:pt idx="57">
                  <c:v>1.1273861049364817</c:v>
                </c:pt>
                <c:pt idx="58">
                  <c:v>1.1273861049364817</c:v>
                </c:pt>
                <c:pt idx="59">
                  <c:v>1.1273861049364817</c:v>
                </c:pt>
                <c:pt idx="60">
                  <c:v>1.1273861049364817</c:v>
                </c:pt>
                <c:pt idx="61">
                  <c:v>1.1273861049364817</c:v>
                </c:pt>
                <c:pt idx="62">
                  <c:v>1.1273861049364817</c:v>
                </c:pt>
                <c:pt idx="63">
                  <c:v>1.1273861049364817</c:v>
                </c:pt>
                <c:pt idx="64">
                  <c:v>1.1273861049364817</c:v>
                </c:pt>
                <c:pt idx="65">
                  <c:v>1.1273861049364817</c:v>
                </c:pt>
                <c:pt idx="66">
                  <c:v>1.1273861049364817</c:v>
                </c:pt>
                <c:pt idx="67">
                  <c:v>1.1273861049364817</c:v>
                </c:pt>
                <c:pt idx="68">
                  <c:v>1.1273861049364817</c:v>
                </c:pt>
                <c:pt idx="69">
                  <c:v>1.1273861049364817</c:v>
                </c:pt>
                <c:pt idx="70">
                  <c:v>1.1273861049364817</c:v>
                </c:pt>
                <c:pt idx="71">
                  <c:v>1.1273861049364817</c:v>
                </c:pt>
                <c:pt idx="72">
                  <c:v>1.1273861049364817</c:v>
                </c:pt>
                <c:pt idx="73">
                  <c:v>1.1273861049364817</c:v>
                </c:pt>
                <c:pt idx="74">
                  <c:v>1.1273861049364817</c:v>
                </c:pt>
                <c:pt idx="75">
                  <c:v>3.4310096157378052</c:v>
                </c:pt>
                <c:pt idx="76">
                  <c:v>3.4310096157378052</c:v>
                </c:pt>
                <c:pt idx="77">
                  <c:v>3.4310096157378052</c:v>
                </c:pt>
                <c:pt idx="78">
                  <c:v>3.4310096157378052</c:v>
                </c:pt>
                <c:pt idx="79">
                  <c:v>3.4310096157378052</c:v>
                </c:pt>
                <c:pt idx="80">
                  <c:v>3.4310096157378052</c:v>
                </c:pt>
                <c:pt idx="81">
                  <c:v>3.4310096157378052</c:v>
                </c:pt>
                <c:pt idx="82">
                  <c:v>3.4310096157378052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2-0378-4901-951A-9CC527A3EBF2}"/>
            </c:ext>
          </c:extLst>
        </c:ser>
        <c:ser>
          <c:idx val="8"/>
          <c:order val="1"/>
          <c:tx>
            <c:v>XLC</c:v>
          </c:tx>
          <c:spPr>
            <a:ln w="38100" cap="rnd">
              <a:solidFill>
                <a:sysClr val="windowText" lastClr="000000"/>
              </a:solidFill>
              <a:round/>
            </a:ln>
            <a:effectLst/>
          </c:spPr>
          <c:marker>
            <c:symbol val="none"/>
          </c:marker>
          <c:val>
            <c:numRef>
              <c:f>'2025-Q1'!$BC$4:$BC$448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0.57218309859154926</c:v>
                </c:pt>
                <c:pt idx="58">
                  <c:v>0.57218309859154926</c:v>
                </c:pt>
                <c:pt idx="59">
                  <c:v>0.57218309859154926</c:v>
                </c:pt>
                <c:pt idx="60">
                  <c:v>0.57218309859154926</c:v>
                </c:pt>
                <c:pt idx="61">
                  <c:v>0.57218309859154926</c:v>
                </c:pt>
                <c:pt idx="62">
                  <c:v>0.57218309859154926</c:v>
                </c:pt>
                <c:pt idx="63">
                  <c:v>0.57218309859154926</c:v>
                </c:pt>
                <c:pt idx="64">
                  <c:v>0.57218309859154926</c:v>
                </c:pt>
                <c:pt idx="65">
                  <c:v>0.57218309859154926</c:v>
                </c:pt>
                <c:pt idx="66">
                  <c:v>0.57218309859154926</c:v>
                </c:pt>
                <c:pt idx="67">
                  <c:v>0.57218309859154926</c:v>
                </c:pt>
                <c:pt idx="68">
                  <c:v>0.57218309859154926</c:v>
                </c:pt>
                <c:pt idx="69">
                  <c:v>0.57218309859154926</c:v>
                </c:pt>
                <c:pt idx="70">
                  <c:v>0.57218309859154926</c:v>
                </c:pt>
                <c:pt idx="71">
                  <c:v>0.57218309859154926</c:v>
                </c:pt>
                <c:pt idx="72">
                  <c:v>0.57218309859154926</c:v>
                </c:pt>
                <c:pt idx="73">
                  <c:v>0.57218309859154926</c:v>
                </c:pt>
                <c:pt idx="74">
                  <c:v>0.57218309859154926</c:v>
                </c:pt>
                <c:pt idx="75">
                  <c:v>0.57218309859154926</c:v>
                </c:pt>
                <c:pt idx="76">
                  <c:v>0.57218309859154926</c:v>
                </c:pt>
                <c:pt idx="77">
                  <c:v>0.57218309859154926</c:v>
                </c:pt>
                <c:pt idx="78">
                  <c:v>0.57218309859154926</c:v>
                </c:pt>
                <c:pt idx="79">
                  <c:v>0.57218309859154926</c:v>
                </c:pt>
                <c:pt idx="80">
                  <c:v>0.57218309859154926</c:v>
                </c:pt>
                <c:pt idx="81">
                  <c:v>0.57218309859154926</c:v>
                </c:pt>
                <c:pt idx="82">
                  <c:v>0.57218309859154926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5-0378-4901-951A-9CC527A3EBF2}"/>
            </c:ext>
          </c:extLst>
        </c:ser>
        <c:ser>
          <c:idx val="7"/>
          <c:order val="2"/>
          <c:tx>
            <c:v>IGV</c:v>
          </c:tx>
          <c:spPr>
            <a:ln w="28575" cap="rnd">
              <a:solidFill>
                <a:schemeClr val="accent4">
                  <a:lumMod val="60000"/>
                  <a:lumOff val="40000"/>
                </a:schemeClr>
              </a:solidFill>
              <a:prstDash val="solid"/>
              <a:round/>
            </a:ln>
            <a:effectLst/>
          </c:spPr>
          <c:marker>
            <c:symbol val="none"/>
          </c:marker>
          <c:val>
            <c:numRef>
              <c:f>'2025-Q1'!$AH$4:$AH$448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4-0378-4901-951A-9CC527A3EBF2}"/>
            </c:ext>
          </c:extLst>
        </c:ser>
        <c:ser>
          <c:idx val="9"/>
          <c:order val="3"/>
          <c:tx>
            <c:v>XLI</c:v>
          </c:tx>
          <c:spPr>
            <a:ln w="28575" cap="rnd">
              <a:solidFill>
                <a:schemeClr val="bg1"/>
              </a:solidFill>
              <a:round/>
            </a:ln>
            <a:effectLst/>
          </c:spPr>
          <c:marker>
            <c:symbol val="none"/>
          </c:marker>
          <c:val>
            <c:numRef>
              <c:f>'2025-Q1'!$BQ$4:$BQ$448</c:f>
              <c:numCache>
                <c:formatCode>0.00</c:formatCode>
                <c:ptCount val="445"/>
                <c:pt idx="0">
                  <c:v>0</c:v>
                </c:pt>
                <c:pt idx="1">
                  <c:v>0.96873982416150761</c:v>
                </c:pt>
                <c:pt idx="2">
                  <c:v>0.96873982416150761</c:v>
                </c:pt>
                <c:pt idx="3">
                  <c:v>0.96873982416150761</c:v>
                </c:pt>
                <c:pt idx="4">
                  <c:v>0.96873982416150761</c:v>
                </c:pt>
                <c:pt idx="5">
                  <c:v>0.96873982416150761</c:v>
                </c:pt>
                <c:pt idx="6">
                  <c:v>0.96873982416150761</c:v>
                </c:pt>
                <c:pt idx="7">
                  <c:v>0.96873982416150761</c:v>
                </c:pt>
                <c:pt idx="8">
                  <c:v>0.96873982416150761</c:v>
                </c:pt>
                <c:pt idx="9">
                  <c:v>0.96873982416150761</c:v>
                </c:pt>
                <c:pt idx="10">
                  <c:v>0.96873982416150761</c:v>
                </c:pt>
                <c:pt idx="11">
                  <c:v>0.96873982416150761</c:v>
                </c:pt>
                <c:pt idx="12">
                  <c:v>0.96873982416150761</c:v>
                </c:pt>
                <c:pt idx="13">
                  <c:v>0.96873982416150761</c:v>
                </c:pt>
                <c:pt idx="14">
                  <c:v>0.96873982416150761</c:v>
                </c:pt>
                <c:pt idx="15">
                  <c:v>0.96873982416150761</c:v>
                </c:pt>
                <c:pt idx="16">
                  <c:v>0.96873982416150761</c:v>
                </c:pt>
                <c:pt idx="17">
                  <c:v>0.96873982416150761</c:v>
                </c:pt>
                <c:pt idx="18">
                  <c:v>0.96873982416150761</c:v>
                </c:pt>
                <c:pt idx="19">
                  <c:v>0.96873982416150761</c:v>
                </c:pt>
                <c:pt idx="20">
                  <c:v>0.96873982416150761</c:v>
                </c:pt>
                <c:pt idx="21">
                  <c:v>0.96873982416150761</c:v>
                </c:pt>
                <c:pt idx="22">
                  <c:v>0.96873982416150761</c:v>
                </c:pt>
                <c:pt idx="23">
                  <c:v>0.96873982416150761</c:v>
                </c:pt>
                <c:pt idx="24">
                  <c:v>1.4969962235091621</c:v>
                </c:pt>
                <c:pt idx="25">
                  <c:v>1.4969962235091621</c:v>
                </c:pt>
                <c:pt idx="26">
                  <c:v>1.4969962235091621</c:v>
                </c:pt>
                <c:pt idx="27">
                  <c:v>1.4969962235091621</c:v>
                </c:pt>
                <c:pt idx="28">
                  <c:v>1.4969962235091621</c:v>
                </c:pt>
                <c:pt idx="29">
                  <c:v>1.4969962235091621</c:v>
                </c:pt>
                <c:pt idx="30">
                  <c:v>2.3007723123015373</c:v>
                </c:pt>
                <c:pt idx="31">
                  <c:v>2.3007723123015373</c:v>
                </c:pt>
                <c:pt idx="32">
                  <c:v>2.3007723123015373</c:v>
                </c:pt>
                <c:pt idx="33">
                  <c:v>2.3007723123015373</c:v>
                </c:pt>
                <c:pt idx="34">
                  <c:v>2.3007723123015373</c:v>
                </c:pt>
                <c:pt idx="35">
                  <c:v>2.861669748198973</c:v>
                </c:pt>
                <c:pt idx="36">
                  <c:v>2.861669748198973</c:v>
                </c:pt>
                <c:pt idx="37">
                  <c:v>2.861669748198973</c:v>
                </c:pt>
                <c:pt idx="38">
                  <c:v>2.861669748198973</c:v>
                </c:pt>
                <c:pt idx="39">
                  <c:v>2.861669748198973</c:v>
                </c:pt>
                <c:pt idx="40">
                  <c:v>2.861669748198973</c:v>
                </c:pt>
                <c:pt idx="41">
                  <c:v>2.861669748198973</c:v>
                </c:pt>
                <c:pt idx="42">
                  <c:v>2.861669748198973</c:v>
                </c:pt>
                <c:pt idx="43">
                  <c:v>2.861669748198973</c:v>
                </c:pt>
                <c:pt idx="44">
                  <c:v>2.861669748198973</c:v>
                </c:pt>
                <c:pt idx="45">
                  <c:v>4.0154886764923106</c:v>
                </c:pt>
                <c:pt idx="46">
                  <c:v>4.0154886764923106</c:v>
                </c:pt>
                <c:pt idx="47">
                  <c:v>4.0154886764923106</c:v>
                </c:pt>
                <c:pt idx="48">
                  <c:v>4.0154886764923106</c:v>
                </c:pt>
                <c:pt idx="49">
                  <c:v>4.0154886764923106</c:v>
                </c:pt>
                <c:pt idx="50">
                  <c:v>4.0154886764923106</c:v>
                </c:pt>
                <c:pt idx="51">
                  <c:v>4.0154886764923106</c:v>
                </c:pt>
                <c:pt idx="52">
                  <c:v>4.0154886764923106</c:v>
                </c:pt>
                <c:pt idx="53">
                  <c:v>4.0154886764923106</c:v>
                </c:pt>
                <c:pt idx="54">
                  <c:v>4.0154886764923106</c:v>
                </c:pt>
                <c:pt idx="55">
                  <c:v>4.0154886764923106</c:v>
                </c:pt>
                <c:pt idx="56">
                  <c:v>4.0154886764923106</c:v>
                </c:pt>
                <c:pt idx="57">
                  <c:v>4.0154886764923106</c:v>
                </c:pt>
                <c:pt idx="58">
                  <c:v>4.0154886764923106</c:v>
                </c:pt>
                <c:pt idx="59">
                  <c:v>4.0154886764923106</c:v>
                </c:pt>
                <c:pt idx="60">
                  <c:v>4.0154886764923106</c:v>
                </c:pt>
                <c:pt idx="61">
                  <c:v>4.0154886764923106</c:v>
                </c:pt>
                <c:pt idx="62">
                  <c:v>4.0154886764923106</c:v>
                </c:pt>
                <c:pt idx="63">
                  <c:v>4.0154886764923106</c:v>
                </c:pt>
                <c:pt idx="64">
                  <c:v>4.0154886764923106</c:v>
                </c:pt>
                <c:pt idx="65">
                  <c:v>4.0154886764923106</c:v>
                </c:pt>
                <c:pt idx="66">
                  <c:v>3.4468416016128636</c:v>
                </c:pt>
                <c:pt idx="67">
                  <c:v>3.4468416016128636</c:v>
                </c:pt>
                <c:pt idx="68">
                  <c:v>3.4468416016128636</c:v>
                </c:pt>
                <c:pt idx="69">
                  <c:v>3.4468416016128636</c:v>
                </c:pt>
                <c:pt idx="70">
                  <c:v>3.4468416016128636</c:v>
                </c:pt>
                <c:pt idx="71">
                  <c:v>3.4468416016128636</c:v>
                </c:pt>
                <c:pt idx="72">
                  <c:v>3.4468416016128636</c:v>
                </c:pt>
                <c:pt idx="73">
                  <c:v>3.4468416016128636</c:v>
                </c:pt>
                <c:pt idx="74">
                  <c:v>3.4468416016128636</c:v>
                </c:pt>
                <c:pt idx="75">
                  <c:v>3.4468416016128636</c:v>
                </c:pt>
                <c:pt idx="76">
                  <c:v>3.4468416016128636</c:v>
                </c:pt>
                <c:pt idx="77">
                  <c:v>3.4468416016128636</c:v>
                </c:pt>
                <c:pt idx="78">
                  <c:v>3.4468416016128636</c:v>
                </c:pt>
                <c:pt idx="79">
                  <c:v>3.7725654012396492</c:v>
                </c:pt>
                <c:pt idx="80">
                  <c:v>3.7725654012396492</c:v>
                </c:pt>
                <c:pt idx="81">
                  <c:v>3.7725654012396492</c:v>
                </c:pt>
                <c:pt idx="82">
                  <c:v>3.7725654012396492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6-0378-4901-951A-9CC527A3EBF2}"/>
            </c:ext>
          </c:extLst>
        </c:ser>
        <c:ser>
          <c:idx val="3"/>
          <c:order val="4"/>
          <c:tx>
            <c:v>XLY</c:v>
          </c:tx>
          <c:spPr>
            <a:ln w="28575" cap="rnd">
              <a:solidFill>
                <a:srgbClr val="FFC000"/>
              </a:solidFill>
              <a:round/>
            </a:ln>
            <a:effectLst/>
          </c:spPr>
          <c:marker>
            <c:symbol val="none"/>
          </c:marker>
          <c:val>
            <c:numRef>
              <c:f>'2025-Q1'!$AO$4:$AO$448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0.69884300312473657</c:v>
                </c:pt>
                <c:pt idx="65">
                  <c:v>-0.49683555963321635</c:v>
                </c:pt>
                <c:pt idx="66">
                  <c:v>-0.49683555963321635</c:v>
                </c:pt>
                <c:pt idx="67">
                  <c:v>-0.49683555963321635</c:v>
                </c:pt>
                <c:pt idx="68">
                  <c:v>-0.49683555963321635</c:v>
                </c:pt>
                <c:pt idx="69">
                  <c:v>-0.49683555963321635</c:v>
                </c:pt>
                <c:pt idx="70">
                  <c:v>-0.49683555963321635</c:v>
                </c:pt>
                <c:pt idx="71">
                  <c:v>-0.49683555963321635</c:v>
                </c:pt>
                <c:pt idx="72">
                  <c:v>-0.49683555963321635</c:v>
                </c:pt>
                <c:pt idx="73">
                  <c:v>-0.49683555963321635</c:v>
                </c:pt>
                <c:pt idx="74">
                  <c:v>-0.49683555963321635</c:v>
                </c:pt>
                <c:pt idx="75">
                  <c:v>-0.49683555963321635</c:v>
                </c:pt>
                <c:pt idx="76">
                  <c:v>-0.49683555963321635</c:v>
                </c:pt>
                <c:pt idx="77">
                  <c:v>-0.49683555963321635</c:v>
                </c:pt>
                <c:pt idx="78">
                  <c:v>-0.49683555963321635</c:v>
                </c:pt>
                <c:pt idx="79">
                  <c:v>-0.49683555963321635</c:v>
                </c:pt>
                <c:pt idx="80">
                  <c:v>-0.49683555963321635</c:v>
                </c:pt>
                <c:pt idx="81">
                  <c:v>-0.49683555963321635</c:v>
                </c:pt>
                <c:pt idx="82">
                  <c:v>-0.49683555963321635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F-0378-4901-951A-9CC527A3EBF2}"/>
            </c:ext>
          </c:extLst>
        </c:ser>
        <c:ser>
          <c:idx val="6"/>
          <c:order val="5"/>
          <c:tx>
            <c:v>XLP</c:v>
          </c:tx>
          <c:spPr>
            <a:ln w="28575" cap="rnd">
              <a:solidFill>
                <a:schemeClr val="accent1">
                  <a:lumMod val="60000"/>
                </a:schemeClr>
              </a:solidFill>
              <a:prstDash val="solid"/>
              <a:round/>
            </a:ln>
            <a:effectLst/>
          </c:spPr>
          <c:marker>
            <c:symbol val="none"/>
          </c:marker>
          <c:val>
            <c:numRef>
              <c:f>'2025-Q1'!$AV$4:$AV$448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3-0378-4901-951A-9CC527A3EBF2}"/>
            </c:ext>
          </c:extLst>
        </c:ser>
        <c:ser>
          <c:idx val="0"/>
          <c:order val="6"/>
          <c:tx>
            <c:v>XLF</c:v>
          </c:tx>
          <c:spPr>
            <a:ln w="28575" cap="rnd">
              <a:solidFill>
                <a:schemeClr val="accent5">
                  <a:lumMod val="20000"/>
                  <a:lumOff val="80000"/>
                </a:schemeClr>
              </a:solidFill>
              <a:prstDash val="solid"/>
              <a:round/>
            </a:ln>
            <a:effectLst/>
          </c:spPr>
          <c:marker>
            <c:symbol val="none"/>
          </c:marker>
          <c:val>
            <c:numRef>
              <c:f>'2025-Q1'!$BJ$4:$BJ$448</c:f>
              <c:numCache>
                <c:formatCode>0.00</c:formatCode>
                <c:ptCount val="445"/>
                <c:pt idx="0">
                  <c:v>0</c:v>
                </c:pt>
                <c:pt idx="1">
                  <c:v>0</c:v>
                </c:pt>
                <c:pt idx="2">
                  <c:v>0</c:v>
                </c:pt>
                <c:pt idx="3">
                  <c:v>0.19733031613259536</c:v>
                </c:pt>
                <c:pt idx="4">
                  <c:v>1.1735910269065808</c:v>
                </c:pt>
                <c:pt idx="5">
                  <c:v>1.9454956804972336</c:v>
                </c:pt>
                <c:pt idx="6">
                  <c:v>1.9454956804972336</c:v>
                </c:pt>
                <c:pt idx="7">
                  <c:v>2.5577405784564178</c:v>
                </c:pt>
                <c:pt idx="8">
                  <c:v>2.5577405784564178</c:v>
                </c:pt>
                <c:pt idx="9">
                  <c:v>2.5577405784564178</c:v>
                </c:pt>
                <c:pt idx="10">
                  <c:v>2.522354874280905</c:v>
                </c:pt>
                <c:pt idx="11">
                  <c:v>2.522354874280905</c:v>
                </c:pt>
                <c:pt idx="12">
                  <c:v>1.2800878617085636</c:v>
                </c:pt>
                <c:pt idx="13">
                  <c:v>0.29449519635165455</c:v>
                </c:pt>
                <c:pt idx="14">
                  <c:v>-0.13364240508210884</c:v>
                </c:pt>
                <c:pt idx="15">
                  <c:v>-0.13364240508210884</c:v>
                </c:pt>
                <c:pt idx="16">
                  <c:v>-0.13364240508210884</c:v>
                </c:pt>
                <c:pt idx="17">
                  <c:v>-0.13364240508210884</c:v>
                </c:pt>
                <c:pt idx="18">
                  <c:v>-0.13364240508210884</c:v>
                </c:pt>
                <c:pt idx="19">
                  <c:v>-0.93471713888646701</c:v>
                </c:pt>
                <c:pt idx="20">
                  <c:v>-0.93471713888646701</c:v>
                </c:pt>
                <c:pt idx="21">
                  <c:v>-0.93471713888646701</c:v>
                </c:pt>
                <c:pt idx="22">
                  <c:v>-0.93471713888646701</c:v>
                </c:pt>
                <c:pt idx="23">
                  <c:v>-0.93471713888646701</c:v>
                </c:pt>
                <c:pt idx="24">
                  <c:v>-0.93471713888646701</c:v>
                </c:pt>
                <c:pt idx="25">
                  <c:v>-0.93471713888646701</c:v>
                </c:pt>
                <c:pt idx="26">
                  <c:v>-0.93471713888646701</c:v>
                </c:pt>
                <c:pt idx="27">
                  <c:v>-0.93471713888646701</c:v>
                </c:pt>
                <c:pt idx="28">
                  <c:v>-0.93471713888646701</c:v>
                </c:pt>
                <c:pt idx="29">
                  <c:v>-0.63021254112582636</c:v>
                </c:pt>
                <c:pt idx="30">
                  <c:v>-0.63021254112582636</c:v>
                </c:pt>
                <c:pt idx="31">
                  <c:v>-0.63021254112582636</c:v>
                </c:pt>
                <c:pt idx="32">
                  <c:v>-0.63021254112582636</c:v>
                </c:pt>
                <c:pt idx="33">
                  <c:v>-0.63021254112582636</c:v>
                </c:pt>
                <c:pt idx="34">
                  <c:v>-0.63021254112582636</c:v>
                </c:pt>
                <c:pt idx="35">
                  <c:v>-0.63021254112582636</c:v>
                </c:pt>
                <c:pt idx="36">
                  <c:v>-0.63021254112582636</c:v>
                </c:pt>
                <c:pt idx="37">
                  <c:v>-0.63021254112582636</c:v>
                </c:pt>
                <c:pt idx="38">
                  <c:v>-0.63021254112582636</c:v>
                </c:pt>
                <c:pt idx="39">
                  <c:v>-0.63021254112582636</c:v>
                </c:pt>
                <c:pt idx="40">
                  <c:v>-0.63021254112582636</c:v>
                </c:pt>
                <c:pt idx="41">
                  <c:v>-0.63021254112582636</c:v>
                </c:pt>
                <c:pt idx="42">
                  <c:v>-0.63021254112582636</c:v>
                </c:pt>
                <c:pt idx="43">
                  <c:v>-0.50363026264481181</c:v>
                </c:pt>
                <c:pt idx="44">
                  <c:v>-0.50363026264481181</c:v>
                </c:pt>
                <c:pt idx="45">
                  <c:v>-0.50363026264481181</c:v>
                </c:pt>
                <c:pt idx="46">
                  <c:v>-0.50363026264481181</c:v>
                </c:pt>
                <c:pt idx="47">
                  <c:v>-0.50363026264481181</c:v>
                </c:pt>
                <c:pt idx="48">
                  <c:v>-0.50363026264481181</c:v>
                </c:pt>
                <c:pt idx="49">
                  <c:v>-0.65882782914696958</c:v>
                </c:pt>
                <c:pt idx="50">
                  <c:v>-0.65882782914696958</c:v>
                </c:pt>
                <c:pt idx="51">
                  <c:v>-0.65882782914696958</c:v>
                </c:pt>
                <c:pt idx="52">
                  <c:v>-0.65882782914696958</c:v>
                </c:pt>
                <c:pt idx="53">
                  <c:v>-0.65882782914696958</c:v>
                </c:pt>
                <c:pt idx="54">
                  <c:v>-0.73401118447271563</c:v>
                </c:pt>
                <c:pt idx="55">
                  <c:v>-0.73401118447271563</c:v>
                </c:pt>
                <c:pt idx="56">
                  <c:v>-0.73401118447271563</c:v>
                </c:pt>
                <c:pt idx="57">
                  <c:v>-0.73401118447271563</c:v>
                </c:pt>
                <c:pt idx="58">
                  <c:v>-0.73401118447271563</c:v>
                </c:pt>
                <c:pt idx="59">
                  <c:v>-0.73401118447271563</c:v>
                </c:pt>
                <c:pt idx="60">
                  <c:v>-0.73401118447271563</c:v>
                </c:pt>
                <c:pt idx="61">
                  <c:v>-0.73401118447271563</c:v>
                </c:pt>
                <c:pt idx="62">
                  <c:v>-0.73401118447271563</c:v>
                </c:pt>
                <c:pt idx="63">
                  <c:v>-0.73401118447271563</c:v>
                </c:pt>
                <c:pt idx="64">
                  <c:v>-0.73401118447271563</c:v>
                </c:pt>
                <c:pt idx="65">
                  <c:v>-0.73401118447271563</c:v>
                </c:pt>
                <c:pt idx="66">
                  <c:v>-0.73401118447271563</c:v>
                </c:pt>
                <c:pt idx="67">
                  <c:v>-0.73401118447271563</c:v>
                </c:pt>
                <c:pt idx="68">
                  <c:v>-0.73401118447271563</c:v>
                </c:pt>
                <c:pt idx="69">
                  <c:v>-1.5356143908855402</c:v>
                </c:pt>
                <c:pt idx="70">
                  <c:v>-1.5356143908855402</c:v>
                </c:pt>
                <c:pt idx="71">
                  <c:v>-1.5356143908855402</c:v>
                </c:pt>
                <c:pt idx="72">
                  <c:v>-1.5356143908855402</c:v>
                </c:pt>
                <c:pt idx="73">
                  <c:v>-1.5356143908855402</c:v>
                </c:pt>
                <c:pt idx="74">
                  <c:v>-1.5356143908855402</c:v>
                </c:pt>
                <c:pt idx="75">
                  <c:v>-1.5356143908855402</c:v>
                </c:pt>
                <c:pt idx="76">
                  <c:v>-1.5356143908855402</c:v>
                </c:pt>
                <c:pt idx="77">
                  <c:v>-1.5356143908855402</c:v>
                </c:pt>
                <c:pt idx="78">
                  <c:v>-1.5356143908855402</c:v>
                </c:pt>
                <c:pt idx="79">
                  <c:v>-1.5356143908855402</c:v>
                </c:pt>
                <c:pt idx="80">
                  <c:v>-1.5356143908855402</c:v>
                </c:pt>
                <c:pt idx="81">
                  <c:v>-1.5356143908855402</c:v>
                </c:pt>
                <c:pt idx="82">
                  <c:v>-1.9338571958286772</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9-0378-4901-951A-9CC527A3EBF2}"/>
            </c:ext>
          </c:extLst>
        </c:ser>
        <c:ser>
          <c:idx val="1"/>
          <c:order val="7"/>
          <c:tx>
            <c:v>XLV</c:v>
          </c:tx>
          <c:spPr>
            <a:ln w="28575" cap="rnd">
              <a:solidFill>
                <a:srgbClr val="7030A0"/>
              </a:solidFill>
              <a:prstDash val="solid"/>
              <a:round/>
            </a:ln>
            <a:effectLst/>
          </c:spPr>
          <c:marker>
            <c:symbol val="none"/>
          </c:marker>
          <c:val>
            <c:numRef>
              <c:f>'2025-Q1'!$BX$4:$BX$448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-0.73275720435053893</c:v>
                </c:pt>
                <c:pt idx="52">
                  <c:v>-0.73275720435053893</c:v>
                </c:pt>
                <c:pt idx="53">
                  <c:v>-0.73275720435053893</c:v>
                </c:pt>
                <c:pt idx="54">
                  <c:v>-0.73275720435053893</c:v>
                </c:pt>
                <c:pt idx="55">
                  <c:v>-0.73275720435053893</c:v>
                </c:pt>
                <c:pt idx="56">
                  <c:v>-0.73275720435053893</c:v>
                </c:pt>
                <c:pt idx="57">
                  <c:v>-0.73275720435053893</c:v>
                </c:pt>
                <c:pt idx="58">
                  <c:v>-0.73275720435053893</c:v>
                </c:pt>
                <c:pt idx="59">
                  <c:v>-0.73275720435053893</c:v>
                </c:pt>
                <c:pt idx="60">
                  <c:v>-0.73275720435053893</c:v>
                </c:pt>
                <c:pt idx="61">
                  <c:v>-0.73275720435053893</c:v>
                </c:pt>
                <c:pt idx="62">
                  <c:v>-0.73275720435053893</c:v>
                </c:pt>
                <c:pt idx="63">
                  <c:v>-0.73275720435053893</c:v>
                </c:pt>
                <c:pt idx="64">
                  <c:v>-0.73275720435053893</c:v>
                </c:pt>
                <c:pt idx="65">
                  <c:v>-0.73275720435053893</c:v>
                </c:pt>
                <c:pt idx="66">
                  <c:v>-0.73275720435053893</c:v>
                </c:pt>
                <c:pt idx="67">
                  <c:v>-0.73275720435053893</c:v>
                </c:pt>
                <c:pt idx="68">
                  <c:v>-0.73275720435053893</c:v>
                </c:pt>
                <c:pt idx="69">
                  <c:v>-0.73275720435053893</c:v>
                </c:pt>
                <c:pt idx="70">
                  <c:v>-0.73275720435053893</c:v>
                </c:pt>
                <c:pt idx="71">
                  <c:v>-0.73275720435053893</c:v>
                </c:pt>
                <c:pt idx="72">
                  <c:v>-0.73275720435053893</c:v>
                </c:pt>
                <c:pt idx="73">
                  <c:v>-0.73275720435053893</c:v>
                </c:pt>
                <c:pt idx="74">
                  <c:v>-0.73275720435053893</c:v>
                </c:pt>
                <c:pt idx="75">
                  <c:v>-0.73275720435053893</c:v>
                </c:pt>
                <c:pt idx="76">
                  <c:v>-0.73275720435053893</c:v>
                </c:pt>
                <c:pt idx="77">
                  <c:v>-0.73275720435053893</c:v>
                </c:pt>
                <c:pt idx="78">
                  <c:v>-0.73275720435053893</c:v>
                </c:pt>
                <c:pt idx="79">
                  <c:v>-0.73275720435053893</c:v>
                </c:pt>
                <c:pt idx="80">
                  <c:v>-0.73275720435053893</c:v>
                </c:pt>
                <c:pt idx="81">
                  <c:v>-0.73275720435053893</c:v>
                </c:pt>
                <c:pt idx="82">
                  <c:v>-0.73275720435053893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B-0378-4901-951A-9CC527A3EBF2}"/>
            </c:ext>
          </c:extLst>
        </c:ser>
        <c:ser>
          <c:idx val="2"/>
          <c:order val="8"/>
          <c:tx>
            <c:v>XLB</c:v>
          </c:tx>
          <c:spPr>
            <a:ln w="28575" cap="rnd">
              <a:solidFill>
                <a:schemeClr val="accent2">
                  <a:lumMod val="50000"/>
                </a:schemeClr>
              </a:solidFill>
              <a:prstDash val="solid"/>
              <a:round/>
            </a:ln>
            <a:effectLst/>
          </c:spPr>
          <c:marker>
            <c:symbol val="none"/>
          </c:marker>
          <c:val>
            <c:numRef>
              <c:f>'2025-Q1'!$CE$4:$CE$448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D-0378-4901-951A-9CC527A3EBF2}"/>
            </c:ext>
          </c:extLst>
        </c:ser>
        <c:ser>
          <c:idx val="4"/>
          <c:order val="9"/>
          <c:tx>
            <c:v>SMH</c:v>
          </c:tx>
          <c:spPr>
            <a:ln w="28575" cap="rnd">
              <a:solidFill>
                <a:schemeClr val="accent5"/>
              </a:solidFill>
              <a:round/>
            </a:ln>
            <a:effectLst/>
          </c:spPr>
          <c:marker>
            <c:symbol val="none"/>
          </c:marker>
          <c:val>
            <c:numRef>
              <c:f>'2025-Q1'!$CL$4:$CL$448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11-0378-4901-951A-9CC527A3EBF2}"/>
            </c:ext>
          </c:extLst>
        </c:ser>
        <c:ser>
          <c:idx val="10"/>
          <c:order val="10"/>
          <c:tx>
            <c:v>ALL UP</c:v>
          </c:tx>
          <c:spPr>
            <a:ln w="28575" cap="rnd">
              <a:solidFill>
                <a:srgbClr val="00FF00"/>
              </a:solidFill>
              <a:round/>
            </a:ln>
            <a:effectLst/>
          </c:spPr>
          <c:marker>
            <c:symbol val="none"/>
          </c:marker>
          <c:val>
            <c:numRef>
              <c:f>'2025-Q1'!$U$4:$U$448</c:f>
              <c:numCache>
                <c:formatCode>0.0</c:formatCode>
                <c:ptCount val="445"/>
                <c:pt idx="0">
                  <c:v>0</c:v>
                </c:pt>
                <c:pt idx="1">
                  <c:v>0.96873982416150761</c:v>
                </c:pt>
                <c:pt idx="2">
                  <c:v>0.96873982416150761</c:v>
                </c:pt>
                <c:pt idx="3">
                  <c:v>1.1660701402941029</c:v>
                </c:pt>
                <c:pt idx="4">
                  <c:v>2.1423308510680883</c:v>
                </c:pt>
                <c:pt idx="5">
                  <c:v>2.9142355046587411</c:v>
                </c:pt>
                <c:pt idx="6">
                  <c:v>2.9142355046587411</c:v>
                </c:pt>
                <c:pt idx="7">
                  <c:v>3.5264804026179255</c:v>
                </c:pt>
                <c:pt idx="8">
                  <c:v>3.5264804026179255</c:v>
                </c:pt>
                <c:pt idx="9">
                  <c:v>3.5264804026179255</c:v>
                </c:pt>
                <c:pt idx="10">
                  <c:v>3.4910946984424127</c:v>
                </c:pt>
                <c:pt idx="11">
                  <c:v>3.4910946984424127</c:v>
                </c:pt>
                <c:pt idx="12">
                  <c:v>2.2488276858700713</c:v>
                </c:pt>
                <c:pt idx="13">
                  <c:v>1.2632350205131622</c:v>
                </c:pt>
                <c:pt idx="14">
                  <c:v>0.83509741907939872</c:v>
                </c:pt>
                <c:pt idx="15">
                  <c:v>0.83509741907939872</c:v>
                </c:pt>
                <c:pt idx="16">
                  <c:v>0.83509741907939872</c:v>
                </c:pt>
                <c:pt idx="17">
                  <c:v>0.83509741907939872</c:v>
                </c:pt>
                <c:pt idx="18">
                  <c:v>0.83509741907939872</c:v>
                </c:pt>
                <c:pt idx="19">
                  <c:v>3.4022685275040598E-2</c:v>
                </c:pt>
                <c:pt idx="20">
                  <c:v>3.4022685275040598E-2</c:v>
                </c:pt>
                <c:pt idx="21">
                  <c:v>3.4022685275040598E-2</c:v>
                </c:pt>
                <c:pt idx="22">
                  <c:v>3.4022685275040598E-2</c:v>
                </c:pt>
                <c:pt idx="23">
                  <c:v>3.4022685275040598E-2</c:v>
                </c:pt>
                <c:pt idx="24">
                  <c:v>0.56227908462269494</c:v>
                </c:pt>
                <c:pt idx="25">
                  <c:v>0.56227908462269494</c:v>
                </c:pt>
                <c:pt idx="26">
                  <c:v>0.56227908462269494</c:v>
                </c:pt>
                <c:pt idx="27">
                  <c:v>0.56227908462269494</c:v>
                </c:pt>
                <c:pt idx="28">
                  <c:v>0.56227908462269494</c:v>
                </c:pt>
                <c:pt idx="29">
                  <c:v>0.86678368238333559</c:v>
                </c:pt>
                <c:pt idx="30">
                  <c:v>1.6705597711757108</c:v>
                </c:pt>
                <c:pt idx="31">
                  <c:v>1.6705597711757108</c:v>
                </c:pt>
                <c:pt idx="32">
                  <c:v>1.6705597711757108</c:v>
                </c:pt>
                <c:pt idx="33">
                  <c:v>1.6705597711757108</c:v>
                </c:pt>
                <c:pt idx="34">
                  <c:v>1.6705597711757108</c:v>
                </c:pt>
                <c:pt idx="35">
                  <c:v>2.2314572070731464</c:v>
                </c:pt>
                <c:pt idx="36">
                  <c:v>2.9029826929550708</c:v>
                </c:pt>
                <c:pt idx="37">
                  <c:v>2.9029826929550708</c:v>
                </c:pt>
                <c:pt idx="38">
                  <c:v>2.9029826929550708</c:v>
                </c:pt>
                <c:pt idx="39">
                  <c:v>2.9029826929550708</c:v>
                </c:pt>
                <c:pt idx="40">
                  <c:v>3.3588433120096277</c:v>
                </c:pt>
                <c:pt idx="41">
                  <c:v>3.3588433120096277</c:v>
                </c:pt>
                <c:pt idx="42">
                  <c:v>3.3588433120096277</c:v>
                </c:pt>
                <c:pt idx="43">
                  <c:v>3.4854255904906424</c:v>
                </c:pt>
                <c:pt idx="44">
                  <c:v>3.4854255904906424</c:v>
                </c:pt>
                <c:pt idx="45">
                  <c:v>4.6392445187839799</c:v>
                </c:pt>
                <c:pt idx="46">
                  <c:v>4.6392445187839799</c:v>
                </c:pt>
                <c:pt idx="47">
                  <c:v>4.6392445187839799</c:v>
                </c:pt>
                <c:pt idx="48">
                  <c:v>4.6392445187839799</c:v>
                </c:pt>
                <c:pt idx="49">
                  <c:v>4.4840469522818225</c:v>
                </c:pt>
                <c:pt idx="50">
                  <c:v>4.4840469522818225</c:v>
                </c:pt>
                <c:pt idx="51">
                  <c:v>3.7512897479312834</c:v>
                </c:pt>
                <c:pt idx="52">
                  <c:v>3.7512897479312834</c:v>
                </c:pt>
                <c:pt idx="53">
                  <c:v>3.7512897479312834</c:v>
                </c:pt>
                <c:pt idx="54">
                  <c:v>3.6761063926055373</c:v>
                </c:pt>
                <c:pt idx="55">
                  <c:v>3.6761063926055373</c:v>
                </c:pt>
                <c:pt idx="56">
                  <c:v>3.6761063926055373</c:v>
                </c:pt>
                <c:pt idx="57">
                  <c:v>4.2482894911970863</c:v>
                </c:pt>
                <c:pt idx="58">
                  <c:v>4.2482894911970863</c:v>
                </c:pt>
                <c:pt idx="59">
                  <c:v>4.2482894911970863</c:v>
                </c:pt>
                <c:pt idx="60">
                  <c:v>4.2482894911970863</c:v>
                </c:pt>
                <c:pt idx="61">
                  <c:v>4.2482894911970863</c:v>
                </c:pt>
                <c:pt idx="62">
                  <c:v>4.2482894911970863</c:v>
                </c:pt>
                <c:pt idx="63">
                  <c:v>4.2482894911970863</c:v>
                </c:pt>
                <c:pt idx="64">
                  <c:v>4.9471324943218224</c:v>
                </c:pt>
                <c:pt idx="65">
                  <c:v>3.7514539315638693</c:v>
                </c:pt>
                <c:pt idx="66">
                  <c:v>3.1828068566844223</c:v>
                </c:pt>
                <c:pt idx="67">
                  <c:v>3.1828068566844223</c:v>
                </c:pt>
                <c:pt idx="68">
                  <c:v>3.1828068566844223</c:v>
                </c:pt>
                <c:pt idx="69">
                  <c:v>2.3812036502715976</c:v>
                </c:pt>
                <c:pt idx="70">
                  <c:v>2.3812036502715976</c:v>
                </c:pt>
                <c:pt idx="71">
                  <c:v>2.3812036502715976</c:v>
                </c:pt>
                <c:pt idx="72">
                  <c:v>2.3812036502715976</c:v>
                </c:pt>
                <c:pt idx="73">
                  <c:v>2.3812036502715976</c:v>
                </c:pt>
                <c:pt idx="74">
                  <c:v>2.3812036502715976</c:v>
                </c:pt>
                <c:pt idx="75">
                  <c:v>4.6848271610729206</c:v>
                </c:pt>
                <c:pt idx="76">
                  <c:v>4.6848271610729206</c:v>
                </c:pt>
                <c:pt idx="77">
                  <c:v>4.6848271610729206</c:v>
                </c:pt>
                <c:pt idx="78">
                  <c:v>4.6848271610729206</c:v>
                </c:pt>
                <c:pt idx="79">
                  <c:v>5.0105509606997058</c:v>
                </c:pt>
                <c:pt idx="80">
                  <c:v>5.0105509606997058</c:v>
                </c:pt>
                <c:pt idx="81">
                  <c:v>5.0105509606997058</c:v>
                </c:pt>
                <c:pt idx="82">
                  <c:v>4.6123081557565691</c:v>
                </c:pt>
                <c:pt idx="83">
                  <c:v>4.6123081557565691</c:v>
                </c:pt>
                <c:pt idx="84">
                  <c:v>5.8745893711902353</c:v>
                </c:pt>
                <c:pt idx="85">
                  <c:v>5.8745893711902353</c:v>
                </c:pt>
                <c:pt idx="86">
                  <c:v>5.8745893711902353</c:v>
                </c:pt>
                <c:pt idx="87">
                  <c:v>6.6545053455719394</c:v>
                </c:pt>
                <c:pt idx="88">
                  <c:v>6.6545053455719394</c:v>
                </c:pt>
                <c:pt idx="89">
                  <c:v>6.6545053455719394</c:v>
                </c:pt>
                <c:pt idx="90">
                  <c:v>6.6545053455719394</c:v>
                </c:pt>
                <c:pt idx="91">
                  <c:v>6.6545053455719394</c:v>
                </c:pt>
                <c:pt idx="92">
                  <c:v>6.836493186002218</c:v>
                </c:pt>
                <c:pt idx="93">
                  <c:v>7.0037334361813262</c:v>
                </c:pt>
                <c:pt idx="94">
                  <c:v>7.0037334361813262</c:v>
                </c:pt>
                <c:pt idx="95">
                  <c:v>6.8206151941164483</c:v>
                </c:pt>
                <c:pt idx="96">
                  <c:v>6.8206151941164483</c:v>
                </c:pt>
                <c:pt idx="97">
                  <c:v>6.8206151941164483</c:v>
                </c:pt>
                <c:pt idx="98">
                  <c:v>6.8206151941164483</c:v>
                </c:pt>
                <c:pt idx="99">
                  <c:v>7.3105072938311952</c:v>
                </c:pt>
                <c:pt idx="100">
                  <c:v>7.4987968953861044</c:v>
                </c:pt>
                <c:pt idx="101">
                  <c:v>7.7343490944726661</c:v>
                </c:pt>
                <c:pt idx="102">
                  <c:v>7.7343490944726661</c:v>
                </c:pt>
                <c:pt idx="103">
                  <c:v>7.7343490944726661</c:v>
                </c:pt>
                <c:pt idx="104">
                  <c:v>7.7343490944726661</c:v>
                </c:pt>
                <c:pt idx="105">
                  <c:v>7.7343490944726661</c:v>
                </c:pt>
                <c:pt idx="106">
                  <c:v>7.7343490944726661</c:v>
                </c:pt>
                <c:pt idx="107">
                  <c:v>7.7343490944726661</c:v>
                </c:pt>
                <c:pt idx="108">
                  <c:v>7.7343490944726661</c:v>
                </c:pt>
                <c:pt idx="109">
                  <c:v>7.7343490944726661</c:v>
                </c:pt>
                <c:pt idx="110">
                  <c:v>7.7343490944726661</c:v>
                </c:pt>
                <c:pt idx="111">
                  <c:v>7.7343490944726661</c:v>
                </c:pt>
                <c:pt idx="112">
                  <c:v>7.7343490944726661</c:v>
                </c:pt>
                <c:pt idx="113">
                  <c:v>7.7343490944726661</c:v>
                </c:pt>
                <c:pt idx="114">
                  <c:v>7.7343490944726661</c:v>
                </c:pt>
                <c:pt idx="115">
                  <c:v>7.7343490944726661</c:v>
                </c:pt>
                <c:pt idx="116">
                  <c:v>7.7343490944726661</c:v>
                </c:pt>
                <c:pt idx="117">
                  <c:v>7.6560773349235101</c:v>
                </c:pt>
                <c:pt idx="118">
                  <c:v>7.6560773349235101</c:v>
                </c:pt>
                <c:pt idx="119">
                  <c:v>7.6560773349235101</c:v>
                </c:pt>
                <c:pt idx="120">
                  <c:v>7.6560773349235101</c:v>
                </c:pt>
                <c:pt idx="121">
                  <c:v>7.6560773349235101</c:v>
                </c:pt>
                <c:pt idx="122">
                  <c:v>7.6560773349235101</c:v>
                </c:pt>
                <c:pt idx="123">
                  <c:v>7.6560773349235101</c:v>
                </c:pt>
                <c:pt idx="124">
                  <c:v>7.6560773349235101</c:v>
                </c:pt>
                <c:pt idx="125">
                  <c:v>7.6560773349235101</c:v>
                </c:pt>
                <c:pt idx="126">
                  <c:v>7.708387709814529</c:v>
                </c:pt>
                <c:pt idx="127">
                  <c:v>7.708387709814529</c:v>
                </c:pt>
                <c:pt idx="128">
                  <c:v>7.8745442467624969</c:v>
                </c:pt>
                <c:pt idx="129">
                  <c:v>7.8745442467624969</c:v>
                </c:pt>
                <c:pt idx="130">
                  <c:v>7.8745442467624969</c:v>
                </c:pt>
                <c:pt idx="131">
                  <c:v>7.8745442467624969</c:v>
                </c:pt>
                <c:pt idx="132">
                  <c:v>8.4350823633544252</c:v>
                </c:pt>
                <c:pt idx="133">
                  <c:v>8.4350823633544252</c:v>
                </c:pt>
                <c:pt idx="134">
                  <c:v>8.4350823633544252</c:v>
                </c:pt>
                <c:pt idx="135">
                  <c:v>8.4350823633544252</c:v>
                </c:pt>
                <c:pt idx="136">
                  <c:v>6.4173930322322565</c:v>
                </c:pt>
                <c:pt idx="137">
                  <c:v>6.4173930322322565</c:v>
                </c:pt>
                <c:pt idx="138">
                  <c:v>6.4173930322322565</c:v>
                </c:pt>
                <c:pt idx="139">
                  <c:v>6.4173930322322565</c:v>
                </c:pt>
                <c:pt idx="140">
                  <c:v>9.7613400884849888</c:v>
                </c:pt>
                <c:pt idx="141">
                  <c:v>9.7613400884849888</c:v>
                </c:pt>
                <c:pt idx="142">
                  <c:v>9.7613400884849888</c:v>
                </c:pt>
                <c:pt idx="143">
                  <c:v>9.7613400884849888</c:v>
                </c:pt>
                <c:pt idx="144">
                  <c:v>9.7613400884849888</c:v>
                </c:pt>
                <c:pt idx="145">
                  <c:v>9.7613400884849888</c:v>
                </c:pt>
                <c:pt idx="146">
                  <c:v>9.7613400884849888</c:v>
                </c:pt>
                <c:pt idx="147">
                  <c:v>9.7613400884849888</c:v>
                </c:pt>
                <c:pt idx="148">
                  <c:v>9.7613400884849888</c:v>
                </c:pt>
                <c:pt idx="149">
                  <c:v>9.7613400884849888</c:v>
                </c:pt>
                <c:pt idx="150">
                  <c:v>9.7613400884849888</c:v>
                </c:pt>
                <c:pt idx="151">
                  <c:v>9.7613400884849888</c:v>
                </c:pt>
                <c:pt idx="152">
                  <c:v>9.7613400884849888</c:v>
                </c:pt>
                <c:pt idx="153">
                  <c:v>9.1974669982652948</c:v>
                </c:pt>
                <c:pt idx="154">
                  <c:v>9.1974669982652948</c:v>
                </c:pt>
                <c:pt idx="155">
                  <c:v>9.1974669982652948</c:v>
                </c:pt>
                <c:pt idx="156">
                  <c:v>9.1974669982652948</c:v>
                </c:pt>
                <c:pt idx="157">
                  <c:v>9.1974669982652948</c:v>
                </c:pt>
                <c:pt idx="158">
                  <c:v>12.990954777900674</c:v>
                </c:pt>
                <c:pt idx="159">
                  <c:v>12.990954777900674</c:v>
                </c:pt>
                <c:pt idx="160">
                  <c:v>12.990954777900674</c:v>
                </c:pt>
                <c:pt idx="161">
                  <c:v>12.990954777900674</c:v>
                </c:pt>
                <c:pt idx="162">
                  <c:v>12.990954777900674</c:v>
                </c:pt>
                <c:pt idx="163">
                  <c:v>12.990954777900674</c:v>
                </c:pt>
                <c:pt idx="164">
                  <c:v>12.990954777900674</c:v>
                </c:pt>
                <c:pt idx="165">
                  <c:v>12.853104024316556</c:v>
                </c:pt>
                <c:pt idx="166">
                  <c:v>11.503161745986388</c:v>
                </c:pt>
                <c:pt idx="167">
                  <c:v>11.503161745986388</c:v>
                </c:pt>
                <c:pt idx="168">
                  <c:v>11.503161745986388</c:v>
                </c:pt>
                <c:pt idx="169">
                  <c:v>11.503161745986388</c:v>
                </c:pt>
                <c:pt idx="170">
                  <c:v>11.503161745986388</c:v>
                </c:pt>
                <c:pt idx="171">
                  <c:v>12.325846424092756</c:v>
                </c:pt>
                <c:pt idx="172">
                  <c:v>11.387347820248037</c:v>
                </c:pt>
                <c:pt idx="173">
                  <c:v>11.387347820248037</c:v>
                </c:pt>
                <c:pt idx="174">
                  <c:v>11.387347820248037</c:v>
                </c:pt>
                <c:pt idx="175">
                  <c:v>11.387347820248037</c:v>
                </c:pt>
                <c:pt idx="176">
                  <c:v>11.387347820248037</c:v>
                </c:pt>
                <c:pt idx="177">
                  <c:v>11.387347820248037</c:v>
                </c:pt>
                <c:pt idx="178">
                  <c:v>12.464802587477148</c:v>
                </c:pt>
                <c:pt idx="179">
                  <c:v>12.464802587477148</c:v>
                </c:pt>
                <c:pt idx="180">
                  <c:v>12.464802587477148</c:v>
                </c:pt>
                <c:pt idx="181">
                  <c:v>12.464802587477148</c:v>
                </c:pt>
                <c:pt idx="182">
                  <c:v>12.464802587477148</c:v>
                </c:pt>
                <c:pt idx="183">
                  <c:v>11.292495043304985</c:v>
                </c:pt>
                <c:pt idx="184">
                  <c:v>11.292495043304985</c:v>
                </c:pt>
                <c:pt idx="185">
                  <c:v>11.292495043304985</c:v>
                </c:pt>
                <c:pt idx="186">
                  <c:v>11.292495043304985</c:v>
                </c:pt>
                <c:pt idx="187">
                  <c:v>11.292495043304985</c:v>
                </c:pt>
                <c:pt idx="188">
                  <c:v>11.292495043304985</c:v>
                </c:pt>
                <c:pt idx="189">
                  <c:v>11.292495043304985</c:v>
                </c:pt>
                <c:pt idx="190">
                  <c:v>11.292495043304985</c:v>
                </c:pt>
                <c:pt idx="191">
                  <c:v>11.292495043304985</c:v>
                </c:pt>
                <c:pt idx="192">
                  <c:v>11.292495043304985</c:v>
                </c:pt>
                <c:pt idx="193">
                  <c:v>11.292495043304985</c:v>
                </c:pt>
                <c:pt idx="194">
                  <c:v>11.292495043304985</c:v>
                </c:pt>
                <c:pt idx="195">
                  <c:v>11.292495043304985</c:v>
                </c:pt>
                <c:pt idx="196">
                  <c:v>11.292495043304985</c:v>
                </c:pt>
                <c:pt idx="197">
                  <c:v>11.292495043304985</c:v>
                </c:pt>
                <c:pt idx="198">
                  <c:v>11.292495043304985</c:v>
                </c:pt>
                <c:pt idx="199">
                  <c:v>11.292495043304985</c:v>
                </c:pt>
                <c:pt idx="200">
                  <c:v>9.3630523370972121</c:v>
                </c:pt>
                <c:pt idx="201">
                  <c:v>9.3630523370972121</c:v>
                </c:pt>
                <c:pt idx="202">
                  <c:v>9.3630523370972121</c:v>
                </c:pt>
                <c:pt idx="203">
                  <c:v>9.2664713056117947</c:v>
                </c:pt>
                <c:pt idx="204">
                  <c:v>10.059269986096032</c:v>
                </c:pt>
                <c:pt idx="205">
                  <c:v>10.059269986096032</c:v>
                </c:pt>
                <c:pt idx="206">
                  <c:v>10.059269986096032</c:v>
                </c:pt>
                <c:pt idx="207">
                  <c:v>10.059269986096032</c:v>
                </c:pt>
                <c:pt idx="208">
                  <c:v>10.242121677474179</c:v>
                </c:pt>
                <c:pt idx="209">
                  <c:v>10.242121677474179</c:v>
                </c:pt>
                <c:pt idx="210">
                  <c:v>10.242121677474179</c:v>
                </c:pt>
                <c:pt idx="211">
                  <c:v>10.242121677474179</c:v>
                </c:pt>
                <c:pt idx="212">
                  <c:v>10.242121677474179</c:v>
                </c:pt>
                <c:pt idx="213">
                  <c:v>10.242121677474179</c:v>
                </c:pt>
                <c:pt idx="214">
                  <c:v>10.242121677474179</c:v>
                </c:pt>
                <c:pt idx="215">
                  <c:v>10.242121677474179</c:v>
                </c:pt>
                <c:pt idx="216">
                  <c:v>10.242121677474179</c:v>
                </c:pt>
                <c:pt idx="217">
                  <c:v>10.242121677474179</c:v>
                </c:pt>
                <c:pt idx="218">
                  <c:v>10.242121677474179</c:v>
                </c:pt>
                <c:pt idx="219">
                  <c:v>10.242121677474179</c:v>
                </c:pt>
                <c:pt idx="220">
                  <c:v>10.242121677474179</c:v>
                </c:pt>
                <c:pt idx="221">
                  <c:v>10.176833888902154</c:v>
                </c:pt>
                <c:pt idx="222">
                  <c:v>10.294457493367863</c:v>
                </c:pt>
                <c:pt idx="223">
                  <c:v>9.8446328777985279</c:v>
                </c:pt>
                <c:pt idx="224">
                  <c:v>9.8446328777985279</c:v>
                </c:pt>
                <c:pt idx="225">
                  <c:v>9.8446328777985279</c:v>
                </c:pt>
                <c:pt idx="226">
                  <c:v>9.8446328777985279</c:v>
                </c:pt>
                <c:pt idx="227">
                  <c:v>10.712061678440325</c:v>
                </c:pt>
                <c:pt idx="228">
                  <c:v>10.712061678440325</c:v>
                </c:pt>
                <c:pt idx="229">
                  <c:v>10.712061678440325</c:v>
                </c:pt>
                <c:pt idx="230">
                  <c:v>10.712061678440325</c:v>
                </c:pt>
                <c:pt idx="231">
                  <c:v>10.85290293409429</c:v>
                </c:pt>
                <c:pt idx="232">
                  <c:v>10.85290293409429</c:v>
                </c:pt>
                <c:pt idx="233">
                  <c:v>10.85290293409429</c:v>
                </c:pt>
                <c:pt idx="234">
                  <c:v>10.85290293409429</c:v>
                </c:pt>
                <c:pt idx="235">
                  <c:v>10.85290293409429</c:v>
                </c:pt>
                <c:pt idx="236">
                  <c:v>12.756501447862298</c:v>
                </c:pt>
                <c:pt idx="237">
                  <c:v>12.756501447862298</c:v>
                </c:pt>
                <c:pt idx="238">
                  <c:v>12.756501447862298</c:v>
                </c:pt>
                <c:pt idx="239">
                  <c:v>12.103344522724129</c:v>
                </c:pt>
                <c:pt idx="240">
                  <c:v>12.604277939027801</c:v>
                </c:pt>
                <c:pt idx="241">
                  <c:v>12.443189340298501</c:v>
                </c:pt>
                <c:pt idx="242">
                  <c:v>11.660387849507131</c:v>
                </c:pt>
                <c:pt idx="243">
                  <c:v>11.649399548815515</c:v>
                </c:pt>
                <c:pt idx="244">
                  <c:v>11.649399548815515</c:v>
                </c:pt>
                <c:pt idx="245">
                  <c:v>11.649399548815515</c:v>
                </c:pt>
                <c:pt idx="246">
                  <c:v>11.649399548815515</c:v>
                </c:pt>
                <c:pt idx="247">
                  <c:v>11.649399548815515</c:v>
                </c:pt>
                <c:pt idx="248">
                  <c:v>11.649399548815515</c:v>
                </c:pt>
                <c:pt idx="249">
                  <c:v>11.649399548815515</c:v>
                </c:pt>
                <c:pt idx="250">
                  <c:v>11.649399548815515</c:v>
                </c:pt>
                <c:pt idx="251">
                  <c:v>11.848740855801125</c:v>
                </c:pt>
                <c:pt idx="252">
                  <c:v>11.848740855801125</c:v>
                </c:pt>
                <c:pt idx="253">
                  <c:v>15.112572962642227</c:v>
                </c:pt>
                <c:pt idx="254">
                  <c:v>17.555678719000994</c:v>
                </c:pt>
                <c:pt idx="255">
                  <c:v>17.555678719000994</c:v>
                </c:pt>
                <c:pt idx="256">
                  <c:v>17.555678719000994</c:v>
                </c:pt>
                <c:pt idx="257">
                  <c:v>17.555678719000994</c:v>
                </c:pt>
                <c:pt idx="258">
                  <c:v>17.555678719000994</c:v>
                </c:pt>
                <c:pt idx="259">
                  <c:v>17.113941918766518</c:v>
                </c:pt>
                <c:pt idx="260">
                  <c:v>17.87231344919687</c:v>
                </c:pt>
                <c:pt idx="261">
                  <c:v>17.87231344919687</c:v>
                </c:pt>
                <c:pt idx="262">
                  <c:v>17.87231344919687</c:v>
                </c:pt>
                <c:pt idx="263">
                  <c:v>17.87231344919687</c:v>
                </c:pt>
                <c:pt idx="264">
                  <c:v>17.87231344919687</c:v>
                </c:pt>
                <c:pt idx="265">
                  <c:v>17.87231344919687</c:v>
                </c:pt>
                <c:pt idx="266">
                  <c:v>17.87231344919687</c:v>
                </c:pt>
                <c:pt idx="267">
                  <c:v>17.681560428940717</c:v>
                </c:pt>
                <c:pt idx="268">
                  <c:v>17.681560428940717</c:v>
                </c:pt>
                <c:pt idx="269">
                  <c:v>17.748427630277256</c:v>
                </c:pt>
                <c:pt idx="270">
                  <c:v>17.748427630277256</c:v>
                </c:pt>
                <c:pt idx="271">
                  <c:v>17.748427630277256</c:v>
                </c:pt>
                <c:pt idx="272">
                  <c:v>17.579398395902857</c:v>
                </c:pt>
                <c:pt idx="273">
                  <c:v>17.579398395902857</c:v>
                </c:pt>
                <c:pt idx="274">
                  <c:v>17.579398395902857</c:v>
                </c:pt>
                <c:pt idx="275">
                  <c:v>17.579398395902857</c:v>
                </c:pt>
                <c:pt idx="276">
                  <c:v>17.579398395902857</c:v>
                </c:pt>
                <c:pt idx="277">
                  <c:v>17.579398395902857</c:v>
                </c:pt>
                <c:pt idx="278">
                  <c:v>16.86061589193395</c:v>
                </c:pt>
                <c:pt idx="279">
                  <c:v>16.86061589193395</c:v>
                </c:pt>
                <c:pt idx="280">
                  <c:v>16.86061589193395</c:v>
                </c:pt>
                <c:pt idx="281">
                  <c:v>16.86061589193395</c:v>
                </c:pt>
                <c:pt idx="282">
                  <c:v>16.86061589193395</c:v>
                </c:pt>
                <c:pt idx="283">
                  <c:v>16.86061589193395</c:v>
                </c:pt>
                <c:pt idx="284">
                  <c:v>16.86061589193395</c:v>
                </c:pt>
                <c:pt idx="285">
                  <c:v>16.86061589193395</c:v>
                </c:pt>
                <c:pt idx="286">
                  <c:v>17.831422354731259</c:v>
                </c:pt>
                <c:pt idx="287">
                  <c:v>17.831422354731259</c:v>
                </c:pt>
                <c:pt idx="288">
                  <c:v>17.831422354731259</c:v>
                </c:pt>
                <c:pt idx="289">
                  <c:v>17.831422354731259</c:v>
                </c:pt>
                <c:pt idx="290">
                  <c:v>17.831422354731259</c:v>
                </c:pt>
                <c:pt idx="291">
                  <c:v>18.67128797623182</c:v>
                </c:pt>
                <c:pt idx="292">
                  <c:v>18.955339712256752</c:v>
                </c:pt>
                <c:pt idx="293">
                  <c:v>18.955339712256752</c:v>
                </c:pt>
                <c:pt idx="294">
                  <c:v>18.955339712256752</c:v>
                </c:pt>
                <c:pt idx="295">
                  <c:v>18.955339712256752</c:v>
                </c:pt>
                <c:pt idx="296">
                  <c:v>18.955339712256752</c:v>
                </c:pt>
                <c:pt idx="297">
                  <c:v>17.664417808227025</c:v>
                </c:pt>
                <c:pt idx="298">
                  <c:v>17.664417808227025</c:v>
                </c:pt>
                <c:pt idx="299">
                  <c:v>17.664417808227025</c:v>
                </c:pt>
                <c:pt idx="300">
                  <c:v>16.967386053187422</c:v>
                </c:pt>
                <c:pt idx="301">
                  <c:v>16.967386053187422</c:v>
                </c:pt>
                <c:pt idx="302">
                  <c:v>17.918929312422989</c:v>
                </c:pt>
                <c:pt idx="303">
                  <c:v>17.918929312422989</c:v>
                </c:pt>
                <c:pt idx="304">
                  <c:v>17.918929312422989</c:v>
                </c:pt>
                <c:pt idx="305">
                  <c:v>17.918929312422989</c:v>
                </c:pt>
                <c:pt idx="306">
                  <c:v>17.918929312422989</c:v>
                </c:pt>
                <c:pt idx="307">
                  <c:v>17.918929312422989</c:v>
                </c:pt>
                <c:pt idx="308">
                  <c:v>23.134712512535174</c:v>
                </c:pt>
                <c:pt idx="309">
                  <c:v>23.552500314582236</c:v>
                </c:pt>
                <c:pt idx="310">
                  <c:v>22.780998999602659</c:v>
                </c:pt>
                <c:pt idx="311">
                  <c:v>22.780998999602659</c:v>
                </c:pt>
                <c:pt idx="312">
                  <c:v>22.462212729532133</c:v>
                </c:pt>
                <c:pt idx="313">
                  <c:v>22.462212729532133</c:v>
                </c:pt>
                <c:pt idx="314">
                  <c:v>22.462212729532133</c:v>
                </c:pt>
                <c:pt idx="315">
                  <c:v>22.462212729532133</c:v>
                </c:pt>
                <c:pt idx="316">
                  <c:v>22.462212729532133</c:v>
                </c:pt>
                <c:pt idx="317">
                  <c:v>22.462212729532133</c:v>
                </c:pt>
                <c:pt idx="318">
                  <c:v>22.462212729532133</c:v>
                </c:pt>
                <c:pt idx="319">
                  <c:v>22.462212729532133</c:v>
                </c:pt>
                <c:pt idx="320">
                  <c:v>22.462212729532133</c:v>
                </c:pt>
                <c:pt idx="321">
                  <c:v>22.462212729532133</c:v>
                </c:pt>
                <c:pt idx="322">
                  <c:v>22.762151850799597</c:v>
                </c:pt>
                <c:pt idx="323">
                  <c:v>22.762151850799597</c:v>
                </c:pt>
                <c:pt idx="324">
                  <c:v>22.762151850799597</c:v>
                </c:pt>
                <c:pt idx="325">
                  <c:v>21.367120327321665</c:v>
                </c:pt>
                <c:pt idx="326">
                  <c:v>19.19648137254174</c:v>
                </c:pt>
                <c:pt idx="327">
                  <c:v>19.19648137254174</c:v>
                </c:pt>
                <c:pt idx="328">
                  <c:v>19.19648137254174</c:v>
                </c:pt>
                <c:pt idx="329">
                  <c:v>19.19648137254174</c:v>
                </c:pt>
                <c:pt idx="330">
                  <c:v>19.19648137254174</c:v>
                </c:pt>
                <c:pt idx="331">
                  <c:v>19.19648137254174</c:v>
                </c:pt>
                <c:pt idx="332">
                  <c:v>18.325526374876258</c:v>
                </c:pt>
                <c:pt idx="333">
                  <c:v>18.325526374876258</c:v>
                </c:pt>
                <c:pt idx="334">
                  <c:v>18.325526374876258</c:v>
                </c:pt>
                <c:pt idx="335">
                  <c:v>18.325526374876258</c:v>
                </c:pt>
                <c:pt idx="336">
                  <c:v>18.325526374876258</c:v>
                </c:pt>
                <c:pt idx="337">
                  <c:v>18.325526374876258</c:v>
                </c:pt>
                <c:pt idx="338">
                  <c:v>18.69431278866081</c:v>
                </c:pt>
                <c:pt idx="339">
                  <c:v>18.69431278866081</c:v>
                </c:pt>
                <c:pt idx="340">
                  <c:v>18.69431278866081</c:v>
                </c:pt>
                <c:pt idx="341">
                  <c:v>18.69431278866081</c:v>
                </c:pt>
                <c:pt idx="342">
                  <c:v>18.69431278866081</c:v>
                </c:pt>
                <c:pt idx="343">
                  <c:v>18.69431278866081</c:v>
                </c:pt>
                <c:pt idx="344">
                  <c:v>18.69431278866081</c:v>
                </c:pt>
                <c:pt idx="345">
                  <c:v>18.69431278866081</c:v>
                </c:pt>
                <c:pt idx="346">
                  <c:v>18.69431278866081</c:v>
                </c:pt>
                <c:pt idx="347">
                  <c:v>18.69431278866081</c:v>
                </c:pt>
                <c:pt idx="348">
                  <c:v>17.410624845398399</c:v>
                </c:pt>
                <c:pt idx="349">
                  <c:v>17.410624845398399</c:v>
                </c:pt>
                <c:pt idx="350">
                  <c:v>16.574086383859939</c:v>
                </c:pt>
                <c:pt idx="351">
                  <c:v>16.574086383859939</c:v>
                </c:pt>
                <c:pt idx="352">
                  <c:v>16.574086383859939</c:v>
                </c:pt>
                <c:pt idx="353">
                  <c:v>16.574086383859939</c:v>
                </c:pt>
                <c:pt idx="354">
                  <c:v>16.574086383859939</c:v>
                </c:pt>
                <c:pt idx="355">
                  <c:v>15.103783024826967</c:v>
                </c:pt>
                <c:pt idx="356">
                  <c:v>15.103783024826967</c:v>
                </c:pt>
                <c:pt idx="357">
                  <c:v>15.103783024826967</c:v>
                </c:pt>
                <c:pt idx="358">
                  <c:v>15.103783024826967</c:v>
                </c:pt>
                <c:pt idx="359">
                  <c:v>15.590696540233131</c:v>
                </c:pt>
                <c:pt idx="360">
                  <c:v>14.900419388753717</c:v>
                </c:pt>
                <c:pt idx="361">
                  <c:v>14.900419388753717</c:v>
                </c:pt>
                <c:pt idx="362">
                  <c:v>13.67185393496869</c:v>
                </c:pt>
                <c:pt idx="363">
                  <c:v>13.67185393496869</c:v>
                </c:pt>
                <c:pt idx="364">
                  <c:v>13.67185393496869</c:v>
                </c:pt>
                <c:pt idx="365">
                  <c:v>13.67185393496869</c:v>
                </c:pt>
                <c:pt idx="366">
                  <c:v>13.67185393496869</c:v>
                </c:pt>
                <c:pt idx="367">
                  <c:v>13.67185393496869</c:v>
                </c:pt>
                <c:pt idx="368">
                  <c:v>13.67185393496869</c:v>
                </c:pt>
                <c:pt idx="369">
                  <c:v>13.67185393496869</c:v>
                </c:pt>
                <c:pt idx="370">
                  <c:v>13.67185393496869</c:v>
                </c:pt>
                <c:pt idx="371">
                  <c:v>13.67185393496869</c:v>
                </c:pt>
                <c:pt idx="372">
                  <c:v>13.67185393496869</c:v>
                </c:pt>
                <c:pt idx="373">
                  <c:v>11.683887388414128</c:v>
                </c:pt>
                <c:pt idx="374">
                  <c:v>11.683887388414128</c:v>
                </c:pt>
                <c:pt idx="375">
                  <c:v>11.683887388414128</c:v>
                </c:pt>
                <c:pt idx="376">
                  <c:v>11.683887388414128</c:v>
                </c:pt>
                <c:pt idx="377">
                  <c:v>11.683887388414128</c:v>
                </c:pt>
                <c:pt idx="378">
                  <c:v>11.683887388414128</c:v>
                </c:pt>
                <c:pt idx="379">
                  <c:v>11.683887388414128</c:v>
                </c:pt>
                <c:pt idx="380">
                  <c:v>11.683887388414128</c:v>
                </c:pt>
                <c:pt idx="381">
                  <c:v>11.683887388414128</c:v>
                </c:pt>
                <c:pt idx="382">
                  <c:v>10.514761942459062</c:v>
                </c:pt>
                <c:pt idx="383">
                  <c:v>10.514761942459062</c:v>
                </c:pt>
                <c:pt idx="384">
                  <c:v>10.514761942459062</c:v>
                </c:pt>
                <c:pt idx="385">
                  <c:v>10.514761942459062</c:v>
                </c:pt>
                <c:pt idx="386">
                  <c:v>10.514761942459062</c:v>
                </c:pt>
                <c:pt idx="387">
                  <c:v>10.514761942459062</c:v>
                </c:pt>
                <c:pt idx="388">
                  <c:v>10.514761942459062</c:v>
                </c:pt>
                <c:pt idx="389">
                  <c:v>10.514761942459062</c:v>
                </c:pt>
                <c:pt idx="390">
                  <c:v>10.514761942459062</c:v>
                </c:pt>
                <c:pt idx="391">
                  <c:v>10.514761942459062</c:v>
                </c:pt>
                <c:pt idx="392">
                  <c:v>10.514761942459062</c:v>
                </c:pt>
                <c:pt idx="393">
                  <c:v>10.514761942459062</c:v>
                </c:pt>
                <c:pt idx="394">
                  <c:v>10.514761942459062</c:v>
                </c:pt>
                <c:pt idx="395">
                  <c:v>10.01739856757891</c:v>
                </c:pt>
                <c:pt idx="396">
                  <c:v>10.01739856757891</c:v>
                </c:pt>
                <c:pt idx="397">
                  <c:v>10.01739856757891</c:v>
                </c:pt>
                <c:pt idx="398">
                  <c:v>10.01739856757891</c:v>
                </c:pt>
                <c:pt idx="399">
                  <c:v>10.01739856757891</c:v>
                </c:pt>
                <c:pt idx="400">
                  <c:v>10.01739856757891</c:v>
                </c:pt>
                <c:pt idx="401">
                  <c:v>10.01739856757891</c:v>
                </c:pt>
                <c:pt idx="402">
                  <c:v>10.01739856757891</c:v>
                </c:pt>
                <c:pt idx="403">
                  <c:v>10.01739856757891</c:v>
                </c:pt>
                <c:pt idx="404">
                  <c:v>10.01739856757891</c:v>
                </c:pt>
                <c:pt idx="405">
                  <c:v>10.01739856757891</c:v>
                </c:pt>
                <c:pt idx="406">
                  <c:v>10.01739856757891</c:v>
                </c:pt>
                <c:pt idx="407">
                  <c:v>10.01739856757891</c:v>
                </c:pt>
                <c:pt idx="408">
                  <c:v>10.01739856757891</c:v>
                </c:pt>
                <c:pt idx="409">
                  <c:v>10.01739856757891</c:v>
                </c:pt>
                <c:pt idx="410">
                  <c:v>10.01739856757891</c:v>
                </c:pt>
                <c:pt idx="411">
                  <c:v>10.01739856757891</c:v>
                </c:pt>
                <c:pt idx="412">
                  <c:v>10.01739856757891</c:v>
                </c:pt>
                <c:pt idx="413">
                  <c:v>10.01739856757891</c:v>
                </c:pt>
                <c:pt idx="414">
                  <c:v>10.01739856757891</c:v>
                </c:pt>
                <c:pt idx="415">
                  <c:v>10.520279308245643</c:v>
                </c:pt>
                <c:pt idx="416">
                  <c:v>10.520279308245643</c:v>
                </c:pt>
                <c:pt idx="417">
                  <c:v>10.520279308245643</c:v>
                </c:pt>
                <c:pt idx="418">
                  <c:v>10.520279308245643</c:v>
                </c:pt>
                <c:pt idx="419">
                  <c:v>10.009379462148743</c:v>
                </c:pt>
                <c:pt idx="420">
                  <c:v>10.009379462148743</c:v>
                </c:pt>
                <c:pt idx="421">
                  <c:v>10.009379462148743</c:v>
                </c:pt>
                <c:pt idx="422">
                  <c:v>10.009379462148743</c:v>
                </c:pt>
                <c:pt idx="423">
                  <c:v>10.009379462148743</c:v>
                </c:pt>
                <c:pt idx="424">
                  <c:v>10.009379462148743</c:v>
                </c:pt>
                <c:pt idx="425">
                  <c:v>10.009379462148743</c:v>
                </c:pt>
                <c:pt idx="426">
                  <c:v>10.009379462148743</c:v>
                </c:pt>
                <c:pt idx="427">
                  <c:v>10.009379462148743</c:v>
                </c:pt>
                <c:pt idx="428">
                  <c:v>10.009379462148743</c:v>
                </c:pt>
                <c:pt idx="429">
                  <c:v>10.009379462148743</c:v>
                </c:pt>
                <c:pt idx="430">
                  <c:v>10.009379462148743</c:v>
                </c:pt>
                <c:pt idx="431">
                  <c:v>10.009379462148743</c:v>
                </c:pt>
                <c:pt idx="432">
                  <c:v>10.009379462148743</c:v>
                </c:pt>
                <c:pt idx="433">
                  <c:v>10.009379462148743</c:v>
                </c:pt>
                <c:pt idx="434">
                  <c:v>10.009379462148743</c:v>
                </c:pt>
                <c:pt idx="435">
                  <c:v>10.009379462148743</c:v>
                </c:pt>
                <c:pt idx="436">
                  <c:v>10.009379462148743</c:v>
                </c:pt>
                <c:pt idx="437">
                  <c:v>10.009379462148743</c:v>
                </c:pt>
                <c:pt idx="438">
                  <c:v>10.009379462148743</c:v>
                </c:pt>
                <c:pt idx="439">
                  <c:v>10.009379462148743</c:v>
                </c:pt>
                <c:pt idx="440">
                  <c:v>10.009379462148743</c:v>
                </c:pt>
                <c:pt idx="441">
                  <c:v>10.009379462148743</c:v>
                </c:pt>
                <c:pt idx="442">
                  <c:v>10.009379462148743</c:v>
                </c:pt>
                <c:pt idx="443">
                  <c:v>10.009379462148743</c:v>
                </c:pt>
                <c:pt idx="444">
                  <c:v>10.009379462148743</c:v>
                </c:pt>
              </c:numCache>
            </c:numRef>
          </c:val>
          <c:smooth val="0"/>
          <c:extLst>
            <c:ext xmlns:c16="http://schemas.microsoft.com/office/drawing/2014/chart" uri="{C3380CC4-5D6E-409C-BE32-E72D297353CC}">
              <c16:uniqueId val="{00000017-0378-4901-951A-9CC527A3EBF2}"/>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Down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'2025-Q1'!$AC$4:$AC$448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C9CA-4D9B-8754-B3F2C1FBE580}"/>
            </c:ext>
          </c:extLst>
        </c:ser>
        <c:ser>
          <c:idx val="8"/>
          <c:order val="1"/>
          <c:tx>
            <c:v>XLC</c:v>
          </c:tx>
          <c:spPr>
            <a:ln w="38100" cap="rnd">
              <a:solidFill>
                <a:sysClr val="windowText" lastClr="000000"/>
              </a:solidFill>
              <a:round/>
            </a:ln>
            <a:effectLst/>
          </c:spPr>
          <c:marker>
            <c:symbol val="none"/>
          </c:marker>
          <c:val>
            <c:numRef>
              <c:f>'2025-Q1'!$BE$4:$BE$448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-0.39561000510464578</c:v>
                </c:pt>
                <c:pt idx="56">
                  <c:v>-0.39561000510464578</c:v>
                </c:pt>
                <c:pt idx="57">
                  <c:v>-0.39561000510464578</c:v>
                </c:pt>
                <c:pt idx="58">
                  <c:v>-0.39561000510464578</c:v>
                </c:pt>
                <c:pt idx="59">
                  <c:v>-0.39561000510464578</c:v>
                </c:pt>
                <c:pt idx="60">
                  <c:v>-0.39561000510464578</c:v>
                </c:pt>
                <c:pt idx="61">
                  <c:v>-0.39561000510464578</c:v>
                </c:pt>
                <c:pt idx="62">
                  <c:v>-0.39561000510464578</c:v>
                </c:pt>
                <c:pt idx="63">
                  <c:v>-0.39561000510464578</c:v>
                </c:pt>
                <c:pt idx="64">
                  <c:v>-0.39561000510464578</c:v>
                </c:pt>
                <c:pt idx="65">
                  <c:v>-0.39561000510464578</c:v>
                </c:pt>
                <c:pt idx="66">
                  <c:v>-0.39561000510464578</c:v>
                </c:pt>
                <c:pt idx="67">
                  <c:v>-0.39561000510464578</c:v>
                </c:pt>
                <c:pt idx="68">
                  <c:v>-0.39561000510464578</c:v>
                </c:pt>
                <c:pt idx="69">
                  <c:v>-0.39561000510464578</c:v>
                </c:pt>
                <c:pt idx="70">
                  <c:v>-0.39561000510464578</c:v>
                </c:pt>
                <c:pt idx="71">
                  <c:v>-0.39561000510464578</c:v>
                </c:pt>
                <c:pt idx="72">
                  <c:v>-0.39561000510464578</c:v>
                </c:pt>
                <c:pt idx="73">
                  <c:v>-0.39561000510464578</c:v>
                </c:pt>
                <c:pt idx="74">
                  <c:v>-0.39561000510464578</c:v>
                </c:pt>
                <c:pt idx="75">
                  <c:v>-0.39561000510464578</c:v>
                </c:pt>
                <c:pt idx="76">
                  <c:v>-0.39561000510464578</c:v>
                </c:pt>
                <c:pt idx="77">
                  <c:v>-0.39561000510464578</c:v>
                </c:pt>
                <c:pt idx="78">
                  <c:v>-0.39561000510464578</c:v>
                </c:pt>
                <c:pt idx="79">
                  <c:v>-0.39561000510464578</c:v>
                </c:pt>
                <c:pt idx="80">
                  <c:v>-0.39561000510464578</c:v>
                </c:pt>
                <c:pt idx="81">
                  <c:v>-0.39561000510464578</c:v>
                </c:pt>
                <c:pt idx="82">
                  <c:v>-0.39561000510464578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1-C9CA-4D9B-8754-B3F2C1FBE580}"/>
            </c:ext>
          </c:extLst>
        </c:ser>
        <c:ser>
          <c:idx val="7"/>
          <c:order val="2"/>
          <c:tx>
            <c:v>IGV</c:v>
          </c:tx>
          <c:spPr>
            <a:ln w="28575" cap="rnd">
              <a:solidFill>
                <a:schemeClr val="accent4">
                  <a:lumMod val="60000"/>
                  <a:lumOff val="40000"/>
                </a:schemeClr>
              </a:solidFill>
              <a:prstDash val="solid"/>
              <a:round/>
            </a:ln>
            <a:effectLst/>
          </c:spPr>
          <c:marker>
            <c:symbol val="none"/>
          </c:marker>
          <c:val>
            <c:numRef>
              <c:f>'2025-Q1'!$AJ$4:$AJ$448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2-C9CA-4D9B-8754-B3F2C1FBE580}"/>
            </c:ext>
          </c:extLst>
        </c:ser>
        <c:ser>
          <c:idx val="9"/>
          <c:order val="3"/>
          <c:tx>
            <c:v>XLI</c:v>
          </c:tx>
          <c:spPr>
            <a:ln w="28575" cap="rnd">
              <a:solidFill>
                <a:schemeClr val="bg1"/>
              </a:solidFill>
              <a:round/>
            </a:ln>
            <a:effectLst/>
          </c:spPr>
          <c:marker>
            <c:symbol val="none"/>
          </c:marker>
          <c:val>
            <c:numRef>
              <c:f>'2025-Q1'!$BS$4:$BS$448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-0.34773304801390975</c:v>
                </c:pt>
                <c:pt idx="19">
                  <c:v>-0.34773304801390975</c:v>
                </c:pt>
                <c:pt idx="20">
                  <c:v>-0.34773304801390975</c:v>
                </c:pt>
                <c:pt idx="21">
                  <c:v>-0.34773304801390975</c:v>
                </c:pt>
                <c:pt idx="22">
                  <c:v>-0.34773304801390975</c:v>
                </c:pt>
                <c:pt idx="23">
                  <c:v>-0.34773304801390975</c:v>
                </c:pt>
                <c:pt idx="24">
                  <c:v>-0.34773304801390975</c:v>
                </c:pt>
                <c:pt idx="25">
                  <c:v>-0.34773304801390975</c:v>
                </c:pt>
                <c:pt idx="26">
                  <c:v>-0.34773304801390975</c:v>
                </c:pt>
                <c:pt idx="27">
                  <c:v>-0.34773304801390975</c:v>
                </c:pt>
                <c:pt idx="28">
                  <c:v>-0.34773304801390975</c:v>
                </c:pt>
                <c:pt idx="29">
                  <c:v>-0.34773304801390975</c:v>
                </c:pt>
                <c:pt idx="30">
                  <c:v>-0.34773304801390975</c:v>
                </c:pt>
                <c:pt idx="31">
                  <c:v>-0.34773304801390975</c:v>
                </c:pt>
                <c:pt idx="32">
                  <c:v>-0.34773304801390975</c:v>
                </c:pt>
                <c:pt idx="33">
                  <c:v>-0.34773304801390975</c:v>
                </c:pt>
                <c:pt idx="34">
                  <c:v>-0.34773304801390975</c:v>
                </c:pt>
                <c:pt idx="35">
                  <c:v>-0.34773304801390975</c:v>
                </c:pt>
                <c:pt idx="36">
                  <c:v>-0.34773304801390975</c:v>
                </c:pt>
                <c:pt idx="37">
                  <c:v>-0.34773304801390975</c:v>
                </c:pt>
                <c:pt idx="38">
                  <c:v>-0.34773304801390975</c:v>
                </c:pt>
                <c:pt idx="39">
                  <c:v>-0.34773304801390975</c:v>
                </c:pt>
                <c:pt idx="40">
                  <c:v>-0.34773304801390975</c:v>
                </c:pt>
                <c:pt idx="41">
                  <c:v>-0.34773304801390975</c:v>
                </c:pt>
                <c:pt idx="42">
                  <c:v>-0.34773304801390975</c:v>
                </c:pt>
                <c:pt idx="43">
                  <c:v>-0.34773304801390975</c:v>
                </c:pt>
                <c:pt idx="44">
                  <c:v>-0.34773304801390975</c:v>
                </c:pt>
                <c:pt idx="45">
                  <c:v>-0.34773304801390975</c:v>
                </c:pt>
                <c:pt idx="46">
                  <c:v>-0.34773304801390975</c:v>
                </c:pt>
                <c:pt idx="47">
                  <c:v>-0.34773304801390975</c:v>
                </c:pt>
                <c:pt idx="48">
                  <c:v>-0.34773304801390975</c:v>
                </c:pt>
                <c:pt idx="49">
                  <c:v>-0.34773304801390975</c:v>
                </c:pt>
                <c:pt idx="50">
                  <c:v>-0.34773304801390975</c:v>
                </c:pt>
                <c:pt idx="51">
                  <c:v>-0.34773304801390975</c:v>
                </c:pt>
                <c:pt idx="52">
                  <c:v>-0.34773304801390975</c:v>
                </c:pt>
                <c:pt idx="53">
                  <c:v>-0.34773304801390975</c:v>
                </c:pt>
                <c:pt idx="54">
                  <c:v>-0.34773304801390975</c:v>
                </c:pt>
                <c:pt idx="55">
                  <c:v>-0.34773304801390975</c:v>
                </c:pt>
                <c:pt idx="56">
                  <c:v>-0.34773304801390975</c:v>
                </c:pt>
                <c:pt idx="57">
                  <c:v>-0.34773304801390975</c:v>
                </c:pt>
                <c:pt idx="58">
                  <c:v>-0.34773304801390975</c:v>
                </c:pt>
                <c:pt idx="59">
                  <c:v>-0.34773304801390975</c:v>
                </c:pt>
                <c:pt idx="60">
                  <c:v>-0.34773304801390975</c:v>
                </c:pt>
                <c:pt idx="61">
                  <c:v>-0.34773304801390975</c:v>
                </c:pt>
                <c:pt idx="62">
                  <c:v>0.64461012602832546</c:v>
                </c:pt>
                <c:pt idx="63">
                  <c:v>0.64461012602832546</c:v>
                </c:pt>
                <c:pt idx="64">
                  <c:v>0.64461012602832546</c:v>
                </c:pt>
                <c:pt idx="65">
                  <c:v>0.64461012602832546</c:v>
                </c:pt>
                <c:pt idx="66">
                  <c:v>0.64461012602832546</c:v>
                </c:pt>
                <c:pt idx="67">
                  <c:v>0.64461012602832546</c:v>
                </c:pt>
                <c:pt idx="68">
                  <c:v>0.64461012602832546</c:v>
                </c:pt>
                <c:pt idx="69">
                  <c:v>0.64461012602832546</c:v>
                </c:pt>
                <c:pt idx="70">
                  <c:v>0.64461012602832546</c:v>
                </c:pt>
                <c:pt idx="71">
                  <c:v>0.64461012602832546</c:v>
                </c:pt>
                <c:pt idx="72">
                  <c:v>0.64461012602832546</c:v>
                </c:pt>
                <c:pt idx="73">
                  <c:v>0.64461012602832546</c:v>
                </c:pt>
                <c:pt idx="74">
                  <c:v>0.64461012602832546</c:v>
                </c:pt>
                <c:pt idx="75">
                  <c:v>0.64461012602832546</c:v>
                </c:pt>
                <c:pt idx="76">
                  <c:v>0.64461012602832546</c:v>
                </c:pt>
                <c:pt idx="77">
                  <c:v>0.64461012602832546</c:v>
                </c:pt>
                <c:pt idx="78">
                  <c:v>0.64461012602832546</c:v>
                </c:pt>
                <c:pt idx="79">
                  <c:v>0.64461012602832546</c:v>
                </c:pt>
                <c:pt idx="80">
                  <c:v>1.2000175729313736</c:v>
                </c:pt>
                <c:pt idx="81">
                  <c:v>1.2000175729313736</c:v>
                </c:pt>
                <c:pt idx="82">
                  <c:v>1.2000175729313736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3-C9CA-4D9B-8754-B3F2C1FBE580}"/>
            </c:ext>
          </c:extLst>
        </c:ser>
        <c:ser>
          <c:idx val="3"/>
          <c:order val="4"/>
          <c:tx>
            <c:v>XLY</c:v>
          </c:tx>
          <c:spPr>
            <a:ln w="28575" cap="rnd">
              <a:solidFill>
                <a:srgbClr val="FFC000"/>
              </a:solidFill>
              <a:round/>
            </a:ln>
            <a:effectLst/>
          </c:spPr>
          <c:marker>
            <c:symbol val="none"/>
          </c:marker>
          <c:val>
            <c:numRef>
              <c:f>'2025-Q1'!$AQ$4:$AQ$448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4-C9CA-4D9B-8754-B3F2C1FBE580}"/>
            </c:ext>
          </c:extLst>
        </c:ser>
        <c:ser>
          <c:idx val="6"/>
          <c:order val="5"/>
          <c:tx>
            <c:v>XLP</c:v>
          </c:tx>
          <c:spPr>
            <a:ln w="28575" cap="rnd">
              <a:solidFill>
                <a:schemeClr val="accent1">
                  <a:lumMod val="60000"/>
                </a:schemeClr>
              </a:solidFill>
              <a:prstDash val="solid"/>
              <a:round/>
            </a:ln>
            <a:effectLst/>
          </c:spPr>
          <c:marker>
            <c:symbol val="none"/>
          </c:marker>
          <c:val>
            <c:numRef>
              <c:f>'2025-Q1'!$AX$4:$AX$448</c:f>
              <c:numCache>
                <c:formatCode>0.00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1.2290222546515868</c:v>
                </c:pt>
                <c:pt idx="10">
                  <c:v>1.2290222546515868</c:v>
                </c:pt>
                <c:pt idx="11">
                  <c:v>1.2290222546515868</c:v>
                </c:pt>
                <c:pt idx="12">
                  <c:v>1.2290222546515868</c:v>
                </c:pt>
                <c:pt idx="13">
                  <c:v>1.2290222546515868</c:v>
                </c:pt>
                <c:pt idx="14">
                  <c:v>1.2290222546515868</c:v>
                </c:pt>
                <c:pt idx="15">
                  <c:v>1.2290222546515868</c:v>
                </c:pt>
                <c:pt idx="16">
                  <c:v>1.2290222546515868</c:v>
                </c:pt>
                <c:pt idx="17">
                  <c:v>1.2290222546515868</c:v>
                </c:pt>
                <c:pt idx="18">
                  <c:v>1.2290222546515868</c:v>
                </c:pt>
                <c:pt idx="19">
                  <c:v>1.2290222546515868</c:v>
                </c:pt>
                <c:pt idx="20">
                  <c:v>1.2290222546515868</c:v>
                </c:pt>
                <c:pt idx="21">
                  <c:v>1.2290222546515868</c:v>
                </c:pt>
                <c:pt idx="22">
                  <c:v>1.2290222546515868</c:v>
                </c:pt>
                <c:pt idx="23">
                  <c:v>1.2290222546515868</c:v>
                </c:pt>
                <c:pt idx="24">
                  <c:v>1.2290222546515868</c:v>
                </c:pt>
                <c:pt idx="25">
                  <c:v>1.2290222546515868</c:v>
                </c:pt>
                <c:pt idx="26">
                  <c:v>1.2290222546515868</c:v>
                </c:pt>
                <c:pt idx="27">
                  <c:v>1.2290222546515868</c:v>
                </c:pt>
                <c:pt idx="28">
                  <c:v>1.2290222546515868</c:v>
                </c:pt>
                <c:pt idx="29">
                  <c:v>1.2290222546515868</c:v>
                </c:pt>
                <c:pt idx="30">
                  <c:v>1.2290222546515868</c:v>
                </c:pt>
                <c:pt idx="31">
                  <c:v>1.2290222546515868</c:v>
                </c:pt>
                <c:pt idx="32">
                  <c:v>1.2290222546515868</c:v>
                </c:pt>
                <c:pt idx="33">
                  <c:v>1.2290222546515868</c:v>
                </c:pt>
                <c:pt idx="34">
                  <c:v>1.2290222546515868</c:v>
                </c:pt>
                <c:pt idx="35">
                  <c:v>1.2290222546515868</c:v>
                </c:pt>
                <c:pt idx="36">
                  <c:v>1.2290222546515868</c:v>
                </c:pt>
                <c:pt idx="37">
                  <c:v>1.2290222546515868</c:v>
                </c:pt>
                <c:pt idx="38">
                  <c:v>1.2290222546515868</c:v>
                </c:pt>
                <c:pt idx="39">
                  <c:v>1.2290222546515868</c:v>
                </c:pt>
                <c:pt idx="40">
                  <c:v>1.2290222546515868</c:v>
                </c:pt>
                <c:pt idx="41">
                  <c:v>1.2290222546515868</c:v>
                </c:pt>
                <c:pt idx="42">
                  <c:v>1.2290222546515868</c:v>
                </c:pt>
                <c:pt idx="43">
                  <c:v>1.2290222546515868</c:v>
                </c:pt>
                <c:pt idx="44">
                  <c:v>1.2290222546515868</c:v>
                </c:pt>
                <c:pt idx="45">
                  <c:v>1.2290222546515868</c:v>
                </c:pt>
                <c:pt idx="46">
                  <c:v>1.2290222546515868</c:v>
                </c:pt>
                <c:pt idx="47">
                  <c:v>1.2290222546515868</c:v>
                </c:pt>
                <c:pt idx="48">
                  <c:v>1.2290222546515868</c:v>
                </c:pt>
                <c:pt idx="49">
                  <c:v>1.2290222546515868</c:v>
                </c:pt>
                <c:pt idx="50">
                  <c:v>1.2290222546515868</c:v>
                </c:pt>
                <c:pt idx="51">
                  <c:v>1.2290222546515868</c:v>
                </c:pt>
                <c:pt idx="52">
                  <c:v>1.2290222546515868</c:v>
                </c:pt>
                <c:pt idx="53">
                  <c:v>1.2290222546515868</c:v>
                </c:pt>
                <c:pt idx="54">
                  <c:v>1.2290222546515868</c:v>
                </c:pt>
                <c:pt idx="55">
                  <c:v>1.2290222546515868</c:v>
                </c:pt>
                <c:pt idx="56">
                  <c:v>1.2290222546515868</c:v>
                </c:pt>
                <c:pt idx="57">
                  <c:v>1.2290222546515868</c:v>
                </c:pt>
                <c:pt idx="58">
                  <c:v>1.2290222546515868</c:v>
                </c:pt>
                <c:pt idx="59">
                  <c:v>1.2290222546515868</c:v>
                </c:pt>
                <c:pt idx="60">
                  <c:v>1.2290222546515868</c:v>
                </c:pt>
                <c:pt idx="61">
                  <c:v>1.2290222546515868</c:v>
                </c:pt>
                <c:pt idx="62">
                  <c:v>1.2290222546515868</c:v>
                </c:pt>
                <c:pt idx="63">
                  <c:v>1.2290222546515868</c:v>
                </c:pt>
                <c:pt idx="64">
                  <c:v>1.2290222546515868</c:v>
                </c:pt>
                <c:pt idx="65">
                  <c:v>1.2290222546515868</c:v>
                </c:pt>
                <c:pt idx="66">
                  <c:v>1.2290222546515868</c:v>
                </c:pt>
                <c:pt idx="67">
                  <c:v>1.2049246466562569</c:v>
                </c:pt>
                <c:pt idx="68">
                  <c:v>1.2049246466562569</c:v>
                </c:pt>
                <c:pt idx="69">
                  <c:v>1.2049246466562569</c:v>
                </c:pt>
                <c:pt idx="70">
                  <c:v>1.2049246466562569</c:v>
                </c:pt>
                <c:pt idx="71">
                  <c:v>1.2049246466562569</c:v>
                </c:pt>
                <c:pt idx="72">
                  <c:v>1.2049246466562569</c:v>
                </c:pt>
                <c:pt idx="73">
                  <c:v>1.2049246466562569</c:v>
                </c:pt>
                <c:pt idx="74">
                  <c:v>1.2049246466562569</c:v>
                </c:pt>
                <c:pt idx="75">
                  <c:v>1.2049246466562569</c:v>
                </c:pt>
                <c:pt idx="76">
                  <c:v>1.2049246466562569</c:v>
                </c:pt>
                <c:pt idx="77">
                  <c:v>1.2049246466562569</c:v>
                </c:pt>
                <c:pt idx="78">
                  <c:v>1.2049246466562569</c:v>
                </c:pt>
                <c:pt idx="79">
                  <c:v>1.2049246466562569</c:v>
                </c:pt>
                <c:pt idx="80">
                  <c:v>1.2049246466562569</c:v>
                </c:pt>
                <c:pt idx="81">
                  <c:v>1.2049246466562569</c:v>
                </c:pt>
                <c:pt idx="82">
                  <c:v>1.2049246466562569</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5-C9CA-4D9B-8754-B3F2C1FBE580}"/>
            </c:ext>
          </c:extLst>
        </c:ser>
        <c:ser>
          <c:idx val="0"/>
          <c:order val="6"/>
          <c:tx>
            <c:v>XLF</c:v>
          </c:tx>
          <c:spPr>
            <a:ln w="28575" cap="rnd">
              <a:solidFill>
                <a:schemeClr val="accent5">
                  <a:lumMod val="20000"/>
                  <a:lumOff val="80000"/>
                </a:schemeClr>
              </a:solidFill>
              <a:prstDash val="solid"/>
              <a:round/>
            </a:ln>
            <a:effectLst/>
          </c:spPr>
          <c:marker>
            <c:symbol val="none"/>
          </c:marker>
          <c:val>
            <c:numRef>
              <c:f>'2025-Q1'!$BL$4:$BL$448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6-C9CA-4D9B-8754-B3F2C1FBE580}"/>
            </c:ext>
          </c:extLst>
        </c:ser>
        <c:ser>
          <c:idx val="1"/>
          <c:order val="7"/>
          <c:tx>
            <c:v>XLV</c:v>
          </c:tx>
          <c:spPr>
            <a:ln w="28575" cap="rnd">
              <a:solidFill>
                <a:srgbClr val="7030A0"/>
              </a:solidFill>
              <a:prstDash val="solid"/>
              <a:round/>
            </a:ln>
            <a:effectLst/>
          </c:spPr>
          <c:marker>
            <c:symbol val="none"/>
          </c:marker>
          <c:val>
            <c:numRef>
              <c:f>'2025-Q1'!$BZ$4:$BZ$448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0.46686916413544804</c:v>
                </c:pt>
                <c:pt idx="34">
                  <c:v>0.46686916413544804</c:v>
                </c:pt>
                <c:pt idx="35">
                  <c:v>0.46686916413544804</c:v>
                </c:pt>
                <c:pt idx="36">
                  <c:v>0.46686916413544804</c:v>
                </c:pt>
                <c:pt idx="37">
                  <c:v>0.46686916413544804</c:v>
                </c:pt>
                <c:pt idx="38">
                  <c:v>0.46686916413544804</c:v>
                </c:pt>
                <c:pt idx="39">
                  <c:v>0.46686916413544804</c:v>
                </c:pt>
                <c:pt idx="40">
                  <c:v>0.46686916413544804</c:v>
                </c:pt>
                <c:pt idx="41">
                  <c:v>0.46686916413544804</c:v>
                </c:pt>
                <c:pt idx="42">
                  <c:v>0.46686916413544804</c:v>
                </c:pt>
                <c:pt idx="43">
                  <c:v>0.46686916413544804</c:v>
                </c:pt>
                <c:pt idx="44">
                  <c:v>0.46686916413544804</c:v>
                </c:pt>
                <c:pt idx="45">
                  <c:v>0.46686916413544804</c:v>
                </c:pt>
                <c:pt idx="46">
                  <c:v>0.46686916413544804</c:v>
                </c:pt>
                <c:pt idx="47">
                  <c:v>0.46686916413544804</c:v>
                </c:pt>
                <c:pt idx="48">
                  <c:v>0.46686916413544804</c:v>
                </c:pt>
                <c:pt idx="49">
                  <c:v>0.46686916413544804</c:v>
                </c:pt>
                <c:pt idx="50">
                  <c:v>0.46686916413544804</c:v>
                </c:pt>
                <c:pt idx="51">
                  <c:v>0.46686916413544804</c:v>
                </c:pt>
                <c:pt idx="52">
                  <c:v>0.46686916413544804</c:v>
                </c:pt>
                <c:pt idx="53">
                  <c:v>0.46686916413544804</c:v>
                </c:pt>
                <c:pt idx="54">
                  <c:v>0.46686916413544804</c:v>
                </c:pt>
                <c:pt idx="55">
                  <c:v>0.46686916413544804</c:v>
                </c:pt>
                <c:pt idx="56">
                  <c:v>0.46686916413544804</c:v>
                </c:pt>
                <c:pt idx="57">
                  <c:v>0.46686916413544804</c:v>
                </c:pt>
                <c:pt idx="58">
                  <c:v>0.46686916413544804</c:v>
                </c:pt>
                <c:pt idx="59">
                  <c:v>0.46686916413544804</c:v>
                </c:pt>
                <c:pt idx="60">
                  <c:v>0.46686916413544804</c:v>
                </c:pt>
                <c:pt idx="61">
                  <c:v>0.46686916413544804</c:v>
                </c:pt>
                <c:pt idx="62">
                  <c:v>0.46686916413544804</c:v>
                </c:pt>
                <c:pt idx="63">
                  <c:v>0.46686916413544804</c:v>
                </c:pt>
                <c:pt idx="64">
                  <c:v>0.46686916413544804</c:v>
                </c:pt>
                <c:pt idx="65">
                  <c:v>0.46686916413544804</c:v>
                </c:pt>
                <c:pt idx="66">
                  <c:v>0.46686916413544804</c:v>
                </c:pt>
                <c:pt idx="67">
                  <c:v>0.46686916413544804</c:v>
                </c:pt>
                <c:pt idx="68">
                  <c:v>0.46686916413544804</c:v>
                </c:pt>
                <c:pt idx="69">
                  <c:v>0.46686916413544804</c:v>
                </c:pt>
                <c:pt idx="70">
                  <c:v>0.46686916413544804</c:v>
                </c:pt>
                <c:pt idx="71">
                  <c:v>0.46686916413544804</c:v>
                </c:pt>
                <c:pt idx="72">
                  <c:v>0.46686916413544804</c:v>
                </c:pt>
                <c:pt idx="73">
                  <c:v>0.46686916413544804</c:v>
                </c:pt>
                <c:pt idx="74">
                  <c:v>0.46686916413544804</c:v>
                </c:pt>
                <c:pt idx="75">
                  <c:v>0.46686916413544804</c:v>
                </c:pt>
                <c:pt idx="76">
                  <c:v>0.46686916413544804</c:v>
                </c:pt>
                <c:pt idx="77">
                  <c:v>0.46686916413544804</c:v>
                </c:pt>
                <c:pt idx="78">
                  <c:v>0.46686916413544804</c:v>
                </c:pt>
                <c:pt idx="79">
                  <c:v>0.46686916413544804</c:v>
                </c:pt>
                <c:pt idx="80">
                  <c:v>0.46686916413544804</c:v>
                </c:pt>
                <c:pt idx="81">
                  <c:v>0.46686916413544804</c:v>
                </c:pt>
                <c:pt idx="82">
                  <c:v>0.46686916413544804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7-C9CA-4D9B-8754-B3F2C1FBE580}"/>
            </c:ext>
          </c:extLst>
        </c:ser>
        <c:ser>
          <c:idx val="2"/>
          <c:order val="8"/>
          <c:tx>
            <c:v>XLB</c:v>
          </c:tx>
          <c:spPr>
            <a:ln w="28575" cap="rnd">
              <a:solidFill>
                <a:schemeClr val="accent2">
                  <a:lumMod val="50000"/>
                </a:schemeClr>
              </a:solidFill>
              <a:prstDash val="solid"/>
              <a:round/>
            </a:ln>
            <a:effectLst/>
          </c:spPr>
          <c:marker>
            <c:symbol val="none"/>
          </c:marker>
          <c:val>
            <c:numRef>
              <c:f>'2025-Q1'!$CG$4:$CG$448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0.41783917455444924</c:v>
                </c:pt>
                <c:pt idx="49">
                  <c:v>0.41783917455444924</c:v>
                </c:pt>
                <c:pt idx="50">
                  <c:v>0.41783917455444924</c:v>
                </c:pt>
                <c:pt idx="51">
                  <c:v>0.41783917455444924</c:v>
                </c:pt>
                <c:pt idx="52">
                  <c:v>0.41783917455444924</c:v>
                </c:pt>
                <c:pt idx="53">
                  <c:v>0.41783917455444924</c:v>
                </c:pt>
                <c:pt idx="54">
                  <c:v>0.41783917455444924</c:v>
                </c:pt>
                <c:pt idx="55">
                  <c:v>0.41783917455444924</c:v>
                </c:pt>
                <c:pt idx="56">
                  <c:v>0.41783917455444924</c:v>
                </c:pt>
                <c:pt idx="57">
                  <c:v>0.41783917455444924</c:v>
                </c:pt>
                <c:pt idx="58">
                  <c:v>0.41783917455444924</c:v>
                </c:pt>
                <c:pt idx="59">
                  <c:v>0.41783917455444924</c:v>
                </c:pt>
                <c:pt idx="60">
                  <c:v>0.41783917455444924</c:v>
                </c:pt>
                <c:pt idx="61">
                  <c:v>0.41783917455444924</c:v>
                </c:pt>
                <c:pt idx="62">
                  <c:v>0.41783917455444924</c:v>
                </c:pt>
                <c:pt idx="63">
                  <c:v>0.41783917455444924</c:v>
                </c:pt>
                <c:pt idx="64">
                  <c:v>0.41783917455444924</c:v>
                </c:pt>
                <c:pt idx="65">
                  <c:v>0.41783917455444924</c:v>
                </c:pt>
                <c:pt idx="66">
                  <c:v>0.41783917455444924</c:v>
                </c:pt>
                <c:pt idx="67">
                  <c:v>0.41783917455444924</c:v>
                </c:pt>
                <c:pt idx="68">
                  <c:v>0.41783917455444924</c:v>
                </c:pt>
                <c:pt idx="69">
                  <c:v>0.41783917455444924</c:v>
                </c:pt>
                <c:pt idx="70">
                  <c:v>0.41783917455444924</c:v>
                </c:pt>
                <c:pt idx="71">
                  <c:v>0.41783917455444924</c:v>
                </c:pt>
                <c:pt idx="72">
                  <c:v>0.41783917455444924</c:v>
                </c:pt>
                <c:pt idx="73">
                  <c:v>0.41783917455444924</c:v>
                </c:pt>
                <c:pt idx="74">
                  <c:v>0.41783917455444924</c:v>
                </c:pt>
                <c:pt idx="75">
                  <c:v>0.41783917455444924</c:v>
                </c:pt>
                <c:pt idx="76">
                  <c:v>0.41783917455444924</c:v>
                </c:pt>
                <c:pt idx="77">
                  <c:v>0.41783917455444924</c:v>
                </c:pt>
                <c:pt idx="78">
                  <c:v>0.41783917455444924</c:v>
                </c:pt>
                <c:pt idx="79">
                  <c:v>0.41783917455444924</c:v>
                </c:pt>
                <c:pt idx="80">
                  <c:v>0.41783917455444924</c:v>
                </c:pt>
                <c:pt idx="81">
                  <c:v>0.41783917455444924</c:v>
                </c:pt>
                <c:pt idx="82">
                  <c:v>0.41783917455444924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8-C9CA-4D9B-8754-B3F2C1FBE580}"/>
            </c:ext>
          </c:extLst>
        </c:ser>
        <c:ser>
          <c:idx val="4"/>
          <c:order val="9"/>
          <c:tx>
            <c:v>SMH</c:v>
          </c:tx>
          <c:spPr>
            <a:ln w="28575" cap="rnd">
              <a:solidFill>
                <a:schemeClr val="accent5"/>
              </a:solidFill>
              <a:round/>
            </a:ln>
            <a:effectLst/>
          </c:spPr>
          <c:marker>
            <c:symbol val="none"/>
          </c:marker>
          <c:val>
            <c:numRef>
              <c:f>'2025-Q1'!$CN$4:$CN$448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9-C9CA-4D9B-8754-B3F2C1FBE580}"/>
            </c:ext>
          </c:extLst>
        </c:ser>
        <c:ser>
          <c:idx val="10"/>
          <c:order val="10"/>
          <c:tx>
            <c:v>All Down</c:v>
          </c:tx>
          <c:spPr>
            <a:ln w="28575" cap="rnd">
              <a:solidFill>
                <a:srgbClr val="FF9900"/>
              </a:solidFill>
              <a:round/>
            </a:ln>
            <a:effectLst/>
          </c:spPr>
          <c:marker>
            <c:symbol val="none"/>
          </c:marker>
          <c:val>
            <c:numRef>
              <c:f>'2025-Q1'!$W$4:$W$448</c:f>
              <c:numCache>
                <c:formatCode>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1.6298785597808298</c:v>
                </c:pt>
                <c:pt idx="10">
                  <c:v>1.6298785597808298</c:v>
                </c:pt>
                <c:pt idx="11">
                  <c:v>1.6298785597808298</c:v>
                </c:pt>
                <c:pt idx="12">
                  <c:v>1.6298785597808298</c:v>
                </c:pt>
                <c:pt idx="13">
                  <c:v>1.6298785597808298</c:v>
                </c:pt>
                <c:pt idx="14">
                  <c:v>1.6298785597808298</c:v>
                </c:pt>
                <c:pt idx="15">
                  <c:v>1.6298785597808298</c:v>
                </c:pt>
                <c:pt idx="16">
                  <c:v>1.6298785597808298</c:v>
                </c:pt>
                <c:pt idx="17">
                  <c:v>1.1999280446514409</c:v>
                </c:pt>
                <c:pt idx="18">
                  <c:v>0.85219499663753107</c:v>
                </c:pt>
                <c:pt idx="19">
                  <c:v>0.85219499663753107</c:v>
                </c:pt>
                <c:pt idx="20">
                  <c:v>0.85219499663753107</c:v>
                </c:pt>
                <c:pt idx="21">
                  <c:v>0.85219499663753107</c:v>
                </c:pt>
                <c:pt idx="22">
                  <c:v>0.85219499663753107</c:v>
                </c:pt>
                <c:pt idx="23">
                  <c:v>0.85219499663753107</c:v>
                </c:pt>
                <c:pt idx="24">
                  <c:v>0.85219499663753107</c:v>
                </c:pt>
                <c:pt idx="25">
                  <c:v>0.37245687721095755</c:v>
                </c:pt>
                <c:pt idx="26">
                  <c:v>0.37245687721095755</c:v>
                </c:pt>
                <c:pt idx="27">
                  <c:v>0.37245687721095755</c:v>
                </c:pt>
                <c:pt idx="28">
                  <c:v>0.37245687721095755</c:v>
                </c:pt>
                <c:pt idx="29">
                  <c:v>0.37245687721095755</c:v>
                </c:pt>
                <c:pt idx="30">
                  <c:v>0.37245687721095755</c:v>
                </c:pt>
                <c:pt idx="31">
                  <c:v>0.37245687721095755</c:v>
                </c:pt>
                <c:pt idx="32">
                  <c:v>0.37245687721095755</c:v>
                </c:pt>
                <c:pt idx="33">
                  <c:v>0.83932604134640565</c:v>
                </c:pt>
                <c:pt idx="34">
                  <c:v>0.83932604134640565</c:v>
                </c:pt>
                <c:pt idx="35">
                  <c:v>0.83932604134640565</c:v>
                </c:pt>
                <c:pt idx="36">
                  <c:v>0.83932604134640565</c:v>
                </c:pt>
                <c:pt idx="37">
                  <c:v>0.83932604134640565</c:v>
                </c:pt>
                <c:pt idx="38">
                  <c:v>0.83932604134640565</c:v>
                </c:pt>
                <c:pt idx="39">
                  <c:v>1.1384568687535646</c:v>
                </c:pt>
                <c:pt idx="40">
                  <c:v>1.1384568687535646</c:v>
                </c:pt>
                <c:pt idx="41">
                  <c:v>1.1384568687535646</c:v>
                </c:pt>
                <c:pt idx="42">
                  <c:v>1.1384568687535646</c:v>
                </c:pt>
                <c:pt idx="43">
                  <c:v>1.1384568687535646</c:v>
                </c:pt>
                <c:pt idx="44">
                  <c:v>1.1384568687535646</c:v>
                </c:pt>
                <c:pt idx="45">
                  <c:v>1.1384568687535646</c:v>
                </c:pt>
                <c:pt idx="46">
                  <c:v>1.1384568687535646</c:v>
                </c:pt>
                <c:pt idx="47">
                  <c:v>1.1384568687535646</c:v>
                </c:pt>
                <c:pt idx="48">
                  <c:v>1.5562960433080137</c:v>
                </c:pt>
                <c:pt idx="49">
                  <c:v>1.5562960433080137</c:v>
                </c:pt>
                <c:pt idx="50">
                  <c:v>1.5562960433080137</c:v>
                </c:pt>
                <c:pt idx="51">
                  <c:v>1.5562960433080137</c:v>
                </c:pt>
                <c:pt idx="52">
                  <c:v>1.5562960433080137</c:v>
                </c:pt>
                <c:pt idx="53">
                  <c:v>1.5562960433080137</c:v>
                </c:pt>
                <c:pt idx="54">
                  <c:v>1.5562960433080137</c:v>
                </c:pt>
                <c:pt idx="55">
                  <c:v>1.1606860382033679</c:v>
                </c:pt>
                <c:pt idx="56">
                  <c:v>1.1606860382033679</c:v>
                </c:pt>
                <c:pt idx="57">
                  <c:v>1.1606860382033679</c:v>
                </c:pt>
                <c:pt idx="58">
                  <c:v>1.1606860382033679</c:v>
                </c:pt>
                <c:pt idx="59">
                  <c:v>1.1606860382033679</c:v>
                </c:pt>
                <c:pt idx="60">
                  <c:v>1.1606860382033679</c:v>
                </c:pt>
                <c:pt idx="61">
                  <c:v>1.1606860382033679</c:v>
                </c:pt>
                <c:pt idx="62">
                  <c:v>2.1530292122456034</c:v>
                </c:pt>
                <c:pt idx="63">
                  <c:v>2.1530292122456034</c:v>
                </c:pt>
                <c:pt idx="64">
                  <c:v>2.1530292122456034</c:v>
                </c:pt>
                <c:pt idx="65">
                  <c:v>2.1530292122456034</c:v>
                </c:pt>
                <c:pt idx="66">
                  <c:v>2.1530292122456034</c:v>
                </c:pt>
                <c:pt idx="67">
                  <c:v>2.1289316042502735</c:v>
                </c:pt>
                <c:pt idx="68">
                  <c:v>2.1289316042502735</c:v>
                </c:pt>
                <c:pt idx="69">
                  <c:v>2.1289316042502735</c:v>
                </c:pt>
                <c:pt idx="70">
                  <c:v>2.1289316042502735</c:v>
                </c:pt>
                <c:pt idx="71">
                  <c:v>2.1289316042502735</c:v>
                </c:pt>
                <c:pt idx="72">
                  <c:v>2.3897021628869206</c:v>
                </c:pt>
                <c:pt idx="73">
                  <c:v>2.3897021628869206</c:v>
                </c:pt>
                <c:pt idx="74">
                  <c:v>2.3897021628869206</c:v>
                </c:pt>
                <c:pt idx="75">
                  <c:v>2.3897021628869206</c:v>
                </c:pt>
                <c:pt idx="76">
                  <c:v>2.3897021628869206</c:v>
                </c:pt>
                <c:pt idx="77">
                  <c:v>2.3897021628869206</c:v>
                </c:pt>
                <c:pt idx="78">
                  <c:v>2.3897021628869206</c:v>
                </c:pt>
                <c:pt idx="79">
                  <c:v>2.3897021628869206</c:v>
                </c:pt>
                <c:pt idx="80">
                  <c:v>2.9451096097899687</c:v>
                </c:pt>
                <c:pt idx="81">
                  <c:v>2.9451096097899687</c:v>
                </c:pt>
                <c:pt idx="82">
                  <c:v>2.9451096097899687</c:v>
                </c:pt>
                <c:pt idx="83">
                  <c:v>2.9451096097899687</c:v>
                </c:pt>
                <c:pt idx="84">
                  <c:v>2.9451096097899687</c:v>
                </c:pt>
                <c:pt idx="85">
                  <c:v>2.9451096097899687</c:v>
                </c:pt>
                <c:pt idx="86">
                  <c:v>2.9451096097899687</c:v>
                </c:pt>
                <c:pt idx="87">
                  <c:v>2.9451096097899687</c:v>
                </c:pt>
                <c:pt idx="88">
                  <c:v>2.9451096097899687</c:v>
                </c:pt>
                <c:pt idx="89">
                  <c:v>2.9451096097899687</c:v>
                </c:pt>
                <c:pt idx="90">
                  <c:v>2.9451096097899687</c:v>
                </c:pt>
                <c:pt idx="91">
                  <c:v>2.9451096097899687</c:v>
                </c:pt>
                <c:pt idx="92">
                  <c:v>2.9451096097899687</c:v>
                </c:pt>
                <c:pt idx="93">
                  <c:v>2.9451096097899687</c:v>
                </c:pt>
                <c:pt idx="94">
                  <c:v>1.3832092337058488</c:v>
                </c:pt>
                <c:pt idx="95">
                  <c:v>1.3832092337058488</c:v>
                </c:pt>
                <c:pt idx="96">
                  <c:v>1.3832092337058488</c:v>
                </c:pt>
                <c:pt idx="97">
                  <c:v>1.3832092337058488</c:v>
                </c:pt>
                <c:pt idx="98">
                  <c:v>1.3832092337058488</c:v>
                </c:pt>
                <c:pt idx="99">
                  <c:v>1.3832092337058488</c:v>
                </c:pt>
                <c:pt idx="100">
                  <c:v>1.3832092337058488</c:v>
                </c:pt>
                <c:pt idx="101">
                  <c:v>1.3832092337058488</c:v>
                </c:pt>
                <c:pt idx="102">
                  <c:v>1.3832092337058488</c:v>
                </c:pt>
                <c:pt idx="103">
                  <c:v>1.3832092337058488</c:v>
                </c:pt>
                <c:pt idx="104">
                  <c:v>2.6947724028707301</c:v>
                </c:pt>
                <c:pt idx="105">
                  <c:v>2.6947724028707301</c:v>
                </c:pt>
                <c:pt idx="106">
                  <c:v>2.6947724028707301</c:v>
                </c:pt>
                <c:pt idx="107">
                  <c:v>2.6947724028707301</c:v>
                </c:pt>
                <c:pt idx="108">
                  <c:v>2.6947724028707301</c:v>
                </c:pt>
                <c:pt idx="109">
                  <c:v>2.6947724028707301</c:v>
                </c:pt>
                <c:pt idx="110">
                  <c:v>4.2503865709935527</c:v>
                </c:pt>
                <c:pt idx="111">
                  <c:v>4.2503865709935527</c:v>
                </c:pt>
                <c:pt idx="112">
                  <c:v>4.5805772093621204</c:v>
                </c:pt>
                <c:pt idx="113">
                  <c:v>4.5805772093621204</c:v>
                </c:pt>
                <c:pt idx="114">
                  <c:v>4.9383659960256407</c:v>
                </c:pt>
                <c:pt idx="115">
                  <c:v>4.9383659960256407</c:v>
                </c:pt>
                <c:pt idx="116">
                  <c:v>5.6407614487256001</c:v>
                </c:pt>
                <c:pt idx="117">
                  <c:v>5.6407614487256001</c:v>
                </c:pt>
                <c:pt idx="118">
                  <c:v>5.6407614487256001</c:v>
                </c:pt>
                <c:pt idx="119">
                  <c:v>5.6407614487256001</c:v>
                </c:pt>
                <c:pt idx="120">
                  <c:v>5.1407171970219094</c:v>
                </c:pt>
                <c:pt idx="121">
                  <c:v>5.1407171970219094</c:v>
                </c:pt>
                <c:pt idx="122">
                  <c:v>5.1407171970219094</c:v>
                </c:pt>
                <c:pt idx="123">
                  <c:v>5.1407171970219094</c:v>
                </c:pt>
                <c:pt idx="124">
                  <c:v>5.6478621523551391</c:v>
                </c:pt>
                <c:pt idx="125">
                  <c:v>6.3003710611483559</c:v>
                </c:pt>
                <c:pt idx="126">
                  <c:v>6.3003710611483559</c:v>
                </c:pt>
                <c:pt idx="127">
                  <c:v>6.3003710611483559</c:v>
                </c:pt>
                <c:pt idx="128">
                  <c:v>6.3003710611483559</c:v>
                </c:pt>
                <c:pt idx="129">
                  <c:v>6.3003710611483559</c:v>
                </c:pt>
                <c:pt idx="130">
                  <c:v>6.3003710611483559</c:v>
                </c:pt>
                <c:pt idx="131">
                  <c:v>6.3003710611483559</c:v>
                </c:pt>
                <c:pt idx="132">
                  <c:v>6.3003710611483559</c:v>
                </c:pt>
                <c:pt idx="133">
                  <c:v>6.3003710611483559</c:v>
                </c:pt>
                <c:pt idx="134">
                  <c:v>6.3003710611483559</c:v>
                </c:pt>
                <c:pt idx="135">
                  <c:v>7.3526453313452329</c:v>
                </c:pt>
                <c:pt idx="136">
                  <c:v>7.3526453313452329</c:v>
                </c:pt>
                <c:pt idx="137">
                  <c:v>7.3526453313452329</c:v>
                </c:pt>
                <c:pt idx="138">
                  <c:v>7.3177291302279155</c:v>
                </c:pt>
                <c:pt idx="139">
                  <c:v>5.8321710567773195</c:v>
                </c:pt>
                <c:pt idx="140">
                  <c:v>5.8321710567773195</c:v>
                </c:pt>
                <c:pt idx="141">
                  <c:v>5.8321710567773195</c:v>
                </c:pt>
                <c:pt idx="142">
                  <c:v>5.6831034896208585</c:v>
                </c:pt>
                <c:pt idx="143">
                  <c:v>4.5776855182763283</c:v>
                </c:pt>
                <c:pt idx="144">
                  <c:v>4.5776855182763283</c:v>
                </c:pt>
                <c:pt idx="145">
                  <c:v>4.5776855182763283</c:v>
                </c:pt>
                <c:pt idx="146">
                  <c:v>4.5776855182763283</c:v>
                </c:pt>
                <c:pt idx="147">
                  <c:v>5.578895772429699</c:v>
                </c:pt>
                <c:pt idx="148">
                  <c:v>4.3841757122233336</c:v>
                </c:pt>
                <c:pt idx="149">
                  <c:v>4.3841757122233336</c:v>
                </c:pt>
                <c:pt idx="150">
                  <c:v>4.505548326148082</c:v>
                </c:pt>
                <c:pt idx="151">
                  <c:v>4.505548326148082</c:v>
                </c:pt>
                <c:pt idx="152">
                  <c:v>4.1289499726711156</c:v>
                </c:pt>
                <c:pt idx="153">
                  <c:v>4.1289499726711156</c:v>
                </c:pt>
                <c:pt idx="154">
                  <c:v>4.1289499726711156</c:v>
                </c:pt>
                <c:pt idx="155">
                  <c:v>3.5913155640689651</c:v>
                </c:pt>
                <c:pt idx="156">
                  <c:v>3.5913155640689651</c:v>
                </c:pt>
                <c:pt idx="157">
                  <c:v>3.3169307171934124</c:v>
                </c:pt>
                <c:pt idx="158">
                  <c:v>3.3169307171934124</c:v>
                </c:pt>
                <c:pt idx="159">
                  <c:v>3.0637517334912996</c:v>
                </c:pt>
                <c:pt idx="160">
                  <c:v>3.0637517334912996</c:v>
                </c:pt>
                <c:pt idx="161">
                  <c:v>3.0637517334912996</c:v>
                </c:pt>
                <c:pt idx="162">
                  <c:v>4.8970850668246309</c:v>
                </c:pt>
                <c:pt idx="163">
                  <c:v>5.3595858986606633</c:v>
                </c:pt>
                <c:pt idx="164">
                  <c:v>5.3595858986606633</c:v>
                </c:pt>
                <c:pt idx="165">
                  <c:v>5.3595858986606633</c:v>
                </c:pt>
                <c:pt idx="166">
                  <c:v>5.3595858986606633</c:v>
                </c:pt>
                <c:pt idx="167">
                  <c:v>5.7807200867589366</c:v>
                </c:pt>
                <c:pt idx="168">
                  <c:v>5.7784525130627893</c:v>
                </c:pt>
                <c:pt idx="169">
                  <c:v>5.7784525130627893</c:v>
                </c:pt>
                <c:pt idx="170">
                  <c:v>5.7784525130627893</c:v>
                </c:pt>
                <c:pt idx="171">
                  <c:v>5.7784525130627893</c:v>
                </c:pt>
                <c:pt idx="172">
                  <c:v>5.7784525130627893</c:v>
                </c:pt>
                <c:pt idx="173">
                  <c:v>5.7784525130627893</c:v>
                </c:pt>
                <c:pt idx="174">
                  <c:v>5.7784525130627893</c:v>
                </c:pt>
                <c:pt idx="175">
                  <c:v>6.2849165940970435</c:v>
                </c:pt>
                <c:pt idx="176">
                  <c:v>6.2849165940970435</c:v>
                </c:pt>
                <c:pt idx="177">
                  <c:v>7.5474513289043399</c:v>
                </c:pt>
                <c:pt idx="178">
                  <c:v>7.5474513289043399</c:v>
                </c:pt>
                <c:pt idx="179">
                  <c:v>8.6250375358008906</c:v>
                </c:pt>
                <c:pt idx="180">
                  <c:v>8.6250375358008906</c:v>
                </c:pt>
                <c:pt idx="181">
                  <c:v>8.6250375358008906</c:v>
                </c:pt>
                <c:pt idx="182">
                  <c:v>8.0148562247827595</c:v>
                </c:pt>
                <c:pt idx="183">
                  <c:v>8.0148562247827595</c:v>
                </c:pt>
                <c:pt idx="184">
                  <c:v>9.6731546906126074</c:v>
                </c:pt>
                <c:pt idx="185">
                  <c:v>9.6731546906126074</c:v>
                </c:pt>
                <c:pt idx="186">
                  <c:v>10.228512257730687</c:v>
                </c:pt>
                <c:pt idx="187">
                  <c:v>10.228512257730687</c:v>
                </c:pt>
                <c:pt idx="188">
                  <c:v>11.705368458574288</c:v>
                </c:pt>
                <c:pt idx="189">
                  <c:v>11.705368458574288</c:v>
                </c:pt>
                <c:pt idx="190">
                  <c:v>10.909492169914495</c:v>
                </c:pt>
                <c:pt idx="191">
                  <c:v>10.957356433465034</c:v>
                </c:pt>
                <c:pt idx="192">
                  <c:v>10.913244427327712</c:v>
                </c:pt>
                <c:pt idx="193">
                  <c:v>10.913244427327712</c:v>
                </c:pt>
                <c:pt idx="194">
                  <c:v>10.913244427327712</c:v>
                </c:pt>
                <c:pt idx="195">
                  <c:v>10.347206691478656</c:v>
                </c:pt>
                <c:pt idx="196">
                  <c:v>10.347206691478656</c:v>
                </c:pt>
                <c:pt idx="197">
                  <c:v>15.935659689258078</c:v>
                </c:pt>
                <c:pt idx="198">
                  <c:v>16.021866585809803</c:v>
                </c:pt>
                <c:pt idx="199">
                  <c:v>17.31349767035293</c:v>
                </c:pt>
                <c:pt idx="200">
                  <c:v>17.31349767035293</c:v>
                </c:pt>
                <c:pt idx="201">
                  <c:v>17.31349767035293</c:v>
                </c:pt>
                <c:pt idx="202">
                  <c:v>17.31349767035293</c:v>
                </c:pt>
                <c:pt idx="203">
                  <c:v>17.31349767035293</c:v>
                </c:pt>
                <c:pt idx="204">
                  <c:v>17.31349767035293</c:v>
                </c:pt>
                <c:pt idx="205">
                  <c:v>17.31349767035293</c:v>
                </c:pt>
                <c:pt idx="206">
                  <c:v>17.31349767035293</c:v>
                </c:pt>
                <c:pt idx="207">
                  <c:v>17.31349767035293</c:v>
                </c:pt>
                <c:pt idx="208">
                  <c:v>17.31349767035293</c:v>
                </c:pt>
                <c:pt idx="209">
                  <c:v>17.31349767035293</c:v>
                </c:pt>
                <c:pt idx="210">
                  <c:v>17.31349767035293</c:v>
                </c:pt>
                <c:pt idx="211">
                  <c:v>18.017397970376006</c:v>
                </c:pt>
                <c:pt idx="212">
                  <c:v>18.852730770518189</c:v>
                </c:pt>
                <c:pt idx="213">
                  <c:v>18.852730770518189</c:v>
                </c:pt>
                <c:pt idx="214">
                  <c:v>18.852730770518189</c:v>
                </c:pt>
                <c:pt idx="215">
                  <c:v>18.852730770518189</c:v>
                </c:pt>
                <c:pt idx="216">
                  <c:v>18.852730770518189</c:v>
                </c:pt>
                <c:pt idx="217">
                  <c:v>18.852730770518189</c:v>
                </c:pt>
                <c:pt idx="218">
                  <c:v>18.852730770518189</c:v>
                </c:pt>
                <c:pt idx="219">
                  <c:v>18.852730770518189</c:v>
                </c:pt>
                <c:pt idx="220">
                  <c:v>19.718531636319053</c:v>
                </c:pt>
                <c:pt idx="221">
                  <c:v>19.718531636319053</c:v>
                </c:pt>
                <c:pt idx="222">
                  <c:v>19.718531636319053</c:v>
                </c:pt>
                <c:pt idx="223">
                  <c:v>19.718531636319053</c:v>
                </c:pt>
                <c:pt idx="224">
                  <c:v>19.718531636319053</c:v>
                </c:pt>
                <c:pt idx="225">
                  <c:v>19.718531636319053</c:v>
                </c:pt>
                <c:pt idx="226">
                  <c:v>20.817432735220152</c:v>
                </c:pt>
                <c:pt idx="227">
                  <c:v>20.817432735220152</c:v>
                </c:pt>
                <c:pt idx="228">
                  <c:v>22.390464080182984</c:v>
                </c:pt>
                <c:pt idx="229">
                  <c:v>21.535407692680671</c:v>
                </c:pt>
                <c:pt idx="230">
                  <c:v>26.230324244510406</c:v>
                </c:pt>
                <c:pt idx="231">
                  <c:v>26.230324244510406</c:v>
                </c:pt>
                <c:pt idx="232">
                  <c:v>26.230324244510406</c:v>
                </c:pt>
                <c:pt idx="233">
                  <c:v>26.230324244510406</c:v>
                </c:pt>
                <c:pt idx="234">
                  <c:v>26.230324244510406</c:v>
                </c:pt>
                <c:pt idx="235">
                  <c:v>26.230324244510406</c:v>
                </c:pt>
                <c:pt idx="236">
                  <c:v>26.230324244510406</c:v>
                </c:pt>
                <c:pt idx="237">
                  <c:v>26.230324244510406</c:v>
                </c:pt>
                <c:pt idx="238">
                  <c:v>26.230324244510406</c:v>
                </c:pt>
                <c:pt idx="239">
                  <c:v>26.230324244510406</c:v>
                </c:pt>
                <c:pt idx="240">
                  <c:v>26.230324244510406</c:v>
                </c:pt>
                <c:pt idx="241">
                  <c:v>26.230324244510406</c:v>
                </c:pt>
                <c:pt idx="242">
                  <c:v>26.230324244510406</c:v>
                </c:pt>
                <c:pt idx="243">
                  <c:v>26.230324244510406</c:v>
                </c:pt>
                <c:pt idx="244">
                  <c:v>26.39506227086849</c:v>
                </c:pt>
                <c:pt idx="245">
                  <c:v>26.39506227086849</c:v>
                </c:pt>
                <c:pt idx="246">
                  <c:v>25.329409858587788</c:v>
                </c:pt>
                <c:pt idx="247">
                  <c:v>25.329409858587788</c:v>
                </c:pt>
                <c:pt idx="248">
                  <c:v>25.220376742088675</c:v>
                </c:pt>
                <c:pt idx="249">
                  <c:v>25.220376742088675</c:v>
                </c:pt>
                <c:pt idx="250">
                  <c:v>25.220376742088675</c:v>
                </c:pt>
                <c:pt idx="251">
                  <c:v>25.220376742088675</c:v>
                </c:pt>
                <c:pt idx="252">
                  <c:v>25.220376742088675</c:v>
                </c:pt>
                <c:pt idx="253">
                  <c:v>25.220376742088675</c:v>
                </c:pt>
                <c:pt idx="254">
                  <c:v>25.220376742088675</c:v>
                </c:pt>
                <c:pt idx="255">
                  <c:v>25.220376742088675</c:v>
                </c:pt>
                <c:pt idx="256">
                  <c:v>24.29982676817373</c:v>
                </c:pt>
                <c:pt idx="257">
                  <c:v>26.378260145819709</c:v>
                </c:pt>
                <c:pt idx="258">
                  <c:v>26.009315647905048</c:v>
                </c:pt>
                <c:pt idx="259">
                  <c:v>26.009315647905048</c:v>
                </c:pt>
                <c:pt idx="260">
                  <c:v>26.009315647905048</c:v>
                </c:pt>
                <c:pt idx="261">
                  <c:v>26.276057629954881</c:v>
                </c:pt>
                <c:pt idx="262">
                  <c:v>26.276057629954881</c:v>
                </c:pt>
                <c:pt idx="263">
                  <c:v>26.276057629954881</c:v>
                </c:pt>
                <c:pt idx="264">
                  <c:v>26.276057629954881</c:v>
                </c:pt>
                <c:pt idx="265">
                  <c:v>26.276057629954881</c:v>
                </c:pt>
                <c:pt idx="266">
                  <c:v>26.276057629954881</c:v>
                </c:pt>
                <c:pt idx="267">
                  <c:v>26.276057629954881</c:v>
                </c:pt>
                <c:pt idx="268">
                  <c:v>25.862021391535599</c:v>
                </c:pt>
                <c:pt idx="269">
                  <c:v>25.862021391535599</c:v>
                </c:pt>
                <c:pt idx="270">
                  <c:v>25.862021391535599</c:v>
                </c:pt>
                <c:pt idx="271">
                  <c:v>25.962834399665681</c:v>
                </c:pt>
                <c:pt idx="272">
                  <c:v>25.962834399665681</c:v>
                </c:pt>
                <c:pt idx="273">
                  <c:v>25.962834399665681</c:v>
                </c:pt>
                <c:pt idx="274">
                  <c:v>26.320003289526458</c:v>
                </c:pt>
                <c:pt idx="275">
                  <c:v>25.596167080511073</c:v>
                </c:pt>
                <c:pt idx="276">
                  <c:v>25.596167080511073</c:v>
                </c:pt>
                <c:pt idx="277">
                  <c:v>25.596167080511073</c:v>
                </c:pt>
                <c:pt idx="278">
                  <c:v>25.596167080511073</c:v>
                </c:pt>
                <c:pt idx="279">
                  <c:v>25.596167080511073</c:v>
                </c:pt>
                <c:pt idx="280">
                  <c:v>26.031518633181065</c:v>
                </c:pt>
                <c:pt idx="281">
                  <c:v>26.031518633181065</c:v>
                </c:pt>
                <c:pt idx="282">
                  <c:v>25.604856964015649</c:v>
                </c:pt>
                <c:pt idx="283">
                  <c:v>24.839929959906897</c:v>
                </c:pt>
                <c:pt idx="284">
                  <c:v>24.286592424010003</c:v>
                </c:pt>
                <c:pt idx="285">
                  <c:v>24.286592424010003</c:v>
                </c:pt>
                <c:pt idx="286">
                  <c:v>24.286592424010003</c:v>
                </c:pt>
                <c:pt idx="287">
                  <c:v>24.286592424010003</c:v>
                </c:pt>
                <c:pt idx="288">
                  <c:v>24.286592424010003</c:v>
                </c:pt>
                <c:pt idx="289">
                  <c:v>24.286592424010003</c:v>
                </c:pt>
                <c:pt idx="290">
                  <c:v>24.286592424010003</c:v>
                </c:pt>
                <c:pt idx="291">
                  <c:v>24.286592424010003</c:v>
                </c:pt>
                <c:pt idx="292">
                  <c:v>24.286592424010003</c:v>
                </c:pt>
                <c:pt idx="293">
                  <c:v>24.286592424010003</c:v>
                </c:pt>
                <c:pt idx="294">
                  <c:v>24.409276757220653</c:v>
                </c:pt>
                <c:pt idx="295">
                  <c:v>25.564336482260092</c:v>
                </c:pt>
                <c:pt idx="296">
                  <c:v>25.564336482260092</c:v>
                </c:pt>
                <c:pt idx="297">
                  <c:v>25.564336482260092</c:v>
                </c:pt>
                <c:pt idx="298">
                  <c:v>25.564336482260092</c:v>
                </c:pt>
                <c:pt idx="299">
                  <c:v>25.878801891065123</c:v>
                </c:pt>
                <c:pt idx="300">
                  <c:v>25.878801891065123</c:v>
                </c:pt>
                <c:pt idx="301">
                  <c:v>25.802370867124576</c:v>
                </c:pt>
                <c:pt idx="302">
                  <c:v>25.802370867124576</c:v>
                </c:pt>
                <c:pt idx="303">
                  <c:v>25.802370867124576</c:v>
                </c:pt>
                <c:pt idx="304">
                  <c:v>25.802370867124576</c:v>
                </c:pt>
                <c:pt idx="305">
                  <c:v>25.084355201328229</c:v>
                </c:pt>
                <c:pt idx="306">
                  <c:v>25.084355201328229</c:v>
                </c:pt>
                <c:pt idx="307">
                  <c:v>23.057393703898299</c:v>
                </c:pt>
                <c:pt idx="308">
                  <c:v>23.057393703898299</c:v>
                </c:pt>
                <c:pt idx="309">
                  <c:v>23.057393703898299</c:v>
                </c:pt>
                <c:pt idx="310">
                  <c:v>23.057393703898299</c:v>
                </c:pt>
                <c:pt idx="311">
                  <c:v>23.057393703898299</c:v>
                </c:pt>
                <c:pt idx="312">
                  <c:v>23.057393703898299</c:v>
                </c:pt>
                <c:pt idx="313">
                  <c:v>23.057393703898299</c:v>
                </c:pt>
                <c:pt idx="314">
                  <c:v>23.057393703898299</c:v>
                </c:pt>
                <c:pt idx="315">
                  <c:v>23.057393703898299</c:v>
                </c:pt>
                <c:pt idx="316">
                  <c:v>23.057393703898299</c:v>
                </c:pt>
                <c:pt idx="317">
                  <c:v>21.87872204814526</c:v>
                </c:pt>
                <c:pt idx="318">
                  <c:v>21.87872204814526</c:v>
                </c:pt>
                <c:pt idx="319">
                  <c:v>21.87872204814526</c:v>
                </c:pt>
                <c:pt idx="320">
                  <c:v>21.87872204814526</c:v>
                </c:pt>
                <c:pt idx="321">
                  <c:v>21.87872204814526</c:v>
                </c:pt>
                <c:pt idx="322">
                  <c:v>21.87872204814526</c:v>
                </c:pt>
                <c:pt idx="323">
                  <c:v>22.698098961525414</c:v>
                </c:pt>
                <c:pt idx="324">
                  <c:v>22.698098961525414</c:v>
                </c:pt>
                <c:pt idx="325">
                  <c:v>22.698098961525414</c:v>
                </c:pt>
                <c:pt idx="326">
                  <c:v>22.698098961525414</c:v>
                </c:pt>
                <c:pt idx="327">
                  <c:v>21.834423057461787</c:v>
                </c:pt>
                <c:pt idx="328">
                  <c:v>21.834423057461787</c:v>
                </c:pt>
                <c:pt idx="329">
                  <c:v>21.834423057461787</c:v>
                </c:pt>
                <c:pt idx="330">
                  <c:v>22.46098947350189</c:v>
                </c:pt>
                <c:pt idx="331">
                  <c:v>22.46098947350189</c:v>
                </c:pt>
                <c:pt idx="332">
                  <c:v>22.46098947350189</c:v>
                </c:pt>
                <c:pt idx="333">
                  <c:v>22.46098947350189</c:v>
                </c:pt>
                <c:pt idx="334">
                  <c:v>21.666151520722892</c:v>
                </c:pt>
                <c:pt idx="335">
                  <c:v>21.666151520722892</c:v>
                </c:pt>
                <c:pt idx="336">
                  <c:v>21.666151520722892</c:v>
                </c:pt>
                <c:pt idx="337">
                  <c:v>21.666151520722892</c:v>
                </c:pt>
                <c:pt idx="338">
                  <c:v>21.666151520722892</c:v>
                </c:pt>
                <c:pt idx="339">
                  <c:v>22.718783099670262</c:v>
                </c:pt>
                <c:pt idx="340">
                  <c:v>26.177992559451887</c:v>
                </c:pt>
                <c:pt idx="341">
                  <c:v>25.650108629145521</c:v>
                </c:pt>
                <c:pt idx="342">
                  <c:v>25.650108629145521</c:v>
                </c:pt>
                <c:pt idx="343">
                  <c:v>25.650108629145521</c:v>
                </c:pt>
                <c:pt idx="344">
                  <c:v>25.650108629145521</c:v>
                </c:pt>
                <c:pt idx="345">
                  <c:v>25.650108629145521</c:v>
                </c:pt>
                <c:pt idx="346">
                  <c:v>26.107096641821773</c:v>
                </c:pt>
                <c:pt idx="347">
                  <c:v>26.107096641821773</c:v>
                </c:pt>
                <c:pt idx="348">
                  <c:v>26.107096641821773</c:v>
                </c:pt>
                <c:pt idx="349">
                  <c:v>24.774087773121796</c:v>
                </c:pt>
                <c:pt idx="350">
                  <c:v>24.774087773121796</c:v>
                </c:pt>
                <c:pt idx="351">
                  <c:v>24.774087773121796</c:v>
                </c:pt>
                <c:pt idx="352">
                  <c:v>24.774087773121796</c:v>
                </c:pt>
                <c:pt idx="353">
                  <c:v>24.732648447201495</c:v>
                </c:pt>
                <c:pt idx="354">
                  <c:v>24.732648447201495</c:v>
                </c:pt>
                <c:pt idx="355">
                  <c:v>24.732648447201495</c:v>
                </c:pt>
                <c:pt idx="356">
                  <c:v>24.732648447201495</c:v>
                </c:pt>
                <c:pt idx="357">
                  <c:v>23.925757159446615</c:v>
                </c:pt>
                <c:pt idx="358">
                  <c:v>23.925757159446615</c:v>
                </c:pt>
                <c:pt idx="359">
                  <c:v>23.925757159446615</c:v>
                </c:pt>
                <c:pt idx="360">
                  <c:v>23.925757159446615</c:v>
                </c:pt>
                <c:pt idx="361">
                  <c:v>23.925757159446615</c:v>
                </c:pt>
                <c:pt idx="362">
                  <c:v>23.925757159446615</c:v>
                </c:pt>
                <c:pt idx="363">
                  <c:v>23.925757159446615</c:v>
                </c:pt>
                <c:pt idx="364">
                  <c:v>23.925757159446615</c:v>
                </c:pt>
                <c:pt idx="365">
                  <c:v>23.925757159446615</c:v>
                </c:pt>
                <c:pt idx="366">
                  <c:v>23.925757159446615</c:v>
                </c:pt>
                <c:pt idx="367">
                  <c:v>23.925757159446615</c:v>
                </c:pt>
                <c:pt idx="368">
                  <c:v>21.529978193828008</c:v>
                </c:pt>
                <c:pt idx="369">
                  <c:v>21.529978193828008</c:v>
                </c:pt>
                <c:pt idx="370">
                  <c:v>20.71676331069586</c:v>
                </c:pt>
                <c:pt idx="371">
                  <c:v>20.71676331069586</c:v>
                </c:pt>
                <c:pt idx="372">
                  <c:v>20.71676331069586</c:v>
                </c:pt>
                <c:pt idx="373">
                  <c:v>20.71676331069586</c:v>
                </c:pt>
                <c:pt idx="374">
                  <c:v>20.71676331069586</c:v>
                </c:pt>
                <c:pt idx="375">
                  <c:v>20.71676331069586</c:v>
                </c:pt>
                <c:pt idx="376">
                  <c:v>20.71676331069586</c:v>
                </c:pt>
                <c:pt idx="377">
                  <c:v>20.71676331069586</c:v>
                </c:pt>
                <c:pt idx="378">
                  <c:v>20.71676331069586</c:v>
                </c:pt>
                <c:pt idx="379">
                  <c:v>20.71676331069586</c:v>
                </c:pt>
                <c:pt idx="380">
                  <c:v>20.71676331069586</c:v>
                </c:pt>
                <c:pt idx="381">
                  <c:v>20.71676331069586</c:v>
                </c:pt>
                <c:pt idx="382">
                  <c:v>20.71676331069586</c:v>
                </c:pt>
                <c:pt idx="383">
                  <c:v>19.794230184631754</c:v>
                </c:pt>
                <c:pt idx="384">
                  <c:v>19.794230184631754</c:v>
                </c:pt>
                <c:pt idx="385">
                  <c:v>20.495799746131691</c:v>
                </c:pt>
                <c:pt idx="386">
                  <c:v>20.495799746131691</c:v>
                </c:pt>
                <c:pt idx="387">
                  <c:v>20.495799746131691</c:v>
                </c:pt>
                <c:pt idx="388">
                  <c:v>20.597319644031678</c:v>
                </c:pt>
                <c:pt idx="389">
                  <c:v>20.98924205667948</c:v>
                </c:pt>
                <c:pt idx="390">
                  <c:v>20.98924205667948</c:v>
                </c:pt>
                <c:pt idx="391">
                  <c:v>20.98924205667948</c:v>
                </c:pt>
                <c:pt idx="392">
                  <c:v>20.98924205667948</c:v>
                </c:pt>
                <c:pt idx="393">
                  <c:v>20.98924205667948</c:v>
                </c:pt>
                <c:pt idx="394">
                  <c:v>20.719269876983365</c:v>
                </c:pt>
                <c:pt idx="395">
                  <c:v>20.719269876983365</c:v>
                </c:pt>
                <c:pt idx="396">
                  <c:v>20.719269876983365</c:v>
                </c:pt>
                <c:pt idx="397">
                  <c:v>20.719269876983365</c:v>
                </c:pt>
                <c:pt idx="398">
                  <c:v>20.719269876983365</c:v>
                </c:pt>
                <c:pt idx="399">
                  <c:v>22.842942581543017</c:v>
                </c:pt>
                <c:pt idx="400">
                  <c:v>22.842942581543017</c:v>
                </c:pt>
                <c:pt idx="401">
                  <c:v>24.245601869837536</c:v>
                </c:pt>
                <c:pt idx="402">
                  <c:v>24.695530102144041</c:v>
                </c:pt>
                <c:pt idx="403">
                  <c:v>24.695530102144041</c:v>
                </c:pt>
                <c:pt idx="404">
                  <c:v>24.695530102144041</c:v>
                </c:pt>
                <c:pt idx="405">
                  <c:v>25.500854806122856</c:v>
                </c:pt>
                <c:pt idx="406">
                  <c:v>24.752437995529881</c:v>
                </c:pt>
                <c:pt idx="407">
                  <c:v>26.828184535952314</c:v>
                </c:pt>
                <c:pt idx="408">
                  <c:v>26.828184535952314</c:v>
                </c:pt>
                <c:pt idx="409">
                  <c:v>27.642301405115052</c:v>
                </c:pt>
                <c:pt idx="410">
                  <c:v>28.655358586564851</c:v>
                </c:pt>
                <c:pt idx="411">
                  <c:v>32.813539170407353</c:v>
                </c:pt>
                <c:pt idx="412">
                  <c:v>32.813539170407353</c:v>
                </c:pt>
                <c:pt idx="413">
                  <c:v>33.639985451399092</c:v>
                </c:pt>
                <c:pt idx="414">
                  <c:v>33.639985451399092</c:v>
                </c:pt>
                <c:pt idx="415">
                  <c:v>33.639985451399092</c:v>
                </c:pt>
                <c:pt idx="416">
                  <c:v>33.855769752557066</c:v>
                </c:pt>
                <c:pt idx="417">
                  <c:v>31.306146207040296</c:v>
                </c:pt>
                <c:pt idx="418">
                  <c:v>31.306146207040296</c:v>
                </c:pt>
                <c:pt idx="419">
                  <c:v>31.306146207040296</c:v>
                </c:pt>
                <c:pt idx="420">
                  <c:v>33.811714135770806</c:v>
                </c:pt>
                <c:pt idx="421">
                  <c:v>34.691028270745527</c:v>
                </c:pt>
                <c:pt idx="422">
                  <c:v>39.237391180417788</c:v>
                </c:pt>
                <c:pt idx="423">
                  <c:v>39.838910099700001</c:v>
                </c:pt>
                <c:pt idx="424">
                  <c:v>39.838910099700001</c:v>
                </c:pt>
                <c:pt idx="425">
                  <c:v>40.792671735591959</c:v>
                </c:pt>
                <c:pt idx="426">
                  <c:v>41.462249610410005</c:v>
                </c:pt>
                <c:pt idx="427">
                  <c:v>42.728779478171063</c:v>
                </c:pt>
                <c:pt idx="428">
                  <c:v>43.963667215649473</c:v>
                </c:pt>
                <c:pt idx="429">
                  <c:v>46.823627767917714</c:v>
                </c:pt>
                <c:pt idx="430">
                  <c:v>45.984171076757612</c:v>
                </c:pt>
                <c:pt idx="431">
                  <c:v>44.462528952705853</c:v>
                </c:pt>
                <c:pt idx="432">
                  <c:v>42.99286040986658</c:v>
                </c:pt>
                <c:pt idx="433">
                  <c:v>40.674507204934351</c:v>
                </c:pt>
                <c:pt idx="434">
                  <c:v>40.674507204934351</c:v>
                </c:pt>
                <c:pt idx="435">
                  <c:v>40.674507204934351</c:v>
                </c:pt>
                <c:pt idx="436">
                  <c:v>40.674507204934351</c:v>
                </c:pt>
                <c:pt idx="437">
                  <c:v>40.674507204934351</c:v>
                </c:pt>
                <c:pt idx="438">
                  <c:v>40.973701998669185</c:v>
                </c:pt>
                <c:pt idx="439">
                  <c:v>40.973701998669185</c:v>
                </c:pt>
                <c:pt idx="440">
                  <c:v>42.513841020067574</c:v>
                </c:pt>
                <c:pt idx="441">
                  <c:v>43.499377235053274</c:v>
                </c:pt>
                <c:pt idx="442">
                  <c:v>43.499377235053274</c:v>
                </c:pt>
                <c:pt idx="443">
                  <c:v>43.499377235053274</c:v>
                </c:pt>
                <c:pt idx="444">
                  <c:v>43.496894859916743</c:v>
                </c:pt>
              </c:numCache>
            </c:numRef>
          </c:val>
          <c:smooth val="0"/>
          <c:extLst>
            <c:ext xmlns:c16="http://schemas.microsoft.com/office/drawing/2014/chart" uri="{C3380CC4-5D6E-409C-BE32-E72D297353CC}">
              <c16:uniqueId val="{0000000A-C9CA-4D9B-8754-B3F2C1FBE580}"/>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SW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'2025-Q1'!$AC$4:$AC$448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7AEE-4D62-9FE5-2B87AD6DF366}"/>
            </c:ext>
          </c:extLst>
        </c:ser>
        <c:ser>
          <c:idx val="8"/>
          <c:order val="1"/>
          <c:tx>
            <c:v>XLC</c:v>
          </c:tx>
          <c:spPr>
            <a:ln w="38100" cap="rnd">
              <a:solidFill>
                <a:sysClr val="windowText" lastClr="000000"/>
              </a:solidFill>
              <a:round/>
            </a:ln>
            <a:effectLst/>
          </c:spPr>
          <c:marker>
            <c:symbol val="none"/>
          </c:marker>
          <c:val>
            <c:numRef>
              <c:f>'2025-Q1'!$BG$4:$BG$448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2.4597169840247779</c:v>
                </c:pt>
                <c:pt idx="29">
                  <c:v>2.4597169840247779</c:v>
                </c:pt>
                <c:pt idx="30">
                  <c:v>2.4597169840247779</c:v>
                </c:pt>
                <c:pt idx="31">
                  <c:v>2.4597169840247779</c:v>
                </c:pt>
                <c:pt idx="32">
                  <c:v>2.4597169840247779</c:v>
                </c:pt>
                <c:pt idx="33">
                  <c:v>2.4597169840247779</c:v>
                </c:pt>
                <c:pt idx="34">
                  <c:v>2.4597169840247779</c:v>
                </c:pt>
                <c:pt idx="35">
                  <c:v>2.4597169840247779</c:v>
                </c:pt>
                <c:pt idx="36">
                  <c:v>2.4597169840247779</c:v>
                </c:pt>
                <c:pt idx="37">
                  <c:v>2.4597169840247779</c:v>
                </c:pt>
                <c:pt idx="38">
                  <c:v>2.4597169840247779</c:v>
                </c:pt>
                <c:pt idx="39">
                  <c:v>2.4597169840247779</c:v>
                </c:pt>
                <c:pt idx="40">
                  <c:v>2.4597169840247779</c:v>
                </c:pt>
                <c:pt idx="41">
                  <c:v>2.4597169840247779</c:v>
                </c:pt>
                <c:pt idx="42">
                  <c:v>2.4597169840247779</c:v>
                </c:pt>
                <c:pt idx="43">
                  <c:v>2.4597169840247779</c:v>
                </c:pt>
                <c:pt idx="44">
                  <c:v>2.4597169840247779</c:v>
                </c:pt>
                <c:pt idx="45">
                  <c:v>2.4597169840247779</c:v>
                </c:pt>
                <c:pt idx="46">
                  <c:v>2.4597169840247779</c:v>
                </c:pt>
                <c:pt idx="47">
                  <c:v>2.4597169840247779</c:v>
                </c:pt>
                <c:pt idx="48">
                  <c:v>2.4597169840247779</c:v>
                </c:pt>
                <c:pt idx="49">
                  <c:v>2.4597169840247779</c:v>
                </c:pt>
                <c:pt idx="50">
                  <c:v>2.4597169840247779</c:v>
                </c:pt>
                <c:pt idx="51">
                  <c:v>2.4597169840247779</c:v>
                </c:pt>
                <c:pt idx="52">
                  <c:v>2.4597169840247779</c:v>
                </c:pt>
                <c:pt idx="53">
                  <c:v>2.4597169840247779</c:v>
                </c:pt>
                <c:pt idx="54">
                  <c:v>2.4597169840247779</c:v>
                </c:pt>
                <c:pt idx="55">
                  <c:v>2.4597169840247779</c:v>
                </c:pt>
                <c:pt idx="56">
                  <c:v>2.4597169840247779</c:v>
                </c:pt>
                <c:pt idx="57">
                  <c:v>2.4597169840247779</c:v>
                </c:pt>
                <c:pt idx="58">
                  <c:v>2.4597169840247779</c:v>
                </c:pt>
                <c:pt idx="59">
                  <c:v>2.4597169840247779</c:v>
                </c:pt>
                <c:pt idx="60">
                  <c:v>2.4597169840247779</c:v>
                </c:pt>
                <c:pt idx="61">
                  <c:v>2.4597169840247779</c:v>
                </c:pt>
                <c:pt idx="62">
                  <c:v>2.4597169840247779</c:v>
                </c:pt>
                <c:pt idx="63">
                  <c:v>2.4597169840247779</c:v>
                </c:pt>
                <c:pt idx="64">
                  <c:v>2.4597169840247779</c:v>
                </c:pt>
                <c:pt idx="65">
                  <c:v>2.4597169840247779</c:v>
                </c:pt>
                <c:pt idx="66">
                  <c:v>2.4597169840247779</c:v>
                </c:pt>
                <c:pt idx="67">
                  <c:v>2.4597169840247779</c:v>
                </c:pt>
                <c:pt idx="68">
                  <c:v>2.4597169840247779</c:v>
                </c:pt>
                <c:pt idx="69">
                  <c:v>2.4597169840247779</c:v>
                </c:pt>
                <c:pt idx="70">
                  <c:v>2.4597169840247779</c:v>
                </c:pt>
                <c:pt idx="71">
                  <c:v>2.4597169840247779</c:v>
                </c:pt>
                <c:pt idx="72">
                  <c:v>2.4597169840247779</c:v>
                </c:pt>
                <c:pt idx="73">
                  <c:v>2.4597169840247779</c:v>
                </c:pt>
                <c:pt idx="74">
                  <c:v>2.4597169840247779</c:v>
                </c:pt>
                <c:pt idx="75">
                  <c:v>2.4597169840247779</c:v>
                </c:pt>
                <c:pt idx="76">
                  <c:v>3.730405235810978</c:v>
                </c:pt>
                <c:pt idx="77">
                  <c:v>3.730405235810978</c:v>
                </c:pt>
                <c:pt idx="78">
                  <c:v>3.730405235810978</c:v>
                </c:pt>
                <c:pt idx="79">
                  <c:v>3.730405235810978</c:v>
                </c:pt>
                <c:pt idx="80">
                  <c:v>3.730405235810978</c:v>
                </c:pt>
                <c:pt idx="81">
                  <c:v>3.730405235810978</c:v>
                </c:pt>
                <c:pt idx="82">
                  <c:v>3.730405235810978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1-7AEE-4D62-9FE5-2B87AD6DF366}"/>
            </c:ext>
          </c:extLst>
        </c:ser>
        <c:ser>
          <c:idx val="7"/>
          <c:order val="2"/>
          <c:tx>
            <c:v>IGV</c:v>
          </c:tx>
          <c:spPr>
            <a:ln w="28575" cap="rnd">
              <a:solidFill>
                <a:schemeClr val="accent3">
                  <a:lumMod val="60000"/>
                  <a:lumOff val="40000"/>
                </a:schemeClr>
              </a:solidFill>
              <a:prstDash val="solid"/>
              <a:round/>
            </a:ln>
            <a:effectLst/>
          </c:spPr>
          <c:marker>
            <c:symbol val="none"/>
          </c:marker>
          <c:val>
            <c:numRef>
              <c:f>'2025-Q1'!$AL$4:$AL$448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2-7AEE-4D62-9FE5-2B87AD6DF366}"/>
            </c:ext>
          </c:extLst>
        </c:ser>
        <c:ser>
          <c:idx val="9"/>
          <c:order val="3"/>
          <c:tx>
            <c:v>XLI</c:v>
          </c:tx>
          <c:spPr>
            <a:ln w="28575" cap="rnd">
              <a:solidFill>
                <a:schemeClr val="bg1"/>
              </a:solidFill>
              <a:round/>
            </a:ln>
            <a:effectLst/>
          </c:spPr>
          <c:marker>
            <c:symbol val="none"/>
          </c:marker>
          <c:val>
            <c:numRef>
              <c:f>'2025-Q1'!$BU$4:$BU$448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-1.0025062656641595</c:v>
                </c:pt>
                <c:pt idx="16">
                  <c:v>-1.0025062656641595</c:v>
                </c:pt>
                <c:pt idx="17">
                  <c:v>-1.0025062656641595</c:v>
                </c:pt>
                <c:pt idx="18">
                  <c:v>-1.0025062656641595</c:v>
                </c:pt>
                <c:pt idx="19">
                  <c:v>-1.0025062656641595</c:v>
                </c:pt>
                <c:pt idx="20">
                  <c:v>-1.0025062656641595</c:v>
                </c:pt>
                <c:pt idx="21">
                  <c:v>-1.0025062656641595</c:v>
                </c:pt>
                <c:pt idx="22">
                  <c:v>-1.0025062656641595</c:v>
                </c:pt>
                <c:pt idx="23">
                  <c:v>-1.0025062656641595</c:v>
                </c:pt>
                <c:pt idx="24">
                  <c:v>-1.0025062656641595</c:v>
                </c:pt>
                <c:pt idx="25">
                  <c:v>-1.0025062656641595</c:v>
                </c:pt>
                <c:pt idx="26">
                  <c:v>-1.0025062656641595</c:v>
                </c:pt>
                <c:pt idx="27">
                  <c:v>-1.0025062656641595</c:v>
                </c:pt>
                <c:pt idx="28">
                  <c:v>-1.0025062656641595</c:v>
                </c:pt>
                <c:pt idx="29">
                  <c:v>-1.0025062656641595</c:v>
                </c:pt>
                <c:pt idx="30">
                  <c:v>-1.0025062656641595</c:v>
                </c:pt>
                <c:pt idx="31">
                  <c:v>-1.0025062656641595</c:v>
                </c:pt>
                <c:pt idx="32">
                  <c:v>-1.0025062656641595</c:v>
                </c:pt>
                <c:pt idx="33">
                  <c:v>-1.0025062656641595</c:v>
                </c:pt>
                <c:pt idx="34">
                  <c:v>-1.0025062656641595</c:v>
                </c:pt>
                <c:pt idx="35">
                  <c:v>-1.0025062656641595</c:v>
                </c:pt>
                <c:pt idx="36">
                  <c:v>-1.0025062656641595</c:v>
                </c:pt>
                <c:pt idx="37">
                  <c:v>-1.0025062656641595</c:v>
                </c:pt>
                <c:pt idx="38">
                  <c:v>-1.0025062656641595</c:v>
                </c:pt>
                <c:pt idx="39">
                  <c:v>-1.0025062656641595</c:v>
                </c:pt>
                <c:pt idx="40">
                  <c:v>-1.0025062656641595</c:v>
                </c:pt>
                <c:pt idx="41">
                  <c:v>-1.7024241638579198</c:v>
                </c:pt>
                <c:pt idx="42">
                  <c:v>-1.7024241638579198</c:v>
                </c:pt>
                <c:pt idx="43">
                  <c:v>-1.7024241638579198</c:v>
                </c:pt>
                <c:pt idx="44">
                  <c:v>-1.7024241638579198</c:v>
                </c:pt>
                <c:pt idx="45">
                  <c:v>-1.7024241638579198</c:v>
                </c:pt>
                <c:pt idx="46">
                  <c:v>-0.93553131681240131</c:v>
                </c:pt>
                <c:pt idx="47">
                  <c:v>-0.93553131681240131</c:v>
                </c:pt>
                <c:pt idx="48">
                  <c:v>-0.93553131681240131</c:v>
                </c:pt>
                <c:pt idx="49">
                  <c:v>-0.93553131681240131</c:v>
                </c:pt>
                <c:pt idx="50">
                  <c:v>-0.93553131681240131</c:v>
                </c:pt>
                <c:pt idx="51">
                  <c:v>-0.93553131681240131</c:v>
                </c:pt>
                <c:pt idx="52">
                  <c:v>-0.93553131681240131</c:v>
                </c:pt>
                <c:pt idx="53">
                  <c:v>-1.737432118713206</c:v>
                </c:pt>
                <c:pt idx="54">
                  <c:v>-1.737432118713206</c:v>
                </c:pt>
                <c:pt idx="55">
                  <c:v>-1.737432118713206</c:v>
                </c:pt>
                <c:pt idx="56">
                  <c:v>-1.737432118713206</c:v>
                </c:pt>
                <c:pt idx="57">
                  <c:v>-1.737432118713206</c:v>
                </c:pt>
                <c:pt idx="58">
                  <c:v>-1.737432118713206</c:v>
                </c:pt>
                <c:pt idx="59">
                  <c:v>-1.737432118713206</c:v>
                </c:pt>
                <c:pt idx="60">
                  <c:v>-1.737432118713206</c:v>
                </c:pt>
                <c:pt idx="61">
                  <c:v>-0.92109198809878245</c:v>
                </c:pt>
                <c:pt idx="62">
                  <c:v>-0.92109198809878245</c:v>
                </c:pt>
                <c:pt idx="63">
                  <c:v>-0.33591272342648226</c:v>
                </c:pt>
                <c:pt idx="64">
                  <c:v>-0.33591272342648226</c:v>
                </c:pt>
                <c:pt idx="65">
                  <c:v>-0.33591272342648226</c:v>
                </c:pt>
                <c:pt idx="66">
                  <c:v>-0.33591272342648226</c:v>
                </c:pt>
                <c:pt idx="67">
                  <c:v>-0.33591272342648226</c:v>
                </c:pt>
                <c:pt idx="68">
                  <c:v>-0.33591272342648226</c:v>
                </c:pt>
                <c:pt idx="69">
                  <c:v>-0.33591272342648226</c:v>
                </c:pt>
                <c:pt idx="70">
                  <c:v>-0.33591272342648226</c:v>
                </c:pt>
                <c:pt idx="71">
                  <c:v>-0.33591272342648226</c:v>
                </c:pt>
                <c:pt idx="72">
                  <c:v>-0.33591272342648226</c:v>
                </c:pt>
                <c:pt idx="73">
                  <c:v>-0.33591272342648226</c:v>
                </c:pt>
                <c:pt idx="74">
                  <c:v>-0.33591272342648226</c:v>
                </c:pt>
                <c:pt idx="75">
                  <c:v>-0.33591272342648226</c:v>
                </c:pt>
                <c:pt idx="76">
                  <c:v>-0.33591272342648226</c:v>
                </c:pt>
                <c:pt idx="77">
                  <c:v>-0.33591272342648226</c:v>
                </c:pt>
                <c:pt idx="78">
                  <c:v>-0.33591272342648226</c:v>
                </c:pt>
                <c:pt idx="79">
                  <c:v>-0.33591272342648226</c:v>
                </c:pt>
                <c:pt idx="80">
                  <c:v>-0.33591272342648226</c:v>
                </c:pt>
                <c:pt idx="81">
                  <c:v>0.48447408697301153</c:v>
                </c:pt>
                <c:pt idx="82">
                  <c:v>0.48447408697301153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3-7AEE-4D62-9FE5-2B87AD6DF366}"/>
            </c:ext>
          </c:extLst>
        </c:ser>
        <c:ser>
          <c:idx val="3"/>
          <c:order val="4"/>
          <c:tx>
            <c:v>XLY</c:v>
          </c:tx>
          <c:spPr>
            <a:ln w="28575" cap="rnd">
              <a:solidFill>
                <a:srgbClr val="FFC000"/>
              </a:solidFill>
              <a:round/>
            </a:ln>
            <a:effectLst/>
          </c:spPr>
          <c:marker>
            <c:symbol val="none"/>
          </c:marker>
          <c:val>
            <c:numRef>
              <c:f>'2025-Q1'!$AS$4:$AS$448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0.38010822295256225</c:v>
                </c:pt>
                <c:pt idx="74">
                  <c:v>0.38010822295256225</c:v>
                </c:pt>
                <c:pt idx="75">
                  <c:v>0.38010822295256225</c:v>
                </c:pt>
                <c:pt idx="76">
                  <c:v>0.38010822295256225</c:v>
                </c:pt>
                <c:pt idx="77">
                  <c:v>0.38010822295256225</c:v>
                </c:pt>
                <c:pt idx="78">
                  <c:v>0.38010822295256225</c:v>
                </c:pt>
                <c:pt idx="79">
                  <c:v>0.38010822295256225</c:v>
                </c:pt>
                <c:pt idx="80">
                  <c:v>0.38010822295256225</c:v>
                </c:pt>
                <c:pt idx="81">
                  <c:v>0.38010822295256225</c:v>
                </c:pt>
                <c:pt idx="82">
                  <c:v>0.38010822295256225</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4-7AEE-4D62-9FE5-2B87AD6DF366}"/>
            </c:ext>
          </c:extLst>
        </c:ser>
        <c:ser>
          <c:idx val="6"/>
          <c:order val="5"/>
          <c:tx>
            <c:v>XLP</c:v>
          </c:tx>
          <c:spPr>
            <a:ln w="28575" cap="rnd">
              <a:solidFill>
                <a:schemeClr val="accent1">
                  <a:lumMod val="60000"/>
                </a:schemeClr>
              </a:solidFill>
              <a:prstDash val="solid"/>
              <a:round/>
            </a:ln>
            <a:effectLst/>
          </c:spPr>
          <c:marker>
            <c:symbol val="none"/>
          </c:marker>
          <c:val>
            <c:numRef>
              <c:f>'2025-Q1'!$AZ$4:$AZ$448</c:f>
              <c:numCache>
                <c:formatCode>0.00</c:formatCode>
                <c:ptCount val="445"/>
                <c:pt idx="0">
                  <c:v>0</c:v>
                </c:pt>
                <c:pt idx="1">
                  <c:v>0</c:v>
                </c:pt>
                <c:pt idx="2">
                  <c:v>2.4945770065075905</c:v>
                </c:pt>
                <c:pt idx="3">
                  <c:v>2.4945770065075905</c:v>
                </c:pt>
                <c:pt idx="4">
                  <c:v>2.4945770065075905</c:v>
                </c:pt>
                <c:pt idx="5">
                  <c:v>2.4945770065075905</c:v>
                </c:pt>
                <c:pt idx="6">
                  <c:v>2.4945770065075905</c:v>
                </c:pt>
                <c:pt idx="7">
                  <c:v>2.4945770065075905</c:v>
                </c:pt>
                <c:pt idx="8">
                  <c:v>2.4945770065075905</c:v>
                </c:pt>
                <c:pt idx="9">
                  <c:v>2.4945770065075905</c:v>
                </c:pt>
                <c:pt idx="10">
                  <c:v>2.4945770065075905</c:v>
                </c:pt>
                <c:pt idx="11">
                  <c:v>2.4945770065075905</c:v>
                </c:pt>
                <c:pt idx="12">
                  <c:v>2.4945770065075905</c:v>
                </c:pt>
                <c:pt idx="13">
                  <c:v>2.4945770065075905</c:v>
                </c:pt>
                <c:pt idx="14">
                  <c:v>2.4945770065075905</c:v>
                </c:pt>
                <c:pt idx="15">
                  <c:v>2.4945770065075905</c:v>
                </c:pt>
                <c:pt idx="16">
                  <c:v>2.4945770065075905</c:v>
                </c:pt>
                <c:pt idx="17">
                  <c:v>2.4945770065075905</c:v>
                </c:pt>
                <c:pt idx="18">
                  <c:v>2.4945770065075905</c:v>
                </c:pt>
                <c:pt idx="19">
                  <c:v>2.4945770065075905</c:v>
                </c:pt>
                <c:pt idx="20">
                  <c:v>2.4945770065075905</c:v>
                </c:pt>
                <c:pt idx="21">
                  <c:v>2.4945770065075905</c:v>
                </c:pt>
                <c:pt idx="22">
                  <c:v>2.4945770065075905</c:v>
                </c:pt>
                <c:pt idx="23">
                  <c:v>2.4945770065075905</c:v>
                </c:pt>
                <c:pt idx="24">
                  <c:v>2.4945770065075905</c:v>
                </c:pt>
                <c:pt idx="25">
                  <c:v>2.4945770065075905</c:v>
                </c:pt>
                <c:pt idx="26">
                  <c:v>2.4945770065075905</c:v>
                </c:pt>
                <c:pt idx="27">
                  <c:v>2.4945770065075905</c:v>
                </c:pt>
                <c:pt idx="28">
                  <c:v>2.4945770065075905</c:v>
                </c:pt>
                <c:pt idx="29">
                  <c:v>2.4945770065075905</c:v>
                </c:pt>
                <c:pt idx="30">
                  <c:v>2.4945770065075905</c:v>
                </c:pt>
                <c:pt idx="31">
                  <c:v>2.4945770065075905</c:v>
                </c:pt>
                <c:pt idx="32">
                  <c:v>3.0490332683593495</c:v>
                </c:pt>
                <c:pt idx="33">
                  <c:v>3.0490332683593495</c:v>
                </c:pt>
                <c:pt idx="34">
                  <c:v>3.0490332683593495</c:v>
                </c:pt>
                <c:pt idx="35">
                  <c:v>3.0490332683593495</c:v>
                </c:pt>
                <c:pt idx="36">
                  <c:v>3.0490332683593495</c:v>
                </c:pt>
                <c:pt idx="37">
                  <c:v>3.0490332683593495</c:v>
                </c:pt>
                <c:pt idx="38">
                  <c:v>3.0490332683593495</c:v>
                </c:pt>
                <c:pt idx="39">
                  <c:v>3.0490332683593495</c:v>
                </c:pt>
                <c:pt idx="40">
                  <c:v>3.0490332683593495</c:v>
                </c:pt>
                <c:pt idx="41">
                  <c:v>3.0490332683593495</c:v>
                </c:pt>
                <c:pt idx="42">
                  <c:v>3.0490332683593495</c:v>
                </c:pt>
                <c:pt idx="43">
                  <c:v>3.0490332683593495</c:v>
                </c:pt>
                <c:pt idx="44">
                  <c:v>3.0490332683593495</c:v>
                </c:pt>
                <c:pt idx="45">
                  <c:v>3.0490332683593495</c:v>
                </c:pt>
                <c:pt idx="46">
                  <c:v>3.0490332683593495</c:v>
                </c:pt>
                <c:pt idx="47">
                  <c:v>3.0490332683593495</c:v>
                </c:pt>
                <c:pt idx="48">
                  <c:v>3.0490332683593495</c:v>
                </c:pt>
                <c:pt idx="49">
                  <c:v>3.0490332683593495</c:v>
                </c:pt>
                <c:pt idx="50">
                  <c:v>2.8806371278168421</c:v>
                </c:pt>
                <c:pt idx="51">
                  <c:v>2.8806371278168421</c:v>
                </c:pt>
                <c:pt idx="52">
                  <c:v>2.8806371278168421</c:v>
                </c:pt>
                <c:pt idx="53">
                  <c:v>2.8806371278168421</c:v>
                </c:pt>
                <c:pt idx="54">
                  <c:v>2.8806371278168421</c:v>
                </c:pt>
                <c:pt idx="55">
                  <c:v>2.8806371278168421</c:v>
                </c:pt>
                <c:pt idx="56">
                  <c:v>2.8806371278168421</c:v>
                </c:pt>
                <c:pt idx="57">
                  <c:v>2.8806371278168421</c:v>
                </c:pt>
                <c:pt idx="58">
                  <c:v>2.8806371278168421</c:v>
                </c:pt>
                <c:pt idx="59">
                  <c:v>2.8806371278168421</c:v>
                </c:pt>
                <c:pt idx="60">
                  <c:v>2.8806371278168421</c:v>
                </c:pt>
                <c:pt idx="61">
                  <c:v>2.8806371278168421</c:v>
                </c:pt>
                <c:pt idx="62">
                  <c:v>2.8806371278168421</c:v>
                </c:pt>
                <c:pt idx="63">
                  <c:v>2.8806371278168421</c:v>
                </c:pt>
                <c:pt idx="64">
                  <c:v>2.8806371278168421</c:v>
                </c:pt>
                <c:pt idx="65">
                  <c:v>2.8806371278168421</c:v>
                </c:pt>
                <c:pt idx="66">
                  <c:v>2.8806371278168421</c:v>
                </c:pt>
                <c:pt idx="67">
                  <c:v>2.8806371278168421</c:v>
                </c:pt>
                <c:pt idx="68">
                  <c:v>2.2170930216497844</c:v>
                </c:pt>
                <c:pt idx="69">
                  <c:v>2.2170930216497844</c:v>
                </c:pt>
                <c:pt idx="70">
                  <c:v>2.2170930216497844</c:v>
                </c:pt>
                <c:pt idx="71">
                  <c:v>2.2170930216497844</c:v>
                </c:pt>
                <c:pt idx="72">
                  <c:v>2.2170930216497844</c:v>
                </c:pt>
                <c:pt idx="73">
                  <c:v>2.2170930216497844</c:v>
                </c:pt>
                <c:pt idx="74">
                  <c:v>2.2170930216497844</c:v>
                </c:pt>
                <c:pt idx="75">
                  <c:v>2.2170930216497844</c:v>
                </c:pt>
                <c:pt idx="76">
                  <c:v>2.2170930216497844</c:v>
                </c:pt>
                <c:pt idx="77">
                  <c:v>2.2170930216497844</c:v>
                </c:pt>
                <c:pt idx="78">
                  <c:v>2.2170930216497844</c:v>
                </c:pt>
                <c:pt idx="79">
                  <c:v>2.2170930216497844</c:v>
                </c:pt>
                <c:pt idx="80">
                  <c:v>2.2170930216497844</c:v>
                </c:pt>
                <c:pt idx="81">
                  <c:v>2.2170930216497844</c:v>
                </c:pt>
                <c:pt idx="82">
                  <c:v>2.2170930216497844</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5-7AEE-4D62-9FE5-2B87AD6DF366}"/>
            </c:ext>
          </c:extLst>
        </c:ser>
        <c:ser>
          <c:idx val="0"/>
          <c:order val="6"/>
          <c:tx>
            <c:v>XLF</c:v>
          </c:tx>
          <c:spPr>
            <a:ln w="28575" cap="rnd">
              <a:solidFill>
                <a:schemeClr val="accent5">
                  <a:lumMod val="20000"/>
                  <a:lumOff val="80000"/>
                </a:schemeClr>
              </a:solidFill>
              <a:prstDash val="solid"/>
              <a:round/>
            </a:ln>
            <a:effectLst/>
          </c:spPr>
          <c:marker>
            <c:symbol val="none"/>
          </c:marker>
          <c:val>
            <c:numRef>
              <c:f>'2025-Q1'!$BN$4:$BN$448</c:f>
              <c:numCache>
                <c:formatCode>0.00</c:formatCode>
                <c:ptCount val="445"/>
                <c:pt idx="0">
                  <c:v>0</c:v>
                </c:pt>
                <c:pt idx="1">
                  <c:v>0</c:v>
                </c:pt>
                <c:pt idx="2">
                  <c:v>0</c:v>
                </c:pt>
                <c:pt idx="3">
                  <c:v>0</c:v>
                </c:pt>
                <c:pt idx="4">
                  <c:v>0</c:v>
                </c:pt>
                <c:pt idx="5">
                  <c:v>0</c:v>
                </c:pt>
                <c:pt idx="6">
                  <c:v>0.97940481258068013</c:v>
                </c:pt>
                <c:pt idx="7">
                  <c:v>0.97940481258068013</c:v>
                </c:pt>
                <c:pt idx="8">
                  <c:v>1.6729347923893012</c:v>
                </c:pt>
                <c:pt idx="9">
                  <c:v>1.6729347923893012</c:v>
                </c:pt>
                <c:pt idx="10">
                  <c:v>1.6729347923893012</c:v>
                </c:pt>
                <c:pt idx="11">
                  <c:v>2.7067442397760217</c:v>
                </c:pt>
                <c:pt idx="12">
                  <c:v>2.7067442397760217</c:v>
                </c:pt>
                <c:pt idx="13">
                  <c:v>2.7067442397760217</c:v>
                </c:pt>
                <c:pt idx="14">
                  <c:v>2.7067442397760217</c:v>
                </c:pt>
                <c:pt idx="15">
                  <c:v>2.7067442397760217</c:v>
                </c:pt>
                <c:pt idx="16">
                  <c:v>3.4626357471126163</c:v>
                </c:pt>
                <c:pt idx="17">
                  <c:v>3.4626357471126163</c:v>
                </c:pt>
                <c:pt idx="18">
                  <c:v>3.4626357471126163</c:v>
                </c:pt>
                <c:pt idx="19">
                  <c:v>3.4626357471126163</c:v>
                </c:pt>
                <c:pt idx="20">
                  <c:v>3.6209888745868852</c:v>
                </c:pt>
                <c:pt idx="21">
                  <c:v>4.0288192171643731</c:v>
                </c:pt>
                <c:pt idx="22">
                  <c:v>3.8471952855404434</c:v>
                </c:pt>
                <c:pt idx="23">
                  <c:v>4.3750494058562852</c:v>
                </c:pt>
                <c:pt idx="24">
                  <c:v>4.3750494058562852</c:v>
                </c:pt>
                <c:pt idx="25">
                  <c:v>4.3750494058562852</c:v>
                </c:pt>
                <c:pt idx="26">
                  <c:v>4.6043382346038415</c:v>
                </c:pt>
                <c:pt idx="27">
                  <c:v>3.8210959759517467</c:v>
                </c:pt>
                <c:pt idx="28">
                  <c:v>3.8210959759517467</c:v>
                </c:pt>
                <c:pt idx="29">
                  <c:v>3.8210959759517467</c:v>
                </c:pt>
                <c:pt idx="30">
                  <c:v>3.8210959759517467</c:v>
                </c:pt>
                <c:pt idx="31">
                  <c:v>3.8210959759517467</c:v>
                </c:pt>
                <c:pt idx="32">
                  <c:v>3.8210959759517467</c:v>
                </c:pt>
                <c:pt idx="33">
                  <c:v>3.8210959759517467</c:v>
                </c:pt>
                <c:pt idx="34">
                  <c:v>3.8210959759517467</c:v>
                </c:pt>
                <c:pt idx="35">
                  <c:v>3.8210959759517467</c:v>
                </c:pt>
                <c:pt idx="36">
                  <c:v>3.8210959759517467</c:v>
                </c:pt>
                <c:pt idx="37">
                  <c:v>3.8210959759517467</c:v>
                </c:pt>
                <c:pt idx="38">
                  <c:v>3.8210959759517467</c:v>
                </c:pt>
                <c:pt idx="39">
                  <c:v>3.8210959759517467</c:v>
                </c:pt>
                <c:pt idx="40">
                  <c:v>3.8210959759517467</c:v>
                </c:pt>
                <c:pt idx="41">
                  <c:v>3.8210959759517467</c:v>
                </c:pt>
                <c:pt idx="42">
                  <c:v>3.8210959759517467</c:v>
                </c:pt>
                <c:pt idx="43">
                  <c:v>3.8210959759517467</c:v>
                </c:pt>
                <c:pt idx="44">
                  <c:v>3.8210959759517467</c:v>
                </c:pt>
                <c:pt idx="45">
                  <c:v>3.8210959759517467</c:v>
                </c:pt>
                <c:pt idx="46">
                  <c:v>3.8210959759517467</c:v>
                </c:pt>
                <c:pt idx="47">
                  <c:v>3.8210959759517467</c:v>
                </c:pt>
                <c:pt idx="48">
                  <c:v>3.8210959759517467</c:v>
                </c:pt>
                <c:pt idx="49">
                  <c:v>3.8210959759517467</c:v>
                </c:pt>
                <c:pt idx="50">
                  <c:v>3.8210959759517467</c:v>
                </c:pt>
                <c:pt idx="51">
                  <c:v>3.8210959759517467</c:v>
                </c:pt>
                <c:pt idx="52">
                  <c:v>3.8210959759517467</c:v>
                </c:pt>
                <c:pt idx="53">
                  <c:v>3.8210959759517467</c:v>
                </c:pt>
                <c:pt idx="54">
                  <c:v>3.8210959759517467</c:v>
                </c:pt>
                <c:pt idx="55">
                  <c:v>3.8210959759517467</c:v>
                </c:pt>
                <c:pt idx="56">
                  <c:v>3.8210959759517467</c:v>
                </c:pt>
                <c:pt idx="57">
                  <c:v>3.8210959759517467</c:v>
                </c:pt>
                <c:pt idx="58">
                  <c:v>3.8210959759517467</c:v>
                </c:pt>
                <c:pt idx="59">
                  <c:v>3.8210959759517467</c:v>
                </c:pt>
                <c:pt idx="60">
                  <c:v>3.8210959759517467</c:v>
                </c:pt>
                <c:pt idx="61">
                  <c:v>3.8210959759517467</c:v>
                </c:pt>
                <c:pt idx="62">
                  <c:v>3.8210959759517467</c:v>
                </c:pt>
                <c:pt idx="63">
                  <c:v>3.8210959759517467</c:v>
                </c:pt>
                <c:pt idx="64">
                  <c:v>3.8210959759517467</c:v>
                </c:pt>
                <c:pt idx="65">
                  <c:v>3.8210959759517467</c:v>
                </c:pt>
                <c:pt idx="66">
                  <c:v>3.8210959759517467</c:v>
                </c:pt>
                <c:pt idx="67">
                  <c:v>3.8210959759517467</c:v>
                </c:pt>
                <c:pt idx="68">
                  <c:v>3.8210959759517467</c:v>
                </c:pt>
                <c:pt idx="69">
                  <c:v>3.8210959759517467</c:v>
                </c:pt>
                <c:pt idx="70">
                  <c:v>4.7600631121019816</c:v>
                </c:pt>
                <c:pt idx="71">
                  <c:v>4.7600631121019816</c:v>
                </c:pt>
                <c:pt idx="72">
                  <c:v>4.7600631121019816</c:v>
                </c:pt>
                <c:pt idx="73">
                  <c:v>4.7600631121019816</c:v>
                </c:pt>
                <c:pt idx="74">
                  <c:v>4.7600631121019816</c:v>
                </c:pt>
                <c:pt idx="75">
                  <c:v>4.7600631121019816</c:v>
                </c:pt>
                <c:pt idx="76">
                  <c:v>4.7600631121019816</c:v>
                </c:pt>
                <c:pt idx="77">
                  <c:v>4.7600631121019816</c:v>
                </c:pt>
                <c:pt idx="78">
                  <c:v>4.7600631121019816</c:v>
                </c:pt>
                <c:pt idx="79">
                  <c:v>4.7600631121019816</c:v>
                </c:pt>
                <c:pt idx="80">
                  <c:v>4.7600631121019816</c:v>
                </c:pt>
                <c:pt idx="81">
                  <c:v>4.7600631121019816</c:v>
                </c:pt>
                <c:pt idx="82">
                  <c:v>4.7600631121019816</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6-7AEE-4D62-9FE5-2B87AD6DF366}"/>
            </c:ext>
          </c:extLst>
        </c:ser>
        <c:ser>
          <c:idx val="1"/>
          <c:order val="7"/>
          <c:tx>
            <c:v>XLV</c:v>
          </c:tx>
          <c:spPr>
            <a:ln w="28575" cap="rnd">
              <a:solidFill>
                <a:srgbClr val="7030A0"/>
              </a:solidFill>
              <a:prstDash val="solid"/>
              <a:round/>
            </a:ln>
            <a:effectLst/>
          </c:spPr>
          <c:marker>
            <c:symbol val="none"/>
          </c:marker>
          <c:val>
            <c:numRef>
              <c:f>'2025-Q1'!$CB$4:$CB$448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-0.37959870993521366</c:v>
                </c:pt>
                <c:pt idx="35">
                  <c:v>-0.37959870993521366</c:v>
                </c:pt>
                <c:pt idx="36">
                  <c:v>-0.37959870993521366</c:v>
                </c:pt>
                <c:pt idx="37">
                  <c:v>-0.37959870993521366</c:v>
                </c:pt>
                <c:pt idx="38">
                  <c:v>-0.37959870993521366</c:v>
                </c:pt>
                <c:pt idx="39">
                  <c:v>-0.37959870993521366</c:v>
                </c:pt>
                <c:pt idx="40">
                  <c:v>-0.37959870993521366</c:v>
                </c:pt>
                <c:pt idx="41">
                  <c:v>-0.37959870993521366</c:v>
                </c:pt>
                <c:pt idx="42">
                  <c:v>-0.37959870993521366</c:v>
                </c:pt>
                <c:pt idx="43">
                  <c:v>-0.37959870993521366</c:v>
                </c:pt>
                <c:pt idx="44">
                  <c:v>-0.37959870993521366</c:v>
                </c:pt>
                <c:pt idx="45">
                  <c:v>-0.37959870993521366</c:v>
                </c:pt>
                <c:pt idx="46">
                  <c:v>-0.37959870993521366</c:v>
                </c:pt>
                <c:pt idx="47">
                  <c:v>-0.37959870993521366</c:v>
                </c:pt>
                <c:pt idx="48">
                  <c:v>-0.37959870993521366</c:v>
                </c:pt>
                <c:pt idx="49">
                  <c:v>-0.37959870993521366</c:v>
                </c:pt>
                <c:pt idx="50">
                  <c:v>-0.37959870993521366</c:v>
                </c:pt>
                <c:pt idx="51">
                  <c:v>-0.37959870993521366</c:v>
                </c:pt>
                <c:pt idx="52">
                  <c:v>-0.37959870993521366</c:v>
                </c:pt>
                <c:pt idx="53">
                  <c:v>-0.37959870993521366</c:v>
                </c:pt>
                <c:pt idx="54">
                  <c:v>-0.37959870993521366</c:v>
                </c:pt>
                <c:pt idx="55">
                  <c:v>-0.37959870993521366</c:v>
                </c:pt>
                <c:pt idx="56">
                  <c:v>-0.45285090237845554</c:v>
                </c:pt>
                <c:pt idx="57">
                  <c:v>-0.45285090237845554</c:v>
                </c:pt>
                <c:pt idx="58">
                  <c:v>-0.45285090237845554</c:v>
                </c:pt>
                <c:pt idx="59">
                  <c:v>-0.45285090237845554</c:v>
                </c:pt>
                <c:pt idx="60">
                  <c:v>-0.45285090237845554</c:v>
                </c:pt>
                <c:pt idx="61">
                  <c:v>-0.45285090237845554</c:v>
                </c:pt>
                <c:pt idx="62">
                  <c:v>-0.45285090237845554</c:v>
                </c:pt>
                <c:pt idx="63">
                  <c:v>-0.45285090237845554</c:v>
                </c:pt>
                <c:pt idx="64">
                  <c:v>-0.45285090237845554</c:v>
                </c:pt>
                <c:pt idx="65">
                  <c:v>-0.45285090237845554</c:v>
                </c:pt>
                <c:pt idx="66">
                  <c:v>-0.45285090237845554</c:v>
                </c:pt>
                <c:pt idx="67">
                  <c:v>-0.45285090237845554</c:v>
                </c:pt>
                <c:pt idx="68">
                  <c:v>-0.45285090237845554</c:v>
                </c:pt>
                <c:pt idx="69">
                  <c:v>-0.45285090237845554</c:v>
                </c:pt>
                <c:pt idx="70">
                  <c:v>-0.45285090237845554</c:v>
                </c:pt>
                <c:pt idx="71">
                  <c:v>-0.45917761375388166</c:v>
                </c:pt>
                <c:pt idx="72">
                  <c:v>-0.45917761375388166</c:v>
                </c:pt>
                <c:pt idx="73">
                  <c:v>-0.45917761375388166</c:v>
                </c:pt>
                <c:pt idx="74">
                  <c:v>-0.45917761375388166</c:v>
                </c:pt>
                <c:pt idx="75">
                  <c:v>-0.45917761375388166</c:v>
                </c:pt>
                <c:pt idx="76">
                  <c:v>-0.45917761375388166</c:v>
                </c:pt>
                <c:pt idx="77">
                  <c:v>-1.3212929569860741</c:v>
                </c:pt>
                <c:pt idx="78">
                  <c:v>-1.3212929569860741</c:v>
                </c:pt>
                <c:pt idx="79">
                  <c:v>-1.3212929569860741</c:v>
                </c:pt>
                <c:pt idx="80">
                  <c:v>-1.3212929569860741</c:v>
                </c:pt>
                <c:pt idx="81">
                  <c:v>-1.3212929569860741</c:v>
                </c:pt>
                <c:pt idx="82">
                  <c:v>-1.3212929569860741</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7-7AEE-4D62-9FE5-2B87AD6DF366}"/>
            </c:ext>
          </c:extLst>
        </c:ser>
        <c:ser>
          <c:idx val="2"/>
          <c:order val="8"/>
          <c:tx>
            <c:v>XLB</c:v>
          </c:tx>
          <c:spPr>
            <a:ln w="28575" cap="rnd">
              <a:solidFill>
                <a:schemeClr val="accent2">
                  <a:lumMod val="50000"/>
                </a:schemeClr>
              </a:solidFill>
              <a:prstDash val="solid"/>
              <a:round/>
            </a:ln>
            <a:effectLst/>
          </c:spPr>
          <c:marker>
            <c:symbol val="none"/>
          </c:marker>
          <c:val>
            <c:numRef>
              <c:f>'2025-Q1'!$CI$4:$CI$448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-0.25632679632191468</c:v>
                </c:pt>
                <c:pt idx="45">
                  <c:v>-0.25632679632191468</c:v>
                </c:pt>
                <c:pt idx="46">
                  <c:v>-0.25632679632191468</c:v>
                </c:pt>
                <c:pt idx="47">
                  <c:v>-0.25632679632191468</c:v>
                </c:pt>
                <c:pt idx="48">
                  <c:v>-0.25632679632191468</c:v>
                </c:pt>
                <c:pt idx="49">
                  <c:v>-0.25632679632191468</c:v>
                </c:pt>
                <c:pt idx="50">
                  <c:v>-0.25632679632191468</c:v>
                </c:pt>
                <c:pt idx="51">
                  <c:v>-0.25632679632191468</c:v>
                </c:pt>
                <c:pt idx="52">
                  <c:v>-0.25632679632191468</c:v>
                </c:pt>
                <c:pt idx="53">
                  <c:v>-0.25632679632191468</c:v>
                </c:pt>
                <c:pt idx="54">
                  <c:v>-0.25632679632191468</c:v>
                </c:pt>
                <c:pt idx="55">
                  <c:v>-0.25632679632191468</c:v>
                </c:pt>
                <c:pt idx="56">
                  <c:v>-0.25632679632191468</c:v>
                </c:pt>
                <c:pt idx="57">
                  <c:v>-0.25632679632191468</c:v>
                </c:pt>
                <c:pt idx="58">
                  <c:v>-0.25632679632191468</c:v>
                </c:pt>
                <c:pt idx="59">
                  <c:v>-0.25632679632191468</c:v>
                </c:pt>
                <c:pt idx="60">
                  <c:v>-0.25632679632191468</c:v>
                </c:pt>
                <c:pt idx="61">
                  <c:v>-0.25632679632191468</c:v>
                </c:pt>
                <c:pt idx="62">
                  <c:v>-0.25632679632191468</c:v>
                </c:pt>
                <c:pt idx="63">
                  <c:v>-0.25632679632191468</c:v>
                </c:pt>
                <c:pt idx="64">
                  <c:v>-0.25632679632191468</c:v>
                </c:pt>
                <c:pt idx="65">
                  <c:v>-0.25632679632191468</c:v>
                </c:pt>
                <c:pt idx="66">
                  <c:v>-0.25632679632191468</c:v>
                </c:pt>
                <c:pt idx="67">
                  <c:v>-0.25632679632191468</c:v>
                </c:pt>
                <c:pt idx="68">
                  <c:v>-0.25632679632191468</c:v>
                </c:pt>
                <c:pt idx="69">
                  <c:v>-0.25632679632191468</c:v>
                </c:pt>
                <c:pt idx="70">
                  <c:v>-0.25632679632191468</c:v>
                </c:pt>
                <c:pt idx="71">
                  <c:v>-0.25632679632191468</c:v>
                </c:pt>
                <c:pt idx="72">
                  <c:v>-0.25632679632191468</c:v>
                </c:pt>
                <c:pt idx="73">
                  <c:v>-0.25632679632191468</c:v>
                </c:pt>
                <c:pt idx="74">
                  <c:v>-1.5363346259711188</c:v>
                </c:pt>
                <c:pt idx="75">
                  <c:v>-1.5363346259711188</c:v>
                </c:pt>
                <c:pt idx="76">
                  <c:v>-1.5363346259711188</c:v>
                </c:pt>
                <c:pt idx="77">
                  <c:v>-1.5363346259711188</c:v>
                </c:pt>
                <c:pt idx="78">
                  <c:v>-1.5363346259711188</c:v>
                </c:pt>
                <c:pt idx="79">
                  <c:v>-1.5363346259711188</c:v>
                </c:pt>
                <c:pt idx="80">
                  <c:v>-1.5363346259711188</c:v>
                </c:pt>
                <c:pt idx="81">
                  <c:v>-1.5363346259711188</c:v>
                </c:pt>
                <c:pt idx="82">
                  <c:v>-1.5363346259711188</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1"/>
          <c:extLst>
            <c:ext xmlns:c16="http://schemas.microsoft.com/office/drawing/2014/chart" uri="{C3380CC4-5D6E-409C-BE32-E72D297353CC}">
              <c16:uniqueId val="{00000008-7AEE-4D62-9FE5-2B87AD6DF366}"/>
            </c:ext>
          </c:extLst>
        </c:ser>
        <c:ser>
          <c:idx val="4"/>
          <c:order val="9"/>
          <c:tx>
            <c:v>SMH</c:v>
          </c:tx>
          <c:spPr>
            <a:ln w="28575" cap="rnd">
              <a:solidFill>
                <a:schemeClr val="accent5"/>
              </a:solidFill>
              <a:round/>
            </a:ln>
            <a:effectLst/>
          </c:spPr>
          <c:marker>
            <c:symbol val="none"/>
          </c:marker>
          <c:val>
            <c:numRef>
              <c:f>'2025-Q1'!$CP$4:$CP$448</c:f>
              <c:numCache>
                <c:formatCode>0.00</c:formatCode>
                <c:ptCount val="4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-0.8814781582839023</c:v>
                </c:pt>
                <c:pt idx="53">
                  <c:v>-0.8814781582839023</c:v>
                </c:pt>
                <c:pt idx="54">
                  <c:v>-0.8814781582839023</c:v>
                </c:pt>
                <c:pt idx="55">
                  <c:v>-0.8814781582839023</c:v>
                </c:pt>
                <c:pt idx="56">
                  <c:v>-0.8814781582839023</c:v>
                </c:pt>
                <c:pt idx="57">
                  <c:v>-0.8814781582839023</c:v>
                </c:pt>
                <c:pt idx="58">
                  <c:v>-0.8814781582839023</c:v>
                </c:pt>
                <c:pt idx="59">
                  <c:v>-0.8814781582839023</c:v>
                </c:pt>
                <c:pt idx="60">
                  <c:v>-0.8814781582839023</c:v>
                </c:pt>
                <c:pt idx="61">
                  <c:v>-0.8814781582839023</c:v>
                </c:pt>
                <c:pt idx="62">
                  <c:v>-0.8814781582839023</c:v>
                </c:pt>
                <c:pt idx="63">
                  <c:v>-0.8814781582839023</c:v>
                </c:pt>
                <c:pt idx="64">
                  <c:v>-0.8814781582839023</c:v>
                </c:pt>
                <c:pt idx="65">
                  <c:v>-0.8814781582839023</c:v>
                </c:pt>
                <c:pt idx="66">
                  <c:v>-0.8814781582839023</c:v>
                </c:pt>
                <c:pt idx="67">
                  <c:v>-0.8814781582839023</c:v>
                </c:pt>
                <c:pt idx="68">
                  <c:v>-0.8814781582839023</c:v>
                </c:pt>
                <c:pt idx="69">
                  <c:v>-0.8814781582839023</c:v>
                </c:pt>
                <c:pt idx="70">
                  <c:v>-0.8814781582839023</c:v>
                </c:pt>
                <c:pt idx="71">
                  <c:v>-0.8814781582839023</c:v>
                </c:pt>
                <c:pt idx="72">
                  <c:v>-0.8814781582839023</c:v>
                </c:pt>
                <c:pt idx="73">
                  <c:v>-0.8814781582839023</c:v>
                </c:pt>
                <c:pt idx="74">
                  <c:v>-0.8814781582839023</c:v>
                </c:pt>
                <c:pt idx="75">
                  <c:v>-0.8814781582839023</c:v>
                </c:pt>
                <c:pt idx="76">
                  <c:v>-0.8814781582839023</c:v>
                </c:pt>
                <c:pt idx="77">
                  <c:v>-0.8814781582839023</c:v>
                </c:pt>
                <c:pt idx="78">
                  <c:v>-0.8814781582839023</c:v>
                </c:pt>
                <c:pt idx="79">
                  <c:v>-0.8814781582839023</c:v>
                </c:pt>
                <c:pt idx="80">
                  <c:v>-0.8814781582839023</c:v>
                </c:pt>
                <c:pt idx="81">
                  <c:v>-0.8814781582839023</c:v>
                </c:pt>
                <c:pt idx="82">
                  <c:v>-0.8814781582839023</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9-7AEE-4D62-9FE5-2B87AD6DF366}"/>
            </c:ext>
          </c:extLst>
        </c:ser>
        <c:ser>
          <c:idx val="10"/>
          <c:order val="10"/>
          <c:tx>
            <c:v>All Down</c:v>
          </c:tx>
          <c:spPr>
            <a:ln w="28575" cap="rnd">
              <a:solidFill>
                <a:srgbClr val="00B0F0"/>
              </a:solidFill>
              <a:round/>
            </a:ln>
            <a:effectLst/>
          </c:spPr>
          <c:marker>
            <c:symbol val="none"/>
          </c:marker>
          <c:val>
            <c:numRef>
              <c:f>'2025-Q1'!$Y$4:$Y$448</c:f>
              <c:numCache>
                <c:formatCode>0.0</c:formatCode>
                <c:ptCount val="445"/>
                <c:pt idx="0">
                  <c:v>0</c:v>
                </c:pt>
                <c:pt idx="1">
                  <c:v>0</c:v>
                </c:pt>
                <c:pt idx="2">
                  <c:v>2.4945770065075905</c:v>
                </c:pt>
                <c:pt idx="3">
                  <c:v>2.4945770065075905</c:v>
                </c:pt>
                <c:pt idx="4">
                  <c:v>2.4945770065075905</c:v>
                </c:pt>
                <c:pt idx="5">
                  <c:v>2.4945770065075905</c:v>
                </c:pt>
                <c:pt idx="6">
                  <c:v>3.4739818190882708</c:v>
                </c:pt>
                <c:pt idx="7">
                  <c:v>3.4739818190882708</c:v>
                </c:pt>
                <c:pt idx="8">
                  <c:v>4.1675117988968919</c:v>
                </c:pt>
                <c:pt idx="9">
                  <c:v>4.1675117988968919</c:v>
                </c:pt>
                <c:pt idx="10">
                  <c:v>4.1675117988968919</c:v>
                </c:pt>
                <c:pt idx="11">
                  <c:v>5.2013212462836123</c:v>
                </c:pt>
                <c:pt idx="12">
                  <c:v>5.2013212462836123</c:v>
                </c:pt>
                <c:pt idx="13">
                  <c:v>5.2013212462836123</c:v>
                </c:pt>
                <c:pt idx="14">
                  <c:v>5.2013212462836123</c:v>
                </c:pt>
                <c:pt idx="15">
                  <c:v>4.1988149806194528</c:v>
                </c:pt>
                <c:pt idx="16">
                  <c:v>4.9547064879560478</c:v>
                </c:pt>
                <c:pt idx="17">
                  <c:v>4.9547064879560478</c:v>
                </c:pt>
                <c:pt idx="18">
                  <c:v>4.9547064879560478</c:v>
                </c:pt>
                <c:pt idx="19">
                  <c:v>4.9547064879560478</c:v>
                </c:pt>
                <c:pt idx="20">
                  <c:v>5.1130596154303163</c:v>
                </c:pt>
                <c:pt idx="21">
                  <c:v>5.5208899580078041</c:v>
                </c:pt>
                <c:pt idx="22">
                  <c:v>5.3392660263838749</c:v>
                </c:pt>
                <c:pt idx="23">
                  <c:v>5.8671201466997163</c:v>
                </c:pt>
                <c:pt idx="24">
                  <c:v>5.8671201466997163</c:v>
                </c:pt>
                <c:pt idx="25">
                  <c:v>5.8671201466997163</c:v>
                </c:pt>
                <c:pt idx="26">
                  <c:v>6.0964089754472726</c:v>
                </c:pt>
                <c:pt idx="27">
                  <c:v>5.3131667167951777</c:v>
                </c:pt>
                <c:pt idx="28">
                  <c:v>7.7728837008199552</c:v>
                </c:pt>
                <c:pt idx="29">
                  <c:v>7.7728837008199552</c:v>
                </c:pt>
                <c:pt idx="30">
                  <c:v>7.7728837008199552</c:v>
                </c:pt>
                <c:pt idx="31">
                  <c:v>8.9876985156347686</c:v>
                </c:pt>
                <c:pt idx="32">
                  <c:v>9.5421547774865285</c:v>
                </c:pt>
                <c:pt idx="33">
                  <c:v>9.5421547774865285</c:v>
                </c:pt>
                <c:pt idx="34">
                  <c:v>9.1625560675513142</c:v>
                </c:pt>
                <c:pt idx="35">
                  <c:v>9.1625560675513142</c:v>
                </c:pt>
                <c:pt idx="36">
                  <c:v>9.1625560675513142</c:v>
                </c:pt>
                <c:pt idx="37">
                  <c:v>9.9528219983089645</c:v>
                </c:pt>
                <c:pt idx="38">
                  <c:v>10.293347959199053</c:v>
                </c:pt>
                <c:pt idx="39">
                  <c:v>10.293347959199053</c:v>
                </c:pt>
                <c:pt idx="40">
                  <c:v>10.293347959199053</c:v>
                </c:pt>
                <c:pt idx="41">
                  <c:v>9.5934300610052929</c:v>
                </c:pt>
                <c:pt idx="42">
                  <c:v>9.8749981788307206</c:v>
                </c:pt>
                <c:pt idx="43">
                  <c:v>9.8749981788307206</c:v>
                </c:pt>
                <c:pt idx="44">
                  <c:v>9.6186713825088059</c:v>
                </c:pt>
                <c:pt idx="45">
                  <c:v>9.6186713825088059</c:v>
                </c:pt>
                <c:pt idx="46">
                  <c:v>10.385564229554324</c:v>
                </c:pt>
                <c:pt idx="47">
                  <c:v>10.982310490825959</c:v>
                </c:pt>
                <c:pt idx="48">
                  <c:v>10.982310490825959</c:v>
                </c:pt>
                <c:pt idx="49">
                  <c:v>10.982310490825959</c:v>
                </c:pt>
                <c:pt idx="50">
                  <c:v>10.813914350283452</c:v>
                </c:pt>
                <c:pt idx="51">
                  <c:v>10.813914350283452</c:v>
                </c:pt>
                <c:pt idx="52">
                  <c:v>9.9324361919995496</c:v>
                </c:pt>
                <c:pt idx="53">
                  <c:v>9.1305353900987445</c:v>
                </c:pt>
                <c:pt idx="54">
                  <c:v>9.1305353900987445</c:v>
                </c:pt>
                <c:pt idx="55">
                  <c:v>9.1305353900987445</c:v>
                </c:pt>
                <c:pt idx="56">
                  <c:v>9.0572831976555026</c:v>
                </c:pt>
                <c:pt idx="57">
                  <c:v>9.0572831976555026</c:v>
                </c:pt>
                <c:pt idx="58">
                  <c:v>9.0572831976555026</c:v>
                </c:pt>
                <c:pt idx="59">
                  <c:v>9.2458341373192017</c:v>
                </c:pt>
                <c:pt idx="60">
                  <c:v>9.6737620652471268</c:v>
                </c:pt>
                <c:pt idx="61">
                  <c:v>10.490102195861549</c:v>
                </c:pt>
                <c:pt idx="62">
                  <c:v>10.490102195861549</c:v>
                </c:pt>
                <c:pt idx="63">
                  <c:v>11.07528146053385</c:v>
                </c:pt>
                <c:pt idx="64">
                  <c:v>11.07528146053385</c:v>
                </c:pt>
                <c:pt idx="65">
                  <c:v>11.07528146053385</c:v>
                </c:pt>
                <c:pt idx="66">
                  <c:v>11.07528146053385</c:v>
                </c:pt>
                <c:pt idx="67">
                  <c:v>11.07528146053385</c:v>
                </c:pt>
                <c:pt idx="68">
                  <c:v>10.411737354366792</c:v>
                </c:pt>
                <c:pt idx="69">
                  <c:v>10.411737354366792</c:v>
                </c:pt>
                <c:pt idx="70">
                  <c:v>11.350704490517026</c:v>
                </c:pt>
                <c:pt idx="71">
                  <c:v>11.344377779141601</c:v>
                </c:pt>
                <c:pt idx="72">
                  <c:v>11.344377779141601</c:v>
                </c:pt>
                <c:pt idx="73">
                  <c:v>11.724486002094164</c:v>
                </c:pt>
                <c:pt idx="74">
                  <c:v>10.44447817244496</c:v>
                </c:pt>
                <c:pt idx="75">
                  <c:v>10.44447817244496</c:v>
                </c:pt>
                <c:pt idx="76">
                  <c:v>11.71516642423116</c:v>
                </c:pt>
                <c:pt idx="77">
                  <c:v>10.853051080998968</c:v>
                </c:pt>
                <c:pt idx="78">
                  <c:v>10.402122699036102</c:v>
                </c:pt>
                <c:pt idx="79">
                  <c:v>10.402122699036102</c:v>
                </c:pt>
                <c:pt idx="80">
                  <c:v>10.402122699036102</c:v>
                </c:pt>
                <c:pt idx="81">
                  <c:v>11.222509509435596</c:v>
                </c:pt>
                <c:pt idx="82">
                  <c:v>11.222509509435596</c:v>
                </c:pt>
                <c:pt idx="83">
                  <c:v>11.10186145703987</c:v>
                </c:pt>
                <c:pt idx="84">
                  <c:v>11.10186145703987</c:v>
                </c:pt>
                <c:pt idx="85">
                  <c:v>10.788937706127173</c:v>
                </c:pt>
                <c:pt idx="86">
                  <c:v>9.9012143623190063</c:v>
                </c:pt>
                <c:pt idx="87">
                  <c:v>9.9012143623190063</c:v>
                </c:pt>
                <c:pt idx="88">
                  <c:v>10.829853101289277</c:v>
                </c:pt>
                <c:pt idx="89">
                  <c:v>12.38768307402543</c:v>
                </c:pt>
                <c:pt idx="90">
                  <c:v>13.407864932530643</c:v>
                </c:pt>
                <c:pt idx="91">
                  <c:v>13.880305877412532</c:v>
                </c:pt>
                <c:pt idx="92">
                  <c:v>13.880305877412532</c:v>
                </c:pt>
                <c:pt idx="93">
                  <c:v>13.880305877412532</c:v>
                </c:pt>
                <c:pt idx="94">
                  <c:v>13.880305877412532</c:v>
                </c:pt>
                <c:pt idx="95">
                  <c:v>13.880305877412532</c:v>
                </c:pt>
                <c:pt idx="96">
                  <c:v>14.848989529217206</c:v>
                </c:pt>
                <c:pt idx="97">
                  <c:v>12.11104060118225</c:v>
                </c:pt>
                <c:pt idx="98">
                  <c:v>10.824713043197134</c:v>
                </c:pt>
                <c:pt idx="99">
                  <c:v>10.824713043197134</c:v>
                </c:pt>
                <c:pt idx="100">
                  <c:v>10.824713043197134</c:v>
                </c:pt>
                <c:pt idx="101">
                  <c:v>10.824713043197134</c:v>
                </c:pt>
                <c:pt idx="102">
                  <c:v>11.480844069952731</c:v>
                </c:pt>
                <c:pt idx="103">
                  <c:v>10.644607431513819</c:v>
                </c:pt>
                <c:pt idx="104">
                  <c:v>10.644607431513819</c:v>
                </c:pt>
                <c:pt idx="105">
                  <c:v>8.651690764847153</c:v>
                </c:pt>
                <c:pt idx="106">
                  <c:v>8.97011369737797</c:v>
                </c:pt>
                <c:pt idx="107">
                  <c:v>8.4510606526887706</c:v>
                </c:pt>
                <c:pt idx="108">
                  <c:v>8.539848422173522</c:v>
                </c:pt>
                <c:pt idx="109">
                  <c:v>8.4945187518438505</c:v>
                </c:pt>
                <c:pt idx="110">
                  <c:v>8.4945187518438505</c:v>
                </c:pt>
                <c:pt idx="111">
                  <c:v>9.085027555656751</c:v>
                </c:pt>
                <c:pt idx="112">
                  <c:v>9.085027555656751</c:v>
                </c:pt>
                <c:pt idx="113">
                  <c:v>9.7900353515635938</c:v>
                </c:pt>
                <c:pt idx="114">
                  <c:v>9.7900353515635938</c:v>
                </c:pt>
                <c:pt idx="115">
                  <c:v>10.316992621423072</c:v>
                </c:pt>
                <c:pt idx="116">
                  <c:v>10.316992621423072</c:v>
                </c:pt>
                <c:pt idx="117">
                  <c:v>10.316992621423072</c:v>
                </c:pt>
                <c:pt idx="118">
                  <c:v>9.4119926214230709</c:v>
                </c:pt>
                <c:pt idx="119">
                  <c:v>10.479415942595885</c:v>
                </c:pt>
                <c:pt idx="120">
                  <c:v>10.479415942595885</c:v>
                </c:pt>
                <c:pt idx="121">
                  <c:v>9.6831643615909435</c:v>
                </c:pt>
                <c:pt idx="122">
                  <c:v>9.4935909018753044</c:v>
                </c:pt>
                <c:pt idx="123">
                  <c:v>9.339190490140874</c:v>
                </c:pt>
                <c:pt idx="124">
                  <c:v>9.339190490140874</c:v>
                </c:pt>
                <c:pt idx="125">
                  <c:v>9.339190490140874</c:v>
                </c:pt>
                <c:pt idx="126">
                  <c:v>9.339190490140874</c:v>
                </c:pt>
                <c:pt idx="127">
                  <c:v>10.012619506513618</c:v>
                </c:pt>
                <c:pt idx="128">
                  <c:v>10.012619506513618</c:v>
                </c:pt>
                <c:pt idx="129">
                  <c:v>10.087582025254246</c:v>
                </c:pt>
                <c:pt idx="130">
                  <c:v>10.457987315988726</c:v>
                </c:pt>
                <c:pt idx="131">
                  <c:v>10.411726628655238</c:v>
                </c:pt>
                <c:pt idx="132">
                  <c:v>10.411726628655238</c:v>
                </c:pt>
                <c:pt idx="133">
                  <c:v>10.434367161678074</c:v>
                </c:pt>
                <c:pt idx="134">
                  <c:v>9.2265954130346284</c:v>
                </c:pt>
                <c:pt idx="135">
                  <c:v>9.2265954130346284</c:v>
                </c:pt>
                <c:pt idx="136">
                  <c:v>9.2265954130346284</c:v>
                </c:pt>
                <c:pt idx="137">
                  <c:v>8.4640759914976371</c:v>
                </c:pt>
                <c:pt idx="138">
                  <c:v>8.4640759914976371</c:v>
                </c:pt>
                <c:pt idx="139">
                  <c:v>8.4640759914976371</c:v>
                </c:pt>
                <c:pt idx="140">
                  <c:v>8.4640759914976371</c:v>
                </c:pt>
                <c:pt idx="141">
                  <c:v>7.6569671238161687</c:v>
                </c:pt>
                <c:pt idx="142">
                  <c:v>7.6569671238161687</c:v>
                </c:pt>
                <c:pt idx="143">
                  <c:v>7.6569671238161687</c:v>
                </c:pt>
                <c:pt idx="144">
                  <c:v>7.3840227362351385</c:v>
                </c:pt>
                <c:pt idx="145">
                  <c:v>7.1251824223657794</c:v>
                </c:pt>
                <c:pt idx="146">
                  <c:v>7.0759191324737118</c:v>
                </c:pt>
                <c:pt idx="147">
                  <c:v>7.0759191324737118</c:v>
                </c:pt>
                <c:pt idx="148">
                  <c:v>7.0759191324737118</c:v>
                </c:pt>
                <c:pt idx="149">
                  <c:v>6.1305960175696672</c:v>
                </c:pt>
                <c:pt idx="150">
                  <c:v>6.1305960175696672</c:v>
                </c:pt>
                <c:pt idx="151">
                  <c:v>6.1119253678310557</c:v>
                </c:pt>
                <c:pt idx="152">
                  <c:v>6.1119253678310557</c:v>
                </c:pt>
                <c:pt idx="153">
                  <c:v>6.1119253678310557</c:v>
                </c:pt>
                <c:pt idx="154">
                  <c:v>5.9319085487413883</c:v>
                </c:pt>
                <c:pt idx="155">
                  <c:v>5.9319085487413883</c:v>
                </c:pt>
                <c:pt idx="156">
                  <c:v>7.6436715341888339</c:v>
                </c:pt>
                <c:pt idx="157">
                  <c:v>7.6436715341888339</c:v>
                </c:pt>
                <c:pt idx="158">
                  <c:v>7.6436715341888339</c:v>
                </c:pt>
                <c:pt idx="159">
                  <c:v>7.6436715341888339</c:v>
                </c:pt>
                <c:pt idx="160">
                  <c:v>7.0407591963910274</c:v>
                </c:pt>
                <c:pt idx="161">
                  <c:v>6.8298131734717655</c:v>
                </c:pt>
                <c:pt idx="162">
                  <c:v>6.8298131734717655</c:v>
                </c:pt>
                <c:pt idx="163">
                  <c:v>6.8298131734717655</c:v>
                </c:pt>
                <c:pt idx="164">
                  <c:v>6.7661999419196031</c:v>
                </c:pt>
                <c:pt idx="165">
                  <c:v>6.7661999419196031</c:v>
                </c:pt>
                <c:pt idx="166">
                  <c:v>6.7661999419196031</c:v>
                </c:pt>
                <c:pt idx="167">
                  <c:v>6.7661999419196031</c:v>
                </c:pt>
                <c:pt idx="168">
                  <c:v>6.7661999419196031</c:v>
                </c:pt>
                <c:pt idx="169">
                  <c:v>7.3783784165948481</c:v>
                </c:pt>
                <c:pt idx="170">
                  <c:v>6.6424852976028319</c:v>
                </c:pt>
                <c:pt idx="171">
                  <c:v>6.6424852976028319</c:v>
                </c:pt>
                <c:pt idx="172">
                  <c:v>6.6424852976028319</c:v>
                </c:pt>
                <c:pt idx="173">
                  <c:v>5.4674364443682348</c:v>
                </c:pt>
                <c:pt idx="174">
                  <c:v>5.7660249351391375</c:v>
                </c:pt>
                <c:pt idx="175">
                  <c:v>5.7660249351391375</c:v>
                </c:pt>
                <c:pt idx="176">
                  <c:v>5.8924327512198413</c:v>
                </c:pt>
                <c:pt idx="177">
                  <c:v>5.8924327512198413</c:v>
                </c:pt>
                <c:pt idx="178">
                  <c:v>5.8924327512198413</c:v>
                </c:pt>
                <c:pt idx="179">
                  <c:v>5.8924327512198413</c:v>
                </c:pt>
                <c:pt idx="180">
                  <c:v>5.3922541159929747</c:v>
                </c:pt>
                <c:pt idx="181">
                  <c:v>5.5940122944048483</c:v>
                </c:pt>
                <c:pt idx="182">
                  <c:v>5.5940122944048483</c:v>
                </c:pt>
                <c:pt idx="183">
                  <c:v>5.5940122944048483</c:v>
                </c:pt>
                <c:pt idx="184">
                  <c:v>5.5940122944048483</c:v>
                </c:pt>
                <c:pt idx="185">
                  <c:v>5.6903147417556665</c:v>
                </c:pt>
                <c:pt idx="186">
                  <c:v>5.6903147417556665</c:v>
                </c:pt>
                <c:pt idx="187">
                  <c:v>4.8431442910609865</c:v>
                </c:pt>
                <c:pt idx="188">
                  <c:v>4.8431442910609865</c:v>
                </c:pt>
                <c:pt idx="189">
                  <c:v>4.403692545971257</c:v>
                </c:pt>
                <c:pt idx="190">
                  <c:v>4.403692545971257</c:v>
                </c:pt>
                <c:pt idx="191">
                  <c:v>4.403692545971257</c:v>
                </c:pt>
                <c:pt idx="192">
                  <c:v>4.403692545971257</c:v>
                </c:pt>
                <c:pt idx="193">
                  <c:v>3.6040889176459268</c:v>
                </c:pt>
                <c:pt idx="194">
                  <c:v>3.6127056455871007</c:v>
                </c:pt>
                <c:pt idx="195">
                  <c:v>3.6127056455871007</c:v>
                </c:pt>
                <c:pt idx="196">
                  <c:v>2.9039722208042917</c:v>
                </c:pt>
                <c:pt idx="197">
                  <c:v>2.9039722208042917</c:v>
                </c:pt>
                <c:pt idx="198">
                  <c:v>2.9039722208042917</c:v>
                </c:pt>
                <c:pt idx="199">
                  <c:v>2.9039722208042917</c:v>
                </c:pt>
                <c:pt idx="200">
                  <c:v>2.9039722208042917</c:v>
                </c:pt>
                <c:pt idx="201">
                  <c:v>3.2570172340434804</c:v>
                </c:pt>
                <c:pt idx="202">
                  <c:v>2.4804341993959298</c:v>
                </c:pt>
                <c:pt idx="203">
                  <c:v>2.4804341993959298</c:v>
                </c:pt>
                <c:pt idx="204">
                  <c:v>2.4804341993959298</c:v>
                </c:pt>
                <c:pt idx="205">
                  <c:v>2.0432843119554813</c:v>
                </c:pt>
                <c:pt idx="206">
                  <c:v>1.9571381767843654</c:v>
                </c:pt>
                <c:pt idx="207">
                  <c:v>4.0747040542156832</c:v>
                </c:pt>
                <c:pt idx="208">
                  <c:v>4.0747040542156832</c:v>
                </c:pt>
                <c:pt idx="209">
                  <c:v>3.6564147133819924</c:v>
                </c:pt>
                <c:pt idx="210">
                  <c:v>5.6270845906436229</c:v>
                </c:pt>
                <c:pt idx="211">
                  <c:v>5.6270845906436229</c:v>
                </c:pt>
                <c:pt idx="212">
                  <c:v>5.6270845906436229</c:v>
                </c:pt>
                <c:pt idx="213">
                  <c:v>4.532855429784969</c:v>
                </c:pt>
                <c:pt idx="214">
                  <c:v>6.0789156181608046</c:v>
                </c:pt>
                <c:pt idx="215">
                  <c:v>5.3188413166330735</c:v>
                </c:pt>
                <c:pt idx="216">
                  <c:v>4.8547341051210182</c:v>
                </c:pt>
                <c:pt idx="217">
                  <c:v>4.7056055749690922</c:v>
                </c:pt>
                <c:pt idx="218">
                  <c:v>4.3644291043808572</c:v>
                </c:pt>
                <c:pt idx="219">
                  <c:v>4.5362682146169426</c:v>
                </c:pt>
                <c:pt idx="220">
                  <c:v>4.5362682146169426</c:v>
                </c:pt>
                <c:pt idx="221">
                  <c:v>4.5362682146169426</c:v>
                </c:pt>
                <c:pt idx="222">
                  <c:v>4.5362682146169426</c:v>
                </c:pt>
                <c:pt idx="223">
                  <c:v>4.5362682146169426</c:v>
                </c:pt>
                <c:pt idx="224">
                  <c:v>3.9214565226551663</c:v>
                </c:pt>
                <c:pt idx="225">
                  <c:v>3.9690044101704491</c:v>
                </c:pt>
                <c:pt idx="226">
                  <c:v>3.9690044101704491</c:v>
                </c:pt>
                <c:pt idx="227">
                  <c:v>3.9690044101704491</c:v>
                </c:pt>
                <c:pt idx="228">
                  <c:v>3.9690044101704491</c:v>
                </c:pt>
                <c:pt idx="229">
                  <c:v>3.9690044101704491</c:v>
                </c:pt>
                <c:pt idx="230">
                  <c:v>3.9690044101704491</c:v>
                </c:pt>
                <c:pt idx="231">
                  <c:v>3.9690044101704491</c:v>
                </c:pt>
                <c:pt idx="232">
                  <c:v>4.0680045091705477</c:v>
                </c:pt>
                <c:pt idx="233">
                  <c:v>4.2261469144779591</c:v>
                </c:pt>
                <c:pt idx="234">
                  <c:v>4.1735057530477029</c:v>
                </c:pt>
                <c:pt idx="235">
                  <c:v>4.0386883259666648</c:v>
                </c:pt>
                <c:pt idx="236">
                  <c:v>4.0386883259666648</c:v>
                </c:pt>
                <c:pt idx="237">
                  <c:v>3.4877551125643715</c:v>
                </c:pt>
                <c:pt idx="238">
                  <c:v>3.2682161443975222</c:v>
                </c:pt>
                <c:pt idx="239">
                  <c:v>3.2682161443975222</c:v>
                </c:pt>
                <c:pt idx="240">
                  <c:v>3.2682161443975222</c:v>
                </c:pt>
                <c:pt idx="241">
                  <c:v>3.2682161443975222</c:v>
                </c:pt>
                <c:pt idx="242">
                  <c:v>3.2682161443975222</c:v>
                </c:pt>
                <c:pt idx="243">
                  <c:v>3.2682161443975222</c:v>
                </c:pt>
                <c:pt idx="244">
                  <c:v>3.2682161443975222</c:v>
                </c:pt>
                <c:pt idx="245">
                  <c:v>4.2180574142387899</c:v>
                </c:pt>
                <c:pt idx="246">
                  <c:v>4.2180574142387899</c:v>
                </c:pt>
                <c:pt idx="247">
                  <c:v>5.2451212771671383</c:v>
                </c:pt>
                <c:pt idx="248">
                  <c:v>5.2451212771671383</c:v>
                </c:pt>
                <c:pt idx="249">
                  <c:v>4.2953130890804463</c:v>
                </c:pt>
                <c:pt idx="250">
                  <c:v>3.6409635894653576</c:v>
                </c:pt>
                <c:pt idx="251">
                  <c:v>3.6409635894653576</c:v>
                </c:pt>
                <c:pt idx="252">
                  <c:v>3.1804187986762522</c:v>
                </c:pt>
                <c:pt idx="253">
                  <c:v>3.1804187986762522</c:v>
                </c:pt>
                <c:pt idx="254">
                  <c:v>3.1804187986762522</c:v>
                </c:pt>
                <c:pt idx="255">
                  <c:v>4.1950534757884856</c:v>
                </c:pt>
                <c:pt idx="256">
                  <c:v>4.1950534757884856</c:v>
                </c:pt>
                <c:pt idx="257">
                  <c:v>4.1950534757884856</c:v>
                </c:pt>
                <c:pt idx="258">
                  <c:v>4.1950534757884856</c:v>
                </c:pt>
                <c:pt idx="259">
                  <c:v>4.1950534757884856</c:v>
                </c:pt>
                <c:pt idx="260">
                  <c:v>4.1950534757884856</c:v>
                </c:pt>
                <c:pt idx="261">
                  <c:v>4.1950534757884856</c:v>
                </c:pt>
                <c:pt idx="262">
                  <c:v>5.5532939535395593</c:v>
                </c:pt>
                <c:pt idx="263">
                  <c:v>6.2039218851479738</c:v>
                </c:pt>
                <c:pt idx="264">
                  <c:v>7.2010288015334387</c:v>
                </c:pt>
                <c:pt idx="265">
                  <c:v>9.3402573271558929</c:v>
                </c:pt>
                <c:pt idx="266">
                  <c:v>9.9465073271558904</c:v>
                </c:pt>
                <c:pt idx="267">
                  <c:v>9.9465073271558904</c:v>
                </c:pt>
                <c:pt idx="268">
                  <c:v>9.9465073271558904</c:v>
                </c:pt>
                <c:pt idx="269">
                  <c:v>9.9465073271558904</c:v>
                </c:pt>
                <c:pt idx="270">
                  <c:v>10.397860821322839</c:v>
                </c:pt>
                <c:pt idx="271">
                  <c:v>10.397860821322839</c:v>
                </c:pt>
                <c:pt idx="272">
                  <c:v>10.397860821322839</c:v>
                </c:pt>
                <c:pt idx="273">
                  <c:v>10.146050937784912</c:v>
                </c:pt>
                <c:pt idx="274">
                  <c:v>10.146050937784912</c:v>
                </c:pt>
                <c:pt idx="275">
                  <c:v>10.146050937784912</c:v>
                </c:pt>
                <c:pt idx="276">
                  <c:v>10.907734387307247</c:v>
                </c:pt>
                <c:pt idx="277">
                  <c:v>11.706621766827269</c:v>
                </c:pt>
                <c:pt idx="278">
                  <c:v>11.706621766827269</c:v>
                </c:pt>
                <c:pt idx="279">
                  <c:v>13.167005058144936</c:v>
                </c:pt>
                <c:pt idx="280">
                  <c:v>13.167005058144936</c:v>
                </c:pt>
                <c:pt idx="281">
                  <c:v>11.017638173718773</c:v>
                </c:pt>
                <c:pt idx="282">
                  <c:v>11.017638173718773</c:v>
                </c:pt>
                <c:pt idx="283">
                  <c:v>11.017638173718773</c:v>
                </c:pt>
                <c:pt idx="284">
                  <c:v>11.017638173718773</c:v>
                </c:pt>
                <c:pt idx="285">
                  <c:v>11.11646089435124</c:v>
                </c:pt>
                <c:pt idx="286">
                  <c:v>11.11646089435124</c:v>
                </c:pt>
                <c:pt idx="287">
                  <c:v>10.965005606586191</c:v>
                </c:pt>
                <c:pt idx="288">
                  <c:v>11.691278346679267</c:v>
                </c:pt>
                <c:pt idx="289">
                  <c:v>11.550300903070243</c:v>
                </c:pt>
                <c:pt idx="290">
                  <c:v>13.15605948557301</c:v>
                </c:pt>
                <c:pt idx="291">
                  <c:v>13.15605948557301</c:v>
                </c:pt>
                <c:pt idx="292">
                  <c:v>13.15605948557301</c:v>
                </c:pt>
                <c:pt idx="293">
                  <c:v>14.856059485573011</c:v>
                </c:pt>
                <c:pt idx="294">
                  <c:v>14.856059485573011</c:v>
                </c:pt>
                <c:pt idx="295">
                  <c:v>14.856059485573011</c:v>
                </c:pt>
                <c:pt idx="296">
                  <c:v>13.987439447765828</c:v>
                </c:pt>
                <c:pt idx="297">
                  <c:v>13.987439447765828</c:v>
                </c:pt>
                <c:pt idx="298">
                  <c:v>13.154727541228418</c:v>
                </c:pt>
                <c:pt idx="299">
                  <c:v>13.154727541228418</c:v>
                </c:pt>
                <c:pt idx="300">
                  <c:v>13.154727541228418</c:v>
                </c:pt>
                <c:pt idx="301">
                  <c:v>13.154727541228418</c:v>
                </c:pt>
                <c:pt idx="302">
                  <c:v>13.154727541228418</c:v>
                </c:pt>
                <c:pt idx="303">
                  <c:v>12.653085804635936</c:v>
                </c:pt>
                <c:pt idx="304">
                  <c:v>12.809439763385104</c:v>
                </c:pt>
                <c:pt idx="305">
                  <c:v>12.809439763385104</c:v>
                </c:pt>
                <c:pt idx="306">
                  <c:v>13.51297353139605</c:v>
                </c:pt>
                <c:pt idx="307">
                  <c:v>13.51297353139605</c:v>
                </c:pt>
                <c:pt idx="308">
                  <c:v>13.51297353139605</c:v>
                </c:pt>
                <c:pt idx="309">
                  <c:v>13.51297353139605</c:v>
                </c:pt>
                <c:pt idx="310">
                  <c:v>13.51297353139605</c:v>
                </c:pt>
                <c:pt idx="311">
                  <c:v>12.373298659837122</c:v>
                </c:pt>
                <c:pt idx="312">
                  <c:v>12.373298659837122</c:v>
                </c:pt>
                <c:pt idx="313">
                  <c:v>13.168797301668707</c:v>
                </c:pt>
                <c:pt idx="314">
                  <c:v>13.12591696842726</c:v>
                </c:pt>
                <c:pt idx="315">
                  <c:v>9.0694029640418403</c:v>
                </c:pt>
                <c:pt idx="316">
                  <c:v>7.9624476578345789</c:v>
                </c:pt>
                <c:pt idx="317">
                  <c:v>7.9624476578345789</c:v>
                </c:pt>
                <c:pt idx="318">
                  <c:v>6.6636878946275218</c:v>
                </c:pt>
                <c:pt idx="319">
                  <c:v>6.8424956048159853</c:v>
                </c:pt>
                <c:pt idx="320">
                  <c:v>8.8685165917700406</c:v>
                </c:pt>
                <c:pt idx="321">
                  <c:v>8.0156014853139332</c:v>
                </c:pt>
                <c:pt idx="322">
                  <c:v>8.0156014853139332</c:v>
                </c:pt>
                <c:pt idx="323">
                  <c:v>8.0156014853139332</c:v>
                </c:pt>
                <c:pt idx="324">
                  <c:v>8.4001101466688315</c:v>
                </c:pt>
                <c:pt idx="325">
                  <c:v>8.4001101466688315</c:v>
                </c:pt>
                <c:pt idx="326">
                  <c:v>8.4001101466688315</c:v>
                </c:pt>
                <c:pt idx="327">
                  <c:v>8.4001101466688315</c:v>
                </c:pt>
                <c:pt idx="328">
                  <c:v>7.5844440744146864</c:v>
                </c:pt>
                <c:pt idx="329">
                  <c:v>8.9049056811612477</c:v>
                </c:pt>
                <c:pt idx="330">
                  <c:v>8.9049056811612477</c:v>
                </c:pt>
                <c:pt idx="331">
                  <c:v>8.8355168367523866</c:v>
                </c:pt>
                <c:pt idx="332">
                  <c:v>8.8355168367523866</c:v>
                </c:pt>
                <c:pt idx="333">
                  <c:v>9.4326476509208419</c:v>
                </c:pt>
                <c:pt idx="334">
                  <c:v>9.4326476509208419</c:v>
                </c:pt>
                <c:pt idx="335">
                  <c:v>9.1265277518779389</c:v>
                </c:pt>
                <c:pt idx="336">
                  <c:v>8.1420749035677158</c:v>
                </c:pt>
                <c:pt idx="337">
                  <c:v>7.2982843367135422</c:v>
                </c:pt>
                <c:pt idx="338">
                  <c:v>7.2982843367135422</c:v>
                </c:pt>
                <c:pt idx="339">
                  <c:v>7.2982843367135422</c:v>
                </c:pt>
                <c:pt idx="340">
                  <c:v>7.2982843367135422</c:v>
                </c:pt>
                <c:pt idx="341">
                  <c:v>7.2982843367135422</c:v>
                </c:pt>
                <c:pt idx="342">
                  <c:v>7.47129471733638</c:v>
                </c:pt>
                <c:pt idx="343">
                  <c:v>8.2129772772007588</c:v>
                </c:pt>
                <c:pt idx="344">
                  <c:v>10.014821024290804</c:v>
                </c:pt>
                <c:pt idx="345">
                  <c:v>9.815958517827772</c:v>
                </c:pt>
                <c:pt idx="346">
                  <c:v>9.815958517827772</c:v>
                </c:pt>
                <c:pt idx="347">
                  <c:v>12.731392442877082</c:v>
                </c:pt>
                <c:pt idx="348">
                  <c:v>12.731392442877082</c:v>
                </c:pt>
                <c:pt idx="349">
                  <c:v>12.731392442877082</c:v>
                </c:pt>
                <c:pt idx="350">
                  <c:v>12.731392442877082</c:v>
                </c:pt>
                <c:pt idx="351">
                  <c:v>13.616454243130445</c:v>
                </c:pt>
                <c:pt idx="352">
                  <c:v>12.941196266051175</c:v>
                </c:pt>
                <c:pt idx="353">
                  <c:v>12.941196266051175</c:v>
                </c:pt>
                <c:pt idx="354">
                  <c:v>13.773380578741252</c:v>
                </c:pt>
                <c:pt idx="355">
                  <c:v>13.773380578741252</c:v>
                </c:pt>
                <c:pt idx="356">
                  <c:v>14.289455028825854</c:v>
                </c:pt>
                <c:pt idx="357">
                  <c:v>14.289455028825854</c:v>
                </c:pt>
                <c:pt idx="358">
                  <c:v>16.781304120581794</c:v>
                </c:pt>
                <c:pt idx="359">
                  <c:v>16.781304120581794</c:v>
                </c:pt>
                <c:pt idx="360">
                  <c:v>16.781304120581794</c:v>
                </c:pt>
                <c:pt idx="361">
                  <c:v>15.246059807616374</c:v>
                </c:pt>
                <c:pt idx="362">
                  <c:v>15.246059807616374</c:v>
                </c:pt>
                <c:pt idx="363">
                  <c:v>15.392057746469002</c:v>
                </c:pt>
                <c:pt idx="364">
                  <c:v>15.504499564365554</c:v>
                </c:pt>
                <c:pt idx="365">
                  <c:v>15.895277211884119</c:v>
                </c:pt>
                <c:pt idx="366">
                  <c:v>16.022708466075937</c:v>
                </c:pt>
                <c:pt idx="367">
                  <c:v>16.649533126903687</c:v>
                </c:pt>
                <c:pt idx="368">
                  <c:v>16.649533126903687</c:v>
                </c:pt>
                <c:pt idx="369">
                  <c:v>19.612719811020607</c:v>
                </c:pt>
                <c:pt idx="370">
                  <c:v>19.612719811020607</c:v>
                </c:pt>
                <c:pt idx="371">
                  <c:v>20.052448326458904</c:v>
                </c:pt>
                <c:pt idx="372">
                  <c:v>19.955360947818129</c:v>
                </c:pt>
                <c:pt idx="373">
                  <c:v>19.955360947818129</c:v>
                </c:pt>
                <c:pt idx="374">
                  <c:v>20.611328603249458</c:v>
                </c:pt>
                <c:pt idx="375">
                  <c:v>21.043276443510255</c:v>
                </c:pt>
                <c:pt idx="376">
                  <c:v>23.578724653075266</c:v>
                </c:pt>
                <c:pt idx="377">
                  <c:v>23.177655134358687</c:v>
                </c:pt>
                <c:pt idx="378">
                  <c:v>23.568761710900798</c:v>
                </c:pt>
                <c:pt idx="379">
                  <c:v>24.041034715166489</c:v>
                </c:pt>
                <c:pt idx="380">
                  <c:v>23.445041266213678</c:v>
                </c:pt>
                <c:pt idx="381">
                  <c:v>22.739803418862351</c:v>
                </c:pt>
                <c:pt idx="382">
                  <c:v>22.739803418862351</c:v>
                </c:pt>
                <c:pt idx="383">
                  <c:v>22.739803418862351</c:v>
                </c:pt>
                <c:pt idx="384">
                  <c:v>21.800569934243086</c:v>
                </c:pt>
                <c:pt idx="385">
                  <c:v>21.800569934243086</c:v>
                </c:pt>
                <c:pt idx="386">
                  <c:v>18.864626873744868</c:v>
                </c:pt>
                <c:pt idx="387">
                  <c:v>20.102722111840105</c:v>
                </c:pt>
                <c:pt idx="388">
                  <c:v>20.102722111840105</c:v>
                </c:pt>
                <c:pt idx="389">
                  <c:v>20.102722111840105</c:v>
                </c:pt>
                <c:pt idx="390">
                  <c:v>19.040865485669279</c:v>
                </c:pt>
                <c:pt idx="391">
                  <c:v>18.867912295184656</c:v>
                </c:pt>
                <c:pt idx="392">
                  <c:v>18.012695472566683</c:v>
                </c:pt>
                <c:pt idx="393">
                  <c:v>15.348876603790954</c:v>
                </c:pt>
                <c:pt idx="394">
                  <c:v>15.348876603790954</c:v>
                </c:pt>
                <c:pt idx="395">
                  <c:v>15.348876603790954</c:v>
                </c:pt>
                <c:pt idx="396">
                  <c:v>17.277523259925761</c:v>
                </c:pt>
                <c:pt idx="397">
                  <c:v>18.266223824897512</c:v>
                </c:pt>
                <c:pt idx="398">
                  <c:v>17.718075676749361</c:v>
                </c:pt>
                <c:pt idx="399">
                  <c:v>17.718075676749361</c:v>
                </c:pt>
                <c:pt idx="400">
                  <c:v>17.002488895588808</c:v>
                </c:pt>
                <c:pt idx="401">
                  <c:v>17.002488895588808</c:v>
                </c:pt>
                <c:pt idx="402">
                  <c:v>17.002488895588808</c:v>
                </c:pt>
                <c:pt idx="403">
                  <c:v>15.772531720008686</c:v>
                </c:pt>
                <c:pt idx="404">
                  <c:v>14.555936818771587</c:v>
                </c:pt>
                <c:pt idx="405">
                  <c:v>14.555936818771587</c:v>
                </c:pt>
                <c:pt idx="406">
                  <c:v>14.555936818771587</c:v>
                </c:pt>
                <c:pt idx="407">
                  <c:v>14.555936818771587</c:v>
                </c:pt>
                <c:pt idx="408">
                  <c:v>15.953983216817985</c:v>
                </c:pt>
                <c:pt idx="409">
                  <c:v>15.953983216817985</c:v>
                </c:pt>
                <c:pt idx="410">
                  <c:v>15.953983216817985</c:v>
                </c:pt>
                <c:pt idx="411">
                  <c:v>15.953983216817985</c:v>
                </c:pt>
                <c:pt idx="412">
                  <c:v>16.315398335168712</c:v>
                </c:pt>
                <c:pt idx="413">
                  <c:v>16.315398335168712</c:v>
                </c:pt>
                <c:pt idx="414">
                  <c:v>18.541606395941031</c:v>
                </c:pt>
                <c:pt idx="415">
                  <c:v>18.541606395941031</c:v>
                </c:pt>
                <c:pt idx="416">
                  <c:v>18.541606395941031</c:v>
                </c:pt>
                <c:pt idx="417">
                  <c:v>18.541606395941031</c:v>
                </c:pt>
                <c:pt idx="418">
                  <c:v>19.310622835060563</c:v>
                </c:pt>
                <c:pt idx="419">
                  <c:v>19.310622835060563</c:v>
                </c:pt>
                <c:pt idx="420">
                  <c:v>19.310622835060563</c:v>
                </c:pt>
                <c:pt idx="421">
                  <c:v>19.310622835060563</c:v>
                </c:pt>
                <c:pt idx="422">
                  <c:v>19.310622835060563</c:v>
                </c:pt>
                <c:pt idx="423">
                  <c:v>19.310622835060563</c:v>
                </c:pt>
                <c:pt idx="424">
                  <c:v>18.917295188392</c:v>
                </c:pt>
                <c:pt idx="425">
                  <c:v>18.917295188392</c:v>
                </c:pt>
                <c:pt idx="426">
                  <c:v>18.917295188392</c:v>
                </c:pt>
                <c:pt idx="427">
                  <c:v>18.917295188392</c:v>
                </c:pt>
                <c:pt idx="428">
                  <c:v>18.917295188392</c:v>
                </c:pt>
                <c:pt idx="429">
                  <c:v>18.917295188392</c:v>
                </c:pt>
                <c:pt idx="430">
                  <c:v>18.917295188392</c:v>
                </c:pt>
                <c:pt idx="431">
                  <c:v>18.917295188392</c:v>
                </c:pt>
                <c:pt idx="432">
                  <c:v>18.917295188392</c:v>
                </c:pt>
                <c:pt idx="433">
                  <c:v>18.917295188392</c:v>
                </c:pt>
                <c:pt idx="434">
                  <c:v>19.012806172155134</c:v>
                </c:pt>
                <c:pt idx="435">
                  <c:v>16.280108883541644</c:v>
                </c:pt>
                <c:pt idx="436">
                  <c:v>14.879288513601237</c:v>
                </c:pt>
                <c:pt idx="437">
                  <c:v>16.12348395071006</c:v>
                </c:pt>
                <c:pt idx="438">
                  <c:v>16.12348395071006</c:v>
                </c:pt>
                <c:pt idx="439">
                  <c:v>15.346784921583847</c:v>
                </c:pt>
                <c:pt idx="440">
                  <c:v>15.346784921583847</c:v>
                </c:pt>
                <c:pt idx="441">
                  <c:v>15.346784921583847</c:v>
                </c:pt>
                <c:pt idx="442">
                  <c:v>14.70999246875366</c:v>
                </c:pt>
                <c:pt idx="443">
                  <c:v>15.126535164379963</c:v>
                </c:pt>
                <c:pt idx="444">
                  <c:v>15.126535164379963</c:v>
                </c:pt>
              </c:numCache>
            </c:numRef>
          </c:val>
          <c:smooth val="0"/>
          <c:extLst>
            <c:ext xmlns:c16="http://schemas.microsoft.com/office/drawing/2014/chart" uri="{C3380CC4-5D6E-409C-BE32-E72D297353CC}">
              <c16:uniqueId val="{0000000A-7AEE-4D62-9FE5-2B87AD6DF366}"/>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00D600"/>
                </a:solidFill>
                <a:effectLst>
                  <a:outerShdw blurRad="50800" dist="38100" dir="5400000" algn="t" rotWithShape="0">
                    <a:prstClr val="black">
                      <a:alpha val="40000"/>
                    </a:prstClr>
                  </a:outerShdw>
                </a:effectLst>
                <a:latin typeface="+mn-lt"/>
                <a:ea typeface="+mn-ea"/>
                <a:cs typeface="+mn-cs"/>
              </a:defRPr>
            </a:pPr>
            <a:r>
              <a:rPr lang="en-US">
                <a:solidFill>
                  <a:srgbClr val="00D600"/>
                </a:solidFill>
              </a:rPr>
              <a:t>The Strategy -- Net Risk Units</a:t>
            </a:r>
          </a:p>
          <a:p>
            <a:pPr>
              <a:defRPr>
                <a:solidFill>
                  <a:srgbClr val="00D600"/>
                </a:solidFill>
              </a:defRPr>
            </a:pPr>
            <a:r>
              <a:rPr lang="en-US" sz="1050" b="0">
                <a:solidFill>
                  <a:schemeClr val="tx1"/>
                </a:solidFill>
              </a:rPr>
              <a:t>SPY Stocks Only</a:t>
            </a:r>
          </a:p>
        </c:rich>
      </c:tx>
      <c:layout>
        <c:manualLayout>
          <c:xMode val="edge"/>
          <c:yMode val="edge"/>
          <c:x val="0.3333845786759172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00D6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1.4890516307839144E-2"/>
          <c:y val="8.3898916967509007E-2"/>
          <c:w val="0.90152100642592092"/>
          <c:h val="0.86768166614552245"/>
        </c:manualLayout>
      </c:layout>
      <c:lineChart>
        <c:grouping val="standard"/>
        <c:varyColors val="0"/>
        <c:ser>
          <c:idx val="0"/>
          <c:order val="0"/>
          <c:tx>
            <c:v>S&amp;P 500 Stocks (All)</c:v>
          </c:tx>
          <c:spPr>
            <a:ln w="28575" cap="rnd">
              <a:solidFill>
                <a:schemeClr val="tx1"/>
              </a:solidFill>
              <a:round/>
            </a:ln>
            <a:effectLst>
              <a:outerShdw blurRad="50800" dist="38100" dir="2700000" algn="tl" rotWithShape="0">
                <a:srgbClr val="00FF00">
                  <a:alpha val="40000"/>
                </a:srgbClr>
              </a:outerShdw>
            </a:effectLst>
          </c:spPr>
          <c:marker>
            <c:symbol val="none"/>
          </c:marker>
          <c:val>
            <c:numRef>
              <c:f>'2025-Q1'!$EM$4:$EM$448</c:f>
              <c:numCache>
                <c:formatCode>0.00</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#N/A</c:v>
                </c:pt>
                <c:pt idx="84">
                  <c:v>20.042208490415806</c:v>
                </c:pt>
                <c:pt idx="85">
                  <c:v>19.729284739503111</c:v>
                </c:pt>
                <c:pt idx="86">
                  <c:v>18.841561395694942</c:v>
                </c:pt>
                <c:pt idx="87">
                  <c:v>19.621477370076647</c:v>
                </c:pt>
                <c:pt idx="88">
                  <c:v>20.550116109046918</c:v>
                </c:pt>
                <c:pt idx="89">
                  <c:v>22.107946081783073</c:v>
                </c:pt>
                <c:pt idx="90">
                  <c:v>23.128127940288284</c:v>
                </c:pt>
                <c:pt idx="91">
                  <c:v>23.600568885170173</c:v>
                </c:pt>
                <c:pt idx="92">
                  <c:v>23.78255672560045</c:v>
                </c:pt>
                <c:pt idx="93">
                  <c:v>23.949796975779559</c:v>
                </c:pt>
                <c:pt idx="94">
                  <c:v>22.387896599695438</c:v>
                </c:pt>
                <c:pt idx="95">
                  <c:v>22.204778357630559</c:v>
                </c:pt>
                <c:pt idx="96">
                  <c:v>23.173462009435234</c:v>
                </c:pt>
                <c:pt idx="97">
                  <c:v>20.435513081400277</c:v>
                </c:pt>
                <c:pt idx="98">
                  <c:v>19.149185523415163</c:v>
                </c:pt>
                <c:pt idx="99">
                  <c:v>#N/A</c:v>
                </c:pt>
                <c:pt idx="100">
                  <c:v>19.337475124970073</c:v>
                </c:pt>
                <c:pt idx="101">
                  <c:v>19.573027324056635</c:v>
                </c:pt>
                <c:pt idx="102">
                  <c:v>20.229158350812234</c:v>
                </c:pt>
                <c:pt idx="103">
                  <c:v>19.392921712373322</c:v>
                </c:pt>
                <c:pt idx="104">
                  <c:v>20.704484881538203</c:v>
                </c:pt>
                <c:pt idx="105">
                  <c:v>18.711568214871537</c:v>
                </c:pt>
                <c:pt idx="106">
                  <c:v>19.029991147402352</c:v>
                </c:pt>
                <c:pt idx="107">
                  <c:v>18.510938102713155</c:v>
                </c:pt>
                <c:pt idx="108">
                  <c:v>18.599725872197908</c:v>
                </c:pt>
                <c:pt idx="109">
                  <c:v>18.554396201868236</c:v>
                </c:pt>
                <c:pt idx="110">
                  <c:v>20.110010369991059</c:v>
                </c:pt>
                <c:pt idx="111">
                  <c:v>20.700519173803958</c:v>
                </c:pt>
                <c:pt idx="112">
                  <c:v>21.030709812172525</c:v>
                </c:pt>
                <c:pt idx="113">
                  <c:v>21.735717608079369</c:v>
                </c:pt>
                <c:pt idx="114">
                  <c:v>22.093506394742889</c:v>
                </c:pt>
                <c:pt idx="115">
                  <c:v>22.620463664602369</c:v>
                </c:pt>
                <c:pt idx="116">
                  <c:v>#N/A</c:v>
                </c:pt>
                <c:pt idx="117">
                  <c:v>22.542191905053212</c:v>
                </c:pt>
                <c:pt idx="118">
                  <c:v>21.637191905053211</c:v>
                </c:pt>
                <c:pt idx="119">
                  <c:v>22.704615226226025</c:v>
                </c:pt>
                <c:pt idx="120">
                  <c:v>22.204570974522333</c:v>
                </c:pt>
                <c:pt idx="121">
                  <c:v>21.408319393517392</c:v>
                </c:pt>
                <c:pt idx="122">
                  <c:v>21.218745933801753</c:v>
                </c:pt>
                <c:pt idx="123">
                  <c:v>21.06434552206732</c:v>
                </c:pt>
                <c:pt idx="124">
                  <c:v>21.571490477400552</c:v>
                </c:pt>
                <c:pt idx="125">
                  <c:v>22.223999386193768</c:v>
                </c:pt>
                <c:pt idx="126">
                  <c:v>#N/A</c:v>
                </c:pt>
                <c:pt idx="127">
                  <c:v>22.897428402566511</c:v>
                </c:pt>
                <c:pt idx="128">
                  <c:v>23.063584939514477</c:v>
                </c:pt>
                <c:pt idx="129">
                  <c:v>23.138547458255104</c:v>
                </c:pt>
                <c:pt idx="130">
                  <c:v>23.508952748989586</c:v>
                </c:pt>
                <c:pt idx="131">
                  <c:v>23.462692061656096</c:v>
                </c:pt>
                <c:pt idx="132">
                  <c:v>24.023230178248024</c:v>
                </c:pt>
                <c:pt idx="133">
                  <c:v>24.045870711270862</c:v>
                </c:pt>
                <c:pt idx="134">
                  <c:v>22.838098962627416</c:v>
                </c:pt>
                <c:pt idx="135">
                  <c:v>23.890373232824295</c:v>
                </c:pt>
                <c:pt idx="136">
                  <c:v>21.872683901702125</c:v>
                </c:pt>
                <c:pt idx="137">
                  <c:v>21.110164480165132</c:v>
                </c:pt>
                <c:pt idx="138">
                  <c:v>21.075248279047816</c:v>
                </c:pt>
                <c:pt idx="139">
                  <c:v>19.589690205597218</c:v>
                </c:pt>
                <c:pt idx="140">
                  <c:v>#N/A</c:v>
                </c:pt>
                <c:pt idx="141">
                  <c:v>#N/A</c:v>
                </c:pt>
                <c:pt idx="142">
                  <c:v>19.440622638440757</c:v>
                </c:pt>
                <c:pt idx="143">
                  <c:v>18.335204667096228</c:v>
                </c:pt>
                <c:pt idx="144">
                  <c:v>18.062260279515197</c:v>
                </c:pt>
                <c:pt idx="145">
                  <c:v>17.803419965645837</c:v>
                </c:pt>
                <c:pt idx="146">
                  <c:v>17.754156675753769</c:v>
                </c:pt>
                <c:pt idx="147">
                  <c:v>18.75536692990714</c:v>
                </c:pt>
                <c:pt idx="148">
                  <c:v>17.560646869700776</c:v>
                </c:pt>
                <c:pt idx="149">
                  <c:v>16.61532375479673</c:v>
                </c:pt>
                <c:pt idx="150">
                  <c:v>16.736696368721478</c:v>
                </c:pt>
                <c:pt idx="151">
                  <c:v>16.718025718982865</c:v>
                </c:pt>
                <c:pt idx="152">
                  <c:v>16.341427365505901</c:v>
                </c:pt>
                <c:pt idx="153">
                  <c:v>15.777554275286207</c:v>
                </c:pt>
                <c:pt idx="154">
                  <c:v>15.597537456196539</c:v>
                </c:pt>
                <c:pt idx="155">
                  <c:v>15.059903047594389</c:v>
                </c:pt>
                <c:pt idx="156">
                  <c:v>16.771666033041836</c:v>
                </c:pt>
                <c:pt idx="157">
                  <c:v>16.497281186166283</c:v>
                </c:pt>
                <c:pt idx="158">
                  <c:v>20.290768965801664</c:v>
                </c:pt>
                <c:pt idx="159">
                  <c:v>20.037589982099551</c:v>
                </c:pt>
                <c:pt idx="160">
                  <c:v>19.434677644301743</c:v>
                </c:pt>
                <c:pt idx="161">
                  <c:v>19.22373162138248</c:v>
                </c:pt>
                <c:pt idx="162">
                  <c:v>21.057064954715813</c:v>
                </c:pt>
                <c:pt idx="163">
                  <c:v>21.519565786551844</c:v>
                </c:pt>
                <c:pt idx="164">
                  <c:v>21.45595255499968</c:v>
                </c:pt>
                <c:pt idx="165">
                  <c:v>21.318101801415562</c:v>
                </c:pt>
                <c:pt idx="166">
                  <c:v>19.968159523085394</c:v>
                </c:pt>
                <c:pt idx="167">
                  <c:v>20.389293711183669</c:v>
                </c:pt>
                <c:pt idx="168">
                  <c:v>20.387026137487521</c:v>
                </c:pt>
                <c:pt idx="169">
                  <c:v>20.999204612162764</c:v>
                </c:pt>
                <c:pt idx="170">
                  <c:v>20.263311493170747</c:v>
                </c:pt>
                <c:pt idx="171">
                  <c:v>21.085996171277113</c:v>
                </c:pt>
                <c:pt idx="172">
                  <c:v>20.147497567432392</c:v>
                </c:pt>
                <c:pt idx="173">
                  <c:v>18.972448714197796</c:v>
                </c:pt>
                <c:pt idx="174">
                  <c:v>19.2710372049687</c:v>
                </c:pt>
                <c:pt idx="175">
                  <c:v>19.777501286002952</c:v>
                </c:pt>
                <c:pt idx="176">
                  <c:v>19.903909102083656</c:v>
                </c:pt>
                <c:pt idx="177">
                  <c:v>21.166443836890952</c:v>
                </c:pt>
                <c:pt idx="178">
                  <c:v>22.243898604120066</c:v>
                </c:pt>
                <c:pt idx="179">
                  <c:v>23.321484811016617</c:v>
                </c:pt>
                <c:pt idx="180">
                  <c:v>22.821306175789751</c:v>
                </c:pt>
                <c:pt idx="181">
                  <c:v>23.023064354201622</c:v>
                </c:pt>
                <c:pt idx="182">
                  <c:v>22.412883043183491</c:v>
                </c:pt>
                <c:pt idx="183">
                  <c:v>21.240575499011328</c:v>
                </c:pt>
                <c:pt idx="184">
                  <c:v>22.898873964841176</c:v>
                </c:pt>
                <c:pt idx="185">
                  <c:v>22.995176412191995</c:v>
                </c:pt>
                <c:pt idx="186">
                  <c:v>23.550533979310075</c:v>
                </c:pt>
                <c:pt idx="187">
                  <c:v>22.703363528615395</c:v>
                </c:pt>
                <c:pt idx="188">
                  <c:v>24.180219729458997</c:v>
                </c:pt>
                <c:pt idx="189">
                  <c:v>23.740767984369267</c:v>
                </c:pt>
                <c:pt idx="190">
                  <c:v>22.944891695709472</c:v>
                </c:pt>
                <c:pt idx="191">
                  <c:v>22.992755959260013</c:v>
                </c:pt>
                <c:pt idx="192">
                  <c:v>22.948643953122691</c:v>
                </c:pt>
                <c:pt idx="193">
                  <c:v>22.149040324797362</c:v>
                </c:pt>
                <c:pt idx="194">
                  <c:v>22.157657052738536</c:v>
                </c:pt>
                <c:pt idx="195">
                  <c:v>21.591619316889481</c:v>
                </c:pt>
                <c:pt idx="196">
                  <c:v>20.882885892106671</c:v>
                </c:pt>
                <c:pt idx="197">
                  <c:v>#N/A</c:v>
                </c:pt>
                <c:pt idx="198">
                  <c:v>#N/A</c:v>
                </c:pt>
                <c:pt idx="199">
                  <c:v>#N/A</c:v>
                </c:pt>
                <c:pt idx="200">
                  <c:v>#N/A</c:v>
                </c:pt>
                <c:pt idx="201">
                  <c:v>21.23593090534586</c:v>
                </c:pt>
                <c:pt idx="202">
                  <c:v>20.459347870698309</c:v>
                </c:pt>
                <c:pt idx="203">
                  <c:v>20.362766839212892</c:v>
                </c:pt>
                <c:pt idx="204">
                  <c:v>21.155565519697127</c:v>
                </c:pt>
                <c:pt idx="205">
                  <c:v>20.718415632256679</c:v>
                </c:pt>
                <c:pt idx="206">
                  <c:v>20.632269497085563</c:v>
                </c:pt>
                <c:pt idx="207">
                  <c:v>22.749835374516881</c:v>
                </c:pt>
                <c:pt idx="208">
                  <c:v>22.932687065895028</c:v>
                </c:pt>
                <c:pt idx="209">
                  <c:v>22.514397725061336</c:v>
                </c:pt>
                <c:pt idx="210">
                  <c:v>24.485067602322967</c:v>
                </c:pt>
                <c:pt idx="211">
                  <c:v>25.188967902346043</c:v>
                </c:pt>
                <c:pt idx="212">
                  <c:v>26.024300702488226</c:v>
                </c:pt>
                <c:pt idx="213">
                  <c:v>24.930071541629573</c:v>
                </c:pt>
                <c:pt idx="214">
                  <c:v>26.47613173000541</c:v>
                </c:pt>
                <c:pt idx="215">
                  <c:v>25.716057428477679</c:v>
                </c:pt>
                <c:pt idx="216">
                  <c:v>25.251950216965625</c:v>
                </c:pt>
                <c:pt idx="217">
                  <c:v>25.102821686813698</c:v>
                </c:pt>
                <c:pt idx="218">
                  <c:v>24.761645216225464</c:v>
                </c:pt>
                <c:pt idx="219">
                  <c:v>24.933484326461549</c:v>
                </c:pt>
                <c:pt idx="220">
                  <c:v>#N/A</c:v>
                </c:pt>
                <c:pt idx="221">
                  <c:v>24.868196537889524</c:v>
                </c:pt>
                <c:pt idx="222">
                  <c:v>24.985820142355234</c:v>
                </c:pt>
                <c:pt idx="223">
                  <c:v>24.5359955267859</c:v>
                </c:pt>
                <c:pt idx="224">
                  <c:v>23.921183834824124</c:v>
                </c:pt>
                <c:pt idx="225">
                  <c:v>23.968731722339406</c:v>
                </c:pt>
                <c:pt idx="226">
                  <c:v>25.067632821240505</c:v>
                </c:pt>
                <c:pt idx="227">
                  <c:v>25.935061621882301</c:v>
                </c:pt>
                <c:pt idx="228">
                  <c:v>27.508092966845133</c:v>
                </c:pt>
                <c:pt idx="229">
                  <c:v>26.653036579342825</c:v>
                </c:pt>
                <c:pt idx="230">
                  <c:v>31.347953131172559</c:v>
                </c:pt>
                <c:pt idx="231">
                  <c:v>31.488794386826523</c:v>
                </c:pt>
                <c:pt idx="232">
                  <c:v>#N/A</c:v>
                </c:pt>
                <c:pt idx="233">
                  <c:v>#N/A</c:v>
                </c:pt>
                <c:pt idx="234">
                  <c:v>31.436153225396268</c:v>
                </c:pt>
                <c:pt idx="235">
                  <c:v>31.301335798315229</c:v>
                </c:pt>
                <c:pt idx="236">
                  <c:v>33.204934312083239</c:v>
                </c:pt>
                <c:pt idx="237">
                  <c:v>32.654001098680943</c:v>
                </c:pt>
                <c:pt idx="238">
                  <c:v>32.434462130514092</c:v>
                </c:pt>
                <c:pt idx="239">
                  <c:v>31.781305205375922</c:v>
                </c:pt>
                <c:pt idx="240">
                  <c:v>32.282238621679596</c:v>
                </c:pt>
                <c:pt idx="241">
                  <c:v>32.121150022950296</c:v>
                </c:pt>
                <c:pt idx="242">
                  <c:v>31.338348532158925</c:v>
                </c:pt>
                <c:pt idx="243">
                  <c:v>31.327360231467306</c:v>
                </c:pt>
                <c:pt idx="244">
                  <c:v>31.49209825782539</c:v>
                </c:pt>
                <c:pt idx="245">
                  <c:v>32.441939527666655</c:v>
                </c:pt>
                <c:pt idx="246">
                  <c:v>31.376287115385953</c:v>
                </c:pt>
                <c:pt idx="247">
                  <c:v>32.4033509783143</c:v>
                </c:pt>
                <c:pt idx="248">
                  <c:v>32.294317861815188</c:v>
                </c:pt>
                <c:pt idx="249">
                  <c:v>31.344509673728496</c:v>
                </c:pt>
                <c:pt idx="250">
                  <c:v>30.690160174113409</c:v>
                </c:pt>
                <c:pt idx="251">
                  <c:v>30.889501481099021</c:v>
                </c:pt>
                <c:pt idx="252">
                  <c:v>30.428956690309917</c:v>
                </c:pt>
                <c:pt idx="253">
                  <c:v>33.692788797151017</c:v>
                </c:pt>
                <c:pt idx="254">
                  <c:v>36.135894553509786</c:v>
                </c:pt>
                <c:pt idx="255">
                  <c:v>37.15052923062202</c:v>
                </c:pt>
                <c:pt idx="256">
                  <c:v>36.229979256707075</c:v>
                </c:pt>
                <c:pt idx="257">
                  <c:v>38.308412634353054</c:v>
                </c:pt>
                <c:pt idx="258">
                  <c:v>#N/A</c:v>
                </c:pt>
                <c:pt idx="259">
                  <c:v>37.866675834118574</c:v>
                </c:pt>
                <c:pt idx="260">
                  <c:v>38.625047364548927</c:v>
                </c:pt>
                <c:pt idx="261">
                  <c:v>38.891789346598763</c:v>
                </c:pt>
                <c:pt idx="262">
                  <c:v>40.250029824349838</c:v>
                </c:pt>
                <c:pt idx="263">
                  <c:v>40.90065775595825</c:v>
                </c:pt>
                <c:pt idx="264">
                  <c:v>41.897764672343712</c:v>
                </c:pt>
                <c:pt idx="265">
                  <c:v>44.036993197966169</c:v>
                </c:pt>
                <c:pt idx="266">
                  <c:v>44.643243197966164</c:v>
                </c:pt>
                <c:pt idx="267">
                  <c:v>44.452490177710011</c:v>
                </c:pt>
                <c:pt idx="268">
                  <c:v>44.038453939290726</c:v>
                </c:pt>
                <c:pt idx="269">
                  <c:v>44.105321140627268</c:v>
                </c:pt>
                <c:pt idx="270">
                  <c:v>44.55667463479422</c:v>
                </c:pt>
                <c:pt idx="271">
                  <c:v>44.657487642924302</c:v>
                </c:pt>
                <c:pt idx="272">
                  <c:v>44.488458408549903</c:v>
                </c:pt>
                <c:pt idx="273">
                  <c:v>44.236648525011972</c:v>
                </c:pt>
                <c:pt idx="274">
                  <c:v>44.593817414872746</c:v>
                </c:pt>
                <c:pt idx="275">
                  <c:v>43.869981205857364</c:v>
                </c:pt>
                <c:pt idx="276">
                  <c:v>44.631664655379701</c:v>
                </c:pt>
                <c:pt idx="277">
                  <c:v>45.430552034899726</c:v>
                </c:pt>
                <c:pt idx="278">
                  <c:v>44.711769530930816</c:v>
                </c:pt>
                <c:pt idx="279">
                  <c:v>46.172152822248485</c:v>
                </c:pt>
                <c:pt idx="280">
                  <c:v>46.607504374918477</c:v>
                </c:pt>
                <c:pt idx="281">
                  <c:v>44.458137490492312</c:v>
                </c:pt>
                <c:pt idx="282">
                  <c:v>44.0314758213269</c:v>
                </c:pt>
                <c:pt idx="283">
                  <c:v>43.266548817218151</c:v>
                </c:pt>
                <c:pt idx="284">
                  <c:v>42.713211281321257</c:v>
                </c:pt>
                <c:pt idx="285">
                  <c:v>42.812034001953727</c:v>
                </c:pt>
                <c:pt idx="286">
                  <c:v>43.782840464751033</c:v>
                </c:pt>
                <c:pt idx="287">
                  <c:v>43.631385176985987</c:v>
                </c:pt>
                <c:pt idx="288">
                  <c:v>44.357657917079067</c:v>
                </c:pt>
                <c:pt idx="289">
                  <c:v>44.216680473470042</c:v>
                </c:pt>
                <c:pt idx="290">
                  <c:v>#N/A</c:v>
                </c:pt>
                <c:pt idx="291">
                  <c:v>#N/A</c:v>
                </c:pt>
                <c:pt idx="292">
                  <c:v>44.50073220949497</c:v>
                </c:pt>
                <c:pt idx="293">
                  <c:v>46.200732209494973</c:v>
                </c:pt>
                <c:pt idx="294">
                  <c:v>46.323416542705623</c:v>
                </c:pt>
                <c:pt idx="295">
                  <c:v>#N/A</c:v>
                </c:pt>
                <c:pt idx="296">
                  <c:v>45.454796504898439</c:v>
                </c:pt>
                <c:pt idx="297">
                  <c:v>44.163874600868709</c:v>
                </c:pt>
                <c:pt idx="298">
                  <c:v>43.331162694331297</c:v>
                </c:pt>
                <c:pt idx="299">
                  <c:v>43.645628103136332</c:v>
                </c:pt>
                <c:pt idx="300">
                  <c:v>42.948596348096729</c:v>
                </c:pt>
                <c:pt idx="301">
                  <c:v>42.872165324156178</c:v>
                </c:pt>
                <c:pt idx="302">
                  <c:v>43.823708583391742</c:v>
                </c:pt>
                <c:pt idx="303">
                  <c:v>43.32206684679926</c:v>
                </c:pt>
                <c:pt idx="304">
                  <c:v>43.478420805548424</c:v>
                </c:pt>
                <c:pt idx="305">
                  <c:v>42.760405139752073</c:v>
                </c:pt>
                <c:pt idx="306">
                  <c:v>43.463938907763023</c:v>
                </c:pt>
                <c:pt idx="307">
                  <c:v>41.436977410333093</c:v>
                </c:pt>
                <c:pt idx="308">
                  <c:v>#N/A</c:v>
                </c:pt>
                <c:pt idx="309">
                  <c:v>41.854765212380151</c:v>
                </c:pt>
                <c:pt idx="310">
                  <c:v>41.083263897400577</c:v>
                </c:pt>
                <c:pt idx="311">
                  <c:v>39.943589025841646</c:v>
                </c:pt>
                <c:pt idx="312">
                  <c:v>39.624802755771121</c:v>
                </c:pt>
                <c:pt idx="313">
                  <c:v>40.420301397602707</c:v>
                </c:pt>
                <c:pt idx="314">
                  <c:v>40.377421064361258</c:v>
                </c:pt>
                <c:pt idx="315">
                  <c:v>36.320907059975838</c:v>
                </c:pt>
                <c:pt idx="316">
                  <c:v>35.213951753768576</c:v>
                </c:pt>
                <c:pt idx="317">
                  <c:v>34.035280098015541</c:v>
                </c:pt>
                <c:pt idx="318">
                  <c:v>32.736520334808482</c:v>
                </c:pt>
                <c:pt idx="319">
                  <c:v>32.915328044996947</c:v>
                </c:pt>
                <c:pt idx="320">
                  <c:v>34.941349031951006</c:v>
                </c:pt>
                <c:pt idx="321">
                  <c:v>34.088433925494897</c:v>
                </c:pt>
                <c:pt idx="322">
                  <c:v>34.388373046762361</c:v>
                </c:pt>
                <c:pt idx="323">
                  <c:v>35.207749960142515</c:v>
                </c:pt>
                <c:pt idx="324">
                  <c:v>35.592258621497415</c:v>
                </c:pt>
                <c:pt idx="325">
                  <c:v>34.197227098019482</c:v>
                </c:pt>
                <c:pt idx="326">
                  <c:v>32.026588143239557</c:v>
                </c:pt>
                <c:pt idx="327">
                  <c:v>31.162912239175931</c:v>
                </c:pt>
                <c:pt idx="328">
                  <c:v>30.347246166921785</c:v>
                </c:pt>
                <c:pt idx="329">
                  <c:v>#N/A</c:v>
                </c:pt>
                <c:pt idx="330">
                  <c:v>30.973812582961887</c:v>
                </c:pt>
                <c:pt idx="331">
                  <c:v>30.904423738553028</c:v>
                </c:pt>
                <c:pt idx="332">
                  <c:v>30.033468740887546</c:v>
                </c:pt>
                <c:pt idx="333">
                  <c:v>30.630599555056001</c:v>
                </c:pt>
                <c:pt idx="334">
                  <c:v>29.835761602277003</c:v>
                </c:pt>
                <c:pt idx="335">
                  <c:v>29.529641703234098</c:v>
                </c:pt>
                <c:pt idx="336">
                  <c:v>28.545188854923875</c:v>
                </c:pt>
                <c:pt idx="337">
                  <c:v>27.701398288069701</c:v>
                </c:pt>
                <c:pt idx="338">
                  <c:v>28.070184701854252</c:v>
                </c:pt>
                <c:pt idx="339">
                  <c:v>29.122816280801622</c:v>
                </c:pt>
                <c:pt idx="340">
                  <c:v>#N/A</c:v>
                </c:pt>
                <c:pt idx="341">
                  <c:v>28.594932350495256</c:v>
                </c:pt>
                <c:pt idx="342">
                  <c:v>28.767942731118094</c:v>
                </c:pt>
                <c:pt idx="343">
                  <c:v>29.509625290982473</c:v>
                </c:pt>
                <c:pt idx="344">
                  <c:v>31.31146903807252</c:v>
                </c:pt>
                <c:pt idx="345">
                  <c:v>31.11260653160949</c:v>
                </c:pt>
                <c:pt idx="346">
                  <c:v>31.569594544285742</c:v>
                </c:pt>
                <c:pt idx="347">
                  <c:v>#N/A</c:v>
                </c:pt>
                <c:pt idx="348">
                  <c:v>#N/A</c:v>
                </c:pt>
                <c:pt idx="349">
                  <c:v>30.236585675585765</c:v>
                </c:pt>
                <c:pt idx="350">
                  <c:v>29.400047214047305</c:v>
                </c:pt>
                <c:pt idx="351">
                  <c:v>30.285109014300669</c:v>
                </c:pt>
                <c:pt idx="352">
                  <c:v>29.6098510372214</c:v>
                </c:pt>
                <c:pt idx="353">
                  <c:v>29.568411711301099</c:v>
                </c:pt>
                <c:pt idx="354">
                  <c:v>30.400596023991177</c:v>
                </c:pt>
                <c:pt idx="355">
                  <c:v>28.930292664958206</c:v>
                </c:pt>
                <c:pt idx="356">
                  <c:v>29.446367115042808</c:v>
                </c:pt>
                <c:pt idx="357">
                  <c:v>28.639475827287928</c:v>
                </c:pt>
                <c:pt idx="358">
                  <c:v>#N/A</c:v>
                </c:pt>
                <c:pt idx="359">
                  <c:v>29.12638934269409</c:v>
                </c:pt>
                <c:pt idx="360">
                  <c:v>28.436112191214676</c:v>
                </c:pt>
                <c:pt idx="361">
                  <c:v>26.900867878249258</c:v>
                </c:pt>
                <c:pt idx="362">
                  <c:v>#N/A</c:v>
                </c:pt>
                <c:pt idx="363">
                  <c:v>27.046865817101885</c:v>
                </c:pt>
                <c:pt idx="364">
                  <c:v>27.159307634998438</c:v>
                </c:pt>
                <c:pt idx="365">
                  <c:v>27.550085282517003</c:v>
                </c:pt>
                <c:pt idx="366">
                  <c:v>27.677516536708819</c:v>
                </c:pt>
                <c:pt idx="367">
                  <c:v>28.304341197536569</c:v>
                </c:pt>
                <c:pt idx="368">
                  <c:v>25.908562231917962</c:v>
                </c:pt>
                <c:pt idx="369">
                  <c:v>28.871748916034882</c:v>
                </c:pt>
                <c:pt idx="370">
                  <c:v>28.058534032902735</c:v>
                </c:pt>
                <c:pt idx="371">
                  <c:v>28.498262548341032</c:v>
                </c:pt>
                <c:pt idx="372">
                  <c:v>#N/A</c:v>
                </c:pt>
                <c:pt idx="373">
                  <c:v>26.510296001786472</c:v>
                </c:pt>
                <c:pt idx="374">
                  <c:v>27.166263657217801</c:v>
                </c:pt>
                <c:pt idx="375">
                  <c:v>27.598211497478598</c:v>
                </c:pt>
                <c:pt idx="376">
                  <c:v>#N/A</c:v>
                </c:pt>
                <c:pt idx="377">
                  <c:v>27.197141978762019</c:v>
                </c:pt>
                <c:pt idx="378">
                  <c:v>27.58824855530413</c:v>
                </c:pt>
                <c:pt idx="379">
                  <c:v>28.060521559569821</c:v>
                </c:pt>
                <c:pt idx="380">
                  <c:v>27.46452811061701</c:v>
                </c:pt>
                <c:pt idx="381">
                  <c:v>26.759290263265683</c:v>
                </c:pt>
                <c:pt idx="382">
                  <c:v>25.590164817310615</c:v>
                </c:pt>
                <c:pt idx="383">
                  <c:v>24.667631691246509</c:v>
                </c:pt>
                <c:pt idx="384">
                  <c:v>#N/A</c:v>
                </c:pt>
                <c:pt idx="385">
                  <c:v>25.369201252746446</c:v>
                </c:pt>
                <c:pt idx="386">
                  <c:v>22.433258192248225</c:v>
                </c:pt>
                <c:pt idx="387">
                  <c:v>23.671353430343462</c:v>
                </c:pt>
                <c:pt idx="388">
                  <c:v>23.772873328243449</c:v>
                </c:pt>
                <c:pt idx="389">
                  <c:v>24.16479574089125</c:v>
                </c:pt>
                <c:pt idx="390">
                  <c:v>23.102939114720424</c:v>
                </c:pt>
                <c:pt idx="391">
                  <c:v>22.929985924235801</c:v>
                </c:pt>
                <c:pt idx="392">
                  <c:v>22.074769101617829</c:v>
                </c:pt>
                <c:pt idx="393">
                  <c:v>19.410950232842101</c:v>
                </c:pt>
                <c:pt idx="394">
                  <c:v>19.140978053145986</c:v>
                </c:pt>
                <c:pt idx="395">
                  <c:v>18.643614678265834</c:v>
                </c:pt>
                <c:pt idx="396">
                  <c:v>#N/A</c:v>
                </c:pt>
                <c:pt idx="397">
                  <c:v>19.632315243237585</c:v>
                </c:pt>
                <c:pt idx="398">
                  <c:v>#N/A</c:v>
                </c:pt>
                <c:pt idx="399">
                  <c:v>#N/A</c:v>
                </c:pt>
                <c:pt idx="400">
                  <c:v>#N/A</c:v>
                </c:pt>
                <c:pt idx="401">
                  <c:v>21.034974531532107</c:v>
                </c:pt>
                <c:pt idx="402">
                  <c:v>21.484902763838612</c:v>
                </c:pt>
                <c:pt idx="403">
                  <c:v>#N/A</c:v>
                </c:pt>
                <c:pt idx="404">
                  <c:v>20.26830786260151</c:v>
                </c:pt>
                <c:pt idx="405">
                  <c:v>21.073632566580326</c:v>
                </c:pt>
                <c:pt idx="406">
                  <c:v>#N/A</c:v>
                </c:pt>
                <c:pt idx="407">
                  <c:v>#N/A</c:v>
                </c:pt>
                <c:pt idx="408">
                  <c:v>#N/A</c:v>
                </c:pt>
                <c:pt idx="409">
                  <c:v>21.887749435743064</c:v>
                </c:pt>
                <c:pt idx="410">
                  <c:v>#N/A</c:v>
                </c:pt>
                <c:pt idx="411">
                  <c:v>#N/A</c:v>
                </c:pt>
                <c:pt idx="412">
                  <c:v>#N/A</c:v>
                </c:pt>
                <c:pt idx="413">
                  <c:v>#N/A</c:v>
                </c:pt>
                <c:pt idx="414">
                  <c:v>#N/A</c:v>
                </c:pt>
                <c:pt idx="415">
                  <c:v>#N/A</c:v>
                </c:pt>
                <c:pt idx="416">
                  <c:v>#N/A</c:v>
                </c:pt>
                <c:pt idx="417">
                  <c:v>#N/A</c:v>
                </c:pt>
                <c:pt idx="418">
                  <c:v>22.656765874862597</c:v>
                </c:pt>
                <c:pt idx="419">
                  <c:v>22.145866028765699</c:v>
                </c:pt>
                <c:pt idx="420">
                  <c:v>24.651433957496209</c:v>
                </c:pt>
                <c:pt idx="421">
                  <c:v>25.530748092470926</c:v>
                </c:pt>
                <c:pt idx="422">
                  <c:v>#N/A</c:v>
                </c:pt>
                <c:pt idx="423">
                  <c:v>26.132267011753136</c:v>
                </c:pt>
                <c:pt idx="424">
                  <c:v>#N/A</c:v>
                </c:pt>
                <c:pt idx="425">
                  <c:v>#N/A</c:v>
                </c:pt>
                <c:pt idx="426">
                  <c:v>#N/A</c:v>
                </c:pt>
                <c:pt idx="427">
                  <c:v>27.398796879514194</c:v>
                </c:pt>
                <c:pt idx="428">
                  <c:v>#N/A</c:v>
                </c:pt>
                <c:pt idx="429">
                  <c:v>#N/A</c:v>
                </c:pt>
                <c:pt idx="430">
                  <c:v>26.559340188354096</c:v>
                </c:pt>
                <c:pt idx="431">
                  <c:v>#N/A</c:v>
                </c:pt>
                <c:pt idx="432">
                  <c:v>25.089671645514823</c:v>
                </c:pt>
                <c:pt idx="433">
                  <c:v>#N/A</c:v>
                </c:pt>
                <c:pt idx="434">
                  <c:v>#N/A</c:v>
                </c:pt>
                <c:pt idx="435">
                  <c:v>#N/A</c:v>
                </c:pt>
                <c:pt idx="436">
                  <c:v>23.688851275574415</c:v>
                </c:pt>
                <c:pt idx="437">
                  <c:v>#N/A</c:v>
                </c:pt>
                <c:pt idx="438">
                  <c:v>23.988046069309249</c:v>
                </c:pt>
                <c:pt idx="439">
                  <c:v>23.211347040183036</c:v>
                </c:pt>
                <c:pt idx="440">
                  <c:v>24.751486061581428</c:v>
                </c:pt>
                <c:pt idx="441">
                  <c:v>25.737022276567131</c:v>
                </c:pt>
                <c:pt idx="442">
                  <c:v>25.100229823736942</c:v>
                </c:pt>
                <c:pt idx="443">
                  <c:v>#N/A</c:v>
                </c:pt>
                <c:pt idx="444">
                  <c:v>25.097747448600412</c:v>
                </c:pt>
              </c:numCache>
            </c:numRef>
          </c:val>
          <c:smooth val="0"/>
          <c:extLst>
            <c:ext xmlns:c16="http://schemas.microsoft.com/office/drawing/2014/chart" uri="{C3380CC4-5D6E-409C-BE32-E72D297353CC}">
              <c16:uniqueId val="{00000000-87AF-4B62-A410-87B35C52C0D7}"/>
            </c:ext>
          </c:extLst>
        </c:ser>
        <c:ser>
          <c:idx val="1"/>
          <c:order val="1"/>
          <c:tx>
            <c:v>Up Trends</c:v>
          </c:tx>
          <c:spPr>
            <a:ln w="12700" cap="rnd">
              <a:solidFill>
                <a:srgbClr val="00FF00"/>
              </a:solidFill>
              <a:round/>
            </a:ln>
            <a:effectLst/>
          </c:spPr>
          <c:marker>
            <c:symbol val="none"/>
          </c:marker>
          <c:val>
            <c:numRef>
              <c:f>'2025-Q1'!$EO$4:$EO$448</c:f>
              <c:numCache>
                <c:formatCode>0.00</c:formatCode>
                <c:ptCount val="445"/>
                <c:pt idx="0">
                  <c:v>#N/A</c:v>
                </c:pt>
                <c:pt idx="1">
                  <c:v>0.96873982416150761</c:v>
                </c:pt>
                <c:pt idx="2">
                  <c:v>#N/A</c:v>
                </c:pt>
                <c:pt idx="3">
                  <c:v>1.1660701402941029</c:v>
                </c:pt>
                <c:pt idx="4">
                  <c:v>2.1423308510680883</c:v>
                </c:pt>
                <c:pt idx="5">
                  <c:v>2.9142355046587411</c:v>
                </c:pt>
                <c:pt idx="6">
                  <c:v>#N/A</c:v>
                </c:pt>
                <c:pt idx="7">
                  <c:v>3.5264804026179255</c:v>
                </c:pt>
                <c:pt idx="8">
                  <c:v>#N/A</c:v>
                </c:pt>
                <c:pt idx="9">
                  <c:v>#N/A</c:v>
                </c:pt>
                <c:pt idx="10">
                  <c:v>3.4910946984424127</c:v>
                </c:pt>
                <c:pt idx="11">
                  <c:v>#N/A</c:v>
                </c:pt>
                <c:pt idx="12">
                  <c:v>2.2488276858700713</c:v>
                </c:pt>
                <c:pt idx="13">
                  <c:v>1.2632350205131622</c:v>
                </c:pt>
                <c:pt idx="14">
                  <c:v>0.83509741907939872</c:v>
                </c:pt>
                <c:pt idx="15">
                  <c:v>#N/A</c:v>
                </c:pt>
                <c:pt idx="16">
                  <c:v>#N/A</c:v>
                </c:pt>
                <c:pt idx="17">
                  <c:v>#N/A</c:v>
                </c:pt>
                <c:pt idx="18">
                  <c:v>#N/A</c:v>
                </c:pt>
                <c:pt idx="19">
                  <c:v>3.4022685275040598E-2</c:v>
                </c:pt>
                <c:pt idx="20">
                  <c:v>#N/A</c:v>
                </c:pt>
                <c:pt idx="21">
                  <c:v>#N/A</c:v>
                </c:pt>
                <c:pt idx="22">
                  <c:v>#N/A</c:v>
                </c:pt>
                <c:pt idx="23">
                  <c:v>#N/A</c:v>
                </c:pt>
                <c:pt idx="24">
                  <c:v>0.56227908462269494</c:v>
                </c:pt>
                <c:pt idx="25">
                  <c:v>#N/A</c:v>
                </c:pt>
                <c:pt idx="26">
                  <c:v>#N/A</c:v>
                </c:pt>
                <c:pt idx="27">
                  <c:v>#N/A</c:v>
                </c:pt>
                <c:pt idx="28">
                  <c:v>#N/A</c:v>
                </c:pt>
                <c:pt idx="29">
                  <c:v>0.86678368238333559</c:v>
                </c:pt>
                <c:pt idx="30">
                  <c:v>1.6705597711757108</c:v>
                </c:pt>
                <c:pt idx="31">
                  <c:v>#N/A</c:v>
                </c:pt>
                <c:pt idx="32">
                  <c:v>#N/A</c:v>
                </c:pt>
                <c:pt idx="33">
                  <c:v>#N/A</c:v>
                </c:pt>
                <c:pt idx="34">
                  <c:v>#N/A</c:v>
                </c:pt>
                <c:pt idx="35">
                  <c:v>2.2314572070731464</c:v>
                </c:pt>
                <c:pt idx="36">
                  <c:v>2.9029826929550708</c:v>
                </c:pt>
                <c:pt idx="37">
                  <c:v>#N/A</c:v>
                </c:pt>
                <c:pt idx="38">
                  <c:v>#N/A</c:v>
                </c:pt>
                <c:pt idx="39">
                  <c:v>#N/A</c:v>
                </c:pt>
                <c:pt idx="40">
                  <c:v>3.3588433120096277</c:v>
                </c:pt>
                <c:pt idx="41">
                  <c:v>#N/A</c:v>
                </c:pt>
                <c:pt idx="42">
                  <c:v>#N/A</c:v>
                </c:pt>
                <c:pt idx="43">
                  <c:v>3.4854255904906424</c:v>
                </c:pt>
                <c:pt idx="44">
                  <c:v>#N/A</c:v>
                </c:pt>
                <c:pt idx="45">
                  <c:v>4.6392445187839799</c:v>
                </c:pt>
                <c:pt idx="46">
                  <c:v>#N/A</c:v>
                </c:pt>
                <c:pt idx="47">
                  <c:v>#N/A</c:v>
                </c:pt>
                <c:pt idx="48">
                  <c:v>#N/A</c:v>
                </c:pt>
                <c:pt idx="49">
                  <c:v>4.4840469522818225</c:v>
                </c:pt>
                <c:pt idx="50">
                  <c:v>#N/A</c:v>
                </c:pt>
                <c:pt idx="51">
                  <c:v>3.7512897479312834</c:v>
                </c:pt>
                <c:pt idx="52">
                  <c:v>#N/A</c:v>
                </c:pt>
                <c:pt idx="53">
                  <c:v>#N/A</c:v>
                </c:pt>
                <c:pt idx="54">
                  <c:v>3.6761063926055373</c:v>
                </c:pt>
                <c:pt idx="55">
                  <c:v>#N/A</c:v>
                </c:pt>
                <c:pt idx="56">
                  <c:v>#N/A</c:v>
                </c:pt>
                <c:pt idx="57">
                  <c:v>4.2482894911970863</c:v>
                </c:pt>
                <c:pt idx="58">
                  <c:v>#N/A</c:v>
                </c:pt>
                <c:pt idx="59">
                  <c:v>#N/A</c:v>
                </c:pt>
                <c:pt idx="60">
                  <c:v>#N/A</c:v>
                </c:pt>
                <c:pt idx="61">
                  <c:v>#N/A</c:v>
                </c:pt>
                <c:pt idx="62">
                  <c:v>#N/A</c:v>
                </c:pt>
                <c:pt idx="63">
                  <c:v>#N/A</c:v>
                </c:pt>
                <c:pt idx="64">
                  <c:v>4.9471324943218224</c:v>
                </c:pt>
                <c:pt idx="65">
                  <c:v>3.7514539315638693</c:v>
                </c:pt>
                <c:pt idx="66">
                  <c:v>3.1828068566844223</c:v>
                </c:pt>
                <c:pt idx="67">
                  <c:v>#N/A</c:v>
                </c:pt>
                <c:pt idx="68">
                  <c:v>#N/A</c:v>
                </c:pt>
                <c:pt idx="69">
                  <c:v>2.3812036502715976</c:v>
                </c:pt>
                <c:pt idx="70">
                  <c:v>#N/A</c:v>
                </c:pt>
                <c:pt idx="71">
                  <c:v>#N/A</c:v>
                </c:pt>
                <c:pt idx="72">
                  <c:v>#N/A</c:v>
                </c:pt>
                <c:pt idx="73">
                  <c:v>#N/A</c:v>
                </c:pt>
                <c:pt idx="74">
                  <c:v>#N/A</c:v>
                </c:pt>
                <c:pt idx="75">
                  <c:v>4.6848271610729206</c:v>
                </c:pt>
                <c:pt idx="76">
                  <c:v>#N/A</c:v>
                </c:pt>
                <c:pt idx="77">
                  <c:v>#N/A</c:v>
                </c:pt>
                <c:pt idx="78">
                  <c:v>#N/A</c:v>
                </c:pt>
                <c:pt idx="79">
                  <c:v>5.0105509606997058</c:v>
                </c:pt>
                <c:pt idx="80">
                  <c:v>#N/A</c:v>
                </c:pt>
                <c:pt idx="81">
                  <c:v>#N/A</c:v>
                </c:pt>
                <c:pt idx="82">
                  <c:v>4.6123081557565691</c:v>
                </c:pt>
                <c:pt idx="83">
                  <c:v>#N/A</c:v>
                </c:pt>
                <c:pt idx="84">
                  <c:v>5.8745893711902353</c:v>
                </c:pt>
                <c:pt idx="85">
                  <c:v>#N/A</c:v>
                </c:pt>
                <c:pt idx="86">
                  <c:v>#N/A</c:v>
                </c:pt>
                <c:pt idx="87">
                  <c:v>6.6545053455719394</c:v>
                </c:pt>
                <c:pt idx="88">
                  <c:v>#N/A</c:v>
                </c:pt>
                <c:pt idx="89">
                  <c:v>#N/A</c:v>
                </c:pt>
                <c:pt idx="90">
                  <c:v>#N/A</c:v>
                </c:pt>
                <c:pt idx="91">
                  <c:v>#N/A</c:v>
                </c:pt>
                <c:pt idx="92">
                  <c:v>6.836493186002218</c:v>
                </c:pt>
                <c:pt idx="93">
                  <c:v>7.0037334361813262</c:v>
                </c:pt>
                <c:pt idx="94">
                  <c:v>#N/A</c:v>
                </c:pt>
                <c:pt idx="95">
                  <c:v>6.8206151941164483</c:v>
                </c:pt>
                <c:pt idx="96">
                  <c:v>#N/A</c:v>
                </c:pt>
                <c:pt idx="97">
                  <c:v>#N/A</c:v>
                </c:pt>
                <c:pt idx="98">
                  <c:v>#N/A</c:v>
                </c:pt>
                <c:pt idx="99">
                  <c:v>#N/A</c:v>
                </c:pt>
                <c:pt idx="100">
                  <c:v>7.0089047956713575</c:v>
                </c:pt>
                <c:pt idx="101">
                  <c:v>7.2444569947579192</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7.1661852352087632</c:v>
                </c:pt>
                <c:pt idx="118">
                  <c:v>#N/A</c:v>
                </c:pt>
                <c:pt idx="119">
                  <c:v>#N/A</c:v>
                </c:pt>
                <c:pt idx="120">
                  <c:v>#N/A</c:v>
                </c:pt>
                <c:pt idx="121">
                  <c:v>#N/A</c:v>
                </c:pt>
                <c:pt idx="122">
                  <c:v>#N/A</c:v>
                </c:pt>
                <c:pt idx="123">
                  <c:v>#N/A</c:v>
                </c:pt>
                <c:pt idx="124">
                  <c:v>#N/A</c:v>
                </c:pt>
                <c:pt idx="125">
                  <c:v>#N/A</c:v>
                </c:pt>
                <c:pt idx="126">
                  <c:v>#N/A</c:v>
                </c:pt>
                <c:pt idx="127">
                  <c:v>#N/A</c:v>
                </c:pt>
                <c:pt idx="128">
                  <c:v>7.332341772156731</c:v>
                </c:pt>
                <c:pt idx="129">
                  <c:v>#N/A</c:v>
                </c:pt>
                <c:pt idx="130">
                  <c:v>#N/A</c:v>
                </c:pt>
                <c:pt idx="131">
                  <c:v>#N/A</c:v>
                </c:pt>
                <c:pt idx="132">
                  <c:v>7.8928798887486593</c:v>
                </c:pt>
                <c:pt idx="133">
                  <c:v>#N/A</c:v>
                </c:pt>
                <c:pt idx="134">
                  <c:v>#N/A</c:v>
                </c:pt>
                <c:pt idx="135">
                  <c:v>#N/A</c:v>
                </c:pt>
                <c:pt idx="136">
                  <c:v>5.8751905576264907</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5.3113174674067958</c:v>
                </c:pt>
                <c:pt idx="154">
                  <c:v>#N/A</c:v>
                </c:pt>
                <c:pt idx="155">
                  <c:v>#N/A</c:v>
                </c:pt>
                <c:pt idx="156">
                  <c:v>#N/A</c:v>
                </c:pt>
                <c:pt idx="157">
                  <c:v>#N/A</c:v>
                </c:pt>
                <c:pt idx="158">
                  <c:v>9.1048052470421759</c:v>
                </c:pt>
                <c:pt idx="159">
                  <c:v>#N/A</c:v>
                </c:pt>
                <c:pt idx="160">
                  <c:v>#N/A</c:v>
                </c:pt>
                <c:pt idx="161">
                  <c:v>#N/A</c:v>
                </c:pt>
                <c:pt idx="162">
                  <c:v>#N/A</c:v>
                </c:pt>
                <c:pt idx="163">
                  <c:v>#N/A</c:v>
                </c:pt>
                <c:pt idx="164">
                  <c:v>#N/A</c:v>
                </c:pt>
                <c:pt idx="165">
                  <c:v>8.9669544934580578</c:v>
                </c:pt>
                <c:pt idx="166">
                  <c:v>7.6170122151278896</c:v>
                </c:pt>
                <c:pt idx="167">
                  <c:v>#N/A</c:v>
                </c:pt>
                <c:pt idx="168">
                  <c:v>#N/A</c:v>
                </c:pt>
                <c:pt idx="169">
                  <c:v>#N/A</c:v>
                </c:pt>
                <c:pt idx="170">
                  <c:v>#N/A</c:v>
                </c:pt>
                <c:pt idx="171">
                  <c:v>8.4396968932342578</c:v>
                </c:pt>
                <c:pt idx="172">
                  <c:v>7.5011982893895386</c:v>
                </c:pt>
                <c:pt idx="173">
                  <c:v>#N/A</c:v>
                </c:pt>
                <c:pt idx="174">
                  <c:v>#N/A</c:v>
                </c:pt>
                <c:pt idx="175">
                  <c:v>#N/A</c:v>
                </c:pt>
                <c:pt idx="176">
                  <c:v>#N/A</c:v>
                </c:pt>
                <c:pt idx="177">
                  <c:v>#N/A</c:v>
                </c:pt>
                <c:pt idx="178">
                  <c:v>8.5786530566186503</c:v>
                </c:pt>
                <c:pt idx="179">
                  <c:v>#N/A</c:v>
                </c:pt>
                <c:pt idx="180">
                  <c:v>#N/A</c:v>
                </c:pt>
                <c:pt idx="181">
                  <c:v>#N/A</c:v>
                </c:pt>
                <c:pt idx="182">
                  <c:v>#N/A</c:v>
                </c:pt>
                <c:pt idx="183">
                  <c:v>7.406345512446487</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7.3097644809610696</c:v>
                </c:pt>
                <c:pt idx="204">
                  <c:v>8.1025631614453069</c:v>
                </c:pt>
                <c:pt idx="205">
                  <c:v>#N/A</c:v>
                </c:pt>
                <c:pt idx="206">
                  <c:v>#N/A</c:v>
                </c:pt>
                <c:pt idx="207">
                  <c:v>#N/A</c:v>
                </c:pt>
                <c:pt idx="208">
                  <c:v>8.2854148528234539</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8.2201270642514288</c:v>
                </c:pt>
                <c:pt idx="222">
                  <c:v>8.3377506687171383</c:v>
                </c:pt>
                <c:pt idx="223">
                  <c:v>7.8879260531478028</c:v>
                </c:pt>
                <c:pt idx="224">
                  <c:v>#N/A</c:v>
                </c:pt>
                <c:pt idx="225">
                  <c:v>#N/A</c:v>
                </c:pt>
                <c:pt idx="226">
                  <c:v>#N/A</c:v>
                </c:pt>
                <c:pt idx="227">
                  <c:v>8.7553548537895995</c:v>
                </c:pt>
                <c:pt idx="228">
                  <c:v>#N/A</c:v>
                </c:pt>
                <c:pt idx="229">
                  <c:v>#N/A</c:v>
                </c:pt>
                <c:pt idx="230">
                  <c:v>#N/A</c:v>
                </c:pt>
                <c:pt idx="231">
                  <c:v>8.8961961094435651</c:v>
                </c:pt>
                <c:pt idx="232">
                  <c:v>#N/A</c:v>
                </c:pt>
                <c:pt idx="233">
                  <c:v>#N/A</c:v>
                </c:pt>
                <c:pt idx="234">
                  <c:v>#N/A</c:v>
                </c:pt>
                <c:pt idx="235">
                  <c:v>#N/A</c:v>
                </c:pt>
                <c:pt idx="236">
                  <c:v>10.799794623211573</c:v>
                </c:pt>
                <c:pt idx="237">
                  <c:v>#N/A</c:v>
                </c:pt>
                <c:pt idx="238">
                  <c:v>#N/A</c:v>
                </c:pt>
                <c:pt idx="239">
                  <c:v>10.146637698073404</c:v>
                </c:pt>
                <c:pt idx="240">
                  <c:v>10.647571114377076</c:v>
                </c:pt>
                <c:pt idx="241">
                  <c:v>10.486482515647776</c:v>
                </c:pt>
                <c:pt idx="242">
                  <c:v>9.7036810248564063</c:v>
                </c:pt>
                <c:pt idx="243">
                  <c:v>9.6926927241647896</c:v>
                </c:pt>
                <c:pt idx="244">
                  <c:v>#N/A</c:v>
                </c:pt>
                <c:pt idx="245">
                  <c:v>#N/A</c:v>
                </c:pt>
                <c:pt idx="246">
                  <c:v>#N/A</c:v>
                </c:pt>
                <c:pt idx="247">
                  <c:v>#N/A</c:v>
                </c:pt>
                <c:pt idx="248">
                  <c:v>#N/A</c:v>
                </c:pt>
                <c:pt idx="249">
                  <c:v>#N/A</c:v>
                </c:pt>
                <c:pt idx="250">
                  <c:v>#N/A</c:v>
                </c:pt>
                <c:pt idx="251">
                  <c:v>9.8920340311504003</c:v>
                </c:pt>
                <c:pt idx="252">
                  <c:v>#N/A</c:v>
                </c:pt>
                <c:pt idx="253">
                  <c:v>13.155866137991502</c:v>
                </c:pt>
                <c:pt idx="254">
                  <c:v>15.598971894350271</c:v>
                </c:pt>
                <c:pt idx="255">
                  <c:v>#N/A</c:v>
                </c:pt>
                <c:pt idx="256">
                  <c:v>#N/A</c:v>
                </c:pt>
                <c:pt idx="257">
                  <c:v>#N/A</c:v>
                </c:pt>
                <c:pt idx="258">
                  <c:v>#N/A</c:v>
                </c:pt>
                <c:pt idx="259">
                  <c:v>15.157235094115794</c:v>
                </c:pt>
                <c:pt idx="260">
                  <c:v>15.915606624546148</c:v>
                </c:pt>
                <c:pt idx="261">
                  <c:v>#N/A</c:v>
                </c:pt>
                <c:pt idx="262">
                  <c:v>#N/A</c:v>
                </c:pt>
                <c:pt idx="263">
                  <c:v>#N/A</c:v>
                </c:pt>
                <c:pt idx="264">
                  <c:v>#N/A</c:v>
                </c:pt>
                <c:pt idx="265">
                  <c:v>#N/A</c:v>
                </c:pt>
                <c:pt idx="266">
                  <c:v>#N/A</c:v>
                </c:pt>
                <c:pt idx="267">
                  <c:v>15.724853604289994</c:v>
                </c:pt>
                <c:pt idx="268">
                  <c:v>#N/A</c:v>
                </c:pt>
                <c:pt idx="269">
                  <c:v>15.791720805626532</c:v>
                </c:pt>
                <c:pt idx="270">
                  <c:v>#N/A</c:v>
                </c:pt>
                <c:pt idx="271">
                  <c:v>#N/A</c:v>
                </c:pt>
                <c:pt idx="272">
                  <c:v>15.622691571252135</c:v>
                </c:pt>
                <c:pt idx="273">
                  <c:v>#N/A</c:v>
                </c:pt>
                <c:pt idx="274">
                  <c:v>#N/A</c:v>
                </c:pt>
                <c:pt idx="275">
                  <c:v>#N/A</c:v>
                </c:pt>
                <c:pt idx="276">
                  <c:v>#N/A</c:v>
                </c:pt>
                <c:pt idx="277">
                  <c:v>#N/A</c:v>
                </c:pt>
                <c:pt idx="278">
                  <c:v>14.903909067283228</c:v>
                </c:pt>
                <c:pt idx="279">
                  <c:v>#N/A</c:v>
                </c:pt>
                <c:pt idx="280">
                  <c:v>#N/A</c:v>
                </c:pt>
                <c:pt idx="281">
                  <c:v>#N/A</c:v>
                </c:pt>
                <c:pt idx="282">
                  <c:v>#N/A</c:v>
                </c:pt>
                <c:pt idx="283">
                  <c:v>#N/A</c:v>
                </c:pt>
                <c:pt idx="284">
                  <c:v>#N/A</c:v>
                </c:pt>
                <c:pt idx="285">
                  <c:v>#N/A</c:v>
                </c:pt>
                <c:pt idx="286">
                  <c:v>15.874715530080536</c:v>
                </c:pt>
                <c:pt idx="287">
                  <c:v>#N/A</c:v>
                </c:pt>
                <c:pt idx="288">
                  <c:v>#N/A</c:v>
                </c:pt>
                <c:pt idx="289">
                  <c:v>#N/A</c:v>
                </c:pt>
                <c:pt idx="290">
                  <c:v>#N/A</c:v>
                </c:pt>
                <c:pt idx="291">
                  <c:v>#N/A</c:v>
                </c:pt>
                <c:pt idx="292">
                  <c:v>16.158767266105468</c:v>
                </c:pt>
                <c:pt idx="293">
                  <c:v>#N/A</c:v>
                </c:pt>
                <c:pt idx="294">
                  <c:v>#N/A</c:v>
                </c:pt>
                <c:pt idx="295">
                  <c:v>#N/A</c:v>
                </c:pt>
                <c:pt idx="296">
                  <c:v>#N/A</c:v>
                </c:pt>
                <c:pt idx="297">
                  <c:v>14.867845362075739</c:v>
                </c:pt>
                <c:pt idx="298">
                  <c:v>#N/A</c:v>
                </c:pt>
                <c:pt idx="299">
                  <c:v>#N/A</c:v>
                </c:pt>
                <c:pt idx="300">
                  <c:v>14.170813607036136</c:v>
                </c:pt>
                <c:pt idx="301">
                  <c:v>#N/A</c:v>
                </c:pt>
                <c:pt idx="302">
                  <c:v>15.122356866271701</c:v>
                </c:pt>
                <c:pt idx="303">
                  <c:v>#N/A</c:v>
                </c:pt>
                <c:pt idx="304">
                  <c:v>#N/A</c:v>
                </c:pt>
                <c:pt idx="305">
                  <c:v>#N/A</c:v>
                </c:pt>
                <c:pt idx="306">
                  <c:v>#N/A</c:v>
                </c:pt>
                <c:pt idx="307">
                  <c:v>#N/A</c:v>
                </c:pt>
                <c:pt idx="308">
                  <c:v>#N/A</c:v>
                </c:pt>
                <c:pt idx="309">
                  <c:v>15.540144668318762</c:v>
                </c:pt>
                <c:pt idx="310">
                  <c:v>14.768643353339186</c:v>
                </c:pt>
                <c:pt idx="311">
                  <c:v>#N/A</c:v>
                </c:pt>
                <c:pt idx="312">
                  <c:v>14.449857083268661</c:v>
                </c:pt>
                <c:pt idx="313">
                  <c:v>#N/A</c:v>
                </c:pt>
                <c:pt idx="314">
                  <c:v>#N/A</c:v>
                </c:pt>
                <c:pt idx="315">
                  <c:v>#N/A</c:v>
                </c:pt>
                <c:pt idx="316">
                  <c:v>#N/A</c:v>
                </c:pt>
                <c:pt idx="317">
                  <c:v>#N/A</c:v>
                </c:pt>
                <c:pt idx="318">
                  <c:v>#N/A</c:v>
                </c:pt>
                <c:pt idx="319">
                  <c:v>#N/A</c:v>
                </c:pt>
                <c:pt idx="320">
                  <c:v>#N/A</c:v>
                </c:pt>
                <c:pt idx="321">
                  <c:v>#N/A</c:v>
                </c:pt>
                <c:pt idx="322">
                  <c:v>14.749796204536127</c:v>
                </c:pt>
                <c:pt idx="323">
                  <c:v>#N/A</c:v>
                </c:pt>
                <c:pt idx="324">
                  <c:v>#N/A</c:v>
                </c:pt>
                <c:pt idx="325">
                  <c:v>13.354764681058194</c:v>
                </c:pt>
                <c:pt idx="326">
                  <c:v>11.184125726278271</c:v>
                </c:pt>
                <c:pt idx="327">
                  <c:v>#N/A</c:v>
                </c:pt>
                <c:pt idx="328">
                  <c:v>#N/A</c:v>
                </c:pt>
                <c:pt idx="329">
                  <c:v>#N/A</c:v>
                </c:pt>
                <c:pt idx="330">
                  <c:v>#N/A</c:v>
                </c:pt>
                <c:pt idx="331">
                  <c:v>#N/A</c:v>
                </c:pt>
                <c:pt idx="332">
                  <c:v>10.313170728612791</c:v>
                </c:pt>
                <c:pt idx="333">
                  <c:v>#N/A</c:v>
                </c:pt>
                <c:pt idx="334">
                  <c:v>#N/A</c:v>
                </c:pt>
                <c:pt idx="335">
                  <c:v>#N/A</c:v>
                </c:pt>
                <c:pt idx="336">
                  <c:v>#N/A</c:v>
                </c:pt>
                <c:pt idx="337">
                  <c:v>#N/A</c:v>
                </c:pt>
                <c:pt idx="338">
                  <c:v>10.681957142397344</c:v>
                </c:pt>
                <c:pt idx="339">
                  <c:v>#N/A</c:v>
                </c:pt>
                <c:pt idx="340">
                  <c:v>#N/A</c:v>
                </c:pt>
                <c:pt idx="341">
                  <c:v>#N/A</c:v>
                </c:pt>
                <c:pt idx="342">
                  <c:v>#N/A</c:v>
                </c:pt>
                <c:pt idx="343">
                  <c:v>#N/A</c:v>
                </c:pt>
                <c:pt idx="344">
                  <c:v>#N/A</c:v>
                </c:pt>
                <c:pt idx="345">
                  <c:v>#N/A</c:v>
                </c:pt>
                <c:pt idx="346">
                  <c:v>#N/A</c:v>
                </c:pt>
                <c:pt idx="347">
                  <c:v>#N/A</c:v>
                </c:pt>
                <c:pt idx="348">
                  <c:v>#N/A</c:v>
                </c:pt>
                <c:pt idx="349">
                  <c:v>#N/A</c:v>
                </c:pt>
                <c:pt idx="350">
                  <c:v>9.8454186808588826</c:v>
                </c:pt>
                <c:pt idx="351">
                  <c:v>#N/A</c:v>
                </c:pt>
                <c:pt idx="352">
                  <c:v>#N/A</c:v>
                </c:pt>
                <c:pt idx="353">
                  <c:v>#N/A</c:v>
                </c:pt>
                <c:pt idx="354">
                  <c:v>#N/A</c:v>
                </c:pt>
                <c:pt idx="355">
                  <c:v>8.3751153218259109</c:v>
                </c:pt>
                <c:pt idx="356">
                  <c:v>#N/A</c:v>
                </c:pt>
                <c:pt idx="357">
                  <c:v>#N/A</c:v>
                </c:pt>
                <c:pt idx="358">
                  <c:v>#N/A</c:v>
                </c:pt>
                <c:pt idx="359">
                  <c:v>8.8620288372320744</c:v>
                </c:pt>
                <c:pt idx="360">
                  <c:v>8.1717516857526604</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6.1837851391980987</c:v>
                </c:pt>
                <c:pt idx="374">
                  <c:v>#N/A</c:v>
                </c:pt>
                <c:pt idx="375">
                  <c:v>#N/A</c:v>
                </c:pt>
                <c:pt idx="376">
                  <c:v>#N/A</c:v>
                </c:pt>
                <c:pt idx="377">
                  <c:v>#N/A</c:v>
                </c:pt>
                <c:pt idx="378">
                  <c:v>#N/A</c:v>
                </c:pt>
                <c:pt idx="379">
                  <c:v>#N/A</c:v>
                </c:pt>
                <c:pt idx="380">
                  <c:v>#N/A</c:v>
                </c:pt>
                <c:pt idx="381">
                  <c:v>#N/A</c:v>
                </c:pt>
                <c:pt idx="382">
                  <c:v>5.0146596932430327</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4.51729631836288</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4.0063964722659806</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8300-41F5-9645-509B7E2CCC2A}"/>
            </c:ext>
          </c:extLst>
        </c:ser>
        <c:ser>
          <c:idx val="2"/>
          <c:order val="2"/>
          <c:tx>
            <c:v>Sideways</c:v>
          </c:tx>
          <c:spPr>
            <a:ln w="12700" cap="rnd">
              <a:solidFill>
                <a:srgbClr val="00B0F0"/>
              </a:solidFill>
              <a:round/>
            </a:ln>
            <a:effectLst/>
          </c:spPr>
          <c:marker>
            <c:symbol val="none"/>
          </c:marker>
          <c:val>
            <c:numRef>
              <c:f>'2025-Q1'!$EQ$4:$EQ$448</c:f>
              <c:numCache>
                <c:formatCode>0.00</c:formatCode>
                <c:ptCount val="445"/>
                <c:pt idx="0">
                  <c:v>#N/A</c:v>
                </c:pt>
                <c:pt idx="1">
                  <c:v>#N/A</c:v>
                </c:pt>
                <c:pt idx="2">
                  <c:v>2.4945770065075905</c:v>
                </c:pt>
                <c:pt idx="3">
                  <c:v>#N/A</c:v>
                </c:pt>
                <c:pt idx="4">
                  <c:v>#N/A</c:v>
                </c:pt>
                <c:pt idx="5">
                  <c:v>#N/A</c:v>
                </c:pt>
                <c:pt idx="6">
                  <c:v>3.4739818190882708</c:v>
                </c:pt>
                <c:pt idx="7">
                  <c:v>#N/A</c:v>
                </c:pt>
                <c:pt idx="8">
                  <c:v>4.1675117988968919</c:v>
                </c:pt>
                <c:pt idx="9">
                  <c:v>#N/A</c:v>
                </c:pt>
                <c:pt idx="10">
                  <c:v>#N/A</c:v>
                </c:pt>
                <c:pt idx="11">
                  <c:v>5.2013212462836123</c:v>
                </c:pt>
                <c:pt idx="12">
                  <c:v>#N/A</c:v>
                </c:pt>
                <c:pt idx="13">
                  <c:v>#N/A</c:v>
                </c:pt>
                <c:pt idx="14">
                  <c:v>#N/A</c:v>
                </c:pt>
                <c:pt idx="15">
                  <c:v>4.1988149806194528</c:v>
                </c:pt>
                <c:pt idx="16">
                  <c:v>4.9547064879560478</c:v>
                </c:pt>
                <c:pt idx="17">
                  <c:v>#N/A</c:v>
                </c:pt>
                <c:pt idx="18">
                  <c:v>#N/A</c:v>
                </c:pt>
                <c:pt idx="19">
                  <c:v>#N/A</c:v>
                </c:pt>
                <c:pt idx="20">
                  <c:v>5.1130596154303163</c:v>
                </c:pt>
                <c:pt idx="21">
                  <c:v>5.5208899580078041</c:v>
                </c:pt>
                <c:pt idx="22">
                  <c:v>5.3392660263838749</c:v>
                </c:pt>
                <c:pt idx="23">
                  <c:v>5.8671201466997163</c:v>
                </c:pt>
                <c:pt idx="24">
                  <c:v>#N/A</c:v>
                </c:pt>
                <c:pt idx="25">
                  <c:v>#N/A</c:v>
                </c:pt>
                <c:pt idx="26">
                  <c:v>6.0964089754472726</c:v>
                </c:pt>
                <c:pt idx="27">
                  <c:v>5.3131667167951777</c:v>
                </c:pt>
                <c:pt idx="28">
                  <c:v>7.7728837008199552</c:v>
                </c:pt>
                <c:pt idx="29">
                  <c:v>#N/A</c:v>
                </c:pt>
                <c:pt idx="30">
                  <c:v>#N/A</c:v>
                </c:pt>
                <c:pt idx="31">
                  <c:v>8.9876985156347686</c:v>
                </c:pt>
                <c:pt idx="32">
                  <c:v>9.5421547774865285</c:v>
                </c:pt>
                <c:pt idx="33">
                  <c:v>#N/A</c:v>
                </c:pt>
                <c:pt idx="34">
                  <c:v>9.1625560675513142</c:v>
                </c:pt>
                <c:pt idx="35">
                  <c:v>#N/A</c:v>
                </c:pt>
                <c:pt idx="36">
                  <c:v>#N/A</c:v>
                </c:pt>
                <c:pt idx="37">
                  <c:v>9.9528219983089645</c:v>
                </c:pt>
                <c:pt idx="38">
                  <c:v>10.293347959199053</c:v>
                </c:pt>
                <c:pt idx="39">
                  <c:v>#N/A</c:v>
                </c:pt>
                <c:pt idx="40">
                  <c:v>#N/A</c:v>
                </c:pt>
                <c:pt idx="41">
                  <c:v>9.5934300610052929</c:v>
                </c:pt>
                <c:pt idx="42">
                  <c:v>9.8749981788307206</c:v>
                </c:pt>
                <c:pt idx="43">
                  <c:v>#N/A</c:v>
                </c:pt>
                <c:pt idx="44">
                  <c:v>9.6186713825088059</c:v>
                </c:pt>
                <c:pt idx="45">
                  <c:v>#N/A</c:v>
                </c:pt>
                <c:pt idx="46">
                  <c:v>10.385564229554324</c:v>
                </c:pt>
                <c:pt idx="47">
                  <c:v>10.982310490825959</c:v>
                </c:pt>
                <c:pt idx="48">
                  <c:v>#N/A</c:v>
                </c:pt>
                <c:pt idx="49">
                  <c:v>#N/A</c:v>
                </c:pt>
                <c:pt idx="50">
                  <c:v>10.813914350283452</c:v>
                </c:pt>
                <c:pt idx="51">
                  <c:v>#N/A</c:v>
                </c:pt>
                <c:pt idx="52">
                  <c:v>9.9324361919995496</c:v>
                </c:pt>
                <c:pt idx="53">
                  <c:v>9.1305353900987445</c:v>
                </c:pt>
                <c:pt idx="54">
                  <c:v>#N/A</c:v>
                </c:pt>
                <c:pt idx="55">
                  <c:v>#N/A</c:v>
                </c:pt>
                <c:pt idx="56">
                  <c:v>9.0572831976555026</c:v>
                </c:pt>
                <c:pt idx="57">
                  <c:v>#N/A</c:v>
                </c:pt>
                <c:pt idx="58">
                  <c:v>#N/A</c:v>
                </c:pt>
                <c:pt idx="59">
                  <c:v>9.2458341373192017</c:v>
                </c:pt>
                <c:pt idx="60">
                  <c:v>9.6737620652471268</c:v>
                </c:pt>
                <c:pt idx="61">
                  <c:v>10.490102195861549</c:v>
                </c:pt>
                <c:pt idx="62">
                  <c:v>#N/A</c:v>
                </c:pt>
                <c:pt idx="63">
                  <c:v>11.07528146053385</c:v>
                </c:pt>
                <c:pt idx="64">
                  <c:v>#N/A</c:v>
                </c:pt>
                <c:pt idx="65">
                  <c:v>#N/A</c:v>
                </c:pt>
                <c:pt idx="66">
                  <c:v>#N/A</c:v>
                </c:pt>
                <c:pt idx="67">
                  <c:v>#N/A</c:v>
                </c:pt>
                <c:pt idx="68">
                  <c:v>10.411737354366792</c:v>
                </c:pt>
                <c:pt idx="69">
                  <c:v>#N/A</c:v>
                </c:pt>
                <c:pt idx="70">
                  <c:v>11.350704490517026</c:v>
                </c:pt>
                <c:pt idx="71">
                  <c:v>11.344377779141601</c:v>
                </c:pt>
                <c:pt idx="72">
                  <c:v>#N/A</c:v>
                </c:pt>
                <c:pt idx="73">
                  <c:v>11.724486002094164</c:v>
                </c:pt>
                <c:pt idx="74">
                  <c:v>10.44447817244496</c:v>
                </c:pt>
                <c:pt idx="75">
                  <c:v>#N/A</c:v>
                </c:pt>
                <c:pt idx="76">
                  <c:v>11.71516642423116</c:v>
                </c:pt>
                <c:pt idx="77">
                  <c:v>10.853051080998968</c:v>
                </c:pt>
                <c:pt idx="78">
                  <c:v>10.402122699036102</c:v>
                </c:pt>
                <c:pt idx="79">
                  <c:v>#N/A</c:v>
                </c:pt>
                <c:pt idx="80">
                  <c:v>#N/A</c:v>
                </c:pt>
                <c:pt idx="81">
                  <c:v>11.222509509435596</c:v>
                </c:pt>
                <c:pt idx="82">
                  <c:v>#N/A</c:v>
                </c:pt>
                <c:pt idx="83">
                  <c:v>#N/A</c:v>
                </c:pt>
                <c:pt idx="84">
                  <c:v>#N/A</c:v>
                </c:pt>
                <c:pt idx="85">
                  <c:v>10.909585758522899</c:v>
                </c:pt>
                <c:pt idx="86">
                  <c:v>10.021862414714732</c:v>
                </c:pt>
                <c:pt idx="87">
                  <c:v>#N/A</c:v>
                </c:pt>
                <c:pt idx="88">
                  <c:v>10.950501153685003</c:v>
                </c:pt>
                <c:pt idx="89">
                  <c:v>12.508331126421156</c:v>
                </c:pt>
                <c:pt idx="90">
                  <c:v>13.528512984926369</c:v>
                </c:pt>
                <c:pt idx="91">
                  <c:v>14.000953929808258</c:v>
                </c:pt>
                <c:pt idx="92">
                  <c:v>#N/A</c:v>
                </c:pt>
                <c:pt idx="93">
                  <c:v>#N/A</c:v>
                </c:pt>
                <c:pt idx="94">
                  <c:v>#N/A</c:v>
                </c:pt>
                <c:pt idx="95">
                  <c:v>#N/A</c:v>
                </c:pt>
                <c:pt idx="96">
                  <c:v>14.969637581612933</c:v>
                </c:pt>
                <c:pt idx="97">
                  <c:v>12.231688653577976</c:v>
                </c:pt>
                <c:pt idx="98">
                  <c:v>10.94536109559286</c:v>
                </c:pt>
                <c:pt idx="99">
                  <c:v>#N/A</c:v>
                </c:pt>
                <c:pt idx="100">
                  <c:v>#N/A</c:v>
                </c:pt>
                <c:pt idx="101">
                  <c:v>#N/A</c:v>
                </c:pt>
                <c:pt idx="102">
                  <c:v>11.601492122348457</c:v>
                </c:pt>
                <c:pt idx="103">
                  <c:v>10.765255483909545</c:v>
                </c:pt>
                <c:pt idx="104">
                  <c:v>#N/A</c:v>
                </c:pt>
                <c:pt idx="105">
                  <c:v>8.7723388172428791</c:v>
                </c:pt>
                <c:pt idx="106">
                  <c:v>9.0907617497736961</c:v>
                </c:pt>
                <c:pt idx="107">
                  <c:v>8.5717087050844967</c:v>
                </c:pt>
                <c:pt idx="108">
                  <c:v>8.6604964745692481</c:v>
                </c:pt>
                <c:pt idx="109">
                  <c:v>8.6151668042395766</c:v>
                </c:pt>
                <c:pt idx="110">
                  <c:v>#N/A</c:v>
                </c:pt>
                <c:pt idx="111">
                  <c:v>9.2056756080524771</c:v>
                </c:pt>
                <c:pt idx="112">
                  <c:v>#N/A</c:v>
                </c:pt>
                <c:pt idx="113">
                  <c:v>9.9106834039593199</c:v>
                </c:pt>
                <c:pt idx="114">
                  <c:v>#N/A</c:v>
                </c:pt>
                <c:pt idx="115">
                  <c:v>10.437640673818798</c:v>
                </c:pt>
                <c:pt idx="116">
                  <c:v>#N/A</c:v>
                </c:pt>
                <c:pt idx="117">
                  <c:v>#N/A</c:v>
                </c:pt>
                <c:pt idx="118">
                  <c:v>9.532640673818797</c:v>
                </c:pt>
                <c:pt idx="119">
                  <c:v>10.600063994991611</c:v>
                </c:pt>
                <c:pt idx="120">
                  <c:v>#N/A</c:v>
                </c:pt>
                <c:pt idx="121">
                  <c:v>9.8038124139866696</c:v>
                </c:pt>
                <c:pt idx="122">
                  <c:v>9.6142389542710305</c:v>
                </c:pt>
                <c:pt idx="123">
                  <c:v>9.4598385425366001</c:v>
                </c:pt>
                <c:pt idx="124">
                  <c:v>#N/A</c:v>
                </c:pt>
                <c:pt idx="125">
                  <c:v>#N/A</c:v>
                </c:pt>
                <c:pt idx="126">
                  <c:v>#N/A</c:v>
                </c:pt>
                <c:pt idx="127">
                  <c:v>10.133267558909344</c:v>
                </c:pt>
                <c:pt idx="128">
                  <c:v>#N/A</c:v>
                </c:pt>
                <c:pt idx="129">
                  <c:v>10.208230077649972</c:v>
                </c:pt>
                <c:pt idx="130">
                  <c:v>10.578635368384452</c:v>
                </c:pt>
                <c:pt idx="131">
                  <c:v>10.532374681050964</c:v>
                </c:pt>
                <c:pt idx="132">
                  <c:v>#N/A</c:v>
                </c:pt>
                <c:pt idx="133">
                  <c:v>10.5550152140738</c:v>
                </c:pt>
                <c:pt idx="134">
                  <c:v>9.3472434654303544</c:v>
                </c:pt>
                <c:pt idx="135">
                  <c:v>#N/A</c:v>
                </c:pt>
                <c:pt idx="136">
                  <c:v>#N/A</c:v>
                </c:pt>
                <c:pt idx="137">
                  <c:v>8.5847240438933632</c:v>
                </c:pt>
                <c:pt idx="138">
                  <c:v>#N/A</c:v>
                </c:pt>
                <c:pt idx="139">
                  <c:v>#N/A</c:v>
                </c:pt>
                <c:pt idx="140">
                  <c:v>#N/A</c:v>
                </c:pt>
                <c:pt idx="141">
                  <c:v>#N/A</c:v>
                </c:pt>
                <c:pt idx="142">
                  <c:v>#N/A</c:v>
                </c:pt>
                <c:pt idx="143">
                  <c:v>#N/A</c:v>
                </c:pt>
                <c:pt idx="144">
                  <c:v>8.3117796563123321</c:v>
                </c:pt>
                <c:pt idx="145">
                  <c:v>8.0529393424429738</c:v>
                </c:pt>
                <c:pt idx="146">
                  <c:v>8.0036760525509063</c:v>
                </c:pt>
                <c:pt idx="147">
                  <c:v>#N/A</c:v>
                </c:pt>
                <c:pt idx="148">
                  <c:v>#N/A</c:v>
                </c:pt>
                <c:pt idx="149">
                  <c:v>7.0583529376468617</c:v>
                </c:pt>
                <c:pt idx="150">
                  <c:v>#N/A</c:v>
                </c:pt>
                <c:pt idx="151">
                  <c:v>7.0396822879082501</c:v>
                </c:pt>
                <c:pt idx="152">
                  <c:v>#N/A</c:v>
                </c:pt>
                <c:pt idx="153">
                  <c:v>#N/A</c:v>
                </c:pt>
                <c:pt idx="154">
                  <c:v>6.8596654688185827</c:v>
                </c:pt>
                <c:pt idx="155">
                  <c:v>#N/A</c:v>
                </c:pt>
                <c:pt idx="156">
                  <c:v>8.5714284542660284</c:v>
                </c:pt>
                <c:pt idx="157">
                  <c:v>#N/A</c:v>
                </c:pt>
                <c:pt idx="158">
                  <c:v>#N/A</c:v>
                </c:pt>
                <c:pt idx="159">
                  <c:v>#N/A</c:v>
                </c:pt>
                <c:pt idx="160">
                  <c:v>7.9685161164682219</c:v>
                </c:pt>
                <c:pt idx="161">
                  <c:v>7.75757009354896</c:v>
                </c:pt>
                <c:pt idx="162">
                  <c:v>#N/A</c:v>
                </c:pt>
                <c:pt idx="163">
                  <c:v>#N/A</c:v>
                </c:pt>
                <c:pt idx="164">
                  <c:v>7.6939568619967975</c:v>
                </c:pt>
                <c:pt idx="165">
                  <c:v>#N/A</c:v>
                </c:pt>
                <c:pt idx="166">
                  <c:v>#N/A</c:v>
                </c:pt>
                <c:pt idx="167">
                  <c:v>#N/A</c:v>
                </c:pt>
                <c:pt idx="168">
                  <c:v>#N/A</c:v>
                </c:pt>
                <c:pt idx="169">
                  <c:v>8.3061353366720425</c:v>
                </c:pt>
                <c:pt idx="170">
                  <c:v>7.5702422176800264</c:v>
                </c:pt>
                <c:pt idx="171">
                  <c:v>#N/A</c:v>
                </c:pt>
                <c:pt idx="172">
                  <c:v>#N/A</c:v>
                </c:pt>
                <c:pt idx="173">
                  <c:v>6.3951933644454293</c:v>
                </c:pt>
                <c:pt idx="174">
                  <c:v>6.6937818552163311</c:v>
                </c:pt>
                <c:pt idx="175">
                  <c:v>#N/A</c:v>
                </c:pt>
                <c:pt idx="176">
                  <c:v>6.8201896712970349</c:v>
                </c:pt>
                <c:pt idx="177">
                  <c:v>#N/A</c:v>
                </c:pt>
                <c:pt idx="178">
                  <c:v>#N/A</c:v>
                </c:pt>
                <c:pt idx="179">
                  <c:v>#N/A</c:v>
                </c:pt>
                <c:pt idx="180">
                  <c:v>6.3200110360701682</c:v>
                </c:pt>
                <c:pt idx="181">
                  <c:v>6.5217692144820418</c:v>
                </c:pt>
                <c:pt idx="182">
                  <c:v>#N/A</c:v>
                </c:pt>
                <c:pt idx="183">
                  <c:v>#N/A</c:v>
                </c:pt>
                <c:pt idx="184">
                  <c:v>#N/A</c:v>
                </c:pt>
                <c:pt idx="185">
                  <c:v>6.6180716618328601</c:v>
                </c:pt>
                <c:pt idx="186">
                  <c:v>#N/A</c:v>
                </c:pt>
                <c:pt idx="187">
                  <c:v>5.7709012111381801</c:v>
                </c:pt>
                <c:pt idx="188">
                  <c:v>#N/A</c:v>
                </c:pt>
                <c:pt idx="189">
                  <c:v>5.3314494660484506</c:v>
                </c:pt>
                <c:pt idx="190">
                  <c:v>#N/A</c:v>
                </c:pt>
                <c:pt idx="191">
                  <c:v>#N/A</c:v>
                </c:pt>
                <c:pt idx="192">
                  <c:v>#N/A</c:v>
                </c:pt>
                <c:pt idx="193">
                  <c:v>4.5318458377231199</c:v>
                </c:pt>
                <c:pt idx="194">
                  <c:v>4.5404625656642938</c:v>
                </c:pt>
                <c:pt idx="195">
                  <c:v>#N/A</c:v>
                </c:pt>
                <c:pt idx="196">
                  <c:v>3.8317291408814849</c:v>
                </c:pt>
                <c:pt idx="197">
                  <c:v>#N/A</c:v>
                </c:pt>
                <c:pt idx="198">
                  <c:v>#N/A</c:v>
                </c:pt>
                <c:pt idx="199">
                  <c:v>#N/A</c:v>
                </c:pt>
                <c:pt idx="200">
                  <c:v>#N/A</c:v>
                </c:pt>
                <c:pt idx="201">
                  <c:v>4.1847741541206736</c:v>
                </c:pt>
                <c:pt idx="202">
                  <c:v>3.4081911194731229</c:v>
                </c:pt>
                <c:pt idx="203">
                  <c:v>#N/A</c:v>
                </c:pt>
                <c:pt idx="204">
                  <c:v>#N/A</c:v>
                </c:pt>
                <c:pt idx="205">
                  <c:v>2.9710412320326745</c:v>
                </c:pt>
                <c:pt idx="206">
                  <c:v>2.8848950968615585</c:v>
                </c:pt>
                <c:pt idx="207">
                  <c:v>5.0024609742928767</c:v>
                </c:pt>
                <c:pt idx="208">
                  <c:v>#N/A</c:v>
                </c:pt>
                <c:pt idx="209">
                  <c:v>4.584171633459186</c:v>
                </c:pt>
                <c:pt idx="210">
                  <c:v>6.5548415107208164</c:v>
                </c:pt>
                <c:pt idx="211">
                  <c:v>#N/A</c:v>
                </c:pt>
                <c:pt idx="212">
                  <c:v>#N/A</c:v>
                </c:pt>
                <c:pt idx="213">
                  <c:v>5.4606123498621626</c:v>
                </c:pt>
                <c:pt idx="214">
                  <c:v>7.0066725382379982</c:v>
                </c:pt>
                <c:pt idx="215">
                  <c:v>6.246598236710267</c:v>
                </c:pt>
                <c:pt idx="216">
                  <c:v>5.7824910251982118</c:v>
                </c:pt>
                <c:pt idx="217">
                  <c:v>5.6333624950462857</c:v>
                </c:pt>
                <c:pt idx="218">
                  <c:v>5.2921860244580508</c:v>
                </c:pt>
                <c:pt idx="219">
                  <c:v>5.4640251346941362</c:v>
                </c:pt>
                <c:pt idx="220">
                  <c:v>#N/A</c:v>
                </c:pt>
                <c:pt idx="221">
                  <c:v>#N/A</c:v>
                </c:pt>
                <c:pt idx="222">
                  <c:v>#N/A</c:v>
                </c:pt>
                <c:pt idx="223">
                  <c:v>#N/A</c:v>
                </c:pt>
                <c:pt idx="224">
                  <c:v>4.8492134427323599</c:v>
                </c:pt>
                <c:pt idx="225">
                  <c:v>4.8967613302476432</c:v>
                </c:pt>
                <c:pt idx="226">
                  <c:v>#N/A</c:v>
                </c:pt>
                <c:pt idx="227">
                  <c:v>#N/A</c:v>
                </c:pt>
                <c:pt idx="228">
                  <c:v>#N/A</c:v>
                </c:pt>
                <c:pt idx="229">
                  <c:v>#N/A</c:v>
                </c:pt>
                <c:pt idx="230">
                  <c:v>#N/A</c:v>
                </c:pt>
                <c:pt idx="231">
                  <c:v>#N/A</c:v>
                </c:pt>
                <c:pt idx="232">
                  <c:v>#N/A</c:v>
                </c:pt>
                <c:pt idx="233">
                  <c:v>#N/A</c:v>
                </c:pt>
                <c:pt idx="234">
                  <c:v>4.8441201688173869</c:v>
                </c:pt>
                <c:pt idx="235">
                  <c:v>4.7093027417363489</c:v>
                </c:pt>
                <c:pt idx="236">
                  <c:v>#N/A</c:v>
                </c:pt>
                <c:pt idx="237">
                  <c:v>4.158369528334056</c:v>
                </c:pt>
                <c:pt idx="238">
                  <c:v>3.9388305601672067</c:v>
                </c:pt>
                <c:pt idx="239">
                  <c:v>#N/A</c:v>
                </c:pt>
                <c:pt idx="240">
                  <c:v>#N/A</c:v>
                </c:pt>
                <c:pt idx="241">
                  <c:v>#N/A</c:v>
                </c:pt>
                <c:pt idx="242">
                  <c:v>#N/A</c:v>
                </c:pt>
                <c:pt idx="243">
                  <c:v>#N/A</c:v>
                </c:pt>
                <c:pt idx="244">
                  <c:v>#N/A</c:v>
                </c:pt>
                <c:pt idx="245">
                  <c:v>4.8886718300084739</c:v>
                </c:pt>
                <c:pt idx="246">
                  <c:v>#N/A</c:v>
                </c:pt>
                <c:pt idx="247">
                  <c:v>5.9157356929368223</c:v>
                </c:pt>
                <c:pt idx="248">
                  <c:v>#N/A</c:v>
                </c:pt>
                <c:pt idx="249">
                  <c:v>4.9659275048501303</c:v>
                </c:pt>
                <c:pt idx="250">
                  <c:v>4.3115780052350416</c:v>
                </c:pt>
                <c:pt idx="251">
                  <c:v>#N/A</c:v>
                </c:pt>
                <c:pt idx="252">
                  <c:v>3.8510332144459363</c:v>
                </c:pt>
                <c:pt idx="253">
                  <c:v>#N/A</c:v>
                </c:pt>
                <c:pt idx="254">
                  <c:v>#N/A</c:v>
                </c:pt>
                <c:pt idx="255">
                  <c:v>4.8656678915581697</c:v>
                </c:pt>
                <c:pt idx="256">
                  <c:v>#N/A</c:v>
                </c:pt>
                <c:pt idx="257">
                  <c:v>#N/A</c:v>
                </c:pt>
                <c:pt idx="258">
                  <c:v>#N/A</c:v>
                </c:pt>
                <c:pt idx="259">
                  <c:v>#N/A</c:v>
                </c:pt>
                <c:pt idx="260">
                  <c:v>#N/A</c:v>
                </c:pt>
                <c:pt idx="261">
                  <c:v>#N/A</c:v>
                </c:pt>
                <c:pt idx="262">
                  <c:v>6.2239083693092434</c:v>
                </c:pt>
                <c:pt idx="263">
                  <c:v>6.8745363009176579</c:v>
                </c:pt>
                <c:pt idx="264">
                  <c:v>7.8716432173031228</c:v>
                </c:pt>
                <c:pt idx="265">
                  <c:v>10.010871742925577</c:v>
                </c:pt>
                <c:pt idx="266">
                  <c:v>10.617121742925574</c:v>
                </c:pt>
                <c:pt idx="267">
                  <c:v>#N/A</c:v>
                </c:pt>
                <c:pt idx="268">
                  <c:v>#N/A</c:v>
                </c:pt>
                <c:pt idx="269">
                  <c:v>#N/A</c:v>
                </c:pt>
                <c:pt idx="270">
                  <c:v>11.068475237092523</c:v>
                </c:pt>
                <c:pt idx="271">
                  <c:v>#N/A</c:v>
                </c:pt>
                <c:pt idx="272">
                  <c:v>#N/A</c:v>
                </c:pt>
                <c:pt idx="273">
                  <c:v>10.816665353554596</c:v>
                </c:pt>
                <c:pt idx="274">
                  <c:v>#N/A</c:v>
                </c:pt>
                <c:pt idx="275">
                  <c:v>#N/A</c:v>
                </c:pt>
                <c:pt idx="276">
                  <c:v>11.578348803076931</c:v>
                </c:pt>
                <c:pt idx="277">
                  <c:v>12.377236182596953</c:v>
                </c:pt>
                <c:pt idx="278">
                  <c:v>#N/A</c:v>
                </c:pt>
                <c:pt idx="279">
                  <c:v>13.83761947391462</c:v>
                </c:pt>
                <c:pt idx="280">
                  <c:v>#N/A</c:v>
                </c:pt>
                <c:pt idx="281">
                  <c:v>11.688252589488457</c:v>
                </c:pt>
                <c:pt idx="282">
                  <c:v>#N/A</c:v>
                </c:pt>
                <c:pt idx="283">
                  <c:v>#N/A</c:v>
                </c:pt>
                <c:pt idx="284">
                  <c:v>#N/A</c:v>
                </c:pt>
                <c:pt idx="285">
                  <c:v>11.787075310120924</c:v>
                </c:pt>
                <c:pt idx="286">
                  <c:v>#N/A</c:v>
                </c:pt>
                <c:pt idx="287">
                  <c:v>11.635620022355875</c:v>
                </c:pt>
                <c:pt idx="288">
                  <c:v>12.361892762448951</c:v>
                </c:pt>
                <c:pt idx="289">
                  <c:v>12.220915318839927</c:v>
                </c:pt>
                <c:pt idx="290">
                  <c:v>#N/A</c:v>
                </c:pt>
                <c:pt idx="291">
                  <c:v>#N/A</c:v>
                </c:pt>
                <c:pt idx="292">
                  <c:v>#N/A</c:v>
                </c:pt>
                <c:pt idx="293">
                  <c:v>13.920915318839928</c:v>
                </c:pt>
                <c:pt idx="294">
                  <c:v>#N/A</c:v>
                </c:pt>
                <c:pt idx="295">
                  <c:v>#N/A</c:v>
                </c:pt>
                <c:pt idx="296">
                  <c:v>13.052295281032745</c:v>
                </c:pt>
                <c:pt idx="297">
                  <c:v>#N/A</c:v>
                </c:pt>
                <c:pt idx="298">
                  <c:v>12.219583374495334</c:v>
                </c:pt>
                <c:pt idx="299">
                  <c:v>#N/A</c:v>
                </c:pt>
                <c:pt idx="300">
                  <c:v>#N/A</c:v>
                </c:pt>
                <c:pt idx="301">
                  <c:v>#N/A</c:v>
                </c:pt>
                <c:pt idx="302">
                  <c:v>#N/A</c:v>
                </c:pt>
                <c:pt idx="303">
                  <c:v>11.717941637902852</c:v>
                </c:pt>
                <c:pt idx="304">
                  <c:v>11.87429559665202</c:v>
                </c:pt>
                <c:pt idx="305">
                  <c:v>#N/A</c:v>
                </c:pt>
                <c:pt idx="306">
                  <c:v>12.577829364662966</c:v>
                </c:pt>
                <c:pt idx="307">
                  <c:v>#N/A</c:v>
                </c:pt>
                <c:pt idx="308">
                  <c:v>#N/A</c:v>
                </c:pt>
                <c:pt idx="309">
                  <c:v>#N/A</c:v>
                </c:pt>
                <c:pt idx="310">
                  <c:v>#N/A</c:v>
                </c:pt>
                <c:pt idx="311">
                  <c:v>11.438154493104037</c:v>
                </c:pt>
                <c:pt idx="312">
                  <c:v>#N/A</c:v>
                </c:pt>
                <c:pt idx="313">
                  <c:v>12.233653134935622</c:v>
                </c:pt>
                <c:pt idx="314">
                  <c:v>12.190772801694175</c:v>
                </c:pt>
                <c:pt idx="315">
                  <c:v>8.134258797308755</c:v>
                </c:pt>
                <c:pt idx="316">
                  <c:v>7.0273034911014935</c:v>
                </c:pt>
                <c:pt idx="317">
                  <c:v>#N/A</c:v>
                </c:pt>
                <c:pt idx="318">
                  <c:v>5.7285437278944364</c:v>
                </c:pt>
                <c:pt idx="319">
                  <c:v>5.9073514380829</c:v>
                </c:pt>
                <c:pt idx="320">
                  <c:v>7.9333724250369553</c:v>
                </c:pt>
                <c:pt idx="321">
                  <c:v>7.0804573185808479</c:v>
                </c:pt>
                <c:pt idx="322">
                  <c:v>#N/A</c:v>
                </c:pt>
                <c:pt idx="323">
                  <c:v>#N/A</c:v>
                </c:pt>
                <c:pt idx="324">
                  <c:v>7.4649659799357471</c:v>
                </c:pt>
                <c:pt idx="325">
                  <c:v>#N/A</c:v>
                </c:pt>
                <c:pt idx="326">
                  <c:v>#N/A</c:v>
                </c:pt>
                <c:pt idx="327">
                  <c:v>#N/A</c:v>
                </c:pt>
                <c:pt idx="328">
                  <c:v>6.649299907681602</c:v>
                </c:pt>
                <c:pt idx="329">
                  <c:v>#N/A</c:v>
                </c:pt>
                <c:pt idx="330">
                  <c:v>#N/A</c:v>
                </c:pt>
                <c:pt idx="331">
                  <c:v>6.5799110632727418</c:v>
                </c:pt>
                <c:pt idx="332">
                  <c:v>#N/A</c:v>
                </c:pt>
                <c:pt idx="333">
                  <c:v>7.1770418774411961</c:v>
                </c:pt>
                <c:pt idx="334">
                  <c:v>#N/A</c:v>
                </c:pt>
                <c:pt idx="335">
                  <c:v>6.8709219783982922</c:v>
                </c:pt>
                <c:pt idx="336">
                  <c:v>5.8864691300880683</c:v>
                </c:pt>
                <c:pt idx="337">
                  <c:v>5.0426785632338946</c:v>
                </c:pt>
                <c:pt idx="338">
                  <c:v>#N/A</c:v>
                </c:pt>
                <c:pt idx="339">
                  <c:v>#N/A</c:v>
                </c:pt>
                <c:pt idx="340">
                  <c:v>#N/A</c:v>
                </c:pt>
                <c:pt idx="341">
                  <c:v>#N/A</c:v>
                </c:pt>
                <c:pt idx="342">
                  <c:v>5.2156889438567324</c:v>
                </c:pt>
                <c:pt idx="343">
                  <c:v>5.9573715037211112</c:v>
                </c:pt>
                <c:pt idx="344">
                  <c:v>7.7592152508111569</c:v>
                </c:pt>
                <c:pt idx="345">
                  <c:v>7.5603527443481253</c:v>
                </c:pt>
                <c:pt idx="346">
                  <c:v>#N/A</c:v>
                </c:pt>
                <c:pt idx="347">
                  <c:v>#N/A</c:v>
                </c:pt>
                <c:pt idx="348">
                  <c:v>#N/A</c:v>
                </c:pt>
                <c:pt idx="349">
                  <c:v>#N/A</c:v>
                </c:pt>
                <c:pt idx="350">
                  <c:v>#N/A</c:v>
                </c:pt>
                <c:pt idx="351">
                  <c:v>8.4454145446014888</c:v>
                </c:pt>
                <c:pt idx="352">
                  <c:v>7.7701565675222186</c:v>
                </c:pt>
                <c:pt idx="353">
                  <c:v>#N/A</c:v>
                </c:pt>
                <c:pt idx="354">
                  <c:v>8.6023408802122958</c:v>
                </c:pt>
                <c:pt idx="355">
                  <c:v>#N/A</c:v>
                </c:pt>
                <c:pt idx="356">
                  <c:v>9.118415330296898</c:v>
                </c:pt>
                <c:pt idx="357">
                  <c:v>#N/A</c:v>
                </c:pt>
                <c:pt idx="358">
                  <c:v>#N/A</c:v>
                </c:pt>
                <c:pt idx="359">
                  <c:v>#N/A</c:v>
                </c:pt>
                <c:pt idx="360">
                  <c:v>#N/A</c:v>
                </c:pt>
                <c:pt idx="361">
                  <c:v>7.5831710173314795</c:v>
                </c:pt>
                <c:pt idx="362">
                  <c:v>#N/A</c:v>
                </c:pt>
                <c:pt idx="363">
                  <c:v>7.7291689561841066</c:v>
                </c:pt>
                <c:pt idx="364">
                  <c:v>7.8416107740806593</c:v>
                </c:pt>
                <c:pt idx="365">
                  <c:v>8.2323884215992251</c:v>
                </c:pt>
                <c:pt idx="366">
                  <c:v>8.3598196757910426</c:v>
                </c:pt>
                <c:pt idx="367">
                  <c:v>8.9866443366187934</c:v>
                </c:pt>
                <c:pt idx="368">
                  <c:v>#N/A</c:v>
                </c:pt>
                <c:pt idx="369">
                  <c:v>11.949831020735713</c:v>
                </c:pt>
                <c:pt idx="370">
                  <c:v>#N/A</c:v>
                </c:pt>
                <c:pt idx="371">
                  <c:v>12.38955953617401</c:v>
                </c:pt>
                <c:pt idx="372">
                  <c:v>#N/A</c:v>
                </c:pt>
                <c:pt idx="373">
                  <c:v>#N/A</c:v>
                </c:pt>
                <c:pt idx="374">
                  <c:v>13.045527191605339</c:v>
                </c:pt>
                <c:pt idx="375">
                  <c:v>13.477475031866136</c:v>
                </c:pt>
                <c:pt idx="376">
                  <c:v>#N/A</c:v>
                </c:pt>
                <c:pt idx="377">
                  <c:v>13.076405513149558</c:v>
                </c:pt>
                <c:pt idx="378">
                  <c:v>13.467512089691667</c:v>
                </c:pt>
                <c:pt idx="379">
                  <c:v>13.939785093957356</c:v>
                </c:pt>
                <c:pt idx="380">
                  <c:v>13.343791645004547</c:v>
                </c:pt>
                <c:pt idx="381">
                  <c:v>12.63855379765322</c:v>
                </c:pt>
                <c:pt idx="382">
                  <c:v>#N/A</c:v>
                </c:pt>
                <c:pt idx="383">
                  <c:v>#N/A</c:v>
                </c:pt>
                <c:pt idx="384">
                  <c:v>#N/A</c:v>
                </c:pt>
                <c:pt idx="385">
                  <c:v>#N/A</c:v>
                </c:pt>
                <c:pt idx="386">
                  <c:v>9.7026107371550001</c:v>
                </c:pt>
                <c:pt idx="387">
                  <c:v>10.940705975250239</c:v>
                </c:pt>
                <c:pt idx="388">
                  <c:v>#N/A</c:v>
                </c:pt>
                <c:pt idx="389">
                  <c:v>#N/A</c:v>
                </c:pt>
                <c:pt idx="390">
                  <c:v>9.8788493490794131</c:v>
                </c:pt>
                <c:pt idx="391">
                  <c:v>9.705896158594788</c:v>
                </c:pt>
                <c:pt idx="392">
                  <c:v>8.8506793359768157</c:v>
                </c:pt>
                <c:pt idx="393">
                  <c:v>6.1868604672010861</c:v>
                </c:pt>
                <c:pt idx="394">
                  <c:v>#N/A</c:v>
                </c:pt>
                <c:pt idx="395">
                  <c:v>#N/A</c:v>
                </c:pt>
                <c:pt idx="396">
                  <c:v>#N/A</c:v>
                </c:pt>
                <c:pt idx="397">
                  <c:v>7.1755610321728369</c:v>
                </c:pt>
                <c:pt idx="398">
                  <c:v>#N/A</c:v>
                </c:pt>
                <c:pt idx="399">
                  <c:v>#N/A</c:v>
                </c:pt>
                <c:pt idx="400">
                  <c:v>#N/A</c:v>
                </c:pt>
                <c:pt idx="401">
                  <c:v>#N/A</c:v>
                </c:pt>
                <c:pt idx="402">
                  <c:v>#N/A</c:v>
                </c:pt>
                <c:pt idx="403">
                  <c:v>#N/A</c:v>
                </c:pt>
                <c:pt idx="404">
                  <c:v>5.9589661309357371</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6.7279825700552687</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5.327162200114862</c:v>
                </c:pt>
                <c:pt idx="437">
                  <c:v>#N/A</c:v>
                </c:pt>
                <c:pt idx="438">
                  <c:v>#N/A</c:v>
                </c:pt>
                <c:pt idx="439">
                  <c:v>4.5504631709886496</c:v>
                </c:pt>
                <c:pt idx="440">
                  <c:v>#N/A</c:v>
                </c:pt>
                <c:pt idx="441">
                  <c:v>#N/A</c:v>
                </c:pt>
                <c:pt idx="442">
                  <c:v>3.9136707181584622</c:v>
                </c:pt>
                <c:pt idx="443">
                  <c:v>#N/A</c:v>
                </c:pt>
                <c:pt idx="444">
                  <c:v>#N/A</c:v>
                </c:pt>
              </c:numCache>
            </c:numRef>
          </c:val>
          <c:smooth val="0"/>
          <c:extLst>
            <c:ext xmlns:c16="http://schemas.microsoft.com/office/drawing/2014/chart" uri="{C3380CC4-5D6E-409C-BE32-E72D297353CC}">
              <c16:uniqueId val="{00000001-8300-41F5-9645-509B7E2CCC2A}"/>
            </c:ext>
          </c:extLst>
        </c:ser>
        <c:ser>
          <c:idx val="3"/>
          <c:order val="3"/>
          <c:tx>
            <c:v>Down Trends</c:v>
          </c:tx>
          <c:spPr>
            <a:ln w="12700" cap="rnd">
              <a:solidFill>
                <a:srgbClr val="FFC000"/>
              </a:solidFill>
              <a:round/>
            </a:ln>
            <a:effectLst/>
          </c:spPr>
          <c:marker>
            <c:symbol val="none"/>
          </c:marker>
          <c:val>
            <c:numRef>
              <c:f>'2025-Q1'!$ES$4:$ES$448</c:f>
              <c:numCache>
                <c:formatCode>0.00</c:formatCode>
                <c:ptCount val="445"/>
                <c:pt idx="0">
                  <c:v>1.2290222546515868</c:v>
                </c:pt>
                <c:pt idx="1">
                  <c:v>#N/A</c:v>
                </c:pt>
                <c:pt idx="2">
                  <c:v>#N/A</c:v>
                </c:pt>
                <c:pt idx="3">
                  <c:v>#N/A</c:v>
                </c:pt>
                <c:pt idx="4">
                  <c:v>#N/A</c:v>
                </c:pt>
                <c:pt idx="5">
                  <c:v>#N/A</c:v>
                </c:pt>
                <c:pt idx="6">
                  <c:v>#N/A</c:v>
                </c:pt>
                <c:pt idx="7">
                  <c:v>#N/A</c:v>
                </c:pt>
                <c:pt idx="8">
                  <c:v>#N/A</c:v>
                </c:pt>
                <c:pt idx="9">
                  <c:v>1.6298785597808298</c:v>
                </c:pt>
                <c:pt idx="10">
                  <c:v>#N/A</c:v>
                </c:pt>
                <c:pt idx="11">
                  <c:v>#N/A</c:v>
                </c:pt>
                <c:pt idx="12">
                  <c:v>#N/A</c:v>
                </c:pt>
                <c:pt idx="13">
                  <c:v>#N/A</c:v>
                </c:pt>
                <c:pt idx="14">
                  <c:v>#N/A</c:v>
                </c:pt>
                <c:pt idx="15">
                  <c:v>#N/A</c:v>
                </c:pt>
                <c:pt idx="16">
                  <c:v>#N/A</c:v>
                </c:pt>
                <c:pt idx="17">
                  <c:v>1.1999280446514409</c:v>
                </c:pt>
                <c:pt idx="18">
                  <c:v>0.85219499663753107</c:v>
                </c:pt>
                <c:pt idx="19">
                  <c:v>#N/A</c:v>
                </c:pt>
                <c:pt idx="20">
                  <c:v>#N/A</c:v>
                </c:pt>
                <c:pt idx="21">
                  <c:v>#N/A</c:v>
                </c:pt>
                <c:pt idx="22">
                  <c:v>#N/A</c:v>
                </c:pt>
                <c:pt idx="23">
                  <c:v>#N/A</c:v>
                </c:pt>
                <c:pt idx="24">
                  <c:v>#N/A</c:v>
                </c:pt>
                <c:pt idx="25">
                  <c:v>0.37245687721095755</c:v>
                </c:pt>
                <c:pt idx="26">
                  <c:v>#N/A</c:v>
                </c:pt>
                <c:pt idx="27">
                  <c:v>#N/A</c:v>
                </c:pt>
                <c:pt idx="28">
                  <c:v>#N/A</c:v>
                </c:pt>
                <c:pt idx="29">
                  <c:v>#N/A</c:v>
                </c:pt>
                <c:pt idx="30">
                  <c:v>#N/A</c:v>
                </c:pt>
                <c:pt idx="31">
                  <c:v>#N/A</c:v>
                </c:pt>
                <c:pt idx="32">
                  <c:v>#N/A</c:v>
                </c:pt>
                <c:pt idx="33">
                  <c:v>0.83932604134640565</c:v>
                </c:pt>
                <c:pt idx="34">
                  <c:v>#N/A</c:v>
                </c:pt>
                <c:pt idx="35">
                  <c:v>#N/A</c:v>
                </c:pt>
                <c:pt idx="36">
                  <c:v>#N/A</c:v>
                </c:pt>
                <c:pt idx="37">
                  <c:v>#N/A</c:v>
                </c:pt>
                <c:pt idx="38">
                  <c:v>#N/A</c:v>
                </c:pt>
                <c:pt idx="39">
                  <c:v>1.1384568687535646</c:v>
                </c:pt>
                <c:pt idx="40">
                  <c:v>#N/A</c:v>
                </c:pt>
                <c:pt idx="41">
                  <c:v>#N/A</c:v>
                </c:pt>
                <c:pt idx="42">
                  <c:v>#N/A</c:v>
                </c:pt>
                <c:pt idx="43">
                  <c:v>#N/A</c:v>
                </c:pt>
                <c:pt idx="44">
                  <c:v>#N/A</c:v>
                </c:pt>
                <c:pt idx="45">
                  <c:v>#N/A</c:v>
                </c:pt>
                <c:pt idx="46">
                  <c:v>#N/A</c:v>
                </c:pt>
                <c:pt idx="47">
                  <c:v>#N/A</c:v>
                </c:pt>
                <c:pt idx="48">
                  <c:v>1.5562960433080137</c:v>
                </c:pt>
                <c:pt idx="49">
                  <c:v>#N/A</c:v>
                </c:pt>
                <c:pt idx="50">
                  <c:v>#N/A</c:v>
                </c:pt>
                <c:pt idx="51">
                  <c:v>#N/A</c:v>
                </c:pt>
                <c:pt idx="52">
                  <c:v>#N/A</c:v>
                </c:pt>
                <c:pt idx="53">
                  <c:v>#N/A</c:v>
                </c:pt>
                <c:pt idx="54">
                  <c:v>#N/A</c:v>
                </c:pt>
                <c:pt idx="55">
                  <c:v>1.1606860382033679</c:v>
                </c:pt>
                <c:pt idx="56">
                  <c:v>#N/A</c:v>
                </c:pt>
                <c:pt idx="57">
                  <c:v>#N/A</c:v>
                </c:pt>
                <c:pt idx="58">
                  <c:v>#N/A</c:v>
                </c:pt>
                <c:pt idx="59">
                  <c:v>#N/A</c:v>
                </c:pt>
                <c:pt idx="60">
                  <c:v>#N/A</c:v>
                </c:pt>
                <c:pt idx="61">
                  <c:v>#N/A</c:v>
                </c:pt>
                <c:pt idx="62">
                  <c:v>2.1530292122456034</c:v>
                </c:pt>
                <c:pt idx="63">
                  <c:v>#N/A</c:v>
                </c:pt>
                <c:pt idx="64">
                  <c:v>#N/A</c:v>
                </c:pt>
                <c:pt idx="65">
                  <c:v>#N/A</c:v>
                </c:pt>
                <c:pt idx="66">
                  <c:v>#N/A</c:v>
                </c:pt>
                <c:pt idx="67">
                  <c:v>2.1289316042502735</c:v>
                </c:pt>
                <c:pt idx="68">
                  <c:v>#N/A</c:v>
                </c:pt>
                <c:pt idx="69">
                  <c:v>#N/A</c:v>
                </c:pt>
                <c:pt idx="70">
                  <c:v>#N/A</c:v>
                </c:pt>
                <c:pt idx="71">
                  <c:v>#N/A</c:v>
                </c:pt>
                <c:pt idx="72">
                  <c:v>2.3897021628869206</c:v>
                </c:pt>
                <c:pt idx="73">
                  <c:v>#N/A</c:v>
                </c:pt>
                <c:pt idx="74">
                  <c:v>#N/A</c:v>
                </c:pt>
                <c:pt idx="75">
                  <c:v>#N/A</c:v>
                </c:pt>
                <c:pt idx="76">
                  <c:v>#N/A</c:v>
                </c:pt>
                <c:pt idx="77">
                  <c:v>#N/A</c:v>
                </c:pt>
                <c:pt idx="78">
                  <c:v>#N/A</c:v>
                </c:pt>
                <c:pt idx="79">
                  <c:v>#N/A</c:v>
                </c:pt>
                <c:pt idx="80">
                  <c:v>2.9451096097899687</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1.3832092337058488</c:v>
                </c:pt>
                <c:pt idx="95">
                  <c:v>#N/A</c:v>
                </c:pt>
                <c:pt idx="96">
                  <c:v>#N/A</c:v>
                </c:pt>
                <c:pt idx="97">
                  <c:v>#N/A</c:v>
                </c:pt>
                <c:pt idx="98">
                  <c:v>#N/A</c:v>
                </c:pt>
                <c:pt idx="99">
                  <c:v>#N/A</c:v>
                </c:pt>
                <c:pt idx="100">
                  <c:v>#N/A</c:v>
                </c:pt>
                <c:pt idx="101">
                  <c:v>#N/A</c:v>
                </c:pt>
                <c:pt idx="102">
                  <c:v>#N/A</c:v>
                </c:pt>
                <c:pt idx="103">
                  <c:v>#N/A</c:v>
                </c:pt>
                <c:pt idx="104">
                  <c:v>2.6947724028707301</c:v>
                </c:pt>
                <c:pt idx="105">
                  <c:v>#N/A</c:v>
                </c:pt>
                <c:pt idx="106">
                  <c:v>#N/A</c:v>
                </c:pt>
                <c:pt idx="107">
                  <c:v>#N/A</c:v>
                </c:pt>
                <c:pt idx="108">
                  <c:v>#N/A</c:v>
                </c:pt>
                <c:pt idx="109">
                  <c:v>#N/A</c:v>
                </c:pt>
                <c:pt idx="110">
                  <c:v>4.2503865709935527</c:v>
                </c:pt>
                <c:pt idx="111">
                  <c:v>#N/A</c:v>
                </c:pt>
                <c:pt idx="112">
                  <c:v>4.5805772093621204</c:v>
                </c:pt>
                <c:pt idx="113">
                  <c:v>#N/A</c:v>
                </c:pt>
                <c:pt idx="114">
                  <c:v>4.9383659960256407</c:v>
                </c:pt>
                <c:pt idx="115">
                  <c:v>#N/A</c:v>
                </c:pt>
                <c:pt idx="116">
                  <c:v>#N/A</c:v>
                </c:pt>
                <c:pt idx="117">
                  <c:v>#N/A</c:v>
                </c:pt>
                <c:pt idx="118">
                  <c:v>#N/A</c:v>
                </c:pt>
                <c:pt idx="119">
                  <c:v>#N/A</c:v>
                </c:pt>
                <c:pt idx="120">
                  <c:v>4.43832174432195</c:v>
                </c:pt>
                <c:pt idx="121">
                  <c:v>#N/A</c:v>
                </c:pt>
                <c:pt idx="122">
                  <c:v>#N/A</c:v>
                </c:pt>
                <c:pt idx="123">
                  <c:v>#N/A</c:v>
                </c:pt>
                <c:pt idx="124">
                  <c:v>4.9454666996551797</c:v>
                </c:pt>
                <c:pt idx="125">
                  <c:v>5.5979756084483965</c:v>
                </c:pt>
                <c:pt idx="126">
                  <c:v>#N/A</c:v>
                </c:pt>
                <c:pt idx="127">
                  <c:v>#N/A</c:v>
                </c:pt>
                <c:pt idx="128">
                  <c:v>#N/A</c:v>
                </c:pt>
                <c:pt idx="129">
                  <c:v>#N/A</c:v>
                </c:pt>
                <c:pt idx="130">
                  <c:v>#N/A</c:v>
                </c:pt>
                <c:pt idx="131">
                  <c:v>#N/A</c:v>
                </c:pt>
                <c:pt idx="132">
                  <c:v>#N/A</c:v>
                </c:pt>
                <c:pt idx="133">
                  <c:v>#N/A</c:v>
                </c:pt>
                <c:pt idx="134">
                  <c:v>#N/A</c:v>
                </c:pt>
                <c:pt idx="135">
                  <c:v>6.6502498786452735</c:v>
                </c:pt>
                <c:pt idx="136">
                  <c:v>#N/A</c:v>
                </c:pt>
                <c:pt idx="137">
                  <c:v>#N/A</c:v>
                </c:pt>
                <c:pt idx="138">
                  <c:v>6.6153336775279561</c:v>
                </c:pt>
                <c:pt idx="139">
                  <c:v>5.1297756040773601</c:v>
                </c:pt>
                <c:pt idx="140">
                  <c:v>#N/A</c:v>
                </c:pt>
                <c:pt idx="141">
                  <c:v>#N/A</c:v>
                </c:pt>
                <c:pt idx="142">
                  <c:v>4.9807080369208991</c:v>
                </c:pt>
                <c:pt idx="143">
                  <c:v>3.8752900655763689</c:v>
                </c:pt>
                <c:pt idx="144">
                  <c:v>#N/A</c:v>
                </c:pt>
                <c:pt idx="145">
                  <c:v>#N/A</c:v>
                </c:pt>
                <c:pt idx="146">
                  <c:v>#N/A</c:v>
                </c:pt>
                <c:pt idx="147">
                  <c:v>4.8765003197297396</c:v>
                </c:pt>
                <c:pt idx="148">
                  <c:v>3.6817802595233746</c:v>
                </c:pt>
                <c:pt idx="149">
                  <c:v>#N/A</c:v>
                </c:pt>
                <c:pt idx="150">
                  <c:v>3.803152873448123</c:v>
                </c:pt>
                <c:pt idx="151">
                  <c:v>#N/A</c:v>
                </c:pt>
                <c:pt idx="152">
                  <c:v>3.4265545199711571</c:v>
                </c:pt>
                <c:pt idx="153">
                  <c:v>#N/A</c:v>
                </c:pt>
                <c:pt idx="154">
                  <c:v>#N/A</c:v>
                </c:pt>
                <c:pt idx="155">
                  <c:v>2.8889201113690066</c:v>
                </c:pt>
                <c:pt idx="156">
                  <c:v>#N/A</c:v>
                </c:pt>
                <c:pt idx="157">
                  <c:v>2.6145352644934539</c:v>
                </c:pt>
                <c:pt idx="158">
                  <c:v>#N/A</c:v>
                </c:pt>
                <c:pt idx="159">
                  <c:v>2.3613562807913411</c:v>
                </c:pt>
                <c:pt idx="160">
                  <c:v>#N/A</c:v>
                </c:pt>
                <c:pt idx="161">
                  <c:v>#N/A</c:v>
                </c:pt>
                <c:pt idx="162">
                  <c:v>4.1946896141246723</c:v>
                </c:pt>
                <c:pt idx="163">
                  <c:v>4.6571904459607047</c:v>
                </c:pt>
                <c:pt idx="164">
                  <c:v>#N/A</c:v>
                </c:pt>
                <c:pt idx="165">
                  <c:v>#N/A</c:v>
                </c:pt>
                <c:pt idx="166">
                  <c:v>#N/A</c:v>
                </c:pt>
                <c:pt idx="167">
                  <c:v>5.078324634058978</c:v>
                </c:pt>
                <c:pt idx="168">
                  <c:v>5.0760570603628308</c:v>
                </c:pt>
                <c:pt idx="169">
                  <c:v>#N/A</c:v>
                </c:pt>
                <c:pt idx="170">
                  <c:v>#N/A</c:v>
                </c:pt>
                <c:pt idx="171">
                  <c:v>#N/A</c:v>
                </c:pt>
                <c:pt idx="172">
                  <c:v>#N/A</c:v>
                </c:pt>
                <c:pt idx="173">
                  <c:v>#N/A</c:v>
                </c:pt>
                <c:pt idx="174">
                  <c:v>#N/A</c:v>
                </c:pt>
                <c:pt idx="175">
                  <c:v>5.582521141397085</c:v>
                </c:pt>
                <c:pt idx="176">
                  <c:v>#N/A</c:v>
                </c:pt>
                <c:pt idx="177">
                  <c:v>6.8450558762043814</c:v>
                </c:pt>
                <c:pt idx="178">
                  <c:v>#N/A</c:v>
                </c:pt>
                <c:pt idx="179">
                  <c:v>7.9226420831009321</c:v>
                </c:pt>
                <c:pt idx="180">
                  <c:v>#N/A</c:v>
                </c:pt>
                <c:pt idx="181">
                  <c:v>#N/A</c:v>
                </c:pt>
                <c:pt idx="182">
                  <c:v>7.312460772082801</c:v>
                </c:pt>
                <c:pt idx="183">
                  <c:v>#N/A</c:v>
                </c:pt>
                <c:pt idx="184">
                  <c:v>8.9707592379126488</c:v>
                </c:pt>
                <c:pt idx="185">
                  <c:v>#N/A</c:v>
                </c:pt>
                <c:pt idx="186">
                  <c:v>9.5261168050307283</c:v>
                </c:pt>
                <c:pt idx="187">
                  <c:v>#N/A</c:v>
                </c:pt>
                <c:pt idx="188">
                  <c:v>11.002973005874329</c:v>
                </c:pt>
                <c:pt idx="189">
                  <c:v>#N/A</c:v>
                </c:pt>
                <c:pt idx="190">
                  <c:v>10.207096717214537</c:v>
                </c:pt>
                <c:pt idx="191">
                  <c:v>10.254960980765075</c:v>
                </c:pt>
                <c:pt idx="192">
                  <c:v>10.210848974627753</c:v>
                </c:pt>
                <c:pt idx="193">
                  <c:v>#N/A</c:v>
                </c:pt>
                <c:pt idx="194">
                  <c:v>#N/A</c:v>
                </c:pt>
                <c:pt idx="195">
                  <c:v>9.6448112387786971</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10.348711538801775</c:v>
                </c:pt>
                <c:pt idx="212">
                  <c:v>11.184044338943957</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12.282945437845054</c:v>
                </c:pt>
                <c:pt idx="227">
                  <c:v>#N/A</c:v>
                </c:pt>
                <c:pt idx="228">
                  <c:v>13.855976782807884</c:v>
                </c:pt>
                <c:pt idx="229">
                  <c:v>13.000920395305574</c:v>
                </c:pt>
                <c:pt idx="230">
                  <c:v>17.695836947135309</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17.860574973493392</c:v>
                </c:pt>
                <c:pt idx="245">
                  <c:v>#N/A</c:v>
                </c:pt>
                <c:pt idx="246">
                  <c:v>16.79492256121269</c:v>
                </c:pt>
                <c:pt idx="247">
                  <c:v>#N/A</c:v>
                </c:pt>
                <c:pt idx="248">
                  <c:v>16.685889444713577</c:v>
                </c:pt>
                <c:pt idx="249">
                  <c:v>#N/A</c:v>
                </c:pt>
                <c:pt idx="250">
                  <c:v>#N/A</c:v>
                </c:pt>
                <c:pt idx="251">
                  <c:v>#N/A</c:v>
                </c:pt>
                <c:pt idx="252">
                  <c:v>#N/A</c:v>
                </c:pt>
                <c:pt idx="253">
                  <c:v>#N/A</c:v>
                </c:pt>
                <c:pt idx="254">
                  <c:v>#N/A</c:v>
                </c:pt>
                <c:pt idx="255">
                  <c:v>#N/A</c:v>
                </c:pt>
                <c:pt idx="256">
                  <c:v>15.765339470798633</c:v>
                </c:pt>
                <c:pt idx="257">
                  <c:v>17.843772848444608</c:v>
                </c:pt>
                <c:pt idx="258">
                  <c:v>#N/A</c:v>
                </c:pt>
                <c:pt idx="259">
                  <c:v>#N/A</c:v>
                </c:pt>
                <c:pt idx="260">
                  <c:v>#N/A</c:v>
                </c:pt>
                <c:pt idx="261">
                  <c:v>18.110514830494441</c:v>
                </c:pt>
                <c:pt idx="262">
                  <c:v>#N/A</c:v>
                </c:pt>
                <c:pt idx="263">
                  <c:v>#N/A</c:v>
                </c:pt>
                <c:pt idx="264">
                  <c:v>#N/A</c:v>
                </c:pt>
                <c:pt idx="265">
                  <c:v>#N/A</c:v>
                </c:pt>
                <c:pt idx="266">
                  <c:v>#N/A</c:v>
                </c:pt>
                <c:pt idx="267">
                  <c:v>#N/A</c:v>
                </c:pt>
                <c:pt idx="268">
                  <c:v>17.696478592075159</c:v>
                </c:pt>
                <c:pt idx="269">
                  <c:v>#N/A</c:v>
                </c:pt>
                <c:pt idx="270">
                  <c:v>#N/A</c:v>
                </c:pt>
                <c:pt idx="271">
                  <c:v>17.797291600205241</c:v>
                </c:pt>
                <c:pt idx="272">
                  <c:v>#N/A</c:v>
                </c:pt>
                <c:pt idx="273">
                  <c:v>#N/A</c:v>
                </c:pt>
                <c:pt idx="274">
                  <c:v>18.154460490066018</c:v>
                </c:pt>
                <c:pt idx="275">
                  <c:v>17.430624281050633</c:v>
                </c:pt>
                <c:pt idx="276">
                  <c:v>#N/A</c:v>
                </c:pt>
                <c:pt idx="277">
                  <c:v>#N/A</c:v>
                </c:pt>
                <c:pt idx="278">
                  <c:v>#N/A</c:v>
                </c:pt>
                <c:pt idx="279">
                  <c:v>#N/A</c:v>
                </c:pt>
                <c:pt idx="280">
                  <c:v>17.865975833720626</c:v>
                </c:pt>
                <c:pt idx="281">
                  <c:v>#N/A</c:v>
                </c:pt>
                <c:pt idx="282">
                  <c:v>17.43931416455521</c:v>
                </c:pt>
                <c:pt idx="283">
                  <c:v>16.674387160446457</c:v>
                </c:pt>
                <c:pt idx="284">
                  <c:v>16.121049624549563</c:v>
                </c:pt>
                <c:pt idx="285">
                  <c:v>#N/A</c:v>
                </c:pt>
                <c:pt idx="286">
                  <c:v>#N/A</c:v>
                </c:pt>
                <c:pt idx="287">
                  <c:v>#N/A</c:v>
                </c:pt>
                <c:pt idx="288">
                  <c:v>#N/A</c:v>
                </c:pt>
                <c:pt idx="289">
                  <c:v>#N/A</c:v>
                </c:pt>
                <c:pt idx="290">
                  <c:v>#N/A</c:v>
                </c:pt>
                <c:pt idx="291">
                  <c:v>#N/A</c:v>
                </c:pt>
                <c:pt idx="292">
                  <c:v>#N/A</c:v>
                </c:pt>
                <c:pt idx="293">
                  <c:v>#N/A</c:v>
                </c:pt>
                <c:pt idx="294">
                  <c:v>16.243733957760213</c:v>
                </c:pt>
                <c:pt idx="295">
                  <c:v>#N/A</c:v>
                </c:pt>
                <c:pt idx="296">
                  <c:v>#N/A</c:v>
                </c:pt>
                <c:pt idx="297">
                  <c:v>#N/A</c:v>
                </c:pt>
                <c:pt idx="298">
                  <c:v>#N/A</c:v>
                </c:pt>
                <c:pt idx="299">
                  <c:v>16.558199366565244</c:v>
                </c:pt>
                <c:pt idx="300">
                  <c:v>#N/A</c:v>
                </c:pt>
                <c:pt idx="301">
                  <c:v>16.481768342624697</c:v>
                </c:pt>
                <c:pt idx="302">
                  <c:v>#N/A</c:v>
                </c:pt>
                <c:pt idx="303">
                  <c:v>#N/A</c:v>
                </c:pt>
                <c:pt idx="304">
                  <c:v>#N/A</c:v>
                </c:pt>
                <c:pt idx="305">
                  <c:v>15.763752676828348</c:v>
                </c:pt>
                <c:pt idx="306">
                  <c:v>#N/A</c:v>
                </c:pt>
                <c:pt idx="307">
                  <c:v>13.736791179398418</c:v>
                </c:pt>
                <c:pt idx="308">
                  <c:v>#N/A</c:v>
                </c:pt>
                <c:pt idx="309">
                  <c:v>#N/A</c:v>
                </c:pt>
                <c:pt idx="310">
                  <c:v>#N/A</c:v>
                </c:pt>
                <c:pt idx="311">
                  <c:v>#N/A</c:v>
                </c:pt>
                <c:pt idx="312">
                  <c:v>#N/A</c:v>
                </c:pt>
                <c:pt idx="313">
                  <c:v>#N/A</c:v>
                </c:pt>
                <c:pt idx="314">
                  <c:v>#N/A</c:v>
                </c:pt>
                <c:pt idx="315">
                  <c:v>#N/A</c:v>
                </c:pt>
                <c:pt idx="316">
                  <c:v>#N/A</c:v>
                </c:pt>
                <c:pt idx="317">
                  <c:v>12.558119523645379</c:v>
                </c:pt>
                <c:pt idx="318">
                  <c:v>#N/A</c:v>
                </c:pt>
                <c:pt idx="319">
                  <c:v>#N/A</c:v>
                </c:pt>
                <c:pt idx="320">
                  <c:v>#N/A</c:v>
                </c:pt>
                <c:pt idx="321">
                  <c:v>#N/A</c:v>
                </c:pt>
                <c:pt idx="322">
                  <c:v>#N/A</c:v>
                </c:pt>
                <c:pt idx="323">
                  <c:v>13.377496437025533</c:v>
                </c:pt>
                <c:pt idx="324">
                  <c:v>#N/A</c:v>
                </c:pt>
                <c:pt idx="325">
                  <c:v>#N/A</c:v>
                </c:pt>
                <c:pt idx="326">
                  <c:v>#N/A</c:v>
                </c:pt>
                <c:pt idx="327">
                  <c:v>12.513820532961907</c:v>
                </c:pt>
                <c:pt idx="328">
                  <c:v>#N/A</c:v>
                </c:pt>
                <c:pt idx="329">
                  <c:v>#N/A</c:v>
                </c:pt>
                <c:pt idx="330">
                  <c:v>13.140386949002009</c:v>
                </c:pt>
                <c:pt idx="331">
                  <c:v>#N/A</c:v>
                </c:pt>
                <c:pt idx="332">
                  <c:v>#N/A</c:v>
                </c:pt>
                <c:pt idx="333">
                  <c:v>#N/A</c:v>
                </c:pt>
                <c:pt idx="334">
                  <c:v>12.345548996223009</c:v>
                </c:pt>
                <c:pt idx="335">
                  <c:v>#N/A</c:v>
                </c:pt>
                <c:pt idx="336">
                  <c:v>#N/A</c:v>
                </c:pt>
                <c:pt idx="337">
                  <c:v>#N/A</c:v>
                </c:pt>
                <c:pt idx="338">
                  <c:v>#N/A</c:v>
                </c:pt>
                <c:pt idx="339">
                  <c:v>13.398180575170377</c:v>
                </c:pt>
                <c:pt idx="340">
                  <c:v>#N/A</c:v>
                </c:pt>
                <c:pt idx="341">
                  <c:v>12.870296644864011</c:v>
                </c:pt>
                <c:pt idx="342">
                  <c:v>#N/A</c:v>
                </c:pt>
                <c:pt idx="343">
                  <c:v>#N/A</c:v>
                </c:pt>
                <c:pt idx="344">
                  <c:v>#N/A</c:v>
                </c:pt>
                <c:pt idx="345">
                  <c:v>#N/A</c:v>
                </c:pt>
                <c:pt idx="346">
                  <c:v>13.327284657540261</c:v>
                </c:pt>
                <c:pt idx="347">
                  <c:v>#N/A</c:v>
                </c:pt>
                <c:pt idx="348">
                  <c:v>#N/A</c:v>
                </c:pt>
                <c:pt idx="349">
                  <c:v>11.994275788840286</c:v>
                </c:pt>
                <c:pt idx="350">
                  <c:v>#N/A</c:v>
                </c:pt>
                <c:pt idx="351">
                  <c:v>#N/A</c:v>
                </c:pt>
                <c:pt idx="352">
                  <c:v>#N/A</c:v>
                </c:pt>
                <c:pt idx="353">
                  <c:v>11.952836462919985</c:v>
                </c:pt>
                <c:pt idx="354">
                  <c:v>#N/A</c:v>
                </c:pt>
                <c:pt idx="355">
                  <c:v>#N/A</c:v>
                </c:pt>
                <c:pt idx="356">
                  <c:v>#N/A</c:v>
                </c:pt>
                <c:pt idx="357">
                  <c:v>11.145945175165107</c:v>
                </c:pt>
                <c:pt idx="358">
                  <c:v>#N/A</c:v>
                </c:pt>
                <c:pt idx="359">
                  <c:v>#N/A</c:v>
                </c:pt>
                <c:pt idx="360">
                  <c:v>#N/A</c:v>
                </c:pt>
                <c:pt idx="361">
                  <c:v>#N/A</c:v>
                </c:pt>
                <c:pt idx="362">
                  <c:v>#N/A</c:v>
                </c:pt>
                <c:pt idx="363">
                  <c:v>#N/A</c:v>
                </c:pt>
                <c:pt idx="364">
                  <c:v>#N/A</c:v>
                </c:pt>
                <c:pt idx="365">
                  <c:v>#N/A</c:v>
                </c:pt>
                <c:pt idx="366">
                  <c:v>#N/A</c:v>
                </c:pt>
                <c:pt idx="367">
                  <c:v>#N/A</c:v>
                </c:pt>
                <c:pt idx="368">
                  <c:v>8.7501662095464976</c:v>
                </c:pt>
                <c:pt idx="369">
                  <c:v>#N/A</c:v>
                </c:pt>
                <c:pt idx="370">
                  <c:v>7.9369513264143512</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7.0144182003502458</c:v>
                </c:pt>
                <c:pt idx="384">
                  <c:v>#N/A</c:v>
                </c:pt>
                <c:pt idx="385">
                  <c:v>7.715987761850184</c:v>
                </c:pt>
                <c:pt idx="386">
                  <c:v>#N/A</c:v>
                </c:pt>
                <c:pt idx="387">
                  <c:v>#N/A</c:v>
                </c:pt>
                <c:pt idx="388">
                  <c:v>7.8175076597501727</c:v>
                </c:pt>
                <c:pt idx="389">
                  <c:v>8.2094300723979732</c:v>
                </c:pt>
                <c:pt idx="390">
                  <c:v>#N/A</c:v>
                </c:pt>
                <c:pt idx="391">
                  <c:v>#N/A</c:v>
                </c:pt>
                <c:pt idx="392">
                  <c:v>#N/A</c:v>
                </c:pt>
                <c:pt idx="393">
                  <c:v>#N/A</c:v>
                </c:pt>
                <c:pt idx="394">
                  <c:v>7.9394578927018564</c:v>
                </c:pt>
                <c:pt idx="395">
                  <c:v>#N/A</c:v>
                </c:pt>
                <c:pt idx="396">
                  <c:v>#N/A</c:v>
                </c:pt>
                <c:pt idx="397">
                  <c:v>#N/A</c:v>
                </c:pt>
                <c:pt idx="398">
                  <c:v>#N/A</c:v>
                </c:pt>
                <c:pt idx="399">
                  <c:v>#N/A</c:v>
                </c:pt>
                <c:pt idx="400">
                  <c:v>#N/A</c:v>
                </c:pt>
                <c:pt idx="401">
                  <c:v>9.342117180996377</c:v>
                </c:pt>
                <c:pt idx="402">
                  <c:v>9.7920454133028816</c:v>
                </c:pt>
                <c:pt idx="403">
                  <c:v>#N/A</c:v>
                </c:pt>
                <c:pt idx="404">
                  <c:v>#N/A</c:v>
                </c:pt>
                <c:pt idx="405">
                  <c:v>10.597370117281697</c:v>
                </c:pt>
                <c:pt idx="406">
                  <c:v>#N/A</c:v>
                </c:pt>
                <c:pt idx="407">
                  <c:v>#N/A</c:v>
                </c:pt>
                <c:pt idx="408">
                  <c:v>#N/A</c:v>
                </c:pt>
                <c:pt idx="409">
                  <c:v>11.411486986444435</c:v>
                </c:pt>
                <c:pt idx="410">
                  <c:v>#N/A</c:v>
                </c:pt>
                <c:pt idx="411">
                  <c:v>#N/A</c:v>
                </c:pt>
                <c:pt idx="412">
                  <c:v>#N/A</c:v>
                </c:pt>
                <c:pt idx="413">
                  <c:v>#N/A</c:v>
                </c:pt>
                <c:pt idx="414">
                  <c:v>#N/A</c:v>
                </c:pt>
                <c:pt idx="415">
                  <c:v>#N/A</c:v>
                </c:pt>
                <c:pt idx="416">
                  <c:v>#N/A</c:v>
                </c:pt>
                <c:pt idx="417">
                  <c:v>#N/A</c:v>
                </c:pt>
                <c:pt idx="418">
                  <c:v>#N/A</c:v>
                </c:pt>
                <c:pt idx="419">
                  <c:v>#N/A</c:v>
                </c:pt>
                <c:pt idx="420">
                  <c:v>13.917054915174948</c:v>
                </c:pt>
                <c:pt idx="421">
                  <c:v>14.796369050149666</c:v>
                </c:pt>
                <c:pt idx="422">
                  <c:v>#N/A</c:v>
                </c:pt>
                <c:pt idx="423">
                  <c:v>15.397887969431876</c:v>
                </c:pt>
                <c:pt idx="424">
                  <c:v>#N/A</c:v>
                </c:pt>
                <c:pt idx="425">
                  <c:v>#N/A</c:v>
                </c:pt>
                <c:pt idx="426">
                  <c:v>#N/A</c:v>
                </c:pt>
                <c:pt idx="427">
                  <c:v>16.664417837192936</c:v>
                </c:pt>
                <c:pt idx="428">
                  <c:v>#N/A</c:v>
                </c:pt>
                <c:pt idx="429">
                  <c:v>#N/A</c:v>
                </c:pt>
                <c:pt idx="430">
                  <c:v>15.824961146032836</c:v>
                </c:pt>
                <c:pt idx="431">
                  <c:v>#N/A</c:v>
                </c:pt>
                <c:pt idx="432">
                  <c:v>14.355292603193565</c:v>
                </c:pt>
                <c:pt idx="433">
                  <c:v>#N/A</c:v>
                </c:pt>
                <c:pt idx="434">
                  <c:v>#N/A</c:v>
                </c:pt>
                <c:pt idx="435">
                  <c:v>#N/A</c:v>
                </c:pt>
                <c:pt idx="436">
                  <c:v>#N/A</c:v>
                </c:pt>
                <c:pt idx="437">
                  <c:v>#N/A</c:v>
                </c:pt>
                <c:pt idx="438">
                  <c:v>14.654487396928399</c:v>
                </c:pt>
                <c:pt idx="439">
                  <c:v>#N/A</c:v>
                </c:pt>
                <c:pt idx="440">
                  <c:v>16.194626418326791</c:v>
                </c:pt>
                <c:pt idx="441">
                  <c:v>17.180162633312495</c:v>
                </c:pt>
                <c:pt idx="442">
                  <c:v>#N/A</c:v>
                </c:pt>
                <c:pt idx="443">
                  <c:v>#N/A</c:v>
                </c:pt>
                <c:pt idx="444">
                  <c:v>17.177680258175965</c:v>
                </c:pt>
              </c:numCache>
            </c:numRef>
          </c:val>
          <c:smooth val="0"/>
          <c:extLst>
            <c:ext xmlns:c16="http://schemas.microsoft.com/office/drawing/2014/chart" uri="{C3380CC4-5D6E-409C-BE32-E72D297353CC}">
              <c16:uniqueId val="{00000002-8300-41F5-9645-509B7E2CCC2A}"/>
            </c:ext>
          </c:extLst>
        </c:ser>
        <c:dLbls>
          <c:showLegendKey val="0"/>
          <c:showVal val="0"/>
          <c:showCatName val="0"/>
          <c:showSerName val="0"/>
          <c:showPercent val="0"/>
          <c:showBubbleSize val="0"/>
        </c:dLbls>
        <c:smooth val="0"/>
        <c:axId val="1502977295"/>
        <c:axId val="1502980655"/>
      </c:lineChart>
      <c:catAx>
        <c:axId val="1502977295"/>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rgbClr val="00FF00"/>
            </a:solidFill>
            <a:round/>
          </a:ln>
          <a:effectLst/>
        </c:spPr>
        <c:txPr>
          <a:bodyPr rot="-60000000" spcFirstLastPara="1" vertOverflow="ellipsis" vert="horz" wrap="square" anchor="ctr" anchorCtr="1"/>
          <a:lstStyle/>
          <a:p>
            <a:pPr>
              <a:defRPr sz="900" b="0" i="0" u="none" strike="noStrike" kern="1200" baseline="0">
                <a:solidFill>
                  <a:srgbClr val="00D600"/>
                </a:solidFill>
                <a:latin typeface="+mn-lt"/>
                <a:ea typeface="+mn-ea"/>
                <a:cs typeface="+mn-cs"/>
              </a:defRPr>
            </a:pPr>
            <a:endParaRPr lang="en-US"/>
          </a:p>
        </c:txPr>
        <c:crossAx val="1502980655"/>
        <c:crosses val="autoZero"/>
        <c:auto val="1"/>
        <c:lblAlgn val="ctr"/>
        <c:lblOffset val="0"/>
        <c:tickLblSkip val="100"/>
        <c:tickMarkSkip val="100"/>
        <c:noMultiLvlLbl val="0"/>
      </c:catAx>
      <c:valAx>
        <c:axId val="15029806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cap="all" baseline="0">
                    <a:solidFill>
                      <a:srgbClr val="00D600"/>
                    </a:solidFill>
                    <a:latin typeface="+mn-lt"/>
                    <a:ea typeface="+mn-ea"/>
                    <a:cs typeface="+mn-cs"/>
                  </a:defRPr>
                </a:pPr>
                <a:r>
                  <a:rPr lang="en-US" sz="1050">
                    <a:solidFill>
                      <a:srgbClr val="00D600"/>
                    </a:solidFill>
                  </a:rPr>
                  <a:t>Strategy Risk Units</a:t>
                </a:r>
              </a:p>
            </c:rich>
          </c:tx>
          <c:layout>
            <c:manualLayout>
              <c:xMode val="edge"/>
              <c:yMode val="edge"/>
              <c:x val="0.96596736596736599"/>
              <c:y val="0.45511640467324266"/>
            </c:manualLayout>
          </c:layout>
          <c:overlay val="0"/>
          <c:spPr>
            <a:noFill/>
            <a:ln>
              <a:noFill/>
            </a:ln>
            <a:effectLst/>
          </c:spPr>
          <c:txPr>
            <a:bodyPr rot="-5400000" spcFirstLastPara="1" vertOverflow="ellipsis" vert="horz" wrap="square" anchor="ctr" anchorCtr="1"/>
            <a:lstStyle/>
            <a:p>
              <a:pPr>
                <a:defRPr sz="1050" b="1" i="0" u="none" strike="noStrike" kern="1200" cap="all" baseline="0">
                  <a:solidFill>
                    <a:srgbClr val="00D600"/>
                  </a:solidFill>
                  <a:latin typeface="+mn-lt"/>
                  <a:ea typeface="+mn-ea"/>
                  <a:cs typeface="+mn-cs"/>
                </a:defRPr>
              </a:pPr>
              <a:endParaRPr lang="en-US"/>
            </a:p>
          </c:txPr>
        </c:title>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1200" b="1" i="0" u="none" strike="noStrike" kern="1200" baseline="0">
                <a:solidFill>
                  <a:srgbClr val="00D600"/>
                </a:solidFill>
                <a:latin typeface="+mn-lt"/>
                <a:ea typeface="+mn-ea"/>
                <a:cs typeface="+mn-cs"/>
              </a:defRPr>
            </a:pPr>
            <a:endParaRPr lang="en-US"/>
          </a:p>
        </c:txPr>
        <c:crossAx val="1502977295"/>
        <c:crosses val="autoZero"/>
        <c:crossBetween val="between"/>
      </c:valAx>
      <c:spPr>
        <a:noFill/>
        <a:ln>
          <a:noFill/>
        </a:ln>
        <a:effectLst/>
      </c:spPr>
    </c:plotArea>
    <c:legend>
      <c:legendPos val="t"/>
      <c:layout>
        <c:manualLayout>
          <c:xMode val="edge"/>
          <c:yMode val="edge"/>
          <c:x val="9.26215947144538E-3"/>
          <c:y val="1.5294920264930787E-2"/>
          <c:w val="0.2035445017648656"/>
          <c:h val="0.15373072950718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ysClr val="windowText" lastClr="000000"/>
      </a:solidFill>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lumMod val="60000"/>
                    <a:lumOff val="40000"/>
                  </a:schemeClr>
                </a:solidFill>
              </a:rPr>
              <a:t>The Strategy Risk Units</a:t>
            </a:r>
          </a:p>
          <a:p>
            <a:pPr>
              <a:defRPr>
                <a:solidFill>
                  <a:schemeClr val="accent4">
                    <a:lumMod val="60000"/>
                    <a:lumOff val="40000"/>
                  </a:schemeClr>
                </a:solidFill>
              </a:defRPr>
            </a:pPr>
            <a:r>
              <a:rPr lang="en-US" sz="1050" b="0">
                <a:solidFill>
                  <a:schemeClr val="accent4">
                    <a:lumMod val="60000"/>
                    <a:lumOff val="40000"/>
                  </a:schemeClr>
                </a:solidFill>
              </a:rPr>
              <a:t>NOT SPY Stocks</a:t>
            </a:r>
          </a:p>
        </c:rich>
      </c:tx>
      <c:layout>
        <c:manualLayout>
          <c:xMode val="edge"/>
          <c:yMode val="edge"/>
          <c:x val="0.3333845786759172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1.4890516307839144E-2"/>
          <c:y val="9.8339350180505422E-2"/>
          <c:w val="0.89048650037626398"/>
          <c:h val="0.85324123293252607"/>
        </c:manualLayout>
      </c:layout>
      <c:lineChart>
        <c:grouping val="standard"/>
        <c:varyColors val="0"/>
        <c:ser>
          <c:idx val="0"/>
          <c:order val="0"/>
          <c:tx>
            <c:v>Non S&amp;P 500 Stocks (All)</c:v>
          </c:tx>
          <c:spPr>
            <a:ln w="28575" cap="rnd">
              <a:solidFill>
                <a:schemeClr val="tx1"/>
              </a:solidFill>
              <a:round/>
            </a:ln>
            <a:effectLst>
              <a:outerShdw blurRad="50800" dist="38100" dir="2700000" algn="tl" rotWithShape="0">
                <a:srgbClr val="00B0F0">
                  <a:alpha val="40000"/>
                </a:srgbClr>
              </a:outerShdw>
            </a:effectLst>
          </c:spPr>
          <c:marker>
            <c:symbol val="none"/>
          </c:marker>
          <c:val>
            <c:numRef>
              <c:f>'2025-Q1'!$EU$4:$EU$448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-0.12064805239572692</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0.36924404731901972</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1.0716395000189796</c:v>
                </c:pt>
                <c:pt idx="117">
                  <c:v>#N/A</c:v>
                </c:pt>
                <c:pt idx="118">
                  <c:v>#N/A</c:v>
                </c:pt>
                <c:pt idx="119">
                  <c:v>#N/A</c:v>
                </c:pt>
                <c:pt idx="120">
                  <c:v>#N/A</c:v>
                </c:pt>
                <c:pt idx="121">
                  <c:v>#N/A</c:v>
                </c:pt>
                <c:pt idx="122">
                  <c:v>#N/A</c:v>
                </c:pt>
                <c:pt idx="123">
                  <c:v>#N/A</c:v>
                </c:pt>
                <c:pt idx="124">
                  <c:v>#N/A</c:v>
                </c:pt>
                <c:pt idx="125">
                  <c:v>#N/A</c:v>
                </c:pt>
                <c:pt idx="126">
                  <c:v>1.1239498749099988</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4.4678969311627315</c:v>
                </c:pt>
                <c:pt idx="141">
                  <c:v>3.6607880634812626</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9.249241061260685</c:v>
                </c:pt>
                <c:pt idx="198">
                  <c:v>9.3354479578124092</c:v>
                </c:pt>
                <c:pt idx="199">
                  <c:v>10.627079042355536</c:v>
                </c:pt>
                <c:pt idx="200">
                  <c:v>8.6976363361477631</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9.5634372019486271</c:v>
                </c:pt>
                <c:pt idx="221">
                  <c:v>#N/A</c:v>
                </c:pt>
                <c:pt idx="222">
                  <c:v>#N/A</c:v>
                </c:pt>
                <c:pt idx="223">
                  <c:v>#N/A</c:v>
                </c:pt>
                <c:pt idx="224">
                  <c:v>#N/A</c:v>
                </c:pt>
                <c:pt idx="225">
                  <c:v>#N/A</c:v>
                </c:pt>
                <c:pt idx="226">
                  <c:v>#N/A</c:v>
                </c:pt>
                <c:pt idx="227">
                  <c:v>#N/A</c:v>
                </c:pt>
                <c:pt idx="228">
                  <c:v>#N/A</c:v>
                </c:pt>
                <c:pt idx="229">
                  <c:v>#N/A</c:v>
                </c:pt>
                <c:pt idx="230">
                  <c:v>#N/A</c:v>
                </c:pt>
                <c:pt idx="231">
                  <c:v>#N/A</c:v>
                </c:pt>
                <c:pt idx="232">
                  <c:v>9.6624373009487261</c:v>
                </c:pt>
                <c:pt idx="233">
                  <c:v>9.8205797062561366</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9.451635208341477</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11.057393790844245</c:v>
                </c:pt>
                <c:pt idx="291">
                  <c:v>11.897259412344805</c:v>
                </c:pt>
                <c:pt idx="292">
                  <c:v>#N/A</c:v>
                </c:pt>
                <c:pt idx="293">
                  <c:v>#N/A</c:v>
                </c:pt>
                <c:pt idx="294">
                  <c:v>#N/A</c:v>
                </c:pt>
                <c:pt idx="295">
                  <c:v>13.052319137384245</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18.26810233749643</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19.588563944242992</c:v>
                </c:pt>
                <c:pt idx="330">
                  <c:v>#N/A</c:v>
                </c:pt>
                <c:pt idx="331">
                  <c:v>#N/A</c:v>
                </c:pt>
                <c:pt idx="332">
                  <c:v>#N/A</c:v>
                </c:pt>
                <c:pt idx="333">
                  <c:v>#N/A</c:v>
                </c:pt>
                <c:pt idx="334">
                  <c:v>#N/A</c:v>
                </c:pt>
                <c:pt idx="335">
                  <c:v>#N/A</c:v>
                </c:pt>
                <c:pt idx="336">
                  <c:v>#N/A</c:v>
                </c:pt>
                <c:pt idx="337">
                  <c:v>#N/A</c:v>
                </c:pt>
                <c:pt idx="338">
                  <c:v>#N/A</c:v>
                </c:pt>
                <c:pt idx="339">
                  <c:v>#N/A</c:v>
                </c:pt>
                <c:pt idx="340">
                  <c:v>23.047773404024618</c:v>
                </c:pt>
                <c:pt idx="341">
                  <c:v>#N/A</c:v>
                </c:pt>
                <c:pt idx="342">
                  <c:v>#N/A</c:v>
                </c:pt>
                <c:pt idx="343">
                  <c:v>#N/A</c:v>
                </c:pt>
                <c:pt idx="344">
                  <c:v>#N/A</c:v>
                </c:pt>
                <c:pt idx="345">
                  <c:v>#N/A</c:v>
                </c:pt>
                <c:pt idx="346">
                  <c:v>#N/A</c:v>
                </c:pt>
                <c:pt idx="347">
                  <c:v>25.963207329073928</c:v>
                </c:pt>
                <c:pt idx="348">
                  <c:v>24.679519385811517</c:v>
                </c:pt>
                <c:pt idx="349">
                  <c:v>#N/A</c:v>
                </c:pt>
                <c:pt idx="350">
                  <c:v>#N/A</c:v>
                </c:pt>
                <c:pt idx="351">
                  <c:v>#N/A</c:v>
                </c:pt>
                <c:pt idx="352">
                  <c:v>#N/A</c:v>
                </c:pt>
                <c:pt idx="353">
                  <c:v>#N/A</c:v>
                </c:pt>
                <c:pt idx="354">
                  <c:v>#N/A</c:v>
                </c:pt>
                <c:pt idx="355">
                  <c:v>#N/A</c:v>
                </c:pt>
                <c:pt idx="356">
                  <c:v>#N/A</c:v>
                </c:pt>
                <c:pt idx="357">
                  <c:v>#N/A</c:v>
                </c:pt>
                <c:pt idx="358">
                  <c:v>27.171368477567455</c:v>
                </c:pt>
                <c:pt idx="359">
                  <c:v>#N/A</c:v>
                </c:pt>
                <c:pt idx="360">
                  <c:v>#N/A</c:v>
                </c:pt>
                <c:pt idx="361">
                  <c:v>#N/A</c:v>
                </c:pt>
                <c:pt idx="362">
                  <c:v>25.942803023782428</c:v>
                </c:pt>
                <c:pt idx="363">
                  <c:v>#N/A</c:v>
                </c:pt>
                <c:pt idx="364">
                  <c:v>#N/A</c:v>
                </c:pt>
                <c:pt idx="365">
                  <c:v>#N/A</c:v>
                </c:pt>
                <c:pt idx="366">
                  <c:v>#N/A</c:v>
                </c:pt>
                <c:pt idx="367">
                  <c:v>#N/A</c:v>
                </c:pt>
                <c:pt idx="368">
                  <c:v>#N/A</c:v>
                </c:pt>
                <c:pt idx="369">
                  <c:v>#N/A</c:v>
                </c:pt>
                <c:pt idx="370">
                  <c:v>#N/A</c:v>
                </c:pt>
                <c:pt idx="371">
                  <c:v>#N/A</c:v>
                </c:pt>
                <c:pt idx="372">
                  <c:v>25.845715645141652</c:v>
                </c:pt>
                <c:pt idx="373">
                  <c:v>#N/A</c:v>
                </c:pt>
                <c:pt idx="374">
                  <c:v>#N/A</c:v>
                </c:pt>
                <c:pt idx="375">
                  <c:v>#N/A</c:v>
                </c:pt>
                <c:pt idx="376">
                  <c:v>28.381163854706664</c:v>
                </c:pt>
                <c:pt idx="377">
                  <c:v>#N/A</c:v>
                </c:pt>
                <c:pt idx="378">
                  <c:v>#N/A</c:v>
                </c:pt>
                <c:pt idx="379">
                  <c:v>#N/A</c:v>
                </c:pt>
                <c:pt idx="380">
                  <c:v>#N/A</c:v>
                </c:pt>
                <c:pt idx="381">
                  <c:v>#N/A</c:v>
                </c:pt>
                <c:pt idx="382">
                  <c:v>#N/A</c:v>
                </c:pt>
                <c:pt idx="383">
                  <c:v>#N/A</c:v>
                </c:pt>
                <c:pt idx="384">
                  <c:v>27.441930370087398</c:v>
                </c:pt>
                <c:pt idx="385">
                  <c:v>#N/A</c:v>
                </c:pt>
                <c:pt idx="386">
                  <c:v>#N/A</c:v>
                </c:pt>
                <c:pt idx="387">
                  <c:v>#N/A</c:v>
                </c:pt>
                <c:pt idx="388">
                  <c:v>#N/A</c:v>
                </c:pt>
                <c:pt idx="389">
                  <c:v>#N/A</c:v>
                </c:pt>
                <c:pt idx="390">
                  <c:v>#N/A</c:v>
                </c:pt>
                <c:pt idx="391">
                  <c:v>#N/A</c:v>
                </c:pt>
                <c:pt idx="392">
                  <c:v>#N/A</c:v>
                </c:pt>
                <c:pt idx="393">
                  <c:v>#N/A</c:v>
                </c:pt>
                <c:pt idx="394">
                  <c:v>#N/A</c:v>
                </c:pt>
                <c:pt idx="395">
                  <c:v>#N/A</c:v>
                </c:pt>
                <c:pt idx="396">
                  <c:v>29.370577026222207</c:v>
                </c:pt>
                <c:pt idx="397">
                  <c:v>#N/A</c:v>
                </c:pt>
                <c:pt idx="398">
                  <c:v>28.822428878074057</c:v>
                </c:pt>
                <c:pt idx="399">
                  <c:v>30.946101582633709</c:v>
                </c:pt>
                <c:pt idx="400">
                  <c:v>30.230514801473156</c:v>
                </c:pt>
                <c:pt idx="401">
                  <c:v>#N/A</c:v>
                </c:pt>
                <c:pt idx="402">
                  <c:v>#N/A</c:v>
                </c:pt>
                <c:pt idx="403">
                  <c:v>29.000557625893034</c:v>
                </c:pt>
                <c:pt idx="404">
                  <c:v>#N/A</c:v>
                </c:pt>
                <c:pt idx="405">
                  <c:v>#N/A</c:v>
                </c:pt>
                <c:pt idx="406">
                  <c:v>28.252140815300059</c:v>
                </c:pt>
                <c:pt idx="407">
                  <c:v>30.327887355722492</c:v>
                </c:pt>
                <c:pt idx="408">
                  <c:v>31.725933753768889</c:v>
                </c:pt>
                <c:pt idx="409">
                  <c:v>#N/A</c:v>
                </c:pt>
                <c:pt idx="410">
                  <c:v>32.738990935218688</c:v>
                </c:pt>
                <c:pt idx="411">
                  <c:v>36.897171519061189</c:v>
                </c:pt>
                <c:pt idx="412">
                  <c:v>37.258586637411916</c:v>
                </c:pt>
                <c:pt idx="413">
                  <c:v>38.085032918403655</c:v>
                </c:pt>
                <c:pt idx="414">
                  <c:v>40.311240979175977</c:v>
                </c:pt>
                <c:pt idx="415">
                  <c:v>40.81412171984271</c:v>
                </c:pt>
                <c:pt idx="416">
                  <c:v>41.029906021000684</c:v>
                </c:pt>
                <c:pt idx="417">
                  <c:v>38.480282475483911</c:v>
                </c:pt>
                <c:pt idx="418">
                  <c:v>#N/A</c:v>
                </c:pt>
                <c:pt idx="419">
                  <c:v>#N/A</c:v>
                </c:pt>
                <c:pt idx="420">
                  <c:v>#N/A</c:v>
                </c:pt>
                <c:pt idx="421">
                  <c:v>#N/A</c:v>
                </c:pt>
                <c:pt idx="422">
                  <c:v>43.026645385156172</c:v>
                </c:pt>
                <c:pt idx="423">
                  <c:v>#N/A</c:v>
                </c:pt>
                <c:pt idx="424">
                  <c:v>42.633317738487605</c:v>
                </c:pt>
                <c:pt idx="425">
                  <c:v>43.587079374379563</c:v>
                </c:pt>
                <c:pt idx="426">
                  <c:v>44.256657249197609</c:v>
                </c:pt>
                <c:pt idx="427">
                  <c:v>#N/A</c:v>
                </c:pt>
                <c:pt idx="428">
                  <c:v>45.491544986676018</c:v>
                </c:pt>
                <c:pt idx="429">
                  <c:v>48.351505538944259</c:v>
                </c:pt>
                <c:pt idx="430">
                  <c:v>#N/A</c:v>
                </c:pt>
                <c:pt idx="431">
                  <c:v>46.8298634148925</c:v>
                </c:pt>
                <c:pt idx="432">
                  <c:v>#N/A</c:v>
                </c:pt>
                <c:pt idx="433">
                  <c:v>44.511510209960271</c:v>
                </c:pt>
                <c:pt idx="434">
                  <c:v>44.607021193723405</c:v>
                </c:pt>
                <c:pt idx="435">
                  <c:v>41.874323905109918</c:v>
                </c:pt>
                <c:pt idx="436">
                  <c:v>#N/A</c:v>
                </c:pt>
                <c:pt idx="437">
                  <c:v>43.11851934221874</c:v>
                </c:pt>
                <c:pt idx="438">
                  <c:v>#N/A</c:v>
                </c:pt>
                <c:pt idx="439">
                  <c:v>#N/A</c:v>
                </c:pt>
                <c:pt idx="440">
                  <c:v>#N/A</c:v>
                </c:pt>
                <c:pt idx="441">
                  <c:v>#N/A</c:v>
                </c:pt>
                <c:pt idx="442">
                  <c:v>#N/A</c:v>
                </c:pt>
                <c:pt idx="443">
                  <c:v>43.535062037845044</c:v>
                </c:pt>
                <c:pt idx="444">
                  <c:v>#N/A</c:v>
                </c:pt>
              </c:numCache>
            </c:numRef>
          </c:val>
          <c:smooth val="0"/>
          <c:extLst>
            <c:ext xmlns:c16="http://schemas.microsoft.com/office/drawing/2014/chart" uri="{C3380CC4-5D6E-409C-BE32-E72D297353CC}">
              <c16:uniqueId val="{00000000-96AA-4173-BAE2-855423367C69}"/>
            </c:ext>
          </c:extLst>
        </c:ser>
        <c:ser>
          <c:idx val="1"/>
          <c:order val="1"/>
          <c:tx>
            <c:v>Up Trends</c:v>
          </c:tx>
          <c:spPr>
            <a:ln w="12700" cap="rnd">
              <a:solidFill>
                <a:srgbClr val="00FF00"/>
              </a:solidFill>
              <a:round/>
            </a:ln>
            <a:effectLst/>
          </c:spPr>
          <c:marker>
            <c:symbol val="none"/>
          </c:marker>
          <c:val>
            <c:numRef>
              <c:f>'2025-Q1'!$EW$4:$EW$448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0.48989209971474662</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0.54220247460576587</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3.8861495308584986</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1.9567068246507255</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2.7965724461512869</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8.0123556462634724</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6.7286677030010615</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5.5001022492160336</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6.0029829898827662</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0-57DE-4ED1-8F1D-0835CBEB4A25}"/>
            </c:ext>
          </c:extLst>
        </c:ser>
        <c:ser>
          <c:idx val="2"/>
          <c:order val="2"/>
          <c:tx>
            <c:v>Sideways</c:v>
          </c:tx>
          <c:spPr>
            <a:ln w="12700" cap="rnd">
              <a:solidFill>
                <a:srgbClr val="00B0F0"/>
              </a:solidFill>
              <a:round/>
            </a:ln>
            <a:effectLst/>
          </c:spPr>
          <c:marker>
            <c:symbol val="none"/>
          </c:marker>
          <c:val>
            <c:numRef>
              <c:f>'2025-Q1'!$EY$4:$EY$448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-0.12064805239572692</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-0.92775692007719568</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-0.82875682107709725</c:v>
                </c:pt>
                <c:pt idx="233">
                  <c:v>-0.67061441576968617</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0.93514416673308143</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2.2556057734796426</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5.1710396985289524</c:v>
                </c:pt>
                <c:pt idx="348">
                  <c:v>#N/A</c:v>
                </c:pt>
                <c:pt idx="349">
                  <c:v>#N/A</c:v>
                </c:pt>
                <c:pt idx="350">
                  <c:v>#N/A</c:v>
                </c:pt>
                <c:pt idx="351">
                  <c:v>#N/A</c:v>
                </c:pt>
                <c:pt idx="352">
                  <c:v>#N/A</c:v>
                </c:pt>
                <c:pt idx="353">
                  <c:v>#N/A</c:v>
                </c:pt>
                <c:pt idx="354">
                  <c:v>#N/A</c:v>
                </c:pt>
                <c:pt idx="355">
                  <c:v>#N/A</c:v>
                </c:pt>
                <c:pt idx="356">
                  <c:v>#N/A</c:v>
                </c:pt>
                <c:pt idx="357">
                  <c:v>#N/A</c:v>
                </c:pt>
                <c:pt idx="358">
                  <c:v>7.6628887902848923</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7.5658014116441166</c:v>
                </c:pt>
                <c:pt idx="373">
                  <c:v>#N/A</c:v>
                </c:pt>
                <c:pt idx="374">
                  <c:v>#N/A</c:v>
                </c:pt>
                <c:pt idx="375">
                  <c:v>#N/A</c:v>
                </c:pt>
                <c:pt idx="376">
                  <c:v>10.101249621209128</c:v>
                </c:pt>
                <c:pt idx="377">
                  <c:v>#N/A</c:v>
                </c:pt>
                <c:pt idx="378">
                  <c:v>#N/A</c:v>
                </c:pt>
                <c:pt idx="379">
                  <c:v>#N/A</c:v>
                </c:pt>
                <c:pt idx="380">
                  <c:v>#N/A</c:v>
                </c:pt>
                <c:pt idx="381">
                  <c:v>#N/A</c:v>
                </c:pt>
                <c:pt idx="382">
                  <c:v>#N/A</c:v>
                </c:pt>
                <c:pt idx="383">
                  <c:v>#N/A</c:v>
                </c:pt>
                <c:pt idx="384">
                  <c:v>9.1620161365898625</c:v>
                </c:pt>
                <c:pt idx="385">
                  <c:v>#N/A</c:v>
                </c:pt>
                <c:pt idx="386">
                  <c:v>#N/A</c:v>
                </c:pt>
                <c:pt idx="387">
                  <c:v>#N/A</c:v>
                </c:pt>
                <c:pt idx="388">
                  <c:v>#N/A</c:v>
                </c:pt>
                <c:pt idx="389">
                  <c:v>#N/A</c:v>
                </c:pt>
                <c:pt idx="390">
                  <c:v>#N/A</c:v>
                </c:pt>
                <c:pt idx="391">
                  <c:v>#N/A</c:v>
                </c:pt>
                <c:pt idx="392">
                  <c:v>#N/A</c:v>
                </c:pt>
                <c:pt idx="393">
                  <c:v>#N/A</c:v>
                </c:pt>
                <c:pt idx="394">
                  <c:v>#N/A</c:v>
                </c:pt>
                <c:pt idx="395">
                  <c:v>#N/A</c:v>
                </c:pt>
                <c:pt idx="396">
                  <c:v>11.09066279272467</c:v>
                </c:pt>
                <c:pt idx="397">
                  <c:v>#N/A</c:v>
                </c:pt>
                <c:pt idx="398">
                  <c:v>10.542514644576519</c:v>
                </c:pt>
                <c:pt idx="399">
                  <c:v>#N/A</c:v>
                </c:pt>
                <c:pt idx="400">
                  <c:v>9.8269278634159658</c:v>
                </c:pt>
                <c:pt idx="401">
                  <c:v>#N/A</c:v>
                </c:pt>
                <c:pt idx="402">
                  <c:v>#N/A</c:v>
                </c:pt>
                <c:pt idx="403">
                  <c:v>8.5969706878358441</c:v>
                </c:pt>
                <c:pt idx="404">
                  <c:v>#N/A</c:v>
                </c:pt>
                <c:pt idx="405">
                  <c:v>#N/A</c:v>
                </c:pt>
                <c:pt idx="406">
                  <c:v>#N/A</c:v>
                </c:pt>
                <c:pt idx="407">
                  <c:v>#N/A</c:v>
                </c:pt>
                <c:pt idx="408">
                  <c:v>9.9950170858822425</c:v>
                </c:pt>
                <c:pt idx="409">
                  <c:v>#N/A</c:v>
                </c:pt>
                <c:pt idx="410">
                  <c:v>#N/A</c:v>
                </c:pt>
                <c:pt idx="411">
                  <c:v>#N/A</c:v>
                </c:pt>
                <c:pt idx="412">
                  <c:v>10.35643220423297</c:v>
                </c:pt>
                <c:pt idx="413">
                  <c:v>#N/A</c:v>
                </c:pt>
                <c:pt idx="414">
                  <c:v>12.582640265005288</c:v>
                </c:pt>
                <c:pt idx="415">
                  <c:v>#N/A</c:v>
                </c:pt>
                <c:pt idx="416">
                  <c:v>#N/A</c:v>
                </c:pt>
                <c:pt idx="417">
                  <c:v>#N/A</c:v>
                </c:pt>
                <c:pt idx="418">
                  <c:v>#N/A</c:v>
                </c:pt>
                <c:pt idx="419">
                  <c:v>#N/A</c:v>
                </c:pt>
                <c:pt idx="420">
                  <c:v>#N/A</c:v>
                </c:pt>
                <c:pt idx="421">
                  <c:v>#N/A</c:v>
                </c:pt>
                <c:pt idx="422">
                  <c:v>#N/A</c:v>
                </c:pt>
                <c:pt idx="423">
                  <c:v>#N/A</c:v>
                </c:pt>
                <c:pt idx="424">
                  <c:v>12.189312618336725</c:v>
                </c:pt>
                <c:pt idx="425">
                  <c:v>#N/A</c:v>
                </c:pt>
                <c:pt idx="426">
                  <c:v>#N/A</c:v>
                </c:pt>
                <c:pt idx="427">
                  <c:v>#N/A</c:v>
                </c:pt>
                <c:pt idx="428">
                  <c:v>#N/A</c:v>
                </c:pt>
                <c:pt idx="429">
                  <c:v>#N/A</c:v>
                </c:pt>
                <c:pt idx="430">
                  <c:v>#N/A</c:v>
                </c:pt>
                <c:pt idx="431">
                  <c:v>#N/A</c:v>
                </c:pt>
                <c:pt idx="432">
                  <c:v>#N/A</c:v>
                </c:pt>
                <c:pt idx="433">
                  <c:v>#N/A</c:v>
                </c:pt>
                <c:pt idx="434">
                  <c:v>12.284823602099857</c:v>
                </c:pt>
                <c:pt idx="435">
                  <c:v>9.5521263134863688</c:v>
                </c:pt>
                <c:pt idx="436">
                  <c:v>#N/A</c:v>
                </c:pt>
                <c:pt idx="437">
                  <c:v>10.79632175059519</c:v>
                </c:pt>
                <c:pt idx="438">
                  <c:v>#N/A</c:v>
                </c:pt>
                <c:pt idx="439">
                  <c:v>#N/A</c:v>
                </c:pt>
                <c:pt idx="440">
                  <c:v>#N/A</c:v>
                </c:pt>
                <c:pt idx="441">
                  <c:v>#N/A</c:v>
                </c:pt>
                <c:pt idx="442">
                  <c:v>#N/A</c:v>
                </c:pt>
                <c:pt idx="443">
                  <c:v>11.212864446221495</c:v>
                </c:pt>
                <c:pt idx="444">
                  <c:v>#N/A</c:v>
                </c:pt>
              </c:numCache>
            </c:numRef>
          </c:val>
          <c:smooth val="0"/>
          <c:extLst>
            <c:ext xmlns:c16="http://schemas.microsoft.com/office/drawing/2014/chart" uri="{C3380CC4-5D6E-409C-BE32-E72D297353CC}">
              <c16:uniqueId val="{00000001-57DE-4ED1-8F1D-0835CBEB4A25}"/>
            </c:ext>
          </c:extLst>
        </c:ser>
        <c:ser>
          <c:idx val="3"/>
          <c:order val="3"/>
          <c:tx>
            <c:v>Down Trends</c:v>
          </c:tx>
          <c:spPr>
            <a:ln w="12700" cap="rnd">
              <a:solidFill>
                <a:srgbClr val="FFC000"/>
              </a:solidFill>
              <a:round/>
            </a:ln>
            <a:effectLst/>
          </c:spPr>
          <c:marker>
            <c:symbol val="none"/>
          </c:marker>
          <c:val>
            <c:numRef>
              <c:f>'2025-Q1'!$FA$4:$FA$448</c:f>
              <c:numCache>
                <c:formatCode>0.00</c:formatCode>
                <c:ptCount val="4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0.70239545269995984</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6.2908484504793822</c:v>
                </c:pt>
                <c:pt idx="198">
                  <c:v>6.3770553470311073</c:v>
                </c:pt>
                <c:pt idx="199">
                  <c:v>7.6686864315742342</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8.5344872973750991</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8.1655427994604395</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9.3206025244998791</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12.779811984281505</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14.903484688841157</c:v>
                </c:pt>
                <c:pt idx="400">
                  <c:v>#N/A</c:v>
                </c:pt>
                <c:pt idx="401">
                  <c:v>#N/A</c:v>
                </c:pt>
                <c:pt idx="402">
                  <c:v>#N/A</c:v>
                </c:pt>
                <c:pt idx="403">
                  <c:v>#N/A</c:v>
                </c:pt>
                <c:pt idx="404">
                  <c:v>#N/A</c:v>
                </c:pt>
                <c:pt idx="405">
                  <c:v>#N/A</c:v>
                </c:pt>
                <c:pt idx="406">
                  <c:v>14.155067878248184</c:v>
                </c:pt>
                <c:pt idx="407">
                  <c:v>16.230814418670619</c:v>
                </c:pt>
                <c:pt idx="408">
                  <c:v>#N/A</c:v>
                </c:pt>
                <c:pt idx="409">
                  <c:v>#N/A</c:v>
                </c:pt>
                <c:pt idx="410">
                  <c:v>17.243871600120418</c:v>
                </c:pt>
                <c:pt idx="411">
                  <c:v>21.402052183962915</c:v>
                </c:pt>
                <c:pt idx="412">
                  <c:v>#N/A</c:v>
                </c:pt>
                <c:pt idx="413">
                  <c:v>22.228498464954651</c:v>
                </c:pt>
                <c:pt idx="414">
                  <c:v>#N/A</c:v>
                </c:pt>
                <c:pt idx="415">
                  <c:v>#N/A</c:v>
                </c:pt>
                <c:pt idx="416">
                  <c:v>22.444282766112622</c:v>
                </c:pt>
                <c:pt idx="417">
                  <c:v>19.894659220595852</c:v>
                </c:pt>
                <c:pt idx="418">
                  <c:v>#N/A</c:v>
                </c:pt>
                <c:pt idx="419">
                  <c:v>#N/A</c:v>
                </c:pt>
                <c:pt idx="420">
                  <c:v>#N/A</c:v>
                </c:pt>
                <c:pt idx="421">
                  <c:v>#N/A</c:v>
                </c:pt>
                <c:pt idx="422">
                  <c:v>24.441022130268113</c:v>
                </c:pt>
                <c:pt idx="423">
                  <c:v>#N/A</c:v>
                </c:pt>
                <c:pt idx="424">
                  <c:v>#N/A</c:v>
                </c:pt>
                <c:pt idx="425">
                  <c:v>25.394783766160071</c:v>
                </c:pt>
                <c:pt idx="426">
                  <c:v>26.06436164097812</c:v>
                </c:pt>
                <c:pt idx="427">
                  <c:v>#N/A</c:v>
                </c:pt>
                <c:pt idx="428">
                  <c:v>27.29924937845653</c:v>
                </c:pt>
                <c:pt idx="429">
                  <c:v>30.159209930724774</c:v>
                </c:pt>
                <c:pt idx="430">
                  <c:v>#N/A</c:v>
                </c:pt>
                <c:pt idx="431">
                  <c:v>28.637567806673012</c:v>
                </c:pt>
                <c:pt idx="432">
                  <c:v>#N/A</c:v>
                </c:pt>
                <c:pt idx="433">
                  <c:v>26.319214601740782</c:v>
                </c:pt>
                <c:pt idx="434">
                  <c:v>#N/A</c:v>
                </c:pt>
                <c:pt idx="435">
                  <c:v>#N/A</c:v>
                </c:pt>
                <c:pt idx="436">
                  <c:v>#N/A</c:v>
                </c:pt>
                <c:pt idx="437">
                  <c:v>#N/A</c:v>
                </c:pt>
                <c:pt idx="438">
                  <c:v>#N/A</c:v>
                </c:pt>
                <c:pt idx="439">
                  <c:v>#N/A</c:v>
                </c:pt>
                <c:pt idx="440">
                  <c:v>#N/A</c:v>
                </c:pt>
                <c:pt idx="441">
                  <c:v>#N/A</c:v>
                </c:pt>
                <c:pt idx="442">
                  <c:v>#N/A</c:v>
                </c:pt>
                <c:pt idx="443">
                  <c:v>#N/A</c:v>
                </c:pt>
                <c:pt idx="444">
                  <c:v>#N/A</c:v>
                </c:pt>
              </c:numCache>
            </c:numRef>
          </c:val>
          <c:smooth val="0"/>
          <c:extLst>
            <c:ext xmlns:c16="http://schemas.microsoft.com/office/drawing/2014/chart" uri="{C3380CC4-5D6E-409C-BE32-E72D297353CC}">
              <c16:uniqueId val="{00000002-57DE-4ED1-8F1D-0835CBEB4A25}"/>
            </c:ext>
          </c:extLst>
        </c:ser>
        <c:dLbls>
          <c:showLegendKey val="0"/>
          <c:showVal val="0"/>
          <c:showCatName val="0"/>
          <c:showSerName val="0"/>
          <c:showPercent val="0"/>
          <c:showBubbleSize val="0"/>
        </c:dLbls>
        <c:smooth val="0"/>
        <c:axId val="1502977295"/>
        <c:axId val="1502980655"/>
      </c:lineChart>
      <c:catAx>
        <c:axId val="1502977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low"/>
        <c:spPr>
          <a:noFill/>
          <a:ln w="9525" cap="flat" cmpd="sng" algn="ctr">
            <a:solidFill>
              <a:schemeClr val="accent4">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502980655"/>
        <c:crosses val="autoZero"/>
        <c:auto val="1"/>
        <c:lblAlgn val="ctr"/>
        <c:lblOffset val="0"/>
        <c:tickLblSkip val="100"/>
        <c:tickMarkSkip val="100"/>
        <c:noMultiLvlLbl val="0"/>
      </c:catAx>
      <c:valAx>
        <c:axId val="15029806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cap="all" baseline="0">
                    <a:solidFill>
                      <a:schemeClr val="accent4">
                        <a:lumMod val="60000"/>
                        <a:lumOff val="40000"/>
                      </a:schemeClr>
                    </a:solidFill>
                    <a:latin typeface="+mn-lt"/>
                    <a:ea typeface="+mn-ea"/>
                    <a:cs typeface="+mn-cs"/>
                  </a:defRPr>
                </a:pPr>
                <a:r>
                  <a:rPr lang="en-US" sz="1050">
                    <a:solidFill>
                      <a:schemeClr val="accent4">
                        <a:lumMod val="60000"/>
                        <a:lumOff val="40000"/>
                      </a:schemeClr>
                    </a:solidFill>
                  </a:rPr>
                  <a:t>Strategy Risk Units</a:t>
                </a:r>
              </a:p>
            </c:rich>
          </c:tx>
          <c:layout>
            <c:manualLayout>
              <c:xMode val="edge"/>
              <c:yMode val="edge"/>
              <c:x val="0.96596736596736599"/>
              <c:y val="0.45511640467324266"/>
            </c:manualLayout>
          </c:layout>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4">
                      <a:lumMod val="60000"/>
                      <a:lumOff val="40000"/>
                    </a:schemeClr>
                  </a:solidFill>
                  <a:latin typeface="+mn-lt"/>
                  <a:ea typeface="+mn-ea"/>
                  <a:cs typeface="+mn-cs"/>
                </a:defRPr>
              </a:pPr>
              <a:endParaRPr lang="en-US"/>
            </a:p>
          </c:txPr>
        </c:title>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1200" b="1" i="0" u="none" strike="noStrike" kern="1200" baseline="0">
                <a:solidFill>
                  <a:schemeClr val="accent4">
                    <a:lumMod val="60000"/>
                    <a:lumOff val="40000"/>
                  </a:schemeClr>
                </a:solidFill>
                <a:latin typeface="+mn-lt"/>
                <a:ea typeface="+mn-ea"/>
                <a:cs typeface="+mn-cs"/>
              </a:defRPr>
            </a:pPr>
            <a:endParaRPr lang="en-US"/>
          </a:p>
        </c:txPr>
        <c:crossAx val="1502977295"/>
        <c:crosses val="autoZero"/>
        <c:crossBetween val="between"/>
      </c:valAx>
      <c:spPr>
        <a:noFill/>
        <a:ln>
          <a:noFill/>
        </a:ln>
        <a:effectLst/>
      </c:spPr>
    </c:plotArea>
    <c:legend>
      <c:legendPos val="t"/>
      <c:layout>
        <c:manualLayout>
          <c:xMode val="edge"/>
          <c:yMode val="edge"/>
          <c:x val="1.1185808670467916E-2"/>
          <c:y val="1.0481442527265319E-2"/>
          <c:w val="0.21073168612544121"/>
          <c:h val="0.16095094611368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ysClr val="windowText" lastClr="000000"/>
      </a:solidFill>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SPY vs. Not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Risk Units</c:v>
          </c:tx>
          <c:spPr>
            <a:solidFill>
              <a:schemeClr val="accent1"/>
            </a:solidFill>
            <a:ln>
              <a:noFill/>
            </a:ln>
            <a:effectLst/>
          </c:spPr>
          <c:invertIfNegative val="0"/>
          <c:dPt>
            <c:idx val="0"/>
            <c:invertIfNegative val="0"/>
            <c:bubble3D val="0"/>
            <c:spPr>
              <a:solidFill>
                <a:schemeClr val="accent3">
                  <a:lumMod val="60000"/>
                  <a:lumOff val="40000"/>
                </a:schemeClr>
              </a:solidFill>
              <a:ln>
                <a:solidFill>
                  <a:sysClr val="windowText" lastClr="000000"/>
                </a:solidFill>
              </a:ln>
              <a:effectLst/>
            </c:spPr>
            <c:extLst>
              <c:ext xmlns:c16="http://schemas.microsoft.com/office/drawing/2014/chart" uri="{C3380CC4-5D6E-409C-BE32-E72D297353CC}">
                <c16:uniqueId val="{00000001-ED57-4B9E-ACB1-607F7067BDF8}"/>
              </c:ext>
            </c:extLst>
          </c:dPt>
          <c:dPt>
            <c:idx val="1"/>
            <c:invertIfNegative val="0"/>
            <c:bubble3D val="0"/>
            <c:spPr>
              <a:solidFill>
                <a:schemeClr val="accent3"/>
              </a:solidFill>
              <a:ln>
                <a:solidFill>
                  <a:sysClr val="windowText" lastClr="000000"/>
                </a:solidFill>
              </a:ln>
              <a:effectLst/>
            </c:spPr>
            <c:extLst>
              <c:ext xmlns:c16="http://schemas.microsoft.com/office/drawing/2014/chart" uri="{C3380CC4-5D6E-409C-BE32-E72D297353CC}">
                <c16:uniqueId val="{00000003-ED57-4B9E-ACB1-607F7067BDF8}"/>
              </c:ext>
            </c:extLst>
          </c:dPt>
          <c:dLbls>
            <c:dLbl>
              <c:idx val="1"/>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57-4B9E-ACB1-607F7067BDF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'2025-Q1'!$HV$2:$HW$2</c:f>
              <c:strCache>
                <c:ptCount val="2"/>
                <c:pt idx="0">
                  <c:v>SPY</c:v>
                </c:pt>
                <c:pt idx="1">
                  <c:v>Not SPY</c:v>
                </c:pt>
              </c:strCache>
            </c:strRef>
          </c:cat>
          <c:val>
            <c:numRef>
              <c:f>'2025-Q1'!$HV$3:$HW$3</c:f>
              <c:numCache>
                <c:formatCode>0.0</c:formatCode>
                <c:ptCount val="2"/>
                <c:pt idx="0">
                  <c:v>25.097747448600412</c:v>
                </c:pt>
                <c:pt idx="1">
                  <c:v>43.535062037845044</c:v>
                </c:pt>
              </c:numCache>
            </c:numRef>
          </c:val>
          <c:extLst>
            <c:ext xmlns:c16="http://schemas.microsoft.com/office/drawing/2014/chart" uri="{C3380CC4-5D6E-409C-BE32-E72D297353CC}">
              <c16:uniqueId val="{00000004-ED57-4B9E-ACB1-607F7067BDF8}"/>
            </c:ext>
          </c:extLst>
        </c:ser>
        <c:dLbls>
          <c:showLegendKey val="0"/>
          <c:showVal val="0"/>
          <c:showCatName val="0"/>
          <c:showSerName val="0"/>
          <c:showPercent val="0"/>
          <c:showBubbleSize val="0"/>
        </c:dLbls>
        <c:gapWidth val="50"/>
        <c:axId val="272858815"/>
        <c:axId val="272856415"/>
      </c:barChart>
      <c:lineChart>
        <c:grouping val="stacked"/>
        <c:varyColors val="0"/>
        <c:ser>
          <c:idx val="1"/>
          <c:order val="1"/>
          <c:tx>
            <c:v>Expectancy</c:v>
          </c:tx>
          <c:spPr>
            <a:ln w="28575" cap="rnd">
              <a:solidFill>
                <a:sysClr val="windowText" lastClr="000000"/>
              </a:solidFill>
              <a:round/>
            </a:ln>
            <a:effectLst/>
          </c:spPr>
          <c:marker>
            <c:symbol val="circle"/>
            <c:size val="5"/>
            <c:spPr>
              <a:solidFill>
                <a:schemeClr val="accent2"/>
              </a:solidFill>
              <a:ln w="9525">
                <a:solidFill>
                  <a:sysClr val="windowText" lastClr="000000"/>
                </a:solidFill>
              </a:ln>
              <a:effectLst/>
            </c:spPr>
          </c:marker>
          <c:dPt>
            <c:idx val="0"/>
            <c:marker>
              <c:symbol val="circle"/>
              <c:size val="7"/>
              <c:spPr>
                <a:solidFill>
                  <a:srgbClr val="00FF00"/>
                </a:solidFill>
                <a:ln w="9525">
                  <a:solidFill>
                    <a:sysClr val="windowText" lastClr="000000"/>
                  </a:solidFill>
                </a:ln>
                <a:effectLst/>
              </c:spPr>
            </c:marker>
            <c:bubble3D val="0"/>
            <c:extLst>
              <c:ext xmlns:c16="http://schemas.microsoft.com/office/drawing/2014/chart" uri="{C3380CC4-5D6E-409C-BE32-E72D297353CC}">
                <c16:uniqueId val="{00000005-ED57-4B9E-ACB1-607F7067BDF8}"/>
              </c:ext>
            </c:extLst>
          </c:dPt>
          <c:dPt>
            <c:idx val="1"/>
            <c:marker>
              <c:symbol val="circle"/>
              <c:size val="7"/>
              <c:spPr>
                <a:solidFill>
                  <a:srgbClr val="00FF00"/>
                </a:solidFill>
                <a:ln w="9525">
                  <a:solidFill>
                    <a:sysClr val="windowText" lastClr="000000"/>
                  </a:solidFill>
                </a:ln>
                <a:effectLst/>
              </c:spPr>
            </c:marker>
            <c:bubble3D val="0"/>
            <c:extLst>
              <c:ext xmlns:c16="http://schemas.microsoft.com/office/drawing/2014/chart" uri="{C3380CC4-5D6E-409C-BE32-E72D297353CC}">
                <c16:uniqueId val="{00000006-ED57-4B9E-ACB1-607F7067BDF8}"/>
              </c:ext>
            </c:extLst>
          </c:dPt>
          <c:dLbls>
            <c:spPr>
              <a:solidFill>
                <a:schemeClr val="accent3">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'2025-Q1'!$HX$3:$HY$3</c:f>
              <c:numCache>
                <c:formatCode>0.000</c:formatCode>
                <c:ptCount val="2"/>
                <c:pt idx="0">
                  <c:v>6.4353198586154903E-2</c:v>
                </c:pt>
                <c:pt idx="1">
                  <c:v>0.79154658250627352</c:v>
                </c:pt>
              </c:numCache>
            </c:numRef>
          </c:val>
          <c:smooth val="0"/>
          <c:extLst>
            <c:ext xmlns:c16="http://schemas.microsoft.com/office/drawing/2014/chart" uri="{C3380CC4-5D6E-409C-BE32-E72D297353CC}">
              <c16:uniqueId val="{00000007-ED57-4B9E-ACB1-607F7067BDF8}"/>
            </c:ext>
          </c:extLst>
        </c:ser>
        <c:dLbls>
          <c:showLegendKey val="0"/>
          <c:showVal val="0"/>
          <c:showCatName val="0"/>
          <c:showSerName val="0"/>
          <c:showPercent val="0"/>
          <c:showBubbleSize val="0"/>
        </c:dLbls>
        <c:marker val="1"/>
        <c:smooth val="0"/>
        <c:axId val="273129951"/>
        <c:axId val="273128031"/>
      </c:lineChart>
      <c:catAx>
        <c:axId val="272858815"/>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72856415"/>
        <c:crosses val="autoZero"/>
        <c:auto val="1"/>
        <c:lblAlgn val="ctr"/>
        <c:lblOffset val="100"/>
        <c:noMultiLvlLbl val="0"/>
      </c:catAx>
      <c:valAx>
        <c:axId val="27285641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2858815"/>
        <c:crosses val="autoZero"/>
        <c:crossBetween val="between"/>
      </c:valAx>
      <c:valAx>
        <c:axId val="273128031"/>
        <c:scaling>
          <c:orientation val="minMax"/>
          <c:min val="0"/>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3129951"/>
        <c:crosses val="max"/>
        <c:crossBetween val="between"/>
      </c:valAx>
      <c:catAx>
        <c:axId val="273129951"/>
        <c:scaling>
          <c:orientation val="minMax"/>
        </c:scaling>
        <c:delete val="1"/>
        <c:axPos val="b"/>
        <c:majorTickMark val="out"/>
        <c:minorTickMark val="none"/>
        <c:tickLblPos val="nextTo"/>
        <c:crossAx val="2731280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169619422572175E-2"/>
          <c:y val="5.0978511618140702E-2"/>
          <c:w val="0.82043389107611553"/>
          <c:h val="0.94609129748436782"/>
        </c:manualLayout>
      </c:layout>
      <c:pieChart>
        <c:varyColors val="1"/>
        <c:ser>
          <c:idx val="0"/>
          <c:order val="0"/>
          <c:spPr>
            <a:solidFill>
              <a:srgbClr val="92D050"/>
            </a:solidFill>
            <a:ln w="3175">
              <a:solidFill>
                <a:sysClr val="windowText" lastClr="000000"/>
              </a:solidFill>
            </a:ln>
          </c:spPr>
          <c:explosion val="11"/>
          <c:dPt>
            <c:idx val="0"/>
            <c:bubble3D val="0"/>
            <c:spPr>
              <a:solidFill>
                <a:srgbClr val="92D050"/>
              </a:solidFill>
              <a:ln w="3175">
                <a:solidFill>
                  <a:sysClr val="windowText" lastClr="000000"/>
                </a:solidFill>
              </a:ln>
              <a:effectLst/>
            </c:spPr>
            <c:extLst>
              <c:ext xmlns:c16="http://schemas.microsoft.com/office/drawing/2014/chart" uri="{C3380CC4-5D6E-409C-BE32-E72D297353CC}">
                <c16:uniqueId val="{00000002-8F97-409E-A287-06A4CF0ABB1D}"/>
              </c:ext>
            </c:extLst>
          </c:dPt>
          <c:dPt>
            <c:idx val="1"/>
            <c:bubble3D val="0"/>
            <c:spPr>
              <a:solidFill>
                <a:srgbClr val="FFFF00"/>
              </a:solidFill>
              <a:ln w="3175">
                <a:solidFill>
                  <a:sysClr val="windowText" lastClr="000000"/>
                </a:solidFill>
              </a:ln>
              <a:effectLst/>
            </c:spPr>
            <c:extLst>
              <c:ext xmlns:c16="http://schemas.microsoft.com/office/drawing/2014/chart" uri="{C3380CC4-5D6E-409C-BE32-E72D297353CC}">
                <c16:uniqueId val="{00000001-8F97-409E-A287-06A4CF0ABB1D}"/>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8296833989501313"/>
                      <c:h val="0.38793060233488358"/>
                    </c:manualLayout>
                  </c15:layout>
                </c:ext>
                <c:ext xmlns:c16="http://schemas.microsoft.com/office/drawing/2014/chart" uri="{C3380CC4-5D6E-409C-BE32-E72D297353CC}">
                  <c16:uniqueId val="{00000002-8F97-409E-A287-06A4CF0ABB1D}"/>
                </c:ext>
              </c:extLst>
            </c:dLbl>
            <c:dLbl>
              <c:idx val="1"/>
              <c:layout>
                <c:manualLayout>
                  <c:x val="0.11624671916010498"/>
                  <c:y val="6.7426548967197561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97-409E-A287-06A4CF0ABB1D}"/>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'2025-Q1'!$HZ$3:$IA$3</c:f>
              <c:numCache>
                <c:formatCode>0</c:formatCode>
                <c:ptCount val="2"/>
                <c:pt idx="0">
                  <c:v>390</c:v>
                </c:pt>
                <c:pt idx="1">
                  <c:v>55</c:v>
                </c:pt>
              </c:numCache>
            </c:numRef>
          </c:val>
          <c:extLst>
            <c:ext xmlns:c16="http://schemas.microsoft.com/office/drawing/2014/chart" uri="{C3380CC4-5D6E-409C-BE32-E72D297353CC}">
              <c16:uniqueId val="{00000000-8F97-409E-A287-06A4CF0ABB1D}"/>
            </c:ext>
          </c:extLst>
        </c:ser>
        <c:dLbls>
          <c:showLegendKey val="0"/>
          <c:showVal val="0"/>
          <c:showCatName val="0"/>
          <c:showSerName val="0"/>
          <c:showPercent val="0"/>
          <c:showBubbleSize val="0"/>
          <c:showLeaderLines val="1"/>
        </c:dLbls>
        <c:firstSliceAng val="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3">
                    <a:lumMod val="50000"/>
                  </a:schemeClr>
                </a:solidFill>
                <a:latin typeface="+mn-lt"/>
                <a:ea typeface="+mn-ea"/>
                <a:cs typeface="+mn-cs"/>
              </a:defRPr>
            </a:pPr>
            <a:r>
              <a:rPr lang="en-US" sz="1800" b="1">
                <a:solidFill>
                  <a:schemeClr val="accent3">
                    <a:lumMod val="50000"/>
                  </a:schemeClr>
                </a:solidFill>
              </a:rPr>
              <a:t>Strategy Expectancy (R)</a:t>
            </a:r>
          </a:p>
        </c:rich>
      </c:tx>
      <c:layout>
        <c:manualLayout>
          <c:xMode val="edge"/>
          <c:yMode val="edge"/>
          <c:x val="0.1160049765225809"/>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3.9334907807782635E-2"/>
          <c:y val="7.5676575670331966E-2"/>
          <c:w val="0.94870171597992958"/>
          <c:h val="0.84851364945020646"/>
        </c:manualLayout>
      </c:layout>
      <c:lineChart>
        <c:grouping val="standard"/>
        <c:varyColors val="0"/>
        <c:ser>
          <c:idx val="1"/>
          <c:order val="0"/>
          <c:tx>
            <c:v>Expectancy 25-ma</c:v>
          </c:tx>
          <c:spPr>
            <a:ln w="28575" cap="rnd">
              <a:solidFill>
                <a:schemeClr val="accent6"/>
              </a:solidFill>
              <a:round/>
            </a:ln>
            <a:effectLst/>
          </c:spPr>
          <c:marker>
            <c:symbol val="none"/>
          </c:marker>
          <c:cat>
            <c:strLit>
              <c:ptCount val="425"/>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pt idx="60">
                <c:v>81</c:v>
              </c:pt>
              <c:pt idx="61">
                <c:v>82</c:v>
              </c:pt>
              <c:pt idx="62">
                <c:v>83</c:v>
              </c:pt>
              <c:pt idx="63">
                <c:v>84</c:v>
              </c:pt>
              <c:pt idx="64">
                <c:v>85</c:v>
              </c:pt>
              <c:pt idx="65">
                <c:v>86</c:v>
              </c:pt>
              <c:pt idx="66">
                <c:v>87</c:v>
              </c:pt>
              <c:pt idx="67">
                <c:v>88</c:v>
              </c:pt>
              <c:pt idx="68">
                <c:v>89</c:v>
              </c:pt>
              <c:pt idx="69">
                <c:v>90</c:v>
              </c:pt>
              <c:pt idx="70">
                <c:v>91</c:v>
              </c:pt>
              <c:pt idx="71">
                <c:v>92</c:v>
              </c:pt>
              <c:pt idx="72">
                <c:v>93</c:v>
              </c:pt>
              <c:pt idx="73">
                <c:v>94</c:v>
              </c:pt>
              <c:pt idx="74">
                <c:v>95</c:v>
              </c:pt>
              <c:pt idx="75">
                <c:v>96</c:v>
              </c:pt>
              <c:pt idx="76">
                <c:v>97</c:v>
              </c:pt>
              <c:pt idx="77">
                <c:v>98</c:v>
              </c:pt>
              <c:pt idx="78">
                <c:v>99</c:v>
              </c:pt>
              <c:pt idx="79">
                <c:v>100</c:v>
              </c:pt>
              <c:pt idx="80">
                <c:v>101</c:v>
              </c:pt>
              <c:pt idx="81">
                <c:v>102</c:v>
              </c:pt>
              <c:pt idx="82">
                <c:v>103</c:v>
              </c:pt>
              <c:pt idx="83">
                <c:v>104</c:v>
              </c:pt>
              <c:pt idx="84">
                <c:v>105</c:v>
              </c:pt>
              <c:pt idx="85">
                <c:v>106</c:v>
              </c:pt>
              <c:pt idx="86">
                <c:v>107</c:v>
              </c:pt>
              <c:pt idx="87">
                <c:v>108</c:v>
              </c:pt>
              <c:pt idx="88">
                <c:v>109</c:v>
              </c:pt>
              <c:pt idx="89">
                <c:v>110</c:v>
              </c:pt>
              <c:pt idx="90">
                <c:v>111</c:v>
              </c:pt>
              <c:pt idx="91">
                <c:v>112</c:v>
              </c:pt>
              <c:pt idx="92">
                <c:v>113</c:v>
              </c:pt>
              <c:pt idx="93">
                <c:v>114</c:v>
              </c:pt>
              <c:pt idx="94">
                <c:v>115</c:v>
              </c:pt>
              <c:pt idx="95">
                <c:v>116</c:v>
              </c:pt>
              <c:pt idx="96">
                <c:v>117</c:v>
              </c:pt>
              <c:pt idx="97">
                <c:v>118</c:v>
              </c:pt>
              <c:pt idx="98">
                <c:v>119</c:v>
              </c:pt>
              <c:pt idx="99">
                <c:v>120</c:v>
              </c:pt>
              <c:pt idx="100">
                <c:v>121</c:v>
              </c:pt>
              <c:pt idx="101">
                <c:v>122</c:v>
              </c:pt>
              <c:pt idx="102">
                <c:v>123</c:v>
              </c:pt>
              <c:pt idx="103">
                <c:v>124</c:v>
              </c:pt>
              <c:pt idx="104">
                <c:v>125</c:v>
              </c:pt>
              <c:pt idx="105">
                <c:v>126</c:v>
              </c:pt>
              <c:pt idx="106">
                <c:v>127</c:v>
              </c:pt>
              <c:pt idx="107">
                <c:v>128</c:v>
              </c:pt>
              <c:pt idx="108">
                <c:v>129</c:v>
              </c:pt>
              <c:pt idx="109">
                <c:v>130</c:v>
              </c:pt>
              <c:pt idx="110">
                <c:v>131</c:v>
              </c:pt>
              <c:pt idx="111">
                <c:v>132</c:v>
              </c:pt>
              <c:pt idx="112">
                <c:v>133</c:v>
              </c:pt>
              <c:pt idx="113">
                <c:v>134</c:v>
              </c:pt>
              <c:pt idx="114">
                <c:v>135</c:v>
              </c:pt>
              <c:pt idx="115">
                <c:v>136</c:v>
              </c:pt>
              <c:pt idx="116">
                <c:v>137</c:v>
              </c:pt>
              <c:pt idx="117">
                <c:v>138</c:v>
              </c:pt>
              <c:pt idx="118">
                <c:v>139</c:v>
              </c:pt>
              <c:pt idx="119">
                <c:v>140</c:v>
              </c:pt>
              <c:pt idx="120">
                <c:v>141</c:v>
              </c:pt>
              <c:pt idx="121">
                <c:v>142</c:v>
              </c:pt>
              <c:pt idx="122">
                <c:v>143</c:v>
              </c:pt>
              <c:pt idx="123">
                <c:v>144</c:v>
              </c:pt>
              <c:pt idx="124">
                <c:v>145</c:v>
              </c:pt>
              <c:pt idx="125">
                <c:v>146</c:v>
              </c:pt>
              <c:pt idx="126">
                <c:v>147</c:v>
              </c:pt>
              <c:pt idx="127">
                <c:v>148</c:v>
              </c:pt>
              <c:pt idx="128">
                <c:v>149</c:v>
              </c:pt>
              <c:pt idx="129">
                <c:v>150</c:v>
              </c:pt>
              <c:pt idx="130">
                <c:v>151</c:v>
              </c:pt>
              <c:pt idx="131">
                <c:v>152</c:v>
              </c:pt>
              <c:pt idx="132">
                <c:v>153</c:v>
              </c:pt>
              <c:pt idx="133">
                <c:v>154</c:v>
              </c:pt>
              <c:pt idx="134">
                <c:v>155</c:v>
              </c:pt>
              <c:pt idx="135">
                <c:v>156</c:v>
              </c:pt>
              <c:pt idx="136">
                <c:v>157</c:v>
              </c:pt>
              <c:pt idx="137">
                <c:v>158</c:v>
              </c:pt>
              <c:pt idx="138">
                <c:v>159</c:v>
              </c:pt>
              <c:pt idx="139">
                <c:v>160</c:v>
              </c:pt>
              <c:pt idx="140">
                <c:v>161</c:v>
              </c:pt>
              <c:pt idx="141">
                <c:v>162</c:v>
              </c:pt>
              <c:pt idx="142">
                <c:v>163</c:v>
              </c:pt>
              <c:pt idx="143">
                <c:v>164</c:v>
              </c:pt>
              <c:pt idx="144">
                <c:v>165</c:v>
              </c:pt>
              <c:pt idx="145">
                <c:v>166</c:v>
              </c:pt>
              <c:pt idx="146">
                <c:v>167</c:v>
              </c:pt>
              <c:pt idx="147">
                <c:v>168</c:v>
              </c:pt>
              <c:pt idx="148">
                <c:v>169</c:v>
              </c:pt>
              <c:pt idx="149">
                <c:v>170</c:v>
              </c:pt>
              <c:pt idx="150">
                <c:v>171</c:v>
              </c:pt>
              <c:pt idx="151">
                <c:v>172</c:v>
              </c:pt>
              <c:pt idx="152">
                <c:v>173</c:v>
              </c:pt>
              <c:pt idx="153">
                <c:v>174</c:v>
              </c:pt>
              <c:pt idx="154">
                <c:v>175</c:v>
              </c:pt>
              <c:pt idx="155">
                <c:v>176</c:v>
              </c:pt>
              <c:pt idx="156">
                <c:v>177</c:v>
              </c:pt>
              <c:pt idx="157">
                <c:v>178</c:v>
              </c:pt>
              <c:pt idx="158">
                <c:v>179</c:v>
              </c:pt>
              <c:pt idx="159">
                <c:v>180</c:v>
              </c:pt>
              <c:pt idx="160">
                <c:v>181</c:v>
              </c:pt>
              <c:pt idx="161">
                <c:v>182</c:v>
              </c:pt>
              <c:pt idx="162">
                <c:v>183</c:v>
              </c:pt>
              <c:pt idx="163">
                <c:v>184</c:v>
              </c:pt>
              <c:pt idx="164">
                <c:v>185</c:v>
              </c:pt>
              <c:pt idx="165">
                <c:v>186</c:v>
              </c:pt>
              <c:pt idx="166">
                <c:v>187</c:v>
              </c:pt>
              <c:pt idx="167">
                <c:v>188</c:v>
              </c:pt>
              <c:pt idx="168">
                <c:v>189</c:v>
              </c:pt>
              <c:pt idx="169">
                <c:v>190</c:v>
              </c:pt>
              <c:pt idx="170">
                <c:v>191</c:v>
              </c:pt>
              <c:pt idx="171">
                <c:v>192</c:v>
              </c:pt>
              <c:pt idx="172">
                <c:v>193</c:v>
              </c:pt>
              <c:pt idx="173">
                <c:v>194</c:v>
              </c:pt>
              <c:pt idx="174">
                <c:v>195</c:v>
              </c:pt>
              <c:pt idx="175">
                <c:v>196</c:v>
              </c:pt>
              <c:pt idx="176">
                <c:v>197</c:v>
              </c:pt>
              <c:pt idx="177">
                <c:v>198</c:v>
              </c:pt>
              <c:pt idx="178">
                <c:v>199</c:v>
              </c:pt>
              <c:pt idx="179">
                <c:v>200</c:v>
              </c:pt>
              <c:pt idx="180">
                <c:v>201</c:v>
              </c:pt>
              <c:pt idx="181">
                <c:v>202</c:v>
              </c:pt>
              <c:pt idx="182">
                <c:v>203</c:v>
              </c:pt>
              <c:pt idx="183">
                <c:v>204</c:v>
              </c:pt>
              <c:pt idx="184">
                <c:v>205</c:v>
              </c:pt>
              <c:pt idx="185">
                <c:v>206</c:v>
              </c:pt>
              <c:pt idx="186">
                <c:v>207</c:v>
              </c:pt>
              <c:pt idx="187">
                <c:v>208</c:v>
              </c:pt>
              <c:pt idx="188">
                <c:v>209</c:v>
              </c:pt>
              <c:pt idx="189">
                <c:v>210</c:v>
              </c:pt>
              <c:pt idx="190">
                <c:v>211</c:v>
              </c:pt>
              <c:pt idx="191">
                <c:v>212</c:v>
              </c:pt>
              <c:pt idx="192">
                <c:v>213</c:v>
              </c:pt>
              <c:pt idx="193">
                <c:v>214</c:v>
              </c:pt>
              <c:pt idx="194">
                <c:v>215</c:v>
              </c:pt>
              <c:pt idx="195">
                <c:v>216</c:v>
              </c:pt>
              <c:pt idx="196">
                <c:v>217</c:v>
              </c:pt>
              <c:pt idx="197">
                <c:v>218</c:v>
              </c:pt>
              <c:pt idx="198">
                <c:v>219</c:v>
              </c:pt>
              <c:pt idx="199">
                <c:v>220</c:v>
              </c:pt>
              <c:pt idx="200">
                <c:v>221</c:v>
              </c:pt>
              <c:pt idx="201">
                <c:v>222</c:v>
              </c:pt>
              <c:pt idx="202">
                <c:v>223</c:v>
              </c:pt>
              <c:pt idx="203">
                <c:v>224</c:v>
              </c:pt>
              <c:pt idx="204">
                <c:v>225</c:v>
              </c:pt>
              <c:pt idx="205">
                <c:v>226</c:v>
              </c:pt>
              <c:pt idx="206">
                <c:v>227</c:v>
              </c:pt>
              <c:pt idx="207">
                <c:v>228</c:v>
              </c:pt>
              <c:pt idx="208">
                <c:v>229</c:v>
              </c:pt>
              <c:pt idx="209">
                <c:v>230</c:v>
              </c:pt>
              <c:pt idx="210">
                <c:v>231</c:v>
              </c:pt>
              <c:pt idx="211">
                <c:v>232</c:v>
              </c:pt>
              <c:pt idx="212">
                <c:v>233</c:v>
              </c:pt>
              <c:pt idx="213">
                <c:v>234</c:v>
              </c:pt>
              <c:pt idx="214">
                <c:v>235</c:v>
              </c:pt>
              <c:pt idx="215">
                <c:v>236</c:v>
              </c:pt>
              <c:pt idx="216">
                <c:v>237</c:v>
              </c:pt>
              <c:pt idx="217">
                <c:v>238</c:v>
              </c:pt>
              <c:pt idx="218">
                <c:v>239</c:v>
              </c:pt>
              <c:pt idx="219">
                <c:v>240</c:v>
              </c:pt>
              <c:pt idx="220">
                <c:v>241</c:v>
              </c:pt>
              <c:pt idx="221">
                <c:v>242</c:v>
              </c:pt>
              <c:pt idx="222">
                <c:v>243</c:v>
              </c:pt>
              <c:pt idx="223">
                <c:v>244</c:v>
              </c:pt>
              <c:pt idx="224">
                <c:v>245</c:v>
              </c:pt>
              <c:pt idx="225">
                <c:v>246</c:v>
              </c:pt>
              <c:pt idx="226">
                <c:v>247</c:v>
              </c:pt>
              <c:pt idx="227">
                <c:v>248</c:v>
              </c:pt>
              <c:pt idx="228">
                <c:v>249</c:v>
              </c:pt>
              <c:pt idx="229">
                <c:v>250</c:v>
              </c:pt>
              <c:pt idx="230">
                <c:v>251</c:v>
              </c:pt>
              <c:pt idx="231">
                <c:v>252</c:v>
              </c:pt>
              <c:pt idx="232">
                <c:v>253</c:v>
              </c:pt>
              <c:pt idx="233">
                <c:v>254</c:v>
              </c:pt>
              <c:pt idx="234">
                <c:v>255</c:v>
              </c:pt>
              <c:pt idx="235">
                <c:v>256</c:v>
              </c:pt>
              <c:pt idx="236">
                <c:v>257</c:v>
              </c:pt>
              <c:pt idx="237">
                <c:v>258</c:v>
              </c:pt>
              <c:pt idx="238">
                <c:v>259</c:v>
              </c:pt>
              <c:pt idx="239">
                <c:v>260</c:v>
              </c:pt>
              <c:pt idx="240">
                <c:v>261</c:v>
              </c:pt>
              <c:pt idx="241">
                <c:v>262</c:v>
              </c:pt>
              <c:pt idx="242">
                <c:v>263</c:v>
              </c:pt>
              <c:pt idx="243">
                <c:v>264</c:v>
              </c:pt>
              <c:pt idx="244">
                <c:v>265</c:v>
              </c:pt>
              <c:pt idx="245">
                <c:v>266</c:v>
              </c:pt>
              <c:pt idx="246">
                <c:v>267</c:v>
              </c:pt>
              <c:pt idx="247">
                <c:v>268</c:v>
              </c:pt>
              <c:pt idx="248">
                <c:v>269</c:v>
              </c:pt>
              <c:pt idx="249">
                <c:v>270</c:v>
              </c:pt>
              <c:pt idx="250">
                <c:v>271</c:v>
              </c:pt>
              <c:pt idx="251">
                <c:v>272</c:v>
              </c:pt>
              <c:pt idx="252">
                <c:v>273</c:v>
              </c:pt>
              <c:pt idx="253">
                <c:v>274</c:v>
              </c:pt>
              <c:pt idx="254">
                <c:v>275</c:v>
              </c:pt>
              <c:pt idx="255">
                <c:v>276</c:v>
              </c:pt>
              <c:pt idx="256">
                <c:v>277</c:v>
              </c:pt>
              <c:pt idx="257">
                <c:v>278</c:v>
              </c:pt>
              <c:pt idx="258">
                <c:v>279</c:v>
              </c:pt>
              <c:pt idx="259">
                <c:v>280</c:v>
              </c:pt>
              <c:pt idx="260">
                <c:v>281</c:v>
              </c:pt>
              <c:pt idx="261">
                <c:v>282</c:v>
              </c:pt>
              <c:pt idx="262">
                <c:v>283</c:v>
              </c:pt>
              <c:pt idx="263">
                <c:v>284</c:v>
              </c:pt>
              <c:pt idx="264">
                <c:v>285</c:v>
              </c:pt>
              <c:pt idx="265">
                <c:v>286</c:v>
              </c:pt>
              <c:pt idx="266">
                <c:v>287</c:v>
              </c:pt>
              <c:pt idx="267">
                <c:v>288</c:v>
              </c:pt>
              <c:pt idx="268">
                <c:v>289</c:v>
              </c:pt>
              <c:pt idx="269">
                <c:v>290</c:v>
              </c:pt>
              <c:pt idx="270">
                <c:v>291</c:v>
              </c:pt>
              <c:pt idx="271">
                <c:v>292</c:v>
              </c:pt>
              <c:pt idx="272">
                <c:v>293</c:v>
              </c:pt>
              <c:pt idx="273">
                <c:v>294</c:v>
              </c:pt>
              <c:pt idx="274">
                <c:v>295</c:v>
              </c:pt>
              <c:pt idx="275">
                <c:v>296</c:v>
              </c:pt>
              <c:pt idx="276">
                <c:v>297</c:v>
              </c:pt>
              <c:pt idx="277">
                <c:v>298</c:v>
              </c:pt>
              <c:pt idx="278">
                <c:v>299</c:v>
              </c:pt>
              <c:pt idx="279">
                <c:v>300</c:v>
              </c:pt>
              <c:pt idx="280">
                <c:v>301</c:v>
              </c:pt>
              <c:pt idx="281">
                <c:v>302</c:v>
              </c:pt>
              <c:pt idx="282">
                <c:v>303</c:v>
              </c:pt>
              <c:pt idx="283">
                <c:v>304</c:v>
              </c:pt>
              <c:pt idx="284">
                <c:v>305</c:v>
              </c:pt>
              <c:pt idx="285">
                <c:v>306</c:v>
              </c:pt>
              <c:pt idx="286">
                <c:v>307</c:v>
              </c:pt>
              <c:pt idx="287">
                <c:v>308</c:v>
              </c:pt>
              <c:pt idx="288">
                <c:v>309</c:v>
              </c:pt>
              <c:pt idx="289">
                <c:v>310</c:v>
              </c:pt>
              <c:pt idx="290">
                <c:v>311</c:v>
              </c:pt>
              <c:pt idx="291">
                <c:v>312</c:v>
              </c:pt>
              <c:pt idx="292">
                <c:v>313</c:v>
              </c:pt>
              <c:pt idx="293">
                <c:v>314</c:v>
              </c:pt>
              <c:pt idx="294">
                <c:v>315</c:v>
              </c:pt>
              <c:pt idx="295">
                <c:v>316</c:v>
              </c:pt>
              <c:pt idx="296">
                <c:v>317</c:v>
              </c:pt>
              <c:pt idx="297">
                <c:v>318</c:v>
              </c:pt>
              <c:pt idx="298">
                <c:v>319</c:v>
              </c:pt>
              <c:pt idx="299">
                <c:v>320</c:v>
              </c:pt>
              <c:pt idx="300">
                <c:v>321</c:v>
              </c:pt>
              <c:pt idx="301">
                <c:v>322</c:v>
              </c:pt>
              <c:pt idx="302">
                <c:v>323</c:v>
              </c:pt>
              <c:pt idx="303">
                <c:v>324</c:v>
              </c:pt>
              <c:pt idx="304">
                <c:v>325</c:v>
              </c:pt>
              <c:pt idx="305">
                <c:v>326</c:v>
              </c:pt>
              <c:pt idx="306">
                <c:v>327</c:v>
              </c:pt>
              <c:pt idx="307">
                <c:v>328</c:v>
              </c:pt>
              <c:pt idx="308">
                <c:v>329</c:v>
              </c:pt>
              <c:pt idx="309">
                <c:v>330</c:v>
              </c:pt>
              <c:pt idx="310">
                <c:v>331</c:v>
              </c:pt>
              <c:pt idx="311">
                <c:v>332</c:v>
              </c:pt>
              <c:pt idx="312">
                <c:v>333</c:v>
              </c:pt>
              <c:pt idx="313">
                <c:v>334</c:v>
              </c:pt>
              <c:pt idx="314">
                <c:v>335</c:v>
              </c:pt>
              <c:pt idx="315">
                <c:v>336</c:v>
              </c:pt>
              <c:pt idx="316">
                <c:v>337</c:v>
              </c:pt>
              <c:pt idx="317">
                <c:v>338</c:v>
              </c:pt>
              <c:pt idx="318">
                <c:v>339</c:v>
              </c:pt>
              <c:pt idx="319">
                <c:v>340</c:v>
              </c:pt>
              <c:pt idx="320">
                <c:v>341</c:v>
              </c:pt>
              <c:pt idx="321">
                <c:v>342</c:v>
              </c:pt>
              <c:pt idx="322">
                <c:v>343</c:v>
              </c:pt>
              <c:pt idx="323">
                <c:v>344</c:v>
              </c:pt>
              <c:pt idx="324">
                <c:v>345</c:v>
              </c:pt>
              <c:pt idx="325">
                <c:v>346</c:v>
              </c:pt>
              <c:pt idx="326">
                <c:v>347</c:v>
              </c:pt>
              <c:pt idx="327">
                <c:v>348</c:v>
              </c:pt>
              <c:pt idx="328">
                <c:v>349</c:v>
              </c:pt>
              <c:pt idx="329">
                <c:v>350</c:v>
              </c:pt>
              <c:pt idx="330">
                <c:v>351</c:v>
              </c:pt>
              <c:pt idx="331">
                <c:v>352</c:v>
              </c:pt>
              <c:pt idx="332">
                <c:v>353</c:v>
              </c:pt>
              <c:pt idx="333">
                <c:v>354</c:v>
              </c:pt>
              <c:pt idx="334">
                <c:v>355</c:v>
              </c:pt>
              <c:pt idx="335">
                <c:v>356</c:v>
              </c:pt>
              <c:pt idx="336">
                <c:v>357</c:v>
              </c:pt>
              <c:pt idx="337">
                <c:v>358</c:v>
              </c:pt>
              <c:pt idx="338">
                <c:v>359</c:v>
              </c:pt>
              <c:pt idx="339">
                <c:v>360</c:v>
              </c:pt>
              <c:pt idx="340">
                <c:v>361</c:v>
              </c:pt>
              <c:pt idx="341">
                <c:v>362</c:v>
              </c:pt>
              <c:pt idx="342">
                <c:v>363</c:v>
              </c:pt>
              <c:pt idx="343">
                <c:v>364</c:v>
              </c:pt>
              <c:pt idx="344">
                <c:v>365</c:v>
              </c:pt>
              <c:pt idx="345">
                <c:v>366</c:v>
              </c:pt>
              <c:pt idx="346">
                <c:v>367</c:v>
              </c:pt>
              <c:pt idx="347">
                <c:v>368</c:v>
              </c:pt>
              <c:pt idx="348">
                <c:v>369</c:v>
              </c:pt>
              <c:pt idx="349">
                <c:v>370</c:v>
              </c:pt>
              <c:pt idx="350">
                <c:v>371</c:v>
              </c:pt>
              <c:pt idx="351">
                <c:v>372</c:v>
              </c:pt>
              <c:pt idx="352">
                <c:v>373</c:v>
              </c:pt>
              <c:pt idx="353">
                <c:v>374</c:v>
              </c:pt>
              <c:pt idx="354">
                <c:v>375</c:v>
              </c:pt>
              <c:pt idx="355">
                <c:v>376</c:v>
              </c:pt>
              <c:pt idx="356">
                <c:v>377</c:v>
              </c:pt>
              <c:pt idx="357">
                <c:v>378</c:v>
              </c:pt>
              <c:pt idx="358">
                <c:v>379</c:v>
              </c:pt>
              <c:pt idx="359">
                <c:v>380</c:v>
              </c:pt>
              <c:pt idx="360">
                <c:v>381</c:v>
              </c:pt>
              <c:pt idx="361">
                <c:v>382</c:v>
              </c:pt>
              <c:pt idx="362">
                <c:v>383</c:v>
              </c:pt>
              <c:pt idx="363">
                <c:v>384</c:v>
              </c:pt>
              <c:pt idx="364">
                <c:v>385</c:v>
              </c:pt>
              <c:pt idx="365">
                <c:v>386</c:v>
              </c:pt>
              <c:pt idx="366">
                <c:v>387</c:v>
              </c:pt>
              <c:pt idx="367">
                <c:v>388</c:v>
              </c:pt>
              <c:pt idx="368">
                <c:v>389</c:v>
              </c:pt>
              <c:pt idx="369">
                <c:v>390</c:v>
              </c:pt>
              <c:pt idx="370">
                <c:v>391</c:v>
              </c:pt>
              <c:pt idx="371">
                <c:v>392</c:v>
              </c:pt>
              <c:pt idx="372">
                <c:v>393</c:v>
              </c:pt>
              <c:pt idx="373">
                <c:v>394</c:v>
              </c:pt>
              <c:pt idx="374">
                <c:v>395</c:v>
              </c:pt>
              <c:pt idx="375">
                <c:v>396</c:v>
              </c:pt>
              <c:pt idx="376">
                <c:v>397</c:v>
              </c:pt>
              <c:pt idx="377">
                <c:v>398</c:v>
              </c:pt>
              <c:pt idx="378">
                <c:v>399</c:v>
              </c:pt>
              <c:pt idx="379">
                <c:v>400</c:v>
              </c:pt>
              <c:pt idx="380">
                <c:v>401</c:v>
              </c:pt>
              <c:pt idx="381">
                <c:v>402</c:v>
              </c:pt>
              <c:pt idx="382">
                <c:v>403</c:v>
              </c:pt>
              <c:pt idx="383">
                <c:v>404</c:v>
              </c:pt>
              <c:pt idx="384">
                <c:v>405</c:v>
              </c:pt>
              <c:pt idx="385">
                <c:v>406</c:v>
              </c:pt>
              <c:pt idx="386">
                <c:v>407</c:v>
              </c:pt>
              <c:pt idx="387">
                <c:v>408</c:v>
              </c:pt>
              <c:pt idx="388">
                <c:v>409</c:v>
              </c:pt>
              <c:pt idx="389">
                <c:v>410</c:v>
              </c:pt>
              <c:pt idx="390">
                <c:v>411</c:v>
              </c:pt>
              <c:pt idx="391">
                <c:v>412</c:v>
              </c:pt>
              <c:pt idx="392">
                <c:v>413</c:v>
              </c:pt>
              <c:pt idx="393">
                <c:v>414</c:v>
              </c:pt>
              <c:pt idx="394">
                <c:v>415</c:v>
              </c:pt>
              <c:pt idx="395">
                <c:v>416</c:v>
              </c:pt>
              <c:pt idx="396">
                <c:v>417</c:v>
              </c:pt>
              <c:pt idx="397">
                <c:v>418</c:v>
              </c:pt>
              <c:pt idx="398">
                <c:v>419</c:v>
              </c:pt>
              <c:pt idx="399">
                <c:v>420</c:v>
              </c:pt>
              <c:pt idx="400">
                <c:v>421</c:v>
              </c:pt>
              <c:pt idx="401">
                <c:v>422</c:v>
              </c:pt>
              <c:pt idx="402">
                <c:v>423</c:v>
              </c:pt>
              <c:pt idx="403">
                <c:v>424</c:v>
              </c:pt>
              <c:pt idx="404">
                <c:v>425</c:v>
              </c:pt>
              <c:pt idx="405">
                <c:v>426</c:v>
              </c:pt>
              <c:pt idx="406">
                <c:v>427</c:v>
              </c:pt>
              <c:pt idx="407">
                <c:v>428</c:v>
              </c:pt>
              <c:pt idx="408">
                <c:v>429</c:v>
              </c:pt>
              <c:pt idx="409">
                <c:v>430</c:v>
              </c:pt>
              <c:pt idx="410">
                <c:v>431</c:v>
              </c:pt>
              <c:pt idx="411">
                <c:v>432</c:v>
              </c:pt>
              <c:pt idx="412">
                <c:v>433</c:v>
              </c:pt>
              <c:pt idx="413">
                <c:v>434</c:v>
              </c:pt>
              <c:pt idx="414">
                <c:v>435</c:v>
              </c:pt>
              <c:pt idx="415">
                <c:v>436</c:v>
              </c:pt>
              <c:pt idx="416">
                <c:v>437</c:v>
              </c:pt>
              <c:pt idx="417">
                <c:v>438</c:v>
              </c:pt>
              <c:pt idx="418">
                <c:v>439</c:v>
              </c:pt>
              <c:pt idx="419">
                <c:v>440</c:v>
              </c:pt>
              <c:pt idx="420">
                <c:v>441</c:v>
              </c:pt>
              <c:pt idx="421">
                <c:v>442</c:v>
              </c:pt>
              <c:pt idx="422">
                <c:v>443</c:v>
              </c:pt>
              <c:pt idx="423">
                <c:v>444</c:v>
              </c:pt>
              <c:pt idx="424">
                <c:v>445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'2025-Q1'!$FT$4:$FT$448</c15:sqref>
                  </c15:fullRef>
                </c:ext>
              </c:extLst>
              <c:f>'2025-Q1'!$FT$24:$FT$448</c:f>
              <c:numCache>
                <c:formatCode>0.0</c:formatCode>
                <c:ptCount val="425"/>
                <c:pt idx="4">
                  <c:v>0.24210287893233429</c:v>
                </c:pt>
                <c:pt idx="5">
                  <c:v>0.18416376118881103</c:v>
                </c:pt>
                <c:pt idx="6">
                  <c:v>9.3552234078409666E-2</c:v>
                </c:pt>
                <c:pt idx="7">
                  <c:v>5.4329331087022051E-2</c:v>
                </c:pt>
                <c:pt idx="8">
                  <c:v>0.11366758201705376</c:v>
                </c:pt>
                <c:pt idx="9">
                  <c:v>9.4971579783853274E-2</c:v>
                </c:pt>
                <c:pt idx="10">
                  <c:v>8.7946430832321093E-2</c:v>
                </c:pt>
                <c:pt idx="11">
                  <c:v>0.11204922750654625</c:v>
                </c:pt>
                <c:pt idx="12">
                  <c:v>0.10648627878827177</c:v>
                </c:pt>
                <c:pt idx="13">
                  <c:v>0.10912679314851992</c:v>
                </c:pt>
                <c:pt idx="14">
                  <c:v>9.5358272918131842E-2</c:v>
                </c:pt>
                <c:pt idx="15">
                  <c:v>7.6441792458560448E-2</c:v>
                </c:pt>
                <c:pt idx="16">
                  <c:v>0.15299349239673105</c:v>
                </c:pt>
                <c:pt idx="17">
                  <c:v>0.22402783624131345</c:v>
                </c:pt>
                <c:pt idx="18">
                  <c:v>0.25477437873426756</c:v>
                </c:pt>
                <c:pt idx="19">
                  <c:v>0.3068398624571203</c:v>
                </c:pt>
                <c:pt idx="20">
                  <c:v>0.29483862692583879</c:v>
                </c:pt>
                <c:pt idx="21">
                  <c:v>0.28403993160326391</c:v>
                </c:pt>
                <c:pt idx="22">
                  <c:v>0.30921197823683744</c:v>
                </c:pt>
                <c:pt idx="23">
                  <c:v>0.34631825872825234</c:v>
                </c:pt>
                <c:pt idx="24">
                  <c:v>0.32973106177640504</c:v>
                </c:pt>
                <c:pt idx="25">
                  <c:v>0.35957060520503903</c:v>
                </c:pt>
                <c:pt idx="26">
                  <c:v>0.39751127635181704</c:v>
                </c:pt>
                <c:pt idx="27">
                  <c:v>0.40026696199004891</c:v>
                </c:pt>
                <c:pt idx="28">
                  <c:v>0.39585027299832065</c:v>
                </c:pt>
                <c:pt idx="29">
                  <c:v>0.37465612532522535</c:v>
                </c:pt>
                <c:pt idx="30">
                  <c:v>0.38663081682076628</c:v>
                </c:pt>
                <c:pt idx="31">
                  <c:v>0.34962904631699343</c:v>
                </c:pt>
                <c:pt idx="32">
                  <c:v>0.34585074248500081</c:v>
                </c:pt>
                <c:pt idx="33">
                  <c:v>0.22040390456478606</c:v>
                </c:pt>
                <c:pt idx="34">
                  <c:v>0.20580052175377117</c:v>
                </c:pt>
                <c:pt idx="35">
                  <c:v>0.15967028737311656</c:v>
                </c:pt>
                <c:pt idx="36">
                  <c:v>9.2356168103648606E-2</c:v>
                </c:pt>
                <c:pt idx="37">
                  <c:v>9.65687254818927E-2</c:v>
                </c:pt>
                <c:pt idx="38">
                  <c:v>0.11175267387930127</c:v>
                </c:pt>
                <c:pt idx="39">
                  <c:v>9.6858814029951792E-2</c:v>
                </c:pt>
                <c:pt idx="40">
                  <c:v>8.7114911711791837E-2</c:v>
                </c:pt>
                <c:pt idx="41">
                  <c:v>7.7642542990061639E-2</c:v>
                </c:pt>
                <c:pt idx="42">
                  <c:v>0.10652639076652319</c:v>
                </c:pt>
                <c:pt idx="43">
                  <c:v>0.11191466766726259</c:v>
                </c:pt>
                <c:pt idx="44">
                  <c:v>0.1701963718888666</c:v>
                </c:pt>
                <c:pt idx="45">
                  <c:v>0.10864442686455915</c:v>
                </c:pt>
                <c:pt idx="46">
                  <c:v>7.9676537141206552E-2</c:v>
                </c:pt>
                <c:pt idx="47">
                  <c:v>8.9352753321480918E-2</c:v>
                </c:pt>
                <c:pt idx="48">
                  <c:v>1.3629293552297769E-2</c:v>
                </c:pt>
                <c:pt idx="49">
                  <c:v>-5.172470867513327E-2</c:v>
                </c:pt>
                <c:pt idx="50">
                  <c:v>-3.7465505555191715E-2</c:v>
                </c:pt>
                <c:pt idx="51">
                  <c:v>-5.0788715337057325E-2</c:v>
                </c:pt>
                <c:pt idx="52">
                  <c:v>-3.2129293633615767E-2</c:v>
                </c:pt>
                <c:pt idx="53">
                  <c:v>1.6256159727388534E-2</c:v>
                </c:pt>
                <c:pt idx="54">
                  <c:v>-1.0712172884941209E-3</c:v>
                </c:pt>
                <c:pt idx="55">
                  <c:v>0.13395157891594622</c:v>
                </c:pt>
                <c:pt idx="56">
                  <c:v>0.19246773574690046</c:v>
                </c:pt>
                <c:pt idx="57">
                  <c:v>0.18334112620429108</c:v>
                </c:pt>
                <c:pt idx="58">
                  <c:v>0.136836058906363</c:v>
                </c:pt>
                <c:pt idx="59">
                  <c:v>0.151641686162126</c:v>
                </c:pt>
                <c:pt idx="60">
                  <c:v>0.16831698194573272</c:v>
                </c:pt>
                <c:pt idx="61">
                  <c:v>0.18615602205807677</c:v>
                </c:pt>
                <c:pt idx="62">
                  <c:v>0.13094770680546039</c:v>
                </c:pt>
                <c:pt idx="63">
                  <c:v>8.0357196512825718E-2</c:v>
                </c:pt>
                <c:pt idx="64">
                  <c:v>0.11113455791106959</c:v>
                </c:pt>
                <c:pt idx="65">
                  <c:v>6.5145160000277258E-2</c:v>
                </c:pt>
                <c:pt idx="66">
                  <c:v>7.9143124497994641E-2</c:v>
                </c:pt>
                <c:pt idx="67">
                  <c:v>0.1404414449189561</c:v>
                </c:pt>
                <c:pt idx="68">
                  <c:v>0.18374764250830158</c:v>
                </c:pt>
                <c:pt idx="69">
                  <c:v>0.28471919154935671</c:v>
                </c:pt>
                <c:pt idx="70">
                  <c:v>0.36752760359108555</c:v>
                </c:pt>
                <c:pt idx="71">
                  <c:v>0.34632186762434264</c:v>
                </c:pt>
                <c:pt idx="72">
                  <c:v>0.3548816199791473</c:v>
                </c:pt>
                <c:pt idx="73">
                  <c:v>0.35063024232198647</c:v>
                </c:pt>
                <c:pt idx="74">
                  <c:v>0.26235712418395563</c:v>
                </c:pt>
                <c:pt idx="75">
                  <c:v>0.31221574180142492</c:v>
                </c:pt>
                <c:pt idx="76">
                  <c:v>0.25153665730157732</c:v>
                </c:pt>
                <c:pt idx="77">
                  <c:v>6.9325876400615591E-2</c:v>
                </c:pt>
                <c:pt idx="78">
                  <c:v>5.004350300275559E-2</c:v>
                </c:pt>
                <c:pt idx="79">
                  <c:v>9.2808070351738117E-2</c:v>
                </c:pt>
                <c:pt idx="80">
                  <c:v>7.4130781972095036E-2</c:v>
                </c:pt>
                <c:pt idx="81">
                  <c:v>0.10273413951582129</c:v>
                </c:pt>
                <c:pt idx="82">
                  <c:v>0.11650110731285516</c:v>
                </c:pt>
                <c:pt idx="83">
                  <c:v>5.851593709027355E-2</c:v>
                </c:pt>
                <c:pt idx="84">
                  <c:v>7.8981618705497983E-2</c:v>
                </c:pt>
                <c:pt idx="85">
                  <c:v>1.2536874467017642E-2</c:v>
                </c:pt>
                <c:pt idx="86">
                  <c:v>3.0831498838956861E-2</c:v>
                </c:pt>
                <c:pt idx="87">
                  <c:v>8.8361170978306803E-3</c:v>
                </c:pt>
                <c:pt idx="88">
                  <c:v>-3.8103620740125875E-2</c:v>
                </c:pt>
                <c:pt idx="89">
                  <c:v>-2.7399857516804928E-2</c:v>
                </c:pt>
                <c:pt idx="90">
                  <c:v>7.0333642960434734E-2</c:v>
                </c:pt>
                <c:pt idx="91">
                  <c:v>6.2757356137682477E-2</c:v>
                </c:pt>
                <c:pt idx="92">
                  <c:v>3.8819432113614313E-2</c:v>
                </c:pt>
                <c:pt idx="93">
                  <c:v>4.7065450404419097E-3</c:v>
                </c:pt>
                <c:pt idx="94">
                  <c:v>-2.1789177833225749E-2</c:v>
                </c:pt>
                <c:pt idx="95">
                  <c:v>-1.9608524834122107E-2</c:v>
                </c:pt>
                <c:pt idx="96">
                  <c:v>1.2077796566651955E-3</c:v>
                </c:pt>
                <c:pt idx="97">
                  <c:v>-8.6127007324654416E-3</c:v>
                </c:pt>
                <c:pt idx="98">
                  <c:v>1.766331431089924E-2</c:v>
                </c:pt>
                <c:pt idx="99">
                  <c:v>5.8038699190203664E-2</c:v>
                </c:pt>
                <c:pt idx="100">
                  <c:v>4.5849237281018557E-2</c:v>
                </c:pt>
                <c:pt idx="101">
                  <c:v>-2.2032887057812846E-2</c:v>
                </c:pt>
                <c:pt idx="102">
                  <c:v>7.5981554031391674E-2</c:v>
                </c:pt>
                <c:pt idx="103">
                  <c:v>0.11951721350257175</c:v>
                </c:pt>
                <c:pt idx="104">
                  <c:v>0.12018078487251344</c:v>
                </c:pt>
                <c:pt idx="105">
                  <c:v>0.13803537361244828</c:v>
                </c:pt>
                <c:pt idx="106">
                  <c:v>0.13098761114338886</c:v>
                </c:pt>
                <c:pt idx="107">
                  <c:v>0.13165291843635599</c:v>
                </c:pt>
                <c:pt idx="108">
                  <c:v>0.17020650210508206</c:v>
                </c:pt>
                <c:pt idx="109">
                  <c:v>0.12264493862722613</c:v>
                </c:pt>
                <c:pt idx="110">
                  <c:v>0.21354193698880872</c:v>
                </c:pt>
                <c:pt idx="111">
                  <c:v>0.19951564391710469</c:v>
                </c:pt>
                <c:pt idx="112">
                  <c:v>0.24103838088945567</c:v>
                </c:pt>
                <c:pt idx="113">
                  <c:v>0.23849425641015123</c:v>
                </c:pt>
                <c:pt idx="114">
                  <c:v>0.19378494570577531</c:v>
                </c:pt>
                <c:pt idx="115">
                  <c:v>0.1744257188624698</c:v>
                </c:pt>
                <c:pt idx="116">
                  <c:v>7.4110405980351748E-2</c:v>
                </c:pt>
                <c:pt idx="117">
                  <c:v>5.1661079870696366E-3</c:v>
                </c:pt>
                <c:pt idx="118">
                  <c:v>-1.0542091524163766E-2</c:v>
                </c:pt>
                <c:pt idx="119">
                  <c:v>-9.104270525656688E-2</c:v>
                </c:pt>
                <c:pt idx="120">
                  <c:v>1.4619358885544075E-2</c:v>
                </c:pt>
                <c:pt idx="121">
                  <c:v>-1.4534125439748351E-2</c:v>
                </c:pt>
                <c:pt idx="122">
                  <c:v>1.5703171873993255E-2</c:v>
                </c:pt>
                <c:pt idx="123">
                  <c:v>-7.1210479826700493E-2</c:v>
                </c:pt>
                <c:pt idx="124">
                  <c:v>-6.2126485261794075E-2</c:v>
                </c:pt>
                <c:pt idx="125">
                  <c:v>-4.0630034576370801E-2</c:v>
                </c:pt>
                <c:pt idx="126">
                  <c:v>-3.5017627783427943E-2</c:v>
                </c:pt>
                <c:pt idx="127">
                  <c:v>1.1206798852084176E-2</c:v>
                </c:pt>
                <c:pt idx="128">
                  <c:v>-5.6867801769499661E-2</c:v>
                </c:pt>
                <c:pt idx="129">
                  <c:v>-0.12078108271739012</c:v>
                </c:pt>
                <c:pt idx="130">
                  <c:v>-0.11801859315604091</c:v>
                </c:pt>
                <c:pt idx="131">
                  <c:v>-0.1457025798004952</c:v>
                </c:pt>
                <c:pt idx="132">
                  <c:v>-0.16741277541749242</c:v>
                </c:pt>
                <c:pt idx="133">
                  <c:v>-0.19296619977590523</c:v>
                </c:pt>
                <c:pt idx="134">
                  <c:v>-0.21498308416887113</c:v>
                </c:pt>
                <c:pt idx="135">
                  <c:v>-0.23463803301961761</c:v>
                </c:pt>
                <c:pt idx="136">
                  <c:v>-0.18858903826539689</c:v>
                </c:pt>
                <c:pt idx="137">
                  <c:v>-0.20047005346133248</c:v>
                </c:pt>
                <c:pt idx="138">
                  <c:v>-4.1967233017942363E-4</c:v>
                </c:pt>
                <c:pt idx="139">
                  <c:v>-5.2637802486139119E-2</c:v>
                </c:pt>
                <c:pt idx="140">
                  <c:v>3.9532772468353983E-3</c:v>
                </c:pt>
                <c:pt idx="141">
                  <c:v>2.601621319154461E-2</c:v>
                </c:pt>
                <c:pt idx="142">
                  <c:v>2.8707212236396815E-2</c:v>
                </c:pt>
                <c:pt idx="143">
                  <c:v>8.3907633954548949E-2</c:v>
                </c:pt>
                <c:pt idx="144">
                  <c:v>8.7623039850387927E-2</c:v>
                </c:pt>
                <c:pt idx="145">
                  <c:v>0.1296911797530145</c:v>
                </c:pt>
                <c:pt idx="146">
                  <c:v>8.2865184503052025E-2</c:v>
                </c:pt>
                <c:pt idx="147">
                  <c:v>0.11242929328425355</c:v>
                </c:pt>
                <c:pt idx="148">
                  <c:v>0.11447258529277179</c:v>
                </c:pt>
                <c:pt idx="149">
                  <c:v>9.7558160098070598E-2</c:v>
                </c:pt>
                <c:pt idx="150">
                  <c:v>0.11750715754217265</c:v>
                </c:pt>
                <c:pt idx="151">
                  <c:v>0.1943770615861036</c:v>
                </c:pt>
                <c:pt idx="152">
                  <c:v>0.15588508402043305</c:v>
                </c:pt>
                <c:pt idx="153">
                  <c:v>0.11959187948599524</c:v>
                </c:pt>
                <c:pt idx="154">
                  <c:v>0.1587946786219315</c:v>
                </c:pt>
                <c:pt idx="155">
                  <c:v>0.1899983559002914</c:v>
                </c:pt>
                <c:pt idx="156">
                  <c:v>0.22018209338587577</c:v>
                </c:pt>
                <c:pt idx="157">
                  <c:v>0.19976262744768711</c:v>
                </c:pt>
                <c:pt idx="158">
                  <c:v>0.26120988263426281</c:v>
                </c:pt>
                <c:pt idx="159">
                  <c:v>0.13775981114613423</c:v>
                </c:pt>
                <c:pt idx="160">
                  <c:v>0.12653255425864546</c:v>
                </c:pt>
                <c:pt idx="161">
                  <c:v>0.16310848681363088</c:v>
                </c:pt>
                <c:pt idx="162">
                  <c:v>0.1449614282636823</c:v>
                </c:pt>
                <c:pt idx="163">
                  <c:v>8.3413883770688813E-3</c:v>
                </c:pt>
                <c:pt idx="164">
                  <c:v>6.269582628587872E-2</c:v>
                </c:pt>
                <c:pt idx="165">
                  <c:v>6.996472078146887E-2</c:v>
                </c:pt>
                <c:pt idx="166">
                  <c:v>0.10147418990429603</c:v>
                </c:pt>
                <c:pt idx="167">
                  <c:v>4.7351909682542014E-2</c:v>
                </c:pt>
                <c:pt idx="168">
                  <c:v>0.1089706869783727</c:v>
                </c:pt>
                <c:pt idx="169">
                  <c:v>9.6906647318148201E-2</c:v>
                </c:pt>
                <c:pt idx="170">
                  <c:v>0.11906928690496316</c:v>
                </c:pt>
                <c:pt idx="171">
                  <c:v>0.10413848992305376</c:v>
                </c:pt>
                <c:pt idx="172">
                  <c:v>8.122663920666362E-2</c:v>
                </c:pt>
                <c:pt idx="173">
                  <c:v>7.8572034651108957E-2</c:v>
                </c:pt>
                <c:pt idx="174">
                  <c:v>4.4652536727559276E-2</c:v>
                </c:pt>
                <c:pt idx="175">
                  <c:v>6.0171739560712055E-2</c:v>
                </c:pt>
                <c:pt idx="176">
                  <c:v>7.9601549079536468E-2</c:v>
                </c:pt>
                <c:pt idx="177">
                  <c:v>0.30001257020489147</c:v>
                </c:pt>
                <c:pt idx="178">
                  <c:v>0.28250185418478618</c:v>
                </c:pt>
                <c:pt idx="179">
                  <c:v>0.33105282370405381</c:v>
                </c:pt>
                <c:pt idx="180">
                  <c:v>0.19805376366175928</c:v>
                </c:pt>
                <c:pt idx="181">
                  <c:v>0.16787002391217909</c:v>
                </c:pt>
                <c:pt idx="182">
                  <c:v>9.0612972181174811E-2</c:v>
                </c:pt>
                <c:pt idx="183">
                  <c:v>0.1074295390037352</c:v>
                </c:pt>
                <c:pt idx="184">
                  <c:v>0.13205622659008368</c:v>
                </c:pt>
                <c:pt idx="185">
                  <c:v>0.13926586923915382</c:v>
                </c:pt>
                <c:pt idx="186">
                  <c:v>0.18452259461419743</c:v>
                </c:pt>
                <c:pt idx="187">
                  <c:v>0.20365873676425869</c:v>
                </c:pt>
                <c:pt idx="188">
                  <c:v>0.20726495526539734</c:v>
                </c:pt>
                <c:pt idx="189">
                  <c:v>0.16669633410074022</c:v>
                </c:pt>
                <c:pt idx="190">
                  <c:v>0.28410634776558635</c:v>
                </c:pt>
                <c:pt idx="191">
                  <c:v>0.25189985189806458</c:v>
                </c:pt>
                <c:pt idx="192">
                  <c:v>0.30501587461606094</c:v>
                </c:pt>
                <c:pt idx="193">
                  <c:v>0.29258450494110849</c:v>
                </c:pt>
                <c:pt idx="194">
                  <c:v>0.35500933514216237</c:v>
                </c:pt>
                <c:pt idx="195">
                  <c:v>0.32517757283422871</c:v>
                </c:pt>
                <c:pt idx="196">
                  <c:v>0.33915659020144834</c:v>
                </c:pt>
                <c:pt idx="197">
                  <c:v>0.33258387111423576</c:v>
                </c:pt>
                <c:pt idx="198">
                  <c:v>0.34195309050010314</c:v>
                </c:pt>
                <c:pt idx="199">
                  <c:v>0.37864361279255715</c:v>
                </c:pt>
                <c:pt idx="200">
                  <c:v>0.18186644062678381</c:v>
                </c:pt>
                <c:pt idx="201">
                  <c:v>0.38030614554808484</c:v>
                </c:pt>
                <c:pt idx="202">
                  <c:v>0.16988963042063418</c:v>
                </c:pt>
                <c:pt idx="203">
                  <c:v>0.14927303380059342</c:v>
                </c:pt>
                <c:pt idx="204">
                  <c:v>7.5948311627327916E-2</c:v>
                </c:pt>
                <c:pt idx="205">
                  <c:v>0.1519864113859071</c:v>
                </c:pt>
                <c:pt idx="206">
                  <c:v>0.18067318391136503</c:v>
                </c:pt>
                <c:pt idx="207">
                  <c:v>0.2439044083455707</c:v>
                </c:pt>
                <c:pt idx="208">
                  <c:v>0.30812026897819556</c:v>
                </c:pt>
                <c:pt idx="209">
                  <c:v>0.24474122790179001</c:v>
                </c:pt>
                <c:pt idx="210">
                  <c:v>0.44212839864295089</c:v>
                </c:pt>
                <c:pt idx="211">
                  <c:v>0.45085868290545411</c:v>
                </c:pt>
                <c:pt idx="212">
                  <c:v>0.37322153758117654</c:v>
                </c:pt>
                <c:pt idx="213">
                  <c:v>0.37227118042460966</c:v>
                </c:pt>
                <c:pt idx="214">
                  <c:v>0.38633457194012633</c:v>
                </c:pt>
                <c:pt idx="215">
                  <c:v>0.3053542910038699</c:v>
                </c:pt>
                <c:pt idx="216">
                  <c:v>0.35149652999405956</c:v>
                </c:pt>
                <c:pt idx="217">
                  <c:v>0.29817860639619498</c:v>
                </c:pt>
                <c:pt idx="218">
                  <c:v>0.33182053688434121</c:v>
                </c:pt>
                <c:pt idx="219">
                  <c:v>0.24723526328764878</c:v>
                </c:pt>
                <c:pt idx="220">
                  <c:v>0.29573556012731816</c:v>
                </c:pt>
                <c:pt idx="221">
                  <c:v>0.30739012215742423</c:v>
                </c:pt>
                <c:pt idx="222">
                  <c:v>0.2830180852097533</c:v>
                </c:pt>
                <c:pt idx="223">
                  <c:v>0.29571763020577724</c:v>
                </c:pt>
                <c:pt idx="224">
                  <c:v>0.29544451159508472</c:v>
                </c:pt>
                <c:pt idx="225">
                  <c:v>0.31323541976338531</c:v>
                </c:pt>
                <c:pt idx="226">
                  <c:v>0.26590437909352888</c:v>
                </c:pt>
                <c:pt idx="227">
                  <c:v>0.32497991823343625</c:v>
                </c:pt>
                <c:pt idx="228">
                  <c:v>0.34521106125194279</c:v>
                </c:pt>
                <c:pt idx="229">
                  <c:v>0.30531681822786366</c:v>
                </c:pt>
                <c:pt idx="230">
                  <c:v>0.23518679428721639</c:v>
                </c:pt>
                <c:pt idx="231">
                  <c:v>0.2084632945409689</c:v>
                </c:pt>
                <c:pt idx="232">
                  <c:v>0.12712024911089145</c:v>
                </c:pt>
                <c:pt idx="233">
                  <c:v>0.29187578888462778</c:v>
                </c:pt>
                <c:pt idx="234">
                  <c:v>0.20180335706578917</c:v>
                </c:pt>
                <c:pt idx="235">
                  <c:v>0.23675509392411981</c:v>
                </c:pt>
                <c:pt idx="236">
                  <c:v>0.195973091007518</c:v>
                </c:pt>
                <c:pt idx="237">
                  <c:v>0.27278472990106084</c:v>
                </c:pt>
                <c:pt idx="238">
                  <c:v>0.26013259644168474</c:v>
                </c:pt>
                <c:pt idx="239">
                  <c:v>0.24785582151554705</c:v>
                </c:pt>
                <c:pt idx="240">
                  <c:v>0.20204674218204077</c:v>
                </c:pt>
                <c:pt idx="241">
                  <c:v>0.23475375000012605</c:v>
                </c:pt>
                <c:pt idx="242">
                  <c:v>0.2978649278368431</c:v>
                </c:pt>
                <c:pt idx="243">
                  <c:v>0.35001632210670636</c:v>
                </c:pt>
                <c:pt idx="244">
                  <c:v>0.36986326210997789</c:v>
                </c:pt>
                <c:pt idx="245">
                  <c:v>0.46187594708404817</c:v>
                </c:pt>
                <c:pt idx="246">
                  <c:v>0.51743800671570284</c:v>
                </c:pt>
                <c:pt idx="247">
                  <c:v>0.51024741793312134</c:v>
                </c:pt>
                <c:pt idx="248">
                  <c:v>0.48709644734202667</c:v>
                </c:pt>
                <c:pt idx="249">
                  <c:v>0.45177748460183781</c:v>
                </c:pt>
                <c:pt idx="250">
                  <c:v>0.51245772085974406</c:v>
                </c:pt>
                <c:pt idx="251">
                  <c:v>0.4754076866678133</c:v>
                </c:pt>
                <c:pt idx="252">
                  <c:v>0.47300784195280188</c:v>
                </c:pt>
                <c:pt idx="253">
                  <c:v>0.50092777413475231</c:v>
                </c:pt>
                <c:pt idx="254">
                  <c:v>0.54138850971378671</c:v>
                </c:pt>
                <c:pt idx="255">
                  <c:v>0.50446140907374715</c:v>
                </c:pt>
                <c:pt idx="256">
                  <c:v>0.55335053868620487</c:v>
                </c:pt>
                <c:pt idx="257">
                  <c:v>0.45475274959336187</c:v>
                </c:pt>
                <c:pt idx="258">
                  <c:v>0.32827721918025476</c:v>
                </c:pt>
                <c:pt idx="259">
                  <c:v>0.34610716374847217</c:v>
                </c:pt>
                <c:pt idx="260">
                  <c:v>0.40034322481186962</c:v>
                </c:pt>
                <c:pt idx="261">
                  <c:v>0.23123121432898386</c:v>
                </c:pt>
                <c:pt idx="262">
                  <c:v>0.22892252747895384</c:v>
                </c:pt>
                <c:pt idx="263">
                  <c:v>0.21599491932398307</c:v>
                </c:pt>
                <c:pt idx="264">
                  <c:v>0.16352655667089322</c:v>
                </c:pt>
                <c:pt idx="265">
                  <c:v>0.15680978621419853</c:v>
                </c:pt>
                <c:pt idx="266">
                  <c:v>0.14131242561604779</c:v>
                </c:pt>
                <c:pt idx="267">
                  <c:v>0.10922909684110949</c:v>
                </c:pt>
                <c:pt idx="268">
                  <c:v>9.8395729789414188E-2</c:v>
                </c:pt>
                <c:pt idx="269">
                  <c:v>7.1874910201549366E-3</c:v>
                </c:pt>
                <c:pt idx="270">
                  <c:v>4.7167834320265743E-2</c:v>
                </c:pt>
                <c:pt idx="271">
                  <c:v>8.8392579990534445E-2</c:v>
                </c:pt>
                <c:pt idx="272">
                  <c:v>0.11631609896830299</c:v>
                </c:pt>
                <c:pt idx="273">
                  <c:v>0.1816414109148414</c:v>
                </c:pt>
                <c:pt idx="274">
                  <c:v>0.16849464447658932</c:v>
                </c:pt>
                <c:pt idx="275">
                  <c:v>0.21066451315296375</c:v>
                </c:pt>
                <c:pt idx="276">
                  <c:v>0.18268088101565241</c:v>
                </c:pt>
                <c:pt idx="277">
                  <c:v>0.14111640019598043</c:v>
                </c:pt>
                <c:pt idx="278">
                  <c:v>9.3521168340053015E-2</c:v>
                </c:pt>
                <c:pt idx="279">
                  <c:v>0.13505323305286965</c:v>
                </c:pt>
                <c:pt idx="280">
                  <c:v>7.6704624870392021E-2</c:v>
                </c:pt>
                <c:pt idx="281">
                  <c:v>4.1691888731969017E-2</c:v>
                </c:pt>
                <c:pt idx="282">
                  <c:v>0.10850491926014798</c:v>
                </c:pt>
                <c:pt idx="283">
                  <c:v>3.0023918143741925E-2</c:v>
                </c:pt>
                <c:pt idx="284">
                  <c:v>1.8864014386908819E-2</c:v>
                </c:pt>
                <c:pt idx="285">
                  <c:v>7.6118063132101385E-2</c:v>
                </c:pt>
                <c:pt idx="286">
                  <c:v>0.12132588061915583</c:v>
                </c:pt>
                <c:pt idx="287">
                  <c:v>7.0844500886308601E-2</c:v>
                </c:pt>
                <c:pt idx="288">
                  <c:v>0.30160933032667175</c:v>
                </c:pt>
                <c:pt idx="289">
                  <c:v>0.31436793358325532</c:v>
                </c:pt>
                <c:pt idx="290">
                  <c:v>0.24467562247218011</c:v>
                </c:pt>
                <c:pt idx="291">
                  <c:v>0.20514683912042472</c:v>
                </c:pt>
                <c:pt idx="292">
                  <c:v>0.1633444787138805</c:v>
                </c:pt>
                <c:pt idx="293">
                  <c:v>0.2008035221315049</c:v>
                </c:pt>
                <c:pt idx="294">
                  <c:v>0.13485796550173632</c:v>
                </c:pt>
                <c:pt idx="295">
                  <c:v>-6.0997219533703059E-2</c:v>
                </c:pt>
                <c:pt idx="296">
                  <c:v>-0.11663750122299063</c:v>
                </c:pt>
                <c:pt idx="297">
                  <c:v>-0.23178436745311218</c:v>
                </c:pt>
                <c:pt idx="298">
                  <c:v>-0.28864213130982053</c:v>
                </c:pt>
                <c:pt idx="299">
                  <c:v>-0.32769221190385961</c:v>
                </c:pt>
                <c:pt idx="300">
                  <c:v>-0.21190657091340995</c:v>
                </c:pt>
                <c:pt idx="301">
                  <c:v>-0.19438629901046511</c:v>
                </c:pt>
                <c:pt idx="302">
                  <c:v>-0.14908025789827006</c:v>
                </c:pt>
                <c:pt idx="303">
                  <c:v>-0.12888379771526531</c:v>
                </c:pt>
                <c:pt idx="304">
                  <c:v>-8.5622181059485172E-2</c:v>
                </c:pt>
                <c:pt idx="305">
                  <c:v>-0.13836620104098046</c:v>
                </c:pt>
                <c:pt idx="306">
                  <c:v>-0.2632534896016</c:v>
                </c:pt>
                <c:pt idx="307">
                  <c:v>-0.27773485630044575</c:v>
                </c:pt>
                <c:pt idx="308">
                  <c:v>-0.31661565754057819</c:v>
                </c:pt>
                <c:pt idx="309">
                  <c:v>-0.23507656663886167</c:v>
                </c:pt>
                <c:pt idx="310">
                  <c:v>-0.23815526071769569</c:v>
                </c:pt>
                <c:pt idx="311">
                  <c:v>-0.15985235459685299</c:v>
                </c:pt>
                <c:pt idx="312">
                  <c:v>-0.40332188250795953</c:v>
                </c:pt>
                <c:pt idx="313">
                  <c:v>-0.39614816202310377</c:v>
                </c:pt>
                <c:pt idx="314">
                  <c:v>-0.39708162753508075</c:v>
                </c:pt>
                <c:pt idx="315">
                  <c:v>-0.3637394286344397</c:v>
                </c:pt>
                <c:pt idx="316">
                  <c:v>-0.39036609176402776</c:v>
                </c:pt>
                <c:pt idx="317">
                  <c:v>-0.4559376601114582</c:v>
                </c:pt>
                <c:pt idx="318">
                  <c:v>-0.43947099023041802</c:v>
                </c:pt>
                <c:pt idx="319">
                  <c:v>-0.23510516689710642</c:v>
                </c:pt>
                <c:pt idx="320">
                  <c:v>-5.2458576257550932E-2</c:v>
                </c:pt>
                <c:pt idx="321">
                  <c:v>-2.6427067239684163E-2</c:v>
                </c:pt>
                <c:pt idx="322">
                  <c:v>3.2443738513511844E-2</c:v>
                </c:pt>
                <c:pt idx="323">
                  <c:v>5.4958732500548418E-2</c:v>
                </c:pt>
                <c:pt idx="324">
                  <c:v>4.599164290598793E-2</c:v>
                </c:pt>
                <c:pt idx="325">
                  <c:v>7.2153746905711108E-2</c:v>
                </c:pt>
                <c:pt idx="326">
                  <c:v>7.843570256206249E-2</c:v>
                </c:pt>
                <c:pt idx="327">
                  <c:v>0.16227798302882859</c:v>
                </c:pt>
                <c:pt idx="328">
                  <c:v>9.5550118844136306E-2</c:v>
                </c:pt>
                <c:pt idx="329">
                  <c:v>9.8031025035254515E-2</c:v>
                </c:pt>
                <c:pt idx="330">
                  <c:v>0.15139504476491311</c:v>
                </c:pt>
                <c:pt idx="331">
                  <c:v>0.22134455293759259</c:v>
                </c:pt>
                <c:pt idx="332">
                  <c:v>0.22696087674458768</c:v>
                </c:pt>
                <c:pt idx="333">
                  <c:v>0.17248483943791315</c:v>
                </c:pt>
                <c:pt idx="334">
                  <c:v>0.18070955530391217</c:v>
                </c:pt>
                <c:pt idx="335">
                  <c:v>0.12467297471894767</c:v>
                </c:pt>
                <c:pt idx="336">
                  <c:v>0.1801541526289509</c:v>
                </c:pt>
                <c:pt idx="337">
                  <c:v>0.12399326855201764</c:v>
                </c:pt>
                <c:pt idx="338">
                  <c:v>0.25546075033341509</c:v>
                </c:pt>
                <c:pt idx="339">
                  <c:v>0.28718208691137792</c:v>
                </c:pt>
                <c:pt idx="340">
                  <c:v>0.29894911478461039</c:v>
                </c:pt>
                <c:pt idx="341">
                  <c:v>0.27129096494016069</c:v>
                </c:pt>
                <c:pt idx="342">
                  <c:v>0.20739689023737726</c:v>
                </c:pt>
                <c:pt idx="343">
                  <c:v>0.1711315446335874</c:v>
                </c:pt>
                <c:pt idx="344">
                  <c:v>3.7260838958184481E-2</c:v>
                </c:pt>
                <c:pt idx="345">
                  <c:v>7.4007302071181863E-2</c:v>
                </c:pt>
                <c:pt idx="346">
                  <c:v>7.2184137013940983E-2</c:v>
                </c:pt>
                <c:pt idx="347">
                  <c:v>6.7589821052475824E-2</c:v>
                </c:pt>
                <c:pt idx="348">
                  <c:v>-0.10031508745587046</c:v>
                </c:pt>
                <c:pt idx="349">
                  <c:v>2.616688016732752E-2</c:v>
                </c:pt>
                <c:pt idx="350">
                  <c:v>-2.464123566500831E-2</c:v>
                </c:pt>
                <c:pt idx="351">
                  <c:v>-0.12366945204944869</c:v>
                </c:pt>
                <c:pt idx="352">
                  <c:v>-7.6205429464583571E-2</c:v>
                </c:pt>
                <c:pt idx="353">
                  <c:v>-0.10240373657876688</c:v>
                </c:pt>
                <c:pt idx="354">
                  <c:v>-4.2703491899975174E-2</c:v>
                </c:pt>
                <c:pt idx="355">
                  <c:v>-6.0828050299677729E-2</c:v>
                </c:pt>
                <c:pt idx="356">
                  <c:v>6.7600197166093501E-2</c:v>
                </c:pt>
                <c:pt idx="357">
                  <c:v>5.3214989454242245E-2</c:v>
                </c:pt>
                <c:pt idx="358">
                  <c:v>3.5571880008323543E-2</c:v>
                </c:pt>
                <c:pt idx="359">
                  <c:v>0.11327493454027007</c:v>
                </c:pt>
                <c:pt idx="360">
                  <c:v>6.8792218578773545E-2</c:v>
                </c:pt>
                <c:pt idx="361">
                  <c:v>7.2858356194915638E-2</c:v>
                </c:pt>
                <c:pt idx="362">
                  <c:v>-7.3580625313524592E-2</c:v>
                </c:pt>
                <c:pt idx="363">
                  <c:v>-0.12995849097233531</c:v>
                </c:pt>
                <c:pt idx="364">
                  <c:v>-0.13991674429792936</c:v>
                </c:pt>
                <c:pt idx="365">
                  <c:v>-5.0444189319315172E-2</c:v>
                </c:pt>
                <c:pt idx="366">
                  <c:v>-0.11873929358784267</c:v>
                </c:pt>
                <c:pt idx="367">
                  <c:v>-7.5055401618137979E-2</c:v>
                </c:pt>
                <c:pt idx="368">
                  <c:v>-7.5492278418000464E-2</c:v>
                </c:pt>
                <c:pt idx="369">
                  <c:v>-7.5446487812831156E-2</c:v>
                </c:pt>
                <c:pt idx="370">
                  <c:v>-0.12301800302733711</c:v>
                </c:pt>
                <c:pt idx="371">
                  <c:v>-0.1550091170798322</c:v>
                </c:pt>
                <c:pt idx="372">
                  <c:v>-9.338663135980653E-2</c:v>
                </c:pt>
                <c:pt idx="373">
                  <c:v>-0.31846685347551246</c:v>
                </c:pt>
                <c:pt idx="374">
                  <c:v>-0.29673714533807127</c:v>
                </c:pt>
                <c:pt idx="375">
                  <c:v>-0.33422082095080924</c:v>
                </c:pt>
                <c:pt idx="376">
                  <c:v>-0.25319145955978573</c:v>
                </c:pt>
                <c:pt idx="377">
                  <c:v>-0.13412477509873327</c:v>
                </c:pt>
                <c:pt idx="378">
                  <c:v>-0.18228940724191262</c:v>
                </c:pt>
                <c:pt idx="379">
                  <c:v>-0.1146204126699584</c:v>
                </c:pt>
                <c:pt idx="380">
                  <c:v>-0.24466181229898099</c:v>
                </c:pt>
                <c:pt idx="381">
                  <c:v>-0.1725126600185368</c:v>
                </c:pt>
                <c:pt idx="382">
                  <c:v>-0.17015979378796089</c:v>
                </c:pt>
                <c:pt idx="383">
                  <c:v>-0.23824900098179314</c:v>
                </c:pt>
                <c:pt idx="384">
                  <c:v>-0.26307305907316475</c:v>
                </c:pt>
                <c:pt idx="385">
                  <c:v>-0.2026505570199589</c:v>
                </c:pt>
                <c:pt idx="386">
                  <c:v>-0.18582221160547505</c:v>
                </c:pt>
                <c:pt idx="387">
                  <c:v>-6.5891024946013482E-2</c:v>
                </c:pt>
                <c:pt idx="388">
                  <c:v>2.7600170360612991E-2</c:v>
                </c:pt>
                <c:pt idx="389">
                  <c:v>3.2102062667125036E-2</c:v>
                </c:pt>
                <c:pt idx="390">
                  <c:v>0.19006207234504557</c:v>
                </c:pt>
                <c:pt idx="391">
                  <c:v>0.30686548617493598</c:v>
                </c:pt>
                <c:pt idx="392">
                  <c:v>0.31726129499296546</c:v>
                </c:pt>
                <c:pt idx="393">
                  <c:v>0.33464224972672296</c:v>
                </c:pt>
                <c:pt idx="394">
                  <c:v>0.46616483720444907</c:v>
                </c:pt>
                <c:pt idx="395">
                  <c:v>0.49319819445050345</c:v>
                </c:pt>
                <c:pt idx="396">
                  <c:v>0.53603823940154116</c:v>
                </c:pt>
                <c:pt idx="397">
                  <c:v>0.54060605233189929</c:v>
                </c:pt>
                <c:pt idx="398">
                  <c:v>0.58216559708452531</c:v>
                </c:pt>
                <c:pt idx="399">
                  <c:v>0.58162413823585557</c:v>
                </c:pt>
                <c:pt idx="400">
                  <c:v>0.60470098913968373</c:v>
                </c:pt>
                <c:pt idx="401">
                  <c:v>0.60032553193980254</c:v>
                </c:pt>
                <c:pt idx="402">
                  <c:v>0.80410597425261932</c:v>
                </c:pt>
                <c:pt idx="403">
                  <c:v>0.74321982284152166</c:v>
                </c:pt>
                <c:pt idx="404">
                  <c:v>0.75611018822120113</c:v>
                </c:pt>
                <c:pt idx="405">
                  <c:v>0.73815428212509882</c:v>
                </c:pt>
                <c:pt idx="406">
                  <c:v>0.74694026782556056</c:v>
                </c:pt>
                <c:pt idx="407">
                  <c:v>0.84679974955920789</c:v>
                </c:pt>
                <c:pt idx="408">
                  <c:v>0.94485905510782853</c:v>
                </c:pt>
                <c:pt idx="409">
                  <c:v>1.0270444890394057</c:v>
                </c:pt>
                <c:pt idx="410">
                  <c:v>1.0234028938167208</c:v>
                </c:pt>
                <c:pt idx="411">
                  <c:v>0.8795073472377527</c:v>
                </c:pt>
                <c:pt idx="412">
                  <c:v>0.76479874960232597</c:v>
                </c:pt>
                <c:pt idx="413">
                  <c:v>0.63949994663852749</c:v>
                </c:pt>
                <c:pt idx="414">
                  <c:v>0.60279809873106105</c:v>
                </c:pt>
                <c:pt idx="415">
                  <c:v>0.32716298383282122</c:v>
                </c:pt>
                <c:pt idx="416">
                  <c:v>0.25667356430117594</c:v>
                </c:pt>
                <c:pt idx="417">
                  <c:v>0.27338353054585951</c:v>
                </c:pt>
                <c:pt idx="418">
                  <c:v>0.19630299986435973</c:v>
                </c:pt>
                <c:pt idx="419">
                  <c:v>0.14511980907264216</c:v>
                </c:pt>
                <c:pt idx="420">
                  <c:v>0.19809399788225876</c:v>
                </c:pt>
                <c:pt idx="421">
                  <c:v>0.33950038830235768</c:v>
                </c:pt>
                <c:pt idx="422">
                  <c:v>0.28326803262436867</c:v>
                </c:pt>
                <c:pt idx="423">
                  <c:v>0.32036573429329679</c:v>
                </c:pt>
                <c:pt idx="424">
                  <c:v>0.22004372213861473</c:v>
                </c:pt>
              </c:numCache>
            </c:numRef>
          </c:val>
          <c:smooth val="0"/>
          <c:extLst xmlns:c15="http://schemas.microsoft.com/office/drawing/2012/chart">
            <c:ext xmlns:c16="http://schemas.microsoft.com/office/drawing/2014/chart" uri="{C3380CC4-5D6E-409C-BE32-E72D297353CC}">
              <c16:uniqueId val="{00000001-1DE9-4D31-A911-7FB86615BFA7}"/>
            </c:ext>
          </c:extLst>
        </c:ser>
        <c:dLbls>
          <c:showLegendKey val="0"/>
          <c:showVal val="0"/>
          <c:showCatName val="0"/>
          <c:showSerName val="0"/>
          <c:showPercent val="0"/>
          <c:showBubbleSize val="0"/>
        </c:dLbls>
        <c:smooth val="0"/>
        <c:axId val="1218075600"/>
        <c:axId val="1218077040"/>
        <c:extLst>
          <c:ext xmlns:c15="http://schemas.microsoft.com/office/drawing/2012/chart" uri="{02D57815-91ED-43cb-92C2-25804820EDAC}">
            <c15:filteredLineSeries>
              <c15:ser>
                <c:idx val="2"/>
                <c:order val="1"/>
                <c:tx>
                  <c:v>Expectancy 50-ma</c:v>
                </c:tx>
                <c:spPr>
                  <a:ln w="28575" cap="rnd">
                    <a:solidFill>
                      <a:schemeClr val="accent3"/>
                    </a:solidFill>
                    <a:prstDash val="solid"/>
                    <a:round/>
                  </a:ln>
                  <a:effectLst/>
                </c:spPr>
                <c:marker>
                  <c:symbol val="none"/>
                </c:marker>
                <c:val>
                  <c:numRef>
                    <c:extLst>
                      <c:ext uri="{02D57815-91ED-43cb-92C2-25804820EDAC}">
                        <c15:fullRef>
                          <c15:sqref>'2025-Q1'!$FS$4:$FS$448</c15:sqref>
                        </c15:fullRef>
                        <c15:formulaRef>
                          <c15:sqref>'2025-Q1'!$FS$24:$FS$448</c15:sqref>
                        </c15:formulaRef>
                      </c:ext>
                    </c:extLst>
                    <c:numCache>
                      <c:formatCode>0.0</c:formatCode>
                      <c:ptCount val="425"/>
                      <c:pt idx="29">
                        <c:v>0.31587262463528432</c:v>
                      </c:pt>
                      <c:pt idx="30">
                        <c:v>0.29312990534120398</c:v>
                      </c:pt>
                      <c:pt idx="31">
                        <c:v>0.22858322112404142</c:v>
                      </c:pt>
                      <c:pt idx="32">
                        <c:v>0.20700705163571143</c:v>
                      </c:pt>
                      <c:pt idx="33">
                        <c:v>0.17144382138221567</c:v>
                      </c:pt>
                      <c:pt idx="34">
                        <c:v>0.15450206120388765</c:v>
                      </c:pt>
                      <c:pt idx="35">
                        <c:v>0.12700176485018116</c:v>
                      </c:pt>
                      <c:pt idx="36">
                        <c:v>0.10145022800608182</c:v>
                      </c:pt>
                      <c:pt idx="37">
                        <c:v>0.10494669317878196</c:v>
                      </c:pt>
                      <c:pt idx="38">
                        <c:v>0.10566885040685363</c:v>
                      </c:pt>
                      <c:pt idx="39">
                        <c:v>8.8418676779853184E-2</c:v>
                      </c:pt>
                      <c:pt idx="40">
                        <c:v>0.12250428781047086</c:v>
                      </c:pt>
                      <c:pt idx="41">
                        <c:v>0.17151626041912849</c:v>
                      </c:pt>
                      <c:pt idx="42">
                        <c:v>0.21307562374634506</c:v>
                      </c:pt>
                      <c:pt idx="43">
                        <c:v>0.20951911869083897</c:v>
                      </c:pt>
                      <c:pt idx="44">
                        <c:v>0.23303565032113327</c:v>
                      </c:pt>
                      <c:pt idx="45">
                        <c:v>0.21537011876396572</c:v>
                      </c:pt>
                      <c:pt idx="46">
                        <c:v>0.22021236165823468</c:v>
                      </c:pt>
                      <c:pt idx="47">
                        <c:v>0.21641130466928474</c:v>
                      </c:pt>
                      <c:pt idx="48">
                        <c:v>0.19409100365377338</c:v>
                      </c:pt>
                      <c:pt idx="49">
                        <c:v>0.18117476876233807</c:v>
                      </c:pt>
                      <c:pt idx="50">
                        <c:v>0.18973962325888794</c:v>
                      </c:pt>
                      <c:pt idx="51">
                        <c:v>0.17860247511882377</c:v>
                      </c:pt>
                      <c:pt idx="52">
                        <c:v>0.19402973924514086</c:v>
                      </c:pt>
                      <c:pt idx="53">
                        <c:v>0.19717180995774511</c:v>
                      </c:pt>
                      <c:pt idx="54">
                        <c:v>0.18682252722863868</c:v>
                      </c:pt>
                      <c:pt idx="55">
                        <c:v>0.1835705798698167</c:v>
                      </c:pt>
                      <c:pt idx="56">
                        <c:v>0.16867349096020809</c:v>
                      </c:pt>
                      <c:pt idx="57">
                        <c:v>0.13787845606707866</c:v>
                      </c:pt>
                      <c:pt idx="58">
                        <c:v>0.11792633549972399</c:v>
                      </c:pt>
                      <c:pt idx="59">
                        <c:v>0.13325943353368053</c:v>
                      </c:pt>
                      <c:pt idx="60">
                        <c:v>0.13314008594684595</c:v>
                      </c:pt>
                      <c:pt idx="61">
                        <c:v>0.13637620169722792</c:v>
                      </c:pt>
                      <c:pt idx="62">
                        <c:v>0.11053905526894993</c:v>
                      </c:pt>
                      <c:pt idx="63">
                        <c:v>9.6099815592860502E-2</c:v>
                      </c:pt>
                      <c:pt idx="64">
                        <c:v>0.11402027329017407</c:v>
                      </c:pt>
                      <c:pt idx="65">
                        <c:v>0.12262014322975329</c:v>
                      </c:pt>
                      <c:pt idx="66">
                        <c:v>9.663588852678448E-2</c:v>
                      </c:pt>
                      <c:pt idx="67">
                        <c:v>0.11115441510235537</c:v>
                      </c:pt>
                      <c:pt idx="68">
                        <c:v>0.13748698255329284</c:v>
                      </c:pt>
                      <c:pt idx="69">
                        <c:v>0.14646500576313318</c:v>
                      </c:pt>
                      <c:pt idx="70">
                        <c:v>0.15209365046223741</c:v>
                      </c:pt>
                      <c:pt idx="71">
                        <c:v>0.14933131009802081</c:v>
                      </c:pt>
                      <c:pt idx="72">
                        <c:v>0.14409016933970592</c:v>
                      </c:pt>
                      <c:pt idx="73">
                        <c:v>0.15125545415484515</c:v>
                      </c:pt>
                      <c:pt idx="74">
                        <c:v>0.13967610013129453</c:v>
                      </c:pt>
                      <c:pt idx="75">
                        <c:v>0.15554791640899965</c:v>
                      </c:pt>
                      <c:pt idx="76">
                        <c:v>0.19578847217503326</c:v>
                      </c:pt>
                      <c:pt idx="77">
                        <c:v>0.1352710727952785</c:v>
                      </c:pt>
                      <c:pt idx="78">
                        <c:v>0.1150274920479951</c:v>
                      </c:pt>
                      <c:pt idx="79">
                        <c:v>#N/A</c:v>
                      </c:pt>
                      <c:pt idx="80">
                        <c:v>0.12916985652943744</c:v>
                      </c:pt>
                      <c:pt idx="81">
                        <c:v>0.12168916987377104</c:v>
                      </c:pt>
                      <c:pt idx="82">
                        <c:v>0.1362698593572288</c:v>
                      </c:pt>
                      <c:pt idx="83">
                        <c:v>0.11349680206605967</c:v>
                      </c:pt>
                      <c:pt idx="84">
                        <c:v>0.13313314076021424</c:v>
                      </c:pt>
                      <c:pt idx="85">
                        <c:v>#N/A</c:v>
                      </c:pt>
                      <c:pt idx="86">
                        <c:v>7.6090379770855809E-2</c:v>
                      </c:pt>
                      <c:pt idx="87">
                        <c:v>4.3233940233215931E-2</c:v>
                      </c:pt>
                      <c:pt idx="88">
                        <c:v>3.2442820772617044E-2</c:v>
                      </c:pt>
                      <c:pt idx="89">
                        <c:v>1.6265153958390791E-2</c:v>
                      </c:pt>
                      <c:pt idx="90">
                        <c:v>7.6075865499277182E-2</c:v>
                      </c:pt>
                      <c:pt idx="91">
                        <c:v>0.10127490634041514</c:v>
                      </c:pt>
                      <c:pt idx="92">
                        <c:v>0.10897682473963029</c:v>
                      </c:pt>
                      <c:pt idx="93">
                        <c:v>0.13872795304558466</c:v>
                      </c:pt>
                      <c:pt idx="94">
                        <c:v>0.16393212680811389</c:v>
                      </c:pt>
                      <c:pt idx="95">
                        <c:v>0.15497539058440185</c:v>
                      </c:pt>
                      <c:pt idx="96">
                        <c:v>#N/A</c:v>
                      </c:pt>
                      <c:pt idx="97">
                        <c:v>0.1650918802427386</c:v>
                      </c:pt>
                      <c:pt idx="98">
                        <c:v>0.14028825133557588</c:v>
                      </c:pt>
                      <c:pt idx="99">
                        <c:v>0.15491197682962379</c:v>
                      </c:pt>
                      <c:pt idx="100">
                        <c:v>0.17150694657314533</c:v>
                      </c:pt>
                      <c:pt idx="101">
                        <c:v>0.10555215738577801</c:v>
                      </c:pt>
                      <c:pt idx="102">
                        <c:v>#N/A</c:v>
                      </c:pt>
                      <c:pt idx="103">
                        <c:v>#N/A</c:v>
                      </c:pt>
                      <c:pt idx="104">
                        <c:v>7.8641514882214811E-2</c:v>
                      </c:pt>
                      <c:pt idx="105">
                        <c:v>0.10955221390314154</c:v>
                      </c:pt>
                      <c:pt idx="106">
                        <c:v>0.11982239261444534</c:v>
                      </c:pt>
                      <c:pt idx="107">
                        <c:v>0.1269184174459955</c:v>
                      </c:pt>
                      <c:pt idx="108">
                        <c:v>0.11897452132446323</c:v>
                      </c:pt>
                      <c:pt idx="109">
                        <c:v>0.10376178067836389</c:v>
                      </c:pt>
                      <c:pt idx="110">
                        <c:v>0.11944847650851939</c:v>
                      </c:pt>
                      <c:pt idx="111">
                        <c:v>#N/A</c:v>
                      </c:pt>
                      <c:pt idx="112">
                        <c:v>0.1297580166114323</c:v>
                      </c:pt>
                      <c:pt idx="113">
                        <c:v>0.10496520296321571</c:v>
                      </c:pt>
                      <c:pt idx="114">
                        <c:v>8.7068243008600707E-2</c:v>
                      </c:pt>
                      <c:pt idx="115">
                        <c:v>0.12586819528870166</c:v>
                      </c:pt>
                      <c:pt idx="116">
                        <c:v>6.9916089178624144E-2</c:v>
                      </c:pt>
                      <c:pt idx="117">
                        <c:v>5.0370678711793605E-3</c:v>
                      </c:pt>
                      <c:pt idx="118">
                        <c:v>-1.6495545590504854E-2</c:v>
                      </c:pt>
                      <c:pt idx="119">
                        <c:v>-5.6454709229943362E-2</c:v>
                      </c:pt>
                      <c:pt idx="120">
                        <c:v>8.0750706848006469E-3</c:v>
                      </c:pt>
                      <c:pt idx="121">
                        <c:v>-1.1809605189904995E-2</c:v>
                      </c:pt>
                      <c:pt idx="122">
                        <c:v>#N/A</c:v>
                      </c:pt>
                      <c:pt idx="123">
                        <c:v>-5.4251163344443401E-3</c:v>
                      </c:pt>
                      <c:pt idx="124">
                        <c:v>-7.221639244767388E-3</c:v>
                      </c:pt>
                      <c:pt idx="125">
                        <c:v>-3.1772118558248082E-2</c:v>
                      </c:pt>
                      <c:pt idx="126">
                        <c:v>2.2001594204609703E-2</c:v>
                      </c:pt>
                      <c:pt idx="127">
                        <c:v>6.77523504473794E-2</c:v>
                      </c:pt>
                      <c:pt idx="128">
                        <c:v>3.4060107248957153E-2</c:v>
                      </c:pt>
                      <c:pt idx="129">
                        <c:v>1.1387852919778041E-2</c:v>
                      </c:pt>
                      <c:pt idx="130">
                        <c:v>9.1042612165417574E-3</c:v>
                      </c:pt>
                      <c:pt idx="131">
                        <c:v>-4.391772313342486E-3</c:v>
                      </c:pt>
                      <c:pt idx="132">
                        <c:v>4.8009933858964614E-3</c:v>
                      </c:pt>
                      <c:pt idx="133">
                        <c:v>-3.2707731801795037E-2</c:v>
                      </c:pt>
                      <c:pt idx="134">
                        <c:v>3.5502651497449733E-3</c:v>
                      </c:pt>
                      <c:pt idx="135">
                        <c:v>-1.3570881672914368E-2</c:v>
                      </c:pt>
                      <c:pt idx="136">
                        <c:v>3.1045438929818515E-2</c:v>
                      </c:pt>
                      <c:pt idx="137">
                        <c:v>2.3781986602612406E-2</c:v>
                      </c:pt>
                      <c:pt idx="138">
                        <c:v>0.10055833560191346</c:v>
                      </c:pt>
                      <c:pt idx="139">
                        <c:v>6.4382472565414725E-2</c:v>
                      </c:pt>
                      <c:pt idx="140">
                        <c:v>3.4602282618193134E-2</c:v>
                      </c:pt>
                      <c:pt idx="141">
                        <c:v>1.5909347540109309E-2</c:v>
                      </c:pt>
                      <c:pt idx="142">
                        <c:v>2.1824464969696353E-2</c:v>
                      </c:pt>
                      <c:pt idx="143">
                        <c:v>3.333026478640249E-2</c:v>
                      </c:pt>
                      <c:pt idx="144">
                        <c:v>5.1232110923590507E-2</c:v>
                      </c:pt>
                      <c:pt idx="145">
                        <c:v>2.5587981673443009E-2</c:v>
                      </c:pt>
                      <c:pt idx="146">
                        <c:v>7.505044936709465E-3</c:v>
                      </c:pt>
                      <c:pt idx="147">
                        <c:v>3.3406869811245993E-2</c:v>
                      </c:pt>
                      <c:pt idx="148">
                        <c:v>3.7392101428681969E-2</c:v>
                      </c:pt>
                      <c:pt idx="149">
                        <c:v>5.3702290501228253E-2</c:v>
                      </c:pt>
                      <c:pt idx="150">
                        <c:v>2.7254671898563395E-2</c:v>
                      </c:pt>
                      <c:pt idx="151">
                        <c:v>3.0875432947779363E-2</c:v>
                      </c:pt>
                      <c:pt idx="152">
                        <c:v>-4.6324488383228833E-3</c:v>
                      </c:pt>
                      <c:pt idx="153">
                        <c:v>-3.3789087755335109E-2</c:v>
                      </c:pt>
                      <c:pt idx="154">
                        <c:v>-2.8927653580763869E-2</c:v>
                      </c:pt>
                      <c:pt idx="155">
                        <c:v>-2.5969853791638419E-2</c:v>
                      </c:pt>
                      <c:pt idx="156">
                        <c:v>-2.2216190673938555E-2</c:v>
                      </c:pt>
                      <c:pt idx="157">
                        <c:v>-6.9553946257783798E-3</c:v>
                      </c:pt>
                      <c:pt idx="158">
                        <c:v>1.5975349596097189E-2</c:v>
                      </c:pt>
                      <c:pt idx="159">
                        <c:v>6.5657044281749288E-2</c:v>
                      </c:pt>
                      <c:pt idx="160">
                        <c:v>3.190806807688526E-2</c:v>
                      </c:pt>
                      <c:pt idx="161">
                        <c:v>8.0156926979799217E-2</c:v>
                      </c:pt>
                      <c:pt idx="162">
                        <c:v>#N/A</c:v>
                      </c:pt>
                      <c:pt idx="163">
                        <c:v>5.6749983136541761E-2</c:v>
                      </c:pt>
                      <c:pt idx="164">
                        <c:v>9.277582711414098E-2</c:v>
                      </c:pt>
                      <c:pt idx="165">
                        <c:v>0.12643243393970305</c:v>
                      </c:pt>
                      <c:pt idx="166">
                        <c:v>6.7100742681518902E-2</c:v>
                      </c:pt>
                      <c:pt idx="167">
                        <c:v>6.6248368574854805E-2</c:v>
                      </c:pt>
                      <c:pt idx="168">
                        <c:v>0.10084249129826042</c:v>
                      </c:pt>
                      <c:pt idx="169">
                        <c:v>0.11501198547389445</c:v>
                      </c:pt>
                      <c:pt idx="170">
                        <c:v>0.10388577481264416</c:v>
                      </c:pt>
                      <c:pt idx="171">
                        <c:v>0.11041140411945055</c:v>
                      </c:pt>
                      <c:pt idx="172">
                        <c:v>9.11581961568598E-2</c:v>
                      </c:pt>
                      <c:pt idx="173">
                        <c:v>9.9747683806447524E-2</c:v>
                      </c:pt>
                      <c:pt idx="174">
                        <c:v>0.12048550647699577</c:v>
                      </c:pt>
                      <c:pt idx="175">
                        <c:v>0.10830207995348036</c:v>
                      </c:pt>
                      <c:pt idx="176">
                        <c:v>0.10092130059112824</c:v>
                      </c:pt>
                      <c:pt idx="177">
                        <c:v>0.23763965810221974</c:v>
                      </c:pt>
                      <c:pt idx="178">
                        <c:v>0.24355574067202845</c:v>
                      </c:pt>
                      <c:pt idx="179">
                        <c:v>0.28420608496414573</c:v>
                      </c:pt>
                      <c:pt idx="180">
                        <c:v>0.20329040292736308</c:v>
                      </c:pt>
                      <c:pt idx="181">
                        <c:v>0.21723328870769068</c:v>
                      </c:pt>
                      <c:pt idx="182">
                        <c:v>0.11567615950140329</c:v>
                      </c:pt>
                      <c:pt idx="183">
                        <c:v>0.11915611399510766</c:v>
                      </c:pt>
                      <c:pt idx="184">
                        <c:v>#N/A</c:v>
                      </c:pt>
                      <c:pt idx="185">
                        <c:v>0.13740404914394433</c:v>
                      </c:pt>
                      <c:pt idx="186">
                        <c:v>0.14011709018194751</c:v>
                      </c:pt>
                      <c:pt idx="187">
                        <c:v>#N/A</c:v>
                      </c:pt>
                      <c:pt idx="188">
                        <c:v>#N/A</c:v>
                      </c:pt>
                      <c:pt idx="189">
                        <c:v>0.13529543839608391</c:v>
                      </c:pt>
                      <c:pt idx="190">
                        <c:v>0.16671562684245048</c:v>
                      </c:pt>
                      <c:pt idx="191">
                        <c:v>0.1827054920836014</c:v>
                      </c:pt>
                      <c:pt idx="192">
                        <c:v>0.20298014945289933</c:v>
                      </c:pt>
                      <c:pt idx="193">
                        <c:v>0.20830750606688922</c:v>
                      </c:pt>
                      <c:pt idx="194">
                        <c:v>0.23174346440600502</c:v>
                      </c:pt>
                      <c:pt idx="195">
                        <c:v>0.21595582424284707</c:v>
                      </c:pt>
                      <c:pt idx="196">
                        <c:v>0.19353320578061162</c:v>
                      </c:pt>
                      <c:pt idx="197">
                        <c:v>0.20575746804811348</c:v>
                      </c:pt>
                      <c:pt idx="198">
                        <c:v>0.18151036078364258</c:v>
                      </c:pt>
                      <c:pt idx="199">
                        <c:v>#N/A</c:v>
                      </c:pt>
                      <c:pt idx="200">
                        <c:v>0.21813542647952069</c:v>
                      </c:pt>
                      <c:pt idx="201">
                        <c:v>0.24078361147263433</c:v>
                      </c:pt>
                      <c:pt idx="202">
                        <c:v>0.23709045052763028</c:v>
                      </c:pt>
                      <c:pt idx="203">
                        <c:v>0.2175743546785775</c:v>
                      </c:pt>
                      <c:pt idx="204">
                        <c:v>0.20244742594301668</c:v>
                      </c:pt>
                      <c:pt idx="205">
                        <c:v>0.17765177599828177</c:v>
                      </c:pt>
                      <c:pt idx="206">
                        <c:v>0.17808945623648548</c:v>
                      </c:pt>
                      <c:pt idx="207">
                        <c:v>0.17380052957822517</c:v>
                      </c:pt>
                      <c:pt idx="208">
                        <c:v>0.21611093733719855</c:v>
                      </c:pt>
                      <c:pt idx="209">
                        <c:v>0.19454329313486834</c:v>
                      </c:pt>
                      <c:pt idx="210">
                        <c:v>0.30281059645829417</c:v>
                      </c:pt>
                      <c:pt idx="211">
                        <c:v>0.32960955155678662</c:v>
                      </c:pt>
                      <c:pt idx="212">
                        <c:v>0.29778713590719996</c:v>
                      </c:pt>
                      <c:pt idx="213">
                        <c:v>0.29904917586549773</c:v>
                      </c:pt>
                      <c:pt idx="214">
                        <c:v>0.28664103854818468</c:v>
                      </c:pt>
                      <c:pt idx="215">
                        <c:v>0.30117885535662631</c:v>
                      </c:pt>
                      <c:pt idx="216">
                        <c:v>0.30988788215100199</c:v>
                      </c:pt>
                      <c:pt idx="217">
                        <c:v>0.30761275014462308</c:v>
                      </c:pt>
                      <c:pt idx="218">
                        <c:v>0.31937473627713214</c:v>
                      </c:pt>
                      <c:pt idx="219">
                        <c:v>0.305068181405934</c:v>
                      </c:pt>
                      <c:pt idx="220">
                        <c:v>#N/A</c:v>
                      </c:pt>
                      <c:pt idx="221">
                        <c:v>0.30664595425204921</c:v>
                      </c:pt>
                      <c:pt idx="222">
                        <c:v>0.30698199700272838</c:v>
                      </c:pt>
                      <c:pt idx="223">
                        <c:v>0.30658989643007262</c:v>
                      </c:pt>
                      <c:pt idx="224">
                        <c:v>#N/A</c:v>
                      </c:pt>
                      <c:pt idx="225">
                        <c:v>0.35437690556669676</c:v>
                      </c:pt>
                      <c:pt idx="226">
                        <c:v>0.22129479736549421</c:v>
                      </c:pt>
                      <c:pt idx="227">
                        <c:v>0.24011193669302672</c:v>
                      </c:pt>
                      <c:pt idx="228">
                        <c:v>0.21209865267218192</c:v>
                      </c:pt>
                      <c:pt idx="229">
                        <c:v>0.23169134303460354</c:v>
                      </c:pt>
                      <c:pt idx="230">
                        <c:v>0.21154345277751802</c:v>
                      </c:pt>
                      <c:pt idx="231">
                        <c:v>0.23106193961018121</c:v>
                      </c:pt>
                      <c:pt idx="232">
                        <c:v>0.22378266442410741</c:v>
                      </c:pt>
                      <c:pt idx="233">
                        <c:v>0.27320333295124472</c:v>
                      </c:pt>
                      <c:pt idx="234">
                        <c:v>0.33080844582722901</c:v>
                      </c:pt>
                      <c:pt idx="235">
                        <c:v>0.35282406207289602</c:v>
                      </c:pt>
                      <c:pt idx="236">
                        <c:v>0.29206174504597082</c:v>
                      </c:pt>
                      <c:pt idx="237">
                        <c:v>0.32997337877132743</c:v>
                      </c:pt>
                      <c:pt idx="238">
                        <c:v>0.33096027562970803</c:v>
                      </c:pt>
                      <c:pt idx="239">
                        <c:v>0.2827121420797859</c:v>
                      </c:pt>
                      <c:pt idx="240">
                        <c:v>0.28380156668793133</c:v>
                      </c:pt>
                      <c:pt idx="241">
                        <c:v>0.27242975032608441</c:v>
                      </c:pt>
                      <c:pt idx="242">
                        <c:v>0.32147914309827896</c:v>
                      </c:pt>
                      <c:pt idx="243">
                        <c:v>0.30357049796293056</c:v>
                      </c:pt>
                      <c:pt idx="244">
                        <c:v>0.33871412232119441</c:v>
                      </c:pt>
                      <c:pt idx="245">
                        <c:v>0.39078083706388467</c:v>
                      </c:pt>
                      <c:pt idx="246">
                        <c:v>0.40588840766692313</c:v>
                      </c:pt>
                      <c:pt idx="247">
                        <c:v>0.40889687667356484</c:v>
                      </c:pt>
                      <c:pt idx="248">
                        <c:v>0.39717936970045742</c:v>
                      </c:pt>
                      <c:pt idx="249">
                        <c:v>0.38120069641117099</c:v>
                      </c:pt>
                      <c:pt idx="250">
                        <c:v>0.3915335220659506</c:v>
                      </c:pt>
                      <c:pt idx="251">
                        <c:v>0.39119731013923809</c:v>
                      </c:pt>
                      <c:pt idx="252">
                        <c:v>0.39681321776313683</c:v>
                      </c:pt>
                      <c:pt idx="253">
                        <c:v>0.4040732539316137</c:v>
                      </c:pt>
                      <c:pt idx="254">
                        <c:v>0.41026567397852348</c:v>
                      </c:pt>
                      <c:pt idx="255">
                        <c:v>0.37381092782019393</c:v>
                      </c:pt>
                      <c:pt idx="256">
                        <c:v>0.37169602079780473</c:v>
                      </c:pt>
                      <c:pt idx="257">
                        <c:v>0.35621314148894867</c:v>
                      </c:pt>
                      <c:pt idx="258">
                        <c:v>0.35893861915961667</c:v>
                      </c:pt>
                      <c:pt idx="259">
                        <c:v>0.29424795394937531</c:v>
                      </c:pt>
                      <c:pt idx="260">
                        <c:v>0.30013815988969583</c:v>
                      </c:pt>
                      <c:pt idx="261">
                        <c:v>0.25517082022117049</c:v>
                      </c:pt>
                      <c:pt idx="262">
                        <c:v>0.2434747387317141</c:v>
                      </c:pt>
                      <c:pt idx="263">
                        <c:v>0.22922902187814428</c:v>
                      </c:pt>
                      <c:pt idx="264">
                        <c:v>0.22085861970182719</c:v>
                      </c:pt>
                      <c:pt idx="265">
                        <c:v>0.18476310383911637</c:v>
                      </c:pt>
                      <c:pt idx="266">
                        <c:v>0.2151978973631084</c:v>
                      </c:pt>
                      <c:pt idx="267">
                        <c:v>0.21655957097114453</c:v>
                      </c:pt>
                      <c:pt idx="268">
                        <c:v>0.24414816427576952</c:v>
                      </c:pt>
                      <c:pt idx="269">
                        <c:v>0.23130994707751554</c:v>
                      </c:pt>
                      <c:pt idx="270">
                        <c:v>0.26664689070215686</c:v>
                      </c:pt>
                      <c:pt idx="271">
                        <c:v>0.29910023294799559</c:v>
                      </c:pt>
                      <c:pt idx="272">
                        <c:v>0.30500103368232645</c:v>
                      </c:pt>
                      <c:pt idx="273">
                        <c:v>0.33570627315516488</c:v>
                      </c:pt>
                      <c:pt idx="274">
                        <c:v>0.31916313442255256</c:v>
                      </c:pt>
                      <c:pt idx="275">
                        <c:v>0.36357737716895555</c:v>
                      </c:pt>
                      <c:pt idx="276">
                        <c:v>0.32566369915424487</c:v>
                      </c:pt>
                      <c:pt idx="277">
                        <c:v>0.30202592340363255</c:v>
                      </c:pt>
                      <c:pt idx="278">
                        <c:v>0.30436784903461811</c:v>
                      </c:pt>
                      <c:pt idx="279">
                        <c:v>0.32374414720302058</c:v>
                      </c:pt>
                      <c:pt idx="280">
                        <c:v>0.30581668596251632</c:v>
                      </c:pt>
                      <c:pt idx="281">
                        <c:v>0.31349896129948746</c:v>
                      </c:pt>
                      <c:pt idx="282">
                        <c:v>0.26725318434737672</c:v>
                      </c:pt>
                      <c:pt idx="283">
                        <c:v>0.20835823448835172</c:v>
                      </c:pt>
                      <c:pt idx="284">
                        <c:v>0.19119262012109034</c:v>
                      </c:pt>
                      <c:pt idx="285">
                        <c:v>0.1952433062834622</c:v>
                      </c:pt>
                      <c:pt idx="286">
                        <c:v>0.1677453140907616</c:v>
                      </c:pt>
                      <c:pt idx="287">
                        <c:v>0.13458497410045622</c:v>
                      </c:pt>
                      <c:pt idx="288">
                        <c:v>0.24773537410738952</c:v>
                      </c:pt>
                      <c:pt idx="289">
                        <c:v>0.24092369953972365</c:v>
                      </c:pt>
                      <c:pt idx="290">
                        <c:v>0.22015883359913546</c:v>
                      </c:pt>
                      <c:pt idx="291">
                        <c:v>0.17020052661293533</c:v>
                      </c:pt>
                      <c:pt idx="292">
                        <c:v>0.1508122425793566</c:v>
                      </c:pt>
                      <c:pt idx="293">
                        <c:v>0.14678007708827906</c:v>
                      </c:pt>
                      <c:pt idx="294">
                        <c:v>0.10313789991100095</c:v>
                      </c:pt>
                      <c:pt idx="295">
                        <c:v>9.882619823292629E-3</c:v>
                      </c:pt>
                      <c:pt idx="296">
                        <c:v>-8.4414258957295381E-3</c:v>
                      </c:pt>
                      <c:pt idx="297">
                        <c:v>-2.3734134242404538E-2</c:v>
                      </c:pt>
                      <c:pt idx="298">
                        <c:v>-5.1046673533276563E-2</c:v>
                      </c:pt>
                      <c:pt idx="299">
                        <c:v>-5.649758921284629E-2</c:v>
                      </c:pt>
                      <c:pt idx="300">
                        <c:v>-1.7993429636366756E-2</c:v>
                      </c:pt>
                      <c:pt idx="301">
                        <c:v>-3.1671147078000957E-2</c:v>
                      </c:pt>
                      <c:pt idx="302">
                        <c:v>-2.0636166981893068E-2</c:v>
                      </c:pt>
                      <c:pt idx="303">
                        <c:v>-1.1392006511505457E-2</c:v>
                      </c:pt>
                      <c:pt idx="304">
                        <c:v>1.0774890895900171E-2</c:v>
                      </c:pt>
                      <c:pt idx="305">
                        <c:v>-3.235940856410522E-2</c:v>
                      </c:pt>
                      <c:pt idx="306">
                        <c:v>-9.174993525010422E-2</c:v>
                      </c:pt>
                      <c:pt idx="307">
                        <c:v>-9.4647803251998536E-2</c:v>
                      </c:pt>
                      <c:pt idx="308">
                        <c:v>-0.14016879052343484</c:v>
                      </c:pt>
                      <c:pt idx="309">
                        <c:v>-0.12246658944190343</c:v>
                      </c:pt>
                      <c:pt idx="310">
                        <c:v>-6.694792343257816E-2</c:v>
                      </c:pt>
                      <c:pt idx="311">
                        <c:v>-5.9802466937447181E-2</c:v>
                      </c:pt>
                      <c:pt idx="312">
                        <c:v>-6.192302680858177E-2</c:v>
                      </c:pt>
                      <c:pt idx="313">
                        <c:v>-3.8913659807274854E-2</c:v>
                      </c:pt>
                      <c:pt idx="314">
                        <c:v>-5.6786873275504204E-2</c:v>
                      </c:pt>
                      <c:pt idx="315">
                        <c:v>-8.2325400512308425E-2</c:v>
                      </c:pt>
                      <c:pt idx="316">
                        <c:v>-9.8985351723212031E-2</c:v>
                      </c:pt>
                      <c:pt idx="317">
                        <c:v>-0.13038661786215713</c:v>
                      </c:pt>
                      <c:pt idx="318">
                        <c:v>-0.12019134071428553</c:v>
                      </c:pt>
                      <c:pt idx="319">
                        <c:v>-0.13125388078539346</c:v>
                      </c:pt>
                      <c:pt idx="320">
                        <c:v>-7.886700401977223E-2</c:v>
                      </c:pt>
                      <c:pt idx="321">
                        <c:v>-9.5105717346398111E-2</c:v>
                      </c:pt>
                      <c:pt idx="322">
                        <c:v>-0.12564550973394134</c:v>
                      </c:pt>
                      <c:pt idx="323">
                        <c:v>-0.11326554520086674</c:v>
                      </c:pt>
                      <c:pt idx="324">
                        <c:v>-0.10032986475985467</c:v>
                      </c:pt>
                      <c:pt idx="325">
                        <c:v>-8.6934714132971602E-2</c:v>
                      </c:pt>
                      <c:pt idx="326">
                        <c:v>-5.1976515798852034E-2</c:v>
                      </c:pt>
                      <c:pt idx="327">
                        <c:v>2.298640083288234E-2</c:v>
                      </c:pt>
                      <c:pt idx="328">
                        <c:v>-8.976666208466497E-3</c:v>
                      </c:pt>
                      <c:pt idx="329">
                        <c:v>-2.1696208481673977E-2</c:v>
                      </c:pt>
                      <c:pt idx="330">
                        <c:v>-3.6898357233632169E-2</c:v>
                      </c:pt>
                      <c:pt idx="331">
                        <c:v>-3.8227986413276224E-2</c:v>
                      </c:pt>
                      <c:pt idx="332">
                        <c:v>-4.1700311223011967E-2</c:v>
                      </c:pt>
                      <c:pt idx="333">
                        <c:v>-4.5656176916401281E-2</c:v>
                      </c:pt>
                      <c:pt idx="334">
                        <c:v>-1.4652177346672773E-2</c:v>
                      </c:pt>
                      <c:pt idx="335">
                        <c:v>-5.8128919887551263E-2</c:v>
                      </c:pt>
                      <c:pt idx="336">
                        <c:v>-7.2682009372606162E-3</c:v>
                      </c:pt>
                      <c:pt idx="337">
                        <c:v>-0.1277216906946019</c:v>
                      </c:pt>
                      <c:pt idx="338">
                        <c:v>-8.6240464900424307E-2</c:v>
                      </c:pt>
                      <c:pt idx="339">
                        <c:v>-6.1072168292709533E-2</c:v>
                      </c:pt>
                      <c:pt idx="340">
                        <c:v>-5.208421389111919E-2</c:v>
                      </c:pt>
                      <c:pt idx="341">
                        <c:v>-7.6413374749017035E-2</c:v>
                      </c:pt>
                      <c:pt idx="342">
                        <c:v>-0.11689465666134936</c:v>
                      </c:pt>
                      <c:pt idx="343">
                        <c:v>-0.11311709121946791</c:v>
                      </c:pt>
                      <c:pt idx="344">
                        <c:v>-2.9737974773828457E-2</c:v>
                      </c:pt>
                      <c:pt idx="345">
                        <c:v>2.166843006881436E-4</c:v>
                      </c:pt>
                      <c:pt idx="346">
                        <c:v>2.6338742499585236E-2</c:v>
                      </c:pt>
                      <c:pt idx="347">
                        <c:v>6.4850430980281426E-2</c:v>
                      </c:pt>
                      <c:pt idx="348">
                        <c:v>1.3358697464139908E-2</c:v>
                      </c:pt>
                      <c:pt idx="349">
                        <c:v>3.210201140739713E-2</c:v>
                      </c:pt>
                      <c:pt idx="350">
                        <c:v>3.2896015873876368E-2</c:v>
                      </c:pt>
                      <c:pt idx="351">
                        <c:v>3.5691803757293028E-2</c:v>
                      </c:pt>
                      <c:pt idx="352">
                        <c:v>1.7362517916874366E-2</c:v>
                      </c:pt>
                      <c:pt idx="353">
                        <c:v>-3.0086986241314832E-2</c:v>
                      </c:pt>
                      <c:pt idx="354">
                        <c:v>1.0932997336870471E-2</c:v>
                      </c:pt>
                      <c:pt idx="355">
                        <c:v>6.2984733237684901E-2</c:v>
                      </c:pt>
                      <c:pt idx="356">
                        <c:v>0.13096721551025767</c:v>
                      </c:pt>
                      <c:pt idx="357">
                        <c:v>0.13925914658100894</c:v>
                      </c:pt>
                      <c:pt idx="358">
                        <c:v>0.12067204597691983</c:v>
                      </c:pt>
                      <c:pt idx="359">
                        <c:v>0.11758617774143161</c:v>
                      </c:pt>
                      <c:pt idx="360">
                        <c:v>0.10705408565055265</c:v>
                      </c:pt>
                      <c:pt idx="361">
                        <c:v>0.11036842865683567</c:v>
                      </c:pt>
                      <c:pt idx="362">
                        <c:v>7.5043303454365287E-2</c:v>
                      </c:pt>
                      <c:pt idx="363">
                        <c:v>7.2489399988663189E-2</c:v>
                      </c:pt>
                      <c:pt idx="364">
                        <c:v>5.9827128277135981E-2</c:v>
                      </c:pt>
                      <c:pt idx="365">
                        <c:v>9.3547576473339264E-2</c:v>
                      </c:pt>
                      <c:pt idx="366">
                        <c:v>5.1704526600458392E-2</c:v>
                      </c:pt>
                      <c:pt idx="367">
                        <c:v>6.9090703086672103E-2</c:v>
                      </c:pt>
                      <c:pt idx="368">
                        <c:v>5.0068469465724519E-2</c:v>
                      </c:pt>
                      <c:pt idx="369">
                        <c:v>-1.1277271476951966E-2</c:v>
                      </c:pt>
                      <c:pt idx="370">
                        <c:v>-2.1956725394241233E-2</c:v>
                      </c:pt>
                      <c:pt idx="371">
                        <c:v>-2.8875996816390595E-2</c:v>
                      </c:pt>
                      <c:pt idx="372">
                        <c:v>-6.0813984466037564E-2</c:v>
                      </c:pt>
                      <c:pt idx="373">
                        <c:v>-0.15012723678335305</c:v>
                      </c:pt>
                      <c:pt idx="374">
                        <c:v>-0.15154943024801482</c:v>
                      </c:pt>
                      <c:pt idx="375">
                        <c:v>-0.17063645799914284</c:v>
                      </c:pt>
                      <c:pt idx="376">
                        <c:v>-0.19037220337743277</c:v>
                      </c:pt>
                      <c:pt idx="377">
                        <c:v>-0.14492443321274961</c:v>
                      </c:pt>
                      <c:pt idx="378">
                        <c:v>-0.12922721880171309</c:v>
                      </c:pt>
                      <c:pt idx="379">
                        <c:v>-7.0022995479750841E-2</c:v>
                      </c:pt>
                      <c:pt idx="380">
                        <c:v>-0.10203596710802913</c:v>
                      </c:pt>
                      <c:pt idx="381">
                        <c:v>-6.0477621800553293E-2</c:v>
                      </c:pt>
                      <c:pt idx="382">
                        <c:v>-5.0650270636017181E-2</c:v>
                      </c:pt>
                      <c:pt idx="383">
                        <c:v>-9.1893100401421041E-2</c:v>
                      </c:pt>
                      <c:pt idx="384">
                        <c:v>-8.6818931245503564E-2</c:v>
                      </c:pt>
                      <c:pt idx="385">
                        <c:v>-8.103392616761923E-2</c:v>
                      </c:pt>
                      <c:pt idx="386">
                        <c:v>-7.9864436624381058E-2</c:v>
                      </c:pt>
                      <c:pt idx="387">
                        <c:v>-8.8186487651051096E-2</c:v>
                      </c:pt>
                      <c:pt idx="388">
                        <c:v>-6.9963829998246463E-2</c:v>
                      </c:pt>
                      <c:pt idx="389">
                        <c:v>-3.9875949585403421E-2</c:v>
                      </c:pt>
                      <c:pt idx="390">
                        <c:v>1.1090080302900844E-2</c:v>
                      </c:pt>
                      <c:pt idx="391">
                        <c:v>0.11882500105545148</c:v>
                      </c:pt>
                      <c:pt idx="392">
                        <c:v>0.12313334464541356</c:v>
                      </c:pt>
                      <c:pt idx="393">
                        <c:v>0.13741343390731728</c:v>
                      </c:pt>
                      <c:pt idx="394">
                        <c:v>0.17412204217239236</c:v>
                      </c:pt>
                      <c:pt idx="395">
                        <c:v>0.18163103190189062</c:v>
                      </c:pt>
                      <c:pt idx="396">
                        <c:v>0.1734102247084951</c:v>
                      </c:pt>
                      <c:pt idx="397">
                        <c:v>0.17033333311053184</c:v>
                      </c:pt>
                      <c:pt idx="398">
                        <c:v>0.12644992821058409</c:v>
                      </c:pt>
                      <c:pt idx="399">
                        <c:v>0.1324962289512891</c:v>
                      </c:pt>
                      <c:pt idx="400">
                        <c:v>0.17381301721713341</c:v>
                      </c:pt>
                      <c:pt idx="401">
                        <c:v>0.19334104748944342</c:v>
                      </c:pt>
                      <c:pt idx="402">
                        <c:v>0.32402763661397999</c:v>
                      </c:pt>
                      <c:pt idx="403">
                        <c:v>0.32293866189099757</c:v>
                      </c:pt>
                      <c:pt idx="404">
                        <c:v>0.30643315215241029</c:v>
                      </c:pt>
                      <c:pt idx="405">
                        <c:v>0.27479942067894941</c:v>
                      </c:pt>
                      <c:pt idx="406">
                        <c:v>0.29621236854964195</c:v>
                      </c:pt>
                      <c:pt idx="407">
                        <c:v>0.3137208343740211</c:v>
                      </c:pt>
                      <c:pt idx="408">
                        <c:v>0.32897312903827569</c:v>
                      </c:pt>
                      <c:pt idx="409">
                        <c:v>0.39809220906269688</c:v>
                      </c:pt>
                      <c:pt idx="410">
                        <c:v>0.39540783218652154</c:v>
                      </c:pt>
                      <c:pt idx="411">
                        <c:v>0.38835749862458757</c:v>
                      </c:pt>
                      <c:pt idx="412">
                        <c:v>0.37741479028908415</c:v>
                      </c:pt>
                      <c:pt idx="413">
                        <c:v>0.349832395882825</c:v>
                      </c:pt>
                      <c:pt idx="414">
                        <c:v>0.33771122432808892</c:v>
                      </c:pt>
                      <c:pt idx="415">
                        <c:v>0.34177613976578342</c:v>
                      </c:pt>
                      <c:pt idx="416">
                        <c:v>0.28899782760507053</c:v>
                      </c:pt>
                      <c:pt idx="417">
                        <c:v>0.31185133838924728</c:v>
                      </c:pt>
                      <c:pt idx="418">
                        <c:v>0.30999678601098779</c:v>
                      </c:pt>
                      <c:pt idx="419">
                        <c:v>0.31569993795188028</c:v>
                      </c:pt>
                      <c:pt idx="420">
                        <c:v>0.34996178218954055</c:v>
                      </c:pt>
                      <c:pt idx="421">
                        <c:v>0.38677684294161396</c:v>
                      </c:pt>
                      <c:pt idx="422">
                        <c:v>0.42731737126052466</c:v>
                      </c:pt>
                      <c:pt idx="423">
                        <c:v>0.4410476687669731</c:v>
                      </c:pt>
                      <c:pt idx="424">
                        <c:v>0.45094528876184542</c:v>
                      </c:pt>
                    </c:numCache>
                  </c:numRef>
                </c:val>
                <c:smooth val="0"/>
                <c:extLst>
                  <c:ext xmlns:c16="http://schemas.microsoft.com/office/drawing/2014/chart" uri="{C3380CC4-5D6E-409C-BE32-E72D297353CC}">
                    <c16:uniqueId val="{00000004-1DE9-4D31-A911-7FB86615BFA7}"/>
                  </c:ext>
                </c:extLst>
              </c15:ser>
            </c15:filteredLineSeries>
            <c15:filteredLineSeries>
              <c15:ser>
                <c:idx val="0"/>
                <c:order val="2"/>
                <c:tx>
                  <c:v>Overall Expectancy</c:v>
                </c:tx>
                <c:spPr>
                  <a:ln w="19050" cap="rnd">
                    <a:solidFill>
                      <a:schemeClr val="tx1"/>
                    </a:solidFill>
                    <a:round/>
                  </a:ln>
                  <a:effectLst/>
                </c:spPr>
                <c:marker>
                  <c:symbol val="none"/>
                </c:marker>
                <c:val>
                  <c:numRef>
                    <c:extLst>
                      <c:ext xmlns:c15="http://schemas.microsoft.com/office/drawing/2012/chart" uri="{02D57815-91ED-43cb-92C2-25804820EDAC}">
                        <c15:fullRef>
                          <c15:sqref>'2025-Q1'!$FR$4:$FR$448</c15:sqref>
                        </c15:fullRef>
                        <c15:formulaRef>
                          <c15:sqref>'2025-Q1'!$FR$24:$FR$448</c15:sqref>
                        </c15:formulaRef>
                      </c:ext>
                    </c:extLst>
                    <c:numCache>
                      <c:formatCode>0.0</c:formatCode>
                      <c:ptCount val="425"/>
                      <c:pt idx="4">
                        <c:v>0.29126376911839774</c:v>
                      </c:pt>
                      <c:pt idx="5">
                        <c:v>0.26160985032820655</c:v>
                      </c:pt>
                      <c:pt idx="6">
                        <c:v>0.26041277545484909</c:v>
                      </c:pt>
                      <c:pt idx="7">
                        <c:v>0.22313938137960113</c:v>
                      </c:pt>
                      <c:pt idx="8">
                        <c:v>0.3002627469880555</c:v>
                      </c:pt>
                      <c:pt idx="9">
                        <c:v>0.30040414201380833</c:v>
                      </c:pt>
                      <c:pt idx="10">
                        <c:v>0.3166419467486008</c:v>
                      </c:pt>
                      <c:pt idx="11">
                        <c:v>0.34470984887566997</c:v>
                      </c:pt>
                      <c:pt idx="12">
                        <c:v>0.35106580078403632</c:v>
                      </c:pt>
                      <c:pt idx="13">
                        <c:v>0.35447178205907781</c:v>
                      </c:pt>
                      <c:pt idx="14">
                        <c:v>0.33349833943066948</c:v>
                      </c:pt>
                      <c:pt idx="15">
                        <c:v>0.33981498099919077</c:v>
                      </c:pt>
                      <c:pt idx="16">
                        <c:v>0.34878012977980521</c:v>
                      </c:pt>
                      <c:pt idx="17">
                        <c:v>0.360398177173959</c:v>
                      </c:pt>
                      <c:pt idx="18">
                        <c:v>0.35988863316668029</c:v>
                      </c:pt>
                      <c:pt idx="19">
                        <c:v>0.35836968802269226</c:v>
                      </c:pt>
                      <c:pt idx="20">
                        <c:v>0.36074751560883528</c:v>
                      </c:pt>
                      <c:pt idx="21">
                        <c:v>0.33549357718496398</c:v>
                      </c:pt>
                      <c:pt idx="22">
                        <c:v>0.33423949673474218</c:v>
                      </c:pt>
                      <c:pt idx="23">
                        <c:v>0.32952001450170293</c:v>
                      </c:pt>
                      <c:pt idx="24">
                        <c:v>0.3165011964834003</c:v>
                      </c:pt>
                      <c:pt idx="25">
                        <c:v>0.33470375587057288</c:v>
                      </c:pt>
                      <c:pt idx="26">
                        <c:v>0.34389926844876328</c:v>
                      </c:pt>
                      <c:pt idx="27">
                        <c:v>0.34916691413257311</c:v>
                      </c:pt>
                      <c:pt idx="28">
                        <c:v>0.35056838883506036</c:v>
                      </c:pt>
                      <c:pt idx="29">
                        <c:v>0.34045306972831602</c:v>
                      </c:pt>
                      <c:pt idx="30">
                        <c:v>0.33047563423280968</c:v>
                      </c:pt>
                      <c:pt idx="31">
                        <c:v>0.31002884887543758</c:v>
                      </c:pt>
                      <c:pt idx="32">
                        <c:v>0.28754758458941232</c:v>
                      </c:pt>
                      <c:pt idx="33">
                        <c:v>0.26737261446922311</c:v>
                      </c:pt>
                      <c:pt idx="34">
                        <c:v>0.26114432410931454</c:v>
                      </c:pt>
                      <c:pt idx="35">
                        <c:v>0.24941656823049385</c:v>
                      </c:pt>
                      <c:pt idx="36">
                        <c:v>0.24375571278007743</c:v>
                      </c:pt>
                      <c:pt idx="37">
                        <c:v>0.249418253914758</c:v>
                      </c:pt>
                      <c:pt idx="38">
                        <c:v>0.24519082588230448</c:v>
                      </c:pt>
                      <c:pt idx="39">
                        <c:v>0.24424682777866105</c:v>
                      </c:pt>
                      <c:pt idx="40">
                        <c:v>0.2472579933548785</c:v>
                      </c:pt>
                      <c:pt idx="41">
                        <c:v>0.25643673750422596</c:v>
                      </c:pt>
                      <c:pt idx="42">
                        <c:v>0.26811779205244834</c:v>
                      </c:pt>
                      <c:pt idx="43">
                        <c:v>0.27307187756213358</c:v>
                      </c:pt>
                      <c:pt idx="44">
                        <c:v>0.27962220257078901</c:v>
                      </c:pt>
                      <c:pt idx="45">
                        <c:v>0.25726916067186867</c:v>
                      </c:pt>
                      <c:pt idx="46">
                        <c:v>0.24494205267856548</c:v>
                      </c:pt>
                      <c:pt idx="47">
                        <c:v>0.24098558708041995</c:v>
                      </c:pt>
                      <c:pt idx="48">
                        <c:v>0.22787646109132609</c:v>
                      </c:pt>
                      <c:pt idx="49">
                        <c:v>0.21316960869840965</c:v>
                      </c:pt>
                      <c:pt idx="50">
                        <c:v>0.22339210908505505</c:v>
                      </c:pt>
                      <c:pt idx="51">
                        <c:v>0.22020156991199283</c:v>
                      </c:pt>
                      <c:pt idx="52">
                        <c:v>0.22075730948356342</c:v>
                      </c:pt>
                      <c:pt idx="53">
                        <c:v>0.22291070020611745</c:v>
                      </c:pt>
                      <c:pt idx="54">
                        <c:v>0.20287178647471318</c:v>
                      </c:pt>
                      <c:pt idx="55">
                        <c:v>0.23051325653164226</c:v>
                      </c:pt>
                      <c:pt idx="56">
                        <c:v>0.24402202270377937</c:v>
                      </c:pt>
                      <c:pt idx="57">
                        <c:v>0.22984077442254894</c:v>
                      </c:pt>
                      <c:pt idx="58">
                        <c:v>0.22122344332906266</c:v>
                      </c:pt>
                      <c:pt idx="59">
                        <c:v>0.2225296977827842</c:v>
                      </c:pt>
                      <c:pt idx="60">
                        <c:v>0.2266392996237751</c:v>
                      </c:pt>
                      <c:pt idx="61">
                        <c:v>0.233880122925918</c:v>
                      </c:pt>
                      <c:pt idx="62">
                        <c:v>0.22626418403592938</c:v>
                      </c:pt>
                      <c:pt idx="63">
                        <c:v>0.22213427645936207</c:v>
                      </c:pt>
                      <c:pt idx="64">
                        <c:v>0.23437129927082448</c:v>
                      </c:pt>
                      <c:pt idx="65">
                        <c:v>0.22800740333845795</c:v>
                      </c:pt>
                      <c:pt idx="66">
                        <c:v>0.215182911991945</c:v>
                      </c:pt>
                      <c:pt idx="67">
                        <c:v>0.22160033315546501</c:v>
                      </c:pt>
                      <c:pt idx="68">
                        <c:v>0.22954458490619317</c:v>
                      </c:pt>
                      <c:pt idx="69">
                        <c:v>0.2443033114376372</c:v>
                      </c:pt>
                      <c:pt idx="70">
                        <c:v>0.25282944931750062</c:v>
                      </c:pt>
                      <c:pt idx="71">
                        <c:v>0.25521653079102657</c:v>
                      </c:pt>
                      <c:pt idx="72">
                        <c:v>0.25442912551833036</c:v>
                      </c:pt>
                      <c:pt idx="73">
                        <c:v>0.25350158429131736</c:v>
                      </c:pt>
                      <c:pt idx="74">
                        <c:v>0.23439208997157596</c:v>
                      </c:pt>
                      <c:pt idx="75">
                        <c:v>0.23004302401286289</c:v>
                      </c:pt>
                      <c:pt idx="76">
                        <c:v>0.23765787584576817</c:v>
                      </c:pt>
                      <c:pt idx="77">
                        <c:v>0.20729454111229137</c:v>
                      </c:pt>
                      <c:pt idx="78">
                        <c:v>0.19220744920221658</c:v>
                      </c:pt>
                      <c:pt idx="79">
                        <c:v>0.19518429570734189</c:v>
                      </c:pt>
                      <c:pt idx="80">
                        <c:v>0.19511603140880296</c:v>
                      </c:pt>
                      <c:pt idx="81">
                        <c:v>0.19551246442525158</c:v>
                      </c:pt>
                      <c:pt idx="82">
                        <c:v>0.19998448930224524</c:v>
                      </c:pt>
                      <c:pt idx="83">
                        <c:v>0.19002082461242642</c:v>
                      </c:pt>
                      <c:pt idx="84">
                        <c:v>0.20070218027483075</c:v>
                      </c:pt>
                      <c:pt idx="85">
                        <c:v>0.18000766285085437</c:v>
                      </c:pt>
                      <c:pt idx="86">
                        <c:v>0.18130126350206896</c:v>
                      </c:pt>
                      <c:pt idx="87">
                        <c:v>0.17481650138918686</c:v>
                      </c:pt>
                      <c:pt idx="88">
                        <c:v>0.17402724696804525</c:v>
                      </c:pt>
                      <c:pt idx="89">
                        <c:v>0.17203309317442966</c:v>
                      </c:pt>
                      <c:pt idx="90">
                        <c:v>0.1844977875433341</c:v>
                      </c:pt>
                      <c:pt idx="91">
                        <c:v>0.18812288590288379</c:v>
                      </c:pt>
                      <c:pt idx="92">
                        <c:v>0.18938012265036769</c:v>
                      </c:pt>
                      <c:pt idx="93">
                        <c:v>0.1939031724157754</c:v>
                      </c:pt>
                      <c:pt idx="94">
                        <c:v>0.19532826471358186</c:v>
                      </c:pt>
                      <c:pt idx="95">
                        <c:v>0.19818713544759822</c:v>
                      </c:pt>
                      <c:pt idx="96">
                        <c:v>0.20249660824462695</c:v>
                      </c:pt>
                      <c:pt idx="97">
                        <c:v>0.20011721529722201</c:v>
                      </c:pt>
                      <c:pt idx="98">
                        <c:v>0.19083051600901005</c:v>
                      </c:pt>
                      <c:pt idx="99">
                        <c:v>0.19813545605204175</c:v>
                      </c:pt>
                      <c:pt idx="100">
                        <c:v>0.19236537582265553</c:v>
                      </c:pt>
                      <c:pt idx="101">
                        <c:v>0.1842619581437408</c:v>
                      </c:pt>
                      <c:pt idx="102">
                        <c:v>0.18122264580342062</c:v>
                      </c:pt>
                      <c:pt idx="103">
                        <c:v>0.1785160082426315</c:v>
                      </c:pt>
                      <c:pt idx="104">
                        <c:v>0.18114503981935631</c:v>
                      </c:pt>
                      <c:pt idx="105">
                        <c:v>0.18488602290645043</c:v>
                      </c:pt>
                      <c:pt idx="106">
                        <c:v>0.18384212016617144</c:v>
                      </c:pt>
                      <c:pt idx="107">
                        <c:v>0.18766701779278527</c:v>
                      </c:pt>
                      <c:pt idx="108">
                        <c:v>0.18750026987925955</c:v>
                      </c:pt>
                      <c:pt idx="109">
                        <c:v>0.18663459487050083</c:v>
                      </c:pt>
                      <c:pt idx="110">
                        <c:v>0.18803742460992054</c:v>
                      </c:pt>
                      <c:pt idx="111">
                        <c:v>0.18626243891337954</c:v>
                      </c:pt>
                      <c:pt idx="112">
                        <c:v>0.18907654175306787</c:v>
                      </c:pt>
                      <c:pt idx="113">
                        <c:v>0.18783448198642436</c:v>
                      </c:pt>
                      <c:pt idx="114">
                        <c:v>0.17749665805583273</c:v>
                      </c:pt>
                      <c:pt idx="115">
                        <c:v>0.18392884638039925</c:v>
                      </c:pt>
                      <c:pt idx="116">
                        <c:v>0.16785864070519801</c:v>
                      </c:pt>
                      <c:pt idx="117">
                        <c:v>0.16111677068895025</c:v>
                      </c:pt>
                      <c:pt idx="118">
                        <c:v>0.1597064615392649</c:v>
                      </c:pt>
                      <c:pt idx="119">
                        <c:v>0.14795457200362302</c:v>
                      </c:pt>
                      <c:pt idx="120">
                        <c:v>0.17062118536709189</c:v>
                      </c:pt>
                      <c:pt idx="121">
                        <c:v>0.16373576245829921</c:v>
                      </c:pt>
                      <c:pt idx="122">
                        <c:v>0.16154832658686732</c:v>
                      </c:pt>
                      <c:pt idx="123">
                        <c:v>0.1527499495178993</c:v>
                      </c:pt>
                      <c:pt idx="124">
                        <c:v>0.14981412650342391</c:v>
                      </c:pt>
                      <c:pt idx="125">
                        <c:v>0.14701512348717197</c:v>
                      </c:pt>
                      <c:pt idx="126">
                        <c:v>0.14567989618527238</c:v>
                      </c:pt>
                      <c:pt idx="127">
                        <c:v>0.15146050671208386</c:v>
                      </c:pt>
                      <c:pt idx="128">
                        <c:v>0.1424257378065909</c:v>
                      </c:pt>
                      <c:pt idx="129">
                        <c:v>0.13517407878852</c:v>
                      </c:pt>
                      <c:pt idx="130">
                        <c:v>0.1350826783589586</c:v>
                      </c:pt>
                      <c:pt idx="131">
                        <c:v>0.13407114330568509</c:v>
                      </c:pt>
                      <c:pt idx="132">
                        <c:v>0.13073343417638675</c:v>
                      </c:pt>
                      <c:pt idx="133">
                        <c:v>0.1262230021997888</c:v>
                      </c:pt>
                      <c:pt idx="134">
                        <c:v>0.1242472614172762</c:v>
                      </c:pt>
                      <c:pt idx="135">
                        <c:v>0.12000443019920294</c:v>
                      </c:pt>
                      <c:pt idx="136">
                        <c:v>0.1301430197230771</c:v>
                      </c:pt>
                      <c:pt idx="137">
                        <c:v>0.12758271676992122</c:v>
                      </c:pt>
                      <c:pt idx="138">
                        <c:v>0.15063872345460966</c:v>
                      </c:pt>
                      <c:pt idx="139">
                        <c:v>0.14811486278488012</c:v>
                      </c:pt>
                      <c:pt idx="140">
                        <c:v>0.14345009756386964</c:v>
                      </c:pt>
                      <c:pt idx="141">
                        <c:v>0.14126246719051697</c:v>
                      </c:pt>
                      <c:pt idx="142">
                        <c:v>0.15164327005028885</c:v>
                      </c:pt>
                      <c:pt idx="143">
                        <c:v>0.15353874298800679</c:v>
                      </c:pt>
                      <c:pt idx="144">
                        <c:v>0.15222267041503607</c:v>
                      </c:pt>
                      <c:pt idx="145">
                        <c:v>0.15047524014998093</c:v>
                      </c:pt>
                      <c:pt idx="146">
                        <c:v>0.14149070411117762</c:v>
                      </c:pt>
                      <c:pt idx="147">
                        <c:v>0.14315524865871987</c:v>
                      </c:pt>
                      <c:pt idx="148">
                        <c:v>0.14229475858561413</c:v>
                      </c:pt>
                      <c:pt idx="149">
                        <c:v>0.1450587804449649</c:v>
                      </c:pt>
                      <c:pt idx="150">
                        <c:v>0.13990701495118138</c:v>
                      </c:pt>
                      <c:pt idx="151">
                        <c:v>0.14387665252766502</c:v>
                      </c:pt>
                      <c:pt idx="152">
                        <c:v>0.1376201481555703</c:v>
                      </c:pt>
                      <c:pt idx="153">
                        <c:v>0.13007607343493716</c:v>
                      </c:pt>
                      <c:pt idx="154">
                        <c:v>0.13103900153399983</c:v>
                      </c:pt>
                      <c:pt idx="155">
                        <c:v>0.13317209857661491</c:v>
                      </c:pt>
                      <c:pt idx="156">
                        <c:v>0.13313388229132728</c:v>
                      </c:pt>
                      <c:pt idx="157">
                        <c:v>0.13947883090096755</c:v>
                      </c:pt>
                      <c:pt idx="158">
                        <c:v>0.14471891993073371</c:v>
                      </c:pt>
                      <c:pt idx="159">
                        <c:v>0.14990151596943271</c:v>
                      </c:pt>
                      <c:pt idx="160">
                        <c:v>0.1463099129241493</c:v>
                      </c:pt>
                      <c:pt idx="161">
                        <c:v>0.14661457372353237</c:v>
                      </c:pt>
                      <c:pt idx="162">
                        <c:v>0.14247907708559979</c:v>
                      </c:pt>
                      <c:pt idx="163">
                        <c:v>0.13533349762224239</c:v>
                      </c:pt>
                      <c:pt idx="164">
                        <c:v>0.14356574069363484</c:v>
                      </c:pt>
                      <c:pt idx="165">
                        <c:v>0.14331163696598528</c:v>
                      </c:pt>
                      <c:pt idx="166">
                        <c:v>0.14551509113792163</c:v>
                      </c:pt>
                      <c:pt idx="167">
                        <c:v>0.14023484889413121</c:v>
                      </c:pt>
                      <c:pt idx="168">
                        <c:v>0.1473069195393665</c:v>
                      </c:pt>
                      <c:pt idx="169">
                        <c:v>0.14421871604131861</c:v>
                      </c:pt>
                      <c:pt idx="170">
                        <c:v>0.13929675266592012</c:v>
                      </c:pt>
                      <c:pt idx="171">
                        <c:v>0.13882054178511086</c:v>
                      </c:pt>
                      <c:pt idx="172">
                        <c:v>0.13787270474924332</c:v>
                      </c:pt>
                      <c:pt idx="173">
                        <c:v>0.13304035251690016</c:v>
                      </c:pt>
                      <c:pt idx="174">
                        <c:v>0.13240228264728104</c:v>
                      </c:pt>
                      <c:pt idx="175">
                        <c:v>0.12883881316515688</c:v>
                      </c:pt>
                      <c:pt idx="176">
                        <c:v>0.1245871774395327</c:v>
                      </c:pt>
                      <c:pt idx="177">
                        <c:v>0.15218245936044122</c:v>
                      </c:pt>
                      <c:pt idx="178">
                        <c:v>0.15185092386894017</c:v>
                      </c:pt>
                      <c:pt idx="179">
                        <c:v>0.1575498246723111</c:v>
                      </c:pt>
                      <c:pt idx="180">
                        <c:v>0.14716677725499724</c:v>
                      </c:pt>
                      <c:pt idx="181">
                        <c:v>0.1481859764430378</c:v>
                      </c:pt>
                      <c:pt idx="182">
                        <c:v>0.1436304640731334</c:v>
                      </c:pt>
                      <c:pt idx="183">
                        <c:v>0.14245295674196404</c:v>
                      </c:pt>
                      <c:pt idx="184">
                        <c:v>0.1456253749065605</c:v>
                      </c:pt>
                      <c:pt idx="185">
                        <c:v>0.14279636877866239</c:v>
                      </c:pt>
                      <c:pt idx="186">
                        <c:v>0.14169036634412241</c:v>
                      </c:pt>
                      <c:pt idx="187">
                        <c:v>0.15118976783973392</c:v>
                      </c:pt>
                      <c:pt idx="188">
                        <c:v>0.15134126029685552</c:v>
                      </c:pt>
                      <c:pt idx="189">
                        <c:v>0.14862873362480528</c:v>
                      </c:pt>
                      <c:pt idx="190">
                        <c:v>0.15726399970839211</c:v>
                      </c:pt>
                      <c:pt idx="191">
                        <c:v>0.15984247282308403</c:v>
                      </c:pt>
                      <c:pt idx="192">
                        <c:v>0.16301378891378404</c:v>
                      </c:pt>
                      <c:pt idx="193">
                        <c:v>0.15713882185877265</c:v>
                      </c:pt>
                      <c:pt idx="194">
                        <c:v>0.16359892123792177</c:v>
                      </c:pt>
                      <c:pt idx="195">
                        <c:v>0.15932265631771042</c:v>
                      </c:pt>
                      <c:pt idx="196">
                        <c:v>0.15644970761803406</c:v>
                      </c:pt>
                      <c:pt idx="197">
                        <c:v>0.15504797258239203</c:v>
                      </c:pt>
                      <c:pt idx="198">
                        <c:v>0.15278210754508323</c:v>
                      </c:pt>
                      <c:pt idx="199">
                        <c:v>0.15286873028458778</c:v>
                      </c:pt>
                      <c:pt idx="200">
                        <c:v>0.15609466754936732</c:v>
                      </c:pt>
                      <c:pt idx="201">
                        <c:v>0.15509744927855021</c:v>
                      </c:pt>
                      <c:pt idx="202">
                        <c:v>0.1549294051314074</c:v>
                      </c:pt>
                      <c:pt idx="203">
                        <c:v>0.15222961039613625</c:v>
                      </c:pt>
                      <c:pt idx="204">
                        <c:v>0.14882053794121219</c:v>
                      </c:pt>
                      <c:pt idx="205">
                        <c:v>0.14837242886853111</c:v>
                      </c:pt>
                      <c:pt idx="206">
                        <c:v>0.15255977983783756</c:v>
                      </c:pt>
                      <c:pt idx="207">
                        <c:v>0.15569517027996019</c:v>
                      </c:pt>
                      <c:pt idx="208">
                        <c:v>0.16188441121743996</c:v>
                      </c:pt>
                      <c:pt idx="209">
                        <c:v>0.15746292948387583</c:v>
                      </c:pt>
                      <c:pt idx="210">
                        <c:v>0.17710558585766742</c:v>
                      </c:pt>
                      <c:pt idx="211">
                        <c:v>0.17694927408954803</c:v>
                      </c:pt>
                      <c:pt idx="212">
                        <c:v>0.17661472827371349</c:v>
                      </c:pt>
                      <c:pt idx="213">
                        <c:v>0.17653578672257544</c:v>
                      </c:pt>
                      <c:pt idx="214">
                        <c:v>0.17556056566660594</c:v>
                      </c:pt>
                      <c:pt idx="215">
                        <c:v>0.1742454046803871</c:v>
                      </c:pt>
                      <c:pt idx="216">
                        <c:v>0.18154225324193826</c:v>
                      </c:pt>
                      <c:pt idx="217">
                        <c:v>0.17846462523082801</c:v>
                      </c:pt>
                      <c:pt idx="218">
                        <c:v>0.1767993382291641</c:v>
                      </c:pt>
                      <c:pt idx="219">
                        <c:v>0.17334118713180019</c:v>
                      </c:pt>
                      <c:pt idx="220">
                        <c:v>0.17470049098728516</c:v>
                      </c:pt>
                      <c:pt idx="221">
                        <c:v>0.17331293276531579</c:v>
                      </c:pt>
                      <c:pt idx="222">
                        <c:v>0.16937830550788086</c:v>
                      </c:pt>
                      <c:pt idx="223">
                        <c:v>0.16863909810542391</c:v>
                      </c:pt>
                      <c:pt idx="224">
                        <c:v>0.16862317536359803</c:v>
                      </c:pt>
                      <c:pt idx="225">
                        <c:v>0.17179885867448286</c:v>
                      </c:pt>
                      <c:pt idx="226">
                        <c:v>0.16678893450057519</c:v>
                      </c:pt>
                      <c:pt idx="227">
                        <c:v>0.17025778501842914</c:v>
                      </c:pt>
                      <c:pt idx="228">
                        <c:v>0.16913613481153139</c:v>
                      </c:pt>
                      <c:pt idx="229">
                        <c:v>0.16466035751993849</c:v>
                      </c:pt>
                      <c:pt idx="230">
                        <c:v>0.16139737004131288</c:v>
                      </c:pt>
                      <c:pt idx="231">
                        <c:v>0.16154794121966326</c:v>
                      </c:pt>
                      <c:pt idx="232">
                        <c:v>0.15908907666626892</c:v>
                      </c:pt>
                      <c:pt idx="233">
                        <c:v>0.17131247442286274</c:v>
                      </c:pt>
                      <c:pt idx="234">
                        <c:v>0.18022146768535649</c:v>
                      </c:pt>
                      <c:pt idx="235">
                        <c:v>0.18348089428468023</c:v>
                      </c:pt>
                      <c:pt idx="236">
                        <c:v>0.17918505433059609</c:v>
                      </c:pt>
                      <c:pt idx="237">
                        <c:v>0.18654648194034562</c:v>
                      </c:pt>
                      <c:pt idx="238">
                        <c:v>0.18440172912237263</c:v>
                      </c:pt>
                      <c:pt idx="239">
                        <c:v>0.18199350400946165</c:v>
                      </c:pt>
                      <c:pt idx="240">
                        <c:v>0.18420184893827735</c:v>
                      </c:pt>
                      <c:pt idx="241">
                        <c:v>0.18451688761427565</c:v>
                      </c:pt>
                      <c:pt idx="242">
                        <c:v>0.18897971495319885</c:v>
                      </c:pt>
                      <c:pt idx="243">
                        <c:v>0.1907283824405292</c:v>
                      </c:pt>
                      <c:pt idx="244">
                        <c:v>0.19377132030447233</c:v>
                      </c:pt>
                      <c:pt idx="245">
                        <c:v>0.20108506919664521</c:v>
                      </c:pt>
                      <c:pt idx="246">
                        <c:v>0.20260254084759408</c:v>
                      </c:pt>
                      <c:pt idx="247">
                        <c:v>0.20113479621660996</c:v>
                      </c:pt>
                      <c:pt idx="248">
                        <c:v>0.19884791504695978</c:v>
                      </c:pt>
                      <c:pt idx="249">
                        <c:v>0.19835909758877307</c:v>
                      </c:pt>
                      <c:pt idx="250">
                        <c:v>0.19929265624773312</c:v>
                      </c:pt>
                      <c:pt idx="251">
                        <c:v>0.19893059871788882</c:v>
                      </c:pt>
                      <c:pt idx="252">
                        <c:v>0.19758276050143356</c:v>
                      </c:pt>
                      <c:pt idx="253">
                        <c:v>0.19594264136260375</c:v>
                      </c:pt>
                      <c:pt idx="254">
                        <c:v>0.19652891862986982</c:v>
                      </c:pt>
                      <c:pt idx="255">
                        <c:v>0.19319426237028559</c:v>
                      </c:pt>
                      <c:pt idx="256">
                        <c:v>0.19524656990513053</c:v>
                      </c:pt>
                      <c:pt idx="257">
                        <c:v>0.19741793972388916</c:v>
                      </c:pt>
                      <c:pt idx="258">
                        <c:v>0.19413406716585044</c:v>
                      </c:pt>
                      <c:pt idx="259">
                        <c:v>0.19865638582353551</c:v>
                      </c:pt>
                      <c:pt idx="260">
                        <c:v>0.19949871737814923</c:v>
                      </c:pt>
                      <c:pt idx="261">
                        <c:v>0.19116940673345309</c:v>
                      </c:pt>
                      <c:pt idx="262">
                        <c:v>0.18898625805536523</c:v>
                      </c:pt>
                      <c:pt idx="263">
                        <c:v>0.18562740854070284</c:v>
                      </c:pt>
                      <c:pt idx="264">
                        <c:v>0.18303454908653585</c:v>
                      </c:pt>
                      <c:pt idx="265">
                        <c:v>0.18274010213389924</c:v>
                      </c:pt>
                      <c:pt idx="266">
                        <c:v>0.18548597795502611</c:v>
                      </c:pt>
                      <c:pt idx="267">
                        <c:v>0.18431604300460919</c:v>
                      </c:pt>
                      <c:pt idx="268">
                        <c:v>0.18619132569349661</c:v>
                      </c:pt>
                      <c:pt idx="269">
                        <c:v>0.18506315752348793</c:v>
                      </c:pt>
                      <c:pt idx="270">
                        <c:v>0.18994527238595968</c:v>
                      </c:pt>
                      <c:pt idx="271">
                        <c:v>0.19217102700621516</c:v>
                      </c:pt>
                      <c:pt idx="272">
                        <c:v>0.1924846130438217</c:v>
                      </c:pt>
                      <c:pt idx="273">
                        <c:v>0.1976122164008155</c:v>
                      </c:pt>
                      <c:pt idx="274">
                        <c:v>0.19735822357644206</c:v>
                      </c:pt>
                      <c:pt idx="275">
                        <c:v>0.20059370162192519</c:v>
                      </c:pt>
                      <c:pt idx="276">
                        <c:v>0.19699365536122113</c:v>
                      </c:pt>
                      <c:pt idx="277">
                        <c:v>0.19200065012836556</c:v>
                      </c:pt>
                      <c:pt idx="278">
                        <c:v>0.18857351783182452</c:v>
                      </c:pt>
                      <c:pt idx="279">
                        <c:v>0.18899315746840187</c:v>
                      </c:pt>
                      <c:pt idx="280">
                        <c:v>0.18604955310791016</c:v>
                      </c:pt>
                      <c:pt idx="281">
                        <c:v>0.185180412124306</c:v>
                      </c:pt>
                      <c:pt idx="282">
                        <c:v>0.18770966244480519</c:v>
                      </c:pt>
                      <c:pt idx="283">
                        <c:v>0.18544205915849832</c:v>
                      </c:pt>
                      <c:pt idx="284">
                        <c:v>0.18534668833748411</c:v>
                      </c:pt>
                      <c:pt idx="285">
                        <c:v>0.18239452378149118</c:v>
                      </c:pt>
                      <c:pt idx="286">
                        <c:v>0.18409204574966531</c:v>
                      </c:pt>
                      <c:pt idx="287">
                        <c:v>0.17691330047960169</c:v>
                      </c:pt>
                      <c:pt idx="288">
                        <c:v>0.19322032280850973</c:v>
                      </c:pt>
                      <c:pt idx="289">
                        <c:v>0.19394473403185988</c:v>
                      </c:pt>
                      <c:pt idx="290">
                        <c:v>0.19084040589999032</c:v>
                      </c:pt>
                      <c:pt idx="291">
                        <c:v>0.18657593385685275</c:v>
                      </c:pt>
                      <c:pt idx="292">
                        <c:v>0.18496135812545539</c:v>
                      </c:pt>
                      <c:pt idx="293">
                        <c:v>0.18690574437929658</c:v>
                      </c:pt>
                      <c:pt idx="294">
                        <c:v>0.18617626476780214</c:v>
                      </c:pt>
                      <c:pt idx="295">
                        <c:v>0.17275002973883624</c:v>
                      </c:pt>
                      <c:pt idx="296">
                        <c:v>0.16871310438884857</c:v>
                      </c:pt>
                      <c:pt idx="297">
                        <c:v>0.16447604539469168</c:v>
                      </c:pt>
                      <c:pt idx="298">
                        <c:v>0.15988909928622225</c:v>
                      </c:pt>
                      <c:pt idx="299">
                        <c:v>0.15994821994529176</c:v>
                      </c:pt>
                      <c:pt idx="300">
                        <c:v>0.16576153074594213</c:v>
                      </c:pt>
                      <c:pt idx="301">
                        <c:v>0.16259793870494196</c:v>
                      </c:pt>
                      <c:pt idx="302">
                        <c:v>0.16302314360451634</c:v>
                      </c:pt>
                      <c:pt idx="303">
                        <c:v>0.1650489268445646</c:v>
                      </c:pt>
                      <c:pt idx="304">
                        <c:v>0.16572418756613486</c:v>
                      </c:pt>
                      <c:pt idx="305">
                        <c:v>0.16093659336047822</c:v>
                      </c:pt>
                      <c:pt idx="306">
                        <c:v>0.15380639290744946</c:v>
                      </c:pt>
                      <c:pt idx="307">
                        <c:v>0.15070431273375715</c:v>
                      </c:pt>
                      <c:pt idx="308">
                        <c:v>0.1477670167307544</c:v>
                      </c:pt>
                      <c:pt idx="309">
                        <c:v>0.15132063670049928</c:v>
                      </c:pt>
                      <c:pt idx="310">
                        <c:v>0.15275642455348901</c:v>
                      </c:pt>
                      <c:pt idx="311">
                        <c:v>0.1520873122975783</c:v>
                      </c:pt>
                      <c:pt idx="312">
                        <c:v>0.14901511316856011</c:v>
                      </c:pt>
                      <c:pt idx="313">
                        <c:v>0.1503567769440089</c:v>
                      </c:pt>
                      <c:pt idx="314">
                        <c:v>0.14753530013886559</c:v>
                      </c:pt>
                      <c:pt idx="315">
                        <c:v>0.14618513585558651</c:v>
                      </c:pt>
                      <c:pt idx="316">
                        <c:v>0.14283012700049508</c:v>
                      </c:pt>
                      <c:pt idx="317">
                        <c:v>0.13991113086483037</c:v>
                      </c:pt>
                      <c:pt idx="318">
                        <c:v>0.14058627919202721</c:v>
                      </c:pt>
                      <c:pt idx="319">
                        <c:v>0.14326876536777822</c:v>
                      </c:pt>
                      <c:pt idx="320">
                        <c:v>0.15299293162705635</c:v>
                      </c:pt>
                      <c:pt idx="321">
                        <c:v>0.15100206360970717</c:v>
                      </c:pt>
                      <c:pt idx="322">
                        <c:v>0.15106622779924983</c:v>
                      </c:pt>
                      <c:pt idx="323">
                        <c:v>0.15278313574129962</c:v>
                      </c:pt>
                      <c:pt idx="324">
                        <c:v>0.15756302157129601</c:v>
                      </c:pt>
                      <c:pt idx="325">
                        <c:v>0.15653288998738177</c:v>
                      </c:pt>
                      <c:pt idx="326">
                        <c:v>0.15739875489426611</c:v>
                      </c:pt>
                      <c:pt idx="327">
                        <c:v>0.16532414331425185</c:v>
                      </c:pt>
                      <c:pt idx="328">
                        <c:v>0.16117224621804366</c:v>
                      </c:pt>
                      <c:pt idx="329">
                        <c:v>0.15690315731827789</c:v>
                      </c:pt>
                      <c:pt idx="330">
                        <c:v>0.15407283931583704</c:v>
                      </c:pt>
                      <c:pt idx="331">
                        <c:v>0.15614951250031864</c:v>
                      </c:pt>
                      <c:pt idx="332">
                        <c:v>0.15379425049017817</c:v>
                      </c:pt>
                      <c:pt idx="333">
                        <c:v>0.15324274321218245</c:v>
                      </c:pt>
                      <c:pt idx="334">
                        <c:v>0.15515525467550045</c:v>
                      </c:pt>
                      <c:pt idx="335">
                        <c:v>0.15058935969317327</c:v>
                      </c:pt>
                      <c:pt idx="336">
                        <c:v>0.15161312745337338</c:v>
                      </c:pt>
                      <c:pt idx="337">
                        <c:v>0.14893574081871344</c:v>
                      </c:pt>
                      <c:pt idx="338">
                        <c:v>0.15546196185196476</c:v>
                      </c:pt>
                      <c:pt idx="339">
                        <c:v>0.15638266061183753</c:v>
                      </c:pt>
                      <c:pt idx="340">
                        <c:v>0.1540373425728036</c:v>
                      </c:pt>
                      <c:pt idx="341">
                        <c:v>0.14937081866247703</c:v>
                      </c:pt>
                      <c:pt idx="342">
                        <c:v>0.14557485096978418</c:v>
                      </c:pt>
                      <c:pt idx="343">
                        <c:v>0.14557601329913264</c:v>
                      </c:pt>
                      <c:pt idx="344">
                        <c:v>0.14548523468159133</c:v>
                      </c:pt>
                      <c:pt idx="345">
                        <c:v>0.14615543253087268</c:v>
                      </c:pt>
                      <c:pt idx="346">
                        <c:v>0.14610441297136573</c:v>
                      </c:pt>
                      <c:pt idx="347">
                        <c:v>0.1474107179927146</c:v>
                      </c:pt>
                      <c:pt idx="348">
                        <c:v>0.14051860502899827</c:v>
                      </c:pt>
                      <c:pt idx="349">
                        <c:v>0.14814743767518182</c:v>
                      </c:pt>
                      <c:pt idx="350">
                        <c:v>0.14555616457327528</c:v>
                      </c:pt>
                      <c:pt idx="351">
                        <c:v>0.14634695046269738</c:v>
                      </c:pt>
                      <c:pt idx="352">
                        <c:v>0.14569431151067735</c:v>
                      </c:pt>
                      <c:pt idx="353">
                        <c:v>0.13998933595435317</c:v>
                      </c:pt>
                      <c:pt idx="354">
                        <c:v>0.14136527813962513</c:v>
                      </c:pt>
                      <c:pt idx="355">
                        <c:v>0.14213810410271335</c:v>
                      </c:pt>
                      <c:pt idx="356">
                        <c:v>0.14848640676972211</c:v>
                      </c:pt>
                      <c:pt idx="357">
                        <c:v>0.14703255511499641</c:v>
                      </c:pt>
                      <c:pt idx="358">
                        <c:v>0.14767654989448747</c:v>
                      </c:pt>
                      <c:pt idx="359">
                        <c:v>0.14853075109020117</c:v>
                      </c:pt>
                      <c:pt idx="360">
                        <c:v>0.14657661933155808</c:v>
                      </c:pt>
                      <c:pt idx="361">
                        <c:v>0.14434673852872332</c:v>
                      </c:pt>
                      <c:pt idx="362">
                        <c:v>0.14091730723764292</c:v>
                      </c:pt>
                      <c:pt idx="363">
                        <c:v>0.13814790506758629</c:v>
                      </c:pt>
                      <c:pt idx="364">
                        <c:v>0.13534951184762042</c:v>
                      </c:pt>
                      <c:pt idx="365">
                        <c:v>0.13681640316796323</c:v>
                      </c:pt>
                      <c:pt idx="366">
                        <c:v>0.12887645623342528</c:v>
                      </c:pt>
                      <c:pt idx="367">
                        <c:v>0.13173526752688358</c:v>
                      </c:pt>
                      <c:pt idx="368">
                        <c:v>0.13165759305483501</c:v>
                      </c:pt>
                      <c:pt idx="369">
                        <c:v>0.13232493874609902</c:v>
                      </c:pt>
                      <c:pt idx="370">
                        <c:v>0.12927076594579998</c:v>
                      </c:pt>
                      <c:pt idx="371">
                        <c:v>0.12849978646511012</c:v>
                      </c:pt>
                      <c:pt idx="372">
                        <c:v>0.12599669076769771</c:v>
                      </c:pt>
                      <c:pt idx="373">
                        <c:v>0.11891594061657225</c:v>
                      </c:pt>
                      <c:pt idx="374">
                        <c:v>0.11793141372970468</c:v>
                      </c:pt>
                      <c:pt idx="375">
                        <c:v>0.11637763901099292</c:v>
                      </c:pt>
                      <c:pt idx="376">
                        <c:v>0.12094254837402521</c:v>
                      </c:pt>
                      <c:pt idx="377">
                        <c:v>0.1231228448981401</c:v>
                      </c:pt>
                      <c:pt idx="378">
                        <c:v>0.12144046145692132</c:v>
                      </c:pt>
                      <c:pt idx="379">
                        <c:v>0.12644604206467813</c:v>
                      </c:pt>
                      <c:pt idx="380">
                        <c:v>0.12434620958780725</c:v>
                      </c:pt>
                      <c:pt idx="381">
                        <c:v>0.12752609286817221</c:v>
                      </c:pt>
                      <c:pt idx="382">
                        <c:v>0.1283260981769522</c:v>
                      </c:pt>
                      <c:pt idx="383">
                        <c:v>0.12496401086567231</c:v>
                      </c:pt>
                      <c:pt idx="384">
                        <c:v>0.1216515197246778</c:v>
                      </c:pt>
                      <c:pt idx="385">
                        <c:v>0.12333544382382594</c:v>
                      </c:pt>
                      <c:pt idx="386">
                        <c:v>0.12119354639282644</c:v>
                      </c:pt>
                      <c:pt idx="387">
                        <c:v>0.12598411745662449</c:v>
                      </c:pt>
                      <c:pt idx="388">
                        <c:v>0.12909429418178286</c:v>
                      </c:pt>
                      <c:pt idx="389">
                        <c:v>0.13076508095002909</c:v>
                      </c:pt>
                      <c:pt idx="390">
                        <c:v>0.13291177705830104</c:v>
                      </c:pt>
                      <c:pt idx="391">
                        <c:v>0.14268184697768016</c:v>
                      </c:pt>
                      <c:pt idx="392">
                        <c:v>0.1432114674894793</c:v>
                      </c:pt>
                      <c:pt idx="393">
                        <c:v>0.1448617931259582</c:v>
                      </c:pt>
                      <c:pt idx="394">
                        <c:v>0.14987708533715427</c:v>
                      </c:pt>
                      <c:pt idx="395">
                        <c:v>0.1507256518163119</c:v>
                      </c:pt>
                      <c:pt idx="396">
                        <c:v>0.15088166776197537</c:v>
                      </c:pt>
                      <c:pt idx="397">
                        <c:v>0.14442112897422715</c:v>
                      </c:pt>
                      <c:pt idx="398">
                        <c:v>0.14591180990536154</c:v>
                      </c:pt>
                      <c:pt idx="399">
                        <c:v>0.14434797262916568</c:v>
                      </c:pt>
                      <c:pt idx="400">
                        <c:v>0.14995657109971519</c:v>
                      </c:pt>
                      <c:pt idx="401">
                        <c:v>0.15168490655913464</c:v>
                      </c:pt>
                      <c:pt idx="402">
                        <c:v>0.16207421625916568</c:v>
                      </c:pt>
                      <c:pt idx="403">
                        <c:v>0.1631106424455408</c:v>
                      </c:pt>
                      <c:pt idx="404">
                        <c:v>0.16180137588291937</c:v>
                      </c:pt>
                      <c:pt idx="405">
                        <c:v>0.1636604375261331</c:v>
                      </c:pt>
                      <c:pt idx="406">
                        <c:v>0.16484525588044671</c:v>
                      </c:pt>
                      <c:pt idx="407">
                        <c:v>0.16741928534745751</c:v>
                      </c:pt>
                      <c:pt idx="408">
                        <c:v>0.16990755679764621</c:v>
                      </c:pt>
                      <c:pt idx="409">
                        <c:v>0.17616349399641507</c:v>
                      </c:pt>
                      <c:pt idx="410">
                        <c:v>0.17380706665266446</c:v>
                      </c:pt>
                      <c:pt idx="411">
                        <c:v>0.16988241574825605</c:v>
                      </c:pt>
                      <c:pt idx="412">
                        <c:v>0.16609592392703773</c:v>
                      </c:pt>
                      <c:pt idx="413">
                        <c:v>0.16037138676376755</c:v>
                      </c:pt>
                      <c:pt idx="414">
                        <c:v>0.16022228238905345</c:v>
                      </c:pt>
                      <c:pt idx="415">
                        <c:v>0.15358714575831367</c:v>
                      </c:pt>
                      <c:pt idx="416">
                        <c:v>0.15003014915488411</c:v>
                      </c:pt>
                      <c:pt idx="417">
                        <c:v>0.15252824341961913</c:v>
                      </c:pt>
                      <c:pt idx="418">
                        <c:v>0.15286233578935765</c:v>
                      </c:pt>
                      <c:pt idx="419">
                        <c:v>0.15074969632364046</c:v>
                      </c:pt>
                      <c:pt idx="420">
                        <c:v>0.15390023901088479</c:v>
                      </c:pt>
                      <c:pt idx="421">
                        <c:v>0.15578176836829388</c:v>
                      </c:pt>
                      <c:pt idx="422">
                        <c:v>0.15399266177416637</c:v>
                      </c:pt>
                      <c:pt idx="423">
                        <c:v>0.15458399067923875</c:v>
                      </c:pt>
                      <c:pt idx="424">
                        <c:v>0.15423103255381004</c:v>
                      </c:pt>
                    </c:numCache>
                  </c:numRef>
                </c:val>
                <c:smooth val="0"/>
                <c:extLst xmlns:c15="http://schemas.microsoft.com/office/drawing/2012/chart">
                  <c:ext xmlns:c16="http://schemas.microsoft.com/office/drawing/2014/chart" uri="{C3380CC4-5D6E-409C-BE32-E72D297353CC}">
                    <c16:uniqueId val="{00000000-1DE9-4D31-A911-7FB86615BFA7}"/>
                  </c:ext>
                </c:extLst>
              </c15:ser>
            </c15:filteredLineSeries>
          </c:ext>
        </c:extLst>
      </c:lineChart>
      <c:catAx>
        <c:axId val="1218075600"/>
        <c:scaling>
          <c:orientation val="minMax"/>
        </c:scaling>
        <c:delete val="0"/>
        <c:axPos val="b"/>
        <c:numFmt formatCode="General" sourceLinked="0"/>
        <c:majorTickMark val="none"/>
        <c:minorTickMark val="none"/>
        <c:tickLblPos val="low"/>
        <c:spPr>
          <a:noFill/>
          <a:ln w="19050" cap="flat" cmpd="sng" algn="ctr">
            <a:solidFill>
              <a:sysClr val="windowText" lastClr="000000"/>
            </a:solidFill>
            <a:prstDash val="sysDash"/>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077040"/>
        <c:crosses val="autoZero"/>
        <c:auto val="1"/>
        <c:lblAlgn val="ctr"/>
        <c:lblOffset val="100"/>
        <c:noMultiLvlLbl val="0"/>
      </c:catAx>
      <c:valAx>
        <c:axId val="1218077040"/>
        <c:scaling>
          <c:orientation val="minMax"/>
        </c:scaling>
        <c:delete val="0"/>
        <c:axPos val="l"/>
        <c:majorGridlines>
          <c:spPr>
            <a:ln w="9525" cap="flat" cmpd="sng" algn="ctr">
              <a:noFill/>
              <a:prstDash val="dash"/>
              <a:round/>
            </a:ln>
            <a:effectLst/>
          </c:spPr>
        </c:majorGridlines>
        <c:title>
          <c:tx>
            <c:rich>
              <a:bodyPr rot="-5400000" spcFirstLastPara="1" vertOverflow="ellipsis" vert="horz" wrap="square" anchor="ctr" anchorCtr="1"/>
              <a:lstStyle/>
              <a:p>
                <a:pPr>
                  <a:defRPr sz="1000" b="1" i="0" u="none" strike="noStrike" kern="1200" baseline="0">
                    <a:solidFill>
                      <a:schemeClr val="accent3"/>
                    </a:solidFill>
                    <a:latin typeface="+mn-lt"/>
                    <a:ea typeface="+mn-ea"/>
                    <a:cs typeface="+mn-cs"/>
                  </a:defRPr>
                </a:pPr>
                <a:r>
                  <a:rPr lang="en-US" b="1">
                    <a:solidFill>
                      <a:schemeClr val="accent3"/>
                    </a:solidFill>
                  </a:rPr>
                  <a:t>Expectancy</a:t>
                </a:r>
                <a:r>
                  <a:rPr lang="en-US" b="1" baseline="0">
                    <a:solidFill>
                      <a:schemeClr val="accent3"/>
                    </a:solidFill>
                  </a:rPr>
                  <a:t> (20-ma)</a:t>
                </a:r>
                <a:endParaRPr lang="en-US" b="1">
                  <a:solidFill>
                    <a:schemeClr val="accent3"/>
                  </a:solidFill>
                </a:endParaRPr>
              </a:p>
            </c:rich>
          </c:tx>
          <c:layout>
            <c:manualLayout>
              <c:xMode val="edge"/>
              <c:yMode val="edge"/>
              <c:x val="2.3335091879952076E-3"/>
              <c:y val="0.388839247516967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3"/>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218075600"/>
        <c:crosses val="autoZero"/>
        <c:crossBetween val="between"/>
      </c:valAx>
      <c:spPr>
        <a:gradFill>
          <a:gsLst>
            <a:gs pos="0">
              <a:srgbClr val="00FF00"/>
            </a:gs>
            <a:gs pos="70000">
              <a:schemeClr val="bg1"/>
            </a:gs>
            <a:gs pos="56000">
              <a:schemeClr val="bg1"/>
            </a:gs>
            <a:gs pos="100000">
              <a:srgbClr val="FFCCCC"/>
            </a:gs>
          </a:gsLst>
          <a:lin ang="5400000" scaled="1"/>
        </a:gradFill>
        <a:ln w="3175">
          <a:solidFill>
            <a:sysClr val="windowText" lastClr="000000"/>
          </a:solidFill>
        </a:ln>
        <a:effectLst/>
      </c:spPr>
    </c:plotArea>
    <c:legend>
      <c:legendPos val="t"/>
      <c:layout>
        <c:manualLayout>
          <c:xMode val="edge"/>
          <c:yMode val="edge"/>
          <c:x val="0.34975712296252176"/>
          <c:y val="1.7621145374449341E-2"/>
          <c:w val="0.35499256975525445"/>
          <c:h val="5.3106940927538246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4707956661126704"/>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'2025-Q1'!$A$4:$A$448</c:f>
              <c:strCache>
                <c:ptCount val="445"/>
                <c:pt idx="0">
                  <c:v>STZ</c:v>
                </c:pt>
                <c:pt idx="1">
                  <c:v>DAL</c:v>
                </c:pt>
                <c:pt idx="2">
                  <c:v>WBA</c:v>
                </c:pt>
                <c:pt idx="3">
                  <c:v>JPM</c:v>
                </c:pt>
                <c:pt idx="4">
                  <c:v>WFC</c:v>
                </c:pt>
                <c:pt idx="5">
                  <c:v>GS</c:v>
                </c:pt>
                <c:pt idx="6">
                  <c:v>BLK</c:v>
                </c:pt>
                <c:pt idx="7">
                  <c:v>C</c:v>
                </c:pt>
                <c:pt idx="8">
                  <c:v>BK</c:v>
                </c:pt>
                <c:pt idx="9">
                  <c:v>UNH</c:v>
                </c:pt>
                <c:pt idx="10">
                  <c:v>BAC</c:v>
                </c:pt>
                <c:pt idx="11">
                  <c:v>MS</c:v>
                </c:pt>
                <c:pt idx="12">
                  <c:v>PNC</c:v>
                </c:pt>
                <c:pt idx="13">
                  <c:v>USB</c:v>
                </c:pt>
                <c:pt idx="14">
                  <c:v>MTB</c:v>
                </c:pt>
                <c:pt idx="15">
                  <c:v>JBHT</c:v>
                </c:pt>
                <c:pt idx="16">
                  <c:v>TFC</c:v>
                </c:pt>
                <c:pt idx="17">
                  <c:v>SLB</c:v>
                </c:pt>
                <c:pt idx="18">
                  <c:v>FAST</c:v>
                </c:pt>
                <c:pt idx="19">
                  <c:v>STT</c:v>
                </c:pt>
                <c:pt idx="20">
                  <c:v>HBAN</c:v>
                </c:pt>
                <c:pt idx="21">
                  <c:v>RF</c:v>
                </c:pt>
                <c:pt idx="22">
                  <c:v>CFG</c:v>
                </c:pt>
                <c:pt idx="23">
                  <c:v>SCHW</c:v>
                </c:pt>
                <c:pt idx="24">
                  <c:v>MMM</c:v>
                </c:pt>
                <c:pt idx="25">
                  <c:v>DHI</c:v>
                </c:pt>
                <c:pt idx="26">
                  <c:v>FITB</c:v>
                </c:pt>
                <c:pt idx="27">
                  <c:v>KEY</c:v>
                </c:pt>
                <c:pt idx="28">
                  <c:v>NFLX</c:v>
                </c:pt>
                <c:pt idx="29">
                  <c:v>COF</c:v>
                </c:pt>
                <c:pt idx="30">
                  <c:v>UAL</c:v>
                </c:pt>
                <c:pt idx="31">
                  <c:v>STX</c:v>
                </c:pt>
                <c:pt idx="32">
                  <c:v>PG</c:v>
                </c:pt>
                <c:pt idx="33">
                  <c:v>JNJ</c:v>
                </c:pt>
                <c:pt idx="34">
                  <c:v>ABT</c:v>
                </c:pt>
                <c:pt idx="35">
                  <c:v>GEV</c:v>
                </c:pt>
                <c:pt idx="36">
                  <c:v>APH</c:v>
                </c:pt>
                <c:pt idx="37">
                  <c:v>TRV</c:v>
                </c:pt>
                <c:pt idx="38">
                  <c:v>TEL</c:v>
                </c:pt>
                <c:pt idx="39">
                  <c:v>HAL</c:v>
                </c:pt>
                <c:pt idx="40">
                  <c:v>TDY</c:v>
                </c:pt>
                <c:pt idx="41">
                  <c:v>TXT</c:v>
                </c:pt>
                <c:pt idx="42">
                  <c:v>KMI</c:v>
                </c:pt>
                <c:pt idx="43">
                  <c:v>DFS</c:v>
                </c:pt>
                <c:pt idx="44">
                  <c:v>STLD</c:v>
                </c:pt>
                <c:pt idx="45">
                  <c:v>GE</c:v>
                </c:pt>
                <c:pt idx="46">
                  <c:v>UNP</c:v>
                </c:pt>
                <c:pt idx="47">
                  <c:v>ELV</c:v>
                </c:pt>
                <c:pt idx="48">
                  <c:v>FCX</c:v>
                </c:pt>
                <c:pt idx="49">
                  <c:v>NTRS</c:v>
                </c:pt>
                <c:pt idx="50">
                  <c:v>MKC</c:v>
                </c:pt>
                <c:pt idx="51">
                  <c:v>ISRG</c:v>
                </c:pt>
                <c:pt idx="52">
                  <c:v>TXN</c:v>
                </c:pt>
                <c:pt idx="53">
                  <c:v>CSX</c:v>
                </c:pt>
                <c:pt idx="54">
                  <c:v>AXP</c:v>
                </c:pt>
                <c:pt idx="55">
                  <c:v>VZ</c:v>
                </c:pt>
                <c:pt idx="56">
                  <c:v>HCA</c:v>
                </c:pt>
                <c:pt idx="57">
                  <c:v>T</c:v>
                </c:pt>
                <c:pt idx="58">
                  <c:v>NUE</c:v>
                </c:pt>
                <c:pt idx="59">
                  <c:v>BRO</c:v>
                </c:pt>
                <c:pt idx="60">
                  <c:v>WRB</c:v>
                </c:pt>
                <c:pt idx="61">
                  <c:v>RTX</c:v>
                </c:pt>
                <c:pt idx="62">
                  <c:v>LMT</c:v>
                </c:pt>
                <c:pt idx="63">
                  <c:v>BA</c:v>
                </c:pt>
                <c:pt idx="64">
                  <c:v>RCL</c:v>
                </c:pt>
                <c:pt idx="65">
                  <c:v>GM</c:v>
                </c:pt>
                <c:pt idx="66">
                  <c:v>PCAR</c:v>
                </c:pt>
                <c:pt idx="67">
                  <c:v>KMB</c:v>
                </c:pt>
                <c:pt idx="68">
                  <c:v>SYY</c:v>
                </c:pt>
                <c:pt idx="69">
                  <c:v>SYF</c:v>
                </c:pt>
                <c:pt idx="70">
                  <c:v>IVZ</c:v>
                </c:pt>
                <c:pt idx="71">
                  <c:v>SYK</c:v>
                </c:pt>
                <c:pt idx="72">
                  <c:v>CB</c:v>
                </c:pt>
                <c:pt idx="73">
                  <c:v>SBUX</c:v>
                </c:pt>
                <c:pt idx="74">
                  <c:v>PKG</c:v>
                </c:pt>
                <c:pt idx="75">
                  <c:v>FFIV</c:v>
                </c:pt>
                <c:pt idx="76">
                  <c:v>TMUS</c:v>
                </c:pt>
                <c:pt idx="77">
                  <c:v>DHR</c:v>
                </c:pt>
                <c:pt idx="78">
                  <c:v>PGR</c:v>
                </c:pt>
                <c:pt idx="79">
                  <c:v>ADP</c:v>
                </c:pt>
                <c:pt idx="80">
                  <c:v>GD</c:v>
                </c:pt>
                <c:pt idx="81">
                  <c:v>NSC</c:v>
                </c:pt>
                <c:pt idx="82">
                  <c:v>NDAQ</c:v>
                </c:pt>
                <c:pt idx="83">
                  <c:v>HES</c:v>
                </c:pt>
                <c:pt idx="84">
                  <c:v>GLW</c:v>
                </c:pt>
                <c:pt idx="85">
                  <c:v>OTIS</c:v>
                </c:pt>
                <c:pt idx="86">
                  <c:v>MSFT</c:v>
                </c:pt>
                <c:pt idx="87">
                  <c:v>META</c:v>
                </c:pt>
                <c:pt idx="88">
                  <c:v>TSLA</c:v>
                </c:pt>
                <c:pt idx="89">
                  <c:v>IBM</c:v>
                </c:pt>
                <c:pt idx="90">
                  <c:v>LRCX</c:v>
                </c:pt>
                <c:pt idx="91">
                  <c:v>WM</c:v>
                </c:pt>
                <c:pt idx="92">
                  <c:v>AMP</c:v>
                </c:pt>
                <c:pt idx="93">
                  <c:v>URI</c:v>
                </c:pt>
                <c:pt idx="94">
                  <c:v>LVS</c:v>
                </c:pt>
                <c:pt idx="95">
                  <c:v>RJF</c:v>
                </c:pt>
                <c:pt idx="96">
                  <c:v>WDC</c:v>
                </c:pt>
                <c:pt idx="97">
                  <c:v>TER</c:v>
                </c:pt>
                <c:pt idx="98">
                  <c:v>CHRW</c:v>
                </c:pt>
                <c:pt idx="99">
                  <c:v>DLB</c:v>
                </c:pt>
                <c:pt idx="100">
                  <c:v>MA</c:v>
                </c:pt>
                <c:pt idx="101">
                  <c:v>BX</c:v>
                </c:pt>
                <c:pt idx="102">
                  <c:v>TMO</c:v>
                </c:pt>
                <c:pt idx="103">
                  <c:v>CAT</c:v>
                </c:pt>
                <c:pt idx="104">
                  <c:v>CMCSA</c:v>
                </c:pt>
                <c:pt idx="105">
                  <c:v>UPS</c:v>
                </c:pt>
                <c:pt idx="106">
                  <c:v>MMC</c:v>
                </c:pt>
                <c:pt idx="107">
                  <c:v>MO</c:v>
                </c:pt>
                <c:pt idx="108">
                  <c:v>SHW</c:v>
                </c:pt>
                <c:pt idx="109">
                  <c:v>TT</c:v>
                </c:pt>
                <c:pt idx="110">
                  <c:v>CI</c:v>
                </c:pt>
                <c:pt idx="111">
                  <c:v>PH</c:v>
                </c:pt>
                <c:pt idx="112">
                  <c:v>NOC</c:v>
                </c:pt>
                <c:pt idx="113">
                  <c:v>ROP</c:v>
                </c:pt>
                <c:pt idx="114">
                  <c:v>LHX</c:v>
                </c:pt>
                <c:pt idx="115">
                  <c:v>VLO</c:v>
                </c:pt>
                <c:pt idx="116">
                  <c:v>DOW</c:v>
                </c:pt>
                <c:pt idx="117">
                  <c:v>CAH</c:v>
                </c:pt>
                <c:pt idx="118">
                  <c:v>TSCO</c:v>
                </c:pt>
                <c:pt idx="119">
                  <c:v>DOV</c:v>
                </c:pt>
                <c:pt idx="120">
                  <c:v>PHM</c:v>
                </c:pt>
                <c:pt idx="121">
                  <c:v>IP</c:v>
                </c:pt>
                <c:pt idx="122">
                  <c:v>LUV</c:v>
                </c:pt>
                <c:pt idx="123">
                  <c:v>DGX</c:v>
                </c:pt>
                <c:pt idx="124">
                  <c:v>AVY</c:v>
                </c:pt>
                <c:pt idx="125">
                  <c:v>AOS</c:v>
                </c:pt>
                <c:pt idx="126">
                  <c:v>DT</c:v>
                </c:pt>
                <c:pt idx="127">
                  <c:v>AAPL</c:v>
                </c:pt>
                <c:pt idx="128">
                  <c:v>V</c:v>
                </c:pt>
                <c:pt idx="129">
                  <c:v>INTC</c:v>
                </c:pt>
                <c:pt idx="130">
                  <c:v>KLAC</c:v>
                </c:pt>
                <c:pt idx="131">
                  <c:v>AJG</c:v>
                </c:pt>
                <c:pt idx="132">
                  <c:v>BKR</c:v>
                </c:pt>
                <c:pt idx="133">
                  <c:v>RMD</c:v>
                </c:pt>
                <c:pt idx="134">
                  <c:v>HIG</c:v>
                </c:pt>
                <c:pt idx="135">
                  <c:v>PPG</c:v>
                </c:pt>
                <c:pt idx="136">
                  <c:v>DECK</c:v>
                </c:pt>
                <c:pt idx="137">
                  <c:v>GEN</c:v>
                </c:pt>
                <c:pt idx="138">
                  <c:v>SMCI</c:v>
                </c:pt>
                <c:pt idx="139">
                  <c:v>EMN</c:v>
                </c:pt>
                <c:pt idx="140">
                  <c:v>TEAM</c:v>
                </c:pt>
                <c:pt idx="141">
                  <c:v>APPF</c:v>
                </c:pt>
                <c:pt idx="142">
                  <c:v>XOM</c:v>
                </c:pt>
                <c:pt idx="143">
                  <c:v>ABBV</c:v>
                </c:pt>
                <c:pt idx="144">
                  <c:v>CVX</c:v>
                </c:pt>
                <c:pt idx="145">
                  <c:v>ETN</c:v>
                </c:pt>
                <c:pt idx="146">
                  <c:v>AON</c:v>
                </c:pt>
                <c:pt idx="147">
                  <c:v>CL</c:v>
                </c:pt>
                <c:pt idx="148">
                  <c:v>CHTR</c:v>
                </c:pt>
                <c:pt idx="149">
                  <c:v>GWW</c:v>
                </c:pt>
                <c:pt idx="150">
                  <c:v>PSX</c:v>
                </c:pt>
                <c:pt idx="151">
                  <c:v>CHD</c:v>
                </c:pt>
                <c:pt idx="152">
                  <c:v>LYB</c:v>
                </c:pt>
                <c:pt idx="153">
                  <c:v>BR</c:v>
                </c:pt>
                <c:pt idx="154">
                  <c:v>RVTY</c:v>
                </c:pt>
                <c:pt idx="155">
                  <c:v>BEN</c:v>
                </c:pt>
                <c:pt idx="156">
                  <c:v>IDXX</c:v>
                </c:pt>
                <c:pt idx="157">
                  <c:v>TSN</c:v>
                </c:pt>
                <c:pt idx="158">
                  <c:v>PLTR</c:v>
                </c:pt>
                <c:pt idx="159">
                  <c:v>NXPI</c:v>
                </c:pt>
                <c:pt idx="160">
                  <c:v>CLX</c:v>
                </c:pt>
                <c:pt idx="161">
                  <c:v>EG</c:v>
                </c:pt>
                <c:pt idx="162">
                  <c:v>MRK</c:v>
                </c:pt>
                <c:pt idx="163">
                  <c:v>PEP</c:v>
                </c:pt>
                <c:pt idx="164">
                  <c:v>PFE</c:v>
                </c:pt>
                <c:pt idx="165">
                  <c:v>KKR</c:v>
                </c:pt>
                <c:pt idx="166">
                  <c:v>PYPL</c:v>
                </c:pt>
                <c:pt idx="167">
                  <c:v>REGN</c:v>
                </c:pt>
                <c:pt idx="168">
                  <c:v>MPC</c:v>
                </c:pt>
                <c:pt idx="169">
                  <c:v>CMI</c:v>
                </c:pt>
                <c:pt idx="170">
                  <c:v>AME</c:v>
                </c:pt>
                <c:pt idx="171">
                  <c:v>IT</c:v>
                </c:pt>
                <c:pt idx="172">
                  <c:v>WTW</c:v>
                </c:pt>
                <c:pt idx="173">
                  <c:v>CNC</c:v>
                </c:pt>
                <c:pt idx="174">
                  <c:v>XYL</c:v>
                </c:pt>
                <c:pt idx="175">
                  <c:v>ADM</c:v>
                </c:pt>
                <c:pt idx="176">
                  <c:v>HUBB</c:v>
                </c:pt>
                <c:pt idx="177">
                  <c:v>EL</c:v>
                </c:pt>
                <c:pt idx="178">
                  <c:v>FOX</c:v>
                </c:pt>
                <c:pt idx="179">
                  <c:v>BALL</c:v>
                </c:pt>
                <c:pt idx="180">
                  <c:v>PNR</c:v>
                </c:pt>
                <c:pt idx="181">
                  <c:v>J</c:v>
                </c:pt>
                <c:pt idx="182">
                  <c:v>AMCR</c:v>
                </c:pt>
                <c:pt idx="183">
                  <c:v>GOOG</c:v>
                </c:pt>
                <c:pt idx="184">
                  <c:v>AMD</c:v>
                </c:pt>
                <c:pt idx="185">
                  <c:v>AMGN</c:v>
                </c:pt>
                <c:pt idx="186">
                  <c:v>MDLZ</c:v>
                </c:pt>
                <c:pt idx="187">
                  <c:v>CMG</c:v>
                </c:pt>
                <c:pt idx="188">
                  <c:v>FICO</c:v>
                </c:pt>
                <c:pt idx="189">
                  <c:v>PRU</c:v>
                </c:pt>
                <c:pt idx="190">
                  <c:v>EA</c:v>
                </c:pt>
                <c:pt idx="191">
                  <c:v>VLTO</c:v>
                </c:pt>
                <c:pt idx="192">
                  <c:v>OMC</c:v>
                </c:pt>
                <c:pt idx="193">
                  <c:v>IEX</c:v>
                </c:pt>
                <c:pt idx="194">
                  <c:v>JKHY</c:v>
                </c:pt>
                <c:pt idx="195">
                  <c:v>ENPH</c:v>
                </c:pt>
                <c:pt idx="196">
                  <c:v>MTCH</c:v>
                </c:pt>
                <c:pt idx="197">
                  <c:v>FMC</c:v>
                </c:pt>
                <c:pt idx="198">
                  <c:v>SNAP</c:v>
                </c:pt>
                <c:pt idx="199">
                  <c:v>VRNS</c:v>
                </c:pt>
                <c:pt idx="200">
                  <c:v>INTA</c:v>
                </c:pt>
                <c:pt idx="201">
                  <c:v>DIS</c:v>
                </c:pt>
                <c:pt idx="202">
                  <c:v>UBER</c:v>
                </c:pt>
                <c:pt idx="203">
                  <c:v>BSX</c:v>
                </c:pt>
                <c:pt idx="204">
                  <c:v>FI</c:v>
                </c:pt>
                <c:pt idx="205">
                  <c:v>ITW</c:v>
                </c:pt>
                <c:pt idx="206">
                  <c:v>EMR</c:v>
                </c:pt>
                <c:pt idx="207">
                  <c:v>JCI</c:v>
                </c:pt>
                <c:pt idx="208">
                  <c:v>COR</c:v>
                </c:pt>
                <c:pt idx="209">
                  <c:v>TROW</c:v>
                </c:pt>
                <c:pt idx="210">
                  <c:v>CDW</c:v>
                </c:pt>
                <c:pt idx="211">
                  <c:v>SWK</c:v>
                </c:pt>
                <c:pt idx="212">
                  <c:v>BG</c:v>
                </c:pt>
                <c:pt idx="213">
                  <c:v>DAY</c:v>
                </c:pt>
                <c:pt idx="214">
                  <c:v>TECH</c:v>
                </c:pt>
                <c:pt idx="215">
                  <c:v>QCOM</c:v>
                </c:pt>
                <c:pt idx="216">
                  <c:v>MCK</c:v>
                </c:pt>
                <c:pt idx="217">
                  <c:v>AFL</c:v>
                </c:pt>
                <c:pt idx="218">
                  <c:v>MET</c:v>
                </c:pt>
                <c:pt idx="219">
                  <c:v>ALL</c:v>
                </c:pt>
                <c:pt idx="220">
                  <c:v>F</c:v>
                </c:pt>
                <c:pt idx="221">
                  <c:v>CTVA</c:v>
                </c:pt>
                <c:pt idx="222">
                  <c:v>CTSH</c:v>
                </c:pt>
                <c:pt idx="223">
                  <c:v>CPAY</c:v>
                </c:pt>
                <c:pt idx="224">
                  <c:v>PTC</c:v>
                </c:pt>
                <c:pt idx="225">
                  <c:v>STE</c:v>
                </c:pt>
                <c:pt idx="226">
                  <c:v>HOLX</c:v>
                </c:pt>
                <c:pt idx="227">
                  <c:v>NWS</c:v>
                </c:pt>
                <c:pt idx="228">
                  <c:v>MOH</c:v>
                </c:pt>
                <c:pt idx="229">
                  <c:v>ALGN</c:v>
                </c:pt>
                <c:pt idx="230">
                  <c:v>SWKS</c:v>
                </c:pt>
                <c:pt idx="231">
                  <c:v>GL</c:v>
                </c:pt>
                <c:pt idx="232">
                  <c:v>MSTR</c:v>
                </c:pt>
                <c:pt idx="233">
                  <c:v>TENB</c:v>
                </c:pt>
                <c:pt idx="234">
                  <c:v>LLY</c:v>
                </c:pt>
                <c:pt idx="235">
                  <c:v>LIN</c:v>
                </c:pt>
                <c:pt idx="236">
                  <c:v>PM</c:v>
                </c:pt>
                <c:pt idx="237">
                  <c:v>HON</c:v>
                </c:pt>
                <c:pt idx="238">
                  <c:v>COP</c:v>
                </c:pt>
                <c:pt idx="239">
                  <c:v>BMY</c:v>
                </c:pt>
                <c:pt idx="240">
                  <c:v>ICE</c:v>
                </c:pt>
                <c:pt idx="241">
                  <c:v>APD</c:v>
                </c:pt>
                <c:pt idx="242">
                  <c:v>BDX</c:v>
                </c:pt>
                <c:pt idx="243">
                  <c:v>HLT</c:v>
                </c:pt>
                <c:pt idx="244">
                  <c:v>KVUE</c:v>
                </c:pt>
                <c:pt idx="245">
                  <c:v>YUM</c:v>
                </c:pt>
                <c:pt idx="246">
                  <c:v>HSY</c:v>
                </c:pt>
                <c:pt idx="247">
                  <c:v>IQV</c:v>
                </c:pt>
                <c:pt idx="248">
                  <c:v>ROK</c:v>
                </c:pt>
                <c:pt idx="249">
                  <c:v>EFX</c:v>
                </c:pt>
                <c:pt idx="250">
                  <c:v>ZBH</c:v>
                </c:pt>
                <c:pt idx="251">
                  <c:v>LH</c:v>
                </c:pt>
                <c:pt idx="252">
                  <c:v>SNA</c:v>
                </c:pt>
                <c:pt idx="253">
                  <c:v>TPR</c:v>
                </c:pt>
                <c:pt idx="254">
                  <c:v>RL</c:v>
                </c:pt>
                <c:pt idx="255">
                  <c:v>APTV</c:v>
                </c:pt>
                <c:pt idx="256">
                  <c:v>MKTX</c:v>
                </c:pt>
                <c:pt idx="257">
                  <c:v>HII</c:v>
                </c:pt>
                <c:pt idx="258">
                  <c:v>BWA</c:v>
                </c:pt>
                <c:pt idx="259">
                  <c:v>AMZN</c:v>
                </c:pt>
                <c:pt idx="260">
                  <c:v>FTNT</c:v>
                </c:pt>
                <c:pt idx="261">
                  <c:v>MCHP</c:v>
                </c:pt>
                <c:pt idx="262">
                  <c:v>TTWO</c:v>
                </c:pt>
                <c:pt idx="263">
                  <c:v>MPWR</c:v>
                </c:pt>
                <c:pt idx="264">
                  <c:v>MTD</c:v>
                </c:pt>
                <c:pt idx="265">
                  <c:v>EXPE</c:v>
                </c:pt>
                <c:pt idx="266">
                  <c:v>PFG</c:v>
                </c:pt>
                <c:pt idx="267">
                  <c:v>VRSN</c:v>
                </c:pt>
                <c:pt idx="268">
                  <c:v>MHK</c:v>
                </c:pt>
                <c:pt idx="269">
                  <c:v>FTV</c:v>
                </c:pt>
                <c:pt idx="270">
                  <c:v>MCD</c:v>
                </c:pt>
                <c:pt idx="271">
                  <c:v>ON</c:v>
                </c:pt>
                <c:pt idx="272">
                  <c:v>L</c:v>
                </c:pt>
                <c:pt idx="273">
                  <c:v>INCY</c:v>
                </c:pt>
                <c:pt idx="274">
                  <c:v>ACGL</c:v>
                </c:pt>
                <c:pt idx="275">
                  <c:v>CINF</c:v>
                </c:pt>
                <c:pt idx="276">
                  <c:v>KO</c:v>
                </c:pt>
                <c:pt idx="277">
                  <c:v>SPGI</c:v>
                </c:pt>
                <c:pt idx="278">
                  <c:v>MAR</c:v>
                </c:pt>
                <c:pt idx="279">
                  <c:v>ECL</c:v>
                </c:pt>
                <c:pt idx="280">
                  <c:v>CARR</c:v>
                </c:pt>
                <c:pt idx="281">
                  <c:v>FIS</c:v>
                </c:pt>
                <c:pt idx="282">
                  <c:v>HUM</c:v>
                </c:pt>
                <c:pt idx="283">
                  <c:v>DD</c:v>
                </c:pt>
                <c:pt idx="284">
                  <c:v>LDOS</c:v>
                </c:pt>
                <c:pt idx="285">
                  <c:v>MAS</c:v>
                </c:pt>
                <c:pt idx="286">
                  <c:v>GILD</c:v>
                </c:pt>
                <c:pt idx="287">
                  <c:v>AIG</c:v>
                </c:pt>
                <c:pt idx="288">
                  <c:v>EW</c:v>
                </c:pt>
                <c:pt idx="289">
                  <c:v>AIZ</c:v>
                </c:pt>
                <c:pt idx="290">
                  <c:v>CFLT</c:v>
                </c:pt>
                <c:pt idx="291">
                  <c:v>FRSH</c:v>
                </c:pt>
                <c:pt idx="292">
                  <c:v>CME</c:v>
                </c:pt>
                <c:pt idx="293">
                  <c:v>CVS</c:v>
                </c:pt>
                <c:pt idx="294">
                  <c:v>IPG</c:v>
                </c:pt>
                <c:pt idx="295">
                  <c:v>KHC</c:v>
                </c:pt>
                <c:pt idx="296">
                  <c:v>MLM</c:v>
                </c:pt>
                <c:pt idx="297">
                  <c:v>WAB</c:v>
                </c:pt>
                <c:pt idx="298">
                  <c:v>SW</c:v>
                </c:pt>
                <c:pt idx="299">
                  <c:v>BIIB</c:v>
                </c:pt>
                <c:pt idx="300">
                  <c:v>WAT</c:v>
                </c:pt>
                <c:pt idx="301">
                  <c:v>GNRC</c:v>
                </c:pt>
                <c:pt idx="302">
                  <c:v>CSCO</c:v>
                </c:pt>
                <c:pt idx="303">
                  <c:v>WMB</c:v>
                </c:pt>
                <c:pt idx="304">
                  <c:v>ROL</c:v>
                </c:pt>
                <c:pt idx="305">
                  <c:v>ALB</c:v>
                </c:pt>
                <c:pt idx="306">
                  <c:v>PAYC</c:v>
                </c:pt>
                <c:pt idx="307">
                  <c:v>MGM</c:v>
                </c:pt>
                <c:pt idx="308">
                  <c:v>APP</c:v>
                </c:pt>
                <c:pt idx="309">
                  <c:v>MCO</c:v>
                </c:pt>
                <c:pt idx="310">
                  <c:v>DE</c:v>
                </c:pt>
                <c:pt idx="311">
                  <c:v>ZTS</c:v>
                </c:pt>
                <c:pt idx="312">
                  <c:v>HWM</c:v>
                </c:pt>
                <c:pt idx="313">
                  <c:v>GEHC</c:v>
                </c:pt>
                <c:pt idx="314">
                  <c:v>GPN</c:v>
                </c:pt>
                <c:pt idx="315">
                  <c:v>WST</c:v>
                </c:pt>
                <c:pt idx="316">
                  <c:v>ZBRA</c:v>
                </c:pt>
                <c:pt idx="317">
                  <c:v>TAP</c:v>
                </c:pt>
                <c:pt idx="318">
                  <c:v>DDOG</c:v>
                </c:pt>
                <c:pt idx="319">
                  <c:v>MSI</c:v>
                </c:pt>
                <c:pt idx="320">
                  <c:v>ABNB</c:v>
                </c:pt>
                <c:pt idx="321">
                  <c:v>AMAT</c:v>
                </c:pt>
                <c:pt idx="322">
                  <c:v>RSG</c:v>
                </c:pt>
                <c:pt idx="323">
                  <c:v>IR</c:v>
                </c:pt>
                <c:pt idx="324">
                  <c:v>DXCM</c:v>
                </c:pt>
                <c:pt idx="325">
                  <c:v>GDDY</c:v>
                </c:pt>
                <c:pt idx="326">
                  <c:v>DVA</c:v>
                </c:pt>
                <c:pt idx="327">
                  <c:v>WYNN</c:v>
                </c:pt>
                <c:pt idx="328">
                  <c:v>PANW</c:v>
                </c:pt>
                <c:pt idx="329">
                  <c:v>PCOR</c:v>
                </c:pt>
                <c:pt idx="330">
                  <c:v>MRNA</c:v>
                </c:pt>
                <c:pt idx="331">
                  <c:v>GPC</c:v>
                </c:pt>
                <c:pt idx="332">
                  <c:v>MDT</c:v>
                </c:pt>
                <c:pt idx="333">
                  <c:v>VMC</c:v>
                </c:pt>
                <c:pt idx="334">
                  <c:v>EXPD</c:v>
                </c:pt>
                <c:pt idx="335">
                  <c:v>ALLE</c:v>
                </c:pt>
                <c:pt idx="336">
                  <c:v>ANET</c:v>
                </c:pt>
                <c:pt idx="337">
                  <c:v>CDNS</c:v>
                </c:pt>
                <c:pt idx="338">
                  <c:v>EQT</c:v>
                </c:pt>
                <c:pt idx="339">
                  <c:v>IFF</c:v>
                </c:pt>
                <c:pt idx="340">
                  <c:v>CE</c:v>
                </c:pt>
                <c:pt idx="341">
                  <c:v>CRL</c:v>
                </c:pt>
                <c:pt idx="342">
                  <c:v>TRMB</c:v>
                </c:pt>
                <c:pt idx="343">
                  <c:v>ADI</c:v>
                </c:pt>
                <c:pt idx="344">
                  <c:v>GRMN</c:v>
                </c:pt>
                <c:pt idx="345">
                  <c:v>CF</c:v>
                </c:pt>
                <c:pt idx="346">
                  <c:v>NDSN</c:v>
                </c:pt>
                <c:pt idx="347">
                  <c:v>CWAN</c:v>
                </c:pt>
                <c:pt idx="348">
                  <c:v>KVYO</c:v>
                </c:pt>
                <c:pt idx="349">
                  <c:v>BAX</c:v>
                </c:pt>
                <c:pt idx="350">
                  <c:v>WMT</c:v>
                </c:pt>
                <c:pt idx="351">
                  <c:v>PWR</c:v>
                </c:pt>
                <c:pt idx="352">
                  <c:v>TRGP</c:v>
                </c:pt>
                <c:pt idx="353">
                  <c:v>BLDR</c:v>
                </c:pt>
                <c:pt idx="354">
                  <c:v>POOL</c:v>
                </c:pt>
                <c:pt idx="355">
                  <c:v>EPAM</c:v>
                </c:pt>
                <c:pt idx="356">
                  <c:v>LKQ</c:v>
                </c:pt>
                <c:pt idx="357">
                  <c:v>HAS</c:v>
                </c:pt>
                <c:pt idx="358">
                  <c:v>U</c:v>
                </c:pt>
                <c:pt idx="359">
                  <c:v>LYV</c:v>
                </c:pt>
                <c:pt idx="360">
                  <c:v>PODD</c:v>
                </c:pt>
                <c:pt idx="361">
                  <c:v>AKAM</c:v>
                </c:pt>
                <c:pt idx="362">
                  <c:v>DBX</c:v>
                </c:pt>
                <c:pt idx="363">
                  <c:v>CPRT</c:v>
                </c:pt>
                <c:pt idx="364">
                  <c:v>HD</c:v>
                </c:pt>
                <c:pt idx="365">
                  <c:v>KDP</c:v>
                </c:pt>
                <c:pt idx="366">
                  <c:v>NCLH</c:v>
                </c:pt>
                <c:pt idx="367">
                  <c:v>HSIC</c:v>
                </c:pt>
                <c:pt idx="368">
                  <c:v>INTU</c:v>
                </c:pt>
                <c:pt idx="369">
                  <c:v>AXON</c:v>
                </c:pt>
                <c:pt idx="370">
                  <c:v>FSLR</c:v>
                </c:pt>
                <c:pt idx="371">
                  <c:v>CZR</c:v>
                </c:pt>
                <c:pt idx="372">
                  <c:v>ZETA</c:v>
                </c:pt>
                <c:pt idx="373">
                  <c:v>VRSK</c:v>
                </c:pt>
                <c:pt idx="374">
                  <c:v>LOW</c:v>
                </c:pt>
                <c:pt idx="375">
                  <c:v>TJX</c:v>
                </c:pt>
                <c:pt idx="376">
                  <c:v>NTNX</c:v>
                </c:pt>
                <c:pt idx="377">
                  <c:v>PARA</c:v>
                </c:pt>
                <c:pt idx="378">
                  <c:v>SNPS</c:v>
                </c:pt>
                <c:pt idx="379">
                  <c:v>NVDA</c:v>
                </c:pt>
                <c:pt idx="380">
                  <c:v>CRM</c:v>
                </c:pt>
                <c:pt idx="381">
                  <c:v>A</c:v>
                </c:pt>
                <c:pt idx="382">
                  <c:v>EBAY</c:v>
                </c:pt>
                <c:pt idx="383">
                  <c:v>UHS</c:v>
                </c:pt>
                <c:pt idx="384">
                  <c:v>AI</c:v>
                </c:pt>
                <c:pt idx="385">
                  <c:v>SJM</c:v>
                </c:pt>
                <c:pt idx="386">
                  <c:v>VTRS</c:v>
                </c:pt>
                <c:pt idx="387">
                  <c:v>WBD</c:v>
                </c:pt>
                <c:pt idx="388">
                  <c:v>HRL</c:v>
                </c:pt>
                <c:pt idx="389">
                  <c:v>MOS</c:v>
                </c:pt>
                <c:pt idx="390">
                  <c:v>DELL</c:v>
                </c:pt>
                <c:pt idx="391">
                  <c:v>ADSK</c:v>
                </c:pt>
                <c:pt idx="392">
                  <c:v>HPQ</c:v>
                </c:pt>
                <c:pt idx="393">
                  <c:v>NTAP</c:v>
                </c:pt>
                <c:pt idx="394">
                  <c:v>ERIE</c:v>
                </c:pt>
                <c:pt idx="395">
                  <c:v>SOLV</c:v>
                </c:pt>
                <c:pt idx="396">
                  <c:v>ESTC</c:v>
                </c:pt>
                <c:pt idx="397">
                  <c:v>MNST</c:v>
                </c:pt>
                <c:pt idx="398">
                  <c:v>GTLB</c:v>
                </c:pt>
                <c:pt idx="399">
                  <c:v>GCT</c:v>
                </c:pt>
                <c:pt idx="400">
                  <c:v>ASTS</c:v>
                </c:pt>
                <c:pt idx="401">
                  <c:v>BBY</c:v>
                </c:pt>
                <c:pt idx="402">
                  <c:v>TGT</c:v>
                </c:pt>
                <c:pt idx="403">
                  <c:v>BOX</c:v>
                </c:pt>
                <c:pt idx="404">
                  <c:v>CRWD</c:v>
                </c:pt>
                <c:pt idx="405">
                  <c:v>ROST</c:v>
                </c:pt>
                <c:pt idx="406">
                  <c:v>FL</c:v>
                </c:pt>
                <c:pt idx="407">
                  <c:v>ANF</c:v>
                </c:pt>
                <c:pt idx="408">
                  <c:v>REVG</c:v>
                </c:pt>
                <c:pt idx="409">
                  <c:v>CPB</c:v>
                </c:pt>
                <c:pt idx="410">
                  <c:v>VSCO</c:v>
                </c:pt>
                <c:pt idx="411">
                  <c:v>MEI</c:v>
                </c:pt>
                <c:pt idx="412">
                  <c:v>ZS</c:v>
                </c:pt>
                <c:pt idx="413">
                  <c:v>M</c:v>
                </c:pt>
                <c:pt idx="414">
                  <c:v>BURL</c:v>
                </c:pt>
                <c:pt idx="415">
                  <c:v>BJ</c:v>
                </c:pt>
                <c:pt idx="416">
                  <c:v>TTC</c:v>
                </c:pt>
                <c:pt idx="417">
                  <c:v>GAP</c:v>
                </c:pt>
                <c:pt idx="418">
                  <c:v>AVGO</c:v>
                </c:pt>
                <c:pt idx="419">
                  <c:v>COST</c:v>
                </c:pt>
                <c:pt idx="420">
                  <c:v>HPE</c:v>
                </c:pt>
                <c:pt idx="421">
                  <c:v>COO</c:v>
                </c:pt>
                <c:pt idx="422">
                  <c:v>ASAN</c:v>
                </c:pt>
                <c:pt idx="423">
                  <c:v>ORCL</c:v>
                </c:pt>
                <c:pt idx="424">
                  <c:v>DKS</c:v>
                </c:pt>
                <c:pt idx="425">
                  <c:v>CIEN</c:v>
                </c:pt>
                <c:pt idx="426">
                  <c:v>AEO</c:v>
                </c:pt>
                <c:pt idx="427">
                  <c:v>ADBE</c:v>
                </c:pt>
                <c:pt idx="428">
                  <c:v>S</c:v>
                </c:pt>
                <c:pt idx="429">
                  <c:v>PATH</c:v>
                </c:pt>
                <c:pt idx="430">
                  <c:v>DG</c:v>
                </c:pt>
                <c:pt idx="431">
                  <c:v>DOCU</c:v>
                </c:pt>
                <c:pt idx="432">
                  <c:v>ULTA</c:v>
                </c:pt>
                <c:pt idx="433">
                  <c:v>SMTC</c:v>
                </c:pt>
                <c:pt idx="434">
                  <c:v>KODK</c:v>
                </c:pt>
                <c:pt idx="435">
                  <c:v>HQY</c:v>
                </c:pt>
                <c:pt idx="436">
                  <c:v>WSM</c:v>
                </c:pt>
                <c:pt idx="437">
                  <c:v>OLLI</c:v>
                </c:pt>
                <c:pt idx="438">
                  <c:v>GIS</c:v>
                </c:pt>
                <c:pt idx="439">
                  <c:v>MU</c:v>
                </c:pt>
                <c:pt idx="440">
                  <c:v>NKE</c:v>
                </c:pt>
                <c:pt idx="441">
                  <c:v>LEN</c:v>
                </c:pt>
                <c:pt idx="442">
                  <c:v>CCL</c:v>
                </c:pt>
                <c:pt idx="443">
                  <c:v>CHWY</c:v>
                </c:pt>
                <c:pt idx="444">
                  <c:v>DLTR</c:v>
                </c:pt>
              </c:strCache>
            </c:strRef>
          </c:cat>
          <c:val>
            <c:numRef>
              <c:f>'2025-Q1'!$FP$4:$FP$448</c:f>
              <c:numCache>
                <c:formatCode>0.0</c:formatCode>
                <c:ptCount val="445"/>
                <c:pt idx="0">
                  <c:v>1.2290222546515868</c:v>
                </c:pt>
                <c:pt idx="1">
                  <c:v>0.96873982416150761</c:v>
                </c:pt>
                <c:pt idx="2">
                  <c:v>2.4945770065075905</c:v>
                </c:pt>
                <c:pt idx="3">
                  <c:v>0.19733031613259536</c:v>
                </c:pt>
                <c:pt idx="4">
                  <c:v>0.97626071077398535</c:v>
                </c:pt>
                <c:pt idx="5">
                  <c:v>0.77190465359065286</c:v>
                </c:pt>
                <c:pt idx="6">
                  <c:v>0.97940481258068013</c:v>
                </c:pt>
                <c:pt idx="7">
                  <c:v>0.61224489795918424</c:v>
                </c:pt>
                <c:pt idx="8">
                  <c:v>0.69352997980862108</c:v>
                </c:pt>
                <c:pt idx="9">
                  <c:v>0.40085630512924314</c:v>
                </c:pt>
                <c:pt idx="10">
                  <c:v>-3.5385704175512935E-2</c:v>
                </c:pt>
                <c:pt idx="11">
                  <c:v>1.0338094473867205</c:v>
                </c:pt>
                <c:pt idx="12">
                  <c:v>-1.2422670125723414</c:v>
                </c:pt>
                <c:pt idx="13">
                  <c:v>-0.98559266535690904</c:v>
                </c:pt>
                <c:pt idx="14">
                  <c:v>-0.42813760143376339</c:v>
                </c:pt>
                <c:pt idx="15">
                  <c:v>-1.0025062656641595</c:v>
                </c:pt>
                <c:pt idx="16">
                  <c:v>0.75589150733659471</c:v>
                </c:pt>
                <c:pt idx="17">
                  <c:v>-0.42995051512938903</c:v>
                </c:pt>
                <c:pt idx="18">
                  <c:v>-0.34773304801390975</c:v>
                </c:pt>
                <c:pt idx="19">
                  <c:v>-0.80107473380435812</c:v>
                </c:pt>
                <c:pt idx="20">
                  <c:v>0.15835312747426875</c:v>
                </c:pt>
                <c:pt idx="21">
                  <c:v>0.40783034257748813</c:v>
                </c:pt>
                <c:pt idx="22">
                  <c:v>-0.18162393162392954</c:v>
                </c:pt>
                <c:pt idx="23">
                  <c:v>0.52785412031584167</c:v>
                </c:pt>
                <c:pt idx="24">
                  <c:v>0.52825639934765434</c:v>
                </c:pt>
                <c:pt idx="25">
                  <c:v>-0.47973811942657352</c:v>
                </c:pt>
                <c:pt idx="26">
                  <c:v>0.22928882874755629</c:v>
                </c:pt>
                <c:pt idx="27">
                  <c:v>-0.78324225865209485</c:v>
                </c:pt>
                <c:pt idx="28">
                  <c:v>2.4597169840247779</c:v>
                </c:pt>
                <c:pt idx="29">
                  <c:v>0.30450459776064065</c:v>
                </c:pt>
                <c:pt idx="30">
                  <c:v>0.80377608879237528</c:v>
                </c:pt>
                <c:pt idx="31">
                  <c:v>1.2148148148148128</c:v>
                </c:pt>
                <c:pt idx="32">
                  <c:v>0.55445626185175922</c:v>
                </c:pt>
                <c:pt idx="33">
                  <c:v>0.46686916413544804</c:v>
                </c:pt>
                <c:pt idx="34">
                  <c:v>-0.37959870993521366</c:v>
                </c:pt>
                <c:pt idx="35">
                  <c:v>0.56089743589743557</c:v>
                </c:pt>
                <c:pt idx="36">
                  <c:v>0.67152548588192462</c:v>
                </c:pt>
                <c:pt idx="37">
                  <c:v>0.79026593075765084</c:v>
                </c:pt>
                <c:pt idx="38">
                  <c:v>0.34052596089008819</c:v>
                </c:pt>
                <c:pt idx="39">
                  <c:v>0.29913082740715896</c:v>
                </c:pt>
                <c:pt idx="40">
                  <c:v>0.45586061905455705</c:v>
                </c:pt>
                <c:pt idx="41">
                  <c:v>-0.69991789819376027</c:v>
                </c:pt>
                <c:pt idx="42">
                  <c:v>0.28156811782542707</c:v>
                </c:pt>
                <c:pt idx="43">
                  <c:v>0.12658227848101453</c:v>
                </c:pt>
                <c:pt idx="44">
                  <c:v>-0.25632679632191468</c:v>
                </c:pt>
                <c:pt idx="45">
                  <c:v>1.1538189282933378</c:v>
                </c:pt>
                <c:pt idx="46">
                  <c:v>0.76689284704551852</c:v>
                </c:pt>
                <c:pt idx="47">
                  <c:v>0.59674626127163555</c:v>
                </c:pt>
                <c:pt idx="48">
                  <c:v>0.41783917455444924</c:v>
                </c:pt>
                <c:pt idx="49">
                  <c:v>-0.15519756650215774</c:v>
                </c:pt>
                <c:pt idx="50">
                  <c:v>-0.16839614054250754</c:v>
                </c:pt>
                <c:pt idx="51">
                  <c:v>-0.73275720435053893</c:v>
                </c:pt>
                <c:pt idx="52">
                  <c:v>-0.8814781582839023</c:v>
                </c:pt>
                <c:pt idx="53">
                  <c:v>-0.80190080190080459</c:v>
                </c:pt>
                <c:pt idx="54">
                  <c:v>-7.5183355325746007E-2</c:v>
                </c:pt>
                <c:pt idx="55">
                  <c:v>-0.39561000510464578</c:v>
                </c:pt>
                <c:pt idx="56">
                  <c:v>-7.3252192443241881E-2</c:v>
                </c:pt>
                <c:pt idx="57">
                  <c:v>0.57218309859154926</c:v>
                </c:pt>
                <c:pt idx="58">
                  <c:v>0</c:v>
                </c:pt>
                <c:pt idx="59">
                  <c:v>0.18855093966369915</c:v>
                </c:pt>
                <c:pt idx="60">
                  <c:v>0.42792792792792506</c:v>
                </c:pt>
                <c:pt idx="61">
                  <c:v>0.81634013061442356</c:v>
                </c:pt>
                <c:pt idx="62">
                  <c:v>0.99234317404223527</c:v>
                </c:pt>
                <c:pt idx="63">
                  <c:v>0.58517926467230019</c:v>
                </c:pt>
                <c:pt idx="64">
                  <c:v>0.69884300312473657</c:v>
                </c:pt>
                <c:pt idx="65">
                  <c:v>-1.1956785627579529</c:v>
                </c:pt>
                <c:pt idx="66">
                  <c:v>-0.56864707487944688</c:v>
                </c:pt>
                <c:pt idx="67">
                  <c:v>-2.4097607995329982E-2</c:v>
                </c:pt>
                <c:pt idx="68">
                  <c:v>-0.6635441061670575</c:v>
                </c:pt>
                <c:pt idx="69">
                  <c:v>-0.80160320641282456</c:v>
                </c:pt>
                <c:pt idx="70">
                  <c:v>0.93896713615023486</c:v>
                </c:pt>
                <c:pt idx="71">
                  <c:v>-6.3267113754260952E-3</c:v>
                </c:pt>
                <c:pt idx="72">
                  <c:v>0.26077055863664694</c:v>
                </c:pt>
                <c:pt idx="73">
                  <c:v>0.38010822295256225</c:v>
                </c:pt>
                <c:pt idx="74">
                  <c:v>-1.2800078296492041</c:v>
                </c:pt>
                <c:pt idx="75">
                  <c:v>2.3036235108013234</c:v>
                </c:pt>
                <c:pt idx="76">
                  <c:v>1.2706882517861999</c:v>
                </c:pt>
                <c:pt idx="77">
                  <c:v>-0.8621153432321923</c:v>
                </c:pt>
                <c:pt idx="78">
                  <c:v>-0.45092838196286639</c:v>
                </c:pt>
                <c:pt idx="79">
                  <c:v>0.3257237996267856</c:v>
                </c:pt>
                <c:pt idx="80">
                  <c:v>0.55540744690304811</c:v>
                </c:pt>
                <c:pt idx="81">
                  <c:v>0.82038681039949379</c:v>
                </c:pt>
                <c:pt idx="82">
                  <c:v>-0.39824280494313702</c:v>
                </c:pt>
                <c:pt idx="83">
                  <c:v>-0.12064805239572692</c:v>
                </c:pt>
                <c:pt idx="84">
                  <c:v>1.262281215433666</c:v>
                </c:pt>
                <c:pt idx="85">
                  <c:v>-0.31292375091269625</c:v>
                </c:pt>
                <c:pt idx="86">
                  <c:v>-0.88772334380816742</c:v>
                </c:pt>
                <c:pt idx="87">
                  <c:v>0.77991597438170379</c:v>
                </c:pt>
                <c:pt idx="88">
                  <c:v>0.92863873897027116</c:v>
                </c:pt>
                <c:pt idx="89">
                  <c:v>1.5578299727361535</c:v>
                </c:pt>
                <c:pt idx="90">
                  <c:v>1.0201818585052118</c:v>
                </c:pt>
                <c:pt idx="91">
                  <c:v>0.47244094488188959</c:v>
                </c:pt>
                <c:pt idx="92">
                  <c:v>0.18198784043027877</c:v>
                </c:pt>
                <c:pt idx="93">
                  <c:v>0.16724025017910785</c:v>
                </c:pt>
                <c:pt idx="94">
                  <c:v>-1.5619003760841199</c:v>
                </c:pt>
                <c:pt idx="95">
                  <c:v>-0.18311824206487759</c:v>
                </c:pt>
                <c:pt idx="96">
                  <c:v>0.96868365180467508</c:v>
                </c:pt>
                <c:pt idx="97">
                  <c:v>-2.7379489280349576</c:v>
                </c:pt>
                <c:pt idx="98">
                  <c:v>-1.2863275579851157</c:v>
                </c:pt>
                <c:pt idx="99">
                  <c:v>0.48989209971474662</c:v>
                </c:pt>
                <c:pt idx="100">
                  <c:v>0.18828960155490906</c:v>
                </c:pt>
                <c:pt idx="101">
                  <c:v>0.23555219908656133</c:v>
                </c:pt>
                <c:pt idx="102">
                  <c:v>0.65613102675559765</c:v>
                </c:pt>
                <c:pt idx="103">
                  <c:v>-0.83623663843891261</c:v>
                </c:pt>
                <c:pt idx="104">
                  <c:v>1.3115631691648812</c:v>
                </c:pt>
                <c:pt idx="105">
                  <c:v>-1.992916666666666</c:v>
                </c:pt>
                <c:pt idx="106">
                  <c:v>0.31842293253081616</c:v>
                </c:pt>
                <c:pt idx="107">
                  <c:v>-0.51905304468919911</c:v>
                </c:pt>
                <c:pt idx="108">
                  <c:v>8.8787769484751575E-2</c:v>
                </c:pt>
                <c:pt idx="109">
                  <c:v>-4.5329670329671494E-2</c:v>
                </c:pt>
                <c:pt idx="110">
                  <c:v>1.5556141681228228</c:v>
                </c:pt>
                <c:pt idx="111">
                  <c:v>0.59050880381289994</c:v>
                </c:pt>
                <c:pt idx="112">
                  <c:v>0.33019063836856805</c:v>
                </c:pt>
                <c:pt idx="113">
                  <c:v>0.70500779590684293</c:v>
                </c:pt>
                <c:pt idx="114">
                  <c:v>0.35778878666351999</c:v>
                </c:pt>
                <c:pt idx="115">
                  <c:v>0.52695726985947888</c:v>
                </c:pt>
                <c:pt idx="116">
                  <c:v>0.70239545269995984</c:v>
                </c:pt>
                <c:pt idx="117">
                  <c:v>-7.8271759549155703E-2</c:v>
                </c:pt>
                <c:pt idx="118">
                  <c:v>-0.90500000000000114</c:v>
                </c:pt>
                <c:pt idx="119">
                  <c:v>1.0674233211728135</c:v>
                </c:pt>
                <c:pt idx="120">
                  <c:v>-0.50004425170369071</c:v>
                </c:pt>
                <c:pt idx="121">
                  <c:v>-0.79625158100494142</c:v>
                </c:pt>
                <c:pt idx="122">
                  <c:v>-0.1895734597156391</c:v>
                </c:pt>
                <c:pt idx="123">
                  <c:v>-0.15440041173443106</c:v>
                </c:pt>
                <c:pt idx="124">
                  <c:v>0.50714495533323001</c:v>
                </c:pt>
                <c:pt idx="125">
                  <c:v>0.65250890879321699</c:v>
                </c:pt>
                <c:pt idx="126">
                  <c:v>5.2310374891019272E-2</c:v>
                </c:pt>
                <c:pt idx="127">
                  <c:v>0.67342901637274366</c:v>
                </c:pt>
                <c:pt idx="128">
                  <c:v>0.16615653694796756</c:v>
                </c:pt>
                <c:pt idx="129">
                  <c:v>7.4962518740627787E-2</c:v>
                </c:pt>
                <c:pt idx="130">
                  <c:v>0.37040529073448009</c:v>
                </c:pt>
                <c:pt idx="131">
                  <c:v>-4.6260687333488516E-2</c:v>
                </c:pt>
                <c:pt idx="132">
                  <c:v>0.56053811659192831</c:v>
                </c:pt>
                <c:pt idx="133">
                  <c:v>2.2640533022836067E-2</c:v>
                </c:pt>
                <c:pt idx="134">
                  <c:v>-1.2077717486434449</c:v>
                </c:pt>
                <c:pt idx="135">
                  <c:v>1.0522742701968772</c:v>
                </c:pt>
                <c:pt idx="136">
                  <c:v>-2.0176893311221686</c:v>
                </c:pt>
                <c:pt idx="137">
                  <c:v>-0.76251942153699193</c:v>
                </c:pt>
                <c:pt idx="138">
                  <c:v>-3.4916201117317393E-2</c:v>
                </c:pt>
                <c:pt idx="139">
                  <c:v>-1.4855580734505962</c:v>
                </c:pt>
                <c:pt idx="140">
                  <c:v>3.3439470562527327</c:v>
                </c:pt>
                <c:pt idx="141">
                  <c:v>-0.80710886768146872</c:v>
                </c:pt>
                <c:pt idx="142">
                  <c:v>-0.14906756715646072</c:v>
                </c:pt>
                <c:pt idx="143">
                  <c:v>-1.1054179713445305</c:v>
                </c:pt>
                <c:pt idx="144">
                  <c:v>-0.27294438758103062</c:v>
                </c:pt>
                <c:pt idx="145">
                  <c:v>-0.25884031386935902</c:v>
                </c:pt>
                <c:pt idx="146">
                  <c:v>-4.9263289892067089E-2</c:v>
                </c:pt>
                <c:pt idx="147">
                  <c:v>1.0012102541533709</c:v>
                </c:pt>
                <c:pt idx="148">
                  <c:v>-1.194720060206365</c:v>
                </c:pt>
                <c:pt idx="149">
                  <c:v>-0.9453231149040443</c:v>
                </c:pt>
                <c:pt idx="150">
                  <c:v>0.12137261392474837</c:v>
                </c:pt>
                <c:pt idx="151">
                  <c:v>-1.867064973861161E-2</c:v>
                </c:pt>
                <c:pt idx="152">
                  <c:v>-0.37659835347696591</c:v>
                </c:pt>
                <c:pt idx="153">
                  <c:v>-0.56387309021969467</c:v>
                </c:pt>
                <c:pt idx="154">
                  <c:v>-0.18001681908966738</c:v>
                </c:pt>
                <c:pt idx="155">
                  <c:v>-0.5376344086021505</c:v>
                </c:pt>
                <c:pt idx="156">
                  <c:v>1.7117629854474459</c:v>
                </c:pt>
                <c:pt idx="157">
                  <c:v>-0.27438484687555281</c:v>
                </c:pt>
                <c:pt idx="158">
                  <c:v>3.7934877796353796</c:v>
                </c:pt>
                <c:pt idx="159">
                  <c:v>-0.25317898370211284</c:v>
                </c:pt>
                <c:pt idx="160">
                  <c:v>-0.6029123377978064</c:v>
                </c:pt>
                <c:pt idx="161">
                  <c:v>-0.21094602291926151</c:v>
                </c:pt>
                <c:pt idx="162">
                  <c:v>1.8333333333333313</c:v>
                </c:pt>
                <c:pt idx="163">
                  <c:v>0.4625008318360323</c:v>
                </c:pt>
                <c:pt idx="164">
                  <c:v>-6.3613231552162849E-2</c:v>
                </c:pt>
                <c:pt idx="165">
                  <c:v>-0.13785075358411805</c:v>
                </c:pt>
                <c:pt idx="166">
                  <c:v>-1.349942278330168</c:v>
                </c:pt>
                <c:pt idx="167">
                  <c:v>0.42113418809827352</c:v>
                </c:pt>
                <c:pt idx="168">
                  <c:v>-2.2675736961473591E-3</c:v>
                </c:pt>
                <c:pt idx="169">
                  <c:v>0.61217847467524489</c:v>
                </c:pt>
                <c:pt idx="170">
                  <c:v>-0.73589311899201615</c:v>
                </c:pt>
                <c:pt idx="171">
                  <c:v>0.82268467810636736</c:v>
                </c:pt>
                <c:pt idx="172">
                  <c:v>-0.93849860384471961</c:v>
                </c:pt>
                <c:pt idx="173">
                  <c:v>-1.1750488532345968</c:v>
                </c:pt>
                <c:pt idx="174">
                  <c:v>0.29858849077090222</c:v>
                </c:pt>
                <c:pt idx="175">
                  <c:v>0.506464081034254</c:v>
                </c:pt>
                <c:pt idx="176">
                  <c:v>0.12640781608070387</c:v>
                </c:pt>
                <c:pt idx="177">
                  <c:v>1.2625347348072962</c:v>
                </c:pt>
                <c:pt idx="178">
                  <c:v>1.0774547672291119</c:v>
                </c:pt>
                <c:pt idx="179">
                  <c:v>1.0775862068965512</c:v>
                </c:pt>
                <c:pt idx="180">
                  <c:v>-0.50017863522686645</c:v>
                </c:pt>
                <c:pt idx="181">
                  <c:v>0.20175817841187346</c:v>
                </c:pt>
                <c:pt idx="182">
                  <c:v>-0.61018131101813067</c:v>
                </c:pt>
                <c:pt idx="183">
                  <c:v>-1.1723075441721633</c:v>
                </c:pt>
                <c:pt idx="184">
                  <c:v>1.6582984658298474</c:v>
                </c:pt>
                <c:pt idx="185">
                  <c:v>9.6302447350818637E-2</c:v>
                </c:pt>
                <c:pt idx="186">
                  <c:v>0.55535756711807927</c:v>
                </c:pt>
                <c:pt idx="187">
                  <c:v>-0.84717045069467967</c:v>
                </c:pt>
                <c:pt idx="188">
                  <c:v>1.4768562008436017</c:v>
                </c:pt>
                <c:pt idx="189">
                  <c:v>-0.43945174508972917</c:v>
                </c:pt>
                <c:pt idx="190">
                  <c:v>-0.79587628865979332</c:v>
                </c:pt>
                <c:pt idx="191">
                  <c:v>4.7864263550539098E-2</c:v>
                </c:pt>
                <c:pt idx="192">
                  <c:v>-4.4112006137321719E-2</c:v>
                </c:pt>
                <c:pt idx="193">
                  <c:v>-0.79960362832533038</c:v>
                </c:pt>
                <c:pt idx="194">
                  <c:v>8.6167279411740755E-3</c:v>
                </c:pt>
                <c:pt idx="195">
                  <c:v>-0.56603773584905537</c:v>
                </c:pt>
                <c:pt idx="196">
                  <c:v>-0.7087334247828091</c:v>
                </c:pt>
                <c:pt idx="197">
                  <c:v>5.5884529977794228</c:v>
                </c:pt>
                <c:pt idx="198">
                  <c:v>8.6206896551724796E-2</c:v>
                </c:pt>
                <c:pt idx="199">
                  <c:v>1.2916310845431269</c:v>
                </c:pt>
                <c:pt idx="200">
                  <c:v>-1.929442706207773</c:v>
                </c:pt>
                <c:pt idx="201">
                  <c:v>0.35304501323918885</c:v>
                </c:pt>
                <c:pt idx="202">
                  <c:v>-0.77658303464755074</c:v>
                </c:pt>
                <c:pt idx="203">
                  <c:v>-9.6581031485417634E-2</c:v>
                </c:pt>
                <c:pt idx="204">
                  <c:v>0.79279868048423674</c:v>
                </c:pt>
                <c:pt idx="205">
                  <c:v>-0.43714988744044864</c:v>
                </c:pt>
                <c:pt idx="206">
                  <c:v>-8.614613517111587E-2</c:v>
                </c:pt>
                <c:pt idx="207">
                  <c:v>2.1175658774313177</c:v>
                </c:pt>
                <c:pt idx="208">
                  <c:v>0.18285169137814655</c:v>
                </c:pt>
                <c:pt idx="209">
                  <c:v>-0.41828934083369068</c:v>
                </c:pt>
                <c:pt idx="210">
                  <c:v>1.9706698772616302</c:v>
                </c:pt>
                <c:pt idx="211">
                  <c:v>0.70390030002307702</c:v>
                </c:pt>
                <c:pt idx="212">
                  <c:v>0.83533280014218236</c:v>
                </c:pt>
                <c:pt idx="213">
                  <c:v>-1.0942291608586538</c:v>
                </c:pt>
                <c:pt idx="214">
                  <c:v>1.5460601883758351</c:v>
                </c:pt>
                <c:pt idx="215">
                  <c:v>-0.76007430152773137</c:v>
                </c:pt>
                <c:pt idx="216">
                  <c:v>-0.46410721151205553</c:v>
                </c:pt>
                <c:pt idx="217">
                  <c:v>-0.14912853015192593</c:v>
                </c:pt>
                <c:pt idx="218">
                  <c:v>-0.34117647058823486</c:v>
                </c:pt>
                <c:pt idx="219">
                  <c:v>0.17183911023608528</c:v>
                </c:pt>
                <c:pt idx="220">
                  <c:v>0.86580086580086468</c:v>
                </c:pt>
                <c:pt idx="221">
                  <c:v>-6.5287788572025482E-2</c:v>
                </c:pt>
                <c:pt idx="222">
                  <c:v>0.11762360446570928</c:v>
                </c:pt>
                <c:pt idx="223">
                  <c:v>-0.44982461556933512</c:v>
                </c:pt>
                <c:pt idx="224">
                  <c:v>-0.61481169196177632</c:v>
                </c:pt>
                <c:pt idx="225">
                  <c:v>4.7547887515282904E-2</c:v>
                </c:pt>
                <c:pt idx="226">
                  <c:v>1.0989010989010974</c:v>
                </c:pt>
                <c:pt idx="227">
                  <c:v>0.86742880064179739</c:v>
                </c:pt>
                <c:pt idx="228">
                  <c:v>1.5730313449628308</c:v>
                </c:pt>
                <c:pt idx="229">
                  <c:v>-0.8550563875023105</c:v>
                </c:pt>
                <c:pt idx="230">
                  <c:v>4.6949165518297349</c:v>
                </c:pt>
                <c:pt idx="231">
                  <c:v>0.14084125565396496</c:v>
                </c:pt>
                <c:pt idx="232">
                  <c:v>9.9000099000098388E-2</c:v>
                </c:pt>
                <c:pt idx="233">
                  <c:v>0.15814240530741111</c:v>
                </c:pt>
                <c:pt idx="234">
                  <c:v>-5.264116143025651E-2</c:v>
                </c:pt>
                <c:pt idx="235">
                  <c:v>-0.134817427081038</c:v>
                </c:pt>
                <c:pt idx="236">
                  <c:v>1.9035985137680078</c:v>
                </c:pt>
                <c:pt idx="237">
                  <c:v>-0.55093321340229329</c:v>
                </c:pt>
                <c:pt idx="238">
                  <c:v>-0.21953896816684923</c:v>
                </c:pt>
                <c:pt idx="239">
                  <c:v>-0.65315692513816992</c:v>
                </c:pt>
                <c:pt idx="240">
                  <c:v>0.50093341630367272</c:v>
                </c:pt>
                <c:pt idx="241">
                  <c:v>-0.16108859872929965</c:v>
                </c:pt>
                <c:pt idx="242">
                  <c:v>-0.78280149079137018</c:v>
                </c:pt>
                <c:pt idx="243">
                  <c:v>-1.0988300691617601E-2</c:v>
                </c:pt>
                <c:pt idx="244">
                  <c:v>0.16473802635808285</c:v>
                </c:pt>
                <c:pt idx="245">
                  <c:v>0.94984126984126738</c:v>
                </c:pt>
                <c:pt idx="246">
                  <c:v>-1.0656524122807032</c:v>
                </c:pt>
                <c:pt idx="247">
                  <c:v>1.0270638629283486</c:v>
                </c:pt>
                <c:pt idx="248">
                  <c:v>-0.10903311649911183</c:v>
                </c:pt>
                <c:pt idx="249">
                  <c:v>-0.94980818808669198</c:v>
                </c:pt>
                <c:pt idx="250">
                  <c:v>-0.65434949961508848</c:v>
                </c:pt>
                <c:pt idx="251">
                  <c:v>0.19934130698561148</c:v>
                </c:pt>
                <c:pt idx="252">
                  <c:v>-0.46054479078910521</c:v>
                </c:pt>
                <c:pt idx="253">
                  <c:v>3.263832106841102</c:v>
                </c:pt>
                <c:pt idx="254">
                  <c:v>2.4431057563587686</c:v>
                </c:pt>
                <c:pt idx="255">
                  <c:v>1.0146346771122339</c:v>
                </c:pt>
                <c:pt idx="256">
                  <c:v>-0.92054997391494453</c:v>
                </c:pt>
                <c:pt idx="257">
                  <c:v>2.0784333776459771</c:v>
                </c:pt>
                <c:pt idx="258">
                  <c:v>-0.36894449791466033</c:v>
                </c:pt>
                <c:pt idx="259">
                  <c:v>-0.44173680023447726</c:v>
                </c:pt>
                <c:pt idx="260">
                  <c:v>0.7583715304303541</c:v>
                </c:pt>
                <c:pt idx="261">
                  <c:v>0.26674198204983413</c:v>
                </c:pt>
                <c:pt idx="262">
                  <c:v>1.3582404777510739</c:v>
                </c:pt>
                <c:pt idx="263">
                  <c:v>0.65062793160841459</c:v>
                </c:pt>
                <c:pt idx="264">
                  <c:v>0.99710691638546456</c:v>
                </c:pt>
                <c:pt idx="265">
                  <c:v>2.1392285256224537</c:v>
                </c:pt>
                <c:pt idx="266">
                  <c:v>0.60624999999999807</c:v>
                </c:pt>
                <c:pt idx="267">
                  <c:v>-0.19075302025615481</c:v>
                </c:pt>
                <c:pt idx="268">
                  <c:v>-0.41403623841928361</c:v>
                </c:pt>
                <c:pt idx="269">
                  <c:v>6.6867201336539311E-2</c:v>
                </c:pt>
                <c:pt idx="270">
                  <c:v>0.45135349416694881</c:v>
                </c:pt>
                <c:pt idx="271">
                  <c:v>0.10081300813008327</c:v>
                </c:pt>
                <c:pt idx="272">
                  <c:v>-0.1690292343743976</c:v>
                </c:pt>
                <c:pt idx="273">
                  <c:v>-0.25180988353792738</c:v>
                </c:pt>
                <c:pt idx="274">
                  <c:v>0.35716888986077588</c:v>
                </c:pt>
                <c:pt idx="275">
                  <c:v>-0.72383620901538315</c:v>
                </c:pt>
                <c:pt idx="276">
                  <c:v>0.76168344952233569</c:v>
                </c:pt>
                <c:pt idx="277">
                  <c:v>0.7988873795200222</c:v>
                </c:pt>
                <c:pt idx="278">
                  <c:v>-0.71878250396890675</c:v>
                </c:pt>
                <c:pt idx="279">
                  <c:v>1.4603832913176678</c:v>
                </c:pt>
                <c:pt idx="280">
                  <c:v>0.43535155266999048</c:v>
                </c:pt>
                <c:pt idx="281">
                  <c:v>-2.1493668844261622</c:v>
                </c:pt>
                <c:pt idx="282">
                  <c:v>-0.42666166916541509</c:v>
                </c:pt>
                <c:pt idx="283">
                  <c:v>-0.76492700410875081</c:v>
                </c:pt>
                <c:pt idx="284">
                  <c:v>-0.55333753589689549</c:v>
                </c:pt>
                <c:pt idx="285">
                  <c:v>9.8822720632468095E-2</c:v>
                </c:pt>
                <c:pt idx="286">
                  <c:v>0.97080646279730853</c:v>
                </c:pt>
                <c:pt idx="287">
                  <c:v>-0.15145528776504874</c:v>
                </c:pt>
                <c:pt idx="288">
                  <c:v>0.72627274009307685</c:v>
                </c:pt>
                <c:pt idx="289">
                  <c:v>-0.14097744360902409</c:v>
                </c:pt>
                <c:pt idx="290">
                  <c:v>1.6057585825027676</c:v>
                </c:pt>
                <c:pt idx="291">
                  <c:v>0.83986562150056143</c:v>
                </c:pt>
                <c:pt idx="292">
                  <c:v>0.28405173602493067</c:v>
                </c:pt>
                <c:pt idx="293">
                  <c:v>1.7000000000000004</c:v>
                </c:pt>
                <c:pt idx="294">
                  <c:v>0.12268433321065153</c:v>
                </c:pt>
                <c:pt idx="295">
                  <c:v>1.1550597250394405</c:v>
                </c:pt>
                <c:pt idx="296">
                  <c:v>-0.86862003780718378</c:v>
                </c:pt>
                <c:pt idx="297">
                  <c:v>-1.290921904029728</c:v>
                </c:pt>
                <c:pt idx="298">
                  <c:v>-0.83271190653740945</c:v>
                </c:pt>
                <c:pt idx="299">
                  <c:v>0.31446540880503215</c:v>
                </c:pt>
                <c:pt idx="300">
                  <c:v>-0.69703175503960313</c:v>
                </c:pt>
                <c:pt idx="301">
                  <c:v>-7.643102394054696E-2</c:v>
                </c:pt>
                <c:pt idx="302">
                  <c:v>0.95154325923556571</c:v>
                </c:pt>
                <c:pt idx="303">
                  <c:v>-0.50164173659248223</c:v>
                </c:pt>
                <c:pt idx="304">
                  <c:v>0.15635395874916824</c:v>
                </c:pt>
                <c:pt idx="305">
                  <c:v>-0.71801566579634835</c:v>
                </c:pt>
                <c:pt idx="306">
                  <c:v>0.70353376801094591</c:v>
                </c:pt>
                <c:pt idx="307">
                  <c:v>-2.0269614974299306</c:v>
                </c:pt>
                <c:pt idx="308">
                  <c:v>5.2157832001121855</c:v>
                </c:pt>
                <c:pt idx="309">
                  <c:v>0.41778780204706123</c:v>
                </c:pt>
                <c:pt idx="310">
                  <c:v>-0.77150131497957597</c:v>
                </c:pt>
                <c:pt idx="311">
                  <c:v>-1.1396748715589284</c:v>
                </c:pt>
                <c:pt idx="312">
                  <c:v>-0.31878627007052468</c:v>
                </c:pt>
                <c:pt idx="313">
                  <c:v>0.7954986418315857</c:v>
                </c:pt>
                <c:pt idx="314">
                  <c:v>-4.2880333241447077E-2</c:v>
                </c:pt>
                <c:pt idx="315">
                  <c:v>-4.05651400438542</c:v>
                </c:pt>
                <c:pt idx="316">
                  <c:v>-1.1069553062072617</c:v>
                </c:pt>
                <c:pt idx="317">
                  <c:v>-1.1786716557530386</c:v>
                </c:pt>
                <c:pt idx="318">
                  <c:v>-1.2987597632070569</c:v>
                </c:pt>
                <c:pt idx="319">
                  <c:v>0.17880771018846331</c:v>
                </c:pt>
                <c:pt idx="320">
                  <c:v>2.0260209869540557</c:v>
                </c:pt>
                <c:pt idx="321">
                  <c:v>-0.85291510645610735</c:v>
                </c:pt>
                <c:pt idx="322">
                  <c:v>0.29993912126746525</c:v>
                </c:pt>
                <c:pt idx="323">
                  <c:v>0.8193769133801535</c:v>
                </c:pt>
                <c:pt idx="324">
                  <c:v>0.38450866135489875</c:v>
                </c:pt>
                <c:pt idx="325">
                  <c:v>-1.3950315234779329</c:v>
                </c:pt>
                <c:pt idx="326">
                  <c:v>-2.1706389547799234</c:v>
                </c:pt>
                <c:pt idx="327">
                  <c:v>-0.86367590406362671</c:v>
                </c:pt>
                <c:pt idx="328">
                  <c:v>-0.815666072254145</c:v>
                </c:pt>
                <c:pt idx="329">
                  <c:v>1.3204616067465611</c:v>
                </c:pt>
                <c:pt idx="330">
                  <c:v>0.62656641604010199</c:v>
                </c:pt>
                <c:pt idx="331">
                  <c:v>-6.9388844408860326E-2</c:v>
                </c:pt>
                <c:pt idx="332">
                  <c:v>-0.87095499766548101</c:v>
                </c:pt>
                <c:pt idx="333">
                  <c:v>0.59713081416845482</c:v>
                </c:pt>
                <c:pt idx="334">
                  <c:v>-0.79483795277899949</c:v>
                </c:pt>
                <c:pt idx="335">
                  <c:v>-0.30611989904290376</c:v>
                </c:pt>
                <c:pt idx="336">
                  <c:v>-0.98445284831022351</c:v>
                </c:pt>
                <c:pt idx="337">
                  <c:v>-0.84379056685417353</c:v>
                </c:pt>
                <c:pt idx="338">
                  <c:v>0.36878641378455307</c:v>
                </c:pt>
                <c:pt idx="339">
                  <c:v>1.0526315789473686</c:v>
                </c:pt>
                <c:pt idx="340">
                  <c:v>3.4592094597816248</c:v>
                </c:pt>
                <c:pt idx="341">
                  <c:v>-0.52788393030636671</c:v>
                </c:pt>
                <c:pt idx="342">
                  <c:v>0.17301038062283788</c:v>
                </c:pt>
                <c:pt idx="343">
                  <c:v>0.74168255986437903</c:v>
                </c:pt>
                <c:pt idx="344">
                  <c:v>1.8018437470900457</c:v>
                </c:pt>
                <c:pt idx="345">
                  <c:v>-0.19886250646303127</c:v>
                </c:pt>
                <c:pt idx="346">
                  <c:v>0.45698801267625033</c:v>
                </c:pt>
                <c:pt idx="347">
                  <c:v>2.9154339250493098</c:v>
                </c:pt>
                <c:pt idx="348">
                  <c:v>-1.2836879432624109</c:v>
                </c:pt>
                <c:pt idx="349">
                  <c:v>-1.3330088686999759</c:v>
                </c:pt>
                <c:pt idx="350">
                  <c:v>-0.83653846153846134</c:v>
                </c:pt>
                <c:pt idx="351">
                  <c:v>0.88506180025336334</c:v>
                </c:pt>
                <c:pt idx="352">
                  <c:v>-0.67525797707927016</c:v>
                </c:pt>
                <c:pt idx="353">
                  <c:v>-4.1439325920301126E-2</c:v>
                </c:pt>
                <c:pt idx="354">
                  <c:v>0.83218431269007653</c:v>
                </c:pt>
                <c:pt idx="355">
                  <c:v>-1.4703033590329717</c:v>
                </c:pt>
                <c:pt idx="356">
                  <c:v>0.51607445008460251</c:v>
                </c:pt>
                <c:pt idx="357">
                  <c:v>-0.80689128775487806</c:v>
                </c:pt>
                <c:pt idx="358">
                  <c:v>2.4918490917559399</c:v>
                </c:pt>
                <c:pt idx="359">
                  <c:v>0.4869135154061629</c:v>
                </c:pt>
                <c:pt idx="360">
                  <c:v>-0.69027715147941404</c:v>
                </c:pt>
                <c:pt idx="361">
                  <c:v>-1.5352443129654187</c:v>
                </c:pt>
                <c:pt idx="362">
                  <c:v>-1.2285654537850277</c:v>
                </c:pt>
                <c:pt idx="363">
                  <c:v>0.1459979388526271</c:v>
                </c:pt>
                <c:pt idx="364">
                  <c:v>0.11244181789655283</c:v>
                </c:pt>
                <c:pt idx="365">
                  <c:v>0.39077764751856525</c:v>
                </c:pt>
                <c:pt idx="366">
                  <c:v>0.12743125419181664</c:v>
                </c:pt>
                <c:pt idx="367">
                  <c:v>0.62682466082775135</c:v>
                </c:pt>
                <c:pt idx="368">
                  <c:v>-2.3957789656186086</c:v>
                </c:pt>
                <c:pt idx="369">
                  <c:v>2.9631866841169203</c:v>
                </c:pt>
                <c:pt idx="370">
                  <c:v>-0.81321488313214618</c:v>
                </c:pt>
                <c:pt idx="371">
                  <c:v>0.43972851543829777</c:v>
                </c:pt>
                <c:pt idx="372">
                  <c:v>-9.7087378640775782E-2</c:v>
                </c:pt>
                <c:pt idx="373">
                  <c:v>-1.9879665465545617</c:v>
                </c:pt>
                <c:pt idx="374">
                  <c:v>0.6559676554313294</c:v>
                </c:pt>
                <c:pt idx="375">
                  <c:v>0.4319478402607978</c:v>
                </c:pt>
                <c:pt idx="376">
                  <c:v>2.5354482095650113</c:v>
                </c:pt>
                <c:pt idx="377">
                  <c:v>-0.40106951871657948</c:v>
                </c:pt>
                <c:pt idx="378">
                  <c:v>0.39110657654210917</c:v>
                </c:pt>
                <c:pt idx="379">
                  <c:v>0.4722730042656903</c:v>
                </c:pt>
                <c:pt idx="380">
                  <c:v>-0.59599344895280915</c:v>
                </c:pt>
                <c:pt idx="381">
                  <c:v>-0.70523784735132744</c:v>
                </c:pt>
                <c:pt idx="382">
                  <c:v>-1.1691254459550664</c:v>
                </c:pt>
                <c:pt idx="383">
                  <c:v>-0.92253312606410565</c:v>
                </c:pt>
                <c:pt idx="384">
                  <c:v>-0.9392334846192647</c:v>
                </c:pt>
                <c:pt idx="385">
                  <c:v>0.70156956149993854</c:v>
                </c:pt>
                <c:pt idx="386">
                  <c:v>-2.9359430604982197</c:v>
                </c:pt>
                <c:pt idx="387">
                  <c:v>1.2380952380952381</c:v>
                </c:pt>
                <c:pt idx="388">
                  <c:v>0.1015198978999884</c:v>
                </c:pt>
                <c:pt idx="389">
                  <c:v>0.39192241264780037</c:v>
                </c:pt>
                <c:pt idx="390">
                  <c:v>-1.0618566261708264</c:v>
                </c:pt>
                <c:pt idx="391">
                  <c:v>-0.17295319048462462</c:v>
                </c:pt>
                <c:pt idx="392">
                  <c:v>-0.85521682261797183</c:v>
                </c:pt>
                <c:pt idx="393">
                  <c:v>-2.6638188687757292</c:v>
                </c:pt>
                <c:pt idx="394">
                  <c:v>-0.26997217969611631</c:v>
                </c:pt>
                <c:pt idx="395">
                  <c:v>-0.49736337488015253</c:v>
                </c:pt>
                <c:pt idx="396">
                  <c:v>1.9286466561348077</c:v>
                </c:pt>
                <c:pt idx="397">
                  <c:v>0.98870056497175085</c:v>
                </c:pt>
                <c:pt idx="398">
                  <c:v>-0.54814814814815027</c:v>
                </c:pt>
                <c:pt idx="399">
                  <c:v>2.1236727045596524</c:v>
                </c:pt>
                <c:pt idx="400">
                  <c:v>-0.7155867811605533</c:v>
                </c:pt>
                <c:pt idx="401">
                  <c:v>1.4026592882945206</c:v>
                </c:pt>
                <c:pt idx="402">
                  <c:v>0.44992823230650442</c:v>
                </c:pt>
                <c:pt idx="403">
                  <c:v>-1.2299571755801215</c:v>
                </c:pt>
                <c:pt idx="404">
                  <c:v>-1.2165949012371</c:v>
                </c:pt>
                <c:pt idx="405">
                  <c:v>0.80532470397881573</c:v>
                </c:pt>
                <c:pt idx="406">
                  <c:v>-0.74841681059297316</c:v>
                </c:pt>
                <c:pt idx="407">
                  <c:v>2.0757465404224331</c:v>
                </c:pt>
                <c:pt idx="408">
                  <c:v>1.398046398046398</c:v>
                </c:pt>
                <c:pt idx="409">
                  <c:v>0.81411686916273796</c:v>
                </c:pt>
                <c:pt idx="410">
                  <c:v>1.0130571814497975</c:v>
                </c:pt>
                <c:pt idx="411">
                  <c:v>4.1581805838424986</c:v>
                </c:pt>
                <c:pt idx="412">
                  <c:v>0.36141511835072676</c:v>
                </c:pt>
                <c:pt idx="413">
                  <c:v>0.82644628099173556</c:v>
                </c:pt>
                <c:pt idx="414">
                  <c:v>2.2262080607723194</c:v>
                </c:pt>
                <c:pt idx="415">
                  <c:v>0.50288074066673261</c:v>
                </c:pt>
                <c:pt idx="416">
                  <c:v>0.2157843011579717</c:v>
                </c:pt>
                <c:pt idx="417">
                  <c:v>-2.5496235455167704</c:v>
                </c:pt>
                <c:pt idx="418">
                  <c:v>0.76901643911953177</c:v>
                </c:pt>
                <c:pt idx="419">
                  <c:v>-0.5108998460968992</c:v>
                </c:pt>
                <c:pt idx="420">
                  <c:v>2.5055679287305122</c:v>
                </c:pt>
                <c:pt idx="421">
                  <c:v>0.87931413497471822</c:v>
                </c:pt>
                <c:pt idx="422">
                  <c:v>4.5463629096722622</c:v>
                </c:pt>
                <c:pt idx="423">
                  <c:v>0.60151891928221046</c:v>
                </c:pt>
                <c:pt idx="424">
                  <c:v>-0.39332764666856362</c:v>
                </c:pt>
                <c:pt idx="425">
                  <c:v>0.95376163589195795</c:v>
                </c:pt>
                <c:pt idx="426">
                  <c:v>0.66957787481804809</c:v>
                </c:pt>
                <c:pt idx="427">
                  <c:v>1.2665298677610595</c:v>
                </c:pt>
                <c:pt idx="428">
                  <c:v>1.2348877374784111</c:v>
                </c:pt>
                <c:pt idx="429">
                  <c:v>2.8599605522682441</c:v>
                </c:pt>
                <c:pt idx="430">
                  <c:v>-0.8394566911600998</c:v>
                </c:pt>
                <c:pt idx="431">
                  <c:v>-1.5216421240517621</c:v>
                </c:pt>
                <c:pt idx="432">
                  <c:v>-1.4696685428392713</c:v>
                </c:pt>
                <c:pt idx="433">
                  <c:v>-2.3183532049322291</c:v>
                </c:pt>
                <c:pt idx="434">
                  <c:v>9.5510983763132759E-2</c:v>
                </c:pt>
                <c:pt idx="435">
                  <c:v>-2.7326972886134886</c:v>
                </c:pt>
                <c:pt idx="436">
                  <c:v>-1.4008203699404069</c:v>
                </c:pt>
                <c:pt idx="437">
                  <c:v>1.2441954371088217</c:v>
                </c:pt>
                <c:pt idx="438">
                  <c:v>0.29919479373483426</c:v>
                </c:pt>
                <c:pt idx="439">
                  <c:v>-0.77669902912621236</c:v>
                </c:pt>
                <c:pt idx="440">
                  <c:v>1.5401390213983914</c:v>
                </c:pt>
                <c:pt idx="441">
                  <c:v>0.9855362149857021</c:v>
                </c:pt>
                <c:pt idx="442">
                  <c:v>-0.63679245283018759</c:v>
                </c:pt>
                <c:pt idx="443">
                  <c:v>0.41654269562630386</c:v>
                </c:pt>
                <c:pt idx="444">
                  <c:v>-2.4823751365317427E-3</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E519-45E5-AE47-561E4D29947F}"/>
            </c:ext>
          </c:extLst>
        </c:ser>
        <c:dLbls>
          <c:showLegendKey val="0"/>
          <c:showVal val="0"/>
          <c:showCatName val="0"/>
          <c:showSerName val="0"/>
          <c:showPercent val="0"/>
          <c:showBubbleSize val="0"/>
        </c:dLbls>
        <c:gapWidth val="0"/>
        <c:axId val="1238446752"/>
        <c:axId val="1238447232"/>
      </c:bar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UP</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4707956661126704"/>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'2025-Q1'!$A$4:$A$448</c:f>
              <c:strCache>
                <c:ptCount val="445"/>
                <c:pt idx="0">
                  <c:v>STZ</c:v>
                </c:pt>
                <c:pt idx="1">
                  <c:v>DAL</c:v>
                </c:pt>
                <c:pt idx="2">
                  <c:v>WBA</c:v>
                </c:pt>
                <c:pt idx="3">
                  <c:v>JPM</c:v>
                </c:pt>
                <c:pt idx="4">
                  <c:v>WFC</c:v>
                </c:pt>
                <c:pt idx="5">
                  <c:v>GS</c:v>
                </c:pt>
                <c:pt idx="6">
                  <c:v>BLK</c:v>
                </c:pt>
                <c:pt idx="7">
                  <c:v>C</c:v>
                </c:pt>
                <c:pt idx="8">
                  <c:v>BK</c:v>
                </c:pt>
                <c:pt idx="9">
                  <c:v>UNH</c:v>
                </c:pt>
                <c:pt idx="10">
                  <c:v>BAC</c:v>
                </c:pt>
                <c:pt idx="11">
                  <c:v>MS</c:v>
                </c:pt>
                <c:pt idx="12">
                  <c:v>PNC</c:v>
                </c:pt>
                <c:pt idx="13">
                  <c:v>USB</c:v>
                </c:pt>
                <c:pt idx="14">
                  <c:v>MTB</c:v>
                </c:pt>
                <c:pt idx="15">
                  <c:v>JBHT</c:v>
                </c:pt>
                <c:pt idx="16">
                  <c:v>TFC</c:v>
                </c:pt>
                <c:pt idx="17">
                  <c:v>SLB</c:v>
                </c:pt>
                <c:pt idx="18">
                  <c:v>FAST</c:v>
                </c:pt>
                <c:pt idx="19">
                  <c:v>STT</c:v>
                </c:pt>
                <c:pt idx="20">
                  <c:v>HBAN</c:v>
                </c:pt>
                <c:pt idx="21">
                  <c:v>RF</c:v>
                </c:pt>
                <c:pt idx="22">
                  <c:v>CFG</c:v>
                </c:pt>
                <c:pt idx="23">
                  <c:v>SCHW</c:v>
                </c:pt>
                <c:pt idx="24">
                  <c:v>MMM</c:v>
                </c:pt>
                <c:pt idx="25">
                  <c:v>DHI</c:v>
                </c:pt>
                <c:pt idx="26">
                  <c:v>FITB</c:v>
                </c:pt>
                <c:pt idx="27">
                  <c:v>KEY</c:v>
                </c:pt>
                <c:pt idx="28">
                  <c:v>NFLX</c:v>
                </c:pt>
                <c:pt idx="29">
                  <c:v>COF</c:v>
                </c:pt>
                <c:pt idx="30">
                  <c:v>UAL</c:v>
                </c:pt>
                <c:pt idx="31">
                  <c:v>STX</c:v>
                </c:pt>
                <c:pt idx="32">
                  <c:v>PG</c:v>
                </c:pt>
                <c:pt idx="33">
                  <c:v>JNJ</c:v>
                </c:pt>
                <c:pt idx="34">
                  <c:v>ABT</c:v>
                </c:pt>
                <c:pt idx="35">
                  <c:v>GEV</c:v>
                </c:pt>
                <c:pt idx="36">
                  <c:v>APH</c:v>
                </c:pt>
                <c:pt idx="37">
                  <c:v>TRV</c:v>
                </c:pt>
                <c:pt idx="38">
                  <c:v>TEL</c:v>
                </c:pt>
                <c:pt idx="39">
                  <c:v>HAL</c:v>
                </c:pt>
                <c:pt idx="40">
                  <c:v>TDY</c:v>
                </c:pt>
                <c:pt idx="41">
                  <c:v>TXT</c:v>
                </c:pt>
                <c:pt idx="42">
                  <c:v>KMI</c:v>
                </c:pt>
                <c:pt idx="43">
                  <c:v>DFS</c:v>
                </c:pt>
                <c:pt idx="44">
                  <c:v>STLD</c:v>
                </c:pt>
                <c:pt idx="45">
                  <c:v>GE</c:v>
                </c:pt>
                <c:pt idx="46">
                  <c:v>UNP</c:v>
                </c:pt>
                <c:pt idx="47">
                  <c:v>ELV</c:v>
                </c:pt>
                <c:pt idx="48">
                  <c:v>FCX</c:v>
                </c:pt>
                <c:pt idx="49">
                  <c:v>NTRS</c:v>
                </c:pt>
                <c:pt idx="50">
                  <c:v>MKC</c:v>
                </c:pt>
                <c:pt idx="51">
                  <c:v>ISRG</c:v>
                </c:pt>
                <c:pt idx="52">
                  <c:v>TXN</c:v>
                </c:pt>
                <c:pt idx="53">
                  <c:v>CSX</c:v>
                </c:pt>
                <c:pt idx="54">
                  <c:v>AXP</c:v>
                </c:pt>
                <c:pt idx="55">
                  <c:v>VZ</c:v>
                </c:pt>
                <c:pt idx="56">
                  <c:v>HCA</c:v>
                </c:pt>
                <c:pt idx="57">
                  <c:v>T</c:v>
                </c:pt>
                <c:pt idx="58">
                  <c:v>NUE</c:v>
                </c:pt>
                <c:pt idx="59">
                  <c:v>BRO</c:v>
                </c:pt>
                <c:pt idx="60">
                  <c:v>WRB</c:v>
                </c:pt>
                <c:pt idx="61">
                  <c:v>RTX</c:v>
                </c:pt>
                <c:pt idx="62">
                  <c:v>LMT</c:v>
                </c:pt>
                <c:pt idx="63">
                  <c:v>BA</c:v>
                </c:pt>
                <c:pt idx="64">
                  <c:v>RCL</c:v>
                </c:pt>
                <c:pt idx="65">
                  <c:v>GM</c:v>
                </c:pt>
                <c:pt idx="66">
                  <c:v>PCAR</c:v>
                </c:pt>
                <c:pt idx="67">
                  <c:v>KMB</c:v>
                </c:pt>
                <c:pt idx="68">
                  <c:v>SYY</c:v>
                </c:pt>
                <c:pt idx="69">
                  <c:v>SYF</c:v>
                </c:pt>
                <c:pt idx="70">
                  <c:v>IVZ</c:v>
                </c:pt>
                <c:pt idx="71">
                  <c:v>SYK</c:v>
                </c:pt>
                <c:pt idx="72">
                  <c:v>CB</c:v>
                </c:pt>
                <c:pt idx="73">
                  <c:v>SBUX</c:v>
                </c:pt>
                <c:pt idx="74">
                  <c:v>PKG</c:v>
                </c:pt>
                <c:pt idx="75">
                  <c:v>FFIV</c:v>
                </c:pt>
                <c:pt idx="76">
                  <c:v>TMUS</c:v>
                </c:pt>
                <c:pt idx="77">
                  <c:v>DHR</c:v>
                </c:pt>
                <c:pt idx="78">
                  <c:v>PGR</c:v>
                </c:pt>
                <c:pt idx="79">
                  <c:v>ADP</c:v>
                </c:pt>
                <c:pt idx="80">
                  <c:v>GD</c:v>
                </c:pt>
                <c:pt idx="81">
                  <c:v>NSC</c:v>
                </c:pt>
                <c:pt idx="82">
                  <c:v>NDAQ</c:v>
                </c:pt>
                <c:pt idx="83">
                  <c:v>HES</c:v>
                </c:pt>
                <c:pt idx="84">
                  <c:v>GLW</c:v>
                </c:pt>
                <c:pt idx="85">
                  <c:v>OTIS</c:v>
                </c:pt>
                <c:pt idx="86">
                  <c:v>MSFT</c:v>
                </c:pt>
                <c:pt idx="87">
                  <c:v>META</c:v>
                </c:pt>
                <c:pt idx="88">
                  <c:v>TSLA</c:v>
                </c:pt>
                <c:pt idx="89">
                  <c:v>IBM</c:v>
                </c:pt>
                <c:pt idx="90">
                  <c:v>LRCX</c:v>
                </c:pt>
                <c:pt idx="91">
                  <c:v>WM</c:v>
                </c:pt>
                <c:pt idx="92">
                  <c:v>AMP</c:v>
                </c:pt>
                <c:pt idx="93">
                  <c:v>URI</c:v>
                </c:pt>
                <c:pt idx="94">
                  <c:v>LVS</c:v>
                </c:pt>
                <c:pt idx="95">
                  <c:v>RJF</c:v>
                </c:pt>
                <c:pt idx="96">
                  <c:v>WDC</c:v>
                </c:pt>
                <c:pt idx="97">
                  <c:v>TER</c:v>
                </c:pt>
                <c:pt idx="98">
                  <c:v>CHRW</c:v>
                </c:pt>
                <c:pt idx="99">
                  <c:v>DLB</c:v>
                </c:pt>
                <c:pt idx="100">
                  <c:v>MA</c:v>
                </c:pt>
                <c:pt idx="101">
                  <c:v>BX</c:v>
                </c:pt>
                <c:pt idx="102">
                  <c:v>TMO</c:v>
                </c:pt>
                <c:pt idx="103">
                  <c:v>CAT</c:v>
                </c:pt>
                <c:pt idx="104">
                  <c:v>CMCSA</c:v>
                </c:pt>
                <c:pt idx="105">
                  <c:v>UPS</c:v>
                </c:pt>
                <c:pt idx="106">
                  <c:v>MMC</c:v>
                </c:pt>
                <c:pt idx="107">
                  <c:v>MO</c:v>
                </c:pt>
                <c:pt idx="108">
                  <c:v>SHW</c:v>
                </c:pt>
                <c:pt idx="109">
                  <c:v>TT</c:v>
                </c:pt>
                <c:pt idx="110">
                  <c:v>CI</c:v>
                </c:pt>
                <c:pt idx="111">
                  <c:v>PH</c:v>
                </c:pt>
                <c:pt idx="112">
                  <c:v>NOC</c:v>
                </c:pt>
                <c:pt idx="113">
                  <c:v>ROP</c:v>
                </c:pt>
                <c:pt idx="114">
                  <c:v>LHX</c:v>
                </c:pt>
                <c:pt idx="115">
                  <c:v>VLO</c:v>
                </c:pt>
                <c:pt idx="116">
                  <c:v>DOW</c:v>
                </c:pt>
                <c:pt idx="117">
                  <c:v>CAH</c:v>
                </c:pt>
                <c:pt idx="118">
                  <c:v>TSCO</c:v>
                </c:pt>
                <c:pt idx="119">
                  <c:v>DOV</c:v>
                </c:pt>
                <c:pt idx="120">
                  <c:v>PHM</c:v>
                </c:pt>
                <c:pt idx="121">
                  <c:v>IP</c:v>
                </c:pt>
                <c:pt idx="122">
                  <c:v>LUV</c:v>
                </c:pt>
                <c:pt idx="123">
                  <c:v>DGX</c:v>
                </c:pt>
                <c:pt idx="124">
                  <c:v>AVY</c:v>
                </c:pt>
                <c:pt idx="125">
                  <c:v>AOS</c:v>
                </c:pt>
                <c:pt idx="126">
                  <c:v>DT</c:v>
                </c:pt>
                <c:pt idx="127">
                  <c:v>AAPL</c:v>
                </c:pt>
                <c:pt idx="128">
                  <c:v>V</c:v>
                </c:pt>
                <c:pt idx="129">
                  <c:v>INTC</c:v>
                </c:pt>
                <c:pt idx="130">
                  <c:v>KLAC</c:v>
                </c:pt>
                <c:pt idx="131">
                  <c:v>AJG</c:v>
                </c:pt>
                <c:pt idx="132">
                  <c:v>BKR</c:v>
                </c:pt>
                <c:pt idx="133">
                  <c:v>RMD</c:v>
                </c:pt>
                <c:pt idx="134">
                  <c:v>HIG</c:v>
                </c:pt>
                <c:pt idx="135">
                  <c:v>PPG</c:v>
                </c:pt>
                <c:pt idx="136">
                  <c:v>DECK</c:v>
                </c:pt>
                <c:pt idx="137">
                  <c:v>GEN</c:v>
                </c:pt>
                <c:pt idx="138">
                  <c:v>SMCI</c:v>
                </c:pt>
                <c:pt idx="139">
                  <c:v>EMN</c:v>
                </c:pt>
                <c:pt idx="140">
                  <c:v>TEAM</c:v>
                </c:pt>
                <c:pt idx="141">
                  <c:v>APPF</c:v>
                </c:pt>
                <c:pt idx="142">
                  <c:v>XOM</c:v>
                </c:pt>
                <c:pt idx="143">
                  <c:v>ABBV</c:v>
                </c:pt>
                <c:pt idx="144">
                  <c:v>CVX</c:v>
                </c:pt>
                <c:pt idx="145">
                  <c:v>ETN</c:v>
                </c:pt>
                <c:pt idx="146">
                  <c:v>AON</c:v>
                </c:pt>
                <c:pt idx="147">
                  <c:v>CL</c:v>
                </c:pt>
                <c:pt idx="148">
                  <c:v>CHTR</c:v>
                </c:pt>
                <c:pt idx="149">
                  <c:v>GWW</c:v>
                </c:pt>
                <c:pt idx="150">
                  <c:v>PSX</c:v>
                </c:pt>
                <c:pt idx="151">
                  <c:v>CHD</c:v>
                </c:pt>
                <c:pt idx="152">
                  <c:v>LYB</c:v>
                </c:pt>
                <c:pt idx="153">
                  <c:v>BR</c:v>
                </c:pt>
                <c:pt idx="154">
                  <c:v>RVTY</c:v>
                </c:pt>
                <c:pt idx="155">
                  <c:v>BEN</c:v>
                </c:pt>
                <c:pt idx="156">
                  <c:v>IDXX</c:v>
                </c:pt>
                <c:pt idx="157">
                  <c:v>TSN</c:v>
                </c:pt>
                <c:pt idx="158">
                  <c:v>PLTR</c:v>
                </c:pt>
                <c:pt idx="159">
                  <c:v>NXPI</c:v>
                </c:pt>
                <c:pt idx="160">
                  <c:v>CLX</c:v>
                </c:pt>
                <c:pt idx="161">
                  <c:v>EG</c:v>
                </c:pt>
                <c:pt idx="162">
                  <c:v>MRK</c:v>
                </c:pt>
                <c:pt idx="163">
                  <c:v>PEP</c:v>
                </c:pt>
                <c:pt idx="164">
                  <c:v>PFE</c:v>
                </c:pt>
                <c:pt idx="165">
                  <c:v>KKR</c:v>
                </c:pt>
                <c:pt idx="166">
                  <c:v>PYPL</c:v>
                </c:pt>
                <c:pt idx="167">
                  <c:v>REGN</c:v>
                </c:pt>
                <c:pt idx="168">
                  <c:v>MPC</c:v>
                </c:pt>
                <c:pt idx="169">
                  <c:v>CMI</c:v>
                </c:pt>
                <c:pt idx="170">
                  <c:v>AME</c:v>
                </c:pt>
                <c:pt idx="171">
                  <c:v>IT</c:v>
                </c:pt>
                <c:pt idx="172">
                  <c:v>WTW</c:v>
                </c:pt>
                <c:pt idx="173">
                  <c:v>CNC</c:v>
                </c:pt>
                <c:pt idx="174">
                  <c:v>XYL</c:v>
                </c:pt>
                <c:pt idx="175">
                  <c:v>ADM</c:v>
                </c:pt>
                <c:pt idx="176">
                  <c:v>HUBB</c:v>
                </c:pt>
                <c:pt idx="177">
                  <c:v>EL</c:v>
                </c:pt>
                <c:pt idx="178">
                  <c:v>FOX</c:v>
                </c:pt>
                <c:pt idx="179">
                  <c:v>BALL</c:v>
                </c:pt>
                <c:pt idx="180">
                  <c:v>PNR</c:v>
                </c:pt>
                <c:pt idx="181">
                  <c:v>J</c:v>
                </c:pt>
                <c:pt idx="182">
                  <c:v>AMCR</c:v>
                </c:pt>
                <c:pt idx="183">
                  <c:v>GOOG</c:v>
                </c:pt>
                <c:pt idx="184">
                  <c:v>AMD</c:v>
                </c:pt>
                <c:pt idx="185">
                  <c:v>AMGN</c:v>
                </c:pt>
                <c:pt idx="186">
                  <c:v>MDLZ</c:v>
                </c:pt>
                <c:pt idx="187">
                  <c:v>CMG</c:v>
                </c:pt>
                <c:pt idx="188">
                  <c:v>FICO</c:v>
                </c:pt>
                <c:pt idx="189">
                  <c:v>PRU</c:v>
                </c:pt>
                <c:pt idx="190">
                  <c:v>EA</c:v>
                </c:pt>
                <c:pt idx="191">
                  <c:v>VLTO</c:v>
                </c:pt>
                <c:pt idx="192">
                  <c:v>OMC</c:v>
                </c:pt>
                <c:pt idx="193">
                  <c:v>IEX</c:v>
                </c:pt>
                <c:pt idx="194">
                  <c:v>JKHY</c:v>
                </c:pt>
                <c:pt idx="195">
                  <c:v>ENPH</c:v>
                </c:pt>
                <c:pt idx="196">
                  <c:v>MTCH</c:v>
                </c:pt>
                <c:pt idx="197">
                  <c:v>FMC</c:v>
                </c:pt>
                <c:pt idx="198">
                  <c:v>SNAP</c:v>
                </c:pt>
                <c:pt idx="199">
                  <c:v>VRNS</c:v>
                </c:pt>
                <c:pt idx="200">
                  <c:v>INTA</c:v>
                </c:pt>
                <c:pt idx="201">
                  <c:v>DIS</c:v>
                </c:pt>
                <c:pt idx="202">
                  <c:v>UBER</c:v>
                </c:pt>
                <c:pt idx="203">
                  <c:v>BSX</c:v>
                </c:pt>
                <c:pt idx="204">
                  <c:v>FI</c:v>
                </c:pt>
                <c:pt idx="205">
                  <c:v>ITW</c:v>
                </c:pt>
                <c:pt idx="206">
                  <c:v>EMR</c:v>
                </c:pt>
                <c:pt idx="207">
                  <c:v>JCI</c:v>
                </c:pt>
                <c:pt idx="208">
                  <c:v>COR</c:v>
                </c:pt>
                <c:pt idx="209">
                  <c:v>TROW</c:v>
                </c:pt>
                <c:pt idx="210">
                  <c:v>CDW</c:v>
                </c:pt>
                <c:pt idx="211">
                  <c:v>SWK</c:v>
                </c:pt>
                <c:pt idx="212">
                  <c:v>BG</c:v>
                </c:pt>
                <c:pt idx="213">
                  <c:v>DAY</c:v>
                </c:pt>
                <c:pt idx="214">
                  <c:v>TECH</c:v>
                </c:pt>
                <c:pt idx="215">
                  <c:v>QCOM</c:v>
                </c:pt>
                <c:pt idx="216">
                  <c:v>MCK</c:v>
                </c:pt>
                <c:pt idx="217">
                  <c:v>AFL</c:v>
                </c:pt>
                <c:pt idx="218">
                  <c:v>MET</c:v>
                </c:pt>
                <c:pt idx="219">
                  <c:v>ALL</c:v>
                </c:pt>
                <c:pt idx="220">
                  <c:v>F</c:v>
                </c:pt>
                <c:pt idx="221">
                  <c:v>CTVA</c:v>
                </c:pt>
                <c:pt idx="222">
                  <c:v>CTSH</c:v>
                </c:pt>
                <c:pt idx="223">
                  <c:v>CPAY</c:v>
                </c:pt>
                <c:pt idx="224">
                  <c:v>PTC</c:v>
                </c:pt>
                <c:pt idx="225">
                  <c:v>STE</c:v>
                </c:pt>
                <c:pt idx="226">
                  <c:v>HOLX</c:v>
                </c:pt>
                <c:pt idx="227">
                  <c:v>NWS</c:v>
                </c:pt>
                <c:pt idx="228">
                  <c:v>MOH</c:v>
                </c:pt>
                <c:pt idx="229">
                  <c:v>ALGN</c:v>
                </c:pt>
                <c:pt idx="230">
                  <c:v>SWKS</c:v>
                </c:pt>
                <c:pt idx="231">
                  <c:v>GL</c:v>
                </c:pt>
                <c:pt idx="232">
                  <c:v>MSTR</c:v>
                </c:pt>
                <c:pt idx="233">
                  <c:v>TENB</c:v>
                </c:pt>
                <c:pt idx="234">
                  <c:v>LLY</c:v>
                </c:pt>
                <c:pt idx="235">
                  <c:v>LIN</c:v>
                </c:pt>
                <c:pt idx="236">
                  <c:v>PM</c:v>
                </c:pt>
                <c:pt idx="237">
                  <c:v>HON</c:v>
                </c:pt>
                <c:pt idx="238">
                  <c:v>COP</c:v>
                </c:pt>
                <c:pt idx="239">
                  <c:v>BMY</c:v>
                </c:pt>
                <c:pt idx="240">
                  <c:v>ICE</c:v>
                </c:pt>
                <c:pt idx="241">
                  <c:v>APD</c:v>
                </c:pt>
                <c:pt idx="242">
                  <c:v>BDX</c:v>
                </c:pt>
                <c:pt idx="243">
                  <c:v>HLT</c:v>
                </c:pt>
                <c:pt idx="244">
                  <c:v>KVUE</c:v>
                </c:pt>
                <c:pt idx="245">
                  <c:v>YUM</c:v>
                </c:pt>
                <c:pt idx="246">
                  <c:v>HSY</c:v>
                </c:pt>
                <c:pt idx="247">
                  <c:v>IQV</c:v>
                </c:pt>
                <c:pt idx="248">
                  <c:v>ROK</c:v>
                </c:pt>
                <c:pt idx="249">
                  <c:v>EFX</c:v>
                </c:pt>
                <c:pt idx="250">
                  <c:v>ZBH</c:v>
                </c:pt>
                <c:pt idx="251">
                  <c:v>LH</c:v>
                </c:pt>
                <c:pt idx="252">
                  <c:v>SNA</c:v>
                </c:pt>
                <c:pt idx="253">
                  <c:v>TPR</c:v>
                </c:pt>
                <c:pt idx="254">
                  <c:v>RL</c:v>
                </c:pt>
                <c:pt idx="255">
                  <c:v>APTV</c:v>
                </c:pt>
                <c:pt idx="256">
                  <c:v>MKTX</c:v>
                </c:pt>
                <c:pt idx="257">
                  <c:v>HII</c:v>
                </c:pt>
                <c:pt idx="258">
                  <c:v>BWA</c:v>
                </c:pt>
                <c:pt idx="259">
                  <c:v>AMZN</c:v>
                </c:pt>
                <c:pt idx="260">
                  <c:v>FTNT</c:v>
                </c:pt>
                <c:pt idx="261">
                  <c:v>MCHP</c:v>
                </c:pt>
                <c:pt idx="262">
                  <c:v>TTWO</c:v>
                </c:pt>
                <c:pt idx="263">
                  <c:v>MPWR</c:v>
                </c:pt>
                <c:pt idx="264">
                  <c:v>MTD</c:v>
                </c:pt>
                <c:pt idx="265">
                  <c:v>EXPE</c:v>
                </c:pt>
                <c:pt idx="266">
                  <c:v>PFG</c:v>
                </c:pt>
                <c:pt idx="267">
                  <c:v>VRSN</c:v>
                </c:pt>
                <c:pt idx="268">
                  <c:v>MHK</c:v>
                </c:pt>
                <c:pt idx="269">
                  <c:v>FTV</c:v>
                </c:pt>
                <c:pt idx="270">
                  <c:v>MCD</c:v>
                </c:pt>
                <c:pt idx="271">
                  <c:v>ON</c:v>
                </c:pt>
                <c:pt idx="272">
                  <c:v>L</c:v>
                </c:pt>
                <c:pt idx="273">
                  <c:v>INCY</c:v>
                </c:pt>
                <c:pt idx="274">
                  <c:v>ACGL</c:v>
                </c:pt>
                <c:pt idx="275">
                  <c:v>CINF</c:v>
                </c:pt>
                <c:pt idx="276">
                  <c:v>KO</c:v>
                </c:pt>
                <c:pt idx="277">
                  <c:v>SPGI</c:v>
                </c:pt>
                <c:pt idx="278">
                  <c:v>MAR</c:v>
                </c:pt>
                <c:pt idx="279">
                  <c:v>ECL</c:v>
                </c:pt>
                <c:pt idx="280">
                  <c:v>CARR</c:v>
                </c:pt>
                <c:pt idx="281">
                  <c:v>FIS</c:v>
                </c:pt>
                <c:pt idx="282">
                  <c:v>HUM</c:v>
                </c:pt>
                <c:pt idx="283">
                  <c:v>DD</c:v>
                </c:pt>
                <c:pt idx="284">
                  <c:v>LDOS</c:v>
                </c:pt>
                <c:pt idx="285">
                  <c:v>MAS</c:v>
                </c:pt>
                <c:pt idx="286">
                  <c:v>GILD</c:v>
                </c:pt>
                <c:pt idx="287">
                  <c:v>AIG</c:v>
                </c:pt>
                <c:pt idx="288">
                  <c:v>EW</c:v>
                </c:pt>
                <c:pt idx="289">
                  <c:v>AIZ</c:v>
                </c:pt>
                <c:pt idx="290">
                  <c:v>CFLT</c:v>
                </c:pt>
                <c:pt idx="291">
                  <c:v>FRSH</c:v>
                </c:pt>
                <c:pt idx="292">
                  <c:v>CME</c:v>
                </c:pt>
                <c:pt idx="293">
                  <c:v>CVS</c:v>
                </c:pt>
                <c:pt idx="294">
                  <c:v>IPG</c:v>
                </c:pt>
                <c:pt idx="295">
                  <c:v>KHC</c:v>
                </c:pt>
                <c:pt idx="296">
                  <c:v>MLM</c:v>
                </c:pt>
                <c:pt idx="297">
                  <c:v>WAB</c:v>
                </c:pt>
                <c:pt idx="298">
                  <c:v>SW</c:v>
                </c:pt>
                <c:pt idx="299">
                  <c:v>BIIB</c:v>
                </c:pt>
                <c:pt idx="300">
                  <c:v>WAT</c:v>
                </c:pt>
                <c:pt idx="301">
                  <c:v>GNRC</c:v>
                </c:pt>
                <c:pt idx="302">
                  <c:v>CSCO</c:v>
                </c:pt>
                <c:pt idx="303">
                  <c:v>WMB</c:v>
                </c:pt>
                <c:pt idx="304">
                  <c:v>ROL</c:v>
                </c:pt>
                <c:pt idx="305">
                  <c:v>ALB</c:v>
                </c:pt>
                <c:pt idx="306">
                  <c:v>PAYC</c:v>
                </c:pt>
                <c:pt idx="307">
                  <c:v>MGM</c:v>
                </c:pt>
                <c:pt idx="308">
                  <c:v>APP</c:v>
                </c:pt>
                <c:pt idx="309">
                  <c:v>MCO</c:v>
                </c:pt>
                <c:pt idx="310">
                  <c:v>DE</c:v>
                </c:pt>
                <c:pt idx="311">
                  <c:v>ZTS</c:v>
                </c:pt>
                <c:pt idx="312">
                  <c:v>HWM</c:v>
                </c:pt>
                <c:pt idx="313">
                  <c:v>GEHC</c:v>
                </c:pt>
                <c:pt idx="314">
                  <c:v>GPN</c:v>
                </c:pt>
                <c:pt idx="315">
                  <c:v>WST</c:v>
                </c:pt>
                <c:pt idx="316">
                  <c:v>ZBRA</c:v>
                </c:pt>
                <c:pt idx="317">
                  <c:v>TAP</c:v>
                </c:pt>
                <c:pt idx="318">
                  <c:v>DDOG</c:v>
                </c:pt>
                <c:pt idx="319">
                  <c:v>MSI</c:v>
                </c:pt>
                <c:pt idx="320">
                  <c:v>ABNB</c:v>
                </c:pt>
                <c:pt idx="321">
                  <c:v>AMAT</c:v>
                </c:pt>
                <c:pt idx="322">
                  <c:v>RSG</c:v>
                </c:pt>
                <c:pt idx="323">
                  <c:v>IR</c:v>
                </c:pt>
                <c:pt idx="324">
                  <c:v>DXCM</c:v>
                </c:pt>
                <c:pt idx="325">
                  <c:v>GDDY</c:v>
                </c:pt>
                <c:pt idx="326">
                  <c:v>DVA</c:v>
                </c:pt>
                <c:pt idx="327">
                  <c:v>WYNN</c:v>
                </c:pt>
                <c:pt idx="328">
                  <c:v>PANW</c:v>
                </c:pt>
                <c:pt idx="329">
                  <c:v>PCOR</c:v>
                </c:pt>
                <c:pt idx="330">
                  <c:v>MRNA</c:v>
                </c:pt>
                <c:pt idx="331">
                  <c:v>GPC</c:v>
                </c:pt>
                <c:pt idx="332">
                  <c:v>MDT</c:v>
                </c:pt>
                <c:pt idx="333">
                  <c:v>VMC</c:v>
                </c:pt>
                <c:pt idx="334">
                  <c:v>EXPD</c:v>
                </c:pt>
                <c:pt idx="335">
                  <c:v>ALLE</c:v>
                </c:pt>
                <c:pt idx="336">
                  <c:v>ANET</c:v>
                </c:pt>
                <c:pt idx="337">
                  <c:v>CDNS</c:v>
                </c:pt>
                <c:pt idx="338">
                  <c:v>EQT</c:v>
                </c:pt>
                <c:pt idx="339">
                  <c:v>IFF</c:v>
                </c:pt>
                <c:pt idx="340">
                  <c:v>CE</c:v>
                </c:pt>
                <c:pt idx="341">
                  <c:v>CRL</c:v>
                </c:pt>
                <c:pt idx="342">
                  <c:v>TRMB</c:v>
                </c:pt>
                <c:pt idx="343">
                  <c:v>ADI</c:v>
                </c:pt>
                <c:pt idx="344">
                  <c:v>GRMN</c:v>
                </c:pt>
                <c:pt idx="345">
                  <c:v>CF</c:v>
                </c:pt>
                <c:pt idx="346">
                  <c:v>NDSN</c:v>
                </c:pt>
                <c:pt idx="347">
                  <c:v>CWAN</c:v>
                </c:pt>
                <c:pt idx="348">
                  <c:v>KVYO</c:v>
                </c:pt>
                <c:pt idx="349">
                  <c:v>BAX</c:v>
                </c:pt>
                <c:pt idx="350">
                  <c:v>WMT</c:v>
                </c:pt>
                <c:pt idx="351">
                  <c:v>PWR</c:v>
                </c:pt>
                <c:pt idx="352">
                  <c:v>TRGP</c:v>
                </c:pt>
                <c:pt idx="353">
                  <c:v>BLDR</c:v>
                </c:pt>
                <c:pt idx="354">
                  <c:v>POOL</c:v>
                </c:pt>
                <c:pt idx="355">
                  <c:v>EPAM</c:v>
                </c:pt>
                <c:pt idx="356">
                  <c:v>LKQ</c:v>
                </c:pt>
                <c:pt idx="357">
                  <c:v>HAS</c:v>
                </c:pt>
                <c:pt idx="358">
                  <c:v>U</c:v>
                </c:pt>
                <c:pt idx="359">
                  <c:v>LYV</c:v>
                </c:pt>
                <c:pt idx="360">
                  <c:v>PODD</c:v>
                </c:pt>
                <c:pt idx="361">
                  <c:v>AKAM</c:v>
                </c:pt>
                <c:pt idx="362">
                  <c:v>DBX</c:v>
                </c:pt>
                <c:pt idx="363">
                  <c:v>CPRT</c:v>
                </c:pt>
                <c:pt idx="364">
                  <c:v>HD</c:v>
                </c:pt>
                <c:pt idx="365">
                  <c:v>KDP</c:v>
                </c:pt>
                <c:pt idx="366">
                  <c:v>NCLH</c:v>
                </c:pt>
                <c:pt idx="367">
                  <c:v>HSIC</c:v>
                </c:pt>
                <c:pt idx="368">
                  <c:v>INTU</c:v>
                </c:pt>
                <c:pt idx="369">
                  <c:v>AXON</c:v>
                </c:pt>
                <c:pt idx="370">
                  <c:v>FSLR</c:v>
                </c:pt>
                <c:pt idx="371">
                  <c:v>CZR</c:v>
                </c:pt>
                <c:pt idx="372">
                  <c:v>ZETA</c:v>
                </c:pt>
                <c:pt idx="373">
                  <c:v>VRSK</c:v>
                </c:pt>
                <c:pt idx="374">
                  <c:v>LOW</c:v>
                </c:pt>
                <c:pt idx="375">
                  <c:v>TJX</c:v>
                </c:pt>
                <c:pt idx="376">
                  <c:v>NTNX</c:v>
                </c:pt>
                <c:pt idx="377">
                  <c:v>PARA</c:v>
                </c:pt>
                <c:pt idx="378">
                  <c:v>SNPS</c:v>
                </c:pt>
                <c:pt idx="379">
                  <c:v>NVDA</c:v>
                </c:pt>
                <c:pt idx="380">
                  <c:v>CRM</c:v>
                </c:pt>
                <c:pt idx="381">
                  <c:v>A</c:v>
                </c:pt>
                <c:pt idx="382">
                  <c:v>EBAY</c:v>
                </c:pt>
                <c:pt idx="383">
                  <c:v>UHS</c:v>
                </c:pt>
                <c:pt idx="384">
                  <c:v>AI</c:v>
                </c:pt>
                <c:pt idx="385">
                  <c:v>SJM</c:v>
                </c:pt>
                <c:pt idx="386">
                  <c:v>VTRS</c:v>
                </c:pt>
                <c:pt idx="387">
                  <c:v>WBD</c:v>
                </c:pt>
                <c:pt idx="388">
                  <c:v>HRL</c:v>
                </c:pt>
                <c:pt idx="389">
                  <c:v>MOS</c:v>
                </c:pt>
                <c:pt idx="390">
                  <c:v>DELL</c:v>
                </c:pt>
                <c:pt idx="391">
                  <c:v>ADSK</c:v>
                </c:pt>
                <c:pt idx="392">
                  <c:v>HPQ</c:v>
                </c:pt>
                <c:pt idx="393">
                  <c:v>NTAP</c:v>
                </c:pt>
                <c:pt idx="394">
                  <c:v>ERIE</c:v>
                </c:pt>
                <c:pt idx="395">
                  <c:v>SOLV</c:v>
                </c:pt>
                <c:pt idx="396">
                  <c:v>ESTC</c:v>
                </c:pt>
                <c:pt idx="397">
                  <c:v>MNST</c:v>
                </c:pt>
                <c:pt idx="398">
                  <c:v>GTLB</c:v>
                </c:pt>
                <c:pt idx="399">
                  <c:v>GCT</c:v>
                </c:pt>
                <c:pt idx="400">
                  <c:v>ASTS</c:v>
                </c:pt>
                <c:pt idx="401">
                  <c:v>BBY</c:v>
                </c:pt>
                <c:pt idx="402">
                  <c:v>TGT</c:v>
                </c:pt>
                <c:pt idx="403">
                  <c:v>BOX</c:v>
                </c:pt>
                <c:pt idx="404">
                  <c:v>CRWD</c:v>
                </c:pt>
                <c:pt idx="405">
                  <c:v>ROST</c:v>
                </c:pt>
                <c:pt idx="406">
                  <c:v>FL</c:v>
                </c:pt>
                <c:pt idx="407">
                  <c:v>ANF</c:v>
                </c:pt>
                <c:pt idx="408">
                  <c:v>REVG</c:v>
                </c:pt>
                <c:pt idx="409">
                  <c:v>CPB</c:v>
                </c:pt>
                <c:pt idx="410">
                  <c:v>VSCO</c:v>
                </c:pt>
                <c:pt idx="411">
                  <c:v>MEI</c:v>
                </c:pt>
                <c:pt idx="412">
                  <c:v>ZS</c:v>
                </c:pt>
                <c:pt idx="413">
                  <c:v>M</c:v>
                </c:pt>
                <c:pt idx="414">
                  <c:v>BURL</c:v>
                </c:pt>
                <c:pt idx="415">
                  <c:v>BJ</c:v>
                </c:pt>
                <c:pt idx="416">
                  <c:v>TTC</c:v>
                </c:pt>
                <c:pt idx="417">
                  <c:v>GAP</c:v>
                </c:pt>
                <c:pt idx="418">
                  <c:v>AVGO</c:v>
                </c:pt>
                <c:pt idx="419">
                  <c:v>COST</c:v>
                </c:pt>
                <c:pt idx="420">
                  <c:v>HPE</c:v>
                </c:pt>
                <c:pt idx="421">
                  <c:v>COO</c:v>
                </c:pt>
                <c:pt idx="422">
                  <c:v>ASAN</c:v>
                </c:pt>
                <c:pt idx="423">
                  <c:v>ORCL</c:v>
                </c:pt>
                <c:pt idx="424">
                  <c:v>DKS</c:v>
                </c:pt>
                <c:pt idx="425">
                  <c:v>CIEN</c:v>
                </c:pt>
                <c:pt idx="426">
                  <c:v>AEO</c:v>
                </c:pt>
                <c:pt idx="427">
                  <c:v>ADBE</c:v>
                </c:pt>
                <c:pt idx="428">
                  <c:v>S</c:v>
                </c:pt>
                <c:pt idx="429">
                  <c:v>PATH</c:v>
                </c:pt>
                <c:pt idx="430">
                  <c:v>DG</c:v>
                </c:pt>
                <c:pt idx="431">
                  <c:v>DOCU</c:v>
                </c:pt>
                <c:pt idx="432">
                  <c:v>ULTA</c:v>
                </c:pt>
                <c:pt idx="433">
                  <c:v>SMTC</c:v>
                </c:pt>
                <c:pt idx="434">
                  <c:v>KODK</c:v>
                </c:pt>
                <c:pt idx="435">
                  <c:v>HQY</c:v>
                </c:pt>
                <c:pt idx="436">
                  <c:v>WSM</c:v>
                </c:pt>
                <c:pt idx="437">
                  <c:v>OLLI</c:v>
                </c:pt>
                <c:pt idx="438">
                  <c:v>GIS</c:v>
                </c:pt>
                <c:pt idx="439">
                  <c:v>MU</c:v>
                </c:pt>
                <c:pt idx="440">
                  <c:v>NKE</c:v>
                </c:pt>
                <c:pt idx="441">
                  <c:v>LEN</c:v>
                </c:pt>
                <c:pt idx="442">
                  <c:v>CCL</c:v>
                </c:pt>
                <c:pt idx="443">
                  <c:v>CHWY</c:v>
                </c:pt>
                <c:pt idx="444">
                  <c:v>DLTR</c:v>
                </c:pt>
              </c:strCache>
            </c:strRef>
          </c:cat>
          <c:val>
            <c:numRef>
              <c:f>'2025-Q1'!$T$4:$T$448</c:f>
              <c:numCache>
                <c:formatCode>0.0</c:formatCode>
                <c:ptCount val="445"/>
                <c:pt idx="0">
                  <c:v>0</c:v>
                </c:pt>
                <c:pt idx="1">
                  <c:v>0.96873982416150761</c:v>
                </c:pt>
                <c:pt idx="2">
                  <c:v>0</c:v>
                </c:pt>
                <c:pt idx="3">
                  <c:v>0.19733031613259536</c:v>
                </c:pt>
                <c:pt idx="4">
                  <c:v>0.97626071077398535</c:v>
                </c:pt>
                <c:pt idx="5">
                  <c:v>0.77190465359065286</c:v>
                </c:pt>
                <c:pt idx="6">
                  <c:v>0</c:v>
                </c:pt>
                <c:pt idx="7">
                  <c:v>0.61224489795918424</c:v>
                </c:pt>
                <c:pt idx="8">
                  <c:v>0</c:v>
                </c:pt>
                <c:pt idx="9">
                  <c:v>0</c:v>
                </c:pt>
                <c:pt idx="10">
                  <c:v>-3.5385704175512935E-2</c:v>
                </c:pt>
                <c:pt idx="11">
                  <c:v>0</c:v>
                </c:pt>
                <c:pt idx="12">
                  <c:v>-1.2422670125723414</c:v>
                </c:pt>
                <c:pt idx="13">
                  <c:v>-0.98559266535690904</c:v>
                </c:pt>
                <c:pt idx="14">
                  <c:v>-0.42813760143376339</c:v>
                </c:pt>
                <c:pt idx="15">
                  <c:v>0</c:v>
                </c:pt>
                <c:pt idx="16">
                  <c:v>0</c:v>
                </c:pt>
                <c:pt idx="17">
                  <c:v>0</c:v>
                </c:pt>
                <c:pt idx="18">
                  <c:v>0</c:v>
                </c:pt>
                <c:pt idx="19">
                  <c:v>-0.80107473380435812</c:v>
                </c:pt>
                <c:pt idx="20">
                  <c:v>0</c:v>
                </c:pt>
                <c:pt idx="21">
                  <c:v>0</c:v>
                </c:pt>
                <c:pt idx="22">
                  <c:v>0</c:v>
                </c:pt>
                <c:pt idx="23">
                  <c:v>0</c:v>
                </c:pt>
                <c:pt idx="24">
                  <c:v>0.52825639934765434</c:v>
                </c:pt>
                <c:pt idx="25">
                  <c:v>0</c:v>
                </c:pt>
                <c:pt idx="26">
                  <c:v>0</c:v>
                </c:pt>
                <c:pt idx="27">
                  <c:v>0</c:v>
                </c:pt>
                <c:pt idx="28">
                  <c:v>0</c:v>
                </c:pt>
                <c:pt idx="29">
                  <c:v>0.30450459776064065</c:v>
                </c:pt>
                <c:pt idx="30">
                  <c:v>0.80377608879237528</c:v>
                </c:pt>
                <c:pt idx="31">
                  <c:v>0</c:v>
                </c:pt>
                <c:pt idx="32">
                  <c:v>0</c:v>
                </c:pt>
                <c:pt idx="33">
                  <c:v>0</c:v>
                </c:pt>
                <c:pt idx="34">
                  <c:v>0</c:v>
                </c:pt>
                <c:pt idx="35">
                  <c:v>0.56089743589743557</c:v>
                </c:pt>
                <c:pt idx="36">
                  <c:v>0.67152548588192462</c:v>
                </c:pt>
                <c:pt idx="37">
                  <c:v>0</c:v>
                </c:pt>
                <c:pt idx="38">
                  <c:v>0</c:v>
                </c:pt>
                <c:pt idx="39">
                  <c:v>0</c:v>
                </c:pt>
                <c:pt idx="40">
                  <c:v>0.45586061905455705</c:v>
                </c:pt>
                <c:pt idx="41">
                  <c:v>0</c:v>
                </c:pt>
                <c:pt idx="42">
                  <c:v>0</c:v>
                </c:pt>
                <c:pt idx="43">
                  <c:v>0.12658227848101453</c:v>
                </c:pt>
                <c:pt idx="44">
                  <c:v>0</c:v>
                </c:pt>
                <c:pt idx="45">
                  <c:v>1.1538189282933378</c:v>
                </c:pt>
                <c:pt idx="46">
                  <c:v>0</c:v>
                </c:pt>
                <c:pt idx="47">
                  <c:v>0</c:v>
                </c:pt>
                <c:pt idx="48">
                  <c:v>0</c:v>
                </c:pt>
                <c:pt idx="49">
                  <c:v>-0.15519756650215774</c:v>
                </c:pt>
                <c:pt idx="50">
                  <c:v>0</c:v>
                </c:pt>
                <c:pt idx="51">
                  <c:v>-0.73275720435053893</c:v>
                </c:pt>
                <c:pt idx="52">
                  <c:v>0</c:v>
                </c:pt>
                <c:pt idx="53">
                  <c:v>0</c:v>
                </c:pt>
                <c:pt idx="54">
                  <c:v>-7.5183355325746007E-2</c:v>
                </c:pt>
                <c:pt idx="55">
                  <c:v>0</c:v>
                </c:pt>
                <c:pt idx="56">
                  <c:v>0</c:v>
                </c:pt>
                <c:pt idx="57">
                  <c:v>0.57218309859154926</c:v>
                </c:pt>
                <c:pt idx="58">
                  <c:v>0</c:v>
                </c:pt>
                <c:pt idx="59">
                  <c:v>0</c:v>
                </c:pt>
                <c:pt idx="60">
                  <c:v>0</c:v>
                </c:pt>
                <c:pt idx="61">
                  <c:v>0</c:v>
                </c:pt>
                <c:pt idx="62">
                  <c:v>0</c:v>
                </c:pt>
                <c:pt idx="63">
                  <c:v>0</c:v>
                </c:pt>
                <c:pt idx="64">
                  <c:v>0.69884300312473657</c:v>
                </c:pt>
                <c:pt idx="65">
                  <c:v>-1.1956785627579529</c:v>
                </c:pt>
                <c:pt idx="66">
                  <c:v>-0.56864707487944688</c:v>
                </c:pt>
                <c:pt idx="67">
                  <c:v>0</c:v>
                </c:pt>
                <c:pt idx="68">
                  <c:v>0</c:v>
                </c:pt>
                <c:pt idx="69">
                  <c:v>-0.80160320641282456</c:v>
                </c:pt>
                <c:pt idx="70">
                  <c:v>0</c:v>
                </c:pt>
                <c:pt idx="71">
                  <c:v>0</c:v>
                </c:pt>
                <c:pt idx="72">
                  <c:v>0</c:v>
                </c:pt>
                <c:pt idx="73">
                  <c:v>0</c:v>
                </c:pt>
                <c:pt idx="74">
                  <c:v>0</c:v>
                </c:pt>
                <c:pt idx="75">
                  <c:v>2.3036235108013234</c:v>
                </c:pt>
                <c:pt idx="76">
                  <c:v>0</c:v>
                </c:pt>
                <c:pt idx="77">
                  <c:v>0</c:v>
                </c:pt>
                <c:pt idx="78">
                  <c:v>0</c:v>
                </c:pt>
                <c:pt idx="79">
                  <c:v>0.3257237996267856</c:v>
                </c:pt>
                <c:pt idx="80">
                  <c:v>0</c:v>
                </c:pt>
                <c:pt idx="81">
                  <c:v>0</c:v>
                </c:pt>
                <c:pt idx="82">
                  <c:v>-0.39824280494313702</c:v>
                </c:pt>
                <c:pt idx="83">
                  <c:v>0</c:v>
                </c:pt>
                <c:pt idx="84">
                  <c:v>1.262281215433666</c:v>
                </c:pt>
                <c:pt idx="85">
                  <c:v>0</c:v>
                </c:pt>
                <c:pt idx="86">
                  <c:v>0</c:v>
                </c:pt>
                <c:pt idx="87">
                  <c:v>0.77991597438170379</c:v>
                </c:pt>
                <c:pt idx="88">
                  <c:v>0</c:v>
                </c:pt>
                <c:pt idx="89">
                  <c:v>0</c:v>
                </c:pt>
                <c:pt idx="90">
                  <c:v>0</c:v>
                </c:pt>
                <c:pt idx="91">
                  <c:v>0</c:v>
                </c:pt>
                <c:pt idx="92">
                  <c:v>0.18198784043027877</c:v>
                </c:pt>
                <c:pt idx="93">
                  <c:v>0.16724025017910785</c:v>
                </c:pt>
                <c:pt idx="94">
                  <c:v>0</c:v>
                </c:pt>
                <c:pt idx="95">
                  <c:v>-0.18311824206487759</c:v>
                </c:pt>
                <c:pt idx="96">
                  <c:v>0</c:v>
                </c:pt>
                <c:pt idx="97">
                  <c:v>0</c:v>
                </c:pt>
                <c:pt idx="98">
                  <c:v>0</c:v>
                </c:pt>
                <c:pt idx="99">
                  <c:v>0.48989209971474662</c:v>
                </c:pt>
                <c:pt idx="100">
                  <c:v>0.18828960155490906</c:v>
                </c:pt>
                <c:pt idx="101">
                  <c:v>0.23555219908656133</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-7.8271759549155703E-2</c:v>
                </c:pt>
                <c:pt idx="118">
                  <c:v>0</c:v>
                </c:pt>
                <c:pt idx="119">
                  <c:v>0</c:v>
                </c:pt>
                <c:pt idx="120">
                  <c:v>0</c:v>
                </c:pt>
                <c:pt idx="121">
                  <c:v>0</c:v>
                </c:pt>
                <c:pt idx="122">
                  <c:v>0</c:v>
                </c:pt>
                <c:pt idx="123">
                  <c:v>0</c:v>
                </c:pt>
                <c:pt idx="124">
                  <c:v>0</c:v>
                </c:pt>
                <c:pt idx="125">
                  <c:v>0</c:v>
                </c:pt>
                <c:pt idx="126">
                  <c:v>5.2310374891019272E-2</c:v>
                </c:pt>
                <c:pt idx="127">
                  <c:v>0</c:v>
                </c:pt>
                <c:pt idx="128">
                  <c:v>0.16615653694796756</c:v>
                </c:pt>
                <c:pt idx="129">
                  <c:v>0</c:v>
                </c:pt>
                <c:pt idx="130">
                  <c:v>0</c:v>
                </c:pt>
                <c:pt idx="131">
                  <c:v>0</c:v>
                </c:pt>
                <c:pt idx="132">
                  <c:v>0.56053811659192831</c:v>
                </c:pt>
                <c:pt idx="133">
                  <c:v>0</c:v>
                </c:pt>
                <c:pt idx="134">
                  <c:v>0</c:v>
                </c:pt>
                <c:pt idx="135">
                  <c:v>0</c:v>
                </c:pt>
                <c:pt idx="136">
                  <c:v>-2.0176893311221686</c:v>
                </c:pt>
                <c:pt idx="137">
                  <c:v>0</c:v>
                </c:pt>
                <c:pt idx="138">
                  <c:v>0</c:v>
                </c:pt>
                <c:pt idx="139">
                  <c:v>0</c:v>
                </c:pt>
                <c:pt idx="140">
                  <c:v>3.3439470562527327</c:v>
                </c:pt>
                <c:pt idx="141">
                  <c:v>0</c:v>
                </c:pt>
                <c:pt idx="142">
                  <c:v>0</c:v>
                </c:pt>
                <c:pt idx="143">
                  <c:v>0</c:v>
                </c:pt>
                <c:pt idx="144">
                  <c:v>0</c:v>
                </c:pt>
                <c:pt idx="145">
                  <c:v>0</c:v>
                </c:pt>
                <c:pt idx="146">
                  <c:v>0</c:v>
                </c:pt>
                <c:pt idx="147">
                  <c:v>0</c:v>
                </c:pt>
                <c:pt idx="148">
                  <c:v>0</c:v>
                </c:pt>
                <c:pt idx="149">
                  <c:v>0</c:v>
                </c:pt>
                <c:pt idx="150">
                  <c:v>0</c:v>
                </c:pt>
                <c:pt idx="151">
                  <c:v>0</c:v>
                </c:pt>
                <c:pt idx="152">
                  <c:v>0</c:v>
                </c:pt>
                <c:pt idx="153">
                  <c:v>-0.56387309021969467</c:v>
                </c:pt>
                <c:pt idx="154">
                  <c:v>0</c:v>
                </c:pt>
                <c:pt idx="155">
                  <c:v>0</c:v>
                </c:pt>
                <c:pt idx="156">
                  <c:v>0</c:v>
                </c:pt>
                <c:pt idx="157">
                  <c:v>0</c:v>
                </c:pt>
                <c:pt idx="158">
                  <c:v>3.7934877796353796</c:v>
                </c:pt>
                <c:pt idx="159">
                  <c:v>0</c:v>
                </c:pt>
                <c:pt idx="160">
                  <c:v>0</c:v>
                </c:pt>
                <c:pt idx="161">
                  <c:v>0</c:v>
                </c:pt>
                <c:pt idx="162">
                  <c:v>0</c:v>
                </c:pt>
                <c:pt idx="163">
                  <c:v>0</c:v>
                </c:pt>
                <c:pt idx="164">
                  <c:v>0</c:v>
                </c:pt>
                <c:pt idx="165">
                  <c:v>-0.13785075358411805</c:v>
                </c:pt>
                <c:pt idx="166">
                  <c:v>-1.349942278330168</c:v>
                </c:pt>
                <c:pt idx="167">
                  <c:v>0</c:v>
                </c:pt>
                <c:pt idx="168">
                  <c:v>0</c:v>
                </c:pt>
                <c:pt idx="169">
                  <c:v>0</c:v>
                </c:pt>
                <c:pt idx="170">
                  <c:v>0</c:v>
                </c:pt>
                <c:pt idx="171">
                  <c:v>0.82268467810636736</c:v>
                </c:pt>
                <c:pt idx="172">
                  <c:v>-0.93849860384471961</c:v>
                </c:pt>
                <c:pt idx="173">
                  <c:v>0</c:v>
                </c:pt>
                <c:pt idx="174">
                  <c:v>0</c:v>
                </c:pt>
                <c:pt idx="175">
                  <c:v>0</c:v>
                </c:pt>
                <c:pt idx="176">
                  <c:v>0</c:v>
                </c:pt>
                <c:pt idx="177">
                  <c:v>0</c:v>
                </c:pt>
                <c:pt idx="178">
                  <c:v>1.0774547672291119</c:v>
                </c:pt>
                <c:pt idx="179">
                  <c:v>0</c:v>
                </c:pt>
                <c:pt idx="180">
                  <c:v>0</c:v>
                </c:pt>
                <c:pt idx="181">
                  <c:v>0</c:v>
                </c:pt>
                <c:pt idx="182">
                  <c:v>0</c:v>
                </c:pt>
                <c:pt idx="183">
                  <c:v>-1.1723075441721633</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-1.929442706207773</c:v>
                </c:pt>
                <c:pt idx="201">
                  <c:v>0</c:v>
                </c:pt>
                <c:pt idx="202">
                  <c:v>0</c:v>
                </c:pt>
                <c:pt idx="203">
                  <c:v>-9.6581031485417634E-2</c:v>
                </c:pt>
                <c:pt idx="204">
                  <c:v>0.79279868048423674</c:v>
                </c:pt>
                <c:pt idx="205">
                  <c:v>0</c:v>
                </c:pt>
                <c:pt idx="206">
                  <c:v>0</c:v>
                </c:pt>
                <c:pt idx="207">
                  <c:v>0</c:v>
                </c:pt>
                <c:pt idx="208">
                  <c:v>0.18285169137814655</c:v>
                </c:pt>
                <c:pt idx="209">
                  <c:v>0</c:v>
                </c:pt>
                <c:pt idx="210">
                  <c:v>0</c:v>
                </c:pt>
                <c:pt idx="211">
                  <c:v>0</c:v>
                </c:pt>
                <c:pt idx="212">
                  <c:v>0</c:v>
                </c:pt>
                <c:pt idx="213">
                  <c:v>0</c:v>
                </c:pt>
                <c:pt idx="214">
                  <c:v>0</c:v>
                </c:pt>
                <c:pt idx="215">
                  <c:v>0</c:v>
                </c:pt>
                <c:pt idx="216">
                  <c:v>0</c:v>
                </c:pt>
                <c:pt idx="217">
                  <c:v>0</c:v>
                </c:pt>
                <c:pt idx="218">
                  <c:v>0</c:v>
                </c:pt>
                <c:pt idx="219">
                  <c:v>0</c:v>
                </c:pt>
                <c:pt idx="220">
                  <c:v>0</c:v>
                </c:pt>
                <c:pt idx="221">
                  <c:v>-6.5287788572025482E-2</c:v>
                </c:pt>
                <c:pt idx="222">
                  <c:v>0.11762360446570928</c:v>
                </c:pt>
                <c:pt idx="223">
                  <c:v>-0.44982461556933512</c:v>
                </c:pt>
                <c:pt idx="224">
                  <c:v>0</c:v>
                </c:pt>
                <c:pt idx="225">
                  <c:v>0</c:v>
                </c:pt>
                <c:pt idx="226">
                  <c:v>0</c:v>
                </c:pt>
                <c:pt idx="227">
                  <c:v>0.86742880064179739</c:v>
                </c:pt>
                <c:pt idx="228">
                  <c:v>0</c:v>
                </c:pt>
                <c:pt idx="229">
                  <c:v>0</c:v>
                </c:pt>
                <c:pt idx="230">
                  <c:v>0</c:v>
                </c:pt>
                <c:pt idx="231">
                  <c:v>0.14084125565396496</c:v>
                </c:pt>
                <c:pt idx="232">
                  <c:v>0</c:v>
                </c:pt>
                <c:pt idx="233">
                  <c:v>0</c:v>
                </c:pt>
                <c:pt idx="234">
                  <c:v>0</c:v>
                </c:pt>
                <c:pt idx="235">
                  <c:v>0</c:v>
                </c:pt>
                <c:pt idx="236">
                  <c:v>1.9035985137680078</c:v>
                </c:pt>
                <c:pt idx="237">
                  <c:v>0</c:v>
                </c:pt>
                <c:pt idx="238">
                  <c:v>0</c:v>
                </c:pt>
                <c:pt idx="239">
                  <c:v>-0.65315692513816992</c:v>
                </c:pt>
                <c:pt idx="240">
                  <c:v>0.50093341630367272</c:v>
                </c:pt>
                <c:pt idx="241">
                  <c:v>-0.16108859872929965</c:v>
                </c:pt>
                <c:pt idx="242">
                  <c:v>-0.78280149079137018</c:v>
                </c:pt>
                <c:pt idx="243">
                  <c:v>-1.0988300691617601E-2</c:v>
                </c:pt>
                <c:pt idx="244">
                  <c:v>0</c:v>
                </c:pt>
                <c:pt idx="245">
                  <c:v>0</c:v>
                </c:pt>
                <c:pt idx="246">
                  <c:v>0</c:v>
                </c:pt>
                <c:pt idx="247">
                  <c:v>0</c:v>
                </c:pt>
                <c:pt idx="248">
                  <c:v>0</c:v>
                </c:pt>
                <c:pt idx="249">
                  <c:v>0</c:v>
                </c:pt>
                <c:pt idx="250">
                  <c:v>0</c:v>
                </c:pt>
                <c:pt idx="251">
                  <c:v>0.19934130698561148</c:v>
                </c:pt>
                <c:pt idx="252">
                  <c:v>0</c:v>
                </c:pt>
                <c:pt idx="253">
                  <c:v>3.263832106841102</c:v>
                </c:pt>
                <c:pt idx="254">
                  <c:v>2.4431057563587686</c:v>
                </c:pt>
                <c:pt idx="255">
                  <c:v>0</c:v>
                </c:pt>
                <c:pt idx="256">
                  <c:v>0</c:v>
                </c:pt>
                <c:pt idx="257">
                  <c:v>0</c:v>
                </c:pt>
                <c:pt idx="258">
                  <c:v>0</c:v>
                </c:pt>
                <c:pt idx="259">
                  <c:v>-0.44173680023447726</c:v>
                </c:pt>
                <c:pt idx="260">
                  <c:v>0.7583715304303541</c:v>
                </c:pt>
                <c:pt idx="261">
                  <c:v>0</c:v>
                </c:pt>
                <c:pt idx="262">
                  <c:v>0</c:v>
                </c:pt>
                <c:pt idx="263">
                  <c:v>0</c:v>
                </c:pt>
                <c:pt idx="264">
                  <c:v>0</c:v>
                </c:pt>
                <c:pt idx="265">
                  <c:v>0</c:v>
                </c:pt>
                <c:pt idx="266">
                  <c:v>0</c:v>
                </c:pt>
                <c:pt idx="267">
                  <c:v>-0.19075302025615481</c:v>
                </c:pt>
                <c:pt idx="268">
                  <c:v>0</c:v>
                </c:pt>
                <c:pt idx="269">
                  <c:v>6.6867201336539311E-2</c:v>
                </c:pt>
                <c:pt idx="270">
                  <c:v>0</c:v>
                </c:pt>
                <c:pt idx="271">
                  <c:v>0</c:v>
                </c:pt>
                <c:pt idx="272">
                  <c:v>-0.1690292343743976</c:v>
                </c:pt>
                <c:pt idx="273">
                  <c:v>0</c:v>
                </c:pt>
                <c:pt idx="274">
                  <c:v>0</c:v>
                </c:pt>
                <c:pt idx="275">
                  <c:v>0</c:v>
                </c:pt>
                <c:pt idx="276">
                  <c:v>0</c:v>
                </c:pt>
                <c:pt idx="277">
                  <c:v>0</c:v>
                </c:pt>
                <c:pt idx="278">
                  <c:v>-0.71878250396890675</c:v>
                </c:pt>
                <c:pt idx="279">
                  <c:v>0</c:v>
                </c:pt>
                <c:pt idx="280">
                  <c:v>0</c:v>
                </c:pt>
                <c:pt idx="281">
                  <c:v>0</c:v>
                </c:pt>
                <c:pt idx="282">
                  <c:v>0</c:v>
                </c:pt>
                <c:pt idx="283">
                  <c:v>0</c:v>
                </c:pt>
                <c:pt idx="284">
                  <c:v>0</c:v>
                </c:pt>
                <c:pt idx="285">
                  <c:v>0</c:v>
                </c:pt>
                <c:pt idx="286">
                  <c:v>0.97080646279730853</c:v>
                </c:pt>
                <c:pt idx="287">
                  <c:v>0</c:v>
                </c:pt>
                <c:pt idx="288">
                  <c:v>0</c:v>
                </c:pt>
                <c:pt idx="289">
                  <c:v>0</c:v>
                </c:pt>
                <c:pt idx="290">
                  <c:v>0</c:v>
                </c:pt>
                <c:pt idx="291">
                  <c:v>0.83986562150056143</c:v>
                </c:pt>
                <c:pt idx="292">
                  <c:v>0.28405173602493067</c:v>
                </c:pt>
                <c:pt idx="293">
                  <c:v>0</c:v>
                </c:pt>
                <c:pt idx="294">
                  <c:v>0</c:v>
                </c:pt>
                <c:pt idx="295">
                  <c:v>0</c:v>
                </c:pt>
                <c:pt idx="296">
                  <c:v>0</c:v>
                </c:pt>
                <c:pt idx="297">
                  <c:v>-1.290921904029728</c:v>
                </c:pt>
                <c:pt idx="298">
                  <c:v>0</c:v>
                </c:pt>
                <c:pt idx="299">
                  <c:v>0</c:v>
                </c:pt>
                <c:pt idx="300">
                  <c:v>-0.69703175503960313</c:v>
                </c:pt>
                <c:pt idx="301">
                  <c:v>0</c:v>
                </c:pt>
                <c:pt idx="302">
                  <c:v>0.95154325923556571</c:v>
                </c:pt>
                <c:pt idx="303">
                  <c:v>0</c:v>
                </c:pt>
                <c:pt idx="304">
                  <c:v>0</c:v>
                </c:pt>
                <c:pt idx="305">
                  <c:v>0</c:v>
                </c:pt>
                <c:pt idx="306">
                  <c:v>0</c:v>
                </c:pt>
                <c:pt idx="307">
                  <c:v>0</c:v>
                </c:pt>
                <c:pt idx="308">
                  <c:v>5.2157832001121855</c:v>
                </c:pt>
                <c:pt idx="309">
                  <c:v>0.41778780204706123</c:v>
                </c:pt>
                <c:pt idx="310">
                  <c:v>-0.77150131497957597</c:v>
                </c:pt>
                <c:pt idx="311">
                  <c:v>0</c:v>
                </c:pt>
                <c:pt idx="312">
                  <c:v>-0.31878627007052468</c:v>
                </c:pt>
                <c:pt idx="313">
                  <c:v>0</c:v>
                </c:pt>
                <c:pt idx="314">
                  <c:v>0</c:v>
                </c:pt>
                <c:pt idx="315">
                  <c:v>0</c:v>
                </c:pt>
                <c:pt idx="316">
                  <c:v>0</c:v>
                </c:pt>
                <c:pt idx="317">
                  <c:v>0</c:v>
                </c:pt>
                <c:pt idx="318">
                  <c:v>0</c:v>
                </c:pt>
                <c:pt idx="319">
                  <c:v>0</c:v>
                </c:pt>
                <c:pt idx="320">
                  <c:v>0</c:v>
                </c:pt>
                <c:pt idx="321">
                  <c:v>0</c:v>
                </c:pt>
                <c:pt idx="322">
                  <c:v>0.29993912126746525</c:v>
                </c:pt>
                <c:pt idx="323">
                  <c:v>0</c:v>
                </c:pt>
                <c:pt idx="324">
                  <c:v>0</c:v>
                </c:pt>
                <c:pt idx="325">
                  <c:v>-1.3950315234779329</c:v>
                </c:pt>
                <c:pt idx="326">
                  <c:v>-2.1706389547799234</c:v>
                </c:pt>
                <c:pt idx="327">
                  <c:v>0</c:v>
                </c:pt>
                <c:pt idx="328">
                  <c:v>0</c:v>
                </c:pt>
                <c:pt idx="329">
                  <c:v>0</c:v>
                </c:pt>
                <c:pt idx="330">
                  <c:v>0</c:v>
                </c:pt>
                <c:pt idx="331">
                  <c:v>0</c:v>
                </c:pt>
                <c:pt idx="332">
                  <c:v>-0.87095499766548101</c:v>
                </c:pt>
                <c:pt idx="333">
                  <c:v>0</c:v>
                </c:pt>
                <c:pt idx="334">
                  <c:v>0</c:v>
                </c:pt>
                <c:pt idx="335">
                  <c:v>0</c:v>
                </c:pt>
                <c:pt idx="336">
                  <c:v>0</c:v>
                </c:pt>
                <c:pt idx="337">
                  <c:v>0</c:v>
                </c:pt>
                <c:pt idx="338">
                  <c:v>0.36878641378455307</c:v>
                </c:pt>
                <c:pt idx="339">
                  <c:v>0</c:v>
                </c:pt>
                <c:pt idx="340">
                  <c:v>0</c:v>
                </c:pt>
                <c:pt idx="341">
                  <c:v>0</c:v>
                </c:pt>
                <c:pt idx="342">
                  <c:v>0</c:v>
                </c:pt>
                <c:pt idx="343">
                  <c:v>0</c:v>
                </c:pt>
                <c:pt idx="344">
                  <c:v>0</c:v>
                </c:pt>
                <c:pt idx="345">
                  <c:v>0</c:v>
                </c:pt>
                <c:pt idx="346">
                  <c:v>0</c:v>
                </c:pt>
                <c:pt idx="347">
                  <c:v>0</c:v>
                </c:pt>
                <c:pt idx="348">
                  <c:v>-1.2836879432624109</c:v>
                </c:pt>
                <c:pt idx="349">
                  <c:v>0</c:v>
                </c:pt>
                <c:pt idx="350">
                  <c:v>-0.83653846153846134</c:v>
                </c:pt>
                <c:pt idx="351">
                  <c:v>0</c:v>
                </c:pt>
                <c:pt idx="352">
                  <c:v>0</c:v>
                </c:pt>
                <c:pt idx="353">
                  <c:v>0</c:v>
                </c:pt>
                <c:pt idx="354">
                  <c:v>0</c:v>
                </c:pt>
                <c:pt idx="355">
                  <c:v>-1.4703033590329717</c:v>
                </c:pt>
                <c:pt idx="356">
                  <c:v>0</c:v>
                </c:pt>
                <c:pt idx="357">
                  <c:v>0</c:v>
                </c:pt>
                <c:pt idx="358">
                  <c:v>0</c:v>
                </c:pt>
                <c:pt idx="359">
                  <c:v>0.4869135154061629</c:v>
                </c:pt>
                <c:pt idx="360">
                  <c:v>-0.69027715147941404</c:v>
                </c:pt>
                <c:pt idx="361">
                  <c:v>0</c:v>
                </c:pt>
                <c:pt idx="362">
                  <c:v>-1.2285654537850277</c:v>
                </c:pt>
                <c:pt idx="363">
                  <c:v>0</c:v>
                </c:pt>
                <c:pt idx="364">
                  <c:v>0</c:v>
                </c:pt>
                <c:pt idx="365">
                  <c:v>0</c:v>
                </c:pt>
                <c:pt idx="366">
                  <c:v>0</c:v>
                </c:pt>
                <c:pt idx="367">
                  <c:v>0</c:v>
                </c:pt>
                <c:pt idx="368">
                  <c:v>0</c:v>
                </c:pt>
                <c:pt idx="369">
                  <c:v>0</c:v>
                </c:pt>
                <c:pt idx="370">
                  <c:v>0</c:v>
                </c:pt>
                <c:pt idx="371">
                  <c:v>0</c:v>
                </c:pt>
                <c:pt idx="372">
                  <c:v>0</c:v>
                </c:pt>
                <c:pt idx="373">
                  <c:v>-1.9879665465545617</c:v>
                </c:pt>
                <c:pt idx="374">
                  <c:v>0</c:v>
                </c:pt>
                <c:pt idx="375">
                  <c:v>0</c:v>
                </c:pt>
                <c:pt idx="376">
                  <c:v>0</c:v>
                </c:pt>
                <c:pt idx="377">
                  <c:v>0</c:v>
                </c:pt>
                <c:pt idx="378">
                  <c:v>0</c:v>
                </c:pt>
                <c:pt idx="379">
                  <c:v>0</c:v>
                </c:pt>
                <c:pt idx="380">
                  <c:v>0</c:v>
                </c:pt>
                <c:pt idx="381">
                  <c:v>0</c:v>
                </c:pt>
                <c:pt idx="382">
                  <c:v>-1.1691254459550664</c:v>
                </c:pt>
                <c:pt idx="383">
                  <c:v>0</c:v>
                </c:pt>
                <c:pt idx="384">
                  <c:v>0</c:v>
                </c:pt>
                <c:pt idx="385">
                  <c:v>0</c:v>
                </c:pt>
                <c:pt idx="386">
                  <c:v>0</c:v>
                </c:pt>
                <c:pt idx="387">
                  <c:v>0</c:v>
                </c:pt>
                <c:pt idx="388">
                  <c:v>0</c:v>
                </c:pt>
                <c:pt idx="389">
                  <c:v>0</c:v>
                </c:pt>
                <c:pt idx="390">
                  <c:v>0</c:v>
                </c:pt>
                <c:pt idx="391">
                  <c:v>0</c:v>
                </c:pt>
                <c:pt idx="392">
                  <c:v>0</c:v>
                </c:pt>
                <c:pt idx="393">
                  <c:v>0</c:v>
                </c:pt>
                <c:pt idx="394">
                  <c:v>0</c:v>
                </c:pt>
                <c:pt idx="395">
                  <c:v>-0.49736337488015253</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0.50288074066673261</c:v>
                </c:pt>
                <c:pt idx="416">
                  <c:v>0</c:v>
                </c:pt>
                <c:pt idx="417">
                  <c:v>0</c:v>
                </c:pt>
                <c:pt idx="418">
                  <c:v>0</c:v>
                </c:pt>
                <c:pt idx="419">
                  <c:v>-0.5108998460968992</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82F4-4C24-8A22-68BE67FC36D3}"/>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spPr>
            <a:ln w="19050" cap="rnd">
              <a:solidFill>
                <a:sysClr val="windowText" lastClr="000000"/>
              </a:solidFill>
              <a:round/>
            </a:ln>
            <a:effectLst/>
          </c:spPr>
          <c:marker>
            <c:symbol val="none"/>
          </c:marker>
          <c:val>
            <c:numRef>
              <c:f>'2025-Q1'!$U$4:$U$448</c:f>
              <c:numCache>
                <c:formatCode>0.0</c:formatCode>
                <c:ptCount val="445"/>
                <c:pt idx="0">
                  <c:v>0</c:v>
                </c:pt>
                <c:pt idx="1">
                  <c:v>0.96873982416150761</c:v>
                </c:pt>
                <c:pt idx="2">
                  <c:v>0.96873982416150761</c:v>
                </c:pt>
                <c:pt idx="3">
                  <c:v>1.1660701402941029</c:v>
                </c:pt>
                <c:pt idx="4">
                  <c:v>2.1423308510680883</c:v>
                </c:pt>
                <c:pt idx="5">
                  <c:v>2.9142355046587411</c:v>
                </c:pt>
                <c:pt idx="6">
                  <c:v>2.9142355046587411</c:v>
                </c:pt>
                <c:pt idx="7">
                  <c:v>3.5264804026179255</c:v>
                </c:pt>
                <c:pt idx="8">
                  <c:v>3.5264804026179255</c:v>
                </c:pt>
                <c:pt idx="9">
                  <c:v>3.5264804026179255</c:v>
                </c:pt>
                <c:pt idx="10">
                  <c:v>3.4910946984424127</c:v>
                </c:pt>
                <c:pt idx="11">
                  <c:v>3.4910946984424127</c:v>
                </c:pt>
                <c:pt idx="12">
                  <c:v>2.2488276858700713</c:v>
                </c:pt>
                <c:pt idx="13">
                  <c:v>1.2632350205131622</c:v>
                </c:pt>
                <c:pt idx="14">
                  <c:v>0.83509741907939872</c:v>
                </c:pt>
                <c:pt idx="15">
                  <c:v>0.83509741907939872</c:v>
                </c:pt>
                <c:pt idx="16">
                  <c:v>0.83509741907939872</c:v>
                </c:pt>
                <c:pt idx="17">
                  <c:v>0.83509741907939872</c:v>
                </c:pt>
                <c:pt idx="18">
                  <c:v>0.83509741907939872</c:v>
                </c:pt>
                <c:pt idx="19">
                  <c:v>3.4022685275040598E-2</c:v>
                </c:pt>
                <c:pt idx="20">
                  <c:v>3.4022685275040598E-2</c:v>
                </c:pt>
                <c:pt idx="21">
                  <c:v>3.4022685275040598E-2</c:v>
                </c:pt>
                <c:pt idx="22">
                  <c:v>3.4022685275040598E-2</c:v>
                </c:pt>
                <c:pt idx="23">
                  <c:v>3.4022685275040598E-2</c:v>
                </c:pt>
                <c:pt idx="24">
                  <c:v>0.56227908462269494</c:v>
                </c:pt>
                <c:pt idx="25">
                  <c:v>0.56227908462269494</c:v>
                </c:pt>
                <c:pt idx="26">
                  <c:v>0.56227908462269494</c:v>
                </c:pt>
                <c:pt idx="27">
                  <c:v>0.56227908462269494</c:v>
                </c:pt>
                <c:pt idx="28">
                  <c:v>0.56227908462269494</c:v>
                </c:pt>
                <c:pt idx="29">
                  <c:v>0.86678368238333559</c:v>
                </c:pt>
                <c:pt idx="30">
                  <c:v>1.6705597711757108</c:v>
                </c:pt>
                <c:pt idx="31">
                  <c:v>1.6705597711757108</c:v>
                </c:pt>
                <c:pt idx="32">
                  <c:v>1.6705597711757108</c:v>
                </c:pt>
                <c:pt idx="33">
                  <c:v>1.6705597711757108</c:v>
                </c:pt>
                <c:pt idx="34">
                  <c:v>1.6705597711757108</c:v>
                </c:pt>
                <c:pt idx="35">
                  <c:v>2.2314572070731464</c:v>
                </c:pt>
                <c:pt idx="36">
                  <c:v>2.9029826929550708</c:v>
                </c:pt>
                <c:pt idx="37">
                  <c:v>2.9029826929550708</c:v>
                </c:pt>
                <c:pt idx="38">
                  <c:v>2.9029826929550708</c:v>
                </c:pt>
                <c:pt idx="39">
                  <c:v>2.9029826929550708</c:v>
                </c:pt>
                <c:pt idx="40">
                  <c:v>3.3588433120096277</c:v>
                </c:pt>
                <c:pt idx="41">
                  <c:v>3.3588433120096277</c:v>
                </c:pt>
                <c:pt idx="42">
                  <c:v>3.3588433120096277</c:v>
                </c:pt>
                <c:pt idx="43">
                  <c:v>3.4854255904906424</c:v>
                </c:pt>
                <c:pt idx="44">
                  <c:v>3.4854255904906424</c:v>
                </c:pt>
                <c:pt idx="45">
                  <c:v>4.6392445187839799</c:v>
                </c:pt>
                <c:pt idx="46">
                  <c:v>4.6392445187839799</c:v>
                </c:pt>
                <c:pt idx="47">
                  <c:v>4.6392445187839799</c:v>
                </c:pt>
                <c:pt idx="48">
                  <c:v>4.6392445187839799</c:v>
                </c:pt>
                <c:pt idx="49">
                  <c:v>4.4840469522818225</c:v>
                </c:pt>
                <c:pt idx="50">
                  <c:v>4.4840469522818225</c:v>
                </c:pt>
                <c:pt idx="51">
                  <c:v>3.7512897479312834</c:v>
                </c:pt>
                <c:pt idx="52">
                  <c:v>3.7512897479312834</c:v>
                </c:pt>
                <c:pt idx="53">
                  <c:v>3.7512897479312834</c:v>
                </c:pt>
                <c:pt idx="54">
                  <c:v>3.6761063926055373</c:v>
                </c:pt>
                <c:pt idx="55">
                  <c:v>3.6761063926055373</c:v>
                </c:pt>
                <c:pt idx="56">
                  <c:v>3.6761063926055373</c:v>
                </c:pt>
                <c:pt idx="57">
                  <c:v>4.2482894911970863</c:v>
                </c:pt>
                <c:pt idx="58">
                  <c:v>4.2482894911970863</c:v>
                </c:pt>
                <c:pt idx="59">
                  <c:v>4.2482894911970863</c:v>
                </c:pt>
                <c:pt idx="60">
                  <c:v>4.2482894911970863</c:v>
                </c:pt>
                <c:pt idx="61">
                  <c:v>4.2482894911970863</c:v>
                </c:pt>
                <c:pt idx="62">
                  <c:v>4.2482894911970863</c:v>
                </c:pt>
                <c:pt idx="63">
                  <c:v>4.2482894911970863</c:v>
                </c:pt>
                <c:pt idx="64">
                  <c:v>4.9471324943218224</c:v>
                </c:pt>
                <c:pt idx="65">
                  <c:v>3.7514539315638693</c:v>
                </c:pt>
                <c:pt idx="66">
                  <c:v>3.1828068566844223</c:v>
                </c:pt>
                <c:pt idx="67">
                  <c:v>3.1828068566844223</c:v>
                </c:pt>
                <c:pt idx="68">
                  <c:v>3.1828068566844223</c:v>
                </c:pt>
                <c:pt idx="69">
                  <c:v>2.3812036502715976</c:v>
                </c:pt>
                <c:pt idx="70">
                  <c:v>2.3812036502715976</c:v>
                </c:pt>
                <c:pt idx="71">
                  <c:v>2.3812036502715976</c:v>
                </c:pt>
                <c:pt idx="72">
                  <c:v>2.3812036502715976</c:v>
                </c:pt>
                <c:pt idx="73">
                  <c:v>2.3812036502715976</c:v>
                </c:pt>
                <c:pt idx="74">
                  <c:v>2.3812036502715976</c:v>
                </c:pt>
                <c:pt idx="75">
                  <c:v>4.6848271610729206</c:v>
                </c:pt>
                <c:pt idx="76">
                  <c:v>4.6848271610729206</c:v>
                </c:pt>
                <c:pt idx="77">
                  <c:v>4.6848271610729206</c:v>
                </c:pt>
                <c:pt idx="78">
                  <c:v>4.6848271610729206</c:v>
                </c:pt>
                <c:pt idx="79">
                  <c:v>5.0105509606997058</c:v>
                </c:pt>
                <c:pt idx="80">
                  <c:v>5.0105509606997058</c:v>
                </c:pt>
                <c:pt idx="81">
                  <c:v>5.0105509606997058</c:v>
                </c:pt>
                <c:pt idx="82">
                  <c:v>4.6123081557565691</c:v>
                </c:pt>
                <c:pt idx="83">
                  <c:v>4.6123081557565691</c:v>
                </c:pt>
                <c:pt idx="84">
                  <c:v>5.8745893711902353</c:v>
                </c:pt>
                <c:pt idx="85">
                  <c:v>5.8745893711902353</c:v>
                </c:pt>
                <c:pt idx="86">
                  <c:v>5.8745893711902353</c:v>
                </c:pt>
                <c:pt idx="87">
                  <c:v>6.6545053455719394</c:v>
                </c:pt>
                <c:pt idx="88">
                  <c:v>6.6545053455719394</c:v>
                </c:pt>
                <c:pt idx="89">
                  <c:v>6.6545053455719394</c:v>
                </c:pt>
                <c:pt idx="90">
                  <c:v>6.6545053455719394</c:v>
                </c:pt>
                <c:pt idx="91">
                  <c:v>6.6545053455719394</c:v>
                </c:pt>
                <c:pt idx="92">
                  <c:v>6.836493186002218</c:v>
                </c:pt>
                <c:pt idx="93">
                  <c:v>7.0037334361813262</c:v>
                </c:pt>
                <c:pt idx="94">
                  <c:v>7.0037334361813262</c:v>
                </c:pt>
                <c:pt idx="95">
                  <c:v>6.8206151941164483</c:v>
                </c:pt>
                <c:pt idx="96">
                  <c:v>6.8206151941164483</c:v>
                </c:pt>
                <c:pt idx="97">
                  <c:v>6.8206151941164483</c:v>
                </c:pt>
                <c:pt idx="98">
                  <c:v>6.8206151941164483</c:v>
                </c:pt>
                <c:pt idx="99">
                  <c:v>7.3105072938311952</c:v>
                </c:pt>
                <c:pt idx="100">
                  <c:v>7.4987968953861044</c:v>
                </c:pt>
                <c:pt idx="101">
                  <c:v>7.7343490944726661</c:v>
                </c:pt>
                <c:pt idx="102">
                  <c:v>7.7343490944726661</c:v>
                </c:pt>
                <c:pt idx="103">
                  <c:v>7.7343490944726661</c:v>
                </c:pt>
                <c:pt idx="104">
                  <c:v>7.7343490944726661</c:v>
                </c:pt>
                <c:pt idx="105">
                  <c:v>7.7343490944726661</c:v>
                </c:pt>
                <c:pt idx="106">
                  <c:v>7.7343490944726661</c:v>
                </c:pt>
                <c:pt idx="107">
                  <c:v>7.7343490944726661</c:v>
                </c:pt>
                <c:pt idx="108">
                  <c:v>7.7343490944726661</c:v>
                </c:pt>
                <c:pt idx="109">
                  <c:v>7.7343490944726661</c:v>
                </c:pt>
                <c:pt idx="110">
                  <c:v>7.7343490944726661</c:v>
                </c:pt>
                <c:pt idx="111">
                  <c:v>7.7343490944726661</c:v>
                </c:pt>
                <c:pt idx="112">
                  <c:v>7.7343490944726661</c:v>
                </c:pt>
                <c:pt idx="113">
                  <c:v>7.7343490944726661</c:v>
                </c:pt>
                <c:pt idx="114">
                  <c:v>7.7343490944726661</c:v>
                </c:pt>
                <c:pt idx="115">
                  <c:v>7.7343490944726661</c:v>
                </c:pt>
                <c:pt idx="116">
                  <c:v>7.7343490944726661</c:v>
                </c:pt>
                <c:pt idx="117">
                  <c:v>7.6560773349235101</c:v>
                </c:pt>
                <c:pt idx="118">
                  <c:v>7.6560773349235101</c:v>
                </c:pt>
                <c:pt idx="119">
                  <c:v>7.6560773349235101</c:v>
                </c:pt>
                <c:pt idx="120">
                  <c:v>7.6560773349235101</c:v>
                </c:pt>
                <c:pt idx="121">
                  <c:v>7.6560773349235101</c:v>
                </c:pt>
                <c:pt idx="122">
                  <c:v>7.6560773349235101</c:v>
                </c:pt>
                <c:pt idx="123">
                  <c:v>7.6560773349235101</c:v>
                </c:pt>
                <c:pt idx="124">
                  <c:v>7.6560773349235101</c:v>
                </c:pt>
                <c:pt idx="125">
                  <c:v>7.6560773349235101</c:v>
                </c:pt>
                <c:pt idx="126">
                  <c:v>7.708387709814529</c:v>
                </c:pt>
                <c:pt idx="127">
                  <c:v>7.708387709814529</c:v>
                </c:pt>
                <c:pt idx="128">
                  <c:v>7.8745442467624969</c:v>
                </c:pt>
                <c:pt idx="129">
                  <c:v>7.8745442467624969</c:v>
                </c:pt>
                <c:pt idx="130">
                  <c:v>7.8745442467624969</c:v>
                </c:pt>
                <c:pt idx="131">
                  <c:v>7.8745442467624969</c:v>
                </c:pt>
                <c:pt idx="132">
                  <c:v>8.4350823633544252</c:v>
                </c:pt>
                <c:pt idx="133">
                  <c:v>8.4350823633544252</c:v>
                </c:pt>
                <c:pt idx="134">
                  <c:v>8.4350823633544252</c:v>
                </c:pt>
                <c:pt idx="135">
                  <c:v>8.4350823633544252</c:v>
                </c:pt>
                <c:pt idx="136">
                  <c:v>6.4173930322322565</c:v>
                </c:pt>
                <c:pt idx="137">
                  <c:v>6.4173930322322565</c:v>
                </c:pt>
                <c:pt idx="138">
                  <c:v>6.4173930322322565</c:v>
                </c:pt>
                <c:pt idx="139">
                  <c:v>6.4173930322322565</c:v>
                </c:pt>
                <c:pt idx="140">
                  <c:v>9.7613400884849888</c:v>
                </c:pt>
                <c:pt idx="141">
                  <c:v>9.7613400884849888</c:v>
                </c:pt>
                <c:pt idx="142">
                  <c:v>9.7613400884849888</c:v>
                </c:pt>
                <c:pt idx="143">
                  <c:v>9.7613400884849888</c:v>
                </c:pt>
                <c:pt idx="144">
                  <c:v>9.7613400884849888</c:v>
                </c:pt>
                <c:pt idx="145">
                  <c:v>9.7613400884849888</c:v>
                </c:pt>
                <c:pt idx="146">
                  <c:v>9.7613400884849888</c:v>
                </c:pt>
                <c:pt idx="147">
                  <c:v>9.7613400884849888</c:v>
                </c:pt>
                <c:pt idx="148">
                  <c:v>9.7613400884849888</c:v>
                </c:pt>
                <c:pt idx="149">
                  <c:v>9.7613400884849888</c:v>
                </c:pt>
                <c:pt idx="150">
                  <c:v>9.7613400884849888</c:v>
                </c:pt>
                <c:pt idx="151">
                  <c:v>9.7613400884849888</c:v>
                </c:pt>
                <c:pt idx="152">
                  <c:v>9.7613400884849888</c:v>
                </c:pt>
                <c:pt idx="153">
                  <c:v>9.1974669982652948</c:v>
                </c:pt>
                <c:pt idx="154">
                  <c:v>9.1974669982652948</c:v>
                </c:pt>
                <c:pt idx="155">
                  <c:v>9.1974669982652948</c:v>
                </c:pt>
                <c:pt idx="156">
                  <c:v>9.1974669982652948</c:v>
                </c:pt>
                <c:pt idx="157">
                  <c:v>9.1974669982652948</c:v>
                </c:pt>
                <c:pt idx="158">
                  <c:v>12.990954777900674</c:v>
                </c:pt>
                <c:pt idx="159">
                  <c:v>12.990954777900674</c:v>
                </c:pt>
                <c:pt idx="160">
                  <c:v>12.990954777900674</c:v>
                </c:pt>
                <c:pt idx="161">
                  <c:v>12.990954777900674</c:v>
                </c:pt>
                <c:pt idx="162">
                  <c:v>12.990954777900674</c:v>
                </c:pt>
                <c:pt idx="163">
                  <c:v>12.990954777900674</c:v>
                </c:pt>
                <c:pt idx="164">
                  <c:v>12.990954777900674</c:v>
                </c:pt>
                <c:pt idx="165">
                  <c:v>12.853104024316556</c:v>
                </c:pt>
                <c:pt idx="166">
                  <c:v>11.503161745986388</c:v>
                </c:pt>
                <c:pt idx="167">
                  <c:v>11.503161745986388</c:v>
                </c:pt>
                <c:pt idx="168">
                  <c:v>11.503161745986388</c:v>
                </c:pt>
                <c:pt idx="169">
                  <c:v>11.503161745986388</c:v>
                </c:pt>
                <c:pt idx="170">
                  <c:v>11.503161745986388</c:v>
                </c:pt>
                <c:pt idx="171">
                  <c:v>12.325846424092756</c:v>
                </c:pt>
                <c:pt idx="172">
                  <c:v>11.387347820248037</c:v>
                </c:pt>
                <c:pt idx="173">
                  <c:v>11.387347820248037</c:v>
                </c:pt>
                <c:pt idx="174">
                  <c:v>11.387347820248037</c:v>
                </c:pt>
                <c:pt idx="175">
                  <c:v>11.387347820248037</c:v>
                </c:pt>
                <c:pt idx="176">
                  <c:v>11.387347820248037</c:v>
                </c:pt>
                <c:pt idx="177">
                  <c:v>11.387347820248037</c:v>
                </c:pt>
                <c:pt idx="178">
                  <c:v>12.464802587477148</c:v>
                </c:pt>
                <c:pt idx="179">
                  <c:v>12.464802587477148</c:v>
                </c:pt>
                <c:pt idx="180">
                  <c:v>12.464802587477148</c:v>
                </c:pt>
                <c:pt idx="181">
                  <c:v>12.464802587477148</c:v>
                </c:pt>
                <c:pt idx="182">
                  <c:v>12.464802587477148</c:v>
                </c:pt>
                <c:pt idx="183">
                  <c:v>11.292495043304985</c:v>
                </c:pt>
                <c:pt idx="184">
                  <c:v>11.292495043304985</c:v>
                </c:pt>
                <c:pt idx="185">
                  <c:v>11.292495043304985</c:v>
                </c:pt>
                <c:pt idx="186">
                  <c:v>11.292495043304985</c:v>
                </c:pt>
                <c:pt idx="187">
                  <c:v>11.292495043304985</c:v>
                </c:pt>
                <c:pt idx="188">
                  <c:v>11.292495043304985</c:v>
                </c:pt>
                <c:pt idx="189">
                  <c:v>11.292495043304985</c:v>
                </c:pt>
                <c:pt idx="190">
                  <c:v>11.292495043304985</c:v>
                </c:pt>
                <c:pt idx="191">
                  <c:v>11.292495043304985</c:v>
                </c:pt>
                <c:pt idx="192">
                  <c:v>11.292495043304985</c:v>
                </c:pt>
                <c:pt idx="193">
                  <c:v>11.292495043304985</c:v>
                </c:pt>
                <c:pt idx="194">
                  <c:v>11.292495043304985</c:v>
                </c:pt>
                <c:pt idx="195">
                  <c:v>11.292495043304985</c:v>
                </c:pt>
                <c:pt idx="196">
                  <c:v>11.292495043304985</c:v>
                </c:pt>
                <c:pt idx="197">
                  <c:v>11.292495043304985</c:v>
                </c:pt>
                <c:pt idx="198">
                  <c:v>11.292495043304985</c:v>
                </c:pt>
                <c:pt idx="199">
                  <c:v>11.292495043304985</c:v>
                </c:pt>
                <c:pt idx="200">
                  <c:v>9.3630523370972121</c:v>
                </c:pt>
                <c:pt idx="201">
                  <c:v>9.3630523370972121</c:v>
                </c:pt>
                <c:pt idx="202">
                  <c:v>9.3630523370972121</c:v>
                </c:pt>
                <c:pt idx="203">
                  <c:v>9.2664713056117947</c:v>
                </c:pt>
                <c:pt idx="204">
                  <c:v>10.059269986096032</c:v>
                </c:pt>
                <c:pt idx="205">
                  <c:v>10.059269986096032</c:v>
                </c:pt>
                <c:pt idx="206">
                  <c:v>10.059269986096032</c:v>
                </c:pt>
                <c:pt idx="207">
                  <c:v>10.059269986096032</c:v>
                </c:pt>
                <c:pt idx="208">
                  <c:v>10.242121677474179</c:v>
                </c:pt>
                <c:pt idx="209">
                  <c:v>10.242121677474179</c:v>
                </c:pt>
                <c:pt idx="210">
                  <c:v>10.242121677474179</c:v>
                </c:pt>
                <c:pt idx="211">
                  <c:v>10.242121677474179</c:v>
                </c:pt>
                <c:pt idx="212">
                  <c:v>10.242121677474179</c:v>
                </c:pt>
                <c:pt idx="213">
                  <c:v>10.242121677474179</c:v>
                </c:pt>
                <c:pt idx="214">
                  <c:v>10.242121677474179</c:v>
                </c:pt>
                <c:pt idx="215">
                  <c:v>10.242121677474179</c:v>
                </c:pt>
                <c:pt idx="216">
                  <c:v>10.242121677474179</c:v>
                </c:pt>
                <c:pt idx="217">
                  <c:v>10.242121677474179</c:v>
                </c:pt>
                <c:pt idx="218">
                  <c:v>10.242121677474179</c:v>
                </c:pt>
                <c:pt idx="219">
                  <c:v>10.242121677474179</c:v>
                </c:pt>
                <c:pt idx="220">
                  <c:v>10.242121677474179</c:v>
                </c:pt>
                <c:pt idx="221">
                  <c:v>10.176833888902154</c:v>
                </c:pt>
                <c:pt idx="222">
                  <c:v>10.294457493367863</c:v>
                </c:pt>
                <c:pt idx="223">
                  <c:v>9.8446328777985279</c:v>
                </c:pt>
                <c:pt idx="224">
                  <c:v>9.8446328777985279</c:v>
                </c:pt>
                <c:pt idx="225">
                  <c:v>9.8446328777985279</c:v>
                </c:pt>
                <c:pt idx="226">
                  <c:v>9.8446328777985279</c:v>
                </c:pt>
                <c:pt idx="227">
                  <c:v>10.712061678440325</c:v>
                </c:pt>
                <c:pt idx="228">
                  <c:v>10.712061678440325</c:v>
                </c:pt>
                <c:pt idx="229">
                  <c:v>10.712061678440325</c:v>
                </c:pt>
                <c:pt idx="230">
                  <c:v>10.712061678440325</c:v>
                </c:pt>
                <c:pt idx="231">
                  <c:v>10.85290293409429</c:v>
                </c:pt>
                <c:pt idx="232">
                  <c:v>10.85290293409429</c:v>
                </c:pt>
                <c:pt idx="233">
                  <c:v>10.85290293409429</c:v>
                </c:pt>
                <c:pt idx="234">
                  <c:v>10.85290293409429</c:v>
                </c:pt>
                <c:pt idx="235">
                  <c:v>10.85290293409429</c:v>
                </c:pt>
                <c:pt idx="236">
                  <c:v>12.756501447862298</c:v>
                </c:pt>
                <c:pt idx="237">
                  <c:v>12.756501447862298</c:v>
                </c:pt>
                <c:pt idx="238">
                  <c:v>12.756501447862298</c:v>
                </c:pt>
                <c:pt idx="239">
                  <c:v>12.103344522724129</c:v>
                </c:pt>
                <c:pt idx="240">
                  <c:v>12.604277939027801</c:v>
                </c:pt>
                <c:pt idx="241">
                  <c:v>12.443189340298501</c:v>
                </c:pt>
                <c:pt idx="242">
                  <c:v>11.660387849507131</c:v>
                </c:pt>
                <c:pt idx="243">
                  <c:v>11.649399548815515</c:v>
                </c:pt>
                <c:pt idx="244">
                  <c:v>11.649399548815515</c:v>
                </c:pt>
                <c:pt idx="245">
                  <c:v>11.649399548815515</c:v>
                </c:pt>
                <c:pt idx="246">
                  <c:v>11.649399548815515</c:v>
                </c:pt>
                <c:pt idx="247">
                  <c:v>11.649399548815515</c:v>
                </c:pt>
                <c:pt idx="248">
                  <c:v>11.649399548815515</c:v>
                </c:pt>
                <c:pt idx="249">
                  <c:v>11.649399548815515</c:v>
                </c:pt>
                <c:pt idx="250">
                  <c:v>11.649399548815515</c:v>
                </c:pt>
                <c:pt idx="251">
                  <c:v>11.848740855801125</c:v>
                </c:pt>
                <c:pt idx="252">
                  <c:v>11.848740855801125</c:v>
                </c:pt>
                <c:pt idx="253">
                  <c:v>15.112572962642227</c:v>
                </c:pt>
                <c:pt idx="254">
                  <c:v>17.555678719000994</c:v>
                </c:pt>
                <c:pt idx="255">
                  <c:v>17.555678719000994</c:v>
                </c:pt>
                <c:pt idx="256">
                  <c:v>17.555678719000994</c:v>
                </c:pt>
                <c:pt idx="257">
                  <c:v>17.555678719000994</c:v>
                </c:pt>
                <c:pt idx="258">
                  <c:v>17.555678719000994</c:v>
                </c:pt>
                <c:pt idx="259">
                  <c:v>17.113941918766518</c:v>
                </c:pt>
                <c:pt idx="260">
                  <c:v>17.87231344919687</c:v>
                </c:pt>
                <c:pt idx="261">
                  <c:v>17.87231344919687</c:v>
                </c:pt>
                <c:pt idx="262">
                  <c:v>17.87231344919687</c:v>
                </c:pt>
                <c:pt idx="263">
                  <c:v>17.87231344919687</c:v>
                </c:pt>
                <c:pt idx="264">
                  <c:v>17.87231344919687</c:v>
                </c:pt>
                <c:pt idx="265">
                  <c:v>17.87231344919687</c:v>
                </c:pt>
                <c:pt idx="266">
                  <c:v>17.87231344919687</c:v>
                </c:pt>
                <c:pt idx="267">
                  <c:v>17.681560428940717</c:v>
                </c:pt>
                <c:pt idx="268">
                  <c:v>17.681560428940717</c:v>
                </c:pt>
                <c:pt idx="269">
                  <c:v>17.748427630277256</c:v>
                </c:pt>
                <c:pt idx="270">
                  <c:v>17.748427630277256</c:v>
                </c:pt>
                <c:pt idx="271">
                  <c:v>17.748427630277256</c:v>
                </c:pt>
                <c:pt idx="272">
                  <c:v>17.579398395902857</c:v>
                </c:pt>
                <c:pt idx="273">
                  <c:v>17.579398395902857</c:v>
                </c:pt>
                <c:pt idx="274">
                  <c:v>17.579398395902857</c:v>
                </c:pt>
                <c:pt idx="275">
                  <c:v>17.579398395902857</c:v>
                </c:pt>
                <c:pt idx="276">
                  <c:v>17.579398395902857</c:v>
                </c:pt>
                <c:pt idx="277">
                  <c:v>17.579398395902857</c:v>
                </c:pt>
                <c:pt idx="278">
                  <c:v>16.86061589193395</c:v>
                </c:pt>
                <c:pt idx="279">
                  <c:v>16.86061589193395</c:v>
                </c:pt>
                <c:pt idx="280">
                  <c:v>16.86061589193395</c:v>
                </c:pt>
                <c:pt idx="281">
                  <c:v>16.86061589193395</c:v>
                </c:pt>
                <c:pt idx="282">
                  <c:v>16.86061589193395</c:v>
                </c:pt>
                <c:pt idx="283">
                  <c:v>16.86061589193395</c:v>
                </c:pt>
                <c:pt idx="284">
                  <c:v>16.86061589193395</c:v>
                </c:pt>
                <c:pt idx="285">
                  <c:v>16.86061589193395</c:v>
                </c:pt>
                <c:pt idx="286">
                  <c:v>17.831422354731259</c:v>
                </c:pt>
                <c:pt idx="287">
                  <c:v>17.831422354731259</c:v>
                </c:pt>
                <c:pt idx="288">
                  <c:v>17.831422354731259</c:v>
                </c:pt>
                <c:pt idx="289">
                  <c:v>17.831422354731259</c:v>
                </c:pt>
                <c:pt idx="290">
                  <c:v>17.831422354731259</c:v>
                </c:pt>
                <c:pt idx="291">
                  <c:v>18.67128797623182</c:v>
                </c:pt>
                <c:pt idx="292">
                  <c:v>18.955339712256752</c:v>
                </c:pt>
                <c:pt idx="293">
                  <c:v>18.955339712256752</c:v>
                </c:pt>
                <c:pt idx="294">
                  <c:v>18.955339712256752</c:v>
                </c:pt>
                <c:pt idx="295">
                  <c:v>18.955339712256752</c:v>
                </c:pt>
                <c:pt idx="296">
                  <c:v>18.955339712256752</c:v>
                </c:pt>
                <c:pt idx="297">
                  <c:v>17.664417808227025</c:v>
                </c:pt>
                <c:pt idx="298">
                  <c:v>17.664417808227025</c:v>
                </c:pt>
                <c:pt idx="299">
                  <c:v>17.664417808227025</c:v>
                </c:pt>
                <c:pt idx="300">
                  <c:v>16.967386053187422</c:v>
                </c:pt>
                <c:pt idx="301">
                  <c:v>16.967386053187422</c:v>
                </c:pt>
                <c:pt idx="302">
                  <c:v>17.918929312422989</c:v>
                </c:pt>
                <c:pt idx="303">
                  <c:v>17.918929312422989</c:v>
                </c:pt>
                <c:pt idx="304">
                  <c:v>17.918929312422989</c:v>
                </c:pt>
                <c:pt idx="305">
                  <c:v>17.918929312422989</c:v>
                </c:pt>
                <c:pt idx="306">
                  <c:v>17.918929312422989</c:v>
                </c:pt>
                <c:pt idx="307">
                  <c:v>17.918929312422989</c:v>
                </c:pt>
                <c:pt idx="308">
                  <c:v>23.134712512535174</c:v>
                </c:pt>
                <c:pt idx="309">
                  <c:v>23.552500314582236</c:v>
                </c:pt>
                <c:pt idx="310">
                  <c:v>22.780998999602659</c:v>
                </c:pt>
                <c:pt idx="311">
                  <c:v>22.780998999602659</c:v>
                </c:pt>
                <c:pt idx="312">
                  <c:v>22.462212729532133</c:v>
                </c:pt>
                <c:pt idx="313">
                  <c:v>22.462212729532133</c:v>
                </c:pt>
                <c:pt idx="314">
                  <c:v>22.462212729532133</c:v>
                </c:pt>
                <c:pt idx="315">
                  <c:v>22.462212729532133</c:v>
                </c:pt>
                <c:pt idx="316">
                  <c:v>22.462212729532133</c:v>
                </c:pt>
                <c:pt idx="317">
                  <c:v>22.462212729532133</c:v>
                </c:pt>
                <c:pt idx="318">
                  <c:v>22.462212729532133</c:v>
                </c:pt>
                <c:pt idx="319">
                  <c:v>22.462212729532133</c:v>
                </c:pt>
                <c:pt idx="320">
                  <c:v>22.462212729532133</c:v>
                </c:pt>
                <c:pt idx="321">
                  <c:v>22.462212729532133</c:v>
                </c:pt>
                <c:pt idx="322">
                  <c:v>22.762151850799597</c:v>
                </c:pt>
                <c:pt idx="323">
                  <c:v>22.762151850799597</c:v>
                </c:pt>
                <c:pt idx="324">
                  <c:v>22.762151850799597</c:v>
                </c:pt>
                <c:pt idx="325">
                  <c:v>21.367120327321665</c:v>
                </c:pt>
                <c:pt idx="326">
                  <c:v>19.19648137254174</c:v>
                </c:pt>
                <c:pt idx="327">
                  <c:v>19.19648137254174</c:v>
                </c:pt>
                <c:pt idx="328">
                  <c:v>19.19648137254174</c:v>
                </c:pt>
                <c:pt idx="329">
                  <c:v>19.19648137254174</c:v>
                </c:pt>
                <c:pt idx="330">
                  <c:v>19.19648137254174</c:v>
                </c:pt>
                <c:pt idx="331">
                  <c:v>19.19648137254174</c:v>
                </c:pt>
                <c:pt idx="332">
                  <c:v>18.325526374876258</c:v>
                </c:pt>
                <c:pt idx="333">
                  <c:v>18.325526374876258</c:v>
                </c:pt>
                <c:pt idx="334">
                  <c:v>18.325526374876258</c:v>
                </c:pt>
                <c:pt idx="335">
                  <c:v>18.325526374876258</c:v>
                </c:pt>
                <c:pt idx="336">
                  <c:v>18.325526374876258</c:v>
                </c:pt>
                <c:pt idx="337">
                  <c:v>18.325526374876258</c:v>
                </c:pt>
                <c:pt idx="338">
                  <c:v>18.69431278866081</c:v>
                </c:pt>
                <c:pt idx="339">
                  <c:v>18.69431278866081</c:v>
                </c:pt>
                <c:pt idx="340">
                  <c:v>18.69431278866081</c:v>
                </c:pt>
                <c:pt idx="341">
                  <c:v>18.69431278866081</c:v>
                </c:pt>
                <c:pt idx="342">
                  <c:v>18.69431278866081</c:v>
                </c:pt>
                <c:pt idx="343">
                  <c:v>18.69431278866081</c:v>
                </c:pt>
                <c:pt idx="344">
                  <c:v>18.69431278866081</c:v>
                </c:pt>
                <c:pt idx="345">
                  <c:v>18.69431278866081</c:v>
                </c:pt>
                <c:pt idx="346">
                  <c:v>18.69431278866081</c:v>
                </c:pt>
                <c:pt idx="347">
                  <c:v>18.69431278866081</c:v>
                </c:pt>
                <c:pt idx="348">
                  <c:v>17.410624845398399</c:v>
                </c:pt>
                <c:pt idx="349">
                  <c:v>17.410624845398399</c:v>
                </c:pt>
                <c:pt idx="350">
                  <c:v>16.574086383859939</c:v>
                </c:pt>
                <c:pt idx="351">
                  <c:v>16.574086383859939</c:v>
                </c:pt>
                <c:pt idx="352">
                  <c:v>16.574086383859939</c:v>
                </c:pt>
                <c:pt idx="353">
                  <c:v>16.574086383859939</c:v>
                </c:pt>
                <c:pt idx="354">
                  <c:v>16.574086383859939</c:v>
                </c:pt>
                <c:pt idx="355">
                  <c:v>15.103783024826967</c:v>
                </c:pt>
                <c:pt idx="356">
                  <c:v>15.103783024826967</c:v>
                </c:pt>
                <c:pt idx="357">
                  <c:v>15.103783024826967</c:v>
                </c:pt>
                <c:pt idx="358">
                  <c:v>15.103783024826967</c:v>
                </c:pt>
                <c:pt idx="359">
                  <c:v>15.590696540233131</c:v>
                </c:pt>
                <c:pt idx="360">
                  <c:v>14.900419388753717</c:v>
                </c:pt>
                <c:pt idx="361">
                  <c:v>14.900419388753717</c:v>
                </c:pt>
                <c:pt idx="362">
                  <c:v>13.67185393496869</c:v>
                </c:pt>
                <c:pt idx="363">
                  <c:v>13.67185393496869</c:v>
                </c:pt>
                <c:pt idx="364">
                  <c:v>13.67185393496869</c:v>
                </c:pt>
                <c:pt idx="365">
                  <c:v>13.67185393496869</c:v>
                </c:pt>
                <c:pt idx="366">
                  <c:v>13.67185393496869</c:v>
                </c:pt>
                <c:pt idx="367">
                  <c:v>13.67185393496869</c:v>
                </c:pt>
                <c:pt idx="368">
                  <c:v>13.67185393496869</c:v>
                </c:pt>
                <c:pt idx="369">
                  <c:v>13.67185393496869</c:v>
                </c:pt>
                <c:pt idx="370">
                  <c:v>13.67185393496869</c:v>
                </c:pt>
                <c:pt idx="371">
                  <c:v>13.67185393496869</c:v>
                </c:pt>
                <c:pt idx="372">
                  <c:v>13.67185393496869</c:v>
                </c:pt>
                <c:pt idx="373">
                  <c:v>11.683887388414128</c:v>
                </c:pt>
                <c:pt idx="374">
                  <c:v>11.683887388414128</c:v>
                </c:pt>
                <c:pt idx="375">
                  <c:v>11.683887388414128</c:v>
                </c:pt>
                <c:pt idx="376">
                  <c:v>11.683887388414128</c:v>
                </c:pt>
                <c:pt idx="377">
                  <c:v>11.683887388414128</c:v>
                </c:pt>
                <c:pt idx="378">
                  <c:v>11.683887388414128</c:v>
                </c:pt>
                <c:pt idx="379">
                  <c:v>11.683887388414128</c:v>
                </c:pt>
                <c:pt idx="380">
                  <c:v>11.683887388414128</c:v>
                </c:pt>
                <c:pt idx="381">
                  <c:v>11.683887388414128</c:v>
                </c:pt>
                <c:pt idx="382">
                  <c:v>10.514761942459062</c:v>
                </c:pt>
                <c:pt idx="383">
                  <c:v>10.514761942459062</c:v>
                </c:pt>
                <c:pt idx="384">
                  <c:v>10.514761942459062</c:v>
                </c:pt>
                <c:pt idx="385">
                  <c:v>10.514761942459062</c:v>
                </c:pt>
                <c:pt idx="386">
                  <c:v>10.514761942459062</c:v>
                </c:pt>
                <c:pt idx="387">
                  <c:v>10.514761942459062</c:v>
                </c:pt>
                <c:pt idx="388">
                  <c:v>10.514761942459062</c:v>
                </c:pt>
                <c:pt idx="389">
                  <c:v>10.514761942459062</c:v>
                </c:pt>
                <c:pt idx="390">
                  <c:v>10.514761942459062</c:v>
                </c:pt>
                <c:pt idx="391">
                  <c:v>10.514761942459062</c:v>
                </c:pt>
                <c:pt idx="392">
                  <c:v>10.514761942459062</c:v>
                </c:pt>
                <c:pt idx="393">
                  <c:v>10.514761942459062</c:v>
                </c:pt>
                <c:pt idx="394">
                  <c:v>10.514761942459062</c:v>
                </c:pt>
                <c:pt idx="395">
                  <c:v>10.01739856757891</c:v>
                </c:pt>
                <c:pt idx="396">
                  <c:v>10.01739856757891</c:v>
                </c:pt>
                <c:pt idx="397">
                  <c:v>10.01739856757891</c:v>
                </c:pt>
                <c:pt idx="398">
                  <c:v>10.01739856757891</c:v>
                </c:pt>
                <c:pt idx="399">
                  <c:v>10.01739856757891</c:v>
                </c:pt>
                <c:pt idx="400">
                  <c:v>10.01739856757891</c:v>
                </c:pt>
                <c:pt idx="401">
                  <c:v>10.01739856757891</c:v>
                </c:pt>
                <c:pt idx="402">
                  <c:v>10.01739856757891</c:v>
                </c:pt>
                <c:pt idx="403">
                  <c:v>10.01739856757891</c:v>
                </c:pt>
                <c:pt idx="404">
                  <c:v>10.01739856757891</c:v>
                </c:pt>
                <c:pt idx="405">
                  <c:v>10.01739856757891</c:v>
                </c:pt>
                <c:pt idx="406">
                  <c:v>10.01739856757891</c:v>
                </c:pt>
                <c:pt idx="407">
                  <c:v>10.01739856757891</c:v>
                </c:pt>
                <c:pt idx="408">
                  <c:v>10.01739856757891</c:v>
                </c:pt>
                <c:pt idx="409">
                  <c:v>10.01739856757891</c:v>
                </c:pt>
                <c:pt idx="410">
                  <c:v>10.01739856757891</c:v>
                </c:pt>
                <c:pt idx="411">
                  <c:v>10.01739856757891</c:v>
                </c:pt>
                <c:pt idx="412">
                  <c:v>10.01739856757891</c:v>
                </c:pt>
                <c:pt idx="413">
                  <c:v>10.01739856757891</c:v>
                </c:pt>
                <c:pt idx="414">
                  <c:v>10.01739856757891</c:v>
                </c:pt>
                <c:pt idx="415">
                  <c:v>10.520279308245643</c:v>
                </c:pt>
                <c:pt idx="416">
                  <c:v>10.520279308245643</c:v>
                </c:pt>
                <c:pt idx="417">
                  <c:v>10.520279308245643</c:v>
                </c:pt>
                <c:pt idx="418">
                  <c:v>10.520279308245643</c:v>
                </c:pt>
                <c:pt idx="419">
                  <c:v>10.009379462148743</c:v>
                </c:pt>
                <c:pt idx="420">
                  <c:v>10.009379462148743</c:v>
                </c:pt>
                <c:pt idx="421">
                  <c:v>10.009379462148743</c:v>
                </c:pt>
                <c:pt idx="422">
                  <c:v>10.009379462148743</c:v>
                </c:pt>
                <c:pt idx="423">
                  <c:v>10.009379462148743</c:v>
                </c:pt>
                <c:pt idx="424">
                  <c:v>10.009379462148743</c:v>
                </c:pt>
                <c:pt idx="425">
                  <c:v>10.009379462148743</c:v>
                </c:pt>
                <c:pt idx="426">
                  <c:v>10.009379462148743</c:v>
                </c:pt>
                <c:pt idx="427">
                  <c:v>10.009379462148743</c:v>
                </c:pt>
                <c:pt idx="428">
                  <c:v>10.009379462148743</c:v>
                </c:pt>
                <c:pt idx="429">
                  <c:v>10.009379462148743</c:v>
                </c:pt>
                <c:pt idx="430">
                  <c:v>10.009379462148743</c:v>
                </c:pt>
                <c:pt idx="431">
                  <c:v>10.009379462148743</c:v>
                </c:pt>
                <c:pt idx="432">
                  <c:v>10.009379462148743</c:v>
                </c:pt>
                <c:pt idx="433">
                  <c:v>10.009379462148743</c:v>
                </c:pt>
                <c:pt idx="434">
                  <c:v>10.009379462148743</c:v>
                </c:pt>
                <c:pt idx="435">
                  <c:v>10.009379462148743</c:v>
                </c:pt>
                <c:pt idx="436">
                  <c:v>10.009379462148743</c:v>
                </c:pt>
                <c:pt idx="437">
                  <c:v>10.009379462148743</c:v>
                </c:pt>
                <c:pt idx="438">
                  <c:v>10.009379462148743</c:v>
                </c:pt>
                <c:pt idx="439">
                  <c:v>10.009379462148743</c:v>
                </c:pt>
                <c:pt idx="440">
                  <c:v>10.009379462148743</c:v>
                </c:pt>
                <c:pt idx="441">
                  <c:v>10.009379462148743</c:v>
                </c:pt>
                <c:pt idx="442">
                  <c:v>10.009379462148743</c:v>
                </c:pt>
                <c:pt idx="443">
                  <c:v>10.009379462148743</c:v>
                </c:pt>
                <c:pt idx="444">
                  <c:v>10.009379462148743</c:v>
                </c:pt>
              </c:numCache>
            </c:numRef>
          </c:val>
          <c:smooth val="0"/>
          <c:extLst>
            <c:ext xmlns:c16="http://schemas.microsoft.com/office/drawing/2014/chart" uri="{C3380CC4-5D6E-409C-BE32-E72D297353CC}">
              <c16:uniqueId val="{00000001-689C-45D2-933D-5E9D61CF8ADB}"/>
            </c:ext>
          </c:extLst>
        </c:ser>
        <c:dLbls>
          <c:showLegendKey val="0"/>
          <c:showVal val="0"/>
          <c:showCatName val="0"/>
          <c:showSerName val="0"/>
          <c:showPercent val="0"/>
          <c:showBubbleSize val="0"/>
        </c:dLbls>
        <c:marker val="1"/>
        <c:smooth val="0"/>
        <c:axId val="139438544"/>
        <c:axId val="139432304"/>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139432304"/>
        <c:scaling>
          <c:orientation val="minMax"/>
          <c:max val="24"/>
          <c:min val="-1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9438544"/>
        <c:crosses val="max"/>
        <c:crossBetween val="between"/>
      </c:valAx>
      <c:catAx>
        <c:axId val="139438544"/>
        <c:scaling>
          <c:orientation val="minMax"/>
        </c:scaling>
        <c:delete val="1"/>
        <c:axPos val="b"/>
        <c:majorTickMark val="out"/>
        <c:minorTickMark val="none"/>
        <c:tickLblPos val="nextTo"/>
        <c:crossAx val="139432304"/>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DOWN</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4707956661126704"/>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'2025-Q1'!$A$4:$A$448</c:f>
              <c:strCache>
                <c:ptCount val="445"/>
                <c:pt idx="0">
                  <c:v>STZ</c:v>
                </c:pt>
                <c:pt idx="1">
                  <c:v>DAL</c:v>
                </c:pt>
                <c:pt idx="2">
                  <c:v>WBA</c:v>
                </c:pt>
                <c:pt idx="3">
                  <c:v>JPM</c:v>
                </c:pt>
                <c:pt idx="4">
                  <c:v>WFC</c:v>
                </c:pt>
                <c:pt idx="5">
                  <c:v>GS</c:v>
                </c:pt>
                <c:pt idx="6">
                  <c:v>BLK</c:v>
                </c:pt>
                <c:pt idx="7">
                  <c:v>C</c:v>
                </c:pt>
                <c:pt idx="8">
                  <c:v>BK</c:v>
                </c:pt>
                <c:pt idx="9">
                  <c:v>UNH</c:v>
                </c:pt>
                <c:pt idx="10">
                  <c:v>BAC</c:v>
                </c:pt>
                <c:pt idx="11">
                  <c:v>MS</c:v>
                </c:pt>
                <c:pt idx="12">
                  <c:v>PNC</c:v>
                </c:pt>
                <c:pt idx="13">
                  <c:v>USB</c:v>
                </c:pt>
                <c:pt idx="14">
                  <c:v>MTB</c:v>
                </c:pt>
                <c:pt idx="15">
                  <c:v>JBHT</c:v>
                </c:pt>
                <c:pt idx="16">
                  <c:v>TFC</c:v>
                </c:pt>
                <c:pt idx="17">
                  <c:v>SLB</c:v>
                </c:pt>
                <c:pt idx="18">
                  <c:v>FAST</c:v>
                </c:pt>
                <c:pt idx="19">
                  <c:v>STT</c:v>
                </c:pt>
                <c:pt idx="20">
                  <c:v>HBAN</c:v>
                </c:pt>
                <c:pt idx="21">
                  <c:v>RF</c:v>
                </c:pt>
                <c:pt idx="22">
                  <c:v>CFG</c:v>
                </c:pt>
                <c:pt idx="23">
                  <c:v>SCHW</c:v>
                </c:pt>
                <c:pt idx="24">
                  <c:v>MMM</c:v>
                </c:pt>
                <c:pt idx="25">
                  <c:v>DHI</c:v>
                </c:pt>
                <c:pt idx="26">
                  <c:v>FITB</c:v>
                </c:pt>
                <c:pt idx="27">
                  <c:v>KEY</c:v>
                </c:pt>
                <c:pt idx="28">
                  <c:v>NFLX</c:v>
                </c:pt>
                <c:pt idx="29">
                  <c:v>COF</c:v>
                </c:pt>
                <c:pt idx="30">
                  <c:v>UAL</c:v>
                </c:pt>
                <c:pt idx="31">
                  <c:v>STX</c:v>
                </c:pt>
                <c:pt idx="32">
                  <c:v>PG</c:v>
                </c:pt>
                <c:pt idx="33">
                  <c:v>JNJ</c:v>
                </c:pt>
                <c:pt idx="34">
                  <c:v>ABT</c:v>
                </c:pt>
                <c:pt idx="35">
                  <c:v>GEV</c:v>
                </c:pt>
                <c:pt idx="36">
                  <c:v>APH</c:v>
                </c:pt>
                <c:pt idx="37">
                  <c:v>TRV</c:v>
                </c:pt>
                <c:pt idx="38">
                  <c:v>TEL</c:v>
                </c:pt>
                <c:pt idx="39">
                  <c:v>HAL</c:v>
                </c:pt>
                <c:pt idx="40">
                  <c:v>TDY</c:v>
                </c:pt>
                <c:pt idx="41">
                  <c:v>TXT</c:v>
                </c:pt>
                <c:pt idx="42">
                  <c:v>KMI</c:v>
                </c:pt>
                <c:pt idx="43">
                  <c:v>DFS</c:v>
                </c:pt>
                <c:pt idx="44">
                  <c:v>STLD</c:v>
                </c:pt>
                <c:pt idx="45">
                  <c:v>GE</c:v>
                </c:pt>
                <c:pt idx="46">
                  <c:v>UNP</c:v>
                </c:pt>
                <c:pt idx="47">
                  <c:v>ELV</c:v>
                </c:pt>
                <c:pt idx="48">
                  <c:v>FCX</c:v>
                </c:pt>
                <c:pt idx="49">
                  <c:v>NTRS</c:v>
                </c:pt>
                <c:pt idx="50">
                  <c:v>MKC</c:v>
                </c:pt>
                <c:pt idx="51">
                  <c:v>ISRG</c:v>
                </c:pt>
                <c:pt idx="52">
                  <c:v>TXN</c:v>
                </c:pt>
                <c:pt idx="53">
                  <c:v>CSX</c:v>
                </c:pt>
                <c:pt idx="54">
                  <c:v>AXP</c:v>
                </c:pt>
                <c:pt idx="55">
                  <c:v>VZ</c:v>
                </c:pt>
                <c:pt idx="56">
                  <c:v>HCA</c:v>
                </c:pt>
                <c:pt idx="57">
                  <c:v>T</c:v>
                </c:pt>
                <c:pt idx="58">
                  <c:v>NUE</c:v>
                </c:pt>
                <c:pt idx="59">
                  <c:v>BRO</c:v>
                </c:pt>
                <c:pt idx="60">
                  <c:v>WRB</c:v>
                </c:pt>
                <c:pt idx="61">
                  <c:v>RTX</c:v>
                </c:pt>
                <c:pt idx="62">
                  <c:v>LMT</c:v>
                </c:pt>
                <c:pt idx="63">
                  <c:v>BA</c:v>
                </c:pt>
                <c:pt idx="64">
                  <c:v>RCL</c:v>
                </c:pt>
                <c:pt idx="65">
                  <c:v>GM</c:v>
                </c:pt>
                <c:pt idx="66">
                  <c:v>PCAR</c:v>
                </c:pt>
                <c:pt idx="67">
                  <c:v>KMB</c:v>
                </c:pt>
                <c:pt idx="68">
                  <c:v>SYY</c:v>
                </c:pt>
                <c:pt idx="69">
                  <c:v>SYF</c:v>
                </c:pt>
                <c:pt idx="70">
                  <c:v>IVZ</c:v>
                </c:pt>
                <c:pt idx="71">
                  <c:v>SYK</c:v>
                </c:pt>
                <c:pt idx="72">
                  <c:v>CB</c:v>
                </c:pt>
                <c:pt idx="73">
                  <c:v>SBUX</c:v>
                </c:pt>
                <c:pt idx="74">
                  <c:v>PKG</c:v>
                </c:pt>
                <c:pt idx="75">
                  <c:v>FFIV</c:v>
                </c:pt>
                <c:pt idx="76">
                  <c:v>TMUS</c:v>
                </c:pt>
                <c:pt idx="77">
                  <c:v>DHR</c:v>
                </c:pt>
                <c:pt idx="78">
                  <c:v>PGR</c:v>
                </c:pt>
                <c:pt idx="79">
                  <c:v>ADP</c:v>
                </c:pt>
                <c:pt idx="80">
                  <c:v>GD</c:v>
                </c:pt>
                <c:pt idx="81">
                  <c:v>NSC</c:v>
                </c:pt>
                <c:pt idx="82">
                  <c:v>NDAQ</c:v>
                </c:pt>
                <c:pt idx="83">
                  <c:v>HES</c:v>
                </c:pt>
                <c:pt idx="84">
                  <c:v>GLW</c:v>
                </c:pt>
                <c:pt idx="85">
                  <c:v>OTIS</c:v>
                </c:pt>
                <c:pt idx="86">
                  <c:v>MSFT</c:v>
                </c:pt>
                <c:pt idx="87">
                  <c:v>META</c:v>
                </c:pt>
                <c:pt idx="88">
                  <c:v>TSLA</c:v>
                </c:pt>
                <c:pt idx="89">
                  <c:v>IBM</c:v>
                </c:pt>
                <c:pt idx="90">
                  <c:v>LRCX</c:v>
                </c:pt>
                <c:pt idx="91">
                  <c:v>WM</c:v>
                </c:pt>
                <c:pt idx="92">
                  <c:v>AMP</c:v>
                </c:pt>
                <c:pt idx="93">
                  <c:v>URI</c:v>
                </c:pt>
                <c:pt idx="94">
                  <c:v>LVS</c:v>
                </c:pt>
                <c:pt idx="95">
                  <c:v>RJF</c:v>
                </c:pt>
                <c:pt idx="96">
                  <c:v>WDC</c:v>
                </c:pt>
                <c:pt idx="97">
                  <c:v>TER</c:v>
                </c:pt>
                <c:pt idx="98">
                  <c:v>CHRW</c:v>
                </c:pt>
                <c:pt idx="99">
                  <c:v>DLB</c:v>
                </c:pt>
                <c:pt idx="100">
                  <c:v>MA</c:v>
                </c:pt>
                <c:pt idx="101">
                  <c:v>BX</c:v>
                </c:pt>
                <c:pt idx="102">
                  <c:v>TMO</c:v>
                </c:pt>
                <c:pt idx="103">
                  <c:v>CAT</c:v>
                </c:pt>
                <c:pt idx="104">
                  <c:v>CMCSA</c:v>
                </c:pt>
                <c:pt idx="105">
                  <c:v>UPS</c:v>
                </c:pt>
                <c:pt idx="106">
                  <c:v>MMC</c:v>
                </c:pt>
                <c:pt idx="107">
                  <c:v>MO</c:v>
                </c:pt>
                <c:pt idx="108">
                  <c:v>SHW</c:v>
                </c:pt>
                <c:pt idx="109">
                  <c:v>TT</c:v>
                </c:pt>
                <c:pt idx="110">
                  <c:v>CI</c:v>
                </c:pt>
                <c:pt idx="111">
                  <c:v>PH</c:v>
                </c:pt>
                <c:pt idx="112">
                  <c:v>NOC</c:v>
                </c:pt>
                <c:pt idx="113">
                  <c:v>ROP</c:v>
                </c:pt>
                <c:pt idx="114">
                  <c:v>LHX</c:v>
                </c:pt>
                <c:pt idx="115">
                  <c:v>VLO</c:v>
                </c:pt>
                <c:pt idx="116">
                  <c:v>DOW</c:v>
                </c:pt>
                <c:pt idx="117">
                  <c:v>CAH</c:v>
                </c:pt>
                <c:pt idx="118">
                  <c:v>TSCO</c:v>
                </c:pt>
                <c:pt idx="119">
                  <c:v>DOV</c:v>
                </c:pt>
                <c:pt idx="120">
                  <c:v>PHM</c:v>
                </c:pt>
                <c:pt idx="121">
                  <c:v>IP</c:v>
                </c:pt>
                <c:pt idx="122">
                  <c:v>LUV</c:v>
                </c:pt>
                <c:pt idx="123">
                  <c:v>DGX</c:v>
                </c:pt>
                <c:pt idx="124">
                  <c:v>AVY</c:v>
                </c:pt>
                <c:pt idx="125">
                  <c:v>AOS</c:v>
                </c:pt>
                <c:pt idx="126">
                  <c:v>DT</c:v>
                </c:pt>
                <c:pt idx="127">
                  <c:v>AAPL</c:v>
                </c:pt>
                <c:pt idx="128">
                  <c:v>V</c:v>
                </c:pt>
                <c:pt idx="129">
                  <c:v>INTC</c:v>
                </c:pt>
                <c:pt idx="130">
                  <c:v>KLAC</c:v>
                </c:pt>
                <c:pt idx="131">
                  <c:v>AJG</c:v>
                </c:pt>
                <c:pt idx="132">
                  <c:v>BKR</c:v>
                </c:pt>
                <c:pt idx="133">
                  <c:v>RMD</c:v>
                </c:pt>
                <c:pt idx="134">
                  <c:v>HIG</c:v>
                </c:pt>
                <c:pt idx="135">
                  <c:v>PPG</c:v>
                </c:pt>
                <c:pt idx="136">
                  <c:v>DECK</c:v>
                </c:pt>
                <c:pt idx="137">
                  <c:v>GEN</c:v>
                </c:pt>
                <c:pt idx="138">
                  <c:v>SMCI</c:v>
                </c:pt>
                <c:pt idx="139">
                  <c:v>EMN</c:v>
                </c:pt>
                <c:pt idx="140">
                  <c:v>TEAM</c:v>
                </c:pt>
                <c:pt idx="141">
                  <c:v>APPF</c:v>
                </c:pt>
                <c:pt idx="142">
                  <c:v>XOM</c:v>
                </c:pt>
                <c:pt idx="143">
                  <c:v>ABBV</c:v>
                </c:pt>
                <c:pt idx="144">
                  <c:v>CVX</c:v>
                </c:pt>
                <c:pt idx="145">
                  <c:v>ETN</c:v>
                </c:pt>
                <c:pt idx="146">
                  <c:v>AON</c:v>
                </c:pt>
                <c:pt idx="147">
                  <c:v>CL</c:v>
                </c:pt>
                <c:pt idx="148">
                  <c:v>CHTR</c:v>
                </c:pt>
                <c:pt idx="149">
                  <c:v>GWW</c:v>
                </c:pt>
                <c:pt idx="150">
                  <c:v>PSX</c:v>
                </c:pt>
                <c:pt idx="151">
                  <c:v>CHD</c:v>
                </c:pt>
                <c:pt idx="152">
                  <c:v>LYB</c:v>
                </c:pt>
                <c:pt idx="153">
                  <c:v>BR</c:v>
                </c:pt>
                <c:pt idx="154">
                  <c:v>RVTY</c:v>
                </c:pt>
                <c:pt idx="155">
                  <c:v>BEN</c:v>
                </c:pt>
                <c:pt idx="156">
                  <c:v>IDXX</c:v>
                </c:pt>
                <c:pt idx="157">
                  <c:v>TSN</c:v>
                </c:pt>
                <c:pt idx="158">
                  <c:v>PLTR</c:v>
                </c:pt>
                <c:pt idx="159">
                  <c:v>NXPI</c:v>
                </c:pt>
                <c:pt idx="160">
                  <c:v>CLX</c:v>
                </c:pt>
                <c:pt idx="161">
                  <c:v>EG</c:v>
                </c:pt>
                <c:pt idx="162">
                  <c:v>MRK</c:v>
                </c:pt>
                <c:pt idx="163">
                  <c:v>PEP</c:v>
                </c:pt>
                <c:pt idx="164">
                  <c:v>PFE</c:v>
                </c:pt>
                <c:pt idx="165">
                  <c:v>KKR</c:v>
                </c:pt>
                <c:pt idx="166">
                  <c:v>PYPL</c:v>
                </c:pt>
                <c:pt idx="167">
                  <c:v>REGN</c:v>
                </c:pt>
                <c:pt idx="168">
                  <c:v>MPC</c:v>
                </c:pt>
                <c:pt idx="169">
                  <c:v>CMI</c:v>
                </c:pt>
                <c:pt idx="170">
                  <c:v>AME</c:v>
                </c:pt>
                <c:pt idx="171">
                  <c:v>IT</c:v>
                </c:pt>
                <c:pt idx="172">
                  <c:v>WTW</c:v>
                </c:pt>
                <c:pt idx="173">
                  <c:v>CNC</c:v>
                </c:pt>
                <c:pt idx="174">
                  <c:v>XYL</c:v>
                </c:pt>
                <c:pt idx="175">
                  <c:v>ADM</c:v>
                </c:pt>
                <c:pt idx="176">
                  <c:v>HUBB</c:v>
                </c:pt>
                <c:pt idx="177">
                  <c:v>EL</c:v>
                </c:pt>
                <c:pt idx="178">
                  <c:v>FOX</c:v>
                </c:pt>
                <c:pt idx="179">
                  <c:v>BALL</c:v>
                </c:pt>
                <c:pt idx="180">
                  <c:v>PNR</c:v>
                </c:pt>
                <c:pt idx="181">
                  <c:v>J</c:v>
                </c:pt>
                <c:pt idx="182">
                  <c:v>AMCR</c:v>
                </c:pt>
                <c:pt idx="183">
                  <c:v>GOOG</c:v>
                </c:pt>
                <c:pt idx="184">
                  <c:v>AMD</c:v>
                </c:pt>
                <c:pt idx="185">
                  <c:v>AMGN</c:v>
                </c:pt>
                <c:pt idx="186">
                  <c:v>MDLZ</c:v>
                </c:pt>
                <c:pt idx="187">
                  <c:v>CMG</c:v>
                </c:pt>
                <c:pt idx="188">
                  <c:v>FICO</c:v>
                </c:pt>
                <c:pt idx="189">
                  <c:v>PRU</c:v>
                </c:pt>
                <c:pt idx="190">
                  <c:v>EA</c:v>
                </c:pt>
                <c:pt idx="191">
                  <c:v>VLTO</c:v>
                </c:pt>
                <c:pt idx="192">
                  <c:v>OMC</c:v>
                </c:pt>
                <c:pt idx="193">
                  <c:v>IEX</c:v>
                </c:pt>
                <c:pt idx="194">
                  <c:v>JKHY</c:v>
                </c:pt>
                <c:pt idx="195">
                  <c:v>ENPH</c:v>
                </c:pt>
                <c:pt idx="196">
                  <c:v>MTCH</c:v>
                </c:pt>
                <c:pt idx="197">
                  <c:v>FMC</c:v>
                </c:pt>
                <c:pt idx="198">
                  <c:v>SNAP</c:v>
                </c:pt>
                <c:pt idx="199">
                  <c:v>VRNS</c:v>
                </c:pt>
                <c:pt idx="200">
                  <c:v>INTA</c:v>
                </c:pt>
                <c:pt idx="201">
                  <c:v>DIS</c:v>
                </c:pt>
                <c:pt idx="202">
                  <c:v>UBER</c:v>
                </c:pt>
                <c:pt idx="203">
                  <c:v>BSX</c:v>
                </c:pt>
                <c:pt idx="204">
                  <c:v>FI</c:v>
                </c:pt>
                <c:pt idx="205">
                  <c:v>ITW</c:v>
                </c:pt>
                <c:pt idx="206">
                  <c:v>EMR</c:v>
                </c:pt>
                <c:pt idx="207">
                  <c:v>JCI</c:v>
                </c:pt>
                <c:pt idx="208">
                  <c:v>COR</c:v>
                </c:pt>
                <c:pt idx="209">
                  <c:v>TROW</c:v>
                </c:pt>
                <c:pt idx="210">
                  <c:v>CDW</c:v>
                </c:pt>
                <c:pt idx="211">
                  <c:v>SWK</c:v>
                </c:pt>
                <c:pt idx="212">
                  <c:v>BG</c:v>
                </c:pt>
                <c:pt idx="213">
                  <c:v>DAY</c:v>
                </c:pt>
                <c:pt idx="214">
                  <c:v>TECH</c:v>
                </c:pt>
                <c:pt idx="215">
                  <c:v>QCOM</c:v>
                </c:pt>
                <c:pt idx="216">
                  <c:v>MCK</c:v>
                </c:pt>
                <c:pt idx="217">
                  <c:v>AFL</c:v>
                </c:pt>
                <c:pt idx="218">
                  <c:v>MET</c:v>
                </c:pt>
                <c:pt idx="219">
                  <c:v>ALL</c:v>
                </c:pt>
                <c:pt idx="220">
                  <c:v>F</c:v>
                </c:pt>
                <c:pt idx="221">
                  <c:v>CTVA</c:v>
                </c:pt>
                <c:pt idx="222">
                  <c:v>CTSH</c:v>
                </c:pt>
                <c:pt idx="223">
                  <c:v>CPAY</c:v>
                </c:pt>
                <c:pt idx="224">
                  <c:v>PTC</c:v>
                </c:pt>
                <c:pt idx="225">
                  <c:v>STE</c:v>
                </c:pt>
                <c:pt idx="226">
                  <c:v>HOLX</c:v>
                </c:pt>
                <c:pt idx="227">
                  <c:v>NWS</c:v>
                </c:pt>
                <c:pt idx="228">
                  <c:v>MOH</c:v>
                </c:pt>
                <c:pt idx="229">
                  <c:v>ALGN</c:v>
                </c:pt>
                <c:pt idx="230">
                  <c:v>SWKS</c:v>
                </c:pt>
                <c:pt idx="231">
                  <c:v>GL</c:v>
                </c:pt>
                <c:pt idx="232">
                  <c:v>MSTR</c:v>
                </c:pt>
                <c:pt idx="233">
                  <c:v>TENB</c:v>
                </c:pt>
                <c:pt idx="234">
                  <c:v>LLY</c:v>
                </c:pt>
                <c:pt idx="235">
                  <c:v>LIN</c:v>
                </c:pt>
                <c:pt idx="236">
                  <c:v>PM</c:v>
                </c:pt>
                <c:pt idx="237">
                  <c:v>HON</c:v>
                </c:pt>
                <c:pt idx="238">
                  <c:v>COP</c:v>
                </c:pt>
                <c:pt idx="239">
                  <c:v>BMY</c:v>
                </c:pt>
                <c:pt idx="240">
                  <c:v>ICE</c:v>
                </c:pt>
                <c:pt idx="241">
                  <c:v>APD</c:v>
                </c:pt>
                <c:pt idx="242">
                  <c:v>BDX</c:v>
                </c:pt>
                <c:pt idx="243">
                  <c:v>HLT</c:v>
                </c:pt>
                <c:pt idx="244">
                  <c:v>KVUE</c:v>
                </c:pt>
                <c:pt idx="245">
                  <c:v>YUM</c:v>
                </c:pt>
                <c:pt idx="246">
                  <c:v>HSY</c:v>
                </c:pt>
                <c:pt idx="247">
                  <c:v>IQV</c:v>
                </c:pt>
                <c:pt idx="248">
                  <c:v>ROK</c:v>
                </c:pt>
                <c:pt idx="249">
                  <c:v>EFX</c:v>
                </c:pt>
                <c:pt idx="250">
                  <c:v>ZBH</c:v>
                </c:pt>
                <c:pt idx="251">
                  <c:v>LH</c:v>
                </c:pt>
                <c:pt idx="252">
                  <c:v>SNA</c:v>
                </c:pt>
                <c:pt idx="253">
                  <c:v>TPR</c:v>
                </c:pt>
                <c:pt idx="254">
                  <c:v>RL</c:v>
                </c:pt>
                <c:pt idx="255">
                  <c:v>APTV</c:v>
                </c:pt>
                <c:pt idx="256">
                  <c:v>MKTX</c:v>
                </c:pt>
                <c:pt idx="257">
                  <c:v>HII</c:v>
                </c:pt>
                <c:pt idx="258">
                  <c:v>BWA</c:v>
                </c:pt>
                <c:pt idx="259">
                  <c:v>AMZN</c:v>
                </c:pt>
                <c:pt idx="260">
                  <c:v>FTNT</c:v>
                </c:pt>
                <c:pt idx="261">
                  <c:v>MCHP</c:v>
                </c:pt>
                <c:pt idx="262">
                  <c:v>TTWO</c:v>
                </c:pt>
                <c:pt idx="263">
                  <c:v>MPWR</c:v>
                </c:pt>
                <c:pt idx="264">
                  <c:v>MTD</c:v>
                </c:pt>
                <c:pt idx="265">
                  <c:v>EXPE</c:v>
                </c:pt>
                <c:pt idx="266">
                  <c:v>PFG</c:v>
                </c:pt>
                <c:pt idx="267">
                  <c:v>VRSN</c:v>
                </c:pt>
                <c:pt idx="268">
                  <c:v>MHK</c:v>
                </c:pt>
                <c:pt idx="269">
                  <c:v>FTV</c:v>
                </c:pt>
                <c:pt idx="270">
                  <c:v>MCD</c:v>
                </c:pt>
                <c:pt idx="271">
                  <c:v>ON</c:v>
                </c:pt>
                <c:pt idx="272">
                  <c:v>L</c:v>
                </c:pt>
                <c:pt idx="273">
                  <c:v>INCY</c:v>
                </c:pt>
                <c:pt idx="274">
                  <c:v>ACGL</c:v>
                </c:pt>
                <c:pt idx="275">
                  <c:v>CINF</c:v>
                </c:pt>
                <c:pt idx="276">
                  <c:v>KO</c:v>
                </c:pt>
                <c:pt idx="277">
                  <c:v>SPGI</c:v>
                </c:pt>
                <c:pt idx="278">
                  <c:v>MAR</c:v>
                </c:pt>
                <c:pt idx="279">
                  <c:v>ECL</c:v>
                </c:pt>
                <c:pt idx="280">
                  <c:v>CARR</c:v>
                </c:pt>
                <c:pt idx="281">
                  <c:v>FIS</c:v>
                </c:pt>
                <c:pt idx="282">
                  <c:v>HUM</c:v>
                </c:pt>
                <c:pt idx="283">
                  <c:v>DD</c:v>
                </c:pt>
                <c:pt idx="284">
                  <c:v>LDOS</c:v>
                </c:pt>
                <c:pt idx="285">
                  <c:v>MAS</c:v>
                </c:pt>
                <c:pt idx="286">
                  <c:v>GILD</c:v>
                </c:pt>
                <c:pt idx="287">
                  <c:v>AIG</c:v>
                </c:pt>
                <c:pt idx="288">
                  <c:v>EW</c:v>
                </c:pt>
                <c:pt idx="289">
                  <c:v>AIZ</c:v>
                </c:pt>
                <c:pt idx="290">
                  <c:v>CFLT</c:v>
                </c:pt>
                <c:pt idx="291">
                  <c:v>FRSH</c:v>
                </c:pt>
                <c:pt idx="292">
                  <c:v>CME</c:v>
                </c:pt>
                <c:pt idx="293">
                  <c:v>CVS</c:v>
                </c:pt>
                <c:pt idx="294">
                  <c:v>IPG</c:v>
                </c:pt>
                <c:pt idx="295">
                  <c:v>KHC</c:v>
                </c:pt>
                <c:pt idx="296">
                  <c:v>MLM</c:v>
                </c:pt>
                <c:pt idx="297">
                  <c:v>WAB</c:v>
                </c:pt>
                <c:pt idx="298">
                  <c:v>SW</c:v>
                </c:pt>
                <c:pt idx="299">
                  <c:v>BIIB</c:v>
                </c:pt>
                <c:pt idx="300">
                  <c:v>WAT</c:v>
                </c:pt>
                <c:pt idx="301">
                  <c:v>GNRC</c:v>
                </c:pt>
                <c:pt idx="302">
                  <c:v>CSCO</c:v>
                </c:pt>
                <c:pt idx="303">
                  <c:v>WMB</c:v>
                </c:pt>
                <c:pt idx="304">
                  <c:v>ROL</c:v>
                </c:pt>
                <c:pt idx="305">
                  <c:v>ALB</c:v>
                </c:pt>
                <c:pt idx="306">
                  <c:v>PAYC</c:v>
                </c:pt>
                <c:pt idx="307">
                  <c:v>MGM</c:v>
                </c:pt>
                <c:pt idx="308">
                  <c:v>APP</c:v>
                </c:pt>
                <c:pt idx="309">
                  <c:v>MCO</c:v>
                </c:pt>
                <c:pt idx="310">
                  <c:v>DE</c:v>
                </c:pt>
                <c:pt idx="311">
                  <c:v>ZTS</c:v>
                </c:pt>
                <c:pt idx="312">
                  <c:v>HWM</c:v>
                </c:pt>
                <c:pt idx="313">
                  <c:v>GEHC</c:v>
                </c:pt>
                <c:pt idx="314">
                  <c:v>GPN</c:v>
                </c:pt>
                <c:pt idx="315">
                  <c:v>WST</c:v>
                </c:pt>
                <c:pt idx="316">
                  <c:v>ZBRA</c:v>
                </c:pt>
                <c:pt idx="317">
                  <c:v>TAP</c:v>
                </c:pt>
                <c:pt idx="318">
                  <c:v>DDOG</c:v>
                </c:pt>
                <c:pt idx="319">
                  <c:v>MSI</c:v>
                </c:pt>
                <c:pt idx="320">
                  <c:v>ABNB</c:v>
                </c:pt>
                <c:pt idx="321">
                  <c:v>AMAT</c:v>
                </c:pt>
                <c:pt idx="322">
                  <c:v>RSG</c:v>
                </c:pt>
                <c:pt idx="323">
                  <c:v>IR</c:v>
                </c:pt>
                <c:pt idx="324">
                  <c:v>DXCM</c:v>
                </c:pt>
                <c:pt idx="325">
                  <c:v>GDDY</c:v>
                </c:pt>
                <c:pt idx="326">
                  <c:v>DVA</c:v>
                </c:pt>
                <c:pt idx="327">
                  <c:v>WYNN</c:v>
                </c:pt>
                <c:pt idx="328">
                  <c:v>PANW</c:v>
                </c:pt>
                <c:pt idx="329">
                  <c:v>PCOR</c:v>
                </c:pt>
                <c:pt idx="330">
                  <c:v>MRNA</c:v>
                </c:pt>
                <c:pt idx="331">
                  <c:v>GPC</c:v>
                </c:pt>
                <c:pt idx="332">
                  <c:v>MDT</c:v>
                </c:pt>
                <c:pt idx="333">
                  <c:v>VMC</c:v>
                </c:pt>
                <c:pt idx="334">
                  <c:v>EXPD</c:v>
                </c:pt>
                <c:pt idx="335">
                  <c:v>ALLE</c:v>
                </c:pt>
                <c:pt idx="336">
                  <c:v>ANET</c:v>
                </c:pt>
                <c:pt idx="337">
                  <c:v>CDNS</c:v>
                </c:pt>
                <c:pt idx="338">
                  <c:v>EQT</c:v>
                </c:pt>
                <c:pt idx="339">
                  <c:v>IFF</c:v>
                </c:pt>
                <c:pt idx="340">
                  <c:v>CE</c:v>
                </c:pt>
                <c:pt idx="341">
                  <c:v>CRL</c:v>
                </c:pt>
                <c:pt idx="342">
                  <c:v>TRMB</c:v>
                </c:pt>
                <c:pt idx="343">
                  <c:v>ADI</c:v>
                </c:pt>
                <c:pt idx="344">
                  <c:v>GRMN</c:v>
                </c:pt>
                <c:pt idx="345">
                  <c:v>CF</c:v>
                </c:pt>
                <c:pt idx="346">
                  <c:v>NDSN</c:v>
                </c:pt>
                <c:pt idx="347">
                  <c:v>CWAN</c:v>
                </c:pt>
                <c:pt idx="348">
                  <c:v>KVYO</c:v>
                </c:pt>
                <c:pt idx="349">
                  <c:v>BAX</c:v>
                </c:pt>
                <c:pt idx="350">
                  <c:v>WMT</c:v>
                </c:pt>
                <c:pt idx="351">
                  <c:v>PWR</c:v>
                </c:pt>
                <c:pt idx="352">
                  <c:v>TRGP</c:v>
                </c:pt>
                <c:pt idx="353">
                  <c:v>BLDR</c:v>
                </c:pt>
                <c:pt idx="354">
                  <c:v>POOL</c:v>
                </c:pt>
                <c:pt idx="355">
                  <c:v>EPAM</c:v>
                </c:pt>
                <c:pt idx="356">
                  <c:v>LKQ</c:v>
                </c:pt>
                <c:pt idx="357">
                  <c:v>HAS</c:v>
                </c:pt>
                <c:pt idx="358">
                  <c:v>U</c:v>
                </c:pt>
                <c:pt idx="359">
                  <c:v>LYV</c:v>
                </c:pt>
                <c:pt idx="360">
                  <c:v>PODD</c:v>
                </c:pt>
                <c:pt idx="361">
                  <c:v>AKAM</c:v>
                </c:pt>
                <c:pt idx="362">
                  <c:v>DBX</c:v>
                </c:pt>
                <c:pt idx="363">
                  <c:v>CPRT</c:v>
                </c:pt>
                <c:pt idx="364">
                  <c:v>HD</c:v>
                </c:pt>
                <c:pt idx="365">
                  <c:v>KDP</c:v>
                </c:pt>
                <c:pt idx="366">
                  <c:v>NCLH</c:v>
                </c:pt>
                <c:pt idx="367">
                  <c:v>HSIC</c:v>
                </c:pt>
                <c:pt idx="368">
                  <c:v>INTU</c:v>
                </c:pt>
                <c:pt idx="369">
                  <c:v>AXON</c:v>
                </c:pt>
                <c:pt idx="370">
                  <c:v>FSLR</c:v>
                </c:pt>
                <c:pt idx="371">
                  <c:v>CZR</c:v>
                </c:pt>
                <c:pt idx="372">
                  <c:v>ZETA</c:v>
                </c:pt>
                <c:pt idx="373">
                  <c:v>VRSK</c:v>
                </c:pt>
                <c:pt idx="374">
                  <c:v>LOW</c:v>
                </c:pt>
                <c:pt idx="375">
                  <c:v>TJX</c:v>
                </c:pt>
                <c:pt idx="376">
                  <c:v>NTNX</c:v>
                </c:pt>
                <c:pt idx="377">
                  <c:v>PARA</c:v>
                </c:pt>
                <c:pt idx="378">
                  <c:v>SNPS</c:v>
                </c:pt>
                <c:pt idx="379">
                  <c:v>NVDA</c:v>
                </c:pt>
                <c:pt idx="380">
                  <c:v>CRM</c:v>
                </c:pt>
                <c:pt idx="381">
                  <c:v>A</c:v>
                </c:pt>
                <c:pt idx="382">
                  <c:v>EBAY</c:v>
                </c:pt>
                <c:pt idx="383">
                  <c:v>UHS</c:v>
                </c:pt>
                <c:pt idx="384">
                  <c:v>AI</c:v>
                </c:pt>
                <c:pt idx="385">
                  <c:v>SJM</c:v>
                </c:pt>
                <c:pt idx="386">
                  <c:v>VTRS</c:v>
                </c:pt>
                <c:pt idx="387">
                  <c:v>WBD</c:v>
                </c:pt>
                <c:pt idx="388">
                  <c:v>HRL</c:v>
                </c:pt>
                <c:pt idx="389">
                  <c:v>MOS</c:v>
                </c:pt>
                <c:pt idx="390">
                  <c:v>DELL</c:v>
                </c:pt>
                <c:pt idx="391">
                  <c:v>ADSK</c:v>
                </c:pt>
                <c:pt idx="392">
                  <c:v>HPQ</c:v>
                </c:pt>
                <c:pt idx="393">
                  <c:v>NTAP</c:v>
                </c:pt>
                <c:pt idx="394">
                  <c:v>ERIE</c:v>
                </c:pt>
                <c:pt idx="395">
                  <c:v>SOLV</c:v>
                </c:pt>
                <c:pt idx="396">
                  <c:v>ESTC</c:v>
                </c:pt>
                <c:pt idx="397">
                  <c:v>MNST</c:v>
                </c:pt>
                <c:pt idx="398">
                  <c:v>GTLB</c:v>
                </c:pt>
                <c:pt idx="399">
                  <c:v>GCT</c:v>
                </c:pt>
                <c:pt idx="400">
                  <c:v>ASTS</c:v>
                </c:pt>
                <c:pt idx="401">
                  <c:v>BBY</c:v>
                </c:pt>
                <c:pt idx="402">
                  <c:v>TGT</c:v>
                </c:pt>
                <c:pt idx="403">
                  <c:v>BOX</c:v>
                </c:pt>
                <c:pt idx="404">
                  <c:v>CRWD</c:v>
                </c:pt>
                <c:pt idx="405">
                  <c:v>ROST</c:v>
                </c:pt>
                <c:pt idx="406">
                  <c:v>FL</c:v>
                </c:pt>
                <c:pt idx="407">
                  <c:v>ANF</c:v>
                </c:pt>
                <c:pt idx="408">
                  <c:v>REVG</c:v>
                </c:pt>
                <c:pt idx="409">
                  <c:v>CPB</c:v>
                </c:pt>
                <c:pt idx="410">
                  <c:v>VSCO</c:v>
                </c:pt>
                <c:pt idx="411">
                  <c:v>MEI</c:v>
                </c:pt>
                <c:pt idx="412">
                  <c:v>ZS</c:v>
                </c:pt>
                <c:pt idx="413">
                  <c:v>M</c:v>
                </c:pt>
                <c:pt idx="414">
                  <c:v>BURL</c:v>
                </c:pt>
                <c:pt idx="415">
                  <c:v>BJ</c:v>
                </c:pt>
                <c:pt idx="416">
                  <c:v>TTC</c:v>
                </c:pt>
                <c:pt idx="417">
                  <c:v>GAP</c:v>
                </c:pt>
                <c:pt idx="418">
                  <c:v>AVGO</c:v>
                </c:pt>
                <c:pt idx="419">
                  <c:v>COST</c:v>
                </c:pt>
                <c:pt idx="420">
                  <c:v>HPE</c:v>
                </c:pt>
                <c:pt idx="421">
                  <c:v>COO</c:v>
                </c:pt>
                <c:pt idx="422">
                  <c:v>ASAN</c:v>
                </c:pt>
                <c:pt idx="423">
                  <c:v>ORCL</c:v>
                </c:pt>
                <c:pt idx="424">
                  <c:v>DKS</c:v>
                </c:pt>
                <c:pt idx="425">
                  <c:v>CIEN</c:v>
                </c:pt>
                <c:pt idx="426">
                  <c:v>AEO</c:v>
                </c:pt>
                <c:pt idx="427">
                  <c:v>ADBE</c:v>
                </c:pt>
                <c:pt idx="428">
                  <c:v>S</c:v>
                </c:pt>
                <c:pt idx="429">
                  <c:v>PATH</c:v>
                </c:pt>
                <c:pt idx="430">
                  <c:v>DG</c:v>
                </c:pt>
                <c:pt idx="431">
                  <c:v>DOCU</c:v>
                </c:pt>
                <c:pt idx="432">
                  <c:v>ULTA</c:v>
                </c:pt>
                <c:pt idx="433">
                  <c:v>SMTC</c:v>
                </c:pt>
                <c:pt idx="434">
                  <c:v>KODK</c:v>
                </c:pt>
                <c:pt idx="435">
                  <c:v>HQY</c:v>
                </c:pt>
                <c:pt idx="436">
                  <c:v>WSM</c:v>
                </c:pt>
                <c:pt idx="437">
                  <c:v>OLLI</c:v>
                </c:pt>
                <c:pt idx="438">
                  <c:v>GIS</c:v>
                </c:pt>
                <c:pt idx="439">
                  <c:v>MU</c:v>
                </c:pt>
                <c:pt idx="440">
                  <c:v>NKE</c:v>
                </c:pt>
                <c:pt idx="441">
                  <c:v>LEN</c:v>
                </c:pt>
                <c:pt idx="442">
                  <c:v>CCL</c:v>
                </c:pt>
                <c:pt idx="443">
                  <c:v>CHWY</c:v>
                </c:pt>
                <c:pt idx="444">
                  <c:v>DLTR</c:v>
                </c:pt>
              </c:strCache>
            </c:strRef>
          </c:cat>
          <c:val>
            <c:numRef>
              <c:f>'2025-Q1'!$V$4:$V$448</c:f>
              <c:numCache>
                <c:formatCode>0.0</c:formatCode>
                <c:ptCount val="445"/>
                <c:pt idx="0">
                  <c:v>1.2290222546515868</c:v>
                </c:pt>
                <c:pt idx="1">
                  <c:v>0</c:v>
                </c:pt>
                <c:pt idx="2">
                  <c:v>0</c:v>
                </c:pt>
                <c:pt idx="3">
                  <c:v>0</c:v>
                </c:pt>
                <c:pt idx="4">
                  <c:v>0</c:v>
                </c:pt>
                <c:pt idx="5">
                  <c:v>0</c:v>
                </c:pt>
                <c:pt idx="6">
                  <c:v>0</c:v>
                </c:pt>
                <c:pt idx="7">
                  <c:v>0</c:v>
                </c:pt>
                <c:pt idx="8">
                  <c:v>0</c:v>
                </c:pt>
                <c:pt idx="9">
                  <c:v>0.40085630512924314</c:v>
                </c:pt>
                <c:pt idx="10">
                  <c:v>0</c:v>
                </c:pt>
                <c:pt idx="11">
                  <c:v>0</c:v>
                </c:pt>
                <c:pt idx="12">
                  <c:v>0</c:v>
                </c:pt>
                <c:pt idx="13">
                  <c:v>0</c:v>
                </c:pt>
                <c:pt idx="14">
                  <c:v>0</c:v>
                </c:pt>
                <c:pt idx="15">
                  <c:v>0</c:v>
                </c:pt>
                <c:pt idx="16">
                  <c:v>0</c:v>
                </c:pt>
                <c:pt idx="17">
                  <c:v>-0.42995051512938903</c:v>
                </c:pt>
                <c:pt idx="18">
                  <c:v>-0.34773304801390975</c:v>
                </c:pt>
                <c:pt idx="19">
                  <c:v>0</c:v>
                </c:pt>
                <c:pt idx="20">
                  <c:v>0</c:v>
                </c:pt>
                <c:pt idx="21">
                  <c:v>0</c:v>
                </c:pt>
                <c:pt idx="22">
                  <c:v>0</c:v>
                </c:pt>
                <c:pt idx="23">
                  <c:v>0</c:v>
                </c:pt>
                <c:pt idx="24">
                  <c:v>0</c:v>
                </c:pt>
                <c:pt idx="25">
                  <c:v>-0.47973811942657352</c:v>
                </c:pt>
                <c:pt idx="26">
                  <c:v>0</c:v>
                </c:pt>
                <c:pt idx="27">
                  <c:v>0</c:v>
                </c:pt>
                <c:pt idx="28">
                  <c:v>0</c:v>
                </c:pt>
                <c:pt idx="29">
                  <c:v>0</c:v>
                </c:pt>
                <c:pt idx="30">
                  <c:v>0</c:v>
                </c:pt>
                <c:pt idx="31">
                  <c:v>0</c:v>
                </c:pt>
                <c:pt idx="32">
                  <c:v>0</c:v>
                </c:pt>
                <c:pt idx="33">
                  <c:v>0.46686916413544804</c:v>
                </c:pt>
                <c:pt idx="34">
                  <c:v>0</c:v>
                </c:pt>
                <c:pt idx="35">
                  <c:v>0</c:v>
                </c:pt>
                <c:pt idx="36">
                  <c:v>0</c:v>
                </c:pt>
                <c:pt idx="37">
                  <c:v>0</c:v>
                </c:pt>
                <c:pt idx="38">
                  <c:v>0</c:v>
                </c:pt>
                <c:pt idx="39">
                  <c:v>0.29913082740715896</c:v>
                </c:pt>
                <c:pt idx="40">
                  <c:v>0</c:v>
                </c:pt>
                <c:pt idx="41">
                  <c:v>0</c:v>
                </c:pt>
                <c:pt idx="42">
                  <c:v>0</c:v>
                </c:pt>
                <c:pt idx="43">
                  <c:v>0</c:v>
                </c:pt>
                <c:pt idx="44">
                  <c:v>0</c:v>
                </c:pt>
                <c:pt idx="45">
                  <c:v>0</c:v>
                </c:pt>
                <c:pt idx="46">
                  <c:v>0</c:v>
                </c:pt>
                <c:pt idx="47">
                  <c:v>0</c:v>
                </c:pt>
                <c:pt idx="48">
                  <c:v>0.41783917455444924</c:v>
                </c:pt>
                <c:pt idx="49">
                  <c:v>0</c:v>
                </c:pt>
                <c:pt idx="50">
                  <c:v>0</c:v>
                </c:pt>
                <c:pt idx="51">
                  <c:v>0</c:v>
                </c:pt>
                <c:pt idx="52">
                  <c:v>0</c:v>
                </c:pt>
                <c:pt idx="53">
                  <c:v>0</c:v>
                </c:pt>
                <c:pt idx="54">
                  <c:v>0</c:v>
                </c:pt>
                <c:pt idx="55">
                  <c:v>-0.39561000510464578</c:v>
                </c:pt>
                <c:pt idx="56">
                  <c:v>0</c:v>
                </c:pt>
                <c:pt idx="57">
                  <c:v>0</c:v>
                </c:pt>
                <c:pt idx="58">
                  <c:v>0</c:v>
                </c:pt>
                <c:pt idx="59">
                  <c:v>0</c:v>
                </c:pt>
                <c:pt idx="60">
                  <c:v>0</c:v>
                </c:pt>
                <c:pt idx="61">
                  <c:v>0</c:v>
                </c:pt>
                <c:pt idx="62">
                  <c:v>0.99234317404223527</c:v>
                </c:pt>
                <c:pt idx="63">
                  <c:v>0</c:v>
                </c:pt>
                <c:pt idx="64">
                  <c:v>0</c:v>
                </c:pt>
                <c:pt idx="65">
                  <c:v>0</c:v>
                </c:pt>
                <c:pt idx="66">
                  <c:v>0</c:v>
                </c:pt>
                <c:pt idx="67">
                  <c:v>-2.4097607995329982E-2</c:v>
                </c:pt>
                <c:pt idx="68">
                  <c:v>0</c:v>
                </c:pt>
                <c:pt idx="69">
                  <c:v>0</c:v>
                </c:pt>
                <c:pt idx="70">
                  <c:v>0</c:v>
                </c:pt>
                <c:pt idx="71">
                  <c:v>0</c:v>
                </c:pt>
                <c:pt idx="72">
                  <c:v>0.26077055863664694</c:v>
                </c:pt>
                <c:pt idx="73">
                  <c:v>0</c:v>
                </c:pt>
                <c:pt idx="74">
                  <c:v>0</c:v>
                </c:pt>
                <c:pt idx="75">
                  <c:v>0</c:v>
                </c:pt>
                <c:pt idx="76">
                  <c:v>0</c:v>
                </c:pt>
                <c:pt idx="77">
                  <c:v>0</c:v>
                </c:pt>
                <c:pt idx="78">
                  <c:v>0</c:v>
                </c:pt>
                <c:pt idx="79">
                  <c:v>0</c:v>
                </c:pt>
                <c:pt idx="80">
                  <c:v>0.55540744690304811</c:v>
                </c:pt>
                <c:pt idx="81">
                  <c:v>0</c:v>
                </c:pt>
                <c:pt idx="82">
                  <c:v>0</c:v>
                </c:pt>
                <c:pt idx="83">
                  <c:v>0</c:v>
                </c:pt>
                <c:pt idx="84">
                  <c:v>0</c:v>
                </c:pt>
                <c:pt idx="85">
                  <c:v>0</c:v>
                </c:pt>
                <c:pt idx="86">
                  <c:v>0</c:v>
                </c:pt>
                <c:pt idx="87">
                  <c:v>0</c:v>
                </c:pt>
                <c:pt idx="88">
                  <c:v>0</c:v>
                </c:pt>
                <c:pt idx="89">
                  <c:v>0</c:v>
                </c:pt>
                <c:pt idx="90">
                  <c:v>0</c:v>
                </c:pt>
                <c:pt idx="91">
                  <c:v>0</c:v>
                </c:pt>
                <c:pt idx="92">
                  <c:v>0</c:v>
                </c:pt>
                <c:pt idx="93">
                  <c:v>0</c:v>
                </c:pt>
                <c:pt idx="94">
                  <c:v>-1.5619003760841199</c:v>
                </c:pt>
                <c:pt idx="95">
                  <c:v>0</c:v>
                </c:pt>
                <c:pt idx="96">
                  <c:v>0</c:v>
                </c:pt>
                <c:pt idx="97">
                  <c:v>0</c:v>
                </c:pt>
                <c:pt idx="98">
                  <c:v>0</c:v>
                </c:pt>
                <c:pt idx="99">
                  <c:v>0</c:v>
                </c:pt>
                <c:pt idx="100">
                  <c:v>0</c:v>
                </c:pt>
                <c:pt idx="101">
                  <c:v>0</c:v>
                </c:pt>
                <c:pt idx="102">
                  <c:v>0</c:v>
                </c:pt>
                <c:pt idx="103">
                  <c:v>0</c:v>
                </c:pt>
                <c:pt idx="104">
                  <c:v>1.3115631691648812</c:v>
                </c:pt>
                <c:pt idx="105">
                  <c:v>0</c:v>
                </c:pt>
                <c:pt idx="106">
                  <c:v>0</c:v>
                </c:pt>
                <c:pt idx="107">
                  <c:v>0</c:v>
                </c:pt>
                <c:pt idx="108">
                  <c:v>0</c:v>
                </c:pt>
                <c:pt idx="109">
                  <c:v>0</c:v>
                </c:pt>
                <c:pt idx="110">
                  <c:v>1.5556141681228228</c:v>
                </c:pt>
                <c:pt idx="111">
                  <c:v>0</c:v>
                </c:pt>
                <c:pt idx="112">
                  <c:v>0.33019063836856805</c:v>
                </c:pt>
                <c:pt idx="113">
                  <c:v>0</c:v>
                </c:pt>
                <c:pt idx="114">
                  <c:v>0.35778878666351999</c:v>
                </c:pt>
                <c:pt idx="115">
                  <c:v>0</c:v>
                </c:pt>
                <c:pt idx="116">
                  <c:v>0.70239545269995984</c:v>
                </c:pt>
                <c:pt idx="117">
                  <c:v>0</c:v>
                </c:pt>
                <c:pt idx="118">
                  <c:v>0</c:v>
                </c:pt>
                <c:pt idx="119">
                  <c:v>0</c:v>
                </c:pt>
                <c:pt idx="120">
                  <c:v>-0.50004425170369071</c:v>
                </c:pt>
                <c:pt idx="121">
                  <c:v>0</c:v>
                </c:pt>
                <c:pt idx="122">
                  <c:v>0</c:v>
                </c:pt>
                <c:pt idx="123">
                  <c:v>0</c:v>
                </c:pt>
                <c:pt idx="124">
                  <c:v>0.50714495533323001</c:v>
                </c:pt>
                <c:pt idx="125">
                  <c:v>0.65250890879321699</c:v>
                </c:pt>
                <c:pt idx="126">
                  <c:v>0</c:v>
                </c:pt>
                <c:pt idx="127">
                  <c:v>0</c:v>
                </c:pt>
                <c:pt idx="128">
                  <c:v>0</c:v>
                </c:pt>
                <c:pt idx="129">
                  <c:v>0</c:v>
                </c:pt>
                <c:pt idx="130">
                  <c:v>0</c:v>
                </c:pt>
                <c:pt idx="131">
                  <c:v>0</c:v>
                </c:pt>
                <c:pt idx="132">
                  <c:v>0</c:v>
                </c:pt>
                <c:pt idx="133">
                  <c:v>0</c:v>
                </c:pt>
                <c:pt idx="134">
                  <c:v>0</c:v>
                </c:pt>
                <c:pt idx="135">
                  <c:v>1.0522742701968772</c:v>
                </c:pt>
                <c:pt idx="136">
                  <c:v>0</c:v>
                </c:pt>
                <c:pt idx="137">
                  <c:v>0</c:v>
                </c:pt>
                <c:pt idx="138">
                  <c:v>-3.4916201117317393E-2</c:v>
                </c:pt>
                <c:pt idx="139">
                  <c:v>-1.4855580734505962</c:v>
                </c:pt>
                <c:pt idx="140">
                  <c:v>0</c:v>
                </c:pt>
                <c:pt idx="141">
                  <c:v>0</c:v>
                </c:pt>
                <c:pt idx="142">
                  <c:v>-0.14906756715646072</c:v>
                </c:pt>
                <c:pt idx="143">
                  <c:v>-1.1054179713445305</c:v>
                </c:pt>
                <c:pt idx="144">
                  <c:v>0</c:v>
                </c:pt>
                <c:pt idx="145">
                  <c:v>0</c:v>
                </c:pt>
                <c:pt idx="146">
                  <c:v>0</c:v>
                </c:pt>
                <c:pt idx="147">
                  <c:v>1.0012102541533709</c:v>
                </c:pt>
                <c:pt idx="148">
                  <c:v>-1.194720060206365</c:v>
                </c:pt>
                <c:pt idx="149">
                  <c:v>0</c:v>
                </c:pt>
                <c:pt idx="150">
                  <c:v>0.12137261392474837</c:v>
                </c:pt>
                <c:pt idx="151">
                  <c:v>0</c:v>
                </c:pt>
                <c:pt idx="152">
                  <c:v>-0.37659835347696591</c:v>
                </c:pt>
                <c:pt idx="153">
                  <c:v>0</c:v>
                </c:pt>
                <c:pt idx="154">
                  <c:v>0</c:v>
                </c:pt>
                <c:pt idx="155">
                  <c:v>-0.5376344086021505</c:v>
                </c:pt>
                <c:pt idx="156">
                  <c:v>0</c:v>
                </c:pt>
                <c:pt idx="157">
                  <c:v>-0.27438484687555281</c:v>
                </c:pt>
                <c:pt idx="158">
                  <c:v>0</c:v>
                </c:pt>
                <c:pt idx="159">
                  <c:v>-0.25317898370211284</c:v>
                </c:pt>
                <c:pt idx="160">
                  <c:v>0</c:v>
                </c:pt>
                <c:pt idx="161">
                  <c:v>0</c:v>
                </c:pt>
                <c:pt idx="162">
                  <c:v>1.8333333333333313</c:v>
                </c:pt>
                <c:pt idx="163">
                  <c:v>0.4625008318360323</c:v>
                </c:pt>
                <c:pt idx="164">
                  <c:v>0</c:v>
                </c:pt>
                <c:pt idx="165">
                  <c:v>0</c:v>
                </c:pt>
                <c:pt idx="166">
                  <c:v>0</c:v>
                </c:pt>
                <c:pt idx="167">
                  <c:v>0.42113418809827352</c:v>
                </c:pt>
                <c:pt idx="168">
                  <c:v>-2.2675736961473591E-3</c:v>
                </c:pt>
                <c:pt idx="169">
                  <c:v>0</c:v>
                </c:pt>
                <c:pt idx="170">
                  <c:v>0</c:v>
                </c:pt>
                <c:pt idx="171">
                  <c:v>0</c:v>
                </c:pt>
                <c:pt idx="172">
                  <c:v>0</c:v>
                </c:pt>
                <c:pt idx="173">
                  <c:v>0</c:v>
                </c:pt>
                <c:pt idx="174">
                  <c:v>0</c:v>
                </c:pt>
                <c:pt idx="175">
                  <c:v>0.506464081034254</c:v>
                </c:pt>
                <c:pt idx="176">
                  <c:v>0</c:v>
                </c:pt>
                <c:pt idx="177">
                  <c:v>1.2625347348072962</c:v>
                </c:pt>
                <c:pt idx="178">
                  <c:v>0</c:v>
                </c:pt>
                <c:pt idx="179">
                  <c:v>1.0775862068965512</c:v>
                </c:pt>
                <c:pt idx="180">
                  <c:v>0</c:v>
                </c:pt>
                <c:pt idx="181">
                  <c:v>0</c:v>
                </c:pt>
                <c:pt idx="182">
                  <c:v>-0.61018131101813067</c:v>
                </c:pt>
                <c:pt idx="183">
                  <c:v>0</c:v>
                </c:pt>
                <c:pt idx="184">
                  <c:v>1.6582984658298474</c:v>
                </c:pt>
                <c:pt idx="185">
                  <c:v>0</c:v>
                </c:pt>
                <c:pt idx="186">
                  <c:v>0.55535756711807927</c:v>
                </c:pt>
                <c:pt idx="187">
                  <c:v>0</c:v>
                </c:pt>
                <c:pt idx="188">
                  <c:v>1.4768562008436017</c:v>
                </c:pt>
                <c:pt idx="189">
                  <c:v>0</c:v>
                </c:pt>
                <c:pt idx="190">
                  <c:v>-0.79587628865979332</c:v>
                </c:pt>
                <c:pt idx="191">
                  <c:v>4.7864263550539098E-2</c:v>
                </c:pt>
                <c:pt idx="192">
                  <c:v>-4.4112006137321719E-2</c:v>
                </c:pt>
                <c:pt idx="193">
                  <c:v>0</c:v>
                </c:pt>
                <c:pt idx="194">
                  <c:v>0</c:v>
                </c:pt>
                <c:pt idx="195">
                  <c:v>-0.56603773584905537</c:v>
                </c:pt>
                <c:pt idx="196">
                  <c:v>0</c:v>
                </c:pt>
                <c:pt idx="197">
                  <c:v>5.5884529977794228</c:v>
                </c:pt>
                <c:pt idx="198">
                  <c:v>8.6206896551724796E-2</c:v>
                </c:pt>
                <c:pt idx="199">
                  <c:v>1.2916310845431269</c:v>
                </c:pt>
                <c:pt idx="200">
                  <c:v>0</c:v>
                </c:pt>
                <c:pt idx="201">
                  <c:v>0</c:v>
                </c:pt>
                <c:pt idx="202">
                  <c:v>0</c:v>
                </c:pt>
                <c:pt idx="203">
                  <c:v>0</c:v>
                </c:pt>
                <c:pt idx="204">
                  <c:v>0</c:v>
                </c:pt>
                <c:pt idx="205">
                  <c:v>0</c:v>
                </c:pt>
                <c:pt idx="206">
                  <c:v>0</c:v>
                </c:pt>
                <c:pt idx="207">
                  <c:v>0</c:v>
                </c:pt>
                <c:pt idx="208">
                  <c:v>0</c:v>
                </c:pt>
                <c:pt idx="209">
                  <c:v>0</c:v>
                </c:pt>
                <c:pt idx="210">
                  <c:v>0</c:v>
                </c:pt>
                <c:pt idx="211">
                  <c:v>0.70390030002307702</c:v>
                </c:pt>
                <c:pt idx="212">
                  <c:v>0.83533280014218236</c:v>
                </c:pt>
                <c:pt idx="213">
                  <c:v>0</c:v>
                </c:pt>
                <c:pt idx="214">
                  <c:v>0</c:v>
                </c:pt>
                <c:pt idx="215">
                  <c:v>0</c:v>
                </c:pt>
                <c:pt idx="216">
                  <c:v>0</c:v>
                </c:pt>
                <c:pt idx="217">
                  <c:v>0</c:v>
                </c:pt>
                <c:pt idx="218">
                  <c:v>0</c:v>
                </c:pt>
                <c:pt idx="219">
                  <c:v>0</c:v>
                </c:pt>
                <c:pt idx="220">
                  <c:v>0.86580086580086468</c:v>
                </c:pt>
                <c:pt idx="221">
                  <c:v>0</c:v>
                </c:pt>
                <c:pt idx="222">
                  <c:v>0</c:v>
                </c:pt>
                <c:pt idx="223">
                  <c:v>0</c:v>
                </c:pt>
                <c:pt idx="224">
                  <c:v>0</c:v>
                </c:pt>
                <c:pt idx="225">
                  <c:v>0</c:v>
                </c:pt>
                <c:pt idx="226">
                  <c:v>1.0989010989010974</c:v>
                </c:pt>
                <c:pt idx="227">
                  <c:v>0</c:v>
                </c:pt>
                <c:pt idx="228">
                  <c:v>1.5730313449628308</c:v>
                </c:pt>
                <c:pt idx="229">
                  <c:v>-0.8550563875023105</c:v>
                </c:pt>
                <c:pt idx="230">
                  <c:v>4.6949165518297349</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0.16473802635808285</c:v>
                </c:pt>
                <c:pt idx="245">
                  <c:v>0</c:v>
                </c:pt>
                <c:pt idx="246">
                  <c:v>-1.0656524122807032</c:v>
                </c:pt>
                <c:pt idx="247">
                  <c:v>0</c:v>
                </c:pt>
                <c:pt idx="248">
                  <c:v>-0.10903311649911183</c:v>
                </c:pt>
                <c:pt idx="249">
                  <c:v>0</c:v>
                </c:pt>
                <c:pt idx="250">
                  <c:v>0</c:v>
                </c:pt>
                <c:pt idx="251">
                  <c:v>0</c:v>
                </c:pt>
                <c:pt idx="252">
                  <c:v>0</c:v>
                </c:pt>
                <c:pt idx="253">
                  <c:v>0</c:v>
                </c:pt>
                <c:pt idx="254">
                  <c:v>0</c:v>
                </c:pt>
                <c:pt idx="255">
                  <c:v>0</c:v>
                </c:pt>
                <c:pt idx="256">
                  <c:v>-0.92054997391494453</c:v>
                </c:pt>
                <c:pt idx="257">
                  <c:v>2.0784333776459771</c:v>
                </c:pt>
                <c:pt idx="258">
                  <c:v>-0.36894449791466033</c:v>
                </c:pt>
                <c:pt idx="259">
                  <c:v>0</c:v>
                </c:pt>
                <c:pt idx="260">
                  <c:v>0</c:v>
                </c:pt>
                <c:pt idx="261">
                  <c:v>0.26674198204983413</c:v>
                </c:pt>
                <c:pt idx="262">
                  <c:v>0</c:v>
                </c:pt>
                <c:pt idx="263">
                  <c:v>0</c:v>
                </c:pt>
                <c:pt idx="264">
                  <c:v>0</c:v>
                </c:pt>
                <c:pt idx="265">
                  <c:v>0</c:v>
                </c:pt>
                <c:pt idx="266">
                  <c:v>0</c:v>
                </c:pt>
                <c:pt idx="267">
                  <c:v>0</c:v>
                </c:pt>
                <c:pt idx="268">
                  <c:v>-0.41403623841928361</c:v>
                </c:pt>
                <c:pt idx="269">
                  <c:v>0</c:v>
                </c:pt>
                <c:pt idx="270">
                  <c:v>0</c:v>
                </c:pt>
                <c:pt idx="271">
                  <c:v>0.10081300813008327</c:v>
                </c:pt>
                <c:pt idx="272">
                  <c:v>0</c:v>
                </c:pt>
                <c:pt idx="273">
                  <c:v>0</c:v>
                </c:pt>
                <c:pt idx="274">
                  <c:v>0.35716888986077588</c:v>
                </c:pt>
                <c:pt idx="275">
                  <c:v>-0.72383620901538315</c:v>
                </c:pt>
                <c:pt idx="276">
                  <c:v>0</c:v>
                </c:pt>
                <c:pt idx="277">
                  <c:v>0</c:v>
                </c:pt>
                <c:pt idx="278">
                  <c:v>0</c:v>
                </c:pt>
                <c:pt idx="279">
                  <c:v>0</c:v>
                </c:pt>
                <c:pt idx="280">
                  <c:v>0.43535155266999048</c:v>
                </c:pt>
                <c:pt idx="281">
                  <c:v>0</c:v>
                </c:pt>
                <c:pt idx="282">
                  <c:v>-0.42666166916541509</c:v>
                </c:pt>
                <c:pt idx="283">
                  <c:v>-0.76492700410875081</c:v>
                </c:pt>
                <c:pt idx="284">
                  <c:v>-0.55333753589689549</c:v>
                </c:pt>
                <c:pt idx="285">
                  <c:v>0</c:v>
                </c:pt>
                <c:pt idx="286">
                  <c:v>0</c:v>
                </c:pt>
                <c:pt idx="287">
                  <c:v>0</c:v>
                </c:pt>
                <c:pt idx="288">
                  <c:v>0</c:v>
                </c:pt>
                <c:pt idx="289">
                  <c:v>0</c:v>
                </c:pt>
                <c:pt idx="290">
                  <c:v>0</c:v>
                </c:pt>
                <c:pt idx="291">
                  <c:v>0</c:v>
                </c:pt>
                <c:pt idx="292">
                  <c:v>0</c:v>
                </c:pt>
                <c:pt idx="293">
                  <c:v>0</c:v>
                </c:pt>
                <c:pt idx="294">
                  <c:v>0.12268433321065153</c:v>
                </c:pt>
                <c:pt idx="295">
                  <c:v>1.1550597250394405</c:v>
                </c:pt>
                <c:pt idx="296">
                  <c:v>0</c:v>
                </c:pt>
                <c:pt idx="297">
                  <c:v>0</c:v>
                </c:pt>
                <c:pt idx="298">
                  <c:v>0</c:v>
                </c:pt>
                <c:pt idx="299">
                  <c:v>0.31446540880503215</c:v>
                </c:pt>
                <c:pt idx="300">
                  <c:v>0</c:v>
                </c:pt>
                <c:pt idx="301">
                  <c:v>-7.643102394054696E-2</c:v>
                </c:pt>
                <c:pt idx="302">
                  <c:v>0</c:v>
                </c:pt>
                <c:pt idx="303">
                  <c:v>0</c:v>
                </c:pt>
                <c:pt idx="304">
                  <c:v>0</c:v>
                </c:pt>
                <c:pt idx="305">
                  <c:v>-0.71801566579634835</c:v>
                </c:pt>
                <c:pt idx="306">
                  <c:v>0</c:v>
                </c:pt>
                <c:pt idx="307">
                  <c:v>-2.0269614974299306</c:v>
                </c:pt>
                <c:pt idx="308">
                  <c:v>0</c:v>
                </c:pt>
                <c:pt idx="309">
                  <c:v>0</c:v>
                </c:pt>
                <c:pt idx="310">
                  <c:v>0</c:v>
                </c:pt>
                <c:pt idx="311">
                  <c:v>0</c:v>
                </c:pt>
                <c:pt idx="312">
                  <c:v>0</c:v>
                </c:pt>
                <c:pt idx="313">
                  <c:v>0</c:v>
                </c:pt>
                <c:pt idx="314">
                  <c:v>0</c:v>
                </c:pt>
                <c:pt idx="315">
                  <c:v>0</c:v>
                </c:pt>
                <c:pt idx="316">
                  <c:v>0</c:v>
                </c:pt>
                <c:pt idx="317">
                  <c:v>-1.1786716557530386</c:v>
                </c:pt>
                <c:pt idx="318">
                  <c:v>0</c:v>
                </c:pt>
                <c:pt idx="319">
                  <c:v>0</c:v>
                </c:pt>
                <c:pt idx="320">
                  <c:v>0</c:v>
                </c:pt>
                <c:pt idx="321">
                  <c:v>0</c:v>
                </c:pt>
                <c:pt idx="322">
                  <c:v>0</c:v>
                </c:pt>
                <c:pt idx="323">
                  <c:v>0.8193769133801535</c:v>
                </c:pt>
                <c:pt idx="324">
                  <c:v>0</c:v>
                </c:pt>
                <c:pt idx="325">
                  <c:v>0</c:v>
                </c:pt>
                <c:pt idx="326">
                  <c:v>0</c:v>
                </c:pt>
                <c:pt idx="327">
                  <c:v>-0.86367590406362671</c:v>
                </c:pt>
                <c:pt idx="328">
                  <c:v>0</c:v>
                </c:pt>
                <c:pt idx="329">
                  <c:v>0</c:v>
                </c:pt>
                <c:pt idx="330">
                  <c:v>0.62656641604010199</c:v>
                </c:pt>
                <c:pt idx="331">
                  <c:v>0</c:v>
                </c:pt>
                <c:pt idx="332">
                  <c:v>0</c:v>
                </c:pt>
                <c:pt idx="333">
                  <c:v>0</c:v>
                </c:pt>
                <c:pt idx="334">
                  <c:v>-0.79483795277899949</c:v>
                </c:pt>
                <c:pt idx="335">
                  <c:v>0</c:v>
                </c:pt>
                <c:pt idx="336">
                  <c:v>0</c:v>
                </c:pt>
                <c:pt idx="337">
                  <c:v>0</c:v>
                </c:pt>
                <c:pt idx="338">
                  <c:v>0</c:v>
                </c:pt>
                <c:pt idx="339">
                  <c:v>1.0526315789473686</c:v>
                </c:pt>
                <c:pt idx="340">
                  <c:v>3.4592094597816248</c:v>
                </c:pt>
                <c:pt idx="341">
                  <c:v>-0.52788393030636671</c:v>
                </c:pt>
                <c:pt idx="342">
                  <c:v>0</c:v>
                </c:pt>
                <c:pt idx="343">
                  <c:v>0</c:v>
                </c:pt>
                <c:pt idx="344">
                  <c:v>0</c:v>
                </c:pt>
                <c:pt idx="345">
                  <c:v>0</c:v>
                </c:pt>
                <c:pt idx="346">
                  <c:v>0.45698801267625033</c:v>
                </c:pt>
                <c:pt idx="347">
                  <c:v>0</c:v>
                </c:pt>
                <c:pt idx="348">
                  <c:v>0</c:v>
                </c:pt>
                <c:pt idx="349">
                  <c:v>-1.3330088686999759</c:v>
                </c:pt>
                <c:pt idx="350">
                  <c:v>0</c:v>
                </c:pt>
                <c:pt idx="351">
                  <c:v>0</c:v>
                </c:pt>
                <c:pt idx="352">
                  <c:v>0</c:v>
                </c:pt>
                <c:pt idx="353">
                  <c:v>-4.1439325920301126E-2</c:v>
                </c:pt>
                <c:pt idx="354">
                  <c:v>0</c:v>
                </c:pt>
                <c:pt idx="355">
                  <c:v>0</c:v>
                </c:pt>
                <c:pt idx="356">
                  <c:v>0</c:v>
                </c:pt>
                <c:pt idx="357">
                  <c:v>-0.80689128775487806</c:v>
                </c:pt>
                <c:pt idx="358">
                  <c:v>0</c:v>
                </c:pt>
                <c:pt idx="359">
                  <c:v>0</c:v>
                </c:pt>
                <c:pt idx="360">
                  <c:v>0</c:v>
                </c:pt>
                <c:pt idx="361">
                  <c:v>0</c:v>
                </c:pt>
                <c:pt idx="362">
                  <c:v>0</c:v>
                </c:pt>
                <c:pt idx="363">
                  <c:v>0</c:v>
                </c:pt>
                <c:pt idx="364">
                  <c:v>0</c:v>
                </c:pt>
                <c:pt idx="365">
                  <c:v>0</c:v>
                </c:pt>
                <c:pt idx="366">
                  <c:v>0</c:v>
                </c:pt>
                <c:pt idx="367">
                  <c:v>0</c:v>
                </c:pt>
                <c:pt idx="368">
                  <c:v>-2.3957789656186086</c:v>
                </c:pt>
                <c:pt idx="369">
                  <c:v>0</c:v>
                </c:pt>
                <c:pt idx="370">
                  <c:v>-0.81321488313214618</c:v>
                </c:pt>
                <c:pt idx="371">
                  <c:v>0</c:v>
                </c:pt>
                <c:pt idx="372">
                  <c:v>0</c:v>
                </c:pt>
                <c:pt idx="373">
                  <c:v>0</c:v>
                </c:pt>
                <c:pt idx="374">
                  <c:v>0</c:v>
                </c:pt>
                <c:pt idx="375">
                  <c:v>0</c:v>
                </c:pt>
                <c:pt idx="376">
                  <c:v>0</c:v>
                </c:pt>
                <c:pt idx="377">
                  <c:v>0</c:v>
                </c:pt>
                <c:pt idx="378">
                  <c:v>0</c:v>
                </c:pt>
                <c:pt idx="379">
                  <c:v>0</c:v>
                </c:pt>
                <c:pt idx="380">
                  <c:v>0</c:v>
                </c:pt>
                <c:pt idx="381">
                  <c:v>0</c:v>
                </c:pt>
                <c:pt idx="382">
                  <c:v>0</c:v>
                </c:pt>
                <c:pt idx="383">
                  <c:v>-0.92253312606410565</c:v>
                </c:pt>
                <c:pt idx="384">
                  <c:v>0</c:v>
                </c:pt>
                <c:pt idx="385">
                  <c:v>0.70156956149993854</c:v>
                </c:pt>
                <c:pt idx="386">
                  <c:v>0</c:v>
                </c:pt>
                <c:pt idx="387">
                  <c:v>0</c:v>
                </c:pt>
                <c:pt idx="388">
                  <c:v>0.1015198978999884</c:v>
                </c:pt>
                <c:pt idx="389">
                  <c:v>0.39192241264780037</c:v>
                </c:pt>
                <c:pt idx="390">
                  <c:v>0</c:v>
                </c:pt>
                <c:pt idx="391">
                  <c:v>0</c:v>
                </c:pt>
                <c:pt idx="392">
                  <c:v>0</c:v>
                </c:pt>
                <c:pt idx="393">
                  <c:v>0</c:v>
                </c:pt>
                <c:pt idx="394">
                  <c:v>-0.26997217969611631</c:v>
                </c:pt>
                <c:pt idx="395">
                  <c:v>0</c:v>
                </c:pt>
                <c:pt idx="396">
                  <c:v>0</c:v>
                </c:pt>
                <c:pt idx="397">
                  <c:v>0</c:v>
                </c:pt>
                <c:pt idx="398">
                  <c:v>0</c:v>
                </c:pt>
                <c:pt idx="399">
                  <c:v>2.1236727045596524</c:v>
                </c:pt>
                <c:pt idx="400">
                  <c:v>0</c:v>
                </c:pt>
                <c:pt idx="401">
                  <c:v>1.4026592882945206</c:v>
                </c:pt>
                <c:pt idx="402">
                  <c:v>0.44992823230650442</c:v>
                </c:pt>
                <c:pt idx="403">
                  <c:v>0</c:v>
                </c:pt>
                <c:pt idx="404">
                  <c:v>0</c:v>
                </c:pt>
                <c:pt idx="405">
                  <c:v>0.80532470397881573</c:v>
                </c:pt>
                <c:pt idx="406">
                  <c:v>-0.74841681059297316</c:v>
                </c:pt>
                <c:pt idx="407">
                  <c:v>2.0757465404224331</c:v>
                </c:pt>
                <c:pt idx="408">
                  <c:v>0</c:v>
                </c:pt>
                <c:pt idx="409">
                  <c:v>0.81411686916273796</c:v>
                </c:pt>
                <c:pt idx="410">
                  <c:v>1.0130571814497975</c:v>
                </c:pt>
                <c:pt idx="411">
                  <c:v>4.1581805838424986</c:v>
                </c:pt>
                <c:pt idx="412">
                  <c:v>0</c:v>
                </c:pt>
                <c:pt idx="413">
                  <c:v>0.82644628099173556</c:v>
                </c:pt>
                <c:pt idx="414">
                  <c:v>0</c:v>
                </c:pt>
                <c:pt idx="415">
                  <c:v>0</c:v>
                </c:pt>
                <c:pt idx="416">
                  <c:v>0.2157843011579717</c:v>
                </c:pt>
                <c:pt idx="417">
                  <c:v>-2.5496235455167704</c:v>
                </c:pt>
                <c:pt idx="418">
                  <c:v>0</c:v>
                </c:pt>
                <c:pt idx="419">
                  <c:v>0</c:v>
                </c:pt>
                <c:pt idx="420">
                  <c:v>2.5055679287305122</c:v>
                </c:pt>
                <c:pt idx="421">
                  <c:v>0.87931413497471822</c:v>
                </c:pt>
                <c:pt idx="422">
                  <c:v>4.5463629096722622</c:v>
                </c:pt>
                <c:pt idx="423">
                  <c:v>0.60151891928221046</c:v>
                </c:pt>
                <c:pt idx="424">
                  <c:v>0</c:v>
                </c:pt>
                <c:pt idx="425">
                  <c:v>0.95376163589195795</c:v>
                </c:pt>
                <c:pt idx="426">
                  <c:v>0.66957787481804809</c:v>
                </c:pt>
                <c:pt idx="427">
                  <c:v>1.2665298677610595</c:v>
                </c:pt>
                <c:pt idx="428">
                  <c:v>1.2348877374784111</c:v>
                </c:pt>
                <c:pt idx="429">
                  <c:v>2.8599605522682441</c:v>
                </c:pt>
                <c:pt idx="430">
                  <c:v>-0.8394566911600998</c:v>
                </c:pt>
                <c:pt idx="431">
                  <c:v>-1.5216421240517621</c:v>
                </c:pt>
                <c:pt idx="432">
                  <c:v>-1.4696685428392713</c:v>
                </c:pt>
                <c:pt idx="433">
                  <c:v>-2.3183532049322291</c:v>
                </c:pt>
                <c:pt idx="434">
                  <c:v>0</c:v>
                </c:pt>
                <c:pt idx="435">
                  <c:v>0</c:v>
                </c:pt>
                <c:pt idx="436">
                  <c:v>0</c:v>
                </c:pt>
                <c:pt idx="437">
                  <c:v>0</c:v>
                </c:pt>
                <c:pt idx="438">
                  <c:v>0.29919479373483426</c:v>
                </c:pt>
                <c:pt idx="439">
                  <c:v>0</c:v>
                </c:pt>
                <c:pt idx="440">
                  <c:v>1.5401390213983914</c:v>
                </c:pt>
                <c:pt idx="441">
                  <c:v>0.9855362149857021</c:v>
                </c:pt>
                <c:pt idx="442">
                  <c:v>0</c:v>
                </c:pt>
                <c:pt idx="443">
                  <c:v>0</c:v>
                </c:pt>
                <c:pt idx="444">
                  <c:v>-2.4823751365317427E-3</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0E0C-42CD-9869-1567A889BAE2}"/>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spPr>
            <a:ln w="19050" cap="rnd">
              <a:solidFill>
                <a:sysClr val="windowText" lastClr="000000"/>
              </a:solidFill>
              <a:round/>
            </a:ln>
            <a:effectLst/>
          </c:spPr>
          <c:marker>
            <c:symbol val="none"/>
          </c:marker>
          <c:val>
            <c:numRef>
              <c:f>'2025-Q1'!$W$4:$W$448</c:f>
              <c:numCache>
                <c:formatCode>0.0</c:formatCode>
                <c:ptCount val="445"/>
                <c:pt idx="0">
                  <c:v>1.2290222546515868</c:v>
                </c:pt>
                <c:pt idx="1">
                  <c:v>1.2290222546515868</c:v>
                </c:pt>
                <c:pt idx="2">
                  <c:v>1.2290222546515868</c:v>
                </c:pt>
                <c:pt idx="3">
                  <c:v>1.2290222546515868</c:v>
                </c:pt>
                <c:pt idx="4">
                  <c:v>1.2290222546515868</c:v>
                </c:pt>
                <c:pt idx="5">
                  <c:v>1.2290222546515868</c:v>
                </c:pt>
                <c:pt idx="6">
                  <c:v>1.2290222546515868</c:v>
                </c:pt>
                <c:pt idx="7">
                  <c:v>1.2290222546515868</c:v>
                </c:pt>
                <c:pt idx="8">
                  <c:v>1.2290222546515868</c:v>
                </c:pt>
                <c:pt idx="9">
                  <c:v>1.6298785597808298</c:v>
                </c:pt>
                <c:pt idx="10">
                  <c:v>1.6298785597808298</c:v>
                </c:pt>
                <c:pt idx="11">
                  <c:v>1.6298785597808298</c:v>
                </c:pt>
                <c:pt idx="12">
                  <c:v>1.6298785597808298</c:v>
                </c:pt>
                <c:pt idx="13">
                  <c:v>1.6298785597808298</c:v>
                </c:pt>
                <c:pt idx="14">
                  <c:v>1.6298785597808298</c:v>
                </c:pt>
                <c:pt idx="15">
                  <c:v>1.6298785597808298</c:v>
                </c:pt>
                <c:pt idx="16">
                  <c:v>1.6298785597808298</c:v>
                </c:pt>
                <c:pt idx="17">
                  <c:v>1.1999280446514409</c:v>
                </c:pt>
                <c:pt idx="18">
                  <c:v>0.85219499663753107</c:v>
                </c:pt>
                <c:pt idx="19">
                  <c:v>0.85219499663753107</c:v>
                </c:pt>
                <c:pt idx="20">
                  <c:v>0.85219499663753107</c:v>
                </c:pt>
                <c:pt idx="21">
                  <c:v>0.85219499663753107</c:v>
                </c:pt>
                <c:pt idx="22">
                  <c:v>0.85219499663753107</c:v>
                </c:pt>
                <c:pt idx="23">
                  <c:v>0.85219499663753107</c:v>
                </c:pt>
                <c:pt idx="24">
                  <c:v>0.85219499663753107</c:v>
                </c:pt>
                <c:pt idx="25">
                  <c:v>0.37245687721095755</c:v>
                </c:pt>
                <c:pt idx="26">
                  <c:v>0.37245687721095755</c:v>
                </c:pt>
                <c:pt idx="27">
                  <c:v>0.37245687721095755</c:v>
                </c:pt>
                <c:pt idx="28">
                  <c:v>0.37245687721095755</c:v>
                </c:pt>
                <c:pt idx="29">
                  <c:v>0.37245687721095755</c:v>
                </c:pt>
                <c:pt idx="30">
                  <c:v>0.37245687721095755</c:v>
                </c:pt>
                <c:pt idx="31">
                  <c:v>0.37245687721095755</c:v>
                </c:pt>
                <c:pt idx="32">
                  <c:v>0.37245687721095755</c:v>
                </c:pt>
                <c:pt idx="33">
                  <c:v>0.83932604134640565</c:v>
                </c:pt>
                <c:pt idx="34">
                  <c:v>0.83932604134640565</c:v>
                </c:pt>
                <c:pt idx="35">
                  <c:v>0.83932604134640565</c:v>
                </c:pt>
                <c:pt idx="36">
                  <c:v>0.83932604134640565</c:v>
                </c:pt>
                <c:pt idx="37">
                  <c:v>0.83932604134640565</c:v>
                </c:pt>
                <c:pt idx="38">
                  <c:v>0.83932604134640565</c:v>
                </c:pt>
                <c:pt idx="39">
                  <c:v>1.1384568687535646</c:v>
                </c:pt>
                <c:pt idx="40">
                  <c:v>1.1384568687535646</c:v>
                </c:pt>
                <c:pt idx="41">
                  <c:v>1.1384568687535646</c:v>
                </c:pt>
                <c:pt idx="42">
                  <c:v>1.1384568687535646</c:v>
                </c:pt>
                <c:pt idx="43">
                  <c:v>1.1384568687535646</c:v>
                </c:pt>
                <c:pt idx="44">
                  <c:v>1.1384568687535646</c:v>
                </c:pt>
                <c:pt idx="45">
                  <c:v>1.1384568687535646</c:v>
                </c:pt>
                <c:pt idx="46">
                  <c:v>1.1384568687535646</c:v>
                </c:pt>
                <c:pt idx="47">
                  <c:v>1.1384568687535646</c:v>
                </c:pt>
                <c:pt idx="48">
                  <c:v>1.5562960433080137</c:v>
                </c:pt>
                <c:pt idx="49">
                  <c:v>1.5562960433080137</c:v>
                </c:pt>
                <c:pt idx="50">
                  <c:v>1.5562960433080137</c:v>
                </c:pt>
                <c:pt idx="51">
                  <c:v>1.5562960433080137</c:v>
                </c:pt>
                <c:pt idx="52">
                  <c:v>1.5562960433080137</c:v>
                </c:pt>
                <c:pt idx="53">
                  <c:v>1.5562960433080137</c:v>
                </c:pt>
                <c:pt idx="54">
                  <c:v>1.5562960433080137</c:v>
                </c:pt>
                <c:pt idx="55">
                  <c:v>1.1606860382033679</c:v>
                </c:pt>
                <c:pt idx="56">
                  <c:v>1.1606860382033679</c:v>
                </c:pt>
                <c:pt idx="57">
                  <c:v>1.1606860382033679</c:v>
                </c:pt>
                <c:pt idx="58">
                  <c:v>1.1606860382033679</c:v>
                </c:pt>
                <c:pt idx="59">
                  <c:v>1.1606860382033679</c:v>
                </c:pt>
                <c:pt idx="60">
                  <c:v>1.1606860382033679</c:v>
                </c:pt>
                <c:pt idx="61">
                  <c:v>1.1606860382033679</c:v>
                </c:pt>
                <c:pt idx="62">
                  <c:v>2.1530292122456034</c:v>
                </c:pt>
                <c:pt idx="63">
                  <c:v>2.1530292122456034</c:v>
                </c:pt>
                <c:pt idx="64">
                  <c:v>2.1530292122456034</c:v>
                </c:pt>
                <c:pt idx="65">
                  <c:v>2.1530292122456034</c:v>
                </c:pt>
                <c:pt idx="66">
                  <c:v>2.1530292122456034</c:v>
                </c:pt>
                <c:pt idx="67">
                  <c:v>2.1289316042502735</c:v>
                </c:pt>
                <c:pt idx="68">
                  <c:v>2.1289316042502735</c:v>
                </c:pt>
                <c:pt idx="69">
                  <c:v>2.1289316042502735</c:v>
                </c:pt>
                <c:pt idx="70">
                  <c:v>2.1289316042502735</c:v>
                </c:pt>
                <c:pt idx="71">
                  <c:v>2.1289316042502735</c:v>
                </c:pt>
                <c:pt idx="72">
                  <c:v>2.3897021628869206</c:v>
                </c:pt>
                <c:pt idx="73">
                  <c:v>2.3897021628869206</c:v>
                </c:pt>
                <c:pt idx="74">
                  <c:v>2.3897021628869206</c:v>
                </c:pt>
                <c:pt idx="75">
                  <c:v>2.3897021628869206</c:v>
                </c:pt>
                <c:pt idx="76">
                  <c:v>2.3897021628869206</c:v>
                </c:pt>
                <c:pt idx="77">
                  <c:v>2.3897021628869206</c:v>
                </c:pt>
                <c:pt idx="78">
                  <c:v>2.3897021628869206</c:v>
                </c:pt>
                <c:pt idx="79">
                  <c:v>2.3897021628869206</c:v>
                </c:pt>
                <c:pt idx="80">
                  <c:v>2.9451096097899687</c:v>
                </c:pt>
                <c:pt idx="81">
                  <c:v>2.9451096097899687</c:v>
                </c:pt>
                <c:pt idx="82">
                  <c:v>2.9451096097899687</c:v>
                </c:pt>
                <c:pt idx="83">
                  <c:v>2.9451096097899687</c:v>
                </c:pt>
                <c:pt idx="84">
                  <c:v>2.9451096097899687</c:v>
                </c:pt>
                <c:pt idx="85">
                  <c:v>2.9451096097899687</c:v>
                </c:pt>
                <c:pt idx="86">
                  <c:v>2.9451096097899687</c:v>
                </c:pt>
                <c:pt idx="87">
                  <c:v>2.9451096097899687</c:v>
                </c:pt>
                <c:pt idx="88">
                  <c:v>2.9451096097899687</c:v>
                </c:pt>
                <c:pt idx="89">
                  <c:v>2.9451096097899687</c:v>
                </c:pt>
                <c:pt idx="90">
                  <c:v>2.9451096097899687</c:v>
                </c:pt>
                <c:pt idx="91">
                  <c:v>2.9451096097899687</c:v>
                </c:pt>
                <c:pt idx="92">
                  <c:v>2.9451096097899687</c:v>
                </c:pt>
                <c:pt idx="93">
                  <c:v>2.9451096097899687</c:v>
                </c:pt>
                <c:pt idx="94">
                  <c:v>1.3832092337058488</c:v>
                </c:pt>
                <c:pt idx="95">
                  <c:v>1.3832092337058488</c:v>
                </c:pt>
                <c:pt idx="96">
                  <c:v>1.3832092337058488</c:v>
                </c:pt>
                <c:pt idx="97">
                  <c:v>1.3832092337058488</c:v>
                </c:pt>
                <c:pt idx="98">
                  <c:v>1.3832092337058488</c:v>
                </c:pt>
                <c:pt idx="99">
                  <c:v>1.3832092337058488</c:v>
                </c:pt>
                <c:pt idx="100">
                  <c:v>1.3832092337058488</c:v>
                </c:pt>
                <c:pt idx="101">
                  <c:v>1.3832092337058488</c:v>
                </c:pt>
                <c:pt idx="102">
                  <c:v>1.3832092337058488</c:v>
                </c:pt>
                <c:pt idx="103">
                  <c:v>1.3832092337058488</c:v>
                </c:pt>
                <c:pt idx="104">
                  <c:v>2.6947724028707301</c:v>
                </c:pt>
                <c:pt idx="105">
                  <c:v>2.6947724028707301</c:v>
                </c:pt>
                <c:pt idx="106">
                  <c:v>2.6947724028707301</c:v>
                </c:pt>
                <c:pt idx="107">
                  <c:v>2.6947724028707301</c:v>
                </c:pt>
                <c:pt idx="108">
                  <c:v>2.6947724028707301</c:v>
                </c:pt>
                <c:pt idx="109">
                  <c:v>2.6947724028707301</c:v>
                </c:pt>
                <c:pt idx="110">
                  <c:v>4.2503865709935527</c:v>
                </c:pt>
                <c:pt idx="111">
                  <c:v>4.2503865709935527</c:v>
                </c:pt>
                <c:pt idx="112">
                  <c:v>4.5805772093621204</c:v>
                </c:pt>
                <c:pt idx="113">
                  <c:v>4.5805772093621204</c:v>
                </c:pt>
                <c:pt idx="114">
                  <c:v>4.9383659960256407</c:v>
                </c:pt>
                <c:pt idx="115">
                  <c:v>4.9383659960256407</c:v>
                </c:pt>
                <c:pt idx="116">
                  <c:v>5.6407614487256001</c:v>
                </c:pt>
                <c:pt idx="117">
                  <c:v>5.6407614487256001</c:v>
                </c:pt>
                <c:pt idx="118">
                  <c:v>5.6407614487256001</c:v>
                </c:pt>
                <c:pt idx="119">
                  <c:v>5.6407614487256001</c:v>
                </c:pt>
                <c:pt idx="120">
                  <c:v>5.1407171970219094</c:v>
                </c:pt>
                <c:pt idx="121">
                  <c:v>5.1407171970219094</c:v>
                </c:pt>
                <c:pt idx="122">
                  <c:v>5.1407171970219094</c:v>
                </c:pt>
                <c:pt idx="123">
                  <c:v>5.1407171970219094</c:v>
                </c:pt>
                <c:pt idx="124">
                  <c:v>5.6478621523551391</c:v>
                </c:pt>
                <c:pt idx="125">
                  <c:v>6.3003710611483559</c:v>
                </c:pt>
                <c:pt idx="126">
                  <c:v>6.3003710611483559</c:v>
                </c:pt>
                <c:pt idx="127">
                  <c:v>6.3003710611483559</c:v>
                </c:pt>
                <c:pt idx="128">
                  <c:v>6.3003710611483559</c:v>
                </c:pt>
                <c:pt idx="129">
                  <c:v>6.3003710611483559</c:v>
                </c:pt>
                <c:pt idx="130">
                  <c:v>6.3003710611483559</c:v>
                </c:pt>
                <c:pt idx="131">
                  <c:v>6.3003710611483559</c:v>
                </c:pt>
                <c:pt idx="132">
                  <c:v>6.3003710611483559</c:v>
                </c:pt>
                <c:pt idx="133">
                  <c:v>6.3003710611483559</c:v>
                </c:pt>
                <c:pt idx="134">
                  <c:v>6.3003710611483559</c:v>
                </c:pt>
                <c:pt idx="135">
                  <c:v>7.3526453313452329</c:v>
                </c:pt>
                <c:pt idx="136">
                  <c:v>7.3526453313452329</c:v>
                </c:pt>
                <c:pt idx="137">
                  <c:v>7.3526453313452329</c:v>
                </c:pt>
                <c:pt idx="138">
                  <c:v>7.3177291302279155</c:v>
                </c:pt>
                <c:pt idx="139">
                  <c:v>5.8321710567773195</c:v>
                </c:pt>
                <c:pt idx="140">
                  <c:v>5.8321710567773195</c:v>
                </c:pt>
                <c:pt idx="141">
                  <c:v>5.8321710567773195</c:v>
                </c:pt>
                <c:pt idx="142">
                  <c:v>5.6831034896208585</c:v>
                </c:pt>
                <c:pt idx="143">
                  <c:v>4.5776855182763283</c:v>
                </c:pt>
                <c:pt idx="144">
                  <c:v>4.5776855182763283</c:v>
                </c:pt>
                <c:pt idx="145">
                  <c:v>4.5776855182763283</c:v>
                </c:pt>
                <c:pt idx="146">
                  <c:v>4.5776855182763283</c:v>
                </c:pt>
                <c:pt idx="147">
                  <c:v>5.578895772429699</c:v>
                </c:pt>
                <c:pt idx="148">
                  <c:v>4.3841757122233336</c:v>
                </c:pt>
                <c:pt idx="149">
                  <c:v>4.3841757122233336</c:v>
                </c:pt>
                <c:pt idx="150">
                  <c:v>4.505548326148082</c:v>
                </c:pt>
                <c:pt idx="151">
                  <c:v>4.505548326148082</c:v>
                </c:pt>
                <c:pt idx="152">
                  <c:v>4.1289499726711156</c:v>
                </c:pt>
                <c:pt idx="153">
                  <c:v>4.1289499726711156</c:v>
                </c:pt>
                <c:pt idx="154">
                  <c:v>4.1289499726711156</c:v>
                </c:pt>
                <c:pt idx="155">
                  <c:v>3.5913155640689651</c:v>
                </c:pt>
                <c:pt idx="156">
                  <c:v>3.5913155640689651</c:v>
                </c:pt>
                <c:pt idx="157">
                  <c:v>3.3169307171934124</c:v>
                </c:pt>
                <c:pt idx="158">
                  <c:v>3.3169307171934124</c:v>
                </c:pt>
                <c:pt idx="159">
                  <c:v>3.0637517334912996</c:v>
                </c:pt>
                <c:pt idx="160">
                  <c:v>3.0637517334912996</c:v>
                </c:pt>
                <c:pt idx="161">
                  <c:v>3.0637517334912996</c:v>
                </c:pt>
                <c:pt idx="162">
                  <c:v>4.8970850668246309</c:v>
                </c:pt>
                <c:pt idx="163">
                  <c:v>5.3595858986606633</c:v>
                </c:pt>
                <c:pt idx="164">
                  <c:v>5.3595858986606633</c:v>
                </c:pt>
                <c:pt idx="165">
                  <c:v>5.3595858986606633</c:v>
                </c:pt>
                <c:pt idx="166">
                  <c:v>5.3595858986606633</c:v>
                </c:pt>
                <c:pt idx="167">
                  <c:v>5.7807200867589366</c:v>
                </c:pt>
                <c:pt idx="168">
                  <c:v>5.7784525130627893</c:v>
                </c:pt>
                <c:pt idx="169">
                  <c:v>5.7784525130627893</c:v>
                </c:pt>
                <c:pt idx="170">
                  <c:v>5.7784525130627893</c:v>
                </c:pt>
                <c:pt idx="171">
                  <c:v>5.7784525130627893</c:v>
                </c:pt>
                <c:pt idx="172">
                  <c:v>5.7784525130627893</c:v>
                </c:pt>
                <c:pt idx="173">
                  <c:v>5.7784525130627893</c:v>
                </c:pt>
                <c:pt idx="174">
                  <c:v>5.7784525130627893</c:v>
                </c:pt>
                <c:pt idx="175">
                  <c:v>6.2849165940970435</c:v>
                </c:pt>
                <c:pt idx="176">
                  <c:v>6.2849165940970435</c:v>
                </c:pt>
                <c:pt idx="177">
                  <c:v>7.5474513289043399</c:v>
                </c:pt>
                <c:pt idx="178">
                  <c:v>7.5474513289043399</c:v>
                </c:pt>
                <c:pt idx="179">
                  <c:v>8.6250375358008906</c:v>
                </c:pt>
                <c:pt idx="180">
                  <c:v>8.6250375358008906</c:v>
                </c:pt>
                <c:pt idx="181">
                  <c:v>8.6250375358008906</c:v>
                </c:pt>
                <c:pt idx="182">
                  <c:v>8.0148562247827595</c:v>
                </c:pt>
                <c:pt idx="183">
                  <c:v>8.0148562247827595</c:v>
                </c:pt>
                <c:pt idx="184">
                  <c:v>9.6731546906126074</c:v>
                </c:pt>
                <c:pt idx="185">
                  <c:v>9.6731546906126074</c:v>
                </c:pt>
                <c:pt idx="186">
                  <c:v>10.228512257730687</c:v>
                </c:pt>
                <c:pt idx="187">
                  <c:v>10.228512257730687</c:v>
                </c:pt>
                <c:pt idx="188">
                  <c:v>11.705368458574288</c:v>
                </c:pt>
                <c:pt idx="189">
                  <c:v>11.705368458574288</c:v>
                </c:pt>
                <c:pt idx="190">
                  <c:v>10.909492169914495</c:v>
                </c:pt>
                <c:pt idx="191">
                  <c:v>10.957356433465034</c:v>
                </c:pt>
                <c:pt idx="192">
                  <c:v>10.913244427327712</c:v>
                </c:pt>
                <c:pt idx="193">
                  <c:v>10.913244427327712</c:v>
                </c:pt>
                <c:pt idx="194">
                  <c:v>10.913244427327712</c:v>
                </c:pt>
                <c:pt idx="195">
                  <c:v>10.347206691478656</c:v>
                </c:pt>
                <c:pt idx="196">
                  <c:v>10.347206691478656</c:v>
                </c:pt>
                <c:pt idx="197">
                  <c:v>15.935659689258078</c:v>
                </c:pt>
                <c:pt idx="198">
                  <c:v>16.021866585809803</c:v>
                </c:pt>
                <c:pt idx="199">
                  <c:v>17.31349767035293</c:v>
                </c:pt>
                <c:pt idx="200">
                  <c:v>17.31349767035293</c:v>
                </c:pt>
                <c:pt idx="201">
                  <c:v>17.31349767035293</c:v>
                </c:pt>
                <c:pt idx="202">
                  <c:v>17.31349767035293</c:v>
                </c:pt>
                <c:pt idx="203">
                  <c:v>17.31349767035293</c:v>
                </c:pt>
                <c:pt idx="204">
                  <c:v>17.31349767035293</c:v>
                </c:pt>
                <c:pt idx="205">
                  <c:v>17.31349767035293</c:v>
                </c:pt>
                <c:pt idx="206">
                  <c:v>17.31349767035293</c:v>
                </c:pt>
                <c:pt idx="207">
                  <c:v>17.31349767035293</c:v>
                </c:pt>
                <c:pt idx="208">
                  <c:v>17.31349767035293</c:v>
                </c:pt>
                <c:pt idx="209">
                  <c:v>17.31349767035293</c:v>
                </c:pt>
                <c:pt idx="210">
                  <c:v>17.31349767035293</c:v>
                </c:pt>
                <c:pt idx="211">
                  <c:v>18.017397970376006</c:v>
                </c:pt>
                <c:pt idx="212">
                  <c:v>18.852730770518189</c:v>
                </c:pt>
                <c:pt idx="213">
                  <c:v>18.852730770518189</c:v>
                </c:pt>
                <c:pt idx="214">
                  <c:v>18.852730770518189</c:v>
                </c:pt>
                <c:pt idx="215">
                  <c:v>18.852730770518189</c:v>
                </c:pt>
                <c:pt idx="216">
                  <c:v>18.852730770518189</c:v>
                </c:pt>
                <c:pt idx="217">
                  <c:v>18.852730770518189</c:v>
                </c:pt>
                <c:pt idx="218">
                  <c:v>18.852730770518189</c:v>
                </c:pt>
                <c:pt idx="219">
                  <c:v>18.852730770518189</c:v>
                </c:pt>
                <c:pt idx="220">
                  <c:v>19.718531636319053</c:v>
                </c:pt>
                <c:pt idx="221">
                  <c:v>19.718531636319053</c:v>
                </c:pt>
                <c:pt idx="222">
                  <c:v>19.718531636319053</c:v>
                </c:pt>
                <c:pt idx="223">
                  <c:v>19.718531636319053</c:v>
                </c:pt>
                <c:pt idx="224">
                  <c:v>19.718531636319053</c:v>
                </c:pt>
                <c:pt idx="225">
                  <c:v>19.718531636319053</c:v>
                </c:pt>
                <c:pt idx="226">
                  <c:v>20.817432735220152</c:v>
                </c:pt>
                <c:pt idx="227">
                  <c:v>20.817432735220152</c:v>
                </c:pt>
                <c:pt idx="228">
                  <c:v>22.390464080182984</c:v>
                </c:pt>
                <c:pt idx="229">
                  <c:v>21.535407692680671</c:v>
                </c:pt>
                <c:pt idx="230">
                  <c:v>26.230324244510406</c:v>
                </c:pt>
                <c:pt idx="231">
                  <c:v>26.230324244510406</c:v>
                </c:pt>
                <c:pt idx="232">
                  <c:v>26.230324244510406</c:v>
                </c:pt>
                <c:pt idx="233">
                  <c:v>26.230324244510406</c:v>
                </c:pt>
                <c:pt idx="234">
                  <c:v>26.230324244510406</c:v>
                </c:pt>
                <c:pt idx="235">
                  <c:v>26.230324244510406</c:v>
                </c:pt>
                <c:pt idx="236">
                  <c:v>26.230324244510406</c:v>
                </c:pt>
                <c:pt idx="237">
                  <c:v>26.230324244510406</c:v>
                </c:pt>
                <c:pt idx="238">
                  <c:v>26.230324244510406</c:v>
                </c:pt>
                <c:pt idx="239">
                  <c:v>26.230324244510406</c:v>
                </c:pt>
                <c:pt idx="240">
                  <c:v>26.230324244510406</c:v>
                </c:pt>
                <c:pt idx="241">
                  <c:v>26.230324244510406</c:v>
                </c:pt>
                <c:pt idx="242">
                  <c:v>26.230324244510406</c:v>
                </c:pt>
                <c:pt idx="243">
                  <c:v>26.230324244510406</c:v>
                </c:pt>
                <c:pt idx="244">
                  <c:v>26.39506227086849</c:v>
                </c:pt>
                <c:pt idx="245">
                  <c:v>26.39506227086849</c:v>
                </c:pt>
                <c:pt idx="246">
                  <c:v>25.329409858587788</c:v>
                </c:pt>
                <c:pt idx="247">
                  <c:v>25.329409858587788</c:v>
                </c:pt>
                <c:pt idx="248">
                  <c:v>25.220376742088675</c:v>
                </c:pt>
                <c:pt idx="249">
                  <c:v>25.220376742088675</c:v>
                </c:pt>
                <c:pt idx="250">
                  <c:v>25.220376742088675</c:v>
                </c:pt>
                <c:pt idx="251">
                  <c:v>25.220376742088675</c:v>
                </c:pt>
                <c:pt idx="252">
                  <c:v>25.220376742088675</c:v>
                </c:pt>
                <c:pt idx="253">
                  <c:v>25.220376742088675</c:v>
                </c:pt>
                <c:pt idx="254">
                  <c:v>25.220376742088675</c:v>
                </c:pt>
                <c:pt idx="255">
                  <c:v>25.220376742088675</c:v>
                </c:pt>
                <c:pt idx="256">
                  <c:v>24.29982676817373</c:v>
                </c:pt>
                <c:pt idx="257">
                  <c:v>26.378260145819709</c:v>
                </c:pt>
                <c:pt idx="258">
                  <c:v>26.009315647905048</c:v>
                </c:pt>
                <c:pt idx="259">
                  <c:v>26.009315647905048</c:v>
                </c:pt>
                <c:pt idx="260">
                  <c:v>26.009315647905048</c:v>
                </c:pt>
                <c:pt idx="261">
                  <c:v>26.276057629954881</c:v>
                </c:pt>
                <c:pt idx="262">
                  <c:v>26.276057629954881</c:v>
                </c:pt>
                <c:pt idx="263">
                  <c:v>26.276057629954881</c:v>
                </c:pt>
                <c:pt idx="264">
                  <c:v>26.276057629954881</c:v>
                </c:pt>
                <c:pt idx="265">
                  <c:v>26.276057629954881</c:v>
                </c:pt>
                <c:pt idx="266">
                  <c:v>26.276057629954881</c:v>
                </c:pt>
                <c:pt idx="267">
                  <c:v>26.276057629954881</c:v>
                </c:pt>
                <c:pt idx="268">
                  <c:v>25.862021391535599</c:v>
                </c:pt>
                <c:pt idx="269">
                  <c:v>25.862021391535599</c:v>
                </c:pt>
                <c:pt idx="270">
                  <c:v>25.862021391535599</c:v>
                </c:pt>
                <c:pt idx="271">
                  <c:v>25.962834399665681</c:v>
                </c:pt>
                <c:pt idx="272">
                  <c:v>25.962834399665681</c:v>
                </c:pt>
                <c:pt idx="273">
                  <c:v>25.962834399665681</c:v>
                </c:pt>
                <c:pt idx="274">
                  <c:v>26.320003289526458</c:v>
                </c:pt>
                <c:pt idx="275">
                  <c:v>25.596167080511073</c:v>
                </c:pt>
                <c:pt idx="276">
                  <c:v>25.596167080511073</c:v>
                </c:pt>
                <c:pt idx="277">
                  <c:v>25.596167080511073</c:v>
                </c:pt>
                <c:pt idx="278">
                  <c:v>25.596167080511073</c:v>
                </c:pt>
                <c:pt idx="279">
                  <c:v>25.596167080511073</c:v>
                </c:pt>
                <c:pt idx="280">
                  <c:v>26.031518633181065</c:v>
                </c:pt>
                <c:pt idx="281">
                  <c:v>26.031518633181065</c:v>
                </c:pt>
                <c:pt idx="282">
                  <c:v>25.604856964015649</c:v>
                </c:pt>
                <c:pt idx="283">
                  <c:v>24.839929959906897</c:v>
                </c:pt>
                <c:pt idx="284">
                  <c:v>24.286592424010003</c:v>
                </c:pt>
                <c:pt idx="285">
                  <c:v>24.286592424010003</c:v>
                </c:pt>
                <c:pt idx="286">
                  <c:v>24.286592424010003</c:v>
                </c:pt>
                <c:pt idx="287">
                  <c:v>24.286592424010003</c:v>
                </c:pt>
                <c:pt idx="288">
                  <c:v>24.286592424010003</c:v>
                </c:pt>
                <c:pt idx="289">
                  <c:v>24.286592424010003</c:v>
                </c:pt>
                <c:pt idx="290">
                  <c:v>24.286592424010003</c:v>
                </c:pt>
                <c:pt idx="291">
                  <c:v>24.286592424010003</c:v>
                </c:pt>
                <c:pt idx="292">
                  <c:v>24.286592424010003</c:v>
                </c:pt>
                <c:pt idx="293">
                  <c:v>24.286592424010003</c:v>
                </c:pt>
                <c:pt idx="294">
                  <c:v>24.409276757220653</c:v>
                </c:pt>
                <c:pt idx="295">
                  <c:v>25.564336482260092</c:v>
                </c:pt>
                <c:pt idx="296">
                  <c:v>25.564336482260092</c:v>
                </c:pt>
                <c:pt idx="297">
                  <c:v>25.564336482260092</c:v>
                </c:pt>
                <c:pt idx="298">
                  <c:v>25.564336482260092</c:v>
                </c:pt>
                <c:pt idx="299">
                  <c:v>25.878801891065123</c:v>
                </c:pt>
                <c:pt idx="300">
                  <c:v>25.878801891065123</c:v>
                </c:pt>
                <c:pt idx="301">
                  <c:v>25.802370867124576</c:v>
                </c:pt>
                <c:pt idx="302">
                  <c:v>25.802370867124576</c:v>
                </c:pt>
                <c:pt idx="303">
                  <c:v>25.802370867124576</c:v>
                </c:pt>
                <c:pt idx="304">
                  <c:v>25.802370867124576</c:v>
                </c:pt>
                <c:pt idx="305">
                  <c:v>25.084355201328229</c:v>
                </c:pt>
                <c:pt idx="306">
                  <c:v>25.084355201328229</c:v>
                </c:pt>
                <c:pt idx="307">
                  <c:v>23.057393703898299</c:v>
                </c:pt>
                <c:pt idx="308">
                  <c:v>23.057393703898299</c:v>
                </c:pt>
                <c:pt idx="309">
                  <c:v>23.057393703898299</c:v>
                </c:pt>
                <c:pt idx="310">
                  <c:v>23.057393703898299</c:v>
                </c:pt>
                <c:pt idx="311">
                  <c:v>23.057393703898299</c:v>
                </c:pt>
                <c:pt idx="312">
                  <c:v>23.057393703898299</c:v>
                </c:pt>
                <c:pt idx="313">
                  <c:v>23.057393703898299</c:v>
                </c:pt>
                <c:pt idx="314">
                  <c:v>23.057393703898299</c:v>
                </c:pt>
                <c:pt idx="315">
                  <c:v>23.057393703898299</c:v>
                </c:pt>
                <c:pt idx="316">
                  <c:v>23.057393703898299</c:v>
                </c:pt>
                <c:pt idx="317">
                  <c:v>21.87872204814526</c:v>
                </c:pt>
                <c:pt idx="318">
                  <c:v>21.87872204814526</c:v>
                </c:pt>
                <c:pt idx="319">
                  <c:v>21.87872204814526</c:v>
                </c:pt>
                <c:pt idx="320">
                  <c:v>21.87872204814526</c:v>
                </c:pt>
                <c:pt idx="321">
                  <c:v>21.87872204814526</c:v>
                </c:pt>
                <c:pt idx="322">
                  <c:v>21.87872204814526</c:v>
                </c:pt>
                <c:pt idx="323">
                  <c:v>22.698098961525414</c:v>
                </c:pt>
                <c:pt idx="324">
                  <c:v>22.698098961525414</c:v>
                </c:pt>
                <c:pt idx="325">
                  <c:v>22.698098961525414</c:v>
                </c:pt>
                <c:pt idx="326">
                  <c:v>22.698098961525414</c:v>
                </c:pt>
                <c:pt idx="327">
                  <c:v>21.834423057461787</c:v>
                </c:pt>
                <c:pt idx="328">
                  <c:v>21.834423057461787</c:v>
                </c:pt>
                <c:pt idx="329">
                  <c:v>21.834423057461787</c:v>
                </c:pt>
                <c:pt idx="330">
                  <c:v>22.46098947350189</c:v>
                </c:pt>
                <c:pt idx="331">
                  <c:v>22.46098947350189</c:v>
                </c:pt>
                <c:pt idx="332">
                  <c:v>22.46098947350189</c:v>
                </c:pt>
                <c:pt idx="333">
                  <c:v>22.46098947350189</c:v>
                </c:pt>
                <c:pt idx="334">
                  <c:v>21.666151520722892</c:v>
                </c:pt>
                <c:pt idx="335">
                  <c:v>21.666151520722892</c:v>
                </c:pt>
                <c:pt idx="336">
                  <c:v>21.666151520722892</c:v>
                </c:pt>
                <c:pt idx="337">
                  <c:v>21.666151520722892</c:v>
                </c:pt>
                <c:pt idx="338">
                  <c:v>21.666151520722892</c:v>
                </c:pt>
                <c:pt idx="339">
                  <c:v>22.718783099670262</c:v>
                </c:pt>
                <c:pt idx="340">
                  <c:v>26.177992559451887</c:v>
                </c:pt>
                <c:pt idx="341">
                  <c:v>25.650108629145521</c:v>
                </c:pt>
                <c:pt idx="342">
                  <c:v>25.650108629145521</c:v>
                </c:pt>
                <c:pt idx="343">
                  <c:v>25.650108629145521</c:v>
                </c:pt>
                <c:pt idx="344">
                  <c:v>25.650108629145521</c:v>
                </c:pt>
                <c:pt idx="345">
                  <c:v>25.650108629145521</c:v>
                </c:pt>
                <c:pt idx="346">
                  <c:v>26.107096641821773</c:v>
                </c:pt>
                <c:pt idx="347">
                  <c:v>26.107096641821773</c:v>
                </c:pt>
                <c:pt idx="348">
                  <c:v>26.107096641821773</c:v>
                </c:pt>
                <c:pt idx="349">
                  <c:v>24.774087773121796</c:v>
                </c:pt>
                <c:pt idx="350">
                  <c:v>24.774087773121796</c:v>
                </c:pt>
                <c:pt idx="351">
                  <c:v>24.774087773121796</c:v>
                </c:pt>
                <c:pt idx="352">
                  <c:v>24.774087773121796</c:v>
                </c:pt>
                <c:pt idx="353">
                  <c:v>24.732648447201495</c:v>
                </c:pt>
                <c:pt idx="354">
                  <c:v>24.732648447201495</c:v>
                </c:pt>
                <c:pt idx="355">
                  <c:v>24.732648447201495</c:v>
                </c:pt>
                <c:pt idx="356">
                  <c:v>24.732648447201495</c:v>
                </c:pt>
                <c:pt idx="357">
                  <c:v>23.925757159446615</c:v>
                </c:pt>
                <c:pt idx="358">
                  <c:v>23.925757159446615</c:v>
                </c:pt>
                <c:pt idx="359">
                  <c:v>23.925757159446615</c:v>
                </c:pt>
                <c:pt idx="360">
                  <c:v>23.925757159446615</c:v>
                </c:pt>
                <c:pt idx="361">
                  <c:v>23.925757159446615</c:v>
                </c:pt>
                <c:pt idx="362">
                  <c:v>23.925757159446615</c:v>
                </c:pt>
                <c:pt idx="363">
                  <c:v>23.925757159446615</c:v>
                </c:pt>
                <c:pt idx="364">
                  <c:v>23.925757159446615</c:v>
                </c:pt>
                <c:pt idx="365">
                  <c:v>23.925757159446615</c:v>
                </c:pt>
                <c:pt idx="366">
                  <c:v>23.925757159446615</c:v>
                </c:pt>
                <c:pt idx="367">
                  <c:v>23.925757159446615</c:v>
                </c:pt>
                <c:pt idx="368">
                  <c:v>21.529978193828008</c:v>
                </c:pt>
                <c:pt idx="369">
                  <c:v>21.529978193828008</c:v>
                </c:pt>
                <c:pt idx="370">
                  <c:v>20.71676331069586</c:v>
                </c:pt>
                <c:pt idx="371">
                  <c:v>20.71676331069586</c:v>
                </c:pt>
                <c:pt idx="372">
                  <c:v>20.71676331069586</c:v>
                </c:pt>
                <c:pt idx="373">
                  <c:v>20.71676331069586</c:v>
                </c:pt>
                <c:pt idx="374">
                  <c:v>20.71676331069586</c:v>
                </c:pt>
                <c:pt idx="375">
                  <c:v>20.71676331069586</c:v>
                </c:pt>
                <c:pt idx="376">
                  <c:v>20.71676331069586</c:v>
                </c:pt>
                <c:pt idx="377">
                  <c:v>20.71676331069586</c:v>
                </c:pt>
                <c:pt idx="378">
                  <c:v>20.71676331069586</c:v>
                </c:pt>
                <c:pt idx="379">
                  <c:v>20.71676331069586</c:v>
                </c:pt>
                <c:pt idx="380">
                  <c:v>20.71676331069586</c:v>
                </c:pt>
                <c:pt idx="381">
                  <c:v>20.71676331069586</c:v>
                </c:pt>
                <c:pt idx="382">
                  <c:v>20.71676331069586</c:v>
                </c:pt>
                <c:pt idx="383">
                  <c:v>19.794230184631754</c:v>
                </c:pt>
                <c:pt idx="384">
                  <c:v>19.794230184631754</c:v>
                </c:pt>
                <c:pt idx="385">
                  <c:v>20.495799746131691</c:v>
                </c:pt>
                <c:pt idx="386">
                  <c:v>20.495799746131691</c:v>
                </c:pt>
                <c:pt idx="387">
                  <c:v>20.495799746131691</c:v>
                </c:pt>
                <c:pt idx="388">
                  <c:v>20.597319644031678</c:v>
                </c:pt>
                <c:pt idx="389">
                  <c:v>20.98924205667948</c:v>
                </c:pt>
                <c:pt idx="390">
                  <c:v>20.98924205667948</c:v>
                </c:pt>
                <c:pt idx="391">
                  <c:v>20.98924205667948</c:v>
                </c:pt>
                <c:pt idx="392">
                  <c:v>20.98924205667948</c:v>
                </c:pt>
                <c:pt idx="393">
                  <c:v>20.98924205667948</c:v>
                </c:pt>
                <c:pt idx="394">
                  <c:v>20.719269876983365</c:v>
                </c:pt>
                <c:pt idx="395">
                  <c:v>20.719269876983365</c:v>
                </c:pt>
                <c:pt idx="396">
                  <c:v>20.719269876983365</c:v>
                </c:pt>
                <c:pt idx="397">
                  <c:v>20.719269876983365</c:v>
                </c:pt>
                <c:pt idx="398">
                  <c:v>20.719269876983365</c:v>
                </c:pt>
                <c:pt idx="399">
                  <c:v>22.842942581543017</c:v>
                </c:pt>
                <c:pt idx="400">
                  <c:v>22.842942581543017</c:v>
                </c:pt>
                <c:pt idx="401">
                  <c:v>24.245601869837536</c:v>
                </c:pt>
                <c:pt idx="402">
                  <c:v>24.695530102144041</c:v>
                </c:pt>
                <c:pt idx="403">
                  <c:v>24.695530102144041</c:v>
                </c:pt>
                <c:pt idx="404">
                  <c:v>24.695530102144041</c:v>
                </c:pt>
                <c:pt idx="405">
                  <c:v>25.500854806122856</c:v>
                </c:pt>
                <c:pt idx="406">
                  <c:v>24.752437995529881</c:v>
                </c:pt>
                <c:pt idx="407">
                  <c:v>26.828184535952314</c:v>
                </c:pt>
                <c:pt idx="408">
                  <c:v>26.828184535952314</c:v>
                </c:pt>
                <c:pt idx="409">
                  <c:v>27.642301405115052</c:v>
                </c:pt>
                <c:pt idx="410">
                  <c:v>28.655358586564851</c:v>
                </c:pt>
                <c:pt idx="411">
                  <c:v>32.813539170407353</c:v>
                </c:pt>
                <c:pt idx="412">
                  <c:v>32.813539170407353</c:v>
                </c:pt>
                <c:pt idx="413">
                  <c:v>33.639985451399092</c:v>
                </c:pt>
                <c:pt idx="414">
                  <c:v>33.639985451399092</c:v>
                </c:pt>
                <c:pt idx="415">
                  <c:v>33.639985451399092</c:v>
                </c:pt>
                <c:pt idx="416">
                  <c:v>33.855769752557066</c:v>
                </c:pt>
                <c:pt idx="417">
                  <c:v>31.306146207040296</c:v>
                </c:pt>
                <c:pt idx="418">
                  <c:v>31.306146207040296</c:v>
                </c:pt>
                <c:pt idx="419">
                  <c:v>31.306146207040296</c:v>
                </c:pt>
                <c:pt idx="420">
                  <c:v>33.811714135770806</c:v>
                </c:pt>
                <c:pt idx="421">
                  <c:v>34.691028270745527</c:v>
                </c:pt>
                <c:pt idx="422">
                  <c:v>39.237391180417788</c:v>
                </c:pt>
                <c:pt idx="423">
                  <c:v>39.838910099700001</c:v>
                </c:pt>
                <c:pt idx="424">
                  <c:v>39.838910099700001</c:v>
                </c:pt>
                <c:pt idx="425">
                  <c:v>40.792671735591959</c:v>
                </c:pt>
                <c:pt idx="426">
                  <c:v>41.462249610410005</c:v>
                </c:pt>
                <c:pt idx="427">
                  <c:v>42.728779478171063</c:v>
                </c:pt>
                <c:pt idx="428">
                  <c:v>43.963667215649473</c:v>
                </c:pt>
                <c:pt idx="429">
                  <c:v>46.823627767917714</c:v>
                </c:pt>
                <c:pt idx="430">
                  <c:v>45.984171076757612</c:v>
                </c:pt>
                <c:pt idx="431">
                  <c:v>44.462528952705853</c:v>
                </c:pt>
                <c:pt idx="432">
                  <c:v>42.99286040986658</c:v>
                </c:pt>
                <c:pt idx="433">
                  <c:v>40.674507204934351</c:v>
                </c:pt>
                <c:pt idx="434">
                  <c:v>40.674507204934351</c:v>
                </c:pt>
                <c:pt idx="435">
                  <c:v>40.674507204934351</c:v>
                </c:pt>
                <c:pt idx="436">
                  <c:v>40.674507204934351</c:v>
                </c:pt>
                <c:pt idx="437">
                  <c:v>40.674507204934351</c:v>
                </c:pt>
                <c:pt idx="438">
                  <c:v>40.973701998669185</c:v>
                </c:pt>
                <c:pt idx="439">
                  <c:v>40.973701998669185</c:v>
                </c:pt>
                <c:pt idx="440">
                  <c:v>42.513841020067574</c:v>
                </c:pt>
                <c:pt idx="441">
                  <c:v>43.499377235053274</c:v>
                </c:pt>
                <c:pt idx="442">
                  <c:v>43.499377235053274</c:v>
                </c:pt>
                <c:pt idx="443">
                  <c:v>43.499377235053274</c:v>
                </c:pt>
                <c:pt idx="444">
                  <c:v>43.496894859916743</c:v>
                </c:pt>
              </c:numCache>
            </c:numRef>
          </c:val>
          <c:smooth val="0"/>
          <c:extLst>
            <c:ext xmlns:c16="http://schemas.microsoft.com/office/drawing/2014/chart" uri="{C3380CC4-5D6E-409C-BE32-E72D297353CC}">
              <c16:uniqueId val="{00000000-FF73-4450-9094-03216759BC07}"/>
            </c:ext>
          </c:extLst>
        </c:ser>
        <c:dLbls>
          <c:showLegendKey val="0"/>
          <c:showVal val="0"/>
          <c:showCatName val="0"/>
          <c:showSerName val="0"/>
          <c:showPercent val="0"/>
          <c:showBubbleSize val="0"/>
        </c:dLbls>
        <c:marker val="1"/>
        <c:smooth val="0"/>
        <c:axId val="323026480"/>
        <c:axId val="323025520"/>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32302552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23026480"/>
        <c:crosses val="max"/>
        <c:crossBetween val="between"/>
        <c:majorUnit val="6"/>
        <c:minorUnit val="3"/>
      </c:valAx>
      <c:catAx>
        <c:axId val="323026480"/>
        <c:scaling>
          <c:orientation val="minMax"/>
        </c:scaling>
        <c:delete val="1"/>
        <c:axPos val="b"/>
        <c:majorTickMark val="out"/>
        <c:minorTickMark val="none"/>
        <c:tickLblPos val="nextTo"/>
        <c:crossAx val="323025520"/>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SIDEWAYS</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3600538304804922"/>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tx>
            <c:v>R per Trade</c:v>
          </c:tx>
          <c:spPr>
            <a:solidFill>
              <a:srgbClr val="00B050"/>
            </a:solidFill>
            <a:ln>
              <a:solidFill>
                <a:sysClr val="windowText" lastClr="000000"/>
              </a:solidFill>
            </a:ln>
            <a:effectLst/>
          </c:spPr>
          <c:invertIfNegative val="1"/>
          <c:val>
            <c:numRef>
              <c:f>'2025-Q1'!$X$4:$X$448</c:f>
              <c:numCache>
                <c:formatCode>0.0</c:formatCode>
                <c:ptCount val="445"/>
                <c:pt idx="0">
                  <c:v>0</c:v>
                </c:pt>
                <c:pt idx="1">
                  <c:v>0</c:v>
                </c:pt>
                <c:pt idx="2">
                  <c:v>2.4945770065075905</c:v>
                </c:pt>
                <c:pt idx="3">
                  <c:v>0</c:v>
                </c:pt>
                <c:pt idx="4">
                  <c:v>0</c:v>
                </c:pt>
                <c:pt idx="5">
                  <c:v>0</c:v>
                </c:pt>
                <c:pt idx="6">
                  <c:v>0.97940481258068013</c:v>
                </c:pt>
                <c:pt idx="7">
                  <c:v>0</c:v>
                </c:pt>
                <c:pt idx="8">
                  <c:v>0.69352997980862108</c:v>
                </c:pt>
                <c:pt idx="9">
                  <c:v>0</c:v>
                </c:pt>
                <c:pt idx="10">
                  <c:v>0</c:v>
                </c:pt>
                <c:pt idx="11">
                  <c:v>1.0338094473867205</c:v>
                </c:pt>
                <c:pt idx="12">
                  <c:v>0</c:v>
                </c:pt>
                <c:pt idx="13">
                  <c:v>0</c:v>
                </c:pt>
                <c:pt idx="14">
                  <c:v>0</c:v>
                </c:pt>
                <c:pt idx="15">
                  <c:v>-1.0025062656641595</c:v>
                </c:pt>
                <c:pt idx="16">
                  <c:v>0.75589150733659471</c:v>
                </c:pt>
                <c:pt idx="17">
                  <c:v>0</c:v>
                </c:pt>
                <c:pt idx="18">
                  <c:v>0</c:v>
                </c:pt>
                <c:pt idx="19">
                  <c:v>0</c:v>
                </c:pt>
                <c:pt idx="20">
                  <c:v>0.15835312747426875</c:v>
                </c:pt>
                <c:pt idx="21">
                  <c:v>0.40783034257748813</c:v>
                </c:pt>
                <c:pt idx="22">
                  <c:v>-0.18162393162392954</c:v>
                </c:pt>
                <c:pt idx="23">
                  <c:v>0.52785412031584167</c:v>
                </c:pt>
                <c:pt idx="24">
                  <c:v>0</c:v>
                </c:pt>
                <c:pt idx="25">
                  <c:v>0</c:v>
                </c:pt>
                <c:pt idx="26">
                  <c:v>0.22928882874755629</c:v>
                </c:pt>
                <c:pt idx="27">
                  <c:v>-0.78324225865209485</c:v>
                </c:pt>
                <c:pt idx="28">
                  <c:v>2.4597169840247779</c:v>
                </c:pt>
                <c:pt idx="29">
                  <c:v>0</c:v>
                </c:pt>
                <c:pt idx="30">
                  <c:v>0</c:v>
                </c:pt>
                <c:pt idx="31">
                  <c:v>1.2148148148148128</c:v>
                </c:pt>
                <c:pt idx="32">
                  <c:v>0.55445626185175922</c:v>
                </c:pt>
                <c:pt idx="33">
                  <c:v>0</c:v>
                </c:pt>
                <c:pt idx="34">
                  <c:v>-0.37959870993521366</c:v>
                </c:pt>
                <c:pt idx="35">
                  <c:v>0</c:v>
                </c:pt>
                <c:pt idx="36">
                  <c:v>0</c:v>
                </c:pt>
                <c:pt idx="37">
                  <c:v>0.79026593075765084</c:v>
                </c:pt>
                <c:pt idx="38">
                  <c:v>0.34052596089008819</c:v>
                </c:pt>
                <c:pt idx="39">
                  <c:v>0</c:v>
                </c:pt>
                <c:pt idx="40">
                  <c:v>0</c:v>
                </c:pt>
                <c:pt idx="41">
                  <c:v>-0.69991789819376027</c:v>
                </c:pt>
                <c:pt idx="42">
                  <c:v>0.28156811782542707</c:v>
                </c:pt>
                <c:pt idx="43">
                  <c:v>0</c:v>
                </c:pt>
                <c:pt idx="44">
                  <c:v>-0.25632679632191468</c:v>
                </c:pt>
                <c:pt idx="45">
                  <c:v>0</c:v>
                </c:pt>
                <c:pt idx="46">
                  <c:v>0.76689284704551852</c:v>
                </c:pt>
                <c:pt idx="47">
                  <c:v>0.59674626127163555</c:v>
                </c:pt>
                <c:pt idx="48">
                  <c:v>0</c:v>
                </c:pt>
                <c:pt idx="49">
                  <c:v>0</c:v>
                </c:pt>
                <c:pt idx="50">
                  <c:v>-0.16839614054250754</c:v>
                </c:pt>
                <c:pt idx="51">
                  <c:v>0</c:v>
                </c:pt>
                <c:pt idx="52">
                  <c:v>-0.8814781582839023</c:v>
                </c:pt>
                <c:pt idx="53">
                  <c:v>-0.80190080190080459</c:v>
                </c:pt>
                <c:pt idx="54">
                  <c:v>0</c:v>
                </c:pt>
                <c:pt idx="55">
                  <c:v>0</c:v>
                </c:pt>
                <c:pt idx="56">
                  <c:v>-7.3252192443241881E-2</c:v>
                </c:pt>
                <c:pt idx="57">
                  <c:v>0</c:v>
                </c:pt>
                <c:pt idx="58">
                  <c:v>0</c:v>
                </c:pt>
                <c:pt idx="59">
                  <c:v>0.18855093966369915</c:v>
                </c:pt>
                <c:pt idx="60">
                  <c:v>0.42792792792792506</c:v>
                </c:pt>
                <c:pt idx="61">
                  <c:v>0.81634013061442356</c:v>
                </c:pt>
                <c:pt idx="62">
                  <c:v>0</c:v>
                </c:pt>
                <c:pt idx="63">
                  <c:v>0.58517926467230019</c:v>
                </c:pt>
                <c:pt idx="64">
                  <c:v>0</c:v>
                </c:pt>
                <c:pt idx="65">
                  <c:v>0</c:v>
                </c:pt>
                <c:pt idx="66">
                  <c:v>0</c:v>
                </c:pt>
                <c:pt idx="67">
                  <c:v>0</c:v>
                </c:pt>
                <c:pt idx="68">
                  <c:v>-0.6635441061670575</c:v>
                </c:pt>
                <c:pt idx="69">
                  <c:v>0</c:v>
                </c:pt>
                <c:pt idx="70">
                  <c:v>0.93896713615023486</c:v>
                </c:pt>
                <c:pt idx="71">
                  <c:v>-6.3267113754260952E-3</c:v>
                </c:pt>
                <c:pt idx="72">
                  <c:v>0</c:v>
                </c:pt>
                <c:pt idx="73">
                  <c:v>0.38010822295256225</c:v>
                </c:pt>
                <c:pt idx="74">
                  <c:v>-1.2800078296492041</c:v>
                </c:pt>
                <c:pt idx="75">
                  <c:v>0</c:v>
                </c:pt>
                <c:pt idx="76">
                  <c:v>1.2706882517861999</c:v>
                </c:pt>
                <c:pt idx="77">
                  <c:v>-0.8621153432321923</c:v>
                </c:pt>
                <c:pt idx="78">
                  <c:v>-0.45092838196286639</c:v>
                </c:pt>
                <c:pt idx="79">
                  <c:v>0</c:v>
                </c:pt>
                <c:pt idx="80">
                  <c:v>0</c:v>
                </c:pt>
                <c:pt idx="81">
                  <c:v>0.82038681039949379</c:v>
                </c:pt>
                <c:pt idx="82">
                  <c:v>0</c:v>
                </c:pt>
                <c:pt idx="83">
                  <c:v>-0.12064805239572692</c:v>
                </c:pt>
                <c:pt idx="84">
                  <c:v>0</c:v>
                </c:pt>
                <c:pt idx="85">
                  <c:v>-0.31292375091269625</c:v>
                </c:pt>
                <c:pt idx="86">
                  <c:v>-0.88772334380816742</c:v>
                </c:pt>
                <c:pt idx="87">
                  <c:v>0</c:v>
                </c:pt>
                <c:pt idx="88">
                  <c:v>0.92863873897027116</c:v>
                </c:pt>
                <c:pt idx="89">
                  <c:v>1.5578299727361535</c:v>
                </c:pt>
                <c:pt idx="90">
                  <c:v>1.0201818585052118</c:v>
                </c:pt>
                <c:pt idx="91">
                  <c:v>0.47244094488188959</c:v>
                </c:pt>
                <c:pt idx="92">
                  <c:v>0</c:v>
                </c:pt>
                <c:pt idx="93">
                  <c:v>0</c:v>
                </c:pt>
                <c:pt idx="94">
                  <c:v>0</c:v>
                </c:pt>
                <c:pt idx="95">
                  <c:v>0</c:v>
                </c:pt>
                <c:pt idx="96">
                  <c:v>0.96868365180467508</c:v>
                </c:pt>
                <c:pt idx="97">
                  <c:v>-2.7379489280349576</c:v>
                </c:pt>
                <c:pt idx="98">
                  <c:v>-1.2863275579851157</c:v>
                </c:pt>
                <c:pt idx="99">
                  <c:v>0</c:v>
                </c:pt>
                <c:pt idx="100">
                  <c:v>0</c:v>
                </c:pt>
                <c:pt idx="101">
                  <c:v>0</c:v>
                </c:pt>
                <c:pt idx="102">
                  <c:v>0.65613102675559765</c:v>
                </c:pt>
                <c:pt idx="103">
                  <c:v>-0.83623663843891261</c:v>
                </c:pt>
                <c:pt idx="104">
                  <c:v>0</c:v>
                </c:pt>
                <c:pt idx="105">
                  <c:v>-1.992916666666666</c:v>
                </c:pt>
                <c:pt idx="106">
                  <c:v>0.31842293253081616</c:v>
                </c:pt>
                <c:pt idx="107">
                  <c:v>-0.51905304468919911</c:v>
                </c:pt>
                <c:pt idx="108">
                  <c:v>8.8787769484751575E-2</c:v>
                </c:pt>
                <c:pt idx="109">
                  <c:v>-4.5329670329671494E-2</c:v>
                </c:pt>
                <c:pt idx="110">
                  <c:v>0</c:v>
                </c:pt>
                <c:pt idx="111">
                  <c:v>0.59050880381289994</c:v>
                </c:pt>
                <c:pt idx="112">
                  <c:v>0</c:v>
                </c:pt>
                <c:pt idx="113">
                  <c:v>0.70500779590684293</c:v>
                </c:pt>
                <c:pt idx="114">
                  <c:v>0</c:v>
                </c:pt>
                <c:pt idx="115">
                  <c:v>0.52695726985947888</c:v>
                </c:pt>
                <c:pt idx="116">
                  <c:v>0</c:v>
                </c:pt>
                <c:pt idx="117">
                  <c:v>0</c:v>
                </c:pt>
                <c:pt idx="118">
                  <c:v>-0.90500000000000114</c:v>
                </c:pt>
                <c:pt idx="119">
                  <c:v>1.0674233211728135</c:v>
                </c:pt>
                <c:pt idx="120">
                  <c:v>0</c:v>
                </c:pt>
                <c:pt idx="121">
                  <c:v>-0.79625158100494142</c:v>
                </c:pt>
                <c:pt idx="122">
                  <c:v>-0.1895734597156391</c:v>
                </c:pt>
                <c:pt idx="123">
                  <c:v>-0.15440041173443106</c:v>
                </c:pt>
                <c:pt idx="124">
                  <c:v>0</c:v>
                </c:pt>
                <c:pt idx="125">
                  <c:v>0</c:v>
                </c:pt>
                <c:pt idx="126">
                  <c:v>0</c:v>
                </c:pt>
                <c:pt idx="127">
                  <c:v>0.67342901637274366</c:v>
                </c:pt>
                <c:pt idx="128">
                  <c:v>0</c:v>
                </c:pt>
                <c:pt idx="129">
                  <c:v>7.4962518740627787E-2</c:v>
                </c:pt>
                <c:pt idx="130">
                  <c:v>0.37040529073448009</c:v>
                </c:pt>
                <c:pt idx="131">
                  <c:v>-4.6260687333488516E-2</c:v>
                </c:pt>
                <c:pt idx="132">
                  <c:v>0</c:v>
                </c:pt>
                <c:pt idx="133">
                  <c:v>2.2640533022836067E-2</c:v>
                </c:pt>
                <c:pt idx="134">
                  <c:v>-1.2077717486434449</c:v>
                </c:pt>
                <c:pt idx="135">
                  <c:v>0</c:v>
                </c:pt>
                <c:pt idx="136">
                  <c:v>0</c:v>
                </c:pt>
                <c:pt idx="137">
                  <c:v>-0.76251942153699193</c:v>
                </c:pt>
                <c:pt idx="138">
                  <c:v>0</c:v>
                </c:pt>
                <c:pt idx="139">
                  <c:v>0</c:v>
                </c:pt>
                <c:pt idx="140">
                  <c:v>0</c:v>
                </c:pt>
                <c:pt idx="141">
                  <c:v>-0.80710886768146872</c:v>
                </c:pt>
                <c:pt idx="142">
                  <c:v>0</c:v>
                </c:pt>
                <c:pt idx="143">
                  <c:v>0</c:v>
                </c:pt>
                <c:pt idx="144">
                  <c:v>-0.27294438758103062</c:v>
                </c:pt>
                <c:pt idx="145">
                  <c:v>-0.25884031386935902</c:v>
                </c:pt>
                <c:pt idx="146">
                  <c:v>-4.9263289892067089E-2</c:v>
                </c:pt>
                <c:pt idx="147">
                  <c:v>0</c:v>
                </c:pt>
                <c:pt idx="148">
                  <c:v>0</c:v>
                </c:pt>
                <c:pt idx="149">
                  <c:v>-0.9453231149040443</c:v>
                </c:pt>
                <c:pt idx="150">
                  <c:v>0</c:v>
                </c:pt>
                <c:pt idx="151">
                  <c:v>-1.867064973861161E-2</c:v>
                </c:pt>
                <c:pt idx="152">
                  <c:v>0</c:v>
                </c:pt>
                <c:pt idx="153">
                  <c:v>0</c:v>
                </c:pt>
                <c:pt idx="154">
                  <c:v>-0.18001681908966738</c:v>
                </c:pt>
                <c:pt idx="155">
                  <c:v>0</c:v>
                </c:pt>
                <c:pt idx="156">
                  <c:v>1.7117629854474459</c:v>
                </c:pt>
                <c:pt idx="157">
                  <c:v>0</c:v>
                </c:pt>
                <c:pt idx="158">
                  <c:v>0</c:v>
                </c:pt>
                <c:pt idx="159">
                  <c:v>0</c:v>
                </c:pt>
                <c:pt idx="160">
                  <c:v>-0.6029123377978064</c:v>
                </c:pt>
                <c:pt idx="161">
                  <c:v>-0.21094602291926151</c:v>
                </c:pt>
                <c:pt idx="162">
                  <c:v>0</c:v>
                </c:pt>
                <c:pt idx="163">
                  <c:v>0</c:v>
                </c:pt>
                <c:pt idx="164">
                  <c:v>-6.3613231552162849E-2</c:v>
                </c:pt>
                <c:pt idx="165">
                  <c:v>0</c:v>
                </c:pt>
                <c:pt idx="166">
                  <c:v>0</c:v>
                </c:pt>
                <c:pt idx="167">
                  <c:v>0</c:v>
                </c:pt>
                <c:pt idx="168">
                  <c:v>0</c:v>
                </c:pt>
                <c:pt idx="169">
                  <c:v>0.61217847467524489</c:v>
                </c:pt>
                <c:pt idx="170">
                  <c:v>-0.73589311899201615</c:v>
                </c:pt>
                <c:pt idx="171">
                  <c:v>0</c:v>
                </c:pt>
                <c:pt idx="172">
                  <c:v>0</c:v>
                </c:pt>
                <c:pt idx="173">
                  <c:v>-1.1750488532345968</c:v>
                </c:pt>
                <c:pt idx="174">
                  <c:v>0.29858849077090222</c:v>
                </c:pt>
                <c:pt idx="175">
                  <c:v>0</c:v>
                </c:pt>
                <c:pt idx="176">
                  <c:v>0.12640781608070387</c:v>
                </c:pt>
                <c:pt idx="177">
                  <c:v>0</c:v>
                </c:pt>
                <c:pt idx="178">
                  <c:v>0</c:v>
                </c:pt>
                <c:pt idx="179">
                  <c:v>0</c:v>
                </c:pt>
                <c:pt idx="180">
                  <c:v>-0.50017863522686645</c:v>
                </c:pt>
                <c:pt idx="181">
                  <c:v>0.20175817841187346</c:v>
                </c:pt>
                <c:pt idx="182">
                  <c:v>0</c:v>
                </c:pt>
                <c:pt idx="183">
                  <c:v>0</c:v>
                </c:pt>
                <c:pt idx="184">
                  <c:v>0</c:v>
                </c:pt>
                <c:pt idx="185">
                  <c:v>9.6302447350818637E-2</c:v>
                </c:pt>
                <c:pt idx="186">
                  <c:v>0</c:v>
                </c:pt>
                <c:pt idx="187">
                  <c:v>-0.84717045069467967</c:v>
                </c:pt>
                <c:pt idx="188">
                  <c:v>0</c:v>
                </c:pt>
                <c:pt idx="189">
                  <c:v>-0.43945174508972917</c:v>
                </c:pt>
                <c:pt idx="190">
                  <c:v>0</c:v>
                </c:pt>
                <c:pt idx="191">
                  <c:v>0</c:v>
                </c:pt>
                <c:pt idx="192">
                  <c:v>0</c:v>
                </c:pt>
                <c:pt idx="193">
                  <c:v>-0.79960362832533038</c:v>
                </c:pt>
                <c:pt idx="194">
                  <c:v>8.6167279411740755E-3</c:v>
                </c:pt>
                <c:pt idx="195">
                  <c:v>0</c:v>
                </c:pt>
                <c:pt idx="196">
                  <c:v>-0.7087334247828091</c:v>
                </c:pt>
                <c:pt idx="197">
                  <c:v>0</c:v>
                </c:pt>
                <c:pt idx="198">
                  <c:v>0</c:v>
                </c:pt>
                <c:pt idx="199">
                  <c:v>0</c:v>
                </c:pt>
                <c:pt idx="200">
                  <c:v>0</c:v>
                </c:pt>
                <c:pt idx="201">
                  <c:v>0.35304501323918885</c:v>
                </c:pt>
                <c:pt idx="202">
                  <c:v>-0.77658303464755074</c:v>
                </c:pt>
                <c:pt idx="203">
                  <c:v>0</c:v>
                </c:pt>
                <c:pt idx="204">
                  <c:v>0</c:v>
                </c:pt>
                <c:pt idx="205">
                  <c:v>-0.43714988744044864</c:v>
                </c:pt>
                <c:pt idx="206">
                  <c:v>-8.614613517111587E-2</c:v>
                </c:pt>
                <c:pt idx="207">
                  <c:v>2.1175658774313177</c:v>
                </c:pt>
                <c:pt idx="208">
                  <c:v>0</c:v>
                </c:pt>
                <c:pt idx="209">
                  <c:v>-0.41828934083369068</c:v>
                </c:pt>
                <c:pt idx="210">
                  <c:v>1.9706698772616302</c:v>
                </c:pt>
                <c:pt idx="211">
                  <c:v>0</c:v>
                </c:pt>
                <c:pt idx="212">
                  <c:v>0</c:v>
                </c:pt>
                <c:pt idx="213">
                  <c:v>-1.0942291608586538</c:v>
                </c:pt>
                <c:pt idx="214">
                  <c:v>1.5460601883758351</c:v>
                </c:pt>
                <c:pt idx="215">
                  <c:v>-0.76007430152773137</c:v>
                </c:pt>
                <c:pt idx="216">
                  <c:v>-0.46410721151205553</c:v>
                </c:pt>
                <c:pt idx="217">
                  <c:v>-0.14912853015192593</c:v>
                </c:pt>
                <c:pt idx="218">
                  <c:v>-0.34117647058823486</c:v>
                </c:pt>
                <c:pt idx="219">
                  <c:v>0.17183911023608528</c:v>
                </c:pt>
                <c:pt idx="220">
                  <c:v>0</c:v>
                </c:pt>
                <c:pt idx="221">
                  <c:v>0</c:v>
                </c:pt>
                <c:pt idx="222">
                  <c:v>0</c:v>
                </c:pt>
                <c:pt idx="223">
                  <c:v>0</c:v>
                </c:pt>
                <c:pt idx="224">
                  <c:v>-0.61481169196177632</c:v>
                </c:pt>
                <c:pt idx="225">
                  <c:v>4.7547887515282904E-2</c:v>
                </c:pt>
                <c:pt idx="226">
                  <c:v>0</c:v>
                </c:pt>
                <c:pt idx="227">
                  <c:v>0</c:v>
                </c:pt>
                <c:pt idx="228">
                  <c:v>0</c:v>
                </c:pt>
                <c:pt idx="229">
                  <c:v>0</c:v>
                </c:pt>
                <c:pt idx="230">
                  <c:v>0</c:v>
                </c:pt>
                <c:pt idx="231">
                  <c:v>0</c:v>
                </c:pt>
                <c:pt idx="232">
                  <c:v>9.9000099000098388E-2</c:v>
                </c:pt>
                <c:pt idx="233">
                  <c:v>0.15814240530741111</c:v>
                </c:pt>
                <c:pt idx="234">
                  <c:v>-5.264116143025651E-2</c:v>
                </c:pt>
                <c:pt idx="235">
                  <c:v>-0.134817427081038</c:v>
                </c:pt>
                <c:pt idx="236">
                  <c:v>0</c:v>
                </c:pt>
                <c:pt idx="237">
                  <c:v>-0.55093321340229329</c:v>
                </c:pt>
                <c:pt idx="238">
                  <c:v>-0.21953896816684923</c:v>
                </c:pt>
                <c:pt idx="239">
                  <c:v>0</c:v>
                </c:pt>
                <c:pt idx="240">
                  <c:v>0</c:v>
                </c:pt>
                <c:pt idx="241">
                  <c:v>0</c:v>
                </c:pt>
                <c:pt idx="242">
                  <c:v>0</c:v>
                </c:pt>
                <c:pt idx="243">
                  <c:v>0</c:v>
                </c:pt>
                <c:pt idx="244">
                  <c:v>0</c:v>
                </c:pt>
                <c:pt idx="245">
                  <c:v>0.94984126984126738</c:v>
                </c:pt>
                <c:pt idx="246">
                  <c:v>0</c:v>
                </c:pt>
                <c:pt idx="247">
                  <c:v>1.0270638629283486</c:v>
                </c:pt>
                <c:pt idx="248">
                  <c:v>0</c:v>
                </c:pt>
                <c:pt idx="249">
                  <c:v>-0.94980818808669198</c:v>
                </c:pt>
                <c:pt idx="250">
                  <c:v>-0.65434949961508848</c:v>
                </c:pt>
                <c:pt idx="251">
                  <c:v>0</c:v>
                </c:pt>
                <c:pt idx="252">
                  <c:v>-0.46054479078910521</c:v>
                </c:pt>
                <c:pt idx="253">
                  <c:v>0</c:v>
                </c:pt>
                <c:pt idx="254">
                  <c:v>0</c:v>
                </c:pt>
                <c:pt idx="255">
                  <c:v>1.0146346771122339</c:v>
                </c:pt>
                <c:pt idx="256">
                  <c:v>0</c:v>
                </c:pt>
                <c:pt idx="257">
                  <c:v>0</c:v>
                </c:pt>
                <c:pt idx="258">
                  <c:v>0</c:v>
                </c:pt>
                <c:pt idx="259">
                  <c:v>0</c:v>
                </c:pt>
                <c:pt idx="260">
                  <c:v>0</c:v>
                </c:pt>
                <c:pt idx="261">
                  <c:v>0</c:v>
                </c:pt>
                <c:pt idx="262">
                  <c:v>1.3582404777510739</c:v>
                </c:pt>
                <c:pt idx="263">
                  <c:v>0.65062793160841459</c:v>
                </c:pt>
                <c:pt idx="264">
                  <c:v>0.99710691638546456</c:v>
                </c:pt>
                <c:pt idx="265">
                  <c:v>2.1392285256224537</c:v>
                </c:pt>
                <c:pt idx="266">
                  <c:v>0.60624999999999807</c:v>
                </c:pt>
                <c:pt idx="267">
                  <c:v>0</c:v>
                </c:pt>
                <c:pt idx="268">
                  <c:v>0</c:v>
                </c:pt>
                <c:pt idx="269">
                  <c:v>0</c:v>
                </c:pt>
                <c:pt idx="270">
                  <c:v>0.45135349416694881</c:v>
                </c:pt>
                <c:pt idx="271">
                  <c:v>0</c:v>
                </c:pt>
                <c:pt idx="272">
                  <c:v>0</c:v>
                </c:pt>
                <c:pt idx="273">
                  <c:v>-0.25180988353792738</c:v>
                </c:pt>
                <c:pt idx="274">
                  <c:v>0</c:v>
                </c:pt>
                <c:pt idx="275">
                  <c:v>0</c:v>
                </c:pt>
                <c:pt idx="276">
                  <c:v>0.76168344952233569</c:v>
                </c:pt>
                <c:pt idx="277">
                  <c:v>0.7988873795200222</c:v>
                </c:pt>
                <c:pt idx="278">
                  <c:v>0</c:v>
                </c:pt>
                <c:pt idx="279">
                  <c:v>1.4603832913176678</c:v>
                </c:pt>
                <c:pt idx="280">
                  <c:v>0</c:v>
                </c:pt>
                <c:pt idx="281">
                  <c:v>-2.1493668844261622</c:v>
                </c:pt>
                <c:pt idx="282">
                  <c:v>0</c:v>
                </c:pt>
                <c:pt idx="283">
                  <c:v>0</c:v>
                </c:pt>
                <c:pt idx="284">
                  <c:v>0</c:v>
                </c:pt>
                <c:pt idx="285">
                  <c:v>9.8822720632468095E-2</c:v>
                </c:pt>
                <c:pt idx="286">
                  <c:v>0</c:v>
                </c:pt>
                <c:pt idx="287">
                  <c:v>-0.15145528776504874</c:v>
                </c:pt>
                <c:pt idx="288">
                  <c:v>0.72627274009307685</c:v>
                </c:pt>
                <c:pt idx="289">
                  <c:v>-0.14097744360902409</c:v>
                </c:pt>
                <c:pt idx="290">
                  <c:v>1.6057585825027676</c:v>
                </c:pt>
                <c:pt idx="291">
                  <c:v>0</c:v>
                </c:pt>
                <c:pt idx="292">
                  <c:v>0</c:v>
                </c:pt>
                <c:pt idx="293">
                  <c:v>1.7000000000000004</c:v>
                </c:pt>
                <c:pt idx="294">
                  <c:v>0</c:v>
                </c:pt>
                <c:pt idx="295">
                  <c:v>0</c:v>
                </c:pt>
                <c:pt idx="296">
                  <c:v>-0.86862003780718378</c:v>
                </c:pt>
                <c:pt idx="297">
                  <c:v>0</c:v>
                </c:pt>
                <c:pt idx="298">
                  <c:v>-0.83271190653740945</c:v>
                </c:pt>
                <c:pt idx="299">
                  <c:v>0</c:v>
                </c:pt>
                <c:pt idx="300">
                  <c:v>0</c:v>
                </c:pt>
                <c:pt idx="301">
                  <c:v>0</c:v>
                </c:pt>
                <c:pt idx="302">
                  <c:v>0</c:v>
                </c:pt>
                <c:pt idx="303">
                  <c:v>-0.50164173659248223</c:v>
                </c:pt>
                <c:pt idx="304">
                  <c:v>0.15635395874916824</c:v>
                </c:pt>
                <c:pt idx="305">
                  <c:v>0</c:v>
                </c:pt>
                <c:pt idx="306">
                  <c:v>0.70353376801094591</c:v>
                </c:pt>
                <c:pt idx="307">
                  <c:v>0</c:v>
                </c:pt>
                <c:pt idx="308">
                  <c:v>0</c:v>
                </c:pt>
                <c:pt idx="309">
                  <c:v>0</c:v>
                </c:pt>
                <c:pt idx="310">
                  <c:v>0</c:v>
                </c:pt>
                <c:pt idx="311">
                  <c:v>-1.1396748715589284</c:v>
                </c:pt>
                <c:pt idx="312">
                  <c:v>0</c:v>
                </c:pt>
                <c:pt idx="313">
                  <c:v>0.7954986418315857</c:v>
                </c:pt>
                <c:pt idx="314">
                  <c:v>-4.2880333241447077E-2</c:v>
                </c:pt>
                <c:pt idx="315">
                  <c:v>-4.05651400438542</c:v>
                </c:pt>
                <c:pt idx="316">
                  <c:v>-1.1069553062072617</c:v>
                </c:pt>
                <c:pt idx="317">
                  <c:v>0</c:v>
                </c:pt>
                <c:pt idx="318">
                  <c:v>-1.2987597632070569</c:v>
                </c:pt>
                <c:pt idx="319">
                  <c:v>0.17880771018846331</c:v>
                </c:pt>
                <c:pt idx="320">
                  <c:v>2.0260209869540557</c:v>
                </c:pt>
                <c:pt idx="321">
                  <c:v>-0.85291510645610735</c:v>
                </c:pt>
                <c:pt idx="322">
                  <c:v>0</c:v>
                </c:pt>
                <c:pt idx="323">
                  <c:v>0</c:v>
                </c:pt>
                <c:pt idx="324">
                  <c:v>0.38450866135489875</c:v>
                </c:pt>
                <c:pt idx="325">
                  <c:v>0</c:v>
                </c:pt>
                <c:pt idx="326">
                  <c:v>0</c:v>
                </c:pt>
                <c:pt idx="327">
                  <c:v>0</c:v>
                </c:pt>
                <c:pt idx="328">
                  <c:v>-0.815666072254145</c:v>
                </c:pt>
                <c:pt idx="329">
                  <c:v>1.3204616067465611</c:v>
                </c:pt>
                <c:pt idx="330">
                  <c:v>0</c:v>
                </c:pt>
                <c:pt idx="331">
                  <c:v>-6.9388844408860326E-2</c:v>
                </c:pt>
                <c:pt idx="332">
                  <c:v>0</c:v>
                </c:pt>
                <c:pt idx="333">
                  <c:v>0.59713081416845482</c:v>
                </c:pt>
                <c:pt idx="334">
                  <c:v>0</c:v>
                </c:pt>
                <c:pt idx="335">
                  <c:v>-0.30611989904290376</c:v>
                </c:pt>
                <c:pt idx="336">
                  <c:v>-0.98445284831022351</c:v>
                </c:pt>
                <c:pt idx="337">
                  <c:v>-0.84379056685417353</c:v>
                </c:pt>
                <c:pt idx="338">
                  <c:v>0</c:v>
                </c:pt>
                <c:pt idx="339">
                  <c:v>0</c:v>
                </c:pt>
                <c:pt idx="340">
                  <c:v>0</c:v>
                </c:pt>
                <c:pt idx="341">
                  <c:v>0</c:v>
                </c:pt>
                <c:pt idx="342">
                  <c:v>0.17301038062283788</c:v>
                </c:pt>
                <c:pt idx="343">
                  <c:v>0.74168255986437903</c:v>
                </c:pt>
                <c:pt idx="344">
                  <c:v>1.8018437470900457</c:v>
                </c:pt>
                <c:pt idx="345">
                  <c:v>-0.19886250646303127</c:v>
                </c:pt>
                <c:pt idx="346">
                  <c:v>0</c:v>
                </c:pt>
                <c:pt idx="347">
                  <c:v>2.9154339250493098</c:v>
                </c:pt>
                <c:pt idx="348">
                  <c:v>0</c:v>
                </c:pt>
                <c:pt idx="349">
                  <c:v>0</c:v>
                </c:pt>
                <c:pt idx="350">
                  <c:v>0</c:v>
                </c:pt>
                <c:pt idx="351">
                  <c:v>0.88506180025336334</c:v>
                </c:pt>
                <c:pt idx="352">
                  <c:v>-0.67525797707927016</c:v>
                </c:pt>
                <c:pt idx="353">
                  <c:v>0</c:v>
                </c:pt>
                <c:pt idx="354">
                  <c:v>0.83218431269007653</c:v>
                </c:pt>
                <c:pt idx="355">
                  <c:v>0</c:v>
                </c:pt>
                <c:pt idx="356">
                  <c:v>0.51607445008460251</c:v>
                </c:pt>
                <c:pt idx="357">
                  <c:v>0</c:v>
                </c:pt>
                <c:pt idx="358">
                  <c:v>2.4918490917559399</c:v>
                </c:pt>
                <c:pt idx="359">
                  <c:v>0</c:v>
                </c:pt>
                <c:pt idx="360">
                  <c:v>0</c:v>
                </c:pt>
                <c:pt idx="361">
                  <c:v>-1.5352443129654187</c:v>
                </c:pt>
                <c:pt idx="362">
                  <c:v>0</c:v>
                </c:pt>
                <c:pt idx="363">
                  <c:v>0.1459979388526271</c:v>
                </c:pt>
                <c:pt idx="364">
                  <c:v>0.11244181789655283</c:v>
                </c:pt>
                <c:pt idx="365">
                  <c:v>0.39077764751856525</c:v>
                </c:pt>
                <c:pt idx="366">
                  <c:v>0.12743125419181664</c:v>
                </c:pt>
                <c:pt idx="367">
                  <c:v>0.62682466082775135</c:v>
                </c:pt>
                <c:pt idx="368">
                  <c:v>0</c:v>
                </c:pt>
                <c:pt idx="369">
                  <c:v>2.9631866841169203</c:v>
                </c:pt>
                <c:pt idx="370">
                  <c:v>0</c:v>
                </c:pt>
                <c:pt idx="371">
                  <c:v>0.43972851543829777</c:v>
                </c:pt>
                <c:pt idx="372">
                  <c:v>-9.7087378640775782E-2</c:v>
                </c:pt>
                <c:pt idx="373">
                  <c:v>0</c:v>
                </c:pt>
                <c:pt idx="374">
                  <c:v>0.6559676554313294</c:v>
                </c:pt>
                <c:pt idx="375">
                  <c:v>0.4319478402607978</c:v>
                </c:pt>
                <c:pt idx="376">
                  <c:v>2.5354482095650113</c:v>
                </c:pt>
                <c:pt idx="377">
                  <c:v>-0.40106951871657948</c:v>
                </c:pt>
                <c:pt idx="378">
                  <c:v>0.39110657654210917</c:v>
                </c:pt>
                <c:pt idx="379">
                  <c:v>0.4722730042656903</c:v>
                </c:pt>
                <c:pt idx="380">
                  <c:v>-0.59599344895280915</c:v>
                </c:pt>
                <c:pt idx="381">
                  <c:v>-0.70523784735132744</c:v>
                </c:pt>
                <c:pt idx="382">
                  <c:v>0</c:v>
                </c:pt>
                <c:pt idx="383">
                  <c:v>0</c:v>
                </c:pt>
                <c:pt idx="384">
                  <c:v>-0.9392334846192647</c:v>
                </c:pt>
                <c:pt idx="385">
                  <c:v>0</c:v>
                </c:pt>
                <c:pt idx="386">
                  <c:v>-2.9359430604982197</c:v>
                </c:pt>
                <c:pt idx="387">
                  <c:v>1.2380952380952381</c:v>
                </c:pt>
                <c:pt idx="388">
                  <c:v>0</c:v>
                </c:pt>
                <c:pt idx="389">
                  <c:v>0</c:v>
                </c:pt>
                <c:pt idx="390">
                  <c:v>-1.0618566261708264</c:v>
                </c:pt>
                <c:pt idx="391">
                  <c:v>-0.17295319048462462</c:v>
                </c:pt>
                <c:pt idx="392">
                  <c:v>-0.85521682261797183</c:v>
                </c:pt>
                <c:pt idx="393">
                  <c:v>-2.6638188687757292</c:v>
                </c:pt>
                <c:pt idx="394">
                  <c:v>0</c:v>
                </c:pt>
                <c:pt idx="395">
                  <c:v>0</c:v>
                </c:pt>
                <c:pt idx="396">
                  <c:v>1.9286466561348077</c:v>
                </c:pt>
                <c:pt idx="397">
                  <c:v>0.98870056497175085</c:v>
                </c:pt>
                <c:pt idx="398">
                  <c:v>-0.54814814814815027</c:v>
                </c:pt>
                <c:pt idx="399">
                  <c:v>0</c:v>
                </c:pt>
                <c:pt idx="400">
                  <c:v>-0.7155867811605533</c:v>
                </c:pt>
                <c:pt idx="401">
                  <c:v>0</c:v>
                </c:pt>
                <c:pt idx="402">
                  <c:v>0</c:v>
                </c:pt>
                <c:pt idx="403">
                  <c:v>-1.2299571755801215</c:v>
                </c:pt>
                <c:pt idx="404">
                  <c:v>-1.2165949012371</c:v>
                </c:pt>
                <c:pt idx="405">
                  <c:v>0</c:v>
                </c:pt>
                <c:pt idx="406">
                  <c:v>0</c:v>
                </c:pt>
                <c:pt idx="407">
                  <c:v>0</c:v>
                </c:pt>
                <c:pt idx="408">
                  <c:v>1.398046398046398</c:v>
                </c:pt>
                <c:pt idx="409">
                  <c:v>0</c:v>
                </c:pt>
                <c:pt idx="410">
                  <c:v>0</c:v>
                </c:pt>
                <c:pt idx="411">
                  <c:v>0</c:v>
                </c:pt>
                <c:pt idx="412">
                  <c:v>0.36141511835072676</c:v>
                </c:pt>
                <c:pt idx="413">
                  <c:v>0</c:v>
                </c:pt>
                <c:pt idx="414">
                  <c:v>2.2262080607723194</c:v>
                </c:pt>
                <c:pt idx="415">
                  <c:v>0</c:v>
                </c:pt>
                <c:pt idx="416">
                  <c:v>0</c:v>
                </c:pt>
                <c:pt idx="417">
                  <c:v>0</c:v>
                </c:pt>
                <c:pt idx="418">
                  <c:v>0.76901643911953177</c:v>
                </c:pt>
                <c:pt idx="419">
                  <c:v>0</c:v>
                </c:pt>
                <c:pt idx="420">
                  <c:v>0</c:v>
                </c:pt>
                <c:pt idx="421">
                  <c:v>0</c:v>
                </c:pt>
                <c:pt idx="422">
                  <c:v>0</c:v>
                </c:pt>
                <c:pt idx="423">
                  <c:v>0</c:v>
                </c:pt>
                <c:pt idx="424">
                  <c:v>-0.39332764666856362</c:v>
                </c:pt>
                <c:pt idx="425">
                  <c:v>0</c:v>
                </c:pt>
                <c:pt idx="426">
                  <c:v>0</c:v>
                </c:pt>
                <c:pt idx="427">
                  <c:v>0</c:v>
                </c:pt>
                <c:pt idx="428">
                  <c:v>0</c:v>
                </c:pt>
                <c:pt idx="429">
                  <c:v>0</c:v>
                </c:pt>
                <c:pt idx="430">
                  <c:v>0</c:v>
                </c:pt>
                <c:pt idx="431">
                  <c:v>0</c:v>
                </c:pt>
                <c:pt idx="432">
                  <c:v>0</c:v>
                </c:pt>
                <c:pt idx="433">
                  <c:v>0</c:v>
                </c:pt>
                <c:pt idx="434">
                  <c:v>9.5510983763132759E-2</c:v>
                </c:pt>
                <c:pt idx="435">
                  <c:v>-2.7326972886134886</c:v>
                </c:pt>
                <c:pt idx="436">
                  <c:v>-1.4008203699404069</c:v>
                </c:pt>
                <c:pt idx="437">
                  <c:v>1.2441954371088217</c:v>
                </c:pt>
                <c:pt idx="438">
                  <c:v>0</c:v>
                </c:pt>
                <c:pt idx="439">
                  <c:v>-0.77669902912621236</c:v>
                </c:pt>
                <c:pt idx="440">
                  <c:v>0</c:v>
                </c:pt>
                <c:pt idx="441">
                  <c:v>0</c:v>
                </c:pt>
                <c:pt idx="442">
                  <c:v>-0.63679245283018759</c:v>
                </c:pt>
                <c:pt idx="443">
                  <c:v>0.41654269562630386</c:v>
                </c:pt>
                <c:pt idx="444">
                  <c:v>0</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67ED-4198-B028-4D590E1346BD}"/>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tx>
            <c:v>Cumulative Risk Units</c:v>
          </c:tx>
          <c:spPr>
            <a:ln w="19050" cap="rnd">
              <a:solidFill>
                <a:sysClr val="windowText" lastClr="000000"/>
              </a:solidFill>
              <a:round/>
            </a:ln>
            <a:effectLst/>
          </c:spPr>
          <c:marker>
            <c:symbol val="none"/>
          </c:marker>
          <c:val>
            <c:numRef>
              <c:f>'2025-Q1'!$Y$4:$Y$448</c:f>
              <c:numCache>
                <c:formatCode>0.0</c:formatCode>
                <c:ptCount val="445"/>
                <c:pt idx="0">
                  <c:v>0</c:v>
                </c:pt>
                <c:pt idx="1">
                  <c:v>0</c:v>
                </c:pt>
                <c:pt idx="2">
                  <c:v>2.4945770065075905</c:v>
                </c:pt>
                <c:pt idx="3">
                  <c:v>2.4945770065075905</c:v>
                </c:pt>
                <c:pt idx="4">
                  <c:v>2.4945770065075905</c:v>
                </c:pt>
                <c:pt idx="5">
                  <c:v>2.4945770065075905</c:v>
                </c:pt>
                <c:pt idx="6">
                  <c:v>3.4739818190882708</c:v>
                </c:pt>
                <c:pt idx="7">
                  <c:v>3.4739818190882708</c:v>
                </c:pt>
                <c:pt idx="8">
                  <c:v>4.1675117988968919</c:v>
                </c:pt>
                <c:pt idx="9">
                  <c:v>4.1675117988968919</c:v>
                </c:pt>
                <c:pt idx="10">
                  <c:v>4.1675117988968919</c:v>
                </c:pt>
                <c:pt idx="11">
                  <c:v>5.2013212462836123</c:v>
                </c:pt>
                <c:pt idx="12">
                  <c:v>5.2013212462836123</c:v>
                </c:pt>
                <c:pt idx="13">
                  <c:v>5.2013212462836123</c:v>
                </c:pt>
                <c:pt idx="14">
                  <c:v>5.2013212462836123</c:v>
                </c:pt>
                <c:pt idx="15">
                  <c:v>4.1988149806194528</c:v>
                </c:pt>
                <c:pt idx="16">
                  <c:v>4.9547064879560478</c:v>
                </c:pt>
                <c:pt idx="17">
                  <c:v>4.9547064879560478</c:v>
                </c:pt>
                <c:pt idx="18">
                  <c:v>4.9547064879560478</c:v>
                </c:pt>
                <c:pt idx="19">
                  <c:v>4.9547064879560478</c:v>
                </c:pt>
                <c:pt idx="20">
                  <c:v>5.1130596154303163</c:v>
                </c:pt>
                <c:pt idx="21">
                  <c:v>5.5208899580078041</c:v>
                </c:pt>
                <c:pt idx="22">
                  <c:v>5.3392660263838749</c:v>
                </c:pt>
                <c:pt idx="23">
                  <c:v>5.8671201466997163</c:v>
                </c:pt>
                <c:pt idx="24">
                  <c:v>5.8671201466997163</c:v>
                </c:pt>
                <c:pt idx="25">
                  <c:v>5.8671201466997163</c:v>
                </c:pt>
                <c:pt idx="26">
                  <c:v>6.0964089754472726</c:v>
                </c:pt>
                <c:pt idx="27">
                  <c:v>5.3131667167951777</c:v>
                </c:pt>
                <c:pt idx="28">
                  <c:v>7.7728837008199552</c:v>
                </c:pt>
                <c:pt idx="29">
                  <c:v>7.7728837008199552</c:v>
                </c:pt>
                <c:pt idx="30">
                  <c:v>7.7728837008199552</c:v>
                </c:pt>
                <c:pt idx="31">
                  <c:v>8.9876985156347686</c:v>
                </c:pt>
                <c:pt idx="32">
                  <c:v>9.5421547774865285</c:v>
                </c:pt>
                <c:pt idx="33">
                  <c:v>9.5421547774865285</c:v>
                </c:pt>
                <c:pt idx="34">
                  <c:v>9.1625560675513142</c:v>
                </c:pt>
                <c:pt idx="35">
                  <c:v>9.1625560675513142</c:v>
                </c:pt>
                <c:pt idx="36">
                  <c:v>9.1625560675513142</c:v>
                </c:pt>
                <c:pt idx="37">
                  <c:v>9.9528219983089645</c:v>
                </c:pt>
                <c:pt idx="38">
                  <c:v>10.293347959199053</c:v>
                </c:pt>
                <c:pt idx="39">
                  <c:v>10.293347959199053</c:v>
                </c:pt>
                <c:pt idx="40">
                  <c:v>10.293347959199053</c:v>
                </c:pt>
                <c:pt idx="41">
                  <c:v>9.5934300610052929</c:v>
                </c:pt>
                <c:pt idx="42">
                  <c:v>9.8749981788307206</c:v>
                </c:pt>
                <c:pt idx="43">
                  <c:v>9.8749981788307206</c:v>
                </c:pt>
                <c:pt idx="44">
                  <c:v>9.6186713825088059</c:v>
                </c:pt>
                <c:pt idx="45">
                  <c:v>9.6186713825088059</c:v>
                </c:pt>
                <c:pt idx="46">
                  <c:v>10.385564229554324</c:v>
                </c:pt>
                <c:pt idx="47">
                  <c:v>10.982310490825959</c:v>
                </c:pt>
                <c:pt idx="48">
                  <c:v>10.982310490825959</c:v>
                </c:pt>
                <c:pt idx="49">
                  <c:v>10.982310490825959</c:v>
                </c:pt>
                <c:pt idx="50">
                  <c:v>10.813914350283452</c:v>
                </c:pt>
                <c:pt idx="51">
                  <c:v>10.813914350283452</c:v>
                </c:pt>
                <c:pt idx="52">
                  <c:v>9.9324361919995496</c:v>
                </c:pt>
                <c:pt idx="53">
                  <c:v>9.1305353900987445</c:v>
                </c:pt>
                <c:pt idx="54">
                  <c:v>9.1305353900987445</c:v>
                </c:pt>
                <c:pt idx="55">
                  <c:v>9.1305353900987445</c:v>
                </c:pt>
                <c:pt idx="56">
                  <c:v>9.0572831976555026</c:v>
                </c:pt>
                <c:pt idx="57">
                  <c:v>9.0572831976555026</c:v>
                </c:pt>
                <c:pt idx="58">
                  <c:v>9.0572831976555026</c:v>
                </c:pt>
                <c:pt idx="59">
                  <c:v>9.2458341373192017</c:v>
                </c:pt>
                <c:pt idx="60">
                  <c:v>9.6737620652471268</c:v>
                </c:pt>
                <c:pt idx="61">
                  <c:v>10.490102195861549</c:v>
                </c:pt>
                <c:pt idx="62">
                  <c:v>10.490102195861549</c:v>
                </c:pt>
                <c:pt idx="63">
                  <c:v>11.07528146053385</c:v>
                </c:pt>
                <c:pt idx="64">
                  <c:v>11.07528146053385</c:v>
                </c:pt>
                <c:pt idx="65">
                  <c:v>11.07528146053385</c:v>
                </c:pt>
                <c:pt idx="66">
                  <c:v>11.07528146053385</c:v>
                </c:pt>
                <c:pt idx="67">
                  <c:v>11.07528146053385</c:v>
                </c:pt>
                <c:pt idx="68">
                  <c:v>10.411737354366792</c:v>
                </c:pt>
                <c:pt idx="69">
                  <c:v>10.411737354366792</c:v>
                </c:pt>
                <c:pt idx="70">
                  <c:v>11.350704490517026</c:v>
                </c:pt>
                <c:pt idx="71">
                  <c:v>11.344377779141601</c:v>
                </c:pt>
                <c:pt idx="72">
                  <c:v>11.344377779141601</c:v>
                </c:pt>
                <c:pt idx="73">
                  <c:v>11.724486002094164</c:v>
                </c:pt>
                <c:pt idx="74">
                  <c:v>10.44447817244496</c:v>
                </c:pt>
                <c:pt idx="75">
                  <c:v>10.44447817244496</c:v>
                </c:pt>
                <c:pt idx="76">
                  <c:v>11.71516642423116</c:v>
                </c:pt>
                <c:pt idx="77">
                  <c:v>10.853051080998968</c:v>
                </c:pt>
                <c:pt idx="78">
                  <c:v>10.402122699036102</c:v>
                </c:pt>
                <c:pt idx="79">
                  <c:v>10.402122699036102</c:v>
                </c:pt>
                <c:pt idx="80">
                  <c:v>10.402122699036102</c:v>
                </c:pt>
                <c:pt idx="81">
                  <c:v>11.222509509435596</c:v>
                </c:pt>
                <c:pt idx="82">
                  <c:v>11.222509509435596</c:v>
                </c:pt>
                <c:pt idx="83">
                  <c:v>11.10186145703987</c:v>
                </c:pt>
                <c:pt idx="84">
                  <c:v>11.10186145703987</c:v>
                </c:pt>
                <c:pt idx="85">
                  <c:v>10.788937706127173</c:v>
                </c:pt>
                <c:pt idx="86">
                  <c:v>9.9012143623190063</c:v>
                </c:pt>
                <c:pt idx="87">
                  <c:v>9.9012143623190063</c:v>
                </c:pt>
                <c:pt idx="88">
                  <c:v>10.829853101289277</c:v>
                </c:pt>
                <c:pt idx="89">
                  <c:v>12.38768307402543</c:v>
                </c:pt>
                <c:pt idx="90">
                  <c:v>13.407864932530643</c:v>
                </c:pt>
                <c:pt idx="91">
                  <c:v>13.880305877412532</c:v>
                </c:pt>
                <c:pt idx="92">
                  <c:v>13.880305877412532</c:v>
                </c:pt>
                <c:pt idx="93">
                  <c:v>13.880305877412532</c:v>
                </c:pt>
                <c:pt idx="94">
                  <c:v>13.880305877412532</c:v>
                </c:pt>
                <c:pt idx="95">
                  <c:v>13.880305877412532</c:v>
                </c:pt>
                <c:pt idx="96">
                  <c:v>14.848989529217206</c:v>
                </c:pt>
                <c:pt idx="97">
                  <c:v>12.11104060118225</c:v>
                </c:pt>
                <c:pt idx="98">
                  <c:v>10.824713043197134</c:v>
                </c:pt>
                <c:pt idx="99">
                  <c:v>10.824713043197134</c:v>
                </c:pt>
                <c:pt idx="100">
                  <c:v>10.824713043197134</c:v>
                </c:pt>
                <c:pt idx="101">
                  <c:v>10.824713043197134</c:v>
                </c:pt>
                <c:pt idx="102">
                  <c:v>11.480844069952731</c:v>
                </c:pt>
                <c:pt idx="103">
                  <c:v>10.644607431513819</c:v>
                </c:pt>
                <c:pt idx="104">
                  <c:v>10.644607431513819</c:v>
                </c:pt>
                <c:pt idx="105">
                  <c:v>8.651690764847153</c:v>
                </c:pt>
                <c:pt idx="106">
                  <c:v>8.97011369737797</c:v>
                </c:pt>
                <c:pt idx="107">
                  <c:v>8.4510606526887706</c:v>
                </c:pt>
                <c:pt idx="108">
                  <c:v>8.539848422173522</c:v>
                </c:pt>
                <c:pt idx="109">
                  <c:v>8.4945187518438505</c:v>
                </c:pt>
                <c:pt idx="110">
                  <c:v>8.4945187518438505</c:v>
                </c:pt>
                <c:pt idx="111">
                  <c:v>9.085027555656751</c:v>
                </c:pt>
                <c:pt idx="112">
                  <c:v>9.085027555656751</c:v>
                </c:pt>
                <c:pt idx="113">
                  <c:v>9.7900353515635938</c:v>
                </c:pt>
                <c:pt idx="114">
                  <c:v>9.7900353515635938</c:v>
                </c:pt>
                <c:pt idx="115">
                  <c:v>10.316992621423072</c:v>
                </c:pt>
                <c:pt idx="116">
                  <c:v>10.316992621423072</c:v>
                </c:pt>
                <c:pt idx="117">
                  <c:v>10.316992621423072</c:v>
                </c:pt>
                <c:pt idx="118">
                  <c:v>9.4119926214230709</c:v>
                </c:pt>
                <c:pt idx="119">
                  <c:v>10.479415942595885</c:v>
                </c:pt>
                <c:pt idx="120">
                  <c:v>10.479415942595885</c:v>
                </c:pt>
                <c:pt idx="121">
                  <c:v>9.6831643615909435</c:v>
                </c:pt>
                <c:pt idx="122">
                  <c:v>9.4935909018753044</c:v>
                </c:pt>
                <c:pt idx="123">
                  <c:v>9.339190490140874</c:v>
                </c:pt>
                <c:pt idx="124">
                  <c:v>9.339190490140874</c:v>
                </c:pt>
                <c:pt idx="125">
                  <c:v>9.339190490140874</c:v>
                </c:pt>
                <c:pt idx="126">
                  <c:v>9.339190490140874</c:v>
                </c:pt>
                <c:pt idx="127">
                  <c:v>10.012619506513618</c:v>
                </c:pt>
                <c:pt idx="128">
                  <c:v>10.012619506513618</c:v>
                </c:pt>
                <c:pt idx="129">
                  <c:v>10.087582025254246</c:v>
                </c:pt>
                <c:pt idx="130">
                  <c:v>10.457987315988726</c:v>
                </c:pt>
                <c:pt idx="131">
                  <c:v>10.411726628655238</c:v>
                </c:pt>
                <c:pt idx="132">
                  <c:v>10.411726628655238</c:v>
                </c:pt>
                <c:pt idx="133">
                  <c:v>10.434367161678074</c:v>
                </c:pt>
                <c:pt idx="134">
                  <c:v>9.2265954130346284</c:v>
                </c:pt>
                <c:pt idx="135">
                  <c:v>9.2265954130346284</c:v>
                </c:pt>
                <c:pt idx="136">
                  <c:v>9.2265954130346284</c:v>
                </c:pt>
                <c:pt idx="137">
                  <c:v>8.4640759914976371</c:v>
                </c:pt>
                <c:pt idx="138">
                  <c:v>8.4640759914976371</c:v>
                </c:pt>
                <c:pt idx="139">
                  <c:v>8.4640759914976371</c:v>
                </c:pt>
                <c:pt idx="140">
                  <c:v>8.4640759914976371</c:v>
                </c:pt>
                <c:pt idx="141">
                  <c:v>7.6569671238161687</c:v>
                </c:pt>
                <c:pt idx="142">
                  <c:v>7.6569671238161687</c:v>
                </c:pt>
                <c:pt idx="143">
                  <c:v>7.6569671238161687</c:v>
                </c:pt>
                <c:pt idx="144">
                  <c:v>7.3840227362351385</c:v>
                </c:pt>
                <c:pt idx="145">
                  <c:v>7.1251824223657794</c:v>
                </c:pt>
                <c:pt idx="146">
                  <c:v>7.0759191324737118</c:v>
                </c:pt>
                <c:pt idx="147">
                  <c:v>7.0759191324737118</c:v>
                </c:pt>
                <c:pt idx="148">
                  <c:v>7.0759191324737118</c:v>
                </c:pt>
                <c:pt idx="149">
                  <c:v>6.1305960175696672</c:v>
                </c:pt>
                <c:pt idx="150">
                  <c:v>6.1305960175696672</c:v>
                </c:pt>
                <c:pt idx="151">
                  <c:v>6.1119253678310557</c:v>
                </c:pt>
                <c:pt idx="152">
                  <c:v>6.1119253678310557</c:v>
                </c:pt>
                <c:pt idx="153">
                  <c:v>6.1119253678310557</c:v>
                </c:pt>
                <c:pt idx="154">
                  <c:v>5.9319085487413883</c:v>
                </c:pt>
                <c:pt idx="155">
                  <c:v>5.9319085487413883</c:v>
                </c:pt>
                <c:pt idx="156">
                  <c:v>7.6436715341888339</c:v>
                </c:pt>
                <c:pt idx="157">
                  <c:v>7.6436715341888339</c:v>
                </c:pt>
                <c:pt idx="158">
                  <c:v>7.6436715341888339</c:v>
                </c:pt>
                <c:pt idx="159">
                  <c:v>7.6436715341888339</c:v>
                </c:pt>
                <c:pt idx="160">
                  <c:v>7.0407591963910274</c:v>
                </c:pt>
                <c:pt idx="161">
                  <c:v>6.8298131734717655</c:v>
                </c:pt>
                <c:pt idx="162">
                  <c:v>6.8298131734717655</c:v>
                </c:pt>
                <c:pt idx="163">
                  <c:v>6.8298131734717655</c:v>
                </c:pt>
                <c:pt idx="164">
                  <c:v>6.7661999419196031</c:v>
                </c:pt>
                <c:pt idx="165">
                  <c:v>6.7661999419196031</c:v>
                </c:pt>
                <c:pt idx="166">
                  <c:v>6.7661999419196031</c:v>
                </c:pt>
                <c:pt idx="167">
                  <c:v>6.7661999419196031</c:v>
                </c:pt>
                <c:pt idx="168">
                  <c:v>6.7661999419196031</c:v>
                </c:pt>
                <c:pt idx="169">
                  <c:v>7.3783784165948481</c:v>
                </c:pt>
                <c:pt idx="170">
                  <c:v>6.6424852976028319</c:v>
                </c:pt>
                <c:pt idx="171">
                  <c:v>6.6424852976028319</c:v>
                </c:pt>
                <c:pt idx="172">
                  <c:v>6.6424852976028319</c:v>
                </c:pt>
                <c:pt idx="173">
                  <c:v>5.4674364443682348</c:v>
                </c:pt>
                <c:pt idx="174">
                  <c:v>5.7660249351391375</c:v>
                </c:pt>
                <c:pt idx="175">
                  <c:v>5.7660249351391375</c:v>
                </c:pt>
                <c:pt idx="176">
                  <c:v>5.8924327512198413</c:v>
                </c:pt>
                <c:pt idx="177">
                  <c:v>5.8924327512198413</c:v>
                </c:pt>
                <c:pt idx="178">
                  <c:v>5.8924327512198413</c:v>
                </c:pt>
                <c:pt idx="179">
                  <c:v>5.8924327512198413</c:v>
                </c:pt>
                <c:pt idx="180">
                  <c:v>5.3922541159929747</c:v>
                </c:pt>
                <c:pt idx="181">
                  <c:v>5.5940122944048483</c:v>
                </c:pt>
                <c:pt idx="182">
                  <c:v>5.5940122944048483</c:v>
                </c:pt>
                <c:pt idx="183">
                  <c:v>5.5940122944048483</c:v>
                </c:pt>
                <c:pt idx="184">
                  <c:v>5.5940122944048483</c:v>
                </c:pt>
                <c:pt idx="185">
                  <c:v>5.6903147417556665</c:v>
                </c:pt>
                <c:pt idx="186">
                  <c:v>5.6903147417556665</c:v>
                </c:pt>
                <c:pt idx="187">
                  <c:v>4.8431442910609865</c:v>
                </c:pt>
                <c:pt idx="188">
                  <c:v>4.8431442910609865</c:v>
                </c:pt>
                <c:pt idx="189">
                  <c:v>4.403692545971257</c:v>
                </c:pt>
                <c:pt idx="190">
                  <c:v>4.403692545971257</c:v>
                </c:pt>
                <c:pt idx="191">
                  <c:v>4.403692545971257</c:v>
                </c:pt>
                <c:pt idx="192">
                  <c:v>4.403692545971257</c:v>
                </c:pt>
                <c:pt idx="193">
                  <c:v>3.6040889176459268</c:v>
                </c:pt>
                <c:pt idx="194">
                  <c:v>3.6127056455871007</c:v>
                </c:pt>
                <c:pt idx="195">
                  <c:v>3.6127056455871007</c:v>
                </c:pt>
                <c:pt idx="196">
                  <c:v>2.9039722208042917</c:v>
                </c:pt>
                <c:pt idx="197">
                  <c:v>2.9039722208042917</c:v>
                </c:pt>
                <c:pt idx="198">
                  <c:v>2.9039722208042917</c:v>
                </c:pt>
                <c:pt idx="199">
                  <c:v>2.9039722208042917</c:v>
                </c:pt>
                <c:pt idx="200">
                  <c:v>2.9039722208042917</c:v>
                </c:pt>
                <c:pt idx="201">
                  <c:v>3.2570172340434804</c:v>
                </c:pt>
                <c:pt idx="202">
                  <c:v>2.4804341993959298</c:v>
                </c:pt>
                <c:pt idx="203">
                  <c:v>2.4804341993959298</c:v>
                </c:pt>
                <c:pt idx="204">
                  <c:v>2.4804341993959298</c:v>
                </c:pt>
                <c:pt idx="205">
                  <c:v>2.0432843119554813</c:v>
                </c:pt>
                <c:pt idx="206">
                  <c:v>1.9571381767843654</c:v>
                </c:pt>
                <c:pt idx="207">
                  <c:v>4.0747040542156832</c:v>
                </c:pt>
                <c:pt idx="208">
                  <c:v>4.0747040542156832</c:v>
                </c:pt>
                <c:pt idx="209">
                  <c:v>3.6564147133819924</c:v>
                </c:pt>
                <c:pt idx="210">
                  <c:v>5.6270845906436229</c:v>
                </c:pt>
                <c:pt idx="211">
                  <c:v>5.6270845906436229</c:v>
                </c:pt>
                <c:pt idx="212">
                  <c:v>5.6270845906436229</c:v>
                </c:pt>
                <c:pt idx="213">
                  <c:v>4.532855429784969</c:v>
                </c:pt>
                <c:pt idx="214">
                  <c:v>6.0789156181608046</c:v>
                </c:pt>
                <c:pt idx="215">
                  <c:v>5.3188413166330735</c:v>
                </c:pt>
                <c:pt idx="216">
                  <c:v>4.8547341051210182</c:v>
                </c:pt>
                <c:pt idx="217">
                  <c:v>4.7056055749690922</c:v>
                </c:pt>
                <c:pt idx="218">
                  <c:v>4.3644291043808572</c:v>
                </c:pt>
                <c:pt idx="219">
                  <c:v>4.5362682146169426</c:v>
                </c:pt>
                <c:pt idx="220">
                  <c:v>4.5362682146169426</c:v>
                </c:pt>
                <c:pt idx="221">
                  <c:v>4.5362682146169426</c:v>
                </c:pt>
                <c:pt idx="222">
                  <c:v>4.5362682146169426</c:v>
                </c:pt>
                <c:pt idx="223">
                  <c:v>4.5362682146169426</c:v>
                </c:pt>
                <c:pt idx="224">
                  <c:v>3.9214565226551663</c:v>
                </c:pt>
                <c:pt idx="225">
                  <c:v>3.9690044101704491</c:v>
                </c:pt>
                <c:pt idx="226">
                  <c:v>3.9690044101704491</c:v>
                </c:pt>
                <c:pt idx="227">
                  <c:v>3.9690044101704491</c:v>
                </c:pt>
                <c:pt idx="228">
                  <c:v>3.9690044101704491</c:v>
                </c:pt>
                <c:pt idx="229">
                  <c:v>3.9690044101704491</c:v>
                </c:pt>
                <c:pt idx="230">
                  <c:v>3.9690044101704491</c:v>
                </c:pt>
                <c:pt idx="231">
                  <c:v>3.9690044101704491</c:v>
                </c:pt>
                <c:pt idx="232">
                  <c:v>4.0680045091705477</c:v>
                </c:pt>
                <c:pt idx="233">
                  <c:v>4.2261469144779591</c:v>
                </c:pt>
                <c:pt idx="234">
                  <c:v>4.1735057530477029</c:v>
                </c:pt>
                <c:pt idx="235">
                  <c:v>4.0386883259666648</c:v>
                </c:pt>
                <c:pt idx="236">
                  <c:v>4.0386883259666648</c:v>
                </c:pt>
                <c:pt idx="237">
                  <c:v>3.4877551125643715</c:v>
                </c:pt>
                <c:pt idx="238">
                  <c:v>3.2682161443975222</c:v>
                </c:pt>
                <c:pt idx="239">
                  <c:v>3.2682161443975222</c:v>
                </c:pt>
                <c:pt idx="240">
                  <c:v>3.2682161443975222</c:v>
                </c:pt>
                <c:pt idx="241">
                  <c:v>3.2682161443975222</c:v>
                </c:pt>
                <c:pt idx="242">
                  <c:v>3.2682161443975222</c:v>
                </c:pt>
                <c:pt idx="243">
                  <c:v>3.2682161443975222</c:v>
                </c:pt>
                <c:pt idx="244">
                  <c:v>3.2682161443975222</c:v>
                </c:pt>
                <c:pt idx="245">
                  <c:v>4.2180574142387899</c:v>
                </c:pt>
                <c:pt idx="246">
                  <c:v>4.2180574142387899</c:v>
                </c:pt>
                <c:pt idx="247">
                  <c:v>5.2451212771671383</c:v>
                </c:pt>
                <c:pt idx="248">
                  <c:v>5.2451212771671383</c:v>
                </c:pt>
                <c:pt idx="249">
                  <c:v>4.2953130890804463</c:v>
                </c:pt>
                <c:pt idx="250">
                  <c:v>3.6409635894653576</c:v>
                </c:pt>
                <c:pt idx="251">
                  <c:v>3.6409635894653576</c:v>
                </c:pt>
                <c:pt idx="252">
                  <c:v>3.1804187986762522</c:v>
                </c:pt>
                <c:pt idx="253">
                  <c:v>3.1804187986762522</c:v>
                </c:pt>
                <c:pt idx="254">
                  <c:v>3.1804187986762522</c:v>
                </c:pt>
                <c:pt idx="255">
                  <c:v>4.1950534757884856</c:v>
                </c:pt>
                <c:pt idx="256">
                  <c:v>4.1950534757884856</c:v>
                </c:pt>
                <c:pt idx="257">
                  <c:v>4.1950534757884856</c:v>
                </c:pt>
                <c:pt idx="258">
                  <c:v>4.1950534757884856</c:v>
                </c:pt>
                <c:pt idx="259">
                  <c:v>4.1950534757884856</c:v>
                </c:pt>
                <c:pt idx="260">
                  <c:v>4.1950534757884856</c:v>
                </c:pt>
                <c:pt idx="261">
                  <c:v>4.1950534757884856</c:v>
                </c:pt>
                <c:pt idx="262">
                  <c:v>5.5532939535395593</c:v>
                </c:pt>
                <c:pt idx="263">
                  <c:v>6.2039218851479738</c:v>
                </c:pt>
                <c:pt idx="264">
                  <c:v>7.2010288015334387</c:v>
                </c:pt>
                <c:pt idx="265">
                  <c:v>9.3402573271558929</c:v>
                </c:pt>
                <c:pt idx="266">
                  <c:v>9.9465073271558904</c:v>
                </c:pt>
                <c:pt idx="267">
                  <c:v>9.9465073271558904</c:v>
                </c:pt>
                <c:pt idx="268">
                  <c:v>9.9465073271558904</c:v>
                </c:pt>
                <c:pt idx="269">
                  <c:v>9.9465073271558904</c:v>
                </c:pt>
                <c:pt idx="270">
                  <c:v>10.397860821322839</c:v>
                </c:pt>
                <c:pt idx="271">
                  <c:v>10.397860821322839</c:v>
                </c:pt>
                <c:pt idx="272">
                  <c:v>10.397860821322839</c:v>
                </c:pt>
                <c:pt idx="273">
                  <c:v>10.146050937784912</c:v>
                </c:pt>
                <c:pt idx="274">
                  <c:v>10.146050937784912</c:v>
                </c:pt>
                <c:pt idx="275">
                  <c:v>10.146050937784912</c:v>
                </c:pt>
                <c:pt idx="276">
                  <c:v>10.907734387307247</c:v>
                </c:pt>
                <c:pt idx="277">
                  <c:v>11.706621766827269</c:v>
                </c:pt>
                <c:pt idx="278">
                  <c:v>11.706621766827269</c:v>
                </c:pt>
                <c:pt idx="279">
                  <c:v>13.167005058144936</c:v>
                </c:pt>
                <c:pt idx="280">
                  <c:v>13.167005058144936</c:v>
                </c:pt>
                <c:pt idx="281">
                  <c:v>11.017638173718773</c:v>
                </c:pt>
                <c:pt idx="282">
                  <c:v>11.017638173718773</c:v>
                </c:pt>
                <c:pt idx="283">
                  <c:v>11.017638173718773</c:v>
                </c:pt>
                <c:pt idx="284">
                  <c:v>11.017638173718773</c:v>
                </c:pt>
                <c:pt idx="285">
                  <c:v>11.11646089435124</c:v>
                </c:pt>
                <c:pt idx="286">
                  <c:v>11.11646089435124</c:v>
                </c:pt>
                <c:pt idx="287">
                  <c:v>10.965005606586191</c:v>
                </c:pt>
                <c:pt idx="288">
                  <c:v>11.691278346679267</c:v>
                </c:pt>
                <c:pt idx="289">
                  <c:v>11.550300903070243</c:v>
                </c:pt>
                <c:pt idx="290">
                  <c:v>13.15605948557301</c:v>
                </c:pt>
                <c:pt idx="291">
                  <c:v>13.15605948557301</c:v>
                </c:pt>
                <c:pt idx="292">
                  <c:v>13.15605948557301</c:v>
                </c:pt>
                <c:pt idx="293">
                  <c:v>14.856059485573011</c:v>
                </c:pt>
                <c:pt idx="294">
                  <c:v>14.856059485573011</c:v>
                </c:pt>
                <c:pt idx="295">
                  <c:v>14.856059485573011</c:v>
                </c:pt>
                <c:pt idx="296">
                  <c:v>13.987439447765828</c:v>
                </c:pt>
                <c:pt idx="297">
                  <c:v>13.987439447765828</c:v>
                </c:pt>
                <c:pt idx="298">
                  <c:v>13.154727541228418</c:v>
                </c:pt>
                <c:pt idx="299">
                  <c:v>13.154727541228418</c:v>
                </c:pt>
                <c:pt idx="300">
                  <c:v>13.154727541228418</c:v>
                </c:pt>
                <c:pt idx="301">
                  <c:v>13.154727541228418</c:v>
                </c:pt>
                <c:pt idx="302">
                  <c:v>13.154727541228418</c:v>
                </c:pt>
                <c:pt idx="303">
                  <c:v>12.653085804635936</c:v>
                </c:pt>
                <c:pt idx="304">
                  <c:v>12.809439763385104</c:v>
                </c:pt>
                <c:pt idx="305">
                  <c:v>12.809439763385104</c:v>
                </c:pt>
                <c:pt idx="306">
                  <c:v>13.51297353139605</c:v>
                </c:pt>
                <c:pt idx="307">
                  <c:v>13.51297353139605</c:v>
                </c:pt>
                <c:pt idx="308">
                  <c:v>13.51297353139605</c:v>
                </c:pt>
                <c:pt idx="309">
                  <c:v>13.51297353139605</c:v>
                </c:pt>
                <c:pt idx="310">
                  <c:v>13.51297353139605</c:v>
                </c:pt>
                <c:pt idx="311">
                  <c:v>12.373298659837122</c:v>
                </c:pt>
                <c:pt idx="312">
                  <c:v>12.373298659837122</c:v>
                </c:pt>
                <c:pt idx="313">
                  <c:v>13.168797301668707</c:v>
                </c:pt>
                <c:pt idx="314">
                  <c:v>13.12591696842726</c:v>
                </c:pt>
                <c:pt idx="315">
                  <c:v>9.0694029640418403</c:v>
                </c:pt>
                <c:pt idx="316">
                  <c:v>7.9624476578345789</c:v>
                </c:pt>
                <c:pt idx="317">
                  <c:v>7.9624476578345789</c:v>
                </c:pt>
                <c:pt idx="318">
                  <c:v>6.6636878946275218</c:v>
                </c:pt>
                <c:pt idx="319">
                  <c:v>6.8424956048159853</c:v>
                </c:pt>
                <c:pt idx="320">
                  <c:v>8.8685165917700406</c:v>
                </c:pt>
                <c:pt idx="321">
                  <c:v>8.0156014853139332</c:v>
                </c:pt>
                <c:pt idx="322">
                  <c:v>8.0156014853139332</c:v>
                </c:pt>
                <c:pt idx="323">
                  <c:v>8.0156014853139332</c:v>
                </c:pt>
                <c:pt idx="324">
                  <c:v>8.4001101466688315</c:v>
                </c:pt>
                <c:pt idx="325">
                  <c:v>8.4001101466688315</c:v>
                </c:pt>
                <c:pt idx="326">
                  <c:v>8.4001101466688315</c:v>
                </c:pt>
                <c:pt idx="327">
                  <c:v>8.4001101466688315</c:v>
                </c:pt>
                <c:pt idx="328">
                  <c:v>7.5844440744146864</c:v>
                </c:pt>
                <c:pt idx="329">
                  <c:v>8.9049056811612477</c:v>
                </c:pt>
                <c:pt idx="330">
                  <c:v>8.9049056811612477</c:v>
                </c:pt>
                <c:pt idx="331">
                  <c:v>8.8355168367523866</c:v>
                </c:pt>
                <c:pt idx="332">
                  <c:v>8.8355168367523866</c:v>
                </c:pt>
                <c:pt idx="333">
                  <c:v>9.4326476509208419</c:v>
                </c:pt>
                <c:pt idx="334">
                  <c:v>9.4326476509208419</c:v>
                </c:pt>
                <c:pt idx="335">
                  <c:v>9.1265277518779389</c:v>
                </c:pt>
                <c:pt idx="336">
                  <c:v>8.1420749035677158</c:v>
                </c:pt>
                <c:pt idx="337">
                  <c:v>7.2982843367135422</c:v>
                </c:pt>
                <c:pt idx="338">
                  <c:v>7.2982843367135422</c:v>
                </c:pt>
                <c:pt idx="339">
                  <c:v>7.2982843367135422</c:v>
                </c:pt>
                <c:pt idx="340">
                  <c:v>7.2982843367135422</c:v>
                </c:pt>
                <c:pt idx="341">
                  <c:v>7.2982843367135422</c:v>
                </c:pt>
                <c:pt idx="342">
                  <c:v>7.47129471733638</c:v>
                </c:pt>
                <c:pt idx="343">
                  <c:v>8.2129772772007588</c:v>
                </c:pt>
                <c:pt idx="344">
                  <c:v>10.014821024290804</c:v>
                </c:pt>
                <c:pt idx="345">
                  <c:v>9.815958517827772</c:v>
                </c:pt>
                <c:pt idx="346">
                  <c:v>9.815958517827772</c:v>
                </c:pt>
                <c:pt idx="347">
                  <c:v>12.731392442877082</c:v>
                </c:pt>
                <c:pt idx="348">
                  <c:v>12.731392442877082</c:v>
                </c:pt>
                <c:pt idx="349">
                  <c:v>12.731392442877082</c:v>
                </c:pt>
                <c:pt idx="350">
                  <c:v>12.731392442877082</c:v>
                </c:pt>
                <c:pt idx="351">
                  <c:v>13.616454243130445</c:v>
                </c:pt>
                <c:pt idx="352">
                  <c:v>12.941196266051175</c:v>
                </c:pt>
                <c:pt idx="353">
                  <c:v>12.941196266051175</c:v>
                </c:pt>
                <c:pt idx="354">
                  <c:v>13.773380578741252</c:v>
                </c:pt>
                <c:pt idx="355">
                  <c:v>13.773380578741252</c:v>
                </c:pt>
                <c:pt idx="356">
                  <c:v>14.289455028825854</c:v>
                </c:pt>
                <c:pt idx="357">
                  <c:v>14.289455028825854</c:v>
                </c:pt>
                <c:pt idx="358">
                  <c:v>16.781304120581794</c:v>
                </c:pt>
                <c:pt idx="359">
                  <c:v>16.781304120581794</c:v>
                </c:pt>
                <c:pt idx="360">
                  <c:v>16.781304120581794</c:v>
                </c:pt>
                <c:pt idx="361">
                  <c:v>15.246059807616374</c:v>
                </c:pt>
                <c:pt idx="362">
                  <c:v>15.246059807616374</c:v>
                </c:pt>
                <c:pt idx="363">
                  <c:v>15.392057746469002</c:v>
                </c:pt>
                <c:pt idx="364">
                  <c:v>15.504499564365554</c:v>
                </c:pt>
                <c:pt idx="365">
                  <c:v>15.895277211884119</c:v>
                </c:pt>
                <c:pt idx="366">
                  <c:v>16.022708466075937</c:v>
                </c:pt>
                <c:pt idx="367">
                  <c:v>16.649533126903687</c:v>
                </c:pt>
                <c:pt idx="368">
                  <c:v>16.649533126903687</c:v>
                </c:pt>
                <c:pt idx="369">
                  <c:v>19.612719811020607</c:v>
                </c:pt>
                <c:pt idx="370">
                  <c:v>19.612719811020607</c:v>
                </c:pt>
                <c:pt idx="371">
                  <c:v>20.052448326458904</c:v>
                </c:pt>
                <c:pt idx="372">
                  <c:v>19.955360947818129</c:v>
                </c:pt>
                <c:pt idx="373">
                  <c:v>19.955360947818129</c:v>
                </c:pt>
                <c:pt idx="374">
                  <c:v>20.611328603249458</c:v>
                </c:pt>
                <c:pt idx="375">
                  <c:v>21.043276443510255</c:v>
                </c:pt>
                <c:pt idx="376">
                  <c:v>23.578724653075266</c:v>
                </c:pt>
                <c:pt idx="377">
                  <c:v>23.177655134358687</c:v>
                </c:pt>
                <c:pt idx="378">
                  <c:v>23.568761710900798</c:v>
                </c:pt>
                <c:pt idx="379">
                  <c:v>24.041034715166489</c:v>
                </c:pt>
                <c:pt idx="380">
                  <c:v>23.445041266213678</c:v>
                </c:pt>
                <c:pt idx="381">
                  <c:v>22.739803418862351</c:v>
                </c:pt>
                <c:pt idx="382">
                  <c:v>22.739803418862351</c:v>
                </c:pt>
                <c:pt idx="383">
                  <c:v>22.739803418862351</c:v>
                </c:pt>
                <c:pt idx="384">
                  <c:v>21.800569934243086</c:v>
                </c:pt>
                <c:pt idx="385">
                  <c:v>21.800569934243086</c:v>
                </c:pt>
                <c:pt idx="386">
                  <c:v>18.864626873744868</c:v>
                </c:pt>
                <c:pt idx="387">
                  <c:v>20.102722111840105</c:v>
                </c:pt>
                <c:pt idx="388">
                  <c:v>20.102722111840105</c:v>
                </c:pt>
                <c:pt idx="389">
                  <c:v>20.102722111840105</c:v>
                </c:pt>
                <c:pt idx="390">
                  <c:v>19.040865485669279</c:v>
                </c:pt>
                <c:pt idx="391">
                  <c:v>18.867912295184656</c:v>
                </c:pt>
                <c:pt idx="392">
                  <c:v>18.012695472566683</c:v>
                </c:pt>
                <c:pt idx="393">
                  <c:v>15.348876603790954</c:v>
                </c:pt>
                <c:pt idx="394">
                  <c:v>15.348876603790954</c:v>
                </c:pt>
                <c:pt idx="395">
                  <c:v>15.348876603790954</c:v>
                </c:pt>
                <c:pt idx="396">
                  <c:v>17.277523259925761</c:v>
                </c:pt>
                <c:pt idx="397">
                  <c:v>18.266223824897512</c:v>
                </c:pt>
                <c:pt idx="398">
                  <c:v>17.718075676749361</c:v>
                </c:pt>
                <c:pt idx="399">
                  <c:v>17.718075676749361</c:v>
                </c:pt>
                <c:pt idx="400">
                  <c:v>17.002488895588808</c:v>
                </c:pt>
                <c:pt idx="401">
                  <c:v>17.002488895588808</c:v>
                </c:pt>
                <c:pt idx="402">
                  <c:v>17.002488895588808</c:v>
                </c:pt>
                <c:pt idx="403">
                  <c:v>15.772531720008686</c:v>
                </c:pt>
                <c:pt idx="404">
                  <c:v>14.555936818771587</c:v>
                </c:pt>
                <c:pt idx="405">
                  <c:v>14.555936818771587</c:v>
                </c:pt>
                <c:pt idx="406">
                  <c:v>14.555936818771587</c:v>
                </c:pt>
                <c:pt idx="407">
                  <c:v>14.555936818771587</c:v>
                </c:pt>
                <c:pt idx="408">
                  <c:v>15.953983216817985</c:v>
                </c:pt>
                <c:pt idx="409">
                  <c:v>15.953983216817985</c:v>
                </c:pt>
                <c:pt idx="410">
                  <c:v>15.953983216817985</c:v>
                </c:pt>
                <c:pt idx="411">
                  <c:v>15.953983216817985</c:v>
                </c:pt>
                <c:pt idx="412">
                  <c:v>16.315398335168712</c:v>
                </c:pt>
                <c:pt idx="413">
                  <c:v>16.315398335168712</c:v>
                </c:pt>
                <c:pt idx="414">
                  <c:v>18.541606395941031</c:v>
                </c:pt>
                <c:pt idx="415">
                  <c:v>18.541606395941031</c:v>
                </c:pt>
                <c:pt idx="416">
                  <c:v>18.541606395941031</c:v>
                </c:pt>
                <c:pt idx="417">
                  <c:v>18.541606395941031</c:v>
                </c:pt>
                <c:pt idx="418">
                  <c:v>19.310622835060563</c:v>
                </c:pt>
                <c:pt idx="419">
                  <c:v>19.310622835060563</c:v>
                </c:pt>
                <c:pt idx="420">
                  <c:v>19.310622835060563</c:v>
                </c:pt>
                <c:pt idx="421">
                  <c:v>19.310622835060563</c:v>
                </c:pt>
                <c:pt idx="422">
                  <c:v>19.310622835060563</c:v>
                </c:pt>
                <c:pt idx="423">
                  <c:v>19.310622835060563</c:v>
                </c:pt>
                <c:pt idx="424">
                  <c:v>18.917295188392</c:v>
                </c:pt>
                <c:pt idx="425">
                  <c:v>18.917295188392</c:v>
                </c:pt>
                <c:pt idx="426">
                  <c:v>18.917295188392</c:v>
                </c:pt>
                <c:pt idx="427">
                  <c:v>18.917295188392</c:v>
                </c:pt>
                <c:pt idx="428">
                  <c:v>18.917295188392</c:v>
                </c:pt>
                <c:pt idx="429">
                  <c:v>18.917295188392</c:v>
                </c:pt>
                <c:pt idx="430">
                  <c:v>18.917295188392</c:v>
                </c:pt>
                <c:pt idx="431">
                  <c:v>18.917295188392</c:v>
                </c:pt>
                <c:pt idx="432">
                  <c:v>18.917295188392</c:v>
                </c:pt>
                <c:pt idx="433">
                  <c:v>18.917295188392</c:v>
                </c:pt>
                <c:pt idx="434">
                  <c:v>19.012806172155134</c:v>
                </c:pt>
                <c:pt idx="435">
                  <c:v>16.280108883541644</c:v>
                </c:pt>
                <c:pt idx="436">
                  <c:v>14.879288513601237</c:v>
                </c:pt>
                <c:pt idx="437">
                  <c:v>16.12348395071006</c:v>
                </c:pt>
                <c:pt idx="438">
                  <c:v>16.12348395071006</c:v>
                </c:pt>
                <c:pt idx="439">
                  <c:v>15.346784921583847</c:v>
                </c:pt>
                <c:pt idx="440">
                  <c:v>15.346784921583847</c:v>
                </c:pt>
                <c:pt idx="441">
                  <c:v>15.346784921583847</c:v>
                </c:pt>
                <c:pt idx="442">
                  <c:v>14.70999246875366</c:v>
                </c:pt>
                <c:pt idx="443">
                  <c:v>15.126535164379963</c:v>
                </c:pt>
                <c:pt idx="444">
                  <c:v>15.126535164379963</c:v>
                </c:pt>
              </c:numCache>
            </c:numRef>
          </c:val>
          <c:smooth val="0"/>
          <c:extLst>
            <c:ext xmlns:c16="http://schemas.microsoft.com/office/drawing/2014/chart" uri="{C3380CC4-5D6E-409C-BE32-E72D297353CC}">
              <c16:uniqueId val="{00000000-A6BD-4CC1-B78D-ABDFF9BB441A}"/>
            </c:ext>
          </c:extLst>
        </c:ser>
        <c:dLbls>
          <c:showLegendKey val="0"/>
          <c:showVal val="0"/>
          <c:showCatName val="0"/>
          <c:showSerName val="0"/>
          <c:showPercent val="0"/>
          <c:showBubbleSize val="0"/>
        </c:dLbls>
        <c:marker val="1"/>
        <c:smooth val="0"/>
        <c:axId val="405309280"/>
        <c:axId val="405309760"/>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6"/>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405309760"/>
        <c:scaling>
          <c:orientation val="minMax"/>
          <c:max val="36"/>
          <c:min val="-1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05309280"/>
        <c:crosses val="max"/>
        <c:crossBetween val="between"/>
        <c:majorUnit val="6"/>
        <c:minorUnit val="3"/>
      </c:valAx>
      <c:catAx>
        <c:axId val="405309280"/>
        <c:scaling>
          <c:orientation val="minMax"/>
        </c:scaling>
        <c:delete val="1"/>
        <c:axPos val="b"/>
        <c:majorTickMark val="out"/>
        <c:minorTickMark val="none"/>
        <c:tickLblPos val="nextTo"/>
        <c:crossAx val="405309760"/>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legend>
      <c:legendPos val="t"/>
      <c:layout>
        <c:manualLayout>
          <c:xMode val="edge"/>
          <c:yMode val="edge"/>
          <c:x val="3.6434050394863436E-2"/>
          <c:y val="4.2984496124031019E-2"/>
          <c:w val="0.15179695561310649"/>
          <c:h val="6.5407434535799308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accent6">
                    <a:lumMod val="50000"/>
                  </a:schemeClr>
                </a:solidFill>
                <a:latin typeface="+mn-lt"/>
                <a:ea typeface="+mn-ea"/>
                <a:cs typeface="+mn-cs"/>
              </a:defRPr>
            </a:pPr>
            <a:r>
              <a:rPr lang="en-US" sz="1050" b="1">
                <a:solidFill>
                  <a:schemeClr val="accent6">
                    <a:lumMod val="50000"/>
                  </a:schemeClr>
                </a:solidFill>
              </a:rPr>
              <a:t>Gap</a:t>
            </a:r>
            <a:r>
              <a:rPr lang="en-US" sz="1050" b="1" baseline="0">
                <a:solidFill>
                  <a:schemeClr val="accent6">
                    <a:lumMod val="50000"/>
                  </a:schemeClr>
                </a:solidFill>
              </a:rPr>
              <a:t> Ups</a:t>
            </a:r>
            <a:endParaRPr lang="en-US" sz="1050" b="1">
              <a:solidFill>
                <a:schemeClr val="accent6">
                  <a:lumMod val="50000"/>
                </a:schemeClr>
              </a:solidFill>
            </a:endParaRPr>
          </a:p>
        </c:rich>
      </c:tx>
      <c:layout>
        <c:manualLayout>
          <c:xMode val="edge"/>
          <c:yMode val="edge"/>
          <c:x val="7.7123044045723788E-2"/>
          <c:y val="0.13905930470347649"/>
        </c:manualLayout>
      </c:layout>
      <c:overlay val="0"/>
      <c:spPr>
        <a:solidFill>
          <a:schemeClr val="accent3">
            <a:lumMod val="20000"/>
            <a:lumOff val="80000"/>
          </a:schemeClr>
        </a:solidFill>
        <a:ln>
          <a:solidFill>
            <a:schemeClr val="accent3"/>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4257737013642527E-2"/>
          <c:y val="0.1091686391961741"/>
          <c:w val="0.87240544726991098"/>
          <c:h val="0.78492858638069019"/>
        </c:manualLayout>
      </c:layout>
      <c:barChart>
        <c:barDir val="col"/>
        <c:grouping val="clustered"/>
        <c:varyColors val="0"/>
        <c:ser>
          <c:idx val="1"/>
          <c:order val="1"/>
          <c:tx>
            <c:v>Average Gap Size Up</c:v>
          </c:tx>
          <c:spPr>
            <a:solidFill>
              <a:srgbClr val="00FF00"/>
            </a:solidFill>
            <a:ln>
              <a:solidFill>
                <a:sysClr val="windowText" lastClr="000000"/>
              </a:solidFill>
            </a:ln>
            <a:effectLst/>
          </c:spPr>
          <c:invertIfNegative val="0"/>
          <c:dLbls>
            <c:spPr>
              <a:solidFill>
                <a:schemeClr val="accent6">
                  <a:lumMod val="20000"/>
                  <a:lumOff val="80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 Roll Up'!$B$4:$B$20</c15:sqref>
                  </c15:fullRef>
                </c:ext>
              </c:extLst>
              <c:f>('Stats Roll Up'!$B$4:$B$15,'Stats Roll Up'!$B$17)</c:f>
              <c:strCache>
                <c:ptCount val="13"/>
                <c:pt idx="0">
                  <c:v>All</c:v>
                </c:pt>
                <c:pt idx="1">
                  <c:v>XLF</c:v>
                </c:pt>
                <c:pt idx="2">
                  <c:v>INS</c:v>
                </c:pt>
                <c:pt idx="3">
                  <c:v>XLY</c:v>
                </c:pt>
                <c:pt idx="4">
                  <c:v>XHB</c:v>
                </c:pt>
                <c:pt idx="5">
                  <c:v>XLP</c:v>
                </c:pt>
                <c:pt idx="6">
                  <c:v>XLK</c:v>
                </c:pt>
                <c:pt idx="7">
                  <c:v>SMH</c:v>
                </c:pt>
                <c:pt idx="8">
                  <c:v>IGV</c:v>
                </c:pt>
                <c:pt idx="9">
                  <c:v>XLC</c:v>
                </c:pt>
                <c:pt idx="10">
                  <c:v>XLI</c:v>
                </c:pt>
                <c:pt idx="11">
                  <c:v>XLV</c:v>
                </c:pt>
                <c:pt idx="12">
                  <c:v>XLB</c:v>
                </c:pt>
              </c:strCache>
            </c:strRef>
          </c:cat>
          <c:val>
            <c:numRef>
              <c:extLst>
                <c:ext xmlns:c15="http://schemas.microsoft.com/office/drawing/2012/chart" uri="{02D57815-91ED-43cb-92C2-25804820EDAC}">
                  <c15:fullRef>
                    <c15:sqref>'Stats Roll Up'!$D$4:$D$20</c15:sqref>
                  </c15:fullRef>
                </c:ext>
              </c:extLst>
              <c:f>('Stats Roll Up'!$D$4:$D$15,'Stats Roll Up'!$D$17)</c:f>
              <c:numCache>
                <c:formatCode>0.0%</c:formatCode>
                <c:ptCount val="13"/>
                <c:pt idx="0">
                  <c:v>4.9782433091204677E-2</c:v>
                </c:pt>
                <c:pt idx="1">
                  <c:v>3.0036375513493092E-2</c:v>
                </c:pt>
                <c:pt idx="2">
                  <c:v>2.5259507293391461E-2</c:v>
                </c:pt>
                <c:pt idx="3">
                  <c:v>6.7585025859397352E-2</c:v>
                </c:pt>
                <c:pt idx="4">
                  <c:v>1.6800666265245442E-2</c:v>
                </c:pt>
                <c:pt idx="5">
                  <c:v>5.2395493761929243E-2</c:v>
                </c:pt>
                <c:pt idx="6">
                  <c:v>5.0256941925896775E-2</c:v>
                </c:pt>
                <c:pt idx="7">
                  <c:v>4.2370730208088736E-2</c:v>
                </c:pt>
                <c:pt idx="8">
                  <c:v>9.9103882882679115E-2</c:v>
                </c:pt>
                <c:pt idx="9">
                  <c:v>5.3699418574220274E-2</c:v>
                </c:pt>
                <c:pt idx="10">
                  <c:v>4.0220655311802127E-2</c:v>
                </c:pt>
                <c:pt idx="11">
                  <c:v>4.6956057991335121E-2</c:v>
                </c:pt>
                <c:pt idx="12">
                  <c:v>4.5761867121162467E-2</c:v>
                </c:pt>
              </c:numCache>
            </c:numRef>
          </c:val>
          <c:extLst>
            <c:ext xmlns:c16="http://schemas.microsoft.com/office/drawing/2014/chart" uri="{C3380CC4-5D6E-409C-BE32-E72D297353CC}">
              <c16:uniqueId val="{00000001-212B-4514-9412-F928D909F1B7}"/>
            </c:ext>
          </c:extLst>
        </c:ser>
        <c:dLbls>
          <c:showLegendKey val="0"/>
          <c:showVal val="0"/>
          <c:showCatName val="0"/>
          <c:showSerName val="0"/>
          <c:showPercent val="0"/>
          <c:showBubbleSize val="0"/>
        </c:dLbls>
        <c:gapWidth val="100"/>
        <c:axId val="976137584"/>
        <c:axId val="976143344"/>
      </c:barChart>
      <c:lineChart>
        <c:grouping val="standard"/>
        <c:varyColors val="0"/>
        <c:ser>
          <c:idx val="0"/>
          <c:order val="0"/>
          <c:tx>
            <c:v>% That Gap Up</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'Stats Roll Up'!$B$4:$B$20</c15:sqref>
                  </c15:fullRef>
                </c:ext>
              </c:extLst>
              <c:f>('Stats Roll Up'!$B$4:$B$15,'Stats Roll Up'!$B$17)</c:f>
              <c:strCache>
                <c:ptCount val="13"/>
                <c:pt idx="0">
                  <c:v>All</c:v>
                </c:pt>
                <c:pt idx="1">
                  <c:v>XLF</c:v>
                </c:pt>
                <c:pt idx="2">
                  <c:v>INS</c:v>
                </c:pt>
                <c:pt idx="3">
                  <c:v>XLY</c:v>
                </c:pt>
                <c:pt idx="4">
                  <c:v>XHB</c:v>
                </c:pt>
                <c:pt idx="5">
                  <c:v>XLP</c:v>
                </c:pt>
                <c:pt idx="6">
                  <c:v>XLK</c:v>
                </c:pt>
                <c:pt idx="7">
                  <c:v>SMH</c:v>
                </c:pt>
                <c:pt idx="8">
                  <c:v>IGV</c:v>
                </c:pt>
                <c:pt idx="9">
                  <c:v>XLC</c:v>
                </c:pt>
                <c:pt idx="10">
                  <c:v>XLI</c:v>
                </c:pt>
                <c:pt idx="11">
                  <c:v>XLV</c:v>
                </c:pt>
                <c:pt idx="12">
                  <c:v>XLB</c:v>
                </c:pt>
              </c:strCache>
            </c:strRef>
          </c:cat>
          <c:val>
            <c:numRef>
              <c:extLst>
                <c:ext xmlns:c15="http://schemas.microsoft.com/office/drawing/2012/chart" uri="{02D57815-91ED-43cb-92C2-25804820EDAC}">
                  <c15:fullRef>
                    <c15:sqref>'Stats Roll Up'!$E$4:$E$20</c15:sqref>
                  </c15:fullRef>
                </c:ext>
              </c:extLst>
              <c:f>('Stats Roll Up'!$E$4:$E$15,'Stats Roll Up'!$E$17)</c:f>
              <c:numCache>
                <c:formatCode>0%</c:formatCode>
                <c:ptCount val="13"/>
                <c:pt idx="0">
                  <c:v>0.48423423423423423</c:v>
                </c:pt>
                <c:pt idx="1">
                  <c:v>0.5714285714285714</c:v>
                </c:pt>
                <c:pt idx="2">
                  <c:v>0.4</c:v>
                </c:pt>
                <c:pt idx="3">
                  <c:v>0.59183673469387754</c:v>
                </c:pt>
                <c:pt idx="4">
                  <c:v>0.5</c:v>
                </c:pt>
                <c:pt idx="5">
                  <c:v>0.4</c:v>
                </c:pt>
                <c:pt idx="6">
                  <c:v>0.54545454545454541</c:v>
                </c:pt>
                <c:pt idx="7">
                  <c:v>0.5</c:v>
                </c:pt>
                <c:pt idx="8">
                  <c:v>0.47727272727272729</c:v>
                </c:pt>
                <c:pt idx="9">
                  <c:v>0.70588235294117652</c:v>
                </c:pt>
                <c:pt idx="10">
                  <c:v>0.47058823529411764</c:v>
                </c:pt>
                <c:pt idx="11">
                  <c:v>0.38181818181818183</c:v>
                </c:pt>
                <c:pt idx="12">
                  <c:v>0.30769230769230771</c:v>
                </c:pt>
              </c:numCache>
            </c:numRef>
          </c:val>
          <c:smooth val="1"/>
          <c:extLst>
            <c:ext xmlns:c16="http://schemas.microsoft.com/office/drawing/2014/chart" uri="{C3380CC4-5D6E-409C-BE32-E72D297353CC}">
              <c16:uniqueId val="{00000000-212B-4514-9412-F928D909F1B7}"/>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scaling>
        <c:delete val="0"/>
        <c:axPos val="r"/>
        <c:majorGridlines>
          <c:spPr>
            <a:ln w="9525" cap="flat" cmpd="sng" algn="ctr">
              <a:solidFill>
                <a:schemeClr val="accent3">
                  <a:lumMod val="40000"/>
                  <a:lumOff val="60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0.3251834043285573"/>
          <c:y val="1.8548218282530636E-2"/>
          <c:w val="0.48241953874618132"/>
          <c:h val="6.9018887976426274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FF9900"/>
                </a:solidFill>
                <a:latin typeface="+mn-lt"/>
                <a:ea typeface="+mn-ea"/>
                <a:cs typeface="+mn-cs"/>
              </a:defRPr>
            </a:pPr>
            <a:r>
              <a:rPr lang="en-US" sz="1000" b="1">
                <a:solidFill>
                  <a:srgbClr val="FF9900"/>
                </a:solidFill>
              </a:rPr>
              <a:t>Gap Downs</a:t>
            </a:r>
          </a:p>
        </c:rich>
      </c:tx>
      <c:layout>
        <c:manualLayout>
          <c:xMode val="edge"/>
          <c:yMode val="edge"/>
          <c:x val="6.9740437158469948E-2"/>
          <c:y val="0.1058524003362144"/>
        </c:manualLayout>
      </c:layout>
      <c:overlay val="0"/>
      <c:spPr>
        <a:solidFill>
          <a:srgbClr val="FFFFCC"/>
        </a:solidFill>
        <a:ln>
          <a:solidFill>
            <a:srgbClr val="FFCC00"/>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9897845761083141E-2"/>
          <c:y val="8.0536301731273366E-2"/>
          <c:w val="0.84982179481663156"/>
          <c:h val="0.82146623846987821"/>
        </c:manualLayout>
      </c:layout>
      <c:barChart>
        <c:barDir val="col"/>
        <c:grouping val="clustered"/>
        <c:varyColors val="0"/>
        <c:ser>
          <c:idx val="1"/>
          <c:order val="1"/>
          <c:tx>
            <c:v>Ave Gap Size Down</c:v>
          </c:tx>
          <c:spPr>
            <a:solidFill>
              <a:srgbClr val="FFFF00"/>
            </a:solidFill>
            <a:ln>
              <a:solidFill>
                <a:sysClr val="windowText" lastClr="000000"/>
              </a:solidFill>
            </a:ln>
            <a:effectLst/>
          </c:spPr>
          <c:invertIfNegative val="0"/>
          <c:dLbls>
            <c:spPr>
              <a:solidFill>
                <a:schemeClr val="accent6">
                  <a:lumMod val="20000"/>
                  <a:lumOff val="80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 Roll Up'!$B$4:$B$20</c15:sqref>
                  </c15:fullRef>
                </c:ext>
              </c:extLst>
              <c:f>('Stats Roll Up'!$B$4:$B$15,'Stats Roll Up'!$B$17)</c:f>
              <c:strCache>
                <c:ptCount val="13"/>
                <c:pt idx="0">
                  <c:v>All</c:v>
                </c:pt>
                <c:pt idx="1">
                  <c:v>XLF</c:v>
                </c:pt>
                <c:pt idx="2">
                  <c:v>INS</c:v>
                </c:pt>
                <c:pt idx="3">
                  <c:v>XLY</c:v>
                </c:pt>
                <c:pt idx="4">
                  <c:v>XHB</c:v>
                </c:pt>
                <c:pt idx="5">
                  <c:v>XLP</c:v>
                </c:pt>
                <c:pt idx="6">
                  <c:v>XLK</c:v>
                </c:pt>
                <c:pt idx="7">
                  <c:v>SMH</c:v>
                </c:pt>
                <c:pt idx="8">
                  <c:v>IGV</c:v>
                </c:pt>
                <c:pt idx="9">
                  <c:v>XLC</c:v>
                </c:pt>
                <c:pt idx="10">
                  <c:v>XLI</c:v>
                </c:pt>
                <c:pt idx="11">
                  <c:v>XLV</c:v>
                </c:pt>
                <c:pt idx="12">
                  <c:v>XLB</c:v>
                </c:pt>
              </c:strCache>
            </c:strRef>
          </c:cat>
          <c:val>
            <c:numRef>
              <c:extLst>
                <c:ext xmlns:c15="http://schemas.microsoft.com/office/drawing/2012/chart" uri="{02D57815-91ED-43cb-92C2-25804820EDAC}">
                  <c15:fullRef>
                    <c15:sqref>'Stats Roll Up'!$V$4:$V$20</c15:sqref>
                  </c15:fullRef>
                </c:ext>
              </c:extLst>
              <c:f>('Stats Roll Up'!$V$4:$V$15,'Stats Roll Up'!$V$17)</c:f>
              <c:numCache>
                <c:formatCode>0.0%</c:formatCode>
                <c:ptCount val="13"/>
                <c:pt idx="0">
                  <c:v>5.1481087002480275E-2</c:v>
                </c:pt>
                <c:pt idx="1">
                  <c:v>3.6337360296294995E-2</c:v>
                </c:pt>
                <c:pt idx="2">
                  <c:v>1.8816911339538243E-2</c:v>
                </c:pt>
                <c:pt idx="3">
                  <c:v>5.6076373793349309E-2</c:v>
                </c:pt>
                <c:pt idx="4">
                  <c:v>3.569274863237723E-2</c:v>
                </c:pt>
                <c:pt idx="5">
                  <c:v>3.6738754903756769E-2</c:v>
                </c:pt>
                <c:pt idx="6">
                  <c:v>9.0432502663231301E-2</c:v>
                </c:pt>
                <c:pt idx="7">
                  <c:v>8.1442056588735504E-2</c:v>
                </c:pt>
                <c:pt idx="8">
                  <c:v>7.018560995467861E-2</c:v>
                </c:pt>
                <c:pt idx="9">
                  <c:v>4.4596295880565032E-2</c:v>
                </c:pt>
                <c:pt idx="10">
                  <c:v>4.3203040157904889E-2</c:v>
                </c:pt>
                <c:pt idx="11">
                  <c:v>5.1466821934613861E-2</c:v>
                </c:pt>
                <c:pt idx="12">
                  <c:v>6.2811436603344428E-2</c:v>
                </c:pt>
              </c:numCache>
            </c:numRef>
          </c:val>
          <c:extLst>
            <c:ext xmlns:c16="http://schemas.microsoft.com/office/drawing/2014/chart" uri="{C3380CC4-5D6E-409C-BE32-E72D297353CC}">
              <c16:uniqueId val="{00000000-309F-4D08-9F0E-748E3E5A7D64}"/>
            </c:ext>
          </c:extLst>
        </c:ser>
        <c:dLbls>
          <c:showLegendKey val="0"/>
          <c:showVal val="0"/>
          <c:showCatName val="0"/>
          <c:showSerName val="0"/>
          <c:showPercent val="0"/>
          <c:showBubbleSize val="0"/>
        </c:dLbls>
        <c:gapWidth val="100"/>
        <c:axId val="976137584"/>
        <c:axId val="976143344"/>
      </c:barChart>
      <c:lineChart>
        <c:grouping val="standard"/>
        <c:varyColors val="0"/>
        <c:ser>
          <c:idx val="0"/>
          <c:order val="0"/>
          <c:tx>
            <c:v>% That Gap Down</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18288" tIns="18288" rIns="18288" bIns="18288"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'Stats Roll Up'!$B$4:$B$20</c15:sqref>
                  </c15:fullRef>
                </c:ext>
              </c:extLst>
              <c:f>('Stats Roll Up'!$B$4:$B$15,'Stats Roll Up'!$B$17)</c:f>
              <c:strCache>
                <c:ptCount val="13"/>
                <c:pt idx="0">
                  <c:v>All</c:v>
                </c:pt>
                <c:pt idx="1">
                  <c:v>XLF</c:v>
                </c:pt>
                <c:pt idx="2">
                  <c:v>INS</c:v>
                </c:pt>
                <c:pt idx="3">
                  <c:v>XLY</c:v>
                </c:pt>
                <c:pt idx="4">
                  <c:v>XHB</c:v>
                </c:pt>
                <c:pt idx="5">
                  <c:v>XLP</c:v>
                </c:pt>
                <c:pt idx="6">
                  <c:v>XLK</c:v>
                </c:pt>
                <c:pt idx="7">
                  <c:v>SMH</c:v>
                </c:pt>
                <c:pt idx="8">
                  <c:v>IGV</c:v>
                </c:pt>
                <c:pt idx="9">
                  <c:v>XLC</c:v>
                </c:pt>
                <c:pt idx="10">
                  <c:v>XLI</c:v>
                </c:pt>
                <c:pt idx="11">
                  <c:v>XLV</c:v>
                </c:pt>
                <c:pt idx="12">
                  <c:v>XLB</c:v>
                </c:pt>
              </c:strCache>
            </c:strRef>
          </c:cat>
          <c:val>
            <c:numRef>
              <c:extLst>
                <c:ext xmlns:c15="http://schemas.microsoft.com/office/drawing/2012/chart" uri="{02D57815-91ED-43cb-92C2-25804820EDAC}">
                  <c15:fullRef>
                    <c15:sqref>'Stats Roll Up'!$W$4:$W$20</c15:sqref>
                  </c15:fullRef>
                </c:ext>
              </c:extLst>
              <c:f>('Stats Roll Up'!$W$4:$W$15,'Stats Roll Up'!$W$17)</c:f>
              <c:numCache>
                <c:formatCode>0%</c:formatCode>
                <c:ptCount val="13"/>
                <c:pt idx="0">
                  <c:v>0.51576576576576572</c:v>
                </c:pt>
                <c:pt idx="1">
                  <c:v>0.4285714285714286</c:v>
                </c:pt>
                <c:pt idx="2">
                  <c:v>0.6</c:v>
                </c:pt>
                <c:pt idx="3">
                  <c:v>0.40816326530612246</c:v>
                </c:pt>
                <c:pt idx="4">
                  <c:v>0.5</c:v>
                </c:pt>
                <c:pt idx="5">
                  <c:v>0.6</c:v>
                </c:pt>
                <c:pt idx="6">
                  <c:v>0.45454545454545459</c:v>
                </c:pt>
                <c:pt idx="7">
                  <c:v>0.5</c:v>
                </c:pt>
                <c:pt idx="8">
                  <c:v>0.52272727272727271</c:v>
                </c:pt>
                <c:pt idx="9">
                  <c:v>0.29411764705882348</c:v>
                </c:pt>
                <c:pt idx="10">
                  <c:v>0.52941176470588236</c:v>
                </c:pt>
                <c:pt idx="11">
                  <c:v>0.61818181818181817</c:v>
                </c:pt>
                <c:pt idx="12">
                  <c:v>0.69230769230769229</c:v>
                </c:pt>
              </c:numCache>
            </c:numRef>
          </c:val>
          <c:smooth val="1"/>
          <c:extLst>
            <c:ext xmlns:c16="http://schemas.microsoft.com/office/drawing/2014/chart" uri="{C3380CC4-5D6E-409C-BE32-E72D297353CC}">
              <c16:uniqueId val="{00000002-309F-4D08-9F0E-748E3E5A7D64}"/>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max val="1"/>
        </c:scaling>
        <c:delete val="0"/>
        <c:axPos val="r"/>
        <c:majorGridlines>
          <c:spPr>
            <a:ln w="9525" cap="flat" cmpd="sng" algn="ctr">
              <a:solidFill>
                <a:srgbClr val="FFC000"/>
              </a:solidFill>
              <a:prstDash val="sysDash"/>
              <a:round/>
            </a:ln>
            <a:effectLst/>
          </c:spPr>
        </c:majorGridlines>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0.22084588299413394"/>
          <c:y val="3.6641215500998682E-4"/>
          <c:w val="0.55830805473086353"/>
          <c:h val="7.6098643409485939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2"/>
                </a:solidFill>
                <a:latin typeface="+mn-lt"/>
                <a:ea typeface="+mn-ea"/>
                <a:cs typeface="+mn-cs"/>
              </a:defRPr>
            </a:pPr>
            <a:r>
              <a:rPr lang="en-US" sz="1000" b="1">
                <a:solidFill>
                  <a:schemeClr val="tx2"/>
                </a:solidFill>
              </a:rPr>
              <a:t>Sideways Trending </a:t>
            </a:r>
          </a:p>
          <a:p>
            <a:pPr>
              <a:defRPr sz="1000" b="1" i="0" u="none" strike="noStrike" kern="1200" spc="0" baseline="0">
                <a:solidFill>
                  <a:schemeClr val="tx2"/>
                </a:solidFill>
                <a:latin typeface="+mn-lt"/>
                <a:ea typeface="+mn-ea"/>
                <a:cs typeface="+mn-cs"/>
              </a:defRPr>
            </a:pPr>
            <a:r>
              <a:rPr lang="en-US" sz="1000" b="1">
                <a:solidFill>
                  <a:schemeClr val="tx2"/>
                </a:solidFill>
              </a:rPr>
              <a:t>Stock Gap Data</a:t>
            </a:r>
          </a:p>
        </c:rich>
      </c:tx>
      <c:layout>
        <c:manualLayout>
          <c:xMode val="edge"/>
          <c:yMode val="edge"/>
          <c:x val="5.9198542805100181E-2"/>
          <c:y val="0.12269938650306748"/>
        </c:manualLayout>
      </c:layout>
      <c:overlay val="0"/>
      <c:spPr>
        <a:solidFill>
          <a:schemeClr val="tx2">
            <a:lumMod val="10000"/>
            <a:lumOff val="90000"/>
          </a:schemeClr>
        </a:solidFill>
        <a:ln>
          <a:solidFill>
            <a:schemeClr val="tx2"/>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4257737013642527E-2"/>
          <c:y val="0.1091686391961741"/>
          <c:w val="0.87240544726991098"/>
          <c:h val="0.78492858638069019"/>
        </c:manualLayout>
      </c:layout>
      <c:barChart>
        <c:barDir val="col"/>
        <c:grouping val="clustered"/>
        <c:varyColors val="0"/>
        <c:ser>
          <c:idx val="1"/>
          <c:order val="1"/>
          <c:tx>
            <c:v>Average Gap Size (UP)</c:v>
          </c:tx>
          <c:spPr>
            <a:solidFill>
              <a:srgbClr val="00FF00"/>
            </a:solidFill>
            <a:ln>
              <a:solidFill>
                <a:sysClr val="windowText" lastClr="000000"/>
              </a:solidFill>
            </a:ln>
            <a:effectLst/>
          </c:spPr>
          <c:invertIfNegative val="0"/>
          <c:dLbls>
            <c:spPr>
              <a:solidFill>
                <a:srgbClr val="00FF00"/>
              </a:solidFill>
              <a:ln>
                <a:solidFill>
                  <a:sysClr val="windowText" lastClr="000000"/>
                </a:solidFill>
              </a:ln>
              <a:effectLst/>
            </c:spPr>
            <c:txPr>
              <a:bodyPr rot="0" spcFirstLastPara="1" vertOverflow="ellipsis" horzOverflow="clip" vert="horz" wrap="square" lIns="9144" tIns="9144" rIns="9144" bIns="9144"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 Roll Up'!$B$4:$B$20</c15:sqref>
                  </c15:fullRef>
                </c:ext>
              </c:extLst>
              <c:f>('Stats Roll Up'!$B$4:$B$5,'Stats Roll Up'!$B$7:$B$15,'Stats Roll Up'!$B$17)</c:f>
              <c:strCache>
                <c:ptCount val="12"/>
                <c:pt idx="0">
                  <c:v>All</c:v>
                </c:pt>
                <c:pt idx="1">
                  <c:v>XLF</c:v>
                </c:pt>
                <c:pt idx="2">
                  <c:v>XLY</c:v>
                </c:pt>
                <c:pt idx="3">
                  <c:v>XHB</c:v>
                </c:pt>
                <c:pt idx="4">
                  <c:v>XLP</c:v>
                </c:pt>
                <c:pt idx="5">
                  <c:v>XLK</c:v>
                </c:pt>
                <c:pt idx="6">
                  <c:v>SMH</c:v>
                </c:pt>
                <c:pt idx="7">
                  <c:v>IGV</c:v>
                </c:pt>
                <c:pt idx="8">
                  <c:v>XLC</c:v>
                </c:pt>
                <c:pt idx="9">
                  <c:v>XLI</c:v>
                </c:pt>
                <c:pt idx="10">
                  <c:v>XLV</c:v>
                </c:pt>
                <c:pt idx="11">
                  <c:v>XLB</c:v>
                </c:pt>
              </c:strCache>
            </c:strRef>
          </c:cat>
          <c:val>
            <c:numRef>
              <c:extLst>
                <c:ext xmlns:c15="http://schemas.microsoft.com/office/drawing/2012/chart" uri="{02D57815-91ED-43cb-92C2-25804820EDAC}">
                  <c15:fullRef>
                    <c15:sqref>'Stats Roll Up'!$Q$4:$Q$20</c15:sqref>
                  </c15:fullRef>
                </c:ext>
              </c:extLst>
              <c:f>('Stats Roll Up'!$Q$4:$Q$5,'Stats Roll Up'!$Q$7:$Q$15,'Stats Roll Up'!$Q$17)</c:f>
              <c:numCache>
                <c:formatCode>0.0%</c:formatCode>
                <c:ptCount val="12"/>
                <c:pt idx="0">
                  <c:v>5.0236763558747295E-2</c:v>
                </c:pt>
                <c:pt idx="1">
                  <c:v>3.5631454962759275E-2</c:v>
                </c:pt>
                <c:pt idx="2">
                  <c:v>5.4530104465065649E-2</c:v>
                </c:pt>
                <c:pt idx="3">
                  <c:v>5.9293632379480276E-3</c:v>
                </c:pt>
                <c:pt idx="4">
                  <c:v>6.4343903674808217E-2</c:v>
                </c:pt>
                <c:pt idx="5">
                  <c:v>5.3083285385185495E-2</c:v>
                </c:pt>
                <c:pt idx="6">
                  <c:v>3.3676921345353342E-2</c:v>
                </c:pt>
                <c:pt idx="7">
                  <c:v>8.4433112553112089E-2</c:v>
                </c:pt>
                <c:pt idx="8">
                  <c:v>7.9823182307181023E-2</c:v>
                </c:pt>
                <c:pt idx="9">
                  <c:v>4.9092838359996012E-2</c:v>
                </c:pt>
                <c:pt idx="10">
                  <c:v>4.7712556393333563E-2</c:v>
                </c:pt>
                <c:pt idx="11">
                  <c:v>4.2926037499417424E-2</c:v>
                </c:pt>
              </c:numCache>
            </c:numRef>
          </c:val>
          <c:extLst>
            <c:ext xmlns:c16="http://schemas.microsoft.com/office/drawing/2014/chart" uri="{C3380CC4-5D6E-409C-BE32-E72D297353CC}">
              <c16:uniqueId val="{00000000-1E80-4595-84E0-18915D7E49D3}"/>
            </c:ext>
          </c:extLst>
        </c:ser>
        <c:ser>
          <c:idx val="2"/>
          <c:order val="2"/>
          <c:tx>
            <c:v>Average Gap Size (Dwn)</c:v>
          </c:tx>
          <c:spPr>
            <a:solidFill>
              <a:srgbClr val="FFFF00"/>
            </a:solidFill>
            <a:ln>
              <a:solidFill>
                <a:sysClr val="windowText" lastClr="000000"/>
              </a:solidFill>
            </a:ln>
            <a:effectLst/>
          </c:spPr>
          <c:invertIfNegative val="0"/>
          <c:dLbls>
            <c:spPr>
              <a:solidFill>
                <a:srgbClr val="FFFF00"/>
              </a:solidFill>
              <a:ln>
                <a:solidFill>
                  <a:sysClr val="windowText" lastClr="000000"/>
                </a:solidFill>
              </a:ln>
              <a:effectLst/>
            </c:spPr>
            <c:txPr>
              <a:bodyPr rot="0" spcFirstLastPara="1" vertOverflow="ellipsis" vert="horz" wrap="square" lIns="9144" tIns="9144" rIns="9144" bIns="9144"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12"/>
              <c:pt idx="0">
                <c:v>All</c:v>
              </c:pt>
              <c:pt idx="1">
                <c:v>XLF</c:v>
              </c:pt>
              <c:pt idx="2">
                <c:v>XLY</c:v>
              </c:pt>
              <c:pt idx="3">
                <c:v>XHB</c:v>
              </c:pt>
              <c:pt idx="4">
                <c:v>XLP</c:v>
              </c:pt>
              <c:pt idx="5">
                <c:v>XLK</c:v>
              </c:pt>
              <c:pt idx="6">
                <c:v>SMH</c:v>
              </c:pt>
              <c:pt idx="7">
                <c:v>IGV</c:v>
              </c:pt>
              <c:pt idx="8">
                <c:v>XLC</c:v>
              </c:pt>
              <c:pt idx="9">
                <c:v>XLI</c:v>
              </c:pt>
              <c:pt idx="10">
                <c:v>XLV</c:v>
              </c:pt>
              <c:pt idx="11">
                <c:v>XLB</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'Stats Roll Up'!$AI$4:$AI$20</c15:sqref>
                  </c15:fullRef>
                </c:ext>
              </c:extLst>
              <c:f>('Stats Roll Up'!$AI$4:$AI$5,'Stats Roll Up'!$AI$7:$AI$15,'Stats Roll Up'!$AI$17)</c:f>
              <c:numCache>
                <c:formatCode>0.0%</c:formatCode>
                <c:ptCount val="12"/>
                <c:pt idx="0">
                  <c:v>4.4015953168397758E-2</c:v>
                </c:pt>
                <c:pt idx="1">
                  <c:v>4.0595631083856686E-2</c:v>
                </c:pt>
                <c:pt idx="2">
                  <c:v>4.2572268464181356E-2</c:v>
                </c:pt>
                <c:pt idx="3">
                  <c:v>1.8367193942574321E-2</c:v>
                </c:pt>
                <c:pt idx="4">
                  <c:v>2.3670915347222175E-2</c:v>
                </c:pt>
                <c:pt idx="5">
                  <c:v>7.358141182512111E-2</c:v>
                </c:pt>
                <c:pt idx="6">
                  <c:v>6.8529060902830841E-2</c:v>
                </c:pt>
                <c:pt idx="7">
                  <c:v>4.5494167721521407E-2</c:v>
                </c:pt>
                <c:pt idx="8">
                  <c:v>3.3294088304981671E-2</c:v>
                </c:pt>
                <c:pt idx="9">
                  <c:v>4.1586152038794191E-2</c:v>
                </c:pt>
                <c:pt idx="10">
                  <c:v>5.5171118429493932E-2</c:v>
                </c:pt>
                <c:pt idx="11">
                  <c:v>3.7436555013126198E-2</c:v>
                </c:pt>
              </c:numCache>
            </c:numRef>
          </c:val>
          <c:extLst>
            <c:ext xmlns:c16="http://schemas.microsoft.com/office/drawing/2014/chart" uri="{C3380CC4-5D6E-409C-BE32-E72D297353CC}">
              <c16:uniqueId val="{00000000-7E3B-4DDB-B344-C0F965A69032}"/>
            </c:ext>
          </c:extLst>
        </c:ser>
        <c:dLbls>
          <c:showLegendKey val="0"/>
          <c:showVal val="0"/>
          <c:showCatName val="0"/>
          <c:showSerName val="0"/>
          <c:showPercent val="0"/>
          <c:showBubbleSize val="0"/>
        </c:dLbls>
        <c:gapWidth val="60"/>
        <c:overlap val="-15"/>
        <c:axId val="976137584"/>
        <c:axId val="976143344"/>
      </c:barChart>
      <c:lineChart>
        <c:grouping val="standard"/>
        <c:varyColors val="0"/>
        <c:ser>
          <c:idx val="0"/>
          <c:order val="0"/>
          <c:tx>
            <c:v>% of Sideways Trends that Gap Up</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'Stats Roll Up'!$B$4:$B$20</c15:sqref>
                  </c15:fullRef>
                </c:ext>
              </c:extLst>
              <c:f>('Stats Roll Up'!$B$4:$B$5,'Stats Roll Up'!$B$7:$B$15,'Stats Roll Up'!$B$17)</c:f>
              <c:strCache>
                <c:ptCount val="12"/>
                <c:pt idx="0">
                  <c:v>All</c:v>
                </c:pt>
                <c:pt idx="1">
                  <c:v>XLF</c:v>
                </c:pt>
                <c:pt idx="2">
                  <c:v>XLY</c:v>
                </c:pt>
                <c:pt idx="3">
                  <c:v>XHB</c:v>
                </c:pt>
                <c:pt idx="4">
                  <c:v>XLP</c:v>
                </c:pt>
                <c:pt idx="5">
                  <c:v>XLK</c:v>
                </c:pt>
                <c:pt idx="6">
                  <c:v>SMH</c:v>
                </c:pt>
                <c:pt idx="7">
                  <c:v>IGV</c:v>
                </c:pt>
                <c:pt idx="8">
                  <c:v>XLC</c:v>
                </c:pt>
                <c:pt idx="9">
                  <c:v>XLI</c:v>
                </c:pt>
                <c:pt idx="10">
                  <c:v>XLV</c:v>
                </c:pt>
                <c:pt idx="11">
                  <c:v>XLB</c:v>
                </c:pt>
              </c:strCache>
            </c:strRef>
          </c:cat>
          <c:val>
            <c:numRef>
              <c:extLst>
                <c:ext xmlns:c15="http://schemas.microsoft.com/office/drawing/2012/chart" uri="{02D57815-91ED-43cb-92C2-25804820EDAC}">
                  <c15:fullRef>
                    <c15:sqref>'Stats Roll Up'!$O$4:$O$20</c15:sqref>
                  </c15:fullRef>
                </c:ext>
              </c:extLst>
              <c:f>('Stats Roll Up'!$O$4:$O$5,'Stats Roll Up'!$O$7:$O$15,'Stats Roll Up'!$O$17)</c:f>
              <c:numCache>
                <c:formatCode>0%</c:formatCode>
                <c:ptCount val="12"/>
                <c:pt idx="0">
                  <c:v>0.51162790697674421</c:v>
                </c:pt>
                <c:pt idx="1">
                  <c:v>0.61111111111111116</c:v>
                </c:pt>
                <c:pt idx="2">
                  <c:v>0.73913043478260865</c:v>
                </c:pt>
                <c:pt idx="3">
                  <c:v>0.5</c:v>
                </c:pt>
                <c:pt idx="4">
                  <c:v>0.54545454545454541</c:v>
                </c:pt>
                <c:pt idx="5">
                  <c:v>0.5</c:v>
                </c:pt>
                <c:pt idx="6">
                  <c:v>0.5714285714285714</c:v>
                </c:pt>
                <c:pt idx="7">
                  <c:v>0.47826086956521741</c:v>
                </c:pt>
                <c:pt idx="8">
                  <c:v>0.66666666666666663</c:v>
                </c:pt>
                <c:pt idx="9">
                  <c:v>0.47368421052631576</c:v>
                </c:pt>
                <c:pt idx="10">
                  <c:v>0.44827586206896552</c:v>
                </c:pt>
                <c:pt idx="11">
                  <c:v>0.3</c:v>
                </c:pt>
              </c:numCache>
            </c:numRef>
          </c:val>
          <c:smooth val="1"/>
          <c:extLst>
            <c:ext xmlns:c16="http://schemas.microsoft.com/office/drawing/2014/chart" uri="{C3380CC4-5D6E-409C-BE32-E72D297353CC}">
              <c16:uniqueId val="{00000002-1E80-4595-84E0-18915D7E49D3}"/>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max val="1"/>
        </c:scaling>
        <c:delete val="0"/>
        <c:axPos val="r"/>
        <c:majorGridlines>
          <c:spPr>
            <a:ln w="9525" cap="flat" cmpd="sng" algn="ctr">
              <a:solidFill>
                <a:schemeClr val="tx2">
                  <a:lumMod val="25000"/>
                  <a:lumOff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4.9306064674201094E-2"/>
          <c:y val="1.6359918200408999E-2"/>
          <c:w val="0.89023444318553291"/>
          <c:h val="6.8268843695151599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20.xml"/><Relationship Id="rId18" Type="http://schemas.openxmlformats.org/officeDocument/2006/relationships/chart" Target="../charts/chart25.xml"/><Relationship Id="rId26" Type="http://schemas.openxmlformats.org/officeDocument/2006/relationships/chart" Target="../charts/chart33.xml"/><Relationship Id="rId3" Type="http://schemas.openxmlformats.org/officeDocument/2006/relationships/chart" Target="../charts/chart10.xml"/><Relationship Id="rId21" Type="http://schemas.openxmlformats.org/officeDocument/2006/relationships/chart" Target="../charts/chart28.xml"/><Relationship Id="rId7" Type="http://schemas.openxmlformats.org/officeDocument/2006/relationships/chart" Target="../charts/chart14.xml"/><Relationship Id="rId12" Type="http://schemas.openxmlformats.org/officeDocument/2006/relationships/chart" Target="../charts/chart19.xml"/><Relationship Id="rId17" Type="http://schemas.openxmlformats.org/officeDocument/2006/relationships/chart" Target="../charts/chart24.xml"/><Relationship Id="rId25" Type="http://schemas.openxmlformats.org/officeDocument/2006/relationships/chart" Target="../charts/chart32.xml"/><Relationship Id="rId2" Type="http://schemas.openxmlformats.org/officeDocument/2006/relationships/chart" Target="../charts/chart9.xml"/><Relationship Id="rId16" Type="http://schemas.openxmlformats.org/officeDocument/2006/relationships/chart" Target="../charts/chart23.xml"/><Relationship Id="rId20" Type="http://schemas.openxmlformats.org/officeDocument/2006/relationships/chart" Target="../charts/chart27.xml"/><Relationship Id="rId29" Type="http://schemas.openxmlformats.org/officeDocument/2006/relationships/chart" Target="../charts/chart36.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24" Type="http://schemas.openxmlformats.org/officeDocument/2006/relationships/chart" Target="../charts/chart31.xml"/><Relationship Id="rId5" Type="http://schemas.openxmlformats.org/officeDocument/2006/relationships/chart" Target="../charts/chart12.xml"/><Relationship Id="rId15" Type="http://schemas.openxmlformats.org/officeDocument/2006/relationships/chart" Target="../charts/chart22.xml"/><Relationship Id="rId23" Type="http://schemas.openxmlformats.org/officeDocument/2006/relationships/chart" Target="../charts/chart30.xml"/><Relationship Id="rId28" Type="http://schemas.openxmlformats.org/officeDocument/2006/relationships/chart" Target="../charts/chart35.xml"/><Relationship Id="rId10" Type="http://schemas.openxmlformats.org/officeDocument/2006/relationships/chart" Target="../charts/chart17.xml"/><Relationship Id="rId19" Type="http://schemas.openxmlformats.org/officeDocument/2006/relationships/chart" Target="../charts/chart26.xml"/><Relationship Id="rId31" Type="http://schemas.openxmlformats.org/officeDocument/2006/relationships/image" Target="../media/image7.png"/><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chart" Target="../charts/chart21.xml"/><Relationship Id="rId22" Type="http://schemas.openxmlformats.org/officeDocument/2006/relationships/chart" Target="../charts/chart29.xml"/><Relationship Id="rId27" Type="http://schemas.openxmlformats.org/officeDocument/2006/relationships/chart" Target="../charts/chart34.xml"/><Relationship Id="rId30"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5" Type="http://schemas.openxmlformats.org/officeDocument/2006/relationships/chart" Target="../charts/chart42.xml"/><Relationship Id="rId4" Type="http://schemas.openxmlformats.org/officeDocument/2006/relationships/chart" Target="../charts/chart4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7</xdr:col>
      <xdr:colOff>180975</xdr:colOff>
      <xdr:row>2</xdr:row>
      <xdr:rowOff>38100</xdr:rowOff>
    </xdr:from>
    <xdr:to>
      <xdr:col>18</xdr:col>
      <xdr:colOff>334332</xdr:colOff>
      <xdr:row>25</xdr:row>
      <xdr:rowOff>105396</xdr:rowOff>
    </xdr:to>
    <xdr:pic>
      <xdr:nvPicPr>
        <xdr:cNvPr id="3" name="Picture 2">
          <a:extLst>
            <a:ext uri="{FF2B5EF4-FFF2-40B4-BE49-F238E27FC236}">
              <a16:creationId xmlns:a16="http://schemas.microsoft.com/office/drawing/2014/main" id="{F034337A-3B76-457D-B0A3-02A6247F3903}"/>
            </a:ext>
          </a:extLst>
        </xdr:cNvPr>
        <xdr:cNvPicPr>
          <a:picLocks noChangeAspect="1"/>
        </xdr:cNvPicPr>
      </xdr:nvPicPr>
      <xdr:blipFill>
        <a:blip xmlns:r="http://schemas.openxmlformats.org/officeDocument/2006/relationships" r:embed="rId1"/>
        <a:stretch>
          <a:fillRect/>
        </a:stretch>
      </xdr:blipFill>
      <xdr:spPr>
        <a:xfrm>
          <a:off x="5419725" y="419100"/>
          <a:ext cx="6858957" cy="44487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0</xdr:row>
      <xdr:rowOff>190499</xdr:rowOff>
    </xdr:from>
    <xdr:to>
      <xdr:col>14</xdr:col>
      <xdr:colOff>600074</xdr:colOff>
      <xdr:row>24</xdr:row>
      <xdr:rowOff>85724</xdr:rowOff>
    </xdr:to>
    <xdr:graphicFrame macro="">
      <xdr:nvGraphicFramePr>
        <xdr:cNvPr id="2" name="Chart 1">
          <a:extLst>
            <a:ext uri="{FF2B5EF4-FFF2-40B4-BE49-F238E27FC236}">
              <a16:creationId xmlns:a16="http://schemas.microsoft.com/office/drawing/2014/main" id="{ACDA1D1A-F9C0-C095-C1A2-120A154BB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43</xdr:row>
      <xdr:rowOff>76200</xdr:rowOff>
    </xdr:from>
    <xdr:to>
      <xdr:col>32</xdr:col>
      <xdr:colOff>114300</xdr:colOff>
      <xdr:row>55</xdr:row>
      <xdr:rowOff>76200</xdr:rowOff>
    </xdr:to>
    <xdr:graphicFrame macro="">
      <xdr:nvGraphicFramePr>
        <xdr:cNvPr id="3" name="Chart 2">
          <a:extLst>
            <a:ext uri="{FF2B5EF4-FFF2-40B4-BE49-F238E27FC236}">
              <a16:creationId xmlns:a16="http://schemas.microsoft.com/office/drawing/2014/main" id="{BA66472C-9BB7-40C3-ACD8-B9533A958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276224</xdr:colOff>
      <xdr:row>27</xdr:row>
      <xdr:rowOff>77932</xdr:rowOff>
    </xdr:from>
    <xdr:to>
      <xdr:col>31</xdr:col>
      <xdr:colOff>76199</xdr:colOff>
      <xdr:row>38</xdr:row>
      <xdr:rowOff>0</xdr:rowOff>
    </xdr:to>
    <xdr:graphicFrame macro="">
      <xdr:nvGraphicFramePr>
        <xdr:cNvPr id="4" name="Chart 3">
          <a:extLst>
            <a:ext uri="{FF2B5EF4-FFF2-40B4-BE49-F238E27FC236}">
              <a16:creationId xmlns:a16="http://schemas.microsoft.com/office/drawing/2014/main" id="{558096E4-B538-4E60-A875-1942EB8A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57</xdr:row>
      <xdr:rowOff>66675</xdr:rowOff>
    </xdr:from>
    <xdr:to>
      <xdr:col>32</xdr:col>
      <xdr:colOff>114300</xdr:colOff>
      <xdr:row>69</xdr:row>
      <xdr:rowOff>133350</xdr:rowOff>
    </xdr:to>
    <xdr:graphicFrame macro="">
      <xdr:nvGraphicFramePr>
        <xdr:cNvPr id="5" name="Chart 4">
          <a:extLst>
            <a:ext uri="{FF2B5EF4-FFF2-40B4-BE49-F238E27FC236}">
              <a16:creationId xmlns:a16="http://schemas.microsoft.com/office/drawing/2014/main" id="{061A0130-0B61-4C6F-AE1C-4E090BFA3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71</xdr:row>
      <xdr:rowOff>38101</xdr:rowOff>
    </xdr:from>
    <xdr:to>
      <xdr:col>32</xdr:col>
      <xdr:colOff>114300</xdr:colOff>
      <xdr:row>83</xdr:row>
      <xdr:rowOff>133351</xdr:rowOff>
    </xdr:to>
    <xdr:graphicFrame macro="">
      <xdr:nvGraphicFramePr>
        <xdr:cNvPr id="6" name="Chart 5">
          <a:extLst>
            <a:ext uri="{FF2B5EF4-FFF2-40B4-BE49-F238E27FC236}">
              <a16:creationId xmlns:a16="http://schemas.microsoft.com/office/drawing/2014/main" id="{71E41C67-18D2-490C-83D8-BB52ED7F2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88</xdr:row>
      <xdr:rowOff>57149</xdr:rowOff>
    </xdr:from>
    <xdr:to>
      <xdr:col>32</xdr:col>
      <xdr:colOff>95250</xdr:colOff>
      <xdr:row>101</xdr:row>
      <xdr:rowOff>180974</xdr:rowOff>
    </xdr:to>
    <xdr:graphicFrame macro="">
      <xdr:nvGraphicFramePr>
        <xdr:cNvPr id="7" name="Chart 6">
          <a:extLst>
            <a:ext uri="{FF2B5EF4-FFF2-40B4-BE49-F238E27FC236}">
              <a16:creationId xmlns:a16="http://schemas.microsoft.com/office/drawing/2014/main" id="{C67D2463-9C51-4E35-8904-7CEB88A5E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147204</xdr:colOff>
      <xdr:row>4</xdr:row>
      <xdr:rowOff>8659</xdr:rowOff>
    </xdr:from>
    <xdr:to>
      <xdr:col>44</xdr:col>
      <xdr:colOff>519661</xdr:colOff>
      <xdr:row>31</xdr:row>
      <xdr:rowOff>134821</xdr:rowOff>
    </xdr:to>
    <xdr:pic>
      <xdr:nvPicPr>
        <xdr:cNvPr id="9" name="Picture 8">
          <a:extLst>
            <a:ext uri="{FF2B5EF4-FFF2-40B4-BE49-F238E27FC236}">
              <a16:creationId xmlns:a16="http://schemas.microsoft.com/office/drawing/2014/main" id="{8B45E696-1B55-F9BF-52F7-0E6F9295D039}"/>
            </a:ext>
          </a:extLst>
        </xdr:cNvPr>
        <xdr:cNvPicPr>
          <a:picLocks noChangeAspect="1"/>
        </xdr:cNvPicPr>
      </xdr:nvPicPr>
      <xdr:blipFill>
        <a:blip xmlns:r="http://schemas.openxmlformats.org/officeDocument/2006/relationships" r:embed="rId6"/>
        <a:stretch>
          <a:fillRect/>
        </a:stretch>
      </xdr:blipFill>
      <xdr:spPr>
        <a:xfrm>
          <a:off x="6771409" y="675409"/>
          <a:ext cx="7039957" cy="4334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7</xdr:col>
      <xdr:colOff>304801</xdr:colOff>
      <xdr:row>13</xdr:row>
      <xdr:rowOff>135866</xdr:rowOff>
    </xdr:to>
    <xdr:pic>
      <xdr:nvPicPr>
        <xdr:cNvPr id="3" name="Picture 2">
          <a:extLst>
            <a:ext uri="{FF2B5EF4-FFF2-40B4-BE49-F238E27FC236}">
              <a16:creationId xmlns:a16="http://schemas.microsoft.com/office/drawing/2014/main" id="{6ED99A60-0C95-8445-F4E2-0CE06421B385}"/>
            </a:ext>
          </a:extLst>
        </xdr:cNvPr>
        <xdr:cNvPicPr>
          <a:picLocks noChangeAspect="1"/>
        </xdr:cNvPicPr>
      </xdr:nvPicPr>
      <xdr:blipFill>
        <a:blip xmlns:r="http://schemas.openxmlformats.org/officeDocument/2006/relationships" r:embed="rId1"/>
        <a:stretch>
          <a:fillRect/>
        </a:stretch>
      </xdr:blipFill>
      <xdr:spPr>
        <a:xfrm>
          <a:off x="1" y="19050"/>
          <a:ext cx="4572000" cy="2593316"/>
        </a:xfrm>
        <a:prstGeom prst="rect">
          <a:avLst/>
        </a:prstGeom>
      </xdr:spPr>
    </xdr:pic>
    <xdr:clientData/>
  </xdr:twoCellAnchor>
  <xdr:twoCellAnchor editAs="oneCell">
    <xdr:from>
      <xdr:col>7</xdr:col>
      <xdr:colOff>314324</xdr:colOff>
      <xdr:row>0</xdr:row>
      <xdr:rowOff>28574</xdr:rowOff>
    </xdr:from>
    <xdr:to>
      <xdr:col>13</xdr:col>
      <xdr:colOff>523369</xdr:colOff>
      <xdr:row>13</xdr:row>
      <xdr:rowOff>133349</xdr:rowOff>
    </xdr:to>
    <xdr:pic>
      <xdr:nvPicPr>
        <xdr:cNvPr id="2" name="Picture 1">
          <a:extLst>
            <a:ext uri="{FF2B5EF4-FFF2-40B4-BE49-F238E27FC236}">
              <a16:creationId xmlns:a16="http://schemas.microsoft.com/office/drawing/2014/main" id="{D2928066-00EA-49AE-B015-9E11C0DD8A0D}"/>
            </a:ext>
          </a:extLst>
        </xdr:cNvPr>
        <xdr:cNvPicPr>
          <a:picLocks noChangeAspect="1"/>
        </xdr:cNvPicPr>
      </xdr:nvPicPr>
      <xdr:blipFill>
        <a:blip xmlns:r="http://schemas.openxmlformats.org/officeDocument/2006/relationships" r:embed="rId2"/>
        <a:stretch>
          <a:fillRect/>
        </a:stretch>
      </xdr:blipFill>
      <xdr:spPr>
        <a:xfrm>
          <a:off x="4581524" y="28574"/>
          <a:ext cx="3866645" cy="2581275"/>
        </a:xfrm>
        <a:prstGeom prst="rect">
          <a:avLst/>
        </a:prstGeom>
      </xdr:spPr>
    </xdr:pic>
    <xdr:clientData/>
  </xdr:twoCellAnchor>
  <xdr:twoCellAnchor editAs="oneCell">
    <xdr:from>
      <xdr:col>13</xdr:col>
      <xdr:colOff>552450</xdr:colOff>
      <xdr:row>0</xdr:row>
      <xdr:rowOff>28575</xdr:rowOff>
    </xdr:from>
    <xdr:to>
      <xdr:col>20</xdr:col>
      <xdr:colOff>152400</xdr:colOff>
      <xdr:row>13</xdr:row>
      <xdr:rowOff>133687</xdr:rowOff>
    </xdr:to>
    <xdr:pic>
      <xdr:nvPicPr>
        <xdr:cNvPr id="4" name="Picture 3">
          <a:extLst>
            <a:ext uri="{FF2B5EF4-FFF2-40B4-BE49-F238E27FC236}">
              <a16:creationId xmlns:a16="http://schemas.microsoft.com/office/drawing/2014/main" id="{27274C75-8F99-8A6E-212B-92AD41015414}"/>
            </a:ext>
          </a:extLst>
        </xdr:cNvPr>
        <xdr:cNvPicPr>
          <a:picLocks noChangeAspect="1"/>
        </xdr:cNvPicPr>
      </xdr:nvPicPr>
      <xdr:blipFill>
        <a:blip xmlns:r="http://schemas.openxmlformats.org/officeDocument/2006/relationships" r:embed="rId3"/>
        <a:stretch>
          <a:fillRect/>
        </a:stretch>
      </xdr:blipFill>
      <xdr:spPr>
        <a:xfrm>
          <a:off x="8477250" y="28575"/>
          <a:ext cx="3867150" cy="258161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447675</xdr:colOff>
      <xdr:row>10</xdr:row>
      <xdr:rowOff>19050</xdr:rowOff>
    </xdr:from>
    <xdr:to>
      <xdr:col>20</xdr:col>
      <xdr:colOff>400050</xdr:colOff>
      <xdr:row>41</xdr:row>
      <xdr:rowOff>152400</xdr:rowOff>
    </xdr:to>
    <xdr:graphicFrame macro="">
      <xdr:nvGraphicFramePr>
        <xdr:cNvPr id="2" name="Chart 1">
          <a:extLst>
            <a:ext uri="{FF2B5EF4-FFF2-40B4-BE49-F238E27FC236}">
              <a16:creationId xmlns:a16="http://schemas.microsoft.com/office/drawing/2014/main" id="{390678BC-C58B-8AEC-BC62-58CC70A49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142875</xdr:colOff>
      <xdr:row>0</xdr:row>
      <xdr:rowOff>123825</xdr:rowOff>
    </xdr:from>
    <xdr:to>
      <xdr:col>22</xdr:col>
      <xdr:colOff>495300</xdr:colOff>
      <xdr:row>34</xdr:row>
      <xdr:rowOff>114300</xdr:rowOff>
    </xdr:to>
    <xdr:graphicFrame macro="">
      <xdr:nvGraphicFramePr>
        <xdr:cNvPr id="2" name="Chart 1">
          <a:extLst>
            <a:ext uri="{FF2B5EF4-FFF2-40B4-BE49-F238E27FC236}">
              <a16:creationId xmlns:a16="http://schemas.microsoft.com/office/drawing/2014/main" id="{2B6F5BA9-8152-4337-9A60-82E477858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xdr:colOff>
      <xdr:row>13</xdr:row>
      <xdr:rowOff>0</xdr:rowOff>
    </xdr:from>
    <xdr:to>
      <xdr:col>13</xdr:col>
      <xdr:colOff>28575</xdr:colOff>
      <xdr:row>32</xdr:row>
      <xdr:rowOff>129540</xdr:rowOff>
    </xdr:to>
    <xdr:cxnSp macro="">
      <xdr:nvCxnSpPr>
        <xdr:cNvPr id="3" name="Straight Connector 2">
          <a:extLst>
            <a:ext uri="{FF2B5EF4-FFF2-40B4-BE49-F238E27FC236}">
              <a16:creationId xmlns:a16="http://schemas.microsoft.com/office/drawing/2014/main" id="{CFEB5747-B3D1-4E4D-A488-A28A6686062F}"/>
            </a:ext>
          </a:extLst>
        </xdr:cNvPr>
        <xdr:cNvCxnSpPr/>
      </xdr:nvCxnSpPr>
      <xdr:spPr>
        <a:xfrm flipV="1">
          <a:off x="7962900" y="2476500"/>
          <a:ext cx="0" cy="3749040"/>
        </a:xfrm>
        <a:prstGeom prst="line">
          <a:avLst/>
        </a:prstGeom>
        <a:ln>
          <a:solidFill>
            <a:schemeClr val="tx1"/>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276225</xdr:colOff>
      <xdr:row>11</xdr:row>
      <xdr:rowOff>152400</xdr:rowOff>
    </xdr:from>
    <xdr:to>
      <xdr:col>13</xdr:col>
      <xdr:colOff>381000</xdr:colOff>
      <xdr:row>13</xdr:row>
      <xdr:rowOff>133350</xdr:rowOff>
    </xdr:to>
    <xdr:sp macro="" textlink="">
      <xdr:nvSpPr>
        <xdr:cNvPr id="5" name="TextBox 4">
          <a:extLst>
            <a:ext uri="{FF2B5EF4-FFF2-40B4-BE49-F238E27FC236}">
              <a16:creationId xmlns:a16="http://schemas.microsoft.com/office/drawing/2014/main" id="{95613220-B0D6-4A62-A5D3-D2299D002FBB}"/>
            </a:ext>
          </a:extLst>
        </xdr:cNvPr>
        <xdr:cNvSpPr txBox="1"/>
      </xdr:nvSpPr>
      <xdr:spPr>
        <a:xfrm>
          <a:off x="7600950" y="2247900"/>
          <a:ext cx="714375" cy="361950"/>
        </a:xfrm>
        <a:prstGeom prst="rect">
          <a:avLst/>
        </a:prstGeom>
        <a:solidFill>
          <a:schemeClr val="accent6">
            <a:lumMod val="20000"/>
            <a:lumOff val="80000"/>
          </a:schemeClr>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9144" tIns="9144" rIns="9144" bIns="9144" rtlCol="0" anchor="ctr"/>
        <a:lstStyle/>
        <a:p>
          <a:pPr algn="ctr"/>
          <a:r>
            <a:rPr lang="en-US" sz="800" b="1">
              <a:solidFill>
                <a:sysClr val="windowText" lastClr="000000"/>
              </a:solidFill>
            </a:rPr>
            <a:t>Switched to $100 risk</a:t>
          </a:r>
        </a:p>
      </xdr:txBody>
    </xdr:sp>
    <xdr:clientData/>
  </xdr:twoCellAnchor>
  <xdr:twoCellAnchor>
    <xdr:from>
      <xdr:col>0</xdr:col>
      <xdr:colOff>104774</xdr:colOff>
      <xdr:row>35</xdr:row>
      <xdr:rowOff>38100</xdr:rowOff>
    </xdr:from>
    <xdr:to>
      <xdr:col>25</xdr:col>
      <xdr:colOff>552450</xdr:colOff>
      <xdr:row>64</xdr:row>
      <xdr:rowOff>47625</xdr:rowOff>
    </xdr:to>
    <xdr:graphicFrame macro="">
      <xdr:nvGraphicFramePr>
        <xdr:cNvPr id="8" name="Chart 7">
          <a:extLst>
            <a:ext uri="{FF2B5EF4-FFF2-40B4-BE49-F238E27FC236}">
              <a16:creationId xmlns:a16="http://schemas.microsoft.com/office/drawing/2014/main" id="{EB6642F6-46F5-4B2E-89A7-63B24481F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142873</xdr:colOff>
      <xdr:row>212</xdr:row>
      <xdr:rowOff>66675</xdr:rowOff>
    </xdr:from>
    <xdr:to>
      <xdr:col>11</xdr:col>
      <xdr:colOff>295273</xdr:colOff>
      <xdr:row>239</xdr:row>
      <xdr:rowOff>171450</xdr:rowOff>
    </xdr:to>
    <xdr:graphicFrame macro="">
      <xdr:nvGraphicFramePr>
        <xdr:cNvPr id="10" name="Chart 9">
          <a:extLst>
            <a:ext uri="{FF2B5EF4-FFF2-40B4-BE49-F238E27FC236}">
              <a16:creationId xmlns:a16="http://schemas.microsoft.com/office/drawing/2014/main" id="{056F09CB-0D7E-41D0-B004-20A9D22BF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142874</xdr:colOff>
      <xdr:row>267</xdr:row>
      <xdr:rowOff>171450</xdr:rowOff>
    </xdr:from>
    <xdr:to>
      <xdr:col>11</xdr:col>
      <xdr:colOff>295274</xdr:colOff>
      <xdr:row>295</xdr:row>
      <xdr:rowOff>85725</xdr:rowOff>
    </xdr:to>
    <xdr:graphicFrame macro="">
      <xdr:nvGraphicFramePr>
        <xdr:cNvPr id="11" name="Chart 10">
          <a:extLst>
            <a:ext uri="{FF2B5EF4-FFF2-40B4-BE49-F238E27FC236}">
              <a16:creationId xmlns:a16="http://schemas.microsoft.com/office/drawing/2014/main" id="{DA7D764D-4753-4023-9F9A-D798F350A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267</xdr:row>
      <xdr:rowOff>180975</xdr:rowOff>
    </xdr:from>
    <xdr:to>
      <xdr:col>22</xdr:col>
      <xdr:colOff>495300</xdr:colOff>
      <xdr:row>295</xdr:row>
      <xdr:rowOff>95250</xdr:rowOff>
    </xdr:to>
    <xdr:graphicFrame macro="">
      <xdr:nvGraphicFramePr>
        <xdr:cNvPr id="13" name="Chart 12">
          <a:extLst>
            <a:ext uri="{FF2B5EF4-FFF2-40B4-BE49-F238E27FC236}">
              <a16:creationId xmlns:a16="http://schemas.microsoft.com/office/drawing/2014/main" id="{EA7D20D4-7153-46CB-A074-7981082A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381000</xdr:colOff>
      <xdr:row>212</xdr:row>
      <xdr:rowOff>47625</xdr:rowOff>
    </xdr:from>
    <xdr:to>
      <xdr:col>22</xdr:col>
      <xdr:colOff>533400</xdr:colOff>
      <xdr:row>239</xdr:row>
      <xdr:rowOff>152400</xdr:rowOff>
    </xdr:to>
    <xdr:graphicFrame macro="">
      <xdr:nvGraphicFramePr>
        <xdr:cNvPr id="14" name="Chart 13">
          <a:extLst>
            <a:ext uri="{FF2B5EF4-FFF2-40B4-BE49-F238E27FC236}">
              <a16:creationId xmlns:a16="http://schemas.microsoft.com/office/drawing/2014/main" id="{92E1AD3B-8792-432B-B82E-AB443BF34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323850</xdr:colOff>
      <xdr:row>295</xdr:row>
      <xdr:rowOff>123825</xdr:rowOff>
    </xdr:from>
    <xdr:to>
      <xdr:col>22</xdr:col>
      <xdr:colOff>476250</xdr:colOff>
      <xdr:row>323</xdr:row>
      <xdr:rowOff>38100</xdr:rowOff>
    </xdr:to>
    <xdr:graphicFrame macro="">
      <xdr:nvGraphicFramePr>
        <xdr:cNvPr id="16" name="Chart 15">
          <a:extLst>
            <a:ext uri="{FF2B5EF4-FFF2-40B4-BE49-F238E27FC236}">
              <a16:creationId xmlns:a16="http://schemas.microsoft.com/office/drawing/2014/main" id="{D870335E-E336-4D70-8D1B-BFA99056E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133350</xdr:colOff>
      <xdr:row>295</xdr:row>
      <xdr:rowOff>133350</xdr:rowOff>
    </xdr:from>
    <xdr:to>
      <xdr:col>11</xdr:col>
      <xdr:colOff>285750</xdr:colOff>
      <xdr:row>323</xdr:row>
      <xdr:rowOff>47625</xdr:rowOff>
    </xdr:to>
    <xdr:graphicFrame macro="">
      <xdr:nvGraphicFramePr>
        <xdr:cNvPr id="17" name="Chart 16">
          <a:extLst>
            <a:ext uri="{FF2B5EF4-FFF2-40B4-BE49-F238E27FC236}">
              <a16:creationId xmlns:a16="http://schemas.microsoft.com/office/drawing/2014/main" id="{9AE870BB-36AA-49EC-9DDF-464F9687A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323850</xdr:colOff>
      <xdr:row>323</xdr:row>
      <xdr:rowOff>76200</xdr:rowOff>
    </xdr:from>
    <xdr:to>
      <xdr:col>22</xdr:col>
      <xdr:colOff>476250</xdr:colOff>
      <xdr:row>350</xdr:row>
      <xdr:rowOff>180975</xdr:rowOff>
    </xdr:to>
    <xdr:graphicFrame macro="">
      <xdr:nvGraphicFramePr>
        <xdr:cNvPr id="18" name="Chart 17">
          <a:extLst>
            <a:ext uri="{FF2B5EF4-FFF2-40B4-BE49-F238E27FC236}">
              <a16:creationId xmlns:a16="http://schemas.microsoft.com/office/drawing/2014/main" id="{591F5CFC-4A52-44EC-94AF-70565E42C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152400</xdr:colOff>
      <xdr:row>240</xdr:row>
      <xdr:rowOff>19050</xdr:rowOff>
    </xdr:from>
    <xdr:to>
      <xdr:col>11</xdr:col>
      <xdr:colOff>304800</xdr:colOff>
      <xdr:row>267</xdr:row>
      <xdr:rowOff>123825</xdr:rowOff>
    </xdr:to>
    <xdr:graphicFrame macro="">
      <xdr:nvGraphicFramePr>
        <xdr:cNvPr id="20" name="Chart 19">
          <a:extLst>
            <a:ext uri="{FF2B5EF4-FFF2-40B4-BE49-F238E27FC236}">
              <a16:creationId xmlns:a16="http://schemas.microsoft.com/office/drawing/2014/main" id="{9470D82F-CD72-4800-A8D4-8A2CEB5E4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333375</xdr:colOff>
      <xdr:row>351</xdr:row>
      <xdr:rowOff>28575</xdr:rowOff>
    </xdr:from>
    <xdr:to>
      <xdr:col>22</xdr:col>
      <xdr:colOff>485775</xdr:colOff>
      <xdr:row>378</xdr:row>
      <xdr:rowOff>133350</xdr:rowOff>
    </xdr:to>
    <xdr:graphicFrame macro="">
      <xdr:nvGraphicFramePr>
        <xdr:cNvPr id="21" name="Chart 20">
          <a:extLst>
            <a:ext uri="{FF2B5EF4-FFF2-40B4-BE49-F238E27FC236}">
              <a16:creationId xmlns:a16="http://schemas.microsoft.com/office/drawing/2014/main" id="{CFFF5F8E-DC3F-4D55-AF21-DFF7479A2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142875</xdr:colOff>
      <xdr:row>351</xdr:row>
      <xdr:rowOff>28575</xdr:rowOff>
    </xdr:from>
    <xdr:to>
      <xdr:col>11</xdr:col>
      <xdr:colOff>295275</xdr:colOff>
      <xdr:row>378</xdr:row>
      <xdr:rowOff>133350</xdr:rowOff>
    </xdr:to>
    <xdr:graphicFrame macro="">
      <xdr:nvGraphicFramePr>
        <xdr:cNvPr id="22" name="Chart 21">
          <a:extLst>
            <a:ext uri="{FF2B5EF4-FFF2-40B4-BE49-F238E27FC236}">
              <a16:creationId xmlns:a16="http://schemas.microsoft.com/office/drawing/2014/main" id="{FF45F86A-65FB-4FAA-AC61-C99AC626B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142875</xdr:colOff>
      <xdr:row>378</xdr:row>
      <xdr:rowOff>171450</xdr:rowOff>
    </xdr:from>
    <xdr:to>
      <xdr:col>11</xdr:col>
      <xdr:colOff>295275</xdr:colOff>
      <xdr:row>406</xdr:row>
      <xdr:rowOff>85725</xdr:rowOff>
    </xdr:to>
    <xdr:graphicFrame macro="">
      <xdr:nvGraphicFramePr>
        <xdr:cNvPr id="24" name="Chart 23">
          <a:extLst>
            <a:ext uri="{FF2B5EF4-FFF2-40B4-BE49-F238E27FC236}">
              <a16:creationId xmlns:a16="http://schemas.microsoft.com/office/drawing/2014/main" id="{E50CC558-563D-478C-A84C-F70981B54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342900</xdr:colOff>
      <xdr:row>378</xdr:row>
      <xdr:rowOff>171450</xdr:rowOff>
    </xdr:from>
    <xdr:to>
      <xdr:col>22</xdr:col>
      <xdr:colOff>495300</xdr:colOff>
      <xdr:row>406</xdr:row>
      <xdr:rowOff>85725</xdr:rowOff>
    </xdr:to>
    <xdr:graphicFrame macro="">
      <xdr:nvGraphicFramePr>
        <xdr:cNvPr id="25" name="Chart 24">
          <a:extLst>
            <a:ext uri="{FF2B5EF4-FFF2-40B4-BE49-F238E27FC236}">
              <a16:creationId xmlns:a16="http://schemas.microsoft.com/office/drawing/2014/main" id="{351FB791-5856-4ECC-9390-F3E717CD6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361950</xdr:colOff>
      <xdr:row>406</xdr:row>
      <xdr:rowOff>123825</xdr:rowOff>
    </xdr:from>
    <xdr:to>
      <xdr:col>22</xdr:col>
      <xdr:colOff>514350</xdr:colOff>
      <xdr:row>434</xdr:row>
      <xdr:rowOff>38100</xdr:rowOff>
    </xdr:to>
    <xdr:graphicFrame macro="">
      <xdr:nvGraphicFramePr>
        <xdr:cNvPr id="26" name="Chart 25">
          <a:extLst>
            <a:ext uri="{FF2B5EF4-FFF2-40B4-BE49-F238E27FC236}">
              <a16:creationId xmlns:a16="http://schemas.microsoft.com/office/drawing/2014/main" id="{606D339B-3DBE-436F-83E2-2DE58C8C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142875</xdr:colOff>
      <xdr:row>151</xdr:row>
      <xdr:rowOff>47625</xdr:rowOff>
    </xdr:from>
    <xdr:to>
      <xdr:col>22</xdr:col>
      <xdr:colOff>466725</xdr:colOff>
      <xdr:row>183</xdr:row>
      <xdr:rowOff>171450</xdr:rowOff>
    </xdr:to>
    <xdr:graphicFrame macro="">
      <xdr:nvGraphicFramePr>
        <xdr:cNvPr id="27" name="Chart 26">
          <a:extLst>
            <a:ext uri="{FF2B5EF4-FFF2-40B4-BE49-F238E27FC236}">
              <a16:creationId xmlns:a16="http://schemas.microsoft.com/office/drawing/2014/main" id="{5E115936-EC31-49D4-A29A-60F4A98AA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123825</xdr:colOff>
      <xdr:row>323</xdr:row>
      <xdr:rowOff>85725</xdr:rowOff>
    </xdr:from>
    <xdr:to>
      <xdr:col>11</xdr:col>
      <xdr:colOff>276225</xdr:colOff>
      <xdr:row>351</xdr:row>
      <xdr:rowOff>0</xdr:rowOff>
    </xdr:to>
    <xdr:graphicFrame macro="">
      <xdr:nvGraphicFramePr>
        <xdr:cNvPr id="7" name="Chart 6">
          <a:extLst>
            <a:ext uri="{FF2B5EF4-FFF2-40B4-BE49-F238E27FC236}">
              <a16:creationId xmlns:a16="http://schemas.microsoft.com/office/drawing/2014/main" id="{7821E766-ED18-4D38-ABAF-4EA814F8A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142875</xdr:colOff>
      <xdr:row>406</xdr:row>
      <xdr:rowOff>104775</xdr:rowOff>
    </xdr:from>
    <xdr:to>
      <xdr:col>11</xdr:col>
      <xdr:colOff>295275</xdr:colOff>
      <xdr:row>434</xdr:row>
      <xdr:rowOff>19050</xdr:rowOff>
    </xdr:to>
    <xdr:graphicFrame macro="">
      <xdr:nvGraphicFramePr>
        <xdr:cNvPr id="19" name="Chart 18">
          <a:extLst>
            <a:ext uri="{FF2B5EF4-FFF2-40B4-BE49-F238E27FC236}">
              <a16:creationId xmlns:a16="http://schemas.microsoft.com/office/drawing/2014/main" id="{9DC89DC4-4936-4283-8549-8190BA2D0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342900</xdr:colOff>
      <xdr:row>240</xdr:row>
      <xdr:rowOff>19050</xdr:rowOff>
    </xdr:from>
    <xdr:to>
      <xdr:col>22</xdr:col>
      <xdr:colOff>495300</xdr:colOff>
      <xdr:row>267</xdr:row>
      <xdr:rowOff>123825</xdr:rowOff>
    </xdr:to>
    <xdr:graphicFrame macro="">
      <xdr:nvGraphicFramePr>
        <xdr:cNvPr id="28" name="Chart 27">
          <a:extLst>
            <a:ext uri="{FF2B5EF4-FFF2-40B4-BE49-F238E27FC236}">
              <a16:creationId xmlns:a16="http://schemas.microsoft.com/office/drawing/2014/main" id="{A0460624-7E76-4905-9AA9-75B8A823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380998</xdr:colOff>
      <xdr:row>64</xdr:row>
      <xdr:rowOff>104775</xdr:rowOff>
    </xdr:from>
    <xdr:to>
      <xdr:col>13</xdr:col>
      <xdr:colOff>333374</xdr:colOff>
      <xdr:row>94</xdr:row>
      <xdr:rowOff>95251</xdr:rowOff>
    </xdr:to>
    <xdr:graphicFrame macro="">
      <xdr:nvGraphicFramePr>
        <xdr:cNvPr id="23" name="Chart 22">
          <a:extLst>
            <a:ext uri="{FF2B5EF4-FFF2-40B4-BE49-F238E27FC236}">
              <a16:creationId xmlns:a16="http://schemas.microsoft.com/office/drawing/2014/main" id="{8C52F174-A593-4BD1-84B9-EF21FB838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171450</xdr:colOff>
      <xdr:row>94</xdr:row>
      <xdr:rowOff>142875</xdr:rowOff>
    </xdr:from>
    <xdr:to>
      <xdr:col>13</xdr:col>
      <xdr:colOff>19050</xdr:colOff>
      <xdr:row>121</xdr:row>
      <xdr:rowOff>104775</xdr:rowOff>
    </xdr:to>
    <xdr:graphicFrame macro="">
      <xdr:nvGraphicFramePr>
        <xdr:cNvPr id="15" name="Chart 14">
          <a:extLst>
            <a:ext uri="{FF2B5EF4-FFF2-40B4-BE49-F238E27FC236}">
              <a16:creationId xmlns:a16="http://schemas.microsoft.com/office/drawing/2014/main" id="{BA783319-27B0-4463-BD17-1E34CDD10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76201</xdr:colOff>
      <xdr:row>94</xdr:row>
      <xdr:rowOff>142875</xdr:rowOff>
    </xdr:from>
    <xdr:to>
      <xdr:col>25</xdr:col>
      <xdr:colOff>533401</xdr:colOff>
      <xdr:row>121</xdr:row>
      <xdr:rowOff>104775</xdr:rowOff>
    </xdr:to>
    <xdr:graphicFrame macro="">
      <xdr:nvGraphicFramePr>
        <xdr:cNvPr id="29" name="Chart 28">
          <a:extLst>
            <a:ext uri="{FF2B5EF4-FFF2-40B4-BE49-F238E27FC236}">
              <a16:creationId xmlns:a16="http://schemas.microsoft.com/office/drawing/2014/main" id="{C7E80179-44E8-47EF-ADDC-A8667D44A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66674</xdr:colOff>
      <xdr:row>122</xdr:row>
      <xdr:rowOff>9525</xdr:rowOff>
    </xdr:from>
    <xdr:to>
      <xdr:col>22</xdr:col>
      <xdr:colOff>438149</xdr:colOff>
      <xdr:row>149</xdr:row>
      <xdr:rowOff>9525</xdr:rowOff>
    </xdr:to>
    <xdr:graphicFrame macro="">
      <xdr:nvGraphicFramePr>
        <xdr:cNvPr id="30" name="Chart 29">
          <a:extLst>
            <a:ext uri="{FF2B5EF4-FFF2-40B4-BE49-F238E27FC236}">
              <a16:creationId xmlns:a16="http://schemas.microsoft.com/office/drawing/2014/main" id="{729E2B67-A435-4A21-9205-39A07D975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180975</xdr:colOff>
      <xdr:row>434</xdr:row>
      <xdr:rowOff>57150</xdr:rowOff>
    </xdr:from>
    <xdr:to>
      <xdr:col>22</xdr:col>
      <xdr:colOff>485775</xdr:colOff>
      <xdr:row>461</xdr:row>
      <xdr:rowOff>161925</xdr:rowOff>
    </xdr:to>
    <xdr:graphicFrame macro="">
      <xdr:nvGraphicFramePr>
        <xdr:cNvPr id="9" name="Chart 8">
          <a:extLst>
            <a:ext uri="{FF2B5EF4-FFF2-40B4-BE49-F238E27FC236}">
              <a16:creationId xmlns:a16="http://schemas.microsoft.com/office/drawing/2014/main" id="{E000C81E-9B07-498C-9274-2DCACA8A0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190500</xdr:colOff>
      <xdr:row>462</xdr:row>
      <xdr:rowOff>19050</xdr:rowOff>
    </xdr:from>
    <xdr:to>
      <xdr:col>22</xdr:col>
      <xdr:colOff>495300</xdr:colOff>
      <xdr:row>489</xdr:row>
      <xdr:rowOff>123825</xdr:rowOff>
    </xdr:to>
    <xdr:graphicFrame macro="">
      <xdr:nvGraphicFramePr>
        <xdr:cNvPr id="4" name="Chart 3">
          <a:extLst>
            <a:ext uri="{FF2B5EF4-FFF2-40B4-BE49-F238E27FC236}">
              <a16:creationId xmlns:a16="http://schemas.microsoft.com/office/drawing/2014/main" id="{1F5A17A5-E53E-4600-8C38-E81248149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190500</xdr:colOff>
      <xdr:row>490</xdr:row>
      <xdr:rowOff>9525</xdr:rowOff>
    </xdr:from>
    <xdr:to>
      <xdr:col>22</xdr:col>
      <xdr:colOff>495300</xdr:colOff>
      <xdr:row>517</xdr:row>
      <xdr:rowOff>114300</xdr:rowOff>
    </xdr:to>
    <xdr:graphicFrame macro="">
      <xdr:nvGraphicFramePr>
        <xdr:cNvPr id="6" name="Chart 5">
          <a:extLst>
            <a:ext uri="{FF2B5EF4-FFF2-40B4-BE49-F238E27FC236}">
              <a16:creationId xmlns:a16="http://schemas.microsoft.com/office/drawing/2014/main" id="{4AC324F8-6129-4641-A8E1-1932BD64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457200</xdr:colOff>
      <xdr:row>10</xdr:row>
      <xdr:rowOff>38100</xdr:rowOff>
    </xdr:from>
    <xdr:to>
      <xdr:col>19</xdr:col>
      <xdr:colOff>457200</xdr:colOff>
      <xdr:row>32</xdr:row>
      <xdr:rowOff>144780</xdr:rowOff>
    </xdr:to>
    <xdr:cxnSp macro="">
      <xdr:nvCxnSpPr>
        <xdr:cNvPr id="32" name="Straight Connector 31">
          <a:extLst>
            <a:ext uri="{FF2B5EF4-FFF2-40B4-BE49-F238E27FC236}">
              <a16:creationId xmlns:a16="http://schemas.microsoft.com/office/drawing/2014/main" id="{AB4D6CCD-F133-4A22-ABCE-940C284B2E9C}"/>
            </a:ext>
          </a:extLst>
        </xdr:cNvPr>
        <xdr:cNvCxnSpPr/>
      </xdr:nvCxnSpPr>
      <xdr:spPr>
        <a:xfrm flipV="1">
          <a:off x="12049125" y="1943100"/>
          <a:ext cx="0" cy="4297680"/>
        </a:xfrm>
        <a:prstGeom prst="line">
          <a:avLst/>
        </a:prstGeom>
        <a:ln>
          <a:solidFill>
            <a:schemeClr val="tx1"/>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180976</xdr:colOff>
      <xdr:row>9</xdr:row>
      <xdr:rowOff>114300</xdr:rowOff>
    </xdr:from>
    <xdr:to>
      <xdr:col>19</xdr:col>
      <xdr:colOff>485775</xdr:colOff>
      <xdr:row>12</xdr:row>
      <xdr:rowOff>19049</xdr:rowOff>
    </xdr:to>
    <xdr:sp macro="" textlink="">
      <xdr:nvSpPr>
        <xdr:cNvPr id="33" name="TextBox 32">
          <a:extLst>
            <a:ext uri="{FF2B5EF4-FFF2-40B4-BE49-F238E27FC236}">
              <a16:creationId xmlns:a16="http://schemas.microsoft.com/office/drawing/2014/main" id="{21C64C7C-ACD3-441E-8F40-C261D2C1BC2A}"/>
            </a:ext>
          </a:extLst>
        </xdr:cNvPr>
        <xdr:cNvSpPr txBox="1"/>
      </xdr:nvSpPr>
      <xdr:spPr>
        <a:xfrm>
          <a:off x="11163301" y="1828800"/>
          <a:ext cx="914399" cy="476249"/>
        </a:xfrm>
        <a:prstGeom prst="rect">
          <a:avLst/>
        </a:prstGeom>
        <a:solidFill>
          <a:schemeClr val="accent6">
            <a:lumMod val="20000"/>
            <a:lumOff val="80000"/>
          </a:schemeClr>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9144" tIns="9144" rIns="9144" bIns="9144" rtlCol="0" anchor="ctr"/>
        <a:lstStyle/>
        <a:p>
          <a:pPr algn="ctr"/>
          <a:r>
            <a:rPr lang="en-US" sz="800" b="1">
              <a:solidFill>
                <a:sysClr val="windowText" lastClr="000000"/>
              </a:solidFill>
            </a:rPr>
            <a:t>Switched to $60 risk to focus more on execution.</a:t>
          </a:r>
        </a:p>
      </xdr:txBody>
    </xdr:sp>
    <xdr:clientData/>
  </xdr:twoCellAnchor>
  <xdr:twoCellAnchor>
    <xdr:from>
      <xdr:col>0</xdr:col>
      <xdr:colOff>133350</xdr:colOff>
      <xdr:row>184</xdr:row>
      <xdr:rowOff>28575</xdr:rowOff>
    </xdr:from>
    <xdr:to>
      <xdr:col>11</xdr:col>
      <xdr:colOff>323850</xdr:colOff>
      <xdr:row>211</xdr:row>
      <xdr:rowOff>161925</xdr:rowOff>
    </xdr:to>
    <xdr:graphicFrame macro="">
      <xdr:nvGraphicFramePr>
        <xdr:cNvPr id="12" name="Chart 11">
          <a:extLst>
            <a:ext uri="{FF2B5EF4-FFF2-40B4-BE49-F238E27FC236}">
              <a16:creationId xmlns:a16="http://schemas.microsoft.com/office/drawing/2014/main" id="{A384FFAE-35C5-457F-9B5E-4041AAD01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381000</xdr:colOff>
      <xdr:row>184</xdr:row>
      <xdr:rowOff>28575</xdr:rowOff>
    </xdr:from>
    <xdr:to>
      <xdr:col>22</xdr:col>
      <xdr:colOff>581025</xdr:colOff>
      <xdr:row>211</xdr:row>
      <xdr:rowOff>161925</xdr:rowOff>
    </xdr:to>
    <xdr:graphicFrame macro="">
      <xdr:nvGraphicFramePr>
        <xdr:cNvPr id="34" name="Chart 33">
          <a:extLst>
            <a:ext uri="{FF2B5EF4-FFF2-40B4-BE49-F238E27FC236}">
              <a16:creationId xmlns:a16="http://schemas.microsoft.com/office/drawing/2014/main" id="{5BFE4D9C-B7BB-4901-B8B5-4DF8A79B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26</xdr:col>
      <xdr:colOff>361950</xdr:colOff>
      <xdr:row>95</xdr:row>
      <xdr:rowOff>123825</xdr:rowOff>
    </xdr:from>
    <xdr:to>
      <xdr:col>30</xdr:col>
      <xdr:colOff>95250</xdr:colOff>
      <xdr:row>107</xdr:row>
      <xdr:rowOff>114300</xdr:rowOff>
    </xdr:to>
    <xdr:graphicFrame macro="">
      <xdr:nvGraphicFramePr>
        <xdr:cNvPr id="35" name="Chart 34">
          <a:extLst>
            <a:ext uri="{FF2B5EF4-FFF2-40B4-BE49-F238E27FC236}">
              <a16:creationId xmlns:a16="http://schemas.microsoft.com/office/drawing/2014/main" id="{997BAD77-AFDB-4680-9497-4E266389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26</xdr:col>
      <xdr:colOff>581025</xdr:colOff>
      <xdr:row>63</xdr:row>
      <xdr:rowOff>171450</xdr:rowOff>
    </xdr:from>
    <xdr:to>
      <xdr:col>38</xdr:col>
      <xdr:colOff>545080</xdr:colOff>
      <xdr:row>93</xdr:row>
      <xdr:rowOff>162801</xdr:rowOff>
    </xdr:to>
    <xdr:pic>
      <xdr:nvPicPr>
        <xdr:cNvPr id="36" name="Picture 35">
          <a:extLst>
            <a:ext uri="{FF2B5EF4-FFF2-40B4-BE49-F238E27FC236}">
              <a16:creationId xmlns:a16="http://schemas.microsoft.com/office/drawing/2014/main" id="{5BBDEEDA-3A23-7C9B-0C03-F13205A581F4}"/>
            </a:ext>
          </a:extLst>
        </xdr:cNvPr>
        <xdr:cNvPicPr>
          <a:picLocks noChangeAspect="1"/>
        </xdr:cNvPicPr>
      </xdr:nvPicPr>
      <xdr:blipFill>
        <a:blip xmlns:r="http://schemas.openxmlformats.org/officeDocument/2006/relationships" r:embed="rId30"/>
        <a:stretch>
          <a:fillRect/>
        </a:stretch>
      </xdr:blipFill>
      <xdr:spPr>
        <a:xfrm>
          <a:off x="16440150" y="12172950"/>
          <a:ext cx="7279255" cy="5706351"/>
        </a:xfrm>
        <a:prstGeom prst="rect">
          <a:avLst/>
        </a:prstGeom>
      </xdr:spPr>
    </xdr:pic>
    <xdr:clientData/>
  </xdr:twoCellAnchor>
  <xdr:twoCellAnchor editAs="oneCell">
    <xdr:from>
      <xdr:col>14</xdr:col>
      <xdr:colOff>0</xdr:colOff>
      <xdr:row>65</xdr:row>
      <xdr:rowOff>0</xdr:rowOff>
    </xdr:from>
    <xdr:to>
      <xdr:col>25</xdr:col>
      <xdr:colOff>573655</xdr:colOff>
      <xdr:row>94</xdr:row>
      <xdr:rowOff>181851</xdr:rowOff>
    </xdr:to>
    <xdr:pic>
      <xdr:nvPicPr>
        <xdr:cNvPr id="38" name="Picture 37">
          <a:extLst>
            <a:ext uri="{FF2B5EF4-FFF2-40B4-BE49-F238E27FC236}">
              <a16:creationId xmlns:a16="http://schemas.microsoft.com/office/drawing/2014/main" id="{391DDA1C-1982-150D-4111-8333762B12B3}"/>
            </a:ext>
          </a:extLst>
        </xdr:cNvPr>
        <xdr:cNvPicPr>
          <a:picLocks noChangeAspect="1"/>
        </xdr:cNvPicPr>
      </xdr:nvPicPr>
      <xdr:blipFill>
        <a:blip xmlns:r="http://schemas.openxmlformats.org/officeDocument/2006/relationships" r:embed="rId31"/>
        <a:stretch>
          <a:fillRect/>
        </a:stretch>
      </xdr:blipFill>
      <xdr:spPr>
        <a:xfrm>
          <a:off x="8543925" y="12382500"/>
          <a:ext cx="7279255" cy="5706351"/>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0.56427</cdr:x>
      <cdr:y>0.16217</cdr:y>
    </cdr:from>
    <cdr:to>
      <cdr:x>0.56427</cdr:x>
      <cdr:y>0.93876</cdr:y>
    </cdr:to>
    <cdr:cxnSp macro="">
      <cdr:nvCxnSpPr>
        <cdr:cNvPr id="3" name="Straight Connector 2">
          <a:extLst xmlns:a="http://schemas.openxmlformats.org/drawingml/2006/main">
            <a:ext uri="{FF2B5EF4-FFF2-40B4-BE49-F238E27FC236}">
              <a16:creationId xmlns:a16="http://schemas.microsoft.com/office/drawing/2014/main" id="{B0D36967-44FE-7DFE-854A-E3A11A697E07}"/>
            </a:ext>
          </a:extLst>
        </cdr:cNvPr>
        <cdr:cNvCxnSpPr/>
      </cdr:nvCxnSpPr>
      <cdr:spPr>
        <a:xfrm xmlns:a="http://schemas.openxmlformats.org/drawingml/2006/main" flipH="1">
          <a:off x="8857418" y="897459"/>
          <a:ext cx="0" cy="4297669"/>
        </a:xfrm>
        <a:prstGeom xmlns:a="http://schemas.openxmlformats.org/drawingml/2006/main" prst="line">
          <a:avLst/>
        </a:prstGeom>
        <a:ln xmlns:a="http://schemas.openxmlformats.org/drawingml/2006/main">
          <a:solidFill>
            <a:schemeClr val="bg1"/>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0.52933</cdr:x>
      <cdr:y>0.15032</cdr:y>
    </cdr:from>
    <cdr:to>
      <cdr:x>0.57484</cdr:x>
      <cdr:y>0.21572</cdr:y>
    </cdr:to>
    <cdr:sp macro="" textlink="">
      <cdr:nvSpPr>
        <cdr:cNvPr id="2" name="TextBox 4">
          <a:extLst xmlns:a="http://schemas.openxmlformats.org/drawingml/2006/main">
            <a:ext uri="{FF2B5EF4-FFF2-40B4-BE49-F238E27FC236}">
              <a16:creationId xmlns:a16="http://schemas.microsoft.com/office/drawing/2014/main" id="{95613220-B0D6-4A62-A5D3-D2299D002FBB}"/>
            </a:ext>
          </a:extLst>
        </cdr:cNvPr>
        <cdr:cNvSpPr txBox="1"/>
      </cdr:nvSpPr>
      <cdr:spPr>
        <a:xfrm xmlns:a="http://schemas.openxmlformats.org/drawingml/2006/main">
          <a:off x="8308975" y="831850"/>
          <a:ext cx="714375" cy="361950"/>
        </a:xfrm>
        <a:prstGeom xmlns:a="http://schemas.openxmlformats.org/drawingml/2006/main" prst="rect">
          <a:avLst/>
        </a:prstGeom>
        <a:solidFill xmlns:a="http://schemas.openxmlformats.org/drawingml/2006/main">
          <a:schemeClr val="bg1">
            <a:lumMod val="95000"/>
          </a:schemeClr>
        </a:solidFill>
        <a:ln xmlns:a="http://schemas.openxmlformats.org/drawingml/2006/main" w="9525" cmpd="sng">
          <a:solidFill>
            <a:schemeClr val="tx1"/>
          </a:solid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9144" tIns="9144" rIns="9144" bIns="9144"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800" b="1">
              <a:solidFill>
                <a:sysClr val="windowText" lastClr="000000"/>
              </a:solidFill>
            </a:rPr>
            <a:t>Switched to $100 risk</a:t>
          </a:r>
        </a:p>
      </cdr:txBody>
    </cdr:sp>
  </cdr:relSizeAnchor>
  <cdr:relSizeAnchor xmlns:cdr="http://schemas.openxmlformats.org/drawingml/2006/chartDrawing">
    <cdr:from>
      <cdr:x>0.80663</cdr:x>
      <cdr:y>0.07458</cdr:y>
    </cdr:from>
    <cdr:to>
      <cdr:x>0.86489</cdr:x>
      <cdr:y>0.16064</cdr:y>
    </cdr:to>
    <cdr:sp macro="" textlink="">
      <cdr:nvSpPr>
        <cdr:cNvPr id="4" name="TextBox 32">
          <a:extLst xmlns:a="http://schemas.openxmlformats.org/drawingml/2006/main">
            <a:ext uri="{FF2B5EF4-FFF2-40B4-BE49-F238E27FC236}">
              <a16:creationId xmlns:a16="http://schemas.microsoft.com/office/drawing/2014/main" id="{21C64C7C-ACD3-441E-8F40-C261D2C1BC2A}"/>
            </a:ext>
          </a:extLst>
        </cdr:cNvPr>
        <cdr:cNvSpPr txBox="1"/>
      </cdr:nvSpPr>
      <cdr:spPr>
        <a:xfrm xmlns:a="http://schemas.openxmlformats.org/drawingml/2006/main">
          <a:off x="12661900" y="412750"/>
          <a:ext cx="914399" cy="476249"/>
        </a:xfrm>
        <a:prstGeom xmlns:a="http://schemas.openxmlformats.org/drawingml/2006/main" prst="rect">
          <a:avLst/>
        </a:prstGeom>
        <a:solidFill xmlns:a="http://schemas.openxmlformats.org/drawingml/2006/main">
          <a:schemeClr val="bg1">
            <a:lumMod val="95000"/>
          </a:schemeClr>
        </a:solidFill>
        <a:ln xmlns:a="http://schemas.openxmlformats.org/drawingml/2006/main" w="9525" cmpd="sng">
          <a:solidFill>
            <a:schemeClr val="tx1"/>
          </a:solid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9144" tIns="9144" rIns="9144" bIns="9144"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800" b="1">
              <a:solidFill>
                <a:sysClr val="windowText" lastClr="000000"/>
              </a:solidFill>
            </a:rPr>
            <a:t>Switched to $60 risk to focus more on execution.</a:t>
          </a:r>
        </a:p>
      </cdr:txBody>
    </cdr:sp>
  </cdr:relSizeAnchor>
  <cdr:relSizeAnchor xmlns:cdr="http://schemas.openxmlformats.org/drawingml/2006/chartDrawing">
    <cdr:from>
      <cdr:x>0.86119</cdr:x>
      <cdr:y>0.1593</cdr:y>
    </cdr:from>
    <cdr:to>
      <cdr:x>0.86119</cdr:x>
      <cdr:y>0.93589</cdr:y>
    </cdr:to>
    <cdr:cxnSp macro="">
      <cdr:nvCxnSpPr>
        <cdr:cNvPr id="5" name="Straight Connector 4">
          <a:extLst xmlns:a="http://schemas.openxmlformats.org/drawingml/2006/main">
            <a:ext uri="{FF2B5EF4-FFF2-40B4-BE49-F238E27FC236}">
              <a16:creationId xmlns:a16="http://schemas.microsoft.com/office/drawing/2014/main" id="{3D4756C1-4F03-D16E-4726-8B62F47A0F67}"/>
            </a:ext>
          </a:extLst>
        </cdr:cNvPr>
        <cdr:cNvCxnSpPr/>
      </cdr:nvCxnSpPr>
      <cdr:spPr>
        <a:xfrm xmlns:a="http://schemas.openxmlformats.org/drawingml/2006/main" flipH="1">
          <a:off x="13518318" y="881584"/>
          <a:ext cx="0" cy="4297669"/>
        </a:xfrm>
        <a:prstGeom xmlns:a="http://schemas.openxmlformats.org/drawingml/2006/main" prst="line">
          <a:avLst/>
        </a:prstGeom>
        <a:ln xmlns:a="http://schemas.openxmlformats.org/drawingml/2006/main">
          <a:solidFill>
            <a:schemeClr val="bg1"/>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8.xml><?xml version="1.0" encoding="utf-8"?>
<c:userShapes xmlns:c="http://schemas.openxmlformats.org/drawingml/2006/chart">
  <cdr:relSizeAnchor xmlns:cdr="http://schemas.openxmlformats.org/drawingml/2006/chartDrawing">
    <cdr:from>
      <cdr:x>0.55779</cdr:x>
      <cdr:y>0.07963</cdr:y>
    </cdr:from>
    <cdr:to>
      <cdr:x>0.55779</cdr:x>
      <cdr:y>0.93874</cdr:y>
    </cdr:to>
    <cdr:cxnSp macro="">
      <cdr:nvCxnSpPr>
        <cdr:cNvPr id="2" name="Straight Connector 1">
          <a:extLst xmlns:a="http://schemas.openxmlformats.org/drawingml/2006/main">
            <a:ext uri="{FF2B5EF4-FFF2-40B4-BE49-F238E27FC236}">
              <a16:creationId xmlns:a16="http://schemas.microsoft.com/office/drawing/2014/main" id="{E70C4D0A-E9F7-8A3A-1025-2B6065B60AA9}"/>
            </a:ext>
          </a:extLst>
        </cdr:cNvPr>
        <cdr:cNvCxnSpPr/>
      </cdr:nvCxnSpPr>
      <cdr:spPr>
        <a:xfrm xmlns:a="http://schemas.openxmlformats.org/drawingml/2006/main">
          <a:off x="7661275" y="495300"/>
          <a:ext cx="0" cy="5343525"/>
        </a:xfrm>
        <a:prstGeom xmlns:a="http://schemas.openxmlformats.org/drawingml/2006/main" prst="line">
          <a:avLst/>
        </a:prstGeom>
        <a:ln xmlns:a="http://schemas.openxmlformats.org/drawingml/2006/main">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235</xdr:col>
      <xdr:colOff>57150</xdr:colOff>
      <xdr:row>0</xdr:row>
      <xdr:rowOff>0</xdr:rowOff>
    </xdr:from>
    <xdr:to>
      <xdr:col>237</xdr:col>
      <xdr:colOff>114299</xdr:colOff>
      <xdr:row>2</xdr:row>
      <xdr:rowOff>457200</xdr:rowOff>
    </xdr:to>
    <xdr:graphicFrame macro="">
      <xdr:nvGraphicFramePr>
        <xdr:cNvPr id="2" name="Chart 1">
          <a:extLst>
            <a:ext uri="{FF2B5EF4-FFF2-40B4-BE49-F238E27FC236}">
              <a16:creationId xmlns:a16="http://schemas.microsoft.com/office/drawing/2014/main" id="{64398AB5-E9EB-F60B-7062-34B7270D9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238125</xdr:colOff>
      <xdr:row>19</xdr:row>
      <xdr:rowOff>95250</xdr:rowOff>
    </xdr:from>
    <xdr:to>
      <xdr:col>35</xdr:col>
      <xdr:colOff>285750</xdr:colOff>
      <xdr:row>42</xdr:row>
      <xdr:rowOff>38100</xdr:rowOff>
    </xdr:to>
    <xdr:graphicFrame macro="">
      <xdr:nvGraphicFramePr>
        <xdr:cNvPr id="2" name="Chart 1">
          <a:extLst>
            <a:ext uri="{FF2B5EF4-FFF2-40B4-BE49-F238E27FC236}">
              <a16:creationId xmlns:a16="http://schemas.microsoft.com/office/drawing/2014/main" id="{8DD3BC77-977D-4003-A0B0-E6B2449C8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42</xdr:row>
      <xdr:rowOff>95250</xdr:rowOff>
    </xdr:from>
    <xdr:to>
      <xdr:col>35</xdr:col>
      <xdr:colOff>323850</xdr:colOff>
      <xdr:row>59</xdr:row>
      <xdr:rowOff>133350</xdr:rowOff>
    </xdr:to>
    <xdr:graphicFrame macro="">
      <xdr:nvGraphicFramePr>
        <xdr:cNvPr id="3" name="Chart 2">
          <a:extLst>
            <a:ext uri="{FF2B5EF4-FFF2-40B4-BE49-F238E27FC236}">
              <a16:creationId xmlns:a16="http://schemas.microsoft.com/office/drawing/2014/main" id="{94147065-039A-48A2-9994-5D2759F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59</xdr:row>
      <xdr:rowOff>180975</xdr:rowOff>
    </xdr:from>
    <xdr:to>
      <xdr:col>35</xdr:col>
      <xdr:colOff>333375</xdr:colOff>
      <xdr:row>77</xdr:row>
      <xdr:rowOff>28575</xdr:rowOff>
    </xdr:to>
    <xdr:graphicFrame macro="">
      <xdr:nvGraphicFramePr>
        <xdr:cNvPr id="4" name="Chart 3">
          <a:extLst>
            <a:ext uri="{FF2B5EF4-FFF2-40B4-BE49-F238E27FC236}">
              <a16:creationId xmlns:a16="http://schemas.microsoft.com/office/drawing/2014/main" id="{59D528A5-978B-4778-82D4-34233E6F5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209550</xdr:colOff>
      <xdr:row>77</xdr:row>
      <xdr:rowOff>76200</xdr:rowOff>
    </xdr:from>
    <xdr:to>
      <xdr:col>35</xdr:col>
      <xdr:colOff>333375</xdr:colOff>
      <xdr:row>94</xdr:row>
      <xdr:rowOff>114300</xdr:rowOff>
    </xdr:to>
    <xdr:graphicFrame macro="">
      <xdr:nvGraphicFramePr>
        <xdr:cNvPr id="5" name="Chart 4">
          <a:extLst>
            <a:ext uri="{FF2B5EF4-FFF2-40B4-BE49-F238E27FC236}">
              <a16:creationId xmlns:a16="http://schemas.microsoft.com/office/drawing/2014/main" id="{2536247B-0ADD-40C5-87FC-7BC4EC9A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219075</xdr:colOff>
      <xdr:row>94</xdr:row>
      <xdr:rowOff>152400</xdr:rowOff>
    </xdr:from>
    <xdr:to>
      <xdr:col>35</xdr:col>
      <xdr:colOff>342900</xdr:colOff>
      <xdr:row>112</xdr:row>
      <xdr:rowOff>0</xdr:rowOff>
    </xdr:to>
    <xdr:graphicFrame macro="">
      <xdr:nvGraphicFramePr>
        <xdr:cNvPr id="6" name="Chart 5">
          <a:extLst>
            <a:ext uri="{FF2B5EF4-FFF2-40B4-BE49-F238E27FC236}">
              <a16:creationId xmlns:a16="http://schemas.microsoft.com/office/drawing/2014/main" id="{FC00083A-652F-4DEB-8965-C9BEEE6EE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171451</xdr:colOff>
      <xdr:row>84</xdr:row>
      <xdr:rowOff>161925</xdr:rowOff>
    </xdr:from>
    <xdr:to>
      <xdr:col>28</xdr:col>
      <xdr:colOff>19051</xdr:colOff>
      <xdr:row>86</xdr:row>
      <xdr:rowOff>47625</xdr:rowOff>
    </xdr:to>
    <xdr:sp macro="" textlink="">
      <xdr:nvSpPr>
        <xdr:cNvPr id="7" name="Rectangle 6">
          <a:extLst>
            <a:ext uri="{FF2B5EF4-FFF2-40B4-BE49-F238E27FC236}">
              <a16:creationId xmlns:a16="http://schemas.microsoft.com/office/drawing/2014/main" id="{F83D766D-EA48-C79B-766B-A0775024D851}"/>
            </a:ext>
          </a:extLst>
        </xdr:cNvPr>
        <xdr:cNvSpPr/>
      </xdr:nvSpPr>
      <xdr:spPr>
        <a:xfrm>
          <a:off x="12773026" y="16230600"/>
          <a:ext cx="876300" cy="266700"/>
        </a:xfrm>
        <a:prstGeom prst="rect">
          <a:avLst/>
        </a:prstGeom>
        <a:solidFill>
          <a:schemeClr val="accent3">
            <a:lumMod val="20000"/>
            <a:lumOff val="80000"/>
          </a:schemeClr>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Trade War --&gt;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0.03949</cdr:x>
      <cdr:y>0.8304</cdr:y>
    </cdr:from>
    <cdr:to>
      <cdr:x>0.98888</cdr:x>
      <cdr:y>0.8304</cdr:y>
    </cdr:to>
    <cdr:cxnSp macro="">
      <cdr:nvCxnSpPr>
        <cdr:cNvPr id="3" name="Straight Connector 2">
          <a:extLst xmlns:a="http://schemas.openxmlformats.org/drawingml/2006/main">
            <a:ext uri="{FF2B5EF4-FFF2-40B4-BE49-F238E27FC236}">
              <a16:creationId xmlns:a16="http://schemas.microsoft.com/office/drawing/2014/main" id="{E38C07ED-0D8A-45E7-CE9D-44CD736E9142}"/>
            </a:ext>
          </a:extLst>
        </cdr:cNvPr>
        <cdr:cNvCxnSpPr/>
      </cdr:nvCxnSpPr>
      <cdr:spPr>
        <a:xfrm xmlns:a="http://schemas.openxmlformats.org/drawingml/2006/main">
          <a:off x="676275" y="3590925"/>
          <a:ext cx="16259175" cy="0"/>
        </a:xfrm>
        <a:prstGeom xmlns:a="http://schemas.openxmlformats.org/drawingml/2006/main" prst="lin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0.03912</cdr:x>
      <cdr:y>0.45668</cdr:y>
    </cdr:from>
    <cdr:to>
      <cdr:x>0.98851</cdr:x>
      <cdr:y>0.45668</cdr:y>
    </cdr:to>
    <cdr:cxnSp macro="">
      <cdr:nvCxnSpPr>
        <cdr:cNvPr id="5" name="Straight Connector 4">
          <a:extLst xmlns:a="http://schemas.openxmlformats.org/drawingml/2006/main">
            <a:ext uri="{FF2B5EF4-FFF2-40B4-BE49-F238E27FC236}">
              <a16:creationId xmlns:a16="http://schemas.microsoft.com/office/drawing/2014/main" id="{A70145B3-1C28-90D6-29BE-298E2CF225F0}"/>
            </a:ext>
          </a:extLst>
        </cdr:cNvPr>
        <cdr:cNvCxnSpPr/>
      </cdr:nvCxnSpPr>
      <cdr:spPr>
        <a:xfrm xmlns:a="http://schemas.openxmlformats.org/drawingml/2006/main">
          <a:off x="669925" y="1974850"/>
          <a:ext cx="16259175" cy="0"/>
        </a:xfrm>
        <a:prstGeom xmlns:a="http://schemas.openxmlformats.org/drawingml/2006/main" prst="line">
          <a:avLst/>
        </a:prstGeom>
        <a:ln xmlns:a="http://schemas.openxmlformats.org/drawingml/2006/main">
          <a:solidFill>
            <a:schemeClr val="accent6"/>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1</xdr:col>
      <xdr:colOff>38099</xdr:colOff>
      <xdr:row>20</xdr:row>
      <xdr:rowOff>57150</xdr:rowOff>
    </xdr:from>
    <xdr:to>
      <xdr:col>11</xdr:col>
      <xdr:colOff>491489</xdr:colOff>
      <xdr:row>36</xdr:row>
      <xdr:rowOff>114300</xdr:rowOff>
    </xdr:to>
    <xdr:graphicFrame macro="">
      <xdr:nvGraphicFramePr>
        <xdr:cNvPr id="2" name="Chart 1">
          <a:extLst>
            <a:ext uri="{FF2B5EF4-FFF2-40B4-BE49-F238E27FC236}">
              <a16:creationId xmlns:a16="http://schemas.microsoft.com/office/drawing/2014/main" id="{88C24F93-F8C7-85BD-8116-A19607946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504825</xdr:colOff>
      <xdr:row>20</xdr:row>
      <xdr:rowOff>57150</xdr:rowOff>
    </xdr:from>
    <xdr:to>
      <xdr:col>35</xdr:col>
      <xdr:colOff>24765</xdr:colOff>
      <xdr:row>36</xdr:row>
      <xdr:rowOff>128588</xdr:rowOff>
    </xdr:to>
    <xdr:graphicFrame macro="">
      <xdr:nvGraphicFramePr>
        <xdr:cNvPr id="3" name="Chart 2">
          <a:extLst>
            <a:ext uri="{FF2B5EF4-FFF2-40B4-BE49-F238E27FC236}">
              <a16:creationId xmlns:a16="http://schemas.microsoft.com/office/drawing/2014/main" id="{2C89E865-3595-44B8-8855-29DA74809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20</xdr:row>
      <xdr:rowOff>57150</xdr:rowOff>
    </xdr:from>
    <xdr:to>
      <xdr:col>24</xdr:col>
      <xdr:colOff>434340</xdr:colOff>
      <xdr:row>36</xdr:row>
      <xdr:rowOff>114300</xdr:rowOff>
    </xdr:to>
    <xdr:graphicFrame macro="">
      <xdr:nvGraphicFramePr>
        <xdr:cNvPr id="4" name="Chart 3">
          <a:extLst>
            <a:ext uri="{FF2B5EF4-FFF2-40B4-BE49-F238E27FC236}">
              <a16:creationId xmlns:a16="http://schemas.microsoft.com/office/drawing/2014/main" id="{6D18A032-513D-4F8F-886D-F990AAA0D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ryanc/Dropbox/!Trading/!!%20--%20Day%20Trading%202024%20Onward/My%20Stock%20Universe/S&amp;P%20500%20by%20SPDR.xlsx" TargetMode="External"/><Relationship Id="rId2" Type="http://schemas.openxmlformats.org/officeDocument/2006/relationships/externalLinkPath" Target="file:///C:\Users\ryanc\Dropbox\!Trading\!!%20--%20Day%20Trading%202024%20Onward\My%20Stock%20Universe\S&amp;P%20500%20by%20SPDR.xlsx" TargetMode="External"/><Relationship Id="rId1" Type="http://schemas.openxmlformats.org/officeDocument/2006/relationships/externalLinkPath" Target="/Users/ryanc/Dropbox/!Trading/!!%20--%20Day%20Trading%202024%20Onward/My%20Stock%20Universe/S&amp;P%20500%20by%20SPDR.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ryanc/Dropbox/!Trading/!!%20--%20Day%20Trading%202024%20Onward/My%20Stock%20Universe/!!%20--%20Stock%20Universe%2012.11.24.xlsx" TargetMode="External"/><Relationship Id="rId2" Type="http://schemas.openxmlformats.org/officeDocument/2006/relationships/externalLinkPath" Target="file:///C:\Users\ryanc\Dropbox\!Trading\!!%20--%20Day%20Trading%202024%20Onward\My%20Stock%20Universe\!!%20--%20Stock%20Universe%2012.11.24.xlsx" TargetMode="External"/><Relationship Id="rId1" Type="http://schemas.openxmlformats.org/officeDocument/2006/relationships/externalLinkPath" Target="/Users/ryanc/Dropbox/!Trading/!!%20--%20Day%20Trading%202024%20Onward/My%20Stock%20Universe/!!%20--%20Stock%20Universe%2012.11.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58c6644054d92bd9/Teton%20Trader/My%20Earnings%20Strategy/2025-Q2%20Earnings.xlsx" TargetMode="External"/><Relationship Id="rId1" Type="http://schemas.openxmlformats.org/officeDocument/2006/relationships/externalLinkPath" Target="2025-Q2%20Earn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500"/>
      <sheetName val="IGV"/>
    </sheetNames>
    <sheetDataSet>
      <sheetData sheetId="0">
        <row r="2">
          <cell r="A2" t="str">
            <v>GE</v>
          </cell>
          <cell r="B2" t="str">
            <v>XLI</v>
          </cell>
          <cell r="D2" t="str">
            <v>Y</v>
          </cell>
        </row>
        <row r="3">
          <cell r="A3" t="str">
            <v>CAT</v>
          </cell>
          <cell r="B3" t="str">
            <v>XLI</v>
          </cell>
          <cell r="D3" t="str">
            <v>Y</v>
          </cell>
        </row>
        <row r="4">
          <cell r="A4" t="str">
            <v>RTX</v>
          </cell>
          <cell r="B4" t="str">
            <v>XLI</v>
          </cell>
          <cell r="D4" t="str">
            <v>Y</v>
          </cell>
        </row>
        <row r="5">
          <cell r="A5" t="str">
            <v>UNP</v>
          </cell>
          <cell r="B5" t="str">
            <v>XLI</v>
          </cell>
          <cell r="D5" t="str">
            <v>Y</v>
          </cell>
        </row>
        <row r="6">
          <cell r="A6" t="str">
            <v>HON</v>
          </cell>
          <cell r="B6" t="str">
            <v>XLI</v>
          </cell>
          <cell r="D6" t="str">
            <v>Y</v>
          </cell>
        </row>
        <row r="7">
          <cell r="A7" t="str">
            <v>UBER</v>
          </cell>
          <cell r="B7" t="str">
            <v>XLI</v>
          </cell>
          <cell r="D7" t="str">
            <v>Y</v>
          </cell>
        </row>
        <row r="8">
          <cell r="A8" t="str">
            <v>BA</v>
          </cell>
          <cell r="B8" t="str">
            <v>XLI</v>
          </cell>
          <cell r="D8" t="str">
            <v>Y</v>
          </cell>
        </row>
        <row r="9">
          <cell r="A9" t="str">
            <v>DE</v>
          </cell>
          <cell r="B9" t="str">
            <v>XLI</v>
          </cell>
          <cell r="D9" t="str">
            <v>Y</v>
          </cell>
        </row>
        <row r="10">
          <cell r="A10" t="str">
            <v>ETN</v>
          </cell>
          <cell r="B10" t="str">
            <v>XLI</v>
          </cell>
          <cell r="D10" t="str">
            <v>Y</v>
          </cell>
        </row>
        <row r="11">
          <cell r="A11" t="str">
            <v>ADP</v>
          </cell>
          <cell r="B11" t="str">
            <v>XLI</v>
          </cell>
          <cell r="D11" t="str">
            <v>Y</v>
          </cell>
        </row>
        <row r="12">
          <cell r="A12" t="str">
            <v>LMT</v>
          </cell>
          <cell r="B12" t="str">
            <v>XLI</v>
          </cell>
          <cell r="D12" t="str">
            <v>Y</v>
          </cell>
        </row>
        <row r="13">
          <cell r="A13" t="str">
            <v>UPS</v>
          </cell>
          <cell r="B13" t="str">
            <v>XLI</v>
          </cell>
          <cell r="D13" t="str">
            <v>Y</v>
          </cell>
        </row>
        <row r="14">
          <cell r="A14" t="str">
            <v>GEV</v>
          </cell>
          <cell r="B14" t="str">
            <v>XLI</v>
          </cell>
          <cell r="D14" t="str">
            <v>Y</v>
          </cell>
        </row>
        <row r="15">
          <cell r="A15" t="str">
            <v>PH</v>
          </cell>
          <cell r="B15" t="str">
            <v>XLI</v>
          </cell>
          <cell r="D15" t="str">
            <v>Y</v>
          </cell>
        </row>
        <row r="16">
          <cell r="A16" t="str">
            <v>TT</v>
          </cell>
          <cell r="B16" t="str">
            <v>XLI</v>
          </cell>
          <cell r="D16" t="str">
            <v>Y</v>
          </cell>
        </row>
        <row r="17">
          <cell r="A17" t="str">
            <v>MMM</v>
          </cell>
          <cell r="B17" t="str">
            <v>XLI</v>
          </cell>
          <cell r="D17" t="str">
            <v>Y</v>
          </cell>
        </row>
        <row r="18">
          <cell r="A18" t="str">
            <v>WM</v>
          </cell>
          <cell r="B18" t="str">
            <v>XLI</v>
          </cell>
          <cell r="D18" t="str">
            <v>Y</v>
          </cell>
        </row>
        <row r="19">
          <cell r="A19" t="str">
            <v>TDG</v>
          </cell>
          <cell r="B19" t="str">
            <v>XLI</v>
          </cell>
          <cell r="D19" t="str">
            <v>Y</v>
          </cell>
        </row>
        <row r="20">
          <cell r="A20" t="str">
            <v>EMR</v>
          </cell>
          <cell r="B20" t="str">
            <v>XLI</v>
          </cell>
          <cell r="D20" t="str">
            <v>Y</v>
          </cell>
        </row>
        <row r="21">
          <cell r="A21" t="str">
            <v>ITW</v>
          </cell>
          <cell r="B21" t="str">
            <v>XLI</v>
          </cell>
          <cell r="D21" t="str">
            <v>Y</v>
          </cell>
        </row>
        <row r="22">
          <cell r="A22" t="str">
            <v>GD</v>
          </cell>
          <cell r="B22" t="str">
            <v>XLI</v>
          </cell>
          <cell r="D22" t="str">
            <v>Y</v>
          </cell>
        </row>
        <row r="23">
          <cell r="A23" t="str">
            <v>CTAS</v>
          </cell>
          <cell r="B23" t="str">
            <v>XLI</v>
          </cell>
          <cell r="D23" t="str">
            <v>Y</v>
          </cell>
        </row>
        <row r="24">
          <cell r="A24" t="str">
            <v>NOC</v>
          </cell>
          <cell r="B24" t="str">
            <v>XLI</v>
          </cell>
          <cell r="D24" t="str">
            <v>Y</v>
          </cell>
        </row>
        <row r="25">
          <cell r="A25" t="str">
            <v>CSX</v>
          </cell>
          <cell r="B25" t="str">
            <v>XLI</v>
          </cell>
          <cell r="D25" t="str">
            <v>Y</v>
          </cell>
        </row>
        <row r="26">
          <cell r="A26" t="str">
            <v>FDX</v>
          </cell>
          <cell r="B26" t="str">
            <v>XLI</v>
          </cell>
          <cell r="D26" t="str">
            <v>Y</v>
          </cell>
        </row>
        <row r="27">
          <cell r="A27" t="str">
            <v>NSC</v>
          </cell>
          <cell r="B27" t="str">
            <v>XLI</v>
          </cell>
          <cell r="D27" t="str">
            <v>Y</v>
          </cell>
        </row>
        <row r="28">
          <cell r="A28" t="str">
            <v>PCAR</v>
          </cell>
          <cell r="B28" t="str">
            <v>XLI</v>
          </cell>
          <cell r="D28" t="str">
            <v>Y</v>
          </cell>
        </row>
        <row r="29">
          <cell r="A29" t="str">
            <v>CARR</v>
          </cell>
          <cell r="B29" t="str">
            <v>XHB</v>
          </cell>
          <cell r="D29" t="str">
            <v>Y</v>
          </cell>
        </row>
        <row r="30">
          <cell r="A30" t="str">
            <v>JCI</v>
          </cell>
          <cell r="B30" t="str">
            <v>XLI</v>
          </cell>
          <cell r="D30" t="str">
            <v>Y</v>
          </cell>
        </row>
        <row r="31">
          <cell r="A31" t="str">
            <v>URI</v>
          </cell>
          <cell r="B31" t="str">
            <v>XLI</v>
          </cell>
          <cell r="D31" t="str">
            <v>Y</v>
          </cell>
        </row>
        <row r="32">
          <cell r="A32" t="str">
            <v>CPRT</v>
          </cell>
          <cell r="B32" t="str">
            <v>XLI</v>
          </cell>
          <cell r="D32" t="str">
            <v>Y</v>
          </cell>
        </row>
        <row r="33">
          <cell r="A33" t="str">
            <v>GWW</v>
          </cell>
          <cell r="B33" t="str">
            <v>XLI</v>
          </cell>
          <cell r="D33" t="str">
            <v>Y</v>
          </cell>
        </row>
        <row r="34">
          <cell r="A34" t="str">
            <v>HWM</v>
          </cell>
          <cell r="B34" t="str">
            <v>XLI</v>
          </cell>
          <cell r="D34" t="str">
            <v>Y</v>
          </cell>
        </row>
        <row r="35">
          <cell r="A35" t="str">
            <v>CMI</v>
          </cell>
          <cell r="B35" t="str">
            <v>XLI</v>
          </cell>
          <cell r="D35" t="str">
            <v>Y</v>
          </cell>
        </row>
        <row r="36">
          <cell r="A36" t="str">
            <v>PAYX</v>
          </cell>
          <cell r="B36" t="str">
            <v>XLI</v>
          </cell>
          <cell r="D36" t="str">
            <v>Y</v>
          </cell>
        </row>
        <row r="37">
          <cell r="A37" t="str">
            <v>RSG</v>
          </cell>
          <cell r="B37" t="str">
            <v>XLI</v>
          </cell>
          <cell r="D37" t="str">
            <v>Y</v>
          </cell>
        </row>
        <row r="38">
          <cell r="A38" t="str">
            <v>AXON</v>
          </cell>
          <cell r="B38" t="str">
            <v>XLI</v>
          </cell>
          <cell r="D38" t="str">
            <v>Y</v>
          </cell>
        </row>
        <row r="39">
          <cell r="A39" t="str">
            <v>FAST</v>
          </cell>
          <cell r="B39" t="str">
            <v>XLI</v>
          </cell>
          <cell r="D39" t="str">
            <v>Y</v>
          </cell>
        </row>
        <row r="40">
          <cell r="A40" t="str">
            <v>DAL</v>
          </cell>
          <cell r="B40" t="str">
            <v>XLI</v>
          </cell>
          <cell r="D40" t="str">
            <v>Y</v>
          </cell>
        </row>
        <row r="41">
          <cell r="A41" t="str">
            <v>PWR</v>
          </cell>
          <cell r="B41" t="str">
            <v>XLI</v>
          </cell>
          <cell r="D41" t="str">
            <v>Y</v>
          </cell>
        </row>
        <row r="42">
          <cell r="A42" t="str">
            <v>AME</v>
          </cell>
          <cell r="B42" t="str">
            <v>XLI</v>
          </cell>
          <cell r="D42" t="str">
            <v>Y</v>
          </cell>
        </row>
        <row r="43">
          <cell r="A43" t="str">
            <v>LHX</v>
          </cell>
          <cell r="B43" t="str">
            <v>XLI</v>
          </cell>
          <cell r="D43" t="str">
            <v>Y</v>
          </cell>
        </row>
        <row r="44">
          <cell r="A44" t="str">
            <v>VRSK</v>
          </cell>
          <cell r="B44" t="str">
            <v>XLI</v>
          </cell>
          <cell r="D44" t="str">
            <v>Y</v>
          </cell>
        </row>
        <row r="45">
          <cell r="A45" t="str">
            <v>OTIS</v>
          </cell>
          <cell r="B45" t="str">
            <v>XLI</v>
          </cell>
          <cell r="D45" t="str">
            <v>Y</v>
          </cell>
        </row>
        <row r="46">
          <cell r="A46" t="str">
            <v>IR</v>
          </cell>
          <cell r="B46" t="str">
            <v>XLI</v>
          </cell>
          <cell r="D46" t="str">
            <v>Y</v>
          </cell>
        </row>
        <row r="47">
          <cell r="A47" t="str">
            <v>ODFL</v>
          </cell>
          <cell r="B47" t="str">
            <v>XLI</v>
          </cell>
          <cell r="D47" t="str">
            <v>Y</v>
          </cell>
        </row>
        <row r="48">
          <cell r="A48" t="str">
            <v>WAB</v>
          </cell>
          <cell r="B48" t="str">
            <v>XLI</v>
          </cell>
          <cell r="D48" t="str">
            <v>Y</v>
          </cell>
        </row>
        <row r="49">
          <cell r="A49" t="str">
            <v>UAL</v>
          </cell>
          <cell r="B49" t="str">
            <v>XLI</v>
          </cell>
          <cell r="D49" t="str">
            <v>Y</v>
          </cell>
        </row>
        <row r="50">
          <cell r="A50" t="str">
            <v>EFX</v>
          </cell>
          <cell r="B50" t="str">
            <v>XLF</v>
          </cell>
          <cell r="D50" t="str">
            <v>Y</v>
          </cell>
        </row>
        <row r="51">
          <cell r="A51" t="str">
            <v>ROK</v>
          </cell>
          <cell r="B51" t="str">
            <v>XLI</v>
          </cell>
          <cell r="D51" t="str">
            <v>Y</v>
          </cell>
        </row>
        <row r="52">
          <cell r="A52" t="str">
            <v>XYL</v>
          </cell>
          <cell r="B52" t="str">
            <v>XLI</v>
          </cell>
          <cell r="D52" t="str">
            <v>Y</v>
          </cell>
        </row>
        <row r="53">
          <cell r="A53" t="str">
            <v>BR</v>
          </cell>
          <cell r="B53" t="str">
            <v>XLI</v>
          </cell>
          <cell r="D53" t="str">
            <v>Y</v>
          </cell>
        </row>
        <row r="54">
          <cell r="A54" t="str">
            <v>FTV</v>
          </cell>
          <cell r="B54" t="str">
            <v>XLI</v>
          </cell>
          <cell r="D54" t="str">
            <v>Y</v>
          </cell>
        </row>
        <row r="55">
          <cell r="A55" t="str">
            <v>DOV</v>
          </cell>
          <cell r="B55" t="str">
            <v>XLI</v>
          </cell>
          <cell r="D55" t="str">
            <v>Y</v>
          </cell>
        </row>
        <row r="56">
          <cell r="A56" t="str">
            <v>VLTO</v>
          </cell>
          <cell r="B56" t="str">
            <v>XLI</v>
          </cell>
          <cell r="D56" t="str">
            <v>Y</v>
          </cell>
        </row>
        <row r="57">
          <cell r="A57" t="str">
            <v>HUBB</v>
          </cell>
          <cell r="B57" t="str">
            <v>XLI</v>
          </cell>
          <cell r="D57" t="str">
            <v>Y</v>
          </cell>
        </row>
        <row r="58">
          <cell r="A58" t="str">
            <v>LII</v>
          </cell>
          <cell r="B58" t="str">
            <v>XHB</v>
          </cell>
          <cell r="D58" t="str">
            <v>Y</v>
          </cell>
        </row>
        <row r="59">
          <cell r="A59" t="str">
            <v>BLDR</v>
          </cell>
          <cell r="B59" t="str">
            <v>XHB</v>
          </cell>
          <cell r="D59" t="str">
            <v>Y</v>
          </cell>
        </row>
        <row r="60">
          <cell r="A60" t="str">
            <v>LDOS</v>
          </cell>
          <cell r="B60" t="str">
            <v>XLI</v>
          </cell>
          <cell r="D60" t="str">
            <v>Y</v>
          </cell>
        </row>
        <row r="61">
          <cell r="A61" t="str">
            <v>LUV</v>
          </cell>
          <cell r="B61" t="str">
            <v>XLI</v>
          </cell>
          <cell r="D61" t="str">
            <v>Y</v>
          </cell>
        </row>
        <row r="62">
          <cell r="A62" t="str">
            <v>SNA</v>
          </cell>
          <cell r="B62" t="str">
            <v>XLI</v>
          </cell>
          <cell r="D62" t="str">
            <v>Y</v>
          </cell>
        </row>
        <row r="63">
          <cell r="A63" t="str">
            <v>MAS</v>
          </cell>
          <cell r="B63" t="str">
            <v>XHB</v>
          </cell>
          <cell r="D63" t="str">
            <v>Y</v>
          </cell>
        </row>
        <row r="64">
          <cell r="A64" t="str">
            <v>J</v>
          </cell>
          <cell r="B64" t="str">
            <v>XLI</v>
          </cell>
          <cell r="D64" t="str">
            <v>Y</v>
          </cell>
        </row>
        <row r="65">
          <cell r="A65" t="str">
            <v>PNR</v>
          </cell>
          <cell r="B65" t="str">
            <v>XLI</v>
          </cell>
          <cell r="D65" t="str">
            <v>Y</v>
          </cell>
        </row>
        <row r="66">
          <cell r="A66" t="str">
            <v>IEX</v>
          </cell>
          <cell r="B66" t="str">
            <v>XLI</v>
          </cell>
          <cell r="D66" t="str">
            <v>Y</v>
          </cell>
        </row>
        <row r="67">
          <cell r="A67" t="str">
            <v>EXPD</v>
          </cell>
          <cell r="B67" t="str">
            <v>XLI</v>
          </cell>
          <cell r="D67" t="str">
            <v>Y</v>
          </cell>
        </row>
        <row r="68">
          <cell r="A68" t="str">
            <v>TXT</v>
          </cell>
          <cell r="B68" t="str">
            <v>XLI</v>
          </cell>
          <cell r="D68" t="str">
            <v>Y</v>
          </cell>
        </row>
        <row r="69">
          <cell r="A69" t="str">
            <v>SWK</v>
          </cell>
          <cell r="B69" t="str">
            <v>XLI</v>
          </cell>
          <cell r="D69" t="str">
            <v>Y</v>
          </cell>
        </row>
        <row r="70">
          <cell r="A70" t="str">
            <v>ROL</v>
          </cell>
          <cell r="B70" t="str">
            <v>XLI</v>
          </cell>
          <cell r="D70" t="str">
            <v>Y</v>
          </cell>
        </row>
        <row r="71">
          <cell r="A71" t="str">
            <v>JBHT</v>
          </cell>
          <cell r="B71" t="str">
            <v>XLI</v>
          </cell>
          <cell r="D71" t="str">
            <v>Y</v>
          </cell>
        </row>
        <row r="72">
          <cell r="A72" t="str">
            <v>CHRW</v>
          </cell>
          <cell r="B72" t="str">
            <v>XLI</v>
          </cell>
          <cell r="D72" t="str">
            <v>Y</v>
          </cell>
        </row>
        <row r="73">
          <cell r="A73" t="str">
            <v>NDSN</v>
          </cell>
          <cell r="B73" t="str">
            <v>XLI</v>
          </cell>
          <cell r="D73" t="str">
            <v>Y</v>
          </cell>
        </row>
        <row r="74">
          <cell r="A74" t="str">
            <v>ALLE</v>
          </cell>
          <cell r="B74" t="str">
            <v>XHB</v>
          </cell>
          <cell r="D74" t="str">
            <v>Y</v>
          </cell>
        </row>
        <row r="75">
          <cell r="A75" t="str">
            <v>DAY</v>
          </cell>
          <cell r="B75" t="str">
            <v>XLI</v>
          </cell>
          <cell r="D75" t="str">
            <v>Y</v>
          </cell>
        </row>
        <row r="76">
          <cell r="A76" t="str">
            <v>PAYC</v>
          </cell>
          <cell r="B76" t="str">
            <v>XLI</v>
          </cell>
          <cell r="D76" t="str">
            <v>Y</v>
          </cell>
        </row>
        <row r="77">
          <cell r="A77" t="str">
            <v>GNRC</v>
          </cell>
          <cell r="B77" t="str">
            <v>XLI</v>
          </cell>
          <cell r="D77" t="str">
            <v>Y</v>
          </cell>
        </row>
        <row r="78">
          <cell r="A78" t="str">
            <v>AOS</v>
          </cell>
          <cell r="B78" t="str">
            <v>XHB</v>
          </cell>
          <cell r="D78" t="str">
            <v>Y</v>
          </cell>
        </row>
        <row r="79">
          <cell r="A79" t="str">
            <v>HII</v>
          </cell>
          <cell r="B79" t="str">
            <v>XLI</v>
          </cell>
          <cell r="D79" t="str">
            <v>Y</v>
          </cell>
        </row>
        <row r="80">
          <cell r="A80" t="str">
            <v>META</v>
          </cell>
          <cell r="B80" t="str">
            <v>XLC</v>
          </cell>
          <cell r="D80" t="str">
            <v>Y</v>
          </cell>
        </row>
        <row r="81">
          <cell r="A81" t="str">
            <v>GOOGL</v>
          </cell>
          <cell r="B81" t="str">
            <v>XLC</v>
          </cell>
          <cell r="D81" t="str">
            <v>Y</v>
          </cell>
        </row>
        <row r="82">
          <cell r="A82" t="str">
            <v>GOOG</v>
          </cell>
          <cell r="B82" t="str">
            <v>XLC</v>
          </cell>
          <cell r="D82" t="str">
            <v>Y</v>
          </cell>
        </row>
        <row r="83">
          <cell r="A83" t="str">
            <v>NFLX</v>
          </cell>
          <cell r="B83" t="str">
            <v>XLC</v>
          </cell>
          <cell r="D83" t="str">
            <v>Y</v>
          </cell>
        </row>
        <row r="84">
          <cell r="A84" t="str">
            <v>T</v>
          </cell>
          <cell r="B84" t="str">
            <v>XLC</v>
          </cell>
          <cell r="D84" t="str">
            <v>Y</v>
          </cell>
        </row>
        <row r="85">
          <cell r="A85" t="str">
            <v>DIS</v>
          </cell>
          <cell r="B85" t="str">
            <v>XLC</v>
          </cell>
          <cell r="D85" t="str">
            <v>Y</v>
          </cell>
        </row>
        <row r="86">
          <cell r="A86" t="str">
            <v>TTWO</v>
          </cell>
          <cell r="B86" t="str">
            <v>IGV</v>
          </cell>
          <cell r="D86" t="str">
            <v>Y</v>
          </cell>
        </row>
        <row r="87">
          <cell r="A87" t="str">
            <v>CHTR</v>
          </cell>
          <cell r="B87" t="str">
            <v>XLC</v>
          </cell>
          <cell r="D87" t="str">
            <v>Y</v>
          </cell>
        </row>
        <row r="88">
          <cell r="A88" t="str">
            <v>VZ</v>
          </cell>
          <cell r="B88" t="str">
            <v>XLC</v>
          </cell>
          <cell r="D88" t="str">
            <v>Y</v>
          </cell>
        </row>
        <row r="89">
          <cell r="A89" t="str">
            <v>CMCSA</v>
          </cell>
          <cell r="B89" t="str">
            <v>XLC</v>
          </cell>
          <cell r="D89" t="str">
            <v>Y</v>
          </cell>
        </row>
        <row r="90">
          <cell r="A90" t="str">
            <v>TMUS</v>
          </cell>
          <cell r="B90" t="str">
            <v>XLC</v>
          </cell>
          <cell r="D90" t="str">
            <v>Y</v>
          </cell>
        </row>
        <row r="91">
          <cell r="A91" t="str">
            <v>WBD</v>
          </cell>
          <cell r="B91" t="str">
            <v>XLC</v>
          </cell>
          <cell r="D91" t="str">
            <v>Y</v>
          </cell>
        </row>
        <row r="92">
          <cell r="A92" t="str">
            <v>LYV</v>
          </cell>
          <cell r="B92" t="str">
            <v>XLC</v>
          </cell>
          <cell r="D92" t="str">
            <v>Y</v>
          </cell>
        </row>
        <row r="93">
          <cell r="A93" t="str">
            <v>EA</v>
          </cell>
          <cell r="B93" t="str">
            <v>IGV</v>
          </cell>
          <cell r="D93" t="str">
            <v>Y</v>
          </cell>
        </row>
        <row r="94">
          <cell r="A94" t="str">
            <v>OMC</v>
          </cell>
          <cell r="B94" t="str">
            <v>XLC</v>
          </cell>
          <cell r="D94" t="str">
            <v>Y</v>
          </cell>
        </row>
        <row r="95">
          <cell r="A95" t="str">
            <v>FOXA</v>
          </cell>
          <cell r="B95" t="str">
            <v>XLC</v>
          </cell>
          <cell r="D95" t="str">
            <v>Y</v>
          </cell>
        </row>
        <row r="96">
          <cell r="A96" t="str">
            <v>IPG</v>
          </cell>
          <cell r="B96" t="str">
            <v>XLC</v>
          </cell>
          <cell r="D96" t="str">
            <v>Y</v>
          </cell>
        </row>
        <row r="97">
          <cell r="A97" t="str">
            <v>NWSA</v>
          </cell>
          <cell r="B97" t="str">
            <v>XLC</v>
          </cell>
          <cell r="D97" t="str">
            <v>Y</v>
          </cell>
        </row>
        <row r="98">
          <cell r="A98" t="str">
            <v>MTCH</v>
          </cell>
          <cell r="B98" t="str">
            <v>XLC</v>
          </cell>
          <cell r="D98" t="str">
            <v>Y</v>
          </cell>
        </row>
        <row r="99">
          <cell r="A99" t="str">
            <v>PARA</v>
          </cell>
          <cell r="B99" t="str">
            <v>XLC</v>
          </cell>
          <cell r="D99" t="str">
            <v>Y</v>
          </cell>
        </row>
        <row r="100">
          <cell r="A100" t="str">
            <v>FOX</v>
          </cell>
          <cell r="B100" t="str">
            <v>XLC</v>
          </cell>
          <cell r="D100" t="str">
            <v>Y</v>
          </cell>
        </row>
        <row r="101">
          <cell r="A101" t="str">
            <v>NWS</v>
          </cell>
          <cell r="B101" t="str">
            <v>XLC</v>
          </cell>
          <cell r="D101" t="str">
            <v>Y</v>
          </cell>
        </row>
        <row r="102">
          <cell r="A102" t="str">
            <v>AMZN</v>
          </cell>
          <cell r="B102" t="str">
            <v>XLY</v>
          </cell>
          <cell r="D102" t="str">
            <v>Y</v>
          </cell>
        </row>
        <row r="103">
          <cell r="A103" t="str">
            <v>TSLA</v>
          </cell>
          <cell r="B103" t="str">
            <v>XLY</v>
          </cell>
          <cell r="D103" t="str">
            <v>Y</v>
          </cell>
        </row>
        <row r="104">
          <cell r="A104" t="str">
            <v>HD</v>
          </cell>
          <cell r="B104" t="str">
            <v>XLY</v>
          </cell>
          <cell r="D104" t="str">
            <v>Y</v>
          </cell>
        </row>
        <row r="105">
          <cell r="A105" t="str">
            <v>MCD</v>
          </cell>
          <cell r="B105" t="str">
            <v>XLY</v>
          </cell>
          <cell r="D105" t="str">
            <v>Y</v>
          </cell>
        </row>
        <row r="106">
          <cell r="A106" t="str">
            <v>LOW</v>
          </cell>
          <cell r="B106" t="str">
            <v>XLY</v>
          </cell>
          <cell r="D106" t="str">
            <v>Y</v>
          </cell>
        </row>
        <row r="107">
          <cell r="A107" t="str">
            <v>BKNG</v>
          </cell>
          <cell r="B107" t="str">
            <v>XLY</v>
          </cell>
          <cell r="D107" t="str">
            <v>Y</v>
          </cell>
        </row>
        <row r="108">
          <cell r="A108" t="str">
            <v>TJX</v>
          </cell>
          <cell r="B108" t="str">
            <v>XLY</v>
          </cell>
          <cell r="D108" t="str">
            <v>Y</v>
          </cell>
        </row>
        <row r="109">
          <cell r="A109" t="str">
            <v>SBUX</v>
          </cell>
          <cell r="B109" t="str">
            <v>XLY</v>
          </cell>
          <cell r="D109" t="str">
            <v>Y</v>
          </cell>
        </row>
        <row r="110">
          <cell r="A110" t="str">
            <v>NKE</v>
          </cell>
          <cell r="B110" t="str">
            <v>XLY</v>
          </cell>
          <cell r="D110" t="str">
            <v>Y</v>
          </cell>
        </row>
        <row r="111">
          <cell r="A111" t="str">
            <v>CMG</v>
          </cell>
          <cell r="B111" t="str">
            <v>XLY</v>
          </cell>
          <cell r="D111" t="str">
            <v>Y</v>
          </cell>
        </row>
        <row r="112">
          <cell r="A112" t="str">
            <v>ORLY</v>
          </cell>
          <cell r="B112" t="str">
            <v>XLY</v>
          </cell>
          <cell r="D112" t="str">
            <v>Y</v>
          </cell>
        </row>
        <row r="113">
          <cell r="A113" t="str">
            <v>MAR</v>
          </cell>
          <cell r="B113" t="str">
            <v>XLY</v>
          </cell>
          <cell r="D113" t="str">
            <v>Y</v>
          </cell>
        </row>
        <row r="114">
          <cell r="A114" t="str">
            <v>HLT</v>
          </cell>
          <cell r="B114" t="str">
            <v>XLY</v>
          </cell>
          <cell r="D114" t="str">
            <v>Y</v>
          </cell>
        </row>
        <row r="115">
          <cell r="A115" t="str">
            <v>GM</v>
          </cell>
          <cell r="B115" t="str">
            <v>XLY</v>
          </cell>
          <cell r="D115" t="str">
            <v>Y</v>
          </cell>
        </row>
        <row r="116">
          <cell r="A116" t="str">
            <v>RCL</v>
          </cell>
          <cell r="B116" t="str">
            <v>XLY</v>
          </cell>
          <cell r="D116" t="str">
            <v>Y</v>
          </cell>
        </row>
        <row r="117">
          <cell r="A117" t="str">
            <v>AZO</v>
          </cell>
          <cell r="B117" t="str">
            <v>XLY</v>
          </cell>
          <cell r="D117" t="str">
            <v>Y</v>
          </cell>
        </row>
        <row r="118">
          <cell r="A118" t="str">
            <v>ABNB</v>
          </cell>
          <cell r="B118" t="str">
            <v>XLY</v>
          </cell>
          <cell r="D118" t="str">
            <v>Y</v>
          </cell>
        </row>
        <row r="119">
          <cell r="A119" t="str">
            <v>ROST</v>
          </cell>
          <cell r="B119" t="str">
            <v>XLY</v>
          </cell>
          <cell r="D119" t="str">
            <v>Y</v>
          </cell>
        </row>
        <row r="120">
          <cell r="A120" t="str">
            <v>LULU</v>
          </cell>
          <cell r="B120" t="str">
            <v>XLY</v>
          </cell>
          <cell r="D120" t="str">
            <v>Y</v>
          </cell>
        </row>
        <row r="121">
          <cell r="A121" t="str">
            <v>DHI</v>
          </cell>
          <cell r="B121" t="str">
            <v>XHB</v>
          </cell>
          <cell r="D121" t="str">
            <v>Y</v>
          </cell>
        </row>
        <row r="122">
          <cell r="A122" t="str">
            <v>YUM</v>
          </cell>
          <cell r="B122" t="str">
            <v>XLY</v>
          </cell>
          <cell r="D122" t="str">
            <v>Y</v>
          </cell>
        </row>
        <row r="123">
          <cell r="A123" t="str">
            <v>GRMN</v>
          </cell>
          <cell r="B123" t="str">
            <v>XLY</v>
          </cell>
          <cell r="D123" t="str">
            <v>Y</v>
          </cell>
        </row>
        <row r="124">
          <cell r="A124" t="str">
            <v>LEN</v>
          </cell>
          <cell r="B124" t="str">
            <v>XHB</v>
          </cell>
          <cell r="D124" t="str">
            <v>Y</v>
          </cell>
        </row>
        <row r="125">
          <cell r="A125" t="str">
            <v>DECK</v>
          </cell>
          <cell r="B125" t="str">
            <v>XLY</v>
          </cell>
          <cell r="D125" t="str">
            <v>Y</v>
          </cell>
        </row>
        <row r="126">
          <cell r="A126" t="str">
            <v>EBAY</v>
          </cell>
          <cell r="B126" t="str">
            <v>XLY</v>
          </cell>
          <cell r="D126" t="str">
            <v>Y</v>
          </cell>
        </row>
        <row r="127">
          <cell r="A127" t="str">
            <v>TSCO</v>
          </cell>
          <cell r="B127" t="str">
            <v>XLY</v>
          </cell>
          <cell r="D127" t="str">
            <v>Y</v>
          </cell>
        </row>
        <row r="128">
          <cell r="A128" t="str">
            <v>CCL</v>
          </cell>
          <cell r="B128" t="str">
            <v>XLY</v>
          </cell>
          <cell r="D128" t="str">
            <v>Y</v>
          </cell>
        </row>
        <row r="129">
          <cell r="A129" t="str">
            <v>NVR</v>
          </cell>
          <cell r="B129" t="str">
            <v>XHB</v>
          </cell>
          <cell r="D129" t="str">
            <v>Y</v>
          </cell>
        </row>
        <row r="130">
          <cell r="A130" t="str">
            <v>PHM</v>
          </cell>
          <cell r="B130" t="str">
            <v>XHB</v>
          </cell>
          <cell r="D130" t="str">
            <v>Y</v>
          </cell>
        </row>
        <row r="131">
          <cell r="A131" t="str">
            <v>DRI</v>
          </cell>
          <cell r="B131" t="str">
            <v>XLY</v>
          </cell>
          <cell r="D131" t="str">
            <v>Y</v>
          </cell>
        </row>
        <row r="132">
          <cell r="A132" t="str">
            <v>EXPE</v>
          </cell>
          <cell r="B132" t="str">
            <v>XLY</v>
          </cell>
          <cell r="D132" t="str">
            <v>Y</v>
          </cell>
        </row>
        <row r="133">
          <cell r="A133" t="str">
            <v>ULTA</v>
          </cell>
          <cell r="B133" t="str">
            <v>XLY</v>
          </cell>
          <cell r="D133" t="str">
            <v>Y</v>
          </cell>
        </row>
        <row r="134">
          <cell r="A134" t="str">
            <v>TPR</v>
          </cell>
          <cell r="B134" t="str">
            <v>XLY</v>
          </cell>
          <cell r="D134" t="str">
            <v>Y</v>
          </cell>
        </row>
        <row r="135">
          <cell r="A135" t="str">
            <v>GPC</v>
          </cell>
          <cell r="B135" t="str">
            <v>XLY</v>
          </cell>
          <cell r="D135" t="str">
            <v>Y</v>
          </cell>
        </row>
        <row r="136">
          <cell r="A136" t="str">
            <v>BBY</v>
          </cell>
          <cell r="B136" t="str">
            <v>XLY</v>
          </cell>
          <cell r="D136" t="str">
            <v>Y</v>
          </cell>
        </row>
        <row r="137">
          <cell r="A137" t="str">
            <v>LVS</v>
          </cell>
          <cell r="B137" t="str">
            <v>XLY</v>
          </cell>
          <cell r="D137" t="str">
            <v>Y</v>
          </cell>
        </row>
        <row r="138">
          <cell r="A138" t="str">
            <v>APTV</v>
          </cell>
          <cell r="B138" t="str">
            <v>XLY</v>
          </cell>
          <cell r="D138" t="str">
            <v>Y</v>
          </cell>
        </row>
        <row r="139">
          <cell r="A139" t="str">
            <v>DPZ</v>
          </cell>
          <cell r="B139" t="str">
            <v>XLY</v>
          </cell>
          <cell r="D139" t="str">
            <v>Y</v>
          </cell>
        </row>
        <row r="140">
          <cell r="A140" t="str">
            <v>POOL</v>
          </cell>
          <cell r="B140" t="str">
            <v>XLY</v>
          </cell>
          <cell r="D140" t="str">
            <v>Y</v>
          </cell>
        </row>
        <row r="141">
          <cell r="A141" t="str">
            <v>KMX</v>
          </cell>
          <cell r="B141" t="str">
            <v>XLY</v>
          </cell>
          <cell r="D141" t="str">
            <v>Y</v>
          </cell>
        </row>
        <row r="142">
          <cell r="A142" t="str">
            <v>NCLH</v>
          </cell>
          <cell r="B142" t="str">
            <v>XLY</v>
          </cell>
          <cell r="D142" t="str">
            <v>Y</v>
          </cell>
        </row>
        <row r="143">
          <cell r="A143" t="str">
            <v>LKQ</v>
          </cell>
          <cell r="B143" t="str">
            <v>XLY</v>
          </cell>
          <cell r="D143" t="str">
            <v>Y</v>
          </cell>
        </row>
        <row r="144">
          <cell r="A144" t="str">
            <v>RL</v>
          </cell>
          <cell r="B144" t="str">
            <v>XLY</v>
          </cell>
          <cell r="D144" t="str">
            <v>Y</v>
          </cell>
        </row>
        <row r="145">
          <cell r="A145" t="str">
            <v>WYNN</v>
          </cell>
          <cell r="B145" t="str">
            <v>XLY</v>
          </cell>
          <cell r="D145" t="str">
            <v>Y</v>
          </cell>
        </row>
        <row r="146">
          <cell r="A146" t="str">
            <v>HAS</v>
          </cell>
          <cell r="B146" t="str">
            <v>XLY</v>
          </cell>
          <cell r="D146" t="str">
            <v>Y</v>
          </cell>
        </row>
        <row r="147">
          <cell r="A147" t="str">
            <v>MGM</v>
          </cell>
          <cell r="B147" t="str">
            <v>XLY</v>
          </cell>
          <cell r="D147" t="str">
            <v>Y</v>
          </cell>
        </row>
        <row r="148">
          <cell r="A148" t="str">
            <v>CZR</v>
          </cell>
          <cell r="B148" t="str">
            <v>XLY</v>
          </cell>
          <cell r="D148" t="str">
            <v>Y</v>
          </cell>
        </row>
        <row r="149">
          <cell r="A149" t="str">
            <v>TKO</v>
          </cell>
          <cell r="B149" t="str">
            <v>XLC</v>
          </cell>
          <cell r="D149" t="str">
            <v>Y</v>
          </cell>
        </row>
        <row r="150">
          <cell r="A150" t="str">
            <v>MHK</v>
          </cell>
          <cell r="B150" t="str">
            <v>XLY</v>
          </cell>
          <cell r="D150" t="str">
            <v>Y</v>
          </cell>
        </row>
        <row r="151">
          <cell r="A151" t="str">
            <v>MRP</v>
          </cell>
          <cell r="B151" t="str">
            <v>XLY</v>
          </cell>
          <cell r="D151" t="str">
            <v>Y</v>
          </cell>
        </row>
        <row r="152">
          <cell r="A152" t="str">
            <v>COST</v>
          </cell>
          <cell r="B152" t="str">
            <v>XLP</v>
          </cell>
          <cell r="D152" t="str">
            <v>Y</v>
          </cell>
        </row>
        <row r="153">
          <cell r="A153" t="str">
            <v>WMT</v>
          </cell>
          <cell r="B153" t="str">
            <v>XLP</v>
          </cell>
          <cell r="D153" t="str">
            <v>Y</v>
          </cell>
        </row>
        <row r="154">
          <cell r="A154" t="str">
            <v>PG</v>
          </cell>
          <cell r="B154" t="str">
            <v>XLP</v>
          </cell>
          <cell r="D154" t="str">
            <v>Y</v>
          </cell>
        </row>
        <row r="155">
          <cell r="A155" t="str">
            <v>KO</v>
          </cell>
          <cell r="B155" t="str">
            <v>XLP</v>
          </cell>
          <cell r="D155" t="str">
            <v>Y</v>
          </cell>
        </row>
        <row r="156">
          <cell r="A156" t="str">
            <v>PEP</v>
          </cell>
          <cell r="B156" t="str">
            <v>XLP</v>
          </cell>
          <cell r="D156" t="str">
            <v>Y</v>
          </cell>
        </row>
        <row r="157">
          <cell r="A157" t="str">
            <v>PM</v>
          </cell>
          <cell r="B157" t="str">
            <v>XLP</v>
          </cell>
          <cell r="D157" t="str">
            <v>Y</v>
          </cell>
        </row>
        <row r="158">
          <cell r="A158" t="str">
            <v>MO</v>
          </cell>
          <cell r="B158" t="str">
            <v>XLP</v>
          </cell>
          <cell r="D158" t="str">
            <v>Y</v>
          </cell>
        </row>
        <row r="159">
          <cell r="A159" t="str">
            <v>CL</v>
          </cell>
          <cell r="B159" t="str">
            <v>XLP</v>
          </cell>
          <cell r="D159" t="str">
            <v>Y</v>
          </cell>
        </row>
        <row r="160">
          <cell r="A160" t="str">
            <v>MDLZ</v>
          </cell>
          <cell r="B160" t="str">
            <v>XLP</v>
          </cell>
          <cell r="D160" t="str">
            <v>Y</v>
          </cell>
        </row>
        <row r="161">
          <cell r="A161" t="str">
            <v>TGT</v>
          </cell>
          <cell r="B161" t="str">
            <v>XLP</v>
          </cell>
          <cell r="D161" t="str">
            <v>Y</v>
          </cell>
        </row>
        <row r="162">
          <cell r="A162" t="str">
            <v>KMB</v>
          </cell>
          <cell r="B162" t="str">
            <v>XLP</v>
          </cell>
          <cell r="D162" t="str">
            <v>Y</v>
          </cell>
        </row>
        <row r="163">
          <cell r="A163" t="str">
            <v>KVUE</v>
          </cell>
          <cell r="B163" t="str">
            <v>XLP</v>
          </cell>
          <cell r="D163" t="str">
            <v>Y</v>
          </cell>
        </row>
        <row r="164">
          <cell r="A164" t="str">
            <v>KR</v>
          </cell>
          <cell r="B164" t="str">
            <v>XLP</v>
          </cell>
          <cell r="D164" t="str">
            <v>Y</v>
          </cell>
        </row>
        <row r="165">
          <cell r="A165" t="str">
            <v>SYY</v>
          </cell>
          <cell r="B165" t="str">
            <v>XLP</v>
          </cell>
          <cell r="D165" t="str">
            <v>Y</v>
          </cell>
        </row>
        <row r="166">
          <cell r="A166" t="str">
            <v>KDP</v>
          </cell>
          <cell r="B166" t="str">
            <v>XLP</v>
          </cell>
          <cell r="D166" t="str">
            <v>Y</v>
          </cell>
        </row>
        <row r="167">
          <cell r="A167" t="str">
            <v>MNST</v>
          </cell>
          <cell r="B167" t="str">
            <v>XLP</v>
          </cell>
          <cell r="D167" t="str">
            <v>Y</v>
          </cell>
        </row>
        <row r="168">
          <cell r="A168" t="str">
            <v>GIS</v>
          </cell>
          <cell r="B168" t="str">
            <v>XLP</v>
          </cell>
          <cell r="D168" t="str">
            <v>Y</v>
          </cell>
        </row>
        <row r="169">
          <cell r="A169" t="str">
            <v>STZ</v>
          </cell>
          <cell r="B169" t="str">
            <v>XLP</v>
          </cell>
          <cell r="D169" t="str">
            <v>Y</v>
          </cell>
        </row>
        <row r="170">
          <cell r="A170" t="str">
            <v>CHD</v>
          </cell>
          <cell r="B170" t="str">
            <v>XLP</v>
          </cell>
          <cell r="D170" t="str">
            <v>Y</v>
          </cell>
        </row>
        <row r="171">
          <cell r="A171" t="str">
            <v>ADM</v>
          </cell>
          <cell r="B171" t="str">
            <v>XLP</v>
          </cell>
          <cell r="D171" t="str">
            <v>Y</v>
          </cell>
        </row>
        <row r="172">
          <cell r="A172" t="str">
            <v>HSY</v>
          </cell>
          <cell r="B172" t="str">
            <v>XLP</v>
          </cell>
          <cell r="D172" t="str">
            <v>Y</v>
          </cell>
        </row>
        <row r="173">
          <cell r="A173" t="str">
            <v>K</v>
          </cell>
          <cell r="B173" t="str">
            <v>XLP</v>
          </cell>
          <cell r="D173" t="str">
            <v>Y</v>
          </cell>
        </row>
        <row r="174">
          <cell r="A174" t="str">
            <v>CLX</v>
          </cell>
          <cell r="B174" t="str">
            <v>XLP</v>
          </cell>
          <cell r="D174" t="str">
            <v>Y</v>
          </cell>
        </row>
        <row r="175">
          <cell r="A175" t="str">
            <v>EL</v>
          </cell>
          <cell r="B175" t="str">
            <v>XLP</v>
          </cell>
          <cell r="D175" t="str">
            <v>Y</v>
          </cell>
        </row>
        <row r="176">
          <cell r="A176" t="str">
            <v>MKC</v>
          </cell>
          <cell r="B176" t="str">
            <v>XLP</v>
          </cell>
          <cell r="D176" t="str">
            <v>Y</v>
          </cell>
        </row>
        <row r="177">
          <cell r="A177" t="str">
            <v>TSN</v>
          </cell>
          <cell r="B177" t="str">
            <v>XLP</v>
          </cell>
          <cell r="D177" t="str">
            <v>Y</v>
          </cell>
        </row>
        <row r="178">
          <cell r="A178" t="str">
            <v>DG</v>
          </cell>
          <cell r="B178" t="str">
            <v>XLP</v>
          </cell>
          <cell r="D178" t="str">
            <v>Y</v>
          </cell>
        </row>
        <row r="179">
          <cell r="A179" t="str">
            <v>DLTR</v>
          </cell>
          <cell r="B179" t="str">
            <v>XLP</v>
          </cell>
          <cell r="D179" t="str">
            <v>Y</v>
          </cell>
        </row>
        <row r="180">
          <cell r="A180" t="str">
            <v>CAG</v>
          </cell>
          <cell r="B180" t="str">
            <v>XLP</v>
          </cell>
          <cell r="D180" t="str">
            <v>Y</v>
          </cell>
        </row>
        <row r="181">
          <cell r="A181" t="str">
            <v>SJM</v>
          </cell>
          <cell r="B181" t="str">
            <v>XLP</v>
          </cell>
          <cell r="D181" t="str">
            <v>Y</v>
          </cell>
        </row>
        <row r="182">
          <cell r="A182" t="str">
            <v>BG</v>
          </cell>
          <cell r="B182" t="str">
            <v>XLP</v>
          </cell>
          <cell r="D182" t="str">
            <v>Y</v>
          </cell>
        </row>
        <row r="183">
          <cell r="A183" t="str">
            <v>TAP</v>
          </cell>
          <cell r="B183" t="str">
            <v>XLP</v>
          </cell>
          <cell r="D183" t="str">
            <v>Y</v>
          </cell>
        </row>
        <row r="184">
          <cell r="A184" t="str">
            <v>HRL</v>
          </cell>
          <cell r="B184" t="str">
            <v>XLP</v>
          </cell>
          <cell r="D184" t="str">
            <v>Y</v>
          </cell>
        </row>
        <row r="185">
          <cell r="A185" t="str">
            <v>LW</v>
          </cell>
          <cell r="B185" t="str">
            <v>XLP</v>
          </cell>
          <cell r="D185" t="str">
            <v>Y</v>
          </cell>
        </row>
        <row r="186">
          <cell r="A186" t="str">
            <v>WBA</v>
          </cell>
          <cell r="B186" t="str">
            <v>XLP</v>
          </cell>
          <cell r="D186" t="str">
            <v>Y</v>
          </cell>
        </row>
        <row r="187">
          <cell r="A187" t="str">
            <v>CPB</v>
          </cell>
          <cell r="B187" t="str">
            <v>XLP</v>
          </cell>
          <cell r="D187" t="str">
            <v>Y</v>
          </cell>
        </row>
        <row r="188">
          <cell r="A188" t="str">
            <v>BF.b</v>
          </cell>
          <cell r="B188" t="str">
            <v>XLP</v>
          </cell>
          <cell r="D188" t="str">
            <v>Y</v>
          </cell>
        </row>
        <row r="189">
          <cell r="A189" t="str">
            <v>XOM</v>
          </cell>
          <cell r="B189" t="str">
            <v>XLE</v>
          </cell>
          <cell r="D189" t="str">
            <v>Y</v>
          </cell>
        </row>
        <row r="190">
          <cell r="A190" t="str">
            <v>CVX</v>
          </cell>
          <cell r="B190" t="str">
            <v>XLE</v>
          </cell>
          <cell r="D190" t="str">
            <v>Y</v>
          </cell>
        </row>
        <row r="191">
          <cell r="A191" t="str">
            <v>COP</v>
          </cell>
          <cell r="B191" t="str">
            <v>XLE</v>
          </cell>
          <cell r="D191" t="str">
            <v>Y</v>
          </cell>
        </row>
        <row r="192">
          <cell r="A192" t="str">
            <v>EOG</v>
          </cell>
          <cell r="B192" t="str">
            <v>XLE</v>
          </cell>
          <cell r="D192" t="str">
            <v>Y</v>
          </cell>
        </row>
        <row r="193">
          <cell r="A193" t="str">
            <v>WMB</v>
          </cell>
          <cell r="B193" t="str">
            <v>XLE</v>
          </cell>
          <cell r="D193" t="str">
            <v>Y</v>
          </cell>
        </row>
        <row r="194">
          <cell r="A194" t="str">
            <v>SLB</v>
          </cell>
          <cell r="B194" t="str">
            <v>XLE</v>
          </cell>
          <cell r="D194" t="str">
            <v>Y</v>
          </cell>
        </row>
        <row r="195">
          <cell r="A195" t="str">
            <v>OKE</v>
          </cell>
          <cell r="B195" t="str">
            <v>XLE</v>
          </cell>
          <cell r="D195" t="str">
            <v>Y</v>
          </cell>
        </row>
        <row r="196">
          <cell r="A196" t="str">
            <v>KMI</v>
          </cell>
          <cell r="B196" t="str">
            <v>XLE</v>
          </cell>
          <cell r="D196" t="str">
            <v>Y</v>
          </cell>
        </row>
        <row r="197">
          <cell r="A197" t="str">
            <v>PSX</v>
          </cell>
          <cell r="B197" t="str">
            <v>XLE</v>
          </cell>
          <cell r="D197" t="str">
            <v>Y</v>
          </cell>
        </row>
        <row r="198">
          <cell r="A198" t="str">
            <v>MPC</v>
          </cell>
          <cell r="B198" t="str">
            <v>XLE</v>
          </cell>
          <cell r="D198" t="str">
            <v>Y</v>
          </cell>
        </row>
        <row r="199">
          <cell r="A199" t="str">
            <v>VLO</v>
          </cell>
          <cell r="B199" t="str">
            <v>XLE</v>
          </cell>
          <cell r="D199" t="str">
            <v>Y</v>
          </cell>
        </row>
        <row r="200">
          <cell r="A200" t="str">
            <v>TRGP</v>
          </cell>
          <cell r="B200" t="str">
            <v>XLE</v>
          </cell>
          <cell r="D200" t="str">
            <v>Y</v>
          </cell>
        </row>
        <row r="201">
          <cell r="A201" t="str">
            <v>BKR</v>
          </cell>
          <cell r="B201" t="str">
            <v>XLE</v>
          </cell>
          <cell r="D201" t="str">
            <v>Y</v>
          </cell>
        </row>
        <row r="202">
          <cell r="A202" t="str">
            <v>XYZ</v>
          </cell>
          <cell r="B202" t="str">
            <v>XLF</v>
          </cell>
          <cell r="D202" t="str">
            <v>Y</v>
          </cell>
        </row>
        <row r="203">
          <cell r="A203" t="str">
            <v>OXY</v>
          </cell>
          <cell r="B203" t="str">
            <v>XLE</v>
          </cell>
          <cell r="D203" t="str">
            <v>Y</v>
          </cell>
        </row>
        <row r="204">
          <cell r="A204" t="str">
            <v>FANG</v>
          </cell>
          <cell r="B204" t="str">
            <v>XLE</v>
          </cell>
          <cell r="D204" t="str">
            <v>Y</v>
          </cell>
        </row>
        <row r="205">
          <cell r="A205" t="str">
            <v>EQT</v>
          </cell>
          <cell r="B205" t="str">
            <v>XLE</v>
          </cell>
          <cell r="D205" t="str">
            <v>Y</v>
          </cell>
        </row>
        <row r="206">
          <cell r="A206" t="str">
            <v>HAL</v>
          </cell>
          <cell r="B206" t="str">
            <v>XLE</v>
          </cell>
          <cell r="D206" t="str">
            <v>Y</v>
          </cell>
        </row>
        <row r="207">
          <cell r="A207" t="str">
            <v>TPL</v>
          </cell>
          <cell r="B207" t="str">
            <v>XLE</v>
          </cell>
          <cell r="D207" t="str">
            <v>Y</v>
          </cell>
        </row>
        <row r="208">
          <cell r="A208" t="str">
            <v>DVN</v>
          </cell>
          <cell r="B208" t="str">
            <v>XLE</v>
          </cell>
          <cell r="D208" t="str">
            <v>Y</v>
          </cell>
        </row>
        <row r="209">
          <cell r="A209" t="str">
            <v>CTRA</v>
          </cell>
          <cell r="B209" t="str">
            <v>XLE</v>
          </cell>
          <cell r="D209" t="str">
            <v>Y</v>
          </cell>
        </row>
        <row r="210">
          <cell r="A210" t="str">
            <v>APA</v>
          </cell>
          <cell r="B210" t="str">
            <v>XLE</v>
          </cell>
          <cell r="D210" t="str">
            <v>Y</v>
          </cell>
        </row>
        <row r="211">
          <cell r="A211" t="str">
            <v>BRK.b</v>
          </cell>
          <cell r="B211" t="str">
            <v>XLF</v>
          </cell>
          <cell r="D211" t="str">
            <v>Y</v>
          </cell>
        </row>
        <row r="212">
          <cell r="A212" t="str">
            <v>JPM</v>
          </cell>
          <cell r="B212" t="str">
            <v>XLF</v>
          </cell>
          <cell r="D212" t="str">
            <v>Y</v>
          </cell>
        </row>
        <row r="213">
          <cell r="A213" t="str">
            <v>V</v>
          </cell>
          <cell r="B213" t="str">
            <v>XLF</v>
          </cell>
          <cell r="D213" t="str">
            <v>Y</v>
          </cell>
        </row>
        <row r="214">
          <cell r="A214" t="str">
            <v>MA</v>
          </cell>
          <cell r="B214" t="str">
            <v>XLF</v>
          </cell>
          <cell r="D214" t="str">
            <v>Y</v>
          </cell>
        </row>
        <row r="215">
          <cell r="A215" t="str">
            <v>BAC</v>
          </cell>
          <cell r="B215" t="str">
            <v>XLF</v>
          </cell>
          <cell r="D215" t="str">
            <v>Y</v>
          </cell>
        </row>
        <row r="216">
          <cell r="A216" t="str">
            <v>WFC</v>
          </cell>
          <cell r="B216" t="str">
            <v>XLF</v>
          </cell>
          <cell r="D216" t="str">
            <v>Y</v>
          </cell>
        </row>
        <row r="217">
          <cell r="A217" t="str">
            <v>GS</v>
          </cell>
          <cell r="B217" t="str">
            <v>XLF</v>
          </cell>
          <cell r="D217" t="str">
            <v>Y</v>
          </cell>
        </row>
        <row r="218">
          <cell r="A218" t="str">
            <v>AXP</v>
          </cell>
          <cell r="B218" t="str">
            <v>XLF</v>
          </cell>
          <cell r="D218" t="str">
            <v>Y</v>
          </cell>
        </row>
        <row r="219">
          <cell r="A219" t="str">
            <v>MS</v>
          </cell>
          <cell r="B219" t="str">
            <v>XLF</v>
          </cell>
          <cell r="D219" t="str">
            <v>Y</v>
          </cell>
        </row>
        <row r="220">
          <cell r="A220" t="str">
            <v>SPGI</v>
          </cell>
          <cell r="B220" t="str">
            <v>XLF</v>
          </cell>
          <cell r="D220" t="str">
            <v>Y</v>
          </cell>
        </row>
        <row r="221">
          <cell r="A221" t="str">
            <v>C</v>
          </cell>
          <cell r="B221" t="str">
            <v>XLF</v>
          </cell>
          <cell r="D221" t="str">
            <v>Y</v>
          </cell>
        </row>
        <row r="222">
          <cell r="A222" t="str">
            <v>BLK</v>
          </cell>
          <cell r="B222" t="str">
            <v>XLF</v>
          </cell>
          <cell r="D222" t="str">
            <v>Y</v>
          </cell>
        </row>
        <row r="223">
          <cell r="A223" t="str">
            <v>PGR</v>
          </cell>
          <cell r="B223" t="str">
            <v>INS</v>
          </cell>
          <cell r="D223" t="str">
            <v>Y</v>
          </cell>
        </row>
        <row r="224">
          <cell r="A224" t="str">
            <v>BX</v>
          </cell>
          <cell r="B224" t="str">
            <v>XLF</v>
          </cell>
          <cell r="D224" t="str">
            <v>Y</v>
          </cell>
        </row>
        <row r="225">
          <cell r="A225" t="str">
            <v>SCHW</v>
          </cell>
          <cell r="B225" t="str">
            <v>XLF</v>
          </cell>
          <cell r="D225" t="str">
            <v>Y</v>
          </cell>
        </row>
        <row r="226">
          <cell r="A226" t="str">
            <v>FI</v>
          </cell>
          <cell r="B226" t="str">
            <v>XLF</v>
          </cell>
          <cell r="D226" t="str">
            <v>Y</v>
          </cell>
        </row>
        <row r="227">
          <cell r="A227" t="str">
            <v>MMC</v>
          </cell>
          <cell r="B227" t="str">
            <v>INS</v>
          </cell>
          <cell r="D227" t="str">
            <v>Y</v>
          </cell>
        </row>
        <row r="228">
          <cell r="A228" t="str">
            <v>KKR</v>
          </cell>
          <cell r="B228" t="str">
            <v>XLF</v>
          </cell>
          <cell r="D228" t="str">
            <v>Y</v>
          </cell>
        </row>
        <row r="229">
          <cell r="A229" t="str">
            <v>CB</v>
          </cell>
          <cell r="B229" t="str">
            <v>INS</v>
          </cell>
          <cell r="D229" t="str">
            <v>Y</v>
          </cell>
        </row>
        <row r="230">
          <cell r="A230" t="str">
            <v>ICE</v>
          </cell>
          <cell r="B230" t="str">
            <v>XLF</v>
          </cell>
          <cell r="D230" t="str">
            <v>Y</v>
          </cell>
        </row>
        <row r="231">
          <cell r="A231" t="str">
            <v>PYPL</v>
          </cell>
          <cell r="B231" t="str">
            <v>XLF</v>
          </cell>
          <cell r="D231" t="str">
            <v>Y</v>
          </cell>
        </row>
        <row r="232">
          <cell r="A232" t="str">
            <v>CME</v>
          </cell>
          <cell r="B232" t="str">
            <v>XLF</v>
          </cell>
          <cell r="D232" t="str">
            <v>Y</v>
          </cell>
        </row>
        <row r="233">
          <cell r="A233" t="str">
            <v>AON</v>
          </cell>
          <cell r="B233" t="str">
            <v>INS</v>
          </cell>
          <cell r="D233" t="str">
            <v>Y</v>
          </cell>
        </row>
        <row r="234">
          <cell r="A234" t="str">
            <v>PNC</v>
          </cell>
          <cell r="B234" t="str">
            <v>XLF</v>
          </cell>
          <cell r="D234" t="str">
            <v>Y</v>
          </cell>
        </row>
        <row r="235">
          <cell r="A235" t="str">
            <v>MCO</v>
          </cell>
          <cell r="B235" t="str">
            <v>XLF</v>
          </cell>
          <cell r="D235" t="str">
            <v>Y</v>
          </cell>
        </row>
        <row r="236">
          <cell r="A236" t="str">
            <v>USB</v>
          </cell>
          <cell r="B236" t="str">
            <v>XLF</v>
          </cell>
          <cell r="D236" t="str">
            <v>Y</v>
          </cell>
        </row>
        <row r="237">
          <cell r="A237" t="str">
            <v>COF</v>
          </cell>
          <cell r="B237" t="str">
            <v>XLF</v>
          </cell>
          <cell r="D237" t="str">
            <v>Y</v>
          </cell>
        </row>
        <row r="238">
          <cell r="A238" t="str">
            <v>APO</v>
          </cell>
          <cell r="B238" t="str">
            <v>XLF</v>
          </cell>
          <cell r="D238" t="str">
            <v>Y</v>
          </cell>
        </row>
        <row r="239">
          <cell r="A239" t="str">
            <v>AJG</v>
          </cell>
          <cell r="B239" t="str">
            <v>INS</v>
          </cell>
          <cell r="D239" t="str">
            <v>Y</v>
          </cell>
        </row>
        <row r="240">
          <cell r="A240" t="str">
            <v>TFC</v>
          </cell>
          <cell r="B240" t="str">
            <v>XLF</v>
          </cell>
          <cell r="D240" t="str">
            <v>Y</v>
          </cell>
        </row>
        <row r="241">
          <cell r="A241" t="str">
            <v>BK</v>
          </cell>
          <cell r="B241" t="str">
            <v>XLF</v>
          </cell>
          <cell r="D241" t="str">
            <v>Y</v>
          </cell>
        </row>
        <row r="242">
          <cell r="A242" t="str">
            <v>TRV</v>
          </cell>
          <cell r="B242" t="str">
            <v>INS</v>
          </cell>
          <cell r="D242" t="str">
            <v>Y</v>
          </cell>
        </row>
        <row r="243">
          <cell r="A243" t="str">
            <v>AMP</v>
          </cell>
          <cell r="B243" t="str">
            <v>XLF</v>
          </cell>
          <cell r="D243" t="str">
            <v>Y</v>
          </cell>
        </row>
        <row r="244">
          <cell r="A244" t="str">
            <v>AFL</v>
          </cell>
          <cell r="B244" t="str">
            <v>INS</v>
          </cell>
          <cell r="D244" t="str">
            <v>Y</v>
          </cell>
        </row>
        <row r="245">
          <cell r="A245" t="str">
            <v>ALL</v>
          </cell>
          <cell r="B245" t="str">
            <v>INS</v>
          </cell>
          <cell r="D245" t="str">
            <v>Y</v>
          </cell>
        </row>
        <row r="246">
          <cell r="A246" t="str">
            <v>MET</v>
          </cell>
          <cell r="B246" t="str">
            <v>INS</v>
          </cell>
          <cell r="D246" t="str">
            <v>Y</v>
          </cell>
        </row>
        <row r="247">
          <cell r="A247" t="str">
            <v>DFS</v>
          </cell>
          <cell r="B247" t="str">
            <v>XLF</v>
          </cell>
          <cell r="D247" t="str">
            <v>Y</v>
          </cell>
        </row>
        <row r="248">
          <cell r="A248" t="str">
            <v>MSCI</v>
          </cell>
          <cell r="B248" t="str">
            <v>XLF</v>
          </cell>
          <cell r="D248" t="str">
            <v>Y</v>
          </cell>
        </row>
        <row r="249">
          <cell r="A249" t="str">
            <v>AIG</v>
          </cell>
          <cell r="B249" t="str">
            <v>INS</v>
          </cell>
          <cell r="D249" t="str">
            <v>Y</v>
          </cell>
        </row>
        <row r="250">
          <cell r="A250" t="str">
            <v>FIS</v>
          </cell>
          <cell r="B250" t="str">
            <v>XLF</v>
          </cell>
          <cell r="D250" t="str">
            <v>Y</v>
          </cell>
        </row>
        <row r="251">
          <cell r="A251" t="str">
            <v>PRU</v>
          </cell>
          <cell r="B251" t="str">
            <v>INS</v>
          </cell>
          <cell r="D251" t="str">
            <v>Y</v>
          </cell>
        </row>
        <row r="252">
          <cell r="A252" t="str">
            <v>ACGL</v>
          </cell>
          <cell r="B252" t="str">
            <v>INS</v>
          </cell>
          <cell r="D252" t="str">
            <v>Y</v>
          </cell>
        </row>
        <row r="253">
          <cell r="A253" t="str">
            <v>NDAQ</v>
          </cell>
          <cell r="B253" t="str">
            <v>XLF</v>
          </cell>
          <cell r="D253" t="str">
            <v>Y</v>
          </cell>
        </row>
        <row r="254">
          <cell r="A254" t="str">
            <v>MTB</v>
          </cell>
          <cell r="B254" t="str">
            <v>XLF</v>
          </cell>
          <cell r="D254" t="str">
            <v>Y</v>
          </cell>
        </row>
        <row r="255">
          <cell r="A255" t="str">
            <v>WTW</v>
          </cell>
          <cell r="B255" t="str">
            <v>XLF</v>
          </cell>
          <cell r="D255" t="str">
            <v>Y</v>
          </cell>
        </row>
        <row r="256">
          <cell r="A256" t="str">
            <v>HIG</v>
          </cell>
          <cell r="B256" t="str">
            <v>INS</v>
          </cell>
          <cell r="D256" t="str">
            <v>Y</v>
          </cell>
        </row>
        <row r="257">
          <cell r="A257" t="str">
            <v>RJF</v>
          </cell>
          <cell r="B257" t="str">
            <v>XLF</v>
          </cell>
          <cell r="D257" t="str">
            <v>Y</v>
          </cell>
        </row>
        <row r="258">
          <cell r="A258" t="str">
            <v>FITB</v>
          </cell>
          <cell r="B258" t="str">
            <v>XLF</v>
          </cell>
          <cell r="D258" t="str">
            <v>Y</v>
          </cell>
        </row>
        <row r="259">
          <cell r="A259" t="str">
            <v>STT</v>
          </cell>
          <cell r="B259" t="str">
            <v>XLF</v>
          </cell>
          <cell r="D259" t="str">
            <v>Y</v>
          </cell>
        </row>
        <row r="260">
          <cell r="A260" t="str">
            <v>GPN</v>
          </cell>
          <cell r="B260" t="str">
            <v>XLF</v>
          </cell>
          <cell r="D260" t="str">
            <v>Y</v>
          </cell>
        </row>
        <row r="261">
          <cell r="A261" t="str">
            <v>SYF</v>
          </cell>
          <cell r="B261" t="str">
            <v>XLF</v>
          </cell>
          <cell r="D261" t="str">
            <v>Y</v>
          </cell>
        </row>
        <row r="262">
          <cell r="A262" t="str">
            <v>CPAY</v>
          </cell>
          <cell r="B262" t="str">
            <v>XLF</v>
          </cell>
          <cell r="D262" t="str">
            <v>Y</v>
          </cell>
        </row>
        <row r="263">
          <cell r="A263" t="str">
            <v>BRO</v>
          </cell>
          <cell r="B263" t="str">
            <v>INS</v>
          </cell>
          <cell r="D263" t="str">
            <v>Y</v>
          </cell>
        </row>
        <row r="264">
          <cell r="A264" t="str">
            <v>TROW</v>
          </cell>
          <cell r="B264" t="str">
            <v>XLF</v>
          </cell>
          <cell r="D264" t="str">
            <v>Y</v>
          </cell>
        </row>
        <row r="265">
          <cell r="A265" t="str">
            <v>HBAN</v>
          </cell>
          <cell r="B265" t="str">
            <v>XLF</v>
          </cell>
          <cell r="D265" t="str">
            <v>Y</v>
          </cell>
        </row>
        <row r="266">
          <cell r="A266" t="str">
            <v>RF</v>
          </cell>
          <cell r="B266" t="str">
            <v>XLF</v>
          </cell>
          <cell r="D266" t="str">
            <v>Y</v>
          </cell>
        </row>
        <row r="267">
          <cell r="A267" t="str">
            <v>NTRS</v>
          </cell>
          <cell r="B267" t="str">
            <v>XLF</v>
          </cell>
          <cell r="D267" t="str">
            <v>Y</v>
          </cell>
        </row>
        <row r="268">
          <cell r="A268" t="str">
            <v>CINF</v>
          </cell>
          <cell r="B268" t="str">
            <v>INS</v>
          </cell>
          <cell r="D268" t="str">
            <v>Y</v>
          </cell>
        </row>
        <row r="269">
          <cell r="A269" t="str">
            <v>CBOE</v>
          </cell>
          <cell r="B269" t="str">
            <v>XLF</v>
          </cell>
          <cell r="D269" t="str">
            <v>Y</v>
          </cell>
        </row>
        <row r="270">
          <cell r="A270" t="str">
            <v>CFG</v>
          </cell>
          <cell r="B270" t="str">
            <v>XLF</v>
          </cell>
          <cell r="D270" t="str">
            <v>Y</v>
          </cell>
        </row>
        <row r="271">
          <cell r="A271" t="str">
            <v>FDS</v>
          </cell>
          <cell r="B271" t="str">
            <v>XLF</v>
          </cell>
          <cell r="D271" t="str">
            <v>Y</v>
          </cell>
        </row>
        <row r="272">
          <cell r="A272" t="str">
            <v>WRB</v>
          </cell>
          <cell r="B272" t="str">
            <v>INS</v>
          </cell>
          <cell r="D272" t="str">
            <v>Y</v>
          </cell>
        </row>
        <row r="273">
          <cell r="A273" t="str">
            <v>KEY</v>
          </cell>
          <cell r="B273" t="str">
            <v>XLF</v>
          </cell>
          <cell r="D273" t="str">
            <v>Y</v>
          </cell>
        </row>
        <row r="274">
          <cell r="A274" t="str">
            <v>PFG</v>
          </cell>
          <cell r="B274" t="str">
            <v>INS</v>
          </cell>
          <cell r="D274" t="str">
            <v>Y</v>
          </cell>
        </row>
        <row r="275">
          <cell r="A275" t="str">
            <v>EG</v>
          </cell>
          <cell r="B275" t="str">
            <v>XLF</v>
          </cell>
          <cell r="D275" t="str">
            <v>Y</v>
          </cell>
        </row>
        <row r="276">
          <cell r="A276" t="str">
            <v>L</v>
          </cell>
          <cell r="B276" t="str">
            <v>INS</v>
          </cell>
          <cell r="D276" t="str">
            <v>Y</v>
          </cell>
        </row>
        <row r="277">
          <cell r="A277" t="str">
            <v>JKHY</v>
          </cell>
          <cell r="B277" t="str">
            <v>XLF</v>
          </cell>
          <cell r="D277" t="str">
            <v>Y</v>
          </cell>
        </row>
        <row r="278">
          <cell r="A278" t="str">
            <v>AIZ</v>
          </cell>
          <cell r="B278" t="str">
            <v>INS</v>
          </cell>
          <cell r="D278" t="str">
            <v>Y</v>
          </cell>
        </row>
        <row r="279">
          <cell r="A279" t="str">
            <v>GL</v>
          </cell>
          <cell r="B279" t="str">
            <v>INS</v>
          </cell>
          <cell r="D279" t="str">
            <v>Y</v>
          </cell>
        </row>
        <row r="280">
          <cell r="A280" t="str">
            <v>ERIE</v>
          </cell>
          <cell r="B280" t="str">
            <v>XLF</v>
          </cell>
          <cell r="D280" t="str">
            <v>Y</v>
          </cell>
        </row>
        <row r="281">
          <cell r="A281" t="str">
            <v>MKTX</v>
          </cell>
          <cell r="B281" t="str">
            <v>XLF</v>
          </cell>
          <cell r="D281" t="str">
            <v>Y</v>
          </cell>
        </row>
        <row r="282">
          <cell r="A282" t="str">
            <v>IVZ</v>
          </cell>
          <cell r="B282" t="str">
            <v>XLF</v>
          </cell>
          <cell r="D282" t="str">
            <v>Y</v>
          </cell>
        </row>
        <row r="283">
          <cell r="A283" t="str">
            <v>BEN</v>
          </cell>
          <cell r="B283" t="str">
            <v>XLF</v>
          </cell>
          <cell r="D283" t="str">
            <v>Y</v>
          </cell>
        </row>
        <row r="284">
          <cell r="A284" t="str">
            <v>LLY</v>
          </cell>
          <cell r="B284" t="str">
            <v>XLV</v>
          </cell>
          <cell r="D284" t="str">
            <v>Y</v>
          </cell>
        </row>
        <row r="285">
          <cell r="A285" t="str">
            <v>UNH</v>
          </cell>
          <cell r="B285" t="str">
            <v>H-INS</v>
          </cell>
          <cell r="D285" t="str">
            <v>Y</v>
          </cell>
        </row>
        <row r="286">
          <cell r="A286" t="str">
            <v>JNJ</v>
          </cell>
          <cell r="B286" t="str">
            <v>XLV</v>
          </cell>
          <cell r="D286" t="str">
            <v>Y</v>
          </cell>
        </row>
        <row r="287">
          <cell r="A287" t="str">
            <v>ABBV</v>
          </cell>
          <cell r="B287" t="str">
            <v>XLV</v>
          </cell>
          <cell r="D287" t="str">
            <v>Y</v>
          </cell>
        </row>
        <row r="288">
          <cell r="A288" t="str">
            <v>MRK</v>
          </cell>
          <cell r="B288" t="str">
            <v>XLV</v>
          </cell>
          <cell r="D288" t="str">
            <v>Y</v>
          </cell>
        </row>
        <row r="289">
          <cell r="A289" t="str">
            <v>ABT</v>
          </cell>
          <cell r="B289" t="str">
            <v>XLV</v>
          </cell>
          <cell r="D289" t="str">
            <v>Y</v>
          </cell>
        </row>
        <row r="290">
          <cell r="A290" t="str">
            <v>TMO</v>
          </cell>
          <cell r="B290" t="str">
            <v>XLV</v>
          </cell>
          <cell r="D290" t="str">
            <v>Y</v>
          </cell>
        </row>
        <row r="291">
          <cell r="A291" t="str">
            <v>ISRG</v>
          </cell>
          <cell r="B291" t="str">
            <v>XLV</v>
          </cell>
          <cell r="D291" t="str">
            <v>Y</v>
          </cell>
        </row>
        <row r="292">
          <cell r="A292" t="str">
            <v>DHR</v>
          </cell>
          <cell r="B292" t="str">
            <v>XLV</v>
          </cell>
          <cell r="D292" t="str">
            <v>Y</v>
          </cell>
        </row>
        <row r="293">
          <cell r="A293" t="str">
            <v>PFE</v>
          </cell>
          <cell r="B293" t="str">
            <v>XLV</v>
          </cell>
          <cell r="D293" t="str">
            <v>Y</v>
          </cell>
        </row>
        <row r="294">
          <cell r="A294" t="str">
            <v>AMGN</v>
          </cell>
          <cell r="B294" t="str">
            <v>XLV</v>
          </cell>
          <cell r="D294" t="str">
            <v>Y</v>
          </cell>
        </row>
        <row r="295">
          <cell r="A295" t="str">
            <v>BSX</v>
          </cell>
          <cell r="B295" t="str">
            <v>XLV</v>
          </cell>
          <cell r="D295" t="str">
            <v>Y</v>
          </cell>
        </row>
        <row r="296">
          <cell r="A296" t="str">
            <v>SYK</v>
          </cell>
          <cell r="B296" t="str">
            <v>XLV</v>
          </cell>
          <cell r="D296" t="str">
            <v>Y</v>
          </cell>
        </row>
        <row r="297">
          <cell r="A297" t="str">
            <v>BMY</v>
          </cell>
          <cell r="B297" t="str">
            <v>XLV</v>
          </cell>
          <cell r="D297" t="str">
            <v>Y</v>
          </cell>
        </row>
        <row r="298">
          <cell r="A298" t="str">
            <v>GILD</v>
          </cell>
          <cell r="B298" t="str">
            <v>XLV</v>
          </cell>
          <cell r="D298" t="str">
            <v>Y</v>
          </cell>
        </row>
        <row r="299">
          <cell r="A299" t="str">
            <v>MDT</v>
          </cell>
          <cell r="B299" t="str">
            <v>XLV</v>
          </cell>
          <cell r="D299" t="str">
            <v>Y</v>
          </cell>
        </row>
        <row r="300">
          <cell r="A300" t="str">
            <v>VRTX</v>
          </cell>
          <cell r="B300" t="str">
            <v>XLV</v>
          </cell>
          <cell r="D300" t="str">
            <v>Y</v>
          </cell>
        </row>
        <row r="301">
          <cell r="A301" t="str">
            <v>ELV</v>
          </cell>
          <cell r="B301" t="str">
            <v>H-INS</v>
          </cell>
          <cell r="D301" t="str">
            <v>Y</v>
          </cell>
        </row>
        <row r="302">
          <cell r="A302" t="str">
            <v>CI</v>
          </cell>
          <cell r="B302" t="str">
            <v>H-INS</v>
          </cell>
          <cell r="D302" t="str">
            <v>Y</v>
          </cell>
        </row>
        <row r="303">
          <cell r="A303" t="str">
            <v>ZTS</v>
          </cell>
          <cell r="B303" t="str">
            <v>XLV</v>
          </cell>
          <cell r="D303" t="str">
            <v>Y</v>
          </cell>
        </row>
        <row r="304">
          <cell r="A304" t="str">
            <v>MCK</v>
          </cell>
          <cell r="B304" t="str">
            <v>XLV</v>
          </cell>
          <cell r="D304" t="str">
            <v>Y</v>
          </cell>
        </row>
        <row r="305">
          <cell r="A305" t="str">
            <v>REGN</v>
          </cell>
          <cell r="B305" t="str">
            <v>XLV</v>
          </cell>
          <cell r="D305" t="str">
            <v>Y</v>
          </cell>
        </row>
        <row r="306">
          <cell r="A306" t="str">
            <v>BDX</v>
          </cell>
          <cell r="B306" t="str">
            <v>XLV</v>
          </cell>
          <cell r="D306" t="str">
            <v>Y</v>
          </cell>
        </row>
        <row r="307">
          <cell r="A307" t="str">
            <v>CVS</v>
          </cell>
          <cell r="B307" t="str">
            <v>XLV</v>
          </cell>
          <cell r="D307" t="str">
            <v>Y</v>
          </cell>
        </row>
        <row r="308">
          <cell r="A308" t="str">
            <v>HCA</v>
          </cell>
          <cell r="B308" t="str">
            <v>XLV</v>
          </cell>
          <cell r="D308" t="str">
            <v>Y</v>
          </cell>
        </row>
        <row r="309">
          <cell r="A309" t="str">
            <v>COR</v>
          </cell>
          <cell r="B309" t="str">
            <v>XLV</v>
          </cell>
          <cell r="D309" t="str">
            <v>Y</v>
          </cell>
        </row>
        <row r="310">
          <cell r="A310" t="str">
            <v>A</v>
          </cell>
          <cell r="B310" t="str">
            <v>XLV</v>
          </cell>
          <cell r="D310" t="str">
            <v>Y</v>
          </cell>
        </row>
        <row r="311">
          <cell r="A311" t="str">
            <v>EW</v>
          </cell>
          <cell r="B311" t="str">
            <v>XLV</v>
          </cell>
          <cell r="D311" t="str">
            <v>Y</v>
          </cell>
        </row>
        <row r="312">
          <cell r="A312" t="str">
            <v>GEHC</v>
          </cell>
          <cell r="B312" t="str">
            <v>XLV</v>
          </cell>
          <cell r="D312" t="str">
            <v>Y</v>
          </cell>
        </row>
        <row r="313">
          <cell r="A313" t="str">
            <v>RMD</v>
          </cell>
          <cell r="B313" t="str">
            <v>XLV</v>
          </cell>
          <cell r="D313" t="str">
            <v>Y</v>
          </cell>
        </row>
        <row r="314">
          <cell r="A314" t="str">
            <v>HUM</v>
          </cell>
          <cell r="B314" t="str">
            <v>H-INS</v>
          </cell>
          <cell r="D314" t="str">
            <v>Y</v>
          </cell>
        </row>
        <row r="315">
          <cell r="A315" t="str">
            <v>IQV</v>
          </cell>
          <cell r="B315" t="str">
            <v>XLV</v>
          </cell>
          <cell r="D315" t="str">
            <v>Y</v>
          </cell>
        </row>
        <row r="316">
          <cell r="A316" t="str">
            <v>IDXX</v>
          </cell>
          <cell r="B316" t="str">
            <v>XLV</v>
          </cell>
          <cell r="D316" t="str">
            <v>Y</v>
          </cell>
        </row>
        <row r="317">
          <cell r="A317" t="str">
            <v>DXCM</v>
          </cell>
          <cell r="B317" t="str">
            <v>XLV</v>
          </cell>
          <cell r="D317" t="str">
            <v>Y</v>
          </cell>
        </row>
        <row r="318">
          <cell r="A318" t="str">
            <v>CNC</v>
          </cell>
          <cell r="B318" t="str">
            <v>H-INS</v>
          </cell>
          <cell r="D318" t="str">
            <v>Y</v>
          </cell>
        </row>
        <row r="319">
          <cell r="A319" t="str">
            <v>CAH</v>
          </cell>
          <cell r="B319" t="str">
            <v>XLV</v>
          </cell>
          <cell r="D319" t="str">
            <v>Y</v>
          </cell>
        </row>
        <row r="320">
          <cell r="A320" t="str">
            <v>MTD</v>
          </cell>
          <cell r="B320" t="str">
            <v>XLV</v>
          </cell>
          <cell r="D320" t="str">
            <v>Y</v>
          </cell>
        </row>
        <row r="321">
          <cell r="A321" t="str">
            <v>WST</v>
          </cell>
          <cell r="B321" t="str">
            <v>XLV</v>
          </cell>
          <cell r="D321" t="str">
            <v>Y</v>
          </cell>
        </row>
        <row r="322">
          <cell r="A322" t="str">
            <v>WAT</v>
          </cell>
          <cell r="B322" t="str">
            <v>XLV</v>
          </cell>
          <cell r="D322" t="str">
            <v>Y</v>
          </cell>
        </row>
        <row r="323">
          <cell r="A323" t="str">
            <v>ZBH</v>
          </cell>
          <cell r="B323" t="str">
            <v>XLV</v>
          </cell>
          <cell r="D323" t="str">
            <v>Y</v>
          </cell>
        </row>
        <row r="324">
          <cell r="A324" t="str">
            <v>STE</v>
          </cell>
          <cell r="B324" t="str">
            <v>XLV</v>
          </cell>
          <cell r="D324" t="str">
            <v>Y</v>
          </cell>
        </row>
        <row r="325">
          <cell r="A325" t="str">
            <v>BIIB</v>
          </cell>
          <cell r="B325" t="str">
            <v>XLV</v>
          </cell>
          <cell r="D325" t="str">
            <v>Y</v>
          </cell>
        </row>
        <row r="326">
          <cell r="A326" t="str">
            <v>LH</v>
          </cell>
          <cell r="B326" t="str">
            <v>XLV</v>
          </cell>
          <cell r="D326" t="str">
            <v>Y</v>
          </cell>
        </row>
        <row r="327">
          <cell r="A327" t="str">
            <v>COO</v>
          </cell>
          <cell r="B327" t="str">
            <v>XLV</v>
          </cell>
          <cell r="D327" t="str">
            <v>Y</v>
          </cell>
        </row>
        <row r="328">
          <cell r="A328" t="str">
            <v>PODD</v>
          </cell>
          <cell r="B328" t="str">
            <v>XLV</v>
          </cell>
          <cell r="D328" t="str">
            <v>Y</v>
          </cell>
        </row>
        <row r="329">
          <cell r="A329" t="str">
            <v>DGX</v>
          </cell>
          <cell r="B329" t="str">
            <v>XLV</v>
          </cell>
          <cell r="D329" t="str">
            <v>Y</v>
          </cell>
        </row>
        <row r="330">
          <cell r="A330" t="str">
            <v>MOH</v>
          </cell>
          <cell r="B330" t="str">
            <v>XLV</v>
          </cell>
          <cell r="D330" t="str">
            <v>Y</v>
          </cell>
        </row>
        <row r="331">
          <cell r="A331" t="str">
            <v>BAX</v>
          </cell>
          <cell r="B331" t="str">
            <v>XLV</v>
          </cell>
          <cell r="D331" t="str">
            <v>Y</v>
          </cell>
        </row>
        <row r="332">
          <cell r="A332" t="str">
            <v>HOLX</v>
          </cell>
          <cell r="B332" t="str">
            <v>XLV</v>
          </cell>
          <cell r="D332" t="str">
            <v>Y</v>
          </cell>
        </row>
        <row r="333">
          <cell r="A333" t="str">
            <v>ALGN</v>
          </cell>
          <cell r="B333" t="str">
            <v>XLV</v>
          </cell>
          <cell r="D333" t="str">
            <v>Y</v>
          </cell>
        </row>
        <row r="334">
          <cell r="A334" t="str">
            <v>RVTY</v>
          </cell>
          <cell r="B334" t="str">
            <v>XLV</v>
          </cell>
          <cell r="D334" t="str">
            <v>Y</v>
          </cell>
        </row>
        <row r="335">
          <cell r="A335" t="str">
            <v>MRNA</v>
          </cell>
          <cell r="B335" t="str">
            <v>XLV</v>
          </cell>
          <cell r="D335" t="str">
            <v>Y</v>
          </cell>
        </row>
        <row r="336">
          <cell r="A336" t="str">
            <v>VTRS</v>
          </cell>
          <cell r="B336" t="str">
            <v>XLV</v>
          </cell>
          <cell r="D336" t="str">
            <v>Y</v>
          </cell>
        </row>
        <row r="337">
          <cell r="A337" t="str">
            <v>TECH</v>
          </cell>
          <cell r="B337" t="str">
            <v>XLV</v>
          </cell>
          <cell r="D337" t="str">
            <v>Y</v>
          </cell>
        </row>
        <row r="338">
          <cell r="A338" t="str">
            <v>INCY</v>
          </cell>
          <cell r="B338" t="str">
            <v>XLV</v>
          </cell>
          <cell r="D338" t="str">
            <v>Y</v>
          </cell>
        </row>
        <row r="339">
          <cell r="A339" t="str">
            <v>UHS</v>
          </cell>
          <cell r="B339" t="str">
            <v>XLV</v>
          </cell>
          <cell r="D339" t="str">
            <v>Y</v>
          </cell>
        </row>
        <row r="340">
          <cell r="A340" t="str">
            <v>SOLV</v>
          </cell>
          <cell r="B340" t="str">
            <v>XLV</v>
          </cell>
          <cell r="D340" t="str">
            <v>Y</v>
          </cell>
        </row>
        <row r="341">
          <cell r="A341" t="str">
            <v>HSIC</v>
          </cell>
          <cell r="B341" t="str">
            <v>XLV</v>
          </cell>
          <cell r="D341" t="str">
            <v>Y</v>
          </cell>
        </row>
        <row r="342">
          <cell r="A342" t="str">
            <v>EXE</v>
          </cell>
          <cell r="B342" t="str">
            <v>XLE</v>
          </cell>
          <cell r="D342" t="str">
            <v>Y</v>
          </cell>
        </row>
        <row r="343">
          <cell r="A343" t="str">
            <v>CRL</v>
          </cell>
          <cell r="B343" t="str">
            <v>XLV</v>
          </cell>
          <cell r="D343" t="str">
            <v>Y</v>
          </cell>
        </row>
        <row r="344">
          <cell r="A344" t="str">
            <v>DVA</v>
          </cell>
          <cell r="B344" t="str">
            <v>XLV</v>
          </cell>
          <cell r="D344" t="str">
            <v>Y</v>
          </cell>
        </row>
        <row r="345">
          <cell r="A345" t="str">
            <v>LIN</v>
          </cell>
          <cell r="B345" t="str">
            <v>XLB</v>
          </cell>
          <cell r="D345" t="str">
            <v>Y</v>
          </cell>
        </row>
        <row r="346">
          <cell r="A346" t="str">
            <v>SHW</v>
          </cell>
          <cell r="B346" t="str">
            <v>XLB</v>
          </cell>
          <cell r="D346" t="str">
            <v>Y</v>
          </cell>
        </row>
        <row r="347">
          <cell r="A347" t="str">
            <v>APD</v>
          </cell>
          <cell r="B347" t="str">
            <v>XLB</v>
          </cell>
          <cell r="D347" t="str">
            <v>Y</v>
          </cell>
        </row>
        <row r="348">
          <cell r="A348" t="str">
            <v>ECL</v>
          </cell>
          <cell r="B348" t="str">
            <v>XLB</v>
          </cell>
          <cell r="D348" t="str">
            <v>Y</v>
          </cell>
        </row>
        <row r="349">
          <cell r="A349" t="str">
            <v>FCX</v>
          </cell>
          <cell r="B349" t="str">
            <v>XLB</v>
          </cell>
          <cell r="D349" t="str">
            <v>Y</v>
          </cell>
        </row>
        <row r="350">
          <cell r="A350" t="str">
            <v>NEM</v>
          </cell>
          <cell r="B350" t="str">
            <v>XLB</v>
          </cell>
          <cell r="D350" t="str">
            <v>Y</v>
          </cell>
        </row>
        <row r="351">
          <cell r="A351" t="str">
            <v>CTVA</v>
          </cell>
          <cell r="B351" t="str">
            <v>XLB</v>
          </cell>
          <cell r="D351" t="str">
            <v>Y</v>
          </cell>
        </row>
        <row r="352">
          <cell r="A352" t="str">
            <v>VMC</v>
          </cell>
          <cell r="B352" t="str">
            <v>XLB</v>
          </cell>
          <cell r="D352" t="str">
            <v>Y</v>
          </cell>
        </row>
        <row r="353">
          <cell r="A353" t="str">
            <v>MLM</v>
          </cell>
          <cell r="B353" t="str">
            <v>XLB</v>
          </cell>
          <cell r="D353" t="str">
            <v>Y</v>
          </cell>
        </row>
        <row r="354">
          <cell r="A354" t="str">
            <v>DD</v>
          </cell>
          <cell r="B354" t="str">
            <v>XLB</v>
          </cell>
          <cell r="D354" t="str">
            <v>Y</v>
          </cell>
        </row>
        <row r="355">
          <cell r="A355" t="str">
            <v>PPG</v>
          </cell>
          <cell r="B355" t="str">
            <v>XLB</v>
          </cell>
          <cell r="D355" t="str">
            <v>Y</v>
          </cell>
        </row>
        <row r="356">
          <cell r="A356" t="str">
            <v>NUE</v>
          </cell>
          <cell r="B356" t="str">
            <v>XLB</v>
          </cell>
          <cell r="D356" t="str">
            <v>Y</v>
          </cell>
        </row>
        <row r="357">
          <cell r="A357" t="str">
            <v>SW</v>
          </cell>
          <cell r="B357" t="str">
            <v>XLB</v>
          </cell>
          <cell r="D357" t="str">
            <v>Y</v>
          </cell>
        </row>
        <row r="358">
          <cell r="A358" t="str">
            <v>IFF</v>
          </cell>
          <cell r="B358" t="str">
            <v>XLB</v>
          </cell>
          <cell r="D358" t="str">
            <v>Y</v>
          </cell>
        </row>
        <row r="359">
          <cell r="A359" t="str">
            <v>PKG</v>
          </cell>
          <cell r="B359" t="str">
            <v>XLB</v>
          </cell>
          <cell r="D359" t="str">
            <v>Y</v>
          </cell>
        </row>
        <row r="360">
          <cell r="A360" t="str">
            <v>IP</v>
          </cell>
          <cell r="B360" t="str">
            <v>XLB</v>
          </cell>
          <cell r="D360" t="str">
            <v>Y</v>
          </cell>
        </row>
        <row r="361">
          <cell r="A361" t="str">
            <v>LYB</v>
          </cell>
          <cell r="B361" t="str">
            <v>XLB</v>
          </cell>
          <cell r="D361" t="str">
            <v>Y</v>
          </cell>
        </row>
        <row r="362">
          <cell r="A362" t="str">
            <v>STLD</v>
          </cell>
          <cell r="B362" t="str">
            <v>XLB</v>
          </cell>
          <cell r="D362" t="str">
            <v>Y</v>
          </cell>
        </row>
        <row r="363">
          <cell r="A363" t="str">
            <v>BALL</v>
          </cell>
          <cell r="B363" t="str">
            <v>XLB</v>
          </cell>
          <cell r="D363" t="str">
            <v>Y</v>
          </cell>
        </row>
        <row r="364">
          <cell r="A364" t="str">
            <v>AVY</v>
          </cell>
          <cell r="B364" t="str">
            <v>XLB</v>
          </cell>
          <cell r="D364" t="str">
            <v>Y</v>
          </cell>
        </row>
        <row r="365">
          <cell r="A365" t="str">
            <v>CF</v>
          </cell>
          <cell r="B365" t="str">
            <v>XLB</v>
          </cell>
          <cell r="D365" t="str">
            <v>Y</v>
          </cell>
        </row>
        <row r="366">
          <cell r="A366" t="str">
            <v>AMCR</v>
          </cell>
          <cell r="B366" t="str">
            <v>XLB</v>
          </cell>
          <cell r="D366" t="str">
            <v>Y</v>
          </cell>
        </row>
        <row r="367">
          <cell r="A367" t="str">
            <v>EMN</v>
          </cell>
          <cell r="B367" t="str">
            <v>XLB</v>
          </cell>
          <cell r="D367" t="str">
            <v>Y</v>
          </cell>
        </row>
        <row r="368">
          <cell r="A368" t="str">
            <v>ALB</v>
          </cell>
          <cell r="B368" t="str">
            <v>XLB</v>
          </cell>
          <cell r="D368" t="str">
            <v>Y</v>
          </cell>
        </row>
        <row r="369">
          <cell r="A369" t="str">
            <v>MOS</v>
          </cell>
          <cell r="B369" t="str">
            <v>XLB</v>
          </cell>
          <cell r="D369" t="str">
            <v>Y</v>
          </cell>
        </row>
        <row r="370">
          <cell r="A370" t="str">
            <v>DASH</v>
          </cell>
          <cell r="B370" t="str">
            <v>XLY</v>
          </cell>
          <cell r="D370" t="str">
            <v>Y</v>
          </cell>
        </row>
        <row r="371">
          <cell r="A371" t="str">
            <v>WSM</v>
          </cell>
          <cell r="B371" t="str">
            <v>XLY</v>
          </cell>
          <cell r="D371" t="str">
            <v>Y</v>
          </cell>
        </row>
        <row r="372">
          <cell r="A372" t="str">
            <v>PLD</v>
          </cell>
          <cell r="B372" t="str">
            <v>XLRE</v>
          </cell>
          <cell r="D372" t="str">
            <v>Y</v>
          </cell>
        </row>
        <row r="373">
          <cell r="A373" t="str">
            <v>AMT</v>
          </cell>
          <cell r="B373" t="str">
            <v>XLRE</v>
          </cell>
          <cell r="D373" t="str">
            <v>Y</v>
          </cell>
        </row>
        <row r="374">
          <cell r="A374" t="str">
            <v>EQIX</v>
          </cell>
          <cell r="B374" t="str">
            <v>XLRE</v>
          </cell>
          <cell r="D374" t="str">
            <v>Y</v>
          </cell>
        </row>
        <row r="375">
          <cell r="A375" t="str">
            <v>WELL</v>
          </cell>
          <cell r="B375" t="str">
            <v>XLRE</v>
          </cell>
          <cell r="D375" t="str">
            <v>Y</v>
          </cell>
        </row>
        <row r="376">
          <cell r="A376" t="str">
            <v>SPG</v>
          </cell>
          <cell r="B376" t="str">
            <v>XLRE</v>
          </cell>
          <cell r="D376" t="str">
            <v>Y</v>
          </cell>
        </row>
        <row r="377">
          <cell r="A377" t="str">
            <v>DLR</v>
          </cell>
          <cell r="B377" t="str">
            <v>XLRE</v>
          </cell>
          <cell r="D377" t="str">
            <v>Y</v>
          </cell>
        </row>
        <row r="378">
          <cell r="A378" t="str">
            <v>O</v>
          </cell>
          <cell r="B378" t="str">
            <v>XLRE</v>
          </cell>
          <cell r="D378" t="str">
            <v>Y</v>
          </cell>
        </row>
        <row r="379">
          <cell r="A379" t="str">
            <v>PSA</v>
          </cell>
          <cell r="B379" t="str">
            <v>XLRE</v>
          </cell>
          <cell r="D379" t="str">
            <v>Y</v>
          </cell>
        </row>
        <row r="380">
          <cell r="A380" t="str">
            <v>CBRE</v>
          </cell>
          <cell r="B380" t="str">
            <v>XLRE</v>
          </cell>
          <cell r="D380" t="str">
            <v>Y</v>
          </cell>
        </row>
        <row r="381">
          <cell r="A381" t="str">
            <v>CCI</v>
          </cell>
          <cell r="B381" t="str">
            <v>XLRE</v>
          </cell>
          <cell r="D381" t="str">
            <v>Y</v>
          </cell>
        </row>
        <row r="382">
          <cell r="A382" t="str">
            <v>EXR</v>
          </cell>
          <cell r="B382" t="str">
            <v>XLRE</v>
          </cell>
          <cell r="D382" t="str">
            <v>Y</v>
          </cell>
        </row>
        <row r="383">
          <cell r="A383" t="str">
            <v>VICI</v>
          </cell>
          <cell r="B383" t="str">
            <v>XLRE</v>
          </cell>
          <cell r="D383" t="str">
            <v>Y</v>
          </cell>
        </row>
        <row r="384">
          <cell r="A384" t="str">
            <v>CSGP</v>
          </cell>
          <cell r="B384" t="str">
            <v>XLRE</v>
          </cell>
          <cell r="D384" t="str">
            <v>Y</v>
          </cell>
        </row>
        <row r="385">
          <cell r="A385" t="str">
            <v>AVB</v>
          </cell>
          <cell r="B385" t="str">
            <v>XLRE</v>
          </cell>
          <cell r="D385" t="str">
            <v>Y</v>
          </cell>
        </row>
        <row r="386">
          <cell r="A386" t="str">
            <v>IRM</v>
          </cell>
          <cell r="B386" t="str">
            <v>XLRE</v>
          </cell>
          <cell r="D386" t="str">
            <v>Y</v>
          </cell>
        </row>
        <row r="387">
          <cell r="A387" t="str">
            <v>VTR</v>
          </cell>
          <cell r="B387" t="str">
            <v>XLRE</v>
          </cell>
          <cell r="D387" t="str">
            <v>Y</v>
          </cell>
        </row>
        <row r="388">
          <cell r="A388" t="str">
            <v>EQR</v>
          </cell>
          <cell r="B388" t="str">
            <v>XLRE</v>
          </cell>
          <cell r="D388" t="str">
            <v>Y</v>
          </cell>
        </row>
        <row r="389">
          <cell r="A389" t="str">
            <v>WY</v>
          </cell>
          <cell r="B389" t="str">
            <v>XLRE</v>
          </cell>
          <cell r="D389" t="str">
            <v>Y</v>
          </cell>
        </row>
        <row r="390">
          <cell r="A390" t="str">
            <v>SBAC</v>
          </cell>
          <cell r="B390" t="str">
            <v>XLRE</v>
          </cell>
          <cell r="D390" t="str">
            <v>Y</v>
          </cell>
        </row>
        <row r="391">
          <cell r="A391" t="str">
            <v>ESS</v>
          </cell>
          <cell r="B391" t="str">
            <v>XLRE</v>
          </cell>
          <cell r="D391" t="str">
            <v>Y</v>
          </cell>
        </row>
        <row r="392">
          <cell r="A392" t="str">
            <v>MAA</v>
          </cell>
          <cell r="B392" t="str">
            <v>XLRE</v>
          </cell>
          <cell r="D392" t="str">
            <v>Y</v>
          </cell>
        </row>
        <row r="393">
          <cell r="A393" t="str">
            <v>INVH</v>
          </cell>
          <cell r="B393" t="str">
            <v>XLRE</v>
          </cell>
          <cell r="D393" t="str">
            <v>Y</v>
          </cell>
        </row>
        <row r="394">
          <cell r="A394" t="str">
            <v>ARE</v>
          </cell>
          <cell r="B394" t="str">
            <v>XLRE</v>
          </cell>
          <cell r="D394" t="str">
            <v>Y</v>
          </cell>
        </row>
        <row r="395">
          <cell r="A395" t="str">
            <v>KIM</v>
          </cell>
          <cell r="B395" t="str">
            <v>XLRE</v>
          </cell>
          <cell r="D395" t="str">
            <v>Y</v>
          </cell>
        </row>
        <row r="396">
          <cell r="A396" t="str">
            <v>DOC</v>
          </cell>
          <cell r="B396" t="str">
            <v>XLRE</v>
          </cell>
          <cell r="D396" t="str">
            <v>Y</v>
          </cell>
        </row>
        <row r="397">
          <cell r="A397" t="str">
            <v>UDR</v>
          </cell>
          <cell r="B397" t="str">
            <v>XLRE</v>
          </cell>
          <cell r="D397" t="str">
            <v>Y</v>
          </cell>
        </row>
        <row r="398">
          <cell r="A398" t="str">
            <v>CPT</v>
          </cell>
          <cell r="B398" t="str">
            <v>XLRE</v>
          </cell>
          <cell r="D398" t="str">
            <v>Y</v>
          </cell>
        </row>
        <row r="399">
          <cell r="A399" t="str">
            <v>HST</v>
          </cell>
          <cell r="B399" t="str">
            <v>XLRE</v>
          </cell>
          <cell r="D399" t="str">
            <v>Y</v>
          </cell>
        </row>
        <row r="400">
          <cell r="A400" t="str">
            <v>REG</v>
          </cell>
          <cell r="B400" t="str">
            <v>XLRE</v>
          </cell>
          <cell r="D400" t="str">
            <v>Y</v>
          </cell>
        </row>
        <row r="401">
          <cell r="A401" t="str">
            <v>BXP</v>
          </cell>
          <cell r="B401" t="str">
            <v>XLRE</v>
          </cell>
          <cell r="D401" t="str">
            <v>Y</v>
          </cell>
        </row>
        <row r="402">
          <cell r="A402" t="str">
            <v>FRT</v>
          </cell>
          <cell r="B402" t="str">
            <v>XLRE</v>
          </cell>
          <cell r="D402" t="str">
            <v>Y</v>
          </cell>
        </row>
        <row r="403">
          <cell r="A403" t="str">
            <v>AAPL</v>
          </cell>
          <cell r="B403" t="str">
            <v>XLK</v>
          </cell>
          <cell r="D403" t="str">
            <v>Y</v>
          </cell>
        </row>
        <row r="404">
          <cell r="A404" t="str">
            <v>MSFT</v>
          </cell>
          <cell r="B404" t="str">
            <v>XLK</v>
          </cell>
          <cell r="D404" t="str">
            <v>Y</v>
          </cell>
        </row>
        <row r="405">
          <cell r="A405" t="str">
            <v>NVDA</v>
          </cell>
          <cell r="B405" t="str">
            <v>SMH</v>
          </cell>
          <cell r="D405" t="str">
            <v>Y</v>
          </cell>
        </row>
        <row r="406">
          <cell r="A406" t="str">
            <v>AVGO</v>
          </cell>
          <cell r="B406" t="str">
            <v>SMH</v>
          </cell>
          <cell r="D406" t="str">
            <v>Y</v>
          </cell>
        </row>
        <row r="407">
          <cell r="A407" t="str">
            <v>CRM</v>
          </cell>
          <cell r="B407" t="str">
            <v>IGV</v>
          </cell>
          <cell r="D407" t="str">
            <v>Y</v>
          </cell>
        </row>
        <row r="408">
          <cell r="A408" t="str">
            <v>ORCL</v>
          </cell>
          <cell r="B408" t="str">
            <v>IGV</v>
          </cell>
          <cell r="D408" t="str">
            <v>Y</v>
          </cell>
        </row>
        <row r="409">
          <cell r="A409" t="str">
            <v>CSCO</v>
          </cell>
          <cell r="B409" t="str">
            <v>XLK</v>
          </cell>
          <cell r="D409" t="str">
            <v>Y</v>
          </cell>
        </row>
        <row r="410">
          <cell r="A410" t="str">
            <v>NOW</v>
          </cell>
          <cell r="B410" t="str">
            <v>IGV</v>
          </cell>
          <cell r="D410" t="str">
            <v>Y</v>
          </cell>
        </row>
        <row r="411">
          <cell r="A411" t="str">
            <v>ACN</v>
          </cell>
          <cell r="B411" t="str">
            <v>XLK</v>
          </cell>
          <cell r="D411" t="str">
            <v>Y</v>
          </cell>
        </row>
        <row r="412">
          <cell r="A412" t="str">
            <v>IBM</v>
          </cell>
          <cell r="B412" t="str">
            <v>XLK</v>
          </cell>
          <cell r="D412" t="str">
            <v>Y</v>
          </cell>
        </row>
        <row r="413">
          <cell r="A413" t="str">
            <v>ADBE</v>
          </cell>
          <cell r="B413" t="str">
            <v>IGV</v>
          </cell>
          <cell r="D413" t="str">
            <v>Y</v>
          </cell>
        </row>
        <row r="414">
          <cell r="A414" t="str">
            <v>QCOM</v>
          </cell>
          <cell r="B414" t="str">
            <v>SMH</v>
          </cell>
          <cell r="D414" t="str">
            <v>Y</v>
          </cell>
        </row>
        <row r="415">
          <cell r="A415" t="str">
            <v>AMD</v>
          </cell>
          <cell r="B415" t="str">
            <v>SMH</v>
          </cell>
          <cell r="D415" t="str">
            <v>Y</v>
          </cell>
        </row>
        <row r="416">
          <cell r="A416" t="str">
            <v>TXN</v>
          </cell>
          <cell r="B416" t="str">
            <v>SMH</v>
          </cell>
          <cell r="D416" t="str">
            <v>Y</v>
          </cell>
        </row>
        <row r="417">
          <cell r="A417" t="str">
            <v>INTU</v>
          </cell>
          <cell r="B417" t="str">
            <v>IGV</v>
          </cell>
          <cell r="D417" t="str">
            <v>Y</v>
          </cell>
        </row>
        <row r="418">
          <cell r="A418" t="str">
            <v>PLTR</v>
          </cell>
          <cell r="B418" t="str">
            <v>IGV</v>
          </cell>
          <cell r="D418" t="str">
            <v>Y</v>
          </cell>
        </row>
        <row r="419">
          <cell r="A419" t="str">
            <v>AMAT</v>
          </cell>
          <cell r="B419" t="str">
            <v>SMH</v>
          </cell>
          <cell r="D419" t="str">
            <v>Y</v>
          </cell>
        </row>
        <row r="420">
          <cell r="A420" t="str">
            <v>PANW</v>
          </cell>
          <cell r="B420" t="str">
            <v>IGV</v>
          </cell>
          <cell r="D420" t="str">
            <v>Y</v>
          </cell>
        </row>
        <row r="421">
          <cell r="A421" t="str">
            <v>ADI</v>
          </cell>
          <cell r="B421" t="str">
            <v>SMH</v>
          </cell>
          <cell r="D421" t="str">
            <v>Y</v>
          </cell>
        </row>
        <row r="422">
          <cell r="A422" t="str">
            <v>ANET</v>
          </cell>
          <cell r="B422" t="str">
            <v>XLK</v>
          </cell>
          <cell r="D422" t="str">
            <v>Y</v>
          </cell>
        </row>
        <row r="423">
          <cell r="A423" t="str">
            <v>MU</v>
          </cell>
          <cell r="B423" t="str">
            <v>SMH</v>
          </cell>
          <cell r="D423" t="str">
            <v>Y</v>
          </cell>
        </row>
        <row r="424">
          <cell r="A424" t="str">
            <v>LRCX</v>
          </cell>
          <cell r="B424" t="str">
            <v>SMH</v>
          </cell>
          <cell r="D424" t="str">
            <v>Y</v>
          </cell>
        </row>
        <row r="425">
          <cell r="A425" t="str">
            <v>KLAC</v>
          </cell>
          <cell r="B425" t="str">
            <v>SMH</v>
          </cell>
          <cell r="D425" t="str">
            <v>Y</v>
          </cell>
        </row>
        <row r="426">
          <cell r="A426" t="str">
            <v>INTC</v>
          </cell>
          <cell r="B426" t="str">
            <v>SMH</v>
          </cell>
          <cell r="D426" t="str">
            <v>Y</v>
          </cell>
        </row>
        <row r="427">
          <cell r="A427" t="str">
            <v>CRWD</v>
          </cell>
          <cell r="B427" t="str">
            <v>IGV</v>
          </cell>
          <cell r="D427" t="str">
            <v>Y</v>
          </cell>
        </row>
        <row r="428">
          <cell r="A428" t="str">
            <v>APH</v>
          </cell>
          <cell r="B428" t="str">
            <v>XLK</v>
          </cell>
          <cell r="D428" t="str">
            <v>Y</v>
          </cell>
        </row>
        <row r="429">
          <cell r="A429" t="str">
            <v>CDNS</v>
          </cell>
          <cell r="B429" t="str">
            <v>SMH</v>
          </cell>
          <cell r="D429" t="str">
            <v>Y</v>
          </cell>
        </row>
        <row r="430">
          <cell r="A430" t="str">
            <v>SNPS</v>
          </cell>
          <cell r="B430" t="str">
            <v>SMH</v>
          </cell>
          <cell r="D430" t="str">
            <v>Y</v>
          </cell>
        </row>
        <row r="431">
          <cell r="A431" t="str">
            <v>MSI</v>
          </cell>
          <cell r="B431" t="str">
            <v>XLK</v>
          </cell>
          <cell r="D431" t="str">
            <v>Y</v>
          </cell>
        </row>
        <row r="432">
          <cell r="A432" t="str">
            <v>ADSK</v>
          </cell>
          <cell r="B432" t="str">
            <v>IGV</v>
          </cell>
          <cell r="D432" t="str">
            <v>Y</v>
          </cell>
        </row>
        <row r="433">
          <cell r="A433" t="str">
            <v>FTNT</v>
          </cell>
          <cell r="B433" t="str">
            <v>IGV</v>
          </cell>
          <cell r="D433" t="str">
            <v>Y</v>
          </cell>
        </row>
        <row r="434">
          <cell r="A434" t="str">
            <v>ROP</v>
          </cell>
          <cell r="B434" t="str">
            <v>IGV</v>
          </cell>
          <cell r="D434" t="str">
            <v>Y</v>
          </cell>
        </row>
        <row r="435">
          <cell r="A435" t="str">
            <v>WDAY</v>
          </cell>
          <cell r="B435" t="str">
            <v>IGV</v>
          </cell>
          <cell r="D435" t="str">
            <v>Y</v>
          </cell>
        </row>
        <row r="436">
          <cell r="A436" t="str">
            <v>NXPI</v>
          </cell>
          <cell r="B436" t="str">
            <v>SMH</v>
          </cell>
          <cell r="D436" t="str">
            <v>Y</v>
          </cell>
        </row>
        <row r="437">
          <cell r="A437" t="str">
            <v>TEL</v>
          </cell>
          <cell r="B437" t="str">
            <v>XLK</v>
          </cell>
          <cell r="D437" t="str">
            <v>Y</v>
          </cell>
        </row>
        <row r="438">
          <cell r="A438" t="str">
            <v>FICO</v>
          </cell>
          <cell r="B438" t="str">
            <v>IGV</v>
          </cell>
          <cell r="D438" t="str">
            <v>Y</v>
          </cell>
        </row>
        <row r="439">
          <cell r="A439" t="str">
            <v>IT</v>
          </cell>
          <cell r="B439" t="str">
            <v>XLK</v>
          </cell>
          <cell r="D439" t="str">
            <v>Y</v>
          </cell>
        </row>
        <row r="440">
          <cell r="A440" t="str">
            <v>CTSH</v>
          </cell>
          <cell r="B440" t="str">
            <v>XLK</v>
          </cell>
          <cell r="D440" t="str">
            <v>Y</v>
          </cell>
        </row>
        <row r="441">
          <cell r="A441" t="str">
            <v>GLW</v>
          </cell>
          <cell r="B441" t="str">
            <v>XLK</v>
          </cell>
          <cell r="D441" t="str">
            <v>Y</v>
          </cell>
        </row>
        <row r="442">
          <cell r="A442" t="str">
            <v>HPQ</v>
          </cell>
          <cell r="B442" t="str">
            <v>XLK</v>
          </cell>
          <cell r="D442" t="str">
            <v>Y</v>
          </cell>
        </row>
        <row r="443">
          <cell r="A443" t="str">
            <v>DELL</v>
          </cell>
          <cell r="B443" t="str">
            <v>XLK</v>
          </cell>
          <cell r="D443" t="str">
            <v>Y</v>
          </cell>
        </row>
        <row r="444">
          <cell r="A444" t="str">
            <v>MCHP</v>
          </cell>
          <cell r="B444" t="str">
            <v>SMH</v>
          </cell>
          <cell r="D444" t="str">
            <v>Y</v>
          </cell>
        </row>
        <row r="445">
          <cell r="A445" t="str">
            <v>TTD</v>
          </cell>
          <cell r="B445" t="str">
            <v>XLC</v>
          </cell>
          <cell r="D445" t="str">
            <v>Y</v>
          </cell>
        </row>
        <row r="446">
          <cell r="A446" t="str">
            <v>HPE</v>
          </cell>
          <cell r="B446" t="str">
            <v>XLK</v>
          </cell>
          <cell r="D446" t="str">
            <v>Y</v>
          </cell>
        </row>
        <row r="447">
          <cell r="A447" t="str">
            <v>MPWR</v>
          </cell>
          <cell r="B447" t="str">
            <v>SMH</v>
          </cell>
          <cell r="D447" t="str">
            <v>Y</v>
          </cell>
        </row>
        <row r="448">
          <cell r="A448" t="str">
            <v>KEYS</v>
          </cell>
          <cell r="B448" t="str">
            <v>XLK</v>
          </cell>
          <cell r="D448" t="str">
            <v>Y</v>
          </cell>
        </row>
        <row r="449">
          <cell r="A449" t="str">
            <v>GDDY</v>
          </cell>
          <cell r="B449" t="str">
            <v>XLK</v>
          </cell>
          <cell r="D449" t="str">
            <v>Y</v>
          </cell>
        </row>
        <row r="450">
          <cell r="A450" t="str">
            <v>TYL</v>
          </cell>
          <cell r="B450" t="str">
            <v>IGV</v>
          </cell>
          <cell r="D450" t="str">
            <v>Y</v>
          </cell>
        </row>
        <row r="451">
          <cell r="A451" t="str">
            <v>CDW</v>
          </cell>
          <cell r="B451" t="str">
            <v>XLK</v>
          </cell>
          <cell r="D451" t="str">
            <v>Y</v>
          </cell>
        </row>
        <row r="452">
          <cell r="A452" t="str">
            <v>NTAP</v>
          </cell>
          <cell r="B452" t="str">
            <v>XLK</v>
          </cell>
          <cell r="D452" t="str">
            <v>Y</v>
          </cell>
        </row>
        <row r="453">
          <cell r="A453" t="str">
            <v>TDY</v>
          </cell>
          <cell r="B453" t="str">
            <v>XLK</v>
          </cell>
          <cell r="D453" t="str">
            <v>Y</v>
          </cell>
        </row>
        <row r="454">
          <cell r="A454" t="str">
            <v>ON</v>
          </cell>
          <cell r="B454" t="str">
            <v>SMH</v>
          </cell>
          <cell r="D454" t="str">
            <v>Y</v>
          </cell>
        </row>
        <row r="455">
          <cell r="A455" t="str">
            <v>PTC</v>
          </cell>
          <cell r="B455" t="str">
            <v>IGV</v>
          </cell>
          <cell r="D455" t="str">
            <v>Y</v>
          </cell>
        </row>
        <row r="456">
          <cell r="A456" t="str">
            <v>WDC</v>
          </cell>
          <cell r="B456" t="str">
            <v>XLK</v>
          </cell>
          <cell r="D456" t="str">
            <v>Y</v>
          </cell>
        </row>
        <row r="457">
          <cell r="A457" t="str">
            <v>STX</v>
          </cell>
          <cell r="B457" t="str">
            <v>XLK</v>
          </cell>
          <cell r="D457" t="str">
            <v>Y</v>
          </cell>
        </row>
        <row r="458">
          <cell r="A458" t="str">
            <v>ZBRA</v>
          </cell>
          <cell r="B458" t="str">
            <v>XLK</v>
          </cell>
          <cell r="D458" t="str">
            <v>Y</v>
          </cell>
        </row>
        <row r="459">
          <cell r="A459" t="str">
            <v>TER</v>
          </cell>
          <cell r="B459" t="str">
            <v>SMH</v>
          </cell>
          <cell r="D459" t="str">
            <v>Y</v>
          </cell>
        </row>
        <row r="460">
          <cell r="A460" t="str">
            <v>TRMB</v>
          </cell>
          <cell r="B460" t="str">
            <v>XLK</v>
          </cell>
          <cell r="D460" t="str">
            <v>Y</v>
          </cell>
        </row>
        <row r="461">
          <cell r="A461" t="str">
            <v>JBL</v>
          </cell>
          <cell r="B461" t="str">
            <v>XLK</v>
          </cell>
          <cell r="D461" t="str">
            <v>Y</v>
          </cell>
        </row>
        <row r="462">
          <cell r="A462" t="str">
            <v>FSLR</v>
          </cell>
          <cell r="B462" t="str">
            <v>XLK</v>
          </cell>
          <cell r="D462" t="str">
            <v>Y</v>
          </cell>
        </row>
        <row r="463">
          <cell r="A463" t="str">
            <v>VRSN</v>
          </cell>
          <cell r="B463" t="str">
            <v>XLK</v>
          </cell>
          <cell r="D463" t="str">
            <v>Y</v>
          </cell>
        </row>
        <row r="464">
          <cell r="A464" t="str">
            <v>FFIV</v>
          </cell>
          <cell r="B464" t="str">
            <v>XLK</v>
          </cell>
          <cell r="D464" t="str">
            <v>Y</v>
          </cell>
        </row>
        <row r="465">
          <cell r="A465" t="str">
            <v>AKAM</v>
          </cell>
          <cell r="B465" t="str">
            <v>XLK</v>
          </cell>
          <cell r="D465" t="str">
            <v>Y</v>
          </cell>
        </row>
        <row r="466">
          <cell r="A466" t="str">
            <v>GEN</v>
          </cell>
          <cell r="B466" t="str">
            <v>IGV</v>
          </cell>
          <cell r="D466" t="str">
            <v>Y</v>
          </cell>
        </row>
        <row r="467">
          <cell r="A467" t="str">
            <v>SMCI</v>
          </cell>
          <cell r="B467" t="str">
            <v>XLK</v>
          </cell>
          <cell r="D467" t="str">
            <v>Y</v>
          </cell>
        </row>
        <row r="468">
          <cell r="A468" t="str">
            <v>SWKS</v>
          </cell>
          <cell r="B468" t="str">
            <v>SMH</v>
          </cell>
          <cell r="D468" t="str">
            <v>Y</v>
          </cell>
        </row>
        <row r="469">
          <cell r="A469" t="str">
            <v>EPAM</v>
          </cell>
          <cell r="B469" t="str">
            <v>XLK</v>
          </cell>
          <cell r="D469" t="str">
            <v>Y</v>
          </cell>
        </row>
        <row r="470">
          <cell r="A470" t="str">
            <v>DDOG</v>
          </cell>
          <cell r="B470" t="str">
            <v>IGV</v>
          </cell>
          <cell r="D470" t="str">
            <v>Y</v>
          </cell>
        </row>
        <row r="471">
          <cell r="A471" t="str">
            <v>ENPH</v>
          </cell>
          <cell r="B471" t="str">
            <v>XLK</v>
          </cell>
          <cell r="D471" t="str">
            <v>Y</v>
          </cell>
        </row>
        <row r="472">
          <cell r="A472" t="str">
            <v>NEE</v>
          </cell>
          <cell r="B472" t="str">
            <v>XLU</v>
          </cell>
          <cell r="D472" t="str">
            <v>Y</v>
          </cell>
        </row>
        <row r="473">
          <cell r="A473" t="str">
            <v>SO</v>
          </cell>
          <cell r="B473" t="str">
            <v>XLU</v>
          </cell>
          <cell r="D473" t="str">
            <v>Y</v>
          </cell>
        </row>
        <row r="474">
          <cell r="A474" t="str">
            <v>DUK</v>
          </cell>
          <cell r="B474" t="str">
            <v>XLU</v>
          </cell>
          <cell r="D474" t="str">
            <v>Y</v>
          </cell>
        </row>
        <row r="475">
          <cell r="A475" t="str">
            <v>CEG</v>
          </cell>
          <cell r="B475" t="str">
            <v>XLU</v>
          </cell>
          <cell r="D475" t="str">
            <v>Y</v>
          </cell>
        </row>
        <row r="476">
          <cell r="A476" t="str">
            <v>AEP</v>
          </cell>
          <cell r="B476" t="str">
            <v>XLU</v>
          </cell>
          <cell r="D476" t="str">
            <v>Y</v>
          </cell>
        </row>
        <row r="477">
          <cell r="A477" t="str">
            <v>SRE</v>
          </cell>
          <cell r="B477" t="str">
            <v>XLU</v>
          </cell>
          <cell r="D477" t="str">
            <v>Y</v>
          </cell>
        </row>
        <row r="478">
          <cell r="A478" t="str">
            <v>D</v>
          </cell>
          <cell r="B478" t="str">
            <v>XLU</v>
          </cell>
          <cell r="D478" t="str">
            <v>Y</v>
          </cell>
        </row>
        <row r="479">
          <cell r="A479" t="str">
            <v>VST</v>
          </cell>
          <cell r="B479" t="str">
            <v>XLU</v>
          </cell>
          <cell r="D479" t="str">
            <v>Y</v>
          </cell>
        </row>
        <row r="480">
          <cell r="A480" t="str">
            <v>PEG</v>
          </cell>
          <cell r="B480" t="str">
            <v>XLU</v>
          </cell>
          <cell r="D480" t="str">
            <v>Y</v>
          </cell>
        </row>
        <row r="481">
          <cell r="A481" t="str">
            <v>EXC</v>
          </cell>
          <cell r="B481" t="str">
            <v>XLU</v>
          </cell>
          <cell r="D481" t="str">
            <v>Y</v>
          </cell>
        </row>
        <row r="482">
          <cell r="A482" t="str">
            <v>XEL</v>
          </cell>
          <cell r="B482" t="str">
            <v>XLU</v>
          </cell>
          <cell r="D482" t="str">
            <v>Y</v>
          </cell>
        </row>
        <row r="483">
          <cell r="A483" t="str">
            <v>PCG</v>
          </cell>
          <cell r="B483" t="str">
            <v>XLU</v>
          </cell>
          <cell r="D483" t="str">
            <v>Y</v>
          </cell>
        </row>
        <row r="484">
          <cell r="A484" t="str">
            <v>ETR</v>
          </cell>
          <cell r="B484" t="str">
            <v>XLU</v>
          </cell>
          <cell r="D484" t="str">
            <v>Y</v>
          </cell>
        </row>
        <row r="485">
          <cell r="A485" t="str">
            <v>ED</v>
          </cell>
          <cell r="B485" t="str">
            <v>XLU</v>
          </cell>
          <cell r="D485" t="str">
            <v>Y</v>
          </cell>
        </row>
        <row r="486">
          <cell r="A486" t="str">
            <v>WEC</v>
          </cell>
          <cell r="B486" t="str">
            <v>XLU</v>
          </cell>
          <cell r="D486" t="str">
            <v>Y</v>
          </cell>
        </row>
        <row r="487">
          <cell r="A487" t="str">
            <v>AWK</v>
          </cell>
          <cell r="B487" t="str">
            <v>XLU</v>
          </cell>
          <cell r="D487" t="str">
            <v>Y</v>
          </cell>
        </row>
        <row r="488">
          <cell r="A488" t="str">
            <v>DTE</v>
          </cell>
          <cell r="B488" t="str">
            <v>XLU</v>
          </cell>
          <cell r="D488" t="str">
            <v>Y</v>
          </cell>
        </row>
        <row r="489">
          <cell r="A489" t="str">
            <v>AEE</v>
          </cell>
          <cell r="B489" t="str">
            <v>XLU</v>
          </cell>
          <cell r="D489" t="str">
            <v>Y</v>
          </cell>
        </row>
        <row r="490">
          <cell r="A490" t="str">
            <v>PPL</v>
          </cell>
          <cell r="B490" t="str">
            <v>XLU</v>
          </cell>
          <cell r="D490" t="str">
            <v>Y</v>
          </cell>
        </row>
        <row r="491">
          <cell r="A491" t="str">
            <v>EIX</v>
          </cell>
          <cell r="B491" t="str">
            <v>XLU</v>
          </cell>
          <cell r="D491" t="str">
            <v>Y</v>
          </cell>
        </row>
        <row r="492">
          <cell r="A492" t="str">
            <v>ATO</v>
          </cell>
          <cell r="B492" t="str">
            <v>XLU</v>
          </cell>
          <cell r="D492" t="str">
            <v>Y</v>
          </cell>
        </row>
        <row r="493">
          <cell r="A493" t="str">
            <v>CNP</v>
          </cell>
          <cell r="B493" t="str">
            <v>XLU</v>
          </cell>
          <cell r="D493" t="str">
            <v>Y</v>
          </cell>
        </row>
        <row r="494">
          <cell r="A494" t="str">
            <v>ES</v>
          </cell>
          <cell r="B494" t="str">
            <v>XLU</v>
          </cell>
          <cell r="D494" t="str">
            <v>Y</v>
          </cell>
        </row>
        <row r="495">
          <cell r="A495" t="str">
            <v>FE</v>
          </cell>
          <cell r="B495" t="str">
            <v>XLU</v>
          </cell>
          <cell r="D495" t="str">
            <v>Y</v>
          </cell>
        </row>
        <row r="496">
          <cell r="A496" t="str">
            <v>CMS</v>
          </cell>
          <cell r="B496" t="str">
            <v>XLU</v>
          </cell>
          <cell r="D496" t="str">
            <v>Y</v>
          </cell>
        </row>
        <row r="497">
          <cell r="A497" t="str">
            <v>NRG</v>
          </cell>
          <cell r="B497" t="str">
            <v>XLU</v>
          </cell>
          <cell r="D497" t="str">
            <v>Y</v>
          </cell>
        </row>
        <row r="498">
          <cell r="A498" t="str">
            <v>NI</v>
          </cell>
          <cell r="B498" t="str">
            <v>XLU</v>
          </cell>
          <cell r="D498" t="str">
            <v>Y</v>
          </cell>
        </row>
        <row r="499">
          <cell r="A499" t="str">
            <v>LNT</v>
          </cell>
          <cell r="B499" t="str">
            <v>XLU</v>
          </cell>
          <cell r="D499" t="str">
            <v>Y</v>
          </cell>
        </row>
        <row r="500">
          <cell r="A500" t="str">
            <v>EVRG</v>
          </cell>
          <cell r="B500" t="str">
            <v>XLU</v>
          </cell>
          <cell r="D500" t="str">
            <v>Y</v>
          </cell>
        </row>
        <row r="501">
          <cell r="A501" t="str">
            <v>PNW</v>
          </cell>
          <cell r="B501" t="str">
            <v>XLU</v>
          </cell>
          <cell r="D501" t="str">
            <v>Y</v>
          </cell>
        </row>
        <row r="502">
          <cell r="A502" t="str">
            <v>AES</v>
          </cell>
          <cell r="B502" t="str">
            <v>XLU</v>
          </cell>
          <cell r="D502" t="str">
            <v>Y</v>
          </cell>
        </row>
        <row r="503">
          <cell r="A503" t="str">
            <v>ASML</v>
          </cell>
          <cell r="B503" t="str">
            <v>SMH</v>
          </cell>
        </row>
        <row r="504">
          <cell r="A504" t="str">
            <v>MRVL</v>
          </cell>
          <cell r="B504" t="str">
            <v>SMH</v>
          </cell>
        </row>
        <row r="505">
          <cell r="A505" t="str">
            <v>QRVO</v>
          </cell>
          <cell r="B505" t="str">
            <v>SMH</v>
          </cell>
        </row>
        <row r="506">
          <cell r="A506" t="str">
            <v>STM</v>
          </cell>
          <cell r="B506" t="str">
            <v>SMH</v>
          </cell>
        </row>
        <row r="507">
          <cell r="A507" t="str">
            <v>TSM</v>
          </cell>
          <cell r="B507" t="str">
            <v>SMH</v>
          </cell>
        </row>
        <row r="508">
          <cell r="A508" t="str">
            <v>ARM</v>
          </cell>
          <cell r="B508" t="str">
            <v>SMH</v>
          </cell>
        </row>
        <row r="509">
          <cell r="A509" t="str">
            <v>APP</v>
          </cell>
          <cell r="B509" t="str">
            <v>IGV</v>
          </cell>
        </row>
        <row r="510">
          <cell r="A510" t="str">
            <v>MSTR</v>
          </cell>
          <cell r="B510" t="str">
            <v>IGV</v>
          </cell>
        </row>
        <row r="511">
          <cell r="A511" t="str">
            <v>TEAM</v>
          </cell>
          <cell r="B511" t="str">
            <v>IGV</v>
          </cell>
        </row>
        <row r="512">
          <cell r="A512" t="str">
            <v>DDOG</v>
          </cell>
          <cell r="B512" t="str">
            <v>IGV</v>
          </cell>
        </row>
        <row r="513">
          <cell r="A513" t="str">
            <v>ZM</v>
          </cell>
          <cell r="B513" t="str">
            <v>IGV</v>
          </cell>
        </row>
        <row r="514">
          <cell r="A514" t="str">
            <v>ZS</v>
          </cell>
          <cell r="B514" t="str">
            <v>IGV</v>
          </cell>
        </row>
        <row r="515">
          <cell r="A515" t="str">
            <v>DOCU</v>
          </cell>
          <cell r="B515" t="str">
            <v>IGV</v>
          </cell>
        </row>
        <row r="516">
          <cell r="A516" t="str">
            <v>DT</v>
          </cell>
          <cell r="B516" t="str">
            <v>IGV</v>
          </cell>
        </row>
        <row r="517">
          <cell r="A517" t="str">
            <v>NTNX</v>
          </cell>
          <cell r="B517" t="str">
            <v>IGV</v>
          </cell>
        </row>
        <row r="518">
          <cell r="A518" t="str">
            <v>MANH</v>
          </cell>
          <cell r="B518" t="str">
            <v>IGV</v>
          </cell>
        </row>
        <row r="519">
          <cell r="A519" t="str">
            <v>SNAP</v>
          </cell>
          <cell r="B519" t="str">
            <v>IGV</v>
          </cell>
        </row>
        <row r="520">
          <cell r="A520" t="str">
            <v>ESTC</v>
          </cell>
          <cell r="B520" t="str">
            <v>IGV</v>
          </cell>
        </row>
        <row r="521">
          <cell r="A521" t="str">
            <v>GTLB</v>
          </cell>
          <cell r="B521" t="str">
            <v>IGV</v>
          </cell>
        </row>
        <row r="522">
          <cell r="A522" t="str">
            <v>PCOR</v>
          </cell>
          <cell r="B522" t="str">
            <v>IGV</v>
          </cell>
        </row>
        <row r="523">
          <cell r="A523" t="str">
            <v>CFLT</v>
          </cell>
          <cell r="B523" t="str">
            <v>IGV</v>
          </cell>
        </row>
        <row r="524">
          <cell r="A524" t="str">
            <v>CVLT</v>
          </cell>
          <cell r="B524" t="str">
            <v>IGV</v>
          </cell>
        </row>
        <row r="525">
          <cell r="A525" t="str">
            <v>DBX</v>
          </cell>
          <cell r="B525" t="str">
            <v>IGV</v>
          </cell>
        </row>
        <row r="526">
          <cell r="A526" t="str">
            <v>S</v>
          </cell>
          <cell r="B526" t="str">
            <v>IGV</v>
          </cell>
        </row>
        <row r="527">
          <cell r="A527" t="str">
            <v>U</v>
          </cell>
          <cell r="B527" t="str">
            <v>IGV</v>
          </cell>
        </row>
        <row r="528">
          <cell r="A528" t="str">
            <v>PATH</v>
          </cell>
          <cell r="B528" t="str">
            <v>IGV</v>
          </cell>
        </row>
        <row r="529">
          <cell r="A529" t="str">
            <v>CWAN</v>
          </cell>
          <cell r="B529" t="str">
            <v>IGV</v>
          </cell>
        </row>
        <row r="530">
          <cell r="A530" t="str">
            <v>APPF</v>
          </cell>
          <cell r="B530" t="str">
            <v>IGV</v>
          </cell>
        </row>
        <row r="531">
          <cell r="A531" t="str">
            <v>RBRK</v>
          </cell>
          <cell r="B531" t="str">
            <v>IGV</v>
          </cell>
        </row>
        <row r="532">
          <cell r="A532" t="str">
            <v>DLB</v>
          </cell>
          <cell r="B532" t="str">
            <v>IGV</v>
          </cell>
        </row>
        <row r="533">
          <cell r="A533" t="str">
            <v>BOX</v>
          </cell>
          <cell r="B533" t="str">
            <v>IGV</v>
          </cell>
        </row>
        <row r="534">
          <cell r="A534" t="str">
            <v>TENB</v>
          </cell>
          <cell r="B534" t="str">
            <v>IGV</v>
          </cell>
        </row>
        <row r="535">
          <cell r="A535" t="str">
            <v>VRNS</v>
          </cell>
          <cell r="B535" t="str">
            <v>IGV</v>
          </cell>
        </row>
        <row r="536">
          <cell r="A536" t="str">
            <v>ZETA</v>
          </cell>
          <cell r="B536" t="str">
            <v>IGV</v>
          </cell>
        </row>
        <row r="537">
          <cell r="A537" t="str">
            <v>AI</v>
          </cell>
          <cell r="B537" t="str">
            <v>IGV</v>
          </cell>
        </row>
        <row r="538">
          <cell r="A538" t="str">
            <v>KVYO</v>
          </cell>
          <cell r="B538" t="str">
            <v>IGV</v>
          </cell>
        </row>
        <row r="539">
          <cell r="A539" t="str">
            <v>INTA</v>
          </cell>
          <cell r="B539" t="str">
            <v>IGV</v>
          </cell>
        </row>
        <row r="540">
          <cell r="A540" t="str">
            <v>FRSH</v>
          </cell>
          <cell r="B540" t="str">
            <v>IGV</v>
          </cell>
        </row>
        <row r="541">
          <cell r="A541" t="str">
            <v>BB</v>
          </cell>
          <cell r="B541" t="str">
            <v>IGV</v>
          </cell>
        </row>
        <row r="542">
          <cell r="A542" t="str">
            <v>BRZE</v>
          </cell>
          <cell r="B542" t="str">
            <v>IGV</v>
          </cell>
        </row>
        <row r="543">
          <cell r="A543" t="str">
            <v>NOVA</v>
          </cell>
          <cell r="B543" t="str">
            <v>XLK</v>
          </cell>
        </row>
        <row r="544">
          <cell r="A544" t="str">
            <v>GCT</v>
          </cell>
          <cell r="B544" t="str">
            <v>XLK</v>
          </cell>
        </row>
        <row r="545">
          <cell r="A545" t="str">
            <v>ASTS</v>
          </cell>
          <cell r="B545" t="str">
            <v>XLK</v>
          </cell>
        </row>
        <row r="546">
          <cell r="A546" t="str">
            <v>SEAT</v>
          </cell>
          <cell r="B546" t="str">
            <v>XLC</v>
          </cell>
        </row>
        <row r="547">
          <cell r="A547" t="str">
            <v>SWIM</v>
          </cell>
          <cell r="B547" t="str">
            <v>XLI</v>
          </cell>
        </row>
        <row r="548">
          <cell r="A548" t="str">
            <v>CRCT</v>
          </cell>
          <cell r="B548" t="str">
            <v>XLK</v>
          </cell>
        </row>
        <row r="549">
          <cell r="A549" t="str">
            <v>ORN</v>
          </cell>
          <cell r="B549" t="str">
            <v>XLI</v>
          </cell>
        </row>
        <row r="550">
          <cell r="A550" t="str">
            <v>DIN</v>
          </cell>
          <cell r="B550" t="str">
            <v>XLY</v>
          </cell>
        </row>
        <row r="551">
          <cell r="A551" t="str">
            <v>SMRT</v>
          </cell>
          <cell r="B551" t="str">
            <v>XLK</v>
          </cell>
        </row>
        <row r="552">
          <cell r="A552" t="str">
            <v>FL</v>
          </cell>
          <cell r="B552" t="str">
            <v>XLY</v>
          </cell>
        </row>
        <row r="553">
          <cell r="A553" t="str">
            <v>ANF</v>
          </cell>
          <cell r="B553" t="str">
            <v>XLY</v>
          </cell>
        </row>
        <row r="554">
          <cell r="A554" t="str">
            <v>REVG</v>
          </cell>
          <cell r="B554" t="str">
            <v>XLI</v>
          </cell>
        </row>
        <row r="555">
          <cell r="A555" t="str">
            <v>EWCZ</v>
          </cell>
          <cell r="B555" t="str">
            <v>XLP</v>
          </cell>
        </row>
        <row r="556">
          <cell r="A556" t="str">
            <v>CMPO</v>
          </cell>
          <cell r="B556" t="str">
            <v>XLI</v>
          </cell>
        </row>
        <row r="557">
          <cell r="A557" t="str">
            <v>THO</v>
          </cell>
          <cell r="B557" t="str">
            <v>XLY</v>
          </cell>
        </row>
        <row r="558">
          <cell r="A558" t="str">
            <v>EVGO</v>
          </cell>
          <cell r="B558" t="str">
            <v>XLY</v>
          </cell>
        </row>
        <row r="559">
          <cell r="A559" t="str">
            <v>VSCO</v>
          </cell>
          <cell r="B559" t="str">
            <v>XLY</v>
          </cell>
        </row>
        <row r="560">
          <cell r="A560" t="str">
            <v>CDXC</v>
          </cell>
          <cell r="B560" t="str">
            <v>XLP</v>
          </cell>
        </row>
        <row r="561">
          <cell r="A561" t="str">
            <v>YEXT</v>
          </cell>
          <cell r="B561" t="str">
            <v>IGV</v>
          </cell>
        </row>
        <row r="562">
          <cell r="A562" t="str">
            <v>VUZI</v>
          </cell>
          <cell r="B562" t="str">
            <v>XLK</v>
          </cell>
        </row>
        <row r="563">
          <cell r="A563" t="str">
            <v>SVCO</v>
          </cell>
          <cell r="B563" t="str">
            <v>XLK</v>
          </cell>
        </row>
        <row r="564">
          <cell r="A564" t="str">
            <v>MEI</v>
          </cell>
          <cell r="B564" t="str">
            <v>XLK</v>
          </cell>
        </row>
        <row r="565">
          <cell r="A565" t="str">
            <v>GRND</v>
          </cell>
          <cell r="B565" t="str">
            <v>XLK</v>
          </cell>
        </row>
        <row r="566">
          <cell r="A566" t="str">
            <v>RGTI</v>
          </cell>
          <cell r="B566" t="str">
            <v>XLK</v>
          </cell>
        </row>
        <row r="567">
          <cell r="A567" t="str">
            <v>M</v>
          </cell>
          <cell r="B567" t="str">
            <v>XLY</v>
          </cell>
        </row>
        <row r="568">
          <cell r="A568" t="str">
            <v>BURL</v>
          </cell>
          <cell r="B568" t="str">
            <v>XLY</v>
          </cell>
        </row>
        <row r="569">
          <cell r="A569" t="str">
            <v>BJ</v>
          </cell>
          <cell r="B569" t="str">
            <v>XLP</v>
          </cell>
        </row>
        <row r="570">
          <cell r="A570" t="str">
            <v>TTC</v>
          </cell>
          <cell r="B570" t="str">
            <v>XLI</v>
          </cell>
        </row>
        <row r="571">
          <cell r="A571" t="str">
            <v>BKSY</v>
          </cell>
          <cell r="B571" t="str">
            <v>XLK</v>
          </cell>
        </row>
        <row r="572">
          <cell r="A572" t="str">
            <v>SWBI</v>
          </cell>
          <cell r="B572" t="str">
            <v>XLI</v>
          </cell>
        </row>
        <row r="573">
          <cell r="A573" t="str">
            <v>BBAI</v>
          </cell>
          <cell r="B573" t="str">
            <v>XLK</v>
          </cell>
        </row>
        <row r="574">
          <cell r="A574" t="str">
            <v>GAP</v>
          </cell>
          <cell r="B574" t="str">
            <v>XLY</v>
          </cell>
        </row>
        <row r="575">
          <cell r="A575" t="str">
            <v>FNKO</v>
          </cell>
          <cell r="B575" t="str">
            <v>XLY</v>
          </cell>
        </row>
        <row r="576">
          <cell r="A576" t="str">
            <v>NPWR</v>
          </cell>
          <cell r="B576" t="str">
            <v>XLI</v>
          </cell>
        </row>
        <row r="577">
          <cell r="A577" t="str">
            <v>TLS</v>
          </cell>
          <cell r="B577" t="str">
            <v>XLK</v>
          </cell>
        </row>
        <row r="578">
          <cell r="A578" t="str">
            <v>LFMD</v>
          </cell>
          <cell r="B578" t="str">
            <v>XLV</v>
          </cell>
        </row>
        <row r="579">
          <cell r="A579" t="str">
            <v>ASAN</v>
          </cell>
          <cell r="B579" t="str">
            <v>IGV</v>
          </cell>
        </row>
        <row r="580">
          <cell r="A580" t="str">
            <v>FWRG</v>
          </cell>
          <cell r="B580" t="str">
            <v>XLY</v>
          </cell>
        </row>
        <row r="581">
          <cell r="A581" t="str">
            <v>DKS</v>
          </cell>
          <cell r="B581" t="str">
            <v>XLY</v>
          </cell>
        </row>
        <row r="582">
          <cell r="A582" t="str">
            <v>UNFI</v>
          </cell>
          <cell r="B582" t="str">
            <v>XLP</v>
          </cell>
        </row>
        <row r="583">
          <cell r="A583" t="str">
            <v>CIEN</v>
          </cell>
          <cell r="B583" t="str">
            <v>XLK</v>
          </cell>
        </row>
        <row r="584">
          <cell r="A584" t="str">
            <v>SFIX</v>
          </cell>
          <cell r="B584" t="str">
            <v>XLY</v>
          </cell>
        </row>
        <row r="585">
          <cell r="A585" t="str">
            <v>MXCT</v>
          </cell>
          <cell r="B585" t="str">
            <v>XLV</v>
          </cell>
        </row>
        <row r="586">
          <cell r="A586" t="str">
            <v>CXM</v>
          </cell>
          <cell r="B586" t="str">
            <v>IGV</v>
          </cell>
        </row>
        <row r="587">
          <cell r="A587" t="str">
            <v>AEO</v>
          </cell>
          <cell r="B587" t="str">
            <v>XLY</v>
          </cell>
        </row>
        <row r="588">
          <cell r="A588" t="str">
            <v>BLDE</v>
          </cell>
          <cell r="B588" t="str">
            <v>XLI</v>
          </cell>
        </row>
        <row r="589">
          <cell r="A589" t="str">
            <v>RDW</v>
          </cell>
          <cell r="B589" t="str">
            <v>XLI</v>
          </cell>
        </row>
        <row r="590">
          <cell r="A590" t="str">
            <v>GRPN</v>
          </cell>
          <cell r="B590" t="str">
            <v>XLC</v>
          </cell>
        </row>
        <row r="591">
          <cell r="A591" t="str">
            <v>PD</v>
          </cell>
          <cell r="B591" t="str">
            <v>IGV</v>
          </cell>
        </row>
        <row r="592">
          <cell r="A592" t="str">
            <v>JNPR</v>
          </cell>
          <cell r="B592" t="str">
            <v>XLK</v>
          </cell>
        </row>
        <row r="593">
          <cell r="A593" t="str">
            <v>MAPS</v>
          </cell>
          <cell r="B593" t="str">
            <v>XLK</v>
          </cell>
        </row>
        <row r="594">
          <cell r="A594" t="str">
            <v>SAIC</v>
          </cell>
          <cell r="B594" t="str">
            <v>XLK</v>
          </cell>
        </row>
        <row r="595">
          <cell r="A595" t="str">
            <v>IMMR</v>
          </cell>
          <cell r="B595" t="str">
            <v>XLK</v>
          </cell>
        </row>
        <row r="596">
          <cell r="A596" t="str">
            <v>NCMI</v>
          </cell>
          <cell r="B596" t="str">
            <v>XLC</v>
          </cell>
        </row>
        <row r="597">
          <cell r="A597" t="str">
            <v>RCAT</v>
          </cell>
          <cell r="B597" t="str">
            <v>XLK</v>
          </cell>
        </row>
        <row r="598">
          <cell r="A598" t="str">
            <v>CNM</v>
          </cell>
          <cell r="B598" t="str">
            <v>XLI</v>
          </cell>
        </row>
        <row r="599">
          <cell r="A599" t="str">
            <v>HQY</v>
          </cell>
          <cell r="B599" t="str">
            <v>XLV</v>
          </cell>
        </row>
        <row r="600">
          <cell r="A600" t="str">
            <v>CAL</v>
          </cell>
          <cell r="B600" t="str">
            <v>XLY</v>
          </cell>
        </row>
        <row r="601">
          <cell r="A601" t="str">
            <v>OLLI</v>
          </cell>
          <cell r="B601" t="str">
            <v>XLP</v>
          </cell>
        </row>
        <row r="602">
          <cell r="A602" t="str">
            <v>CHWY</v>
          </cell>
          <cell r="B602" t="str">
            <v>XLY</v>
          </cell>
        </row>
        <row r="603">
          <cell r="A603" t="str">
            <v>OUST</v>
          </cell>
          <cell r="B603" t="str">
            <v>XLK</v>
          </cell>
        </row>
        <row r="604">
          <cell r="A604" t="str">
            <v>SCS</v>
          </cell>
          <cell r="B604" t="str">
            <v>XLY</v>
          </cell>
        </row>
        <row r="605">
          <cell r="A605" t="str">
            <v>NN</v>
          </cell>
          <cell r="B605" t="str">
            <v>XLK</v>
          </cell>
        </row>
        <row r="606">
          <cell r="A606" t="str">
            <v>FIVE</v>
          </cell>
          <cell r="B606" t="str">
            <v>XLY</v>
          </cell>
        </row>
        <row r="607">
          <cell r="A607" t="str">
            <v>LUNR</v>
          </cell>
          <cell r="B607" t="str">
            <v>XLI</v>
          </cell>
        </row>
        <row r="608">
          <cell r="A608" t="str">
            <v>WGO</v>
          </cell>
          <cell r="B608" t="str">
            <v>XLY</v>
          </cell>
        </row>
        <row r="609">
          <cell r="A609" t="str">
            <v>ASO</v>
          </cell>
          <cell r="B609" t="str">
            <v>XLY</v>
          </cell>
        </row>
        <row r="610">
          <cell r="A610" t="str">
            <v>KULR</v>
          </cell>
          <cell r="B610" t="str">
            <v>XLK</v>
          </cell>
        </row>
        <row r="611">
          <cell r="A611" t="str">
            <v>PL</v>
          </cell>
          <cell r="B611" t="str">
            <v>XLI</v>
          </cell>
        </row>
        <row r="612">
          <cell r="A612" t="str">
            <v>BKKT</v>
          </cell>
          <cell r="B612" t="str">
            <v>XLK</v>
          </cell>
        </row>
        <row r="613">
          <cell r="A613" t="str">
            <v>WOOF</v>
          </cell>
          <cell r="B613" t="str">
            <v>XLY</v>
          </cell>
        </row>
        <row r="614">
          <cell r="A614" t="str">
            <v>MLKN</v>
          </cell>
          <cell r="B614" t="str">
            <v>XLY</v>
          </cell>
        </row>
        <row r="615">
          <cell r="A615" t="str">
            <v>SMTC</v>
          </cell>
          <cell r="B615" t="str">
            <v>SMH</v>
          </cell>
        </row>
        <row r="616">
          <cell r="A616" t="str">
            <v>VRNT</v>
          </cell>
          <cell r="B616" t="str">
            <v>XLK</v>
          </cell>
        </row>
        <row r="617">
          <cell r="A617" t="str">
            <v>CATX</v>
          </cell>
          <cell r="B617" t="str">
            <v>XLV</v>
          </cell>
        </row>
        <row r="618">
          <cell r="A618" t="str">
            <v>DBI</v>
          </cell>
          <cell r="B618" t="str">
            <v>XLY</v>
          </cell>
        </row>
        <row r="619">
          <cell r="A619" t="str">
            <v>QBTS</v>
          </cell>
          <cell r="B619" t="str">
            <v>XLK</v>
          </cell>
        </row>
        <row r="620">
          <cell r="A620" t="str">
            <v>PAY</v>
          </cell>
          <cell r="B620" t="str">
            <v>IGV</v>
          </cell>
        </row>
        <row r="621">
          <cell r="A621"/>
          <cell r="B621"/>
        </row>
        <row r="622">
          <cell r="A622"/>
          <cell r="B622"/>
        </row>
        <row r="623">
          <cell r="A623"/>
          <cell r="B623"/>
        </row>
        <row r="624">
          <cell r="A624"/>
          <cell r="B624"/>
        </row>
        <row r="625">
          <cell r="A625" t="str">
            <v>DOW</v>
          </cell>
          <cell r="B625" t="str">
            <v>XLB</v>
          </cell>
        </row>
        <row r="626">
          <cell r="A626" t="str">
            <v>F</v>
          </cell>
          <cell r="B626" t="str">
            <v>XLY</v>
          </cell>
        </row>
        <row r="627">
          <cell r="A627" t="str">
            <v>KHC</v>
          </cell>
          <cell r="B627" t="str">
            <v>XLP</v>
          </cell>
        </row>
        <row r="628">
          <cell r="A628" t="str">
            <v>CE</v>
          </cell>
          <cell r="B628" t="str">
            <v>XLB</v>
          </cell>
        </row>
        <row r="629">
          <cell r="A629" t="str">
            <v>BWA</v>
          </cell>
          <cell r="B629" t="str">
            <v>XLY</v>
          </cell>
        </row>
        <row r="630">
          <cell r="A630" t="str">
            <v>FMC</v>
          </cell>
          <cell r="B630" t="str">
            <v>XLB</v>
          </cell>
        </row>
        <row r="631">
          <cell r="A631" t="str">
            <v>ROKU</v>
          </cell>
          <cell r="B631" t="str">
            <v>XLC</v>
          </cell>
        </row>
        <row r="632">
          <cell r="A632" t="str">
            <v>VEEV</v>
          </cell>
          <cell r="B632" t="str">
            <v>XLV</v>
          </cell>
        </row>
        <row r="633">
          <cell r="A633" t="str">
            <v>OKTA</v>
          </cell>
          <cell r="B633" t="str">
            <v>IGV</v>
          </cell>
        </row>
        <row r="634">
          <cell r="A634" t="str">
            <v>HOOD</v>
          </cell>
          <cell r="B634" t="str">
            <v>XLF</v>
          </cell>
        </row>
        <row r="635">
          <cell r="A635" t="str">
            <v>DASH</v>
          </cell>
          <cell r="B635" t="str">
            <v>XLY</v>
          </cell>
        </row>
        <row r="636">
          <cell r="A636" t="str">
            <v>ZM</v>
          </cell>
          <cell r="B636" t="str">
            <v>XLK</v>
          </cell>
        </row>
        <row r="637">
          <cell r="A637" t="str">
            <v>DOCS</v>
          </cell>
          <cell r="B637" t="str">
            <v>IGV</v>
          </cell>
        </row>
        <row r="638">
          <cell r="A638" t="str">
            <v>TOL</v>
          </cell>
          <cell r="B638" t="str">
            <v>XHB</v>
          </cell>
        </row>
        <row r="639">
          <cell r="A639" t="str">
            <v>LCID</v>
          </cell>
          <cell r="B639" t="str">
            <v>XLY</v>
          </cell>
        </row>
        <row r="640">
          <cell r="A640" t="str">
            <v>SOFI</v>
          </cell>
          <cell r="B640" t="str">
            <v>XLF</v>
          </cell>
        </row>
        <row r="641">
          <cell r="A641" t="str">
            <v>ALLY</v>
          </cell>
          <cell r="B641" t="str">
            <v>XLF</v>
          </cell>
        </row>
        <row r="642">
          <cell r="A642"/>
          <cell r="B642"/>
        </row>
        <row r="643">
          <cell r="A643" t="str">
            <v>CENX</v>
          </cell>
          <cell r="B643" t="str">
            <v>XLB</v>
          </cell>
        </row>
        <row r="644">
          <cell r="A644"/>
          <cell r="B644"/>
        </row>
        <row r="645">
          <cell r="A645"/>
          <cell r="B645"/>
        </row>
        <row r="646">
          <cell r="A646" t="str">
            <v>WMS</v>
          </cell>
          <cell r="B646" t="str">
            <v>XLI</v>
          </cell>
        </row>
        <row r="647">
          <cell r="A647"/>
          <cell r="B647"/>
        </row>
        <row r="648">
          <cell r="A648" t="str">
            <v>FLO</v>
          </cell>
          <cell r="B648" t="str">
            <v>XLP</v>
          </cell>
        </row>
        <row r="649">
          <cell r="A649" t="str">
            <v>EXP</v>
          </cell>
          <cell r="B649" t="str">
            <v>XLB</v>
          </cell>
        </row>
        <row r="650">
          <cell r="A650" t="str">
            <v>ELF</v>
          </cell>
          <cell r="B650" t="str">
            <v>XLP</v>
          </cell>
        </row>
        <row r="651">
          <cell r="A651" t="str">
            <v>PSTG</v>
          </cell>
          <cell r="B651" t="str">
            <v>IGV</v>
          </cell>
        </row>
        <row r="652">
          <cell r="A652" t="str">
            <v>CASY</v>
          </cell>
          <cell r="B652" t="str">
            <v>XLP</v>
          </cell>
        </row>
        <row r="653">
          <cell r="A653" t="str">
            <v>SNX</v>
          </cell>
          <cell r="B653" t="str">
            <v>XLK</v>
          </cell>
        </row>
        <row r="654">
          <cell r="A654" t="str">
            <v>STN</v>
          </cell>
          <cell r="B654" t="str">
            <v>XLI</v>
          </cell>
        </row>
        <row r="655">
          <cell r="A655"/>
          <cell r="B655"/>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 -- Stock Universe 12.11.24"/>
      <sheetName val="Notes"/>
    </sheetNames>
    <sheetDataSet>
      <sheetData sheetId="0">
        <row r="2">
          <cell r="C2" t="str">
            <v>NVDA</v>
          </cell>
          <cell r="E2" t="str">
            <v>Technology</v>
          </cell>
        </row>
        <row r="3">
          <cell r="C3" t="str">
            <v>MSFT</v>
          </cell>
          <cell r="E3" t="str">
            <v>Technology</v>
          </cell>
        </row>
        <row r="4">
          <cell r="C4" t="str">
            <v>GOOG</v>
          </cell>
          <cell r="E4" t="str">
            <v>Communication Services</v>
          </cell>
        </row>
        <row r="5">
          <cell r="C5" t="str">
            <v>META</v>
          </cell>
          <cell r="E5" t="str">
            <v>Communication Services</v>
          </cell>
        </row>
        <row r="6">
          <cell r="C6" t="str">
            <v>TSLA</v>
          </cell>
          <cell r="E6" t="str">
            <v>Consumer Cyclical</v>
          </cell>
        </row>
        <row r="7">
          <cell r="C7" t="str">
            <v>AVGO</v>
          </cell>
          <cell r="E7" t="str">
            <v>Technology</v>
          </cell>
        </row>
        <row r="8">
          <cell r="C8" t="str">
            <v>WMT</v>
          </cell>
          <cell r="E8" t="str">
            <v>Consumer Defensive</v>
          </cell>
        </row>
        <row r="9">
          <cell r="C9" t="str">
            <v>LLY</v>
          </cell>
          <cell r="E9" t="str">
            <v>Healthcare</v>
          </cell>
        </row>
        <row r="10">
          <cell r="C10" t="str">
            <v>JPM</v>
          </cell>
          <cell r="E10" t="str">
            <v>Financial</v>
          </cell>
        </row>
        <row r="11">
          <cell r="C11" t="str">
            <v>V</v>
          </cell>
          <cell r="E11" t="str">
            <v>Financial</v>
          </cell>
        </row>
        <row r="12">
          <cell r="C12" t="str">
            <v>ORCL</v>
          </cell>
          <cell r="E12" t="str">
            <v>Technology</v>
          </cell>
        </row>
        <row r="13">
          <cell r="C13" t="str">
            <v>XOM</v>
          </cell>
          <cell r="E13" t="str">
            <v>Energy</v>
          </cell>
        </row>
        <row r="14">
          <cell r="C14" t="str">
            <v>UNH</v>
          </cell>
          <cell r="E14" t="str">
            <v>Healthcare</v>
          </cell>
        </row>
        <row r="15">
          <cell r="C15" t="str">
            <v>MA</v>
          </cell>
          <cell r="E15" t="str">
            <v>Financial</v>
          </cell>
        </row>
        <row r="16">
          <cell r="C16" t="str">
            <v>HD</v>
          </cell>
          <cell r="E16" t="str">
            <v>Consumer Cyclical</v>
          </cell>
        </row>
        <row r="17">
          <cell r="C17" t="str">
            <v>PG</v>
          </cell>
          <cell r="E17" t="str">
            <v>Consumer Defensive</v>
          </cell>
        </row>
        <row r="18">
          <cell r="C18" t="str">
            <v>NFLX</v>
          </cell>
          <cell r="E18" t="str">
            <v>Communication Services</v>
          </cell>
        </row>
        <row r="19">
          <cell r="C19" t="str">
            <v>BAC</v>
          </cell>
          <cell r="E19" t="str">
            <v>Financial</v>
          </cell>
        </row>
        <row r="20">
          <cell r="C20" t="str">
            <v>JNJ</v>
          </cell>
          <cell r="E20" t="str">
            <v>Healthcare</v>
          </cell>
        </row>
        <row r="21">
          <cell r="C21" t="str">
            <v>CRM</v>
          </cell>
          <cell r="E21" t="str">
            <v>Technology</v>
          </cell>
        </row>
        <row r="22">
          <cell r="C22" t="str">
            <v>ABBV</v>
          </cell>
          <cell r="E22" t="str">
            <v>Healthcare</v>
          </cell>
        </row>
        <row r="23">
          <cell r="C23" t="str">
            <v>CVX</v>
          </cell>
          <cell r="E23" t="str">
            <v>Energy</v>
          </cell>
        </row>
        <row r="24">
          <cell r="C24" t="str">
            <v>TMUS</v>
          </cell>
          <cell r="E24" t="str">
            <v>Communication Services</v>
          </cell>
        </row>
        <row r="25">
          <cell r="C25" t="str">
            <v>KO</v>
          </cell>
          <cell r="E25" t="str">
            <v>Consumer Defensive</v>
          </cell>
        </row>
        <row r="26">
          <cell r="C26" t="str">
            <v>MRK</v>
          </cell>
          <cell r="E26" t="str">
            <v>Healthcare</v>
          </cell>
        </row>
        <row r="27">
          <cell r="C27" t="str">
            <v>ADBE</v>
          </cell>
          <cell r="E27" t="str">
            <v>Technology</v>
          </cell>
        </row>
        <row r="28">
          <cell r="C28" t="str">
            <v>WFC</v>
          </cell>
          <cell r="E28" t="str">
            <v>Financial</v>
          </cell>
        </row>
        <row r="29">
          <cell r="C29" t="str">
            <v>BX</v>
          </cell>
          <cell r="E29" t="str">
            <v>Financial</v>
          </cell>
        </row>
        <row r="30">
          <cell r="C30" t="str">
            <v>CSCO</v>
          </cell>
          <cell r="E30" t="str">
            <v>Technology</v>
          </cell>
        </row>
        <row r="31">
          <cell r="C31" t="str">
            <v>PEP</v>
          </cell>
          <cell r="E31" t="str">
            <v>Consumer Defensive</v>
          </cell>
        </row>
        <row r="32">
          <cell r="C32" t="str">
            <v>AXP</v>
          </cell>
          <cell r="E32" t="str">
            <v>Financial</v>
          </cell>
        </row>
        <row r="33">
          <cell r="C33" t="str">
            <v>IBM</v>
          </cell>
          <cell r="E33" t="str">
            <v>Technology</v>
          </cell>
        </row>
        <row r="34">
          <cell r="C34" t="str">
            <v>MCD</v>
          </cell>
          <cell r="E34" t="str">
            <v>Consumer Cyclical</v>
          </cell>
        </row>
        <row r="35">
          <cell r="C35" t="str">
            <v>AMD</v>
          </cell>
          <cell r="E35" t="str">
            <v>Technology</v>
          </cell>
        </row>
        <row r="36">
          <cell r="C36" t="str">
            <v>DIS</v>
          </cell>
          <cell r="E36" t="str">
            <v>Communication Services</v>
          </cell>
        </row>
        <row r="37">
          <cell r="C37" t="str">
            <v>MS</v>
          </cell>
          <cell r="E37" t="str">
            <v>Financial</v>
          </cell>
        </row>
        <row r="38">
          <cell r="C38" t="str">
            <v>TMO</v>
          </cell>
          <cell r="E38" t="str">
            <v>Healthcare</v>
          </cell>
        </row>
        <row r="39">
          <cell r="C39" t="str">
            <v>ABT</v>
          </cell>
          <cell r="E39" t="str">
            <v>Healthcare</v>
          </cell>
        </row>
        <row r="40">
          <cell r="C40" t="str">
            <v>ISRG</v>
          </cell>
          <cell r="E40" t="str">
            <v>Healthcare</v>
          </cell>
        </row>
        <row r="41">
          <cell r="C41" t="str">
            <v>CAT</v>
          </cell>
          <cell r="E41" t="str">
            <v>Industrials</v>
          </cell>
        </row>
        <row r="42">
          <cell r="C42" t="str">
            <v>INTU</v>
          </cell>
          <cell r="E42" t="str">
            <v>Technology</v>
          </cell>
        </row>
        <row r="43">
          <cell r="C43" t="str">
            <v>GS</v>
          </cell>
          <cell r="E43" t="str">
            <v>Financial</v>
          </cell>
        </row>
        <row r="44">
          <cell r="C44" t="str">
            <v>GE</v>
          </cell>
          <cell r="E44" t="str">
            <v>Industrials</v>
          </cell>
        </row>
        <row r="45">
          <cell r="C45" t="str">
            <v>QCOM</v>
          </cell>
          <cell r="E45" t="str">
            <v>Technology</v>
          </cell>
        </row>
        <row r="46">
          <cell r="C46" t="str">
            <v>TXN</v>
          </cell>
          <cell r="E46" t="str">
            <v>Technology</v>
          </cell>
        </row>
        <row r="47">
          <cell r="C47" t="str">
            <v>DHR</v>
          </cell>
          <cell r="E47" t="str">
            <v>Healthcare</v>
          </cell>
        </row>
        <row r="48">
          <cell r="C48" t="str">
            <v>PLTR</v>
          </cell>
          <cell r="E48" t="str">
            <v>Technology</v>
          </cell>
        </row>
        <row r="49">
          <cell r="C49" t="str">
            <v>SPGI</v>
          </cell>
          <cell r="E49" t="str">
            <v>Financial</v>
          </cell>
        </row>
        <row r="50">
          <cell r="C50" t="str">
            <v>RTX</v>
          </cell>
          <cell r="E50" t="str">
            <v>Industrials</v>
          </cell>
        </row>
        <row r="51">
          <cell r="C51" t="str">
            <v>CMCSA</v>
          </cell>
          <cell r="E51" t="str">
            <v>Communication Services</v>
          </cell>
        </row>
        <row r="52">
          <cell r="C52" t="str">
            <v>LOW</v>
          </cell>
          <cell r="E52" t="str">
            <v>Consumer Cyclical</v>
          </cell>
        </row>
        <row r="53">
          <cell r="C53" t="str">
            <v>SCHW</v>
          </cell>
          <cell r="E53" t="str">
            <v>Financial</v>
          </cell>
        </row>
        <row r="54">
          <cell r="C54" t="str">
            <v>HON</v>
          </cell>
          <cell r="E54" t="str">
            <v>Industrials</v>
          </cell>
        </row>
        <row r="55">
          <cell r="C55" t="str">
            <v>AMGN</v>
          </cell>
          <cell r="E55" t="str">
            <v>Healthcare</v>
          </cell>
        </row>
        <row r="56">
          <cell r="C56" t="str">
            <v>SYK</v>
          </cell>
          <cell r="E56" t="str">
            <v>Healthcare</v>
          </cell>
        </row>
        <row r="57">
          <cell r="C57" t="str">
            <v>PFE</v>
          </cell>
          <cell r="E57" t="str">
            <v>Healthcare</v>
          </cell>
        </row>
        <row r="58">
          <cell r="C58" t="str">
            <v>PGR</v>
          </cell>
          <cell r="E58" t="str">
            <v>Financial</v>
          </cell>
        </row>
        <row r="59">
          <cell r="C59" t="str">
            <v>TJX</v>
          </cell>
          <cell r="E59" t="str">
            <v>Consumer Cyclical</v>
          </cell>
        </row>
        <row r="60">
          <cell r="C60" t="str">
            <v>UNP</v>
          </cell>
          <cell r="E60" t="str">
            <v>Industrials</v>
          </cell>
        </row>
        <row r="61">
          <cell r="C61" t="str">
            <v>AMAT</v>
          </cell>
          <cell r="E61" t="str">
            <v>Technology</v>
          </cell>
        </row>
        <row r="62">
          <cell r="C62" t="str">
            <v>KKR</v>
          </cell>
          <cell r="E62" t="str">
            <v>Financial</v>
          </cell>
        </row>
        <row r="63">
          <cell r="C63" t="str">
            <v>C</v>
          </cell>
          <cell r="E63" t="str">
            <v>Financial</v>
          </cell>
        </row>
        <row r="64">
          <cell r="C64" t="str">
            <v>ANET</v>
          </cell>
          <cell r="E64" t="str">
            <v>Technology</v>
          </cell>
        </row>
        <row r="65">
          <cell r="C65" t="str">
            <v>BSX</v>
          </cell>
          <cell r="E65" t="str">
            <v>Healthcare</v>
          </cell>
        </row>
        <row r="66">
          <cell r="C66" t="str">
            <v>COP</v>
          </cell>
          <cell r="E66" t="str">
            <v>Energy</v>
          </cell>
        </row>
        <row r="67">
          <cell r="C67" t="str">
            <v>PANW</v>
          </cell>
          <cell r="E67" t="str">
            <v>Technology</v>
          </cell>
        </row>
        <row r="68">
          <cell r="C68" t="str">
            <v>UBER</v>
          </cell>
          <cell r="E68" t="str">
            <v>Technology</v>
          </cell>
        </row>
        <row r="69">
          <cell r="C69" t="str">
            <v>BA</v>
          </cell>
          <cell r="E69" t="str">
            <v>Industrials</v>
          </cell>
        </row>
        <row r="70">
          <cell r="C70" t="str">
            <v>DE</v>
          </cell>
          <cell r="E70" t="str">
            <v>Industrials</v>
          </cell>
        </row>
        <row r="71">
          <cell r="C71" t="str">
            <v>ADP</v>
          </cell>
          <cell r="E71" t="str">
            <v>Technology</v>
          </cell>
        </row>
        <row r="72">
          <cell r="C72" t="str">
            <v>VRTX</v>
          </cell>
          <cell r="E72" t="str">
            <v>Healthcare</v>
          </cell>
        </row>
        <row r="73">
          <cell r="C73" t="str">
            <v>LMT</v>
          </cell>
          <cell r="E73" t="str">
            <v>Industrials</v>
          </cell>
        </row>
        <row r="74">
          <cell r="C74" t="str">
            <v>NKE</v>
          </cell>
          <cell r="E74" t="str">
            <v>Consumer Cyclical</v>
          </cell>
        </row>
        <row r="75">
          <cell r="C75" t="str">
            <v>FI</v>
          </cell>
          <cell r="E75" t="str">
            <v>Technology</v>
          </cell>
        </row>
        <row r="76">
          <cell r="C76" t="str">
            <v>GILD</v>
          </cell>
          <cell r="E76" t="str">
            <v>Healthcare</v>
          </cell>
        </row>
        <row r="77">
          <cell r="C77" t="str">
            <v>BMY</v>
          </cell>
          <cell r="E77" t="str">
            <v>Healthcare</v>
          </cell>
        </row>
        <row r="78">
          <cell r="C78" t="str">
            <v>MU</v>
          </cell>
          <cell r="E78" t="str">
            <v>Technology</v>
          </cell>
        </row>
        <row r="79">
          <cell r="C79" t="str">
            <v>APP</v>
          </cell>
          <cell r="E79" t="str">
            <v>Technology</v>
          </cell>
        </row>
        <row r="80">
          <cell r="C80" t="str">
            <v>SBUX</v>
          </cell>
          <cell r="E80" t="str">
            <v>Consumer Cyclical</v>
          </cell>
        </row>
        <row r="81">
          <cell r="C81" t="str">
            <v>UPS</v>
          </cell>
          <cell r="E81" t="str">
            <v>Industrials</v>
          </cell>
        </row>
        <row r="82">
          <cell r="C82" t="str">
            <v>ADI</v>
          </cell>
          <cell r="E82" t="str">
            <v>Technology</v>
          </cell>
        </row>
        <row r="83">
          <cell r="C83" t="str">
            <v>CHTR</v>
          </cell>
          <cell r="E83" t="str">
            <v>Communication Services</v>
          </cell>
        </row>
        <row r="84">
          <cell r="C84" t="str">
            <v>MMC</v>
          </cell>
          <cell r="E84" t="str">
            <v>Financial</v>
          </cell>
        </row>
        <row r="85">
          <cell r="C85" t="str">
            <v>APO</v>
          </cell>
          <cell r="E85" t="str">
            <v>Financial</v>
          </cell>
        </row>
        <row r="86">
          <cell r="C86" t="str">
            <v>LRCX</v>
          </cell>
          <cell r="E86" t="str">
            <v>Technology</v>
          </cell>
        </row>
        <row r="87">
          <cell r="C87" t="str">
            <v>MRVL</v>
          </cell>
          <cell r="E87" t="str">
            <v>Technology</v>
          </cell>
        </row>
        <row r="88">
          <cell r="C88" t="str">
            <v>GEV</v>
          </cell>
          <cell r="E88" t="str">
            <v>Utilities</v>
          </cell>
        </row>
        <row r="89">
          <cell r="C89" t="str">
            <v>SHW</v>
          </cell>
          <cell r="E89" t="str">
            <v>Basic Materials</v>
          </cell>
        </row>
        <row r="90">
          <cell r="C90" t="str">
            <v>MO</v>
          </cell>
          <cell r="E90" t="str">
            <v>Consumer Defensive</v>
          </cell>
        </row>
        <row r="91">
          <cell r="C91" t="str">
            <v>MSTR</v>
          </cell>
          <cell r="E91" t="str">
            <v>Technology</v>
          </cell>
        </row>
        <row r="92">
          <cell r="C92" t="str">
            <v>PYPL</v>
          </cell>
          <cell r="E92" t="str">
            <v>Financial</v>
          </cell>
        </row>
        <row r="93">
          <cell r="C93" t="str">
            <v>ICE</v>
          </cell>
          <cell r="E93" t="str">
            <v>Financial</v>
          </cell>
        </row>
        <row r="94">
          <cell r="C94" t="str">
            <v>MCO</v>
          </cell>
          <cell r="E94" t="str">
            <v>Financial</v>
          </cell>
        </row>
        <row r="95">
          <cell r="C95" t="str">
            <v>ELV</v>
          </cell>
          <cell r="E95" t="str">
            <v>Healthcare</v>
          </cell>
        </row>
        <row r="96">
          <cell r="C96" t="str">
            <v>CRWD</v>
          </cell>
          <cell r="E96" t="str">
            <v>Technology</v>
          </cell>
        </row>
        <row r="97">
          <cell r="C97" t="str">
            <v>CMG</v>
          </cell>
          <cell r="E97" t="str">
            <v>Consumer Cyclical</v>
          </cell>
        </row>
        <row r="98">
          <cell r="C98" t="str">
            <v>APH</v>
          </cell>
          <cell r="E98" t="str">
            <v>Technology</v>
          </cell>
        </row>
        <row r="99">
          <cell r="C99" t="str">
            <v>PH</v>
          </cell>
          <cell r="E99" t="str">
            <v>Industrials</v>
          </cell>
        </row>
        <row r="100">
          <cell r="C100" t="str">
            <v>ABNB</v>
          </cell>
          <cell r="E100" t="str">
            <v>Consumer Cyclical</v>
          </cell>
        </row>
        <row r="101">
          <cell r="C101" t="str">
            <v>KLAC</v>
          </cell>
          <cell r="E101" t="str">
            <v>Technology</v>
          </cell>
        </row>
        <row r="102">
          <cell r="C102" t="str">
            <v>INTC</v>
          </cell>
          <cell r="E102" t="str">
            <v>Technology</v>
          </cell>
        </row>
        <row r="103">
          <cell r="C103" t="str">
            <v>DELL</v>
          </cell>
          <cell r="E103" t="str">
            <v>Technology</v>
          </cell>
        </row>
        <row r="104">
          <cell r="C104" t="str">
            <v>WM</v>
          </cell>
          <cell r="E104" t="str">
            <v>Industrials</v>
          </cell>
        </row>
        <row r="105">
          <cell r="C105" t="str">
            <v>CTAS</v>
          </cell>
          <cell r="E105" t="str">
            <v>Industrials</v>
          </cell>
        </row>
        <row r="106">
          <cell r="C106" t="str">
            <v>REGN</v>
          </cell>
          <cell r="E106" t="str">
            <v>Healthcare</v>
          </cell>
        </row>
        <row r="107">
          <cell r="C107" t="str">
            <v>CDNS</v>
          </cell>
          <cell r="E107" t="str">
            <v>Technology</v>
          </cell>
        </row>
        <row r="108">
          <cell r="C108" t="str">
            <v>CME</v>
          </cell>
          <cell r="E108" t="str">
            <v>Financial</v>
          </cell>
        </row>
        <row r="109">
          <cell r="C109" t="str">
            <v>MDLZ</v>
          </cell>
          <cell r="E109" t="str">
            <v>Consumer Defensive</v>
          </cell>
        </row>
        <row r="110">
          <cell r="C110" t="str">
            <v>SCCO</v>
          </cell>
          <cell r="E110" t="str">
            <v>Basic Materials</v>
          </cell>
        </row>
        <row r="111">
          <cell r="C111" t="str">
            <v>CI</v>
          </cell>
          <cell r="E111" t="str">
            <v>Healthcare</v>
          </cell>
        </row>
        <row r="112">
          <cell r="C112" t="str">
            <v>MAR</v>
          </cell>
          <cell r="E112" t="str">
            <v>Consumer Cyclical</v>
          </cell>
        </row>
        <row r="113">
          <cell r="C113" t="str">
            <v>PNC</v>
          </cell>
          <cell r="E113" t="str">
            <v>Financial</v>
          </cell>
        </row>
        <row r="114">
          <cell r="C114" t="str">
            <v>ITW</v>
          </cell>
          <cell r="E114" t="str">
            <v>Industrials</v>
          </cell>
        </row>
        <row r="115">
          <cell r="C115" t="str">
            <v>USB</v>
          </cell>
          <cell r="E115" t="str">
            <v>Financial</v>
          </cell>
        </row>
        <row r="116">
          <cell r="C116" t="str">
            <v>ZTS</v>
          </cell>
          <cell r="E116" t="str">
            <v>Healthcare</v>
          </cell>
        </row>
        <row r="117">
          <cell r="C117" t="str">
            <v>MSI</v>
          </cell>
          <cell r="E117" t="str">
            <v>Technology</v>
          </cell>
        </row>
        <row r="118">
          <cell r="C118" t="str">
            <v>HCA</v>
          </cell>
          <cell r="E118" t="str">
            <v>Healthcare</v>
          </cell>
        </row>
        <row r="119">
          <cell r="C119" t="str">
            <v>SNPS</v>
          </cell>
          <cell r="E119" t="str">
            <v>Technology</v>
          </cell>
        </row>
        <row r="120">
          <cell r="C120" t="str">
            <v>COIN</v>
          </cell>
          <cell r="E120" t="str">
            <v>Financial</v>
          </cell>
        </row>
        <row r="121">
          <cell r="C121" t="str">
            <v>IBKR</v>
          </cell>
          <cell r="E121" t="str">
            <v>Financial</v>
          </cell>
        </row>
        <row r="122">
          <cell r="C122" t="str">
            <v>CL</v>
          </cell>
          <cell r="E122" t="str">
            <v>Consumer Defensive</v>
          </cell>
        </row>
        <row r="123">
          <cell r="C123" t="str">
            <v>FTNT</v>
          </cell>
          <cell r="E123" t="str">
            <v>Technology</v>
          </cell>
        </row>
        <row r="124">
          <cell r="C124" t="str">
            <v>EMR</v>
          </cell>
          <cell r="E124" t="str">
            <v>Industrials</v>
          </cell>
        </row>
        <row r="125">
          <cell r="C125" t="str">
            <v>CEG</v>
          </cell>
          <cell r="E125" t="str">
            <v>Utilities</v>
          </cell>
        </row>
        <row r="126">
          <cell r="C126" t="str">
            <v>DASH</v>
          </cell>
          <cell r="E126" t="str">
            <v>Communication Services</v>
          </cell>
        </row>
        <row r="127">
          <cell r="C127" t="str">
            <v>MCK</v>
          </cell>
          <cell r="E127" t="str">
            <v>Healthcare</v>
          </cell>
        </row>
        <row r="128">
          <cell r="C128" t="str">
            <v>GD</v>
          </cell>
          <cell r="E128" t="str">
            <v>Industrials</v>
          </cell>
        </row>
        <row r="129">
          <cell r="C129" t="str">
            <v>WDAY</v>
          </cell>
          <cell r="E129" t="str">
            <v>Technology</v>
          </cell>
        </row>
        <row r="130">
          <cell r="C130" t="str">
            <v>TEAM</v>
          </cell>
          <cell r="E130" t="str">
            <v>Technology</v>
          </cell>
        </row>
        <row r="131">
          <cell r="C131" t="str">
            <v>EOG</v>
          </cell>
          <cell r="E131" t="str">
            <v>Energy</v>
          </cell>
        </row>
        <row r="132">
          <cell r="C132" t="str">
            <v>COF</v>
          </cell>
          <cell r="E132" t="str">
            <v>Financial</v>
          </cell>
        </row>
        <row r="133">
          <cell r="C133" t="str">
            <v>MMM</v>
          </cell>
          <cell r="E133" t="str">
            <v>Industrials</v>
          </cell>
        </row>
        <row r="134">
          <cell r="C134" t="str">
            <v>EPD</v>
          </cell>
          <cell r="E134" t="str">
            <v>Energy</v>
          </cell>
        </row>
        <row r="135">
          <cell r="C135" t="str">
            <v>ECL</v>
          </cell>
          <cell r="E135" t="str">
            <v>Basic Materials</v>
          </cell>
        </row>
        <row r="136">
          <cell r="C136" t="str">
            <v>APD</v>
          </cell>
          <cell r="E136" t="str">
            <v>Basic Materials</v>
          </cell>
        </row>
        <row r="137">
          <cell r="C137" t="str">
            <v>NOC</v>
          </cell>
          <cell r="E137" t="str">
            <v>Industrials</v>
          </cell>
        </row>
        <row r="138">
          <cell r="C138" t="str">
            <v>FDX</v>
          </cell>
          <cell r="E138" t="str">
            <v>Industrials</v>
          </cell>
        </row>
        <row r="139">
          <cell r="C139" t="str">
            <v>WMB</v>
          </cell>
          <cell r="E139" t="str">
            <v>Energy</v>
          </cell>
        </row>
        <row r="140">
          <cell r="C140" t="str">
            <v>CRH</v>
          </cell>
          <cell r="E140" t="str">
            <v>Basic Materials</v>
          </cell>
        </row>
        <row r="141">
          <cell r="C141" t="str">
            <v>TTD</v>
          </cell>
          <cell r="E141" t="str">
            <v>Technology</v>
          </cell>
        </row>
        <row r="142">
          <cell r="C142" t="str">
            <v>CARR</v>
          </cell>
          <cell r="E142" t="str">
            <v>Industrials</v>
          </cell>
        </row>
        <row r="143">
          <cell r="C143" t="str">
            <v>ADSK</v>
          </cell>
          <cell r="E143" t="str">
            <v>Technology</v>
          </cell>
        </row>
        <row r="144">
          <cell r="C144" t="str">
            <v>RCL</v>
          </cell>
          <cell r="E144" t="str">
            <v>Consumer Cyclical</v>
          </cell>
        </row>
        <row r="145">
          <cell r="C145" t="str">
            <v>RSG</v>
          </cell>
          <cell r="E145" t="str">
            <v>Industrials</v>
          </cell>
        </row>
        <row r="146">
          <cell r="C146" t="str">
            <v>ET</v>
          </cell>
          <cell r="E146" t="str">
            <v>Energy</v>
          </cell>
        </row>
        <row r="147">
          <cell r="C147" t="str">
            <v>CVS</v>
          </cell>
          <cell r="E147" t="str">
            <v>Healthcare</v>
          </cell>
        </row>
        <row r="148">
          <cell r="C148" t="str">
            <v>CSX</v>
          </cell>
          <cell r="E148" t="str">
            <v>Industrials</v>
          </cell>
        </row>
        <row r="149">
          <cell r="C149" t="str">
            <v>BDX</v>
          </cell>
          <cell r="E149" t="str">
            <v>Healthcare</v>
          </cell>
        </row>
        <row r="150">
          <cell r="C150" t="str">
            <v>HLT</v>
          </cell>
          <cell r="E150" t="str">
            <v>Consumer Cyclical</v>
          </cell>
        </row>
        <row r="151">
          <cell r="C151" t="str">
            <v>TGT</v>
          </cell>
          <cell r="E151" t="str">
            <v>Consumer Defensive</v>
          </cell>
        </row>
        <row r="152">
          <cell r="C152" t="str">
            <v>AJG</v>
          </cell>
          <cell r="E152" t="str">
            <v>Financial</v>
          </cell>
        </row>
        <row r="153">
          <cell r="C153" t="str">
            <v>FCX</v>
          </cell>
          <cell r="E153" t="str">
            <v>Basic Materials</v>
          </cell>
        </row>
        <row r="154">
          <cell r="C154" t="str">
            <v>OKE</v>
          </cell>
          <cell r="E154" t="str">
            <v>Energy</v>
          </cell>
        </row>
        <row r="155">
          <cell r="C155" t="str">
            <v>SQ</v>
          </cell>
          <cell r="E155" t="str">
            <v>Technology</v>
          </cell>
        </row>
        <row r="156">
          <cell r="C156" t="str">
            <v>PCAR</v>
          </cell>
          <cell r="E156" t="str">
            <v>Industrials</v>
          </cell>
        </row>
        <row r="157">
          <cell r="C157" t="str">
            <v>TFC</v>
          </cell>
          <cell r="E157" t="str">
            <v>Financial</v>
          </cell>
        </row>
        <row r="158">
          <cell r="C158" t="str">
            <v>CPRT</v>
          </cell>
          <cell r="E158" t="str">
            <v>Industrials</v>
          </cell>
        </row>
        <row r="159">
          <cell r="C159" t="str">
            <v>KMI</v>
          </cell>
          <cell r="E159" t="str">
            <v>Energy</v>
          </cell>
        </row>
        <row r="160">
          <cell r="C160" t="str">
            <v>SLB</v>
          </cell>
          <cell r="E160" t="str">
            <v>Energy</v>
          </cell>
        </row>
        <row r="161">
          <cell r="C161" t="str">
            <v>BK</v>
          </cell>
          <cell r="E161" t="str">
            <v>Financial</v>
          </cell>
        </row>
        <row r="162">
          <cell r="C162" t="str">
            <v>AFL</v>
          </cell>
          <cell r="E162" t="str">
            <v>Financial</v>
          </cell>
        </row>
        <row r="163">
          <cell r="C163" t="str">
            <v>GM</v>
          </cell>
          <cell r="E163" t="str">
            <v>Consumer Cyclical</v>
          </cell>
        </row>
        <row r="164">
          <cell r="C164" t="str">
            <v>ARES</v>
          </cell>
          <cell r="E164" t="str">
            <v>Financial</v>
          </cell>
        </row>
        <row r="165">
          <cell r="C165" t="str">
            <v>SNOW</v>
          </cell>
          <cell r="E165" t="str">
            <v>Technology</v>
          </cell>
        </row>
        <row r="166">
          <cell r="C166" t="str">
            <v>NSC</v>
          </cell>
          <cell r="E166" t="str">
            <v>Industrials</v>
          </cell>
        </row>
        <row r="167">
          <cell r="C167" t="str">
            <v>TRV</v>
          </cell>
          <cell r="E167" t="str">
            <v>Financial</v>
          </cell>
        </row>
        <row r="168">
          <cell r="C168" t="str">
            <v>MET</v>
          </cell>
          <cell r="E168" t="str">
            <v>Financial</v>
          </cell>
        </row>
        <row r="169">
          <cell r="C169" t="str">
            <v>SRE</v>
          </cell>
          <cell r="E169" t="str">
            <v>Utilities</v>
          </cell>
        </row>
        <row r="170">
          <cell r="C170" t="str">
            <v>DDOG</v>
          </cell>
          <cell r="E170" t="str">
            <v>Technology</v>
          </cell>
        </row>
        <row r="171">
          <cell r="C171" t="str">
            <v>CVNA</v>
          </cell>
          <cell r="E171" t="str">
            <v>Consumer Cyclical</v>
          </cell>
        </row>
        <row r="172">
          <cell r="C172" t="str">
            <v>PSX</v>
          </cell>
          <cell r="E172" t="str">
            <v>Energy</v>
          </cell>
        </row>
        <row r="173">
          <cell r="C173" t="str">
            <v>ALL</v>
          </cell>
          <cell r="E173" t="str">
            <v>Financial</v>
          </cell>
        </row>
        <row r="174">
          <cell r="C174" t="str">
            <v>ROST</v>
          </cell>
          <cell r="E174" t="str">
            <v>Consumer Cyclical</v>
          </cell>
        </row>
        <row r="175">
          <cell r="C175" t="str">
            <v>PAYX</v>
          </cell>
          <cell r="E175" t="str">
            <v>Technology</v>
          </cell>
        </row>
        <row r="176">
          <cell r="C176" t="str">
            <v>CMI</v>
          </cell>
          <cell r="E176" t="str">
            <v>Industrials</v>
          </cell>
        </row>
        <row r="177">
          <cell r="C177" t="str">
            <v>MNST</v>
          </cell>
          <cell r="E177" t="str">
            <v>Consumer Defensive</v>
          </cell>
        </row>
        <row r="178">
          <cell r="C178" t="str">
            <v>VST</v>
          </cell>
          <cell r="E178" t="str">
            <v>Utilities</v>
          </cell>
        </row>
        <row r="179">
          <cell r="C179" t="str">
            <v>FLUT</v>
          </cell>
          <cell r="E179" t="str">
            <v>Consumer Cyclical</v>
          </cell>
        </row>
        <row r="180">
          <cell r="C180" t="str">
            <v>DHI</v>
          </cell>
          <cell r="E180" t="str">
            <v>Consumer Cyclical</v>
          </cell>
        </row>
        <row r="181">
          <cell r="C181" t="str">
            <v>PWR</v>
          </cell>
          <cell r="E181" t="str">
            <v>Industrials</v>
          </cell>
        </row>
        <row r="182">
          <cell r="C182" t="str">
            <v>MPLX</v>
          </cell>
          <cell r="E182" t="str">
            <v>Energy</v>
          </cell>
        </row>
        <row r="183">
          <cell r="C183" t="str">
            <v>AXON</v>
          </cell>
          <cell r="E183" t="str">
            <v>Industrials</v>
          </cell>
        </row>
        <row r="184">
          <cell r="C184" t="str">
            <v>MPC</v>
          </cell>
          <cell r="E184" t="str">
            <v>Energy</v>
          </cell>
        </row>
        <row r="185">
          <cell r="C185" t="str">
            <v>LNG</v>
          </cell>
          <cell r="E185" t="str">
            <v>Energy</v>
          </cell>
        </row>
        <row r="186">
          <cell r="C186" t="str">
            <v>NEM</v>
          </cell>
          <cell r="E186" t="str">
            <v>Basic Materials</v>
          </cell>
        </row>
        <row r="187">
          <cell r="C187" t="str">
            <v>FANG</v>
          </cell>
          <cell r="E187" t="str">
            <v>Energy</v>
          </cell>
        </row>
        <row r="188">
          <cell r="C188" t="str">
            <v>VRT</v>
          </cell>
          <cell r="E188" t="str">
            <v>Industrials</v>
          </cell>
        </row>
        <row r="189">
          <cell r="C189" t="str">
            <v>HWM</v>
          </cell>
          <cell r="E189" t="str">
            <v>Industrials</v>
          </cell>
        </row>
        <row r="190">
          <cell r="C190" t="str">
            <v>NDAQ</v>
          </cell>
          <cell r="E190" t="str">
            <v>Financial</v>
          </cell>
        </row>
        <row r="191">
          <cell r="C191" t="str">
            <v>AIG</v>
          </cell>
          <cell r="E191" t="str">
            <v>Financial</v>
          </cell>
        </row>
        <row r="192">
          <cell r="C192" t="str">
            <v>FIS</v>
          </cell>
          <cell r="E192" t="str">
            <v>Technology</v>
          </cell>
        </row>
        <row r="193">
          <cell r="C193" t="str">
            <v>OXY</v>
          </cell>
          <cell r="E193" t="str">
            <v>Energy</v>
          </cell>
        </row>
        <row r="194">
          <cell r="C194" t="str">
            <v>FAST</v>
          </cell>
          <cell r="E194" t="str">
            <v>Industrials</v>
          </cell>
        </row>
        <row r="195">
          <cell r="C195" t="str">
            <v>KDP</v>
          </cell>
          <cell r="E195" t="str">
            <v>Consumer Defensive</v>
          </cell>
        </row>
        <row r="196">
          <cell r="C196" t="str">
            <v>COR</v>
          </cell>
          <cell r="E196" t="str">
            <v>Healthcare</v>
          </cell>
        </row>
        <row r="197">
          <cell r="C197" t="str">
            <v>DFS</v>
          </cell>
          <cell r="E197" t="str">
            <v>Financial</v>
          </cell>
        </row>
        <row r="198">
          <cell r="C198" t="str">
            <v>KR</v>
          </cell>
          <cell r="E198" t="str">
            <v>Consumer Defensive</v>
          </cell>
        </row>
        <row r="199">
          <cell r="C199" t="str">
            <v>HES</v>
          </cell>
          <cell r="E199" t="str">
            <v>Energy</v>
          </cell>
        </row>
        <row r="200">
          <cell r="C200" t="str">
            <v>ODFL</v>
          </cell>
          <cell r="E200" t="str">
            <v>Industrials</v>
          </cell>
        </row>
        <row r="201">
          <cell r="C201" t="str">
            <v>AME</v>
          </cell>
          <cell r="E201" t="str">
            <v>Industrials</v>
          </cell>
        </row>
        <row r="202">
          <cell r="C202" t="str">
            <v>KMB</v>
          </cell>
          <cell r="E202" t="str">
            <v>Consumer Defensive</v>
          </cell>
        </row>
        <row r="203">
          <cell r="C203" t="str">
            <v>STZ</v>
          </cell>
          <cell r="E203" t="str">
            <v>Consumer Defensive</v>
          </cell>
        </row>
        <row r="204">
          <cell r="C204" t="str">
            <v>EW</v>
          </cell>
          <cell r="E204" t="str">
            <v>Healthcare</v>
          </cell>
        </row>
        <row r="205">
          <cell r="C205" t="str">
            <v>LHX</v>
          </cell>
          <cell r="E205" t="str">
            <v>Industrials</v>
          </cell>
        </row>
        <row r="206">
          <cell r="C206" t="str">
            <v>EA</v>
          </cell>
          <cell r="E206" t="str">
            <v>Communication Services</v>
          </cell>
        </row>
        <row r="207">
          <cell r="C207" t="str">
            <v>CPNG</v>
          </cell>
          <cell r="E207" t="str">
            <v>Consumer Cyclical</v>
          </cell>
        </row>
        <row r="208">
          <cell r="C208" t="str">
            <v>PRU</v>
          </cell>
          <cell r="E208" t="str">
            <v>Financial</v>
          </cell>
        </row>
        <row r="209">
          <cell r="C209" t="str">
            <v>LEN</v>
          </cell>
          <cell r="E209" t="str">
            <v>Consumer Cyclical</v>
          </cell>
        </row>
        <row r="210">
          <cell r="C210" t="str">
            <v>KVUE</v>
          </cell>
          <cell r="E210" t="str">
            <v>Consumer Defensive</v>
          </cell>
        </row>
        <row r="211">
          <cell r="C211" t="str">
            <v>VLO</v>
          </cell>
          <cell r="E211" t="str">
            <v>Energy</v>
          </cell>
        </row>
        <row r="212">
          <cell r="C212" t="str">
            <v>CBRE</v>
          </cell>
          <cell r="E212" t="str">
            <v>Real Estate</v>
          </cell>
        </row>
        <row r="213">
          <cell r="C213" t="str">
            <v>BKR</v>
          </cell>
          <cell r="E213" t="str">
            <v>Energy</v>
          </cell>
        </row>
        <row r="214">
          <cell r="C214" t="str">
            <v>F</v>
          </cell>
          <cell r="E214" t="str">
            <v>Consumer Cyclical</v>
          </cell>
        </row>
        <row r="215">
          <cell r="C215" t="str">
            <v>CTVA</v>
          </cell>
          <cell r="E215" t="str">
            <v>Basic Materials</v>
          </cell>
        </row>
        <row r="216">
          <cell r="C216" t="str">
            <v>IR</v>
          </cell>
          <cell r="E216" t="str">
            <v>Industrials</v>
          </cell>
        </row>
        <row r="217">
          <cell r="C217" t="str">
            <v>DAL</v>
          </cell>
          <cell r="E217" t="str">
            <v>Industrials</v>
          </cell>
        </row>
        <row r="218">
          <cell r="C218" t="str">
            <v>GLW</v>
          </cell>
          <cell r="E218" t="str">
            <v>Technology</v>
          </cell>
        </row>
        <row r="219">
          <cell r="C219" t="str">
            <v>TRGP</v>
          </cell>
          <cell r="E219" t="str">
            <v>Energy</v>
          </cell>
        </row>
        <row r="220">
          <cell r="C220" t="str">
            <v>A</v>
          </cell>
          <cell r="E220" t="str">
            <v>Healthcare</v>
          </cell>
        </row>
        <row r="221">
          <cell r="C221" t="str">
            <v>CTSH</v>
          </cell>
          <cell r="E221" t="str">
            <v>Technology</v>
          </cell>
        </row>
        <row r="222">
          <cell r="C222" t="str">
            <v>VRSK</v>
          </cell>
          <cell r="E222" t="str">
            <v>Industrials</v>
          </cell>
        </row>
        <row r="223">
          <cell r="C223" t="str">
            <v>OTIS</v>
          </cell>
          <cell r="E223" t="str">
            <v>Industrials</v>
          </cell>
        </row>
        <row r="224">
          <cell r="C224" t="str">
            <v>LVS</v>
          </cell>
          <cell r="E224" t="str">
            <v>Consumer Cyclical</v>
          </cell>
        </row>
        <row r="225">
          <cell r="C225" t="str">
            <v>SYY</v>
          </cell>
          <cell r="E225" t="str">
            <v>Consumer Defensive</v>
          </cell>
        </row>
        <row r="226">
          <cell r="C226" t="str">
            <v>RBLX</v>
          </cell>
          <cell r="E226" t="str">
            <v>Communication Services</v>
          </cell>
        </row>
        <row r="227">
          <cell r="C227" t="str">
            <v>NET</v>
          </cell>
          <cell r="E227" t="str">
            <v>Technology</v>
          </cell>
        </row>
        <row r="228">
          <cell r="C228" t="str">
            <v>FERG</v>
          </cell>
          <cell r="E228" t="str">
            <v>Industrials</v>
          </cell>
        </row>
        <row r="229">
          <cell r="C229" t="str">
            <v>YUM</v>
          </cell>
          <cell r="E229" t="str">
            <v>Consumer Cyclical</v>
          </cell>
        </row>
        <row r="230">
          <cell r="C230" t="str">
            <v>VEEV</v>
          </cell>
          <cell r="E230" t="str">
            <v>Healthcare</v>
          </cell>
        </row>
        <row r="231">
          <cell r="C231" t="str">
            <v>KHC</v>
          </cell>
          <cell r="E231" t="str">
            <v>Consumer Defensive</v>
          </cell>
        </row>
        <row r="232">
          <cell r="C232" t="str">
            <v>GEHC</v>
          </cell>
          <cell r="E232" t="str">
            <v>Healthcare</v>
          </cell>
        </row>
        <row r="233">
          <cell r="C233" t="str">
            <v>OWL</v>
          </cell>
          <cell r="E233" t="str">
            <v>Financial</v>
          </cell>
        </row>
        <row r="234">
          <cell r="C234" t="str">
            <v>VMC</v>
          </cell>
          <cell r="E234" t="str">
            <v>Basic Materials</v>
          </cell>
        </row>
        <row r="235">
          <cell r="C235" t="str">
            <v>DKNG</v>
          </cell>
          <cell r="E235" t="str">
            <v>Consumer Cyclical</v>
          </cell>
        </row>
        <row r="236">
          <cell r="C236" t="str">
            <v>IQV</v>
          </cell>
          <cell r="E236" t="str">
            <v>Healthcare</v>
          </cell>
        </row>
        <row r="237">
          <cell r="C237" t="str">
            <v>GIS</v>
          </cell>
          <cell r="E237" t="str">
            <v>Consumer Defensive</v>
          </cell>
        </row>
        <row r="238">
          <cell r="C238" t="str">
            <v>RMD</v>
          </cell>
          <cell r="E238" t="str">
            <v>Healthcare</v>
          </cell>
        </row>
        <row r="239">
          <cell r="C239" t="str">
            <v>HSY</v>
          </cell>
          <cell r="E239" t="str">
            <v>Consumer Defensive</v>
          </cell>
        </row>
        <row r="240">
          <cell r="C240" t="str">
            <v>IDXX</v>
          </cell>
          <cell r="E240" t="str">
            <v>Healthcare</v>
          </cell>
        </row>
        <row r="241">
          <cell r="C241" t="str">
            <v>WAB</v>
          </cell>
          <cell r="E241" t="str">
            <v>Industrials</v>
          </cell>
        </row>
        <row r="242">
          <cell r="C242" t="str">
            <v>DD</v>
          </cell>
          <cell r="E242" t="str">
            <v>Basic Materials</v>
          </cell>
        </row>
        <row r="243">
          <cell r="C243" t="str">
            <v>ROK</v>
          </cell>
          <cell r="E243" t="str">
            <v>Industrials</v>
          </cell>
        </row>
        <row r="244">
          <cell r="C244" t="str">
            <v>MTB</v>
          </cell>
          <cell r="E244" t="str">
            <v>Financial</v>
          </cell>
        </row>
        <row r="245">
          <cell r="C245" t="str">
            <v>HUM</v>
          </cell>
          <cell r="E245" t="str">
            <v>Healthcare</v>
          </cell>
        </row>
        <row r="246">
          <cell r="C246" t="str">
            <v>TTWO</v>
          </cell>
          <cell r="E246" t="str">
            <v>Communication Services</v>
          </cell>
        </row>
        <row r="247">
          <cell r="C247" t="str">
            <v>HOOD</v>
          </cell>
          <cell r="E247" t="str">
            <v>Financial</v>
          </cell>
        </row>
        <row r="248">
          <cell r="C248" t="str">
            <v>CCL</v>
          </cell>
          <cell r="E248" t="str">
            <v>Consumer Cyclical</v>
          </cell>
        </row>
        <row r="249">
          <cell r="C249" t="str">
            <v>HPQ</v>
          </cell>
          <cell r="E249" t="str">
            <v>Technology</v>
          </cell>
        </row>
        <row r="250">
          <cell r="C250" t="str">
            <v>MCHP</v>
          </cell>
          <cell r="E250" t="str">
            <v>Technology</v>
          </cell>
        </row>
        <row r="251">
          <cell r="C251" t="str">
            <v>RJF</v>
          </cell>
          <cell r="E251" t="str">
            <v>Financial</v>
          </cell>
        </row>
        <row r="252">
          <cell r="C252" t="str">
            <v>ALNY</v>
          </cell>
          <cell r="E252" t="str">
            <v>Healthcare</v>
          </cell>
        </row>
        <row r="253">
          <cell r="C253" t="str">
            <v>HIG</v>
          </cell>
          <cell r="E253" t="str">
            <v>Financial</v>
          </cell>
        </row>
        <row r="254">
          <cell r="C254" t="str">
            <v>EFX</v>
          </cell>
          <cell r="E254" t="str">
            <v>Industrials</v>
          </cell>
        </row>
        <row r="255">
          <cell r="C255" t="str">
            <v>UAL</v>
          </cell>
          <cell r="E255" t="str">
            <v>Industrials</v>
          </cell>
        </row>
        <row r="256">
          <cell r="C256" t="str">
            <v>NUE</v>
          </cell>
          <cell r="E256" t="str">
            <v>Basic Materials</v>
          </cell>
        </row>
        <row r="257">
          <cell r="C257" t="str">
            <v>ZS</v>
          </cell>
          <cell r="E257" t="str">
            <v>Technology</v>
          </cell>
        </row>
        <row r="258">
          <cell r="C258" t="str">
            <v>CSGP</v>
          </cell>
          <cell r="E258" t="str">
            <v>Real Estate</v>
          </cell>
        </row>
        <row r="259">
          <cell r="C259" t="str">
            <v>DXCM</v>
          </cell>
          <cell r="E259" t="str">
            <v>Healthcare</v>
          </cell>
        </row>
        <row r="260">
          <cell r="C260" t="str">
            <v>DECK</v>
          </cell>
          <cell r="E260" t="str">
            <v>Consumer Cyclical</v>
          </cell>
        </row>
        <row r="261">
          <cell r="C261" t="str">
            <v>LYV</v>
          </cell>
          <cell r="E261" t="str">
            <v>Communication Services</v>
          </cell>
        </row>
        <row r="262">
          <cell r="C262" t="str">
            <v>TW</v>
          </cell>
          <cell r="E262" t="str">
            <v>Financial</v>
          </cell>
        </row>
        <row r="263">
          <cell r="C263" t="str">
            <v>FITB</v>
          </cell>
          <cell r="E263" t="str">
            <v>Financial</v>
          </cell>
        </row>
        <row r="264">
          <cell r="C264" t="str">
            <v>TSCO</v>
          </cell>
          <cell r="E264" t="str">
            <v>Consumer Cyclical</v>
          </cell>
        </row>
        <row r="265">
          <cell r="C265" t="str">
            <v>MPWR</v>
          </cell>
          <cell r="E265" t="str">
            <v>Technology</v>
          </cell>
        </row>
        <row r="266">
          <cell r="C266" t="str">
            <v>EBAY</v>
          </cell>
          <cell r="E266" t="str">
            <v>Consumer Cyclical</v>
          </cell>
        </row>
        <row r="267">
          <cell r="C267" t="str">
            <v>XYL</v>
          </cell>
          <cell r="E267" t="str">
            <v>Industrials</v>
          </cell>
        </row>
        <row r="268">
          <cell r="C268" t="str">
            <v>GPN</v>
          </cell>
          <cell r="E268" t="str">
            <v>Technology</v>
          </cell>
        </row>
        <row r="269">
          <cell r="C269" t="str">
            <v>BRO</v>
          </cell>
          <cell r="E269" t="str">
            <v>Financial</v>
          </cell>
        </row>
        <row r="270">
          <cell r="C270" t="str">
            <v>FWONK</v>
          </cell>
          <cell r="E270" t="str">
            <v>Communication Services</v>
          </cell>
        </row>
        <row r="271">
          <cell r="C271" t="str">
            <v>GDDY</v>
          </cell>
          <cell r="E271" t="str">
            <v>Technology</v>
          </cell>
        </row>
        <row r="272">
          <cell r="C272" t="str">
            <v>EL</v>
          </cell>
          <cell r="E272" t="str">
            <v>Consumer Defensive</v>
          </cell>
        </row>
        <row r="273">
          <cell r="C273" t="str">
            <v>RDDT</v>
          </cell>
          <cell r="E273" t="str">
            <v>Communication Services</v>
          </cell>
        </row>
        <row r="274">
          <cell r="C274" t="str">
            <v>KEYS</v>
          </cell>
          <cell r="E274" t="str">
            <v>Technology</v>
          </cell>
        </row>
        <row r="275">
          <cell r="C275" t="str">
            <v>STT</v>
          </cell>
          <cell r="E275" t="str">
            <v>Financial</v>
          </cell>
        </row>
        <row r="276">
          <cell r="C276" t="str">
            <v>DOW</v>
          </cell>
          <cell r="E276" t="str">
            <v>Basic Materials</v>
          </cell>
        </row>
        <row r="277">
          <cell r="C277" t="str">
            <v>ON</v>
          </cell>
          <cell r="E277" t="str">
            <v>Technology</v>
          </cell>
        </row>
        <row r="278">
          <cell r="C278" t="str">
            <v>CNC</v>
          </cell>
          <cell r="E278" t="str">
            <v>Healthcare</v>
          </cell>
        </row>
        <row r="279">
          <cell r="C279" t="str">
            <v>HPE</v>
          </cell>
          <cell r="E279" t="str">
            <v>Technology</v>
          </cell>
        </row>
        <row r="280">
          <cell r="C280" t="str">
            <v>PPG</v>
          </cell>
          <cell r="E280" t="str">
            <v>Basic Materials</v>
          </cell>
        </row>
        <row r="281">
          <cell r="C281" t="str">
            <v>CAH</v>
          </cell>
          <cell r="E281" t="str">
            <v>Healthcare</v>
          </cell>
        </row>
        <row r="282">
          <cell r="C282" t="str">
            <v>K</v>
          </cell>
          <cell r="E282" t="str">
            <v>Consumer Defensive</v>
          </cell>
        </row>
        <row r="283">
          <cell r="C283" t="str">
            <v>DOV</v>
          </cell>
          <cell r="E283" t="str">
            <v>Industrials</v>
          </cell>
        </row>
        <row r="284">
          <cell r="C284" t="str">
            <v>EQT</v>
          </cell>
          <cell r="E284" t="str">
            <v>Energy</v>
          </cell>
        </row>
        <row r="285">
          <cell r="C285" t="str">
            <v>FTV</v>
          </cell>
          <cell r="E285" t="str">
            <v>Technology</v>
          </cell>
        </row>
        <row r="286">
          <cell r="C286" t="str">
            <v>TROW</v>
          </cell>
          <cell r="E286" t="str">
            <v>Financial</v>
          </cell>
        </row>
        <row r="287">
          <cell r="C287" t="str">
            <v>SYF</v>
          </cell>
          <cell r="E287" t="str">
            <v>Financial</v>
          </cell>
        </row>
        <row r="288">
          <cell r="C288" t="str">
            <v>WBD</v>
          </cell>
          <cell r="E288" t="str">
            <v>Communication Services</v>
          </cell>
        </row>
        <row r="289">
          <cell r="C289" t="str">
            <v>ZM</v>
          </cell>
          <cell r="E289" t="str">
            <v>Technology</v>
          </cell>
        </row>
        <row r="290">
          <cell r="C290" t="str">
            <v>VLTO</v>
          </cell>
          <cell r="E290" t="str">
            <v>Industrials</v>
          </cell>
        </row>
        <row r="291">
          <cell r="C291" t="str">
            <v>CHD</v>
          </cell>
          <cell r="E291" t="str">
            <v>Consumer Defensive</v>
          </cell>
        </row>
        <row r="292">
          <cell r="C292" t="str">
            <v>TPG</v>
          </cell>
          <cell r="E292" t="str">
            <v>Financial</v>
          </cell>
        </row>
        <row r="293">
          <cell r="C293" t="str">
            <v>HAL</v>
          </cell>
          <cell r="E293" t="str">
            <v>Energy</v>
          </cell>
        </row>
        <row r="294">
          <cell r="C294" t="str">
            <v>RKT</v>
          </cell>
          <cell r="E294" t="str">
            <v>Financial</v>
          </cell>
        </row>
        <row r="295">
          <cell r="C295" t="str">
            <v>ADM</v>
          </cell>
          <cell r="E295" t="str">
            <v>Consumer Defensive</v>
          </cell>
        </row>
        <row r="296">
          <cell r="C296" t="str">
            <v>HBAN</v>
          </cell>
          <cell r="E296" t="str">
            <v>Financial</v>
          </cell>
        </row>
        <row r="297">
          <cell r="C297" t="str">
            <v>PHM</v>
          </cell>
          <cell r="E297" t="str">
            <v>Consumer Cyclical</v>
          </cell>
        </row>
        <row r="298">
          <cell r="C298" t="str">
            <v>NTAP</v>
          </cell>
          <cell r="E298" t="str">
            <v>Technology</v>
          </cell>
        </row>
        <row r="299">
          <cell r="C299" t="str">
            <v>LPLA</v>
          </cell>
          <cell r="E299" t="str">
            <v>Financial</v>
          </cell>
        </row>
        <row r="300">
          <cell r="C300" t="str">
            <v>EXPE</v>
          </cell>
          <cell r="E300" t="str">
            <v>Consumer Cyclical</v>
          </cell>
        </row>
        <row r="301">
          <cell r="C301" t="str">
            <v>GFS</v>
          </cell>
          <cell r="E301" t="str">
            <v>Technology</v>
          </cell>
        </row>
        <row r="302">
          <cell r="C302" t="str">
            <v>PTC</v>
          </cell>
          <cell r="E302" t="str">
            <v>Technology</v>
          </cell>
        </row>
        <row r="303">
          <cell r="C303" t="str">
            <v>WDC</v>
          </cell>
          <cell r="E303" t="str">
            <v>Technology</v>
          </cell>
        </row>
        <row r="304">
          <cell r="C304" t="str">
            <v>TKO</v>
          </cell>
          <cell r="E304" t="str">
            <v>Communication Services</v>
          </cell>
        </row>
        <row r="305">
          <cell r="C305" t="str">
            <v>IOT</v>
          </cell>
          <cell r="E305" t="str">
            <v>Technology</v>
          </cell>
        </row>
        <row r="306">
          <cell r="C306" t="str">
            <v>CDW</v>
          </cell>
          <cell r="E306" t="str">
            <v>Technology</v>
          </cell>
        </row>
        <row r="307">
          <cell r="C307" t="str">
            <v>ROL</v>
          </cell>
          <cell r="E307" t="str">
            <v>Consumer Cyclical</v>
          </cell>
        </row>
        <row r="308">
          <cell r="C308" t="str">
            <v>CINF</v>
          </cell>
          <cell r="E308" t="str">
            <v>Financial</v>
          </cell>
        </row>
        <row r="309">
          <cell r="C309" t="str">
            <v>WSM</v>
          </cell>
          <cell r="E309" t="str">
            <v>Consumer Cyclical</v>
          </cell>
        </row>
        <row r="310">
          <cell r="C310" t="str">
            <v>ILMN</v>
          </cell>
          <cell r="E310" t="str">
            <v>Healthcare</v>
          </cell>
        </row>
        <row r="311">
          <cell r="C311" t="str">
            <v>WRB</v>
          </cell>
          <cell r="E311" t="str">
            <v>Financial</v>
          </cell>
        </row>
        <row r="312">
          <cell r="C312" t="str">
            <v>RF</v>
          </cell>
          <cell r="E312" t="str">
            <v>Financial</v>
          </cell>
        </row>
        <row r="313">
          <cell r="C313" t="str">
            <v>WST</v>
          </cell>
          <cell r="E313" t="str">
            <v>Healthcare</v>
          </cell>
        </row>
        <row r="314">
          <cell r="C314" t="str">
            <v>EXE</v>
          </cell>
          <cell r="E314" t="str">
            <v>Energy</v>
          </cell>
        </row>
        <row r="315">
          <cell r="C315" t="str">
            <v>BIIB</v>
          </cell>
          <cell r="E315" t="str">
            <v>Healthcare</v>
          </cell>
        </row>
        <row r="316">
          <cell r="C316" t="str">
            <v>DVN</v>
          </cell>
          <cell r="E316" t="str">
            <v>Energy</v>
          </cell>
        </row>
        <row r="317">
          <cell r="C317" t="str">
            <v>IFF</v>
          </cell>
          <cell r="E317" t="str">
            <v>Basic Materials</v>
          </cell>
        </row>
        <row r="318">
          <cell r="C318" t="str">
            <v>SMCI</v>
          </cell>
          <cell r="E318" t="str">
            <v>Technology</v>
          </cell>
        </row>
        <row r="319">
          <cell r="C319" t="str">
            <v>NTRA</v>
          </cell>
          <cell r="E319" t="str">
            <v>Healthcare</v>
          </cell>
        </row>
        <row r="320">
          <cell r="C320" t="str">
            <v>AFRM</v>
          </cell>
          <cell r="E320" t="str">
            <v>Technology</v>
          </cell>
        </row>
        <row r="321">
          <cell r="C321" t="str">
            <v>MDB</v>
          </cell>
          <cell r="E321" t="str">
            <v>Technology</v>
          </cell>
        </row>
        <row r="322">
          <cell r="C322" t="str">
            <v>MKC</v>
          </cell>
          <cell r="E322" t="str">
            <v>Consumer Defensive</v>
          </cell>
        </row>
        <row r="323">
          <cell r="C323" t="str">
            <v>TOST</v>
          </cell>
          <cell r="E323" t="str">
            <v>Technology</v>
          </cell>
        </row>
        <row r="324">
          <cell r="C324" t="str">
            <v>TSN</v>
          </cell>
          <cell r="E324" t="str">
            <v>Consumer Defensive</v>
          </cell>
        </row>
        <row r="325">
          <cell r="C325" t="str">
            <v>PINS</v>
          </cell>
          <cell r="E325" t="str">
            <v>Communication Services</v>
          </cell>
        </row>
        <row r="326">
          <cell r="C326" t="str">
            <v>FSLR</v>
          </cell>
          <cell r="E326" t="str">
            <v>Technology</v>
          </cell>
        </row>
        <row r="327">
          <cell r="C327" t="str">
            <v>PKG</v>
          </cell>
          <cell r="E327" t="str">
            <v>Consumer Cyclical</v>
          </cell>
        </row>
        <row r="328">
          <cell r="C328" t="str">
            <v>ZBH</v>
          </cell>
          <cell r="E328" t="str">
            <v>Healthcare</v>
          </cell>
        </row>
        <row r="329">
          <cell r="C329" t="str">
            <v>CBOE</v>
          </cell>
          <cell r="E329" t="str">
            <v>Financial</v>
          </cell>
        </row>
        <row r="330">
          <cell r="C330" t="str">
            <v>BF-B</v>
          </cell>
          <cell r="E330" t="str">
            <v>Consumer Defensive</v>
          </cell>
        </row>
        <row r="331">
          <cell r="C331" t="str">
            <v>EDR</v>
          </cell>
          <cell r="E331" t="str">
            <v>Communication Services</v>
          </cell>
        </row>
        <row r="332">
          <cell r="C332" t="str">
            <v>NTRS</v>
          </cell>
          <cell r="E332" t="str">
            <v>Financial</v>
          </cell>
        </row>
        <row r="333">
          <cell r="C333" t="str">
            <v>STX</v>
          </cell>
          <cell r="E333" t="str">
            <v>Technology</v>
          </cell>
        </row>
        <row r="334">
          <cell r="C334" t="str">
            <v>FOX</v>
          </cell>
          <cell r="E334" t="str">
            <v>Communication Services</v>
          </cell>
        </row>
        <row r="335">
          <cell r="C335" t="str">
            <v>LDOS</v>
          </cell>
          <cell r="E335" t="str">
            <v>Technology</v>
          </cell>
        </row>
        <row r="336">
          <cell r="C336" t="str">
            <v>FOXA</v>
          </cell>
          <cell r="E336" t="str">
            <v>Communication Services</v>
          </cell>
        </row>
        <row r="337">
          <cell r="C337" t="str">
            <v>CLX</v>
          </cell>
          <cell r="E337" t="str">
            <v>Consumer Defensive</v>
          </cell>
        </row>
        <row r="338">
          <cell r="C338" t="str">
            <v>CFG</v>
          </cell>
          <cell r="E338" t="str">
            <v>Financial</v>
          </cell>
        </row>
        <row r="339">
          <cell r="C339" t="str">
            <v>STLD</v>
          </cell>
          <cell r="E339" t="str">
            <v>Basic Materials</v>
          </cell>
        </row>
        <row r="340">
          <cell r="C340" t="str">
            <v>PSTG</v>
          </cell>
          <cell r="E340" t="str">
            <v>Technology</v>
          </cell>
        </row>
        <row r="341">
          <cell r="C341" t="str">
            <v>LUV</v>
          </cell>
          <cell r="E341" t="str">
            <v>Industrials</v>
          </cell>
        </row>
        <row r="342">
          <cell r="C342" t="str">
            <v>SNAP</v>
          </cell>
          <cell r="E342" t="str">
            <v>Communication Services</v>
          </cell>
        </row>
        <row r="343">
          <cell r="C343" t="str">
            <v>ULTA</v>
          </cell>
          <cell r="E343" t="str">
            <v>Consumer Cyclical</v>
          </cell>
        </row>
        <row r="344">
          <cell r="C344" t="str">
            <v>COO</v>
          </cell>
          <cell r="E344" t="str">
            <v>Healthcare</v>
          </cell>
        </row>
        <row r="345">
          <cell r="C345" t="str">
            <v>BLDR</v>
          </cell>
          <cell r="E345" t="str">
            <v>Industrials</v>
          </cell>
        </row>
        <row r="346">
          <cell r="C346" t="str">
            <v>DRI</v>
          </cell>
          <cell r="E346" t="str">
            <v>Consumer Cyclical</v>
          </cell>
        </row>
        <row r="347">
          <cell r="C347" t="str">
            <v>CG</v>
          </cell>
          <cell r="E347" t="str">
            <v>Financial</v>
          </cell>
        </row>
        <row r="348">
          <cell r="C348" t="str">
            <v>TER</v>
          </cell>
          <cell r="E348" t="str">
            <v>Technology</v>
          </cell>
        </row>
        <row r="349">
          <cell r="C349" t="str">
            <v>TRU</v>
          </cell>
          <cell r="E349" t="str">
            <v>Financial</v>
          </cell>
        </row>
        <row r="350">
          <cell r="C350" t="str">
            <v>ALAB</v>
          </cell>
          <cell r="E350" t="str">
            <v>Technology</v>
          </cell>
        </row>
        <row r="351">
          <cell r="C351" t="str">
            <v>NRG</v>
          </cell>
          <cell r="E351" t="str">
            <v>Utilities</v>
          </cell>
        </row>
        <row r="352">
          <cell r="C352" t="str">
            <v>VRSN</v>
          </cell>
          <cell r="E352" t="str">
            <v>Technology</v>
          </cell>
        </row>
        <row r="353">
          <cell r="C353" t="str">
            <v>LH</v>
          </cell>
          <cell r="E353" t="str">
            <v>Healthcare</v>
          </cell>
        </row>
        <row r="354">
          <cell r="C354" t="str">
            <v>PODD</v>
          </cell>
          <cell r="E354" t="str">
            <v>Healthcare</v>
          </cell>
        </row>
        <row r="355">
          <cell r="C355" t="str">
            <v>DOCU</v>
          </cell>
          <cell r="E355" t="str">
            <v>Technology</v>
          </cell>
        </row>
        <row r="356">
          <cell r="C356" t="str">
            <v>SSNC</v>
          </cell>
          <cell r="E356" t="str">
            <v>Technology</v>
          </cell>
        </row>
        <row r="357">
          <cell r="C357" t="str">
            <v>ZG</v>
          </cell>
          <cell r="E357" t="str">
            <v>Communication Services</v>
          </cell>
        </row>
        <row r="358">
          <cell r="C358" t="str">
            <v>Z</v>
          </cell>
          <cell r="E358" t="str">
            <v>Communication Services</v>
          </cell>
        </row>
        <row r="359">
          <cell r="C359" t="str">
            <v>IP</v>
          </cell>
          <cell r="E359" t="str">
            <v>Consumer Cyclical</v>
          </cell>
        </row>
        <row r="360">
          <cell r="C360" t="str">
            <v>BURL</v>
          </cell>
          <cell r="E360" t="str">
            <v>Consumer Cyclical</v>
          </cell>
        </row>
        <row r="361">
          <cell r="C361" t="str">
            <v>CTRA</v>
          </cell>
          <cell r="E361" t="str">
            <v>Energy</v>
          </cell>
        </row>
        <row r="362">
          <cell r="C362" t="str">
            <v>BBY</v>
          </cell>
          <cell r="E362" t="str">
            <v>Consumer Cyclical</v>
          </cell>
        </row>
        <row r="363">
          <cell r="C363" t="str">
            <v>L</v>
          </cell>
          <cell r="E363" t="str">
            <v>Financial</v>
          </cell>
        </row>
        <row r="364">
          <cell r="C364" t="str">
            <v>GEN</v>
          </cell>
          <cell r="E364" t="str">
            <v>Technology</v>
          </cell>
        </row>
        <row r="365">
          <cell r="C365" t="str">
            <v>XPO</v>
          </cell>
          <cell r="E365" t="str">
            <v>Industrials</v>
          </cell>
        </row>
        <row r="366">
          <cell r="C366" t="str">
            <v>JBHT</v>
          </cell>
          <cell r="E366" t="str">
            <v>Industrials</v>
          </cell>
        </row>
        <row r="367">
          <cell r="C367" t="str">
            <v>PFG</v>
          </cell>
          <cell r="E367" t="str">
            <v>Financial</v>
          </cell>
        </row>
        <row r="368">
          <cell r="C368" t="str">
            <v>HRL</v>
          </cell>
          <cell r="E368" t="str">
            <v>Consumer Defensive</v>
          </cell>
        </row>
        <row r="369">
          <cell r="C369" t="str">
            <v>KEY</v>
          </cell>
          <cell r="E369" t="str">
            <v>Financial</v>
          </cell>
        </row>
        <row r="370">
          <cell r="C370" t="str">
            <v>OMC</v>
          </cell>
          <cell r="E370" t="str">
            <v>Communication Services</v>
          </cell>
        </row>
        <row r="371">
          <cell r="C371" t="str">
            <v>TRMB</v>
          </cell>
          <cell r="E371" t="str">
            <v>Technology</v>
          </cell>
        </row>
        <row r="372">
          <cell r="C372" t="str">
            <v>DKS</v>
          </cell>
          <cell r="E372" t="str">
            <v>Consumer Cyclical</v>
          </cell>
        </row>
        <row r="373">
          <cell r="C373" t="str">
            <v>ALGN</v>
          </cell>
          <cell r="E373" t="str">
            <v>Healthcare</v>
          </cell>
        </row>
        <row r="374">
          <cell r="C374" t="str">
            <v>RYAN</v>
          </cell>
          <cell r="E374" t="str">
            <v>Financial</v>
          </cell>
        </row>
        <row r="375">
          <cell r="C375" t="str">
            <v>RBA</v>
          </cell>
          <cell r="E375" t="str">
            <v>Industrials</v>
          </cell>
        </row>
        <row r="376">
          <cell r="C376" t="str">
            <v>DG</v>
          </cell>
          <cell r="E376" t="str">
            <v>Consumer Defensive</v>
          </cell>
        </row>
        <row r="377">
          <cell r="C377" t="str">
            <v>DGX</v>
          </cell>
          <cell r="E377" t="str">
            <v>Healthcare</v>
          </cell>
        </row>
        <row r="378">
          <cell r="C378" t="str">
            <v>NTNX</v>
          </cell>
          <cell r="E378" t="str">
            <v>Technology</v>
          </cell>
        </row>
        <row r="379">
          <cell r="C379" t="str">
            <v>TWLO</v>
          </cell>
          <cell r="E379" t="str">
            <v>Technology</v>
          </cell>
        </row>
        <row r="380">
          <cell r="C380" t="str">
            <v>SOFI</v>
          </cell>
          <cell r="E380" t="str">
            <v>Financial</v>
          </cell>
        </row>
        <row r="381">
          <cell r="C381" t="str">
            <v>CRBG</v>
          </cell>
          <cell r="E381" t="str">
            <v>Financial</v>
          </cell>
        </row>
        <row r="382">
          <cell r="C382" t="str">
            <v>IEX</v>
          </cell>
          <cell r="E382" t="str">
            <v>Industrials</v>
          </cell>
        </row>
        <row r="383">
          <cell r="C383" t="str">
            <v>BAH</v>
          </cell>
          <cell r="E383" t="str">
            <v>Industrials</v>
          </cell>
        </row>
        <row r="384">
          <cell r="C384" t="str">
            <v>RPM</v>
          </cell>
          <cell r="E384" t="str">
            <v>Basic Materials</v>
          </cell>
        </row>
        <row r="385">
          <cell r="C385" t="str">
            <v>MOH</v>
          </cell>
          <cell r="E385" t="str">
            <v>Healthcare</v>
          </cell>
        </row>
        <row r="386">
          <cell r="C386" t="str">
            <v>HOLX</v>
          </cell>
          <cell r="E386" t="str">
            <v>Healthcare</v>
          </cell>
        </row>
        <row r="387">
          <cell r="C387" t="str">
            <v>BALL</v>
          </cell>
          <cell r="E387" t="str">
            <v>Consumer Cyclical</v>
          </cell>
        </row>
        <row r="388">
          <cell r="C388" t="str">
            <v>NWSA</v>
          </cell>
          <cell r="E388" t="str">
            <v>Communication Services</v>
          </cell>
        </row>
        <row r="389">
          <cell r="C389" t="str">
            <v>MAS</v>
          </cell>
          <cell r="E389" t="str">
            <v>Industrials</v>
          </cell>
        </row>
        <row r="390">
          <cell r="C390" t="str">
            <v>GPC</v>
          </cell>
          <cell r="E390" t="str">
            <v>Consumer Cyclical</v>
          </cell>
        </row>
        <row r="391">
          <cell r="C391" t="str">
            <v>NWS</v>
          </cell>
          <cell r="E391" t="str">
            <v>Communication Services</v>
          </cell>
        </row>
        <row r="392">
          <cell r="C392" t="str">
            <v>OC</v>
          </cell>
          <cell r="E392" t="str">
            <v>Industrials</v>
          </cell>
        </row>
        <row r="393">
          <cell r="C393" t="str">
            <v>WMG</v>
          </cell>
          <cell r="E393" t="str">
            <v>Communication Services</v>
          </cell>
        </row>
        <row r="394">
          <cell r="C394" t="str">
            <v>EXPD</v>
          </cell>
          <cell r="E394" t="str">
            <v>Industrials</v>
          </cell>
        </row>
        <row r="395">
          <cell r="C395" t="str">
            <v>DT</v>
          </cell>
          <cell r="E395" t="str">
            <v>Technology</v>
          </cell>
        </row>
        <row r="396">
          <cell r="C396" t="str">
            <v>J</v>
          </cell>
          <cell r="E396" t="str">
            <v>Industrials</v>
          </cell>
        </row>
        <row r="397">
          <cell r="C397" t="str">
            <v>MRNA</v>
          </cell>
          <cell r="E397" t="str">
            <v>Healthcare</v>
          </cell>
        </row>
        <row r="398">
          <cell r="C398" t="str">
            <v>JEF</v>
          </cell>
          <cell r="E398" t="str">
            <v>Financial</v>
          </cell>
        </row>
        <row r="399">
          <cell r="C399" t="str">
            <v>ENTG</v>
          </cell>
          <cell r="E399" t="str">
            <v>Technology</v>
          </cell>
        </row>
        <row r="400">
          <cell r="C400" t="str">
            <v>FNF</v>
          </cell>
          <cell r="E400" t="str">
            <v>Financial</v>
          </cell>
        </row>
        <row r="401">
          <cell r="C401" t="str">
            <v>USFD</v>
          </cell>
          <cell r="E401" t="str">
            <v>Consumer Defensive</v>
          </cell>
        </row>
        <row r="402">
          <cell r="C402" t="str">
            <v>COHR</v>
          </cell>
          <cell r="E402" t="str">
            <v>Technology</v>
          </cell>
        </row>
        <row r="403">
          <cell r="C403" t="str">
            <v>AVY</v>
          </cell>
          <cell r="E403" t="str">
            <v>Consumer Cyclical</v>
          </cell>
        </row>
        <row r="404">
          <cell r="C404" t="str">
            <v>BAX</v>
          </cell>
          <cell r="E404" t="str">
            <v>Healthcare</v>
          </cell>
        </row>
        <row r="405">
          <cell r="C405" t="str">
            <v>DPZ</v>
          </cell>
          <cell r="E405" t="str">
            <v>Consumer Cyclical</v>
          </cell>
        </row>
        <row r="406">
          <cell r="C406" t="str">
            <v>SYM</v>
          </cell>
          <cell r="E406" t="str">
            <v>Industrials</v>
          </cell>
        </row>
        <row r="407">
          <cell r="C407" t="str">
            <v>CF</v>
          </cell>
          <cell r="E407" t="str">
            <v>Basic Materials</v>
          </cell>
        </row>
        <row r="408">
          <cell r="C408" t="str">
            <v>WLK</v>
          </cell>
          <cell r="E408" t="str">
            <v>Basic Materials</v>
          </cell>
        </row>
        <row r="409">
          <cell r="C409" t="str">
            <v>H</v>
          </cell>
          <cell r="E409" t="str">
            <v>Consumer Cyclical</v>
          </cell>
        </row>
        <row r="410">
          <cell r="C410" t="str">
            <v>AVTR</v>
          </cell>
          <cell r="E410" t="str">
            <v>Healthcare</v>
          </cell>
        </row>
        <row r="411">
          <cell r="C411" t="str">
            <v>DLTR</v>
          </cell>
          <cell r="E411" t="str">
            <v>Consumer Defensive</v>
          </cell>
        </row>
        <row r="412">
          <cell r="C412" t="str">
            <v>FTAI</v>
          </cell>
          <cell r="E412" t="str">
            <v>Industrials</v>
          </cell>
        </row>
        <row r="413">
          <cell r="C413" t="str">
            <v>FFIV</v>
          </cell>
          <cell r="E413" t="str">
            <v>Technology</v>
          </cell>
        </row>
        <row r="414">
          <cell r="C414" t="str">
            <v>TXT</v>
          </cell>
          <cell r="E414" t="str">
            <v>Industrials</v>
          </cell>
        </row>
        <row r="415">
          <cell r="C415" t="str">
            <v>VTRS</v>
          </cell>
          <cell r="E415" t="str">
            <v>Healthcare</v>
          </cell>
        </row>
        <row r="416">
          <cell r="C416" t="str">
            <v>GGG</v>
          </cell>
          <cell r="E416" t="str">
            <v>Industrials</v>
          </cell>
        </row>
        <row r="417">
          <cell r="C417" t="str">
            <v>DUOL</v>
          </cell>
          <cell r="E417" t="str">
            <v>Technology</v>
          </cell>
        </row>
        <row r="418">
          <cell r="C418" t="str">
            <v>JBL</v>
          </cell>
          <cell r="E418" t="str">
            <v>Technology</v>
          </cell>
        </row>
        <row r="419">
          <cell r="C419" t="str">
            <v>AKAM</v>
          </cell>
          <cell r="E419" t="str">
            <v>Technology</v>
          </cell>
        </row>
        <row r="420">
          <cell r="C420" t="str">
            <v>ACM</v>
          </cell>
          <cell r="E420" t="str">
            <v>Industrials</v>
          </cell>
        </row>
        <row r="421">
          <cell r="C421" t="str">
            <v>PAGP</v>
          </cell>
          <cell r="E421" t="str">
            <v>Energy</v>
          </cell>
        </row>
        <row r="422">
          <cell r="C422" t="str">
            <v>SFM</v>
          </cell>
          <cell r="E422" t="str">
            <v>Consumer Defensive</v>
          </cell>
        </row>
        <row r="423">
          <cell r="C423" t="str">
            <v>RPRX</v>
          </cell>
          <cell r="E423" t="str">
            <v>Healthcare</v>
          </cell>
        </row>
        <row r="424">
          <cell r="C424" t="str">
            <v>FLEX</v>
          </cell>
          <cell r="E424" t="str">
            <v>Technology</v>
          </cell>
        </row>
        <row r="425">
          <cell r="C425" t="str">
            <v>EQH</v>
          </cell>
          <cell r="E425" t="str">
            <v>Financial</v>
          </cell>
        </row>
        <row r="426">
          <cell r="C426" t="str">
            <v>WES</v>
          </cell>
          <cell r="E426" t="str">
            <v>Energy</v>
          </cell>
        </row>
        <row r="427">
          <cell r="C427" t="str">
            <v>CAVA</v>
          </cell>
          <cell r="E427" t="str">
            <v>Consumer Cyclical</v>
          </cell>
        </row>
        <row r="428">
          <cell r="C428" t="str">
            <v>EWBC</v>
          </cell>
          <cell r="E428" t="str">
            <v>Financial</v>
          </cell>
        </row>
        <row r="429">
          <cell r="C429" t="str">
            <v>OKTA</v>
          </cell>
          <cell r="E429" t="str">
            <v>Technology</v>
          </cell>
        </row>
        <row r="430">
          <cell r="C430" t="str">
            <v>TPR</v>
          </cell>
          <cell r="E430" t="str">
            <v>Consumer Cyclical</v>
          </cell>
        </row>
        <row r="431">
          <cell r="C431" t="str">
            <v>TOL</v>
          </cell>
          <cell r="E431" t="str">
            <v>Consumer Cyclical</v>
          </cell>
        </row>
        <row r="432">
          <cell r="C432" t="str">
            <v>EPAM</v>
          </cell>
          <cell r="E432" t="str">
            <v>Technology</v>
          </cell>
        </row>
        <row r="433">
          <cell r="C433" t="str">
            <v>BSY</v>
          </cell>
          <cell r="E433" t="str">
            <v>Technology</v>
          </cell>
        </row>
        <row r="434">
          <cell r="C434" t="str">
            <v>SWKS</v>
          </cell>
          <cell r="E434" t="str">
            <v>Technology</v>
          </cell>
        </row>
        <row r="435">
          <cell r="C435" t="str">
            <v>ARCC</v>
          </cell>
          <cell r="E435" t="str">
            <v>Financial</v>
          </cell>
        </row>
        <row r="436">
          <cell r="C436" t="str">
            <v>GWRE</v>
          </cell>
          <cell r="E436" t="str">
            <v>Technology</v>
          </cell>
        </row>
        <row r="437">
          <cell r="C437" t="str">
            <v>SN</v>
          </cell>
          <cell r="E437" t="str">
            <v>Consumer Cyclical</v>
          </cell>
        </row>
        <row r="438">
          <cell r="C438" t="str">
            <v>RVTY</v>
          </cell>
          <cell r="E438" t="str">
            <v>Healthcare</v>
          </cell>
        </row>
        <row r="439">
          <cell r="C439" t="str">
            <v>RL</v>
          </cell>
          <cell r="E439" t="str">
            <v>Consumer Cyclical</v>
          </cell>
        </row>
        <row r="440">
          <cell r="C440" t="str">
            <v>RIVN</v>
          </cell>
          <cell r="E440" t="str">
            <v>Consumer Cyclical</v>
          </cell>
        </row>
        <row r="441">
          <cell r="C441" t="str">
            <v>INCY</v>
          </cell>
          <cell r="E441" t="str">
            <v>Healthcare</v>
          </cell>
        </row>
        <row r="442">
          <cell r="C442" t="str">
            <v>PFGC</v>
          </cell>
          <cell r="E442" t="str">
            <v>Consumer Defensive</v>
          </cell>
        </row>
        <row r="443">
          <cell r="C443" t="str">
            <v>SMMT</v>
          </cell>
          <cell r="E443" t="str">
            <v>Healthcare</v>
          </cell>
        </row>
        <row r="444">
          <cell r="C444" t="str">
            <v>KMX</v>
          </cell>
          <cell r="E444" t="str">
            <v>Consumer Cyclical</v>
          </cell>
        </row>
        <row r="445">
          <cell r="C445" t="str">
            <v>PAYC</v>
          </cell>
          <cell r="E445" t="str">
            <v>Technology</v>
          </cell>
        </row>
        <row r="446">
          <cell r="C446" t="str">
            <v>THC</v>
          </cell>
          <cell r="E446" t="str">
            <v>Healthcare</v>
          </cell>
        </row>
        <row r="447">
          <cell r="C447" t="str">
            <v>UNM</v>
          </cell>
          <cell r="E447" t="str">
            <v>Financial</v>
          </cell>
        </row>
        <row r="448">
          <cell r="C448" t="str">
            <v>CHWY</v>
          </cell>
          <cell r="E448" t="str">
            <v>Consumer Cyclical</v>
          </cell>
        </row>
        <row r="449">
          <cell r="C449" t="str">
            <v>INSM</v>
          </cell>
          <cell r="E449" t="str">
            <v>Healthcare</v>
          </cell>
        </row>
        <row r="450">
          <cell r="C450" t="str">
            <v>CAG</v>
          </cell>
          <cell r="E450" t="str">
            <v>Consumer Defensive</v>
          </cell>
        </row>
        <row r="451">
          <cell r="C451" t="str">
            <v>BJ</v>
          </cell>
          <cell r="E451" t="str">
            <v>Consumer Defensive</v>
          </cell>
        </row>
        <row r="452">
          <cell r="C452" t="str">
            <v>FTI</v>
          </cell>
          <cell r="E452" t="str">
            <v>Energy</v>
          </cell>
        </row>
        <row r="453">
          <cell r="C453" t="str">
            <v>JKHY</v>
          </cell>
          <cell r="E453" t="str">
            <v>Technology</v>
          </cell>
        </row>
        <row r="454">
          <cell r="C454" t="str">
            <v>NBIX</v>
          </cell>
          <cell r="E454" t="str">
            <v>Healthcare</v>
          </cell>
        </row>
        <row r="455">
          <cell r="C455" t="str">
            <v>SWK</v>
          </cell>
          <cell r="E455" t="str">
            <v>Industrials</v>
          </cell>
        </row>
        <row r="456">
          <cell r="C456" t="str">
            <v>CHRW</v>
          </cell>
          <cell r="E456" t="str">
            <v>Industrials</v>
          </cell>
        </row>
        <row r="457">
          <cell r="C457" t="str">
            <v>TXRH</v>
          </cell>
          <cell r="E457" t="str">
            <v>Consumer Cyclical</v>
          </cell>
        </row>
        <row r="458">
          <cell r="C458" t="str">
            <v>CPB</v>
          </cell>
          <cell r="E458" t="str">
            <v>Consumer Defensive</v>
          </cell>
        </row>
        <row r="459">
          <cell r="C459" t="str">
            <v>RBRK</v>
          </cell>
          <cell r="E459" t="str">
            <v>Technology</v>
          </cell>
        </row>
        <row r="460">
          <cell r="C460" t="str">
            <v>DVA</v>
          </cell>
          <cell r="E460" t="str">
            <v>Healthcare</v>
          </cell>
        </row>
        <row r="461">
          <cell r="C461" t="str">
            <v>AUR</v>
          </cell>
          <cell r="E461" t="str">
            <v>Technology</v>
          </cell>
        </row>
        <row r="462">
          <cell r="C462" t="str">
            <v>TAP</v>
          </cell>
          <cell r="E462" t="str">
            <v>Consumer Defensive</v>
          </cell>
        </row>
        <row r="463">
          <cell r="C463" t="str">
            <v>PAA</v>
          </cell>
          <cell r="E463" t="str">
            <v>Energy</v>
          </cell>
        </row>
        <row r="464">
          <cell r="C464" t="str">
            <v>BMRN</v>
          </cell>
          <cell r="E464" t="str">
            <v>Healthcare</v>
          </cell>
        </row>
        <row r="465">
          <cell r="C465" t="str">
            <v>SCI</v>
          </cell>
          <cell r="E465" t="str">
            <v>Consumer Cyclical</v>
          </cell>
        </row>
        <row r="466">
          <cell r="C466" t="str">
            <v>JNPR</v>
          </cell>
          <cell r="E466" t="str">
            <v>Technology</v>
          </cell>
        </row>
        <row r="467">
          <cell r="C467" t="str">
            <v>GME</v>
          </cell>
          <cell r="E467" t="str">
            <v>Consumer Cyclical</v>
          </cell>
        </row>
        <row r="468">
          <cell r="C468" t="str">
            <v>DAY</v>
          </cell>
          <cell r="E468" t="str">
            <v>Technology</v>
          </cell>
        </row>
        <row r="469">
          <cell r="C469" t="str">
            <v>ALB</v>
          </cell>
          <cell r="E469" t="str">
            <v>Basic Materials</v>
          </cell>
        </row>
        <row r="470">
          <cell r="C470" t="str">
            <v>TECH</v>
          </cell>
          <cell r="E470" t="str">
            <v>Healthcare</v>
          </cell>
        </row>
        <row r="471">
          <cell r="C471" t="str">
            <v>SOLV</v>
          </cell>
          <cell r="E471" t="str">
            <v>Healthcare</v>
          </cell>
        </row>
        <row r="472">
          <cell r="C472" t="str">
            <v>FND</v>
          </cell>
          <cell r="E472" t="str">
            <v>Consumer Cyclical</v>
          </cell>
        </row>
        <row r="473">
          <cell r="C473" t="str">
            <v>NCLH</v>
          </cell>
          <cell r="E473" t="str">
            <v>Consumer Cyclical</v>
          </cell>
        </row>
        <row r="474">
          <cell r="C474" t="str">
            <v>PCOR</v>
          </cell>
          <cell r="E474" t="str">
            <v>Technology</v>
          </cell>
        </row>
        <row r="475">
          <cell r="C475" t="str">
            <v>PR</v>
          </cell>
          <cell r="E475" t="str">
            <v>Energy</v>
          </cell>
        </row>
        <row r="476">
          <cell r="C476" t="str">
            <v>SJM</v>
          </cell>
          <cell r="E476" t="str">
            <v>Consumer Defensive</v>
          </cell>
        </row>
        <row r="477">
          <cell r="C477" t="str">
            <v>PRMB</v>
          </cell>
          <cell r="E477" t="str">
            <v>Consumer Defensive</v>
          </cell>
        </row>
        <row r="478">
          <cell r="C478" t="str">
            <v>SRPT</v>
          </cell>
          <cell r="E478" t="str">
            <v>Healthcare</v>
          </cell>
        </row>
        <row r="479">
          <cell r="C479" t="str">
            <v>ROKU</v>
          </cell>
          <cell r="E479" t="str">
            <v>Communication Services</v>
          </cell>
        </row>
        <row r="480">
          <cell r="C480" t="str">
            <v>PPC</v>
          </cell>
          <cell r="E480" t="str">
            <v>Consumer Defensive</v>
          </cell>
        </row>
        <row r="481">
          <cell r="C481" t="str">
            <v>BG</v>
          </cell>
          <cell r="E481" t="str">
            <v>Consumer Defensive</v>
          </cell>
        </row>
        <row r="482">
          <cell r="C482" t="str">
            <v>BEN</v>
          </cell>
          <cell r="E482" t="str">
            <v>Financial</v>
          </cell>
        </row>
        <row r="483">
          <cell r="C483" t="str">
            <v>ALLY</v>
          </cell>
          <cell r="E483" t="str">
            <v>Financial</v>
          </cell>
        </row>
        <row r="484">
          <cell r="C484" t="str">
            <v>EXAS</v>
          </cell>
          <cell r="E484" t="str">
            <v>Healthcare</v>
          </cell>
        </row>
        <row r="485">
          <cell r="C485" t="str">
            <v>RKLB</v>
          </cell>
          <cell r="E485" t="str">
            <v>Industrials</v>
          </cell>
        </row>
        <row r="486">
          <cell r="C486" t="str">
            <v>LBRDK</v>
          </cell>
          <cell r="E486" t="str">
            <v>Communication Services</v>
          </cell>
        </row>
        <row r="487">
          <cell r="C487" t="str">
            <v>AAL</v>
          </cell>
          <cell r="E487" t="str">
            <v>Industrials</v>
          </cell>
        </row>
        <row r="488">
          <cell r="C488" t="str">
            <v>EMN</v>
          </cell>
          <cell r="E488" t="str">
            <v>Basic Materials</v>
          </cell>
        </row>
        <row r="489">
          <cell r="C489" t="str">
            <v>SF</v>
          </cell>
          <cell r="E489" t="str">
            <v>Financial</v>
          </cell>
        </row>
        <row r="490">
          <cell r="C490" t="str">
            <v>CTLT</v>
          </cell>
          <cell r="E490" t="str">
            <v>Healthcare</v>
          </cell>
        </row>
        <row r="491">
          <cell r="C491" t="str">
            <v>PCVX</v>
          </cell>
          <cell r="E491" t="str">
            <v>Healthcare</v>
          </cell>
        </row>
        <row r="492">
          <cell r="C492" t="str">
            <v>PCTY</v>
          </cell>
          <cell r="E492" t="str">
            <v>Technology</v>
          </cell>
        </row>
        <row r="493">
          <cell r="C493" t="str">
            <v>TTEK</v>
          </cell>
          <cell r="E493" t="str">
            <v>Industrials</v>
          </cell>
        </row>
        <row r="494">
          <cell r="C494" t="str">
            <v>GMED</v>
          </cell>
          <cell r="E494" t="str">
            <v>Healthcare</v>
          </cell>
        </row>
        <row r="495">
          <cell r="C495" t="str">
            <v>BWXT</v>
          </cell>
          <cell r="E495" t="str">
            <v>Industrials</v>
          </cell>
        </row>
        <row r="496">
          <cell r="C496" t="str">
            <v>IPG</v>
          </cell>
          <cell r="E496" t="str">
            <v>Communication Services</v>
          </cell>
        </row>
        <row r="497">
          <cell r="C497" t="str">
            <v>UHS</v>
          </cell>
          <cell r="E497" t="str">
            <v>Healthcare</v>
          </cell>
        </row>
        <row r="498">
          <cell r="C498" t="str">
            <v>BEPC</v>
          </cell>
          <cell r="E498" t="str">
            <v>Utilities</v>
          </cell>
        </row>
        <row r="499">
          <cell r="C499" t="str">
            <v>ESTC</v>
          </cell>
          <cell r="E499" t="str">
            <v>Technology</v>
          </cell>
        </row>
        <row r="500">
          <cell r="C500" t="str">
            <v>SEIC</v>
          </cell>
          <cell r="E500" t="str">
            <v>Financial</v>
          </cell>
        </row>
        <row r="501">
          <cell r="C501" t="str">
            <v>OVV</v>
          </cell>
          <cell r="E501" t="str">
            <v>Energy</v>
          </cell>
        </row>
        <row r="502">
          <cell r="C502" t="str">
            <v>MGM</v>
          </cell>
          <cell r="E502" t="str">
            <v>Consumer Cyclical</v>
          </cell>
        </row>
        <row r="503">
          <cell r="C503" t="str">
            <v>APG</v>
          </cell>
          <cell r="E503" t="str">
            <v>Industrials</v>
          </cell>
        </row>
        <row r="504">
          <cell r="C504" t="str">
            <v>FHN</v>
          </cell>
          <cell r="E504" t="str">
            <v>Financial</v>
          </cell>
        </row>
        <row r="505">
          <cell r="C505" t="str">
            <v>MTZ</v>
          </cell>
          <cell r="E505" t="str">
            <v>Industrials</v>
          </cell>
        </row>
        <row r="506">
          <cell r="C506" t="str">
            <v>ARMK</v>
          </cell>
          <cell r="E506" t="str">
            <v>Industrials</v>
          </cell>
        </row>
        <row r="507">
          <cell r="C507" t="str">
            <v>SKX</v>
          </cell>
          <cell r="E507" t="str">
            <v>Consumer Cyclical</v>
          </cell>
        </row>
        <row r="508">
          <cell r="C508" t="str">
            <v>CART</v>
          </cell>
          <cell r="E508" t="str">
            <v>Consumer Cyclical</v>
          </cell>
        </row>
        <row r="509">
          <cell r="C509" t="str">
            <v>U</v>
          </cell>
          <cell r="E509" t="str">
            <v>Technology</v>
          </cell>
        </row>
        <row r="510">
          <cell r="C510" t="str">
            <v>LW</v>
          </cell>
          <cell r="E510" t="str">
            <v>Consumer Defensive</v>
          </cell>
        </row>
        <row r="511">
          <cell r="C511" t="str">
            <v>AOS</v>
          </cell>
          <cell r="E511" t="str">
            <v>Industrials</v>
          </cell>
        </row>
        <row r="512">
          <cell r="C512" t="str">
            <v>KVYO</v>
          </cell>
          <cell r="E512" t="str">
            <v>Technology</v>
          </cell>
        </row>
        <row r="513">
          <cell r="C513" t="str">
            <v>CNM</v>
          </cell>
          <cell r="E513" t="str">
            <v>Industrials</v>
          </cell>
        </row>
        <row r="514">
          <cell r="C514" t="str">
            <v>CIEN</v>
          </cell>
          <cell r="E514" t="str">
            <v>Technology</v>
          </cell>
        </row>
        <row r="515">
          <cell r="C515" t="str">
            <v>ACI</v>
          </cell>
          <cell r="E515" t="str">
            <v>Consumer Defensive</v>
          </cell>
        </row>
        <row r="516">
          <cell r="C516" t="str">
            <v>CCK</v>
          </cell>
          <cell r="E516" t="str">
            <v>Consumer Cyclical</v>
          </cell>
        </row>
        <row r="517">
          <cell r="C517" t="str">
            <v>SNX</v>
          </cell>
          <cell r="E517" t="str">
            <v>Technology</v>
          </cell>
        </row>
        <row r="518">
          <cell r="C518" t="str">
            <v>WYNN</v>
          </cell>
          <cell r="E518" t="str">
            <v>Consumer Cyclical</v>
          </cell>
        </row>
        <row r="519">
          <cell r="C519" t="str">
            <v>ULS</v>
          </cell>
          <cell r="E519" t="str">
            <v>Industrials</v>
          </cell>
        </row>
        <row r="520">
          <cell r="C520" t="str">
            <v>AR</v>
          </cell>
          <cell r="E520" t="str">
            <v>Energy</v>
          </cell>
        </row>
        <row r="521">
          <cell r="C521" t="str">
            <v>EHC</v>
          </cell>
          <cell r="E521" t="str">
            <v>Healthcare</v>
          </cell>
        </row>
        <row r="522">
          <cell r="C522" t="str">
            <v>CFLT</v>
          </cell>
          <cell r="E522" t="str">
            <v>Technology</v>
          </cell>
        </row>
        <row r="523">
          <cell r="C523" t="str">
            <v>WBS</v>
          </cell>
          <cell r="E523" t="str">
            <v>Financial</v>
          </cell>
        </row>
        <row r="524">
          <cell r="C524" t="str">
            <v>DTM</v>
          </cell>
          <cell r="E524" t="str">
            <v>Energy</v>
          </cell>
        </row>
        <row r="525">
          <cell r="C525" t="str">
            <v>GNRC</v>
          </cell>
          <cell r="E525" t="str">
            <v>Industrials</v>
          </cell>
        </row>
        <row r="526">
          <cell r="C526" t="str">
            <v>AA</v>
          </cell>
          <cell r="E526" t="str">
            <v>Basic Materials</v>
          </cell>
        </row>
        <row r="527">
          <cell r="C527" t="str">
            <v>VFS</v>
          </cell>
          <cell r="E527" t="str">
            <v>Consumer Cyclical</v>
          </cell>
        </row>
        <row r="528">
          <cell r="C528" t="str">
            <v>EXEL</v>
          </cell>
          <cell r="E528" t="str">
            <v>Healthcare</v>
          </cell>
        </row>
        <row r="529">
          <cell r="C529" t="str">
            <v>PSN</v>
          </cell>
          <cell r="E529" t="str">
            <v>Technology</v>
          </cell>
        </row>
        <row r="530">
          <cell r="C530" t="str">
            <v>UWMC</v>
          </cell>
          <cell r="E530" t="str">
            <v>Financial</v>
          </cell>
        </row>
        <row r="531">
          <cell r="C531" t="str">
            <v>WMS</v>
          </cell>
          <cell r="E531" t="str">
            <v>Industrials</v>
          </cell>
        </row>
        <row r="532">
          <cell r="C532" t="str">
            <v>LKQ</v>
          </cell>
          <cell r="E532" t="str">
            <v>Consumer Cyclical</v>
          </cell>
        </row>
        <row r="533">
          <cell r="C533" t="str">
            <v>ENPH</v>
          </cell>
          <cell r="E533" t="str">
            <v>Technology</v>
          </cell>
        </row>
        <row r="534">
          <cell r="C534" t="str">
            <v>WAL</v>
          </cell>
          <cell r="E534" t="str">
            <v>Financial</v>
          </cell>
        </row>
        <row r="535">
          <cell r="C535" t="str">
            <v>MTSI</v>
          </cell>
          <cell r="E535" t="str">
            <v>Technology</v>
          </cell>
        </row>
        <row r="536">
          <cell r="C536" t="str">
            <v>BRBR</v>
          </cell>
          <cell r="E536" t="str">
            <v>Consumer Defensive</v>
          </cell>
        </row>
        <row r="537">
          <cell r="C537" t="str">
            <v>DOX</v>
          </cell>
          <cell r="E537" t="str">
            <v>Technology</v>
          </cell>
        </row>
        <row r="538">
          <cell r="C538" t="str">
            <v>ALSN</v>
          </cell>
          <cell r="E538" t="str">
            <v>Consumer Cyclical</v>
          </cell>
        </row>
        <row r="539">
          <cell r="C539" t="str">
            <v>CRL</v>
          </cell>
          <cell r="E539" t="str">
            <v>Healthcare</v>
          </cell>
        </row>
        <row r="540">
          <cell r="C540" t="str">
            <v>GTLB</v>
          </cell>
          <cell r="E540" t="str">
            <v>Technology</v>
          </cell>
        </row>
        <row r="541">
          <cell r="C541" t="str">
            <v>DOCS</v>
          </cell>
          <cell r="E541" t="str">
            <v>Healthcare</v>
          </cell>
        </row>
        <row r="542">
          <cell r="C542" t="str">
            <v>FBIN</v>
          </cell>
          <cell r="E542" t="str">
            <v>Industrials</v>
          </cell>
        </row>
        <row r="543">
          <cell r="C543" t="str">
            <v>AES</v>
          </cell>
          <cell r="E543" t="str">
            <v>Utilities</v>
          </cell>
        </row>
        <row r="544">
          <cell r="C544" t="str">
            <v>TPX</v>
          </cell>
          <cell r="E544" t="str">
            <v>Consumer Cyclical</v>
          </cell>
        </row>
        <row r="545">
          <cell r="C545" t="str">
            <v>WCC</v>
          </cell>
          <cell r="E545" t="str">
            <v>Industrials</v>
          </cell>
        </row>
        <row r="546">
          <cell r="C546" t="str">
            <v>HSIC</v>
          </cell>
          <cell r="E546" t="str">
            <v>Healthcare</v>
          </cell>
        </row>
        <row r="547">
          <cell r="C547" t="str">
            <v>FLR</v>
          </cell>
          <cell r="E547" t="str">
            <v>Industrials</v>
          </cell>
        </row>
        <row r="548">
          <cell r="C548" t="str">
            <v>MLI</v>
          </cell>
          <cell r="E548" t="str">
            <v>Industrials</v>
          </cell>
        </row>
        <row r="549">
          <cell r="C549" t="str">
            <v>VNOM</v>
          </cell>
          <cell r="E549" t="str">
            <v>Energy</v>
          </cell>
        </row>
        <row r="550">
          <cell r="C550" t="str">
            <v>GAP</v>
          </cell>
          <cell r="E550" t="str">
            <v>Consumer Cyclical</v>
          </cell>
        </row>
        <row r="551">
          <cell r="C551" t="str">
            <v>MASI</v>
          </cell>
          <cell r="E551" t="str">
            <v>Healthcare</v>
          </cell>
        </row>
        <row r="552">
          <cell r="C552" t="str">
            <v>PNFP</v>
          </cell>
          <cell r="E552" t="str">
            <v>Financial</v>
          </cell>
        </row>
        <row r="553">
          <cell r="C553" t="str">
            <v>INFA</v>
          </cell>
          <cell r="E553" t="str">
            <v>Technology</v>
          </cell>
        </row>
        <row r="554">
          <cell r="C554" t="str">
            <v>BILL</v>
          </cell>
          <cell r="E554" t="str">
            <v>Technology</v>
          </cell>
        </row>
        <row r="555">
          <cell r="C555" t="str">
            <v>DBX</v>
          </cell>
          <cell r="E555" t="str">
            <v>Technology</v>
          </cell>
        </row>
        <row r="556">
          <cell r="C556" t="str">
            <v>DRS</v>
          </cell>
          <cell r="E556" t="str">
            <v>Industrials</v>
          </cell>
        </row>
        <row r="557">
          <cell r="C557" t="str">
            <v>ORI</v>
          </cell>
          <cell r="E557" t="str">
            <v>Financial</v>
          </cell>
        </row>
        <row r="558">
          <cell r="C558" t="str">
            <v>KNX</v>
          </cell>
          <cell r="E558" t="str">
            <v>Industrials</v>
          </cell>
        </row>
        <row r="559">
          <cell r="C559" t="str">
            <v>CBSH</v>
          </cell>
          <cell r="E559" t="str">
            <v>Financial</v>
          </cell>
        </row>
        <row r="560">
          <cell r="C560" t="str">
            <v>FOUR</v>
          </cell>
          <cell r="E560" t="str">
            <v>Technology</v>
          </cell>
        </row>
        <row r="561">
          <cell r="C561" t="str">
            <v>SARO</v>
          </cell>
          <cell r="E561" t="str">
            <v>Industrials</v>
          </cell>
        </row>
        <row r="562">
          <cell r="C562" t="str">
            <v>TTC</v>
          </cell>
          <cell r="E562" t="str">
            <v>Industrials</v>
          </cell>
        </row>
        <row r="563">
          <cell r="C563" t="str">
            <v>NYT</v>
          </cell>
          <cell r="E563" t="str">
            <v>Communication Services</v>
          </cell>
        </row>
        <row r="564">
          <cell r="C564" t="str">
            <v>BRKR</v>
          </cell>
          <cell r="E564" t="str">
            <v>Healthcare</v>
          </cell>
        </row>
        <row r="565">
          <cell r="C565" t="str">
            <v>ALTR</v>
          </cell>
          <cell r="E565" t="str">
            <v>Technology</v>
          </cell>
        </row>
        <row r="566">
          <cell r="C566" t="str">
            <v>CRS</v>
          </cell>
          <cell r="E566" t="str">
            <v>Industrials</v>
          </cell>
        </row>
        <row r="567">
          <cell r="C567" t="str">
            <v>HAS</v>
          </cell>
          <cell r="E567" t="str">
            <v>Consumer Cyclical</v>
          </cell>
        </row>
        <row r="568">
          <cell r="C568" t="str">
            <v>SUM</v>
          </cell>
          <cell r="E568" t="str">
            <v>Basic Materials</v>
          </cell>
        </row>
        <row r="569">
          <cell r="C569" t="str">
            <v>ITCI</v>
          </cell>
          <cell r="E569" t="str">
            <v>Healthcare</v>
          </cell>
        </row>
        <row r="570">
          <cell r="C570" t="str">
            <v>GPK</v>
          </cell>
          <cell r="E570" t="str">
            <v>Consumer Cyclical</v>
          </cell>
        </row>
        <row r="571">
          <cell r="C571" t="str">
            <v>GL</v>
          </cell>
          <cell r="E571" t="str">
            <v>Financial</v>
          </cell>
        </row>
        <row r="572">
          <cell r="C572" t="str">
            <v>CMA</v>
          </cell>
          <cell r="E572" t="str">
            <v>Financial</v>
          </cell>
        </row>
        <row r="573">
          <cell r="C573" t="str">
            <v>RGEN</v>
          </cell>
          <cell r="E573" t="str">
            <v>Healthcare</v>
          </cell>
        </row>
        <row r="574">
          <cell r="C574" t="str">
            <v>LSCC</v>
          </cell>
          <cell r="E574" t="str">
            <v>Technology</v>
          </cell>
        </row>
        <row r="575">
          <cell r="C575" t="str">
            <v>ZION</v>
          </cell>
          <cell r="E575" t="str">
            <v>Financial</v>
          </cell>
        </row>
        <row r="576">
          <cell r="C576" t="str">
            <v>RRC</v>
          </cell>
          <cell r="E576" t="str">
            <v>Energy</v>
          </cell>
        </row>
        <row r="577">
          <cell r="C577" t="str">
            <v>DCI</v>
          </cell>
          <cell r="E577" t="str">
            <v>Industrials</v>
          </cell>
        </row>
        <row r="578">
          <cell r="C578" t="str">
            <v>SIRI</v>
          </cell>
          <cell r="E578" t="str">
            <v>Communication Services</v>
          </cell>
        </row>
        <row r="579">
          <cell r="C579" t="str">
            <v>PLNT</v>
          </cell>
          <cell r="E579" t="str">
            <v>Consumer Cyclical</v>
          </cell>
        </row>
        <row r="580">
          <cell r="C580" t="str">
            <v>FYBR</v>
          </cell>
          <cell r="E580" t="str">
            <v>Communication Services</v>
          </cell>
        </row>
        <row r="581">
          <cell r="C581" t="str">
            <v>VERX</v>
          </cell>
          <cell r="E581" t="str">
            <v>Technology</v>
          </cell>
        </row>
        <row r="582">
          <cell r="C582" t="str">
            <v>TREX</v>
          </cell>
          <cell r="E582" t="str">
            <v>Industrials</v>
          </cell>
        </row>
        <row r="583">
          <cell r="C583" t="str">
            <v>WBA</v>
          </cell>
          <cell r="E583" t="str">
            <v>Healthcare</v>
          </cell>
        </row>
        <row r="584">
          <cell r="C584" t="str">
            <v>MOS</v>
          </cell>
          <cell r="E584" t="str">
            <v>Basic Materials</v>
          </cell>
        </row>
        <row r="585">
          <cell r="C585" t="str">
            <v>AXTA</v>
          </cell>
          <cell r="E585" t="str">
            <v>Basic Materials</v>
          </cell>
        </row>
        <row r="586">
          <cell r="C586" t="str">
            <v>GTLS</v>
          </cell>
          <cell r="E586" t="str">
            <v>Industrials</v>
          </cell>
        </row>
        <row r="587">
          <cell r="C587" t="str">
            <v>RVMD</v>
          </cell>
          <cell r="E587" t="str">
            <v>Healthcare</v>
          </cell>
        </row>
        <row r="588">
          <cell r="C588" t="str">
            <v>HQY</v>
          </cell>
          <cell r="E588" t="str">
            <v>Healthcare</v>
          </cell>
        </row>
        <row r="589">
          <cell r="C589" t="str">
            <v>SSB</v>
          </cell>
          <cell r="E589" t="str">
            <v>Financial</v>
          </cell>
        </row>
        <row r="590">
          <cell r="C590" t="str">
            <v>KD</v>
          </cell>
          <cell r="E590" t="str">
            <v>Technology</v>
          </cell>
        </row>
        <row r="591">
          <cell r="C591" t="str">
            <v>BBWI</v>
          </cell>
          <cell r="E591" t="str">
            <v>Consumer Cyclical</v>
          </cell>
        </row>
        <row r="592">
          <cell r="C592" t="str">
            <v>VFC</v>
          </cell>
          <cell r="E592" t="str">
            <v>Consumer Cyclical</v>
          </cell>
        </row>
        <row r="593">
          <cell r="C593" t="str">
            <v>APA</v>
          </cell>
          <cell r="E593" t="str">
            <v>Energy</v>
          </cell>
        </row>
        <row r="594">
          <cell r="C594" t="str">
            <v>ONTO</v>
          </cell>
          <cell r="E594" t="str">
            <v>Technology</v>
          </cell>
        </row>
        <row r="595">
          <cell r="C595" t="str">
            <v>IVZ</v>
          </cell>
          <cell r="E595" t="str">
            <v>Financial</v>
          </cell>
        </row>
        <row r="596">
          <cell r="C596" t="str">
            <v>MHK</v>
          </cell>
          <cell r="E596" t="str">
            <v>Consumer Cyclical</v>
          </cell>
        </row>
        <row r="597">
          <cell r="C597" t="str">
            <v>PEGA</v>
          </cell>
          <cell r="E597" t="str">
            <v>Technology</v>
          </cell>
        </row>
        <row r="598">
          <cell r="C598" t="str">
            <v>LPX</v>
          </cell>
          <cell r="E598" t="str">
            <v>Industrials</v>
          </cell>
        </row>
        <row r="599">
          <cell r="C599" t="str">
            <v>LNW</v>
          </cell>
          <cell r="E599" t="str">
            <v>Consumer Cyclical</v>
          </cell>
        </row>
        <row r="600">
          <cell r="C600" t="str">
            <v>ENSG</v>
          </cell>
          <cell r="E600" t="str">
            <v>Healthcare</v>
          </cell>
        </row>
        <row r="601">
          <cell r="C601" t="str">
            <v>ATI</v>
          </cell>
          <cell r="E601" t="str">
            <v>Industrials</v>
          </cell>
        </row>
        <row r="602">
          <cell r="C602" t="str">
            <v>BROS</v>
          </cell>
          <cell r="E602" t="str">
            <v>Consumer Cyclical</v>
          </cell>
        </row>
        <row r="603">
          <cell r="C603" t="str">
            <v>ALK</v>
          </cell>
          <cell r="E603" t="str">
            <v>Industrials</v>
          </cell>
        </row>
        <row r="604">
          <cell r="C604" t="str">
            <v>WH</v>
          </cell>
          <cell r="E604" t="str">
            <v>Consumer Cyclical</v>
          </cell>
        </row>
        <row r="605">
          <cell r="C605" t="str">
            <v>FLS</v>
          </cell>
          <cell r="E605" t="str">
            <v>Industrials</v>
          </cell>
        </row>
        <row r="606">
          <cell r="C606" t="str">
            <v>PATH</v>
          </cell>
          <cell r="E606" t="str">
            <v>Technology</v>
          </cell>
        </row>
        <row r="607">
          <cell r="C607" t="str">
            <v>PARA</v>
          </cell>
          <cell r="E607" t="str">
            <v>Communication Services</v>
          </cell>
        </row>
        <row r="608">
          <cell r="C608" t="str">
            <v>SNV</v>
          </cell>
          <cell r="E608" t="str">
            <v>Financial</v>
          </cell>
        </row>
        <row r="609">
          <cell r="C609" t="str">
            <v>BERY</v>
          </cell>
          <cell r="E609" t="str">
            <v>Consumer Cyclical</v>
          </cell>
        </row>
        <row r="610">
          <cell r="C610" t="str">
            <v>MTCH</v>
          </cell>
          <cell r="E610" t="str">
            <v>Communication Services</v>
          </cell>
        </row>
        <row r="611">
          <cell r="C611" t="str">
            <v>KBR</v>
          </cell>
          <cell r="E611" t="str">
            <v>Industrials</v>
          </cell>
        </row>
        <row r="612">
          <cell r="C612" t="str">
            <v>CZR</v>
          </cell>
          <cell r="E612" t="str">
            <v>Consumer Cyclical</v>
          </cell>
        </row>
        <row r="613">
          <cell r="C613" t="str">
            <v>GKOS</v>
          </cell>
          <cell r="E613" t="str">
            <v>Healthcare</v>
          </cell>
        </row>
        <row r="614">
          <cell r="C614" t="str">
            <v>X</v>
          </cell>
          <cell r="E614" t="str">
            <v>Basic Materials</v>
          </cell>
        </row>
        <row r="615">
          <cell r="C615" t="str">
            <v>DJT</v>
          </cell>
          <cell r="E615" t="str">
            <v>Communication Services</v>
          </cell>
        </row>
        <row r="616">
          <cell r="C616" t="str">
            <v>SMAR</v>
          </cell>
          <cell r="E616" t="str">
            <v>Technology</v>
          </cell>
        </row>
        <row r="617">
          <cell r="C617" t="str">
            <v>HESM</v>
          </cell>
          <cell r="E617" t="str">
            <v>Energy</v>
          </cell>
        </row>
        <row r="618">
          <cell r="C618" t="str">
            <v>AZEK</v>
          </cell>
          <cell r="E618" t="str">
            <v>Industrials</v>
          </cell>
        </row>
        <row r="619">
          <cell r="C619" t="str">
            <v>PB</v>
          </cell>
          <cell r="E619" t="str">
            <v>Financial</v>
          </cell>
        </row>
        <row r="620">
          <cell r="C620" t="str">
            <v>ELF</v>
          </cell>
          <cell r="E620" t="str">
            <v>Consumer Defensive</v>
          </cell>
        </row>
        <row r="621">
          <cell r="C621" t="str">
            <v>MIDD</v>
          </cell>
          <cell r="E621" t="str">
            <v>Industrials</v>
          </cell>
        </row>
        <row r="622">
          <cell r="C622" t="str">
            <v>RHI</v>
          </cell>
          <cell r="E622" t="str">
            <v>Industrials</v>
          </cell>
        </row>
        <row r="623">
          <cell r="C623" t="str">
            <v>CCCS</v>
          </cell>
          <cell r="E623" t="str">
            <v>Technology</v>
          </cell>
        </row>
        <row r="624">
          <cell r="C624" t="str">
            <v>HRB</v>
          </cell>
          <cell r="E624" t="str">
            <v>Consumer Cyclical</v>
          </cell>
        </row>
        <row r="625">
          <cell r="C625" t="str">
            <v>BWA</v>
          </cell>
          <cell r="E625" t="str">
            <v>Consumer Cyclical</v>
          </cell>
        </row>
        <row r="626">
          <cell r="C626" t="str">
            <v>OLED</v>
          </cell>
          <cell r="E626" t="str">
            <v>Technology</v>
          </cell>
        </row>
        <row r="627">
          <cell r="C627" t="str">
            <v>MKSI</v>
          </cell>
          <cell r="E627" t="str">
            <v>Technology</v>
          </cell>
        </row>
        <row r="628">
          <cell r="C628" t="str">
            <v>S</v>
          </cell>
          <cell r="E628" t="str">
            <v>Technology</v>
          </cell>
        </row>
        <row r="629">
          <cell r="C629" t="str">
            <v>HII</v>
          </cell>
          <cell r="E629" t="str">
            <v>Industrials</v>
          </cell>
        </row>
        <row r="630">
          <cell r="C630" t="str">
            <v>MARA</v>
          </cell>
          <cell r="E630" t="str">
            <v>Financial</v>
          </cell>
        </row>
        <row r="631">
          <cell r="C631" t="str">
            <v>EXLS</v>
          </cell>
          <cell r="E631" t="str">
            <v>Technology</v>
          </cell>
        </row>
        <row r="632">
          <cell r="C632" t="str">
            <v>CE</v>
          </cell>
          <cell r="E632" t="str">
            <v>Basic Materials</v>
          </cell>
        </row>
        <row r="633">
          <cell r="C633" t="str">
            <v>OS</v>
          </cell>
          <cell r="E633" t="str">
            <v>Technology</v>
          </cell>
        </row>
        <row r="634">
          <cell r="C634" t="str">
            <v>RH</v>
          </cell>
          <cell r="E634" t="str">
            <v>Consumer Cyclical</v>
          </cell>
        </row>
        <row r="635">
          <cell r="C635" t="str">
            <v>ONB</v>
          </cell>
          <cell r="E635" t="str">
            <v>Financial</v>
          </cell>
        </row>
        <row r="636">
          <cell r="C636" t="str">
            <v>AGCO</v>
          </cell>
          <cell r="E636" t="str">
            <v>Industrials</v>
          </cell>
        </row>
        <row r="637">
          <cell r="C637" t="str">
            <v>DINO</v>
          </cell>
          <cell r="E637" t="str">
            <v>Energy</v>
          </cell>
        </row>
        <row r="638">
          <cell r="C638" t="str">
            <v>LCID</v>
          </cell>
          <cell r="E638" t="str">
            <v>Consumer Cyclical</v>
          </cell>
        </row>
        <row r="639">
          <cell r="C639" t="str">
            <v>CWAN</v>
          </cell>
          <cell r="E639" t="str">
            <v>Technology</v>
          </cell>
        </row>
        <row r="640">
          <cell r="C640" t="str">
            <v>AM</v>
          </cell>
          <cell r="E640" t="str">
            <v>Energy</v>
          </cell>
        </row>
        <row r="641">
          <cell r="C641" t="str">
            <v>CHRD</v>
          </cell>
          <cell r="E641" t="str">
            <v>Energy</v>
          </cell>
        </row>
        <row r="642">
          <cell r="C642" t="str">
            <v>MTN</v>
          </cell>
          <cell r="E642" t="str">
            <v>Consumer Cyclical</v>
          </cell>
        </row>
        <row r="643">
          <cell r="C643" t="str">
            <v>MTDR</v>
          </cell>
          <cell r="E643" t="str">
            <v>Energy</v>
          </cell>
        </row>
        <row r="644">
          <cell r="C644" t="str">
            <v>UPST</v>
          </cell>
          <cell r="E644" t="str">
            <v>Financial</v>
          </cell>
        </row>
        <row r="645">
          <cell r="C645" t="str">
            <v>STEP</v>
          </cell>
          <cell r="E645" t="str">
            <v>Financial</v>
          </cell>
        </row>
        <row r="646">
          <cell r="C646" t="str">
            <v>WEX</v>
          </cell>
          <cell r="E646" t="str">
            <v>Technology</v>
          </cell>
        </row>
        <row r="647">
          <cell r="C647" t="str">
            <v>FMC</v>
          </cell>
          <cell r="E647" t="str">
            <v>Basic Materials</v>
          </cell>
        </row>
        <row r="648">
          <cell r="C648" t="str">
            <v>GNTX</v>
          </cell>
          <cell r="E648" t="str">
            <v>Consumer Cyclical</v>
          </cell>
        </row>
        <row r="649">
          <cell r="C649" t="str">
            <v>CMC</v>
          </cell>
          <cell r="E649" t="str">
            <v>Basic Materials</v>
          </cell>
        </row>
        <row r="650">
          <cell r="C650" t="str">
            <v>CELH</v>
          </cell>
          <cell r="E650" t="str">
            <v>Consumer Defensive</v>
          </cell>
        </row>
        <row r="651">
          <cell r="C651" t="str">
            <v>TMHC</v>
          </cell>
          <cell r="E651" t="str">
            <v>Consumer Cyclical</v>
          </cell>
        </row>
        <row r="652">
          <cell r="C652" t="str">
            <v>OLLI</v>
          </cell>
          <cell r="E652" t="str">
            <v>Consumer Defensive</v>
          </cell>
        </row>
        <row r="653">
          <cell r="C653" t="str">
            <v>LEVI</v>
          </cell>
          <cell r="E653" t="str">
            <v>Consumer Cyclical</v>
          </cell>
        </row>
        <row r="654">
          <cell r="C654" t="str">
            <v>BPOP</v>
          </cell>
          <cell r="E654" t="str">
            <v>Financial</v>
          </cell>
        </row>
        <row r="655">
          <cell r="C655" t="str">
            <v>POST</v>
          </cell>
          <cell r="E655" t="str">
            <v>Consumer Defensive</v>
          </cell>
        </row>
        <row r="656">
          <cell r="C656" t="str">
            <v>ANF</v>
          </cell>
          <cell r="E656" t="str">
            <v>Consumer Cyclical</v>
          </cell>
        </row>
        <row r="657">
          <cell r="C657" t="str">
            <v>HCP</v>
          </cell>
          <cell r="E657" t="str">
            <v>Technology</v>
          </cell>
        </row>
        <row r="658">
          <cell r="C658" t="str">
            <v>MOD</v>
          </cell>
          <cell r="E658" t="str">
            <v>Consumer Cyclical</v>
          </cell>
        </row>
        <row r="659">
          <cell r="C659" t="str">
            <v>W</v>
          </cell>
          <cell r="E659" t="str">
            <v>Consumer Cyclical</v>
          </cell>
        </row>
        <row r="660">
          <cell r="C660" t="str">
            <v>VOYA</v>
          </cell>
          <cell r="E660" t="str">
            <v>Financial</v>
          </cell>
        </row>
        <row r="661">
          <cell r="C661" t="str">
            <v>WHR</v>
          </cell>
          <cell r="E661" t="str">
            <v>Consumer Cyclical</v>
          </cell>
        </row>
        <row r="662">
          <cell r="C662" t="str">
            <v>ZWS</v>
          </cell>
          <cell r="E662" t="str">
            <v>Industrials</v>
          </cell>
        </row>
        <row r="663">
          <cell r="C663" t="str">
            <v>ASTS</v>
          </cell>
          <cell r="E663" t="str">
            <v>Technology</v>
          </cell>
        </row>
        <row r="664">
          <cell r="C664" t="str">
            <v>CADE</v>
          </cell>
          <cell r="E664" t="str">
            <v>Financial</v>
          </cell>
        </row>
        <row r="665">
          <cell r="C665" t="str">
            <v>TEM</v>
          </cell>
          <cell r="E665" t="str">
            <v>Healthcare</v>
          </cell>
        </row>
        <row r="666">
          <cell r="C666" t="str">
            <v>FAF</v>
          </cell>
          <cell r="E666" t="str">
            <v>Financial</v>
          </cell>
        </row>
        <row r="667">
          <cell r="C667" t="str">
            <v>ENLC</v>
          </cell>
          <cell r="E667" t="str">
            <v>Energy</v>
          </cell>
        </row>
        <row r="668">
          <cell r="C668" t="str">
            <v>BECN</v>
          </cell>
          <cell r="E668" t="str">
            <v>Industrials</v>
          </cell>
        </row>
        <row r="669">
          <cell r="C669" t="str">
            <v>WSC</v>
          </cell>
          <cell r="E669" t="str">
            <v>Industrials</v>
          </cell>
        </row>
        <row r="670">
          <cell r="C670" t="str">
            <v>QXO</v>
          </cell>
          <cell r="E670" t="str">
            <v>Technology</v>
          </cell>
        </row>
        <row r="671">
          <cell r="C671" t="str">
            <v>ADT</v>
          </cell>
          <cell r="E671" t="str">
            <v>Industrials</v>
          </cell>
        </row>
        <row r="672">
          <cell r="C672" t="str">
            <v>OSK</v>
          </cell>
          <cell r="E672" t="str">
            <v>Industrials</v>
          </cell>
        </row>
        <row r="673">
          <cell r="C673" t="str">
            <v>JXN</v>
          </cell>
          <cell r="E673" t="str">
            <v>Financial</v>
          </cell>
        </row>
        <row r="674">
          <cell r="C674" t="str">
            <v>BYD</v>
          </cell>
          <cell r="E674" t="str">
            <v>Consumer Cyclical</v>
          </cell>
        </row>
        <row r="675">
          <cell r="C675" t="str">
            <v>ESI</v>
          </cell>
          <cell r="E675" t="str">
            <v>Basic Materials</v>
          </cell>
        </row>
        <row r="676">
          <cell r="C676" t="str">
            <v>NUVL</v>
          </cell>
          <cell r="E676" t="str">
            <v>Healthcare</v>
          </cell>
        </row>
        <row r="677">
          <cell r="C677" t="str">
            <v>ETSY</v>
          </cell>
          <cell r="E677" t="str">
            <v>Consumer Cyclical</v>
          </cell>
        </row>
        <row r="678">
          <cell r="C678" t="str">
            <v>OMF</v>
          </cell>
          <cell r="E678" t="str">
            <v>Financial</v>
          </cell>
        </row>
        <row r="679">
          <cell r="C679" t="str">
            <v>COTY</v>
          </cell>
          <cell r="E679" t="str">
            <v>Consumer Defensive</v>
          </cell>
        </row>
        <row r="680">
          <cell r="C680" t="str">
            <v>CROX</v>
          </cell>
          <cell r="E680" t="str">
            <v>Consumer Cyclical</v>
          </cell>
        </row>
        <row r="681">
          <cell r="C681" t="str">
            <v>HIMS</v>
          </cell>
          <cell r="E681" t="str">
            <v>Consumer Defensive</v>
          </cell>
        </row>
        <row r="682">
          <cell r="C682" t="str">
            <v>LUMN</v>
          </cell>
          <cell r="E682" t="str">
            <v>Communication Services</v>
          </cell>
        </row>
        <row r="683">
          <cell r="C683" t="str">
            <v>AMKR</v>
          </cell>
          <cell r="E683" t="str">
            <v>Technology</v>
          </cell>
        </row>
        <row r="684">
          <cell r="C684" t="str">
            <v>LEGN</v>
          </cell>
          <cell r="E684" t="str">
            <v>Healthcare</v>
          </cell>
        </row>
        <row r="685">
          <cell r="C685" t="str">
            <v>QRVO</v>
          </cell>
          <cell r="E685" t="str">
            <v>Technology</v>
          </cell>
        </row>
        <row r="686">
          <cell r="C686" t="str">
            <v>BFAM</v>
          </cell>
          <cell r="E686" t="str">
            <v>Consumer Cyclical</v>
          </cell>
        </row>
        <row r="687">
          <cell r="C687" t="str">
            <v>ARW</v>
          </cell>
          <cell r="E687" t="str">
            <v>Technology</v>
          </cell>
        </row>
        <row r="688">
          <cell r="C688" t="str">
            <v>MAT</v>
          </cell>
          <cell r="E688" t="str">
            <v>Consumer Cyclical</v>
          </cell>
        </row>
        <row r="689">
          <cell r="C689" t="str">
            <v>QTWO</v>
          </cell>
          <cell r="E689" t="str">
            <v>Technology</v>
          </cell>
        </row>
        <row r="690">
          <cell r="C690" t="str">
            <v>IONQ</v>
          </cell>
          <cell r="E690" t="str">
            <v>Technology</v>
          </cell>
        </row>
        <row r="691">
          <cell r="C691" t="str">
            <v>CGNX</v>
          </cell>
          <cell r="E691" t="str">
            <v>Technology</v>
          </cell>
        </row>
        <row r="692">
          <cell r="C692" t="str">
            <v>LYFT</v>
          </cell>
          <cell r="E692" t="str">
            <v>Technology</v>
          </cell>
        </row>
        <row r="693">
          <cell r="C693" t="str">
            <v>SATS</v>
          </cell>
          <cell r="E693" t="str">
            <v>Technology</v>
          </cell>
        </row>
        <row r="694">
          <cell r="C694" t="str">
            <v>GBCI</v>
          </cell>
          <cell r="E694" t="str">
            <v>Financial</v>
          </cell>
        </row>
        <row r="695">
          <cell r="C695" t="str">
            <v>LNTH</v>
          </cell>
          <cell r="E695" t="str">
            <v>Healthcare</v>
          </cell>
        </row>
        <row r="696">
          <cell r="C696" t="str">
            <v>CORT</v>
          </cell>
          <cell r="E696" t="str">
            <v>Healthcare</v>
          </cell>
        </row>
        <row r="697">
          <cell r="C697" t="str">
            <v>RMBS</v>
          </cell>
          <cell r="E697" t="str">
            <v>Technology</v>
          </cell>
        </row>
        <row r="698">
          <cell r="C698" t="str">
            <v>MTG</v>
          </cell>
          <cell r="E698" t="str">
            <v>Financial</v>
          </cell>
        </row>
        <row r="699">
          <cell r="C699" t="str">
            <v>COLB</v>
          </cell>
          <cell r="E699" t="str">
            <v>Financial</v>
          </cell>
        </row>
        <row r="700">
          <cell r="C700" t="str">
            <v>ELAN</v>
          </cell>
          <cell r="E700" t="str">
            <v>Healthcare</v>
          </cell>
        </row>
        <row r="701">
          <cell r="C701" t="str">
            <v>PVH</v>
          </cell>
          <cell r="E701" t="str">
            <v>Consumer Cyclical</v>
          </cell>
        </row>
        <row r="702">
          <cell r="C702" t="str">
            <v>HOMB</v>
          </cell>
          <cell r="E702" t="str">
            <v>Financial</v>
          </cell>
        </row>
        <row r="703">
          <cell r="C703" t="str">
            <v>JOBY</v>
          </cell>
          <cell r="E703" t="str">
            <v>Industrials</v>
          </cell>
        </row>
        <row r="704">
          <cell r="C704" t="str">
            <v>LITE</v>
          </cell>
          <cell r="E704" t="str">
            <v>Technology</v>
          </cell>
        </row>
        <row r="705">
          <cell r="C705" t="str">
            <v>HALO</v>
          </cell>
          <cell r="E705" t="str">
            <v>Healthcare</v>
          </cell>
        </row>
        <row r="706">
          <cell r="C706" t="str">
            <v>FIVE</v>
          </cell>
          <cell r="E706" t="str">
            <v>Consumer Cyclical</v>
          </cell>
        </row>
        <row r="707">
          <cell r="C707" t="str">
            <v>BPMC</v>
          </cell>
          <cell r="E707" t="str">
            <v>Healthcare</v>
          </cell>
        </row>
        <row r="708">
          <cell r="C708" t="str">
            <v>IONS</v>
          </cell>
          <cell r="E708" t="str">
            <v>Healthcare</v>
          </cell>
        </row>
        <row r="709">
          <cell r="C709" t="str">
            <v>OBDC</v>
          </cell>
          <cell r="E709" t="str">
            <v>Financial</v>
          </cell>
        </row>
        <row r="710">
          <cell r="C710" t="str">
            <v>NOV</v>
          </cell>
          <cell r="E710" t="str">
            <v>Energy</v>
          </cell>
        </row>
        <row r="711">
          <cell r="C711" t="str">
            <v>CYTK</v>
          </cell>
          <cell r="E711" t="str">
            <v>Healthcare</v>
          </cell>
        </row>
        <row r="712">
          <cell r="C712" t="str">
            <v>FSK</v>
          </cell>
          <cell r="E712" t="str">
            <v>Financial</v>
          </cell>
        </row>
        <row r="713">
          <cell r="C713" t="str">
            <v>RDNT</v>
          </cell>
          <cell r="E713" t="str">
            <v>Healthcare</v>
          </cell>
        </row>
        <row r="714">
          <cell r="C714" t="str">
            <v>DAR</v>
          </cell>
          <cell r="E714" t="str">
            <v>Consumer Defensive</v>
          </cell>
        </row>
        <row r="715">
          <cell r="C715" t="str">
            <v>REYN</v>
          </cell>
          <cell r="E715" t="str">
            <v>Consumer Cyclical</v>
          </cell>
        </row>
        <row r="716">
          <cell r="C716" t="str">
            <v>GXO</v>
          </cell>
          <cell r="E716" t="str">
            <v>Industrials</v>
          </cell>
        </row>
        <row r="717">
          <cell r="C717" t="str">
            <v>VNT</v>
          </cell>
          <cell r="E717" t="str">
            <v>Technology</v>
          </cell>
        </row>
        <row r="718">
          <cell r="C718" t="str">
            <v>SHAK</v>
          </cell>
          <cell r="E718" t="str">
            <v>Consumer Cyclical</v>
          </cell>
        </row>
        <row r="719">
          <cell r="C719" t="str">
            <v>ACIW</v>
          </cell>
          <cell r="E719" t="str">
            <v>Technology</v>
          </cell>
        </row>
        <row r="720">
          <cell r="C720" t="str">
            <v>FNB</v>
          </cell>
          <cell r="E720" t="str">
            <v>Financial</v>
          </cell>
        </row>
        <row r="721">
          <cell r="C721" t="str">
            <v>WAY</v>
          </cell>
          <cell r="E721" t="str">
            <v>Healthcare</v>
          </cell>
        </row>
        <row r="722">
          <cell r="C722" t="str">
            <v>SLGN</v>
          </cell>
          <cell r="E722" t="str">
            <v>Consumer Cyclical</v>
          </cell>
        </row>
        <row r="723">
          <cell r="C723" t="str">
            <v>WFRD</v>
          </cell>
          <cell r="E723" t="str">
            <v>Energy</v>
          </cell>
        </row>
        <row r="724">
          <cell r="C724" t="str">
            <v>CLF</v>
          </cell>
          <cell r="E724" t="str">
            <v>Basic Materials</v>
          </cell>
        </row>
        <row r="725">
          <cell r="C725" t="str">
            <v>WK</v>
          </cell>
          <cell r="E725" t="str">
            <v>Technology</v>
          </cell>
        </row>
        <row r="726">
          <cell r="C726" t="str">
            <v>AMTM</v>
          </cell>
          <cell r="E726" t="str">
            <v>Industrials</v>
          </cell>
        </row>
        <row r="727">
          <cell r="C727" t="str">
            <v>VLY</v>
          </cell>
          <cell r="E727" t="str">
            <v>Financial</v>
          </cell>
        </row>
        <row r="728">
          <cell r="C728" t="str">
            <v>INSP</v>
          </cell>
          <cell r="E728" t="str">
            <v>Healthcare</v>
          </cell>
        </row>
        <row r="729">
          <cell r="C729" t="str">
            <v>EAT</v>
          </cell>
          <cell r="E729" t="str">
            <v>Consumer Cyclical</v>
          </cell>
        </row>
        <row r="730">
          <cell r="C730" t="str">
            <v>CNX</v>
          </cell>
          <cell r="E730" t="str">
            <v>Energy</v>
          </cell>
        </row>
        <row r="731">
          <cell r="C731" t="str">
            <v>SMR</v>
          </cell>
          <cell r="E731" t="str">
            <v>Industrials</v>
          </cell>
        </row>
        <row r="732">
          <cell r="C732" t="str">
            <v>MC</v>
          </cell>
          <cell r="E732" t="str">
            <v>Financial</v>
          </cell>
        </row>
        <row r="733">
          <cell r="C733" t="str">
            <v>VIRT</v>
          </cell>
          <cell r="E733" t="str">
            <v>Financial</v>
          </cell>
        </row>
        <row r="734">
          <cell r="C734" t="str">
            <v>CRUS</v>
          </cell>
          <cell r="E734" t="str">
            <v>Technology</v>
          </cell>
        </row>
        <row r="735">
          <cell r="C735" t="str">
            <v>GTES</v>
          </cell>
          <cell r="E735" t="str">
            <v>Industrials</v>
          </cell>
        </row>
        <row r="736">
          <cell r="C736" t="str">
            <v>THO</v>
          </cell>
          <cell r="E736" t="str">
            <v>Consumer Cyclical</v>
          </cell>
        </row>
        <row r="737">
          <cell r="C737" t="str">
            <v>CHX</v>
          </cell>
          <cell r="E737" t="str">
            <v>Energy</v>
          </cell>
        </row>
        <row r="738">
          <cell r="C738" t="str">
            <v>QLYS</v>
          </cell>
          <cell r="E738" t="str">
            <v>Technology</v>
          </cell>
        </row>
        <row r="739">
          <cell r="C739" t="str">
            <v>SLM</v>
          </cell>
          <cell r="E739" t="str">
            <v>Financial</v>
          </cell>
        </row>
        <row r="740">
          <cell r="C740" t="str">
            <v>UBSI</v>
          </cell>
          <cell r="E740" t="str">
            <v>Financial</v>
          </cell>
        </row>
        <row r="741">
          <cell r="C741" t="str">
            <v>LNC</v>
          </cell>
          <cell r="E741" t="str">
            <v>Financial</v>
          </cell>
        </row>
        <row r="742">
          <cell r="C742" t="str">
            <v>CRNX</v>
          </cell>
          <cell r="E742" t="str">
            <v>Healthcare</v>
          </cell>
        </row>
        <row r="743">
          <cell r="C743" t="str">
            <v>AL</v>
          </cell>
          <cell r="E743" t="str">
            <v>Industrials</v>
          </cell>
        </row>
        <row r="744">
          <cell r="C744" t="str">
            <v>CWEN</v>
          </cell>
          <cell r="E744" t="str">
            <v>Utilities</v>
          </cell>
        </row>
        <row r="745">
          <cell r="C745" t="str">
            <v>ASAN</v>
          </cell>
          <cell r="E745" t="str">
            <v>Technology</v>
          </cell>
        </row>
        <row r="746">
          <cell r="C746" t="str">
            <v>SAIC</v>
          </cell>
          <cell r="E746" t="str">
            <v>Technology</v>
          </cell>
        </row>
        <row r="747">
          <cell r="C747" t="str">
            <v>LEA</v>
          </cell>
          <cell r="E747" t="str">
            <v>Consumer Cyclical</v>
          </cell>
        </row>
        <row r="748">
          <cell r="C748" t="str">
            <v>SNDR</v>
          </cell>
          <cell r="E748" t="str">
            <v>Industrials</v>
          </cell>
        </row>
        <row r="749">
          <cell r="C749" t="str">
            <v>SMTC</v>
          </cell>
          <cell r="E749" t="str">
            <v>Technology</v>
          </cell>
        </row>
        <row r="750">
          <cell r="C750" t="str">
            <v>VKTX</v>
          </cell>
          <cell r="E750" t="str">
            <v>Healthcare</v>
          </cell>
        </row>
        <row r="751">
          <cell r="C751" t="str">
            <v>BBIO</v>
          </cell>
          <cell r="E751" t="str">
            <v>Healthcare</v>
          </cell>
        </row>
        <row r="752">
          <cell r="C752" t="str">
            <v>DNB</v>
          </cell>
          <cell r="E752" t="str">
            <v>Financial</v>
          </cell>
        </row>
        <row r="753">
          <cell r="C753" t="str">
            <v>KBH</v>
          </cell>
          <cell r="E753" t="str">
            <v>Consumer Cyclical</v>
          </cell>
        </row>
        <row r="754">
          <cell r="C754" t="str">
            <v>TKR</v>
          </cell>
          <cell r="E754" t="str">
            <v>Industrials</v>
          </cell>
        </row>
        <row r="755">
          <cell r="C755" t="str">
            <v>INTA</v>
          </cell>
          <cell r="E755" t="str">
            <v>Technology</v>
          </cell>
        </row>
        <row r="756">
          <cell r="C756" t="str">
            <v>VRNS</v>
          </cell>
          <cell r="E756" t="str">
            <v>Technology</v>
          </cell>
        </row>
        <row r="757">
          <cell r="C757" t="str">
            <v>OZK</v>
          </cell>
          <cell r="E757" t="str">
            <v>Financial</v>
          </cell>
        </row>
        <row r="758">
          <cell r="C758" t="str">
            <v>BE</v>
          </cell>
          <cell r="E758" t="str">
            <v>Industrials</v>
          </cell>
        </row>
        <row r="759">
          <cell r="C759" t="str">
            <v>NXT</v>
          </cell>
          <cell r="E759" t="str">
            <v>Technology</v>
          </cell>
        </row>
        <row r="760">
          <cell r="C760" t="str">
            <v>SEE</v>
          </cell>
          <cell r="E760" t="str">
            <v>Consumer Cyclical</v>
          </cell>
        </row>
        <row r="761">
          <cell r="C761" t="str">
            <v>RRR</v>
          </cell>
          <cell r="E761" t="str">
            <v>Consumer Cyclical</v>
          </cell>
        </row>
        <row r="762">
          <cell r="C762" t="str">
            <v>NE</v>
          </cell>
          <cell r="E762" t="str">
            <v>Energy</v>
          </cell>
        </row>
        <row r="763">
          <cell r="C763" t="str">
            <v>IEP</v>
          </cell>
          <cell r="E763" t="str">
            <v>Energy</v>
          </cell>
        </row>
        <row r="764">
          <cell r="C764" t="str">
            <v>INGM</v>
          </cell>
          <cell r="E764" t="str">
            <v>Technology</v>
          </cell>
        </row>
        <row r="765">
          <cell r="C765" t="str">
            <v>CRC</v>
          </cell>
          <cell r="E765" t="str">
            <v>Energy</v>
          </cell>
        </row>
        <row r="766">
          <cell r="C766" t="str">
            <v>NSIT</v>
          </cell>
          <cell r="E766" t="str">
            <v>Technology</v>
          </cell>
        </row>
        <row r="767">
          <cell r="C767" t="str">
            <v>WHD</v>
          </cell>
          <cell r="E767" t="str">
            <v>Energy</v>
          </cell>
        </row>
        <row r="768">
          <cell r="C768" t="str">
            <v>CALM</v>
          </cell>
          <cell r="E768" t="str">
            <v>Consumer Defensive</v>
          </cell>
        </row>
        <row r="769">
          <cell r="C769" t="str">
            <v>ITRI</v>
          </cell>
          <cell r="E769" t="str">
            <v>Technology</v>
          </cell>
        </row>
        <row r="770">
          <cell r="C770" t="str">
            <v>TENB</v>
          </cell>
          <cell r="E770" t="str">
            <v>Technology</v>
          </cell>
        </row>
        <row r="771">
          <cell r="C771" t="str">
            <v>MGY</v>
          </cell>
          <cell r="E771" t="str">
            <v>Energy</v>
          </cell>
        </row>
        <row r="772">
          <cell r="C772" t="str">
            <v>FRSH</v>
          </cell>
          <cell r="E772" t="str">
            <v>Technology</v>
          </cell>
        </row>
        <row r="773">
          <cell r="C773" t="str">
            <v>HXL</v>
          </cell>
          <cell r="E773" t="str">
            <v>Industrials</v>
          </cell>
        </row>
        <row r="774">
          <cell r="C774" t="str">
            <v>ZETA</v>
          </cell>
          <cell r="E774" t="str">
            <v>Technology</v>
          </cell>
        </row>
        <row r="775">
          <cell r="C775" t="str">
            <v>SON</v>
          </cell>
          <cell r="E775" t="str">
            <v>Consumer Cyclical</v>
          </cell>
        </row>
        <row r="776">
          <cell r="C776" t="str">
            <v>VVV</v>
          </cell>
          <cell r="E776" t="str">
            <v>Consumer Cyclical</v>
          </cell>
        </row>
        <row r="777">
          <cell r="C777" t="str">
            <v>RDN</v>
          </cell>
          <cell r="E777" t="str">
            <v>Financial</v>
          </cell>
        </row>
        <row r="778">
          <cell r="C778" t="str">
            <v>BWIN</v>
          </cell>
          <cell r="E778" t="str">
            <v>Financial</v>
          </cell>
        </row>
        <row r="779">
          <cell r="C779" t="str">
            <v>HWC</v>
          </cell>
          <cell r="E779" t="str">
            <v>Financial</v>
          </cell>
        </row>
        <row r="780">
          <cell r="C780" t="str">
            <v>SOUN</v>
          </cell>
          <cell r="E780" t="str">
            <v>Technology</v>
          </cell>
        </row>
        <row r="781">
          <cell r="C781" t="str">
            <v>BC</v>
          </cell>
          <cell r="E781" t="str">
            <v>Consumer Cyclical</v>
          </cell>
        </row>
        <row r="782">
          <cell r="C782" t="str">
            <v>CRK</v>
          </cell>
          <cell r="E782" t="str">
            <v>Energy</v>
          </cell>
        </row>
        <row r="783">
          <cell r="C783" t="str">
            <v>PRCT</v>
          </cell>
          <cell r="E783" t="str">
            <v>Healthcare</v>
          </cell>
        </row>
        <row r="784">
          <cell r="C784" t="str">
            <v>TGTX</v>
          </cell>
          <cell r="E784" t="str">
            <v>Healthcare</v>
          </cell>
        </row>
        <row r="785">
          <cell r="C785" t="str">
            <v>LAZ</v>
          </cell>
          <cell r="E785" t="str">
            <v>Financial</v>
          </cell>
        </row>
        <row r="786">
          <cell r="C786" t="str">
            <v>AI</v>
          </cell>
          <cell r="E786" t="str">
            <v>Technology</v>
          </cell>
        </row>
        <row r="787">
          <cell r="C787" t="str">
            <v>LTH</v>
          </cell>
          <cell r="E787" t="str">
            <v>Consumer Cyclical</v>
          </cell>
        </row>
        <row r="788">
          <cell r="C788" t="str">
            <v>URBN</v>
          </cell>
          <cell r="E788" t="str">
            <v>Consumer Cyclical</v>
          </cell>
        </row>
        <row r="789">
          <cell r="C789" t="str">
            <v>NWL</v>
          </cell>
          <cell r="E789" t="str">
            <v>Consumer Defensive</v>
          </cell>
        </row>
        <row r="790">
          <cell r="C790" t="str">
            <v>SM</v>
          </cell>
          <cell r="E790" t="str">
            <v>Energy</v>
          </cell>
        </row>
        <row r="791">
          <cell r="C791" t="str">
            <v>AVT</v>
          </cell>
          <cell r="E791" t="str">
            <v>Technology</v>
          </cell>
        </row>
        <row r="792">
          <cell r="C792" t="str">
            <v>ACLX</v>
          </cell>
          <cell r="E792" t="str">
            <v>Healthcare</v>
          </cell>
        </row>
        <row r="793">
          <cell r="C793" t="str">
            <v>MSM</v>
          </cell>
          <cell r="E793" t="str">
            <v>Industrials</v>
          </cell>
        </row>
        <row r="794">
          <cell r="C794" t="str">
            <v>CIVI</v>
          </cell>
          <cell r="E794" t="str">
            <v>Energy</v>
          </cell>
        </row>
        <row r="795">
          <cell r="C795" t="str">
            <v>AROC</v>
          </cell>
          <cell r="E795" t="str">
            <v>Energy</v>
          </cell>
        </row>
        <row r="796">
          <cell r="C796" t="str">
            <v>RXO</v>
          </cell>
          <cell r="E796" t="str">
            <v>Industrials</v>
          </cell>
        </row>
        <row r="797">
          <cell r="C797" t="str">
            <v>ADMA</v>
          </cell>
          <cell r="E797" t="str">
            <v>Healthcare</v>
          </cell>
        </row>
        <row r="798">
          <cell r="C798" t="str">
            <v>BOX</v>
          </cell>
          <cell r="E798" t="str">
            <v>Technology</v>
          </cell>
        </row>
        <row r="799">
          <cell r="C799" t="str">
            <v>LRN</v>
          </cell>
          <cell r="E799" t="str">
            <v>Consumer Defensive</v>
          </cell>
        </row>
        <row r="800">
          <cell r="C800" t="str">
            <v>FUN</v>
          </cell>
          <cell r="E800" t="str">
            <v>Consumer Cyclical</v>
          </cell>
        </row>
        <row r="801">
          <cell r="C801" t="str">
            <v>M</v>
          </cell>
          <cell r="E801" t="str">
            <v>Consumer Cyclical</v>
          </cell>
        </row>
        <row r="802">
          <cell r="C802" t="str">
            <v>ST</v>
          </cell>
          <cell r="E802" t="str">
            <v>Technology</v>
          </cell>
        </row>
        <row r="803">
          <cell r="C803" t="str">
            <v>RARE</v>
          </cell>
          <cell r="E803" t="str">
            <v>Healthcare</v>
          </cell>
        </row>
        <row r="804">
          <cell r="C804" t="str">
            <v>PI</v>
          </cell>
          <cell r="E804" t="str">
            <v>Technology</v>
          </cell>
        </row>
        <row r="805">
          <cell r="C805" t="str">
            <v>SG</v>
          </cell>
          <cell r="E805" t="str">
            <v>Consumer Cyclical</v>
          </cell>
        </row>
        <row r="806">
          <cell r="C806" t="str">
            <v>FLO</v>
          </cell>
          <cell r="E806" t="str">
            <v>Consumer Defensive</v>
          </cell>
        </row>
        <row r="807">
          <cell r="C807" t="str">
            <v>MUR</v>
          </cell>
          <cell r="E807" t="str">
            <v>Energy</v>
          </cell>
        </row>
        <row r="808">
          <cell r="C808" t="str">
            <v>BOOT</v>
          </cell>
          <cell r="E808" t="str">
            <v>Consumer Cyclical</v>
          </cell>
        </row>
        <row r="809">
          <cell r="C809" t="str">
            <v>OLN</v>
          </cell>
          <cell r="E809" t="str">
            <v>Basic Materials</v>
          </cell>
        </row>
        <row r="810">
          <cell r="C810" t="str">
            <v>FTDR</v>
          </cell>
          <cell r="E810" t="str">
            <v>Consumer Cyclical</v>
          </cell>
        </row>
        <row r="811">
          <cell r="C811" t="str">
            <v>CORZ</v>
          </cell>
          <cell r="E811" t="str">
            <v>Technology</v>
          </cell>
        </row>
        <row r="812">
          <cell r="C812" t="str">
            <v>GH</v>
          </cell>
          <cell r="E812" t="str">
            <v>Healthcare</v>
          </cell>
        </row>
        <row r="813">
          <cell r="C813" t="str">
            <v>BGC</v>
          </cell>
          <cell r="E813" t="str">
            <v>Financial</v>
          </cell>
        </row>
        <row r="814">
          <cell r="C814" t="str">
            <v>BRZE</v>
          </cell>
          <cell r="E814" t="str">
            <v>Technology</v>
          </cell>
        </row>
        <row r="815">
          <cell r="C815" t="str">
            <v>GBTG</v>
          </cell>
          <cell r="E815" t="str">
            <v>Technology</v>
          </cell>
        </row>
        <row r="816">
          <cell r="C816" t="str">
            <v>PRIM</v>
          </cell>
          <cell r="E816" t="str">
            <v>Industrials</v>
          </cell>
        </row>
        <row r="817">
          <cell r="C817" t="str">
            <v>BHVN</v>
          </cell>
          <cell r="E817" t="str">
            <v>Healthcare</v>
          </cell>
        </row>
        <row r="818">
          <cell r="C818" t="str">
            <v>RELY</v>
          </cell>
          <cell r="E818" t="str">
            <v>Technology</v>
          </cell>
        </row>
        <row r="819">
          <cell r="C819" t="str">
            <v>ASB</v>
          </cell>
          <cell r="E819" t="str">
            <v>Financial</v>
          </cell>
        </row>
        <row r="820">
          <cell r="C820" t="str">
            <v>MMS</v>
          </cell>
          <cell r="E820" t="str">
            <v>Industrials</v>
          </cell>
        </row>
        <row r="821">
          <cell r="C821" t="str">
            <v>GVA</v>
          </cell>
          <cell r="E821" t="str">
            <v>Industrials</v>
          </cell>
        </row>
        <row r="822">
          <cell r="C822" t="str">
            <v>RNA</v>
          </cell>
          <cell r="E822" t="str">
            <v>Healthcare</v>
          </cell>
        </row>
        <row r="823">
          <cell r="C823" t="str">
            <v>IMVT</v>
          </cell>
          <cell r="E823" t="str">
            <v>Healthcare</v>
          </cell>
        </row>
        <row r="824">
          <cell r="C824" t="str">
            <v>HOG</v>
          </cell>
          <cell r="E824" t="str">
            <v>Consumer Cyclical</v>
          </cell>
        </row>
        <row r="825">
          <cell r="C825" t="str">
            <v>APLS</v>
          </cell>
          <cell r="E825" t="str">
            <v>Healthcare</v>
          </cell>
        </row>
        <row r="826">
          <cell r="C826" t="str">
            <v>UA</v>
          </cell>
          <cell r="E826" t="str">
            <v>Consumer Cyclical</v>
          </cell>
        </row>
        <row r="827">
          <cell r="C827" t="str">
            <v>SMG</v>
          </cell>
          <cell r="E827" t="str">
            <v>Basic Materials</v>
          </cell>
        </row>
        <row r="828">
          <cell r="C828" t="str">
            <v>UAA</v>
          </cell>
          <cell r="E828" t="str">
            <v>Consumer Cyclical</v>
          </cell>
        </row>
        <row r="829">
          <cell r="C829" t="str">
            <v>NCNO</v>
          </cell>
          <cell r="E829" t="str">
            <v>Technology</v>
          </cell>
        </row>
        <row r="830">
          <cell r="C830" t="str">
            <v>GSAT</v>
          </cell>
          <cell r="E830" t="str">
            <v>Communication Services</v>
          </cell>
        </row>
        <row r="831">
          <cell r="C831" t="str">
            <v>PAY</v>
          </cell>
          <cell r="E831" t="str">
            <v>Technology</v>
          </cell>
        </row>
        <row r="832">
          <cell r="C832" t="str">
            <v>HAE</v>
          </cell>
          <cell r="E832" t="str">
            <v>Healthcare</v>
          </cell>
        </row>
        <row r="833">
          <cell r="C833" t="str">
            <v>KTOS</v>
          </cell>
          <cell r="E833" t="str">
            <v>Industrials</v>
          </cell>
        </row>
        <row r="834">
          <cell r="C834" t="str">
            <v>MIR</v>
          </cell>
          <cell r="E834" t="str">
            <v>Industrials</v>
          </cell>
        </row>
        <row r="835">
          <cell r="C835" t="str">
            <v>NOG</v>
          </cell>
          <cell r="E835" t="str">
            <v>Energy</v>
          </cell>
        </row>
        <row r="836">
          <cell r="C836" t="str">
            <v>UCB</v>
          </cell>
          <cell r="E836" t="str">
            <v>Financial</v>
          </cell>
        </row>
        <row r="837">
          <cell r="C837" t="str">
            <v>CNK</v>
          </cell>
          <cell r="E837" t="str">
            <v>Communication Services</v>
          </cell>
        </row>
        <row r="838">
          <cell r="C838" t="str">
            <v>BL</v>
          </cell>
          <cell r="E838" t="str">
            <v>Technology</v>
          </cell>
        </row>
        <row r="839">
          <cell r="C839" t="str">
            <v>ALGM</v>
          </cell>
          <cell r="E839" t="str">
            <v>Technology</v>
          </cell>
        </row>
        <row r="840">
          <cell r="C840" t="str">
            <v>OGN</v>
          </cell>
          <cell r="E840" t="str">
            <v>Healthcare</v>
          </cell>
        </row>
        <row r="841">
          <cell r="C841" t="str">
            <v>HGV</v>
          </cell>
          <cell r="E841" t="str">
            <v>Consumer Cyclical</v>
          </cell>
        </row>
        <row r="842">
          <cell r="C842" t="str">
            <v>OPCH</v>
          </cell>
          <cell r="E842" t="str">
            <v>Healthcare</v>
          </cell>
        </row>
        <row r="843">
          <cell r="C843" t="str">
            <v>ALIT</v>
          </cell>
          <cell r="E843" t="str">
            <v>Technology</v>
          </cell>
        </row>
        <row r="844">
          <cell r="C844" t="str">
            <v>ALKT</v>
          </cell>
          <cell r="E844" t="str">
            <v>Technology</v>
          </cell>
        </row>
        <row r="845">
          <cell r="C845" t="str">
            <v>IAC</v>
          </cell>
          <cell r="E845" t="str">
            <v>Communication Services</v>
          </cell>
        </row>
        <row r="846">
          <cell r="C846" t="str">
            <v>GBDC</v>
          </cell>
          <cell r="E846" t="str">
            <v>Financial</v>
          </cell>
        </row>
        <row r="847">
          <cell r="C847" t="str">
            <v>XRAY</v>
          </cell>
          <cell r="E847" t="str">
            <v>Healthcare</v>
          </cell>
        </row>
        <row r="848">
          <cell r="C848" t="str">
            <v>SMPL</v>
          </cell>
          <cell r="E848" t="str">
            <v>Consumer Defensive</v>
          </cell>
        </row>
        <row r="849">
          <cell r="C849" t="str">
            <v>SRRK</v>
          </cell>
          <cell r="E849" t="str">
            <v>Healthcare</v>
          </cell>
        </row>
        <row r="850">
          <cell r="C850" t="str">
            <v>CARG</v>
          </cell>
          <cell r="E850" t="str">
            <v>Consumer Cyclical</v>
          </cell>
        </row>
        <row r="851">
          <cell r="C851" t="str">
            <v>CNO</v>
          </cell>
          <cell r="E851" t="str">
            <v>Financial</v>
          </cell>
        </row>
        <row r="852">
          <cell r="C852" t="str">
            <v>REZI</v>
          </cell>
          <cell r="E852" t="str">
            <v>Industrials</v>
          </cell>
        </row>
        <row r="853">
          <cell r="C853" t="str">
            <v>VRRM</v>
          </cell>
          <cell r="E853" t="str">
            <v>Industrials</v>
          </cell>
        </row>
        <row r="854">
          <cell r="C854" t="str">
            <v>RIOT</v>
          </cell>
          <cell r="E854" t="str">
            <v>Financial</v>
          </cell>
        </row>
        <row r="855">
          <cell r="C855" t="str">
            <v>DXC</v>
          </cell>
          <cell r="E855" t="str">
            <v>Technology</v>
          </cell>
        </row>
        <row r="856">
          <cell r="C856" t="str">
            <v>EBC</v>
          </cell>
          <cell r="E856" t="str">
            <v>Financial</v>
          </cell>
        </row>
        <row r="857">
          <cell r="C857" t="str">
            <v>GEO</v>
          </cell>
          <cell r="E857" t="str">
            <v>Industrials</v>
          </cell>
        </row>
        <row r="858">
          <cell r="C858" t="str">
            <v>MDU</v>
          </cell>
          <cell r="E858" t="str">
            <v>Industrials</v>
          </cell>
        </row>
        <row r="859">
          <cell r="C859" t="str">
            <v>MWA</v>
          </cell>
          <cell r="E859" t="str">
            <v>Industrials</v>
          </cell>
        </row>
        <row r="860">
          <cell r="C860" t="str">
            <v>FULT</v>
          </cell>
          <cell r="E860" t="str">
            <v>Financial</v>
          </cell>
        </row>
        <row r="861">
          <cell r="C861" t="str">
            <v>ASO</v>
          </cell>
          <cell r="E861" t="str">
            <v>Consumer Cyclical</v>
          </cell>
        </row>
        <row r="862">
          <cell r="C862" t="str">
            <v>PTCT</v>
          </cell>
          <cell r="E862" t="str">
            <v>Healthcare</v>
          </cell>
        </row>
        <row r="863">
          <cell r="C863" t="str">
            <v>SPR</v>
          </cell>
          <cell r="E863" t="str">
            <v>Industrials</v>
          </cell>
        </row>
        <row r="864">
          <cell r="C864" t="str">
            <v>YOU</v>
          </cell>
          <cell r="E864" t="str">
            <v>Technology</v>
          </cell>
        </row>
        <row r="865">
          <cell r="C865" t="str">
            <v>KGS</v>
          </cell>
          <cell r="E865" t="str">
            <v>Energy</v>
          </cell>
        </row>
        <row r="866">
          <cell r="C866" t="str">
            <v>YETI</v>
          </cell>
          <cell r="E866" t="str">
            <v>Consumer Cyclical</v>
          </cell>
        </row>
        <row r="867">
          <cell r="C867" t="str">
            <v>TPH</v>
          </cell>
          <cell r="E867" t="str">
            <v>Consumer Cyclical</v>
          </cell>
        </row>
        <row r="868">
          <cell r="C868" t="str">
            <v>JWN</v>
          </cell>
          <cell r="E868" t="str">
            <v>Consumer Cyclical</v>
          </cell>
        </row>
        <row r="869">
          <cell r="C869" t="str">
            <v>RNG</v>
          </cell>
          <cell r="E869" t="str">
            <v>Technology</v>
          </cell>
        </row>
        <row r="870">
          <cell r="C870" t="str">
            <v>SHC</v>
          </cell>
          <cell r="E870" t="str">
            <v>Healthcare</v>
          </cell>
        </row>
        <row r="871">
          <cell r="C871" t="str">
            <v>CLSK</v>
          </cell>
          <cell r="E871" t="str">
            <v>Financial</v>
          </cell>
        </row>
        <row r="872">
          <cell r="C872" t="str">
            <v>AUB</v>
          </cell>
          <cell r="E872" t="str">
            <v>Financial</v>
          </cell>
        </row>
        <row r="873">
          <cell r="C873" t="str">
            <v>CRGY</v>
          </cell>
          <cell r="E873" t="str">
            <v>Energy</v>
          </cell>
        </row>
        <row r="874">
          <cell r="C874" t="str">
            <v>PTON</v>
          </cell>
          <cell r="E874" t="str">
            <v>Consumer Cyclical</v>
          </cell>
        </row>
        <row r="875">
          <cell r="C875" t="str">
            <v>COMP</v>
          </cell>
          <cell r="E875" t="str">
            <v>Real Estate</v>
          </cell>
        </row>
        <row r="876">
          <cell r="C876" t="str">
            <v>HL</v>
          </cell>
          <cell r="E876" t="str">
            <v>Basic Materials</v>
          </cell>
        </row>
        <row r="877">
          <cell r="C877" t="str">
            <v>VSCO</v>
          </cell>
          <cell r="E877" t="str">
            <v>Consumer Cyclical</v>
          </cell>
        </row>
        <row r="878">
          <cell r="C878" t="str">
            <v>ACHC</v>
          </cell>
          <cell r="E878" t="str">
            <v>Healthcare</v>
          </cell>
        </row>
        <row r="879">
          <cell r="C879" t="str">
            <v>ZI</v>
          </cell>
          <cell r="E879" t="str">
            <v>Technology</v>
          </cell>
        </row>
        <row r="880">
          <cell r="C880" t="str">
            <v>PAYO</v>
          </cell>
          <cell r="E880" t="str">
            <v>Technology</v>
          </cell>
        </row>
        <row r="881">
          <cell r="C881" t="str">
            <v>TNL</v>
          </cell>
          <cell r="E881" t="str">
            <v>Consumer Cyclical</v>
          </cell>
        </row>
        <row r="882">
          <cell r="C882" t="str">
            <v>WU</v>
          </cell>
          <cell r="E882" t="str">
            <v>Financial</v>
          </cell>
        </row>
        <row r="883">
          <cell r="C883" t="str">
            <v>JANX</v>
          </cell>
          <cell r="E883" t="str">
            <v>Healthcare</v>
          </cell>
        </row>
        <row r="884">
          <cell r="C884" t="str">
            <v>PII</v>
          </cell>
          <cell r="E884" t="str">
            <v>Consumer Cyclical</v>
          </cell>
        </row>
        <row r="885">
          <cell r="C885" t="str">
            <v>ACVA</v>
          </cell>
          <cell r="E885" t="str">
            <v>Consumer Cyclical</v>
          </cell>
        </row>
        <row r="886">
          <cell r="C886" t="str">
            <v>TDS</v>
          </cell>
          <cell r="E886" t="str">
            <v>Communication Services</v>
          </cell>
        </row>
        <row r="887">
          <cell r="C887" t="str">
            <v>HASI</v>
          </cell>
          <cell r="E887" t="str">
            <v>Real Estate</v>
          </cell>
        </row>
        <row r="888">
          <cell r="C888" t="str">
            <v>FIBK</v>
          </cell>
          <cell r="E888" t="str">
            <v>Financial</v>
          </cell>
        </row>
        <row r="889">
          <cell r="C889" t="str">
            <v>UEC</v>
          </cell>
          <cell r="E889" t="str">
            <v>Energy</v>
          </cell>
        </row>
        <row r="890">
          <cell r="C890" t="str">
            <v>OSCR</v>
          </cell>
          <cell r="E890" t="str">
            <v>Healthcare</v>
          </cell>
        </row>
        <row r="891">
          <cell r="C891" t="str">
            <v>WEN</v>
          </cell>
          <cell r="E891" t="str">
            <v>Consumer Cyclical</v>
          </cell>
        </row>
        <row r="892">
          <cell r="C892" t="str">
            <v>DOCN</v>
          </cell>
          <cell r="E892" t="str">
            <v>Technology</v>
          </cell>
        </row>
        <row r="893">
          <cell r="C893" t="str">
            <v>PBF</v>
          </cell>
          <cell r="E893" t="str">
            <v>Energy</v>
          </cell>
        </row>
        <row r="894">
          <cell r="C894" t="str">
            <v>NVST</v>
          </cell>
          <cell r="E894" t="str">
            <v>Healthcare</v>
          </cell>
        </row>
        <row r="895">
          <cell r="C895" t="str">
            <v>PYCR</v>
          </cell>
          <cell r="E895" t="str">
            <v>Technology</v>
          </cell>
        </row>
        <row r="896">
          <cell r="C896" t="str">
            <v>DV</v>
          </cell>
          <cell r="E896" t="str">
            <v>Technology</v>
          </cell>
        </row>
        <row r="897">
          <cell r="C897" t="str">
            <v>FHB</v>
          </cell>
          <cell r="E897" t="str">
            <v>Financial</v>
          </cell>
        </row>
        <row r="898">
          <cell r="C898" t="str">
            <v>RYTM</v>
          </cell>
          <cell r="E898" t="str">
            <v>Healthcare</v>
          </cell>
        </row>
        <row r="899">
          <cell r="C899" t="str">
            <v>HAYW</v>
          </cell>
          <cell r="E899" t="str">
            <v>Industrials</v>
          </cell>
        </row>
        <row r="900">
          <cell r="C900" t="str">
            <v>FHI</v>
          </cell>
          <cell r="E900" t="str">
            <v>Financial</v>
          </cell>
        </row>
        <row r="901">
          <cell r="C901" t="str">
            <v>CAR</v>
          </cell>
          <cell r="E901" t="str">
            <v>Industrials</v>
          </cell>
        </row>
        <row r="902">
          <cell r="C902" t="str">
            <v>AVPT</v>
          </cell>
          <cell r="E902" t="str">
            <v>Technology</v>
          </cell>
        </row>
        <row r="903">
          <cell r="C903" t="str">
            <v>ECG</v>
          </cell>
          <cell r="E903" t="str">
            <v>Industrials</v>
          </cell>
        </row>
        <row r="904">
          <cell r="C904" t="str">
            <v>IRDM</v>
          </cell>
          <cell r="E904" t="str">
            <v>Communication Services</v>
          </cell>
        </row>
        <row r="905">
          <cell r="C905" t="str">
            <v>DNLI</v>
          </cell>
          <cell r="E905" t="str">
            <v>Healthcare</v>
          </cell>
        </row>
        <row r="906">
          <cell r="C906" t="str">
            <v>FA</v>
          </cell>
          <cell r="E906" t="str">
            <v>Industrials</v>
          </cell>
        </row>
        <row r="907">
          <cell r="C907" t="str">
            <v>NARI</v>
          </cell>
          <cell r="E907" t="str">
            <v>Healthcare</v>
          </cell>
        </row>
        <row r="908">
          <cell r="C908" t="str">
            <v>HP</v>
          </cell>
          <cell r="E908" t="str">
            <v>Energy</v>
          </cell>
        </row>
        <row r="909">
          <cell r="C909" t="str">
            <v>AEO</v>
          </cell>
          <cell r="E909" t="str">
            <v>Consumer Cyclical</v>
          </cell>
        </row>
        <row r="910">
          <cell r="C910" t="str">
            <v>FROG</v>
          </cell>
          <cell r="E910" t="str">
            <v>Technology</v>
          </cell>
        </row>
        <row r="911">
          <cell r="C911" t="str">
            <v>TEX</v>
          </cell>
          <cell r="E911" t="str">
            <v>Industrials</v>
          </cell>
        </row>
        <row r="912">
          <cell r="C912" t="str">
            <v>ATMU</v>
          </cell>
          <cell r="E912" t="str">
            <v>Industrials</v>
          </cell>
        </row>
        <row r="913">
          <cell r="C913" t="str">
            <v>VCYT</v>
          </cell>
          <cell r="E913" t="str">
            <v>Healthcare</v>
          </cell>
        </row>
        <row r="914">
          <cell r="C914" t="str">
            <v>ALRM</v>
          </cell>
          <cell r="E914" t="str">
            <v>Technology</v>
          </cell>
        </row>
        <row r="915">
          <cell r="C915" t="str">
            <v>HUN</v>
          </cell>
          <cell r="E915" t="str">
            <v>Basic Materials</v>
          </cell>
        </row>
        <row r="916">
          <cell r="C916" t="str">
            <v>NEP</v>
          </cell>
          <cell r="E916" t="str">
            <v>Utilities</v>
          </cell>
        </row>
        <row r="917">
          <cell r="C917" t="str">
            <v>STR</v>
          </cell>
          <cell r="E917" t="str">
            <v>Energy</v>
          </cell>
        </row>
        <row r="918">
          <cell r="C918" t="str">
            <v>FORM</v>
          </cell>
          <cell r="E918" t="str">
            <v>Technology</v>
          </cell>
        </row>
        <row r="919">
          <cell r="C919" t="str">
            <v>HCC</v>
          </cell>
          <cell r="E919" t="str">
            <v>Basic Materials</v>
          </cell>
        </row>
        <row r="920">
          <cell r="C920" t="str">
            <v>DLO</v>
          </cell>
          <cell r="E920" t="str">
            <v>Technology</v>
          </cell>
        </row>
        <row r="921">
          <cell r="C921" t="str">
            <v>SYNA</v>
          </cell>
          <cell r="E921" t="str">
            <v>Technology</v>
          </cell>
        </row>
        <row r="922">
          <cell r="C922" t="str">
            <v>FBP</v>
          </cell>
          <cell r="E922" t="str">
            <v>Financial</v>
          </cell>
        </row>
        <row r="923">
          <cell r="C923" t="str">
            <v>BFH</v>
          </cell>
          <cell r="E923" t="str">
            <v>Financial</v>
          </cell>
        </row>
        <row r="924">
          <cell r="C924" t="str">
            <v>CVBF</v>
          </cell>
          <cell r="E924" t="str">
            <v>Financial</v>
          </cell>
        </row>
        <row r="925">
          <cell r="C925" t="str">
            <v>FIVN</v>
          </cell>
          <cell r="E925" t="str">
            <v>Technology</v>
          </cell>
        </row>
        <row r="926">
          <cell r="C926" t="str">
            <v>BTSG</v>
          </cell>
          <cell r="E926" t="str">
            <v>Healthcare</v>
          </cell>
        </row>
        <row r="927">
          <cell r="C927" t="str">
            <v>GNW</v>
          </cell>
          <cell r="E927" t="str">
            <v>Financial</v>
          </cell>
        </row>
        <row r="928">
          <cell r="C928" t="str">
            <v>SHOO</v>
          </cell>
          <cell r="E928" t="str">
            <v>Consumer Cyclical</v>
          </cell>
        </row>
        <row r="929">
          <cell r="C929" t="str">
            <v>MP</v>
          </cell>
          <cell r="E929" t="str">
            <v>Basic Materials</v>
          </cell>
        </row>
        <row r="930">
          <cell r="C930" t="str">
            <v>RUM</v>
          </cell>
          <cell r="E930" t="str">
            <v>Technology</v>
          </cell>
        </row>
        <row r="931">
          <cell r="C931" t="str">
            <v>HTGC</v>
          </cell>
          <cell r="E931" t="str">
            <v>Financial</v>
          </cell>
        </row>
        <row r="932">
          <cell r="C932" t="str">
            <v>ACHR</v>
          </cell>
          <cell r="E932" t="str">
            <v>Industrials</v>
          </cell>
        </row>
        <row r="933">
          <cell r="C933" t="str">
            <v>RSI</v>
          </cell>
          <cell r="E933" t="str">
            <v>Consumer Cyclical</v>
          </cell>
        </row>
        <row r="934">
          <cell r="C934" t="str">
            <v>LBRT</v>
          </cell>
          <cell r="E934" t="str">
            <v>Energy</v>
          </cell>
        </row>
        <row r="935">
          <cell r="C935" t="str">
            <v>TDC</v>
          </cell>
          <cell r="E935" t="str">
            <v>Technology</v>
          </cell>
        </row>
        <row r="936">
          <cell r="C936" t="str">
            <v>PRKS</v>
          </cell>
          <cell r="E936" t="str">
            <v>Consumer Cyclical</v>
          </cell>
        </row>
        <row r="937">
          <cell r="C937" t="str">
            <v>TRN</v>
          </cell>
          <cell r="E937" t="str">
            <v>Industrials</v>
          </cell>
        </row>
        <row r="938">
          <cell r="C938" t="str">
            <v>PTVE</v>
          </cell>
          <cell r="E938" t="str">
            <v>Consumer Cyclical</v>
          </cell>
        </row>
        <row r="939">
          <cell r="C939" t="str">
            <v>ATKR</v>
          </cell>
          <cell r="E939" t="str">
            <v>Industrials</v>
          </cell>
        </row>
        <row r="940">
          <cell r="C940" t="str">
            <v>BKU</v>
          </cell>
          <cell r="E940" t="str">
            <v>Financial</v>
          </cell>
        </row>
        <row r="941">
          <cell r="C941" t="str">
            <v>HUBG</v>
          </cell>
          <cell r="E941" t="str">
            <v>Industrials</v>
          </cell>
        </row>
        <row r="942">
          <cell r="C942" t="str">
            <v>HBI</v>
          </cell>
          <cell r="E942" t="str">
            <v>Consumer Cyclical</v>
          </cell>
        </row>
        <row r="943">
          <cell r="C943" t="str">
            <v>NMIH</v>
          </cell>
          <cell r="E943" t="str">
            <v>Financial</v>
          </cell>
        </row>
        <row r="944">
          <cell r="C944" t="str">
            <v>PTEN</v>
          </cell>
          <cell r="E944" t="str">
            <v>Energy</v>
          </cell>
        </row>
        <row r="945">
          <cell r="C945" t="str">
            <v>LMND</v>
          </cell>
          <cell r="E945" t="str">
            <v>Financial</v>
          </cell>
        </row>
        <row r="946">
          <cell r="C946" t="str">
            <v>SFNC</v>
          </cell>
          <cell r="E946" t="str">
            <v>Financial</v>
          </cell>
        </row>
        <row r="947">
          <cell r="C947" t="str">
            <v>FOLD</v>
          </cell>
          <cell r="E947" t="str">
            <v>Healthcare</v>
          </cell>
        </row>
        <row r="948">
          <cell r="C948" t="str">
            <v>FLNC</v>
          </cell>
          <cell r="E948" t="str">
            <v>Utilities</v>
          </cell>
        </row>
        <row r="949">
          <cell r="C949" t="str">
            <v>AMBA</v>
          </cell>
          <cell r="E949" t="str">
            <v>Technology</v>
          </cell>
        </row>
        <row r="950">
          <cell r="C950" t="str">
            <v>TGNA</v>
          </cell>
          <cell r="E950" t="str">
            <v>Communication Services</v>
          </cell>
        </row>
        <row r="951">
          <cell r="C951" t="str">
            <v>ACAD</v>
          </cell>
          <cell r="E951" t="str">
            <v>Healthcare</v>
          </cell>
        </row>
        <row r="952">
          <cell r="C952" t="str">
            <v>PRGS</v>
          </cell>
          <cell r="E952" t="str">
            <v>Technology</v>
          </cell>
        </row>
        <row r="953">
          <cell r="C953" t="str">
            <v>PENN</v>
          </cell>
          <cell r="E953" t="str">
            <v>Consumer Cyclical</v>
          </cell>
        </row>
        <row r="954">
          <cell r="C954" t="str">
            <v>SWTX</v>
          </cell>
          <cell r="E954" t="str">
            <v>Healthcare</v>
          </cell>
        </row>
        <row r="955">
          <cell r="C955" t="str">
            <v>CDE</v>
          </cell>
          <cell r="E955" t="str">
            <v>Basic Materials</v>
          </cell>
        </row>
        <row r="956">
          <cell r="C956" t="str">
            <v>RXRX</v>
          </cell>
          <cell r="E956" t="str">
            <v>Healthcare</v>
          </cell>
        </row>
        <row r="957">
          <cell r="C957" t="str">
            <v>VERA</v>
          </cell>
          <cell r="E957" t="str">
            <v>Healthcare</v>
          </cell>
        </row>
        <row r="958">
          <cell r="C958" t="str">
            <v>WAFD</v>
          </cell>
          <cell r="E958" t="str">
            <v>Financial</v>
          </cell>
        </row>
        <row r="959">
          <cell r="C959" t="str">
            <v>LAUR</v>
          </cell>
          <cell r="E959" t="str">
            <v>Consumer Defensive</v>
          </cell>
        </row>
        <row r="960">
          <cell r="C960" t="str">
            <v>CC</v>
          </cell>
          <cell r="E960" t="str">
            <v>Basic Materials</v>
          </cell>
        </row>
        <row r="961">
          <cell r="C961" t="str">
            <v>TWST</v>
          </cell>
          <cell r="E961" t="str">
            <v>Healthcare</v>
          </cell>
        </row>
        <row r="962">
          <cell r="C962" t="str">
            <v>GT</v>
          </cell>
          <cell r="E962" t="str">
            <v>Consumer Cyclical</v>
          </cell>
        </row>
        <row r="963">
          <cell r="C963" t="str">
            <v>BANC</v>
          </cell>
          <cell r="E963" t="str">
            <v>Financial</v>
          </cell>
        </row>
        <row r="964">
          <cell r="C964" t="str">
            <v>MAN</v>
          </cell>
          <cell r="E964" t="str">
            <v>Industrials</v>
          </cell>
        </row>
        <row r="965">
          <cell r="C965" t="str">
            <v>CNXC</v>
          </cell>
          <cell r="E965" t="str">
            <v>Technology</v>
          </cell>
        </row>
        <row r="966">
          <cell r="C966" t="str">
            <v>WRBY</v>
          </cell>
          <cell r="E966" t="str">
            <v>Healthcare</v>
          </cell>
        </row>
        <row r="967">
          <cell r="C967" t="str">
            <v>ARWR</v>
          </cell>
          <cell r="E967" t="str">
            <v>Healthcare</v>
          </cell>
        </row>
        <row r="968">
          <cell r="C968" t="str">
            <v>EWTX</v>
          </cell>
          <cell r="E968" t="str">
            <v>Healthcare</v>
          </cell>
        </row>
        <row r="969">
          <cell r="C969" t="str">
            <v>DRVN</v>
          </cell>
          <cell r="E969" t="str">
            <v>Consumer Cyclical</v>
          </cell>
        </row>
        <row r="970">
          <cell r="C970" t="str">
            <v>IRTC</v>
          </cell>
          <cell r="E970" t="str">
            <v>Healthcare</v>
          </cell>
        </row>
        <row r="971">
          <cell r="C971" t="str">
            <v>DFH</v>
          </cell>
          <cell r="E971" t="str">
            <v>Consumer Cyclical</v>
          </cell>
        </row>
        <row r="972">
          <cell r="C972" t="str">
            <v>GRND</v>
          </cell>
          <cell r="E972" t="str">
            <v>Technology</v>
          </cell>
        </row>
        <row r="973">
          <cell r="C973" t="str">
            <v>DYN</v>
          </cell>
          <cell r="E973" t="str">
            <v>Healthcare</v>
          </cell>
        </row>
        <row r="974">
          <cell r="C974" t="str">
            <v>QDEL</v>
          </cell>
          <cell r="E974" t="str">
            <v>Healthcare</v>
          </cell>
        </row>
        <row r="975">
          <cell r="C975" t="str">
            <v>WULF</v>
          </cell>
          <cell r="E975" t="str">
            <v>Financial</v>
          </cell>
        </row>
        <row r="976">
          <cell r="C976" t="str">
            <v>PDCO</v>
          </cell>
          <cell r="E976" t="str">
            <v>Healthcare</v>
          </cell>
        </row>
        <row r="977">
          <cell r="C977" t="str">
            <v>NEOG</v>
          </cell>
          <cell r="E977" t="str">
            <v>Healthcare</v>
          </cell>
        </row>
        <row r="978">
          <cell r="C978" t="str">
            <v>LFST</v>
          </cell>
          <cell r="E978" t="str">
            <v>Healthcare</v>
          </cell>
        </row>
        <row r="979">
          <cell r="C979" t="str">
            <v>OII</v>
          </cell>
          <cell r="E979" t="str">
            <v>Energy</v>
          </cell>
        </row>
        <row r="980">
          <cell r="C980" t="str">
            <v>AAP</v>
          </cell>
          <cell r="E980" t="str">
            <v>Consumer Cyclical</v>
          </cell>
        </row>
        <row r="981">
          <cell r="C981" t="str">
            <v>PPBI</v>
          </cell>
          <cell r="E981" t="str">
            <v>Financial</v>
          </cell>
        </row>
        <row r="982">
          <cell r="C982" t="str">
            <v>BTU</v>
          </cell>
          <cell r="E982" t="str">
            <v>Energy</v>
          </cell>
        </row>
        <row r="983">
          <cell r="C983" t="str">
            <v>RVLV</v>
          </cell>
          <cell r="E983" t="str">
            <v>Consumer Cyclical</v>
          </cell>
        </row>
        <row r="984">
          <cell r="C984" t="str">
            <v>PFS</v>
          </cell>
          <cell r="E984" t="str">
            <v>Financial</v>
          </cell>
        </row>
        <row r="985">
          <cell r="C985" t="str">
            <v>TBBK</v>
          </cell>
          <cell r="E985" t="str">
            <v>Financial</v>
          </cell>
        </row>
        <row r="986">
          <cell r="C986" t="str">
            <v>YELP</v>
          </cell>
          <cell r="E986" t="str">
            <v>Communication Services</v>
          </cell>
        </row>
        <row r="987">
          <cell r="C987" t="str">
            <v>KLIC</v>
          </cell>
          <cell r="E987" t="str">
            <v>Technology</v>
          </cell>
        </row>
        <row r="988">
          <cell r="C988" t="str">
            <v>SGRY</v>
          </cell>
          <cell r="E988" t="str">
            <v>Healthcare</v>
          </cell>
        </row>
        <row r="989">
          <cell r="C989" t="str">
            <v>ENR</v>
          </cell>
          <cell r="E989" t="str">
            <v>Industrials</v>
          </cell>
        </row>
        <row r="990">
          <cell r="C990" t="str">
            <v>RPD</v>
          </cell>
          <cell r="E990" t="str">
            <v>Technology</v>
          </cell>
        </row>
        <row r="991">
          <cell r="C991" t="str">
            <v>CPRX</v>
          </cell>
          <cell r="E991" t="str">
            <v>Healthcare</v>
          </cell>
        </row>
        <row r="992">
          <cell r="C992" t="str">
            <v>IOVA</v>
          </cell>
          <cell r="E992" t="str">
            <v>Healthcare</v>
          </cell>
        </row>
        <row r="993">
          <cell r="C993" t="str">
            <v>ENOV</v>
          </cell>
          <cell r="E993" t="str">
            <v>Industrials</v>
          </cell>
        </row>
        <row r="994">
          <cell r="C994" t="str">
            <v>JBLU</v>
          </cell>
          <cell r="E994" t="str">
            <v>Industrials</v>
          </cell>
        </row>
        <row r="995">
          <cell r="C995" t="str">
            <v>TTMI</v>
          </cell>
          <cell r="E995" t="str">
            <v>Technology</v>
          </cell>
        </row>
        <row r="996">
          <cell r="C996" t="str">
            <v>TDW</v>
          </cell>
          <cell r="E996" t="str">
            <v>Energy</v>
          </cell>
        </row>
        <row r="997">
          <cell r="C997" t="str">
            <v>NMRK</v>
          </cell>
          <cell r="E997" t="str">
            <v>Real Estate</v>
          </cell>
        </row>
        <row r="998">
          <cell r="C998" t="str">
            <v>CON</v>
          </cell>
          <cell r="E998" t="str">
            <v>Healthcare</v>
          </cell>
        </row>
        <row r="999">
          <cell r="C999" t="str">
            <v>QS</v>
          </cell>
          <cell r="E999" t="str">
            <v>Consumer Cyclical</v>
          </cell>
        </row>
        <row r="1000">
          <cell r="C1000" t="str">
            <v>CAKE</v>
          </cell>
          <cell r="E1000" t="str">
            <v>Consumer Cyclical</v>
          </cell>
        </row>
        <row r="1001">
          <cell r="C1001" t="str">
            <v>SEM</v>
          </cell>
          <cell r="E1001" t="str">
            <v>Healthcare</v>
          </cell>
        </row>
        <row r="1002">
          <cell r="C1002" t="str">
            <v>PRVA</v>
          </cell>
          <cell r="E1002" t="str">
            <v>Healthcare</v>
          </cell>
        </row>
        <row r="1003">
          <cell r="C1003" t="str">
            <v>FLYW</v>
          </cell>
          <cell r="E1003" t="str">
            <v>Technology</v>
          </cell>
        </row>
        <row r="1004">
          <cell r="C1004" t="str">
            <v>ZD</v>
          </cell>
          <cell r="E1004" t="str">
            <v>Communication Services</v>
          </cell>
        </row>
        <row r="1005">
          <cell r="C1005" t="str">
            <v>AESI</v>
          </cell>
          <cell r="E1005" t="str">
            <v>Energy</v>
          </cell>
        </row>
        <row r="1006">
          <cell r="C1006" t="str">
            <v>SWI</v>
          </cell>
          <cell r="E1006" t="str">
            <v>Technology</v>
          </cell>
        </row>
        <row r="1007">
          <cell r="C1007" t="str">
            <v>AMRX</v>
          </cell>
          <cell r="E1007" t="str">
            <v>Healthcare</v>
          </cell>
        </row>
        <row r="1008">
          <cell r="C1008" t="str">
            <v>MCW</v>
          </cell>
          <cell r="E1008" t="str">
            <v>Consumer Cyclical</v>
          </cell>
        </row>
        <row r="1009">
          <cell r="C1009" t="str">
            <v>HUT</v>
          </cell>
          <cell r="E1009" t="str">
            <v>Financial</v>
          </cell>
        </row>
        <row r="1010">
          <cell r="C1010" t="str">
            <v>WERN</v>
          </cell>
          <cell r="E1010" t="str">
            <v>Industrials</v>
          </cell>
        </row>
        <row r="1011">
          <cell r="C1011" t="str">
            <v>AGIO</v>
          </cell>
          <cell r="E1011" t="str">
            <v>Healthcare</v>
          </cell>
        </row>
        <row r="1012">
          <cell r="C1012" t="str">
            <v>NATL</v>
          </cell>
          <cell r="E1012" t="str">
            <v>Technology</v>
          </cell>
        </row>
        <row r="1013">
          <cell r="C1013" t="str">
            <v>ACLS</v>
          </cell>
          <cell r="E1013" t="str">
            <v>Technology</v>
          </cell>
        </row>
        <row r="1014">
          <cell r="C1014" t="str">
            <v>VSH</v>
          </cell>
          <cell r="E1014" t="str">
            <v>Technology</v>
          </cell>
        </row>
        <row r="1015">
          <cell r="C1015" t="str">
            <v>PTGX</v>
          </cell>
          <cell r="E1015" t="str">
            <v>Healthcare</v>
          </cell>
        </row>
        <row r="1016">
          <cell r="C1016" t="str">
            <v>NPWR</v>
          </cell>
          <cell r="E1016" t="str">
            <v>Industrials</v>
          </cell>
        </row>
        <row r="1017">
          <cell r="C1017" t="str">
            <v>UTZ</v>
          </cell>
          <cell r="E1017" t="str">
            <v>Consumer Defensive</v>
          </cell>
        </row>
        <row r="1018">
          <cell r="C1018" t="str">
            <v>CXW</v>
          </cell>
          <cell r="E1018" t="str">
            <v>Industrials</v>
          </cell>
        </row>
        <row r="1019">
          <cell r="C1019" t="str">
            <v>GERN</v>
          </cell>
          <cell r="E1019" t="str">
            <v>Healthcare</v>
          </cell>
        </row>
        <row r="1020">
          <cell r="C1020" t="str">
            <v>CWH</v>
          </cell>
          <cell r="E1020" t="str">
            <v>Consumer Cyclical</v>
          </cell>
        </row>
        <row r="1021">
          <cell r="C1021" t="str">
            <v>B</v>
          </cell>
          <cell r="E1021" t="str">
            <v>Industrials</v>
          </cell>
        </row>
        <row r="1022">
          <cell r="C1022" t="str">
            <v>BEAM</v>
          </cell>
          <cell r="E1022" t="str">
            <v>Healthcare</v>
          </cell>
        </row>
        <row r="1023">
          <cell r="C1023" t="str">
            <v>CXM</v>
          </cell>
          <cell r="E1023" t="str">
            <v>Technology</v>
          </cell>
        </row>
        <row r="1024">
          <cell r="C1024" t="str">
            <v>MGNI</v>
          </cell>
          <cell r="E1024" t="str">
            <v>Communication Services</v>
          </cell>
        </row>
        <row r="1025">
          <cell r="C1025" t="str">
            <v>DBRG</v>
          </cell>
          <cell r="E1025" t="str">
            <v>Real Estate</v>
          </cell>
        </row>
        <row r="1026">
          <cell r="C1026" t="str">
            <v>RUN</v>
          </cell>
          <cell r="E1026" t="str">
            <v>Technology</v>
          </cell>
        </row>
        <row r="1027">
          <cell r="C1027" t="str">
            <v>IDYA</v>
          </cell>
          <cell r="E1027" t="str">
            <v>Healthcare</v>
          </cell>
        </row>
        <row r="1028">
          <cell r="C1028" t="str">
            <v>EXTR</v>
          </cell>
          <cell r="E1028" t="str">
            <v>Technology</v>
          </cell>
        </row>
        <row r="1029">
          <cell r="C1029" t="str">
            <v>PACS</v>
          </cell>
          <cell r="E1029" t="str">
            <v>Healthcare</v>
          </cell>
        </row>
        <row r="1030">
          <cell r="C1030" t="str">
            <v>CALX</v>
          </cell>
          <cell r="E1030" t="str">
            <v>Technology</v>
          </cell>
        </row>
        <row r="1031">
          <cell r="C1031" t="str">
            <v>VIAV</v>
          </cell>
          <cell r="E1031" t="str">
            <v>Technology</v>
          </cell>
        </row>
        <row r="1032">
          <cell r="C1032" t="str">
            <v>NEO</v>
          </cell>
          <cell r="E1032" t="str">
            <v>Healthcare</v>
          </cell>
        </row>
        <row r="1033">
          <cell r="C1033" t="str">
            <v>AVDX</v>
          </cell>
          <cell r="E1033" t="str">
            <v>Technology</v>
          </cell>
        </row>
        <row r="1034">
          <cell r="C1034" t="str">
            <v>TRUP</v>
          </cell>
          <cell r="E1034" t="str">
            <v>Financial</v>
          </cell>
        </row>
        <row r="1035">
          <cell r="C1035" t="str">
            <v>KLC</v>
          </cell>
          <cell r="E1035" t="str">
            <v>Consumer Defensive</v>
          </cell>
        </row>
        <row r="1036">
          <cell r="C1036" t="str">
            <v>UPWK</v>
          </cell>
          <cell r="E1036" t="str">
            <v>Communication Services</v>
          </cell>
        </row>
        <row r="1037">
          <cell r="C1037" t="str">
            <v>PLUG</v>
          </cell>
          <cell r="E1037" t="str">
            <v>Industrials</v>
          </cell>
        </row>
        <row r="1038">
          <cell r="C1038" t="str">
            <v>TNDM</v>
          </cell>
          <cell r="E1038" t="str">
            <v>Healthcare</v>
          </cell>
        </row>
        <row r="1039">
          <cell r="C1039" t="str">
            <v>TMDX</v>
          </cell>
          <cell r="E1039" t="str">
            <v>Healthcare</v>
          </cell>
        </row>
        <row r="1040">
          <cell r="C1040" t="str">
            <v>ALHC</v>
          </cell>
          <cell r="E1040" t="str">
            <v>Healthcare</v>
          </cell>
        </row>
        <row r="1041">
          <cell r="C1041" t="str">
            <v>CIFR</v>
          </cell>
          <cell r="E1041" t="str">
            <v>Financial</v>
          </cell>
        </row>
        <row r="1042">
          <cell r="C1042" t="str">
            <v>NN</v>
          </cell>
          <cell r="E1042" t="str">
            <v>Technology</v>
          </cell>
        </row>
        <row r="1043">
          <cell r="C1043" t="str">
            <v>HLMN</v>
          </cell>
          <cell r="E1043" t="str">
            <v>Industrials</v>
          </cell>
        </row>
        <row r="1044">
          <cell r="C1044" t="str">
            <v>KAR</v>
          </cell>
          <cell r="E1044" t="str">
            <v>Consumer Cyclical</v>
          </cell>
        </row>
        <row r="1045">
          <cell r="C1045" t="str">
            <v>IBRX</v>
          </cell>
          <cell r="E1045" t="str">
            <v>Healthcare</v>
          </cell>
        </row>
        <row r="1046">
          <cell r="C1046" t="str">
            <v>OMCL</v>
          </cell>
          <cell r="E1046" t="str">
            <v>Healthcare</v>
          </cell>
        </row>
        <row r="1047">
          <cell r="C1047" t="str">
            <v>VYX</v>
          </cell>
          <cell r="E1047" t="str">
            <v>Technology</v>
          </cell>
        </row>
        <row r="1048">
          <cell r="C1048" t="str">
            <v>VSTS</v>
          </cell>
          <cell r="E1048" t="str">
            <v>Industrials</v>
          </cell>
        </row>
        <row r="1049">
          <cell r="C1049" t="str">
            <v>PCT</v>
          </cell>
          <cell r="E1049" t="str">
            <v>Industrials</v>
          </cell>
        </row>
        <row r="1050">
          <cell r="C1050" t="str">
            <v>CGON</v>
          </cell>
          <cell r="E1050" t="str">
            <v>Healthcare</v>
          </cell>
        </row>
        <row r="1051">
          <cell r="C1051" t="str">
            <v>AKRO</v>
          </cell>
          <cell r="E1051" t="str">
            <v>Healthcare</v>
          </cell>
        </row>
        <row r="1052">
          <cell r="C1052" t="str">
            <v>RAMP</v>
          </cell>
          <cell r="E1052" t="str">
            <v>Technology</v>
          </cell>
        </row>
        <row r="1053">
          <cell r="C1053" t="str">
            <v>MBC</v>
          </cell>
          <cell r="E1053" t="str">
            <v>Consumer Cyclical</v>
          </cell>
        </row>
        <row r="1054">
          <cell r="C1054" t="str">
            <v>KMT</v>
          </cell>
          <cell r="E1054" t="str">
            <v>Industrials</v>
          </cell>
        </row>
        <row r="1055">
          <cell r="C1055" t="str">
            <v>AZTA</v>
          </cell>
          <cell r="E1055" t="str">
            <v>Healthcare</v>
          </cell>
        </row>
        <row r="1056">
          <cell r="C1056" t="str">
            <v>PINC</v>
          </cell>
          <cell r="E1056" t="str">
            <v>Healthcare</v>
          </cell>
        </row>
        <row r="1057">
          <cell r="C1057" t="str">
            <v>SEMR</v>
          </cell>
          <cell r="E1057" t="str">
            <v>Technology</v>
          </cell>
        </row>
        <row r="1058">
          <cell r="C1058" t="str">
            <v>FL</v>
          </cell>
          <cell r="E1058" t="str">
            <v>Consumer Cyclical</v>
          </cell>
        </row>
        <row r="1059">
          <cell r="C1059" t="str">
            <v>MQ</v>
          </cell>
          <cell r="E1059" t="str">
            <v>Technology</v>
          </cell>
        </row>
        <row r="1060">
          <cell r="C1060" t="str">
            <v>SLNO</v>
          </cell>
          <cell r="E1060" t="str">
            <v>Healthcare</v>
          </cell>
        </row>
        <row r="1061">
          <cell r="C1061" t="str">
            <v>WGS</v>
          </cell>
          <cell r="E1061" t="str">
            <v>Healthcare</v>
          </cell>
        </row>
        <row r="1062">
          <cell r="C1062" t="str">
            <v>CENX</v>
          </cell>
          <cell r="E1062" t="str">
            <v>Basic Materials</v>
          </cell>
        </row>
        <row r="1063">
          <cell r="C1063" t="str">
            <v>CVI</v>
          </cell>
          <cell r="E1063" t="str">
            <v>Energy</v>
          </cell>
        </row>
        <row r="1064">
          <cell r="C1064" t="str">
            <v>SPT</v>
          </cell>
          <cell r="E1064" t="str">
            <v>Technology</v>
          </cell>
        </row>
        <row r="1065">
          <cell r="C1065" t="str">
            <v>TARS</v>
          </cell>
          <cell r="E1065" t="str">
            <v>Healthcare</v>
          </cell>
        </row>
        <row r="1066">
          <cell r="C1066" t="str">
            <v>STGW</v>
          </cell>
          <cell r="E1066" t="str">
            <v>Communication Services</v>
          </cell>
        </row>
        <row r="1067">
          <cell r="C1067" t="str">
            <v>EXPI</v>
          </cell>
          <cell r="E1067" t="str">
            <v>Real Estate</v>
          </cell>
        </row>
        <row r="1068">
          <cell r="C1068" t="str">
            <v>CRI</v>
          </cell>
          <cell r="E1068" t="str">
            <v>Consumer Cyclical</v>
          </cell>
        </row>
        <row r="1069">
          <cell r="C1069" t="str">
            <v>EVGO</v>
          </cell>
          <cell r="E1069" t="str">
            <v>Consumer Cyclical</v>
          </cell>
        </row>
        <row r="1070">
          <cell r="C1070" t="str">
            <v>GPCR</v>
          </cell>
          <cell r="E1070" t="str">
            <v>Healthcare</v>
          </cell>
        </row>
        <row r="1071">
          <cell r="C1071" t="str">
            <v>TXG</v>
          </cell>
          <cell r="E1071" t="str">
            <v>Healthcare</v>
          </cell>
        </row>
        <row r="1072">
          <cell r="C1072" t="str">
            <v>WWW</v>
          </cell>
          <cell r="E1072" t="str">
            <v>Consumer Cyclical</v>
          </cell>
        </row>
        <row r="1073">
          <cell r="C1073" t="str">
            <v>PSEC</v>
          </cell>
          <cell r="E1073" t="str">
            <v>Financial</v>
          </cell>
        </row>
        <row r="1074">
          <cell r="C1074" t="str">
            <v>TRIP</v>
          </cell>
          <cell r="E1074" t="str">
            <v>Consumer Cyclical</v>
          </cell>
        </row>
        <row r="1075">
          <cell r="C1075" t="str">
            <v>SOC</v>
          </cell>
          <cell r="E1075" t="str">
            <v>Energy</v>
          </cell>
        </row>
        <row r="1076">
          <cell r="C1076" t="str">
            <v>CLMT</v>
          </cell>
          <cell r="E1076" t="str">
            <v>Energy</v>
          </cell>
        </row>
        <row r="1077">
          <cell r="C1077" t="str">
            <v>VRNT</v>
          </cell>
          <cell r="E1077" t="str">
            <v>Technology</v>
          </cell>
        </row>
        <row r="1078">
          <cell r="C1078" t="str">
            <v>FCF</v>
          </cell>
          <cell r="E1078" t="str">
            <v>Financial</v>
          </cell>
        </row>
        <row r="1079">
          <cell r="C1079" t="str">
            <v>DAN</v>
          </cell>
          <cell r="E1079" t="str">
            <v>Consumer Cyclical</v>
          </cell>
        </row>
        <row r="1080">
          <cell r="C1080" t="str">
            <v>IART</v>
          </cell>
          <cell r="E1080" t="str">
            <v>Healthcare</v>
          </cell>
        </row>
        <row r="1081">
          <cell r="C1081" t="str">
            <v>GDRX</v>
          </cell>
          <cell r="E1081" t="str">
            <v>Healthcare</v>
          </cell>
        </row>
        <row r="1082">
          <cell r="C1082" t="str">
            <v>APLD</v>
          </cell>
          <cell r="E1082" t="str">
            <v>Technology</v>
          </cell>
        </row>
        <row r="1083">
          <cell r="C1083" t="str">
            <v>TALO</v>
          </cell>
          <cell r="E1083" t="str">
            <v>Energy</v>
          </cell>
        </row>
        <row r="1084">
          <cell r="C1084" t="str">
            <v>UPBD</v>
          </cell>
          <cell r="E1084" t="str">
            <v>Technology</v>
          </cell>
        </row>
        <row r="1085">
          <cell r="C1085" t="str">
            <v>HRMY</v>
          </cell>
          <cell r="E1085" t="str">
            <v>Healthcare</v>
          </cell>
        </row>
        <row r="1086">
          <cell r="C1086" t="str">
            <v>NWBI</v>
          </cell>
          <cell r="E1086" t="str">
            <v>Financial</v>
          </cell>
        </row>
        <row r="1087">
          <cell r="C1087" t="str">
            <v>GO</v>
          </cell>
          <cell r="E1087" t="str">
            <v>Consumer Defensive</v>
          </cell>
        </row>
        <row r="1088">
          <cell r="C1088" t="str">
            <v>CERT</v>
          </cell>
          <cell r="E1088" t="str">
            <v>Healthcare</v>
          </cell>
        </row>
        <row r="1089">
          <cell r="C1089" t="str">
            <v>PD</v>
          </cell>
          <cell r="E1089" t="str">
            <v>Technology</v>
          </cell>
        </row>
        <row r="1090">
          <cell r="C1090" t="str">
            <v>MNKD</v>
          </cell>
          <cell r="E1090" t="str">
            <v>Healthcare</v>
          </cell>
        </row>
        <row r="1091">
          <cell r="C1091" t="str">
            <v>OI</v>
          </cell>
          <cell r="E1091" t="str">
            <v>Consumer Cyclical</v>
          </cell>
        </row>
        <row r="1092">
          <cell r="C1092" t="str">
            <v>TDOC</v>
          </cell>
          <cell r="E1092" t="str">
            <v>Healthcare</v>
          </cell>
        </row>
        <row r="1093">
          <cell r="C1093" t="str">
            <v>LC</v>
          </cell>
          <cell r="E1093" t="str">
            <v>Financial</v>
          </cell>
        </row>
        <row r="1094">
          <cell r="C1094" t="str">
            <v>CLDX</v>
          </cell>
          <cell r="E1094" t="str">
            <v>Healthcare</v>
          </cell>
        </row>
        <row r="1095">
          <cell r="C1095" t="str">
            <v>RGTI</v>
          </cell>
          <cell r="E1095" t="str">
            <v>Technology</v>
          </cell>
        </row>
        <row r="1096">
          <cell r="C1096" t="str">
            <v>KLG</v>
          </cell>
          <cell r="E1096" t="str">
            <v>Consumer Defensive</v>
          </cell>
        </row>
        <row r="1097">
          <cell r="C1097" t="str">
            <v>LGF-B</v>
          </cell>
          <cell r="E1097" t="str">
            <v>Communication Services</v>
          </cell>
        </row>
        <row r="1098">
          <cell r="C1098" t="str">
            <v>PLAB</v>
          </cell>
          <cell r="E1098" t="str">
            <v>Technology</v>
          </cell>
        </row>
        <row r="1099">
          <cell r="C1099" t="str">
            <v>INSW</v>
          </cell>
          <cell r="E1099" t="str">
            <v>Energy</v>
          </cell>
        </row>
        <row r="1100">
          <cell r="C1100" t="str">
            <v>LGF-A</v>
          </cell>
          <cell r="E1100" t="str">
            <v>Communication Services</v>
          </cell>
        </row>
        <row r="1101">
          <cell r="C1101" t="str">
            <v>SONO</v>
          </cell>
          <cell r="E1101" t="str">
            <v>Technology</v>
          </cell>
        </row>
        <row r="1102">
          <cell r="C1102" t="str">
            <v>XNCR</v>
          </cell>
          <cell r="E1102" t="str">
            <v>Healthcare</v>
          </cell>
        </row>
        <row r="1103">
          <cell r="C1103" t="str">
            <v>ENVX</v>
          </cell>
          <cell r="E1103" t="str">
            <v>Industrials</v>
          </cell>
        </row>
        <row r="1104">
          <cell r="C1104" t="str">
            <v>NEXT</v>
          </cell>
          <cell r="E1104" t="str">
            <v>Energy</v>
          </cell>
        </row>
        <row r="1105">
          <cell r="C1105" t="str">
            <v>IAS</v>
          </cell>
          <cell r="E1105" t="str">
            <v>Communication Services</v>
          </cell>
        </row>
        <row r="1106">
          <cell r="C1106" t="str">
            <v>REVG</v>
          </cell>
          <cell r="E1106" t="str">
            <v>Industrials</v>
          </cell>
        </row>
        <row r="1107">
          <cell r="C1107" t="str">
            <v>KOS</v>
          </cell>
          <cell r="E1107" t="str">
            <v>Energy</v>
          </cell>
        </row>
        <row r="1108">
          <cell r="C1108" t="str">
            <v>LUNR</v>
          </cell>
          <cell r="E1108" t="str">
            <v>Industrials</v>
          </cell>
        </row>
        <row r="1109">
          <cell r="C1109" t="str">
            <v>FTRE</v>
          </cell>
          <cell r="E1109" t="str">
            <v>Healthcare</v>
          </cell>
        </row>
        <row r="1110">
          <cell r="C1110" t="str">
            <v>WTTR</v>
          </cell>
          <cell r="E1110" t="str">
            <v>Energy</v>
          </cell>
        </row>
        <row r="1111">
          <cell r="C1111" t="str">
            <v>THS</v>
          </cell>
          <cell r="E1111" t="str">
            <v>Consumer Defensive</v>
          </cell>
        </row>
        <row r="1112">
          <cell r="C1112" t="str">
            <v>TROX</v>
          </cell>
          <cell r="E1112" t="str">
            <v>Basic Materials</v>
          </cell>
        </row>
        <row r="1113">
          <cell r="C1113" t="str">
            <v>KN</v>
          </cell>
          <cell r="E1113" t="str">
            <v>Technology</v>
          </cell>
        </row>
        <row r="1114">
          <cell r="C1114" t="str">
            <v>MLKN</v>
          </cell>
          <cell r="E1114" t="str">
            <v>Consumer Cyclical</v>
          </cell>
        </row>
        <row r="1115">
          <cell r="C1115" t="str">
            <v>BOWL</v>
          </cell>
          <cell r="E1115" t="str">
            <v>Consumer Cyclical</v>
          </cell>
        </row>
        <row r="1116">
          <cell r="C1116" t="str">
            <v>DNUT</v>
          </cell>
          <cell r="E1116" t="str">
            <v>Consumer Defensive</v>
          </cell>
        </row>
        <row r="1117">
          <cell r="C1117" t="str">
            <v>ARCO</v>
          </cell>
          <cell r="E1117" t="str">
            <v>Consumer Cyclical</v>
          </cell>
        </row>
        <row r="1118">
          <cell r="C1118" t="str">
            <v>NMRA</v>
          </cell>
          <cell r="E1118" t="str">
            <v>Healthcare</v>
          </cell>
        </row>
        <row r="1119">
          <cell r="C1119" t="str">
            <v>DVAX</v>
          </cell>
          <cell r="E1119" t="str">
            <v>Healthcare</v>
          </cell>
        </row>
        <row r="1120">
          <cell r="C1120" t="str">
            <v>VITL</v>
          </cell>
          <cell r="E1120" t="str">
            <v>Consumer Defensive</v>
          </cell>
        </row>
        <row r="1121">
          <cell r="C1121" t="str">
            <v>WT</v>
          </cell>
          <cell r="E1121" t="str">
            <v>Financial</v>
          </cell>
        </row>
        <row r="1122">
          <cell r="C1122" t="str">
            <v>UNFI</v>
          </cell>
          <cell r="E1122" t="str">
            <v>Consumer Defensive</v>
          </cell>
        </row>
        <row r="1123">
          <cell r="C1123" t="str">
            <v>WKC</v>
          </cell>
          <cell r="E1123" t="str">
            <v>Energy</v>
          </cell>
        </row>
        <row r="1124">
          <cell r="C1124" t="str">
            <v>AMC</v>
          </cell>
          <cell r="E1124" t="str">
            <v>Communication Services</v>
          </cell>
        </row>
        <row r="1125">
          <cell r="C1125" t="str">
            <v>WGO</v>
          </cell>
          <cell r="E1125" t="str">
            <v>Consumer Cyclical</v>
          </cell>
        </row>
        <row r="1126">
          <cell r="C1126" t="str">
            <v>ADNT</v>
          </cell>
          <cell r="E1126" t="str">
            <v>Consumer Cyclical</v>
          </cell>
        </row>
        <row r="1127">
          <cell r="C1127" t="str">
            <v>KSS</v>
          </cell>
          <cell r="E1127" t="str">
            <v>Consumer Cyclical</v>
          </cell>
        </row>
        <row r="1128">
          <cell r="C1128" t="str">
            <v>RCUS</v>
          </cell>
          <cell r="E1128" t="str">
            <v>Healthcare</v>
          </cell>
        </row>
        <row r="1129">
          <cell r="C1129" t="str">
            <v>SSRM</v>
          </cell>
          <cell r="E1129" t="str">
            <v>Basic Materials</v>
          </cell>
        </row>
        <row r="1130">
          <cell r="C1130" t="str">
            <v>BV</v>
          </cell>
          <cell r="E1130" t="str">
            <v>Industrials</v>
          </cell>
        </row>
        <row r="1131">
          <cell r="C1131" t="str">
            <v>NAPA</v>
          </cell>
          <cell r="E1131" t="str">
            <v>Consumer Defensive</v>
          </cell>
        </row>
        <row r="1132">
          <cell r="C1132" t="str">
            <v>HOPE</v>
          </cell>
          <cell r="E1132" t="str">
            <v>Financial</v>
          </cell>
        </row>
        <row r="1133">
          <cell r="C1133" t="str">
            <v>BCRX</v>
          </cell>
          <cell r="E1133" t="str">
            <v>Healthcare</v>
          </cell>
        </row>
        <row r="1134">
          <cell r="C1134" t="str">
            <v>TVTX</v>
          </cell>
          <cell r="E1134" t="str">
            <v>Healthcare</v>
          </cell>
        </row>
        <row r="1135">
          <cell r="C1135" t="str">
            <v>ATRC</v>
          </cell>
          <cell r="E1135" t="str">
            <v>Healthcare</v>
          </cell>
        </row>
        <row r="1136">
          <cell r="C1136" t="str">
            <v>GDYN</v>
          </cell>
          <cell r="E1136" t="str">
            <v>Technology</v>
          </cell>
        </row>
        <row r="1137">
          <cell r="C1137" t="str">
            <v>VECO</v>
          </cell>
          <cell r="E1137" t="str">
            <v>Technology</v>
          </cell>
        </row>
        <row r="1138">
          <cell r="C1138" t="str">
            <v>NAVI</v>
          </cell>
          <cell r="E1138" t="str">
            <v>Financial</v>
          </cell>
        </row>
        <row r="1139">
          <cell r="C1139" t="str">
            <v>SVV</v>
          </cell>
          <cell r="E1139" t="str">
            <v>Consumer Cyclical</v>
          </cell>
        </row>
        <row r="1140">
          <cell r="C1140" t="str">
            <v>MTTR</v>
          </cell>
          <cell r="E1140" t="str">
            <v>Technology</v>
          </cell>
        </row>
        <row r="1141">
          <cell r="C1141" t="str">
            <v>SDGR</v>
          </cell>
          <cell r="E1141" t="str">
            <v>Healthcare</v>
          </cell>
        </row>
        <row r="1142">
          <cell r="C1142" t="str">
            <v>ARHS</v>
          </cell>
          <cell r="E1142" t="str">
            <v>Consumer Cyclical</v>
          </cell>
        </row>
        <row r="1143">
          <cell r="C1143" t="str">
            <v>CMPO</v>
          </cell>
          <cell r="E1143" t="str">
            <v>Industrials</v>
          </cell>
        </row>
        <row r="1144">
          <cell r="C1144" t="str">
            <v>DNOW</v>
          </cell>
          <cell r="E1144" t="str">
            <v>Industrials</v>
          </cell>
        </row>
        <row r="1145">
          <cell r="C1145" t="str">
            <v>MXL</v>
          </cell>
          <cell r="E1145" t="str">
            <v>Technology</v>
          </cell>
        </row>
        <row r="1146">
          <cell r="C1146" t="str">
            <v>LEG</v>
          </cell>
          <cell r="E1146" t="str">
            <v>Consumer Cyclical</v>
          </cell>
        </row>
        <row r="1147">
          <cell r="C1147" t="str">
            <v>CLOV</v>
          </cell>
          <cell r="E1147" t="str">
            <v>Healthcare</v>
          </cell>
        </row>
        <row r="1148">
          <cell r="C1148" t="str">
            <v>INFN</v>
          </cell>
          <cell r="E1148" t="str">
            <v>Technology</v>
          </cell>
        </row>
        <row r="1149">
          <cell r="C1149" t="str">
            <v>SABR</v>
          </cell>
          <cell r="E1149" t="str">
            <v>Technology</v>
          </cell>
        </row>
        <row r="1150">
          <cell r="C1150" t="str">
            <v>ULCC</v>
          </cell>
          <cell r="E1150" t="str">
            <v>Industrials</v>
          </cell>
        </row>
        <row r="1151">
          <cell r="C1151" t="str">
            <v>SYRE</v>
          </cell>
          <cell r="E1151" t="str">
            <v>Healthcare</v>
          </cell>
        </row>
        <row r="1152">
          <cell r="C1152" t="str">
            <v>ARVN</v>
          </cell>
          <cell r="E1152" t="str">
            <v>Healthcare</v>
          </cell>
        </row>
        <row r="1153">
          <cell r="C1153" t="str">
            <v>HLIT</v>
          </cell>
          <cell r="E1153" t="str">
            <v>Technology</v>
          </cell>
        </row>
        <row r="1154">
          <cell r="C1154" t="str">
            <v>TILE</v>
          </cell>
          <cell r="E1154" t="str">
            <v>Industrials</v>
          </cell>
        </row>
        <row r="1155">
          <cell r="C1155" t="str">
            <v>PZZA</v>
          </cell>
          <cell r="E1155" t="str">
            <v>Consumer Cyclical</v>
          </cell>
        </row>
        <row r="1156">
          <cell r="C1156" t="str">
            <v>HLX</v>
          </cell>
          <cell r="E1156" t="str">
            <v>Energy</v>
          </cell>
        </row>
        <row r="1157">
          <cell r="C1157" t="str">
            <v>ZUO</v>
          </cell>
          <cell r="E1157" t="str">
            <v>Technology</v>
          </cell>
        </row>
        <row r="1158">
          <cell r="C1158" t="str">
            <v>KW</v>
          </cell>
          <cell r="E1158" t="str">
            <v>Real Estate</v>
          </cell>
        </row>
        <row r="1159">
          <cell r="C1159" t="str">
            <v>UP</v>
          </cell>
          <cell r="E1159" t="str">
            <v>Industrials</v>
          </cell>
        </row>
        <row r="1160">
          <cell r="C1160" t="str">
            <v>PX</v>
          </cell>
          <cell r="E1160" t="str">
            <v>Financial</v>
          </cell>
        </row>
        <row r="1161">
          <cell r="C1161" t="str">
            <v>MODG</v>
          </cell>
          <cell r="E1161" t="str">
            <v>Consumer Cyclical</v>
          </cell>
        </row>
        <row r="1162">
          <cell r="C1162" t="str">
            <v>AAOI</v>
          </cell>
          <cell r="E1162" t="str">
            <v>Technology</v>
          </cell>
        </row>
        <row r="1163">
          <cell r="C1163" t="str">
            <v>ADEA</v>
          </cell>
          <cell r="E1163" t="str">
            <v>Technology</v>
          </cell>
        </row>
        <row r="1164">
          <cell r="C1164" t="str">
            <v>RXST</v>
          </cell>
          <cell r="E1164" t="str">
            <v>Healthcare</v>
          </cell>
        </row>
        <row r="1165">
          <cell r="C1165" t="str">
            <v>GSBD</v>
          </cell>
          <cell r="E1165" t="str">
            <v>Financial</v>
          </cell>
        </row>
        <row r="1166">
          <cell r="C1166" t="str">
            <v>NRIX</v>
          </cell>
          <cell r="E1166" t="str">
            <v>Healthcare</v>
          </cell>
        </row>
        <row r="1167">
          <cell r="C1167" t="str">
            <v>SCS</v>
          </cell>
          <cell r="E1167" t="str">
            <v>Consumer Cyclical</v>
          </cell>
        </row>
        <row r="1168">
          <cell r="C1168" t="str">
            <v>VRDN</v>
          </cell>
          <cell r="E1168" t="str">
            <v>Healthcare</v>
          </cell>
        </row>
        <row r="1169">
          <cell r="C1169" t="str">
            <v>OCUL</v>
          </cell>
          <cell r="E1169" t="str">
            <v>Healthcare</v>
          </cell>
        </row>
        <row r="1170">
          <cell r="C1170" t="str">
            <v>ARQT</v>
          </cell>
          <cell r="E1170" t="str">
            <v>Healthcare</v>
          </cell>
        </row>
        <row r="1171">
          <cell r="C1171" t="str">
            <v>INDV</v>
          </cell>
          <cell r="E1171" t="str">
            <v>Healthcare</v>
          </cell>
        </row>
        <row r="1172">
          <cell r="C1172" t="str">
            <v>FSLY</v>
          </cell>
          <cell r="E1172" t="str">
            <v>Technology</v>
          </cell>
        </row>
        <row r="1173">
          <cell r="C1173" t="str">
            <v>TGI</v>
          </cell>
          <cell r="E1173" t="str">
            <v>Industrials</v>
          </cell>
        </row>
        <row r="1174">
          <cell r="C1174" t="str">
            <v>LZ</v>
          </cell>
          <cell r="E1174" t="str">
            <v>Industrials</v>
          </cell>
        </row>
        <row r="1175">
          <cell r="C1175" t="str">
            <v>MRVI</v>
          </cell>
          <cell r="E1175" t="str">
            <v>Healthcare</v>
          </cell>
        </row>
        <row r="1176">
          <cell r="C1176" t="str">
            <v>RPAY</v>
          </cell>
          <cell r="E1176" t="str">
            <v>Technology</v>
          </cell>
        </row>
        <row r="1177">
          <cell r="C1177" t="str">
            <v>PBI</v>
          </cell>
          <cell r="E1177" t="str">
            <v>Industrials</v>
          </cell>
        </row>
        <row r="1178">
          <cell r="C1178" t="str">
            <v>VZIO</v>
          </cell>
          <cell r="E1178" t="str">
            <v>Technology</v>
          </cell>
        </row>
        <row r="1179">
          <cell r="C1179" t="str">
            <v>ATSG</v>
          </cell>
          <cell r="E1179" t="str">
            <v>Industrials</v>
          </cell>
        </row>
        <row r="1180">
          <cell r="C1180" t="str">
            <v>OLPX</v>
          </cell>
          <cell r="E1180" t="str">
            <v>Consumer Cyclical</v>
          </cell>
        </row>
        <row r="1181">
          <cell r="C1181" t="str">
            <v>NTLA</v>
          </cell>
          <cell r="E1181" t="str">
            <v>Healthcare</v>
          </cell>
        </row>
        <row r="1182">
          <cell r="C1182" t="str">
            <v>TBLA</v>
          </cell>
          <cell r="E1182" t="str">
            <v>Communication Services</v>
          </cell>
        </row>
        <row r="1183">
          <cell r="C1183" t="str">
            <v>AOSL</v>
          </cell>
          <cell r="E1183" t="str">
            <v>Technology</v>
          </cell>
        </row>
        <row r="1184">
          <cell r="C1184" t="str">
            <v>NVAX</v>
          </cell>
          <cell r="E1184" t="str">
            <v>Healthcare</v>
          </cell>
        </row>
        <row r="1185">
          <cell r="C1185" t="str">
            <v>XPRO</v>
          </cell>
          <cell r="E1185" t="str">
            <v>Energy</v>
          </cell>
        </row>
        <row r="1186">
          <cell r="C1186" t="str">
            <v>EVH</v>
          </cell>
          <cell r="E1186" t="str">
            <v>Healthcare</v>
          </cell>
        </row>
        <row r="1187">
          <cell r="C1187" t="str">
            <v>MDXG</v>
          </cell>
          <cell r="E1187" t="str">
            <v>Healthcare</v>
          </cell>
        </row>
        <row r="1188">
          <cell r="C1188" t="str">
            <v>ATEN</v>
          </cell>
          <cell r="E1188" t="str">
            <v>Technology</v>
          </cell>
        </row>
        <row r="1189">
          <cell r="C1189" t="str">
            <v>ATEC</v>
          </cell>
          <cell r="E1189" t="str">
            <v>Healthcare</v>
          </cell>
        </row>
        <row r="1190">
          <cell r="C1190" t="str">
            <v>LILAK</v>
          </cell>
          <cell r="E1190" t="str">
            <v>Communication Services</v>
          </cell>
        </row>
        <row r="1191">
          <cell r="C1191" t="str">
            <v>FOXF</v>
          </cell>
          <cell r="E1191" t="str">
            <v>Consumer Cyclical</v>
          </cell>
        </row>
        <row r="1192">
          <cell r="C1192" t="str">
            <v>HTZ</v>
          </cell>
          <cell r="E1192" t="str">
            <v>Industrials</v>
          </cell>
        </row>
        <row r="1193">
          <cell r="C1193" t="str">
            <v>RES</v>
          </cell>
          <cell r="E1193" t="str">
            <v>Energy</v>
          </cell>
        </row>
        <row r="1194">
          <cell r="C1194" t="str">
            <v>WOOF</v>
          </cell>
          <cell r="E1194" t="str">
            <v>Consumer Cyclical</v>
          </cell>
        </row>
        <row r="1195">
          <cell r="C1195" t="str">
            <v>SPHR</v>
          </cell>
          <cell r="E1195" t="str">
            <v>Communication Services</v>
          </cell>
        </row>
        <row r="1196">
          <cell r="C1196" t="str">
            <v>HROW</v>
          </cell>
          <cell r="E1196" t="str">
            <v>Healthcare</v>
          </cell>
        </row>
        <row r="1197">
          <cell r="C1197" t="str">
            <v>COUR</v>
          </cell>
          <cell r="E1197" t="str">
            <v>Consumer Defensive</v>
          </cell>
        </row>
        <row r="1198">
          <cell r="C1198" t="str">
            <v>BLBD</v>
          </cell>
          <cell r="E1198" t="str">
            <v>Industrials</v>
          </cell>
        </row>
        <row r="1199">
          <cell r="C1199" t="str">
            <v>DAWN</v>
          </cell>
          <cell r="E1199" t="str">
            <v>Healthcare</v>
          </cell>
        </row>
        <row r="1200">
          <cell r="C1200" t="str">
            <v>OCSL</v>
          </cell>
          <cell r="E1200" t="str">
            <v>Financial</v>
          </cell>
        </row>
        <row r="1201">
          <cell r="C1201" t="str">
            <v>BLND</v>
          </cell>
          <cell r="E1201" t="str">
            <v>Technology</v>
          </cell>
        </row>
        <row r="1202">
          <cell r="C1202" t="str">
            <v>MYGN</v>
          </cell>
          <cell r="E1202" t="str">
            <v>Healthcare</v>
          </cell>
        </row>
        <row r="1203">
          <cell r="C1203" t="str">
            <v>ARLO</v>
          </cell>
          <cell r="E1203" t="str">
            <v>Industrials</v>
          </cell>
        </row>
        <row r="1204">
          <cell r="C1204" t="str">
            <v>PGNY</v>
          </cell>
          <cell r="E1204" t="str">
            <v>Healthcare</v>
          </cell>
        </row>
        <row r="1205">
          <cell r="C1205" t="str">
            <v>AHCO</v>
          </cell>
          <cell r="E1205" t="str">
            <v>Healthcare</v>
          </cell>
        </row>
        <row r="1206">
          <cell r="C1206" t="str">
            <v>CDNA</v>
          </cell>
          <cell r="E1206" t="str">
            <v>Healthcare</v>
          </cell>
        </row>
        <row r="1207">
          <cell r="C1207" t="str">
            <v>SBH</v>
          </cell>
          <cell r="E1207" t="str">
            <v>Consumer Cyclical</v>
          </cell>
        </row>
        <row r="1208">
          <cell r="C1208" t="str">
            <v>CRCT</v>
          </cell>
          <cell r="E1208" t="str">
            <v>Technology</v>
          </cell>
        </row>
        <row r="1209">
          <cell r="C1209" t="str">
            <v>ACDC</v>
          </cell>
          <cell r="E1209" t="str">
            <v>Energy</v>
          </cell>
        </row>
        <row r="1210">
          <cell r="C1210" t="str">
            <v>NG</v>
          </cell>
          <cell r="E1210" t="str">
            <v>Basic Materials</v>
          </cell>
        </row>
        <row r="1211">
          <cell r="C1211" t="str">
            <v>NMFC</v>
          </cell>
          <cell r="E1211" t="str">
            <v>Financial</v>
          </cell>
        </row>
        <row r="1212">
          <cell r="C1212" t="str">
            <v>OLO</v>
          </cell>
          <cell r="E1212" t="str">
            <v>Technology</v>
          </cell>
        </row>
        <row r="1213">
          <cell r="C1213" t="str">
            <v>ARDX</v>
          </cell>
          <cell r="E1213" t="str">
            <v>Healthcare</v>
          </cell>
        </row>
        <row r="1214">
          <cell r="C1214" t="str">
            <v>UUUU</v>
          </cell>
          <cell r="E1214" t="str">
            <v>Energy</v>
          </cell>
        </row>
        <row r="1215">
          <cell r="C1215" t="str">
            <v>CARS</v>
          </cell>
          <cell r="E1215" t="str">
            <v>Consumer Cyclical</v>
          </cell>
        </row>
        <row r="1216">
          <cell r="C1216" t="str">
            <v>COMM</v>
          </cell>
          <cell r="E1216" t="str">
            <v>Technology</v>
          </cell>
        </row>
        <row r="1217">
          <cell r="C1217" t="str">
            <v>STAA</v>
          </cell>
          <cell r="E1217" t="str">
            <v>Healthcare</v>
          </cell>
        </row>
        <row r="1218">
          <cell r="C1218" t="str">
            <v>LEU</v>
          </cell>
          <cell r="E1218" t="str">
            <v>Energy</v>
          </cell>
        </row>
        <row r="1219">
          <cell r="C1219" t="str">
            <v>VSAT</v>
          </cell>
          <cell r="E1219" t="str">
            <v>Technology</v>
          </cell>
        </row>
        <row r="1220">
          <cell r="C1220" t="str">
            <v>CTOS</v>
          </cell>
          <cell r="E1220" t="str">
            <v>Industrials</v>
          </cell>
        </row>
        <row r="1221">
          <cell r="C1221" t="str">
            <v>UDMY</v>
          </cell>
          <cell r="E1221" t="str">
            <v>Consumer Defensive</v>
          </cell>
        </row>
        <row r="1222">
          <cell r="C1222" t="str">
            <v>MD</v>
          </cell>
          <cell r="E1222" t="str">
            <v>Healthcare</v>
          </cell>
        </row>
        <row r="1223">
          <cell r="C1223" t="str">
            <v>RCKT</v>
          </cell>
          <cell r="E1223" t="str">
            <v>Healthcare</v>
          </cell>
        </row>
        <row r="1224">
          <cell r="C1224" t="str">
            <v>SNDX</v>
          </cell>
          <cell r="E1224" t="str">
            <v>Healthcare</v>
          </cell>
        </row>
        <row r="1225">
          <cell r="C1225" t="str">
            <v>VMEO</v>
          </cell>
          <cell r="E1225" t="str">
            <v>Technology</v>
          </cell>
        </row>
        <row r="1226">
          <cell r="C1226" t="str">
            <v>VTLE</v>
          </cell>
          <cell r="E1226" t="str">
            <v>Energy</v>
          </cell>
        </row>
        <row r="1227">
          <cell r="C1227" t="str">
            <v>FWRG</v>
          </cell>
          <cell r="E1227" t="str">
            <v>Consumer Cyclical</v>
          </cell>
        </row>
        <row r="1228">
          <cell r="C1228" t="str">
            <v>QBTS</v>
          </cell>
          <cell r="E1228" t="str">
            <v>Technology</v>
          </cell>
        </row>
        <row r="1229">
          <cell r="C1229" t="str">
            <v>RDFN</v>
          </cell>
          <cell r="E1229" t="str">
            <v>Real Estate</v>
          </cell>
        </row>
        <row r="1230">
          <cell r="C1230" t="str">
            <v>SPRY</v>
          </cell>
          <cell r="E1230" t="str">
            <v>Healthcare</v>
          </cell>
        </row>
        <row r="1231">
          <cell r="C1231" t="str">
            <v>ATUS</v>
          </cell>
          <cell r="E1231" t="str">
            <v>Communication Services</v>
          </cell>
        </row>
        <row r="1232">
          <cell r="C1232" t="str">
            <v>INVA</v>
          </cell>
          <cell r="E1232" t="str">
            <v>Healthcare</v>
          </cell>
        </row>
        <row r="1233">
          <cell r="C1233" t="str">
            <v>PL</v>
          </cell>
          <cell r="E1233" t="str">
            <v>Industrials</v>
          </cell>
        </row>
        <row r="1234">
          <cell r="C1234" t="str">
            <v>EVRI</v>
          </cell>
          <cell r="E1234" t="str">
            <v>Consumer Cyclical</v>
          </cell>
        </row>
        <row r="1235">
          <cell r="C1235" t="str">
            <v>CBRL</v>
          </cell>
          <cell r="E1235" t="str">
            <v>Consumer Cyclical</v>
          </cell>
        </row>
        <row r="1236">
          <cell r="C1236" t="str">
            <v>MRC</v>
          </cell>
          <cell r="E1236" t="str">
            <v>Energy</v>
          </cell>
        </row>
        <row r="1237">
          <cell r="C1237" t="str">
            <v>DK</v>
          </cell>
          <cell r="E1237" t="str">
            <v>Energy</v>
          </cell>
        </row>
        <row r="1238">
          <cell r="C1238" t="str">
            <v>PLAY</v>
          </cell>
          <cell r="E1238" t="str">
            <v>Communication Services</v>
          </cell>
        </row>
        <row r="1239">
          <cell r="C1239" t="str">
            <v>PRO</v>
          </cell>
          <cell r="E1239" t="str">
            <v>Technology</v>
          </cell>
        </row>
        <row r="1240">
          <cell r="C1240" t="str">
            <v>AMSC</v>
          </cell>
          <cell r="E1240" t="str">
            <v>Industrials</v>
          </cell>
        </row>
        <row r="1241">
          <cell r="C1241" t="str">
            <v>BRKL</v>
          </cell>
          <cell r="E1241" t="str">
            <v>Financial</v>
          </cell>
        </row>
        <row r="1242">
          <cell r="C1242" t="str">
            <v>SSTK</v>
          </cell>
          <cell r="E1242" t="str">
            <v>Communication Services</v>
          </cell>
        </row>
        <row r="1243">
          <cell r="C1243" t="str">
            <v>WEAV</v>
          </cell>
          <cell r="E1243" t="str">
            <v>Healthcare</v>
          </cell>
        </row>
        <row r="1244">
          <cell r="C1244" t="str">
            <v>ASPN</v>
          </cell>
          <cell r="E1244" t="str">
            <v>Industrials</v>
          </cell>
        </row>
        <row r="1245">
          <cell r="C1245" t="str">
            <v>OMI</v>
          </cell>
          <cell r="E1245" t="str">
            <v>Healthcare</v>
          </cell>
        </row>
        <row r="1246">
          <cell r="C1246" t="str">
            <v>GEAR</v>
          </cell>
          <cell r="E1246" t="str">
            <v>Consumer Cyclical</v>
          </cell>
        </row>
        <row r="1247">
          <cell r="C1247" t="str">
            <v>ADV</v>
          </cell>
          <cell r="E1247" t="str">
            <v>Communication Services</v>
          </cell>
        </row>
        <row r="1248">
          <cell r="C1248" t="str">
            <v>JBI</v>
          </cell>
          <cell r="E1248" t="str">
            <v>Industrials</v>
          </cell>
        </row>
        <row r="1249">
          <cell r="C1249" t="str">
            <v>XRX</v>
          </cell>
          <cell r="E1249" t="str">
            <v>Technology</v>
          </cell>
        </row>
        <row r="1250">
          <cell r="C1250" t="str">
            <v>PENG</v>
          </cell>
          <cell r="E1250" t="str">
            <v>Technology</v>
          </cell>
        </row>
        <row r="1251">
          <cell r="C1251" t="str">
            <v>INOD</v>
          </cell>
          <cell r="E1251" t="str">
            <v>Technology</v>
          </cell>
        </row>
        <row r="1252">
          <cell r="C1252" t="str">
            <v>OPK</v>
          </cell>
          <cell r="E1252" t="str">
            <v>Healthcare</v>
          </cell>
        </row>
        <row r="1253">
          <cell r="C1253" t="str">
            <v>BKD</v>
          </cell>
          <cell r="E1253" t="str">
            <v>Healthcare</v>
          </cell>
        </row>
        <row r="1254">
          <cell r="C1254" t="str">
            <v>BLMN</v>
          </cell>
          <cell r="E1254" t="str">
            <v>Consumer Cyclical</v>
          </cell>
        </row>
        <row r="1255">
          <cell r="C1255" t="str">
            <v>VIR</v>
          </cell>
          <cell r="E1255" t="str">
            <v>Healthcare</v>
          </cell>
        </row>
        <row r="1256">
          <cell r="C1256" t="str">
            <v>FIGS</v>
          </cell>
          <cell r="E1256" t="str">
            <v>Consumer Cyclical</v>
          </cell>
        </row>
        <row r="1257">
          <cell r="C1257" t="str">
            <v>WOLF</v>
          </cell>
          <cell r="E1257" t="str">
            <v>Technology</v>
          </cell>
        </row>
        <row r="1258">
          <cell r="C1258" t="str">
            <v>LPG</v>
          </cell>
          <cell r="E1258" t="str">
            <v>Energy</v>
          </cell>
        </row>
        <row r="1259">
          <cell r="C1259" t="str">
            <v>ETWO</v>
          </cell>
          <cell r="E1259" t="str">
            <v>Technology</v>
          </cell>
        </row>
        <row r="1260">
          <cell r="C1260" t="str">
            <v>KIND</v>
          </cell>
          <cell r="E1260" t="str">
            <v>Communication Services</v>
          </cell>
        </row>
        <row r="1261">
          <cell r="C1261" t="str">
            <v>SXC</v>
          </cell>
          <cell r="E1261" t="str">
            <v>Basic Materials</v>
          </cell>
        </row>
        <row r="1262">
          <cell r="C1262" t="str">
            <v>AMN</v>
          </cell>
          <cell r="E1262" t="str">
            <v>Healthcare</v>
          </cell>
        </row>
        <row r="1263">
          <cell r="C1263" t="str">
            <v>IE</v>
          </cell>
          <cell r="E1263" t="str">
            <v>Basic Materials</v>
          </cell>
        </row>
        <row r="1264">
          <cell r="C1264" t="str">
            <v>COGT</v>
          </cell>
          <cell r="E1264" t="str">
            <v>Healthcare</v>
          </cell>
        </row>
        <row r="1265">
          <cell r="C1265" t="str">
            <v>REAL</v>
          </cell>
          <cell r="E1265" t="str">
            <v>Consumer Cyclical</v>
          </cell>
        </row>
        <row r="1266">
          <cell r="C1266" t="str">
            <v>NRDS</v>
          </cell>
          <cell r="E1266" t="str">
            <v>Communication Services</v>
          </cell>
        </row>
        <row r="1267">
          <cell r="C1267" t="str">
            <v>PUMP</v>
          </cell>
          <cell r="E1267" t="str">
            <v>Energy</v>
          </cell>
        </row>
        <row r="1268">
          <cell r="C1268" t="str">
            <v>GOGO</v>
          </cell>
          <cell r="E1268" t="str">
            <v>Communication Services</v>
          </cell>
        </row>
        <row r="1269">
          <cell r="C1269" t="str">
            <v>ACMR</v>
          </cell>
          <cell r="E1269" t="str">
            <v>Technology</v>
          </cell>
        </row>
        <row r="1270">
          <cell r="C1270" t="str">
            <v>FWRD</v>
          </cell>
          <cell r="E1270" t="str">
            <v>Industrials</v>
          </cell>
        </row>
        <row r="1271">
          <cell r="C1271" t="str">
            <v>SWIM</v>
          </cell>
          <cell r="E1271" t="str">
            <v>Industrials</v>
          </cell>
        </row>
        <row r="1272">
          <cell r="C1272" t="str">
            <v>FIP</v>
          </cell>
          <cell r="E1272" t="str">
            <v>Industrials</v>
          </cell>
        </row>
        <row r="1273">
          <cell r="C1273" t="str">
            <v>REPL</v>
          </cell>
          <cell r="E1273" t="str">
            <v>Healthcare</v>
          </cell>
        </row>
        <row r="1274">
          <cell r="C1274" t="str">
            <v>ETNB</v>
          </cell>
          <cell r="E1274" t="str">
            <v>Healthcare</v>
          </cell>
        </row>
        <row r="1275">
          <cell r="C1275" t="str">
            <v>ADPT</v>
          </cell>
          <cell r="E1275" t="str">
            <v>Healthcare</v>
          </cell>
        </row>
        <row r="1276">
          <cell r="C1276" t="str">
            <v>PCRX</v>
          </cell>
          <cell r="E1276" t="str">
            <v>Healthcare</v>
          </cell>
        </row>
        <row r="1277">
          <cell r="C1277" t="str">
            <v>EYE</v>
          </cell>
          <cell r="E1277" t="str">
            <v>Consumer Cyclical</v>
          </cell>
        </row>
        <row r="1278">
          <cell r="C1278" t="str">
            <v>PARR</v>
          </cell>
          <cell r="E1278" t="str">
            <v>Energy</v>
          </cell>
        </row>
        <row r="1279">
          <cell r="C1279" t="str">
            <v>STKL</v>
          </cell>
          <cell r="E1279" t="str">
            <v>Consumer Defensive</v>
          </cell>
        </row>
        <row r="1280">
          <cell r="C1280" t="str">
            <v>PSTX</v>
          </cell>
          <cell r="E1280" t="str">
            <v>Healthcare</v>
          </cell>
        </row>
        <row r="1281">
          <cell r="C1281" t="str">
            <v>LQDA</v>
          </cell>
          <cell r="E1281" t="str">
            <v>Healthcare</v>
          </cell>
        </row>
        <row r="1282">
          <cell r="C1282" t="str">
            <v>ANGI</v>
          </cell>
          <cell r="E1282" t="str">
            <v>Communication Services</v>
          </cell>
        </row>
        <row r="1283">
          <cell r="C1283" t="str">
            <v>BMBL</v>
          </cell>
          <cell r="E1283" t="str">
            <v>Technology</v>
          </cell>
        </row>
        <row r="1284">
          <cell r="C1284" t="str">
            <v>CAL</v>
          </cell>
          <cell r="E1284" t="str">
            <v>Consumer Cyclical</v>
          </cell>
        </row>
        <row r="1285">
          <cell r="C1285" t="str">
            <v>PFLT</v>
          </cell>
          <cell r="E1285" t="str">
            <v>Financial</v>
          </cell>
        </row>
        <row r="1286">
          <cell r="C1286" t="str">
            <v>JACK</v>
          </cell>
          <cell r="E1286" t="str">
            <v>Consumer Cyclical</v>
          </cell>
        </row>
        <row r="1287">
          <cell r="C1287" t="str">
            <v>INDI</v>
          </cell>
          <cell r="E1287" t="str">
            <v>Technology</v>
          </cell>
        </row>
        <row r="1288">
          <cell r="C1288" t="str">
            <v>ZYME</v>
          </cell>
          <cell r="E1288" t="str">
            <v>Healthcare</v>
          </cell>
        </row>
        <row r="1289">
          <cell r="C1289" t="str">
            <v>AIOT</v>
          </cell>
          <cell r="E1289" t="str">
            <v>Technology</v>
          </cell>
        </row>
        <row r="1290">
          <cell r="C1290" t="str">
            <v>NUVB</v>
          </cell>
          <cell r="E1290" t="str">
            <v>Healthcare</v>
          </cell>
        </row>
        <row r="1291">
          <cell r="C1291" t="str">
            <v>ECVT</v>
          </cell>
          <cell r="E1291" t="str">
            <v>Basic Materials</v>
          </cell>
        </row>
        <row r="1292">
          <cell r="C1292" t="str">
            <v>PPTA</v>
          </cell>
          <cell r="E1292" t="str">
            <v>Basic Materials</v>
          </cell>
        </row>
        <row r="1293">
          <cell r="C1293" t="str">
            <v>YEXT</v>
          </cell>
          <cell r="E1293" t="str">
            <v>Technology</v>
          </cell>
        </row>
        <row r="1294">
          <cell r="C1294" t="str">
            <v>JELD</v>
          </cell>
          <cell r="E1294" t="str">
            <v>Industrials</v>
          </cell>
        </row>
        <row r="1295">
          <cell r="C1295" t="str">
            <v>DAKT</v>
          </cell>
          <cell r="E1295" t="str">
            <v>Technology</v>
          </cell>
        </row>
        <row r="1296">
          <cell r="C1296" t="str">
            <v>IMNM</v>
          </cell>
          <cell r="E1296" t="str">
            <v>Healthcare</v>
          </cell>
        </row>
        <row r="1297">
          <cell r="C1297" t="str">
            <v>GCT</v>
          </cell>
          <cell r="E1297" t="str">
            <v>Technology</v>
          </cell>
        </row>
        <row r="1298">
          <cell r="C1298" t="str">
            <v>FNA</v>
          </cell>
          <cell r="E1298" t="str">
            <v>Healthcare</v>
          </cell>
        </row>
        <row r="1299">
          <cell r="C1299" t="str">
            <v>WNC</v>
          </cell>
          <cell r="E1299" t="str">
            <v>Industrials</v>
          </cell>
        </row>
        <row r="1300">
          <cell r="C1300" t="str">
            <v>CFFN</v>
          </cell>
          <cell r="E1300" t="str">
            <v>Financial</v>
          </cell>
        </row>
        <row r="1301">
          <cell r="C1301" t="str">
            <v>ARRY</v>
          </cell>
          <cell r="E1301" t="str">
            <v>Technology</v>
          </cell>
        </row>
        <row r="1302">
          <cell r="C1302" t="str">
            <v>ODP</v>
          </cell>
          <cell r="E1302" t="str">
            <v>Consumer Cyclical</v>
          </cell>
        </row>
        <row r="1303">
          <cell r="C1303" t="str">
            <v>CTKB</v>
          </cell>
          <cell r="E1303" t="str">
            <v>Healthcare</v>
          </cell>
        </row>
        <row r="1304">
          <cell r="C1304" t="str">
            <v>TRIN</v>
          </cell>
          <cell r="E1304" t="str">
            <v>Financial</v>
          </cell>
        </row>
        <row r="1305">
          <cell r="C1305" t="str">
            <v>SFIX</v>
          </cell>
          <cell r="E1305" t="str">
            <v>Consumer Cyclical</v>
          </cell>
        </row>
        <row r="1306">
          <cell r="C1306" t="str">
            <v>SNCY</v>
          </cell>
          <cell r="E1306" t="str">
            <v>Industrials</v>
          </cell>
        </row>
        <row r="1307">
          <cell r="C1307" t="str">
            <v>RLAY</v>
          </cell>
          <cell r="E1307" t="str">
            <v>Healthcare</v>
          </cell>
        </row>
        <row r="1308">
          <cell r="C1308" t="str">
            <v>MNRO</v>
          </cell>
          <cell r="E1308" t="str">
            <v>Consumer Cyclical</v>
          </cell>
        </row>
        <row r="1309">
          <cell r="C1309" t="str">
            <v>AGL</v>
          </cell>
          <cell r="E1309" t="str">
            <v>Healthcare</v>
          </cell>
        </row>
        <row r="1310">
          <cell r="C1310" t="str">
            <v>AXL</v>
          </cell>
          <cell r="E1310" t="str">
            <v>Consumer Cyclical</v>
          </cell>
        </row>
        <row r="1311">
          <cell r="C1311" t="str">
            <v>TCPC</v>
          </cell>
          <cell r="E1311" t="str">
            <v>Financial</v>
          </cell>
        </row>
        <row r="1312">
          <cell r="C1312" t="str">
            <v>GCI</v>
          </cell>
          <cell r="E1312" t="str">
            <v>Communication Services</v>
          </cell>
        </row>
        <row r="1313">
          <cell r="C1313" t="str">
            <v>CRSR</v>
          </cell>
          <cell r="E1313" t="str">
            <v>Technology</v>
          </cell>
        </row>
        <row r="1314">
          <cell r="C1314" t="str">
            <v>NNE</v>
          </cell>
          <cell r="E1314" t="str">
            <v>Industrials</v>
          </cell>
        </row>
        <row r="1315">
          <cell r="C1315" t="str">
            <v>KURA</v>
          </cell>
          <cell r="E1315" t="str">
            <v>Healthcare</v>
          </cell>
        </row>
        <row r="1316">
          <cell r="C1316" t="str">
            <v>ERAS</v>
          </cell>
          <cell r="E1316" t="str">
            <v>Healthcare</v>
          </cell>
        </row>
        <row r="1317">
          <cell r="C1317" t="str">
            <v>CDMO</v>
          </cell>
          <cell r="E1317" t="str">
            <v>Healthcare</v>
          </cell>
        </row>
        <row r="1318">
          <cell r="C1318" t="str">
            <v>RDW</v>
          </cell>
          <cell r="E1318" t="str">
            <v>Industrials</v>
          </cell>
        </row>
        <row r="1319">
          <cell r="C1319" t="str">
            <v>HLF</v>
          </cell>
          <cell r="E1319" t="str">
            <v>Consumer Defensive</v>
          </cell>
        </row>
        <row r="1320">
          <cell r="C1320" t="str">
            <v>BFLY</v>
          </cell>
          <cell r="E1320" t="str">
            <v>Healthcare</v>
          </cell>
        </row>
        <row r="1321">
          <cell r="C1321" t="str">
            <v>EOLS</v>
          </cell>
          <cell r="E1321" t="str">
            <v>Healthcare</v>
          </cell>
        </row>
        <row r="1322">
          <cell r="C1322" t="str">
            <v>NVTS</v>
          </cell>
          <cell r="E1322" t="str">
            <v>Technology</v>
          </cell>
        </row>
        <row r="1323">
          <cell r="C1323" t="str">
            <v>SHLS</v>
          </cell>
          <cell r="E1323" t="str">
            <v>Technology</v>
          </cell>
        </row>
        <row r="1324">
          <cell r="C1324" t="str">
            <v>QUBT</v>
          </cell>
          <cell r="E1324" t="str">
            <v>Technology</v>
          </cell>
        </row>
        <row r="1325">
          <cell r="C1325" t="str">
            <v>CCO</v>
          </cell>
          <cell r="E1325" t="str">
            <v>Communication Services</v>
          </cell>
        </row>
        <row r="1326">
          <cell r="C1326" t="str">
            <v>PTLO</v>
          </cell>
          <cell r="E1326" t="str">
            <v>Consumer Cyclical</v>
          </cell>
        </row>
        <row r="1327">
          <cell r="C1327" t="str">
            <v>MAX</v>
          </cell>
          <cell r="E1327" t="str">
            <v>Communication Services</v>
          </cell>
        </row>
        <row r="1328">
          <cell r="C1328" t="str">
            <v>BBAI</v>
          </cell>
          <cell r="E1328" t="str">
            <v>Technology</v>
          </cell>
        </row>
        <row r="1329">
          <cell r="C1329" t="str">
            <v>SEAT</v>
          </cell>
          <cell r="E1329" t="str">
            <v>Communication Services</v>
          </cell>
        </row>
        <row r="1330">
          <cell r="C1330" t="str">
            <v>CGEM</v>
          </cell>
          <cell r="E1330" t="str">
            <v>Healthcare</v>
          </cell>
        </row>
        <row r="1331">
          <cell r="C1331" t="str">
            <v>SSYS</v>
          </cell>
          <cell r="E1331" t="str">
            <v>Technology</v>
          </cell>
        </row>
        <row r="1332">
          <cell r="C1332" t="str">
            <v>LAB</v>
          </cell>
          <cell r="E1332" t="str">
            <v>Healthcare</v>
          </cell>
        </row>
        <row r="1333">
          <cell r="C1333" t="str">
            <v>PGY</v>
          </cell>
          <cell r="E1333" t="str">
            <v>Technology</v>
          </cell>
        </row>
        <row r="1334">
          <cell r="C1334" t="str">
            <v>HNST</v>
          </cell>
          <cell r="E1334" t="str">
            <v>Consumer Defensive</v>
          </cell>
        </row>
        <row r="1335">
          <cell r="C1335" t="str">
            <v>OSPN</v>
          </cell>
          <cell r="E1335" t="str">
            <v>Technology</v>
          </cell>
        </row>
        <row r="1336">
          <cell r="C1336" t="str">
            <v>HAIN</v>
          </cell>
          <cell r="E1336" t="str">
            <v>Consumer Defensive</v>
          </cell>
        </row>
        <row r="1337">
          <cell r="C1337" t="str">
            <v>NCMI</v>
          </cell>
          <cell r="E1337" t="str">
            <v>Communication Services</v>
          </cell>
        </row>
        <row r="1338">
          <cell r="C1338" t="str">
            <v>GPRE</v>
          </cell>
          <cell r="E1338" t="str">
            <v>Basic Materials</v>
          </cell>
        </row>
        <row r="1339">
          <cell r="C1339" t="str">
            <v>EOSE</v>
          </cell>
          <cell r="E1339" t="str">
            <v>Industrials</v>
          </cell>
        </row>
        <row r="1340">
          <cell r="C1340" t="str">
            <v>NR</v>
          </cell>
          <cell r="E1340" t="str">
            <v>Energy</v>
          </cell>
        </row>
        <row r="1341">
          <cell r="C1341" t="str">
            <v>CNDT</v>
          </cell>
          <cell r="E1341" t="str">
            <v>Technology</v>
          </cell>
        </row>
        <row r="1342">
          <cell r="C1342" t="str">
            <v>MAGN</v>
          </cell>
          <cell r="E1342" t="str">
            <v>Basic Materials</v>
          </cell>
        </row>
        <row r="1343">
          <cell r="C1343" t="str">
            <v>LDI</v>
          </cell>
          <cell r="E1343" t="str">
            <v>Financial</v>
          </cell>
        </row>
        <row r="1344">
          <cell r="C1344" t="str">
            <v>AVXL</v>
          </cell>
          <cell r="E1344" t="str">
            <v>Healthcare</v>
          </cell>
        </row>
        <row r="1345">
          <cell r="C1345" t="str">
            <v>ABUS</v>
          </cell>
          <cell r="E1345" t="str">
            <v>Healthcare</v>
          </cell>
        </row>
        <row r="1346">
          <cell r="C1346" t="str">
            <v>ADTN</v>
          </cell>
          <cell r="E1346" t="str">
            <v>Technology</v>
          </cell>
        </row>
        <row r="1347">
          <cell r="C1347" t="str">
            <v>STOK</v>
          </cell>
          <cell r="E1347" t="str">
            <v>Healthcare</v>
          </cell>
        </row>
        <row r="1348">
          <cell r="C1348" t="str">
            <v>GRAL</v>
          </cell>
          <cell r="E1348" t="str">
            <v>Healthcare</v>
          </cell>
        </row>
        <row r="1349">
          <cell r="C1349" t="str">
            <v>BTBT</v>
          </cell>
          <cell r="E1349" t="str">
            <v>Financial</v>
          </cell>
        </row>
        <row r="1350">
          <cell r="C1350" t="str">
            <v>BRCC</v>
          </cell>
          <cell r="E1350" t="str">
            <v>Consumer Defensive</v>
          </cell>
        </row>
        <row r="1351">
          <cell r="C1351" t="str">
            <v>EVER</v>
          </cell>
          <cell r="E1351" t="str">
            <v>Communication Services</v>
          </cell>
        </row>
        <row r="1352">
          <cell r="C1352" t="str">
            <v>CAPR</v>
          </cell>
          <cell r="E1352" t="str">
            <v>Healthcare</v>
          </cell>
        </row>
        <row r="1353">
          <cell r="C1353" t="str">
            <v>FNKO</v>
          </cell>
          <cell r="E1353" t="str">
            <v>Consumer Cyclical</v>
          </cell>
        </row>
        <row r="1354">
          <cell r="C1354" t="str">
            <v>VREX</v>
          </cell>
          <cell r="E1354" t="str">
            <v>Healthcare</v>
          </cell>
        </row>
        <row r="1355">
          <cell r="C1355" t="str">
            <v>FFWM</v>
          </cell>
          <cell r="E1355" t="str">
            <v>Financial</v>
          </cell>
        </row>
        <row r="1356">
          <cell r="C1356" t="str">
            <v>EVLV</v>
          </cell>
          <cell r="E1356" t="str">
            <v>Industrials</v>
          </cell>
        </row>
        <row r="1357">
          <cell r="C1357" t="str">
            <v>EU</v>
          </cell>
          <cell r="E1357" t="str">
            <v>Energy</v>
          </cell>
        </row>
        <row r="1358">
          <cell r="C1358" t="str">
            <v>AMBC</v>
          </cell>
          <cell r="E1358" t="str">
            <v>Financial</v>
          </cell>
        </row>
        <row r="1359">
          <cell r="C1359" t="str">
            <v>CLNE</v>
          </cell>
          <cell r="E1359" t="str">
            <v>Energy</v>
          </cell>
        </row>
        <row r="1360">
          <cell r="C1360" t="str">
            <v>PACB</v>
          </cell>
          <cell r="E1360" t="str">
            <v>Healthcare</v>
          </cell>
        </row>
        <row r="1361">
          <cell r="C1361" t="str">
            <v>ALT</v>
          </cell>
          <cell r="E1361" t="str">
            <v>Healthcare</v>
          </cell>
        </row>
        <row r="1362">
          <cell r="C1362" t="str">
            <v>DNA</v>
          </cell>
          <cell r="E1362" t="str">
            <v>Healthcare</v>
          </cell>
        </row>
        <row r="1363">
          <cell r="C1363" t="str">
            <v>BGS</v>
          </cell>
          <cell r="E1363" t="str">
            <v>Consumer Defensive</v>
          </cell>
        </row>
        <row r="1364">
          <cell r="C1364" t="str">
            <v>METC</v>
          </cell>
          <cell r="E1364" t="str">
            <v>Basic Materials</v>
          </cell>
        </row>
        <row r="1365">
          <cell r="C1365" t="str">
            <v>BIGC</v>
          </cell>
          <cell r="E1365" t="str">
            <v>Technology</v>
          </cell>
        </row>
        <row r="1366">
          <cell r="C1366" t="str">
            <v>SVRA</v>
          </cell>
          <cell r="E1366" t="str">
            <v>Healthcare</v>
          </cell>
        </row>
        <row r="1367">
          <cell r="C1367" t="str">
            <v>PROK</v>
          </cell>
          <cell r="E1367" t="str">
            <v>Healthcare</v>
          </cell>
        </row>
        <row r="1368">
          <cell r="C1368" t="str">
            <v>IRWD</v>
          </cell>
          <cell r="E1368" t="str">
            <v>Healthcare</v>
          </cell>
        </row>
        <row r="1369">
          <cell r="C1369" t="str">
            <v>CCRN</v>
          </cell>
          <cell r="E1369" t="str">
            <v>Healthcare</v>
          </cell>
        </row>
        <row r="1370">
          <cell r="C1370" t="str">
            <v>RXT</v>
          </cell>
          <cell r="E1370" t="str">
            <v>Technology</v>
          </cell>
        </row>
        <row r="1371">
          <cell r="C1371" t="str">
            <v>TALK</v>
          </cell>
          <cell r="E1371" t="str">
            <v>Healthcare</v>
          </cell>
        </row>
        <row r="1372">
          <cell r="C1372" t="str">
            <v>CRMD</v>
          </cell>
          <cell r="E1372" t="str">
            <v>Healthcare</v>
          </cell>
        </row>
        <row r="1373">
          <cell r="C1373" t="str">
            <v>PHAT</v>
          </cell>
          <cell r="E1373" t="str">
            <v>Healthcare</v>
          </cell>
        </row>
        <row r="1374">
          <cell r="C1374" t="str">
            <v>TERN</v>
          </cell>
          <cell r="E1374" t="str">
            <v>Healthcare</v>
          </cell>
        </row>
        <row r="1375">
          <cell r="C1375" t="str">
            <v>CMP</v>
          </cell>
          <cell r="E1375" t="str">
            <v>Basic Materials</v>
          </cell>
        </row>
        <row r="1376">
          <cell r="C1376" t="str">
            <v>EYPT</v>
          </cell>
          <cell r="E1376" t="str">
            <v>Healthcare</v>
          </cell>
        </row>
        <row r="1377">
          <cell r="C1377" t="str">
            <v>ACCO</v>
          </cell>
          <cell r="E1377" t="str">
            <v>Industrials</v>
          </cell>
        </row>
        <row r="1378">
          <cell r="C1378" t="str">
            <v>FUBO</v>
          </cell>
          <cell r="E1378" t="str">
            <v>Communication Services</v>
          </cell>
        </row>
        <row r="1379">
          <cell r="C1379" t="str">
            <v>RCAT</v>
          </cell>
          <cell r="E1379" t="str">
            <v>Technology</v>
          </cell>
        </row>
        <row r="1380">
          <cell r="C1380" t="str">
            <v>HUMA</v>
          </cell>
          <cell r="E1380" t="str">
            <v>Healthcare</v>
          </cell>
        </row>
        <row r="1381">
          <cell r="C1381" t="str">
            <v>SERV</v>
          </cell>
          <cell r="E1381" t="str">
            <v>Industrials</v>
          </cell>
        </row>
        <row r="1382">
          <cell r="C1382" t="str">
            <v>BYRN</v>
          </cell>
          <cell r="E1382" t="str">
            <v>Industrials</v>
          </cell>
        </row>
        <row r="1383">
          <cell r="C1383" t="str">
            <v>KODK</v>
          </cell>
          <cell r="E1383" t="str">
            <v>Industrials</v>
          </cell>
        </row>
        <row r="1384">
          <cell r="C1384" t="str">
            <v>HNRG</v>
          </cell>
          <cell r="E1384" t="str">
            <v>Energy</v>
          </cell>
        </row>
        <row r="1385">
          <cell r="C1385" t="str">
            <v>MNMD</v>
          </cell>
          <cell r="E1385" t="str">
            <v>Healthcare</v>
          </cell>
        </row>
        <row r="1386">
          <cell r="C1386" t="str">
            <v>RYAM</v>
          </cell>
          <cell r="E1386" t="str">
            <v>Basic Materials</v>
          </cell>
        </row>
        <row r="1387">
          <cell r="C1387" t="str">
            <v>MEG</v>
          </cell>
          <cell r="E1387" t="str">
            <v>Industrials</v>
          </cell>
        </row>
        <row r="1388">
          <cell r="C1388" t="str">
            <v>VERV</v>
          </cell>
          <cell r="E1388" t="str">
            <v>Healthcare</v>
          </cell>
        </row>
        <row r="1389">
          <cell r="C1389" t="str">
            <v>NOVA</v>
          </cell>
          <cell r="E1389" t="str">
            <v>Technology</v>
          </cell>
        </row>
        <row r="1390">
          <cell r="C1390" t="str">
            <v>PRCH</v>
          </cell>
          <cell r="E1390" t="str">
            <v>Technology</v>
          </cell>
        </row>
        <row r="1391">
          <cell r="C1391" t="str">
            <v>ESPR</v>
          </cell>
          <cell r="E1391" t="str">
            <v>Healthcare</v>
          </cell>
        </row>
        <row r="1392">
          <cell r="C1392" t="str">
            <v>HYLN</v>
          </cell>
          <cell r="E1392" t="str">
            <v>Consumer Cyclical</v>
          </cell>
        </row>
        <row r="1393">
          <cell r="C1393" t="str">
            <v>XERS</v>
          </cell>
          <cell r="E1393" t="str">
            <v>Healthcare</v>
          </cell>
        </row>
        <row r="1394">
          <cell r="C1394" t="str">
            <v>GLUE</v>
          </cell>
          <cell r="E1394" t="str">
            <v>Healthcare</v>
          </cell>
        </row>
        <row r="1395">
          <cell r="C1395" t="str">
            <v>SANA</v>
          </cell>
          <cell r="E1395" t="str">
            <v>Healthcare</v>
          </cell>
        </row>
        <row r="1396">
          <cell r="C1396" t="str">
            <v>OMER</v>
          </cell>
          <cell r="E1396" t="str">
            <v>Healthcare</v>
          </cell>
        </row>
        <row r="1397">
          <cell r="C1397" t="str">
            <v>CRVS</v>
          </cell>
          <cell r="E1397" t="str">
            <v>Healthcare</v>
          </cell>
        </row>
        <row r="1398">
          <cell r="C1398" t="str">
            <v>ANNX</v>
          </cell>
          <cell r="E1398" t="str">
            <v>Healthcare</v>
          </cell>
        </row>
        <row r="1399">
          <cell r="C1399" t="str">
            <v>EGY</v>
          </cell>
          <cell r="E1399" t="str">
            <v>Energy</v>
          </cell>
        </row>
        <row r="1400">
          <cell r="C1400" t="str">
            <v>TTI</v>
          </cell>
          <cell r="E1400" t="str">
            <v>Energy</v>
          </cell>
        </row>
        <row r="1401">
          <cell r="C1401" t="str">
            <v>HCAT</v>
          </cell>
          <cell r="E1401" t="str">
            <v>Healthcare</v>
          </cell>
        </row>
        <row r="1402">
          <cell r="C1402" t="str">
            <v>CYH</v>
          </cell>
          <cell r="E1402" t="str">
            <v>Healthcare</v>
          </cell>
        </row>
        <row r="1403">
          <cell r="C1403" t="str">
            <v>TWI</v>
          </cell>
          <cell r="E1403" t="str">
            <v>Industrials</v>
          </cell>
        </row>
        <row r="1404">
          <cell r="C1404" t="str">
            <v>ABSI</v>
          </cell>
          <cell r="E1404" t="str">
            <v>Healthcare</v>
          </cell>
        </row>
        <row r="1405">
          <cell r="C1405" t="str">
            <v>SLQT</v>
          </cell>
          <cell r="E1405" t="str">
            <v>Financial</v>
          </cell>
        </row>
        <row r="1406">
          <cell r="C1406" t="str">
            <v>TSHA</v>
          </cell>
          <cell r="E1406" t="str">
            <v>Healthcare</v>
          </cell>
        </row>
        <row r="1407">
          <cell r="C1407" t="str">
            <v>GRPN</v>
          </cell>
          <cell r="E1407" t="str">
            <v>Communication Services</v>
          </cell>
        </row>
        <row r="1408">
          <cell r="C1408" t="str">
            <v>EAF</v>
          </cell>
          <cell r="E1408" t="str">
            <v>Industrials</v>
          </cell>
        </row>
        <row r="1409">
          <cell r="C1409" t="str">
            <v>CDXC</v>
          </cell>
          <cell r="E1409" t="str">
            <v>Consumer Defensive</v>
          </cell>
        </row>
        <row r="1410">
          <cell r="C1410" t="str">
            <v>UIS</v>
          </cell>
          <cell r="E1410" t="str">
            <v>Technology</v>
          </cell>
        </row>
        <row r="1411">
          <cell r="C1411" t="str">
            <v>SWBI</v>
          </cell>
          <cell r="E1411" t="str">
            <v>Industrials</v>
          </cell>
        </row>
        <row r="1412">
          <cell r="C1412" t="str">
            <v>TMCI</v>
          </cell>
          <cell r="E1412" t="str">
            <v>Healthcare</v>
          </cell>
        </row>
        <row r="1413">
          <cell r="C1413" t="str">
            <v>DIN</v>
          </cell>
          <cell r="E1413" t="str">
            <v>Consumer Cyclical</v>
          </cell>
        </row>
        <row r="1414">
          <cell r="C1414" t="str">
            <v>ORGO</v>
          </cell>
          <cell r="E1414" t="str">
            <v>Healthcare</v>
          </cell>
        </row>
        <row r="1415">
          <cell r="C1415" t="str">
            <v>URGN</v>
          </cell>
          <cell r="E1415" t="str">
            <v>Healthcare</v>
          </cell>
        </row>
        <row r="1416">
          <cell r="C1416" t="str">
            <v>OLMA</v>
          </cell>
          <cell r="E1416" t="str">
            <v>Healthcare</v>
          </cell>
        </row>
        <row r="1417">
          <cell r="C1417" t="str">
            <v>OUST</v>
          </cell>
          <cell r="E1417" t="str">
            <v>Technology</v>
          </cell>
        </row>
        <row r="1418">
          <cell r="C1418" t="str">
            <v>CDXS</v>
          </cell>
          <cell r="E1418" t="str">
            <v>Healthcare</v>
          </cell>
        </row>
        <row r="1419">
          <cell r="C1419" t="str">
            <v>ZVRA</v>
          </cell>
          <cell r="E1419" t="str">
            <v>Healthcare</v>
          </cell>
        </row>
        <row r="1420">
          <cell r="C1420" t="str">
            <v>MXCT</v>
          </cell>
          <cell r="E1420" t="str">
            <v>Healthcare</v>
          </cell>
        </row>
        <row r="1421">
          <cell r="C1421" t="str">
            <v>EBS</v>
          </cell>
          <cell r="E1421" t="str">
            <v>Healthcare</v>
          </cell>
        </row>
        <row r="1422">
          <cell r="C1422" t="str">
            <v>RGNX</v>
          </cell>
          <cell r="E1422" t="str">
            <v>Healthcare</v>
          </cell>
        </row>
        <row r="1423">
          <cell r="C1423" t="str">
            <v>DDD</v>
          </cell>
          <cell r="E1423" t="str">
            <v>Technology</v>
          </cell>
        </row>
        <row r="1424">
          <cell r="C1424" t="str">
            <v>URG</v>
          </cell>
          <cell r="E1424" t="str">
            <v>Energy</v>
          </cell>
        </row>
        <row r="1425">
          <cell r="C1425" t="str">
            <v>LESL</v>
          </cell>
          <cell r="E1425" t="str">
            <v>Consumer Cyclical</v>
          </cell>
        </row>
        <row r="1426">
          <cell r="C1426" t="str">
            <v>CTV</v>
          </cell>
          <cell r="E1426" t="str">
            <v>Communication Services</v>
          </cell>
        </row>
        <row r="1427">
          <cell r="C1427" t="str">
            <v>MEI</v>
          </cell>
          <cell r="E1427" t="str">
            <v>Technology</v>
          </cell>
        </row>
        <row r="1428">
          <cell r="C1428" t="str">
            <v>ILLR</v>
          </cell>
          <cell r="E1428" t="str">
            <v>Technology</v>
          </cell>
        </row>
        <row r="1429">
          <cell r="C1429" t="str">
            <v>XPER</v>
          </cell>
          <cell r="E1429" t="str">
            <v>Technology</v>
          </cell>
        </row>
        <row r="1430">
          <cell r="C1430" t="str">
            <v>SIGA</v>
          </cell>
          <cell r="E1430" t="str">
            <v>Healthcare</v>
          </cell>
        </row>
        <row r="1431">
          <cell r="C1431" t="str">
            <v>ALLO</v>
          </cell>
          <cell r="E1431" t="str">
            <v>Healthcare</v>
          </cell>
        </row>
        <row r="1432">
          <cell r="C1432" t="str">
            <v>CURV</v>
          </cell>
          <cell r="E1432" t="str">
            <v>Consumer Cyclical</v>
          </cell>
        </row>
        <row r="1433">
          <cell r="C1433" t="str">
            <v>EHAB</v>
          </cell>
          <cell r="E1433" t="str">
            <v>Healthcare</v>
          </cell>
        </row>
        <row r="1434">
          <cell r="C1434" t="str">
            <v>GTN</v>
          </cell>
          <cell r="E1434" t="str">
            <v>Communication Services</v>
          </cell>
        </row>
        <row r="1435">
          <cell r="C1435" t="str">
            <v>DCGO</v>
          </cell>
          <cell r="E1435" t="str">
            <v>Healthcare</v>
          </cell>
        </row>
        <row r="1436">
          <cell r="C1436" t="str">
            <v>MITK</v>
          </cell>
          <cell r="E1436" t="str">
            <v>Technology</v>
          </cell>
        </row>
        <row r="1437">
          <cell r="C1437" t="str">
            <v>AKBA</v>
          </cell>
          <cell r="E1437" t="str">
            <v>Healthcare</v>
          </cell>
        </row>
        <row r="1438">
          <cell r="C1438" t="str">
            <v>LRMR</v>
          </cell>
          <cell r="E1438" t="str">
            <v>Healthcare</v>
          </cell>
        </row>
        <row r="1439">
          <cell r="C1439" t="str">
            <v>PRME</v>
          </cell>
          <cell r="E1439" t="str">
            <v>Healthcare</v>
          </cell>
        </row>
        <row r="1440">
          <cell r="C1440" t="str">
            <v>AMCX</v>
          </cell>
          <cell r="E1440" t="str">
            <v>Communication Services</v>
          </cell>
        </row>
        <row r="1441">
          <cell r="C1441" t="str">
            <v>EGHT</v>
          </cell>
          <cell r="E1441" t="str">
            <v>Technology</v>
          </cell>
        </row>
        <row r="1442">
          <cell r="C1442" t="str">
            <v>SGMO</v>
          </cell>
          <cell r="E1442" t="str">
            <v>Healthcare</v>
          </cell>
        </row>
        <row r="1443">
          <cell r="C1443" t="str">
            <v>MVST</v>
          </cell>
          <cell r="E1443" t="str">
            <v>Industrials</v>
          </cell>
        </row>
        <row r="1444">
          <cell r="C1444" t="str">
            <v>BARK</v>
          </cell>
          <cell r="E1444" t="str">
            <v>Consumer Cyclical</v>
          </cell>
        </row>
        <row r="1445">
          <cell r="C1445" t="str">
            <v>GEVO</v>
          </cell>
          <cell r="E1445" t="str">
            <v>Basic Materials</v>
          </cell>
        </row>
        <row r="1446">
          <cell r="C1446" t="str">
            <v>JUNS</v>
          </cell>
          <cell r="E1446" t="str">
            <v>Healthcare</v>
          </cell>
        </row>
        <row r="1447">
          <cell r="C1447" t="str">
            <v>NUS</v>
          </cell>
          <cell r="E1447" t="str">
            <v>Consumer Defensive</v>
          </cell>
        </row>
        <row r="1448">
          <cell r="C1448" t="str">
            <v>ANGO</v>
          </cell>
          <cell r="E1448" t="str">
            <v>Healthcare</v>
          </cell>
        </row>
        <row r="1449">
          <cell r="C1449" t="str">
            <v>EB</v>
          </cell>
          <cell r="E1449" t="str">
            <v>Technology</v>
          </cell>
        </row>
        <row r="1450">
          <cell r="C1450" t="str">
            <v>BLZE</v>
          </cell>
          <cell r="E1450" t="str">
            <v>Technology</v>
          </cell>
        </row>
        <row r="1451">
          <cell r="C1451" t="str">
            <v>SAGE</v>
          </cell>
          <cell r="E1451" t="str">
            <v>Healthcare</v>
          </cell>
        </row>
        <row r="1452">
          <cell r="C1452" t="str">
            <v>SMRT</v>
          </cell>
          <cell r="E1452" t="str">
            <v>Technology</v>
          </cell>
        </row>
        <row r="1453">
          <cell r="C1453" t="str">
            <v>AEHR</v>
          </cell>
          <cell r="E1453" t="str">
            <v>Technology</v>
          </cell>
        </row>
        <row r="1454">
          <cell r="C1454" t="str">
            <v>EWCZ</v>
          </cell>
          <cell r="E1454" t="str">
            <v>Consumer Defensive</v>
          </cell>
        </row>
        <row r="1455">
          <cell r="C1455" t="str">
            <v>AQST</v>
          </cell>
          <cell r="E1455" t="str">
            <v>Healthcare</v>
          </cell>
        </row>
        <row r="1456">
          <cell r="C1456" t="str">
            <v>BKKT</v>
          </cell>
          <cell r="E1456" t="str">
            <v>Technology</v>
          </cell>
        </row>
        <row r="1457">
          <cell r="C1457" t="str">
            <v>VYGR</v>
          </cell>
          <cell r="E1457" t="str">
            <v>Healthcare</v>
          </cell>
        </row>
        <row r="1458">
          <cell r="C1458" t="str">
            <v>EXFY</v>
          </cell>
          <cell r="E1458" t="str">
            <v>Technology</v>
          </cell>
        </row>
        <row r="1459">
          <cell r="C1459" t="str">
            <v>SLRN</v>
          </cell>
          <cell r="E1459" t="str">
            <v>Healthcare</v>
          </cell>
        </row>
        <row r="1460">
          <cell r="C1460" t="str">
            <v>BKSY</v>
          </cell>
          <cell r="E1460" t="str">
            <v>Technology</v>
          </cell>
        </row>
        <row r="1461">
          <cell r="C1461" t="str">
            <v>OIS</v>
          </cell>
          <cell r="E1461" t="str">
            <v>Energy</v>
          </cell>
        </row>
        <row r="1462">
          <cell r="C1462" t="str">
            <v>BLDE</v>
          </cell>
          <cell r="E1462" t="str">
            <v>Industrials</v>
          </cell>
        </row>
        <row r="1463">
          <cell r="C1463" t="str">
            <v>CERS</v>
          </cell>
          <cell r="E1463" t="str">
            <v>Healthcare</v>
          </cell>
        </row>
        <row r="1464">
          <cell r="C1464" t="str">
            <v>ORN</v>
          </cell>
          <cell r="E1464" t="str">
            <v>Industrials</v>
          </cell>
        </row>
        <row r="1465">
          <cell r="C1465" t="str">
            <v>TNGX</v>
          </cell>
          <cell r="E1465" t="str">
            <v>Healthcare</v>
          </cell>
        </row>
        <row r="1466">
          <cell r="C1466" t="str">
            <v>CCCC</v>
          </cell>
          <cell r="E1466" t="str">
            <v>Healthcare</v>
          </cell>
        </row>
        <row r="1467">
          <cell r="C1467" t="str">
            <v>MRSN</v>
          </cell>
          <cell r="E1467" t="str">
            <v>Healthcare</v>
          </cell>
        </row>
        <row r="1468">
          <cell r="C1468" t="str">
            <v>BRY</v>
          </cell>
          <cell r="E1468" t="str">
            <v>Energy</v>
          </cell>
        </row>
        <row r="1469">
          <cell r="C1469" t="str">
            <v>CRNC</v>
          </cell>
          <cell r="E1469" t="str">
            <v>Technology</v>
          </cell>
        </row>
        <row r="1470">
          <cell r="C1470" t="str">
            <v>DENN</v>
          </cell>
          <cell r="E1470" t="str">
            <v>Consumer Cyclical</v>
          </cell>
        </row>
        <row r="1471">
          <cell r="C1471" t="str">
            <v>FDMT</v>
          </cell>
          <cell r="E1471" t="str">
            <v>Healthcare</v>
          </cell>
        </row>
        <row r="1472">
          <cell r="C1472" t="str">
            <v>DBI</v>
          </cell>
          <cell r="E1472" t="str">
            <v>Consumer Cyclical</v>
          </cell>
        </row>
        <row r="1473">
          <cell r="C1473" t="str">
            <v>RVNC</v>
          </cell>
          <cell r="E1473" t="str">
            <v>Healthcare</v>
          </cell>
        </row>
        <row r="1474">
          <cell r="C1474" t="str">
            <v>IHRT</v>
          </cell>
          <cell r="E1474" t="str">
            <v>Communication Services</v>
          </cell>
        </row>
        <row r="1475">
          <cell r="C1475" t="str">
            <v>OSUR</v>
          </cell>
          <cell r="E1475" t="str">
            <v>Healthcare</v>
          </cell>
        </row>
        <row r="1476">
          <cell r="C1476" t="str">
            <v>ITOS</v>
          </cell>
          <cell r="E1476" t="str">
            <v>Healthcare</v>
          </cell>
        </row>
        <row r="1477">
          <cell r="C1477" t="str">
            <v>ZSPC</v>
          </cell>
          <cell r="E1477" t="str">
            <v>Consumer Defensive</v>
          </cell>
        </row>
        <row r="1478">
          <cell r="C1478" t="str">
            <v>RENB</v>
          </cell>
          <cell r="E1478" t="str">
            <v>Healthcare</v>
          </cell>
        </row>
        <row r="1479">
          <cell r="C1479" t="str">
            <v>AMLX</v>
          </cell>
          <cell r="E1479" t="str">
            <v>Healthcare</v>
          </cell>
        </row>
        <row r="1480">
          <cell r="C1480" t="str">
            <v>ASPI</v>
          </cell>
          <cell r="E1480" t="str">
            <v>Basic Materials</v>
          </cell>
        </row>
        <row r="1481">
          <cell r="C1481" t="str">
            <v>ACCD</v>
          </cell>
          <cell r="E1481" t="str">
            <v>Healthcare</v>
          </cell>
        </row>
        <row r="1482">
          <cell r="C1482" t="str">
            <v>IMMR</v>
          </cell>
          <cell r="E1482" t="str">
            <v>Technology</v>
          </cell>
        </row>
        <row r="1483">
          <cell r="C1483" t="str">
            <v>TNYA</v>
          </cell>
          <cell r="E1483" t="str">
            <v>Healthcare</v>
          </cell>
        </row>
        <row r="1484">
          <cell r="C1484" t="str">
            <v>NRDY</v>
          </cell>
          <cell r="E1484" t="str">
            <v>Technology</v>
          </cell>
        </row>
        <row r="1485">
          <cell r="C1485" t="str">
            <v>REI</v>
          </cell>
          <cell r="E1485" t="str">
            <v>Energy</v>
          </cell>
        </row>
        <row r="1486">
          <cell r="C1486" t="str">
            <v>QSI</v>
          </cell>
          <cell r="E1486" t="str">
            <v>Healthcare</v>
          </cell>
        </row>
        <row r="1487">
          <cell r="C1487" t="str">
            <v>VNDA</v>
          </cell>
          <cell r="E1487" t="str">
            <v>Healthcare</v>
          </cell>
        </row>
        <row r="1488">
          <cell r="C1488" t="str">
            <v>WTI</v>
          </cell>
          <cell r="E1488" t="str">
            <v>Energy</v>
          </cell>
        </row>
        <row r="1489">
          <cell r="C1489" t="str">
            <v>CMRX</v>
          </cell>
          <cell r="E1489" t="str">
            <v>Healthcare</v>
          </cell>
        </row>
        <row r="1490">
          <cell r="C1490" t="str">
            <v>IRBT</v>
          </cell>
          <cell r="E1490" t="str">
            <v>Consumer Cyclical</v>
          </cell>
        </row>
        <row r="1491">
          <cell r="C1491" t="str">
            <v>ATYR</v>
          </cell>
          <cell r="E1491" t="str">
            <v>Healthcare</v>
          </cell>
        </row>
        <row r="1492">
          <cell r="C1492" t="str">
            <v>HDSN</v>
          </cell>
          <cell r="E1492" t="str">
            <v>Basic Materials</v>
          </cell>
        </row>
        <row r="1493">
          <cell r="C1493" t="str">
            <v>PSNL</v>
          </cell>
          <cell r="E1493" t="str">
            <v>Healthcare</v>
          </cell>
        </row>
        <row r="1494">
          <cell r="C1494" t="str">
            <v>DRUG</v>
          </cell>
          <cell r="E1494" t="str">
            <v>Healthcare</v>
          </cell>
        </row>
        <row r="1495">
          <cell r="C1495" t="str">
            <v>KULR</v>
          </cell>
          <cell r="E1495" t="str">
            <v>Technology</v>
          </cell>
        </row>
        <row r="1496">
          <cell r="C1496" t="str">
            <v>BYND</v>
          </cell>
          <cell r="E1496" t="str">
            <v>Consumer Defensive</v>
          </cell>
        </row>
        <row r="1497">
          <cell r="C1497" t="str">
            <v>TLS</v>
          </cell>
          <cell r="E1497" t="str">
            <v>Technology</v>
          </cell>
        </row>
        <row r="1498">
          <cell r="C1498" t="str">
            <v>TTEC</v>
          </cell>
          <cell r="E1498" t="str">
            <v>Technology</v>
          </cell>
        </row>
        <row r="1499">
          <cell r="C1499" t="str">
            <v>HRTX</v>
          </cell>
          <cell r="E1499" t="str">
            <v>Healthcare</v>
          </cell>
        </row>
        <row r="1500">
          <cell r="C1500" t="str">
            <v>FCEL</v>
          </cell>
          <cell r="E1500" t="str">
            <v>Industrials</v>
          </cell>
        </row>
        <row r="1501">
          <cell r="C1501" t="str">
            <v>BYON</v>
          </cell>
          <cell r="E1501" t="str">
            <v>Consumer Cyclical</v>
          </cell>
        </row>
        <row r="1502">
          <cell r="C1502" t="str">
            <v>ACRS</v>
          </cell>
          <cell r="E1502" t="str">
            <v>Healthcare</v>
          </cell>
        </row>
        <row r="1503">
          <cell r="C1503" t="str">
            <v>ZNTL</v>
          </cell>
          <cell r="E1503" t="str">
            <v>Healthcare</v>
          </cell>
        </row>
        <row r="1504">
          <cell r="C1504" t="str">
            <v>LAZR</v>
          </cell>
          <cell r="E1504" t="str">
            <v>Consumer Cyclical</v>
          </cell>
        </row>
        <row r="1505">
          <cell r="C1505" t="str">
            <v>FATE</v>
          </cell>
          <cell r="E1505" t="str">
            <v>Healthcare</v>
          </cell>
        </row>
        <row r="1506">
          <cell r="C1506" t="str">
            <v>LFMD</v>
          </cell>
          <cell r="E1506" t="str">
            <v>Healthcare</v>
          </cell>
        </row>
        <row r="1507">
          <cell r="C1507" t="str">
            <v>LWLG</v>
          </cell>
          <cell r="E1507" t="str">
            <v>Basic Materials</v>
          </cell>
        </row>
        <row r="1508">
          <cell r="C1508" t="str">
            <v>SVCO</v>
          </cell>
          <cell r="E1508" t="str">
            <v>Technology</v>
          </cell>
        </row>
        <row r="1509">
          <cell r="C1509" t="str">
            <v>CHGG</v>
          </cell>
          <cell r="E1509" t="str">
            <v>Consumer Defensive</v>
          </cell>
        </row>
        <row r="1510">
          <cell r="C1510" t="str">
            <v>FREY</v>
          </cell>
          <cell r="E1510" t="str">
            <v>Industrials</v>
          </cell>
        </row>
        <row r="1511">
          <cell r="C1511" t="str">
            <v>CATX</v>
          </cell>
          <cell r="E1511" t="str">
            <v>Healthcare</v>
          </cell>
        </row>
        <row r="1512">
          <cell r="C1512" t="str">
            <v>VUZI</v>
          </cell>
          <cell r="E1512" t="str">
            <v>Technology</v>
          </cell>
        </row>
        <row r="1513">
          <cell r="C1513" t="str">
            <v>PLL</v>
          </cell>
          <cell r="E1513" t="str">
            <v>Basic Materials</v>
          </cell>
        </row>
        <row r="1514">
          <cell r="C1514" t="str">
            <v>FULC</v>
          </cell>
          <cell r="E1514" t="str">
            <v>Healthcare</v>
          </cell>
        </row>
        <row r="1515">
          <cell r="C1515" t="str">
            <v>BMEA</v>
          </cell>
          <cell r="E1515" t="str">
            <v>Healthcare</v>
          </cell>
        </row>
        <row r="1516">
          <cell r="C1516" t="str">
            <v>VSTM</v>
          </cell>
          <cell r="E1516" t="str">
            <v>Healthcare</v>
          </cell>
        </row>
        <row r="1517">
          <cell r="C1517" t="str">
            <v>IKT</v>
          </cell>
          <cell r="E1517" t="str">
            <v>Healthcare</v>
          </cell>
        </row>
        <row r="1518">
          <cell r="C1518" t="str">
            <v>MGNX</v>
          </cell>
          <cell r="E1518" t="str">
            <v>Healthcare</v>
          </cell>
        </row>
        <row r="1519">
          <cell r="C1519" t="str">
            <v>ATOM</v>
          </cell>
          <cell r="E1519" t="str">
            <v>Technology</v>
          </cell>
        </row>
        <row r="1520">
          <cell r="C1520" t="str">
            <v>CLYM</v>
          </cell>
          <cell r="E1520" t="str">
            <v>Healthcare</v>
          </cell>
        </row>
        <row r="1521">
          <cell r="C1521" t="str">
            <v>TSSI</v>
          </cell>
          <cell r="E1521" t="str">
            <v>Technology</v>
          </cell>
        </row>
        <row r="1522">
          <cell r="C1522" t="str">
            <v>ALEC</v>
          </cell>
          <cell r="E1522" t="str">
            <v>Healthcare</v>
          </cell>
        </row>
        <row r="1523">
          <cell r="C1523" t="str">
            <v>MAPS</v>
          </cell>
          <cell r="E1523" t="str">
            <v>Technology</v>
          </cell>
        </row>
        <row r="1524">
          <cell r="C1524" t="str">
            <v>TDUP</v>
          </cell>
          <cell r="E1524" t="str">
            <v>Consumer Cyclical</v>
          </cell>
        </row>
        <row r="1525">
          <cell r="C1525" t="str">
            <v>AMPX</v>
          </cell>
          <cell r="E1525" t="str">
            <v>Industrials</v>
          </cell>
        </row>
        <row r="1526">
          <cell r="C1526" t="str">
            <v>ARAY</v>
          </cell>
          <cell r="E1526" t="str">
            <v>Healthcare</v>
          </cell>
        </row>
        <row r="1527">
          <cell r="C1527" t="str">
            <v>SSP</v>
          </cell>
          <cell r="E1527" t="str">
            <v>Communication Services</v>
          </cell>
        </row>
        <row r="1528">
          <cell r="C1528" t="str">
            <v>STRO</v>
          </cell>
          <cell r="E1528" t="str">
            <v>Healthcare</v>
          </cell>
        </row>
        <row r="1529">
          <cell r="C1529" t="str">
            <v>CDLX</v>
          </cell>
          <cell r="E1529" t="str">
            <v>Communication Services</v>
          </cell>
        </row>
        <row r="1530">
          <cell r="C1530" t="str">
            <v>GPRO</v>
          </cell>
          <cell r="E1530" t="str">
            <v>Technology</v>
          </cell>
        </row>
        <row r="1531">
          <cell r="C1531" t="str">
            <v>CKPT</v>
          </cell>
          <cell r="E1531" t="str">
            <v>Healthcare</v>
          </cell>
        </row>
        <row r="1532">
          <cell r="C1532" t="str">
            <v>CRBP</v>
          </cell>
          <cell r="E1532" t="str">
            <v>Healthcare</v>
          </cell>
        </row>
        <row r="1533">
          <cell r="C1533" t="str">
            <v>TRVI</v>
          </cell>
          <cell r="E1533" t="str">
            <v>Healthcare</v>
          </cell>
        </row>
        <row r="1534">
          <cell r="C1534" t="str">
            <v>CHRS</v>
          </cell>
          <cell r="E1534" t="str">
            <v>Healthcare</v>
          </cell>
        </row>
        <row r="1535">
          <cell r="C1535" t="str">
            <v>CRDF</v>
          </cell>
          <cell r="E1535" t="str">
            <v>Healthcare</v>
          </cell>
        </row>
        <row r="1536">
          <cell r="C1536" t="str">
            <v>SPCE</v>
          </cell>
          <cell r="E1536" t="str">
            <v>Industrials</v>
          </cell>
        </row>
        <row r="1537">
          <cell r="C1537" t="str">
            <v>SKIN</v>
          </cell>
          <cell r="E1537" t="str">
            <v>Consumer Defensive</v>
          </cell>
        </row>
        <row r="1538">
          <cell r="C1538" t="str">
            <v>PLCE</v>
          </cell>
          <cell r="E1538" t="str">
            <v>Consumer Cyclical</v>
          </cell>
        </row>
        <row r="1539">
          <cell r="C1539" t="str">
            <v>VTYX</v>
          </cell>
          <cell r="E1539" t="str">
            <v>Healthcare</v>
          </cell>
        </row>
        <row r="1540">
          <cell r="C1540" t="str">
            <v>CRBU</v>
          </cell>
          <cell r="E1540" t="str">
            <v>Healthcare</v>
          </cell>
        </row>
        <row r="1541">
          <cell r="C1541" t="str">
            <v>FACTU</v>
          </cell>
          <cell r="E1541" t="str">
            <v>Financial</v>
          </cell>
        </row>
        <row r="1542">
          <cell r="C1542" t="str">
            <v>NKTX</v>
          </cell>
          <cell r="E1542" t="str">
            <v>Healthcare</v>
          </cell>
        </row>
        <row r="1543">
          <cell r="C1543" t="str">
            <v>BW</v>
          </cell>
          <cell r="E1543" t="str">
            <v>Industrials</v>
          </cell>
        </row>
        <row r="1544">
          <cell r="C1544" t="str">
            <v>PSQH</v>
          </cell>
          <cell r="E1544" t="str">
            <v>Technology</v>
          </cell>
        </row>
        <row r="1545">
          <cell r="C1545" t="str">
            <v>BIOA</v>
          </cell>
          <cell r="E1545" t="str">
            <v>Healthcare</v>
          </cell>
        </row>
        <row r="1546">
          <cell r="C1546" t="str">
            <v>BLNK</v>
          </cell>
          <cell r="E1546" t="str">
            <v>Industrials</v>
          </cell>
        </row>
        <row r="1547">
          <cell r="C1547" t="str">
            <v>BZFD</v>
          </cell>
          <cell r="E1547" t="str">
            <v>Communication Services</v>
          </cell>
        </row>
        <row r="1548">
          <cell r="C1548" t="str">
            <v>EDIT</v>
          </cell>
          <cell r="E1548" t="str">
            <v>Healthcare</v>
          </cell>
        </row>
        <row r="1549">
          <cell r="C1549" t="str">
            <v>UAMY</v>
          </cell>
          <cell r="E1549" t="str">
            <v>Basic Materials</v>
          </cell>
        </row>
        <row r="1550">
          <cell r="C1550" t="str">
            <v>NVRO</v>
          </cell>
          <cell r="E1550" t="str">
            <v>Healthcare</v>
          </cell>
        </row>
        <row r="1551">
          <cell r="C1551" t="str">
            <v>RILY</v>
          </cell>
          <cell r="E1551" t="str">
            <v>Financial</v>
          </cell>
        </row>
        <row r="1552">
          <cell r="C1552" t="str">
            <v>ATOS</v>
          </cell>
          <cell r="E1552" t="str">
            <v>Healthcare</v>
          </cell>
        </row>
        <row r="1553">
          <cell r="C1553" t="str">
            <v>AMTX</v>
          </cell>
          <cell r="E1553" t="str">
            <v>Energy</v>
          </cell>
        </row>
        <row r="1554">
          <cell r="C1554" t="str">
            <v>APPS</v>
          </cell>
          <cell r="E1554" t="str">
            <v>Technology</v>
          </cell>
        </row>
        <row r="1555">
          <cell r="C1555" t="str">
            <v>CABA</v>
          </cell>
          <cell r="E1555" t="str">
            <v>Healthcare</v>
          </cell>
        </row>
        <row r="1556">
          <cell r="C1556" t="str">
            <v>MGX</v>
          </cell>
          <cell r="E1556" t="str">
            <v>Healthcare</v>
          </cell>
        </row>
        <row r="1557">
          <cell r="C1557" t="str">
            <v>SGMT</v>
          </cell>
          <cell r="E1557" t="str">
            <v>Healthcare</v>
          </cell>
        </row>
        <row r="1558">
          <cell r="C1558" t="str">
            <v>APLT</v>
          </cell>
          <cell r="E1558" t="str">
            <v>Healthcare</v>
          </cell>
        </row>
        <row r="1559">
          <cell r="C1559" t="str">
            <v>BDTX</v>
          </cell>
          <cell r="E1559" t="str">
            <v>Healthcare</v>
          </cell>
        </row>
        <row r="1560">
          <cell r="C1560" t="str">
            <v>PLBY</v>
          </cell>
          <cell r="E1560" t="str">
            <v>Consumer Cyclical</v>
          </cell>
        </row>
        <row r="1561">
          <cell r="C1561" t="str">
            <v>TAVIU</v>
          </cell>
          <cell r="E1561" t="str">
            <v>Financial</v>
          </cell>
        </row>
        <row r="1562">
          <cell r="C1562" t="str">
            <v>SAVA</v>
          </cell>
          <cell r="E1562" t="str">
            <v>Healthcare</v>
          </cell>
        </row>
        <row r="1563">
          <cell r="C1563" t="str">
            <v>NKLA</v>
          </cell>
          <cell r="E1563" t="str">
            <v>Industrials</v>
          </cell>
        </row>
        <row r="1564">
          <cell r="C1564" t="str">
            <v>TARA</v>
          </cell>
          <cell r="E1564" t="str">
            <v>Healthcare</v>
          </cell>
        </row>
        <row r="1565">
          <cell r="C1565" t="str">
            <v>CSLR</v>
          </cell>
          <cell r="E1565" t="str">
            <v>Technology</v>
          </cell>
        </row>
        <row r="1566">
          <cell r="C1566" t="str">
            <v>MNPR</v>
          </cell>
          <cell r="E1566" t="str">
            <v>Healthcare</v>
          </cell>
        </row>
        <row r="1567">
          <cell r="C1567" t="str">
            <v>ZEO</v>
          </cell>
          <cell r="E1567" t="str">
            <v>Technology</v>
          </cell>
        </row>
        <row r="1568">
          <cell r="C1568" t="str">
            <v>WW</v>
          </cell>
          <cell r="E1568" t="str">
            <v>Consumer Cyclical</v>
          </cell>
        </row>
        <row r="1569">
          <cell r="C1569" t="str">
            <v>UMAC</v>
          </cell>
          <cell r="E1569" t="str">
            <v>Financial</v>
          </cell>
        </row>
        <row r="1570">
          <cell r="C1570" t="str">
            <v>PDYN</v>
          </cell>
          <cell r="E1570" t="str">
            <v>Technology</v>
          </cell>
        </row>
        <row r="1571">
          <cell r="C1571" t="str">
            <v>PFIE</v>
          </cell>
          <cell r="E1571" t="str">
            <v>Energy</v>
          </cell>
        </row>
        <row r="1572">
          <cell r="C1572" t="str">
            <v>FLG</v>
          </cell>
          <cell r="E1572" t="str">
            <v>Financial</v>
          </cell>
        </row>
        <row r="1573">
          <cell r="C1573" t="str">
            <v>ALTO</v>
          </cell>
          <cell r="E1573" t="str">
            <v>Basic Materials</v>
          </cell>
        </row>
        <row r="1574">
          <cell r="C1574" t="str">
            <v>BTM</v>
          </cell>
          <cell r="E1574" t="str">
            <v>Financial</v>
          </cell>
        </row>
        <row r="1575">
          <cell r="C1575" t="str">
            <v>GRWG</v>
          </cell>
          <cell r="E1575" t="str">
            <v>Consumer Cyclical</v>
          </cell>
        </row>
        <row r="1576">
          <cell r="C1576" t="str">
            <v>IMUX</v>
          </cell>
          <cell r="E1576" t="str">
            <v>Healthcare</v>
          </cell>
        </row>
        <row r="1577">
          <cell r="C1577" t="str">
            <v>RANI</v>
          </cell>
          <cell r="E1577" t="str">
            <v>Healthcare</v>
          </cell>
        </row>
        <row r="1578">
          <cell r="C1578" t="str">
            <v>ANRO</v>
          </cell>
          <cell r="E1578" t="str">
            <v>Healthcare</v>
          </cell>
        </row>
        <row r="1579">
          <cell r="C1579" t="str">
            <v>FOSL</v>
          </cell>
          <cell r="E1579" t="str">
            <v>Consumer Cyclical</v>
          </cell>
        </row>
        <row r="1580">
          <cell r="C1580" t="str">
            <v>VERI</v>
          </cell>
          <cell r="E1580" t="str">
            <v>Technology</v>
          </cell>
        </row>
        <row r="1581">
          <cell r="C1581" t="str">
            <v>PYXS</v>
          </cell>
          <cell r="E1581" t="str">
            <v>Healthcare</v>
          </cell>
        </row>
        <row r="1582">
          <cell r="C1582" t="str">
            <v>AISP</v>
          </cell>
          <cell r="E1582" t="str">
            <v>Technology</v>
          </cell>
        </row>
        <row r="1583">
          <cell r="C1583" t="str">
            <v>QMCO</v>
          </cell>
          <cell r="E1583" t="str">
            <v>Technology</v>
          </cell>
        </row>
        <row r="1584">
          <cell r="C1584" t="str">
            <v>RVPH</v>
          </cell>
          <cell r="E1584" t="str">
            <v>Healthcare</v>
          </cell>
        </row>
        <row r="1585">
          <cell r="C1585" t="str">
            <v>QNCX</v>
          </cell>
          <cell r="E1585" t="str">
            <v>Healthcare</v>
          </cell>
        </row>
        <row r="1586">
          <cell r="C1586" t="str">
            <v>LTBR</v>
          </cell>
          <cell r="E1586" t="str">
            <v>Industrials</v>
          </cell>
        </row>
        <row r="1587">
          <cell r="C1587" t="str">
            <v>PHUN</v>
          </cell>
          <cell r="E1587" t="str">
            <v>Technology</v>
          </cell>
        </row>
        <row r="1588">
          <cell r="C1588" t="str">
            <v>SDIG</v>
          </cell>
          <cell r="E1588" t="str">
            <v>Financial</v>
          </cell>
        </row>
        <row r="1589">
          <cell r="C1589" t="str">
            <v>HOWL</v>
          </cell>
          <cell r="E1589" t="str">
            <v>Healthcare</v>
          </cell>
        </row>
        <row r="1590">
          <cell r="C1590" t="str">
            <v>ALXO</v>
          </cell>
          <cell r="E1590" t="str">
            <v>Healthcare</v>
          </cell>
        </row>
        <row r="1591">
          <cell r="C1591" t="str">
            <v>LASE</v>
          </cell>
          <cell r="E1591" t="str">
            <v>Industrials</v>
          </cell>
        </row>
        <row r="1592">
          <cell r="C1592" t="str">
            <v>AREN</v>
          </cell>
          <cell r="E1592" t="str">
            <v>Communication Services</v>
          </cell>
        </row>
        <row r="1593">
          <cell r="C1593" t="str">
            <v>AVTE</v>
          </cell>
          <cell r="E1593" t="str">
            <v>Healthcare</v>
          </cell>
        </row>
        <row r="1594">
          <cell r="C1594" t="str">
            <v>BCAB</v>
          </cell>
          <cell r="E1594" t="str">
            <v>Healthcare</v>
          </cell>
        </row>
        <row r="1595">
          <cell r="C1595" t="str">
            <v>TPIC</v>
          </cell>
          <cell r="E1595" t="str">
            <v>Industrials</v>
          </cell>
        </row>
        <row r="1596">
          <cell r="C1596" t="str">
            <v>IMRX</v>
          </cell>
          <cell r="E1596" t="str">
            <v>Healthcare</v>
          </cell>
        </row>
        <row r="1597">
          <cell r="C1597" t="str">
            <v>RMTI</v>
          </cell>
          <cell r="E1597" t="str">
            <v>Healthcare</v>
          </cell>
        </row>
        <row r="1598">
          <cell r="C1598" t="str">
            <v>NIXX</v>
          </cell>
          <cell r="E1598" t="str">
            <v>Industrials</v>
          </cell>
        </row>
        <row r="1599">
          <cell r="C1599" t="str">
            <v>OM</v>
          </cell>
          <cell r="E1599" t="str">
            <v>Healthcare</v>
          </cell>
        </row>
        <row r="1600">
          <cell r="C1600" t="str">
            <v>STTK</v>
          </cell>
          <cell r="E1600" t="str">
            <v>Healthcare</v>
          </cell>
        </row>
        <row r="1601">
          <cell r="C1601" t="str">
            <v>BTCS</v>
          </cell>
          <cell r="E1601" t="str">
            <v>Financial</v>
          </cell>
        </row>
        <row r="1602">
          <cell r="C1602" t="str">
            <v>CDIO</v>
          </cell>
          <cell r="E1602" t="str">
            <v>Healthcare</v>
          </cell>
        </row>
        <row r="1603">
          <cell r="C1603" t="str">
            <v>FBIO</v>
          </cell>
          <cell r="E1603" t="str">
            <v>Healthcare</v>
          </cell>
        </row>
        <row r="1604">
          <cell r="C1604" t="str">
            <v>NXL</v>
          </cell>
          <cell r="E1604" t="str">
            <v>Healthcare</v>
          </cell>
        </row>
        <row r="1605">
          <cell r="C1605" t="str">
            <v>SRFM</v>
          </cell>
          <cell r="E1605" t="str">
            <v>Industrials</v>
          </cell>
        </row>
        <row r="1606">
          <cell r="C1606" t="str">
            <v>CELU</v>
          </cell>
          <cell r="E1606" t="str">
            <v>Healthcare</v>
          </cell>
        </row>
        <row r="1607">
          <cell r="C1607" t="str">
            <v>NINE</v>
          </cell>
          <cell r="E1607" t="str">
            <v>Energy</v>
          </cell>
        </row>
        <row r="1608">
          <cell r="C1608" t="str">
            <v>XCUR</v>
          </cell>
          <cell r="E1608" t="str">
            <v>Healthcare</v>
          </cell>
        </row>
        <row r="1609">
          <cell r="C1609" t="str">
            <v>AGFY</v>
          </cell>
          <cell r="E1609" t="str">
            <v>Industrials</v>
          </cell>
        </row>
        <row r="1610">
          <cell r="C1610" t="str">
            <v>BIVI</v>
          </cell>
          <cell r="E1610" t="str">
            <v>Healthcare</v>
          </cell>
        </row>
        <row r="1611">
          <cell r="C1611" t="str">
            <v>SPAI</v>
          </cell>
          <cell r="E1611" t="str">
            <v>Industrials</v>
          </cell>
        </row>
        <row r="1612">
          <cell r="C1612" t="str">
            <v>MDAI</v>
          </cell>
          <cell r="E1612" t="str">
            <v>Healthcare</v>
          </cell>
        </row>
        <row r="1613">
          <cell r="C1613" t="str">
            <v>SURG</v>
          </cell>
          <cell r="E1613" t="str">
            <v>Technology</v>
          </cell>
        </row>
        <row r="1614">
          <cell r="C1614" t="str">
            <v>OTLK</v>
          </cell>
          <cell r="E1614" t="str">
            <v>Healthcare</v>
          </cell>
        </row>
        <row r="1615">
          <cell r="C1615" t="str">
            <v>FBRX</v>
          </cell>
          <cell r="E1615" t="str">
            <v>Healthcare</v>
          </cell>
        </row>
        <row r="1616">
          <cell r="C1616" t="str">
            <v>CPIX</v>
          </cell>
          <cell r="E1616" t="str">
            <v>Healthcare</v>
          </cell>
        </row>
        <row r="1617">
          <cell r="C1617" t="str">
            <v>CLDI</v>
          </cell>
          <cell r="E1617" t="str">
            <v>Healthcare</v>
          </cell>
        </row>
        <row r="1618">
          <cell r="C1618" t="str">
            <v>ANY</v>
          </cell>
          <cell r="E1618" t="str">
            <v>Financial</v>
          </cell>
        </row>
        <row r="1619">
          <cell r="C1619" t="str">
            <v>CXAI</v>
          </cell>
          <cell r="E1619" t="str">
            <v>Technology</v>
          </cell>
        </row>
        <row r="1620">
          <cell r="C1620" t="str">
            <v>LGVN</v>
          </cell>
          <cell r="E1620" t="str">
            <v>Healthcare</v>
          </cell>
        </row>
        <row r="1621">
          <cell r="C1621" t="str">
            <v>GREE</v>
          </cell>
          <cell r="E1621" t="str">
            <v>Financial</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ices"/>
      <sheetName val="Industries"/>
      <sheetName val="Pivot"/>
      <sheetName val="Charts"/>
      <sheetName val="SPDR Chart"/>
      <sheetName val="Summary Data"/>
      <sheetName val="Summary"/>
      <sheetName val="Earnings"/>
      <sheetName val="2025-Q2"/>
      <sheetName val="MGMT"/>
      <sheetName val="Rev Curves"/>
      <sheetName val="Expectancy"/>
      <sheetName val="Q1-STATS"/>
      <sheetName val="Stats Roll Up"/>
      <sheetName val="Symbols"/>
    </sheetNames>
    <sheetDataSet>
      <sheetData sheetId="0"/>
      <sheetData sheetId="1"/>
      <sheetData sheetId="2"/>
      <sheetData sheetId="3"/>
      <sheetData sheetId="4"/>
      <sheetData sheetId="5"/>
      <sheetData sheetId="6"/>
      <sheetData sheetId="7"/>
      <sheetData sheetId="8">
        <row r="4">
          <cell r="A4" t="str">
            <v>DAL</v>
          </cell>
          <cell r="K4">
            <v>2.8706800445930714E-2</v>
          </cell>
          <cell r="S4" t="str">
            <v>Dwn</v>
          </cell>
          <cell r="AG4">
            <v>-223.79999999999995</v>
          </cell>
        </row>
        <row r="5">
          <cell r="K5">
            <v>-4.0730643402399118E-2</v>
          </cell>
          <cell r="S5" t="str">
            <v>Dwn</v>
          </cell>
          <cell r="AG5">
            <v>-52.920000000000073</v>
          </cell>
        </row>
        <row r="6">
          <cell r="K6">
            <v>-3.5225221258421528E-3</v>
          </cell>
          <cell r="S6" t="str">
            <v>SW</v>
          </cell>
          <cell r="AG6">
            <v>49.450000000000045</v>
          </cell>
        </row>
        <row r="7">
          <cell r="K7">
            <v>-2.487719854222786E-2</v>
          </cell>
          <cell r="S7" t="str">
            <v>SW</v>
          </cell>
          <cell r="AG7">
            <v>16.490000000000009</v>
          </cell>
        </row>
        <row r="8">
          <cell r="K8">
            <v>-1.2354735787978311E-2</v>
          </cell>
          <cell r="S8" t="str">
            <v>SW</v>
          </cell>
          <cell r="AG8">
            <v>30.610000000000014</v>
          </cell>
        </row>
        <row r="9">
          <cell r="K9">
            <v>-3.915937867119175E-2</v>
          </cell>
          <cell r="S9" t="str">
            <v>SW</v>
          </cell>
          <cell r="AG9">
            <v>56.840000000000146</v>
          </cell>
        </row>
        <row r="10">
          <cell r="K10">
            <v>-3.4621880277725628E-2</v>
          </cell>
          <cell r="S10" t="str">
            <v>SW</v>
          </cell>
          <cell r="AG10">
            <v>52.299999999999955</v>
          </cell>
        </row>
        <row r="11">
          <cell r="K11">
            <v>-7.6527246338568737E-3</v>
          </cell>
          <cell r="S11" t="str">
            <v>SW</v>
          </cell>
          <cell r="AG11">
            <v>81.450000000000045</v>
          </cell>
        </row>
        <row r="12">
          <cell r="K12">
            <v>3.14699457972656E-2</v>
          </cell>
          <cell r="S12" t="str">
            <v>SW</v>
          </cell>
          <cell r="AG12">
            <v>-12.039999999999964</v>
          </cell>
        </row>
        <row r="13">
          <cell r="K13">
            <v>-6.0145615701170541E-3</v>
          </cell>
          <cell r="S13" t="str">
            <v>Dwn</v>
          </cell>
          <cell r="AG13">
            <v>-10.604653371320182</v>
          </cell>
        </row>
        <row r="14">
          <cell r="K14">
            <v>1.5343245808288499E-2</v>
          </cell>
          <cell r="S14" t="str">
            <v>SW</v>
          </cell>
          <cell r="AG14">
            <v>2.5199999999999818</v>
          </cell>
        </row>
        <row r="15">
          <cell r="K15">
            <v>3.0815380419961697E-2</v>
          </cell>
          <cell r="S15" t="str">
            <v>SW</v>
          </cell>
          <cell r="AG15">
            <v>5.7000000000000455</v>
          </cell>
        </row>
        <row r="16">
          <cell r="K16">
            <v>-1.8091681689415415E-2</v>
          </cell>
          <cell r="S16" t="str">
            <v>Dwn</v>
          </cell>
          <cell r="AG16">
            <v>-20.160000000000082</v>
          </cell>
        </row>
        <row r="17">
          <cell r="K17">
            <v>8.6810054418241436E-3</v>
          </cell>
          <cell r="S17" t="str">
            <v>SW</v>
          </cell>
          <cell r="AG17">
            <v>-14.559999999999718</v>
          </cell>
        </row>
        <row r="18">
          <cell r="K18">
            <v>-5.2623788024572668E-2</v>
          </cell>
          <cell r="S18" t="str">
            <v>Dwn</v>
          </cell>
          <cell r="AG18">
            <v>29.430000000000064</v>
          </cell>
        </row>
        <row r="19">
          <cell r="K19">
            <v>3.9328358208955298E-2</v>
          </cell>
          <cell r="S19" t="str">
            <v>SW</v>
          </cell>
          <cell r="AG19">
            <v>-47.610000000000127</v>
          </cell>
        </row>
        <row r="20">
          <cell r="K20">
            <v>-2.1736300924118206E-2</v>
          </cell>
          <cell r="S20" t="str">
            <v>Dwn</v>
          </cell>
          <cell r="AG20">
            <v>58.799999999999955</v>
          </cell>
        </row>
        <row r="21">
          <cell r="K21">
            <v>-1.0613512813875322E-2</v>
          </cell>
          <cell r="S21" t="str">
            <v>Dwn</v>
          </cell>
          <cell r="AG21">
            <v>12</v>
          </cell>
        </row>
        <row r="22">
          <cell r="K22">
            <v>-3.3240997229918158E-3</v>
          </cell>
          <cell r="S22" t="str">
            <v>SW</v>
          </cell>
          <cell r="AG22">
            <v>-15.599999999999909</v>
          </cell>
        </row>
        <row r="23">
          <cell r="K23">
            <v>2.7531294565045116E-2</v>
          </cell>
          <cell r="S23" t="str">
            <v>SW</v>
          </cell>
          <cell r="AG23">
            <v>4.500000000007276E-2</v>
          </cell>
        </row>
        <row r="24">
          <cell r="K24">
            <v>2.455339261395496E-2</v>
          </cell>
          <cell r="S24" t="str">
            <v>SW</v>
          </cell>
          <cell r="AG24">
            <v>-15.24673556036214</v>
          </cell>
        </row>
        <row r="25">
          <cell r="K25">
            <v>1.7637897939227137E-2</v>
          </cell>
          <cell r="S25" t="str">
            <v>SW</v>
          </cell>
          <cell r="AG25">
            <v>-24.365289196334743</v>
          </cell>
        </row>
        <row r="26">
          <cell r="K26">
            <v>-2.193784277879425E-3</v>
          </cell>
          <cell r="S26" t="str">
            <v>Dwn</v>
          </cell>
          <cell r="AG26">
            <v>-15.990000000000009</v>
          </cell>
        </row>
        <row r="27">
          <cell r="K27">
            <v>-6.6790352504638118E-3</v>
          </cell>
          <cell r="S27" t="str">
            <v>SW</v>
          </cell>
          <cell r="AG27">
            <v>14.081632653061433</v>
          </cell>
        </row>
        <row r="28">
          <cell r="K28">
            <v>-5.1864875047092751E-2</v>
          </cell>
          <cell r="S28" t="str">
            <v>SW</v>
          </cell>
          <cell r="AG28">
            <v>80.6400000000001</v>
          </cell>
        </row>
        <row r="29">
          <cell r="K29">
            <v>-0.17621017366333921</v>
          </cell>
          <cell r="S29" t="str">
            <v>SW</v>
          </cell>
          <cell r="AG29">
            <v>-55.67999999999995</v>
          </cell>
        </row>
        <row r="30">
          <cell r="K30">
            <v>-2.4722222222222239E-2</v>
          </cell>
          <cell r="S30" t="str">
            <v>Dwn</v>
          </cell>
          <cell r="AG30">
            <v>-23.700000000000045</v>
          </cell>
        </row>
        <row r="31">
          <cell r="K31">
            <v>3.3911077618688855E-2</v>
          </cell>
          <cell r="S31" t="str">
            <v>Dwn</v>
          </cell>
          <cell r="AG31">
            <v>4.25</v>
          </cell>
        </row>
        <row r="32">
          <cell r="K32">
            <v>5.8424621804903355E-2</v>
          </cell>
          <cell r="S32" t="str">
            <v>Dwn</v>
          </cell>
          <cell r="AG32">
            <v>58.799999999999955</v>
          </cell>
        </row>
        <row r="33">
          <cell r="K33">
            <v>2.5957727873183664E-2</v>
          </cell>
          <cell r="S33" t="str">
            <v>SW</v>
          </cell>
          <cell r="AG33">
            <v>-22.725000000000136</v>
          </cell>
        </row>
        <row r="34">
          <cell r="K34">
            <v>3.3010039135613366E-2</v>
          </cell>
          <cell r="S34" t="str">
            <v>Dwn</v>
          </cell>
          <cell r="AG34">
            <v>1.7000000000000455</v>
          </cell>
        </row>
        <row r="35">
          <cell r="K35">
            <v>-3.1104651162790709E-2</v>
          </cell>
          <cell r="S35" t="str">
            <v>Dwn</v>
          </cell>
          <cell r="AG35">
            <v>-24.600000000000023</v>
          </cell>
        </row>
        <row r="36">
          <cell r="K36">
            <v>3.0561478322672333E-2</v>
          </cell>
          <cell r="S36" t="str">
            <v>Dwn</v>
          </cell>
          <cell r="AG36">
            <v>18.400000000000091</v>
          </cell>
        </row>
        <row r="37">
          <cell r="K37">
            <v>1.1861458168591309E-4</v>
          </cell>
          <cell r="S37" t="str">
            <v>SW</v>
          </cell>
          <cell r="AG37">
            <v>-8.2000000000000455</v>
          </cell>
        </row>
        <row r="38">
          <cell r="K38">
            <v>-5.4253847484004768E-2</v>
          </cell>
          <cell r="S38" t="str">
            <v>SW</v>
          </cell>
          <cell r="AG38">
            <v>6.4999999999997726</v>
          </cell>
        </row>
        <row r="39">
          <cell r="K39">
            <v>-4.9277108433734979E-2</v>
          </cell>
          <cell r="S39" t="str">
            <v>SW</v>
          </cell>
          <cell r="AG39">
            <v>-30.600000000000023</v>
          </cell>
        </row>
        <row r="40">
          <cell r="K40">
            <v>2.0250425104343828E-2</v>
          </cell>
          <cell r="S40" t="str">
            <v>Dwn</v>
          </cell>
          <cell r="AG40">
            <v>14.490000000000236</v>
          </cell>
        </row>
        <row r="41">
          <cell r="K41">
            <v>1.211932877563706E-2</v>
          </cell>
          <cell r="S41" t="str">
            <v>SW</v>
          </cell>
          <cell r="AG41">
            <v>-32.900000000000091</v>
          </cell>
        </row>
        <row r="42">
          <cell r="K42">
            <v>1.1685148453798963E-2</v>
          </cell>
          <cell r="S42" t="str">
            <v>SW</v>
          </cell>
          <cell r="AG42">
            <v>3.5099999999999909</v>
          </cell>
        </row>
        <row r="43">
          <cell r="K43">
            <v>4.0100995098766674E-3</v>
          </cell>
          <cell r="S43" t="str">
            <v>Up</v>
          </cell>
          <cell r="AG43">
            <v>55.25</v>
          </cell>
        </row>
        <row r="44">
          <cell r="K44">
            <v>0.12065121464071715</v>
          </cell>
          <cell r="S44" t="str">
            <v>Dwn</v>
          </cell>
          <cell r="AG44">
            <v>-19.075000000000273</v>
          </cell>
        </row>
        <row r="45">
          <cell r="K45">
            <v>3.7962797352888614E-2</v>
          </cell>
          <cell r="S45" t="str">
            <v>Dwn</v>
          </cell>
          <cell r="AG45">
            <v>11.150000000000091</v>
          </cell>
        </row>
        <row r="46">
          <cell r="K46">
            <v>-8.2344890510949051E-2</v>
          </cell>
          <cell r="S46" t="str">
            <v>Dwn</v>
          </cell>
          <cell r="AG46">
            <v>-32.175000000000182</v>
          </cell>
        </row>
        <row r="47">
          <cell r="K47">
            <v>4.5696663863190393E-2</v>
          </cell>
          <cell r="S47" t="str">
            <v>SW</v>
          </cell>
          <cell r="AG47">
            <v>18.759999999999991</v>
          </cell>
        </row>
        <row r="48">
          <cell r="K48">
            <v>-2.1896109946424359E-2</v>
          </cell>
          <cell r="S48" t="str">
            <v>SW</v>
          </cell>
          <cell r="AG48">
            <v>30</v>
          </cell>
        </row>
        <row r="49">
          <cell r="K49">
            <v>-6.1091353391655077E-4</v>
          </cell>
          <cell r="S49" t="str">
            <v>SW</v>
          </cell>
          <cell r="AG49">
            <v>12.089999999999918</v>
          </cell>
        </row>
        <row r="50">
          <cell r="K50">
            <v>7.1772275086505216E-2</v>
          </cell>
          <cell r="S50" t="str">
            <v>Dwn</v>
          </cell>
          <cell r="AG50">
            <v>43.154999999999973</v>
          </cell>
        </row>
        <row r="51">
          <cell r="K51">
            <v>-8.7666798411533395E-2</v>
          </cell>
          <cell r="S51" t="str">
            <v>Up</v>
          </cell>
          <cell r="AG51">
            <v>-41.340000000000032</v>
          </cell>
        </row>
        <row r="52">
          <cell r="K52">
            <v>3.1038556546020842E-2</v>
          </cell>
          <cell r="S52" t="str">
            <v>Dwn</v>
          </cell>
          <cell r="AG52">
            <v>-63.569999999999936</v>
          </cell>
        </row>
        <row r="53">
          <cell r="K53">
            <v>-9.1896606406596915E-2</v>
          </cell>
          <cell r="S53" t="str">
            <v>SW</v>
          </cell>
          <cell r="AG53">
            <v>-7.2153710751665585</v>
          </cell>
        </row>
        <row r="54">
          <cell r="K54">
            <v>-4.9903619618761913E-2</v>
          </cell>
          <cell r="S54" t="str">
            <v>SW</v>
          </cell>
          <cell r="AG54">
            <v>40.313291925465592</v>
          </cell>
        </row>
        <row r="55">
          <cell r="K55">
            <v>5.7062415734792551E-2</v>
          </cell>
          <cell r="S55" t="str">
            <v>SW</v>
          </cell>
          <cell r="AG55">
            <v>27.404999999999973</v>
          </cell>
        </row>
        <row r="56">
          <cell r="K56">
            <v>7.8140830800405292E-2</v>
          </cell>
          <cell r="S56" t="str">
            <v>Dwn</v>
          </cell>
          <cell r="AG56">
            <v>-16.650000000000091</v>
          </cell>
        </row>
        <row r="57">
          <cell r="K57">
            <v>2.9559587699122574E-2</v>
          </cell>
          <cell r="S57" t="str">
            <v>SW</v>
          </cell>
          <cell r="AG57">
            <v>10.990000000000009</v>
          </cell>
        </row>
        <row r="58">
          <cell r="K58">
            <v>4.4408238292183627E-2</v>
          </cell>
          <cell r="S58" t="str">
            <v>SW</v>
          </cell>
          <cell r="AG58">
            <v>-24.139999999999986</v>
          </cell>
        </row>
        <row r="59">
          <cell r="K59">
            <v>-3.6905911382898809E-2</v>
          </cell>
          <cell r="S59" t="str">
            <v>Dwn</v>
          </cell>
          <cell r="AG59">
            <v>-20.600000000000023</v>
          </cell>
        </row>
        <row r="60">
          <cell r="K60">
            <v>-4.0667361835245108E-2</v>
          </cell>
          <cell r="S60" t="str">
            <v>SW</v>
          </cell>
          <cell r="AG60">
            <v>-18.399999999999977</v>
          </cell>
        </row>
        <row r="61">
          <cell r="K61">
            <v>-0.11360658805914281</v>
          </cell>
          <cell r="S61" t="str">
            <v>Dwn</v>
          </cell>
          <cell r="AG61">
            <v>33.600000000000023</v>
          </cell>
        </row>
        <row r="62">
          <cell r="K62">
            <v>3.9952996474735672E-2</v>
          </cell>
          <cell r="S62" t="str">
            <v>SW</v>
          </cell>
          <cell r="AG62">
            <v>-2.6999999999999318</v>
          </cell>
        </row>
        <row r="63">
          <cell r="K63">
            <v>7.0975333025171297E-2</v>
          </cell>
          <cell r="S63" t="str">
            <v>SW</v>
          </cell>
          <cell r="AG63">
            <v>-12.57000000000005</v>
          </cell>
        </row>
        <row r="64">
          <cell r="K64">
            <v>3.005970763845997E-2</v>
          </cell>
          <cell r="S64" t="str">
            <v>SW</v>
          </cell>
          <cell r="AG64">
            <v>-19.200000000000045</v>
          </cell>
        </row>
        <row r="65">
          <cell r="K65">
            <v>8.5779127181280182E-2</v>
          </cell>
          <cell r="S65" t="str">
            <v>SW</v>
          </cell>
          <cell r="AG65">
            <v>-53.850000000000136</v>
          </cell>
        </row>
        <row r="66">
          <cell r="K66">
            <v>0.15619771863117865</v>
          </cell>
          <cell r="S66" t="str">
            <v>SW</v>
          </cell>
          <cell r="AG66">
            <v>-58.439999999999941</v>
          </cell>
        </row>
        <row r="67">
          <cell r="K67">
            <v>5.6425627575871128E-2</v>
          </cell>
          <cell r="S67" t="str">
            <v>SW</v>
          </cell>
          <cell r="AG67">
            <v>-29.519999999999868</v>
          </cell>
        </row>
        <row r="68">
          <cell r="K68">
            <v>-1.5764094955489642E-2</v>
          </cell>
          <cell r="S68" t="str">
            <v>SW</v>
          </cell>
          <cell r="AG68">
            <v>19.650000000000091</v>
          </cell>
        </row>
        <row r="69">
          <cell r="K69">
            <v>7.0637460004922409E-2</v>
          </cell>
          <cell r="S69" t="str">
            <v>SW</v>
          </cell>
          <cell r="AG69">
            <v>-8.1499999999999773</v>
          </cell>
        </row>
        <row r="70">
          <cell r="K70">
            <v>2.2727272727272728E-2</v>
          </cell>
          <cell r="S70" t="str">
            <v>Dwn</v>
          </cell>
          <cell r="AG70">
            <v>9.1500000000000909</v>
          </cell>
        </row>
        <row r="71">
          <cell r="K71">
            <v>5.0192073240862126E-2</v>
          </cell>
          <cell r="S71" t="str">
            <v>Dwn</v>
          </cell>
          <cell r="AG71">
            <v>49.82000000000005</v>
          </cell>
        </row>
        <row r="72">
          <cell r="K72">
            <v>-7.7217868786822776E-3</v>
          </cell>
          <cell r="S72" t="str">
            <v>Dwn</v>
          </cell>
          <cell r="AG72">
            <v>12.919999999999959</v>
          </cell>
        </row>
        <row r="73">
          <cell r="K73">
            <v>2.9431478886112875E-2</v>
          </cell>
          <cell r="S73" t="str">
            <v>Up</v>
          </cell>
          <cell r="AG73">
            <v>-4.1499999999999773</v>
          </cell>
        </row>
        <row r="74">
          <cell r="K74">
            <v>-3.972000651147644E-2</v>
          </cell>
          <cell r="S74" t="str">
            <v>Dwn</v>
          </cell>
          <cell r="AG74">
            <v>-4.2899999999999636</v>
          </cell>
        </row>
        <row r="75">
          <cell r="K75">
            <v>-3.3570567856604984E-2</v>
          </cell>
          <cell r="S75" t="str">
            <v>Up</v>
          </cell>
          <cell r="AG75">
            <v>14.505000000000109</v>
          </cell>
        </row>
        <row r="76">
          <cell r="K76">
            <v>6.90498369818352E-2</v>
          </cell>
          <cell r="S76" t="str">
            <v>SW</v>
          </cell>
          <cell r="AG76">
            <v>-6.6000000000000227</v>
          </cell>
        </row>
        <row r="77">
          <cell r="K77">
            <v>-1.1535662299854497E-2</v>
          </cell>
          <cell r="S77" t="str">
            <v>SW</v>
          </cell>
          <cell r="AG77">
            <v>-17.699999999999932</v>
          </cell>
        </row>
        <row r="78">
          <cell r="K78">
            <v>5.2077853761178357E-2</v>
          </cell>
          <cell r="S78" t="str">
            <v>SW</v>
          </cell>
          <cell r="AG78">
            <v>-8.6399999999999864</v>
          </cell>
        </row>
        <row r="79">
          <cell r="K79">
            <v>-3.0419403739262305E-2</v>
          </cell>
          <cell r="S79" t="str">
            <v>SW</v>
          </cell>
          <cell r="AG79">
            <v>-29.120000000000005</v>
          </cell>
        </row>
        <row r="80">
          <cell r="K80">
            <v>8.2024318107131053E-2</v>
          </cell>
          <cell r="S80" t="str">
            <v>SW</v>
          </cell>
          <cell r="AG80">
            <v>-12.5</v>
          </cell>
        </row>
        <row r="81">
          <cell r="K81">
            <v>-1.7068666405506808E-2</v>
          </cell>
          <cell r="S81" t="str">
            <v>SW</v>
          </cell>
          <cell r="AG81">
            <v>59.100000000000136</v>
          </cell>
        </row>
        <row r="82">
          <cell r="K82">
            <v>-5.8273586442887319E-2</v>
          </cell>
          <cell r="S82" t="str">
            <v>SW</v>
          </cell>
          <cell r="AG82">
            <v>-7.3799999999999955</v>
          </cell>
        </row>
        <row r="83">
          <cell r="K83">
            <v>2.617801047120311E-3</v>
          </cell>
          <cell r="S83" t="str">
            <v>Dwn</v>
          </cell>
          <cell r="AG83">
            <v>-52.908667830133709</v>
          </cell>
        </row>
        <row r="84">
          <cell r="K84">
            <v>9.0237899917966543E-3</v>
          </cell>
          <cell r="S84" t="str">
            <v>SW</v>
          </cell>
          <cell r="AG84">
            <v>5.779999999999859</v>
          </cell>
        </row>
        <row r="85">
          <cell r="K85">
            <v>5.3079761566846573E-2</v>
          </cell>
          <cell r="S85" t="str">
            <v>Dwn</v>
          </cell>
          <cell r="AG85">
            <v>-11.159999999999854</v>
          </cell>
        </row>
        <row r="86">
          <cell r="K86">
            <v>4.4058144762475611E-2</v>
          </cell>
          <cell r="S86" t="str">
            <v>Dwn</v>
          </cell>
          <cell r="AG86">
            <v>-14.760000000000105</v>
          </cell>
        </row>
        <row r="87">
          <cell r="K87">
            <v>-3.409090909090913E-2</v>
          </cell>
          <cell r="S87" t="str">
            <v>SW</v>
          </cell>
          <cell r="AG87">
            <v>54.300000000000068</v>
          </cell>
        </row>
        <row r="88">
          <cell r="K88">
            <v>-0.1108245048364809</v>
          </cell>
          <cell r="S88" t="str">
            <v>SW</v>
          </cell>
          <cell r="AG88">
            <v>-64.559999999999945</v>
          </cell>
        </row>
        <row r="89">
          <cell r="K89">
            <v>1.0798522307473787E-2</v>
          </cell>
          <cell r="S89" t="str">
            <v>Dwn</v>
          </cell>
          <cell r="AG89">
            <v>-51.500000000000114</v>
          </cell>
        </row>
        <row r="90">
          <cell r="K90">
            <v>-3.1557352320038555E-2</v>
          </cell>
          <cell r="S90" t="str">
            <v>SW</v>
          </cell>
          <cell r="AG90">
            <v>-4.8500000000000227</v>
          </cell>
        </row>
        <row r="91">
          <cell r="K91">
            <v>-6.0395591121857541E-4</v>
          </cell>
          <cell r="S91" t="str">
            <v>Dwn</v>
          </cell>
          <cell r="AG91">
            <v>-22.620000000000118</v>
          </cell>
        </row>
        <row r="92">
          <cell r="K92">
            <v>-5.2461552461552464E-2</v>
          </cell>
          <cell r="S92" t="str">
            <v>Dwn</v>
          </cell>
          <cell r="AG92">
            <v>-28.799999999999955</v>
          </cell>
        </row>
        <row r="93">
          <cell r="K93">
            <v>-1.9047619047619126E-2</v>
          </cell>
          <cell r="S93" t="str">
            <v>SW</v>
          </cell>
          <cell r="AG93">
            <v>31.67999999999995</v>
          </cell>
        </row>
        <row r="94">
          <cell r="K94">
            <v>-7.2236727589207961E-2</v>
          </cell>
          <cell r="S94" t="str">
            <v>Dwn</v>
          </cell>
          <cell r="AG94">
            <v>-30.25</v>
          </cell>
        </row>
        <row r="95">
          <cell r="K95">
            <v>1.3100436681222707E-2</v>
          </cell>
          <cell r="S95" t="str">
            <v>Dwn</v>
          </cell>
          <cell r="AG95">
            <v>18.480000000000018</v>
          </cell>
        </row>
        <row r="96">
          <cell r="K96">
            <v>-1.6551724137931049E-2</v>
          </cell>
          <cell r="S96" t="str">
            <v>Dwn</v>
          </cell>
          <cell r="AG96">
            <v>-37.200000000000045</v>
          </cell>
        </row>
        <row r="97">
          <cell r="K97">
            <v>-5.1469138237034105E-2</v>
          </cell>
          <cell r="S97" t="str">
            <v>SW</v>
          </cell>
          <cell r="AG97">
            <v>15.085781897061679</v>
          </cell>
        </row>
        <row r="98">
          <cell r="K98">
            <v>-3.8292756236850044E-2</v>
          </cell>
          <cell r="S98" t="str">
            <v>SW</v>
          </cell>
          <cell r="AG98">
            <v>48.700000000000045</v>
          </cell>
        </row>
        <row r="99">
          <cell r="K99">
            <v>-5.8420116840232888E-3</v>
          </cell>
          <cell r="S99" t="str">
            <v>Dwn</v>
          </cell>
          <cell r="AG99">
            <v>-15.600000000000136</v>
          </cell>
        </row>
        <row r="100">
          <cell r="K100">
            <v>-5.6938000843526106E-3</v>
          </cell>
          <cell r="S100" t="str">
            <v>Dwn</v>
          </cell>
          <cell r="AG100">
            <v>36.839999999999918</v>
          </cell>
        </row>
        <row r="101">
          <cell r="K101">
            <v>-1.2157428394807405E-2</v>
          </cell>
          <cell r="S101" t="str">
            <v>Dwn</v>
          </cell>
          <cell r="AG101">
            <v>-13.5</v>
          </cell>
        </row>
        <row r="102">
          <cell r="K102">
            <v>2.2509378907878397E-2</v>
          </cell>
          <cell r="S102" t="str">
            <v>Dwn</v>
          </cell>
          <cell r="AG102">
            <v>-19.249999999999886</v>
          </cell>
        </row>
        <row r="103">
          <cell r="K103">
            <v>-3.8689769760265905E-2</v>
          </cell>
          <cell r="S103" t="str">
            <v>SW</v>
          </cell>
          <cell r="AG103">
            <v>-64.800000000000068</v>
          </cell>
        </row>
        <row r="104">
          <cell r="K104">
            <v>7.515657620041756E-2</v>
          </cell>
          <cell r="S104" t="str">
            <v>Dwn</v>
          </cell>
          <cell r="AG104">
            <v>-59.519999999999982</v>
          </cell>
        </row>
        <row r="105">
          <cell r="K105">
            <v>-2.7564649048024976E-2</v>
          </cell>
          <cell r="S105" t="str">
            <v>SW</v>
          </cell>
          <cell r="AG105">
            <v>6</v>
          </cell>
        </row>
        <row r="106">
          <cell r="K106">
            <v>-1.1557486940039757E-3</v>
          </cell>
          <cell r="S106" t="str">
            <v>SW</v>
          </cell>
          <cell r="AG106">
            <v>0.84000000000003183</v>
          </cell>
        </row>
        <row r="107">
          <cell r="K107">
            <v>-7.2583721107635973E-2</v>
          </cell>
          <cell r="S107" t="str">
            <v>Up</v>
          </cell>
          <cell r="AG107">
            <v>-41.519999999999982</v>
          </cell>
        </row>
        <row r="108">
          <cell r="K108">
            <v>-1.5095605501508941E-3</v>
          </cell>
          <cell r="S108" t="str">
            <v>SW</v>
          </cell>
          <cell r="AG108">
            <v>-2.3999999999999773</v>
          </cell>
        </row>
        <row r="109">
          <cell r="K109">
            <v>-4.5595149715416831E-2</v>
          </cell>
          <cell r="S109" t="str">
            <v>Dwn</v>
          </cell>
          <cell r="AG109">
            <v>14.245000000000005</v>
          </cell>
        </row>
        <row r="110">
          <cell r="K110">
            <v>1.175444425984388E-2</v>
          </cell>
          <cell r="S110" t="str">
            <v>Up</v>
          </cell>
          <cell r="AG110">
            <v>-0.12000000000000455</v>
          </cell>
        </row>
        <row r="111">
          <cell r="K111">
            <v>-8.1898557468589955E-2</v>
          </cell>
          <cell r="S111" t="str">
            <v>SW</v>
          </cell>
          <cell r="AG111">
            <v>14.399999999999977</v>
          </cell>
        </row>
        <row r="112">
          <cell r="K112">
            <v>3.4867157986003566E-2</v>
          </cell>
          <cell r="S112" t="str">
            <v>SW</v>
          </cell>
          <cell r="AG112">
            <v>-19.5</v>
          </cell>
        </row>
        <row r="113">
          <cell r="K113">
            <v>-3.2689590202543556E-2</v>
          </cell>
          <cell r="S113" t="str">
            <v>SW</v>
          </cell>
          <cell r="AG113">
            <v>8.819999999999709</v>
          </cell>
        </row>
        <row r="114">
          <cell r="K114">
            <v>-1.8322359003721745E-2</v>
          </cell>
          <cell r="S114" t="str">
            <v>Dwn</v>
          </cell>
          <cell r="AG114">
            <v>-5.7500000000001137</v>
          </cell>
        </row>
        <row r="115">
          <cell r="K115">
            <v>-1.3468335084535262E-2</v>
          </cell>
          <cell r="S115" t="str">
            <v>Dwn</v>
          </cell>
          <cell r="AG115">
            <v>-6.2100000000000364</v>
          </cell>
        </row>
        <row r="116">
          <cell r="K116">
            <v>2.5892621774406065E-2</v>
          </cell>
          <cell r="S116" t="str">
            <v>SW</v>
          </cell>
          <cell r="AG116">
            <v>-66.990000000000009</v>
          </cell>
        </row>
        <row r="117">
          <cell r="K117">
            <v>3.7423074790707986E-2</v>
          </cell>
          <cell r="S117" t="str">
            <v>SW</v>
          </cell>
          <cell r="AG117">
            <v>-5.2891279037534105</v>
          </cell>
        </row>
        <row r="118">
          <cell r="K118">
            <v>3.009708737864069E-2</v>
          </cell>
          <cell r="S118" t="str">
            <v>SW</v>
          </cell>
          <cell r="AG118">
            <v>-15.800000000000068</v>
          </cell>
        </row>
        <row r="119">
          <cell r="K119">
            <v>7.2078251274863614E-2</v>
          </cell>
          <cell r="S119" t="str">
            <v>SW</v>
          </cell>
          <cell r="AG119">
            <v>42.449999999999818</v>
          </cell>
        </row>
        <row r="120">
          <cell r="K120">
            <v>-2.8691983122362916E-2</v>
          </cell>
          <cell r="S120" t="str">
            <v>Dwn</v>
          </cell>
          <cell r="AG120">
            <v>-28.349999999999909</v>
          </cell>
        </row>
        <row r="121">
          <cell r="K121">
            <v>-2.3298190810881064E-2</v>
          </cell>
          <cell r="S121" t="str">
            <v>Dwn</v>
          </cell>
          <cell r="AG121">
            <v>1.9523623584537972</v>
          </cell>
        </row>
        <row r="122">
          <cell r="K122">
            <v>6.1382203576948575E-2</v>
          </cell>
          <cell r="S122" t="str">
            <v>SW</v>
          </cell>
          <cell r="AG122">
            <v>-39.240000000000236</v>
          </cell>
        </row>
        <row r="123">
          <cell r="K123">
            <v>-2.6082933317910999E-2</v>
          </cell>
          <cell r="S123" t="str">
            <v>SW</v>
          </cell>
          <cell r="AG123">
            <v>20.879999999999882</v>
          </cell>
        </row>
        <row r="124">
          <cell r="K124">
            <v>-1.2524663292442256E-2</v>
          </cell>
          <cell r="S124" t="str">
            <v>Dwn</v>
          </cell>
          <cell r="AG124">
            <v>-32.940000000000055</v>
          </cell>
        </row>
        <row r="125">
          <cell r="K125">
            <v>-2.2175659158372673E-2</v>
          </cell>
          <cell r="S125" t="str">
            <v>Up</v>
          </cell>
          <cell r="AG125">
            <v>24</v>
          </cell>
        </row>
        <row r="126">
          <cell r="K126">
            <v>-6.2674094707520792E-2</v>
          </cell>
          <cell r="S126" t="str">
            <v>SW</v>
          </cell>
          <cell r="AG126">
            <v>3.0999999999996817</v>
          </cell>
        </row>
        <row r="127">
          <cell r="K127">
            <v>-1.9013845399328558E-2</v>
          </cell>
          <cell r="S127" t="str">
            <v>SW</v>
          </cell>
          <cell r="AG127">
            <v>10.760000000000218</v>
          </cell>
        </row>
        <row r="128">
          <cell r="K128">
            <v>-7.5035670607419599E-2</v>
          </cell>
          <cell r="S128" t="str">
            <v>Dwn</v>
          </cell>
          <cell r="AG128">
            <v>-5.5250000000000909</v>
          </cell>
        </row>
        <row r="129">
          <cell r="K129">
            <v>1.364877161055497E-2</v>
          </cell>
          <cell r="S129" t="str">
            <v>SW</v>
          </cell>
          <cell r="AG129">
            <v>50.320000000000164</v>
          </cell>
        </row>
        <row r="130">
          <cell r="K130">
            <v>2.4964171790485903E-2</v>
          </cell>
          <cell r="S130" t="str">
            <v>SW</v>
          </cell>
          <cell r="AG130">
            <v>-25.649999999999864</v>
          </cell>
        </row>
        <row r="131">
          <cell r="K131">
            <v>3.9434075857916986E-2</v>
          </cell>
          <cell r="S131" t="str">
            <v>Dwn</v>
          </cell>
          <cell r="AG131">
            <v>-8.4899999999997817</v>
          </cell>
        </row>
        <row r="132">
          <cell r="K132">
            <v>1.3537906137184115E-2</v>
          </cell>
          <cell r="S132" t="str">
            <v>SW</v>
          </cell>
          <cell r="AG132">
            <v>9.0499999999999545</v>
          </cell>
        </row>
        <row r="133">
          <cell r="K133">
            <v>2.3772769373263229E-2</v>
          </cell>
          <cell r="S133" t="str">
            <v>Dwn</v>
          </cell>
          <cell r="AG133">
            <v>-11.200000000000045</v>
          </cell>
        </row>
        <row r="134">
          <cell r="K134">
            <v>-3.3710801393728139E-2</v>
          </cell>
          <cell r="S134" t="str">
            <v>SW</v>
          </cell>
          <cell r="AG134">
            <v>74.239999999999895</v>
          </cell>
        </row>
        <row r="135">
          <cell r="K135">
            <v>1.474852410455388E-2</v>
          </cell>
          <cell r="S135" t="str">
            <v>Dwn</v>
          </cell>
          <cell r="AG135">
            <v>-10.639999999999986</v>
          </cell>
        </row>
        <row r="136">
          <cell r="K136">
            <v>-2.8154106689246516E-2</v>
          </cell>
          <cell r="S136" t="str">
            <v>SW</v>
          </cell>
          <cell r="AG136">
            <v>20.600000000000023</v>
          </cell>
        </row>
        <row r="137">
          <cell r="K137">
            <v>-5.8452846588439911E-2</v>
          </cell>
          <cell r="S137" t="str">
            <v>Dwn</v>
          </cell>
          <cell r="AG137">
            <v>-36.300000000000182</v>
          </cell>
        </row>
        <row r="138">
          <cell r="K138">
            <v>-2.9253053109911987E-2</v>
          </cell>
          <cell r="S138" t="str">
            <v>Dwn</v>
          </cell>
          <cell r="AG138">
            <v>-26.319999999999936</v>
          </cell>
        </row>
        <row r="139">
          <cell r="K139">
            <v>-2.040816326530609E-2</v>
          </cell>
          <cell r="S139" t="str">
            <v>Dwn</v>
          </cell>
          <cell r="AG139">
            <v>-28.980000000000018</v>
          </cell>
        </row>
        <row r="140">
          <cell r="K140">
            <v>-1.1226696879184296E-2</v>
          </cell>
          <cell r="S140" t="str">
            <v>Dwn</v>
          </cell>
          <cell r="AG140">
            <v>-7.3000000000000682</v>
          </cell>
        </row>
        <row r="141">
          <cell r="K141">
            <v>-2.0450249183708503E-2</v>
          </cell>
          <cell r="S141" t="str">
            <v>Up</v>
          </cell>
          <cell r="AG141">
            <v>35.400000000000091</v>
          </cell>
        </row>
        <row r="142">
          <cell r="K142">
            <v>-9.5444685466378482E-3</v>
          </cell>
          <cell r="S142" t="str">
            <v>Dwn</v>
          </cell>
          <cell r="AG142">
            <v>-41.279999999999973</v>
          </cell>
        </row>
        <row r="143">
          <cell r="K143">
            <v>-5.1921079958463867E-3</v>
          </cell>
          <cell r="S143" t="str">
            <v>Dwn</v>
          </cell>
          <cell r="AG143">
            <v>26.25</v>
          </cell>
        </row>
        <row r="144">
          <cell r="K144">
            <v>-8.3577099874635533E-3</v>
          </cell>
          <cell r="S144" t="str">
            <v>SW</v>
          </cell>
          <cell r="AG144">
            <v>16.239999999999895</v>
          </cell>
        </row>
        <row r="145">
          <cell r="K145">
            <v>2.7067732083838843E-2</v>
          </cell>
          <cell r="S145" t="str">
            <v>Dwn</v>
          </cell>
          <cell r="AG145">
            <v>-5.6399999999999864</v>
          </cell>
        </row>
        <row r="146">
          <cell r="K146">
            <v>7.6471312990266563E-2</v>
          </cell>
          <cell r="S146" t="str">
            <v>Dwn</v>
          </cell>
          <cell r="AG146">
            <v>24.240000000000009</v>
          </cell>
        </row>
        <row r="147">
          <cell r="K147">
            <v>2.217772986292927E-2</v>
          </cell>
          <cell r="S147" t="str">
            <v>Dwn</v>
          </cell>
          <cell r="AG147">
            <v>0.8000000000001819</v>
          </cell>
        </row>
        <row r="148">
          <cell r="K148">
            <v>2.9503644567858678E-3</v>
          </cell>
          <cell r="S148" t="str">
            <v>Dwn</v>
          </cell>
          <cell r="AG148">
            <v>0.84999999999990905</v>
          </cell>
        </row>
        <row r="149">
          <cell r="K149">
            <v>-8.039485315784306E-2</v>
          </cell>
          <cell r="S149" t="str">
            <v>Dwn</v>
          </cell>
          <cell r="AG149">
            <v>-14.319999999999936</v>
          </cell>
        </row>
        <row r="150">
          <cell r="K150">
            <v>2.657004830917873E-2</v>
          </cell>
          <cell r="S150" t="str">
            <v>Dwn</v>
          </cell>
          <cell r="AG150">
            <v>3.4200000000000728</v>
          </cell>
        </row>
        <row r="151">
          <cell r="K151">
            <v>3.383833349945177E-2</v>
          </cell>
          <cell r="S151" t="str">
            <v>Dwn</v>
          </cell>
          <cell r="AG151">
            <v>-20.200000000000045</v>
          </cell>
        </row>
        <row r="152">
          <cell r="K152">
            <v>7.0454545454545575E-2</v>
          </cell>
          <cell r="S152" t="str">
            <v>SW</v>
          </cell>
          <cell r="AG152">
            <v>-64.5</v>
          </cell>
        </row>
        <row r="153">
          <cell r="K153">
            <v>6.0591465176765169E-2</v>
          </cell>
          <cell r="S153" t="str">
            <v>SW</v>
          </cell>
          <cell r="AG153">
            <v>-12.400000000000091</v>
          </cell>
        </row>
        <row r="154">
          <cell r="K154">
            <v>-1.4394671822967057E-2</v>
          </cell>
          <cell r="S154" t="str">
            <v>SW</v>
          </cell>
          <cell r="AG154">
            <v>45.650000000000091</v>
          </cell>
        </row>
        <row r="155">
          <cell r="K155">
            <v>6.783088235294131E-2</v>
          </cell>
          <cell r="S155" t="str">
            <v>SW</v>
          </cell>
          <cell r="AG155">
            <v>50.634999999999991</v>
          </cell>
        </row>
        <row r="156">
          <cell r="K156">
            <v>-0.14521452145214525</v>
          </cell>
          <cell r="S156" t="str">
            <v>Dwn</v>
          </cell>
          <cell r="AG156">
            <v>-20.900000000000091</v>
          </cell>
        </row>
        <row r="157">
          <cell r="K157">
            <v>-9.9941072480848436E-2</v>
          </cell>
          <cell r="S157" t="str">
            <v>SW</v>
          </cell>
          <cell r="AG157">
            <v>44.159999999999854</v>
          </cell>
        </row>
        <row r="158">
          <cell r="K158">
            <v>-2.0730850316233264E-2</v>
          </cell>
          <cell r="S158" t="str">
            <v>SW</v>
          </cell>
          <cell r="AG158">
            <v>33.180000000000064</v>
          </cell>
        </row>
        <row r="159">
          <cell r="K159">
            <v>-4.3078255222426712E-2</v>
          </cell>
          <cell r="S159" t="str">
            <v>SW</v>
          </cell>
          <cell r="AG159">
            <v>24.970000000000027</v>
          </cell>
        </row>
        <row r="160">
          <cell r="K160">
            <v>-0.12011804138735072</v>
          </cell>
          <cell r="S160" t="str">
            <v>Dwn</v>
          </cell>
          <cell r="AG160">
            <v>-40.519999999999982</v>
          </cell>
        </row>
        <row r="161">
          <cell r="K161">
            <v>3.3472803347280367E-2</v>
          </cell>
          <cell r="S161" t="str">
            <v>SW</v>
          </cell>
          <cell r="AG161">
            <v>-0.5</v>
          </cell>
        </row>
        <row r="162">
          <cell r="K162">
            <v>2.6080743122543781E-2</v>
          </cell>
          <cell r="S162" t="str">
            <v>SW</v>
          </cell>
          <cell r="AG162">
            <v>-61.419999999999959</v>
          </cell>
        </row>
        <row r="163">
          <cell r="K163">
            <v>-0.13524346793349168</v>
          </cell>
          <cell r="S163" t="str">
            <v>SW</v>
          </cell>
          <cell r="AG163">
            <v>43.350000000000023</v>
          </cell>
        </row>
        <row r="164">
          <cell r="K164">
            <v>3.6862147753236665E-2</v>
          </cell>
          <cell r="S164" t="str">
            <v>SW</v>
          </cell>
          <cell r="AG164">
            <v>0.89999999999997726</v>
          </cell>
        </row>
        <row r="165">
          <cell r="K165">
            <v>6.4767219856072797E-2</v>
          </cell>
          <cell r="S165" t="str">
            <v>SW</v>
          </cell>
          <cell r="AG165">
            <v>-32.549999999999955</v>
          </cell>
        </row>
        <row r="166">
          <cell r="K166">
            <v>-1.9616719480911381E-2</v>
          </cell>
          <cell r="S166" t="str">
            <v>Dwn</v>
          </cell>
          <cell r="AG166">
            <v>7.1199999999998909</v>
          </cell>
        </row>
        <row r="167">
          <cell r="K167">
            <v>5.8099458394879358E-2</v>
          </cell>
          <cell r="S167" t="str">
            <v>Dwn</v>
          </cell>
          <cell r="AG167">
            <v>-22</v>
          </cell>
        </row>
        <row r="168">
          <cell r="K168">
            <v>2.5406636304489274E-2</v>
          </cell>
          <cell r="S168" t="str">
            <v>SW</v>
          </cell>
          <cell r="AG168">
            <v>-23.759999999999991</v>
          </cell>
        </row>
        <row r="169">
          <cell r="K169">
            <v>5.8199411498415551E-2</v>
          </cell>
          <cell r="S169" t="str">
            <v>SW</v>
          </cell>
          <cell r="AG169">
            <v>27.900000000000091</v>
          </cell>
        </row>
        <row r="170">
          <cell r="K170">
            <v>-7.7352637021716837E-3</v>
          </cell>
          <cell r="S170" t="str">
            <v>SW</v>
          </cell>
          <cell r="AG170">
            <v>0.12000000000000455</v>
          </cell>
        </row>
        <row r="171">
          <cell r="K171">
            <v>-1.7006457720525992E-2</v>
          </cell>
          <cell r="S171" t="str">
            <v>SW</v>
          </cell>
          <cell r="AG171">
            <v>39.440000000000055</v>
          </cell>
        </row>
        <row r="172">
          <cell r="K172">
            <v>-7.495276086500105E-2</v>
          </cell>
          <cell r="S172" t="str">
            <v>Dwn</v>
          </cell>
          <cell r="AG172">
            <v>-34.019999999999982</v>
          </cell>
        </row>
        <row r="173">
          <cell r="K173">
            <v>-1.3541878258513686E-3</v>
          </cell>
          <cell r="S173" t="str">
            <v>SW</v>
          </cell>
          <cell r="AG173">
            <v>20.649999999999864</v>
          </cell>
        </row>
        <row r="174">
          <cell r="K174">
            <v>-2.8170257859413617E-2</v>
          </cell>
          <cell r="S174" t="str">
            <v>Dwn</v>
          </cell>
          <cell r="AG174">
            <v>-38.970000000000141</v>
          </cell>
        </row>
        <row r="175">
          <cell r="K175">
            <v>-8.8780009799118098E-2</v>
          </cell>
          <cell r="S175" t="str">
            <v>SW</v>
          </cell>
          <cell r="AG175">
            <v>4.4500000000000455</v>
          </cell>
        </row>
        <row r="176">
          <cell r="K176">
            <v>3.2647730982701808E-4</v>
          </cell>
          <cell r="S176" t="str">
            <v>Dwn</v>
          </cell>
          <cell r="AG176">
            <v>20.159999999999968</v>
          </cell>
        </row>
        <row r="177">
          <cell r="K177">
            <v>3.1179947014469151E-2</v>
          </cell>
          <cell r="S177" t="str">
            <v>SW</v>
          </cell>
          <cell r="AG177">
            <v>37.319999999999936</v>
          </cell>
        </row>
        <row r="178">
          <cell r="K178">
            <v>-0.10011507479861902</v>
          </cell>
          <cell r="S178" t="str">
            <v>Dwn</v>
          </cell>
          <cell r="AG178">
            <v>-23.399999999999977</v>
          </cell>
        </row>
        <row r="179">
          <cell r="K179">
            <v>9.0699792541618238E-2</v>
          </cell>
          <cell r="S179" t="str">
            <v>SW</v>
          </cell>
          <cell r="AG179">
            <v>-17.130000000000109</v>
          </cell>
        </row>
        <row r="180">
          <cell r="K180">
            <v>-3.4076526141563076E-3</v>
          </cell>
          <cell r="S180" t="str">
            <v>Dwn</v>
          </cell>
          <cell r="AG180">
            <v>6.9300000000000637</v>
          </cell>
        </row>
        <row r="181">
          <cell r="K181">
            <v>7.8460837887067481E-2</v>
          </cell>
          <cell r="S181" t="str">
            <v>SW</v>
          </cell>
          <cell r="AG181">
            <v>-39.730000000000018</v>
          </cell>
        </row>
        <row r="182">
          <cell r="K182">
            <v>-1.8045281327056708E-2</v>
          </cell>
          <cell r="S182" t="str">
            <v>Dwn</v>
          </cell>
          <cell r="AG182">
            <v>-34.710000000000036</v>
          </cell>
        </row>
        <row r="183">
          <cell r="K183">
            <v>-3.1965648854961913E-2</v>
          </cell>
          <cell r="S183" t="str">
            <v>Dwn</v>
          </cell>
          <cell r="AG183">
            <v>57.509999999999764</v>
          </cell>
        </row>
        <row r="184">
          <cell r="K184">
            <v>-2.9260213470739847E-2</v>
          </cell>
          <cell r="S184" t="str">
            <v>SW</v>
          </cell>
          <cell r="AG184">
            <v>-19.799999999999955</v>
          </cell>
        </row>
        <row r="185">
          <cell r="K185">
            <v>-1.8650133575280958E-2</v>
          </cell>
          <cell r="S185" t="str">
            <v>SW</v>
          </cell>
          <cell r="AG185">
            <v>15.300000000000182</v>
          </cell>
        </row>
        <row r="186">
          <cell r="K186">
            <v>4.2680440396900922E-2</v>
          </cell>
          <cell r="S186" t="str">
            <v>SW</v>
          </cell>
          <cell r="AG186">
            <v>-22.199999999999818</v>
          </cell>
        </row>
        <row r="187">
          <cell r="K187">
            <v>3.3780731754533222E-2</v>
          </cell>
          <cell r="S187" t="str">
            <v>SW</v>
          </cell>
          <cell r="AG187">
            <v>-19.325000000000045</v>
          </cell>
        </row>
        <row r="188">
          <cell r="K188">
            <v>9.6364685516445392E-2</v>
          </cell>
          <cell r="S188" t="str">
            <v>Dwn</v>
          </cell>
          <cell r="AG188">
            <v>79.559999999999945</v>
          </cell>
        </row>
        <row r="189">
          <cell r="K189">
            <v>5.022250476795926E-2</v>
          </cell>
          <cell r="S189" t="str">
            <v>Dwn</v>
          </cell>
          <cell r="AG189">
            <v>76.299999999999955</v>
          </cell>
        </row>
        <row r="190">
          <cell r="K190">
            <v>5.7167985927881514E-3</v>
          </cell>
          <cell r="S190" t="str">
            <v>Dwn</v>
          </cell>
          <cell r="AG190">
            <v>-2</v>
          </cell>
        </row>
        <row r="191">
          <cell r="K191">
            <v>2.7728873239436628E-2</v>
          </cell>
          <cell r="S191" t="str">
            <v>SW</v>
          </cell>
          <cell r="AG191">
            <v>-38.079999999999927</v>
          </cell>
        </row>
        <row r="192">
          <cell r="K192">
            <v>-6.5135390004041602E-2</v>
          </cell>
          <cell r="S192" t="str">
            <v>Dwn</v>
          </cell>
          <cell r="AG192">
            <v>28.639999999999873</v>
          </cell>
        </row>
        <row r="193">
          <cell r="K193">
            <v>1.3068860289239741E-2</v>
          </cell>
          <cell r="S193" t="str">
            <v>Dwn</v>
          </cell>
          <cell r="AG193">
            <v>8.7750000000000909</v>
          </cell>
        </row>
        <row r="194">
          <cell r="K194">
            <v>4.1030340052942385E-2</v>
          </cell>
          <cell r="S194" t="str">
            <v>SW</v>
          </cell>
          <cell r="AG194">
            <v>-108.12000000000012</v>
          </cell>
        </row>
        <row r="195">
          <cell r="K195">
            <v>4.8163962425277547E-2</v>
          </cell>
          <cell r="S195" t="str">
            <v>Dwn</v>
          </cell>
          <cell r="AG195">
            <v>40.999999999999773</v>
          </cell>
        </row>
        <row r="196">
          <cell r="K196">
            <v>-1.9197654726835458E-2</v>
          </cell>
          <cell r="S196" t="str">
            <v>SW</v>
          </cell>
          <cell r="AG196">
            <v>-25.7800000000002</v>
          </cell>
        </row>
        <row r="197">
          <cell r="K197">
            <v>-0.11843763124737507</v>
          </cell>
          <cell r="S197" t="str">
            <v>Dwn</v>
          </cell>
          <cell r="AG197">
            <v>71.299999999999955</v>
          </cell>
        </row>
        <row r="198">
          <cell r="K198">
            <v>5.7653618439960919E-2</v>
          </cell>
          <cell r="S198" t="str">
            <v>Dwn</v>
          </cell>
          <cell r="AG198">
            <v>61.25</v>
          </cell>
        </row>
        <row r="199">
          <cell r="K199">
            <v>7.5720028635938097E-3</v>
          </cell>
          <cell r="S199" t="str">
            <v>SW</v>
          </cell>
          <cell r="AG199">
            <v>-68.429999999999836</v>
          </cell>
        </row>
        <row r="200">
          <cell r="K200">
            <v>3.5397584206109819E-3</v>
          </cell>
          <cell r="S200" t="str">
            <v>SW</v>
          </cell>
          <cell r="AG200">
            <v>-6.7400000000000091</v>
          </cell>
        </row>
        <row r="201">
          <cell r="K201">
            <v>-1.3802950975725972E-2</v>
          </cell>
          <cell r="S201" t="str">
            <v>Dwn</v>
          </cell>
          <cell r="AG201">
            <v>25.220000000000027</v>
          </cell>
        </row>
        <row r="202">
          <cell r="K202">
            <v>-5.8638916418896079E-3</v>
          </cell>
          <cell r="S202" t="str">
            <v>Dwn</v>
          </cell>
          <cell r="AG202">
            <v>-5.040000000000191</v>
          </cell>
        </row>
        <row r="203">
          <cell r="K203">
            <v>-4.5999483566343174E-2</v>
          </cell>
          <cell r="S203" t="str">
            <v>Dwn</v>
          </cell>
          <cell r="AG203">
            <v>-54.160000000000082</v>
          </cell>
        </row>
        <row r="204">
          <cell r="K204">
            <v>-2.0319099014547176E-2</v>
          </cell>
          <cell r="S204" t="str">
            <v>Up</v>
          </cell>
          <cell r="AG204">
            <v>1.4550000000000409</v>
          </cell>
        </row>
        <row r="205">
          <cell r="K205">
            <v>-6.3280241067584966E-2</v>
          </cell>
          <cell r="S205" t="str">
            <v>Dwn</v>
          </cell>
          <cell r="AG205">
            <v>-24</v>
          </cell>
        </row>
        <row r="206">
          <cell r="K206">
            <v>1.5486067497438279E-2</v>
          </cell>
          <cell r="S206" t="str">
            <v>SW</v>
          </cell>
          <cell r="AG206">
            <v>-8.6199999999998909</v>
          </cell>
        </row>
        <row r="207">
          <cell r="K207">
            <v>-9.0593814141128257E-3</v>
          </cell>
          <cell r="S207" t="str">
            <v>Up</v>
          </cell>
          <cell r="AG207">
            <v>38.6400000000001</v>
          </cell>
        </row>
        <row r="208">
          <cell r="K208">
            <v>2.0901875408811867E-2</v>
          </cell>
          <cell r="S208" t="str">
            <v>SW</v>
          </cell>
          <cell r="AG208">
            <v>7.7100000000000364</v>
          </cell>
        </row>
        <row r="209">
          <cell r="K209">
            <v>-6.3972216629756426E-2</v>
          </cell>
          <cell r="S209" t="str">
            <v>SW</v>
          </cell>
          <cell r="AG209">
            <v>-6.6550000000000864</v>
          </cell>
        </row>
        <row r="210">
          <cell r="K210">
            <v>8.2121807465618937E-2</v>
          </cell>
          <cell r="S210" t="str">
            <v>SW</v>
          </cell>
          <cell r="AG210">
            <v>6.3999999999999773</v>
          </cell>
        </row>
        <row r="211">
          <cell r="K211">
            <v>1.1289052244683699E-2</v>
          </cell>
          <cell r="S211" t="str">
            <v>Dwn</v>
          </cell>
          <cell r="AG211">
            <v>9.6300000000001091</v>
          </cell>
        </row>
        <row r="212">
          <cell r="K212">
            <v>-9.7888901993161033E-3</v>
          </cell>
          <cell r="S212" t="str">
            <v>SW</v>
          </cell>
          <cell r="AG212">
            <v>-3.9600000000000364</v>
          </cell>
        </row>
        <row r="213">
          <cell r="K213">
            <v>-1.3509006004002707E-2</v>
          </cell>
          <cell r="S213" t="str">
            <v>Dwn</v>
          </cell>
          <cell r="AG213">
            <v>5.2000000000000455</v>
          </cell>
        </row>
        <row r="214">
          <cell r="K214">
            <v>-6.1126870237499353E-2</v>
          </cell>
          <cell r="S214" t="str">
            <v>SW</v>
          </cell>
          <cell r="AG214">
            <v>-49.899999999999977</v>
          </cell>
        </row>
        <row r="215">
          <cell r="K215">
            <v>-3.4838823555369283E-2</v>
          </cell>
          <cell r="S215" t="str">
            <v>SW</v>
          </cell>
          <cell r="AG215">
            <v>21.220000000000027</v>
          </cell>
        </row>
        <row r="216">
          <cell r="K216">
            <v>-1.0299458236589806E-2</v>
          </cell>
          <cell r="S216" t="str">
            <v>SW</v>
          </cell>
          <cell r="AG216">
            <v>29.667904983032713</v>
          </cell>
        </row>
        <row r="217">
          <cell r="K217">
            <v>-5.2634726957353634E-3</v>
          </cell>
          <cell r="S217" t="str">
            <v>Dwn</v>
          </cell>
          <cell r="AG217">
            <v>37.170000000000073</v>
          </cell>
        </row>
        <row r="218">
          <cell r="K218">
            <v>-3.2597266035751832E-2</v>
          </cell>
          <cell r="S218" t="str">
            <v>Dwn</v>
          </cell>
          <cell r="AG218">
            <v>-35.200000000000045</v>
          </cell>
        </row>
        <row r="219">
          <cell r="K219">
            <v>8.2826990725935398E-2</v>
          </cell>
          <cell r="S219" t="str">
            <v>Dwn</v>
          </cell>
          <cell r="AG219">
            <v>-37.439999999999827</v>
          </cell>
        </row>
        <row r="220">
          <cell r="K220">
            <v>8.6793584170289415E-2</v>
          </cell>
          <cell r="S220" t="str">
            <v>SW</v>
          </cell>
          <cell r="AG220">
            <v>-48.799999999999955</v>
          </cell>
        </row>
        <row r="221">
          <cell r="K221">
            <v>5.6862462115745381E-2</v>
          </cell>
          <cell r="S221" t="str">
            <v>Up</v>
          </cell>
          <cell r="AG221">
            <v>10.990000000000009</v>
          </cell>
        </row>
        <row r="222">
          <cell r="K222">
            <v>3.1440487648379749E-2</v>
          </cell>
          <cell r="S222" t="str">
            <v>Dwn</v>
          </cell>
          <cell r="AG222">
            <v>51.799999999999955</v>
          </cell>
        </row>
        <row r="223">
          <cell r="K223">
            <v>9.4024394410468351E-2</v>
          </cell>
          <cell r="S223" t="str">
            <v>SW</v>
          </cell>
          <cell r="AG223">
            <v>6.8800000000001091</v>
          </cell>
        </row>
        <row r="224">
          <cell r="K224">
            <v>-2.9925603945498608E-2</v>
          </cell>
          <cell r="S224" t="str">
            <v>Dwn</v>
          </cell>
          <cell r="AG224">
            <v>37.079999999999927</v>
          </cell>
        </row>
        <row r="225">
          <cell r="K225">
            <v>3.2647390813579973E-2</v>
          </cell>
          <cell r="S225" t="str">
            <v>SW</v>
          </cell>
          <cell r="AG225">
            <v>-51.900000000000318</v>
          </cell>
        </row>
        <row r="226">
          <cell r="K226">
            <v>-1.1117612638970192E-2</v>
          </cell>
          <cell r="S226" t="str">
            <v>Dwn</v>
          </cell>
          <cell r="AG226">
            <v>46.619999999999891</v>
          </cell>
        </row>
        <row r="227">
          <cell r="K227">
            <v>-2.1534653465346529E-2</v>
          </cell>
          <cell r="S227" t="str">
            <v>Up</v>
          </cell>
          <cell r="AG227">
            <v>-36.680000000000064</v>
          </cell>
        </row>
        <row r="228">
          <cell r="K228">
            <v>2.1691072586140909E-2</v>
          </cell>
          <cell r="S228" t="str">
            <v>SW</v>
          </cell>
          <cell r="AG228">
            <v>44.420000000000073</v>
          </cell>
        </row>
        <row r="229">
          <cell r="K229">
            <v>2.4442335073564223E-2</v>
          </cell>
          <cell r="S229" t="str">
            <v>Dwn</v>
          </cell>
          <cell r="AG229">
            <v>-1.7100000000000364</v>
          </cell>
        </row>
        <row r="230">
          <cell r="K230">
            <v>-0.10625572968961455</v>
          </cell>
          <cell r="S230" t="str">
            <v>SW</v>
          </cell>
          <cell r="AG230">
            <v>18.749999999999886</v>
          </cell>
        </row>
        <row r="231">
          <cell r="K231">
            <v>-2.7900422733677772E-2</v>
          </cell>
          <cell r="S231" t="str">
            <v>Dwn</v>
          </cell>
          <cell r="AG231">
            <v>-13.309999999999945</v>
          </cell>
        </row>
        <row r="232">
          <cell r="K232">
            <v>-2.6738682852488763E-4</v>
          </cell>
          <cell r="S232" t="str">
            <v>SW</v>
          </cell>
          <cell r="AG232">
            <v>17.320000000000164</v>
          </cell>
        </row>
        <row r="233">
          <cell r="K233">
            <v>-2.5977238990599698E-3</v>
          </cell>
          <cell r="S233" t="str">
            <v>SW</v>
          </cell>
          <cell r="AG233">
            <v>42.420000000000073</v>
          </cell>
        </row>
        <row r="234">
          <cell r="K234">
            <v>-4.3318456287739712E-2</v>
          </cell>
          <cell r="S234" t="str">
            <v>Dwn</v>
          </cell>
          <cell r="AG234">
            <v>-29.850000000000364</v>
          </cell>
        </row>
        <row r="235">
          <cell r="K235">
            <v>-3.3892743296455981E-2</v>
          </cell>
          <cell r="S235" t="str">
            <v>SW</v>
          </cell>
          <cell r="AG235">
            <v>-3.9011813238328159</v>
          </cell>
        </row>
        <row r="236">
          <cell r="K236">
            <v>4.0187004155647861E-2</v>
          </cell>
          <cell r="S236" t="str">
            <v>SW</v>
          </cell>
          <cell r="AG236">
            <v>2.7000000000000455</v>
          </cell>
        </row>
        <row r="237">
          <cell r="K237">
            <v>2.7204172246106238E-2</v>
          </cell>
          <cell r="S237" t="str">
            <v>SW</v>
          </cell>
          <cell r="AG237">
            <v>-41.119999999999891</v>
          </cell>
        </row>
        <row r="238">
          <cell r="K238">
            <v>-3.4392458100558639E-2</v>
          </cell>
          <cell r="S238" t="str">
            <v>Dwn</v>
          </cell>
          <cell r="AG238">
            <v>23.000000000000227</v>
          </cell>
        </row>
        <row r="239">
          <cell r="K239">
            <v>1.7187529576558409E-2</v>
          </cell>
          <cell r="S239" t="str">
            <v>Dwn</v>
          </cell>
          <cell r="AG239">
            <v>-25.269999999999982</v>
          </cell>
        </row>
        <row r="240">
          <cell r="K240">
            <v>-0.11022744165303998</v>
          </cell>
          <cell r="S240" t="str">
            <v>Dwn</v>
          </cell>
          <cell r="AG240">
            <v>-25.425000000000068</v>
          </cell>
        </row>
        <row r="241">
          <cell r="K241">
            <v>-2.8867602676813917E-3</v>
          </cell>
          <cell r="S241" t="str">
            <v>SW</v>
          </cell>
          <cell r="AG241">
            <v>11.100000000000136</v>
          </cell>
        </row>
        <row r="242">
          <cell r="K242">
            <v>-0.10220420045747569</v>
          </cell>
          <cell r="S242" t="str">
            <v>SW</v>
          </cell>
          <cell r="AG242">
            <v>21.4200000000003</v>
          </cell>
        </row>
        <row r="243">
          <cell r="K243">
            <v>2.5887010811634185E-3</v>
          </cell>
          <cell r="S243" t="str">
            <v>SW</v>
          </cell>
          <cell r="AG243">
            <v>16.720000000000027</v>
          </cell>
        </row>
        <row r="244">
          <cell r="K244">
            <v>5.8803763440859261E-3</v>
          </cell>
          <cell r="S244" t="str">
            <v>Up</v>
          </cell>
          <cell r="AG244">
            <v>3.6000000000001364</v>
          </cell>
        </row>
        <row r="245">
          <cell r="K245">
            <v>-0.22494870041039663</v>
          </cell>
          <cell r="S245" t="str">
            <v>Dwn</v>
          </cell>
          <cell r="AG245">
            <v>-18.075000000000045</v>
          </cell>
        </row>
        <row r="246">
          <cell r="K246">
            <v>6.4931650893796725E-3</v>
          </cell>
          <cell r="S246" t="str">
            <v>SW</v>
          </cell>
          <cell r="AG246">
            <v>-8.7300000000002456</v>
          </cell>
        </row>
        <row r="247">
          <cell r="K247">
            <v>-2.3465849528263936E-2</v>
          </cell>
          <cell r="S247" t="str">
            <v>Dwn</v>
          </cell>
          <cell r="AG247">
            <v>-37.440000000000282</v>
          </cell>
        </row>
        <row r="248">
          <cell r="K248">
            <v>-4.9662992986610803E-2</v>
          </cell>
          <cell r="S248" t="str">
            <v>SW</v>
          </cell>
          <cell r="AG248">
            <v>-32.790000000000191</v>
          </cell>
        </row>
        <row r="249">
          <cell r="K249">
            <v>-2.632102366903135E-2</v>
          </cell>
          <cell r="S249" t="str">
            <v>Dwn</v>
          </cell>
          <cell r="AG249">
            <v>-17.9699999999998</v>
          </cell>
        </row>
        <row r="250">
          <cell r="K250">
            <v>1.8339950841368857E-2</v>
          </cell>
          <cell r="S250" t="str">
            <v>Dwn</v>
          </cell>
          <cell r="AG250">
            <v>15.100000000000136</v>
          </cell>
        </row>
        <row r="251">
          <cell r="K251">
            <v>1.1852341112578961E-2</v>
          </cell>
          <cell r="S251" t="str">
            <v>Dwn</v>
          </cell>
          <cell r="AG251">
            <v>-6.25</v>
          </cell>
        </row>
        <row r="252">
          <cell r="K252">
            <v>3.171811166591014E-2</v>
          </cell>
          <cell r="S252" t="str">
            <v>Dwn</v>
          </cell>
          <cell r="AG252">
            <v>-7.3499999999999091</v>
          </cell>
        </row>
        <row r="253">
          <cell r="K253">
            <v>2.4012806830309652E-2</v>
          </cell>
          <cell r="S253" t="str">
            <v>Dwn</v>
          </cell>
          <cell r="AG253">
            <v>-52.199999999999818</v>
          </cell>
        </row>
        <row r="254">
          <cell r="K254">
            <v>-2.7251416292244503E-2</v>
          </cell>
          <cell r="S254" t="str">
            <v>Dwn</v>
          </cell>
          <cell r="AG254">
            <v>109.31999999999994</v>
          </cell>
        </row>
        <row r="255">
          <cell r="K255">
            <v>-5.24757361408126E-2</v>
          </cell>
          <cell r="S255" t="str">
            <v>SW</v>
          </cell>
          <cell r="AG255">
            <v>-30.400000000000091</v>
          </cell>
        </row>
        <row r="256">
          <cell r="K256">
            <v>-3.0415207603801914E-2</v>
          </cell>
          <cell r="S256" t="str">
            <v>SW</v>
          </cell>
          <cell r="AG256">
            <v>46.279999999999973</v>
          </cell>
        </row>
        <row r="257">
          <cell r="K257">
            <v>-4.1970890002385908E-2</v>
          </cell>
          <cell r="S257" t="str">
            <v>Dwn</v>
          </cell>
          <cell r="AG257">
            <v>47.007000000000062</v>
          </cell>
        </row>
        <row r="258">
          <cell r="K258">
            <v>-3.5222052067381926E-3</v>
          </cell>
          <cell r="S258" t="str">
            <v>Dwn</v>
          </cell>
          <cell r="AG258">
            <v>-27.180000000000291</v>
          </cell>
        </row>
        <row r="259">
          <cell r="K259">
            <v>-3.1721945227256208E-2</v>
          </cell>
          <cell r="S259" t="str">
            <v>Dwn</v>
          </cell>
          <cell r="AG259">
            <v>-8.4000000000000909</v>
          </cell>
        </row>
        <row r="260">
          <cell r="K260">
            <v>-7.8662733529990241E-3</v>
          </cell>
          <cell r="S260" t="str">
            <v>SW</v>
          </cell>
          <cell r="AG260">
            <v>38.499999999999773</v>
          </cell>
        </row>
        <row r="261">
          <cell r="K261">
            <v>-8.9359295467399236E-2</v>
          </cell>
          <cell r="S261" t="str">
            <v>Up</v>
          </cell>
          <cell r="AG261">
            <v>-35.460935606366547</v>
          </cell>
        </row>
        <row r="262">
          <cell r="K262">
            <v>-1.6287186305467907E-2</v>
          </cell>
          <cell r="S262" t="str">
            <v>Up</v>
          </cell>
          <cell r="AG262">
            <v>-9.7999999999999545</v>
          </cell>
        </row>
        <row r="263">
          <cell r="K263">
            <v>6.354701809247261E-2</v>
          </cell>
          <cell r="S263" t="str">
            <v>Dwn</v>
          </cell>
          <cell r="AG263">
            <v>-28.699999999999932</v>
          </cell>
        </row>
        <row r="264">
          <cell r="K264">
            <v>-2.2085343575811527E-2</v>
          </cell>
          <cell r="S264" t="str">
            <v>Dwn</v>
          </cell>
          <cell r="AG264">
            <v>-46.1099999999999</v>
          </cell>
        </row>
        <row r="265">
          <cell r="K265">
            <v>1.747368421052628E-2</v>
          </cell>
          <cell r="S265" t="str">
            <v>Dwn</v>
          </cell>
          <cell r="AG265">
            <v>0.24000000000000909</v>
          </cell>
        </row>
        <row r="266">
          <cell r="K266">
            <v>-1.6217990807616538E-2</v>
          </cell>
          <cell r="S266" t="str">
            <v>Dwn</v>
          </cell>
          <cell r="AG266">
            <v>25.410000000000309</v>
          </cell>
        </row>
        <row r="267">
          <cell r="K267">
            <v>-1.5832482124616892E-2</v>
          </cell>
          <cell r="S267" t="str">
            <v>SW</v>
          </cell>
          <cell r="AG267">
            <v>-17.850000000000136</v>
          </cell>
        </row>
        <row r="268">
          <cell r="K268">
            <v>2.7772420443587225E-2</v>
          </cell>
          <cell r="S268" t="str">
            <v>Dwn</v>
          </cell>
          <cell r="AG268">
            <v>35.419999999999845</v>
          </cell>
        </row>
        <row r="269">
          <cell r="K269">
            <v>-1.3992158983371592E-2</v>
          </cell>
          <cell r="S269" t="str">
            <v>Dwn</v>
          </cell>
          <cell r="AG269">
            <v>-71.039999999999964</v>
          </cell>
        </row>
        <row r="270">
          <cell r="K270">
            <v>3.5871719173373139E-2</v>
          </cell>
          <cell r="S270" t="str">
            <v>SW</v>
          </cell>
          <cell r="AG270">
            <v>-20.899999999999864</v>
          </cell>
        </row>
        <row r="271">
          <cell r="K271">
            <v>-1.0347003154574047E-2</v>
          </cell>
          <cell r="S271" t="str">
            <v>Dwn</v>
          </cell>
          <cell r="AG271">
            <v>-11.900000000000091</v>
          </cell>
        </row>
        <row r="272">
          <cell r="K272">
            <v>9.6978999511615586E-3</v>
          </cell>
          <cell r="S272" t="str">
            <v>Dwn</v>
          </cell>
          <cell r="AG272">
            <v>1.3599999999999</v>
          </cell>
        </row>
        <row r="273">
          <cell r="K273">
            <v>-6.8704098554844731E-2</v>
          </cell>
          <cell r="S273" t="str">
            <v>Dwn</v>
          </cell>
          <cell r="AG273">
            <v>-13.8599999999999</v>
          </cell>
        </row>
        <row r="274">
          <cell r="K274">
            <v>-1.842815316608306E-2</v>
          </cell>
          <cell r="S274" t="str">
            <v>Dwn</v>
          </cell>
          <cell r="AG274">
            <v>8.8199999999999363</v>
          </cell>
        </row>
        <row r="275">
          <cell r="K275">
            <v>1.0249272428191854E-2</v>
          </cell>
          <cell r="S275" t="str">
            <v>Dwn</v>
          </cell>
          <cell r="AG275">
            <v>68.669999999999845</v>
          </cell>
        </row>
        <row r="276">
          <cell r="K276">
            <v>-9.7445600756859135E-3</v>
          </cell>
          <cell r="S276" t="str">
            <v>Dwn</v>
          </cell>
          <cell r="AG276">
            <v>-13.899999999999864</v>
          </cell>
        </row>
        <row r="277">
          <cell r="K277">
            <v>-5.6718597857838393E-2</v>
          </cell>
          <cell r="S277" t="str">
            <v>Up</v>
          </cell>
          <cell r="AG277">
            <v>-20.556962025316352</v>
          </cell>
        </row>
        <row r="278">
          <cell r="K278">
            <v>3.6254800090354568E-2</v>
          </cell>
          <cell r="S278" t="str">
            <v>Dwn</v>
          </cell>
          <cell r="AG278">
            <v>14.875</v>
          </cell>
        </row>
        <row r="279">
          <cell r="K279">
            <v>-2.032828282828282E-2</v>
          </cell>
          <cell r="S279" t="str">
            <v>Dwn</v>
          </cell>
          <cell r="AG279">
            <v>60</v>
          </cell>
        </row>
        <row r="280">
          <cell r="K280">
            <v>2.1598053133238648E-2</v>
          </cell>
          <cell r="S280" t="str">
            <v>Dwn</v>
          </cell>
          <cell r="AG280">
            <v>4.6800000000000637</v>
          </cell>
        </row>
        <row r="281">
          <cell r="K281">
            <v>2.2421379578102779E-2</v>
          </cell>
          <cell r="S281" t="str">
            <v>Up</v>
          </cell>
          <cell r="AG281">
            <v>-20.039999999999964</v>
          </cell>
        </row>
        <row r="282">
          <cell r="K282">
            <v>-2.0108410561286913E-2</v>
          </cell>
          <cell r="S282" t="str">
            <v>Dwn</v>
          </cell>
          <cell r="AG282">
            <v>52.399999999999864</v>
          </cell>
        </row>
        <row r="283">
          <cell r="K283">
            <v>-4.2918454935623306E-3</v>
          </cell>
          <cell r="S283" t="str">
            <v>Dwn</v>
          </cell>
          <cell r="AG283">
            <v>17.5</v>
          </cell>
        </row>
        <row r="284">
          <cell r="K284">
            <v>2.6488727125669846E-2</v>
          </cell>
          <cell r="S284" t="str">
            <v>SW</v>
          </cell>
          <cell r="AG284">
            <v>-36</v>
          </cell>
        </row>
        <row r="285">
          <cell r="K285">
            <v>-5.3872424809959248E-2</v>
          </cell>
          <cell r="S285" t="str">
            <v>SW</v>
          </cell>
          <cell r="AG285">
            <v>7.4100000000000819</v>
          </cell>
        </row>
        <row r="286">
          <cell r="K286">
            <v>-2.9452327683962158E-2</v>
          </cell>
          <cell r="S286" t="str">
            <v>Dwn</v>
          </cell>
          <cell r="AG286">
            <v>-45.849999999999909</v>
          </cell>
        </row>
        <row r="287">
          <cell r="K287">
            <v>7.9430379746835381E-2</v>
          </cell>
          <cell r="S287" t="str">
            <v>Dwn</v>
          </cell>
          <cell r="AG287">
            <v>17.150000000000091</v>
          </cell>
        </row>
        <row r="288">
          <cell r="K288">
            <v>-2.6272577996715369E-3</v>
          </cell>
          <cell r="S288" t="str">
            <v>SW</v>
          </cell>
          <cell r="AG288">
            <v>35.699999999999932</v>
          </cell>
        </row>
        <row r="289">
          <cell r="K289">
            <v>4.9377916018662503E-2</v>
          </cell>
          <cell r="S289" t="str">
            <v>Dwn</v>
          </cell>
          <cell r="AG289">
            <v>-38.25</v>
          </cell>
        </row>
        <row r="290">
          <cell r="K290">
            <v>3.2088122605364068E-2</v>
          </cell>
          <cell r="S290" t="str">
            <v>SW</v>
          </cell>
          <cell r="AG290">
            <v>-29.119999999999891</v>
          </cell>
        </row>
        <row r="291">
          <cell r="K291">
            <v>-2.8670774110900925E-3</v>
          </cell>
          <cell r="S291" t="str">
            <v>Dwn</v>
          </cell>
          <cell r="AG291">
            <v>-84.420000000000073</v>
          </cell>
        </row>
        <row r="292">
          <cell r="K292">
            <v>0.10650069156293218</v>
          </cell>
          <cell r="S292" t="str">
            <v>SW</v>
          </cell>
          <cell r="AG292">
            <v>15.850000000000136</v>
          </cell>
        </row>
        <row r="293">
          <cell r="K293">
            <v>2.712384851586495E-2</v>
          </cell>
          <cell r="S293" t="str">
            <v>Dwn</v>
          </cell>
          <cell r="AG293">
            <v>65.700000000000045</v>
          </cell>
        </row>
        <row r="294">
          <cell r="K294">
            <v>-3.4905979056412823E-3</v>
          </cell>
          <cell r="S294" t="str">
            <v>Up</v>
          </cell>
          <cell r="AG294">
            <v>15</v>
          </cell>
        </row>
        <row r="295">
          <cell r="K295">
            <v>-6.0147791716789828E-2</v>
          </cell>
          <cell r="S295" t="str">
            <v>Dwn</v>
          </cell>
          <cell r="AG295">
            <v>5</v>
          </cell>
        </row>
        <row r="296">
          <cell r="K296">
            <v>4.7569153394803082E-2</v>
          </cell>
          <cell r="S296" t="str">
            <v>Dwn</v>
          </cell>
          <cell r="AG296">
            <v>31</v>
          </cell>
        </row>
        <row r="297">
          <cell r="K297">
            <v>-4.7535826634044022E-2</v>
          </cell>
          <cell r="S297" t="str">
            <v>SW</v>
          </cell>
          <cell r="AG297">
            <v>50.699999999999818</v>
          </cell>
        </row>
        <row r="298">
          <cell r="K298">
            <v>0.11120755126396875</v>
          </cell>
          <cell r="S298" t="str">
            <v>Dwn</v>
          </cell>
          <cell r="AG298">
            <v>4.2899999999999636</v>
          </cell>
        </row>
        <row r="299">
          <cell r="K299">
            <v>-3.1457532331352706E-2</v>
          </cell>
          <cell r="S299" t="str">
            <v>Up</v>
          </cell>
          <cell r="AG299">
            <v>6.7599999999999909</v>
          </cell>
        </row>
        <row r="300">
          <cell r="K300">
            <v>7.1688263260930349E-2</v>
          </cell>
          <cell r="S300" t="str">
            <v>Dwn</v>
          </cell>
          <cell r="AG300">
            <v>56.099999999999909</v>
          </cell>
        </row>
        <row r="301">
          <cell r="K301">
            <v>1.6333688662700734E-2</v>
          </cell>
          <cell r="S301" t="str">
            <v>Up</v>
          </cell>
          <cell r="AG301">
            <v>36.079999999999927</v>
          </cell>
        </row>
        <row r="302">
          <cell r="K302">
            <v>3.4482758620689655E-2</v>
          </cell>
          <cell r="S302" t="str">
            <v>Dwn</v>
          </cell>
          <cell r="AG302">
            <v>-11.200000000000045</v>
          </cell>
        </row>
        <row r="303">
          <cell r="K303">
            <v>0</v>
          </cell>
          <cell r="S303" t="str">
            <v>SW</v>
          </cell>
          <cell r="AG303">
            <v>-26.399999999999977</v>
          </cell>
        </row>
        <row r="304">
          <cell r="K304">
            <v>2.0530638029059153E-3</v>
          </cell>
          <cell r="S304" t="str">
            <v>SW</v>
          </cell>
          <cell r="AG304">
            <v>51.299999999999727</v>
          </cell>
        </row>
        <row r="305">
          <cell r="K305">
            <v>7.4042072380445884E-2</v>
          </cell>
          <cell r="S305" t="str">
            <v>SW</v>
          </cell>
          <cell r="AG305">
            <v>80.900000000000091</v>
          </cell>
        </row>
        <row r="306">
          <cell r="K306">
            <v>5.2332535885183621E-4</v>
          </cell>
          <cell r="S306" t="str">
            <v>Dwn</v>
          </cell>
          <cell r="AG306">
            <v>-6.75</v>
          </cell>
        </row>
        <row r="307">
          <cell r="K307">
            <v>3.4411011523687557E-2</v>
          </cell>
          <cell r="S307" t="str">
            <v>SW</v>
          </cell>
          <cell r="AG307">
            <v>42.370000000000118</v>
          </cell>
        </row>
        <row r="308">
          <cell r="K308">
            <v>-8.5457271364317883E-2</v>
          </cell>
          <cell r="S308" t="str">
            <v>Up</v>
          </cell>
          <cell r="AG308">
            <v>1.5399999999999636</v>
          </cell>
        </row>
        <row r="309">
          <cell r="K309">
            <v>6.2666724974854648E-2</v>
          </cell>
          <cell r="S309" t="str">
            <v>SW</v>
          </cell>
          <cell r="AG309">
            <v>31.75</v>
          </cell>
        </row>
        <row r="310">
          <cell r="K310">
            <v>0.13359256574177825</v>
          </cell>
          <cell r="S310" t="str">
            <v>SW</v>
          </cell>
          <cell r="AG310">
            <v>-17.960000000000036</v>
          </cell>
        </row>
        <row r="311">
          <cell r="K311">
            <v>4.3623745197670045E-2</v>
          </cell>
          <cell r="S311" t="str">
            <v>SW</v>
          </cell>
          <cell r="AG311">
            <v>-43.349999999999909</v>
          </cell>
        </row>
        <row r="312">
          <cell r="K312">
            <v>-2.5284450063211148E-2</v>
          </cell>
          <cell r="S312" t="str">
            <v>Dwn</v>
          </cell>
          <cell r="AG312">
            <v>-6.4854614412136016</v>
          </cell>
        </row>
        <row r="313">
          <cell r="K313">
            <v>6.0147122457810495E-2</v>
          </cell>
          <cell r="S313" t="str">
            <v>Up</v>
          </cell>
          <cell r="AG313">
            <v>-22</v>
          </cell>
        </row>
        <row r="314">
          <cell r="K314">
            <v>5.2666227781435204E-3</v>
          </cell>
          <cell r="S314" t="str">
            <v>Dwn</v>
          </cell>
          <cell r="AG314">
            <v>122.79999999999995</v>
          </cell>
        </row>
        <row r="315">
          <cell r="K315">
            <v>-7.8993666432090104E-2</v>
          </cell>
          <cell r="S315" t="str">
            <v>Dwn</v>
          </cell>
          <cell r="AG315">
            <v>-40.1099999999999</v>
          </cell>
        </row>
        <row r="316">
          <cell r="K316">
            <v>1.8811994071371633E-2</v>
          </cell>
          <cell r="S316" t="str">
            <v>Dwn</v>
          </cell>
          <cell r="AG316">
            <v>8.1000000000001364</v>
          </cell>
        </row>
        <row r="317">
          <cell r="K317">
            <v>5.9397993311036762E-2</v>
          </cell>
          <cell r="S317" t="str">
            <v>Up</v>
          </cell>
          <cell r="AG317">
            <v>-24.749999999999773</v>
          </cell>
        </row>
        <row r="318">
          <cell r="K318">
            <v>4.6511627906976785E-2</v>
          </cell>
          <cell r="S318" t="str">
            <v>Dwn</v>
          </cell>
          <cell r="AG318">
            <v>-9.8999999999999773</v>
          </cell>
        </row>
        <row r="319">
          <cell r="K319">
            <v>-4.6728971962616862E-2</v>
          </cell>
          <cell r="S319" t="str">
            <v>Dwn</v>
          </cell>
          <cell r="AG319">
            <v>-106.25</v>
          </cell>
        </row>
        <row r="320">
          <cell r="K320">
            <v>3.2234697573342991E-2</v>
          </cell>
          <cell r="S320" t="str">
            <v>Up</v>
          </cell>
          <cell r="AG320">
            <v>-38.079999999999927</v>
          </cell>
        </row>
        <row r="321">
          <cell r="K321">
            <v>2.2153846153846118E-2</v>
          </cell>
          <cell r="S321" t="str">
            <v>Up</v>
          </cell>
          <cell r="AG321">
            <v>-23.400000000000091</v>
          </cell>
        </row>
        <row r="322">
          <cell r="K322">
            <v>-9.7047162553997313E-2</v>
          </cell>
          <cell r="S322" t="str">
            <v>SW</v>
          </cell>
          <cell r="AG322">
            <v>28.419433102550329</v>
          </cell>
        </row>
        <row r="323">
          <cell r="K323">
            <v>0.14019455252918278</v>
          </cell>
          <cell r="S323" t="str">
            <v>SW</v>
          </cell>
          <cell r="AG323">
            <v>70.560000000000173</v>
          </cell>
        </row>
        <row r="324">
          <cell r="K324">
            <v>-2.8558052434456901E-2</v>
          </cell>
          <cell r="S324" t="str">
            <v>Dwn</v>
          </cell>
          <cell r="AG324">
            <v>94.5</v>
          </cell>
        </row>
        <row r="325">
          <cell r="K325">
            <v>1.9535197036039013E-2</v>
          </cell>
          <cell r="S325" t="str">
            <v>SW</v>
          </cell>
          <cell r="AG325">
            <v>-32.399999999999864</v>
          </cell>
        </row>
        <row r="326">
          <cell r="K326">
            <v>1.9960978538195985E-2</v>
          </cell>
          <cell r="S326" t="str">
            <v>SW</v>
          </cell>
          <cell r="AG326">
            <v>40.860000000000127</v>
          </cell>
        </row>
        <row r="327">
          <cell r="K327">
            <v>-9.9999999999999992E-2</v>
          </cell>
          <cell r="S327" t="str">
            <v>SW</v>
          </cell>
          <cell r="AG327">
            <v>-112</v>
          </cell>
        </row>
        <row r="328">
          <cell r="K328">
            <v>0.13451363451363449</v>
          </cell>
          <cell r="S328" t="str">
            <v>Dwn</v>
          </cell>
          <cell r="AG328">
            <v>10.079999999999927</v>
          </cell>
        </row>
        <row r="329">
          <cell r="K329">
            <v>4.7303082191780844E-2</v>
          </cell>
          <cell r="S329" t="str">
            <v>SW</v>
          </cell>
          <cell r="AG329">
            <v>-5.25</v>
          </cell>
        </row>
        <row r="330">
          <cell r="K330">
            <v>9.5597484276729636E-2</v>
          </cell>
          <cell r="S330" t="str">
            <v>Dwn</v>
          </cell>
          <cell r="AG330">
            <v>-21.749999999999773</v>
          </cell>
        </row>
        <row r="331">
          <cell r="K331">
            <v>-1.2947448591012978E-2</v>
          </cell>
          <cell r="S331" t="str">
            <v>SW</v>
          </cell>
          <cell r="AG331">
            <v>11.3599999999999</v>
          </cell>
        </row>
        <row r="332">
          <cell r="K332">
            <v>-4.6575846833578814E-2</v>
          </cell>
          <cell r="S332" t="str">
            <v>SW</v>
          </cell>
          <cell r="AG332">
            <v>29.474999999999909</v>
          </cell>
        </row>
        <row r="333">
          <cell r="K333">
            <v>3.4113545816733183E-2</v>
          </cell>
          <cell r="S333" t="str">
            <v>Up</v>
          </cell>
          <cell r="AG333">
            <v>57.039999999999964</v>
          </cell>
        </row>
        <row r="334">
          <cell r="K334">
            <v>-5.038167938931299E-2</v>
          </cell>
          <cell r="S334" t="str">
            <v>Dwn</v>
          </cell>
          <cell r="AG334">
            <v>99.900000000000091</v>
          </cell>
        </row>
        <row r="335">
          <cell r="K335">
            <v>2.0379897111199072E-2</v>
          </cell>
          <cell r="S335" t="str">
            <v>SW</v>
          </cell>
          <cell r="AG335">
            <v>46.319999999999936</v>
          </cell>
        </row>
        <row r="336">
          <cell r="K336">
            <v>5.6263736263736312E-2</v>
          </cell>
          <cell r="S336" t="str">
            <v>SW</v>
          </cell>
          <cell r="AG336">
            <v>39.479999999999791</v>
          </cell>
        </row>
        <row r="337">
          <cell r="K337">
            <v>2.9042258117148004E-2</v>
          </cell>
          <cell r="S337" t="str">
            <v>SW</v>
          </cell>
          <cell r="AG337">
            <v>23.799999999999955</v>
          </cell>
        </row>
        <row r="338">
          <cell r="K338">
            <v>1.2827280405405442E-2</v>
          </cell>
          <cell r="S338" t="str">
            <v>Up</v>
          </cell>
          <cell r="AG338">
            <v>46.735000000000127</v>
          </cell>
        </row>
        <row r="339">
          <cell r="K339">
            <v>3.9899497487437229E-2</v>
          </cell>
          <cell r="S339" t="str">
            <v>SW</v>
          </cell>
          <cell r="AG339">
            <v>-3.0900000000001455</v>
          </cell>
        </row>
        <row r="340">
          <cell r="K340">
            <v>-2.6128266033254167E-2</v>
          </cell>
          <cell r="S340" t="str">
            <v>SW</v>
          </cell>
          <cell r="AG340">
            <v>26.650000000000091</v>
          </cell>
        </row>
        <row r="341">
          <cell r="K341">
            <v>-0.12253451676528608</v>
          </cell>
          <cell r="S341" t="str">
            <v>Dwn</v>
          </cell>
          <cell r="AG341">
            <v>-107.70000000000005</v>
          </cell>
        </row>
        <row r="342">
          <cell r="K342">
            <v>1.8249117672376729E-2</v>
          </cell>
          <cell r="S342" t="str">
            <v>Up</v>
          </cell>
          <cell r="AG342">
            <v>-49.200000000000045</v>
          </cell>
        </row>
        <row r="343">
          <cell r="K343">
            <v>-3.6165951359084368E-2</v>
          </cell>
          <cell r="S343" t="str">
            <v>SW</v>
          </cell>
          <cell r="AG343">
            <v>-20.019999999999982</v>
          </cell>
        </row>
        <row r="344">
          <cell r="K344">
            <v>-0.17074422583404625</v>
          </cell>
          <cell r="S344" t="str">
            <v>SW</v>
          </cell>
          <cell r="AG344">
            <v>85.889999999999986</v>
          </cell>
        </row>
        <row r="345">
          <cell r="K345">
            <v>-6.0445993410841361E-3</v>
          </cell>
          <cell r="S345" t="str">
            <v>Up</v>
          </cell>
          <cell r="AG345">
            <v>9.3599999999999</v>
          </cell>
        </row>
        <row r="346">
          <cell r="K346">
            <v>-2.577621558289404E-2</v>
          </cell>
          <cell r="S346" t="str">
            <v>Dwn</v>
          </cell>
          <cell r="AG346">
            <v>-47.599999999999909</v>
          </cell>
        </row>
        <row r="347">
          <cell r="K347">
            <v>1.8424798355211158E-2</v>
          </cell>
          <cell r="S347" t="str">
            <v>SW</v>
          </cell>
          <cell r="AG347">
            <v>-37.279999999999973</v>
          </cell>
        </row>
        <row r="348">
          <cell r="K348">
            <v>-5.4763380863814839E-2</v>
          </cell>
          <cell r="S348" t="str">
            <v>SW</v>
          </cell>
          <cell r="AG348">
            <v>-48.059999999999945</v>
          </cell>
        </row>
        <row r="349">
          <cell r="K349">
            <v>-4.9979432332373508E-2</v>
          </cell>
          <cell r="S349" t="str">
            <v>Up</v>
          </cell>
          <cell r="AG349">
            <v>-24.5</v>
          </cell>
        </row>
        <row r="350">
          <cell r="K350">
            <v>2.2725098076739066E-2</v>
          </cell>
          <cell r="S350" t="str">
            <v>Dwn</v>
          </cell>
          <cell r="AG350">
            <v>37.375</v>
          </cell>
        </row>
        <row r="351">
          <cell r="K351">
            <v>2.5471807340511619E-3</v>
          </cell>
          <cell r="S351" t="str">
            <v>SW</v>
          </cell>
          <cell r="AG351">
            <v>-32.700000000000273</v>
          </cell>
        </row>
        <row r="352">
          <cell r="K352">
            <v>6.2702702702702208E-3</v>
          </cell>
          <cell r="S352" t="str">
            <v>Dwn</v>
          </cell>
          <cell r="AG352">
            <v>31.979999999999791</v>
          </cell>
        </row>
        <row r="353">
          <cell r="K353">
            <v>-2.8014526050544733E-2</v>
          </cell>
          <cell r="S353" t="str">
            <v>Up</v>
          </cell>
          <cell r="AG353">
            <v>-1.2000000000000455</v>
          </cell>
        </row>
        <row r="354">
          <cell r="K354">
            <v>-6.7468406033428505E-2</v>
          </cell>
          <cell r="S354" t="str">
            <v>Dwn</v>
          </cell>
          <cell r="AG354">
            <v>-21.1400000000001</v>
          </cell>
        </row>
        <row r="355">
          <cell r="K355">
            <v>-1.9752035979093231E-2</v>
          </cell>
          <cell r="S355" t="str">
            <v>SW</v>
          </cell>
          <cell r="AG355">
            <v>22.799999999999955</v>
          </cell>
        </row>
        <row r="356">
          <cell r="K356">
            <v>-3.4200342003419624E-3</v>
          </cell>
          <cell r="S356" t="str">
            <v>SW</v>
          </cell>
          <cell r="AG356">
            <v>-57.180000000000064</v>
          </cell>
        </row>
        <row r="357">
          <cell r="K357">
            <v>-3.6913976924200433E-2</v>
          </cell>
          <cell r="S357" t="str">
            <v>Up</v>
          </cell>
          <cell r="AG357">
            <v>68.250000000000227</v>
          </cell>
        </row>
        <row r="358">
          <cell r="K358">
            <v>2.1957446808510625E-2</v>
          </cell>
          <cell r="S358" t="str">
            <v>Up</v>
          </cell>
          <cell r="AG358">
            <v>-45.209999999999809</v>
          </cell>
        </row>
        <row r="359">
          <cell r="K359">
            <v>-6.8008575512148575E-2</v>
          </cell>
          <cell r="S359" t="str">
            <v>SW</v>
          </cell>
          <cell r="AG359">
            <v>31.119999999999891</v>
          </cell>
        </row>
        <row r="360">
          <cell r="K360">
            <v>-5.1434223541048429E-2</v>
          </cell>
          <cell r="S360" t="str">
            <v>SW</v>
          </cell>
          <cell r="AG360">
            <v>-85.139999999999873</v>
          </cell>
        </row>
        <row r="361">
          <cell r="K361">
            <v>-0.22329288603378539</v>
          </cell>
          <cell r="S361" t="str">
            <v>Dwn</v>
          </cell>
          <cell r="AG361">
            <v>-34.264999999999873</v>
          </cell>
        </row>
        <row r="362">
          <cell r="K362">
            <v>8.0967465881964282E-2</v>
          </cell>
          <cell r="S362" t="str">
            <v>Up</v>
          </cell>
          <cell r="AG362">
            <v>0.25999999999999091</v>
          </cell>
        </row>
        <row r="363">
          <cell r="K363">
            <v>-0.11592775041050907</v>
          </cell>
          <cell r="S363" t="str">
            <v>Up</v>
          </cell>
          <cell r="AG363">
            <v>23.940000000000055</v>
          </cell>
        </row>
        <row r="364">
          <cell r="K364">
            <v>-0.11201161465799241</v>
          </cell>
          <cell r="S364" t="str">
            <v>SW</v>
          </cell>
          <cell r="AG364">
            <v>-17.924999999999955</v>
          </cell>
        </row>
        <row r="365">
          <cell r="K365">
            <v>0</v>
          </cell>
          <cell r="S365" t="str">
            <v>SW</v>
          </cell>
          <cell r="AG365">
            <v>1.75</v>
          </cell>
        </row>
        <row r="366">
          <cell r="K366">
            <v>0.10842607313195549</v>
          </cell>
          <cell r="S366" t="str">
            <v>SW</v>
          </cell>
          <cell r="AG366">
            <v>88.440000000000055</v>
          </cell>
        </row>
        <row r="367">
          <cell r="K367">
            <v>-0.13027888446215136</v>
          </cell>
          <cell r="S367" t="str">
            <v>Up</v>
          </cell>
          <cell r="AG367">
            <v>-43.120000000000118</v>
          </cell>
        </row>
        <row r="368">
          <cell r="K368">
            <v>-1.7019082001031555E-2</v>
          </cell>
          <cell r="S368" t="str">
            <v>SW</v>
          </cell>
          <cell r="AG368">
            <v>-37.740000000000009</v>
          </cell>
        </row>
        <row r="369">
          <cell r="K369">
            <v>3.820598006644526E-2</v>
          </cell>
          <cell r="S369" t="str">
            <v>Dwn</v>
          </cell>
          <cell r="AG369">
            <v>59</v>
          </cell>
        </row>
        <row r="370">
          <cell r="K370">
            <v>0.34646791963707047</v>
          </cell>
          <cell r="S370" t="str">
            <v>Dwn</v>
          </cell>
          <cell r="AG370">
            <v>292.78999999999974</v>
          </cell>
        </row>
        <row r="371">
          <cell r="K371">
            <v>5.9292848123062868E-2</v>
          </cell>
          <cell r="S371" t="str">
            <v>Dwn</v>
          </cell>
          <cell r="AG371">
            <v>59.440000000000055</v>
          </cell>
        </row>
        <row r="372">
          <cell r="K372">
            <v>0.2029834254143647</v>
          </cell>
          <cell r="S372" t="str">
            <v>SW</v>
          </cell>
          <cell r="AG372">
            <v>44.549999999999955</v>
          </cell>
        </row>
        <row r="373">
          <cell r="K373">
            <v>2.2857513569621332E-2</v>
          </cell>
          <cell r="S373" t="str">
            <v>SW</v>
          </cell>
          <cell r="AG373">
            <v>-54.029999999999973</v>
          </cell>
        </row>
        <row r="374">
          <cell r="K374">
            <v>1.6736401673640079E-2</v>
          </cell>
          <cell r="S374" t="str">
            <v>Up</v>
          </cell>
          <cell r="AG374">
            <v>-73.7800000000002</v>
          </cell>
        </row>
        <row r="375">
          <cell r="K375">
            <v>5.5188784214820839E-2</v>
          </cell>
          <cell r="S375" t="str">
            <v>SW</v>
          </cell>
          <cell r="AG375">
            <v>-30.599999999999909</v>
          </cell>
        </row>
        <row r="376">
          <cell r="K376">
            <v>-4.5067565119733359E-2</v>
          </cell>
          <cell r="S376" t="str">
            <v>SW</v>
          </cell>
          <cell r="AG376">
            <v>16.650000000000318</v>
          </cell>
        </row>
        <row r="377">
          <cell r="K377">
            <v>5.474386724386731E-2</v>
          </cell>
          <cell r="S377" t="str">
            <v>SW</v>
          </cell>
          <cell r="AG377">
            <v>-44.039999999999964</v>
          </cell>
        </row>
        <row r="378">
          <cell r="K378">
            <v>0.15508253692441357</v>
          </cell>
          <cell r="S378" t="str">
            <v>SW</v>
          </cell>
          <cell r="AG378">
            <v>68.970000000000255</v>
          </cell>
        </row>
        <row r="379">
          <cell r="K379">
            <v>-0.12444852941176464</v>
          </cell>
          <cell r="S379" t="str">
            <v>SW</v>
          </cell>
          <cell r="AG379">
            <v>56.75</v>
          </cell>
        </row>
        <row r="380">
          <cell r="K380">
            <v>-6.4562930721799097E-2</v>
          </cell>
          <cell r="S380" t="str">
            <v>SW</v>
          </cell>
          <cell r="AG380">
            <v>49.440000000000055</v>
          </cell>
        </row>
        <row r="381">
          <cell r="K381">
            <v>0.14542197961533526</v>
          </cell>
          <cell r="S381" t="str">
            <v>SW</v>
          </cell>
          <cell r="AG381">
            <v>62.700000000000273</v>
          </cell>
        </row>
        <row r="382">
          <cell r="K382">
            <v>-0.13828164717844443</v>
          </cell>
          <cell r="S382" t="str">
            <v>SW</v>
          </cell>
          <cell r="AG382">
            <v>30.360000000000127</v>
          </cell>
        </row>
        <row r="383">
          <cell r="K383">
            <v>-2.4300932090545953E-2</v>
          </cell>
          <cell r="S383" t="str">
            <v>SW</v>
          </cell>
          <cell r="AG383">
            <v>53.5</v>
          </cell>
        </row>
        <row r="384">
          <cell r="K384">
            <v>-4.4043624161073706E-2</v>
          </cell>
          <cell r="S384" t="str">
            <v>SW</v>
          </cell>
          <cell r="AG384">
            <v>-38.950000000000273</v>
          </cell>
        </row>
        <row r="385">
          <cell r="K385">
            <v>7.1293851376838885E-2</v>
          </cell>
          <cell r="S385" t="str">
            <v>SW</v>
          </cell>
          <cell r="AG385">
            <v>-157.29913240286692</v>
          </cell>
        </row>
        <row r="386">
          <cell r="K386">
            <v>-9.3023255813953418E-2</v>
          </cell>
          <cell r="S386" t="str">
            <v>Dwn</v>
          </cell>
          <cell r="AG386">
            <v>-98.399999999999864</v>
          </cell>
        </row>
        <row r="387">
          <cell r="K387">
            <v>0.14837712519319937</v>
          </cell>
          <cell r="S387" t="str">
            <v>SW</v>
          </cell>
          <cell r="AG387">
            <v>-162.75</v>
          </cell>
        </row>
        <row r="388">
          <cell r="K388">
            <v>-1.0120566751738024E-2</v>
          </cell>
          <cell r="S388" t="str">
            <v>SW</v>
          </cell>
          <cell r="AG388">
            <v>-14.519999999999982</v>
          </cell>
        </row>
        <row r="389">
          <cell r="K389">
            <v>-4.7475052918052554E-2</v>
          </cell>
          <cell r="S389" t="str">
            <v>Dwn</v>
          </cell>
          <cell r="AG389">
            <v>0</v>
          </cell>
        </row>
        <row r="390">
          <cell r="K390">
            <v>-0.15429751168097364</v>
          </cell>
          <cell r="S390" t="str">
            <v>SW</v>
          </cell>
          <cell r="AG390">
            <v>45.600000000000136</v>
          </cell>
        </row>
        <row r="391">
          <cell r="K391">
            <v>4.6672772888375492E-2</v>
          </cell>
          <cell r="S391" t="str">
            <v>Up</v>
          </cell>
          <cell r="AG391">
            <v>64.350000000000136</v>
          </cell>
        </row>
        <row r="392">
          <cell r="K392">
            <v>-0.18175313059033985</v>
          </cell>
          <cell r="S392" t="str">
            <v>Up</v>
          </cell>
          <cell r="AG392">
            <v>-28</v>
          </cell>
        </row>
        <row r="393">
          <cell r="K393">
            <v>-6.3842020738743921E-3</v>
          </cell>
          <cell r="S393" t="str">
            <v>Up</v>
          </cell>
          <cell r="AG393">
            <v>75.760000000000218</v>
          </cell>
        </row>
        <row r="394">
          <cell r="K394">
            <v>0.10993622418739184</v>
          </cell>
          <cell r="S394" t="str">
            <v>SW</v>
          </cell>
          <cell r="AG394">
            <v>9.8999999999998636</v>
          </cell>
        </row>
        <row r="395">
          <cell r="K395">
            <v>2.3795534665099951E-2</v>
          </cell>
          <cell r="S395" t="str">
            <v>Dwn</v>
          </cell>
          <cell r="AG395">
            <v>24</v>
          </cell>
        </row>
        <row r="396">
          <cell r="K396">
            <v>0.10075126067716365</v>
          </cell>
          <cell r="S396" t="str">
            <v>Up</v>
          </cell>
          <cell r="AG396">
            <v>78.540000000000191</v>
          </cell>
        </row>
        <row r="397">
          <cell r="K397">
            <v>-4.5925661186561835E-2</v>
          </cell>
          <cell r="S397" t="str">
            <v>SW</v>
          </cell>
          <cell r="AG397">
            <v>40.689999999999827</v>
          </cell>
        </row>
        <row r="398">
          <cell r="K398">
            <v>8.0185042405551202E-2</v>
          </cell>
          <cell r="S398" t="str">
            <v>SW</v>
          </cell>
          <cell r="AG398">
            <v>12.740000000000009</v>
          </cell>
        </row>
        <row r="399">
          <cell r="K399">
            <v>-0.12105263157894741</v>
          </cell>
          <cell r="S399" t="str">
            <v>SW</v>
          </cell>
          <cell r="AG399">
            <v>-119.25</v>
          </cell>
        </row>
        <row r="400">
          <cell r="K400">
            <v>-6.9563794091169487E-2</v>
          </cell>
          <cell r="S400" t="str">
            <v>Up</v>
          </cell>
          <cell r="AG400">
            <v>17.400000000000091</v>
          </cell>
        </row>
        <row r="401">
          <cell r="K401">
            <v>8.3663086489542127E-2</v>
          </cell>
          <cell r="S401" t="str">
            <v>SW</v>
          </cell>
          <cell r="AG401">
            <v>-106.40000000000009</v>
          </cell>
        </row>
        <row r="402">
          <cell r="K402">
            <v>0.13379903277807642</v>
          </cell>
          <cell r="S402" t="str">
            <v>Up</v>
          </cell>
          <cell r="AG402">
            <v>25.899999999999864</v>
          </cell>
        </row>
        <row r="403">
          <cell r="K403">
            <v>-5.9915219189412755E-2</v>
          </cell>
          <cell r="S403" t="str">
            <v>Up</v>
          </cell>
          <cell r="AG403">
            <v>-34.574999999999818</v>
          </cell>
        </row>
        <row r="404">
          <cell r="K404">
            <v>1.2212994626282366E-2</v>
          </cell>
          <cell r="S404" t="str">
            <v>Dwn</v>
          </cell>
          <cell r="AG404">
            <v>-10.559999999999945</v>
          </cell>
        </row>
        <row r="405">
          <cell r="K405">
            <v>-8.3800214566694495E-2</v>
          </cell>
          <cell r="S405" t="str">
            <v>SW</v>
          </cell>
          <cell r="AG405">
            <v>-60.960000000000036</v>
          </cell>
        </row>
        <row r="406">
          <cell r="K406">
            <v>-0.17351991388589885</v>
          </cell>
          <cell r="S406" t="str">
            <v>SW</v>
          </cell>
          <cell r="AG406">
            <v>-21</v>
          </cell>
        </row>
        <row r="407">
          <cell r="K407">
            <v>-3.3816796829915827E-2</v>
          </cell>
          <cell r="S407" t="str">
            <v>Up</v>
          </cell>
          <cell r="AG407">
            <v>-21.049999999999727</v>
          </cell>
        </row>
        <row r="408">
          <cell r="K408">
            <v>0.12914020351020955</v>
          </cell>
          <cell r="S408" t="str">
            <v>SW</v>
          </cell>
          <cell r="AG408">
            <v>-17.460000000000036</v>
          </cell>
        </row>
        <row r="409">
          <cell r="K409">
            <v>-3.4046856564975497E-2</v>
          </cell>
          <cell r="S409" t="str">
            <v>Up</v>
          </cell>
          <cell r="AG409">
            <v>17.379999999999882</v>
          </cell>
        </row>
        <row r="410">
          <cell r="K410">
            <v>-0.13461142032570608</v>
          </cell>
          <cell r="S410" t="str">
            <v>SW</v>
          </cell>
          <cell r="AG410">
            <v>37.5300000000002</v>
          </cell>
        </row>
        <row r="411">
          <cell r="K411">
            <v>-9.0412753876392235E-2</v>
          </cell>
          <cell r="S411" t="str">
            <v>Up</v>
          </cell>
          <cell r="AG411">
            <v>-26.700000000000045</v>
          </cell>
        </row>
        <row r="412">
          <cell r="K412">
            <v>7.6992856332917636E-2</v>
          </cell>
          <cell r="S412" t="str">
            <v>Up</v>
          </cell>
          <cell r="AG412">
            <v>79.200000000000045</v>
          </cell>
        </row>
        <row r="413">
          <cell r="K413">
            <v>-5.1198994391800444E-2</v>
          </cell>
          <cell r="S413" t="str">
            <v>Dwn</v>
          </cell>
          <cell r="AG413">
            <v>2.4600000000000364</v>
          </cell>
        </row>
        <row r="414">
          <cell r="K414">
            <v>4.7509648961587964E-2</v>
          </cell>
          <cell r="S414" t="str">
            <v>SW</v>
          </cell>
          <cell r="AG414">
            <v>-121.93999999999983</v>
          </cell>
        </row>
        <row r="415">
          <cell r="K415">
            <v>2.4167680566309063E-2</v>
          </cell>
          <cell r="S415" t="str">
            <v>Up</v>
          </cell>
          <cell r="AG415">
            <v>81.900000000000091</v>
          </cell>
        </row>
        <row r="416">
          <cell r="K416">
            <v>3.6812570145903175E-3</v>
          </cell>
          <cell r="S416" t="str">
            <v>Up</v>
          </cell>
          <cell r="AG416">
            <v>13.393939393939263</v>
          </cell>
        </row>
        <row r="417">
          <cell r="K417">
            <v>3.2131661442006002E-3</v>
          </cell>
          <cell r="S417" t="str">
            <v>SW</v>
          </cell>
          <cell r="AG417">
            <v>97.569999999999936</v>
          </cell>
        </row>
        <row r="418">
          <cell r="K418">
            <v>4.2845257903494229E-2</v>
          </cell>
          <cell r="S418" t="str">
            <v>SW</v>
          </cell>
          <cell r="AG418">
            <v>37.799999999999955</v>
          </cell>
        </row>
        <row r="419">
          <cell r="K419">
            <v>-2.5463396367721391E-2</v>
          </cell>
          <cell r="S419" t="str">
            <v>Dwn</v>
          </cell>
          <cell r="AG419">
            <v>34.25</v>
          </cell>
        </row>
        <row r="420">
          <cell r="K420">
            <v>1.7917485265225942E-2</v>
          </cell>
          <cell r="S420" t="str">
            <v>Up</v>
          </cell>
          <cell r="AG420">
            <v>-38.829999999999927</v>
          </cell>
        </row>
        <row r="421">
          <cell r="K421">
            <v>4.5627376425855508E-2</v>
          </cell>
          <cell r="S421" t="str">
            <v>Dwn</v>
          </cell>
          <cell r="AG421">
            <v>-10.259999999999764</v>
          </cell>
        </row>
        <row r="422">
          <cell r="K422">
            <v>0.11592580748321087</v>
          </cell>
          <cell r="S422" t="str">
            <v>SW</v>
          </cell>
          <cell r="AG422">
            <v>49.5</v>
          </cell>
        </row>
      </sheetData>
      <sheetData sheetId="9"/>
      <sheetData sheetId="10"/>
      <sheetData sheetId="11"/>
      <sheetData sheetId="12">
        <row r="3">
          <cell r="AA3">
            <v>-4.0126198274048477</v>
          </cell>
        </row>
      </sheetData>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Schaefer" refreshedDate="45684.713551273147" createdVersion="8" refreshedVersion="8" minRefreshableVersion="3" recordCount="4702" xr:uid="{1ACABAAD-3EF4-49BC-9241-4E7F7D11C9F0}">
  <cacheSource type="worksheet">
    <worksheetSource ref="A1:D4684" sheet="Earnings"/>
  </cacheSource>
  <cacheFields count="6">
    <cacheField name="Date/Time" numFmtId="22">
      <sharedItems containsSemiMixedTypes="0" containsNonDate="0" containsDate="1" containsString="0" minDate="2025-01-02T14:05:00" maxDate="2025-04-11T15:00:00" count="310">
        <d v="2025-01-02T14:05:00"/>
        <d v="2025-01-02T14:10:00"/>
        <d v="2025-01-03T06:00:00"/>
        <d v="2025-01-06T11:06:00"/>
        <d v="2025-01-07T04:30:00"/>
        <d v="2025-01-07T04:45:00"/>
        <d v="2025-01-07T14:05:00"/>
        <d v="2025-01-07T14:06:00"/>
        <d v="2025-01-07T14:15:00"/>
        <d v="2025-01-07T14:30:00"/>
        <d v="2025-01-08T04:00:00"/>
        <d v="2025-01-08T04:30:00"/>
        <d v="2025-01-08T04:45:00"/>
        <d v="2025-01-08T05:00:00"/>
        <d v="2025-01-08T05:30:00"/>
        <d v="2025-01-08T06:00:00"/>
        <d v="2025-01-08T14:00:00"/>
        <d v="2025-01-08T14:01:00"/>
        <d v="2025-01-08T14:04:00"/>
        <d v="2025-01-08T14:05:00"/>
        <d v="2025-01-08T14:15:00"/>
        <d v="2025-01-08T15:00:00"/>
        <d v="2025-01-08T15:05:00"/>
        <d v="2025-01-08T23:00:00"/>
        <d v="2025-01-09T07:00:00"/>
        <d v="2025-01-10T04:30:00"/>
        <d v="2025-01-10T05:00:00"/>
        <d v="2025-01-10T05:30:00"/>
        <d v="2025-01-10T05:45:00"/>
        <d v="2025-01-10T06:00:00"/>
        <d v="2025-01-10T06:05:00"/>
        <d v="2025-01-10T07:30:00"/>
        <d v="2025-01-10T14:05:00"/>
        <d v="2025-01-10T15:18:00"/>
        <d v="2025-01-13T05:00:00"/>
        <d v="2025-01-13T05:01:00"/>
        <d v="2025-01-13T14:05:00"/>
        <d v="2025-01-13T14:10:00"/>
        <d v="2025-01-13T14:16:00"/>
        <d v="2025-01-13T14:37:00"/>
        <d v="2025-01-14T14:05:00"/>
        <d v="2025-01-14T14:10:00"/>
        <d v="2025-01-14T14:16:00"/>
        <d v="2025-01-14T14:22:00"/>
        <d v="2025-01-14T14:44:00"/>
        <d v="2025-01-14T14:49:00"/>
        <d v="2025-01-14T15:00:00"/>
        <d v="2025-01-14T15:05:00"/>
        <d v="2025-01-14T15:40:00"/>
        <d v="2025-01-14T17:55:00"/>
        <d v="2025-01-14T23:00:00"/>
        <d v="2025-01-15T03:59:00"/>
        <d v="2025-01-15T04:00:00"/>
        <d v="2025-01-15T04:01:00"/>
        <d v="2025-01-15T06:15:00"/>
        <d v="2025-01-15T07:00:00"/>
        <d v="2025-01-15T13:16:00"/>
        <d v="2025-01-15T14:05:00"/>
        <d v="2025-01-15T14:15:00"/>
        <d v="2025-01-15T15:06:00"/>
        <d v="2025-01-15T23:00:00"/>
        <d v="2025-01-16T03:30:00"/>
        <d v="2025-01-16T03:55:00"/>
        <d v="2025-01-16T04:28:00"/>
        <d v="2025-01-16T04:30:00"/>
        <d v="2025-01-16T04:45:00"/>
        <d v="2025-01-16T06:00:00"/>
        <d v="2025-01-16T09:04:00"/>
        <d v="2025-01-16T14:01:00"/>
        <d v="2025-01-16T14:02:00"/>
        <d v="2025-01-16T14:05:00"/>
        <d v="2025-01-16T14:10:00"/>
        <d v="2025-01-16T15:15:00"/>
        <d v="2025-01-16T23:00:00"/>
        <d v="2025-01-17T04:00:00"/>
        <d v="2025-01-17T04:20:00"/>
        <d v="2025-01-17T04:50:00"/>
        <d v="2025-01-17T05:00:00"/>
        <d v="2025-01-17T05:30:00"/>
        <d v="2025-01-17T05:34:00"/>
        <d v="2025-01-17T14:01:00"/>
        <d v="2025-01-17T14:03:00"/>
        <d v="2025-01-21T02:18:00"/>
        <d v="2025-01-21T03:05:00"/>
        <d v="2025-01-21T04:00:00"/>
        <d v="2025-01-21T04:03:00"/>
        <d v="2025-01-21T04:15:00"/>
        <d v="2025-01-21T04:30:00"/>
        <d v="2025-01-21T04:45:00"/>
        <d v="2025-01-21T05:00:00"/>
        <d v="2025-01-21T05:30:00"/>
        <d v="2025-01-21T06:00:00"/>
        <d v="2025-01-21T07:30:00"/>
        <d v="2025-01-21T14:00:00"/>
        <d v="2025-01-21T14:01:00"/>
        <d v="2025-01-21T14:02:00"/>
        <d v="2025-01-21T14:05:00"/>
        <d v="2025-01-21T14:10:00"/>
        <d v="2025-01-21T14:15:00"/>
        <d v="2025-01-21T14:24:00"/>
        <d v="2025-01-21T14:30:00"/>
        <d v="2025-01-21T14:55:00"/>
        <d v="2025-01-21T14:58:00"/>
        <d v="2025-01-21T15:00:00"/>
        <d v="2025-01-21T16:30:00"/>
        <d v="2025-01-21T23:00:00"/>
        <d v="2025-01-22T04:00:00"/>
        <d v="2025-01-22T04:20:00"/>
        <d v="2025-01-22T04:22:00"/>
        <d v="2025-01-22T04:30:00"/>
        <d v="2025-01-22T04:45:00"/>
        <d v="2025-01-22T04:55:00"/>
        <d v="2025-01-22T04:57:00"/>
        <d v="2025-01-22T05:00:00"/>
        <d v="2025-01-22T05:05:00"/>
        <d v="2025-01-22T05:30:00"/>
        <d v="2025-01-22T05:46:00"/>
        <d v="2025-01-22T06:00:00"/>
        <d v="2025-01-22T07:00:00"/>
        <d v="2025-01-22T07:36:00"/>
        <d v="2025-01-22T10:07:00"/>
        <d v="2025-01-22T14:00:00"/>
        <d v="2025-01-22T14:01:00"/>
        <d v="2025-01-22T14:05:00"/>
        <d v="2025-01-22T14:07:00"/>
        <d v="2025-01-22T14:10:00"/>
        <d v="2025-01-22T14:14:00"/>
        <d v="2025-01-22T14:15:00"/>
        <d v="2025-01-22T14:30:00"/>
        <d v="2025-01-22T14:35:00"/>
        <d v="2025-01-22T14:45:00"/>
        <d v="2025-01-22T14:52:00"/>
        <d v="2025-01-22T15:00:00"/>
        <d v="2025-01-22T15:01:00"/>
        <d v="2025-01-22T16:14:00"/>
        <d v="2025-01-22T16:15:00"/>
        <d v="2025-01-22T16:16:00"/>
        <d v="2025-01-22T18:20:00"/>
        <d v="2025-01-22T23:00:00"/>
        <d v="2025-01-23T00:30:00"/>
        <d v="2025-01-23T01:18:00"/>
        <d v="2025-01-23T02:00:00"/>
        <d v="2025-01-23T03:58:00"/>
        <d v="2025-01-23T04:00:00"/>
        <d v="2025-01-23T04:22:00"/>
        <d v="2025-01-23T04:25:00"/>
        <d v="2025-01-23T04:30:00"/>
        <d v="2025-01-23T04:45:00"/>
        <d v="2025-01-23T05:00:00"/>
        <d v="2025-01-23T05:15:00"/>
        <d v="2025-01-23T05:30:00"/>
        <d v="2025-01-23T05:45:00"/>
        <d v="2025-01-23T05:59:00"/>
        <d v="2025-01-23T06:00:00"/>
        <d v="2025-01-23T06:30:00"/>
        <d v="2025-01-23T06:32:00"/>
        <d v="2025-01-23T06:54:00"/>
        <d v="2025-01-23T14:00:00"/>
        <d v="2025-01-23T14:01:00"/>
        <d v="2025-01-23T14:02:00"/>
        <d v="2025-01-23T14:05:00"/>
        <d v="2025-01-23T14:10:00"/>
        <d v="2025-01-23T14:15:00"/>
        <d v="2025-01-23T14:17:00"/>
        <d v="2025-01-23T14:26:00"/>
        <d v="2025-01-23T14:30:00"/>
        <d v="2025-01-23T14:35:00"/>
        <d v="2025-01-23T14:45:00"/>
        <d v="2025-01-23T15:00:00"/>
        <d v="2025-01-23T16:00:00"/>
        <d v="2025-01-23T23:00:00"/>
        <d v="2025-01-24T04:25:00"/>
        <d v="2025-01-24T04:32:00"/>
        <d v="2025-01-24T04:55:00"/>
        <d v="2025-01-24T05:00:00"/>
        <d v="2025-01-24T05:30:00"/>
        <d v="2025-01-24T05:50:00"/>
        <d v="2025-01-24T05:55:00"/>
        <d v="2025-01-24T06:00:00"/>
        <d v="2025-01-24T07:00:00"/>
        <d v="2025-01-24T14:00:00"/>
        <d v="2025-01-24T14:01:00"/>
        <d v="2025-01-24T14:15:00"/>
        <d v="2025-01-27T07:00:00"/>
        <d v="2025-01-27T15:00:00"/>
        <d v="2025-01-28T07:00:00"/>
        <d v="2025-01-28T11:00:00"/>
        <d v="2025-01-28T15:00:00"/>
        <d v="2025-01-29T07:00:00"/>
        <d v="2025-01-29T11:00:00"/>
        <d v="2025-01-29T15:00:00"/>
        <d v="2025-01-30T07:00:00"/>
        <d v="2025-01-30T11:00:00"/>
        <d v="2025-01-30T15:00:00"/>
        <d v="2025-01-31T07:00:00"/>
        <d v="2025-02-03T07:00:00"/>
        <d v="2025-02-03T15:00:00"/>
        <d v="2025-02-04T07:00:00"/>
        <d v="2025-02-04T15:00:00"/>
        <d v="2025-02-05T07:00:00"/>
        <d v="2025-02-05T11:00:00"/>
        <d v="2025-02-05T15:00:00"/>
        <d v="2025-02-06T07:00:00"/>
        <d v="2025-02-06T11:00:00"/>
        <d v="2025-02-06T15:00:00"/>
        <d v="2025-02-07T07:00:00"/>
        <d v="2025-02-07T11:00:00"/>
        <d v="2025-02-07T15:00:00"/>
        <d v="2025-02-10T07:00:00"/>
        <d v="2025-02-10T15:00:00"/>
        <d v="2025-02-11T07:00:00"/>
        <d v="2025-02-11T15:00:00"/>
        <d v="2025-02-12T07:00:00"/>
        <d v="2025-02-12T15:00:00"/>
        <d v="2025-02-13T07:00:00"/>
        <d v="2025-02-13T11:00:00"/>
        <d v="2025-02-13T15:00:00"/>
        <d v="2025-02-14T07:00:00"/>
        <d v="2025-02-14T11:00:00"/>
        <d v="2025-02-14T15:00:00"/>
        <d v="2025-02-17T07:00:00"/>
        <d v="2025-02-17T15:00:00"/>
        <d v="2025-02-18T07:00:00"/>
        <d v="2025-02-18T15:00:00"/>
        <d v="2025-02-19T07:00:00"/>
        <d v="2025-02-19T11:00:00"/>
        <d v="2025-02-19T15:00:00"/>
        <d v="2025-02-20T07:00:00"/>
        <d v="2025-02-20T11:00:00"/>
        <d v="2025-02-20T15:00:00"/>
        <d v="2025-02-21T07:00:00"/>
        <d v="2025-02-21T15:00:00"/>
        <d v="2025-02-22T07:00:00"/>
        <d v="2025-02-24T07:00:00"/>
        <d v="2025-02-24T15:00:00"/>
        <d v="2025-02-25T07:00:00"/>
        <d v="2025-02-25T11:00:00"/>
        <d v="2025-02-25T15:00:00"/>
        <d v="2025-02-26T07:00:00"/>
        <d v="2025-02-26T15:00:00"/>
        <d v="2025-02-27T07:00:00"/>
        <d v="2025-02-27T11:00:00"/>
        <d v="2025-02-27T15:00:00"/>
        <d v="2025-02-28T07:00:00"/>
        <d v="2025-02-28T15:00:00"/>
        <d v="2025-03-01T15:00:00"/>
        <d v="2025-03-03T07:00:00"/>
        <d v="2025-03-03T11:00:00"/>
        <d v="2025-03-03T15:00:00"/>
        <d v="2025-03-04T07:00:00"/>
        <d v="2025-03-04T15:00:00"/>
        <d v="2025-03-05T07:00:00"/>
        <d v="2025-03-05T11:00:00"/>
        <d v="2025-03-05T15:00:00"/>
        <d v="2025-03-06T07:00:00"/>
        <d v="2025-03-06T11:00:00"/>
        <d v="2025-03-06T15:00:00"/>
        <d v="2025-03-07T07:00:00"/>
        <d v="2025-03-07T15:00:00"/>
        <d v="2025-03-10T07:00:00"/>
        <d v="2025-03-10T15:00:00"/>
        <d v="2025-03-11T07:00:00"/>
        <d v="2025-03-11T11:00:00"/>
        <d v="2025-03-11T15:00:00"/>
        <d v="2025-03-12T07:00:00"/>
        <d v="2025-03-12T15:00:00"/>
        <d v="2025-03-13T07:00:00"/>
        <d v="2025-03-13T15:00:00"/>
        <d v="2025-03-14T07:00:00"/>
        <d v="2025-03-14T11:00:00"/>
        <d v="2025-03-14T15:00:00"/>
        <d v="2025-03-17T07:00:00"/>
        <d v="2025-03-17T15:00:00"/>
        <d v="2025-03-18T07:00:00"/>
        <d v="2025-03-18T15:00:00"/>
        <d v="2025-03-19T07:00:00"/>
        <d v="2025-03-19T11:00:00"/>
        <d v="2025-03-19T15:00:00"/>
        <d v="2025-03-20T07:00:00"/>
        <d v="2025-03-20T11:00:00"/>
        <d v="2025-03-20T15:00:00"/>
        <d v="2025-03-21T07:00:00"/>
        <d v="2025-03-21T15:00:00"/>
        <d v="2025-03-24T07:00:00"/>
        <d v="2025-03-24T15:00:00"/>
        <d v="2025-03-25T07:00:00"/>
        <d v="2025-03-25T15:00:00"/>
        <d v="2025-03-26T07:00:00"/>
        <d v="2025-03-26T15:00:00"/>
        <d v="2025-03-27T07:00:00"/>
        <d v="2025-03-27T11:00:00"/>
        <d v="2025-03-27T15:00:00"/>
        <d v="2025-03-28T07:00:00"/>
        <d v="2025-03-28T15:00:00"/>
        <d v="2025-03-31T07:00:00"/>
        <d v="2025-03-31T11:00:00"/>
        <d v="2025-03-31T15:00:00"/>
        <d v="2025-04-01T15:00:00"/>
        <d v="2025-04-02T07:00:00"/>
        <d v="2025-04-02T15:00:00"/>
        <d v="2025-04-03T07:00:00"/>
        <d v="2025-04-03T15:00:00"/>
        <d v="2025-04-08T07:00:00"/>
        <d v="2025-04-08T15:00:00"/>
        <d v="2025-04-09T07:00:00"/>
        <d v="2025-04-09T15:00:00"/>
        <d v="2025-04-10T07:00:00"/>
        <d v="2025-04-10T15:00:00"/>
        <d v="2025-04-11T07:00:00"/>
        <d v="2025-04-11T15:00:00"/>
      </sharedItems>
      <fieldGroup par="5"/>
    </cacheField>
    <cacheField name="Ticker" numFmtId="0">
      <sharedItems/>
    </cacheField>
    <cacheField name="When" numFmtId="0">
      <sharedItems/>
    </cacheField>
    <cacheField name="Index" numFmtId="0">
      <sharedItems count="5">
        <s v=""/>
        <s v="IWM"/>
        <s v="S&amp;P Mid"/>
        <s v="SP500"/>
        <s v="NQ100"/>
      </sharedItems>
    </cacheField>
    <cacheField name="Days (Date/Time)" numFmtId="0" databaseField="0">
      <fieldGroup base="0">
        <rangePr groupBy="days" startDate="2025-01-02T14:05:00" endDate="2025-04-11T15: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5"/>
        </groupItems>
      </fieldGroup>
    </cacheField>
    <cacheField name="Months (Date/Time)" numFmtId="0" databaseField="0">
      <fieldGroup base="0">
        <rangePr groupBy="months" startDate="2025-01-02T14:05:00" endDate="2025-04-11T15:00:00"/>
        <groupItems count="14">
          <s v="&lt;1/2/2025"/>
          <s v="Jan"/>
          <s v="Feb"/>
          <s v="Mar"/>
          <s v="Apr"/>
          <s v="May"/>
          <s v="Jun"/>
          <s v="Jul"/>
          <s v="Aug"/>
          <s v="Sep"/>
          <s v="Oct"/>
          <s v="Nov"/>
          <s v="Dec"/>
          <s v="&gt;4/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02">
  <r>
    <x v="0"/>
    <s v="LFCR"/>
    <s v="on 1/2/25, 4:05 PM After Market Eastern Standard Time"/>
    <x v="0"/>
  </r>
  <r>
    <x v="1"/>
    <s v="RGP"/>
    <s v="on 1/2/25, 4:10 PM After Market Eastern Standard Time"/>
    <x v="1"/>
  </r>
  <r>
    <x v="2"/>
    <s v="EMKR"/>
    <s v="on 1/3/25, 8:00 AM Before Market Eastern Standard Time"/>
    <x v="0"/>
  </r>
  <r>
    <x v="3"/>
    <s v="CMC"/>
    <s v="on 1/6/25, 1:06 PM During Market Eastern Standard Time"/>
    <x v="1"/>
  </r>
  <r>
    <x v="4"/>
    <s v="APOG"/>
    <s v="on 1/7/25, 6:30 AM Before Market Eastern Standard Time"/>
    <x v="1"/>
  </r>
  <r>
    <x v="5"/>
    <s v="LNN"/>
    <s v="on 1/7/25, 6:45 AM Before Market Eastern Standard Time"/>
    <x v="1"/>
  </r>
  <r>
    <x v="5"/>
    <s v="RPM"/>
    <s v="on 1/7/25, 6:45 AM Before Market Eastern Standard Time"/>
    <x v="2"/>
  </r>
  <r>
    <x v="6"/>
    <s v="KRUS"/>
    <s v="on 1/7/25, 4:05 PM After Market Eastern Standard Time"/>
    <x v="1"/>
  </r>
  <r>
    <x v="6"/>
    <s v="CALM"/>
    <s v="on 1/7/25, 4:05 PM After Market Eastern Standard Time"/>
    <x v="1"/>
  </r>
  <r>
    <x v="6"/>
    <s v="AIR"/>
    <s v="on 1/7/25, 4:05 PM After Market Eastern Standard Time"/>
    <x v="1"/>
  </r>
  <r>
    <x v="7"/>
    <s v="SLP"/>
    <s v="on 1/7/25, 4:06 PM After Market Eastern Standard Time"/>
    <x v="1"/>
  </r>
  <r>
    <x v="8"/>
    <s v="AZZ"/>
    <s v="on 1/7/25, 4:15 PM After Market Eastern Standard Time"/>
    <x v="1"/>
  </r>
  <r>
    <x v="8"/>
    <s v="RELL"/>
    <s v="on 1/7/25, 4:15 PM After Market Eastern Standard Time"/>
    <x v="0"/>
  </r>
  <r>
    <x v="9"/>
    <s v="RDUS"/>
    <s v="on 1/7/25, 4:30 PM After Market Eastern Standard Time"/>
    <x v="1"/>
  </r>
  <r>
    <x v="10"/>
    <s v="AYI"/>
    <s v="on 1/8/25, 6:00 AM Before Market Eastern Standard Time"/>
    <x v="2"/>
  </r>
  <r>
    <x v="11"/>
    <s v="ANGO"/>
    <s v="on 1/8/25, 6:30 AM Before Market Eastern Standard Time"/>
    <x v="1"/>
  </r>
  <r>
    <x v="11"/>
    <s v="MSM"/>
    <s v="on 1/8/25, 6:30 AM Before Market Eastern Standard Time"/>
    <x v="2"/>
  </r>
  <r>
    <x v="12"/>
    <s v="HELE"/>
    <s v="on 1/8/25, 6:45 AM Before Market Eastern Standard Time"/>
    <x v="1"/>
  </r>
  <r>
    <x v="13"/>
    <s v="SMPL"/>
    <s v="on 1/8/25, 7:00 AM Before Market Eastern Standard Time"/>
    <x v="1"/>
  </r>
  <r>
    <x v="14"/>
    <s v="ACI"/>
    <s v="on 1/8/25, 7:30 AM Before Market Eastern Standard Time"/>
    <x v="0"/>
  </r>
  <r>
    <x v="15"/>
    <s v="UNF"/>
    <s v="on 1/8/25, 8:00 AM Before Market Eastern Standard Time"/>
    <x v="1"/>
  </r>
  <r>
    <x v="16"/>
    <s v="PCYO"/>
    <s v="on 1/8/25, 4:00 PM After Market Eastern Standard Time"/>
    <x v="1"/>
  </r>
  <r>
    <x v="17"/>
    <s v="PSMT"/>
    <s v="on 1/8/25, 4:01 PM After Market Eastern Standard Time"/>
    <x v="1"/>
  </r>
  <r>
    <x v="18"/>
    <s v="FC"/>
    <s v="on 1/8/25, 4:04 PM After Market Eastern Standard Time"/>
    <x v="1"/>
  </r>
  <r>
    <x v="19"/>
    <s v="PENG"/>
    <s v="on 1/8/25, 4:05 PM After Market Eastern Standard Time"/>
    <x v="1"/>
  </r>
  <r>
    <x v="19"/>
    <s v="SAR"/>
    <s v="on 1/8/25, 4:05 PM After Market Eastern Standard Time"/>
    <x v="0"/>
  </r>
  <r>
    <x v="20"/>
    <s v="GBX"/>
    <s v="on 1/8/25, 4:15 PM After Market Eastern Standard Time"/>
    <x v="1"/>
  </r>
  <r>
    <x v="20"/>
    <s v="JEF"/>
    <s v="on 1/8/25, 4:15 PM After Market Eastern Standard Time"/>
    <x v="2"/>
  </r>
  <r>
    <x v="21"/>
    <s v="NTIC"/>
    <s v="on 1/8/25, 5:00 PM After Market Eastern Standard Time"/>
    <x v="0"/>
  </r>
  <r>
    <x v="22"/>
    <s v="BBCP"/>
    <s v="on 1/8/25, 5:05 PM After Market Eastern Standard Time"/>
    <x v="0"/>
  </r>
  <r>
    <x v="23"/>
    <s v="SVNDY"/>
    <s v="on 1/9/25, 1:00 AM Unspecified Eastern Standard Time"/>
    <x v="0"/>
  </r>
  <r>
    <x v="23"/>
    <s v="FRCOY"/>
    <s v="on 1/9/25, 1:00 AM Unspecified Eastern Standard Time"/>
    <x v="0"/>
  </r>
  <r>
    <x v="24"/>
    <s v="BKSC"/>
    <s v="on 1/9/25, 9:00 AM Unspecified Eastern Standard Time"/>
    <x v="0"/>
  </r>
  <r>
    <x v="25"/>
    <s v="DAL"/>
    <s v="on 1/10/25, 6:30 AM Before Market Eastern Standard Time"/>
    <x v="3"/>
  </r>
  <r>
    <x v="26"/>
    <s v="WBA"/>
    <s v="on 1/10/25, 7:00 AM Before Market Eastern Standard Time"/>
    <x v="3"/>
  </r>
  <r>
    <x v="26"/>
    <s v="NEOG"/>
    <s v="on 1/10/25, 7:00 AM Before Market Eastern Standard Time"/>
    <x v="1"/>
  </r>
  <r>
    <x v="26"/>
    <s v="TLRY"/>
    <s v="on 1/10/25, 7:00 AM Before Market Eastern Standard Time"/>
    <x v="0"/>
  </r>
  <r>
    <x v="27"/>
    <s v="STZ"/>
    <s v="on 1/10/25, 7:30 AM Before Market Eastern Standard Time"/>
    <x v="3"/>
  </r>
  <r>
    <x v="28"/>
    <s v="ETWO"/>
    <s v="on 1/10/25, 7:45 AM Before Market Eastern Standard Time"/>
    <x v="1"/>
  </r>
  <r>
    <x v="29"/>
    <s v="HURC"/>
    <s v="on 1/10/25, 8:00 AM Before Market Eastern Standard Time"/>
    <x v="0"/>
  </r>
  <r>
    <x v="30"/>
    <s v="SNX"/>
    <s v="on 1/10/25, 8:05 AM Before Market Eastern Standard Time"/>
    <x v="2"/>
  </r>
  <r>
    <x v="31"/>
    <s v="ACCD"/>
    <s v="on 1/10/25, 9:30 AM Unspecified Eastern Standard Time"/>
    <x v="1"/>
  </r>
  <r>
    <x v="32"/>
    <s v="WDFC"/>
    <s v="on 1/10/25, 4:05 PM After Market Eastern Standard Time"/>
    <x v="1"/>
  </r>
  <r>
    <x v="33"/>
    <s v="ANIX"/>
    <s v="on 1/10/25, 5:18 PM After Market Eastern Standard Time"/>
    <x v="0"/>
  </r>
  <r>
    <x v="34"/>
    <s v="SOTK"/>
    <s v="on 1/13/25, 7:00 AM Before Market Eastern Standard Time"/>
    <x v="0"/>
  </r>
  <r>
    <x v="35"/>
    <s v="CMTL"/>
    <s v="on 1/13/25, 7:01 AM Before Market Eastern Standard Time"/>
    <x v="0"/>
  </r>
  <r>
    <x v="36"/>
    <s v="AEHR"/>
    <s v="on 1/13/25, 4:05 PM After Market Eastern Standard Time"/>
    <x v="1"/>
  </r>
  <r>
    <x v="36"/>
    <s v="TTAN"/>
    <s v="on 1/13/25, 4:05 PM After Market Eastern Standard Time"/>
    <x v="0"/>
  </r>
  <r>
    <x v="37"/>
    <s v="KBH"/>
    <s v="on 1/13/25, 4:10 PM After Market Eastern Standard Time"/>
    <x v="1"/>
  </r>
  <r>
    <x v="38"/>
    <s v="CVM"/>
    <s v="on 1/13/25, 4:16 PM After Market Eastern Standard Time"/>
    <x v="0"/>
  </r>
  <r>
    <x v="39"/>
    <s v="MARK"/>
    <s v="on 1/13/25, 4:37 PM After Market Eastern Standard Time"/>
    <x v="0"/>
  </r>
  <r>
    <x v="40"/>
    <s v="RMCF"/>
    <s v="on 1/14/25, 4:05 PM After Market Eastern Standard Time"/>
    <x v="0"/>
  </r>
  <r>
    <x v="41"/>
    <s v="PKE"/>
    <s v="on 1/14/25, 4:10 PM After Market Eastern Standard Time"/>
    <x v="1"/>
  </r>
  <r>
    <x v="42"/>
    <s v="APLD"/>
    <s v="on 1/14/25, 4:16 PM After Market Eastern Standard Time"/>
    <x v="1"/>
  </r>
  <r>
    <x v="43"/>
    <s v="KARO"/>
    <s v="on 1/14/25, 4:22 PM After Market Eastern Standard Time"/>
    <x v="0"/>
  </r>
  <r>
    <x v="44"/>
    <s v="CVGW"/>
    <s v="on 1/14/25, 4:44 PM After Market Eastern Standard Time"/>
    <x v="1"/>
  </r>
  <r>
    <x v="45"/>
    <s v="FNGR"/>
    <s v="on 1/14/25, 4:49 PM After Market Eastern Standard Time"/>
    <x v="0"/>
  </r>
  <r>
    <x v="46"/>
    <s v="PLG"/>
    <s v="on 1/14/25, 5:00 PM After Market Eastern Standard Time"/>
    <x v="0"/>
  </r>
  <r>
    <x v="47"/>
    <s v="VLDX"/>
    <s v="on 1/14/25, 5:05 PM After Market Eastern Standard Time"/>
    <x v="0"/>
  </r>
  <r>
    <x v="48"/>
    <s v="LOOP"/>
    <s v="on 1/14/25, 5:40 PM After Market Eastern Standard Time"/>
    <x v="0"/>
  </r>
  <r>
    <x v="49"/>
    <s v="FRMO"/>
    <s v="on 1/14/25, 7:55 PM After Market Eastern Standard Time"/>
    <x v="0"/>
  </r>
  <r>
    <x v="50"/>
    <s v="BK"/>
    <s v="on 1/15/25, 1:00 AM Before Market Eastern Standard Time"/>
    <x v="3"/>
  </r>
  <r>
    <x v="50"/>
    <s v="WFC"/>
    <s v="on 1/15/25, 1:00 AM Before Market Eastern Standard Time"/>
    <x v="3"/>
  </r>
  <r>
    <x v="50"/>
    <s v="JPM"/>
    <s v="on 1/15/25, 1:00 AM Before Market Eastern Standard Time"/>
    <x v="3"/>
  </r>
  <r>
    <x v="50"/>
    <s v="GS"/>
    <s v="on 1/15/25, 1:00 AM Before Market Eastern Standard Time"/>
    <x v="3"/>
  </r>
  <r>
    <x v="50"/>
    <s v="C"/>
    <s v="on 1/15/25, 1:00 AM Before Market Eastern Standard Time"/>
    <x v="3"/>
  </r>
  <r>
    <x v="51"/>
    <s v="BLK"/>
    <s v="on 1/15/25, 5:59 AM Before Market Eastern Standard Time"/>
    <x v="3"/>
  </r>
  <r>
    <x v="52"/>
    <s v="UNTY"/>
    <s v="on 1/15/25, 6:00 AM Before Market Eastern Standard Time"/>
    <x v="1"/>
  </r>
  <r>
    <x v="53"/>
    <s v="ADUR"/>
    <s v="on 1/15/25, 6:01 AM Before Market Eastern Standard Time"/>
    <x v="0"/>
  </r>
  <r>
    <x v="54"/>
    <s v="CTBI"/>
    <s v="on 1/15/25, 8:15 AM Before Market Eastern Standard Time"/>
    <x v="1"/>
  </r>
  <r>
    <x v="55"/>
    <s v="PLBC"/>
    <s v="on 1/15/25, 9:00 AM Unspecified Eastern Standard Time"/>
    <x v="1"/>
  </r>
  <r>
    <x v="56"/>
    <s v="UNB"/>
    <s v="on 1/15/25, 3:16 PM During Market Eastern Standard Time"/>
    <x v="0"/>
  </r>
  <r>
    <x v="57"/>
    <s v="FUL"/>
    <s v="on 1/15/25, 4:05 PM After Market Eastern Standard Time"/>
    <x v="1"/>
  </r>
  <r>
    <x v="57"/>
    <s v="CNXC"/>
    <s v="on 1/15/25, 4:05 PM After Market Eastern Standard Time"/>
    <x v="2"/>
  </r>
  <r>
    <x v="58"/>
    <s v="HOMB"/>
    <s v="on 1/15/25, 4:15 PM After Market Eastern Standard Time"/>
    <x v="1"/>
  </r>
  <r>
    <x v="59"/>
    <s v="SNV"/>
    <s v="on 1/15/25, 5:06 PM After Market Eastern Standard Time"/>
    <x v="2"/>
  </r>
  <r>
    <x v="60"/>
    <s v="TSM"/>
    <s v="on 1/16/25, 1:00 AM Before Market Eastern Standard Time"/>
    <x v="0"/>
  </r>
  <r>
    <x v="60"/>
    <s v="MS"/>
    <s v="on 1/16/25, 1:00 AM Before Market Eastern Standard Time"/>
    <x v="3"/>
  </r>
  <r>
    <x v="60"/>
    <s v="INFY"/>
    <s v="on 1/16/25, 1:00 AM Before Market Eastern Standard Time"/>
    <x v="0"/>
  </r>
  <r>
    <x v="60"/>
    <s v="USB"/>
    <s v="on 1/16/25, 1:00 AM Before Market Eastern Standard Time"/>
    <x v="3"/>
  </r>
  <r>
    <x v="61"/>
    <s v="MTB"/>
    <s v="on 1/16/25, 5:30 AM Before Market Eastern Standard Time"/>
    <x v="3"/>
  </r>
  <r>
    <x v="62"/>
    <s v="UNH"/>
    <s v="on 1/16/25, 5:55 AM Before Market Eastern Standard Time"/>
    <x v="3"/>
  </r>
  <r>
    <x v="63"/>
    <s v="PNC"/>
    <s v="on 1/16/25, 6:28 AM Before Market Eastern Standard Time"/>
    <x v="3"/>
  </r>
  <r>
    <x v="64"/>
    <s v="IIIN"/>
    <s v="on 1/16/25, 6:30 AM Before Market Eastern Standard Time"/>
    <x v="1"/>
  </r>
  <r>
    <x v="64"/>
    <s v="FHN"/>
    <s v="on 1/16/25, 6:30 AM Before Market Eastern Standard Time"/>
    <x v="2"/>
  </r>
  <r>
    <x v="65"/>
    <s v="BAC"/>
    <s v="on 1/16/25, 6:45 AM Before Market Eastern Standard Time"/>
    <x v="3"/>
  </r>
  <r>
    <x v="66"/>
    <s v="BSVN"/>
    <s v="on 1/16/25, 8:00 AM Before Market Eastern Standard Time"/>
    <x v="1"/>
  </r>
  <r>
    <x v="67"/>
    <s v="WABC"/>
    <s v="on 1/16/25, 11:04 AM During Market Eastern Standard Time"/>
    <x v="1"/>
  </r>
  <r>
    <x v="68"/>
    <s v="OZK"/>
    <s v="on 1/16/25, 4:01 PM After Market Eastern Standard Time"/>
    <x v="2"/>
  </r>
  <r>
    <x v="69"/>
    <s v="RFIL"/>
    <s v="on 1/16/25, 4:02 PM After Market Eastern Standard Time"/>
    <x v="0"/>
  </r>
  <r>
    <x v="70"/>
    <s v="JBHT"/>
    <s v="on 1/16/25, 4:05 PM After Market Eastern Standard Time"/>
    <x v="3"/>
  </r>
  <r>
    <x v="71"/>
    <s v="INDB"/>
    <s v="on 1/16/25, 4:10 PM After Market Eastern Standard Time"/>
    <x v="1"/>
  </r>
  <r>
    <x v="72"/>
    <s v="WAFD"/>
    <s v="on 1/16/25, 5:15 PM After Market Eastern Standard Time"/>
    <x v="1"/>
  </r>
  <r>
    <x v="73"/>
    <s v="WIT"/>
    <s v="on 1/17/25, 1:00 AM Before Market Eastern Standard Time"/>
    <x v="0"/>
  </r>
  <r>
    <x v="73"/>
    <s v="STT"/>
    <s v="on 1/17/25, 1:00 AM Before Market Eastern Standard Time"/>
    <x v="3"/>
  </r>
  <r>
    <x v="73"/>
    <s v="TFC"/>
    <s v="on 1/17/25, 1:00 AM Before Market Eastern Standard Time"/>
    <x v="3"/>
  </r>
  <r>
    <x v="74"/>
    <s v="RF"/>
    <s v="on 1/17/25, 6:00 AM Before Market Eastern Standard Time"/>
    <x v="3"/>
  </r>
  <r>
    <x v="75"/>
    <s v="CFG"/>
    <s v="on 1/17/25, 6:20 AM Before Market Eastern Standard Time"/>
    <x v="3"/>
  </r>
  <r>
    <x v="76"/>
    <s v="SLB"/>
    <s v="on 1/17/25, 6:50 AM Before Market Eastern Standard Time"/>
    <x v="3"/>
  </r>
  <r>
    <x v="76"/>
    <s v="FAST"/>
    <s v="on 1/17/25, 6:50 AM Before Market Eastern Standard Time"/>
    <x v="3"/>
  </r>
  <r>
    <x v="77"/>
    <s v="HBAN"/>
    <s v="on 1/17/25, 7:00 AM Before Market Eastern Standard Time"/>
    <x v="3"/>
  </r>
  <r>
    <x v="78"/>
    <s v="WBS"/>
    <s v="on 1/17/25, 7:30 AM Before Market Eastern Standard Time"/>
    <x v="2"/>
  </r>
  <r>
    <x v="79"/>
    <s v="SIFY"/>
    <s v="on 1/17/25, 7:34 AM Before Market Eastern Standard Time"/>
    <x v="0"/>
  </r>
  <r>
    <x v="80"/>
    <s v="HIFS"/>
    <s v="on 1/17/25, 4:01 PM After Market Eastern Standard Time"/>
    <x v="1"/>
  </r>
  <r>
    <x v="81"/>
    <s v="BOKF"/>
    <s v="on 1/17/25, 4:03 PM After Market Eastern Standard Time"/>
    <x v="0"/>
  </r>
  <r>
    <x v="82"/>
    <s v="EDU"/>
    <s v="on 1/21/25, 4:18 AM Before Market Eastern Standard Time"/>
    <x v="0"/>
  </r>
  <r>
    <x v="83"/>
    <s v="MBWM"/>
    <s v="on 1/21/25, 5:05 AM Before Market Eastern Standard Time"/>
    <x v="1"/>
  </r>
  <r>
    <x v="84"/>
    <s v="PEBO"/>
    <s v="on 1/21/25, 6:00 AM Before Market Eastern Standard Time"/>
    <x v="1"/>
  </r>
  <r>
    <x v="85"/>
    <s v="UMC"/>
    <s v="on 1/21/25, 6:03 AM Before Market Eastern Standard Time"/>
    <x v="0"/>
  </r>
  <r>
    <x v="86"/>
    <s v="FBK"/>
    <s v="on 1/21/25, 6:15 AM Before Market Eastern Standard Time"/>
    <x v="1"/>
  </r>
  <r>
    <x v="87"/>
    <s v="KEY"/>
    <s v="on 1/21/25, 6:30 AM Before Market Eastern Standard Time"/>
    <x v="3"/>
  </r>
  <r>
    <x v="87"/>
    <s v="FITB"/>
    <s v="on 1/21/25, 6:30 AM Before Market Eastern Standard Time"/>
    <x v="3"/>
  </r>
  <r>
    <x v="87"/>
    <s v="DHI"/>
    <s v="on 1/21/25, 6:30 AM Before Market Eastern Standard Time"/>
    <x v="3"/>
  </r>
  <r>
    <x v="87"/>
    <s v="FOR"/>
    <s v="on 1/21/25, 6:30 AM Before Market Eastern Standard Time"/>
    <x v="1"/>
  </r>
  <r>
    <x v="87"/>
    <s v="MMM"/>
    <s v="on 1/21/25, 6:30 AM Before Market Eastern Standard Time"/>
    <x v="3"/>
  </r>
  <r>
    <x v="88"/>
    <s v="CBU"/>
    <s v="on 1/21/25, 6:45 AM Before Market Eastern Standard Time"/>
    <x v="1"/>
  </r>
  <r>
    <x v="89"/>
    <s v="ONB"/>
    <s v="on 1/21/25, 7:00 AM Before Market Eastern Standard Time"/>
    <x v="1"/>
  </r>
  <r>
    <x v="89"/>
    <s v="SSBK"/>
    <s v="on 1/21/25, 7:00 AM Before Market Eastern Standard Time"/>
    <x v="1"/>
  </r>
  <r>
    <x v="89"/>
    <s v="GNTY"/>
    <s v="on 1/21/25, 7:00 AM Before Market Eastern Standard Time"/>
    <x v="1"/>
  </r>
  <r>
    <x v="90"/>
    <s v="SCHW"/>
    <s v="on 1/21/25, 7:30 AM Before Market Eastern Standard Time"/>
    <x v="3"/>
  </r>
  <r>
    <x v="91"/>
    <s v="PLD"/>
    <s v="on 1/21/25, 8:00 AM Before Market Eastern Standard Time"/>
    <x v="3"/>
  </r>
  <r>
    <x v="91"/>
    <s v="ASRV"/>
    <s v="on 1/21/25, 8:00 AM Before Market Eastern Standard Time"/>
    <x v="0"/>
  </r>
  <r>
    <x v="92"/>
    <s v="MCBS"/>
    <s v="on 1/21/25, 9:30 AM During Market Eastern Standard Time"/>
    <x v="1"/>
  </r>
  <r>
    <x v="93"/>
    <s v="HWC"/>
    <s v="on 1/21/25, 4:00 PM After Market Eastern Standard Time"/>
    <x v="1"/>
  </r>
  <r>
    <x v="93"/>
    <s v="TRST"/>
    <s v="on 1/21/25, 4:00 PM After Market Eastern Standard Time"/>
    <x v="1"/>
  </r>
  <r>
    <x v="94"/>
    <s v="IBKR"/>
    <s v="on 1/21/25, 4:01 PM After Market Eastern Standard Time"/>
    <x v="2"/>
  </r>
  <r>
    <x v="94"/>
    <s v="UAL"/>
    <s v="on 1/21/25, 4:01 PM After Market Eastern Standard Time"/>
    <x v="3"/>
  </r>
  <r>
    <x v="95"/>
    <s v="NFLX"/>
    <s v="on 1/21/25, 4:02 PM After Market Eastern Standard Time"/>
    <x v="3"/>
  </r>
  <r>
    <x v="96"/>
    <s v="COF"/>
    <s v="on 1/21/25, 4:05 PM After Market Eastern Standard Time"/>
    <x v="3"/>
  </r>
  <r>
    <x v="96"/>
    <s v="AGYS"/>
    <s v="on 1/21/25, 4:05 PM After Market Eastern Standard Time"/>
    <x v="1"/>
  </r>
  <r>
    <x v="96"/>
    <s v="STX"/>
    <s v="on 1/21/25, 4:05 PM After Market Eastern Standard Time"/>
    <x v="3"/>
  </r>
  <r>
    <x v="97"/>
    <s v="CASH"/>
    <s v="on 1/21/25, 4:10 PM After Market Eastern Standard Time"/>
    <x v="1"/>
  </r>
  <r>
    <x v="97"/>
    <s v="ZION"/>
    <s v="on 1/21/25, 4:10 PM After Market Eastern Standard Time"/>
    <x v="2"/>
  </r>
  <r>
    <x v="98"/>
    <s v="PFC"/>
    <s v="on 1/21/25, 4:15 PM After Market Eastern Standard Time"/>
    <x v="1"/>
  </r>
  <r>
    <x v="98"/>
    <s v="BFC"/>
    <s v="on 1/21/25, 4:15 PM After Market Eastern Standard Time"/>
    <x v="1"/>
  </r>
  <r>
    <x v="98"/>
    <s v="PRGS"/>
    <s v="on 1/21/25, 4:15 PM After Market Eastern Standard Time"/>
    <x v="1"/>
  </r>
  <r>
    <x v="99"/>
    <s v="NIC"/>
    <s v="on 1/21/25, 4:24 PM After Market Eastern Standard Time"/>
    <x v="1"/>
  </r>
  <r>
    <x v="100"/>
    <s v="FULT"/>
    <s v="on 1/21/25, 4:30 PM After Market Eastern Standard Time"/>
    <x v="1"/>
  </r>
  <r>
    <x v="100"/>
    <s v="FSBW"/>
    <s v="on 1/21/25, 4:30 PM After Market Eastern Standard Time"/>
    <x v="1"/>
  </r>
  <r>
    <x v="100"/>
    <s v="SFNC"/>
    <s v="on 1/21/25, 4:30 PM After Market Eastern Standard Time"/>
    <x v="1"/>
  </r>
  <r>
    <x v="101"/>
    <s v="WTFC"/>
    <s v="on 1/21/25, 4:55 PM After Market Eastern Standard Time"/>
    <x v="2"/>
  </r>
  <r>
    <x v="102"/>
    <s v="SCLX"/>
    <s v="on 1/21/25, 4:58 PM After Market Eastern Standard Time"/>
    <x v="0"/>
  </r>
  <r>
    <x v="103"/>
    <s v="SMBK"/>
    <s v="on 1/21/25, 5:00 PM After Market Eastern Standard Time"/>
    <x v="1"/>
  </r>
  <r>
    <x v="103"/>
    <s v="PNFP"/>
    <s v="on 1/21/25, 5:00 PM After Market Eastern Standard Time"/>
    <x v="2"/>
  </r>
  <r>
    <x v="104"/>
    <s v="GSBC"/>
    <s v="on 1/21/25, 6:30 PM After Market Eastern Standard Time"/>
    <x v="1"/>
  </r>
  <r>
    <x v="105"/>
    <s v="MMYT"/>
    <s v="on 1/22/25, 1:00 AM Unspecified Eastern Standard Time"/>
    <x v="0"/>
  </r>
  <r>
    <x v="105"/>
    <s v="CNS"/>
    <s v="on 1/22/25, 1:00 AM After Market Eastern Standard Time"/>
    <x v="1"/>
  </r>
  <r>
    <x v="105"/>
    <s v="GEV"/>
    <s v="on 1/22/25, 1:00 AM Before Market Eastern Standard Time"/>
    <x v="3"/>
  </r>
  <r>
    <x v="105"/>
    <s v="LPL"/>
    <s v="on 1/22/25, 1:00 AM Unspecified Eastern Standard Time"/>
    <x v="0"/>
  </r>
  <r>
    <x v="105"/>
    <s v="HDB"/>
    <s v="on 1/22/25, 1:00 AM Unspecified Eastern Standard Time"/>
    <x v="0"/>
  </r>
  <r>
    <x v="106"/>
    <s v="CBSH"/>
    <s v="on 1/22/25, 6:00 AM Before Market Eastern Standard Time"/>
    <x v="2"/>
  </r>
  <r>
    <x v="106"/>
    <s v="FNB"/>
    <s v="on 1/22/25, 6:00 AM Before Market Eastern Standard Time"/>
    <x v="2"/>
  </r>
  <r>
    <x v="106"/>
    <s v="TEL"/>
    <s v="on 1/22/25, 6:00 AM Before Market Eastern Standard Time"/>
    <x v="3"/>
  </r>
  <r>
    <x v="107"/>
    <s v="JNJ"/>
    <s v="on 1/22/25, 6:20 AM Before Market Eastern Standard Time"/>
    <x v="3"/>
  </r>
  <r>
    <x v="108"/>
    <s v="CMA"/>
    <s v="on 1/22/25, 6:22 AM Before Market Eastern Standard Time"/>
    <x v="0"/>
  </r>
  <r>
    <x v="109"/>
    <s v="TXT"/>
    <s v="on 1/22/25, 6:30 AM Before Market Eastern Standard Time"/>
    <x v="3"/>
  </r>
  <r>
    <x v="110"/>
    <s v="BKU"/>
    <s v="on 1/22/25, 6:45 AM Before Market Eastern Standard Time"/>
    <x v="1"/>
  </r>
  <r>
    <x v="110"/>
    <s v="HAL"/>
    <s v="on 1/22/25, 6:45 AM Before Market Eastern Standard Time"/>
    <x v="3"/>
  </r>
  <r>
    <x v="111"/>
    <s v="TDY"/>
    <s v="on 1/22/25, 6:55 AM Before Market Eastern Standard Time"/>
    <x v="3"/>
  </r>
  <r>
    <x v="112"/>
    <s v="TRV"/>
    <s v="on 1/22/25, 6:57 AM Before Market Eastern Standard Time"/>
    <x v="3"/>
  </r>
  <r>
    <x v="113"/>
    <s v="ABT"/>
    <s v="on 1/22/25, 7:00 AM Before Market Eastern Standard Time"/>
    <x v="3"/>
  </r>
  <r>
    <x v="113"/>
    <s v="PG"/>
    <s v="on 1/22/25, 7:00 AM Before Market Eastern Standard Time"/>
    <x v="3"/>
  </r>
  <r>
    <x v="114"/>
    <s v="HBT"/>
    <s v="on 1/22/25, 7:05 AM Before Market Eastern Standard Time"/>
    <x v="1"/>
  </r>
  <r>
    <x v="115"/>
    <s v="SYBT"/>
    <s v="on 1/22/25, 7:30 AM Before Market Eastern Standard Time"/>
    <x v="1"/>
  </r>
  <r>
    <x v="115"/>
    <s v="OFG"/>
    <s v="on 1/22/25, 7:30 AM Before Market Eastern Standard Time"/>
    <x v="1"/>
  </r>
  <r>
    <x v="115"/>
    <s v="UCB"/>
    <s v="on 1/22/25, 7:30 AM Before Market Eastern Standard Time"/>
    <x v="1"/>
  </r>
  <r>
    <x v="116"/>
    <s v="ALLY"/>
    <s v="on 1/22/25, 7:46 AM Before Market Eastern Standard Time"/>
    <x v="2"/>
  </r>
  <r>
    <x v="117"/>
    <s v="APH"/>
    <s v="on 1/22/25, 8:00 AM Before Market Eastern Standard Time"/>
    <x v="3"/>
  </r>
  <r>
    <x v="118"/>
    <s v="FCCO"/>
    <s v="on 1/22/25, 9:00 AM Before Market Eastern Standard Time"/>
    <x v="0"/>
  </r>
  <r>
    <x v="119"/>
    <s v="GCBC"/>
    <s v="on 1/22/25, 9:36 AM During Market Eastern Standard Time"/>
    <x v="1"/>
  </r>
  <r>
    <x v="120"/>
    <s v="HARL"/>
    <s v="on 1/22/25, 12:07 PM During Market Eastern Standard Time"/>
    <x v="0"/>
  </r>
  <r>
    <x v="121"/>
    <s v="BANR"/>
    <s v="on 1/22/25, 4:00 PM After Market Eastern Standard Time"/>
    <x v="1"/>
  </r>
  <r>
    <x v="122"/>
    <s v="KNX"/>
    <s v="on 1/22/25, 4:01 PM After Market Eastern Standard Time"/>
    <x v="2"/>
  </r>
  <r>
    <x v="123"/>
    <s v="COFS"/>
    <s v="on 1/22/25, 4:05 PM After Market Eastern Standard Time"/>
    <x v="1"/>
  </r>
  <r>
    <x v="123"/>
    <s v="RLI"/>
    <s v="on 1/22/25, 4:05 PM After Market Eastern Standard Time"/>
    <x v="2"/>
  </r>
  <r>
    <x v="123"/>
    <s v="KMI"/>
    <s v="on 1/22/25, 4:05 PM After Market Eastern Standard Time"/>
    <x v="3"/>
  </r>
  <r>
    <x v="123"/>
    <s v="HBNC"/>
    <s v="on 1/22/25, 4:05 PM After Market Eastern Standard Time"/>
    <x v="1"/>
  </r>
  <r>
    <x v="123"/>
    <s v="QCRH"/>
    <s v="on 1/22/25, 4:05 PM After Market Eastern Standard Time"/>
    <x v="1"/>
  </r>
  <r>
    <x v="123"/>
    <s v="NVEC"/>
    <s v="on 1/22/25, 4:05 PM After Market Eastern Standard Time"/>
    <x v="1"/>
  </r>
  <r>
    <x v="124"/>
    <s v="TFIN"/>
    <s v="on 1/22/25, 4:07 PM After Market Eastern Standard Time"/>
    <x v="1"/>
  </r>
  <r>
    <x v="124"/>
    <s v="BWFG"/>
    <s v="on 1/22/25, 4:07 PM After Market Eastern Standard Time"/>
    <x v="1"/>
  </r>
  <r>
    <x v="125"/>
    <s v="SLG"/>
    <s v="on 1/22/25, 4:10 PM After Market Eastern Standard Time"/>
    <x v="1"/>
  </r>
  <r>
    <x v="126"/>
    <s v="NBHC"/>
    <s v="on 1/22/25, 4:14 PM After Market Eastern Standard Time"/>
    <x v="1"/>
  </r>
  <r>
    <x v="126"/>
    <s v="AA"/>
    <s v="on 1/22/25, 4:14 PM After Market Eastern Standard Time"/>
    <x v="2"/>
  </r>
  <r>
    <x v="127"/>
    <s v="EGBN"/>
    <s v="on 1/22/25, 4:15 PM After Market Eastern Standard Time"/>
    <x v="1"/>
  </r>
  <r>
    <x v="127"/>
    <s v="PLXS"/>
    <s v="on 1/22/25, 4:15 PM After Market Eastern Standard Time"/>
    <x v="1"/>
  </r>
  <r>
    <x v="127"/>
    <s v="WSBC"/>
    <s v="on 1/22/25, 4:15 PM After Market Eastern Standard Time"/>
    <x v="1"/>
  </r>
  <r>
    <x v="127"/>
    <s v="OBK"/>
    <s v="on 1/22/25, 4:15 PM After Market Eastern Standard Time"/>
    <x v="1"/>
  </r>
  <r>
    <x v="127"/>
    <s v="TCBX"/>
    <s v="on 1/22/25, 4:15 PM After Market Eastern Standard Time"/>
    <x v="1"/>
  </r>
  <r>
    <x v="127"/>
    <s v="FNLC"/>
    <s v="on 1/22/25, 4:15 PM After Market Eastern Standard Time"/>
    <x v="1"/>
  </r>
  <r>
    <x v="127"/>
    <s v="HXL"/>
    <s v="on 1/22/25, 4:15 PM After Market Eastern Standard Time"/>
    <x v="2"/>
  </r>
  <r>
    <x v="127"/>
    <s v="UVSP"/>
    <s v="on 1/22/25, 4:15 PM After Market Eastern Standard Time"/>
    <x v="1"/>
  </r>
  <r>
    <x v="127"/>
    <s v="CACI"/>
    <s v="on 1/22/25, 4:15 PM After Market Eastern Standard Time"/>
    <x v="2"/>
  </r>
  <r>
    <x v="128"/>
    <s v="CBAN"/>
    <s v="on 1/22/25, 4:30 PM After Market Eastern Standard Time"/>
    <x v="1"/>
  </r>
  <r>
    <x v="128"/>
    <s v="LOB"/>
    <s v="on 1/22/25, 4:30 PM After Market Eastern Standard Time"/>
    <x v="1"/>
  </r>
  <r>
    <x v="128"/>
    <s v="TOWN"/>
    <s v="on 1/22/25, 4:30 PM After Market Eastern Standard Time"/>
    <x v="1"/>
  </r>
  <r>
    <x v="128"/>
    <s v="CATY"/>
    <s v="on 1/22/25, 4:30 PM After Market Eastern Standard Time"/>
    <x v="1"/>
  </r>
  <r>
    <x v="128"/>
    <s v="FMCB"/>
    <s v="on 1/22/25, 4:30 PM After Market Eastern Standard Time"/>
    <x v="0"/>
  </r>
  <r>
    <x v="128"/>
    <s v="CADE"/>
    <s v="on 1/22/25, 4:30 PM After Market Eastern Standard Time"/>
    <x v="1"/>
  </r>
  <r>
    <x v="128"/>
    <s v="DFS"/>
    <s v="on 1/22/25, 4:30 PM After Market Eastern Standard Time"/>
    <x v="3"/>
  </r>
  <r>
    <x v="129"/>
    <s v="OSBC"/>
    <s v="on 1/22/25, 4:35 PM After Market Eastern Standard Time"/>
    <x v="1"/>
  </r>
  <r>
    <x v="130"/>
    <s v="EQBK"/>
    <s v="on 1/22/25, 4:45 PM After Market Eastern Standard Time"/>
    <x v="1"/>
  </r>
  <r>
    <x v="131"/>
    <s v="CVBF"/>
    <s v="on 1/22/25, 4:52 PM After Market Eastern Standard Time"/>
    <x v="1"/>
  </r>
  <r>
    <x v="132"/>
    <s v="STLD"/>
    <s v="on 1/22/25, 5:00 PM After Market Eastern Standard Time"/>
    <x v="3"/>
  </r>
  <r>
    <x v="133"/>
    <s v="AMTB"/>
    <s v="on 1/22/25, 5:01 PM After Market Eastern Standard Time"/>
    <x v="1"/>
  </r>
  <r>
    <x v="133"/>
    <s v="INBK"/>
    <s v="on 1/22/25, 5:01 PM After Market Eastern Standard Time"/>
    <x v="1"/>
  </r>
  <r>
    <x v="134"/>
    <s v="NBBK"/>
    <s v="on 1/22/25, 6:14 PM After Market Eastern Standard Time"/>
    <x v="1"/>
  </r>
  <r>
    <x v="135"/>
    <s v="NFBK"/>
    <s v="on 1/22/25, 6:15 PM After Market Eastern Standard Time"/>
    <x v="1"/>
  </r>
  <r>
    <x v="136"/>
    <s v="MPB"/>
    <s v="on 1/22/25, 6:16 PM After Market Eastern Standard Time"/>
    <x v="1"/>
  </r>
  <r>
    <x v="137"/>
    <s v="ALK"/>
    <s v="on 1/22/25, 8:20 PM After Market Eastern Standard Time"/>
    <x v="0"/>
  </r>
  <r>
    <x v="138"/>
    <s v="SDVKY"/>
    <s v="on 1/23/25, 1:00 AM Before Market Eastern Standard Time"/>
    <x v="0"/>
  </r>
  <r>
    <x v="138"/>
    <s v="FCX"/>
    <s v="on 1/23/25, 1:00 AM Before Market Eastern Standard Time"/>
    <x v="3"/>
  </r>
  <r>
    <x v="138"/>
    <s v="RDY"/>
    <s v="on 1/23/25, 1:00 AM Unspecified Eastern Standard Time"/>
    <x v="0"/>
  </r>
  <r>
    <x v="138"/>
    <s v="NTRS"/>
    <s v="on 1/23/25, 1:00 AM Before Market Eastern Standard Time"/>
    <x v="3"/>
  </r>
  <r>
    <x v="139"/>
    <s v="NJDCY"/>
    <s v="on 1/23/25, 2:30 AM Unspecified Eastern Standard Time"/>
    <x v="0"/>
  </r>
  <r>
    <x v="140"/>
    <s v="CHT"/>
    <s v="on 1/23/25, 3:18 AM Before Market Eastern Standard Time"/>
    <x v="0"/>
  </r>
  <r>
    <x v="141"/>
    <s v="TAL"/>
    <s v="on 1/23/25, 4:00 AM Before Market Eastern Standard Time"/>
    <x v="0"/>
  </r>
  <r>
    <x v="142"/>
    <s v="PPBI"/>
    <s v="on 1/23/25, 5:58 AM Before Market Eastern Standard Time"/>
    <x v="1"/>
  </r>
  <r>
    <x v="143"/>
    <s v="WNS"/>
    <s v="on 1/23/25, 6:00 AM Before Market Eastern Standard Time"/>
    <x v="1"/>
  </r>
  <r>
    <x v="143"/>
    <s v="BANC"/>
    <s v="on 1/23/25, 6:00 AM Before Market Eastern Standard Time"/>
    <x v="1"/>
  </r>
  <r>
    <x v="143"/>
    <s v="ELV"/>
    <s v="on 1/23/25, 6:00 AM Before Market Eastern Standard Time"/>
    <x v="3"/>
  </r>
  <r>
    <x v="143"/>
    <s v="TCBI"/>
    <s v="on 1/23/25, 6:00 AM Before Market Eastern Standard Time"/>
    <x v="1"/>
  </r>
  <r>
    <x v="144"/>
    <s v="GE"/>
    <s v="on 1/23/25, 6:22 AM Before Market Eastern Standard Time"/>
    <x v="3"/>
  </r>
  <r>
    <x v="145"/>
    <s v="AMAL"/>
    <s v="on 1/23/25, 6:25 AM Before Market Eastern Standard Time"/>
    <x v="1"/>
  </r>
  <r>
    <x v="146"/>
    <s v="TCBK"/>
    <s v="on 1/23/25, 6:30 AM Before Market Eastern Standard Time"/>
    <x v="1"/>
  </r>
  <r>
    <x v="146"/>
    <s v="MKC"/>
    <s v="on 1/23/25, 6:30 AM Before Market Eastern Standard Time"/>
    <x v="3"/>
  </r>
  <r>
    <x v="147"/>
    <s v="AUB"/>
    <s v="on 1/23/25, 6:45 AM Before Market Eastern Standard Time"/>
    <x v="1"/>
  </r>
  <r>
    <x v="147"/>
    <s v="HZO"/>
    <s v="on 1/23/25, 6:45 AM Before Market Eastern Standard Time"/>
    <x v="1"/>
  </r>
  <r>
    <x v="148"/>
    <s v="ORI"/>
    <s v="on 1/23/25, 7:00 AM Before Market Eastern Standard Time"/>
    <x v="2"/>
  </r>
  <r>
    <x v="148"/>
    <s v="FBP"/>
    <s v="on 1/23/25, 7:00 AM Before Market Eastern Standard Time"/>
    <x v="1"/>
  </r>
  <r>
    <x v="148"/>
    <s v="AAL"/>
    <s v="on 1/23/25, 7:00 AM Before Market Eastern Standard Time"/>
    <x v="2"/>
  </r>
  <r>
    <x v="148"/>
    <s v="VLY"/>
    <s v="on 1/23/25, 7:00 AM Before Market Eastern Standard Time"/>
    <x v="1"/>
  </r>
  <r>
    <x v="148"/>
    <s v="LYTS"/>
    <s v="on 1/23/25, 7:00 AM Before Market Eastern Standard Time"/>
    <x v="1"/>
  </r>
  <r>
    <x v="149"/>
    <s v="DCOM"/>
    <s v="on 1/23/25, 7:15 AM Before Market Eastern Standard Time"/>
    <x v="1"/>
  </r>
  <r>
    <x v="150"/>
    <s v="CHCO"/>
    <s v="on 1/23/25, 7:30 AM Before Market Eastern Standard Time"/>
    <x v="1"/>
  </r>
  <r>
    <x v="151"/>
    <s v="UNP"/>
    <s v="on 1/23/25, 7:45 AM Before Market Eastern Standard Time"/>
    <x v="3"/>
  </r>
  <r>
    <x v="152"/>
    <s v="IBCP"/>
    <s v="on 1/23/25, 7:59 AM Before Market Eastern Standard Time"/>
    <x v="1"/>
  </r>
  <r>
    <x v="153"/>
    <s v="HFWA"/>
    <s v="on 1/23/25, 8:00 AM Before Market Eastern Standard Time"/>
    <x v="1"/>
  </r>
  <r>
    <x v="153"/>
    <s v="FMBH"/>
    <s v="on 1/23/25, 8:00 AM Before Market Eastern Standard Time"/>
    <x v="1"/>
  </r>
  <r>
    <x v="153"/>
    <s v="CARE"/>
    <s v="on 1/23/25, 8:00 AM Before Market Eastern Standard Time"/>
    <x v="1"/>
  </r>
  <r>
    <x v="153"/>
    <s v="CASS"/>
    <s v="on 1/23/25, 8:00 AM Before Market Eastern Standard Time"/>
    <x v="1"/>
  </r>
  <r>
    <x v="153"/>
    <s v="NG"/>
    <s v="on 1/23/25, 8:00 AM Before Market Eastern Standard Time"/>
    <x v="1"/>
  </r>
  <r>
    <x v="154"/>
    <s v="WTBA"/>
    <s v="on 1/23/25, 8:30 AM Before Market Eastern Standard Time"/>
    <x v="1"/>
  </r>
  <r>
    <x v="154"/>
    <s v="OSIS"/>
    <s v="on 1/23/25, 8:30 AM Before Market Eastern Standard Time"/>
    <x v="1"/>
  </r>
  <r>
    <x v="154"/>
    <s v="GATX"/>
    <s v="on 1/23/25, 8:30 AM Before Market Eastern Standard Time"/>
    <x v="1"/>
  </r>
  <r>
    <x v="155"/>
    <s v="HTBI"/>
    <s v="on 1/23/25, 8:32 AM Before Market Eastern Standard Time"/>
    <x v="1"/>
  </r>
  <r>
    <x v="156"/>
    <s v="ESQ"/>
    <s v="on 1/23/25, 8:54 AM Before Market Eastern Standard Time"/>
    <x v="1"/>
  </r>
  <r>
    <x v="157"/>
    <s v="FVCB"/>
    <s v="on 1/23/25, 4:00 PM After Market Eastern Standard Time"/>
    <x v="1"/>
  </r>
  <r>
    <x v="157"/>
    <s v="CWBC"/>
    <s v="on 1/23/25, 4:00 PM After Market Eastern Standard Time"/>
    <x v="1"/>
  </r>
  <r>
    <x v="157"/>
    <s v="SRCE"/>
    <s v="on 1/23/25, 4:00 PM After Market Eastern Standard Time"/>
    <x v="1"/>
  </r>
  <r>
    <x v="157"/>
    <s v="HTBK"/>
    <s v="on 1/23/25, 4:00 PM After Market Eastern Standard Time"/>
    <x v="1"/>
  </r>
  <r>
    <x v="158"/>
    <s v="BFST"/>
    <s v="on 1/23/25, 4:01 PM After Market Eastern Standard Time"/>
    <x v="1"/>
  </r>
  <r>
    <x v="158"/>
    <s v="TXN"/>
    <s v="on 1/23/25, 4:01 PM After Market Eastern Standard Time"/>
    <x v="3"/>
  </r>
  <r>
    <x v="159"/>
    <s v="COLB"/>
    <s v="on 1/23/25, 4:02 PM After Market Eastern Standard Time"/>
    <x v="2"/>
  </r>
  <r>
    <x v="159"/>
    <s v="CZNC"/>
    <s v="on 1/23/25, 4:02 PM After Market Eastern Standard Time"/>
    <x v="1"/>
  </r>
  <r>
    <x v="159"/>
    <s v="CSX"/>
    <s v="on 1/23/25, 4:02 PM After Market Eastern Standard Time"/>
    <x v="3"/>
  </r>
  <r>
    <x v="160"/>
    <s v="SSB"/>
    <s v="on 1/23/25, 4:05 PM After Market Eastern Standard Time"/>
    <x v="1"/>
  </r>
  <r>
    <x v="160"/>
    <s v="EWBC"/>
    <s v="on 1/23/25, 4:05 PM After Market Eastern Standard Time"/>
    <x v="2"/>
  </r>
  <r>
    <x v="160"/>
    <s v="CVLG"/>
    <s v="on 1/23/25, 4:05 PM After Market Eastern Standard Time"/>
    <x v="1"/>
  </r>
  <r>
    <x v="160"/>
    <s v="ZEO"/>
    <s v="on 1/23/25, 4:05 PM After Market Eastern Standard Time"/>
    <x v="0"/>
  </r>
  <r>
    <x v="160"/>
    <s v="ISRG"/>
    <s v="on 1/23/25, 4:05 PM After Market Eastern Standard Time"/>
    <x v="3"/>
  </r>
  <r>
    <x v="160"/>
    <s v="FFIN"/>
    <s v="on 1/23/25, 4:05 PM After Market Eastern Standard Time"/>
    <x v="1"/>
  </r>
  <r>
    <x v="160"/>
    <s v="MCB"/>
    <s v="on 1/23/25, 4:05 PM After Market Eastern Standard Time"/>
    <x v="1"/>
  </r>
  <r>
    <x v="161"/>
    <s v="FPH"/>
    <s v="on 1/23/25, 4:10 PM After Market Eastern Standard Time"/>
    <x v="0"/>
  </r>
  <r>
    <x v="162"/>
    <s v="BY"/>
    <s v="on 1/23/25, 4:15 PM After Market Eastern Standard Time"/>
    <x v="1"/>
  </r>
  <r>
    <x v="162"/>
    <s v="SBFG"/>
    <s v="on 1/23/25, 4:15 PM After Market Eastern Standard Time"/>
    <x v="0"/>
  </r>
  <r>
    <x v="162"/>
    <s v="MBCN"/>
    <s v="on 1/23/25, 4:15 PM After Market Eastern Standard Time"/>
    <x v="1"/>
  </r>
  <r>
    <x v="162"/>
    <s v="OCFC"/>
    <s v="on 1/23/25, 4:15 PM After Market Eastern Standard Time"/>
    <x v="1"/>
  </r>
  <r>
    <x v="162"/>
    <s v="ASB"/>
    <s v="on 1/23/25, 4:15 PM After Market Eastern Standard Time"/>
    <x v="1"/>
  </r>
  <r>
    <x v="162"/>
    <s v="FFBC"/>
    <s v="on 1/23/25, 4:15 PM After Market Eastern Standard Time"/>
    <x v="1"/>
  </r>
  <r>
    <x v="162"/>
    <s v="PVBC"/>
    <s v="on 1/23/25, 4:15 PM After Market Eastern Standard Time"/>
    <x v="0"/>
  </r>
  <r>
    <x v="162"/>
    <s v="MOFG"/>
    <s v="on 1/23/25, 4:15 PM After Market Eastern Standard Time"/>
    <x v="1"/>
  </r>
  <r>
    <x v="162"/>
    <s v="BHB"/>
    <s v="on 1/23/25, 4:15 PM After Market Eastern Standard Time"/>
    <x v="1"/>
  </r>
  <r>
    <x v="162"/>
    <s v="BANF"/>
    <s v="on 1/23/25, 4:15 PM After Market Eastern Standard Time"/>
    <x v="1"/>
  </r>
  <r>
    <x v="163"/>
    <s v="EBC"/>
    <s v="on 1/23/25, 4:17 PM After Market Eastern Standard Time"/>
    <x v="1"/>
  </r>
  <r>
    <x v="164"/>
    <s v="ACNB"/>
    <s v="on 1/23/25, 4:26 PM After Market Eastern Standard Time"/>
    <x v="1"/>
  </r>
  <r>
    <x v="165"/>
    <s v="MSBI"/>
    <s v="on 1/23/25, 4:30 PM After Market Eastern Standard Time"/>
    <x v="1"/>
  </r>
  <r>
    <x v="165"/>
    <s v="SLM"/>
    <s v="on 1/23/25, 4:30 PM After Market Eastern Standard Time"/>
    <x v="2"/>
  </r>
  <r>
    <x v="165"/>
    <s v="OPBK"/>
    <s v="on 1/23/25, 4:30 PM After Market Eastern Standard Time"/>
    <x v="0"/>
  </r>
  <r>
    <x v="165"/>
    <s v="GBCI"/>
    <s v="on 1/23/25, 4:30 PM After Market Eastern Standard Time"/>
    <x v="1"/>
  </r>
  <r>
    <x v="165"/>
    <s v="BCML"/>
    <s v="on 1/23/25, 4:30 PM After Market Eastern Standard Time"/>
    <x v="1"/>
  </r>
  <r>
    <x v="165"/>
    <s v="NKSH"/>
    <s v="on 1/23/25, 4:30 PM After Market Eastern Standard Time"/>
    <x v="1"/>
  </r>
  <r>
    <x v="165"/>
    <s v="USCB"/>
    <s v="on 1/23/25, 4:30 PM After Market Eastern Standard Time"/>
    <x v="1"/>
  </r>
  <r>
    <x v="165"/>
    <s v="CUBI"/>
    <s v="on 1/23/25, 4:30 PM After Market Eastern Standard Time"/>
    <x v="1"/>
  </r>
  <r>
    <x v="166"/>
    <s v="FRBA"/>
    <s v="on 1/23/25, 4:35 PM After Market Eastern Standard Time"/>
    <x v="1"/>
  </r>
  <r>
    <x v="167"/>
    <s v="RMBI"/>
    <s v="on 1/23/25, 4:45 PM After Market Eastern Standard Time"/>
    <x v="0"/>
  </r>
  <r>
    <x v="167"/>
    <s v="MYFW"/>
    <s v="on 1/23/25, 4:45 PM After Market Eastern Standard Time"/>
    <x v="1"/>
  </r>
  <r>
    <x v="168"/>
    <s v="IBTX"/>
    <s v="on 1/23/25 After Market Eastern Standard Time"/>
    <x v="1"/>
  </r>
  <r>
    <x v="169"/>
    <s v="ISTR"/>
    <s v="on 1/23/25, 6:00 PM After Market Eastern Standard Time"/>
    <x v="1"/>
  </r>
  <r>
    <x v="170"/>
    <s v="ERIC"/>
    <s v="on 1/24/25, 1:00 AM Before Market Eastern Standard Time"/>
    <x v="0"/>
  </r>
  <r>
    <x v="170"/>
    <s v="LKFN"/>
    <s v="on 1/24/25, 1:00 AM Before Market Eastern Standard Time"/>
    <x v="1"/>
  </r>
  <r>
    <x v="170"/>
    <s v="NEE"/>
    <s v="on 1/24/25, 1:00 AM Before Market Eastern Standard Time"/>
    <x v="3"/>
  </r>
  <r>
    <x v="171"/>
    <s v="SPFI"/>
    <s v="on 1/24/25, 6:25 AM Before Market Eastern Standard Time"/>
    <x v="1"/>
  </r>
  <r>
    <x v="172"/>
    <s v="FCNCA"/>
    <s v="on 1/24/25, 6:32 AM Before Market Eastern Standard Time"/>
    <x v="0"/>
  </r>
  <r>
    <x v="173"/>
    <s v="VZ"/>
    <s v="on 1/24/25, 6:55 AM Before Market Eastern Standard Time"/>
    <x v="3"/>
  </r>
  <r>
    <x v="174"/>
    <s v="AXP"/>
    <s v="on 1/24/25, 7:00 AM Before Market Eastern Standard Time"/>
    <x v="3"/>
  </r>
  <r>
    <x v="175"/>
    <s v="NWBI"/>
    <s v="on 1/24/25, 7:30 AM Before Market Eastern Standard Time"/>
    <x v="1"/>
  </r>
  <r>
    <x v="175"/>
    <s v="HCA"/>
    <s v="on 1/24/25, 7:30 AM Before Market Eastern Standard Time"/>
    <x v="3"/>
  </r>
  <r>
    <x v="176"/>
    <s v="UBSI"/>
    <s v="on 1/24/25, 7:50 AM Before Market Eastern Standard Time"/>
    <x v="1"/>
  </r>
  <r>
    <x v="177"/>
    <s v="MOG/A"/>
    <s v="on 1/24/25, 7:55 AM Before Market Eastern Standard Time"/>
    <x v="0"/>
  </r>
  <r>
    <x v="177"/>
    <s v="MOG/B"/>
    <s v="on 1/24/25, 7:55 AM Before Market Eastern Standard Time"/>
    <x v="0"/>
  </r>
  <r>
    <x v="178"/>
    <s v="RBCAA"/>
    <s v="on 1/24/25, 8:00 AM Before Market Eastern Standard Time"/>
    <x v="1"/>
  </r>
  <r>
    <x v="179"/>
    <s v="GVDNY"/>
    <s v="on 1/24/25 Before Market Eastern Standard Time"/>
    <x v="0"/>
  </r>
  <r>
    <x v="179"/>
    <s v="MRBK"/>
    <s v="on 1/24/25, 9:00 AM Before Market Eastern Standard Time"/>
    <x v="0"/>
  </r>
  <r>
    <x v="180"/>
    <s v="LSBK"/>
    <s v="on 1/24/25, 4:00 PM After Market Eastern Standard Time"/>
    <x v="0"/>
  </r>
  <r>
    <x v="181"/>
    <s v="BHRB"/>
    <s v="on 1/24/25, 4:01 PM After Market Eastern Standard Time"/>
    <x v="1"/>
  </r>
  <r>
    <x v="182"/>
    <s v="MULN"/>
    <s v="on 1/24/25, 4:15 PM After Market Eastern Standard Time"/>
    <x v="0"/>
  </r>
  <r>
    <x v="182"/>
    <s v="NRIM"/>
    <s v="on 1/24/25, 4:15 PM After Market Eastern Standard Time"/>
    <x v="1"/>
  </r>
  <r>
    <x v="182"/>
    <s v="PKBK"/>
    <s v="on 1/24/25, 4:15 PM After Market Eastern Standard Time"/>
    <x v="1"/>
  </r>
  <r>
    <x v="183"/>
    <s v="PEBK"/>
    <s v="on 1/27/25 Before Market Eastern Standard Time"/>
    <x v="0"/>
  </r>
  <r>
    <x v="183"/>
    <s v="HOPE"/>
    <s v="on 1/27/25 Before Market Eastern Standard Time"/>
    <x v="1"/>
  </r>
  <r>
    <x v="183"/>
    <s v="SOFI"/>
    <s v="on 1/27/25 Before Market Eastern Standard Time"/>
    <x v="0"/>
  </r>
  <r>
    <x v="183"/>
    <s v="FANUY"/>
    <s v="on 1/27/25 Unspecified Eastern Standard Time"/>
    <x v="0"/>
  </r>
  <r>
    <x v="183"/>
    <s v="IBN"/>
    <s v="on 1/27/25 Unspecified Eastern Standard Time"/>
    <x v="0"/>
  </r>
  <r>
    <x v="183"/>
    <s v="BSRR"/>
    <s v="on 1/27/25 Before Market Eastern Standard Time"/>
    <x v="1"/>
  </r>
  <r>
    <x v="183"/>
    <s v="RYAAY"/>
    <s v="on 1/27/25 Before Market Eastern Standard Time"/>
    <x v="0"/>
  </r>
  <r>
    <x v="183"/>
    <s v="BMRC"/>
    <s v="on 1/27/25 Before Market Eastern Standard Time"/>
    <x v="1"/>
  </r>
  <r>
    <x v="183"/>
    <s v="NEP"/>
    <s v="on 1/27/25 Unspecified Eastern Standard Time"/>
    <x v="0"/>
  </r>
  <r>
    <x v="183"/>
    <s v="DX"/>
    <s v="on 1/27/25 Before Market Eastern Standard Time"/>
    <x v="1"/>
  </r>
  <r>
    <x v="183"/>
    <s v="BOH"/>
    <s v="on 1/27/25 Before Market Eastern Standard Time"/>
    <x v="1"/>
  </r>
  <r>
    <x v="183"/>
    <s v="T"/>
    <s v="on 1/27/25 Before Market Eastern Standard Time"/>
    <x v="3"/>
  </r>
  <r>
    <x v="183"/>
    <s v="CZWI"/>
    <s v="on 1/27/25 Before Market Eastern Standard Time"/>
    <x v="0"/>
  </r>
  <r>
    <x v="184"/>
    <s v="GGG"/>
    <s v="on 1/27/25 After Market Eastern Standard Time"/>
    <x v="2"/>
  </r>
  <r>
    <x v="184"/>
    <s v="ANGH"/>
    <s v="on 1/27/25 After Market Eastern Standard Time"/>
    <x v="0"/>
  </r>
  <r>
    <x v="184"/>
    <s v="SHWZ"/>
    <s v="on 1/27/25 After Market Eastern Standard Time"/>
    <x v="0"/>
  </r>
  <r>
    <x v="184"/>
    <s v="PII"/>
    <s v="on 1/27/25 After Market Eastern Standard Time"/>
    <x v="2"/>
  </r>
  <r>
    <x v="184"/>
    <s v="PFBC"/>
    <s v="on 1/27/25 After Market Eastern Standard Time"/>
    <x v="1"/>
  </r>
  <r>
    <x v="184"/>
    <s v="ELS"/>
    <s v="on 1/27/25 After Market Eastern Standard Time"/>
    <x v="2"/>
  </r>
  <r>
    <x v="184"/>
    <s v="CLBK"/>
    <s v="on 1/27/25 After Market Eastern Standard Time"/>
    <x v="1"/>
  </r>
  <r>
    <x v="184"/>
    <s v="FSBC"/>
    <s v="on 1/27/25 After Market Eastern Standard Time"/>
    <x v="1"/>
  </r>
  <r>
    <x v="184"/>
    <s v="NUE"/>
    <s v="on 1/27/25 After Market Eastern Standard Time"/>
    <x v="3"/>
  </r>
  <r>
    <x v="184"/>
    <s v="SFBS"/>
    <s v="on 1/27/25 After Market Eastern Standard Time"/>
    <x v="1"/>
  </r>
  <r>
    <x v="184"/>
    <s v="FCBC"/>
    <s v="on 1/27/25 After Market Eastern Standard Time"/>
    <x v="1"/>
  </r>
  <r>
    <x v="184"/>
    <s v="AGNC"/>
    <s v="on 1/27/25 After Market Eastern Standard Time"/>
    <x v="0"/>
  </r>
  <r>
    <x v="184"/>
    <s v="HBCP"/>
    <s v="on 1/27/25 After Market Eastern Standard Time"/>
    <x v="1"/>
  </r>
  <r>
    <x v="184"/>
    <s v="SANM"/>
    <s v="on 1/27/25 After Market Eastern Standard Time"/>
    <x v="1"/>
  </r>
  <r>
    <x v="184"/>
    <s v="ESSA"/>
    <s v="on 1/27/25 After Market Eastern Standard Time"/>
    <x v="0"/>
  </r>
  <r>
    <x v="184"/>
    <s v="WAL"/>
    <s v="on 1/27/25 After Market Eastern Standard Time"/>
    <x v="2"/>
  </r>
  <r>
    <x v="184"/>
    <s v="CR"/>
    <s v="on 1/27/25 After Market Eastern Standard Time"/>
    <x v="2"/>
  </r>
  <r>
    <x v="184"/>
    <s v="WSFS"/>
    <s v="on 1/27/25 After Market Eastern Standard Time"/>
    <x v="1"/>
  </r>
  <r>
    <x v="184"/>
    <s v="PCH"/>
    <s v="on 1/27/25 After Market Eastern Standard Time"/>
    <x v="1"/>
  </r>
  <r>
    <x v="184"/>
    <s v="TSBK"/>
    <s v="on 1/27/25 After Market Eastern Standard Time"/>
    <x v="1"/>
  </r>
  <r>
    <x v="184"/>
    <s v="BCBP"/>
    <s v="on 1/27/25 After Market Eastern Standard Time"/>
    <x v="1"/>
  </r>
  <r>
    <x v="184"/>
    <s v="PRK"/>
    <s v="on 1/27/25 After Market Eastern Standard Time"/>
    <x v="1"/>
  </r>
  <r>
    <x v="184"/>
    <s v="SBCF"/>
    <s v="on 1/27/25 After Market Eastern Standard Time"/>
    <x v="1"/>
  </r>
  <r>
    <x v="184"/>
    <s v="HMST"/>
    <s v="on 1/27/25 After Market Eastern Standard Time"/>
    <x v="1"/>
  </r>
  <r>
    <x v="184"/>
    <s v="TRNS"/>
    <s v="on 1/27/25 After Market Eastern Standard Time"/>
    <x v="1"/>
  </r>
  <r>
    <x v="184"/>
    <s v="LNKB"/>
    <s v="on 1/27/25 After Market Eastern Standard Time"/>
    <x v="0"/>
  </r>
  <r>
    <x v="184"/>
    <s v="SMBC"/>
    <s v="on 1/27/25 After Market Eastern Standard Time"/>
    <x v="1"/>
  </r>
  <r>
    <x v="184"/>
    <s v="MRTN"/>
    <s v="on 1/27/25 After Market Eastern Standard Time"/>
    <x v="1"/>
  </r>
  <r>
    <x v="184"/>
    <s v="BRO"/>
    <s v="on 1/27/25 After Market Eastern Standard Time"/>
    <x v="3"/>
  </r>
  <r>
    <x v="184"/>
    <s v="GABC"/>
    <s v="on 1/27/25 After Market Eastern Standard Time"/>
    <x v="1"/>
  </r>
  <r>
    <x v="184"/>
    <s v="EFSC"/>
    <s v="on 1/27/25 After Market Eastern Standard Time"/>
    <x v="1"/>
  </r>
  <r>
    <x v="184"/>
    <s v="WRB"/>
    <s v="on 1/27/25 After Market Eastern Standard Time"/>
    <x v="3"/>
  </r>
  <r>
    <x v="184"/>
    <s v="NBTB"/>
    <s v="on 1/27/25 After Market Eastern Standard Time"/>
    <x v="1"/>
  </r>
  <r>
    <x v="184"/>
    <s v="TBNK"/>
    <s v="on 1/27/25 After Market Eastern Standard Time"/>
    <x v="0"/>
  </r>
  <r>
    <x v="184"/>
    <s v="ARE"/>
    <s v="on 1/27/25 After Market Eastern Standard Time"/>
    <x v="3"/>
  </r>
  <r>
    <x v="185"/>
    <s v="SAP"/>
    <s v="on 1/28/25 Unspecified Eastern Standard Time"/>
    <x v="0"/>
  </r>
  <r>
    <x v="185"/>
    <s v="BPOP"/>
    <s v="on 1/28/25 Before Market Eastern Standard Time"/>
    <x v="0"/>
  </r>
  <r>
    <x v="185"/>
    <s v="PDCC"/>
    <s v="on 1/28/25 Before Market Eastern Standard Time"/>
    <x v="0"/>
  </r>
  <r>
    <x v="185"/>
    <s v="RCL"/>
    <s v="on 1/28/25 Before Market Eastern Standard Time"/>
    <x v="3"/>
  </r>
  <r>
    <x v="185"/>
    <s v="UTMD"/>
    <s v="on 1/28/25 Before Market Eastern Standard Time"/>
    <x v="0"/>
  </r>
  <r>
    <x v="185"/>
    <s v="CVLT"/>
    <s v="on 1/28/25 Before Market Eastern Standard Time"/>
    <x v="1"/>
  </r>
  <r>
    <x v="185"/>
    <s v="SASR"/>
    <s v="on 1/28/25 Before Market Eastern Standard Time"/>
    <x v="1"/>
  </r>
  <r>
    <x v="185"/>
    <s v="XRX"/>
    <s v="on 1/28/25 Before Market Eastern Standard Time"/>
    <x v="1"/>
  </r>
  <r>
    <x v="185"/>
    <s v="IVZ"/>
    <s v="on 1/28/25 Before Market Eastern Standard Time"/>
    <x v="3"/>
  </r>
  <r>
    <x v="185"/>
    <s v="PCAR"/>
    <s v="on 1/28/25 Before Market Eastern Standard Time"/>
    <x v="3"/>
  </r>
  <r>
    <x v="185"/>
    <s v="FFNW"/>
    <s v="on 1/28/25 Before Market Eastern Standard Time"/>
    <x v="0"/>
  </r>
  <r>
    <x v="185"/>
    <s v="GM"/>
    <s v="on 1/28/25 Before Market Eastern Standard Time"/>
    <x v="3"/>
  </r>
  <r>
    <x v="185"/>
    <s v="KMB"/>
    <s v="on 1/28/25 Before Market Eastern Standard Time"/>
    <x v="3"/>
  </r>
  <r>
    <x v="185"/>
    <s v="SYF"/>
    <s v="on 1/28/25 Before Market Eastern Standard Time"/>
    <x v="3"/>
  </r>
  <r>
    <x v="185"/>
    <s v="HONE"/>
    <s v="on 1/28/25 Before Market Eastern Standard Time"/>
    <x v="1"/>
  </r>
  <r>
    <x v="185"/>
    <s v="ADNT"/>
    <s v="on 1/28/25 Before Market Eastern Standard Time"/>
    <x v="1"/>
  </r>
  <r>
    <x v="185"/>
    <s v="LVMUY"/>
    <s v="on 1/28/25 Unspecified Eastern Standard Time"/>
    <x v="0"/>
  </r>
  <r>
    <x v="185"/>
    <s v="CCBG"/>
    <s v="on 1/28/25 Before Market Eastern Standard Time"/>
    <x v="1"/>
  </r>
  <r>
    <x v="185"/>
    <s v="NVR"/>
    <s v="on 1/28/25 Before Market Eastern Standard Time"/>
    <x v="3"/>
  </r>
  <r>
    <x v="185"/>
    <s v="LMT"/>
    <s v="on 1/28/25 Before Market Eastern Standard Time"/>
    <x v="3"/>
  </r>
  <r>
    <x v="185"/>
    <s v="JBLU"/>
    <s v="on 1/28/25 Before Market Eastern Standard Time"/>
    <x v="1"/>
  </r>
  <r>
    <x v="185"/>
    <s v="CAC"/>
    <s v="on 1/28/25 Before Market Eastern Standard Time"/>
    <x v="1"/>
  </r>
  <r>
    <x v="185"/>
    <s v="BA"/>
    <s v="on 1/28/25 Before Market Eastern Standard Time"/>
    <x v="3"/>
  </r>
  <r>
    <x v="185"/>
    <s v="PROV"/>
    <s v="on 1/28/25 Before Market Eastern Standard Time"/>
    <x v="0"/>
  </r>
  <r>
    <x v="185"/>
    <s v="SYY"/>
    <s v="on 1/28/25 Before Market Eastern Standard Time"/>
    <x v="3"/>
  </r>
  <r>
    <x v="185"/>
    <s v="RTX"/>
    <s v="on 1/28/25 Before Market Eastern Standard Time"/>
    <x v="3"/>
  </r>
  <r>
    <x v="185"/>
    <s v="WRLD"/>
    <s v="on 1/28/25 Before Market Eastern Standard Time"/>
    <x v="1"/>
  </r>
  <r>
    <x v="186"/>
    <s v="CFFI"/>
    <s v="on 1/28/25 During Market Eastern Standard Time"/>
    <x v="0"/>
  </r>
  <r>
    <x v="186"/>
    <s v="THFF"/>
    <s v="on 1/28/25 During Market Eastern Standard Time"/>
    <x v="1"/>
  </r>
  <r>
    <x v="187"/>
    <s v="LOGI"/>
    <s v="on 1/28/25 After Market Eastern Standard Time"/>
    <x v="0"/>
  </r>
  <r>
    <x v="187"/>
    <s v="LFUS"/>
    <s v="on 1/28/25 After Market Eastern Standard Time"/>
    <x v="2"/>
  </r>
  <r>
    <x v="187"/>
    <s v="TLIS"/>
    <s v="on 1/28/25 After Market Eastern Standard Time"/>
    <x v="0"/>
  </r>
  <r>
    <x v="187"/>
    <s v="NXT"/>
    <s v="on 1/28/25 After Market Eastern Standard Time"/>
    <x v="1"/>
  </r>
  <r>
    <x v="187"/>
    <s v="PGC"/>
    <s v="on 1/28/25 After Market Eastern Standard Time"/>
    <x v="1"/>
  </r>
  <r>
    <x v="187"/>
    <s v="EVLV"/>
    <s v="on 1/28/25 After Market Eastern Standard Time"/>
    <x v="1"/>
  </r>
  <r>
    <x v="187"/>
    <s v="FRAF"/>
    <s v="on 1/28/25 After Market Eastern Standard Time"/>
    <x v="0"/>
  </r>
  <r>
    <x v="187"/>
    <s v="TFSL"/>
    <s v="on 1/28/25 After Market Eastern Standard Time"/>
    <x v="0"/>
  </r>
  <r>
    <x v="187"/>
    <s v="FFIC"/>
    <s v="on 1/28/25 After Market Eastern Standard Time"/>
    <x v="1"/>
  </r>
  <r>
    <x v="187"/>
    <s v="MBIN"/>
    <s v="on 1/28/25 After Market Eastern Standard Time"/>
    <x v="1"/>
  </r>
  <r>
    <x v="187"/>
    <s v="AX"/>
    <s v="on 1/28/25 After Market Eastern Standard Time"/>
    <x v="1"/>
  </r>
  <r>
    <x v="187"/>
    <s v="KXIN"/>
    <s v="on 1/28/25 After Market Eastern Standard Time"/>
    <x v="0"/>
  </r>
  <r>
    <x v="187"/>
    <s v="FFIV"/>
    <s v="on 1/28/25 After Market Eastern Standard Time"/>
    <x v="3"/>
  </r>
  <r>
    <x v="187"/>
    <s v="ALRS"/>
    <s v="on 1/28/25 After Market Eastern Standard Time"/>
    <x v="1"/>
  </r>
  <r>
    <x v="187"/>
    <s v="FCF"/>
    <s v="on 1/28/25 After Market Eastern Standard Time"/>
    <x v="1"/>
  </r>
  <r>
    <x v="187"/>
    <s v="POWW"/>
    <s v="on 1/28/25 After Market Eastern Standard Time"/>
    <x v="0"/>
  </r>
  <r>
    <x v="187"/>
    <s v="MANH"/>
    <s v="on 1/28/25 After Market Eastern Standard Time"/>
    <x v="2"/>
  </r>
  <r>
    <x v="187"/>
    <s v="VOXX"/>
    <s v="on 1/28/25 After Market Eastern Standard Time"/>
    <x v="0"/>
  </r>
  <r>
    <x v="187"/>
    <s v="CYDY"/>
    <s v="on 1/28/25 After Market Eastern Standard Time"/>
    <x v="0"/>
  </r>
  <r>
    <x v="187"/>
    <s v="WSBF"/>
    <s v="on 1/28/25 After Market Eastern Standard Time"/>
    <x v="1"/>
  </r>
  <r>
    <x v="187"/>
    <s v="PFS"/>
    <s v="on 1/28/25 After Market Eastern Standard Time"/>
    <x v="1"/>
  </r>
  <r>
    <x v="187"/>
    <s v="VBTX"/>
    <s v="on 1/28/25 After Market Eastern Standard Time"/>
    <x v="1"/>
  </r>
  <r>
    <x v="187"/>
    <s v="QRVO"/>
    <s v="on 1/28/25 After Market Eastern Standard Time"/>
    <x v="3"/>
  </r>
  <r>
    <x v="187"/>
    <s v="HAFC"/>
    <s v="on 1/28/25 After Market Eastern Standard Time"/>
    <x v="1"/>
  </r>
  <r>
    <x v="187"/>
    <s v="SBUX"/>
    <s v="on 1/28/25 After Market Eastern Standard Time"/>
    <x v="3"/>
  </r>
  <r>
    <x v="187"/>
    <s v="CB"/>
    <s v="on 1/28/25 After Market Eastern Standard Time"/>
    <x v="3"/>
  </r>
  <r>
    <x v="187"/>
    <s v="UMBF"/>
    <s v="on 1/28/25 After Market Eastern Standard Time"/>
    <x v="1"/>
  </r>
  <r>
    <x v="187"/>
    <s v="BUSE"/>
    <s v="on 1/28/25 After Market Eastern Standard Time"/>
    <x v="1"/>
  </r>
  <r>
    <x v="187"/>
    <s v="PACS"/>
    <s v="on 1/28/25 After Market Eastern Standard Time"/>
    <x v="1"/>
  </r>
  <r>
    <x v="187"/>
    <s v="RNR"/>
    <s v="on 1/28/25 After Market Eastern Standard Time"/>
    <x v="2"/>
  </r>
  <r>
    <x v="187"/>
    <s v="HLI"/>
    <s v="on 1/28/25 After Market Eastern Standard Time"/>
    <x v="2"/>
  </r>
  <r>
    <x v="187"/>
    <s v="HTLF"/>
    <s v="on 1/28/25 After Market Eastern Standard Time"/>
    <x v="1"/>
  </r>
  <r>
    <x v="187"/>
    <s v="FRST"/>
    <s v="on 1/28/25 After Market Eastern Standard Time"/>
    <x v="1"/>
  </r>
  <r>
    <x v="187"/>
    <s v="SYK"/>
    <s v="on 1/28/25 After Market Eastern Standard Time"/>
    <x v="3"/>
  </r>
  <r>
    <x v="187"/>
    <s v="BPRN"/>
    <s v="on 1/28/25 After Market Eastern Standard Time"/>
    <x v="1"/>
  </r>
  <r>
    <x v="187"/>
    <s v="MESA"/>
    <s v="on 1/28/25 After Market Eastern Standard Time"/>
    <x v="0"/>
  </r>
  <r>
    <x v="187"/>
    <s v="RNST"/>
    <s v="on 1/28/25 After Market Eastern Standard Time"/>
    <x v="1"/>
  </r>
  <r>
    <x v="187"/>
    <s v="ORRF"/>
    <s v="on 1/28/25 After Market Eastern Standard Time"/>
    <x v="1"/>
  </r>
  <r>
    <x v="187"/>
    <s v="CHMG"/>
    <s v="on 1/28/25 After Market Eastern Standard Time"/>
    <x v="1"/>
  </r>
  <r>
    <x v="187"/>
    <s v="UBFO"/>
    <s v="on 1/28/25 After Market Eastern Standard Time"/>
    <x v="0"/>
  </r>
  <r>
    <x v="187"/>
    <s v="TRMK"/>
    <s v="on 1/28/25 After Market Eastern Standard Time"/>
    <x v="1"/>
  </r>
  <r>
    <x v="187"/>
    <s v="WNEB"/>
    <s v="on 1/28/25 After Market Eastern Standard Time"/>
    <x v="0"/>
  </r>
  <r>
    <x v="187"/>
    <s v="MTAL"/>
    <s v="on 1/28/25 After Market Eastern Standard Time"/>
    <x v="1"/>
  </r>
  <r>
    <x v="187"/>
    <s v="AKO/A"/>
    <s v="on 1/28/25 After Market Eastern Standard Time"/>
    <x v="0"/>
  </r>
  <r>
    <x v="187"/>
    <s v="ASH"/>
    <s v="on 1/28/25 After Market Eastern Standard Time"/>
    <x v="2"/>
  </r>
  <r>
    <x v="187"/>
    <s v="AKO/B"/>
    <s v="on 1/28/25 After Market Eastern Standard Time"/>
    <x v="0"/>
  </r>
  <r>
    <x v="187"/>
    <s v="CCNE"/>
    <s v="on 1/28/25 After Market Eastern Standard Time"/>
    <x v="1"/>
  </r>
  <r>
    <x v="187"/>
    <s v="BXP"/>
    <s v="on 1/28/25 After Market Eastern Standard Time"/>
    <x v="3"/>
  </r>
  <r>
    <x v="187"/>
    <s v="LC"/>
    <s v="on 1/28/25 After Market Eastern Standard Time"/>
    <x v="1"/>
  </r>
  <r>
    <x v="187"/>
    <s v="PKG"/>
    <s v="on 1/28/25 After Market Eastern Standard Time"/>
    <x v="3"/>
  </r>
  <r>
    <x v="187"/>
    <s v="LRN"/>
    <s v="on 1/28/25 After Market Eastern Standard Time"/>
    <x v="1"/>
  </r>
  <r>
    <x v="188"/>
    <s v="FLEX"/>
    <s v="on 1/29/25 Before Market Eastern Standard Time"/>
    <x v="0"/>
  </r>
  <r>
    <x v="188"/>
    <s v="GLW"/>
    <s v="on 1/29/25 Before Market Eastern Standard Time"/>
    <x v="3"/>
  </r>
  <r>
    <x v="188"/>
    <s v="NAVI"/>
    <s v="on 1/29/25 Before Market Eastern Standard Time"/>
    <x v="1"/>
  </r>
  <r>
    <x v="188"/>
    <s v="CMCO"/>
    <s v="on 1/29/25 Before Market Eastern Standard Time"/>
    <x v="1"/>
  </r>
  <r>
    <x v="188"/>
    <s v="AKZOY"/>
    <s v="on 1/29/25 Before Market Eastern Standard Time"/>
    <x v="0"/>
  </r>
  <r>
    <x v="188"/>
    <s v="ASML"/>
    <s v="on 1/29/25 Before Market Eastern Standard Time"/>
    <x v="4"/>
  </r>
  <r>
    <x v="188"/>
    <s v="CPF"/>
    <s v="on 1/29/25 Before Market Eastern Standard Time"/>
    <x v="1"/>
  </r>
  <r>
    <x v="188"/>
    <s v="PGR"/>
    <s v="on 1/29/25 Before Market Eastern Standard Time"/>
    <x v="3"/>
  </r>
  <r>
    <x v="188"/>
    <s v="EXTR"/>
    <s v="on 1/29/25 Before Market Eastern Standard Time"/>
    <x v="1"/>
  </r>
  <r>
    <x v="188"/>
    <s v="VFC"/>
    <s v="on 1/29/25 Before Market Eastern Standard Time"/>
    <x v="0"/>
  </r>
  <r>
    <x v="188"/>
    <s v="MSCI"/>
    <s v="on 1/29/25 Before Market Eastern Standard Time"/>
    <x v="3"/>
  </r>
  <r>
    <x v="188"/>
    <s v="PB"/>
    <s v="on 1/29/25 Before Market Eastern Standard Time"/>
    <x v="2"/>
  </r>
  <r>
    <x v="188"/>
    <s v="SMFG"/>
    <s v="on 1/29/25 Unspecified Eastern Standard Time"/>
    <x v="0"/>
  </r>
  <r>
    <x v="188"/>
    <s v="SLGN"/>
    <s v="on 1/29/25 Before Market Eastern Standard Time"/>
    <x v="2"/>
  </r>
  <r>
    <x v="188"/>
    <s v="SHECY"/>
    <s v="on 1/29/25 Unspecified Eastern Standard Time"/>
    <x v="0"/>
  </r>
  <r>
    <x v="188"/>
    <s v="SBSI"/>
    <s v="on 1/29/25 Before Market Eastern Standard Time"/>
    <x v="1"/>
  </r>
  <r>
    <x v="188"/>
    <s v="BLFY"/>
    <s v="on 1/29/25 Before Market Eastern Standard Time"/>
    <x v="1"/>
  </r>
  <r>
    <x v="188"/>
    <s v="HESM"/>
    <s v="on 1/29/25 Before Market Eastern Standard Time"/>
    <x v="0"/>
  </r>
  <r>
    <x v="188"/>
    <s v="NSC"/>
    <s v="on 1/29/25 Before Market Eastern Standard Time"/>
    <x v="3"/>
  </r>
  <r>
    <x v="188"/>
    <s v="JMSB"/>
    <s v="on 1/29/25 Before Market Eastern Standard Time"/>
    <x v="1"/>
  </r>
  <r>
    <x v="188"/>
    <s v="FNWB"/>
    <s v="on 1/29/25 Unspecified Eastern Standard Time"/>
    <x v="0"/>
  </r>
  <r>
    <x v="188"/>
    <s v="HNVR"/>
    <s v="on 1/29/25 Before Market Eastern Standard Time"/>
    <x v="0"/>
  </r>
  <r>
    <x v="188"/>
    <s v="NDAQ"/>
    <s v="on 1/29/25 Before Market Eastern Standard Time"/>
    <x v="3"/>
  </r>
  <r>
    <x v="188"/>
    <s v="AVT"/>
    <s v="on 1/29/25 Before Market Eastern Standard Time"/>
    <x v="2"/>
  </r>
  <r>
    <x v="188"/>
    <s v="GPI"/>
    <s v="on 1/29/25 Before Market Eastern Standard Time"/>
    <x v="1"/>
  </r>
  <r>
    <x v="188"/>
    <s v="EXP"/>
    <s v="on 1/29/25 Before Market Eastern Standard Time"/>
    <x v="2"/>
  </r>
  <r>
    <x v="188"/>
    <s v="MHO"/>
    <s v="on 1/29/25 Before Market Eastern Standard Time"/>
    <x v="1"/>
  </r>
  <r>
    <x v="188"/>
    <s v="SRDX"/>
    <s v="on 1/29/25 Before Market Eastern Standard Time"/>
    <x v="1"/>
  </r>
  <r>
    <x v="188"/>
    <s v="ADP"/>
    <s v="on 1/29/25 Before Market Eastern Standard Time"/>
    <x v="3"/>
  </r>
  <r>
    <x v="188"/>
    <s v="DHR"/>
    <s v="on 1/29/25 Before Market Eastern Standard Time"/>
    <x v="3"/>
  </r>
  <r>
    <x v="188"/>
    <s v="GIB"/>
    <s v="on 1/29/25 Before Market Eastern Standard Time"/>
    <x v="0"/>
  </r>
  <r>
    <x v="188"/>
    <s v="FMNB"/>
    <s v="on 1/29/25 Before Market Eastern Standard Time"/>
    <x v="1"/>
  </r>
  <r>
    <x v="188"/>
    <s v="HES"/>
    <s v="on 1/29/25 Before Market Eastern Standard Time"/>
    <x v="3"/>
  </r>
  <r>
    <x v="188"/>
    <s v="TMUS"/>
    <s v="on 1/29/25 Before Market Eastern Standard Time"/>
    <x v="3"/>
  </r>
  <r>
    <x v="188"/>
    <s v="SMG"/>
    <s v="on 1/29/25 Before Market Eastern Standard Time"/>
    <x v="2"/>
  </r>
  <r>
    <x v="188"/>
    <s v="WNC"/>
    <s v="on 1/29/25 Before Market Eastern Standard Time"/>
    <x v="1"/>
  </r>
  <r>
    <x v="188"/>
    <s v="VIRT"/>
    <s v="on 1/29/25 Before Market Eastern Standard Time"/>
    <x v="0"/>
  </r>
  <r>
    <x v="188"/>
    <s v="SF"/>
    <s v="on 1/29/25 Before Market Eastern Standard Time"/>
    <x v="2"/>
  </r>
  <r>
    <x v="188"/>
    <s v="TEVA"/>
    <s v="on 1/29/25 Before Market Eastern Standard Time"/>
    <x v="0"/>
  </r>
  <r>
    <x v="188"/>
    <s v="CFFN"/>
    <s v="on 1/29/25 Before Market Eastern Standard Time"/>
    <x v="1"/>
  </r>
  <r>
    <x v="188"/>
    <s v="EAT"/>
    <s v="on 1/29/25 Before Market Eastern Standard Time"/>
    <x v="1"/>
  </r>
  <r>
    <x v="188"/>
    <s v="AIT"/>
    <s v="on 1/29/25 Before Market Eastern Standard Time"/>
    <x v="1"/>
  </r>
  <r>
    <x v="188"/>
    <s v="OTIS"/>
    <s v="on 1/29/25 Before Market Eastern Standard Time"/>
    <x v="3"/>
  </r>
  <r>
    <x v="188"/>
    <s v="MNRO"/>
    <s v="on 1/29/25 Before Market Eastern Standard Time"/>
    <x v="1"/>
  </r>
  <r>
    <x v="188"/>
    <s v="CODA"/>
    <s v="on 1/29/25 Before Market Eastern Standard Time"/>
    <x v="0"/>
  </r>
  <r>
    <x v="188"/>
    <s v="MKTAY"/>
    <s v="on 1/29/25 Unspecified Eastern Standard Time"/>
    <x v="0"/>
  </r>
  <r>
    <x v="188"/>
    <s v="GD"/>
    <s v="on 1/29/25 Before Market Eastern Standard Time"/>
    <x v="3"/>
  </r>
  <r>
    <x v="188"/>
    <s v="LII"/>
    <s v="on 1/29/25 Before Market Eastern Standard Time"/>
    <x v="2"/>
  </r>
  <r>
    <x v="188"/>
    <s v="VLVLY"/>
    <s v="on 1/29/25 Before Market Eastern Standard Time"/>
    <x v="0"/>
  </r>
  <r>
    <x v="189"/>
    <s v="PWOD"/>
    <s v="on 1/29/25 During Market Eastern Standard Time"/>
    <x v="0"/>
  </r>
  <r>
    <x v="190"/>
    <s v="IBM"/>
    <s v="on 1/29/25 After Market Eastern Standard Time"/>
    <x v="3"/>
  </r>
  <r>
    <x v="190"/>
    <s v="NOW"/>
    <s v="on 1/29/25 After Market Eastern Standard Time"/>
    <x v="3"/>
  </r>
  <r>
    <x v="190"/>
    <s v="BWB"/>
    <s v="on 1/29/25 After Market Eastern Standard Time"/>
    <x v="1"/>
  </r>
  <r>
    <x v="190"/>
    <s v="CCS"/>
    <s v="on 1/29/25 After Market Eastern Standard Time"/>
    <x v="1"/>
  </r>
  <r>
    <x v="190"/>
    <s v="HWKN"/>
    <s v="on 1/29/25 After Market Eastern Standard Time"/>
    <x v="1"/>
  </r>
  <r>
    <x v="190"/>
    <s v="EZPW"/>
    <s v="on 1/29/25 After Market Eastern Standard Time"/>
    <x v="0"/>
  </r>
  <r>
    <x v="190"/>
    <s v="RHI"/>
    <s v="on 1/29/25 After Market Eastern Standard Time"/>
    <x v="0"/>
  </r>
  <r>
    <x v="190"/>
    <s v="ZJYL"/>
    <s v="on 1/29/25 After Market Eastern Standard Time"/>
    <x v="0"/>
  </r>
  <r>
    <x v="190"/>
    <s v="GDHG"/>
    <s v="on 1/29/25 After Market Eastern Standard Time"/>
    <x v="0"/>
  </r>
  <r>
    <x v="190"/>
    <s v="LSTR"/>
    <s v="on 1/29/25 After Market Eastern Standard Time"/>
    <x v="2"/>
  </r>
  <r>
    <x v="190"/>
    <s v="CALX"/>
    <s v="on 1/29/25 After Market Eastern Standard Time"/>
    <x v="1"/>
  </r>
  <r>
    <x v="190"/>
    <s v="MTH"/>
    <s v="on 1/29/25 After Market Eastern Standard Time"/>
    <x v="1"/>
  </r>
  <r>
    <x v="190"/>
    <s v="BHE"/>
    <s v="on 1/29/25 After Market Eastern Standard Time"/>
    <x v="1"/>
  </r>
  <r>
    <x v="190"/>
    <s v="LEVI"/>
    <s v="on 1/29/25 After Market Eastern Standard Time"/>
    <x v="0"/>
  </r>
  <r>
    <x v="190"/>
    <s v="NFG"/>
    <s v="on 1/29/25 After Market Eastern Standard Time"/>
    <x v="2"/>
  </r>
  <r>
    <x v="190"/>
    <s v="WASH"/>
    <s v="on 1/29/25 After Market Eastern Standard Time"/>
    <x v="1"/>
  </r>
  <r>
    <x v="190"/>
    <s v="SFST"/>
    <s v="on 1/29/25 After Market Eastern Standard Time"/>
    <x v="1"/>
  </r>
  <r>
    <x v="190"/>
    <s v="AMSC"/>
    <s v="on 1/29/25 After Market Eastern Standard Time"/>
    <x v="1"/>
  </r>
  <r>
    <x v="190"/>
    <s v="AMP"/>
    <s v="on 1/29/25 After Market Eastern Standard Time"/>
    <x v="3"/>
  </r>
  <r>
    <x v="190"/>
    <s v="CP"/>
    <s v="on 1/29/25 After Market Eastern Standard Time"/>
    <x v="0"/>
  </r>
  <r>
    <x v="190"/>
    <s v="LARK"/>
    <s v="on 1/29/25 After Market Eastern Standard Time"/>
    <x v="0"/>
  </r>
  <r>
    <x v="190"/>
    <s v="URI"/>
    <s v="on 1/29/25 After Market Eastern Standard Time"/>
    <x v="3"/>
  </r>
  <r>
    <x v="190"/>
    <s v="CMPR"/>
    <s v="on 1/29/25 After Market Eastern Standard Time"/>
    <x v="1"/>
  </r>
  <r>
    <x v="190"/>
    <s v="LBRT"/>
    <s v="on 1/29/25 After Market Eastern Standard Time"/>
    <x v="1"/>
  </r>
  <r>
    <x v="190"/>
    <s v="META"/>
    <s v="on 1/29/25 After Market Eastern Standard Time"/>
    <x v="3"/>
  </r>
  <r>
    <x v="190"/>
    <s v="WOLF"/>
    <s v="on 1/29/25 After Market Eastern Standard Time"/>
    <x v="0"/>
  </r>
  <r>
    <x v="190"/>
    <s v="ETD"/>
    <s v="on 1/29/25 After Market Eastern Standard Time"/>
    <x v="1"/>
  </r>
  <r>
    <x v="190"/>
    <s v="RJF"/>
    <s v="on 1/29/25 After Market Eastern Standard Time"/>
    <x v="3"/>
  </r>
  <r>
    <x v="190"/>
    <s v="TTEK"/>
    <s v="on 1/29/25 After Market Eastern Standard Time"/>
    <x v="2"/>
  </r>
  <r>
    <x v="190"/>
    <s v="SIGI"/>
    <s v="on 1/29/25 After Market Eastern Standard Time"/>
    <x v="1"/>
  </r>
  <r>
    <x v="190"/>
    <s v="WM"/>
    <s v="on 1/29/25 After Market Eastern Standard Time"/>
    <x v="3"/>
  </r>
  <r>
    <x v="190"/>
    <s v="MEOH"/>
    <s v="on 1/29/25 After Market Eastern Standard Time"/>
    <x v="0"/>
  </r>
  <r>
    <x v="190"/>
    <s v="SEIC"/>
    <s v="on 1/29/25 After Market Eastern Standard Time"/>
    <x v="2"/>
  </r>
  <r>
    <x v="190"/>
    <s v="CCI"/>
    <s v="on 1/29/25 After Market Eastern Standard Time"/>
    <x v="3"/>
  </r>
  <r>
    <x v="190"/>
    <s v="MXL"/>
    <s v="on 1/29/25 After Market Eastern Standard Time"/>
    <x v="1"/>
  </r>
  <r>
    <x v="190"/>
    <s v="MSFT"/>
    <s v="on 1/29/25 After Market Eastern Standard Time"/>
    <x v="3"/>
  </r>
  <r>
    <x v="190"/>
    <s v="LRCX"/>
    <s v="on 1/29/25 After Market Eastern Standard Time"/>
    <x v="3"/>
  </r>
  <r>
    <x v="190"/>
    <s v="CLS"/>
    <s v="on 1/29/25 After Market Eastern Standard Time"/>
    <x v="0"/>
  </r>
  <r>
    <x v="190"/>
    <s v="CLB"/>
    <s v="on 1/29/25 After Market Eastern Standard Time"/>
    <x v="1"/>
  </r>
  <r>
    <x v="190"/>
    <s v="WHR"/>
    <s v="on 1/29/25 After Market Eastern Standard Time"/>
    <x v="2"/>
  </r>
  <r>
    <x v="190"/>
    <s v="TWO"/>
    <s v="on 1/29/25 After Market Eastern Standard Time"/>
    <x v="1"/>
  </r>
  <r>
    <x v="190"/>
    <s v="AXS"/>
    <s v="on 1/29/25 After Market Eastern Standard Time"/>
    <x v="0"/>
  </r>
  <r>
    <x v="190"/>
    <s v="CHRW"/>
    <s v="on 1/29/25 After Market Eastern Standard Time"/>
    <x v="3"/>
  </r>
  <r>
    <x v="190"/>
    <s v="TER"/>
    <s v="on 1/29/25 After Market Eastern Standard Time"/>
    <x v="3"/>
  </r>
  <r>
    <x v="190"/>
    <s v="FBNC"/>
    <s v="on 1/29/25 After Market Eastern Standard Time"/>
    <x v="1"/>
  </r>
  <r>
    <x v="190"/>
    <s v="TSLA"/>
    <s v="on 1/29/25 After Market Eastern Standard Time"/>
    <x v="3"/>
  </r>
  <r>
    <x v="190"/>
    <s v="LVS"/>
    <s v="on 1/29/25 After Market Eastern Standard Time"/>
    <x v="3"/>
  </r>
  <r>
    <x v="190"/>
    <s v="BFIN"/>
    <s v="on 1/29/25 After Market Eastern Standard Time"/>
    <x v="0"/>
  </r>
  <r>
    <x v="190"/>
    <s v="NLY"/>
    <s v="on 1/29/25 After Market Eastern Standard Time"/>
    <x v="2"/>
  </r>
  <r>
    <x v="190"/>
    <s v="DLB"/>
    <s v="on 1/29/25 After Market Eastern Standard Time"/>
    <x v="2"/>
  </r>
  <r>
    <x v="190"/>
    <s v="BRKL"/>
    <s v="on 1/29/25 After Market Eastern Standard Time"/>
    <x v="1"/>
  </r>
  <r>
    <x v="190"/>
    <s v="JBSS"/>
    <s v="on 1/29/25 After Market Eastern Standard Time"/>
    <x v="1"/>
  </r>
  <r>
    <x v="190"/>
    <s v="WDC"/>
    <s v="on 1/29/25 After Market Eastern Standard Time"/>
    <x v="3"/>
  </r>
  <r>
    <x v="190"/>
    <s v="FBMS"/>
    <s v="on 1/29/25 After Market Eastern Standard Time"/>
    <x v="1"/>
  </r>
  <r>
    <x v="190"/>
    <s v="BSET"/>
    <s v="on 1/29/25 After Market Eastern Standard Time"/>
    <x v="0"/>
  </r>
  <r>
    <x v="190"/>
    <s v="STBX"/>
    <s v="on 1/29/25 After Market Eastern Standard Time"/>
    <x v="0"/>
  </r>
  <r>
    <x v="190"/>
    <s v="FIBK"/>
    <s v="on 1/29/25 After Market Eastern Standard Time"/>
    <x v="1"/>
  </r>
  <r>
    <x v="190"/>
    <s v="OBT"/>
    <s v="on 1/29/25 After Market Eastern Standard Time"/>
    <x v="1"/>
  </r>
  <r>
    <x v="191"/>
    <s v="SKM"/>
    <s v="on 1/30/25 Unspecified Eastern Standard Time"/>
    <x v="0"/>
  </r>
  <r>
    <x v="191"/>
    <s v="STBA"/>
    <s v="on 1/30/25 Before Market Eastern Standard Time"/>
    <x v="1"/>
  </r>
  <r>
    <x v="191"/>
    <s v="LEJUY"/>
    <s v="on 1/30/25 Before Market Eastern Standard Time"/>
    <x v="0"/>
  </r>
  <r>
    <x v="191"/>
    <s v="VLO"/>
    <s v="on 1/30/25 Before Market Eastern Standard Time"/>
    <x v="3"/>
  </r>
  <r>
    <x v="191"/>
    <s v="NTCT"/>
    <s v="on 1/30/25 Before Market Eastern Standard Time"/>
    <x v="1"/>
  </r>
  <r>
    <x v="191"/>
    <s v="AOS"/>
    <s v="on 1/30/25 Before Market Eastern Standard Time"/>
    <x v="3"/>
  </r>
  <r>
    <x v="191"/>
    <s v="LAZ"/>
    <s v="on 1/30/25 Before Market Eastern Standard Time"/>
    <x v="0"/>
  </r>
  <r>
    <x v="191"/>
    <s v="DT"/>
    <s v="on 1/30/25 Before Market Eastern Standard Time"/>
    <x v="2"/>
  </r>
  <r>
    <x v="191"/>
    <s v="OSK"/>
    <s v="on 1/30/25 Before Market Eastern Standard Time"/>
    <x v="2"/>
  </r>
  <r>
    <x v="191"/>
    <s v="NRDBY"/>
    <s v="on 1/30/25 Before Market Eastern Standard Time"/>
    <x v="0"/>
  </r>
  <r>
    <x v="191"/>
    <s v="BX"/>
    <s v="on 1/30/25 Before Market Eastern Standard Time"/>
    <x v="3"/>
  </r>
  <r>
    <x v="191"/>
    <s v="RHHBY"/>
    <s v="on 1/30/25 Unspecified Eastern Standard Time"/>
    <x v="0"/>
  </r>
  <r>
    <x v="191"/>
    <s v="MBLY"/>
    <s v="on 1/30/25 Before Market Eastern Standard Time"/>
    <x v="0"/>
  </r>
  <r>
    <x v="191"/>
    <s v="FFWM"/>
    <s v="on 1/30/25 Before Market Eastern Standard Time"/>
    <x v="1"/>
  </r>
  <r>
    <x v="191"/>
    <s v="ELUXY"/>
    <s v="on 1/30/25 Before Market Eastern Standard Time"/>
    <x v="0"/>
  </r>
  <r>
    <x v="191"/>
    <s v="KEX"/>
    <s v="on 1/30/25 Before Market Eastern Standard Time"/>
    <x v="2"/>
  </r>
  <r>
    <x v="191"/>
    <s v="CNOB"/>
    <s v="on 1/30/25 Before Market Eastern Standard Time"/>
    <x v="1"/>
  </r>
  <r>
    <x v="191"/>
    <s v="MMC"/>
    <s v="on 1/30/25 Before Market Eastern Standard Time"/>
    <x v="3"/>
  </r>
  <r>
    <x v="191"/>
    <s v="BKRKY"/>
    <s v="on 1/30/25 Unspecified Eastern Standard Time"/>
    <x v="0"/>
  </r>
  <r>
    <x v="191"/>
    <s v="NOC"/>
    <s v="on 1/30/25 Before Market Eastern Standard Time"/>
    <x v="3"/>
  </r>
  <r>
    <x v="191"/>
    <s v="RCI"/>
    <s v="on 1/30/25 Before Market Eastern Standard Time"/>
    <x v="0"/>
  </r>
  <r>
    <x v="191"/>
    <s v="DGX"/>
    <s v="on 1/30/25 Before Market Eastern Standard Time"/>
    <x v="3"/>
  </r>
  <r>
    <x v="191"/>
    <s v="CNX"/>
    <s v="on 1/30/25 Before Market Eastern Standard Time"/>
    <x v="1"/>
  </r>
  <r>
    <x v="191"/>
    <s v="SHEL"/>
    <s v="on 1/30/25 Before Market Eastern Standard Time"/>
    <x v="0"/>
  </r>
  <r>
    <x v="191"/>
    <s v="DB"/>
    <s v="on 1/30/25 Before Market Eastern Standard Time"/>
    <x v="0"/>
  </r>
  <r>
    <x v="191"/>
    <s v="MUR"/>
    <s v="on 1/30/25 Before Market Eastern Standard Time"/>
    <x v="1"/>
  </r>
  <r>
    <x v="191"/>
    <s v="BHLB"/>
    <s v="on 1/30/25 Before Market Eastern Standard Time"/>
    <x v="1"/>
  </r>
  <r>
    <x v="191"/>
    <s v="CMCSA"/>
    <s v="on 1/30/25 Before Market Eastern Standard Time"/>
    <x v="3"/>
  </r>
  <r>
    <x v="191"/>
    <s v="UPS"/>
    <s v="on 1/30/25 Before Market Eastern Standard Time"/>
    <x v="3"/>
  </r>
  <r>
    <x v="191"/>
    <s v="DOV"/>
    <s v="on 1/30/25 Before Market Eastern Standard Time"/>
    <x v="3"/>
  </r>
  <r>
    <x v="191"/>
    <s v="CIVB"/>
    <s v="on 1/30/25 Before Market Eastern Standard Time"/>
    <x v="1"/>
  </r>
  <r>
    <x v="191"/>
    <s v="MOND"/>
    <s v="on 1/30/25 Before Market Eastern Standard Time"/>
    <x v="0"/>
  </r>
  <r>
    <x v="191"/>
    <s v="TAK"/>
    <s v="on 1/30/25 Before Market Eastern Standard Time"/>
    <x v="0"/>
  </r>
  <r>
    <x v="191"/>
    <s v="BBVA"/>
    <s v="on 1/30/25 Before Market Eastern Standard Time"/>
    <x v="0"/>
  </r>
  <r>
    <x v="191"/>
    <s v="IP"/>
    <s v="on 1/30/25 Before Market Eastern Standard Time"/>
    <x v="3"/>
  </r>
  <r>
    <x v="191"/>
    <s v="AVY"/>
    <s v="on 1/30/25 Before Market Eastern Standard Time"/>
    <x v="3"/>
  </r>
  <r>
    <x v="191"/>
    <s v="TT"/>
    <s v="on 1/30/25 Before Market Eastern Standard Time"/>
    <x v="3"/>
  </r>
  <r>
    <x v="191"/>
    <s v="TMO"/>
    <s v="on 1/30/25 Before Market Eastern Standard Time"/>
    <x v="3"/>
  </r>
  <r>
    <x v="191"/>
    <s v="MO"/>
    <s v="on 1/30/25 Before Market Eastern Standard Time"/>
    <x v="3"/>
  </r>
  <r>
    <x v="191"/>
    <s v="RPT"/>
    <s v="on 1/30/25 Before Market Eastern Standard Time"/>
    <x v="0"/>
  </r>
  <r>
    <x v="191"/>
    <s v="SHW"/>
    <s v="on 1/30/25 Before Market Eastern Standard Time"/>
    <x v="3"/>
  </r>
  <r>
    <x v="191"/>
    <s v="LUV"/>
    <s v="on 1/30/25 Before Market Eastern Standard Time"/>
    <x v="3"/>
  </r>
  <r>
    <x v="191"/>
    <s v="KRNY"/>
    <s v="on 1/30/25 Before Market Eastern Standard Time"/>
    <x v="1"/>
  </r>
  <r>
    <x v="191"/>
    <s v="CSWI"/>
    <s v="on 1/30/25 Before Market Eastern Standard Time"/>
    <x v="1"/>
  </r>
  <r>
    <x v="191"/>
    <s v="SNY"/>
    <s v="on 1/30/25 Before Market Eastern Standard Time"/>
    <x v="0"/>
  </r>
  <r>
    <x v="191"/>
    <s v="BSIG"/>
    <s v="on 1/30/25 Before Market Eastern Standard Time"/>
    <x v="1"/>
  </r>
  <r>
    <x v="191"/>
    <s v="CAH"/>
    <s v="on 1/30/25 Before Market Eastern Standard Time"/>
    <x v="3"/>
  </r>
  <r>
    <x v="191"/>
    <s v="SXC"/>
    <s v="on 1/30/25 Before Market Eastern Standard Time"/>
    <x v="1"/>
  </r>
  <r>
    <x v="191"/>
    <s v="SBT"/>
    <s v="on 1/30/25 Before Market Eastern Standard Time"/>
    <x v="0"/>
  </r>
  <r>
    <x v="191"/>
    <s v="SSNHZ"/>
    <s v="on 1/30/25 Unspecified Eastern Standard Time"/>
    <x v="0"/>
  </r>
  <r>
    <x v="191"/>
    <s v="RES"/>
    <s v="on 1/30/25 Before Market Eastern Standard Time"/>
    <x v="1"/>
  </r>
  <r>
    <x v="191"/>
    <s v="ROP"/>
    <s v="on 1/30/25 Before Market Eastern Standard Time"/>
    <x v="3"/>
  </r>
  <r>
    <x v="191"/>
    <s v="TSCO"/>
    <s v="on 1/30/25 Before Market Eastern Standard Time"/>
    <x v="3"/>
  </r>
  <r>
    <x v="191"/>
    <s v="NYCB"/>
    <s v="on 1/30/25 Before Market Eastern Standard Time"/>
    <x v="0"/>
  </r>
  <r>
    <x v="191"/>
    <s v="SCSC"/>
    <s v="on 1/30/25 Before Market Eastern Standard Time"/>
    <x v="1"/>
  </r>
  <r>
    <x v="191"/>
    <s v="MPX"/>
    <s v="on 1/30/25 Before Market Eastern Standard Time"/>
    <x v="0"/>
  </r>
  <r>
    <x v="191"/>
    <s v="HTLD"/>
    <s v="on 1/30/25 Before Market Eastern Standard Time"/>
    <x v="1"/>
  </r>
  <r>
    <x v="191"/>
    <s v="FCFS"/>
    <s v="on 1/30/25 Before Market Eastern Standard Time"/>
    <x v="1"/>
  </r>
  <r>
    <x v="191"/>
    <s v="SIRI"/>
    <s v="on 1/30/25 Before Market Eastern Standard Time"/>
    <x v="0"/>
  </r>
  <r>
    <x v="191"/>
    <s v="PHM"/>
    <s v="on 1/30/25 Before Market Eastern Standard Time"/>
    <x v="3"/>
  </r>
  <r>
    <x v="191"/>
    <s v="OLCLY"/>
    <s v="on 1/30/25 Unspecified Eastern Standard Time"/>
    <x v="0"/>
  </r>
  <r>
    <x v="191"/>
    <s v="BIPC"/>
    <s v="on 1/30/25 Before Market Eastern Standard Time"/>
    <x v="1"/>
  </r>
  <r>
    <x v="191"/>
    <s v="DOW"/>
    <s v="on 1/30/25 Before Market Eastern Standard Time"/>
    <x v="3"/>
  </r>
  <r>
    <x v="191"/>
    <s v="FLWS"/>
    <s v="on 1/30/25 Before Market Eastern Standard Time"/>
    <x v="1"/>
  </r>
  <r>
    <x v="191"/>
    <s v="CAT"/>
    <s v="on 1/30/25 Before Market Eastern Standard Time"/>
    <x v="3"/>
  </r>
  <r>
    <x v="191"/>
    <s v="STM"/>
    <s v="on 1/30/25 Before Market Eastern Standard Time"/>
    <x v="0"/>
  </r>
  <r>
    <x v="191"/>
    <s v="LZAGY"/>
    <s v="on 1/30/25 Unspecified Eastern Standard Time"/>
    <x v="0"/>
  </r>
  <r>
    <x v="191"/>
    <s v="CFR"/>
    <s v="on 1/30/25 Before Market Eastern Standard Time"/>
    <x v="2"/>
  </r>
  <r>
    <x v="191"/>
    <s v="STEC"/>
    <s v="on 1/30/25 Before Market Eastern Standard Time"/>
    <x v="0"/>
  </r>
  <r>
    <x v="191"/>
    <s v="HNNMY"/>
    <s v="on 1/30/25 Unspecified Eastern Standard Time"/>
    <x v="0"/>
  </r>
  <r>
    <x v="191"/>
    <s v="RRBI"/>
    <s v="on 1/30/25 Before Market Eastern Standard Time"/>
    <x v="1"/>
  </r>
  <r>
    <x v="191"/>
    <s v="BIP"/>
    <s v="on 1/30/25 Before Market Eastern Standard Time"/>
    <x v="0"/>
  </r>
  <r>
    <x v="191"/>
    <s v="EM"/>
    <s v="on 1/30/25 Before Market Eastern Standard Time"/>
    <x v="0"/>
  </r>
  <r>
    <x v="191"/>
    <s v="NOK"/>
    <s v="on 1/30/25 Before Market Eastern Standard Time"/>
    <x v="0"/>
  </r>
  <r>
    <x v="191"/>
    <s v="MA"/>
    <s v="on 1/30/25 Before Market Eastern Standard Time"/>
    <x v="3"/>
  </r>
  <r>
    <x v="191"/>
    <s v="BFH"/>
    <s v="on 1/30/25 Before Market Eastern Standard Time"/>
    <x v="1"/>
  </r>
  <r>
    <x v="191"/>
    <s v="SNDR"/>
    <s v="on 1/30/25 Before Market Eastern Standard Time"/>
    <x v="0"/>
  </r>
  <r>
    <x v="191"/>
    <s v="ONEW"/>
    <s v="on 1/30/25 Before Market Eastern Standard Time"/>
    <x v="1"/>
  </r>
  <r>
    <x v="191"/>
    <s v="FLG"/>
    <s v="on 1/30/25 Before Market Eastern Standard Time"/>
    <x v="1"/>
  </r>
  <r>
    <x v="191"/>
    <s v="ABG"/>
    <s v="on 1/30/25 Before Market Eastern Standard Time"/>
    <x v="1"/>
  </r>
  <r>
    <x v="191"/>
    <s v="MAN"/>
    <s v="on 1/30/25 Before Market Eastern Standard Time"/>
    <x v="2"/>
  </r>
  <r>
    <x v="191"/>
    <s v="CHGCY"/>
    <s v="on 1/30/25 Unspecified Eastern Standard Time"/>
    <x v="0"/>
  </r>
  <r>
    <x v="191"/>
    <s v="ALGM"/>
    <s v="on 1/30/25 Before Market Eastern Standard Time"/>
    <x v="2"/>
  </r>
  <r>
    <x v="191"/>
    <s v="SILC"/>
    <s v="on 1/30/25 Before Market Eastern Standard Time"/>
    <x v="0"/>
  </r>
  <r>
    <x v="191"/>
    <s v="BC"/>
    <s v="on 1/30/25 Before Market Eastern Standard Time"/>
    <x v="2"/>
  </r>
  <r>
    <x v="191"/>
    <s v="MBUU"/>
    <s v="on 1/30/25 Before Market Eastern Standard Time"/>
    <x v="1"/>
  </r>
  <r>
    <x v="191"/>
    <s v="FRME"/>
    <s v="on 1/30/25 Before Market Eastern Standard Time"/>
    <x v="1"/>
  </r>
  <r>
    <x v="191"/>
    <s v="LHX"/>
    <s v="on 1/30/25 Before Market Eastern Standard Time"/>
    <x v="3"/>
  </r>
  <r>
    <x v="191"/>
    <s v="CHKP"/>
    <s v="on 1/30/25 Before Market Eastern Standard Time"/>
    <x v="0"/>
  </r>
  <r>
    <x v="191"/>
    <s v="MLEC"/>
    <s v="on 1/30/25 Before Market Eastern Standard Time"/>
    <x v="0"/>
  </r>
  <r>
    <x v="191"/>
    <s v="PH"/>
    <s v="on 1/30/25 Before Market Eastern Standard Time"/>
    <x v="3"/>
  </r>
  <r>
    <x v="191"/>
    <s v="CI"/>
    <s v="on 1/30/25 Before Market Eastern Standard Time"/>
    <x v="3"/>
  </r>
  <r>
    <x v="191"/>
    <s v="CAJPY"/>
    <s v="on 1/30/25 Before Market Eastern Standard Time"/>
    <x v="0"/>
  </r>
  <r>
    <x v="191"/>
    <s v="CRS"/>
    <s v="on 1/30/25 Before Market Eastern Standard Time"/>
    <x v="1"/>
  </r>
  <r>
    <x v="192"/>
    <s v="NECB"/>
    <s v="on 1/30/25 During Market Eastern Standard Time"/>
    <x v="1"/>
  </r>
  <r>
    <x v="193"/>
    <s v="HIG"/>
    <s v="on 1/30/25 After Market Eastern Standard Time"/>
    <x v="3"/>
  </r>
  <r>
    <x v="193"/>
    <s v="BAFN"/>
    <s v="on 1/30/25 After Market Eastern Standard Time"/>
    <x v="0"/>
  </r>
  <r>
    <x v="193"/>
    <s v="COUR"/>
    <s v="on 1/30/25 After Market Eastern Standard Time"/>
    <x v="1"/>
  </r>
  <r>
    <x v="193"/>
    <s v="FBIZ"/>
    <s v="on 1/30/25 After Market Eastern Standard Time"/>
    <x v="1"/>
  </r>
  <r>
    <x v="193"/>
    <s v="HTH"/>
    <s v="on 1/30/25 After Market Eastern Standard Time"/>
    <x v="1"/>
  </r>
  <r>
    <x v="193"/>
    <s v="PMT"/>
    <s v="on 1/30/25 After Market Eastern Standard Time"/>
    <x v="1"/>
  </r>
  <r>
    <x v="193"/>
    <s v="OPOF"/>
    <s v="on 1/30/25 After Market Eastern Standard Time"/>
    <x v="0"/>
  </r>
  <r>
    <x v="193"/>
    <s v="INTC"/>
    <s v="on 1/30/25 After Market Eastern Standard Time"/>
    <x v="3"/>
  </r>
  <r>
    <x v="193"/>
    <s v="SHBI"/>
    <s v="on 1/30/25 After Market Eastern Standard Time"/>
    <x v="1"/>
  </r>
  <r>
    <x v="193"/>
    <s v="WY"/>
    <s v="on 1/30/25 After Market Eastern Standard Time"/>
    <x v="3"/>
  </r>
  <r>
    <x v="193"/>
    <s v="APPF"/>
    <s v="on 1/30/25 After Market Eastern Standard Time"/>
    <x v="2"/>
  </r>
  <r>
    <x v="193"/>
    <s v="BZH"/>
    <s v="on 1/30/25 After Market Eastern Standard Time"/>
    <x v="1"/>
  </r>
  <r>
    <x v="193"/>
    <s v="SXI"/>
    <s v="on 1/30/25 After Market Eastern Standard Time"/>
    <x v="1"/>
  </r>
  <r>
    <x v="193"/>
    <s v="ABCB"/>
    <s v="on 1/30/25 After Market Eastern Standard Time"/>
    <x v="1"/>
  </r>
  <r>
    <x v="193"/>
    <s v="GSIT"/>
    <s v="on 1/30/25 After Market Eastern Standard Time"/>
    <x v="0"/>
  </r>
  <r>
    <x v="193"/>
    <s v="AJG"/>
    <s v="on 1/30/25 After Market Eastern Standard Time"/>
    <x v="3"/>
  </r>
  <r>
    <x v="193"/>
    <s v="LPLA"/>
    <s v="on 1/30/25 After Market Eastern Standard Time"/>
    <x v="0"/>
  </r>
  <r>
    <x v="193"/>
    <s v="KLAC"/>
    <s v="on 1/30/25 After Market Eastern Standard Time"/>
    <x v="3"/>
  </r>
  <r>
    <x v="193"/>
    <s v="AILE"/>
    <s v="on 1/30/25 After Market Eastern Standard Time"/>
    <x v="0"/>
  </r>
  <r>
    <x v="193"/>
    <s v="EBTC"/>
    <s v="on 1/30/25 After Market Eastern Standard Time"/>
    <x v="1"/>
  </r>
  <r>
    <x v="193"/>
    <s v="DECK"/>
    <s v="on 1/30/25 After Market Eastern Standard Time"/>
    <x v="3"/>
  </r>
  <r>
    <x v="193"/>
    <s v="LCNB"/>
    <s v="on 1/30/25 After Market Eastern Standard Time"/>
    <x v="1"/>
  </r>
  <r>
    <x v="193"/>
    <s v="FLIC"/>
    <s v="on 1/30/25 After Market Eastern Standard Time"/>
    <x v="1"/>
  </r>
  <r>
    <x v="193"/>
    <s v="SKYW"/>
    <s v="on 1/30/25 After Market Eastern Standard Time"/>
    <x v="1"/>
  </r>
  <r>
    <x v="193"/>
    <s v="SMCI"/>
    <s v="on 1/30/25 After Market Eastern Standard Time"/>
    <x v="3"/>
  </r>
  <r>
    <x v="193"/>
    <s v="AAPL"/>
    <s v="on 1/30/25 After Market Eastern Standard Time"/>
    <x v="3"/>
  </r>
  <r>
    <x v="193"/>
    <s v="KLDI"/>
    <s v="on 1/30/25 After Market Eastern Standard Time"/>
    <x v="0"/>
  </r>
  <r>
    <x v="193"/>
    <s v="BKR"/>
    <s v="on 1/30/25 After Market Eastern Standard Time"/>
    <x v="3"/>
  </r>
  <r>
    <x v="193"/>
    <s v="ATLO"/>
    <s v="on 1/30/25 After Market Eastern Standard Time"/>
    <x v="0"/>
  </r>
  <r>
    <x v="193"/>
    <s v="RMD"/>
    <s v="on 1/30/25 After Market Eastern Standard Time"/>
    <x v="3"/>
  </r>
  <r>
    <x v="193"/>
    <s v="CVCO"/>
    <s v="on 1/30/25 After Market Eastern Standard Time"/>
    <x v="1"/>
  </r>
  <r>
    <x v="193"/>
    <s v="FINW"/>
    <s v="on 1/30/25 After Market Eastern Standard Time"/>
    <x v="0"/>
  </r>
  <r>
    <x v="193"/>
    <s v="FHI"/>
    <s v="on 1/30/25 After Market Eastern Standard Time"/>
    <x v="2"/>
  </r>
  <r>
    <x v="193"/>
    <s v="HKD"/>
    <s v="on 1/30/25 After Market Eastern Standard Time"/>
    <x v="0"/>
  </r>
  <r>
    <x v="193"/>
    <s v="BOOT"/>
    <s v="on 1/30/25 After Market Eastern Standard Time"/>
    <x v="1"/>
  </r>
  <r>
    <x v="193"/>
    <s v="TBBK"/>
    <s v="on 1/30/25 After Market Eastern Standard Time"/>
    <x v="1"/>
  </r>
  <r>
    <x v="193"/>
    <s v="CNI"/>
    <s v="on 1/30/25 After Market Eastern Standard Time"/>
    <x v="0"/>
  </r>
  <r>
    <x v="193"/>
    <s v="FDBC"/>
    <s v="on 1/30/25 After Market Eastern Standard Time"/>
    <x v="1"/>
  </r>
  <r>
    <x v="193"/>
    <s v="ATGE"/>
    <s v="on 1/30/25 After Market Eastern Standard Time"/>
    <x v="1"/>
  </r>
  <r>
    <x v="193"/>
    <s v="OLN"/>
    <s v="on 1/30/25 After Market Eastern Standard Time"/>
    <x v="2"/>
  </r>
  <r>
    <x v="193"/>
    <s v="SCCO"/>
    <s v="on 1/30/25 After Market Eastern Standard Time"/>
    <x v="0"/>
  </r>
  <r>
    <x v="193"/>
    <s v="CFB"/>
    <s v="on 1/30/25 After Market Eastern Standard Time"/>
    <x v="1"/>
  </r>
  <r>
    <x v="193"/>
    <s v="PFIS"/>
    <s v="on 1/30/25 After Market Eastern Standard Time"/>
    <x v="1"/>
  </r>
  <r>
    <x v="193"/>
    <s v="BRBS"/>
    <s v="on 1/30/25 After Market Eastern Standard Time"/>
    <x v="0"/>
  </r>
  <r>
    <x v="193"/>
    <s v="FXNC"/>
    <s v="on 1/30/25 After Market Eastern Standard Time"/>
    <x v="0"/>
  </r>
  <r>
    <x v="193"/>
    <s v="CACC"/>
    <s v="on 1/30/25 After Market Eastern Standard Time"/>
    <x v="0"/>
  </r>
  <r>
    <x v="193"/>
    <s v="FISI"/>
    <s v="on 1/30/25 After Market Eastern Standard Time"/>
    <x v="1"/>
  </r>
  <r>
    <x v="193"/>
    <s v="ORC"/>
    <s v="on 1/30/25 After Market Eastern Standard Time"/>
    <x v="1"/>
  </r>
  <r>
    <x v="193"/>
    <s v="PFSI"/>
    <s v="on 1/30/25 After Market Eastern Standard Time"/>
    <x v="1"/>
  </r>
  <r>
    <x v="193"/>
    <s v="VIAV"/>
    <s v="on 1/30/25 After Market Eastern Standard Time"/>
    <x v="1"/>
  </r>
  <r>
    <x v="193"/>
    <s v="PCB"/>
    <s v="on 1/30/25 After Market Eastern Standard Time"/>
    <x v="1"/>
  </r>
  <r>
    <x v="193"/>
    <s v="V"/>
    <s v="on 1/30/25 After Market Eastern Standard Time"/>
    <x v="3"/>
  </r>
  <r>
    <x v="193"/>
    <s v="RVSB"/>
    <s v="on 1/30/25 After Market Eastern Standard Time"/>
    <x v="0"/>
  </r>
  <r>
    <x v="193"/>
    <s v="STEL"/>
    <s v="on 1/30/25 After Market Eastern Standard Time"/>
    <x v="1"/>
  </r>
  <r>
    <x v="193"/>
    <s v="X"/>
    <s v="on 1/30/25 After Market Eastern Standard Time"/>
    <x v="2"/>
  </r>
  <r>
    <x v="193"/>
    <s v="CBNK"/>
    <s v="on 1/30/25 After Market Eastern Standard Time"/>
    <x v="1"/>
  </r>
  <r>
    <x v="193"/>
    <s v="PPG"/>
    <s v="on 1/30/25 After Market Eastern Standard Time"/>
    <x v="3"/>
  </r>
  <r>
    <x v="193"/>
    <s v="EMN"/>
    <s v="on 1/30/25 After Market Eastern Standard Time"/>
    <x v="3"/>
  </r>
  <r>
    <x v="193"/>
    <s v="LESL"/>
    <s v="on 1/30/25 After Market Eastern Standard Time"/>
    <x v="1"/>
  </r>
  <r>
    <x v="193"/>
    <s v="TEAM"/>
    <s v="on 1/30/25 After Market Eastern Standard Time"/>
    <x v="4"/>
  </r>
  <r>
    <x v="193"/>
    <s v="GEN"/>
    <s v="on 1/30/25 After Market Eastern Standard Time"/>
    <x v="3"/>
  </r>
  <r>
    <x v="194"/>
    <s v="CL"/>
    <s v="on 1/31/25 Before Market Eastern Standard Time"/>
    <x v="3"/>
  </r>
  <r>
    <x v="194"/>
    <s v="BEPC"/>
    <s v="on 1/31/25 Before Market Eastern Standard Time"/>
    <x v="0"/>
  </r>
  <r>
    <x v="194"/>
    <s v="BEN"/>
    <s v="on 1/31/25 Before Market Eastern Standard Time"/>
    <x v="3"/>
  </r>
  <r>
    <x v="194"/>
    <s v="DNZOY"/>
    <s v="on 1/31/25 Unspecified Eastern Standard Time"/>
    <x v="0"/>
  </r>
  <r>
    <x v="194"/>
    <s v="LPG"/>
    <s v="on 1/31/25 Before Market Eastern Standard Time"/>
    <x v="1"/>
  </r>
  <r>
    <x v="194"/>
    <s v="BEP"/>
    <s v="on 1/31/25 Before Market Eastern Standard Time"/>
    <x v="0"/>
  </r>
  <r>
    <x v="194"/>
    <s v="KMTUY"/>
    <s v="on 1/31/25 Unspecified Eastern Standard Time"/>
    <x v="0"/>
  </r>
  <r>
    <x v="194"/>
    <s v="GWW"/>
    <s v="on 1/31/25 Before Market Eastern Standard Time"/>
    <x v="3"/>
  </r>
  <r>
    <x v="194"/>
    <s v="BSAC"/>
    <s v="on 1/31/25 Before Market Eastern Standard Time"/>
    <x v="0"/>
  </r>
  <r>
    <x v="194"/>
    <s v="LTM"/>
    <s v="on 1/31/25 Before Market Eastern Standard Time"/>
    <x v="0"/>
  </r>
  <r>
    <x v="194"/>
    <s v="BCH"/>
    <s v="on 1/31/25 Unspecified Eastern Standard Time"/>
    <x v="0"/>
  </r>
  <r>
    <x v="194"/>
    <s v="JHG"/>
    <s v="on 1/31/25 Before Market Eastern Standard Time"/>
    <x v="2"/>
  </r>
  <r>
    <x v="194"/>
    <s v="IESC"/>
    <s v="on 1/31/25 Before Market Eastern Standard Time"/>
    <x v="1"/>
  </r>
  <r>
    <x v="194"/>
    <s v="BBU"/>
    <s v="on 1/31/25 Before Market Eastern Standard Time"/>
    <x v="0"/>
  </r>
  <r>
    <x v="194"/>
    <s v="LYB"/>
    <s v="on 1/31/25 Before Market Eastern Standard Time"/>
    <x v="3"/>
  </r>
  <r>
    <x v="194"/>
    <s v="SKFRY"/>
    <s v="on 1/31/25 Before Market Eastern Standard Time"/>
    <x v="0"/>
  </r>
  <r>
    <x v="194"/>
    <s v="ARCB"/>
    <s v="on 1/31/25 Before Market Eastern Standard Time"/>
    <x v="1"/>
  </r>
  <r>
    <x v="194"/>
    <s v="ETN"/>
    <s v="on 1/31/25 Before Market Eastern Standard Time"/>
    <x v="3"/>
  </r>
  <r>
    <x v="194"/>
    <s v="TMP"/>
    <s v="on 1/31/25 Before Market Eastern Standard Time"/>
    <x v="1"/>
  </r>
  <r>
    <x v="194"/>
    <s v="CHTR"/>
    <s v="on 1/31/25 Before Market Eastern Standard Time"/>
    <x v="3"/>
  </r>
  <r>
    <x v="194"/>
    <s v="XOM"/>
    <s v="on 1/31/25 Before Market Eastern Standard Time"/>
    <x v="3"/>
  </r>
  <r>
    <x v="194"/>
    <s v="VSTS"/>
    <s v="on 1/31/25 Before Market Eastern Standard Time"/>
    <x v="0"/>
  </r>
  <r>
    <x v="194"/>
    <s v="IMO"/>
    <s v="on 1/31/25 Before Market Eastern Standard Time"/>
    <x v="0"/>
  </r>
  <r>
    <x v="194"/>
    <s v="CCEC"/>
    <s v="on 1/31/25 Before Market Eastern Standard Time"/>
    <x v="0"/>
  </r>
  <r>
    <x v="194"/>
    <s v="DSNKY"/>
    <s v="on 1/31/25 Unspecified Eastern Standard Time"/>
    <x v="0"/>
  </r>
  <r>
    <x v="194"/>
    <s v="BMI"/>
    <s v="on 1/31/25 Before Market Eastern Standard Time"/>
    <x v="1"/>
  </r>
  <r>
    <x v="194"/>
    <s v="CHD"/>
    <s v="on 1/31/25 Before Market Eastern Standard Time"/>
    <x v="3"/>
  </r>
  <r>
    <x v="194"/>
    <s v="BAH"/>
    <s v="on 1/31/25 Before Market Eastern Standard Time"/>
    <x v="0"/>
  </r>
  <r>
    <x v="194"/>
    <s v="FHB"/>
    <s v="on 1/31/25 Before Market Eastern Standard Time"/>
    <x v="0"/>
  </r>
  <r>
    <x v="194"/>
    <s v="PSX"/>
    <s v="on 1/31/25 Before Market Eastern Standard Time"/>
    <x v="3"/>
  </r>
  <r>
    <x v="194"/>
    <s v="NVS"/>
    <s v="on 1/31/25 Before Market Eastern Standard Time"/>
    <x v="0"/>
  </r>
  <r>
    <x v="194"/>
    <s v="RVTY"/>
    <s v="on 1/31/25 Before Market Eastern Standard Time"/>
    <x v="3"/>
  </r>
  <r>
    <x v="194"/>
    <s v="TTDKY"/>
    <s v="on 1/31/25 Before Market Eastern Standard Time"/>
    <x v="0"/>
  </r>
  <r>
    <x v="194"/>
    <s v="GNTX"/>
    <s v="on 1/31/25 Before Market Eastern Standard Time"/>
    <x v="2"/>
  </r>
  <r>
    <x v="194"/>
    <s v="OPY"/>
    <s v="on 1/31/25 Before Market Eastern Standard Time"/>
    <x v="0"/>
  </r>
  <r>
    <x v="194"/>
    <s v="AON"/>
    <s v="on 1/31/25 Before Market Eastern Standard Time"/>
    <x v="3"/>
  </r>
  <r>
    <x v="194"/>
    <s v="OMF"/>
    <s v="on 1/31/25 Before Market Eastern Standard Time"/>
    <x v="0"/>
  </r>
  <r>
    <x v="194"/>
    <s v="ABBV"/>
    <s v="on 1/31/25 Before Market Eastern Standard Time"/>
    <x v="3"/>
  </r>
  <r>
    <x v="194"/>
    <s v="BR"/>
    <s v="on 1/31/25 Before Market Eastern Standard Time"/>
    <x v="3"/>
  </r>
  <r>
    <x v="194"/>
    <s v="CVX"/>
    <s v="on 1/31/25 Before Market Eastern Standard Time"/>
    <x v="3"/>
  </r>
  <r>
    <x v="194"/>
    <s v="ALV"/>
    <s v="on 1/31/25 Before Market Eastern Standard Time"/>
    <x v="2"/>
  </r>
  <r>
    <x v="194"/>
    <s v="VRTS"/>
    <s v="on 1/31/25 Before Market Eastern Standard Time"/>
    <x v="1"/>
  </r>
  <r>
    <x v="194"/>
    <s v="PIPR"/>
    <s v="on 1/31/25 Before Market Eastern Standard Time"/>
    <x v="1"/>
  </r>
  <r>
    <x v="194"/>
    <s v="WT"/>
    <s v="on 1/31/25 Before Market Eastern Standard Time"/>
    <x v="1"/>
  </r>
  <r>
    <x v="194"/>
    <s v="RBC"/>
    <s v="on 1/31/25 Before Market Eastern Standard Time"/>
    <x v="2"/>
  </r>
  <r>
    <x v="194"/>
    <s v="HTHIY"/>
    <s v="on 1/31/25 Unspecified Eastern Standard Time"/>
    <x v="0"/>
  </r>
  <r>
    <x v="195"/>
    <s v="HOCPY"/>
    <s v="on 2/3/25 Unspecified Eastern Standard Time"/>
    <x v="0"/>
  </r>
  <r>
    <x v="195"/>
    <s v="IDXX"/>
    <s v="on 2/3/25 Before Market Eastern Standard Time"/>
    <x v="3"/>
  </r>
  <r>
    <x v="195"/>
    <s v="ARLP"/>
    <s v="on 2/3/25 Before Market Eastern Standard Time"/>
    <x v="0"/>
  </r>
  <r>
    <x v="195"/>
    <s v="CJPRY"/>
    <s v="on 2/3/25 Unspecified Eastern Standard Time"/>
    <x v="0"/>
  </r>
  <r>
    <x v="195"/>
    <s v="SAIA"/>
    <s v="on 2/3/25 Before Market Eastern Standard Time"/>
    <x v="2"/>
  </r>
  <r>
    <x v="195"/>
    <s v="LVRO"/>
    <s v="on 2/3/25 Before Market Eastern Standard Time"/>
    <x v="0"/>
  </r>
  <r>
    <x v="195"/>
    <s v="TWST"/>
    <s v="on 2/3/25 Before Market Eastern Standard Time"/>
    <x v="1"/>
  </r>
  <r>
    <x v="195"/>
    <s v="MFG"/>
    <s v="on 2/3/25 Unspecified Eastern Standard Time"/>
    <x v="0"/>
  </r>
  <r>
    <x v="195"/>
    <s v="TSN"/>
    <s v="on 2/3/25 Before Market Eastern Standard Time"/>
    <x v="3"/>
  </r>
  <r>
    <x v="195"/>
    <s v="PKX"/>
    <s v="on 2/3/25 Unspecified Eastern Standard Time"/>
    <x v="0"/>
  </r>
  <r>
    <x v="195"/>
    <s v="NSSC"/>
    <s v="on 2/3/25 Before Market Eastern Standard Time"/>
    <x v="1"/>
  </r>
  <r>
    <x v="195"/>
    <s v="FUNC"/>
    <s v="on 2/3/25 Before Market Eastern Standard Time"/>
    <x v="0"/>
  </r>
  <r>
    <x v="195"/>
    <s v="JOUT"/>
    <s v="on 2/3/25 Before Market Eastern Standard Time"/>
    <x v="0"/>
  </r>
  <r>
    <x v="195"/>
    <s v="AMG"/>
    <s v="on 2/3/25 Before Market Eastern Standard Time"/>
    <x v="2"/>
  </r>
  <r>
    <x v="195"/>
    <s v="MRAAY"/>
    <s v="on 2/3/25 Unspecified Eastern Standard Time"/>
    <x v="0"/>
  </r>
  <r>
    <x v="195"/>
    <s v="EJPRY"/>
    <s v="on 2/3/25 Unspecified Eastern Standard Time"/>
    <x v="0"/>
  </r>
  <r>
    <x v="196"/>
    <s v="PETS"/>
    <s v="on 2/3/25 After Market Eastern Standard Time"/>
    <x v="0"/>
  </r>
  <r>
    <x v="196"/>
    <s v="SSD"/>
    <s v="on 2/3/25 After Market Eastern Standard Time"/>
    <x v="2"/>
  </r>
  <r>
    <x v="196"/>
    <s v="CSWC"/>
    <s v="on 2/3/25 After Market Eastern Standard Time"/>
    <x v="0"/>
  </r>
  <r>
    <x v="196"/>
    <s v="SNCY"/>
    <s v="on 2/3/25 After Market Eastern Standard Time"/>
    <x v="1"/>
  </r>
  <r>
    <x v="196"/>
    <s v="WWD"/>
    <s v="on 2/3/25 After Market Eastern Standard Time"/>
    <x v="2"/>
  </r>
  <r>
    <x v="196"/>
    <s v="KD"/>
    <s v="on 2/3/25 After Market Eastern Standard Time"/>
    <x v="2"/>
  </r>
  <r>
    <x v="196"/>
    <s v="MTG"/>
    <s v="on 2/3/25 After Market Eastern Standard Time"/>
    <x v="2"/>
  </r>
  <r>
    <x v="196"/>
    <s v="ACM"/>
    <s v="on 2/3/25 After Market Eastern Standard Time"/>
    <x v="2"/>
  </r>
  <r>
    <x v="196"/>
    <s v="KFRC"/>
    <s v="on 2/3/25 After Market Eastern Standard Time"/>
    <x v="1"/>
  </r>
  <r>
    <x v="196"/>
    <s v="PLTR"/>
    <s v="on 2/3/25 After Market Eastern Standard Time"/>
    <x v="3"/>
  </r>
  <r>
    <x v="196"/>
    <s v="DOC"/>
    <s v="on 2/3/25 After Market Eastern Standard Time"/>
    <x v="3"/>
  </r>
  <r>
    <x v="196"/>
    <s v="CBT"/>
    <s v="on 2/3/25 After Market Eastern Standard Time"/>
    <x v="1"/>
  </r>
  <r>
    <x v="196"/>
    <s v="CLX"/>
    <s v="on 2/3/25 After Market Eastern Standard Time"/>
    <x v="3"/>
  </r>
  <r>
    <x v="196"/>
    <s v="EG"/>
    <s v="on 2/3/25 After Market Eastern Standard Time"/>
    <x v="3"/>
  </r>
  <r>
    <x v="196"/>
    <s v="EQR"/>
    <s v="on 2/3/25 After Market Eastern Standard Time"/>
    <x v="3"/>
  </r>
  <r>
    <x v="196"/>
    <s v="KREF"/>
    <s v="on 2/3/25 After Market Eastern Standard Time"/>
    <x v="1"/>
  </r>
  <r>
    <x v="196"/>
    <s v="JJSF"/>
    <s v="on 2/3/25 After Market Eastern Standard Time"/>
    <x v="1"/>
  </r>
  <r>
    <x v="196"/>
    <s v="VRTX"/>
    <s v="on 2/3/25 After Market Eastern Standard Time"/>
    <x v="3"/>
  </r>
  <r>
    <x v="196"/>
    <s v="CHX"/>
    <s v="on 2/3/25 After Market Eastern Standard Time"/>
    <x v="1"/>
  </r>
  <r>
    <x v="196"/>
    <s v="NXPI"/>
    <s v="on 2/3/25 After Market Eastern Standard Time"/>
    <x v="3"/>
  </r>
  <r>
    <x v="196"/>
    <s v="IVAC"/>
    <s v="on 2/3/25 After Market Eastern Standard Time"/>
    <x v="0"/>
  </r>
  <r>
    <x v="196"/>
    <s v="FN"/>
    <s v="on 2/3/25 After Market Eastern Standard Time"/>
    <x v="1"/>
  </r>
  <r>
    <x v="196"/>
    <s v="TBI"/>
    <s v="on 2/3/25 After Market Eastern Standard Time"/>
    <x v="1"/>
  </r>
  <r>
    <x v="196"/>
    <s v="USLM"/>
    <s v="on 2/3/25 After Market Eastern Standard Time"/>
    <x v="1"/>
  </r>
  <r>
    <x v="196"/>
    <s v="NJR"/>
    <s v="on 2/3/25 After Market Eastern Standard Time"/>
    <x v="1"/>
  </r>
  <r>
    <x v="196"/>
    <s v="BRBR"/>
    <s v="on 2/3/25 After Market Eastern Standard Time"/>
    <x v="2"/>
  </r>
  <r>
    <x v="196"/>
    <s v="RMBS"/>
    <s v="on 2/3/25 After Market Eastern Standard Time"/>
    <x v="1"/>
  </r>
  <r>
    <x v="196"/>
    <s v="NEU"/>
    <s v="on 2/3/25 After Market Eastern Standard Time"/>
    <x v="2"/>
  </r>
  <r>
    <x v="196"/>
    <s v="RBB"/>
    <s v="on 2/3/25 After Market Eastern Standard Time"/>
    <x v="1"/>
  </r>
  <r>
    <x v="196"/>
    <s v="FLXS"/>
    <s v="on 2/3/25 After Market Eastern Standard Time"/>
    <x v="1"/>
  </r>
  <r>
    <x v="197"/>
    <s v="BNPQY"/>
    <s v="on 2/4/25 Before Market Eastern Standard Time"/>
    <x v="0"/>
  </r>
  <r>
    <x v="197"/>
    <s v="HLNE"/>
    <s v="on 2/4/25 Before Market Eastern Standard Time"/>
    <x v="1"/>
  </r>
  <r>
    <x v="197"/>
    <s v="MPLX"/>
    <s v="on 2/4/25 Before Market Eastern Standard Time"/>
    <x v="0"/>
  </r>
  <r>
    <x v="197"/>
    <s v="MIELY"/>
    <s v="on 2/4/25 Unspecified Eastern Standard Time"/>
    <x v="0"/>
  </r>
  <r>
    <x v="197"/>
    <s v="ATKR"/>
    <s v="on 2/4/25 Before Market Eastern Standard Time"/>
    <x v="1"/>
  </r>
  <r>
    <x v="197"/>
    <s v="CNC"/>
    <s v="on 2/4/25 Before Market Eastern Standard Time"/>
    <x v="3"/>
  </r>
  <r>
    <x v="197"/>
    <s v="DASTY"/>
    <s v="on 2/4/25 Before Market Eastern Standard Time"/>
    <x v="0"/>
  </r>
  <r>
    <x v="197"/>
    <s v="WEC"/>
    <s v="on 2/4/25 Before Market Eastern Standard Time"/>
    <x v="3"/>
  </r>
  <r>
    <x v="197"/>
    <s v="CTS"/>
    <s v="on 2/4/25 Before Market Eastern Standard Time"/>
    <x v="1"/>
  </r>
  <r>
    <x v="197"/>
    <s v="PPERY"/>
    <s v="on 2/4/25 Unspecified Eastern Standard Time"/>
    <x v="0"/>
  </r>
  <r>
    <x v="197"/>
    <s v="LANC"/>
    <s v="on 2/4/25 Before Market Eastern Standard Time"/>
    <x v="1"/>
  </r>
  <r>
    <x v="197"/>
    <s v="REGN"/>
    <s v="on 2/4/25 Before Market Eastern Standard Time"/>
    <x v="3"/>
  </r>
  <r>
    <x v="197"/>
    <s v="XYL"/>
    <s v="on 2/4/25 Before Market Eastern Standard Time"/>
    <x v="3"/>
  </r>
  <r>
    <x v="197"/>
    <s v="IFNNY"/>
    <s v="on 2/4/25 Before Market Eastern Standard Time"/>
    <x v="0"/>
  </r>
  <r>
    <x v="197"/>
    <s v="AUDC"/>
    <s v="on 2/4/25 Before Market Eastern Standard Time"/>
    <x v="0"/>
  </r>
  <r>
    <x v="197"/>
    <s v="BALL"/>
    <s v="on 2/4/25 Before Market Eastern Standard Time"/>
    <x v="3"/>
  </r>
  <r>
    <x v="197"/>
    <s v="CNH"/>
    <s v="on 2/4/25 Before Market Eastern Standard Time"/>
    <x v="2"/>
  </r>
  <r>
    <x v="197"/>
    <s v="CRVL"/>
    <s v="on 2/4/25 Before Market Eastern Standard Time"/>
    <x v="1"/>
  </r>
  <r>
    <x v="197"/>
    <s v="J"/>
    <s v="on 2/4/25 Before Market Eastern Standard Time"/>
    <x v="3"/>
  </r>
  <r>
    <x v="197"/>
    <s v="INGR"/>
    <s v="on 2/4/25 Before Market Eastern Standard Time"/>
    <x v="2"/>
  </r>
  <r>
    <x v="197"/>
    <s v="AXTA"/>
    <s v="on 2/4/25 Before Market Eastern Standard Time"/>
    <x v="2"/>
  </r>
  <r>
    <x v="197"/>
    <s v="IT"/>
    <s v="on 2/4/25 Before Market Eastern Standard Time"/>
    <x v="3"/>
  </r>
  <r>
    <x v="197"/>
    <s v="PYPL"/>
    <s v="on 2/4/25 Before Market Eastern Standard Time"/>
    <x v="3"/>
  </r>
  <r>
    <x v="197"/>
    <s v="PEP"/>
    <s v="on 2/4/25 Before Market Eastern Standard Time"/>
    <x v="3"/>
  </r>
  <r>
    <x v="197"/>
    <s v="MSGS"/>
    <s v="on 2/4/25 Before Market Eastern Standard Time"/>
    <x v="0"/>
  </r>
  <r>
    <x v="197"/>
    <s v="MLAB"/>
    <s v="on 2/4/25 Before Market Eastern Standard Time"/>
    <x v="1"/>
  </r>
  <r>
    <x v="197"/>
    <s v="OCSL"/>
    <s v="on 2/4/25 Before Market Eastern Standard Time"/>
    <x v="0"/>
  </r>
  <r>
    <x v="197"/>
    <s v="RACE"/>
    <s v="on 2/4/25 Before Market Eastern Standard Time"/>
    <x v="0"/>
  </r>
  <r>
    <x v="197"/>
    <s v="PJT"/>
    <s v="on 2/4/25 Before Market Eastern Standard Time"/>
    <x v="1"/>
  </r>
  <r>
    <x v="197"/>
    <s v="AMCR"/>
    <s v="on 2/4/25 Before Market Eastern Standard Time"/>
    <x v="3"/>
  </r>
  <r>
    <x v="197"/>
    <s v="EPD"/>
    <s v="on 2/4/25 Before Market Eastern Standard Time"/>
    <x v="0"/>
  </r>
  <r>
    <x v="197"/>
    <s v="WTW"/>
    <s v="on 2/4/25 Before Market Eastern Standard Time"/>
    <x v="3"/>
  </r>
  <r>
    <x v="197"/>
    <s v="ARMK"/>
    <s v="on 2/4/25 Before Market Eastern Standard Time"/>
    <x v="2"/>
  </r>
  <r>
    <x v="197"/>
    <s v="ATI"/>
    <s v="on 2/4/25 Before Market Eastern Standard Time"/>
    <x v="0"/>
  </r>
  <r>
    <x v="197"/>
    <s v="PINC"/>
    <s v="on 2/4/25 Before Market Eastern Standard Time"/>
    <x v="0"/>
  </r>
  <r>
    <x v="197"/>
    <s v="CMI"/>
    <s v="on 2/4/25 Before Market Eastern Standard Time"/>
    <x v="3"/>
  </r>
  <r>
    <x v="197"/>
    <s v="KKR"/>
    <s v="on 2/4/25 Before Market Eastern Standard Time"/>
    <x v="3"/>
  </r>
  <r>
    <x v="197"/>
    <s v="MUFG"/>
    <s v="on 2/4/25 Unspecified Eastern Standard Time"/>
    <x v="0"/>
  </r>
  <r>
    <x v="197"/>
    <s v="MLI"/>
    <s v="on 2/4/25 Before Market Eastern Standard Time"/>
    <x v="1"/>
  </r>
  <r>
    <x v="197"/>
    <s v="FLNG"/>
    <s v="on 2/4/25 Before Market Eastern Standard Time"/>
    <x v="1"/>
  </r>
  <r>
    <x v="197"/>
    <s v="ALPMY"/>
    <s v="on 2/4/25 Before Market Eastern Standard Time"/>
    <x v="0"/>
  </r>
  <r>
    <x v="197"/>
    <s v="INMD"/>
    <s v="on 2/4/25 Before Market Eastern Standard Time"/>
    <x v="1"/>
  </r>
  <r>
    <x v="197"/>
    <s v="MRK"/>
    <s v="on 2/4/25 Before Market Eastern Standard Time"/>
    <x v="3"/>
  </r>
  <r>
    <x v="197"/>
    <s v="MPC"/>
    <s v="on 2/4/25 Before Market Eastern Standard Time"/>
    <x v="3"/>
  </r>
  <r>
    <x v="197"/>
    <s v="EL"/>
    <s v="on 2/4/25 Before Market Eastern Standard Time"/>
    <x v="3"/>
  </r>
  <r>
    <x v="197"/>
    <s v="PFE"/>
    <s v="on 2/4/25 Before Market Eastern Standard Time"/>
    <x v="3"/>
  </r>
  <r>
    <x v="197"/>
    <s v="HUBB"/>
    <s v="on 2/4/25 Before Market Eastern Standard Time"/>
    <x v="3"/>
  </r>
  <r>
    <x v="197"/>
    <s v="ENR"/>
    <s v="on 2/4/25 Before Market Eastern Standard Time"/>
    <x v="1"/>
  </r>
  <r>
    <x v="197"/>
    <s v="FOXA"/>
    <s v="on 2/4/25 Before Market Eastern Standard Time"/>
    <x v="3"/>
  </r>
  <r>
    <x v="197"/>
    <s v="MITSY"/>
    <s v="on 2/4/25 Unspecified Eastern Standard Time"/>
    <x v="0"/>
  </r>
  <r>
    <x v="197"/>
    <s v="SLAB"/>
    <s v="on 2/4/25 Before Market Eastern Standard Time"/>
    <x v="1"/>
  </r>
  <r>
    <x v="197"/>
    <s v="UBS"/>
    <s v="on 2/4/25 Before Market Eastern Standard Time"/>
    <x v="0"/>
  </r>
  <r>
    <x v="197"/>
    <s v="DEO"/>
    <s v="on 2/4/25 Before Market Eastern Standard Time"/>
    <x v="0"/>
  </r>
  <r>
    <x v="197"/>
    <s v="SPOT"/>
    <s v="on 2/4/25 Before Market Eastern Standard Time"/>
    <x v="0"/>
  </r>
  <r>
    <x v="197"/>
    <s v="APO"/>
    <s v="on 2/4/25 Before Market Eastern Standard Time"/>
    <x v="0"/>
  </r>
  <r>
    <x v="197"/>
    <s v="GPK"/>
    <s v="on 2/4/25 Before Market Eastern Standard Time"/>
    <x v="2"/>
  </r>
  <r>
    <x v="197"/>
    <s v="PNR"/>
    <s v="on 2/4/25 Before Market Eastern Standard Time"/>
    <x v="3"/>
  </r>
  <r>
    <x v="197"/>
    <s v="AME"/>
    <s v="on 2/4/25 Before Market Eastern Standard Time"/>
    <x v="3"/>
  </r>
  <r>
    <x v="197"/>
    <s v="FOX"/>
    <s v="on 2/4/25 Before Market Eastern Standard Time"/>
    <x v="3"/>
  </r>
  <r>
    <x v="197"/>
    <s v="NTDOY"/>
    <s v="on 2/4/25 Unspecified Eastern Standard Time"/>
    <x v="0"/>
  </r>
  <r>
    <x v="197"/>
    <s v="ATHM"/>
    <s v="on 2/4/25 Before Market Eastern Standard Time"/>
    <x v="0"/>
  </r>
  <r>
    <x v="197"/>
    <s v="ADM"/>
    <s v="on 2/4/25 Before Market Eastern Standard Time"/>
    <x v="3"/>
  </r>
  <r>
    <x v="198"/>
    <s v="GBDC"/>
    <s v="on 2/4/25 After Market Eastern Standard Time"/>
    <x v="0"/>
  </r>
  <r>
    <x v="198"/>
    <s v="APAM"/>
    <s v="on 2/4/25 After Market Eastern Standard Time"/>
    <x v="1"/>
  </r>
  <r>
    <x v="198"/>
    <s v="ATO"/>
    <s v="on 2/4/25 After Market Eastern Standard Time"/>
    <x v="3"/>
  </r>
  <r>
    <x v="198"/>
    <s v="INNV"/>
    <s v="on 2/4/25 After Market Eastern Standard Time"/>
    <x v="0"/>
  </r>
  <r>
    <x v="198"/>
    <s v="AFG"/>
    <s v="on 2/4/25 After Market Eastern Standard Time"/>
    <x v="2"/>
  </r>
  <r>
    <x v="198"/>
    <s v="MAT"/>
    <s v="on 2/4/25 After Market Eastern Standard Time"/>
    <x v="2"/>
  </r>
  <r>
    <x v="198"/>
    <s v="EGHT"/>
    <s v="on 2/4/25 After Market Eastern Standard Time"/>
    <x v="1"/>
  </r>
  <r>
    <x v="198"/>
    <s v="JNPR"/>
    <s v="on 2/4/25 After Market Eastern Standard Time"/>
    <x v="3"/>
  </r>
  <r>
    <x v="198"/>
    <s v="OSCR"/>
    <s v="on 2/4/25 After Market Eastern Standard Time"/>
    <x v="1"/>
  </r>
  <r>
    <x v="198"/>
    <s v="MWA"/>
    <s v="on 2/4/25 After Market Eastern Standard Time"/>
    <x v="1"/>
  </r>
  <r>
    <x v="198"/>
    <s v="FICO"/>
    <s v="on 2/4/25 After Market Eastern Standard Time"/>
    <x v="3"/>
  </r>
  <r>
    <x v="198"/>
    <s v="NOV"/>
    <s v="on 2/4/25 After Market Eastern Standard Time"/>
    <x v="2"/>
  </r>
  <r>
    <x v="198"/>
    <s v="WU"/>
    <s v="on 2/4/25 After Market Eastern Standard Time"/>
    <x v="2"/>
  </r>
  <r>
    <x v="198"/>
    <s v="AMGN"/>
    <s v="on 2/4/25 After Market Eastern Standard Time"/>
    <x v="3"/>
  </r>
  <r>
    <x v="198"/>
    <s v="ALGT"/>
    <s v="on 2/4/25 After Market Eastern Standard Time"/>
    <x v="1"/>
  </r>
  <r>
    <x v="198"/>
    <s v="SNAP"/>
    <s v="on 2/4/25 After Market Eastern Standard Time"/>
    <x v="0"/>
  </r>
  <r>
    <x v="198"/>
    <s v="MRCY"/>
    <s v="on 2/4/25 After Market Eastern Standard Time"/>
    <x v="1"/>
  </r>
  <r>
    <x v="198"/>
    <s v="AZEK"/>
    <s v="on 2/4/25 After Market Eastern Standard Time"/>
    <x v="0"/>
  </r>
  <r>
    <x v="198"/>
    <s v="ENVA"/>
    <s v="on 2/4/25 After Market Eastern Standard Time"/>
    <x v="1"/>
  </r>
  <r>
    <x v="198"/>
    <s v="KE"/>
    <s v="on 2/4/25 After Market Eastern Standard Time"/>
    <x v="1"/>
  </r>
  <r>
    <x v="198"/>
    <s v="SNEX"/>
    <s v="on 2/4/25 After Market Eastern Standard Time"/>
    <x v="1"/>
  </r>
  <r>
    <x v="198"/>
    <s v="VLTO"/>
    <s v="on 2/4/25 After Market Eastern Standard Time"/>
    <x v="3"/>
  </r>
  <r>
    <x v="198"/>
    <s v="FMC"/>
    <s v="on 2/4/25 After Market Eastern Standard Time"/>
    <x v="3"/>
  </r>
  <r>
    <x v="198"/>
    <s v="ATEN"/>
    <s v="on 2/4/25 After Market Eastern Standard Time"/>
    <x v="1"/>
  </r>
  <r>
    <x v="198"/>
    <s v="INTA"/>
    <s v="on 2/4/25 After Market Eastern Standard Time"/>
    <x v="1"/>
  </r>
  <r>
    <x v="198"/>
    <s v="UNM"/>
    <s v="on 2/4/25 After Market Eastern Standard Time"/>
    <x v="2"/>
  </r>
  <r>
    <x v="198"/>
    <s v="ACT"/>
    <s v="on 2/4/25 After Market Eastern Standard Time"/>
    <x v="1"/>
  </r>
  <r>
    <x v="198"/>
    <s v="ICHR"/>
    <s v="on 2/4/25 After Market Eastern Standard Time"/>
    <x v="1"/>
  </r>
  <r>
    <x v="198"/>
    <s v="LPTV"/>
    <s v="on 2/4/25 After Market Eastern Standard Time"/>
    <x v="0"/>
  </r>
  <r>
    <x v="198"/>
    <s v="MTCH"/>
    <s v="on 2/4/25 After Market Eastern Standard Time"/>
    <x v="3"/>
  </r>
  <r>
    <x v="198"/>
    <s v="BDN"/>
    <s v="on 2/4/25 After Market Eastern Standard Time"/>
    <x v="1"/>
  </r>
  <r>
    <x v="198"/>
    <s v="IEX"/>
    <s v="on 2/4/25 After Market Eastern Standard Time"/>
    <x v="3"/>
  </r>
  <r>
    <x v="198"/>
    <s v="TCS"/>
    <s v="on 2/4/25 After Market Eastern Standard Time"/>
    <x v="0"/>
  </r>
  <r>
    <x v="198"/>
    <s v="KLIC"/>
    <s v="on 2/4/25 After Market Eastern Standard Time"/>
    <x v="1"/>
  </r>
  <r>
    <x v="198"/>
    <s v="GOOGL"/>
    <s v="on 2/4/25 After Market Eastern Standard Time"/>
    <x v="3"/>
  </r>
  <r>
    <x v="198"/>
    <s v="OVLY"/>
    <s v="on 2/4/25 After Market Eastern Standard Time"/>
    <x v="1"/>
  </r>
  <r>
    <x v="198"/>
    <s v="PRU"/>
    <s v="on 2/4/25 After Market Eastern Standard Time"/>
    <x v="3"/>
  </r>
  <r>
    <x v="198"/>
    <s v="EVBN"/>
    <s v="on 2/4/25 After Market Eastern Standard Time"/>
    <x v="0"/>
  </r>
  <r>
    <x v="198"/>
    <s v="CBNA"/>
    <s v="on 2/4/25 After Market Eastern Standard Time"/>
    <x v="0"/>
  </r>
  <r>
    <x v="198"/>
    <s v="JKHY"/>
    <s v="on 2/4/25 After Market Eastern Standard Time"/>
    <x v="3"/>
  </r>
  <r>
    <x v="198"/>
    <s v="CVRX"/>
    <s v="on 2/4/25 After Market Eastern Standard Time"/>
    <x v="0"/>
  </r>
  <r>
    <x v="198"/>
    <s v="AMTM"/>
    <s v="on 2/4/25 After Market Eastern Standard Time"/>
    <x v="3"/>
  </r>
  <r>
    <x v="198"/>
    <s v="DOX"/>
    <s v="on 2/4/25 After Market Eastern Standard Time"/>
    <x v="0"/>
  </r>
  <r>
    <x v="198"/>
    <s v="NBN"/>
    <s v="on 2/4/25 After Market Eastern Standard Time"/>
    <x v="1"/>
  </r>
  <r>
    <x v="198"/>
    <s v="AMD"/>
    <s v="on 2/4/25 After Market Eastern Standard Time"/>
    <x v="3"/>
  </r>
  <r>
    <x v="198"/>
    <s v="PLUS"/>
    <s v="on 2/4/25 After Market Eastern Standard Time"/>
    <x v="1"/>
  </r>
  <r>
    <x v="198"/>
    <s v="TRVG"/>
    <s v="on 2/4/25 After Market Eastern Standard Time"/>
    <x v="0"/>
  </r>
  <r>
    <x v="198"/>
    <s v="DEI"/>
    <s v="on 2/4/25 After Market Eastern Standard Time"/>
    <x v="1"/>
  </r>
  <r>
    <x v="198"/>
    <s v="SPR"/>
    <s v="on 2/4/25 After Market Eastern Standard Time"/>
    <x v="0"/>
  </r>
  <r>
    <x v="198"/>
    <s v="COLM"/>
    <s v="on 2/4/25 After Market Eastern Standard Time"/>
    <x v="2"/>
  </r>
  <r>
    <x v="198"/>
    <s v="AZPN"/>
    <s v="on 2/4/25 After Market Eastern Standard Time"/>
    <x v="2"/>
  </r>
  <r>
    <x v="198"/>
    <s v="MOD"/>
    <s v="on 2/4/25 After Market Eastern Standard Time"/>
    <x v="1"/>
  </r>
  <r>
    <x v="198"/>
    <s v="ENPH"/>
    <s v="on 2/4/25 After Market Eastern Standard Time"/>
    <x v="3"/>
  </r>
  <r>
    <x v="198"/>
    <s v="DXC"/>
    <s v="on 2/4/25 After Market Eastern Standard Time"/>
    <x v="0"/>
  </r>
  <r>
    <x v="198"/>
    <s v="CMG"/>
    <s v="on 2/4/25 After Market Eastern Standard Time"/>
    <x v="3"/>
  </r>
  <r>
    <x v="198"/>
    <s v="HRB"/>
    <s v="on 2/4/25 After Market Eastern Standard Time"/>
    <x v="2"/>
  </r>
  <r>
    <x v="198"/>
    <s v="ZWS"/>
    <s v="on 2/4/25 After Market Eastern Standard Time"/>
    <x v="1"/>
  </r>
  <r>
    <x v="198"/>
    <s v="SPG"/>
    <s v="on 2/4/25 After Market Eastern Standard Time"/>
    <x v="3"/>
  </r>
  <r>
    <x v="198"/>
    <s v="EA"/>
    <s v="on 2/4/25 After Market Eastern Standard Time"/>
    <x v="3"/>
  </r>
  <r>
    <x v="198"/>
    <s v="VRNS"/>
    <s v="on 2/4/25 After Market Eastern Standard Time"/>
    <x v="1"/>
  </r>
  <r>
    <x v="198"/>
    <s v="ESS"/>
    <s v="on 2/4/25 After Market Eastern Standard Time"/>
    <x v="3"/>
  </r>
  <r>
    <x v="198"/>
    <s v="VSAT"/>
    <s v="on 2/4/25 After Market Eastern Standard Time"/>
    <x v="1"/>
  </r>
  <r>
    <x v="198"/>
    <s v="KTCC"/>
    <s v="on 2/4/25 After Market Eastern Standard Time"/>
    <x v="0"/>
  </r>
  <r>
    <x v="198"/>
    <s v="OI"/>
    <s v="on 2/4/25 After Market Eastern Standard Time"/>
    <x v="1"/>
  </r>
  <r>
    <x v="198"/>
    <s v="TCSG"/>
    <s v="on 2/4/25 After Market Eastern Standard Time"/>
    <x v="0"/>
  </r>
  <r>
    <x v="198"/>
    <s v="MDLZ"/>
    <s v="on 2/4/25 After Market Eastern Standard Time"/>
    <x v="3"/>
  </r>
  <r>
    <x v="198"/>
    <s v="LUMN"/>
    <s v="on 2/4/25 After Market Eastern Standard Time"/>
    <x v="1"/>
  </r>
  <r>
    <x v="198"/>
    <s v="VOYA"/>
    <s v="on 2/4/25 After Market Eastern Standard Time"/>
    <x v="2"/>
  </r>
  <r>
    <x v="198"/>
    <s v="AC"/>
    <s v="on 2/4/25 After Market Eastern Standard Time"/>
    <x v="0"/>
  </r>
  <r>
    <x v="198"/>
    <s v="GOOG"/>
    <s v="on 2/4/25 After Market Eastern Standard Time"/>
    <x v="3"/>
  </r>
  <r>
    <x v="198"/>
    <s v="THG"/>
    <s v="on 2/4/25 After Market Eastern Standard Time"/>
    <x v="2"/>
  </r>
  <r>
    <x v="198"/>
    <s v="SKY"/>
    <s v="on 2/4/25 After Market Eastern Standard Time"/>
    <x v="1"/>
  </r>
  <r>
    <x v="198"/>
    <s v="OMC"/>
    <s v="on 2/4/25 After Market Eastern Standard Time"/>
    <x v="3"/>
  </r>
  <r>
    <x v="198"/>
    <s v="CRUS"/>
    <s v="on 2/4/25 After Market Eastern Standard Time"/>
    <x v="2"/>
  </r>
  <r>
    <x v="198"/>
    <s v="TCSGQ"/>
    <s v="on 2/4/25 After Market Eastern Standard Time"/>
    <x v="0"/>
  </r>
  <r>
    <x v="198"/>
    <s v="AAT"/>
    <s v="on 2/4/25 After Market Eastern Standard Time"/>
    <x v="1"/>
  </r>
  <r>
    <x v="198"/>
    <s v="CSL"/>
    <s v="on 2/4/25 After Market Eastern Standard Time"/>
    <x v="2"/>
  </r>
  <r>
    <x v="199"/>
    <s v="ACB"/>
    <s v="on 2/5/25 Before Market Eastern Standard Time"/>
    <x v="0"/>
  </r>
  <r>
    <x v="199"/>
    <s v="BSX"/>
    <s v="on 2/5/25 Before Market Eastern Standard Time"/>
    <x v="3"/>
  </r>
  <r>
    <x v="199"/>
    <s v="KB"/>
    <s v="on 2/5/25 Before Market Eastern Standard Time"/>
    <x v="0"/>
  </r>
  <r>
    <x v="199"/>
    <s v="MAC"/>
    <s v="on 2/5/25 Before Market Eastern Standard Time"/>
    <x v="1"/>
  </r>
  <r>
    <x v="199"/>
    <s v="NYT"/>
    <s v="on 2/5/25 Before Market Eastern Standard Time"/>
    <x v="2"/>
  </r>
  <r>
    <x v="199"/>
    <s v="GSK"/>
    <s v="on 2/5/25 Unspecified Eastern Standard Time"/>
    <x v="0"/>
  </r>
  <r>
    <x v="199"/>
    <s v="AVXL"/>
    <s v="on 2/5/25 Before Market Eastern Standard Time"/>
    <x v="1"/>
  </r>
  <r>
    <x v="199"/>
    <s v="JCI"/>
    <s v="on 2/5/25 Before Market Eastern Standard Time"/>
    <x v="3"/>
  </r>
  <r>
    <x v="199"/>
    <s v="ITUB"/>
    <s v="on 2/5/25 Unspecified Eastern Standard Time"/>
    <x v="0"/>
  </r>
  <r>
    <x v="199"/>
    <s v="DAY"/>
    <s v="on 2/5/25 Before Market Eastern Standard Time"/>
    <x v="3"/>
  </r>
  <r>
    <x v="199"/>
    <s v="LUCK"/>
    <s v="on 2/5/25 Before Market Eastern Standard Time"/>
    <x v="0"/>
  </r>
  <r>
    <x v="199"/>
    <s v="BG"/>
    <s v="on 2/5/25 Before Market Eastern Standard Time"/>
    <x v="3"/>
  </r>
  <r>
    <x v="199"/>
    <s v="CDW"/>
    <s v="on 2/5/25 Before Market Eastern Standard Time"/>
    <x v="3"/>
  </r>
  <r>
    <x v="199"/>
    <s v="NMR"/>
    <s v="on 2/5/25 Before Market Eastern Standard Time"/>
    <x v="0"/>
  </r>
  <r>
    <x v="199"/>
    <s v="CRARY"/>
    <s v="on 2/5/25 Unspecified Eastern Standard Time"/>
    <x v="0"/>
  </r>
  <r>
    <x v="199"/>
    <s v="SAN"/>
    <s v="on 2/5/25 Before Market Eastern Standard Time"/>
    <x v="0"/>
  </r>
  <r>
    <x v="199"/>
    <s v="KDDIY"/>
    <s v="on 2/5/25 Unspecified Eastern Standard Time"/>
    <x v="0"/>
  </r>
  <r>
    <x v="199"/>
    <s v="CPRI"/>
    <s v="on 2/5/25 Before Market Eastern Standard Time"/>
    <x v="2"/>
  </r>
  <r>
    <x v="199"/>
    <s v="HSQVY"/>
    <s v="on 2/5/25 Before Market Eastern Standard Time"/>
    <x v="0"/>
  </r>
  <r>
    <x v="199"/>
    <s v="DNBBY"/>
    <s v="on 2/5/25 Before Market Eastern Standard Time"/>
    <x v="0"/>
  </r>
  <r>
    <x v="199"/>
    <s v="EMR"/>
    <s v="on 2/5/25 Before Market Eastern Standard Time"/>
    <x v="3"/>
  </r>
  <r>
    <x v="199"/>
    <s v="HOG"/>
    <s v="on 2/5/25 Before Market Eastern Standard Time"/>
    <x v="2"/>
  </r>
  <r>
    <x v="199"/>
    <s v="PRAX"/>
    <s v="on 2/5/25 Before Market Eastern Standard Time"/>
    <x v="1"/>
  </r>
  <r>
    <x v="199"/>
    <s v="UNLRY"/>
    <s v="on 2/5/25 Unspecified Eastern Standard Time"/>
    <x v="0"/>
  </r>
  <r>
    <x v="199"/>
    <s v="TTE"/>
    <s v="on 2/5/25 Before Market Eastern Standard Time"/>
    <x v="0"/>
  </r>
  <r>
    <x v="199"/>
    <s v="SPPJY"/>
    <s v="on 2/5/25 Before Market Eastern Standard Time"/>
    <x v="0"/>
  </r>
  <r>
    <x v="199"/>
    <s v="NVO"/>
    <s v="on 2/5/25 Before Market Eastern Standard Time"/>
    <x v="0"/>
  </r>
  <r>
    <x v="199"/>
    <s v="TECH"/>
    <s v="on 2/5/25 Before Market Eastern Standard Time"/>
    <x v="3"/>
  </r>
  <r>
    <x v="199"/>
    <s v="ITW"/>
    <s v="on 2/5/25 Before Market Eastern Standard Time"/>
    <x v="3"/>
  </r>
  <r>
    <x v="199"/>
    <s v="DIS"/>
    <s v="on 2/5/25 Before Market Eastern Standard Time"/>
    <x v="3"/>
  </r>
  <r>
    <x v="199"/>
    <s v="ARCC"/>
    <s v="on 2/5/25 Before Market Eastern Standard Time"/>
    <x v="0"/>
  </r>
  <r>
    <x v="199"/>
    <s v="PANDY"/>
    <s v="on 2/5/25 Unspecified Eastern Standard Time"/>
    <x v="0"/>
  </r>
  <r>
    <x v="199"/>
    <s v="TROW"/>
    <s v="on 2/5/25 Before Market Eastern Standard Time"/>
    <x v="3"/>
  </r>
  <r>
    <x v="199"/>
    <s v="MHH"/>
    <s v="on 2/5/25 Before Market Eastern Standard Time"/>
    <x v="0"/>
  </r>
  <r>
    <x v="199"/>
    <s v="EVR"/>
    <s v="on 2/5/25 Before Market Eastern Standard Time"/>
    <x v="2"/>
  </r>
  <r>
    <x v="199"/>
    <s v="BSBR"/>
    <s v="on 2/5/25 Before Market Eastern Standard Time"/>
    <x v="0"/>
  </r>
  <r>
    <x v="199"/>
    <s v="FI"/>
    <s v="on 2/5/25 Before Market Eastern Standard Time"/>
    <x v="3"/>
  </r>
  <r>
    <x v="199"/>
    <s v="UBER"/>
    <s v="on 2/5/25 Before Market Eastern Standard Time"/>
    <x v="3"/>
  </r>
  <r>
    <x v="199"/>
    <s v="GFF"/>
    <s v="on 2/5/25 Before Market Eastern Standard Time"/>
    <x v="1"/>
  </r>
  <r>
    <x v="199"/>
    <s v="RGS"/>
    <s v="on 2/5/25 Before Market Eastern Standard Time"/>
    <x v="0"/>
  </r>
  <r>
    <x v="199"/>
    <s v="REYN"/>
    <s v="on 2/5/25 Before Market Eastern Standard Time"/>
    <x v="0"/>
  </r>
  <r>
    <x v="199"/>
    <s v="LVWR"/>
    <s v="on 2/5/25 Before Market Eastern Standard Time"/>
    <x v="0"/>
  </r>
  <r>
    <x v="199"/>
    <s v="TGI"/>
    <s v="on 2/5/25 Before Market Eastern Standard Time"/>
    <x v="1"/>
  </r>
  <r>
    <x v="199"/>
    <s v="ARES"/>
    <s v="on 2/5/25 Before Market Eastern Standard Time"/>
    <x v="0"/>
  </r>
  <r>
    <x v="199"/>
    <s v="RXO"/>
    <s v="on 2/5/25 Before Market Eastern Standard Time"/>
    <x v="1"/>
  </r>
  <r>
    <x v="199"/>
    <s v="RSVR"/>
    <s v="on 2/5/25 Before Market Eastern Standard Time"/>
    <x v="0"/>
  </r>
  <r>
    <x v="199"/>
    <s v="VWDRY"/>
    <s v="on 2/5/25 Unspecified Eastern Standard Time"/>
    <x v="0"/>
  </r>
  <r>
    <x v="199"/>
    <s v="FSV"/>
    <s v="on 2/5/25 Before Market Eastern Standard Time"/>
    <x v="0"/>
  </r>
  <r>
    <x v="199"/>
    <s v="NHTC"/>
    <s v="on 2/5/25 Before Market Eastern Standard Time"/>
    <x v="0"/>
  </r>
  <r>
    <x v="199"/>
    <s v="ASAZY"/>
    <s v="on 2/5/25 Before Market Eastern Standard Time"/>
    <x v="0"/>
  </r>
  <r>
    <x v="199"/>
    <s v="SR"/>
    <s v="on 2/5/25 Before Market Eastern Standard Time"/>
    <x v="1"/>
  </r>
  <r>
    <x v="199"/>
    <s v="VSH"/>
    <s v="on 2/5/25 Before Market Eastern Standard Time"/>
    <x v="1"/>
  </r>
  <r>
    <x v="199"/>
    <s v="TWIN"/>
    <s v="on 2/5/25 Before Market Eastern Standard Time"/>
    <x v="0"/>
  </r>
  <r>
    <x v="199"/>
    <s v="TM"/>
    <s v="on 2/5/25 Before Market Eastern Standard Time"/>
    <x v="0"/>
  </r>
  <r>
    <x v="199"/>
    <s v="PFGC"/>
    <s v="on 2/5/25 Before Market Eastern Standard Time"/>
    <x v="2"/>
  </r>
  <r>
    <x v="199"/>
    <s v="EQNR"/>
    <s v="on 2/5/25 Before Market Eastern Standard Time"/>
    <x v="0"/>
  </r>
  <r>
    <x v="199"/>
    <s v="KMT"/>
    <s v="on 2/5/25 Before Market Eastern Standard Time"/>
    <x v="1"/>
  </r>
  <r>
    <x v="199"/>
    <s v="SWK"/>
    <s v="on 2/5/25 Before Market Eastern Standard Time"/>
    <x v="3"/>
  </r>
  <r>
    <x v="199"/>
    <s v="COR"/>
    <s v="on 2/5/25 Before Market Eastern Standard Time"/>
    <x v="3"/>
  </r>
  <r>
    <x v="199"/>
    <s v="DKILY"/>
    <s v="on 2/5/25 Unspecified Eastern Standard Time"/>
    <x v="0"/>
  </r>
  <r>
    <x v="199"/>
    <s v="CRTO"/>
    <s v="on 2/5/25 Before Market Eastern Standard Time"/>
    <x v="0"/>
  </r>
  <r>
    <x v="199"/>
    <s v="TKR"/>
    <s v="on 2/5/25 Before Market Eastern Standard Time"/>
    <x v="2"/>
  </r>
  <r>
    <x v="199"/>
    <s v="CMRE"/>
    <s v="on 2/5/25 Before Market Eastern Standard Time"/>
    <x v="1"/>
  </r>
  <r>
    <x v="200"/>
    <s v="ODFL"/>
    <s v="on 2/5/25 During Market Eastern Standard Time"/>
    <x v="3"/>
  </r>
  <r>
    <x v="201"/>
    <s v="AOSL"/>
    <s v="on 2/5/25 After Market Eastern Standard Time"/>
    <x v="1"/>
  </r>
  <r>
    <x v="201"/>
    <s v="UTI"/>
    <s v="on 2/5/25 After Market Eastern Standard Time"/>
    <x v="1"/>
  </r>
  <r>
    <x v="201"/>
    <s v="NVST"/>
    <s v="on 2/5/25 After Market Eastern Standard Time"/>
    <x v="2"/>
  </r>
  <r>
    <x v="201"/>
    <s v="UVV"/>
    <s v="on 2/5/25 After Market Eastern Standard Time"/>
    <x v="1"/>
  </r>
  <r>
    <x v="201"/>
    <s v="RRX"/>
    <s v="on 2/5/25 After Market Eastern Standard Time"/>
    <x v="2"/>
  </r>
  <r>
    <x v="201"/>
    <s v="MTRX"/>
    <s v="on 2/5/25 After Market Eastern Standard Time"/>
    <x v="1"/>
  </r>
  <r>
    <x v="201"/>
    <s v="DLX"/>
    <s v="on 2/5/25 After Market Eastern Standard Time"/>
    <x v="1"/>
  </r>
  <r>
    <x v="201"/>
    <s v="KMPR"/>
    <s v="on 2/5/25 After Market Eastern Standard Time"/>
    <x v="2"/>
  </r>
  <r>
    <x v="201"/>
    <s v="HI"/>
    <s v="on 2/5/25 After Market Eastern Standard Time"/>
    <x v="1"/>
  </r>
  <r>
    <x v="201"/>
    <s v="ASGN"/>
    <s v="on 2/5/25 After Market Eastern Standard Time"/>
    <x v="1"/>
  </r>
  <r>
    <x v="201"/>
    <s v="CMP"/>
    <s v="on 2/5/25 After Market Eastern Standard Time"/>
    <x v="1"/>
  </r>
  <r>
    <x v="201"/>
    <s v="FNRN"/>
    <s v="on 2/5/25 After Market Eastern Standard Time"/>
    <x v="0"/>
  </r>
  <r>
    <x v="201"/>
    <s v="RDN"/>
    <s v="on 2/5/25 After Market Eastern Standard Time"/>
    <x v="1"/>
  </r>
  <r>
    <x v="201"/>
    <s v="MCK"/>
    <s v="on 2/5/25 After Market Eastern Standard Time"/>
    <x v="3"/>
  </r>
  <r>
    <x v="201"/>
    <s v="GEOS"/>
    <s v="on 2/5/25 After Market Eastern Standard Time"/>
    <x v="0"/>
  </r>
  <r>
    <x v="201"/>
    <s v="SRTS"/>
    <s v="on 2/5/25 After Market Eastern Standard Time"/>
    <x v="0"/>
  </r>
  <r>
    <x v="201"/>
    <s v="NWS"/>
    <s v="on 2/5/25 After Market Eastern Standard Time"/>
    <x v="3"/>
  </r>
  <r>
    <x v="201"/>
    <s v="ARM"/>
    <s v="on 2/5/25 After Market Eastern Standard Time"/>
    <x v="4"/>
  </r>
  <r>
    <x v="201"/>
    <s v="VSTO"/>
    <s v="on 2/5/25 After Market Eastern Standard Time"/>
    <x v="1"/>
  </r>
  <r>
    <x v="201"/>
    <s v="ARAY"/>
    <s v="on 2/5/25 After Market Eastern Standard Time"/>
    <x v="0"/>
  </r>
  <r>
    <x v="201"/>
    <s v="UFI"/>
    <s v="on 2/5/25 After Market Eastern Standard Time"/>
    <x v="0"/>
  </r>
  <r>
    <x v="201"/>
    <s v="TTMI"/>
    <s v="on 2/5/25 After Market Eastern Standard Time"/>
    <x v="1"/>
  </r>
  <r>
    <x v="201"/>
    <s v="DLHC"/>
    <s v="on 2/5/25 After Market Eastern Standard Time"/>
    <x v="0"/>
  </r>
  <r>
    <x v="201"/>
    <s v="VKTX"/>
    <s v="on 2/5/25 After Market Eastern Standard Time"/>
    <x v="0"/>
  </r>
  <r>
    <x v="201"/>
    <s v="PTEN"/>
    <s v="on 2/5/25 After Market Eastern Standard Time"/>
    <x v="1"/>
  </r>
  <r>
    <x v="201"/>
    <s v="MAA"/>
    <s v="on 2/5/25 After Market Eastern Standard Time"/>
    <x v="3"/>
  </r>
  <r>
    <x v="201"/>
    <s v="CNXN"/>
    <s v="on 2/5/25 After Market Eastern Standard Time"/>
    <x v="1"/>
  </r>
  <r>
    <x v="201"/>
    <s v="AVNW"/>
    <s v="on 2/5/25 After Market Eastern Standard Time"/>
    <x v="0"/>
  </r>
  <r>
    <x v="201"/>
    <s v="NWSA"/>
    <s v="on 2/5/25 After Market Eastern Standard Time"/>
    <x v="3"/>
  </r>
  <r>
    <x v="201"/>
    <s v="COHR"/>
    <s v="on 2/5/25 After Market Eastern Standard Time"/>
    <x v="2"/>
  </r>
  <r>
    <x v="201"/>
    <s v="OHI"/>
    <s v="on 2/5/25 After Market Eastern Standard Time"/>
    <x v="2"/>
  </r>
  <r>
    <x v="201"/>
    <s v="MSTR"/>
    <s v="on 2/5/25 After Market Eastern Standard Time"/>
    <x v="0"/>
  </r>
  <r>
    <x v="201"/>
    <s v="VINP"/>
    <s v="on 2/5/25 After Market Eastern Standard Time"/>
    <x v="0"/>
  </r>
  <r>
    <x v="201"/>
    <s v="PYCR"/>
    <s v="on 2/5/25 After Market Eastern Standard Time"/>
    <x v="0"/>
  </r>
  <r>
    <x v="201"/>
    <s v="QGEN"/>
    <s v="on 2/5/25 After Market Eastern Standard Time"/>
    <x v="0"/>
  </r>
  <r>
    <x v="201"/>
    <s v="SIMO"/>
    <s v="on 2/5/25 After Market Eastern Standard Time"/>
    <x v="0"/>
  </r>
  <r>
    <x v="201"/>
    <s v="LFVN"/>
    <s v="on 2/5/25 After Market Eastern Standard Time"/>
    <x v="0"/>
  </r>
  <r>
    <x v="201"/>
    <s v="SWKS"/>
    <s v="on 2/5/25 After Market Eastern Standard Time"/>
    <x v="3"/>
  </r>
  <r>
    <x v="201"/>
    <s v="MUSA"/>
    <s v="on 2/5/25 After Market Eastern Standard Time"/>
    <x v="2"/>
  </r>
  <r>
    <x v="201"/>
    <s v="WEX"/>
    <s v="on 2/5/25 After Market Eastern Standard Time"/>
    <x v="2"/>
  </r>
  <r>
    <x v="201"/>
    <s v="TENB"/>
    <s v="on 2/5/25 After Market Eastern Standard Time"/>
    <x v="1"/>
  </r>
  <r>
    <x v="201"/>
    <s v="CTVA"/>
    <s v="on 2/5/25 After Market Eastern Standard Time"/>
    <x v="3"/>
  </r>
  <r>
    <x v="201"/>
    <s v="SGU"/>
    <s v="on 2/5/25 After Market Eastern Standard Time"/>
    <x v="0"/>
  </r>
  <r>
    <x v="201"/>
    <s v="AFL"/>
    <s v="on 2/5/25 After Market Eastern Standard Time"/>
    <x v="3"/>
  </r>
  <r>
    <x v="201"/>
    <s v="CTSH"/>
    <s v="on 2/5/25 After Market Eastern Standard Time"/>
    <x v="3"/>
  </r>
  <r>
    <x v="201"/>
    <s v="FORM"/>
    <s v="on 2/5/25 After Market Eastern Standard Time"/>
    <x v="1"/>
  </r>
  <r>
    <x v="201"/>
    <s v="RYN"/>
    <s v="on 2/5/25 After Market Eastern Standard Time"/>
    <x v="2"/>
  </r>
  <r>
    <x v="201"/>
    <s v="RM"/>
    <s v="on 2/5/25 After Market Eastern Standard Time"/>
    <x v="1"/>
  </r>
  <r>
    <x v="201"/>
    <s v="ALL"/>
    <s v="on 2/5/25 After Market Eastern Standard Time"/>
    <x v="3"/>
  </r>
  <r>
    <x v="201"/>
    <s v="GL"/>
    <s v="on 2/5/25 After Market Eastern Standard Time"/>
    <x v="3"/>
  </r>
  <r>
    <x v="201"/>
    <s v="VNDA"/>
    <s v="on 2/5/25 After Market Eastern Standard Time"/>
    <x v="1"/>
  </r>
  <r>
    <x v="201"/>
    <s v="EQH"/>
    <s v="on 2/5/25 After Market Eastern Standard Time"/>
    <x v="2"/>
  </r>
  <r>
    <x v="201"/>
    <s v="FLNC"/>
    <s v="on 2/5/25 After Market Eastern Standard Time"/>
    <x v="1"/>
  </r>
  <r>
    <x v="201"/>
    <s v="BKH"/>
    <s v="on 2/5/25 After Market Eastern Standard Time"/>
    <x v="1"/>
  </r>
  <r>
    <x v="201"/>
    <s v="ALGN"/>
    <s v="on 2/5/25 After Market Eastern Standard Time"/>
    <x v="3"/>
  </r>
  <r>
    <x v="201"/>
    <s v="CCK"/>
    <s v="on 2/5/25 After Market Eastern Standard Time"/>
    <x v="2"/>
  </r>
  <r>
    <x v="201"/>
    <s v="DHT"/>
    <s v="on 2/5/25 After Market Eastern Standard Time"/>
    <x v="1"/>
  </r>
  <r>
    <x v="201"/>
    <s v="PI"/>
    <s v="on 2/5/25 After Market Eastern Standard Time"/>
    <x v="1"/>
  </r>
  <r>
    <x v="201"/>
    <s v="ORLY"/>
    <s v="on 2/5/25 After Market Eastern Standard Time"/>
    <x v="3"/>
  </r>
  <r>
    <x v="201"/>
    <s v="NOTV"/>
    <s v="on 2/5/25 After Market Eastern Standard Time"/>
    <x v="0"/>
  </r>
  <r>
    <x v="201"/>
    <s v="HP"/>
    <s v="on 2/5/25 After Market Eastern Standard Time"/>
    <x v="1"/>
  </r>
  <r>
    <x v="201"/>
    <s v="UHALB"/>
    <s v="on 2/5/25 After Market Eastern Standard Time"/>
    <x v="0"/>
  </r>
  <r>
    <x v="201"/>
    <s v="ENS"/>
    <s v="on 2/5/25 After Market Eastern Standard Time"/>
    <x v="1"/>
  </r>
  <r>
    <x v="201"/>
    <s v="BARK"/>
    <s v="on 2/5/25 After Market Eastern Standard Time"/>
    <x v="1"/>
  </r>
  <r>
    <x v="201"/>
    <s v="QCOM"/>
    <s v="on 2/5/25 After Market Eastern Standard Time"/>
    <x v="3"/>
  </r>
  <r>
    <x v="201"/>
    <s v="WFRD"/>
    <s v="on 2/5/25 After Market Eastern Standard Time"/>
    <x v="2"/>
  </r>
  <r>
    <x v="201"/>
    <s v="SYM"/>
    <s v="on 2/5/25 After Market Eastern Standard Time"/>
    <x v="0"/>
  </r>
  <r>
    <x v="201"/>
    <s v="CPAY"/>
    <s v="on 2/5/25 After Market Eastern Standard Time"/>
    <x v="3"/>
  </r>
  <r>
    <x v="201"/>
    <s v="BOWL"/>
    <s v="on 2/5/25 After Market Eastern Standard Time"/>
    <x v="0"/>
  </r>
  <r>
    <x v="201"/>
    <s v="SU"/>
    <s v="on 2/5/25 After Market Eastern Standard Time"/>
    <x v="0"/>
  </r>
  <r>
    <x v="201"/>
    <s v="LSAK"/>
    <s v="on 2/5/25 After Market Eastern Standard Time"/>
    <x v="0"/>
  </r>
  <r>
    <x v="201"/>
    <s v="UGI"/>
    <s v="on 2/5/25 After Market Eastern Standard Time"/>
    <x v="2"/>
  </r>
  <r>
    <x v="201"/>
    <s v="APPS"/>
    <s v="on 2/5/25 After Market Eastern Standard Time"/>
    <x v="0"/>
  </r>
  <r>
    <x v="201"/>
    <s v="RGCO"/>
    <s v="on 2/5/25 After Market Eastern Standard Time"/>
    <x v="0"/>
  </r>
  <r>
    <x v="201"/>
    <s v="STE"/>
    <s v="on 2/5/25 After Market Eastern Standard Time"/>
    <x v="3"/>
  </r>
  <r>
    <x v="201"/>
    <s v="RAMP"/>
    <s v="on 2/5/25 After Market Eastern Standard Time"/>
    <x v="1"/>
  </r>
  <r>
    <x v="201"/>
    <s v="UDR"/>
    <s v="on 2/5/25 After Market Eastern Standard Time"/>
    <x v="3"/>
  </r>
  <r>
    <x v="201"/>
    <s v="MET"/>
    <s v="on 2/5/25 After Market Eastern Standard Time"/>
    <x v="3"/>
  </r>
  <r>
    <x v="201"/>
    <s v="SITM"/>
    <s v="on 2/5/25 After Market Eastern Standard Time"/>
    <x v="1"/>
  </r>
  <r>
    <x v="201"/>
    <s v="CNMD"/>
    <s v="on 2/5/25 After Market Eastern Standard Time"/>
    <x v="1"/>
  </r>
  <r>
    <x v="201"/>
    <s v="MKL"/>
    <s v="on 2/5/25 After Market Eastern Standard Time"/>
    <x v="0"/>
  </r>
  <r>
    <x v="201"/>
    <s v="PAHC"/>
    <s v="on 2/5/25 After Market Eastern Standard Time"/>
    <x v="1"/>
  </r>
  <r>
    <x v="201"/>
    <s v="MOH"/>
    <s v="on 2/5/25 After Market Eastern Standard Time"/>
    <x v="3"/>
  </r>
  <r>
    <x v="201"/>
    <s v="DHX"/>
    <s v="on 2/5/25 After Market Eastern Standard Time"/>
    <x v="0"/>
  </r>
  <r>
    <x v="201"/>
    <s v="STC"/>
    <s v="on 2/5/25 After Market Eastern Standard Time"/>
    <x v="1"/>
  </r>
  <r>
    <x v="201"/>
    <s v="PTC"/>
    <s v="on 2/5/25 After Market Eastern Standard Time"/>
    <x v="3"/>
  </r>
  <r>
    <x v="201"/>
    <s v="REXR"/>
    <s v="on 2/5/25 After Market Eastern Standard Time"/>
    <x v="2"/>
  </r>
  <r>
    <x v="201"/>
    <s v="TRNO"/>
    <s v="on 2/5/25 After Market Eastern Standard Time"/>
    <x v="1"/>
  </r>
  <r>
    <x v="201"/>
    <s v="MC"/>
    <s v="on 2/5/25 After Market Eastern Standard Time"/>
    <x v="1"/>
  </r>
  <r>
    <x v="201"/>
    <s v="BLBD"/>
    <s v="on 2/5/25 After Market Eastern Standard Time"/>
    <x v="1"/>
  </r>
  <r>
    <x v="201"/>
    <s v="DGII"/>
    <s v="on 2/5/25 After Market Eastern Standard Time"/>
    <x v="1"/>
  </r>
  <r>
    <x v="201"/>
    <s v="AVB"/>
    <s v="on 2/5/25 After Market Eastern Standard Time"/>
    <x v="3"/>
  </r>
  <r>
    <x v="201"/>
    <s v="NTGR"/>
    <s v="on 2/5/25 After Market Eastern Standard Time"/>
    <x v="1"/>
  </r>
  <r>
    <x v="201"/>
    <s v="QMCO"/>
    <s v="on 2/5/25 After Market Eastern Standard Time"/>
    <x v="0"/>
  </r>
  <r>
    <x v="201"/>
    <s v="BV"/>
    <s v="on 2/5/25 After Market Eastern Standard Time"/>
    <x v="1"/>
  </r>
  <r>
    <x v="201"/>
    <s v="IFS"/>
    <s v="on 2/5/25 After Market Eastern Standard Time"/>
    <x v="0"/>
  </r>
  <r>
    <x v="201"/>
    <s v="EEFT"/>
    <s v="on 2/5/25 After Market Eastern Standard Time"/>
    <x v="2"/>
  </r>
  <r>
    <x v="201"/>
    <s v="HOLX"/>
    <s v="on 2/5/25 After Market Eastern Standard Time"/>
    <x v="3"/>
  </r>
  <r>
    <x v="201"/>
    <s v="UHAL"/>
    <s v="on 2/5/25 After Market Eastern Standard Time"/>
    <x v="0"/>
  </r>
  <r>
    <x v="201"/>
    <s v="F"/>
    <s v="on 2/5/25 After Market Eastern Standard Time"/>
    <x v="3"/>
  </r>
  <r>
    <x v="201"/>
    <s v="RMR"/>
    <s v="on 2/5/25 After Market Eastern Standard Time"/>
    <x v="1"/>
  </r>
  <r>
    <x v="201"/>
    <s v="FR"/>
    <s v="on 2/5/25 After Market Eastern Standard Time"/>
    <x v="2"/>
  </r>
  <r>
    <x v="201"/>
    <s v="HMN"/>
    <s v="on 2/5/25 After Market Eastern Standard Time"/>
    <x v="1"/>
  </r>
  <r>
    <x v="201"/>
    <s v="CSGS"/>
    <s v="on 2/5/25 After Market Eastern Standard Time"/>
    <x v="1"/>
  </r>
  <r>
    <x v="201"/>
    <s v="ASYS"/>
    <s v="on 2/5/25 After Market Eastern Standard Time"/>
    <x v="0"/>
  </r>
  <r>
    <x v="202"/>
    <s v="PBH"/>
    <s v="on 2/6/25 Before Market Eastern Standard Time"/>
    <x v="1"/>
  </r>
  <r>
    <x v="202"/>
    <s v="VERU"/>
    <s v="on 2/6/25 Unspecified Eastern Standard Time"/>
    <x v="0"/>
  </r>
  <r>
    <x v="202"/>
    <s v="CCB"/>
    <s v="on 2/6/25 Unspecified Eastern Standard Time"/>
    <x v="1"/>
  </r>
  <r>
    <x v="202"/>
    <s v="BERY"/>
    <s v="on 2/6/25 Before Market Eastern Standard Time"/>
    <x v="2"/>
  </r>
  <r>
    <x v="202"/>
    <s v="PTON"/>
    <s v="on 2/6/25 Before Market Eastern Standard Time"/>
    <x v="1"/>
  </r>
  <r>
    <x v="202"/>
    <s v="EMKR"/>
    <s v="on 2/6/25 Before Market Eastern Standard Time"/>
    <x v="0"/>
  </r>
  <r>
    <x v="202"/>
    <s v="FUJIY"/>
    <s v="on 2/6/25 Unspecified Eastern Standard Time"/>
    <x v="0"/>
  </r>
  <r>
    <x v="202"/>
    <s v="APD"/>
    <s v="on 2/6/25 Before Market Eastern Standard Time"/>
    <x v="3"/>
  </r>
  <r>
    <x v="202"/>
    <s v="LLY"/>
    <s v="on 2/6/25 Before Market Eastern Standard Time"/>
    <x v="3"/>
  </r>
  <r>
    <x v="202"/>
    <s v="RL"/>
    <s v="on 2/6/25 Before Market Eastern Standard Time"/>
    <x v="3"/>
  </r>
  <r>
    <x v="202"/>
    <s v="XEL"/>
    <s v="on 2/6/25 Before Market Eastern Standard Time"/>
    <x v="3"/>
  </r>
  <r>
    <x v="202"/>
    <s v="LH"/>
    <s v="on 2/6/25 Before Market Eastern Standard Time"/>
    <x v="3"/>
  </r>
  <r>
    <x v="202"/>
    <s v="WMG"/>
    <s v="on 2/6/25 Before Market Eastern Standard Time"/>
    <x v="2"/>
  </r>
  <r>
    <x v="202"/>
    <s v="TRI"/>
    <s v="on 2/6/25 Before Market Eastern Standard Time"/>
    <x v="0"/>
  </r>
  <r>
    <x v="202"/>
    <s v="K"/>
    <s v="on 2/6/25 Before Market Eastern Standard Time"/>
    <x v="3"/>
  </r>
  <r>
    <x v="202"/>
    <s v="IRMD"/>
    <s v="on 2/6/25 Before Market Eastern Standard Time"/>
    <x v="1"/>
  </r>
  <r>
    <x v="202"/>
    <s v="PSEC"/>
    <s v="on 2/6/25 Before Market Eastern Standard Time"/>
    <x v="0"/>
  </r>
  <r>
    <x v="202"/>
    <s v="NSP"/>
    <s v="on 2/6/25 Before Market Eastern Standard Time"/>
    <x v="1"/>
  </r>
  <r>
    <x v="202"/>
    <s v="LEA"/>
    <s v="on 2/6/25 Before Market Eastern Standard Time"/>
    <x v="2"/>
  </r>
  <r>
    <x v="202"/>
    <s v="NATH"/>
    <s v="on 2/6/25 Before Market Eastern Standard Time"/>
    <x v="0"/>
  </r>
  <r>
    <x v="202"/>
    <s v="SLQT"/>
    <s v="on 2/6/25 Before Market Eastern Standard Time"/>
    <x v="1"/>
  </r>
  <r>
    <x v="202"/>
    <s v="ZBH"/>
    <s v="on 2/6/25 Before Market Eastern Standard Time"/>
    <x v="3"/>
  </r>
  <r>
    <x v="202"/>
    <s v="UA"/>
    <s v="on 2/6/25 Before Market Eastern Standard Time"/>
    <x v="2"/>
  </r>
  <r>
    <x v="202"/>
    <s v="OESX"/>
    <s v="on 2/6/25 Before Market Eastern Standard Time"/>
    <x v="0"/>
  </r>
  <r>
    <x v="202"/>
    <s v="RITM"/>
    <s v="on 2/6/25 Before Market Eastern Standard Time"/>
    <x v="0"/>
  </r>
  <r>
    <x v="202"/>
    <s v="SPH"/>
    <s v="on 2/6/25 Before Market Eastern Standard Time"/>
    <x v="0"/>
  </r>
  <r>
    <x v="202"/>
    <s v="CIGI"/>
    <s v="on 2/6/25 Before Market Eastern Standard Time"/>
    <x v="0"/>
  </r>
  <r>
    <x v="202"/>
    <s v="MMS"/>
    <s v="on 2/6/25 Before Market Eastern Standard Time"/>
    <x v="1"/>
  </r>
  <r>
    <x v="202"/>
    <s v="ROK"/>
    <s v="on 2/6/25 Before Market Eastern Standard Time"/>
    <x v="3"/>
  </r>
  <r>
    <x v="202"/>
    <s v="WMS"/>
    <s v="on 2/6/25 Before Market Eastern Standard Time"/>
    <x v="2"/>
  </r>
  <r>
    <x v="202"/>
    <s v="SAXPY"/>
    <s v="on 2/6/25 Before Market Eastern Standard Time"/>
    <x v="0"/>
  </r>
  <r>
    <x v="202"/>
    <s v="WTM"/>
    <s v="on 2/6/25 Before Market Eastern Standard Time"/>
    <x v="0"/>
  </r>
  <r>
    <x v="202"/>
    <s v="BWA"/>
    <s v="on 2/6/25 Before Market Eastern Standard Time"/>
    <x v="3"/>
  </r>
  <r>
    <x v="202"/>
    <s v="KT"/>
    <s v="on 2/6/25 Unspecified Eastern Standard Time"/>
    <x v="0"/>
  </r>
  <r>
    <x v="202"/>
    <s v="INTR"/>
    <s v="on 2/6/25 Before Market Eastern Standard Time"/>
    <x v="0"/>
  </r>
  <r>
    <x v="202"/>
    <s v="LIN"/>
    <s v="on 2/6/25 Before Market Eastern Standard Time"/>
    <x v="3"/>
  </r>
  <r>
    <x v="202"/>
    <s v="GTES"/>
    <s v="on 2/6/25 Before Market Eastern Standard Time"/>
    <x v="0"/>
  </r>
  <r>
    <x v="202"/>
    <s v="BABA"/>
    <s v="on 2/6/25 Before Market Eastern Standard Time"/>
    <x v="0"/>
  </r>
  <r>
    <x v="202"/>
    <s v="HSY"/>
    <s v="on 2/6/25 Before Market Eastern Standard Time"/>
    <x v="3"/>
  </r>
  <r>
    <x v="202"/>
    <s v="TOELY"/>
    <s v="on 2/6/25 Unspecified Eastern Standard Time"/>
    <x v="0"/>
  </r>
  <r>
    <x v="202"/>
    <s v="ITOCY"/>
    <s v="on 2/6/25 Unspecified Eastern Standard Time"/>
    <x v="0"/>
  </r>
  <r>
    <x v="202"/>
    <s v="HLT"/>
    <s v="on 2/6/25 Before Market Eastern Standard Time"/>
    <x v="3"/>
  </r>
  <r>
    <x v="202"/>
    <s v="LIVE"/>
    <s v="on 2/6/25 Before Market Eastern Standard Time"/>
    <x v="0"/>
  </r>
  <r>
    <x v="202"/>
    <s v="OWL"/>
    <s v="on 2/6/25 Before Market Eastern Standard Time"/>
    <x v="0"/>
  </r>
  <r>
    <x v="202"/>
    <s v="HON"/>
    <s v="on 2/6/25 Before Market Eastern Standard Time"/>
    <x v="3"/>
  </r>
  <r>
    <x v="202"/>
    <s v="LADR"/>
    <s v="on 2/6/25 Before Market Eastern Standard Time"/>
    <x v="1"/>
  </r>
  <r>
    <x v="202"/>
    <s v="EMBC"/>
    <s v="on 2/6/25 Before Market Eastern Standard Time"/>
    <x v="1"/>
  </r>
  <r>
    <x v="202"/>
    <s v="SHG"/>
    <s v="on 2/6/25 Before Market Eastern Standard Time"/>
    <x v="0"/>
  </r>
  <r>
    <x v="202"/>
    <s v="PUBGY"/>
    <s v="on 2/6/25 Unspecified Eastern Standard Time"/>
    <x v="0"/>
  </r>
  <r>
    <x v="202"/>
    <s v="GOOS"/>
    <s v="on 2/6/25 Before Market Eastern Standard Time"/>
    <x v="0"/>
  </r>
  <r>
    <x v="202"/>
    <s v="AROW"/>
    <s v="on 2/6/25 Before Market Eastern Standard Time"/>
    <x v="1"/>
  </r>
  <r>
    <x v="202"/>
    <s v="LQDT"/>
    <s v="on 2/6/25 Before Market Eastern Standard Time"/>
    <x v="1"/>
  </r>
  <r>
    <x v="202"/>
    <s v="SLI"/>
    <s v="on 2/6/25 Before Market Eastern Standard Time"/>
    <x v="0"/>
  </r>
  <r>
    <x v="202"/>
    <s v="ITT"/>
    <s v="on 2/6/25 Before Market Eastern Standard Time"/>
    <x v="2"/>
  </r>
  <r>
    <x v="202"/>
    <s v="BMY"/>
    <s v="on 2/6/25 Before Market Eastern Standard Time"/>
    <x v="3"/>
  </r>
  <r>
    <x v="202"/>
    <s v="PODC"/>
    <s v="on 2/6/25 Before Market Eastern Standard Time"/>
    <x v="0"/>
  </r>
  <r>
    <x v="202"/>
    <s v="HII"/>
    <s v="on 2/6/25 Before Market Eastern Standard Time"/>
    <x v="3"/>
  </r>
  <r>
    <x v="202"/>
    <s v="CABGY"/>
    <s v="on 2/6/25 Unspecified Eastern Standard Time"/>
    <x v="0"/>
  </r>
  <r>
    <x v="202"/>
    <s v="JRSH"/>
    <s v="on 2/6/25 Before Market Eastern Standard Time"/>
    <x v="0"/>
  </r>
  <r>
    <x v="202"/>
    <s v="TELNY"/>
    <s v="on 2/6/25 Before Market Eastern Standard Time"/>
    <x v="0"/>
  </r>
  <r>
    <x v="202"/>
    <s v="IPG"/>
    <s v="on 2/6/25 Before Market Eastern Standard Time"/>
    <x v="3"/>
  </r>
  <r>
    <x v="202"/>
    <s v="HAE"/>
    <s v="on 2/6/25 Before Market Eastern Standard Time"/>
    <x v="1"/>
  </r>
  <r>
    <x v="202"/>
    <s v="LEE"/>
    <s v="on 2/6/25 Before Market Eastern Standard Time"/>
    <x v="0"/>
  </r>
  <r>
    <x v="202"/>
    <s v="XPO"/>
    <s v="on 2/6/25 Before Market Eastern Standard Time"/>
    <x v="2"/>
  </r>
  <r>
    <x v="202"/>
    <s v="THR"/>
    <s v="on 2/6/25 Before Market Eastern Standard Time"/>
    <x v="1"/>
  </r>
  <r>
    <x v="202"/>
    <s v="SMMNY"/>
    <s v="on 2/6/25 Before Market Eastern Standard Time"/>
    <x v="0"/>
  </r>
  <r>
    <x v="202"/>
    <s v="TEX"/>
    <s v="on 2/6/25 Before Market Eastern Standard Time"/>
    <x v="1"/>
  </r>
  <r>
    <x v="202"/>
    <s v="CMS"/>
    <s v="on 2/6/25 Before Market Eastern Standard Time"/>
    <x v="3"/>
  </r>
  <r>
    <x v="202"/>
    <s v="OMCL"/>
    <s v="on 2/6/25 Before Market Eastern Standard Time"/>
    <x v="1"/>
  </r>
  <r>
    <x v="202"/>
    <s v="IDCC"/>
    <s v="on 2/6/25 Before Market Eastern Standard Time"/>
    <x v="1"/>
  </r>
  <r>
    <x v="202"/>
    <s v="AGCO"/>
    <s v="on 2/6/25 Before Market Eastern Standard Time"/>
    <x v="2"/>
  </r>
  <r>
    <x v="202"/>
    <s v="BDC"/>
    <s v="on 2/6/25 Before Market Eastern Standard Time"/>
    <x v="1"/>
  </r>
  <r>
    <x v="202"/>
    <s v="TPR"/>
    <s v="on 2/6/25 Before Market Eastern Standard Time"/>
    <x v="3"/>
  </r>
  <r>
    <x v="202"/>
    <s v="ING"/>
    <s v="on 2/6/25 Before Market Eastern Standard Time"/>
    <x v="0"/>
  </r>
  <r>
    <x v="202"/>
    <s v="MDU"/>
    <s v="on 2/6/25 Before Market Eastern Standard Time"/>
    <x v="0"/>
  </r>
  <r>
    <x v="202"/>
    <s v="ME"/>
    <s v="on 2/6/25 Before Market Eastern Standard Time"/>
    <x v="0"/>
  </r>
  <r>
    <x v="202"/>
    <s v="UAA"/>
    <s v="on 2/6/25 Before Market Eastern Standard Time"/>
    <x v="2"/>
  </r>
  <r>
    <x v="202"/>
    <s v="SPB"/>
    <s v="on 2/6/25 Before Market Eastern Standard Time"/>
    <x v="0"/>
  </r>
  <r>
    <x v="202"/>
    <s v="MTSI"/>
    <s v="on 2/6/25 Before Market Eastern Standard Time"/>
    <x v="2"/>
  </r>
  <r>
    <x v="202"/>
    <s v="MTSUY"/>
    <s v="on 2/6/25 Unspecified Eastern Standard Time"/>
    <x v="0"/>
  </r>
  <r>
    <x v="202"/>
    <s v="YUM"/>
    <s v="on 2/6/25 Before Market Eastern Standard Time"/>
    <x v="3"/>
  </r>
  <r>
    <x v="202"/>
    <s v="RBLX"/>
    <s v="on 2/6/25 Before Market Eastern Standard Time"/>
    <x v="0"/>
  </r>
  <r>
    <x v="202"/>
    <s v="ALCO"/>
    <s v="on 2/6/25 Before Market Eastern Standard Time"/>
    <x v="0"/>
  </r>
  <r>
    <x v="202"/>
    <s v="YUMC"/>
    <s v="on 2/6/25 Before Market Eastern Standard Time"/>
    <x v="0"/>
  </r>
  <r>
    <x v="202"/>
    <s v="ICE"/>
    <s v="on 2/6/25 Before Market Eastern Standard Time"/>
    <x v="3"/>
  </r>
  <r>
    <x v="202"/>
    <s v="CRIS"/>
    <s v="on 2/6/25 Before Market Eastern Standard Time"/>
    <x v="0"/>
  </r>
  <r>
    <x v="202"/>
    <s v="LVO"/>
    <s v="on 2/6/25 Before Market Eastern Standard Time"/>
    <x v="0"/>
  </r>
  <r>
    <x v="202"/>
    <s v="EFX"/>
    <s v="on 2/6/25 Before Market Eastern Standard Time"/>
    <x v="3"/>
  </r>
  <r>
    <x v="202"/>
    <s v="LNC"/>
    <s v="on 2/6/25 Before Market Eastern Standard Time"/>
    <x v="0"/>
  </r>
  <r>
    <x v="202"/>
    <s v="TW"/>
    <s v="on 2/6/25 Before Market Eastern Standard Time"/>
    <x v="0"/>
  </r>
  <r>
    <x v="202"/>
    <s v="TDG"/>
    <s v="on 2/6/25 Before Market Eastern Standard Time"/>
    <x v="3"/>
  </r>
  <r>
    <x v="202"/>
    <s v="SBH"/>
    <s v="on 2/6/25 Before Market Eastern Standard Time"/>
    <x v="1"/>
  </r>
  <r>
    <x v="202"/>
    <s v="NBIX"/>
    <s v="on 2/6/25 Before Market Eastern Standard Time"/>
    <x v="2"/>
  </r>
  <r>
    <x v="202"/>
    <s v="NSIT"/>
    <s v="on 2/6/25 Before Market Eastern Standard Time"/>
    <x v="1"/>
  </r>
  <r>
    <x v="202"/>
    <s v="DTE"/>
    <s v="on 2/6/25 Before Market Eastern Standard Time"/>
    <x v="3"/>
  </r>
  <r>
    <x v="202"/>
    <s v="DNNGY"/>
    <s v="on 2/6/25 Unspecified Eastern Standard Time"/>
    <x v="0"/>
  </r>
  <r>
    <x v="202"/>
    <s v="MSGE"/>
    <s v="on 2/6/25 Before Market Eastern Standard Time"/>
    <x v="1"/>
  </r>
  <r>
    <x v="202"/>
    <s v="HBI"/>
    <s v="on 2/6/25 Before Market Eastern Standard Time"/>
    <x v="1"/>
  </r>
  <r>
    <x v="202"/>
    <s v="IMKTA"/>
    <s v="on 2/6/25 Before Market Eastern Standard Time"/>
    <x v="1"/>
  </r>
  <r>
    <x v="202"/>
    <s v="AZN"/>
    <s v="on 2/6/25 Before Market Eastern Standard Time"/>
    <x v="4"/>
  </r>
  <r>
    <x v="202"/>
    <s v="VVV"/>
    <s v="on 2/6/25 Before Market Eastern Standard Time"/>
    <x v="2"/>
  </r>
  <r>
    <x v="202"/>
    <s v="KAOOY"/>
    <s v="on 2/6/25 Unspecified Eastern Standard Time"/>
    <x v="0"/>
  </r>
  <r>
    <x v="202"/>
    <s v="TRBK"/>
    <s v="on 2/6/25 Before Market Eastern Standard Time"/>
    <x v="0"/>
  </r>
  <r>
    <x v="202"/>
    <s v="SNA"/>
    <s v="on 2/6/25 Before Market Eastern Standard Time"/>
    <x v="3"/>
  </r>
  <r>
    <x v="202"/>
    <s v="ARW"/>
    <s v="on 2/6/25 Before Market Eastern Standard Time"/>
    <x v="2"/>
  </r>
  <r>
    <x v="202"/>
    <s v="MCFT"/>
    <s v="on 2/6/25 Before Market Eastern Standard Time"/>
    <x v="1"/>
  </r>
  <r>
    <x v="202"/>
    <s v="CTLT"/>
    <s v="on 2/6/25 Before Market Eastern Standard Time"/>
    <x v="3"/>
  </r>
  <r>
    <x v="202"/>
    <s v="CX"/>
    <s v="on 2/6/25 Before Market Eastern Standard Time"/>
    <x v="0"/>
  </r>
  <r>
    <x v="202"/>
    <s v="PM"/>
    <s v="on 2/6/25 Before Market Eastern Standard Time"/>
    <x v="3"/>
  </r>
  <r>
    <x v="202"/>
    <s v="PATK"/>
    <s v="on 2/6/25 Before Market Eastern Standard Time"/>
    <x v="1"/>
  </r>
  <r>
    <x v="202"/>
    <s v="NNN"/>
    <s v="on 2/6/25 Before Market Eastern Standard Time"/>
    <x v="2"/>
  </r>
  <r>
    <x v="202"/>
    <s v="BDX"/>
    <s v="on 2/6/25 Before Market Eastern Standard Time"/>
    <x v="3"/>
  </r>
  <r>
    <x v="202"/>
    <s v="IQV"/>
    <s v="on 2/6/25 Before Market Eastern Standard Time"/>
    <x v="3"/>
  </r>
  <r>
    <x v="202"/>
    <s v="BDRBF"/>
    <s v="on 2/6/25 Before Market Eastern Standard Time"/>
    <x v="0"/>
  </r>
  <r>
    <x v="202"/>
    <s v="MT"/>
    <s v="on 2/6/25 Before Market Eastern Standard Time"/>
    <x v="0"/>
  </r>
  <r>
    <x v="202"/>
    <s v="MKTX"/>
    <s v="on 2/6/25 Before Market Eastern Standard Time"/>
    <x v="3"/>
  </r>
  <r>
    <x v="202"/>
    <s v="SZKMY"/>
    <s v="on 2/6/25 Unspecified Eastern Standard Time"/>
    <x v="0"/>
  </r>
  <r>
    <x v="202"/>
    <s v="BCE"/>
    <s v="on 2/6/25 Before Market Eastern Standard Time"/>
    <x v="0"/>
  </r>
  <r>
    <x v="202"/>
    <s v="CTRM"/>
    <s v="on 2/6/25 Before Market Eastern Standard Time"/>
    <x v="0"/>
  </r>
  <r>
    <x v="202"/>
    <s v="COP"/>
    <s v="on 2/6/25 Before Market Eastern Standard Time"/>
    <x v="3"/>
  </r>
  <r>
    <x v="202"/>
    <s v="AAMI"/>
    <s v="on 2/6/25 Before Market Eastern Standard Time"/>
    <x v="0"/>
  </r>
  <r>
    <x v="202"/>
    <s v="ENTG"/>
    <s v="on 2/6/25 Before Market Eastern Standard Time"/>
    <x v="0"/>
  </r>
  <r>
    <x v="202"/>
    <s v="MPAA"/>
    <s v="on 2/6/25 Before Market Eastern Standard Time"/>
    <x v="0"/>
  </r>
  <r>
    <x v="202"/>
    <s v="APTV"/>
    <s v="on 2/6/25 Before Market Eastern Standard Time"/>
    <x v="3"/>
  </r>
  <r>
    <x v="202"/>
    <s v="KVUE"/>
    <s v="on 2/6/25 Before Market Eastern Standard Time"/>
    <x v="3"/>
  </r>
  <r>
    <x v="202"/>
    <s v="NPSCY"/>
    <s v="on 2/6/25 Unspecified Eastern Standard Time"/>
    <x v="0"/>
  </r>
  <r>
    <x v="202"/>
    <s v="NVT"/>
    <s v="on 2/6/25 Before Market Eastern Standard Time"/>
    <x v="2"/>
  </r>
  <r>
    <x v="202"/>
    <s v="AB"/>
    <s v="on 2/6/25 Before Market Eastern Standard Time"/>
    <x v="0"/>
  </r>
  <r>
    <x v="202"/>
    <s v="SWI"/>
    <s v="on 2/6/25 Before Market Eastern Standard Time"/>
    <x v="1"/>
  </r>
  <r>
    <x v="203"/>
    <s v="IRS"/>
    <s v="on 2/6/25 During Market Eastern Standard Time"/>
    <x v="0"/>
  </r>
  <r>
    <x v="203"/>
    <s v="VCISY"/>
    <s v="on 2/6/25 During Market Eastern Standard Time"/>
    <x v="0"/>
  </r>
  <r>
    <x v="204"/>
    <s v="KOSS"/>
    <s v="on 2/6/25 After Market Eastern Standard Time"/>
    <x v="0"/>
  </r>
  <r>
    <x v="204"/>
    <s v="CLSK"/>
    <s v="on 2/6/25 After Market Eastern Standard Time"/>
    <x v="0"/>
  </r>
  <r>
    <x v="204"/>
    <s v="SONO"/>
    <s v="on 2/6/25 After Market Eastern Standard Time"/>
    <x v="1"/>
  </r>
  <r>
    <x v="204"/>
    <s v="MATW"/>
    <s v="on 2/6/25 After Market Eastern Standard Time"/>
    <x v="1"/>
  </r>
  <r>
    <x v="204"/>
    <s v="POWL"/>
    <s v="on 2/6/25 After Market Eastern Standard Time"/>
    <x v="1"/>
  </r>
  <r>
    <x v="204"/>
    <s v="ESE"/>
    <s v="on 2/6/25 After Market Eastern Standard Time"/>
    <x v="1"/>
  </r>
  <r>
    <x v="204"/>
    <s v="OTEX"/>
    <s v="on 2/6/25 After Market Eastern Standard Time"/>
    <x v="0"/>
  </r>
  <r>
    <x v="204"/>
    <s v="PINE"/>
    <s v="on 2/6/25 After Market Eastern Standard Time"/>
    <x v="1"/>
  </r>
  <r>
    <x v="204"/>
    <s v="ENSG"/>
    <s v="on 2/6/25 After Market Eastern Standard Time"/>
    <x v="1"/>
  </r>
  <r>
    <x v="204"/>
    <s v="LEU"/>
    <s v="on 2/6/25 After Market Eastern Standard Time"/>
    <x v="1"/>
  </r>
  <r>
    <x v="204"/>
    <s v="G"/>
    <s v="on 2/6/25 After Market Eastern Standard Time"/>
    <x v="2"/>
  </r>
  <r>
    <x v="204"/>
    <s v="EGAN"/>
    <s v="on 2/6/25 After Market Eastern Standard Time"/>
    <x v="0"/>
  </r>
  <r>
    <x v="204"/>
    <s v="LITE"/>
    <s v="on 2/6/25 After Market Eastern Standard Time"/>
    <x v="2"/>
  </r>
  <r>
    <x v="204"/>
    <s v="FARM"/>
    <s v="on 2/6/25 After Market Eastern Standard Time"/>
    <x v="0"/>
  </r>
  <r>
    <x v="204"/>
    <s v="CENT"/>
    <s v="on 2/6/25 After Market Eastern Standard Time"/>
    <x v="1"/>
  </r>
  <r>
    <x v="204"/>
    <s v="EHC"/>
    <s v="on 2/6/25 After Market Eastern Standard Time"/>
    <x v="2"/>
  </r>
  <r>
    <x v="204"/>
    <s v="MCHP"/>
    <s v="on 2/6/25 After Market Eastern Standard Time"/>
    <x v="3"/>
  </r>
  <r>
    <x v="204"/>
    <s v="CLFD"/>
    <s v="on 2/6/25 After Market Eastern Standard Time"/>
    <x v="1"/>
  </r>
  <r>
    <x v="204"/>
    <s v="MTX"/>
    <s v="on 2/6/25 After Market Eastern Standard Time"/>
    <x v="1"/>
  </r>
  <r>
    <x v="204"/>
    <s v="CTLP"/>
    <s v="on 2/6/25 After Market Eastern Standard Time"/>
    <x v="1"/>
  </r>
  <r>
    <x v="204"/>
    <s v="CTNM"/>
    <s v="on 2/6/25 After Market Eastern Standard Time"/>
    <x v="0"/>
  </r>
  <r>
    <x v="204"/>
    <s v="FE"/>
    <s v="on 2/6/25 After Market Eastern Standard Time"/>
    <x v="3"/>
  </r>
  <r>
    <x v="204"/>
    <s v="PECO"/>
    <s v="on 2/6/25 After Market Eastern Standard Time"/>
    <x v="1"/>
  </r>
  <r>
    <x v="204"/>
    <s v="QNST"/>
    <s v="on 2/6/25 After Market Eastern Standard Time"/>
    <x v="1"/>
  </r>
  <r>
    <x v="204"/>
    <s v="EXPE"/>
    <s v="on 2/6/25 After Market Eastern Standard Time"/>
    <x v="3"/>
  </r>
  <r>
    <x v="204"/>
    <s v="ULH"/>
    <s v="on 2/6/25 After Market Eastern Standard Time"/>
    <x v="1"/>
  </r>
  <r>
    <x v="204"/>
    <s v="SENEA"/>
    <s v="on 2/6/25 After Market Eastern Standard Time"/>
    <x v="1"/>
  </r>
  <r>
    <x v="204"/>
    <s v="ILMN"/>
    <s v="on 2/6/25 After Market Eastern Standard Time"/>
    <x v="4"/>
  </r>
  <r>
    <x v="204"/>
    <s v="POWI"/>
    <s v="on 2/6/25 After Market Eastern Standard Time"/>
    <x v="1"/>
  </r>
  <r>
    <x v="204"/>
    <s v="PINS"/>
    <s v="on 2/6/25 After Market Eastern Standard Time"/>
    <x v="0"/>
  </r>
  <r>
    <x v="204"/>
    <s v="NMIH"/>
    <s v="on 2/6/25 After Market Eastern Standard Time"/>
    <x v="1"/>
  </r>
  <r>
    <x v="204"/>
    <s v="FTNT"/>
    <s v="on 2/6/25 After Market Eastern Standard Time"/>
    <x v="3"/>
  </r>
  <r>
    <x v="204"/>
    <s v="GPRO"/>
    <s v="on 2/6/25 After Market Eastern Standard Time"/>
    <x v="0"/>
  </r>
  <r>
    <x v="204"/>
    <s v="FBIN"/>
    <s v="on 2/6/25 After Market Eastern Standard Time"/>
    <x v="2"/>
  </r>
  <r>
    <x v="204"/>
    <s v="MHK"/>
    <s v="on 2/6/25 After Market Eastern Standard Time"/>
    <x v="3"/>
  </r>
  <r>
    <x v="204"/>
    <s v="GTIM"/>
    <s v="on 2/6/25 After Market Eastern Standard Time"/>
    <x v="0"/>
  </r>
  <r>
    <x v="204"/>
    <s v="MSI"/>
    <s v="on 2/6/25 After Market Eastern Standard Time"/>
    <x v="3"/>
  </r>
  <r>
    <x v="204"/>
    <s v="AZTA"/>
    <s v="on 2/6/25 After Market Eastern Standard Time"/>
    <x v="2"/>
  </r>
  <r>
    <x v="204"/>
    <s v="APDN"/>
    <s v="on 2/6/25 After Market Eastern Standard Time"/>
    <x v="0"/>
  </r>
  <r>
    <x v="204"/>
    <s v="CUZ"/>
    <s v="on 2/6/25 After Market Eastern Standard Time"/>
    <x v="2"/>
  </r>
  <r>
    <x v="204"/>
    <s v="SSNC"/>
    <s v="on 2/6/25 After Market Eastern Standard Time"/>
    <x v="0"/>
  </r>
  <r>
    <x v="204"/>
    <s v="TTGT"/>
    <s v="on 2/6/25 After Market Eastern Standard Time"/>
    <x v="1"/>
  </r>
  <r>
    <x v="204"/>
    <s v="VCTR"/>
    <s v="on 2/6/25 After Market Eastern Standard Time"/>
    <x v="1"/>
  </r>
  <r>
    <x v="204"/>
    <s v="ATR"/>
    <s v="on 2/6/25 After Market Eastern Standard Time"/>
    <x v="2"/>
  </r>
  <r>
    <x v="204"/>
    <s v="LEG"/>
    <s v="on 2/6/25 After Market Eastern Standard Time"/>
    <x v="0"/>
  </r>
  <r>
    <x v="204"/>
    <s v="NGVC"/>
    <s v="on 2/6/25 After Market Eastern Standard Time"/>
    <x v="1"/>
  </r>
  <r>
    <x v="204"/>
    <s v="STRT"/>
    <s v="on 2/6/25 After Market Eastern Standard Time"/>
    <x v="0"/>
  </r>
  <r>
    <x v="204"/>
    <s v="AFRM"/>
    <s v="on 2/6/25 After Market Eastern Standard Time"/>
    <x v="0"/>
  </r>
  <r>
    <x v="204"/>
    <s v="ELF"/>
    <s v="on 2/6/25 After Market Eastern Standard Time"/>
    <x v="2"/>
  </r>
  <r>
    <x v="204"/>
    <s v="ONTO"/>
    <s v="on 2/6/25 After Market Eastern Standard Time"/>
    <x v="2"/>
  </r>
  <r>
    <x v="204"/>
    <s v="ATRA"/>
    <s v="on 2/6/25 After Market Eastern Standard Time"/>
    <x v="0"/>
  </r>
  <r>
    <x v="204"/>
    <s v="GROW"/>
    <s v="on 2/6/25 After Market Eastern Standard Time"/>
    <x v="0"/>
  </r>
  <r>
    <x v="204"/>
    <s v="CRNC"/>
    <s v="on 2/6/25 After Market Eastern Standard Time"/>
    <x v="0"/>
  </r>
  <r>
    <x v="204"/>
    <s v="IIIV"/>
    <s v="on 2/6/25 After Market Eastern Standard Time"/>
    <x v="1"/>
  </r>
  <r>
    <x v="204"/>
    <s v="DOCS"/>
    <s v="on 2/6/25 After Market Eastern Standard Time"/>
    <x v="2"/>
  </r>
  <r>
    <x v="204"/>
    <s v="PCTY"/>
    <s v="on 2/6/25 After Market Eastern Standard Time"/>
    <x v="2"/>
  </r>
  <r>
    <x v="204"/>
    <s v="PFG"/>
    <s v="on 2/6/25 After Market Eastern Standard Time"/>
    <x v="3"/>
  </r>
  <r>
    <x v="204"/>
    <s v="SPSC"/>
    <s v="on 2/6/25 After Market Eastern Standard Time"/>
    <x v="1"/>
  </r>
  <r>
    <x v="204"/>
    <s v="PFX"/>
    <s v="on 2/6/25 After Market Eastern Standard Time"/>
    <x v="0"/>
  </r>
  <r>
    <x v="204"/>
    <s v="REG"/>
    <s v="on 2/6/25 After Market Eastern Standard Time"/>
    <x v="3"/>
  </r>
  <r>
    <x v="204"/>
    <s v="LTRX"/>
    <s v="on 2/6/25 After Market Eastern Standard Time"/>
    <x v="0"/>
  </r>
  <r>
    <x v="204"/>
    <s v="BIOX"/>
    <s v="on 2/6/25 After Market Eastern Standard Time"/>
    <x v="0"/>
  </r>
  <r>
    <x v="204"/>
    <s v="LGF/B"/>
    <s v="on 2/6/25 After Market Eastern Standard Time"/>
    <x v="0"/>
  </r>
  <r>
    <x v="204"/>
    <s v="ASTL"/>
    <s v="on 2/6/25 After Market Eastern Standard Time"/>
    <x v="0"/>
  </r>
  <r>
    <x v="204"/>
    <s v="IBEX"/>
    <s v="on 2/6/25 After Market Eastern Standard Time"/>
    <x v="1"/>
  </r>
  <r>
    <x v="204"/>
    <s v="AMZN"/>
    <s v="on 2/6/25 After Market Eastern Standard Time"/>
    <x v="3"/>
  </r>
  <r>
    <x v="204"/>
    <s v="AENT"/>
    <s v="on 2/6/25 After Market Eastern Standard Time"/>
    <x v="0"/>
  </r>
  <r>
    <x v="204"/>
    <s v="LGF/A"/>
    <s v="on 2/6/25 After Market Eastern Standard Time"/>
    <x v="0"/>
  </r>
  <r>
    <x v="204"/>
    <s v="FORR"/>
    <s v="on 2/6/25 After Market Eastern Standard Time"/>
    <x v="1"/>
  </r>
  <r>
    <x v="204"/>
    <s v="EXPO"/>
    <s v="on 2/6/25 After Market Eastern Standard Time"/>
    <x v="1"/>
  </r>
  <r>
    <x v="204"/>
    <s v="PRO"/>
    <s v="on 2/6/25 After Market Eastern Standard Time"/>
    <x v="1"/>
  </r>
  <r>
    <x v="204"/>
    <s v="QLYS"/>
    <s v="on 2/6/25 After Market Eastern Standard Time"/>
    <x v="1"/>
  </r>
  <r>
    <x v="204"/>
    <s v="POST"/>
    <s v="on 2/6/25 After Market Eastern Standard Time"/>
    <x v="2"/>
  </r>
  <r>
    <x v="204"/>
    <s v="CNO"/>
    <s v="on 2/6/25 After Market Eastern Standard Time"/>
    <x v="1"/>
  </r>
  <r>
    <x v="204"/>
    <s v="VREX"/>
    <s v="on 2/6/25 After Market Eastern Standard Time"/>
    <x v="1"/>
  </r>
  <r>
    <x v="204"/>
    <s v="BYD"/>
    <s v="on 2/6/25 After Market Eastern Standard Time"/>
    <x v="2"/>
  </r>
  <r>
    <x v="204"/>
    <s v="WERN"/>
    <s v="on 2/6/25 After Market Eastern Standard Time"/>
    <x v="1"/>
  </r>
  <r>
    <x v="204"/>
    <s v="EGP"/>
    <s v="on 2/6/25 After Market Eastern Standard Time"/>
    <x v="2"/>
  </r>
  <r>
    <x v="204"/>
    <s v="TTWO"/>
    <s v="on 2/6/25 After Market Eastern Standard Time"/>
    <x v="3"/>
  </r>
  <r>
    <x v="204"/>
    <s v="STEP"/>
    <s v="on 2/6/25 After Market Eastern Standard Time"/>
    <x v="1"/>
  </r>
  <r>
    <x v="204"/>
    <s v="RLGT"/>
    <s v="on 2/6/25 After Market Eastern Standard Time"/>
    <x v="1"/>
  </r>
  <r>
    <x v="204"/>
    <s v="MTD"/>
    <s v="on 2/6/25 After Market Eastern Standard Time"/>
    <x v="3"/>
  </r>
  <r>
    <x v="204"/>
    <s v="LPTH"/>
    <s v="on 2/6/25 After Market Eastern Standard Time"/>
    <x v="0"/>
  </r>
  <r>
    <x v="204"/>
    <s v="SYNA"/>
    <s v="on 2/6/25 After Market Eastern Standard Time"/>
    <x v="1"/>
  </r>
  <r>
    <x v="204"/>
    <s v="MPWR"/>
    <s v="on 2/6/25 After Market Eastern Standard Time"/>
    <x v="3"/>
  </r>
  <r>
    <x v="204"/>
    <s v="SKX"/>
    <s v="on 2/6/25 After Market Eastern Standard Time"/>
    <x v="2"/>
  </r>
  <r>
    <x v="204"/>
    <s v="CDP"/>
    <s v="on 2/6/25 After Market Eastern Standard Time"/>
    <x v="1"/>
  </r>
  <r>
    <x v="204"/>
    <s v="AMRK"/>
    <s v="on 2/6/25 After Market Eastern Standard Time"/>
    <x v="1"/>
  </r>
  <r>
    <x v="204"/>
    <s v="RGA"/>
    <s v="on 2/6/25 After Market Eastern Standard Time"/>
    <x v="2"/>
  </r>
  <r>
    <x v="204"/>
    <s v="NET"/>
    <s v="on 2/6/25 After Market Eastern Standard Time"/>
    <x v="0"/>
  </r>
  <r>
    <x v="204"/>
    <s v="CENTA"/>
    <s v="on 2/6/25 After Market Eastern Standard Time"/>
    <x v="1"/>
  </r>
  <r>
    <x v="204"/>
    <s v="HUBG"/>
    <s v="on 2/6/25 After Market Eastern Standard Time"/>
    <x v="1"/>
  </r>
  <r>
    <x v="204"/>
    <s v="SAVEQ"/>
    <s v="on 2/6/25 After Market Eastern Standard Time"/>
    <x v="0"/>
  </r>
  <r>
    <x v="204"/>
    <s v="BILL"/>
    <s v="on 2/6/25 After Market Eastern Standard Time"/>
    <x v="0"/>
  </r>
  <r>
    <x v="204"/>
    <s v="CPT"/>
    <s v="on 2/6/25 After Market Eastern Standard Time"/>
    <x v="3"/>
  </r>
  <r>
    <x v="204"/>
    <s v="VRSN"/>
    <s v="on 2/6/25 After Market Eastern Standard Time"/>
    <x v="3"/>
  </r>
  <r>
    <x v="205"/>
    <s v="PAA"/>
    <s v="on 2/7/25 Before Market Eastern Standard Time"/>
    <x v="0"/>
  </r>
  <r>
    <x v="205"/>
    <s v="PAGP"/>
    <s v="on 2/7/25 Before Market Eastern Standard Time"/>
    <x v="0"/>
  </r>
  <r>
    <x v="205"/>
    <s v="NWL"/>
    <s v="on 2/7/25 Before Market Eastern Standard Time"/>
    <x v="0"/>
  </r>
  <r>
    <x v="205"/>
    <s v="AVTR"/>
    <s v="on 2/7/25 Before Market Eastern Standard Time"/>
    <x v="2"/>
  </r>
  <r>
    <x v="205"/>
    <s v="MTSFY"/>
    <s v="on 2/7/25 Unspecified Eastern Standard Time"/>
    <x v="0"/>
  </r>
  <r>
    <x v="205"/>
    <s v="GHM"/>
    <s v="on 2/7/25 Before Market Eastern Standard Time"/>
    <x v="1"/>
  </r>
  <r>
    <x v="205"/>
    <s v="PWP"/>
    <s v="on 2/7/25 Before Market Eastern Standard Time"/>
    <x v="1"/>
  </r>
  <r>
    <x v="205"/>
    <s v="BBD"/>
    <s v="on 2/7/25 Before Market Eastern Standard Time"/>
    <x v="0"/>
  </r>
  <r>
    <x v="205"/>
    <s v="TMQ"/>
    <s v="on 2/7/25 Before Market Eastern Standard Time"/>
    <x v="0"/>
  </r>
  <r>
    <x v="205"/>
    <s v="ULCC"/>
    <s v="on 2/7/25 Before Market Eastern Standard Time"/>
    <x v="1"/>
  </r>
  <r>
    <x v="205"/>
    <s v="MITEY"/>
    <s v="on 2/7/25 Unspecified Eastern Standard Time"/>
    <x v="0"/>
  </r>
  <r>
    <x v="205"/>
    <s v="EAF"/>
    <s v="on 2/7/25 Before Market Eastern Standard Time"/>
    <x v="1"/>
  </r>
  <r>
    <x v="205"/>
    <s v="BYRN"/>
    <s v="on 2/7/25 Before Market Eastern Standard Time"/>
    <x v="1"/>
  </r>
  <r>
    <x v="205"/>
    <s v="EVI"/>
    <s v="on 2/7/25 Before Market Eastern Standard Time"/>
    <x v="0"/>
  </r>
  <r>
    <x v="205"/>
    <s v="FLO"/>
    <s v="on 2/7/25 Before Market Eastern Standard Time"/>
    <x v="2"/>
  </r>
  <r>
    <x v="205"/>
    <s v="CGC"/>
    <s v="on 2/7/25 Before Market Eastern Standard Time"/>
    <x v="0"/>
  </r>
  <r>
    <x v="205"/>
    <s v="FTV"/>
    <s v="on 2/7/25 Before Market Eastern Standard Time"/>
    <x v="3"/>
  </r>
  <r>
    <x v="205"/>
    <s v="CBOE"/>
    <s v="on 2/7/25 Before Market Eastern Standard Time"/>
    <x v="3"/>
  </r>
  <r>
    <x v="205"/>
    <s v="KIM"/>
    <s v="on 2/7/25 Before Market Eastern Standard Time"/>
    <x v="3"/>
  </r>
  <r>
    <x v="205"/>
    <s v="FRHC"/>
    <s v="on 2/7/25 Before Market Eastern Standard Time"/>
    <x v="0"/>
  </r>
  <r>
    <x v="205"/>
    <s v="PRLB"/>
    <s v="on 2/7/25 Before Market Eastern Standard Time"/>
    <x v="1"/>
  </r>
  <r>
    <x v="205"/>
    <s v="GPRE"/>
    <s v="on 2/7/25 Before Market Eastern Standard Time"/>
    <x v="1"/>
  </r>
  <r>
    <x v="205"/>
    <s v="UI"/>
    <s v="on 2/7/25 Before Market Eastern Standard Time"/>
    <x v="0"/>
  </r>
  <r>
    <x v="205"/>
    <s v="GRC"/>
    <s v="on 2/7/25 Before Market Eastern Standard Time"/>
    <x v="1"/>
  </r>
  <r>
    <x v="205"/>
    <s v="NTTYY"/>
    <s v="on 2/7/25 Unspecified Eastern Standard Time"/>
    <x v="0"/>
  </r>
  <r>
    <x v="205"/>
    <s v="ROAD"/>
    <s v="on 2/7/25 Before Market Eastern Standard Time"/>
    <x v="1"/>
  </r>
  <r>
    <x v="205"/>
    <s v="IIJIY"/>
    <s v="on 2/7/25 Unspecified Eastern Standard Time"/>
    <x v="0"/>
  </r>
  <r>
    <x v="206"/>
    <s v="BOTJ"/>
    <s v="on 2/7/25 During Market Eastern Standard Time"/>
    <x v="0"/>
  </r>
  <r>
    <x v="207"/>
    <s v="WPC"/>
    <s v="on 2/7/25 After Market Eastern Standard Time"/>
    <x v="2"/>
  </r>
  <r>
    <x v="208"/>
    <s v="ON"/>
    <s v="on 2/10/25 Before Market Eastern Standard Time"/>
    <x v="3"/>
  </r>
  <r>
    <x v="208"/>
    <s v="ALX"/>
    <s v="on 2/10/25 Before Market Eastern Standard Time"/>
    <x v="1"/>
  </r>
  <r>
    <x v="208"/>
    <s v="SPHR"/>
    <s v="on 2/10/25 Before Market Eastern Standard Time"/>
    <x v="1"/>
  </r>
  <r>
    <x v="208"/>
    <s v="CNA"/>
    <s v="on 2/10/25 Before Market Eastern Standard Time"/>
    <x v="0"/>
  </r>
  <r>
    <x v="208"/>
    <s v="SOBKY"/>
    <s v="on 2/10/25 Unspecified Eastern Standard Time"/>
    <x v="0"/>
  </r>
  <r>
    <x v="208"/>
    <s v="L"/>
    <s v="on 2/10/25 Before Market Eastern Standard Time"/>
    <x v="3"/>
  </r>
  <r>
    <x v="208"/>
    <s v="IMVT"/>
    <s v="on 2/10/25 Before Market Eastern Standard Time"/>
    <x v="1"/>
  </r>
  <r>
    <x v="208"/>
    <s v="EPC"/>
    <s v="on 2/10/25 Before Market Eastern Standard Time"/>
    <x v="1"/>
  </r>
  <r>
    <x v="208"/>
    <s v="CSLLY"/>
    <s v="on 2/10/25 Unspecified Eastern Standard Time"/>
    <x v="0"/>
  </r>
  <r>
    <x v="208"/>
    <s v="BLKB"/>
    <s v="on 2/10/25 Before Market Eastern Standard Time"/>
    <x v="1"/>
  </r>
  <r>
    <x v="208"/>
    <s v="IX"/>
    <s v="on 2/10/25 Unspecified Eastern Standard Time"/>
    <x v="0"/>
  </r>
  <r>
    <x v="208"/>
    <s v="DBSDY"/>
    <s v="on 2/10/25 Unspecified Eastern Standard Time"/>
    <x v="0"/>
  </r>
  <r>
    <x v="208"/>
    <s v="HAIN"/>
    <s v="on 2/10/25 Before Market Eastern Standard Time"/>
    <x v="1"/>
  </r>
  <r>
    <x v="208"/>
    <s v="TIMB"/>
    <s v="on 2/10/25 Unspecified Eastern Standard Time"/>
    <x v="0"/>
  </r>
  <r>
    <x v="208"/>
    <s v="INCY"/>
    <s v="on 2/10/25 Before Market Eastern Standard Time"/>
    <x v="3"/>
  </r>
  <r>
    <x v="208"/>
    <s v="ISPR"/>
    <s v="on 2/10/25 Before Market Eastern Standard Time"/>
    <x v="0"/>
  </r>
  <r>
    <x v="208"/>
    <s v="MNDY"/>
    <s v="on 2/10/25 Before Market Eastern Standard Time"/>
    <x v="0"/>
  </r>
  <r>
    <x v="208"/>
    <s v="GRCE"/>
    <s v="on 2/10/25 Before Market Eastern Standard Time"/>
    <x v="0"/>
  </r>
  <r>
    <x v="208"/>
    <s v="MCD"/>
    <s v="on 2/10/25 Before Market Eastern Standard Time"/>
    <x v="3"/>
  </r>
  <r>
    <x v="208"/>
    <s v="CRESY"/>
    <s v="on 2/10/25 Unspecified Eastern Standard Time"/>
    <x v="0"/>
  </r>
  <r>
    <x v="208"/>
    <s v="AIOT"/>
    <s v="on 2/10/25 Before Market Eastern Standard Time"/>
    <x v="1"/>
  </r>
  <r>
    <x v="208"/>
    <s v="TSEM"/>
    <s v="on 2/10/25 Before Market Eastern Standard Time"/>
    <x v="0"/>
  </r>
  <r>
    <x v="209"/>
    <s v="HLIT"/>
    <s v="on 2/10/25 After Market Eastern Standard Time"/>
    <x v="1"/>
  </r>
  <r>
    <x v="209"/>
    <s v="INSP"/>
    <s v="on 2/10/25 After Market Eastern Standard Time"/>
    <x v="0"/>
  </r>
  <r>
    <x v="209"/>
    <s v="MEDP"/>
    <s v="on 2/10/25 After Market Eastern Standard Time"/>
    <x v="2"/>
  </r>
  <r>
    <x v="209"/>
    <s v="NTB"/>
    <s v="on 2/10/25 After Market Eastern Standard Time"/>
    <x v="1"/>
  </r>
  <r>
    <x v="209"/>
    <s v="RICK"/>
    <s v="on 2/10/25 After Market Eastern Standard Time"/>
    <x v="1"/>
  </r>
  <r>
    <x v="209"/>
    <s v="ARI"/>
    <s v="on 2/10/25 After Market Eastern Standard Time"/>
    <x v="1"/>
  </r>
  <r>
    <x v="209"/>
    <s v="ALAB"/>
    <s v="on 2/10/25 After Market Eastern Standard Time"/>
    <x v="0"/>
  </r>
  <r>
    <x v="209"/>
    <s v="GP"/>
    <s v="on 2/10/25 After Market Eastern Standard Time"/>
    <x v="0"/>
  </r>
  <r>
    <x v="209"/>
    <s v="KRC"/>
    <s v="on 2/10/25 After Market Eastern Standard Time"/>
    <x v="2"/>
  </r>
  <r>
    <x v="209"/>
    <s v="MITK"/>
    <s v="on 2/10/25 After Market Eastern Standard Time"/>
    <x v="1"/>
  </r>
  <r>
    <x v="209"/>
    <s v="EQC"/>
    <s v="on 2/10/25 After Market Eastern Standard Time"/>
    <x v="0"/>
  </r>
  <r>
    <x v="209"/>
    <s v="WTS"/>
    <s v="on 2/10/25 After Market Eastern Standard Time"/>
    <x v="1"/>
  </r>
  <r>
    <x v="209"/>
    <s v="ENTA"/>
    <s v="on 2/10/25 After Market Eastern Standard Time"/>
    <x v="1"/>
  </r>
  <r>
    <x v="209"/>
    <s v="ESP"/>
    <s v="on 2/10/25 After Market Eastern Standard Time"/>
    <x v="0"/>
  </r>
  <r>
    <x v="209"/>
    <s v="CAR"/>
    <s v="on 2/10/25 After Market Eastern Standard Time"/>
    <x v="2"/>
  </r>
  <r>
    <x v="209"/>
    <s v="PNNT"/>
    <s v="on 2/10/25 After Market Eastern Standard Time"/>
    <x v="0"/>
  </r>
  <r>
    <x v="209"/>
    <s v="ACLS"/>
    <s v="on 2/10/25 After Market Eastern Standard Time"/>
    <x v="1"/>
  </r>
  <r>
    <x v="209"/>
    <s v="BRX"/>
    <s v="on 2/10/25 After Market Eastern Standard Time"/>
    <x v="2"/>
  </r>
  <r>
    <x v="209"/>
    <s v="CXW"/>
    <s v="on 2/10/25 After Market Eastern Standard Time"/>
    <x v="1"/>
  </r>
  <r>
    <x v="209"/>
    <s v="CINF"/>
    <s v="on 2/10/25 After Market Eastern Standard Time"/>
    <x v="3"/>
  </r>
  <r>
    <x v="209"/>
    <s v="AMKR"/>
    <s v="on 2/10/25 After Market Eastern Standard Time"/>
    <x v="2"/>
  </r>
  <r>
    <x v="209"/>
    <s v="EPM"/>
    <s v="on 2/10/25 After Market Eastern Standard Time"/>
    <x v="0"/>
  </r>
  <r>
    <x v="209"/>
    <s v="DAC"/>
    <s v="on 2/10/25 After Market Eastern Standard Time"/>
    <x v="0"/>
  </r>
  <r>
    <x v="209"/>
    <s v="GT"/>
    <s v="on 2/10/25 After Market Eastern Standard Time"/>
    <x v="1"/>
  </r>
  <r>
    <x v="209"/>
    <s v="PFLT"/>
    <s v="on 2/10/25 After Market Eastern Standard Time"/>
    <x v="0"/>
  </r>
  <r>
    <x v="209"/>
    <s v="VNO"/>
    <s v="on 2/10/25 After Market Eastern Standard Time"/>
    <x v="2"/>
  </r>
  <r>
    <x v="209"/>
    <s v="PETV"/>
    <s v="on 2/10/25 After Market Eastern Standard Time"/>
    <x v="0"/>
  </r>
  <r>
    <x v="209"/>
    <s v="ARKR"/>
    <s v="on 2/10/25 After Market Eastern Standard Time"/>
    <x v="0"/>
  </r>
  <r>
    <x v="209"/>
    <s v="BAP"/>
    <s v="on 2/10/25 After Market Eastern Standard Time"/>
    <x v="0"/>
  </r>
  <r>
    <x v="209"/>
    <s v="NGL"/>
    <s v="on 2/10/25 After Market Eastern Standard Time"/>
    <x v="0"/>
  </r>
  <r>
    <x v="209"/>
    <s v="ACGL"/>
    <s v="on 2/10/25 After Market Eastern Standard Time"/>
    <x v="3"/>
  </r>
  <r>
    <x v="209"/>
    <s v="ARWR"/>
    <s v="on 2/10/25 After Market Eastern Standard Time"/>
    <x v="1"/>
  </r>
  <r>
    <x v="209"/>
    <s v="HAYN"/>
    <s v="on 2/10/25 After Market Eastern Standard Time"/>
    <x v="1"/>
  </r>
  <r>
    <x v="209"/>
    <s v="COTY"/>
    <s v="on 2/10/25 After Market Eastern Standard Time"/>
    <x v="2"/>
  </r>
  <r>
    <x v="210"/>
    <s v="SEOAY"/>
    <s v="on 2/11/25 Before Market Eastern Standard Time"/>
    <x v="0"/>
  </r>
  <r>
    <x v="210"/>
    <s v="FIS"/>
    <s v="on 2/11/25 Before Market Eastern Standard Time"/>
    <x v="3"/>
  </r>
  <r>
    <x v="210"/>
    <s v="MAS"/>
    <s v="on 2/11/25 Before Market Eastern Standard Time"/>
    <x v="3"/>
  </r>
  <r>
    <x v="210"/>
    <s v="DNUT"/>
    <s v="on 2/11/25 Before Market Eastern Standard Time"/>
    <x v="1"/>
  </r>
  <r>
    <x v="210"/>
    <s v="GFS"/>
    <s v="on 2/11/25 Before Market Eastern Standard Time"/>
    <x v="4"/>
  </r>
  <r>
    <x v="210"/>
    <s v="AKTSQ"/>
    <s v="on 2/11/25 Before Market Eastern Standard Time"/>
    <x v="0"/>
  </r>
  <r>
    <x v="210"/>
    <s v="MAR"/>
    <s v="on 2/11/25 Before Market Eastern Standard Time"/>
    <x v="3"/>
  </r>
  <r>
    <x v="210"/>
    <s v="CEIX"/>
    <s v="on 2/11/25 Before Market Eastern Standard Time"/>
    <x v="1"/>
  </r>
  <r>
    <x v="210"/>
    <s v="NMM"/>
    <s v="on 2/11/25 Before Market Eastern Standard Time"/>
    <x v="0"/>
  </r>
  <r>
    <x v="210"/>
    <s v="IPGP"/>
    <s v="on 2/11/25 Before Market Eastern Standard Time"/>
    <x v="2"/>
  </r>
  <r>
    <x v="210"/>
    <s v="CNR"/>
    <s v="on 2/11/25 Before Market Eastern Standard Time"/>
    <x v="0"/>
  </r>
  <r>
    <x v="210"/>
    <s v="SUN"/>
    <s v="on 2/11/25 Before Market Eastern Standard Time"/>
    <x v="0"/>
  </r>
  <r>
    <x v="210"/>
    <s v="AKTS"/>
    <s v="on 2/11/25 Before Market Eastern Standard Time"/>
    <x v="0"/>
  </r>
  <r>
    <x v="210"/>
    <s v="USAC"/>
    <s v="on 2/11/25 Before Market Eastern Standard Time"/>
    <x v="0"/>
  </r>
  <r>
    <x v="210"/>
    <s v="ECL"/>
    <s v="on 2/11/25 Before Market Eastern Standard Time"/>
    <x v="3"/>
  </r>
  <r>
    <x v="210"/>
    <s v="SITC"/>
    <s v="on 2/11/25 Before Market Eastern Standard Time"/>
    <x v="1"/>
  </r>
  <r>
    <x v="210"/>
    <s v="TPG"/>
    <s v="on 2/11/25 Before Market Eastern Standard Time"/>
    <x v="0"/>
  </r>
  <r>
    <x v="210"/>
    <s v="MYTE"/>
    <s v="on 2/11/25 Before Market Eastern Standard Time"/>
    <x v="0"/>
  </r>
  <r>
    <x v="210"/>
    <s v="WSO"/>
    <s v="on 2/11/25 Before Market Eastern Standard Time"/>
    <x v="2"/>
  </r>
  <r>
    <x v="210"/>
    <s v="DD"/>
    <s v="on 2/11/25 Before Market Eastern Standard Time"/>
    <x v="3"/>
  </r>
  <r>
    <x v="210"/>
    <s v="HUM"/>
    <s v="on 2/11/25 Before Market Eastern Standard Time"/>
    <x v="3"/>
  </r>
  <r>
    <x v="210"/>
    <s v="CMWAY"/>
    <s v="on 2/11/25 Unspecified Eastern Standard Time"/>
    <x v="0"/>
  </r>
  <r>
    <x v="210"/>
    <s v="CRNT"/>
    <s v="on 2/11/25 Before Market Eastern Standard Time"/>
    <x v="0"/>
  </r>
  <r>
    <x v="210"/>
    <s v="AN"/>
    <s v="on 2/11/25 Before Market Eastern Standard Time"/>
    <x v="2"/>
  </r>
  <r>
    <x v="210"/>
    <s v="LCII"/>
    <s v="on 2/11/25 Before Market Eastern Standard Time"/>
    <x v="1"/>
  </r>
  <r>
    <x v="210"/>
    <s v="HRI"/>
    <s v="on 2/11/25 Before Market Eastern Standard Time"/>
    <x v="1"/>
  </r>
  <r>
    <x v="210"/>
    <s v="CARR"/>
    <s v="on 2/11/25 Before Market Eastern Standard Time"/>
    <x v="3"/>
  </r>
  <r>
    <x v="210"/>
    <s v="KLG"/>
    <s v="on 2/11/25 Before Market Eastern Standard Time"/>
    <x v="1"/>
  </r>
  <r>
    <x v="210"/>
    <s v="ROIV"/>
    <s v="on 2/11/25 Before Market Eastern Standard Time"/>
    <x v="2"/>
  </r>
  <r>
    <x v="210"/>
    <s v="BP"/>
    <s v="on 2/11/25 Before Market Eastern Standard Time"/>
    <x v="0"/>
  </r>
  <r>
    <x v="210"/>
    <s v="MCO"/>
    <s v="on 2/11/25 Before Market Eastern Standard Time"/>
    <x v="3"/>
  </r>
  <r>
    <x v="210"/>
    <s v="GLDD"/>
    <s v="on 2/11/25 Before Market Eastern Standard Time"/>
    <x v="1"/>
  </r>
  <r>
    <x v="210"/>
    <s v="WCC"/>
    <s v="on 2/11/25 Before Market Eastern Standard Time"/>
    <x v="2"/>
  </r>
  <r>
    <x v="210"/>
    <s v="LDOS"/>
    <s v="on 2/11/25 Before Market Eastern Standard Time"/>
    <x v="3"/>
  </r>
  <r>
    <x v="210"/>
    <s v="AMSSY"/>
    <s v="on 2/11/25 Before Market Eastern Standard Time"/>
    <x v="0"/>
  </r>
  <r>
    <x v="210"/>
    <s v="DBOEY"/>
    <s v="on 2/11/25 Unspecified Eastern Standard Time"/>
    <x v="0"/>
  </r>
  <r>
    <x v="210"/>
    <s v="KO"/>
    <s v="on 2/11/25 Before Market Eastern Standard Time"/>
    <x v="3"/>
  </r>
  <r>
    <x v="210"/>
    <s v="CG"/>
    <s v="on 2/11/25 Before Market Eastern Standard Time"/>
    <x v="2"/>
  </r>
  <r>
    <x v="210"/>
    <s v="NLST"/>
    <s v="on 2/11/25 Before Market Eastern Standard Time"/>
    <x v="0"/>
  </r>
  <r>
    <x v="210"/>
    <s v="SPGI"/>
    <s v="on 2/11/25 Before Market Eastern Standard Time"/>
    <x v="3"/>
  </r>
  <r>
    <x v="210"/>
    <s v="SHOP"/>
    <s v="on 2/11/25 Before Market Eastern Standard Time"/>
    <x v="0"/>
  </r>
  <r>
    <x v="210"/>
    <s v="GCMG"/>
    <s v="on 2/11/25 Before Market Eastern Standard Time"/>
    <x v="1"/>
  </r>
  <r>
    <x v="211"/>
    <s v="Z"/>
    <s v="on 2/11/25 After Market Eastern Standard Time"/>
    <x v="0"/>
  </r>
  <r>
    <x v="211"/>
    <s v="FRSH"/>
    <s v="on 2/11/25 After Market Eastern Standard Time"/>
    <x v="1"/>
  </r>
  <r>
    <x v="211"/>
    <s v="UTL"/>
    <s v="on 2/11/25 After Market Eastern Standard Time"/>
    <x v="1"/>
  </r>
  <r>
    <x v="211"/>
    <s v="MRC"/>
    <s v="on 2/11/25 After Market Eastern Standard Time"/>
    <x v="1"/>
  </r>
  <r>
    <x v="211"/>
    <s v="MCY"/>
    <s v="on 2/11/25 After Market Eastern Standard Time"/>
    <x v="1"/>
  </r>
  <r>
    <x v="211"/>
    <s v="ET"/>
    <s v="on 2/11/25 After Market Eastern Standard Time"/>
    <x v="0"/>
  </r>
  <r>
    <x v="211"/>
    <s v="ABNB"/>
    <s v="on 2/11/25 After Market Eastern Standard Time"/>
    <x v="3"/>
  </r>
  <r>
    <x v="211"/>
    <s v="GILD"/>
    <s v="on 2/11/25 After Market Eastern Standard Time"/>
    <x v="3"/>
  </r>
  <r>
    <x v="211"/>
    <s v="ANGI"/>
    <s v="on 2/11/25 After Market Eastern Standard Time"/>
    <x v="0"/>
  </r>
  <r>
    <x v="211"/>
    <s v="HIW"/>
    <s v="on 2/11/25 After Market Eastern Standard Time"/>
    <x v="0"/>
  </r>
  <r>
    <x v="211"/>
    <s v="BHF"/>
    <s v="on 2/11/25 After Market Eastern Standard Time"/>
    <x v="2"/>
  </r>
  <r>
    <x v="211"/>
    <s v="ES"/>
    <s v="on 2/11/25 After Market Eastern Standard Time"/>
    <x v="3"/>
  </r>
  <r>
    <x v="211"/>
    <s v="ATOM"/>
    <s v="on 2/11/25 After Market Eastern Standard Time"/>
    <x v="0"/>
  </r>
  <r>
    <x v="211"/>
    <s v="GLAD"/>
    <s v="on 2/11/25 After Market Eastern Standard Time"/>
    <x v="0"/>
  </r>
  <r>
    <x v="211"/>
    <s v="OS"/>
    <s v="on 2/11/25 After Market Eastern Standard Time"/>
    <x v="0"/>
  </r>
  <r>
    <x v="211"/>
    <s v="BENF"/>
    <s v="on 2/11/25 After Market Eastern Standard Time"/>
    <x v="0"/>
  </r>
  <r>
    <x v="211"/>
    <s v="BFAM"/>
    <s v="on 2/11/25 After Market Eastern Standard Time"/>
    <x v="0"/>
  </r>
  <r>
    <x v="211"/>
    <s v="ADC"/>
    <s v="on 2/11/25 After Market Eastern Standard Time"/>
    <x v="2"/>
  </r>
  <r>
    <x v="211"/>
    <s v="OGI"/>
    <s v="on 2/11/25 After Market Eastern Standard Time"/>
    <x v="0"/>
  </r>
  <r>
    <x v="211"/>
    <s v="ROIC"/>
    <s v="on 2/11/25 After Market Eastern Standard Time"/>
    <x v="1"/>
  </r>
  <r>
    <x v="211"/>
    <s v="TDC"/>
    <s v="on 2/11/25 After Market Eastern Standard Time"/>
    <x v="2"/>
  </r>
  <r>
    <x v="211"/>
    <s v="EW"/>
    <s v="on 2/11/25 After Market Eastern Standard Time"/>
    <x v="3"/>
  </r>
  <r>
    <x v="211"/>
    <s v="SMWB"/>
    <s v="on 2/11/25 After Market Eastern Standard Time"/>
    <x v="0"/>
  </r>
  <r>
    <x v="211"/>
    <s v="KRG"/>
    <s v="on 2/11/25 After Market Eastern Standard Time"/>
    <x v="1"/>
  </r>
  <r>
    <x v="211"/>
    <s v="DIOD"/>
    <s v="on 2/11/25 After Market Eastern Standard Time"/>
    <x v="1"/>
  </r>
  <r>
    <x v="211"/>
    <s v="DDI"/>
    <s v="on 2/11/25 After Market Eastern Standard Time"/>
    <x v="0"/>
  </r>
  <r>
    <x v="211"/>
    <s v="AIZ"/>
    <s v="on 2/11/25 After Market Eastern Standard Time"/>
    <x v="3"/>
  </r>
  <r>
    <x v="211"/>
    <s v="SEB"/>
    <s v="on 2/11/25 After Market Eastern Standard Time"/>
    <x v="0"/>
  </r>
  <r>
    <x v="211"/>
    <s v="CFLT"/>
    <s v="on 2/11/25 After Market Eastern Standard Time"/>
    <x v="0"/>
  </r>
  <r>
    <x v="211"/>
    <s v="EXEL"/>
    <s v="on 2/11/25 After Market Eastern Standard Time"/>
    <x v="2"/>
  </r>
  <r>
    <x v="211"/>
    <s v="MIR"/>
    <s v="on 2/11/25 After Market Eastern Standard Time"/>
    <x v="1"/>
  </r>
  <r>
    <x v="211"/>
    <s v="ANEB"/>
    <s v="on 2/11/25 After Market Eastern Standard Time"/>
    <x v="0"/>
  </r>
  <r>
    <x v="211"/>
    <s v="PBI"/>
    <s v="on 2/11/25 After Market Eastern Standard Time"/>
    <x v="1"/>
  </r>
  <r>
    <x v="211"/>
    <s v="ST"/>
    <s v="on 2/11/25 After Market Eastern Standard Time"/>
    <x v="2"/>
  </r>
  <r>
    <x v="211"/>
    <s v="NRC"/>
    <s v="on 2/11/25 After Market Eastern Standard Time"/>
    <x v="1"/>
  </r>
  <r>
    <x v="211"/>
    <s v="AIG"/>
    <s v="on 2/11/25 After Market Eastern Standard Time"/>
    <x v="3"/>
  </r>
  <r>
    <x v="211"/>
    <s v="MULN"/>
    <s v="on 2/11/25 After Market Eastern Standard Time"/>
    <x v="0"/>
  </r>
  <r>
    <x v="211"/>
    <s v="UPST"/>
    <s v="on 2/11/25 After Market Eastern Standard Time"/>
    <x v="1"/>
  </r>
  <r>
    <x v="211"/>
    <s v="ZG"/>
    <s v="on 2/11/25 After Market Eastern Standard Time"/>
    <x v="0"/>
  </r>
  <r>
    <x v="211"/>
    <s v="VTGN"/>
    <s v="on 2/11/25 After Market Eastern Standard Time"/>
    <x v="0"/>
  </r>
  <r>
    <x v="211"/>
    <s v="WELL"/>
    <s v="on 2/11/25 After Market Eastern Standard Time"/>
    <x v="3"/>
  </r>
  <r>
    <x v="211"/>
    <s v="AMX"/>
    <s v="on 2/11/25 After Market Eastern Standard Time"/>
    <x v="0"/>
  </r>
  <r>
    <x v="211"/>
    <s v="AKR"/>
    <s v="on 2/11/25 After Market Eastern Standard Time"/>
    <x v="1"/>
  </r>
  <r>
    <x v="211"/>
    <s v="LYFT"/>
    <s v="on 2/11/25 After Market Eastern Standard Time"/>
    <x v="0"/>
  </r>
  <r>
    <x v="211"/>
    <s v="FMAO"/>
    <s v="on 2/11/25 After Market Eastern Standard Time"/>
    <x v="1"/>
  </r>
  <r>
    <x v="211"/>
    <s v="ALSN"/>
    <s v="on 2/11/25 After Market Eastern Standard Time"/>
    <x v="0"/>
  </r>
  <r>
    <x v="211"/>
    <s v="IVT"/>
    <s v="on 2/11/25 After Market Eastern Standard Time"/>
    <x v="1"/>
  </r>
  <r>
    <x v="211"/>
    <s v="ADPT"/>
    <s v="on 2/11/25 After Market Eastern Standard Time"/>
    <x v="1"/>
  </r>
  <r>
    <x v="211"/>
    <s v="TYGO"/>
    <s v="on 2/11/25 After Market Eastern Standard Time"/>
    <x v="0"/>
  </r>
  <r>
    <x v="211"/>
    <s v="HYLN"/>
    <s v="on 2/11/25 After Market Eastern Standard Time"/>
    <x v="1"/>
  </r>
  <r>
    <x v="211"/>
    <s v="ATEX"/>
    <s v="on 2/11/25 After Market Eastern Standard Time"/>
    <x v="1"/>
  </r>
  <r>
    <x v="211"/>
    <s v="IAC"/>
    <s v="on 2/11/25 After Market Eastern Standard Time"/>
    <x v="0"/>
  </r>
  <r>
    <x v="211"/>
    <s v="RRR"/>
    <s v="on 2/11/25 After Market Eastern Standard Time"/>
    <x v="1"/>
  </r>
  <r>
    <x v="211"/>
    <s v="KAI"/>
    <s v="on 2/11/25 After Market Eastern Standard Time"/>
    <x v="1"/>
  </r>
  <r>
    <x v="211"/>
    <s v="DASH"/>
    <s v="on 2/11/25 After Market Eastern Standard Time"/>
    <x v="4"/>
  </r>
  <r>
    <x v="212"/>
    <s v="GILT"/>
    <s v="on 2/12/25 Before Market Eastern Standard Time"/>
    <x v="0"/>
  </r>
  <r>
    <x v="212"/>
    <s v="RDWR"/>
    <s v="on 2/12/25 Before Market Eastern Standard Time"/>
    <x v="0"/>
  </r>
  <r>
    <x v="212"/>
    <s v="COOP"/>
    <s v="on 2/12/25 Before Market Eastern Standard Time"/>
    <x v="1"/>
  </r>
  <r>
    <x v="212"/>
    <s v="KHC"/>
    <s v="on 2/12/25 Before Market Eastern Standard Time"/>
    <x v="3"/>
  </r>
  <r>
    <x v="212"/>
    <s v="CSPI"/>
    <s v="on 2/12/25 Before Market Eastern Standard Time"/>
    <x v="0"/>
  </r>
  <r>
    <x v="212"/>
    <s v="HCSG"/>
    <s v="on 2/12/25 Before Market Eastern Standard Time"/>
    <x v="1"/>
  </r>
  <r>
    <x v="212"/>
    <s v="BBGI"/>
    <s v="on 2/12/25 Before Market Eastern Standard Time"/>
    <x v="0"/>
  </r>
  <r>
    <x v="212"/>
    <s v="TMHC"/>
    <s v="on 2/12/25 Before Market Eastern Standard Time"/>
    <x v="1"/>
  </r>
  <r>
    <x v="212"/>
    <s v="OTLY"/>
    <s v="on 2/12/25 Before Market Eastern Standard Time"/>
    <x v="0"/>
  </r>
  <r>
    <x v="212"/>
    <s v="EXC"/>
    <s v="on 2/12/25 Before Market Eastern Standard Time"/>
    <x v="3"/>
  </r>
  <r>
    <x v="212"/>
    <s v="SITE"/>
    <s v="on 2/12/25 Before Market Eastern Standard Time"/>
    <x v="0"/>
  </r>
  <r>
    <x v="212"/>
    <s v="VPG"/>
    <s v="on 2/12/25 Before Market Eastern Standard Time"/>
    <x v="1"/>
  </r>
  <r>
    <x v="212"/>
    <s v="VRT"/>
    <s v="on 2/12/25 Before Market Eastern Standard Time"/>
    <x v="0"/>
  </r>
  <r>
    <x v="212"/>
    <s v="GOLD"/>
    <s v="on 2/12/25 Before Market Eastern Standard Time"/>
    <x v="0"/>
  </r>
  <r>
    <x v="212"/>
    <s v="DENN"/>
    <s v="on 2/12/25 Before Market Eastern Standard Time"/>
    <x v="1"/>
  </r>
  <r>
    <x v="212"/>
    <s v="NNE"/>
    <s v="on 2/12/25 Before Market Eastern Standard Time"/>
    <x v="0"/>
  </r>
  <r>
    <x v="212"/>
    <s v="CME"/>
    <s v="on 2/12/25 Before Market Eastern Standard Time"/>
    <x v="3"/>
  </r>
  <r>
    <x v="212"/>
    <s v="MITQ"/>
    <s v="on 2/12/25 Before Market Eastern Standard Time"/>
    <x v="0"/>
  </r>
  <r>
    <x v="212"/>
    <s v="BIIB"/>
    <s v="on 2/12/25 Before Market Eastern Standard Time"/>
    <x v="3"/>
  </r>
  <r>
    <x v="212"/>
    <s v="VYX"/>
    <s v="on 2/12/25 Before Market Eastern Standard Time"/>
    <x v="1"/>
  </r>
  <r>
    <x v="212"/>
    <s v="CHEF"/>
    <s v="on 2/12/25 Before Market Eastern Standard Time"/>
    <x v="1"/>
  </r>
  <r>
    <x v="212"/>
    <s v="PX"/>
    <s v="on 2/12/25 Before Market Eastern Standard Time"/>
    <x v="1"/>
  </r>
  <r>
    <x v="212"/>
    <s v="GMAB"/>
    <s v="on 2/12/25 Unspecified Eastern Standard Time"/>
    <x v="0"/>
  </r>
  <r>
    <x v="212"/>
    <s v="UE"/>
    <s v="on 2/12/25 Before Market Eastern Standard Time"/>
    <x v="1"/>
  </r>
  <r>
    <x v="212"/>
    <s v="AAVMY"/>
    <s v="on 2/12/25 Before Market Eastern Standard Time"/>
    <x v="0"/>
  </r>
  <r>
    <x v="212"/>
    <s v="OC"/>
    <s v="on 2/12/25 Before Market Eastern Standard Time"/>
    <x v="2"/>
  </r>
  <r>
    <x v="212"/>
    <s v="QSR"/>
    <s v="on 2/12/25 Before Market Eastern Standard Time"/>
    <x v="0"/>
  </r>
  <r>
    <x v="212"/>
    <s v="CVS"/>
    <s v="on 2/12/25 Before Market Eastern Standard Time"/>
    <x v="3"/>
  </r>
  <r>
    <x v="212"/>
    <s v="AIPUY"/>
    <s v="on 2/12/25 Unspecified Eastern Standard Time"/>
    <x v="0"/>
  </r>
  <r>
    <x v="212"/>
    <s v="SAH"/>
    <s v="on 2/12/25 Before Market Eastern Standard Time"/>
    <x v="1"/>
  </r>
  <r>
    <x v="212"/>
    <s v="TORO"/>
    <s v="on 2/12/25 Before Market Eastern Standard Time"/>
    <x v="0"/>
  </r>
  <r>
    <x v="212"/>
    <s v="BXMT"/>
    <s v="on 2/12/25 Before Market Eastern Standard Time"/>
    <x v="1"/>
  </r>
  <r>
    <x v="212"/>
    <s v="CRWS"/>
    <s v="on 2/12/25 Before Market Eastern Standard Time"/>
    <x v="0"/>
  </r>
  <r>
    <x v="212"/>
    <s v="SPMC"/>
    <s v="on 2/12/25 Before Market Eastern Standard Time"/>
    <x v="0"/>
  </r>
  <r>
    <x v="212"/>
    <s v="CIM"/>
    <s v="on 2/12/25 Before Market Eastern Standard Time"/>
    <x v="1"/>
  </r>
  <r>
    <x v="212"/>
    <s v="PAG"/>
    <s v="on 2/12/25 Before Market Eastern Standard Time"/>
    <x v="2"/>
  </r>
  <r>
    <x v="212"/>
    <s v="PAX"/>
    <s v="on 2/12/25 Before Market Eastern Standard Time"/>
    <x v="1"/>
  </r>
  <r>
    <x v="212"/>
    <s v="PET"/>
    <s v="on 2/12/25 Before Market Eastern Standard Time"/>
    <x v="0"/>
  </r>
  <r>
    <x v="212"/>
    <s v="CCRD"/>
    <s v="on 2/12/25 Before Market Eastern Standard Time"/>
    <x v="0"/>
  </r>
  <r>
    <x v="212"/>
    <s v="THC"/>
    <s v="on 2/12/25 Before Market Eastern Standard Time"/>
    <x v="2"/>
  </r>
  <r>
    <x v="212"/>
    <s v="CYBN"/>
    <s v="on 2/12/25 Before Market Eastern Standard Time"/>
    <x v="0"/>
  </r>
  <r>
    <x v="212"/>
    <s v="R"/>
    <s v="on 2/12/25 Before Market Eastern Standard Time"/>
    <x v="2"/>
  </r>
  <r>
    <x v="212"/>
    <s v="KRNT"/>
    <s v="on 2/12/25 Before Market Eastern Standard Time"/>
    <x v="0"/>
  </r>
  <r>
    <x v="212"/>
    <s v="MHGVY"/>
    <s v="on 2/12/25 Unspecified Eastern Standard Time"/>
    <x v="0"/>
  </r>
  <r>
    <x v="212"/>
    <s v="FMCC"/>
    <s v="on 2/12/25 Before Market Eastern Standard Time"/>
    <x v="0"/>
  </r>
  <r>
    <x v="212"/>
    <s v="LAD"/>
    <s v="on 2/12/25 Before Market Eastern Standard Time"/>
    <x v="2"/>
  </r>
  <r>
    <x v="212"/>
    <s v="SW"/>
    <s v="on 2/12/25 Before Market Eastern Standard Time"/>
    <x v="3"/>
  </r>
  <r>
    <x v="212"/>
    <s v="CBL"/>
    <s v="on 2/12/25 Before Market Eastern Standard Time"/>
    <x v="1"/>
  </r>
  <r>
    <x v="212"/>
    <s v="SFTBY"/>
    <s v="on 2/12/25 Unspecified Eastern Standard Time"/>
    <x v="0"/>
  </r>
  <r>
    <x v="212"/>
    <s v="GNRC"/>
    <s v="on 2/12/25 Before Market Eastern Standard Time"/>
    <x v="3"/>
  </r>
  <r>
    <x v="212"/>
    <s v="D"/>
    <s v="on 2/12/25 Before Market Eastern Standard Time"/>
    <x v="3"/>
  </r>
  <r>
    <x v="212"/>
    <s v="SOMC"/>
    <s v="on 2/12/25 Before Market Eastern Standard Time"/>
    <x v="0"/>
  </r>
  <r>
    <x v="212"/>
    <s v="CRL"/>
    <s v="on 2/12/25 Before Market Eastern Standard Time"/>
    <x v="3"/>
  </r>
  <r>
    <x v="212"/>
    <s v="WAT"/>
    <s v="on 2/12/25 Before Market Eastern Standard Time"/>
    <x v="3"/>
  </r>
  <r>
    <x v="212"/>
    <s v="DBD"/>
    <s v="on 2/12/25 Before Market Eastern Standard Time"/>
    <x v="1"/>
  </r>
  <r>
    <x v="212"/>
    <s v="MLM"/>
    <s v="on 2/12/25 Before Market Eastern Standard Time"/>
    <x v="3"/>
  </r>
  <r>
    <x v="212"/>
    <s v="BAM"/>
    <s v="on 2/12/25 Before Market Eastern Standard Time"/>
    <x v="0"/>
  </r>
  <r>
    <x v="212"/>
    <s v="RCRUY"/>
    <s v="on 2/12/25 Unspecified Eastern Standard Time"/>
    <x v="0"/>
  </r>
  <r>
    <x v="212"/>
    <s v="WAB"/>
    <s v="on 2/12/25 Before Market Eastern Standard Time"/>
    <x v="3"/>
  </r>
  <r>
    <x v="212"/>
    <s v="PYPD"/>
    <s v="on 2/12/25 Before Market Eastern Standard Time"/>
    <x v="0"/>
  </r>
  <r>
    <x v="212"/>
    <s v="ADRNY"/>
    <s v="on 2/12/25 Before Market Eastern Standard Time"/>
    <x v="0"/>
  </r>
  <r>
    <x v="212"/>
    <s v="RDCM"/>
    <s v="on 2/12/25 Before Market Eastern Standard Time"/>
    <x v="0"/>
  </r>
  <r>
    <x v="212"/>
    <s v="SLVM"/>
    <s v="on 2/12/25 Before Market Eastern Standard Time"/>
    <x v="1"/>
  </r>
  <r>
    <x v="213"/>
    <s v="WCN"/>
    <s v="on 2/12/25 After Market Eastern Standard Time"/>
    <x v="0"/>
  </r>
  <r>
    <x v="213"/>
    <s v="GAIN"/>
    <s v="on 2/12/25 After Market Eastern Standard Time"/>
    <x v="0"/>
  </r>
  <r>
    <x v="213"/>
    <s v="PLMR"/>
    <s v="on 2/12/25 After Market Eastern Standard Time"/>
    <x v="1"/>
  </r>
  <r>
    <x v="213"/>
    <s v="EQIX"/>
    <s v="on 2/12/25 After Market Eastern Standard Time"/>
    <x v="3"/>
  </r>
  <r>
    <x v="213"/>
    <s v="MKSI"/>
    <s v="on 2/12/25 After Market Eastern Standard Time"/>
    <x v="2"/>
  </r>
  <r>
    <x v="213"/>
    <s v="SUZ"/>
    <s v="on 2/12/25 After Market Eastern Standard Time"/>
    <x v="0"/>
  </r>
  <r>
    <x v="213"/>
    <s v="CRBG"/>
    <s v="on 2/12/25 After Market Eastern Standard Time"/>
    <x v="0"/>
  </r>
  <r>
    <x v="213"/>
    <s v="AEIS"/>
    <s v="on 2/12/25 After Market Eastern Standard Time"/>
    <x v="1"/>
  </r>
  <r>
    <x v="213"/>
    <s v="HL"/>
    <s v="on 2/12/25 After Market Eastern Standard Time"/>
    <x v="1"/>
  </r>
  <r>
    <x v="213"/>
    <s v="AMWL"/>
    <s v="on 2/12/25 After Market Eastern Standard Time"/>
    <x v="0"/>
  </r>
  <r>
    <x v="213"/>
    <s v="HOOD"/>
    <s v="on 2/12/25 After Market Eastern Standard Time"/>
    <x v="0"/>
  </r>
  <r>
    <x v="213"/>
    <s v="ROL"/>
    <s v="on 2/12/25 After Market Eastern Standard Time"/>
    <x v="3"/>
  </r>
  <r>
    <x v="213"/>
    <s v="NRDS"/>
    <s v="on 2/12/25 After Market Eastern Standard Time"/>
    <x v="1"/>
  </r>
  <r>
    <x v="213"/>
    <s v="AUR"/>
    <s v="on 2/12/25 After Market Eastern Standard Time"/>
    <x v="1"/>
  </r>
  <r>
    <x v="213"/>
    <s v="DJCO"/>
    <s v="on 2/12/25 After Market Eastern Standard Time"/>
    <x v="1"/>
  </r>
  <r>
    <x v="213"/>
    <s v="KGC"/>
    <s v="on 2/12/25 After Market Eastern Standard Time"/>
    <x v="0"/>
  </r>
  <r>
    <x v="213"/>
    <s v="ISSC"/>
    <s v="on 2/12/25 After Market Eastern Standard Time"/>
    <x v="0"/>
  </r>
  <r>
    <x v="213"/>
    <s v="CXT"/>
    <s v="on 2/12/25 After Market Eastern Standard Time"/>
    <x v="2"/>
  </r>
  <r>
    <x v="213"/>
    <s v="SUM"/>
    <s v="on 2/12/25 After Market Eastern Standard Time"/>
    <x v="1"/>
  </r>
  <r>
    <x v="213"/>
    <s v="CGNX"/>
    <s v="on 2/12/25 After Market Eastern Standard Time"/>
    <x v="2"/>
  </r>
  <r>
    <x v="213"/>
    <s v="ATRC"/>
    <s v="on 2/12/25 After Market Eastern Standard Time"/>
    <x v="1"/>
  </r>
  <r>
    <x v="213"/>
    <s v="RPD"/>
    <s v="on 2/12/25 After Market Eastern Standard Time"/>
    <x v="1"/>
  </r>
  <r>
    <x v="213"/>
    <s v="SCI"/>
    <s v="on 2/12/25 After Market Eastern Standard Time"/>
    <x v="2"/>
  </r>
  <r>
    <x v="213"/>
    <s v="WH"/>
    <s v="on 2/12/25 After Market Eastern Standard Time"/>
    <x v="2"/>
  </r>
  <r>
    <x v="213"/>
    <s v="GPMT"/>
    <s v="on 2/12/25 After Market Eastern Standard Time"/>
    <x v="1"/>
  </r>
  <r>
    <x v="213"/>
    <s v="RBBN"/>
    <s v="on 2/12/25 After Market Eastern Standard Time"/>
    <x v="1"/>
  </r>
  <r>
    <x v="213"/>
    <s v="PAYC"/>
    <s v="on 2/12/25 After Market Eastern Standard Time"/>
    <x v="3"/>
  </r>
  <r>
    <x v="213"/>
    <s v="NBR"/>
    <s v="on 2/12/25 After Market Eastern Standard Time"/>
    <x v="1"/>
  </r>
  <r>
    <x v="213"/>
    <s v="TROX"/>
    <s v="on 2/12/25 After Market Eastern Standard Time"/>
    <x v="1"/>
  </r>
  <r>
    <x v="213"/>
    <s v="XAIR"/>
    <s v="on 2/12/25 After Market Eastern Standard Time"/>
    <x v="0"/>
  </r>
  <r>
    <x v="213"/>
    <s v="IRT"/>
    <s v="on 2/12/25 After Market Eastern Standard Time"/>
    <x v="1"/>
  </r>
  <r>
    <x v="213"/>
    <s v="PGRE"/>
    <s v="on 2/12/25 After Market Eastern Standard Time"/>
    <x v="1"/>
  </r>
  <r>
    <x v="213"/>
    <s v="CC"/>
    <s v="on 2/12/25 After Market Eastern Standard Time"/>
    <x v="2"/>
  </r>
  <r>
    <x v="213"/>
    <s v="NWE"/>
    <s v="on 2/12/25 After Market Eastern Standard Time"/>
    <x v="1"/>
  </r>
  <r>
    <x v="213"/>
    <s v="PDS"/>
    <s v="on 2/12/25 After Market Eastern Standard Time"/>
    <x v="0"/>
  </r>
  <r>
    <x v="213"/>
    <s v="MGM"/>
    <s v="on 2/12/25 After Market Eastern Standard Time"/>
    <x v="3"/>
  </r>
  <r>
    <x v="213"/>
    <s v="PEGA"/>
    <s v="on 2/12/25 After Market Eastern Standard Time"/>
    <x v="0"/>
  </r>
  <r>
    <x v="213"/>
    <s v="CRSR"/>
    <s v="on 2/12/25 After Market Eastern Standard Time"/>
    <x v="1"/>
  </r>
  <r>
    <x v="213"/>
    <s v="STAG"/>
    <s v="on 2/12/25 After Market Eastern Standard Time"/>
    <x v="2"/>
  </r>
  <r>
    <x v="213"/>
    <s v="UPXI"/>
    <s v="on 2/12/25 After Market Eastern Standard Time"/>
    <x v="0"/>
  </r>
  <r>
    <x v="213"/>
    <s v="SAFE"/>
    <s v="on 2/12/25 After Market Eastern Standard Time"/>
    <x v="1"/>
  </r>
  <r>
    <x v="213"/>
    <s v="CWST"/>
    <s v="on 2/12/25 After Market Eastern Standard Time"/>
    <x v="1"/>
  </r>
  <r>
    <x v="213"/>
    <s v="AM"/>
    <s v="on 2/12/25 After Market Eastern Standard Time"/>
    <x v="2"/>
  </r>
  <r>
    <x v="213"/>
    <s v="TSE"/>
    <s v="on 2/12/25 After Market Eastern Standard Time"/>
    <x v="0"/>
  </r>
  <r>
    <x v="213"/>
    <s v="WMB"/>
    <s v="on 2/12/25 After Market Eastern Standard Time"/>
    <x v="3"/>
  </r>
  <r>
    <x v="213"/>
    <s v="CPA"/>
    <s v="on 2/12/25 After Market Eastern Standard Time"/>
    <x v="0"/>
  </r>
  <r>
    <x v="213"/>
    <s v="GXO"/>
    <s v="on 2/12/25 After Market Eastern Standard Time"/>
    <x v="2"/>
  </r>
  <r>
    <x v="213"/>
    <s v="MMLP"/>
    <s v="on 2/12/25 After Market Eastern Standard Time"/>
    <x v="0"/>
  </r>
  <r>
    <x v="213"/>
    <s v="GLPG"/>
    <s v="on 2/12/25 After Market Eastern Standard Time"/>
    <x v="0"/>
  </r>
  <r>
    <x v="213"/>
    <s v="FSLY"/>
    <s v="on 2/12/25 After Market Eastern Standard Time"/>
    <x v="1"/>
  </r>
  <r>
    <x v="213"/>
    <s v="NATL"/>
    <s v="on 2/12/25 After Market Eastern Standard Time"/>
    <x v="1"/>
  </r>
  <r>
    <x v="213"/>
    <s v="CTXR"/>
    <s v="on 2/12/25 After Market Eastern Standard Time"/>
    <x v="0"/>
  </r>
  <r>
    <x v="213"/>
    <s v="SLF"/>
    <s v="on 2/12/25 After Market Eastern Standard Time"/>
    <x v="0"/>
  </r>
  <r>
    <x v="213"/>
    <s v="PPC"/>
    <s v="on 2/12/25 After Market Eastern Standard Time"/>
    <x v="2"/>
  </r>
  <r>
    <x v="213"/>
    <s v="RDDT"/>
    <s v="on 2/12/25 After Market Eastern Standard Time"/>
    <x v="0"/>
  </r>
  <r>
    <x v="213"/>
    <s v="ASPN"/>
    <s v="on 2/12/25 After Market Eastern Standard Time"/>
    <x v="1"/>
  </r>
  <r>
    <x v="213"/>
    <s v="ARR"/>
    <s v="on 2/12/25 After Market Eastern Standard Time"/>
    <x v="1"/>
  </r>
  <r>
    <x v="213"/>
    <s v="QDEL"/>
    <s v="on 2/12/25 After Market Eastern Standard Time"/>
    <x v="0"/>
  </r>
  <r>
    <x v="213"/>
    <s v="HUBS"/>
    <s v="on 2/12/25 After Market Eastern Standard Time"/>
    <x v="0"/>
  </r>
  <r>
    <x v="213"/>
    <s v="SB"/>
    <s v="on 2/12/25 After Market Eastern Standard Time"/>
    <x v="1"/>
  </r>
  <r>
    <x v="213"/>
    <s v="VECO"/>
    <s v="on 2/12/25 After Market Eastern Standard Time"/>
    <x v="1"/>
  </r>
  <r>
    <x v="213"/>
    <s v="VTR"/>
    <s v="on 2/12/25 After Market Eastern Standard Time"/>
    <x v="3"/>
  </r>
  <r>
    <x v="213"/>
    <s v="FCPT"/>
    <s v="on 2/12/25 After Market Eastern Standard Time"/>
    <x v="1"/>
  </r>
  <r>
    <x v="213"/>
    <s v="TYL"/>
    <s v="on 2/12/25 After Market Eastern Standard Time"/>
    <x v="3"/>
  </r>
  <r>
    <x v="213"/>
    <s v="AR"/>
    <s v="on 2/12/25 After Market Eastern Standard Time"/>
    <x v="2"/>
  </r>
  <r>
    <x v="213"/>
    <s v="EPRT"/>
    <s v="on 2/12/25 After Market Eastern Standard Time"/>
    <x v="1"/>
  </r>
  <r>
    <x v="213"/>
    <s v="RENB"/>
    <s v="on 2/12/25 After Market Eastern Standard Time"/>
    <x v="0"/>
  </r>
  <r>
    <x v="213"/>
    <s v="CSCO"/>
    <s v="on 2/12/25 After Market Eastern Standard Time"/>
    <x v="3"/>
  </r>
  <r>
    <x v="213"/>
    <s v="MGDDY"/>
    <s v="on 2/12/25 After Market Eastern Standard Time"/>
    <x v="0"/>
  </r>
  <r>
    <x v="213"/>
    <s v="CW"/>
    <s v="on 2/12/25 After Market Eastern Standard Time"/>
    <x v="2"/>
  </r>
  <r>
    <x v="213"/>
    <s v="TRIP"/>
    <s v="on 2/12/25 After Market Eastern Standard Time"/>
    <x v="0"/>
  </r>
  <r>
    <x v="213"/>
    <s v="QS"/>
    <s v="on 2/12/25 After Market Eastern Standard Time"/>
    <x v="0"/>
  </r>
  <r>
    <x v="213"/>
    <s v="MSA"/>
    <s v="on 2/12/25 After Market Eastern Standard Time"/>
    <x v="2"/>
  </r>
  <r>
    <x v="213"/>
    <s v="ALB"/>
    <s v="on 2/12/25 After Market Eastern Standard Time"/>
    <x v="3"/>
  </r>
  <r>
    <x v="213"/>
    <s v="MRO"/>
    <s v="on 2/12/25 After Market Eastern Standard Time"/>
    <x v="3"/>
  </r>
  <r>
    <x v="213"/>
    <s v="WHG"/>
    <s v="on 2/12/25 After Market Eastern Standard Time"/>
    <x v="0"/>
  </r>
  <r>
    <x v="213"/>
    <s v="BTCY"/>
    <s v="on 2/12/25 After Market Eastern Standard Time"/>
    <x v="0"/>
  </r>
  <r>
    <x v="213"/>
    <s v="APP"/>
    <s v="on 2/12/25 After Market Eastern Standard Time"/>
    <x v="0"/>
  </r>
  <r>
    <x v="213"/>
    <s v="GTY"/>
    <s v="on 2/12/25 After Market Eastern Standard Time"/>
    <x v="1"/>
  </r>
  <r>
    <x v="213"/>
    <s v="UPWK"/>
    <s v="on 2/12/25 After Market Eastern Standard Time"/>
    <x v="1"/>
  </r>
  <r>
    <x v="213"/>
    <s v="FAF"/>
    <s v="on 2/12/25 After Market Eastern Standard Time"/>
    <x v="2"/>
  </r>
  <r>
    <x v="213"/>
    <s v="RGLD"/>
    <s v="on 2/12/25 After Market Eastern Standard Time"/>
    <x v="2"/>
  </r>
  <r>
    <x v="214"/>
    <s v="PCG"/>
    <s v="on 2/13/25 Before Market Eastern Standard Time"/>
    <x v="3"/>
  </r>
  <r>
    <x v="214"/>
    <s v="YTRA"/>
    <s v="on 2/13/25 Unspecified Eastern Standard Time"/>
    <x v="0"/>
  </r>
  <r>
    <x v="214"/>
    <s v="JMIA"/>
    <s v="on 2/13/25 Before Market Eastern Standard Time"/>
    <x v="0"/>
  </r>
  <r>
    <x v="214"/>
    <s v="ZBRA"/>
    <s v="on 2/13/25 Before Market Eastern Standard Time"/>
    <x v="3"/>
  </r>
  <r>
    <x v="214"/>
    <s v="CBRE"/>
    <s v="on 2/13/25 Before Market Eastern Standard Time"/>
    <x v="3"/>
  </r>
  <r>
    <x v="214"/>
    <s v="PHIN"/>
    <s v="on 2/13/25 Before Market Eastern Standard Time"/>
    <x v="1"/>
  </r>
  <r>
    <x v="214"/>
    <s v="SABR"/>
    <s v="on 2/13/25 Before Market Eastern Standard Time"/>
    <x v="1"/>
  </r>
  <r>
    <x v="214"/>
    <s v="H"/>
    <s v="on 2/13/25 Before Market Eastern Standard Time"/>
    <x v="2"/>
  </r>
  <r>
    <x v="214"/>
    <s v="SPTN"/>
    <s v="on 2/13/25 Before Market Eastern Standard Time"/>
    <x v="1"/>
  </r>
  <r>
    <x v="214"/>
    <s v="IRDM"/>
    <s v="on 2/13/25 Before Market Eastern Standard Time"/>
    <x v="2"/>
  </r>
  <r>
    <x v="214"/>
    <s v="PPL"/>
    <s v="on 2/13/25 Before Market Eastern Standard Time"/>
    <x v="3"/>
  </r>
  <r>
    <x v="214"/>
    <s v="IRWD"/>
    <s v="on 2/13/25 Before Market Eastern Standard Time"/>
    <x v="1"/>
  </r>
  <r>
    <x v="214"/>
    <s v="VNT"/>
    <s v="on 2/13/25 Before Market Eastern Standard Time"/>
    <x v="2"/>
  </r>
  <r>
    <x v="214"/>
    <s v="REPL"/>
    <s v="on 2/13/25 Before Market Eastern Standard Time"/>
    <x v="1"/>
  </r>
  <r>
    <x v="214"/>
    <s v="PTN"/>
    <s v="on 2/13/25 Before Market Eastern Standard Time"/>
    <x v="0"/>
  </r>
  <r>
    <x v="214"/>
    <s v="FONR"/>
    <s v="on 2/13/25 Before Market Eastern Standard Time"/>
    <x v="0"/>
  </r>
  <r>
    <x v="214"/>
    <s v="SANW"/>
    <s v="on 2/13/25 Before Market Eastern Standard Time"/>
    <x v="0"/>
  </r>
  <r>
    <x v="214"/>
    <s v="ALNY"/>
    <s v="on 2/13/25 Before Market Eastern Standard Time"/>
    <x v="0"/>
  </r>
  <r>
    <x v="214"/>
    <s v="OUKPY"/>
    <s v="on 2/13/25 Before Market Eastern Standard Time"/>
    <x v="0"/>
  </r>
  <r>
    <x v="214"/>
    <s v="JAPAY"/>
    <s v="on 2/13/25 Unspecified Eastern Standard Time"/>
    <x v="0"/>
  </r>
  <r>
    <x v="214"/>
    <s v="FNMA"/>
    <s v="on 2/13/25 Before Market Eastern Standard Time"/>
    <x v="0"/>
  </r>
  <r>
    <x v="214"/>
    <s v="IDA"/>
    <s v="on 2/13/25 Before Market Eastern Standard Time"/>
    <x v="2"/>
  </r>
  <r>
    <x v="214"/>
    <s v="HMC"/>
    <s v="on 2/13/25 Before Market Eastern Standard Time"/>
    <x v="0"/>
  </r>
  <r>
    <x v="214"/>
    <s v="DDOG"/>
    <s v="on 2/13/25 Before Market Eastern Standard Time"/>
    <x v="4"/>
  </r>
  <r>
    <x v="214"/>
    <s v="USFD"/>
    <s v="on 2/13/25 Before Market Eastern Standard Time"/>
    <x v="2"/>
  </r>
  <r>
    <x v="214"/>
    <s v="BAX"/>
    <s v="on 2/13/25 Before Market Eastern Standard Time"/>
    <x v="3"/>
  </r>
  <r>
    <x v="214"/>
    <s v="TNET"/>
    <s v="on 2/13/25 Before Market Eastern Standard Time"/>
    <x v="1"/>
  </r>
  <r>
    <x v="214"/>
    <s v="LXP"/>
    <s v="on 2/13/25 Before Market Eastern Standard Time"/>
    <x v="1"/>
  </r>
  <r>
    <x v="214"/>
    <s v="ARCAY"/>
    <s v="on 2/13/25 Before Market Eastern Standard Time"/>
    <x v="0"/>
  </r>
  <r>
    <x v="214"/>
    <s v="KUBTY"/>
    <s v="on 2/13/25 Before Market Eastern Standard Time"/>
    <x v="0"/>
  </r>
  <r>
    <x v="214"/>
    <s v="GEHC"/>
    <s v="on 2/13/25 Before Market Eastern Standard Time"/>
    <x v="3"/>
  </r>
  <r>
    <x v="214"/>
    <s v="KNW"/>
    <s v="on 2/13/25 Before Market Eastern Standard Time"/>
    <x v="0"/>
  </r>
  <r>
    <x v="214"/>
    <s v="ITIC"/>
    <s v="on 2/13/25 Before Market Eastern Standard Time"/>
    <x v="1"/>
  </r>
  <r>
    <x v="214"/>
    <s v="SN"/>
    <s v="on 2/13/25 Before Market Eastern Standard Time"/>
    <x v="0"/>
  </r>
  <r>
    <x v="214"/>
    <s v="ZTS"/>
    <s v="on 2/13/25 Before Market Eastern Standard Time"/>
    <x v="3"/>
  </r>
  <r>
    <x v="214"/>
    <s v="MRX"/>
    <s v="on 2/13/25 Before Market Eastern Standard Time"/>
    <x v="0"/>
  </r>
  <r>
    <x v="214"/>
    <s v="PUTRY"/>
    <s v="on 2/13/25 Unspecified Eastern Standard Time"/>
    <x v="0"/>
  </r>
  <r>
    <x v="214"/>
    <s v="KELYA"/>
    <s v="on 2/13/25 Before Market Eastern Standard Time"/>
    <x v="1"/>
  </r>
  <r>
    <x v="214"/>
    <s v="NSANY"/>
    <s v="on 2/13/25 Unspecified Eastern Standard Time"/>
    <x v="0"/>
  </r>
  <r>
    <x v="214"/>
    <s v="GPC"/>
    <s v="on 2/13/25 Before Market Eastern Standard Time"/>
    <x v="3"/>
  </r>
  <r>
    <x v="214"/>
    <s v="HTZ"/>
    <s v="on 2/13/25 Before Market Eastern Standard Time"/>
    <x v="1"/>
  </r>
  <r>
    <x v="214"/>
    <s v="PBF"/>
    <s v="on 2/13/25 Before Market Eastern Standard Time"/>
    <x v="1"/>
  </r>
  <r>
    <x v="214"/>
    <s v="RPRX"/>
    <s v="on 2/13/25 Before Market Eastern Standard Time"/>
    <x v="0"/>
  </r>
  <r>
    <x v="214"/>
    <s v="KELYB"/>
    <s v="on 2/13/25 Before Market Eastern Standard Time"/>
    <x v="0"/>
  </r>
  <r>
    <x v="214"/>
    <s v="DCO"/>
    <s v="on 2/13/25 Before Market Eastern Standard Time"/>
    <x v="1"/>
  </r>
  <r>
    <x v="214"/>
    <s v="IRM"/>
    <s v="on 2/13/25 Before Market Eastern Standard Time"/>
    <x v="3"/>
  </r>
  <r>
    <x v="214"/>
    <s v="WFCF"/>
    <s v="on 2/13/25 Before Market Eastern Standard Time"/>
    <x v="0"/>
  </r>
  <r>
    <x v="214"/>
    <s v="BN"/>
    <s v="on 2/13/25 Before Market Eastern Standard Time"/>
    <x v="0"/>
  </r>
  <r>
    <x v="214"/>
    <s v="BRKR"/>
    <s v="on 2/13/25 Before Market Eastern Standard Time"/>
    <x v="2"/>
  </r>
  <r>
    <x v="214"/>
    <s v="IMPP"/>
    <s v="on 2/13/25 Before Market Eastern Standard Time"/>
    <x v="0"/>
  </r>
  <r>
    <x v="214"/>
    <s v="BPMC"/>
    <s v="on 2/13/25 Before Market Eastern Standard Time"/>
    <x v="1"/>
  </r>
  <r>
    <x v="214"/>
    <s v="PYYX"/>
    <s v="on 2/13/25 Before Market Eastern Standard Time"/>
    <x v="0"/>
  </r>
  <r>
    <x v="214"/>
    <s v="KNF"/>
    <s v="on 2/13/25 Before Market Eastern Standard Time"/>
    <x v="1"/>
  </r>
  <r>
    <x v="214"/>
    <s v="AUOTY"/>
    <s v="on 2/13/25 Unspecified Eastern Standard Time"/>
    <x v="0"/>
  </r>
  <r>
    <x v="214"/>
    <s v="UL"/>
    <s v="on 2/13/25 Before Market Eastern Standard Time"/>
    <x v="0"/>
  </r>
  <r>
    <x v="214"/>
    <s v="KBCSY"/>
    <s v="on 2/13/25 Unspecified Eastern Standard Time"/>
    <x v="0"/>
  </r>
  <r>
    <x v="214"/>
    <s v="TIXT"/>
    <s v="on 2/13/25 Before Market Eastern Standard Time"/>
    <x v="0"/>
  </r>
  <r>
    <x v="214"/>
    <s v="DE"/>
    <s v="on 2/13/25 Before Market Eastern Standard Time"/>
    <x v="3"/>
  </r>
  <r>
    <x v="214"/>
    <s v="CLBT"/>
    <s v="on 2/13/25 Before Market Eastern Standard Time"/>
    <x v="0"/>
  </r>
  <r>
    <x v="214"/>
    <s v="RELX"/>
    <s v="on 2/13/25 Before Market Eastern Standard Time"/>
    <x v="0"/>
  </r>
  <r>
    <x v="214"/>
    <s v="TU"/>
    <s v="on 2/13/25 Before Market Eastern Standard Time"/>
    <x v="0"/>
  </r>
  <r>
    <x v="214"/>
    <s v="WST"/>
    <s v="on 2/13/25 Before Market Eastern Standard Time"/>
    <x v="3"/>
  </r>
  <r>
    <x v="214"/>
    <s v="RNLXY"/>
    <s v="on 2/13/25 Before Market Eastern Standard Time"/>
    <x v="0"/>
  </r>
  <r>
    <x v="214"/>
    <s v="ZONE"/>
    <s v="on 2/13/25 Before Market Eastern Standard Time"/>
    <x v="0"/>
  </r>
  <r>
    <x v="214"/>
    <s v="CBZ"/>
    <s v="on 2/13/25 Before Market Eastern Standard Time"/>
    <x v="1"/>
  </r>
  <r>
    <x v="214"/>
    <s v="HIMX"/>
    <s v="on 2/13/25 Before Market Eastern Standard Time"/>
    <x v="0"/>
  </r>
  <r>
    <x v="214"/>
    <s v="TAP"/>
    <s v="on 2/13/25 Before Market Eastern Standard Time"/>
    <x v="3"/>
  </r>
  <r>
    <x v="214"/>
    <s v="AGIO"/>
    <s v="on 2/13/25 Before Market Eastern Standard Time"/>
    <x v="1"/>
  </r>
  <r>
    <x v="214"/>
    <s v="ASC"/>
    <s v="on 2/13/25 Before Market Eastern Standard Time"/>
    <x v="1"/>
  </r>
  <r>
    <x v="214"/>
    <s v="EDRY"/>
    <s v="on 2/13/25 Before Market Eastern Standard Time"/>
    <x v="0"/>
  </r>
  <r>
    <x v="214"/>
    <s v="SHAK"/>
    <s v="on 2/13/25 Before Market Eastern Standard Time"/>
    <x v="1"/>
  </r>
  <r>
    <x v="214"/>
    <s v="DNB"/>
    <s v="on 2/13/25 Before Market Eastern Standard Time"/>
    <x v="0"/>
  </r>
  <r>
    <x v="214"/>
    <s v="SCMWY"/>
    <s v="on 2/13/25 Before Market Eastern Standard Time"/>
    <x v="0"/>
  </r>
  <r>
    <x v="214"/>
    <s v="OGN"/>
    <s v="on 2/13/25 Before Market Eastern Standard Time"/>
    <x v="0"/>
  </r>
  <r>
    <x v="214"/>
    <s v="TRUMY"/>
    <s v="on 2/13/25 Unspecified Eastern Standard Time"/>
    <x v="0"/>
  </r>
  <r>
    <x v="214"/>
    <s v="PGY"/>
    <s v="on 2/13/25 Before Market Eastern Standard Time"/>
    <x v="1"/>
  </r>
  <r>
    <x v="214"/>
    <s v="AVNT"/>
    <s v="on 2/13/25 Before Market Eastern Standard Time"/>
    <x v="1"/>
  </r>
  <r>
    <x v="214"/>
    <s v="MTRN"/>
    <s v="on 2/13/25 Before Market Eastern Standard Time"/>
    <x v="1"/>
  </r>
  <r>
    <x v="214"/>
    <s v="SUNS"/>
    <s v="on 2/13/25 Before Market Eastern Standard Time"/>
    <x v="0"/>
  </r>
  <r>
    <x v="214"/>
    <s v="WMMVY"/>
    <s v="on 2/13/25 Unspecified Eastern Standard Time"/>
    <x v="0"/>
  </r>
  <r>
    <x v="214"/>
    <s v="DDL"/>
    <s v="on 2/13/25 Before Market Eastern Standard Time"/>
    <x v="0"/>
  </r>
  <r>
    <x v="214"/>
    <s v="ULBI"/>
    <s v="on 2/13/25 Before Market Eastern Standard Time"/>
    <x v="0"/>
  </r>
  <r>
    <x v="214"/>
    <s v="TVTX"/>
    <s v="on 2/13/25 Before Market Eastern Standard Time"/>
    <x v="1"/>
  </r>
  <r>
    <x v="214"/>
    <s v="SIEGY"/>
    <s v="on 2/13/25 Unspecified Eastern Standard Time"/>
    <x v="0"/>
  </r>
  <r>
    <x v="214"/>
    <s v="ORKLY"/>
    <s v="on 2/13/25 Unspecified Eastern Standard Time"/>
    <x v="0"/>
  </r>
  <r>
    <x v="214"/>
    <s v="HWM"/>
    <s v="on 2/13/25 Before Market Eastern Standard Time"/>
    <x v="3"/>
  </r>
  <r>
    <x v="214"/>
    <s v="SONY"/>
    <s v="on 2/13/25 Before Market Eastern Standard Time"/>
    <x v="0"/>
  </r>
  <r>
    <x v="214"/>
    <s v="CEVA"/>
    <s v="on 2/13/25 Before Market Eastern Standard Time"/>
    <x v="1"/>
  </r>
  <r>
    <x v="214"/>
    <s v="NSRGY"/>
    <s v="on 2/13/25 Unspecified Eastern Standard Time"/>
    <x v="0"/>
  </r>
  <r>
    <x v="214"/>
    <s v="ORANY"/>
    <s v="on 2/13/25 Before Market Eastern Standard Time"/>
    <x v="0"/>
  </r>
  <r>
    <x v="214"/>
    <s v="BTI"/>
    <s v="on 2/13/25 Unspecified Eastern Standard Time"/>
    <x v="0"/>
  </r>
  <r>
    <x v="214"/>
    <s v="GMGI"/>
    <s v="on 2/13/25 Before Market Eastern Standard Time"/>
    <x v="0"/>
  </r>
  <r>
    <x v="214"/>
    <s v="GPN"/>
    <s v="on 2/13/25 Before Market Eastern Standard Time"/>
    <x v="3"/>
  </r>
  <r>
    <x v="214"/>
    <s v="WEN"/>
    <s v="on 2/13/25 Before Market Eastern Standard Time"/>
    <x v="2"/>
  </r>
  <r>
    <x v="214"/>
    <s v="YETI"/>
    <s v="on 2/13/25 Before Market Eastern Standard Time"/>
    <x v="2"/>
  </r>
  <r>
    <x v="214"/>
    <s v="CYBR"/>
    <s v="on 2/13/25 Before Market Eastern Standard Time"/>
    <x v="0"/>
  </r>
  <r>
    <x v="214"/>
    <s v="GTX"/>
    <s v="on 2/13/25 Before Market Eastern Standard Time"/>
    <x v="0"/>
  </r>
  <r>
    <x v="214"/>
    <s v="BTU"/>
    <s v="on 2/13/25 Before Market Eastern Standard Time"/>
    <x v="1"/>
  </r>
  <r>
    <x v="214"/>
    <s v="ASX"/>
    <s v="on 2/13/25 Before Market Eastern Standard Time"/>
    <x v="0"/>
  </r>
  <r>
    <x v="214"/>
    <s v="HOUS"/>
    <s v="on 2/13/25 Before Market Eastern Standard Time"/>
    <x v="1"/>
  </r>
  <r>
    <x v="214"/>
    <s v="NMTC"/>
    <s v="on 2/13/25 Before Market Eastern Standard Time"/>
    <x v="0"/>
  </r>
  <r>
    <x v="214"/>
    <s v="CPAC"/>
    <s v="on 2/13/25 Unspecified Eastern Standard Time"/>
    <x v="0"/>
  </r>
  <r>
    <x v="214"/>
    <s v="BCS"/>
    <s v="on 2/13/25 Before Market Eastern Standard Time"/>
    <x v="0"/>
  </r>
  <r>
    <x v="214"/>
    <s v="LECO"/>
    <s v="on 2/13/25 Before Market Eastern Standard Time"/>
    <x v="2"/>
  </r>
  <r>
    <x v="214"/>
    <s v="DUK"/>
    <s v="on 2/13/25 Before Market Eastern Standard Time"/>
    <x v="3"/>
  </r>
  <r>
    <x v="214"/>
    <s v="ARCH"/>
    <s v="on 2/13/25 Before Market Eastern Standard Time"/>
    <x v="1"/>
  </r>
  <r>
    <x v="214"/>
    <s v="ATUS"/>
    <s v="on 2/13/25 Before Market Eastern Standard Time"/>
    <x v="0"/>
  </r>
  <r>
    <x v="214"/>
    <s v="AEP"/>
    <s v="on 2/13/25 Before Market Eastern Standard Time"/>
    <x v="3"/>
  </r>
  <r>
    <x v="214"/>
    <s v="NVMI"/>
    <s v="on 2/13/25 Before Market Eastern Standard Time"/>
    <x v="0"/>
  </r>
  <r>
    <x v="214"/>
    <s v="CVE"/>
    <s v="on 2/13/25 Before Market Eastern Standard Time"/>
    <x v="0"/>
  </r>
  <r>
    <x v="214"/>
    <s v="STNG"/>
    <s v="on 2/13/25 Before Market Eastern Standard Time"/>
    <x v="1"/>
  </r>
  <r>
    <x v="214"/>
    <s v="TRU"/>
    <s v="on 2/13/25 Before Market Eastern Standard Time"/>
    <x v="0"/>
  </r>
  <r>
    <x v="214"/>
    <s v="NTWK"/>
    <s v="on 2/13/25 Before Market Eastern Standard Time"/>
    <x v="0"/>
  </r>
  <r>
    <x v="214"/>
    <s v="BNT"/>
    <s v="on 2/13/25 Before Market Eastern Standard Time"/>
    <x v="0"/>
  </r>
  <r>
    <x v="214"/>
    <s v="GEL"/>
    <s v="on 2/13/25 Before Market Eastern Standard Time"/>
    <x v="0"/>
  </r>
  <r>
    <x v="214"/>
    <s v="BTOC"/>
    <s v="on 2/13/25 Before Market Eastern Standard Time"/>
    <x v="0"/>
  </r>
  <r>
    <x v="214"/>
    <s v="GGR"/>
    <s v="on 2/13/25 Before Market Eastern Standard Time"/>
    <x v="0"/>
  </r>
  <r>
    <x v="214"/>
    <s v="OTLK"/>
    <s v="on 2/13/25 Before Market Eastern Standard Time"/>
    <x v="0"/>
  </r>
  <r>
    <x v="215"/>
    <s v="UBCP"/>
    <s v="on 2/13/25 During Market Eastern Standard Time"/>
    <x v="0"/>
  </r>
  <r>
    <x v="216"/>
    <s v="ALVR"/>
    <s v="on 2/13/25 After Market Eastern Standard Time"/>
    <x v="0"/>
  </r>
  <r>
    <x v="216"/>
    <s v="AEMD"/>
    <s v="on 2/13/25 After Market Eastern Standard Time"/>
    <x v="0"/>
  </r>
  <r>
    <x v="216"/>
    <s v="FBRT"/>
    <s v="on 2/13/25 After Market Eastern Standard Time"/>
    <x v="1"/>
  </r>
  <r>
    <x v="216"/>
    <s v="RSSS"/>
    <s v="on 2/13/25 After Market Eastern Standard Time"/>
    <x v="0"/>
  </r>
  <r>
    <x v="216"/>
    <s v="COIN"/>
    <s v="on 2/13/25 After Market Eastern Standard Time"/>
    <x v="0"/>
  </r>
  <r>
    <x v="216"/>
    <s v="MVBF"/>
    <s v="on 2/13/25 After Market Eastern Standard Time"/>
    <x v="1"/>
  </r>
  <r>
    <x v="216"/>
    <s v="AEE"/>
    <s v="on 2/13/25 After Market Eastern Standard Time"/>
    <x v="3"/>
  </r>
  <r>
    <x v="216"/>
    <s v="GEG"/>
    <s v="on 2/13/25 After Market Eastern Standard Time"/>
    <x v="0"/>
  </r>
  <r>
    <x v="216"/>
    <s v="VVI"/>
    <s v="on 2/13/25 After Market Eastern Standard Time"/>
    <x v="1"/>
  </r>
  <r>
    <x v="216"/>
    <s v="BLZE"/>
    <s v="on 2/13/25 After Market Eastern Standard Time"/>
    <x v="1"/>
  </r>
  <r>
    <x v="216"/>
    <s v="HCC"/>
    <s v="on 2/13/25 After Market Eastern Standard Time"/>
    <x v="1"/>
  </r>
  <r>
    <x v="216"/>
    <s v="TRAK"/>
    <s v="on 2/13/25 After Market Eastern Standard Time"/>
    <x v="1"/>
  </r>
  <r>
    <x v="216"/>
    <s v="RSG"/>
    <s v="on 2/13/25 After Market Eastern Standard Time"/>
    <x v="3"/>
  </r>
  <r>
    <x v="216"/>
    <s v="RARE"/>
    <s v="on 2/13/25 After Market Eastern Standard Time"/>
    <x v="0"/>
  </r>
  <r>
    <x v="216"/>
    <s v="CAE"/>
    <s v="on 2/13/25 After Market Eastern Standard Time"/>
    <x v="0"/>
  </r>
  <r>
    <x v="216"/>
    <s v="YCBD"/>
    <s v="on 2/13/25 After Market Eastern Standard Time"/>
    <x v="0"/>
  </r>
  <r>
    <x v="216"/>
    <s v="CVM"/>
    <s v="on 2/13/25 After Market Eastern Standard Time"/>
    <x v="0"/>
  </r>
  <r>
    <x v="216"/>
    <s v="CNVS"/>
    <s v="on 2/13/25 After Market Eastern Standard Time"/>
    <x v="0"/>
  </r>
  <r>
    <x v="216"/>
    <s v="OMCC"/>
    <s v="on 2/13/25 After Market Eastern Standard Time"/>
    <x v="0"/>
  </r>
  <r>
    <x v="216"/>
    <s v="PDM"/>
    <s v="on 2/13/25 After Market Eastern Standard Time"/>
    <x v="1"/>
  </r>
  <r>
    <x v="216"/>
    <s v="TTD"/>
    <s v="on 2/13/25 After Market Eastern Standard Time"/>
    <x v="4"/>
  </r>
  <r>
    <x v="216"/>
    <s v="LTC"/>
    <s v="on 2/13/25 After Market Eastern Standard Time"/>
    <x v="1"/>
  </r>
  <r>
    <x v="216"/>
    <s v="BIO"/>
    <s v="on 2/13/25 After Market Eastern Standard Time"/>
    <x v="2"/>
  </r>
  <r>
    <x v="216"/>
    <s v="CORT"/>
    <s v="on 2/13/25 After Market Eastern Standard Time"/>
    <x v="1"/>
  </r>
  <r>
    <x v="216"/>
    <s v="ELME"/>
    <s v="on 2/13/25 After Market Eastern Standard Time"/>
    <x v="1"/>
  </r>
  <r>
    <x v="216"/>
    <s v="CTRE"/>
    <s v="on 2/13/25 After Market Eastern Standard Time"/>
    <x v="1"/>
  </r>
  <r>
    <x v="216"/>
    <s v="IREN"/>
    <s v="on 2/13/25 After Market Eastern Standard Time"/>
    <x v="0"/>
  </r>
  <r>
    <x v="216"/>
    <s v="AL"/>
    <s v="on 2/13/25 After Market Eastern Standard Time"/>
    <x v="0"/>
  </r>
  <r>
    <x v="216"/>
    <s v="POCI"/>
    <s v="on 2/13/25 After Market Eastern Standard Time"/>
    <x v="0"/>
  </r>
  <r>
    <x v="216"/>
    <s v="PXLW"/>
    <s v="on 2/13/25 After Market Eastern Standard Time"/>
    <x v="0"/>
  </r>
  <r>
    <x v="216"/>
    <s v="BLIN"/>
    <s v="on 2/13/25 After Market Eastern Standard Time"/>
    <x v="0"/>
  </r>
  <r>
    <x v="216"/>
    <s v="HTGC"/>
    <s v="on 2/13/25 After Market Eastern Standard Time"/>
    <x v="0"/>
  </r>
  <r>
    <x v="216"/>
    <s v="DKNG"/>
    <s v="on 2/13/25 After Market Eastern Standard Time"/>
    <x v="0"/>
  </r>
  <r>
    <x v="216"/>
    <s v="ABAT"/>
    <s v="on 2/13/25 After Market Eastern Standard Time"/>
    <x v="0"/>
  </r>
  <r>
    <x v="216"/>
    <s v="IR"/>
    <s v="on 2/13/25 After Market Eastern Standard Time"/>
    <x v="3"/>
  </r>
  <r>
    <x v="216"/>
    <s v="COHU"/>
    <s v="on 2/13/25 After Market Eastern Standard Time"/>
    <x v="1"/>
  </r>
  <r>
    <x v="216"/>
    <s v="AEM"/>
    <s v="on 2/13/25 After Market Eastern Standard Time"/>
    <x v="0"/>
  </r>
  <r>
    <x v="216"/>
    <s v="UFCS"/>
    <s v="on 2/13/25 After Market Eastern Standard Time"/>
    <x v="1"/>
  </r>
  <r>
    <x v="216"/>
    <s v="TWLO"/>
    <s v="on 2/13/25 After Market Eastern Standard Time"/>
    <x v="0"/>
  </r>
  <r>
    <x v="216"/>
    <s v="KNSL"/>
    <s v="on 2/13/25 After Market Eastern Standard Time"/>
    <x v="2"/>
  </r>
  <r>
    <x v="216"/>
    <s v="GLOB"/>
    <s v="on 2/13/25 After Market Eastern Standard Time"/>
    <x v="0"/>
  </r>
  <r>
    <x v="216"/>
    <s v="INFA"/>
    <s v="on 2/13/25 After Market Eastern Standard Time"/>
    <x v="0"/>
  </r>
  <r>
    <x v="216"/>
    <s v="ELTP"/>
    <s v="on 2/13/25 After Market Eastern Standard Time"/>
    <x v="0"/>
  </r>
  <r>
    <x v="216"/>
    <s v="TSLX"/>
    <s v="on 2/13/25 After Market Eastern Standard Time"/>
    <x v="0"/>
  </r>
  <r>
    <x v="216"/>
    <s v="NRIX"/>
    <s v="on 2/13/25 After Market Eastern Standard Time"/>
    <x v="1"/>
  </r>
  <r>
    <x v="216"/>
    <s v="ROKU"/>
    <s v="on 2/13/25 After Market Eastern Standard Time"/>
    <x v="0"/>
  </r>
  <r>
    <x v="216"/>
    <s v="DXCM"/>
    <s v="on 2/13/25 After Market Eastern Standard Time"/>
    <x v="3"/>
  </r>
  <r>
    <x v="216"/>
    <s v="OPI"/>
    <s v="on 2/13/25 After Market Eastern Standard Time"/>
    <x v="0"/>
  </r>
  <r>
    <x v="216"/>
    <s v="PRI"/>
    <s v="on 2/13/25 After Market Eastern Standard Time"/>
    <x v="2"/>
  </r>
  <r>
    <x v="216"/>
    <s v="GNSS"/>
    <s v="on 2/13/25 After Market Eastern Standard Time"/>
    <x v="0"/>
  </r>
  <r>
    <x v="216"/>
    <s v="AMAT"/>
    <s v="on 2/13/25 After Market Eastern Standard Time"/>
    <x v="3"/>
  </r>
  <r>
    <x v="216"/>
    <s v="PRLD"/>
    <s v="on 2/13/25 After Market Eastern Standard Time"/>
    <x v="0"/>
  </r>
  <r>
    <x v="216"/>
    <s v="RCEL"/>
    <s v="on 2/13/25 After Market Eastern Standard Time"/>
    <x v="1"/>
  </r>
  <r>
    <x v="216"/>
    <s v="FRT"/>
    <s v="on 2/13/25 After Market Eastern Standard Time"/>
    <x v="3"/>
  </r>
  <r>
    <x v="216"/>
    <s v="FROG"/>
    <s v="on 2/13/25 After Market Eastern Standard Time"/>
    <x v="0"/>
  </r>
  <r>
    <x v="216"/>
    <s v="JOB"/>
    <s v="on 2/13/25 After Market Eastern Standard Time"/>
    <x v="0"/>
  </r>
  <r>
    <x v="216"/>
    <s v="YELP"/>
    <s v="on 2/13/25 After Market Eastern Standard Time"/>
    <x v="1"/>
  </r>
  <r>
    <x v="216"/>
    <s v="VRAR"/>
    <s v="on 2/13/25 After Market Eastern Standard Time"/>
    <x v="0"/>
  </r>
  <r>
    <x v="216"/>
    <s v="UDMY"/>
    <s v="on 2/13/25 After Market Eastern Standard Time"/>
    <x v="1"/>
  </r>
  <r>
    <x v="216"/>
    <s v="ASND"/>
    <s v="on 2/13/25 After Market Eastern Standard Time"/>
    <x v="0"/>
  </r>
  <r>
    <x v="216"/>
    <s v="DVA"/>
    <s v="on 2/13/25 After Market Eastern Standard Time"/>
    <x v="3"/>
  </r>
  <r>
    <x v="216"/>
    <s v="HE"/>
    <s v="on 2/13/25 After Market Eastern Standard Time"/>
    <x v="1"/>
  </r>
  <r>
    <x v="216"/>
    <s v="NUS"/>
    <s v="on 2/13/25 After Market Eastern Standard Time"/>
    <x v="1"/>
  </r>
  <r>
    <x v="216"/>
    <s v="KN"/>
    <s v="on 2/13/25 After Market Eastern Standard Time"/>
    <x v="1"/>
  </r>
  <r>
    <x v="216"/>
    <s v="WYNN"/>
    <s v="on 2/13/25 After Market Eastern Standard Time"/>
    <x v="3"/>
  </r>
  <r>
    <x v="216"/>
    <s v="DLR"/>
    <s v="on 2/13/25 After Market Eastern Standard Time"/>
    <x v="3"/>
  </r>
  <r>
    <x v="216"/>
    <s v="CPS"/>
    <s v="on 2/13/25 After Market Eastern Standard Time"/>
    <x v="1"/>
  </r>
  <r>
    <x v="216"/>
    <s v="PDFS"/>
    <s v="on 2/13/25 After Market Eastern Standard Time"/>
    <x v="1"/>
  </r>
  <r>
    <x v="216"/>
    <s v="SUUN"/>
    <s v="on 2/13/25 After Market Eastern Standard Time"/>
    <x v="0"/>
  </r>
  <r>
    <x v="216"/>
    <s v="GDDY"/>
    <s v="on 2/13/25 After Market Eastern Standard Time"/>
    <x v="3"/>
  </r>
  <r>
    <x v="216"/>
    <s v="PRSU"/>
    <s v="on 2/13/25 After Market Eastern Standard Time"/>
    <x v="0"/>
  </r>
  <r>
    <x v="216"/>
    <s v="BE"/>
    <s v="on 2/13/25 After Market Eastern Standard Time"/>
    <x v="1"/>
  </r>
  <r>
    <x v="216"/>
    <s v="PCOR"/>
    <s v="on 2/13/25 After Market Eastern Standard Time"/>
    <x v="0"/>
  </r>
  <r>
    <x v="217"/>
    <s v="AXL"/>
    <s v="on 2/14/25 Before Market Eastern Standard Time"/>
    <x v="1"/>
  </r>
  <r>
    <x v="217"/>
    <s v="TDS"/>
    <s v="on 2/14/25 Before Market Eastern Standard Time"/>
    <x v="1"/>
  </r>
  <r>
    <x v="217"/>
    <s v="MRNA"/>
    <s v="on 2/14/25 Before Market Eastern Standard Time"/>
    <x v="3"/>
  </r>
  <r>
    <x v="217"/>
    <s v="FTS"/>
    <s v="on 2/14/25 Before Market Eastern Standard Time"/>
    <x v="0"/>
  </r>
  <r>
    <x v="217"/>
    <s v="SAFRY"/>
    <s v="on 2/14/25 Unspecified Eastern Standard Time"/>
    <x v="0"/>
  </r>
  <r>
    <x v="217"/>
    <s v="DTM"/>
    <s v="on 2/14/25 Before Market Eastern Standard Time"/>
    <x v="2"/>
  </r>
  <r>
    <x v="217"/>
    <s v="HESAY"/>
    <s v="on 2/14/25 Unspecified Eastern Standard Time"/>
    <x v="0"/>
  </r>
  <r>
    <x v="217"/>
    <s v="CCEP"/>
    <s v="on 2/14/25 Before Market Eastern Standard Time"/>
    <x v="4"/>
  </r>
  <r>
    <x v="217"/>
    <s v="TKOMY"/>
    <s v="on 2/14/25 Unspecified Eastern Standard Time"/>
    <x v="0"/>
  </r>
  <r>
    <x v="217"/>
    <s v="MGA"/>
    <s v="on 2/14/25 Before Market Eastern Standard Time"/>
    <x v="0"/>
  </r>
  <r>
    <x v="217"/>
    <s v="BGC"/>
    <s v="on 2/14/25 Before Market Eastern Standard Time"/>
    <x v="1"/>
  </r>
  <r>
    <x v="217"/>
    <s v="EPIX"/>
    <s v="on 2/14/25 Before Market Eastern Standard Time"/>
    <x v="0"/>
  </r>
  <r>
    <x v="217"/>
    <s v="THS"/>
    <s v="on 2/14/25 Before Market Eastern Standard Time"/>
    <x v="1"/>
  </r>
  <r>
    <x v="217"/>
    <s v="TRP"/>
    <s v="on 2/14/25 Before Market Eastern Standard Time"/>
    <x v="0"/>
  </r>
  <r>
    <x v="217"/>
    <s v="USM"/>
    <s v="on 2/14/25 Before Market Eastern Standard Time"/>
    <x v="0"/>
  </r>
  <r>
    <x v="217"/>
    <s v="SXT"/>
    <s v="on 2/14/25 Before Market Eastern Standard Time"/>
    <x v="1"/>
  </r>
  <r>
    <x v="217"/>
    <s v="LBRDK"/>
    <s v="on 2/14/25 Before Market Eastern Standard Time"/>
    <x v="0"/>
  </r>
  <r>
    <x v="217"/>
    <s v="CNK"/>
    <s v="on 2/14/25 Before Market Eastern Standard Time"/>
    <x v="1"/>
  </r>
  <r>
    <x v="217"/>
    <s v="ESNT"/>
    <s v="on 2/14/25 Before Market Eastern Standard Time"/>
    <x v="1"/>
  </r>
  <r>
    <x v="217"/>
    <s v="POR"/>
    <s v="on 2/14/25 Before Market Eastern Standard Time"/>
    <x v="1"/>
  </r>
  <r>
    <x v="217"/>
    <s v="B"/>
    <s v="on 2/14/25 Before Market Eastern Standard Time"/>
    <x v="1"/>
  </r>
  <r>
    <x v="217"/>
    <s v="SMCAY"/>
    <s v="on 2/14/25 Unspecified Eastern Standard Time"/>
    <x v="0"/>
  </r>
  <r>
    <x v="217"/>
    <s v="GRVY"/>
    <s v="on 2/14/25 Before Market Eastern Standard Time"/>
    <x v="0"/>
  </r>
  <r>
    <x v="217"/>
    <s v="NHYDY"/>
    <s v="on 2/14/25 Before Market Eastern Standard Time"/>
    <x v="0"/>
  </r>
  <r>
    <x v="217"/>
    <s v="NMRK"/>
    <s v="on 2/14/25 Before Market Eastern Standard Time"/>
    <x v="1"/>
  </r>
  <r>
    <x v="217"/>
    <s v="TBN"/>
    <s v="on 2/14/25 Before Market Eastern Standard Time"/>
    <x v="0"/>
  </r>
  <r>
    <x v="217"/>
    <s v="NWG"/>
    <s v="on 2/14/25 Before Market Eastern Standard Time"/>
    <x v="0"/>
  </r>
  <r>
    <x v="217"/>
    <s v="LBRDA"/>
    <s v="on 2/14/25 Before Market Eastern Standard Time"/>
    <x v="0"/>
  </r>
  <r>
    <x v="217"/>
    <s v="AMCX"/>
    <s v="on 2/14/25 Before Market Eastern Standard Time"/>
    <x v="1"/>
  </r>
  <r>
    <x v="217"/>
    <s v="ENB"/>
    <s v="on 2/14/25 Before Market Eastern Standard Time"/>
    <x v="0"/>
  </r>
  <r>
    <x v="217"/>
    <s v="LBRDB"/>
    <s v="on 2/14/25 Before Market Eastern Standard Time"/>
    <x v="0"/>
  </r>
  <r>
    <x v="217"/>
    <s v="JPPHY"/>
    <s v="on 2/14/25 Unspecified Eastern Standard Time"/>
    <x v="0"/>
  </r>
  <r>
    <x v="218"/>
    <s v="TGL"/>
    <s v="on 2/14/25 During Market Eastern Standard Time"/>
    <x v="0"/>
  </r>
  <r>
    <x v="219"/>
    <s v="ICMB"/>
    <s v="on 2/14/25 After Market Eastern Standard Time"/>
    <x v="0"/>
  </r>
  <r>
    <x v="219"/>
    <s v="RZLT"/>
    <s v="on 2/14/25 After Market Eastern Standard Time"/>
    <x v="0"/>
  </r>
  <r>
    <x v="219"/>
    <s v="ELMD"/>
    <s v="on 2/14/25 After Market Eastern Standard Time"/>
    <x v="0"/>
  </r>
  <r>
    <x v="219"/>
    <s v="FLYE"/>
    <s v="on 2/14/25 After Market Eastern Standard Time"/>
    <x v="0"/>
  </r>
  <r>
    <x v="219"/>
    <s v="NAII"/>
    <s v="on 2/14/25 After Market Eastern Standard Time"/>
    <x v="0"/>
  </r>
  <r>
    <x v="219"/>
    <s v="NPK"/>
    <s v="on 2/14/25 After Market Eastern Standard Time"/>
    <x v="1"/>
  </r>
  <r>
    <x v="219"/>
    <s v="TR"/>
    <s v="on 2/14/25 After Market Eastern Standard Time"/>
    <x v="0"/>
  </r>
  <r>
    <x v="219"/>
    <s v="MOBX"/>
    <s v="on 2/14/25 After Market Eastern Standard Time"/>
    <x v="0"/>
  </r>
  <r>
    <x v="219"/>
    <s v="ATGN"/>
    <s v="on 2/14/25 After Market Eastern Standard Time"/>
    <x v="0"/>
  </r>
  <r>
    <x v="219"/>
    <s v="LTRPA"/>
    <s v="on 2/14/25 After Market Eastern Standard Time"/>
    <x v="0"/>
  </r>
  <r>
    <x v="219"/>
    <s v="LTRPB"/>
    <s v="on 2/14/25 After Market Eastern Standard Time"/>
    <x v="0"/>
  </r>
  <r>
    <x v="219"/>
    <s v="FEAM"/>
    <s v="on 2/14/25 After Market Eastern Standard Time"/>
    <x v="0"/>
  </r>
  <r>
    <x v="219"/>
    <s v="IPW"/>
    <s v="on 2/14/25 After Market Eastern Standard Time"/>
    <x v="0"/>
  </r>
  <r>
    <x v="219"/>
    <s v="MEIP"/>
    <s v="on 2/14/25 After Market Eastern Standard Time"/>
    <x v="0"/>
  </r>
  <r>
    <x v="219"/>
    <s v="BIVI"/>
    <s v="on 2/14/25 After Market Eastern Standard Time"/>
    <x v="0"/>
  </r>
  <r>
    <x v="220"/>
    <s v="AJX"/>
    <s v="on 2/17/25 Before Market Eastern Standard Time"/>
    <x v="0"/>
  </r>
  <r>
    <x v="220"/>
    <s v="TRMB"/>
    <s v="on 2/17/25 Before Market Eastern Standard Time"/>
    <x v="3"/>
  </r>
  <r>
    <x v="220"/>
    <s v="BRDCY"/>
    <s v="on 2/17/25 Unspecified Eastern Standard Time"/>
    <x v="0"/>
  </r>
  <r>
    <x v="221"/>
    <s v="HUN"/>
    <s v="on 2/17/25 After Market Eastern Standard Time"/>
    <x v="0"/>
  </r>
  <r>
    <x v="221"/>
    <s v="LSCC"/>
    <s v="on 2/17/25 After Market Eastern Standard Time"/>
    <x v="2"/>
  </r>
  <r>
    <x v="221"/>
    <s v="BHP"/>
    <s v="on 2/17/25 After Market Eastern Standard Time"/>
    <x v="0"/>
  </r>
  <r>
    <x v="221"/>
    <s v="JELD"/>
    <s v="on 2/17/25 After Market Eastern Standard Time"/>
    <x v="1"/>
  </r>
  <r>
    <x v="222"/>
    <s v="OMI"/>
    <s v="on 2/18/25 Before Market Eastern Standard Time"/>
    <x v="1"/>
  </r>
  <r>
    <x v="222"/>
    <s v="ALLE"/>
    <s v="on 2/18/25 Before Market Eastern Standard Time"/>
    <x v="3"/>
  </r>
  <r>
    <x v="222"/>
    <s v="HLMN"/>
    <s v="on 2/18/25 Before Market Eastern Standard Time"/>
    <x v="1"/>
  </r>
  <r>
    <x v="222"/>
    <s v="CBDBY"/>
    <s v="on 2/18/25 Unspecified Eastern Standard Time"/>
    <x v="0"/>
  </r>
  <r>
    <x v="222"/>
    <s v="EXPD"/>
    <s v="on 2/18/25 Before Market Eastern Standard Time"/>
    <x v="3"/>
  </r>
  <r>
    <x v="222"/>
    <s v="FUFU"/>
    <s v="on 2/18/25 Before Market Eastern Standard Time"/>
    <x v="0"/>
  </r>
  <r>
    <x v="222"/>
    <s v="VC"/>
    <s v="on 2/18/25 Before Market Eastern Standard Time"/>
    <x v="1"/>
  </r>
  <r>
    <x v="222"/>
    <s v="MDT"/>
    <s v="on 2/18/25 Before Market Eastern Standard Time"/>
    <x v="3"/>
  </r>
  <r>
    <x v="222"/>
    <s v="OIS"/>
    <s v="on 2/18/25 Before Market Eastern Standard Time"/>
    <x v="1"/>
  </r>
  <r>
    <x v="222"/>
    <s v="GIGI"/>
    <s v="on 2/18/25 Before Market Eastern Standard Time"/>
    <x v="0"/>
  </r>
  <r>
    <x v="222"/>
    <s v="IQ"/>
    <s v="on 2/18/25 Before Market Eastern Standard Time"/>
    <x v="0"/>
  </r>
  <r>
    <x v="222"/>
    <s v="WLK"/>
    <s v="on 2/18/25 Before Market Eastern Standard Time"/>
    <x v="2"/>
  </r>
  <r>
    <x v="222"/>
    <s v="BIDU"/>
    <s v="on 2/18/25 Before Market Eastern Standard Time"/>
    <x v="0"/>
  </r>
  <r>
    <x v="222"/>
    <s v="FELE"/>
    <s v="on 2/18/25 Before Market Eastern Standard Time"/>
    <x v="1"/>
  </r>
  <r>
    <x v="222"/>
    <s v="BCYC"/>
    <s v="on 2/18/25 Before Market Eastern Standard Time"/>
    <x v="0"/>
  </r>
  <r>
    <x v="222"/>
    <s v="VMC"/>
    <s v="on 2/18/25 Before Market Eastern Standard Time"/>
    <x v="3"/>
  </r>
  <r>
    <x v="222"/>
    <s v="TPH"/>
    <s v="on 2/18/25 Before Market Eastern Standard Time"/>
    <x v="1"/>
  </r>
  <r>
    <x v="222"/>
    <s v="AXSM"/>
    <s v="on 2/18/25 Before Market Eastern Standard Time"/>
    <x v="1"/>
  </r>
  <r>
    <x v="222"/>
    <s v="ETR"/>
    <s v="on 2/18/25 Before Market Eastern Standard Time"/>
    <x v="3"/>
  </r>
  <r>
    <x v="222"/>
    <s v="CAMT"/>
    <s v="on 2/18/25 Before Market Eastern Standard Time"/>
    <x v="0"/>
  </r>
  <r>
    <x v="222"/>
    <s v="GTE"/>
    <s v="on 2/18/25 Unspecified Eastern Standard Time"/>
    <x v="0"/>
  </r>
  <r>
    <x v="222"/>
    <s v="NEO"/>
    <s v="on 2/18/25 Unspecified Eastern Standard Time"/>
    <x v="1"/>
  </r>
  <r>
    <x v="222"/>
    <s v="FLR"/>
    <s v="on 2/18/25 Before Market Eastern Standard Time"/>
    <x v="1"/>
  </r>
  <r>
    <x v="222"/>
    <s v="IDYA"/>
    <s v="on 2/18/25 Before Market Eastern Standard Time"/>
    <x v="1"/>
  </r>
  <r>
    <x v="222"/>
    <s v="IHG"/>
    <s v="on 2/18/25 Before Market Eastern Standard Time"/>
    <x v="0"/>
  </r>
  <r>
    <x v="222"/>
    <s v="TMICY"/>
    <s v="on 2/18/25 Before Market Eastern Standard Time"/>
    <x v="0"/>
  </r>
  <r>
    <x v="222"/>
    <s v="WLKP"/>
    <s v="on 2/18/25 Before Market Eastern Standard Time"/>
    <x v="0"/>
  </r>
  <r>
    <x v="222"/>
    <s v="BYON"/>
    <s v="on 2/18/25 Before Market Eastern Standard Time"/>
    <x v="1"/>
  </r>
  <r>
    <x v="222"/>
    <s v="MIDD"/>
    <s v="on 2/18/25 Before Market Eastern Standard Time"/>
    <x v="2"/>
  </r>
  <r>
    <x v="222"/>
    <s v="ALE"/>
    <s v="on 2/18/25 Before Market Eastern Standard Time"/>
    <x v="1"/>
  </r>
  <r>
    <x v="222"/>
    <s v="DRD"/>
    <s v="on 2/18/25 Unspecified Eastern Standard Time"/>
    <x v="0"/>
  </r>
  <r>
    <x v="222"/>
    <s v="AVNS"/>
    <s v="on 2/18/25 Before Market Eastern Standard Time"/>
    <x v="1"/>
  </r>
  <r>
    <x v="222"/>
    <s v="WGS"/>
    <s v="on 2/18/25 Before Market Eastern Standard Time"/>
    <x v="1"/>
  </r>
  <r>
    <x v="223"/>
    <s v="BRSP"/>
    <s v="on 2/18/25 After Market Eastern Standard Time"/>
    <x v="1"/>
  </r>
  <r>
    <x v="223"/>
    <s v="MATX"/>
    <s v="on 2/18/25 After Market Eastern Standard Time"/>
    <x v="1"/>
  </r>
  <r>
    <x v="223"/>
    <s v="ANET"/>
    <s v="on 2/18/25 After Market Eastern Standard Time"/>
    <x v="3"/>
  </r>
  <r>
    <x v="223"/>
    <s v="AIP"/>
    <s v="on 2/18/25 After Market Eastern Standard Time"/>
    <x v="1"/>
  </r>
  <r>
    <x v="223"/>
    <s v="SAND"/>
    <s v="on 2/18/25 After Market Eastern Standard Time"/>
    <x v="0"/>
  </r>
  <r>
    <x v="223"/>
    <s v="EXE"/>
    <s v="on 2/18/25 After Market Eastern Standard Time"/>
    <x v="2"/>
  </r>
  <r>
    <x v="223"/>
    <s v="CSGP"/>
    <s v="on 2/18/25 After Market Eastern Standard Time"/>
    <x v="3"/>
  </r>
  <r>
    <x v="223"/>
    <s v="ILPT"/>
    <s v="on 2/18/25 After Market Eastern Standard Time"/>
    <x v="1"/>
  </r>
  <r>
    <x v="223"/>
    <s v="SKWD"/>
    <s v="on 2/18/25 After Market Eastern Standard Time"/>
    <x v="1"/>
  </r>
  <r>
    <x v="223"/>
    <s v="ENLC"/>
    <s v="on 2/18/25 After Market Eastern Standard Time"/>
    <x v="0"/>
  </r>
  <r>
    <x v="223"/>
    <s v="CIB"/>
    <s v="on 2/18/25 After Market Eastern Standard Time"/>
    <x v="0"/>
  </r>
  <r>
    <x v="223"/>
    <s v="HALO"/>
    <s v="on 2/18/25 After Market Eastern Standard Time"/>
    <x v="1"/>
  </r>
  <r>
    <x v="223"/>
    <s v="OXY"/>
    <s v="on 2/18/25 After Market Eastern Standard Time"/>
    <x v="3"/>
  </r>
  <r>
    <x v="223"/>
    <s v="IFF"/>
    <s v="on 2/18/25 After Market Eastern Standard Time"/>
    <x v="3"/>
  </r>
  <r>
    <x v="223"/>
    <s v="FOUR"/>
    <s v="on 2/18/25 After Market Eastern Standard Time"/>
    <x v="2"/>
  </r>
  <r>
    <x v="223"/>
    <s v="GENC"/>
    <s v="on 2/18/25 After Market Eastern Standard Time"/>
    <x v="1"/>
  </r>
  <r>
    <x v="223"/>
    <s v="LZB"/>
    <s v="on 2/18/25 After Market Eastern Standard Time"/>
    <x v="1"/>
  </r>
  <r>
    <x v="223"/>
    <s v="BXC"/>
    <s v="on 2/18/25 After Market Eastern Standard Time"/>
    <x v="1"/>
  </r>
  <r>
    <x v="223"/>
    <s v="CMTG"/>
    <s v="on 2/18/25 After Market Eastern Standard Time"/>
    <x v="1"/>
  </r>
  <r>
    <x v="223"/>
    <s v="CHCT"/>
    <s v="on 2/18/25 After Market Eastern Standard Time"/>
    <x v="1"/>
  </r>
  <r>
    <x v="223"/>
    <s v="KTOS"/>
    <s v="on 2/18/25 After Market Eastern Standard Time"/>
    <x v="1"/>
  </r>
  <r>
    <x v="223"/>
    <s v="MBC"/>
    <s v="on 2/18/25 After Market Eastern Standard Time"/>
    <x v="1"/>
  </r>
  <r>
    <x v="223"/>
    <s v="QUAD"/>
    <s v="on 2/18/25 After Market Eastern Standard Time"/>
    <x v="1"/>
  </r>
  <r>
    <x v="223"/>
    <s v="BKD"/>
    <s v="on 2/18/25 After Market Eastern Standard Time"/>
    <x v="1"/>
  </r>
  <r>
    <x v="223"/>
    <s v="TRTX"/>
    <s v="on 2/18/25 After Market Eastern Standard Time"/>
    <x v="1"/>
  </r>
  <r>
    <x v="223"/>
    <s v="MAX"/>
    <s v="on 2/18/25 After Market Eastern Standard Time"/>
    <x v="1"/>
  </r>
  <r>
    <x v="223"/>
    <s v="INST"/>
    <s v="on 2/18/25 After Market Eastern Standard Time"/>
    <x v="0"/>
  </r>
  <r>
    <x v="223"/>
    <s v="EQT"/>
    <s v="on 2/18/25 After Market Eastern Standard Time"/>
    <x v="3"/>
  </r>
  <r>
    <x v="223"/>
    <s v="ESI"/>
    <s v="on 2/18/25 After Market Eastern Standard Time"/>
    <x v="0"/>
  </r>
  <r>
    <x v="223"/>
    <s v="BL"/>
    <s v="on 2/18/25 After Market Eastern Standard Time"/>
    <x v="1"/>
  </r>
  <r>
    <x v="223"/>
    <s v="MGY"/>
    <s v="on 2/18/25 After Market Eastern Standard Time"/>
    <x v="1"/>
  </r>
  <r>
    <x v="223"/>
    <s v="AROC"/>
    <s v="on 2/18/25 After Market Eastern Standard Time"/>
    <x v="1"/>
  </r>
  <r>
    <x v="223"/>
    <s v="HCKT"/>
    <s v="on 2/18/25 After Market Eastern Standard Time"/>
    <x v="1"/>
  </r>
  <r>
    <x v="223"/>
    <s v="SEVN"/>
    <s v="on 2/18/25 After Market Eastern Standard Time"/>
    <x v="0"/>
  </r>
  <r>
    <x v="223"/>
    <s v="SMLR"/>
    <s v="on 2/18/25 After Market Eastern Standard Time"/>
    <x v="1"/>
  </r>
  <r>
    <x v="223"/>
    <s v="LBTYK"/>
    <s v="on 2/18/25 After Market Eastern Standard Time"/>
    <x v="0"/>
  </r>
  <r>
    <x v="223"/>
    <s v="PEN"/>
    <s v="on 2/18/25 After Market Eastern Standard Time"/>
    <x v="2"/>
  </r>
  <r>
    <x v="223"/>
    <s v="NGVT"/>
    <s v="on 2/18/25 After Market Eastern Standard Time"/>
    <x v="1"/>
  </r>
  <r>
    <x v="223"/>
    <s v="SPNT"/>
    <s v="on 2/18/25 After Market Eastern Standard Time"/>
    <x v="1"/>
  </r>
  <r>
    <x v="223"/>
    <s v="RUSHB"/>
    <s v="on 2/18/25 After Market Eastern Standard Time"/>
    <x v="1"/>
  </r>
  <r>
    <x v="223"/>
    <s v="ENVX"/>
    <s v="on 2/18/25 After Market Eastern Standard Time"/>
    <x v="1"/>
  </r>
  <r>
    <x v="223"/>
    <s v="VTMX"/>
    <s v="on 2/18/25 After Market Eastern Standard Time"/>
    <x v="0"/>
  </r>
  <r>
    <x v="223"/>
    <s v="SEDG"/>
    <s v="on 2/18/25 After Market Eastern Standard Time"/>
    <x v="0"/>
  </r>
  <r>
    <x v="223"/>
    <s v="UFPI"/>
    <s v="on 2/18/25 After Market Eastern Standard Time"/>
    <x v="1"/>
  </r>
  <r>
    <x v="223"/>
    <s v="WSC"/>
    <s v="on 2/18/25 After Market Eastern Standard Time"/>
    <x v="0"/>
  </r>
  <r>
    <x v="223"/>
    <s v="CLW"/>
    <s v="on 2/18/25 After Market Eastern Standard Time"/>
    <x v="1"/>
  </r>
  <r>
    <x v="223"/>
    <s v="RUSHA"/>
    <s v="on 2/18/25 After Market Eastern Standard Time"/>
    <x v="1"/>
  </r>
  <r>
    <x v="223"/>
    <s v="MED"/>
    <s v="on 2/18/25 After Market Eastern Standard Time"/>
    <x v="1"/>
  </r>
  <r>
    <x v="223"/>
    <s v="TX"/>
    <s v="on 2/18/25 After Market Eastern Standard Time"/>
    <x v="0"/>
  </r>
  <r>
    <x v="223"/>
    <s v="JBGS"/>
    <s v="on 2/18/25 After Market Eastern Standard Time"/>
    <x v="1"/>
  </r>
  <r>
    <x v="223"/>
    <s v="IOSP"/>
    <s v="on 2/18/25 After Market Eastern Standard Time"/>
    <x v="1"/>
  </r>
  <r>
    <x v="223"/>
    <s v="CE"/>
    <s v="on 2/18/25 After Market Eastern Standard Time"/>
    <x v="3"/>
  </r>
  <r>
    <x v="223"/>
    <s v="CDNS"/>
    <s v="on 2/18/25 After Market Eastern Standard Time"/>
    <x v="3"/>
  </r>
  <r>
    <x v="223"/>
    <s v="FLS"/>
    <s v="on 2/18/25 After Market Eastern Standard Time"/>
    <x v="2"/>
  </r>
  <r>
    <x v="223"/>
    <s v="SSRM"/>
    <s v="on 2/18/25 After Market Eastern Standard Time"/>
    <x v="1"/>
  </r>
  <r>
    <x v="223"/>
    <s v="SON"/>
    <s v="on 2/18/25 After Market Eastern Standard Time"/>
    <x v="2"/>
  </r>
  <r>
    <x v="223"/>
    <s v="ANDE"/>
    <s v="on 2/18/25 After Market Eastern Standard Time"/>
    <x v="1"/>
  </r>
  <r>
    <x v="223"/>
    <s v="PSA"/>
    <s v="on 2/18/25 After Market Eastern Standard Time"/>
    <x v="3"/>
  </r>
  <r>
    <x v="223"/>
    <s v="LBTYA"/>
    <s v="on 2/18/25 After Market Eastern Standard Time"/>
    <x v="0"/>
  </r>
  <r>
    <x v="223"/>
    <s v="JHX"/>
    <s v="on 2/18/25 After Market Eastern Standard Time"/>
    <x v="0"/>
  </r>
  <r>
    <x v="223"/>
    <s v="JBT"/>
    <s v="on 2/18/25 After Market Eastern Standard Time"/>
    <x v="1"/>
  </r>
  <r>
    <x v="223"/>
    <s v="GOOD"/>
    <s v="on 2/18/25 After Market Eastern Standard Time"/>
    <x v="1"/>
  </r>
  <r>
    <x v="223"/>
    <s v="CRK"/>
    <s v="on 2/18/25 After Market Eastern Standard Time"/>
    <x v="1"/>
  </r>
  <r>
    <x v="223"/>
    <s v="MTTR"/>
    <s v="on 2/18/25 After Market Eastern Standard Time"/>
    <x v="1"/>
  </r>
  <r>
    <x v="223"/>
    <s v="LBTYB"/>
    <s v="on 2/18/25 After Market Eastern Standard Time"/>
    <x v="0"/>
  </r>
  <r>
    <x v="223"/>
    <s v="KEYS"/>
    <s v="on 2/18/25 After Market Eastern Standard Time"/>
    <x v="3"/>
  </r>
  <r>
    <x v="223"/>
    <s v="JBTM"/>
    <s v="on 2/18/25 After Market Eastern Standard Time"/>
    <x v="0"/>
  </r>
  <r>
    <x v="223"/>
    <s v="DVN"/>
    <s v="on 2/18/25 After Market Eastern Standard Time"/>
    <x v="3"/>
  </r>
  <r>
    <x v="223"/>
    <s v="RBA"/>
    <s v="on 2/18/25 After Market Eastern Standard Time"/>
    <x v="2"/>
  </r>
  <r>
    <x v="223"/>
    <s v="GNW"/>
    <s v="on 2/18/25 After Market Eastern Standard Time"/>
    <x v="1"/>
  </r>
  <r>
    <x v="223"/>
    <s v="TOL"/>
    <s v="on 2/18/25 After Market Eastern Standard Time"/>
    <x v="2"/>
  </r>
  <r>
    <x v="223"/>
    <s v="SBLK"/>
    <s v="on 2/18/25 After Market Eastern Standard Time"/>
    <x v="0"/>
  </r>
  <r>
    <x v="223"/>
    <s v="MTDR"/>
    <s v="on 2/18/25 After Market Eastern Standard Time"/>
    <x v="2"/>
  </r>
  <r>
    <x v="223"/>
    <s v="ADEA"/>
    <s v="on 2/18/25 After Market Eastern Standard Time"/>
    <x v="1"/>
  </r>
  <r>
    <x v="224"/>
    <s v="MFA"/>
    <s v="on 2/19/25 Before Market Eastern Standard Time"/>
    <x v="1"/>
  </r>
  <r>
    <x v="224"/>
    <s v="PERI"/>
    <s v="on 2/19/25 Before Market Eastern Standard Time"/>
    <x v="0"/>
  </r>
  <r>
    <x v="224"/>
    <s v="SSTK"/>
    <s v="on 2/19/25 Before Market Eastern Standard Time"/>
    <x v="1"/>
  </r>
  <r>
    <x v="224"/>
    <s v="ALKS"/>
    <s v="on 2/19/25 Before Market Eastern Standard Time"/>
    <x v="1"/>
  </r>
  <r>
    <x v="224"/>
    <s v="RGEN"/>
    <s v="on 2/19/25 Before Market Eastern Standard Time"/>
    <x v="2"/>
  </r>
  <r>
    <x v="224"/>
    <s v="VRSK"/>
    <s v="on 2/19/25 Before Market Eastern Standard Time"/>
    <x v="3"/>
  </r>
  <r>
    <x v="224"/>
    <s v="ASAI"/>
    <s v="on 2/19/25 Unspecified Eastern Standard Time"/>
    <x v="0"/>
  </r>
  <r>
    <x v="224"/>
    <s v="WWW"/>
    <s v="on 2/19/25 Before Market Eastern Standard Time"/>
    <x v="1"/>
  </r>
  <r>
    <x v="224"/>
    <s v="WFAFY"/>
    <s v="on 2/19/25 Unspecified Eastern Standard Time"/>
    <x v="0"/>
  </r>
  <r>
    <x v="224"/>
    <s v="CNDT"/>
    <s v="on 2/19/25 Before Market Eastern Standard Time"/>
    <x v="1"/>
  </r>
  <r>
    <x v="224"/>
    <s v="CLVT"/>
    <s v="on 2/19/25 Before Market Eastern Standard Time"/>
    <x v="0"/>
  </r>
  <r>
    <x v="224"/>
    <s v="GIL"/>
    <s v="on 2/19/25 Before Market Eastern Standard Time"/>
    <x v="0"/>
  </r>
  <r>
    <x v="224"/>
    <s v="TLGPY"/>
    <s v="on 2/19/25 Unspecified Eastern Standard Time"/>
    <x v="0"/>
  </r>
  <r>
    <x v="224"/>
    <s v="ATMU"/>
    <s v="on 2/19/25 Before Market Eastern Standard Time"/>
    <x v="1"/>
  </r>
  <r>
    <x v="224"/>
    <s v="XPRO"/>
    <s v="on 2/19/25 Before Market Eastern Standard Time"/>
    <x v="1"/>
  </r>
  <r>
    <x v="224"/>
    <s v="ZURVY"/>
    <s v="on 2/19/25 Unspecified Eastern Standard Time"/>
    <x v="0"/>
  </r>
  <r>
    <x v="224"/>
    <s v="PRG"/>
    <s v="on 2/19/25 Before Market Eastern Standard Time"/>
    <x v="1"/>
  </r>
  <r>
    <x v="224"/>
    <s v="THRM"/>
    <s v="on 2/19/25 Before Market Eastern Standard Time"/>
    <x v="1"/>
  </r>
  <r>
    <x v="224"/>
    <s v="RIO"/>
    <s v="on 2/19/25 Before Market Eastern Standard Time"/>
    <x v="0"/>
  </r>
  <r>
    <x v="224"/>
    <s v="OUT"/>
    <s v="on 2/19/25 Before Market Eastern Standard Time"/>
    <x v="1"/>
  </r>
  <r>
    <x v="224"/>
    <s v="UTHR"/>
    <s v="on 2/19/25 Before Market Eastern Standard Time"/>
    <x v="2"/>
  </r>
  <r>
    <x v="224"/>
    <s v="BLCO"/>
    <s v="on 2/19/25 Before Market Eastern Standard Time"/>
    <x v="0"/>
  </r>
  <r>
    <x v="224"/>
    <s v="LPX"/>
    <s v="on 2/19/25 Before Market Eastern Standard Time"/>
    <x v="2"/>
  </r>
  <r>
    <x v="224"/>
    <s v="PHG"/>
    <s v="on 2/19/25 Before Market Eastern Standard Time"/>
    <x v="0"/>
  </r>
  <r>
    <x v="224"/>
    <s v="ALIT"/>
    <s v="on 2/19/25 Before Market Eastern Standard Time"/>
    <x v="1"/>
  </r>
  <r>
    <x v="224"/>
    <s v="IONS"/>
    <s v="on 2/19/25 Before Market Eastern Standard Time"/>
    <x v="0"/>
  </r>
  <r>
    <x v="224"/>
    <s v="RNLSY"/>
    <s v="on 2/19/25 Before Market Eastern Standard Time"/>
    <x v="0"/>
  </r>
  <r>
    <x v="224"/>
    <s v="PSN"/>
    <s v="on 2/19/25 Before Market Eastern Standard Time"/>
    <x v="2"/>
  </r>
  <r>
    <x v="224"/>
    <s v="JLL"/>
    <s v="on 2/19/25 Before Market Eastern Standard Time"/>
    <x v="2"/>
  </r>
  <r>
    <x v="224"/>
    <s v="ESCA"/>
    <s v="on 2/19/25 Before Market Eastern Standard Time"/>
    <x v="0"/>
  </r>
  <r>
    <x v="224"/>
    <s v="HR"/>
    <s v="on 2/19/25 Before Market Eastern Standard Time"/>
    <x v="2"/>
  </r>
  <r>
    <x v="224"/>
    <s v="USAP"/>
    <s v="on 2/19/25 Before Market Eastern Standard Time"/>
    <x v="1"/>
  </r>
  <r>
    <x v="224"/>
    <s v="CMTOY"/>
    <s v="on 2/19/25 Before Market Eastern Standard Time"/>
    <x v="0"/>
  </r>
  <r>
    <x v="224"/>
    <s v="ADI"/>
    <s v="on 2/19/25 Before Market Eastern Standard Time"/>
    <x v="3"/>
  </r>
  <r>
    <x v="224"/>
    <s v="WING"/>
    <s v="on 2/19/25 Before Market Eastern Standard Time"/>
    <x v="2"/>
  </r>
  <r>
    <x v="224"/>
    <s v="WIX"/>
    <s v="on 2/19/25 Before Market Eastern Standard Time"/>
    <x v="0"/>
  </r>
  <r>
    <x v="224"/>
    <s v="CSTM"/>
    <s v="on 2/19/25 Before Market Eastern Standard Time"/>
    <x v="1"/>
  </r>
  <r>
    <x v="224"/>
    <s v="CRSP"/>
    <s v="on 2/19/25 Before Market Eastern Standard Time"/>
    <x v="0"/>
  </r>
  <r>
    <x v="224"/>
    <s v="APPN"/>
    <s v="on 2/19/25 Before Market Eastern Standard Time"/>
    <x v="1"/>
  </r>
  <r>
    <x v="224"/>
    <s v="BAESY"/>
    <s v="on 2/19/25 Unspecified Eastern Standard Time"/>
    <x v="0"/>
  </r>
  <r>
    <x v="224"/>
    <s v="GLNCY"/>
    <s v="on 2/19/25 Unspecified Eastern Standard Time"/>
    <x v="0"/>
  </r>
  <r>
    <x v="224"/>
    <s v="UOVEY"/>
    <s v="on 2/19/25 Unspecified Eastern Standard Time"/>
    <x v="0"/>
  </r>
  <r>
    <x v="224"/>
    <s v="TNL"/>
    <s v="on 2/19/25 Before Market Eastern Standard Time"/>
    <x v="2"/>
  </r>
  <r>
    <x v="224"/>
    <s v="GRMN"/>
    <s v="on 2/19/25 Before Market Eastern Standard Time"/>
    <x v="3"/>
  </r>
  <r>
    <x v="224"/>
    <s v="OGE"/>
    <s v="on 2/19/25 Before Market Eastern Standard Time"/>
    <x v="2"/>
  </r>
  <r>
    <x v="224"/>
    <s v="IART"/>
    <s v="on 2/19/25 Before Market Eastern Standard Time"/>
    <x v="1"/>
  </r>
  <r>
    <x v="224"/>
    <s v="GGB"/>
    <s v="on 2/19/25 Unspecified Eastern Standard Time"/>
    <x v="0"/>
  </r>
  <r>
    <x v="224"/>
    <s v="UFPT"/>
    <s v="on 2/19/25 Before Market Eastern Standard Time"/>
    <x v="1"/>
  </r>
  <r>
    <x v="224"/>
    <s v="PUMP"/>
    <s v="on 2/19/25 Before Market Eastern Standard Time"/>
    <x v="1"/>
  </r>
  <r>
    <x v="224"/>
    <s v="ASAIY"/>
    <s v="on 2/19/25 Unspecified Eastern Standard Time"/>
    <x v="0"/>
  </r>
  <r>
    <x v="224"/>
    <s v="HBM"/>
    <s v="on 2/19/25 Before Market Eastern Standard Time"/>
    <x v="0"/>
  </r>
  <r>
    <x v="224"/>
    <s v="HSBC"/>
    <s v="on 2/19/25 Before Market Eastern Standard Time"/>
    <x v="0"/>
  </r>
  <r>
    <x v="224"/>
    <s v="NBIS"/>
    <s v="on 2/19/25 Before Market Eastern Standard Time"/>
    <x v="0"/>
  </r>
  <r>
    <x v="224"/>
    <s v="CCAP"/>
    <s v="on 2/19/25 Before Market Eastern Standard Time"/>
    <x v="0"/>
  </r>
  <r>
    <x v="224"/>
    <s v="PLAB"/>
    <s v="on 2/19/25 Before Market Eastern Standard Time"/>
    <x v="1"/>
  </r>
  <r>
    <x v="224"/>
    <s v="CLH"/>
    <s v="on 2/19/25 Before Market Eastern Standard Time"/>
    <x v="2"/>
  </r>
  <r>
    <x v="224"/>
    <s v="DFIN"/>
    <s v="on 2/19/25 Before Market Eastern Standard Time"/>
    <x v="1"/>
  </r>
  <r>
    <x v="224"/>
    <s v="ROCK"/>
    <s v="on 2/19/25 Before Market Eastern Standard Time"/>
    <x v="1"/>
  </r>
  <r>
    <x v="225"/>
    <s v="WINA"/>
    <s v="on 2/19/25 During Market Eastern Standard Time"/>
    <x v="1"/>
  </r>
  <r>
    <x v="226"/>
    <s v="OFLX"/>
    <s v="on 2/19/25 After Market Eastern Standard Time"/>
    <x v="0"/>
  </r>
  <r>
    <x v="226"/>
    <s v="CENX"/>
    <s v="on 2/19/25 After Market Eastern Standard Time"/>
    <x v="1"/>
  </r>
  <r>
    <x v="226"/>
    <s v="OEC"/>
    <s v="on 2/19/25 After Market Eastern Standard Time"/>
    <x v="1"/>
  </r>
  <r>
    <x v="226"/>
    <s v="CDE"/>
    <s v="on 2/19/25 After Market Eastern Standard Time"/>
    <x v="1"/>
  </r>
  <r>
    <x v="226"/>
    <s v="SUI"/>
    <s v="on 2/19/25 After Market Eastern Standard Time"/>
    <x v="0"/>
  </r>
  <r>
    <x v="226"/>
    <s v="BELFB"/>
    <s v="on 2/19/25 After Market Eastern Standard Time"/>
    <x v="1"/>
  </r>
  <r>
    <x v="226"/>
    <s v="MORN"/>
    <s v="on 2/19/25 After Market Eastern Standard Time"/>
    <x v="2"/>
  </r>
  <r>
    <x v="226"/>
    <s v="ATNI"/>
    <s v="on 2/19/25 After Market Eastern Standard Time"/>
    <x v="1"/>
  </r>
  <r>
    <x v="226"/>
    <s v="VAL"/>
    <s v="on 2/19/25 After Market Eastern Standard Time"/>
    <x v="1"/>
  </r>
  <r>
    <x v="226"/>
    <s v="MATV"/>
    <s v="on 2/19/25 After Market Eastern Standard Time"/>
    <x v="1"/>
  </r>
  <r>
    <x v="226"/>
    <s v="BROS"/>
    <s v="on 2/19/25 After Market Eastern Standard Time"/>
    <x v="0"/>
  </r>
  <r>
    <x v="226"/>
    <s v="CVNA"/>
    <s v="on 2/19/25 After Market Eastern Standard Time"/>
    <x v="0"/>
  </r>
  <r>
    <x v="226"/>
    <s v="HST"/>
    <s v="on 2/19/25 After Market Eastern Standard Time"/>
    <x v="3"/>
  </r>
  <r>
    <x v="226"/>
    <s v="VMEO"/>
    <s v="on 2/19/25 After Market Eastern Standard Time"/>
    <x v="1"/>
  </r>
  <r>
    <x v="226"/>
    <s v="NYMT"/>
    <s v="on 2/19/25 After Market Eastern Standard Time"/>
    <x v="1"/>
  </r>
  <r>
    <x v="226"/>
    <s v="NTR"/>
    <s v="on 2/19/25 After Market Eastern Standard Time"/>
    <x v="0"/>
  </r>
  <r>
    <x v="226"/>
    <s v="AGI"/>
    <s v="on 2/19/25 After Market Eastern Standard Time"/>
    <x v="0"/>
  </r>
  <r>
    <x v="226"/>
    <s v="MCW"/>
    <s v="on 2/19/25 After Market Eastern Standard Time"/>
    <x v="1"/>
  </r>
  <r>
    <x v="226"/>
    <s v="OBDC"/>
    <s v="on 2/19/25 After Market Eastern Standard Time"/>
    <x v="0"/>
  </r>
  <r>
    <x v="226"/>
    <s v="CSV"/>
    <s v="on 2/19/25 After Market Eastern Standard Time"/>
    <x v="1"/>
  </r>
  <r>
    <x v="226"/>
    <s v="MCRI"/>
    <s v="on 2/19/25 After Market Eastern Standard Time"/>
    <x v="1"/>
  </r>
  <r>
    <x v="226"/>
    <s v="ACVA"/>
    <s v="on 2/19/25 After Market Eastern Standard Time"/>
    <x v="1"/>
  </r>
  <r>
    <x v="226"/>
    <s v="SNOW"/>
    <s v="on 2/19/25 After Market Eastern Standard Time"/>
    <x v="0"/>
  </r>
  <r>
    <x v="226"/>
    <s v="CYH"/>
    <s v="on 2/19/25 After Market Eastern Standard Time"/>
    <x v="1"/>
  </r>
  <r>
    <x v="226"/>
    <s v="PRDO"/>
    <s v="on 2/19/25 After Market Eastern Standard Time"/>
    <x v="1"/>
  </r>
  <r>
    <x v="226"/>
    <s v="OR"/>
    <s v="on 2/19/25 After Market Eastern Standard Time"/>
    <x v="0"/>
  </r>
  <r>
    <x v="226"/>
    <s v="ETSY"/>
    <s v="on 2/19/25 After Market Eastern Standard Time"/>
    <x v="0"/>
  </r>
  <r>
    <x v="226"/>
    <s v="NDSN"/>
    <s v="on 2/19/25 After Market Eastern Standard Time"/>
    <x v="3"/>
  </r>
  <r>
    <x v="226"/>
    <s v="WEAV"/>
    <s v="on 2/19/25 After Market Eastern Standard Time"/>
    <x v="1"/>
  </r>
  <r>
    <x v="226"/>
    <s v="AWK"/>
    <s v="on 2/19/25 After Market Eastern Standard Time"/>
    <x v="3"/>
  </r>
  <r>
    <x v="226"/>
    <s v="MFC"/>
    <s v="on 2/19/25 After Market Eastern Standard Time"/>
    <x v="0"/>
  </r>
  <r>
    <x v="226"/>
    <s v="NR"/>
    <s v="on 2/19/25 After Market Eastern Standard Time"/>
    <x v="1"/>
  </r>
  <r>
    <x v="226"/>
    <s v="ZD"/>
    <s v="on 2/19/25 After Market Eastern Standard Time"/>
    <x v="1"/>
  </r>
  <r>
    <x v="226"/>
    <s v="TOST"/>
    <s v="on 2/19/25 After Market Eastern Standard Time"/>
    <x v="0"/>
  </r>
  <r>
    <x v="226"/>
    <s v="TS"/>
    <s v="on 2/19/25 After Market Eastern Standard Time"/>
    <x v="0"/>
  </r>
  <r>
    <x v="226"/>
    <s v="NVRO"/>
    <s v="on 2/19/25 After Market Eastern Standard Time"/>
    <x v="0"/>
  </r>
  <r>
    <x v="226"/>
    <s v="LUNG"/>
    <s v="on 2/19/25 After Market Eastern Standard Time"/>
    <x v="1"/>
  </r>
  <r>
    <x v="226"/>
    <s v="BCOV"/>
    <s v="on 2/19/25 After Market Eastern Standard Time"/>
    <x v="0"/>
  </r>
  <r>
    <x v="226"/>
    <s v="BNL"/>
    <s v="on 2/19/25 After Market Eastern Standard Time"/>
    <x v="1"/>
  </r>
  <r>
    <x v="226"/>
    <s v="GSM"/>
    <s v="on 2/19/25 After Market Eastern Standard Time"/>
    <x v="0"/>
  </r>
  <r>
    <x v="226"/>
    <s v="AMED"/>
    <s v="on 2/19/25 After Market Eastern Standard Time"/>
    <x v="2"/>
  </r>
  <r>
    <x v="226"/>
    <s v="NOG"/>
    <s v="on 2/19/25 After Market Eastern Standard Time"/>
    <x v="1"/>
  </r>
  <r>
    <x v="226"/>
    <s v="VTLE"/>
    <s v="on 2/19/25 After Market Eastern Standard Time"/>
    <x v="1"/>
  </r>
  <r>
    <x v="226"/>
    <s v="RELY"/>
    <s v="on 2/19/25 After Market Eastern Standard Time"/>
    <x v="1"/>
  </r>
  <r>
    <x v="226"/>
    <s v="TCOM"/>
    <s v="on 2/19/25 After Market Eastern Standard Time"/>
    <x v="0"/>
  </r>
  <r>
    <x v="226"/>
    <s v="INSG"/>
    <s v="on 2/19/25 After Market Eastern Standard Time"/>
    <x v="0"/>
  </r>
  <r>
    <x v="226"/>
    <s v="VMI"/>
    <s v="on 2/19/25 After Market Eastern Standard Time"/>
    <x v="2"/>
  </r>
  <r>
    <x v="226"/>
    <s v="PNST"/>
    <s v="on 2/19/25 After Market Eastern Standard Time"/>
    <x v="0"/>
  </r>
  <r>
    <x v="226"/>
    <s v="SNPS"/>
    <s v="on 2/19/25 After Market Eastern Standard Time"/>
    <x v="3"/>
  </r>
  <r>
    <x v="226"/>
    <s v="KVYO"/>
    <s v="on 2/19/25 After Market Eastern Standard Time"/>
    <x v="0"/>
  </r>
  <r>
    <x v="226"/>
    <s v="KALU"/>
    <s v="on 2/19/25 After Market Eastern Standard Time"/>
    <x v="1"/>
  </r>
  <r>
    <x v="226"/>
    <s v="UIS"/>
    <s v="on 2/19/25 After Market Eastern Standard Time"/>
    <x v="1"/>
  </r>
  <r>
    <x v="226"/>
    <s v="JOE"/>
    <s v="on 2/19/25 After Market Eastern Standard Time"/>
    <x v="1"/>
  </r>
  <r>
    <x v="226"/>
    <s v="OLO"/>
    <s v="on 2/19/25 After Market Eastern Standard Time"/>
    <x v="1"/>
  </r>
  <r>
    <x v="226"/>
    <s v="CCSI"/>
    <s v="on 2/19/25 After Market Eastern Standard Time"/>
    <x v="1"/>
  </r>
  <r>
    <x v="226"/>
    <s v="GSHD"/>
    <s v="on 2/19/25 After Market Eastern Standard Time"/>
    <x v="1"/>
  </r>
  <r>
    <x v="226"/>
    <s v="NGD"/>
    <s v="on 2/19/25 After Market Eastern Standard Time"/>
    <x v="0"/>
  </r>
  <r>
    <x v="226"/>
    <s v="NPKI"/>
    <s v="on 2/19/25 After Market Eastern Standard Time"/>
    <x v="0"/>
  </r>
  <r>
    <x v="226"/>
    <s v="ICLR"/>
    <s v="on 2/19/25 After Market Eastern Standard Time"/>
    <x v="0"/>
  </r>
  <r>
    <x v="226"/>
    <s v="ANSS"/>
    <s v="on 2/19/25 After Market Eastern Standard Time"/>
    <x v="3"/>
  </r>
  <r>
    <x v="226"/>
    <s v="SKT"/>
    <s v="on 2/19/25 After Market Eastern Standard Time"/>
    <x v="1"/>
  </r>
  <r>
    <x v="226"/>
    <s v="SAGE"/>
    <s v="on 2/19/25 After Market Eastern Standard Time"/>
    <x v="1"/>
  </r>
  <r>
    <x v="226"/>
    <s v="PK"/>
    <s v="on 2/19/25 After Market Eastern Standard Time"/>
    <x v="2"/>
  </r>
  <r>
    <x v="226"/>
    <s v="LOPE"/>
    <s v="on 2/19/25 After Market Eastern Standard Time"/>
    <x v="2"/>
  </r>
  <r>
    <x v="226"/>
    <s v="AGR"/>
    <s v="on 2/19/25 After Market Eastern Standard Time"/>
    <x v="0"/>
  </r>
  <r>
    <x v="226"/>
    <s v="JXN"/>
    <s v="on 2/19/25 After Market Eastern Standard Time"/>
    <x v="1"/>
  </r>
  <r>
    <x v="226"/>
    <s v="HVT"/>
    <s v="on 2/19/25 After Market Eastern Standard Time"/>
    <x v="1"/>
  </r>
  <r>
    <x v="226"/>
    <s v="HLF"/>
    <s v="on 2/19/25 After Market Eastern Standard Time"/>
    <x v="1"/>
  </r>
  <r>
    <x v="226"/>
    <s v="CHDN"/>
    <s v="on 2/19/25 After Market Eastern Standard Time"/>
    <x v="2"/>
  </r>
  <r>
    <x v="226"/>
    <s v="PAAS"/>
    <s v="on 2/19/25 After Market Eastern Standard Time"/>
    <x v="0"/>
  </r>
  <r>
    <x v="226"/>
    <s v="BHC"/>
    <s v="on 2/19/25 After Market Eastern Standard Time"/>
    <x v="0"/>
  </r>
  <r>
    <x v="226"/>
    <s v="EXAS"/>
    <s v="on 2/19/25 After Market Eastern Standard Time"/>
    <x v="0"/>
  </r>
  <r>
    <x v="226"/>
    <s v="RRC"/>
    <s v="on 2/19/25 After Market Eastern Standard Time"/>
    <x v="2"/>
  </r>
  <r>
    <x v="226"/>
    <s v="BTG"/>
    <s v="on 2/19/25 After Market Eastern Standard Time"/>
    <x v="0"/>
  </r>
  <r>
    <x v="226"/>
    <s v="BORR"/>
    <s v="on 2/19/25 After Market Eastern Standard Time"/>
    <x v="1"/>
  </r>
  <r>
    <x v="226"/>
    <s v="BRDG"/>
    <s v="on 2/19/25 After Market Eastern Standard Time"/>
    <x v="0"/>
  </r>
  <r>
    <x v="226"/>
    <s v="CF"/>
    <s v="on 2/19/25 After Market Eastern Standard Time"/>
    <x v="3"/>
  </r>
  <r>
    <x v="226"/>
    <s v="OM"/>
    <s v="on 2/19/25 After Market Eastern Standard Time"/>
    <x v="0"/>
  </r>
  <r>
    <x v="226"/>
    <s v="OGS"/>
    <s v="on 2/19/25 After Market Eastern Standard Time"/>
    <x v="1"/>
  </r>
  <r>
    <x v="226"/>
    <s v="AMPL"/>
    <s v="on 2/19/25 After Market Eastern Standard Time"/>
    <x v="1"/>
  </r>
  <r>
    <x v="226"/>
    <s v="BELFA"/>
    <s v="on 2/19/25 After Market Eastern Standard Time"/>
    <x v="0"/>
  </r>
  <r>
    <x v="226"/>
    <s v="RGR"/>
    <s v="on 2/19/25 After Market Eastern Standard Time"/>
    <x v="1"/>
  </r>
  <r>
    <x v="226"/>
    <s v="ESRT"/>
    <s v="on 2/19/25 After Market Eastern Standard Time"/>
    <x v="1"/>
  </r>
  <r>
    <x v="226"/>
    <s v="OII"/>
    <s v="on 2/19/25 After Market Eastern Standard Time"/>
    <x v="1"/>
  </r>
  <r>
    <x v="226"/>
    <s v="TRUP"/>
    <s v="on 2/19/25 After Market Eastern Standard Time"/>
    <x v="1"/>
  </r>
  <r>
    <x v="226"/>
    <s v="TXG"/>
    <s v="on 2/19/25 After Market Eastern Standard Time"/>
    <x v="0"/>
  </r>
  <r>
    <x v="226"/>
    <s v="COKE"/>
    <s v="on 2/19/25 After Market Eastern Standard Time"/>
    <x v="2"/>
  </r>
  <r>
    <x v="226"/>
    <s v="ROG"/>
    <s v="on 2/19/25 After Market Eastern Standard Time"/>
    <x v="1"/>
  </r>
  <r>
    <x v="226"/>
    <s v="AHH"/>
    <s v="on 2/19/25 After Market Eastern Standard Time"/>
    <x v="1"/>
  </r>
  <r>
    <x v="226"/>
    <s v="CWH"/>
    <s v="on 2/19/25 After Market Eastern Standard Time"/>
    <x v="1"/>
  </r>
  <r>
    <x v="226"/>
    <s v="STAA"/>
    <s v="on 2/19/25 After Market Eastern Standard Time"/>
    <x v="1"/>
  </r>
  <r>
    <x v="226"/>
    <s v="LAND"/>
    <s v="on 2/19/25 After Market Eastern Standard Time"/>
    <x v="1"/>
  </r>
  <r>
    <x v="227"/>
    <s v="KYMR"/>
    <s v="on 2/20/25 Before Market Eastern Standard Time"/>
    <x v="1"/>
  </r>
  <r>
    <x v="227"/>
    <s v="QD"/>
    <s v="on 2/20/25 Before Market Eastern Standard Time"/>
    <x v="0"/>
  </r>
  <r>
    <x v="227"/>
    <s v="PWR"/>
    <s v="on 2/20/25 Before Market Eastern Standard Time"/>
    <x v="3"/>
  </r>
  <r>
    <x v="227"/>
    <s v="STG"/>
    <s v="on 2/20/25 Before Market Eastern Standard Time"/>
    <x v="0"/>
  </r>
  <r>
    <x v="227"/>
    <s v="KOF"/>
    <s v="on 2/20/25 Unspecified Eastern Standard Time"/>
    <x v="0"/>
  </r>
  <r>
    <x v="227"/>
    <s v="DRVN"/>
    <s v="on 2/20/25 Before Market Eastern Standard Time"/>
    <x v="1"/>
  </r>
  <r>
    <x v="227"/>
    <s v="CCCC"/>
    <s v="on 2/20/25 Before Market Eastern Standard Time"/>
    <x v="1"/>
  </r>
  <r>
    <x v="227"/>
    <s v="NERV"/>
    <s v="on 2/20/25 Before Market Eastern Standard Time"/>
    <x v="0"/>
  </r>
  <r>
    <x v="227"/>
    <s v="TFX"/>
    <s v="on 2/20/25 Before Market Eastern Standard Time"/>
    <x v="3"/>
  </r>
  <r>
    <x v="227"/>
    <s v="KLTR"/>
    <s v="on 2/20/25 Before Market Eastern Standard Time"/>
    <x v="0"/>
  </r>
  <r>
    <x v="227"/>
    <s v="AEG"/>
    <s v="on 2/20/25 Before Market Eastern Standard Time"/>
    <x v="0"/>
  </r>
  <r>
    <x v="227"/>
    <s v="BAND"/>
    <s v="on 2/20/25 Before Market Eastern Standard Time"/>
    <x v="1"/>
  </r>
  <r>
    <x v="227"/>
    <s v="WD"/>
    <s v="on 2/20/25 Before Market Eastern Standard Time"/>
    <x v="1"/>
  </r>
  <r>
    <x v="227"/>
    <s v="EADSY"/>
    <s v="on 2/20/25 Unspecified Eastern Standard Time"/>
    <x v="0"/>
  </r>
  <r>
    <x v="227"/>
    <s v="BBIO"/>
    <s v="on 2/20/25 Before Market Eastern Standard Time"/>
    <x v="1"/>
  </r>
  <r>
    <x v="227"/>
    <s v="NKLA"/>
    <s v="on 2/20/25 Before Market Eastern Standard Time"/>
    <x v="0"/>
  </r>
  <r>
    <x v="227"/>
    <s v="GLT"/>
    <s v="on 2/20/25 Before Market Eastern Standard Time"/>
    <x v="0"/>
  </r>
  <r>
    <x v="227"/>
    <s v="GCI"/>
    <s v="on 2/20/25 Before Market Eastern Standard Time"/>
    <x v="1"/>
  </r>
  <r>
    <x v="227"/>
    <s v="HEES"/>
    <s v="on 2/20/25 Before Market Eastern Standard Time"/>
    <x v="1"/>
  </r>
  <r>
    <x v="227"/>
    <s v="HOV"/>
    <s v="on 2/20/25 Before Market Eastern Standard Time"/>
    <x v="1"/>
  </r>
  <r>
    <x v="227"/>
    <s v="AG"/>
    <s v="on 2/20/25 Before Market Eastern Standard Time"/>
    <x v="0"/>
  </r>
  <r>
    <x v="227"/>
    <s v="GHI"/>
    <s v="on 2/20/25 Before Market Eastern Standard Time"/>
    <x v="0"/>
  </r>
  <r>
    <x v="227"/>
    <s v="EWTX"/>
    <s v="on 2/20/25 Before Market Eastern Standard Time"/>
    <x v="1"/>
  </r>
  <r>
    <x v="227"/>
    <s v="MBGYY"/>
    <s v="on 2/20/25 Before Market Eastern Standard Time"/>
    <x v="0"/>
  </r>
  <r>
    <x v="227"/>
    <s v="GVA"/>
    <s v="on 2/20/25 Before Market Eastern Standard Time"/>
    <x v="1"/>
  </r>
  <r>
    <x v="227"/>
    <s v="COLD"/>
    <s v="on 2/20/25 Before Market Eastern Standard Time"/>
    <x v="0"/>
  </r>
  <r>
    <x v="227"/>
    <s v="AMBP"/>
    <s v="on 2/20/25 Before Market Eastern Standard Time"/>
    <x v="1"/>
  </r>
  <r>
    <x v="227"/>
    <s v="MAGN"/>
    <s v="on 2/20/25 Before Market Eastern Standard Time"/>
    <x v="0"/>
  </r>
  <r>
    <x v="227"/>
    <s v="USEA"/>
    <s v="on 2/20/25 Before Market Eastern Standard Time"/>
    <x v="0"/>
  </r>
  <r>
    <x v="227"/>
    <s v="SHYF"/>
    <s v="on 2/20/25 Before Market Eastern Standard Time"/>
    <x v="1"/>
  </r>
  <r>
    <x v="227"/>
    <s v="CQP"/>
    <s v="on 2/20/25 Before Market Eastern Standard Time"/>
    <x v="0"/>
  </r>
  <r>
    <x v="227"/>
    <s v="HNI"/>
    <s v="on 2/20/25 Before Market Eastern Standard Time"/>
    <x v="1"/>
  </r>
  <r>
    <x v="227"/>
    <s v="FVRR"/>
    <s v="on 2/20/25 Before Market Eastern Standard Time"/>
    <x v="0"/>
  </r>
  <r>
    <x v="227"/>
    <s v="AUPH"/>
    <s v="on 2/20/25 Before Market Eastern Standard Time"/>
    <x v="1"/>
  </r>
  <r>
    <x v="227"/>
    <s v="TRGP"/>
    <s v="on 2/20/25 Before Market Eastern Standard Time"/>
    <x v="3"/>
  </r>
  <r>
    <x v="227"/>
    <s v="DNOW"/>
    <s v="on 2/20/25 Before Market Eastern Standard Time"/>
    <x v="1"/>
  </r>
  <r>
    <x v="227"/>
    <s v="BLDR"/>
    <s v="on 2/20/25 Before Market Eastern Standard Time"/>
    <x v="3"/>
  </r>
  <r>
    <x v="227"/>
    <s v="NABL"/>
    <s v="on 2/20/25 Before Market Eastern Standard Time"/>
    <x v="1"/>
  </r>
  <r>
    <x v="227"/>
    <s v="TRN"/>
    <s v="on 2/20/25 Before Market Eastern Standard Time"/>
    <x v="1"/>
  </r>
  <r>
    <x v="227"/>
    <s v="EPAM"/>
    <s v="on 2/20/25 Before Market Eastern Standard Time"/>
    <x v="3"/>
  </r>
  <r>
    <x v="227"/>
    <s v="CROX"/>
    <s v="on 2/20/25 Before Market Eastern Standard Time"/>
    <x v="2"/>
  </r>
  <r>
    <x v="227"/>
    <s v="REPYY"/>
    <s v="on 2/20/25 Unspecified Eastern Standard Time"/>
    <x v="0"/>
  </r>
  <r>
    <x v="227"/>
    <s v="XPEL"/>
    <s v="on 2/20/25 Before Market Eastern Standard Time"/>
    <x v="1"/>
  </r>
  <r>
    <x v="227"/>
    <s v="GFI"/>
    <s v="on 2/20/25 Before Market Eastern Standard Time"/>
    <x v="0"/>
  </r>
  <r>
    <x v="227"/>
    <s v="HAS"/>
    <s v="on 2/20/25 Before Market Eastern Standard Time"/>
    <x v="3"/>
  </r>
  <r>
    <x v="227"/>
    <s v="LAUR"/>
    <s v="on 2/20/25 Before Market Eastern Standard Time"/>
    <x v="1"/>
  </r>
  <r>
    <x v="227"/>
    <s v="MGPI"/>
    <s v="on 2/20/25 Before Market Eastern Standard Time"/>
    <x v="1"/>
  </r>
  <r>
    <x v="227"/>
    <s v="BIRK"/>
    <s v="on 2/20/25 Before Market Eastern Standard Time"/>
    <x v="0"/>
  </r>
  <r>
    <x v="227"/>
    <s v="SO"/>
    <s v="on 2/20/25 Before Market Eastern Standard Time"/>
    <x v="3"/>
  </r>
  <r>
    <x v="227"/>
    <s v="TPX"/>
    <s v="on 2/20/25 Before Market Eastern Standard Time"/>
    <x v="2"/>
  </r>
  <r>
    <x v="227"/>
    <s v="VALE"/>
    <s v="on 2/20/25 Unspecified Eastern Standard Time"/>
    <x v="0"/>
  </r>
  <r>
    <x v="227"/>
    <s v="TV"/>
    <s v="on 2/20/25 Unspecified Eastern Standard Time"/>
    <x v="0"/>
  </r>
  <r>
    <x v="227"/>
    <s v="DBRG"/>
    <s v="on 2/20/25 Before Market Eastern Standard Time"/>
    <x v="1"/>
  </r>
  <r>
    <x v="227"/>
    <s v="SBGSY"/>
    <s v="on 2/20/25 Unspecified Eastern Standard Time"/>
    <x v="0"/>
  </r>
  <r>
    <x v="227"/>
    <s v="ITGR"/>
    <s v="on 2/20/25 Before Market Eastern Standard Time"/>
    <x v="1"/>
  </r>
  <r>
    <x v="227"/>
    <s v="WMT"/>
    <s v="on 2/20/25 Before Market Eastern Standard Time"/>
    <x v="3"/>
  </r>
  <r>
    <x v="227"/>
    <s v="LNG"/>
    <s v="on 2/20/25 Before Market Eastern Standard Time"/>
    <x v="0"/>
  </r>
  <r>
    <x v="227"/>
    <s v="NURO"/>
    <s v="on 2/20/25 Before Market Eastern Standard Time"/>
    <x v="0"/>
  </r>
  <r>
    <x v="227"/>
    <s v="LYG"/>
    <s v="on 2/20/25 Before Market Eastern Standard Time"/>
    <x v="0"/>
  </r>
  <r>
    <x v="227"/>
    <s v="AMLX"/>
    <s v="on 2/20/25 Before Market Eastern Standard Time"/>
    <x v="0"/>
  </r>
  <r>
    <x v="227"/>
    <s v="LNTH"/>
    <s v="on 2/20/25 Before Market Eastern Standard Time"/>
    <x v="1"/>
  </r>
  <r>
    <x v="227"/>
    <s v="UPBD"/>
    <s v="on 2/20/25 Before Market Eastern Standard Time"/>
    <x v="1"/>
  </r>
  <r>
    <x v="227"/>
    <s v="SMMT"/>
    <s v="on 2/20/25 Before Market Eastern Standard Time"/>
    <x v="1"/>
  </r>
  <r>
    <x v="227"/>
    <s v="MPW"/>
    <s v="on 2/20/25 Before Market Eastern Standard Time"/>
    <x v="0"/>
  </r>
  <r>
    <x v="227"/>
    <s v="STWD"/>
    <s v="on 2/20/25 Before Market Eastern Standard Time"/>
    <x v="2"/>
  </r>
  <r>
    <x v="227"/>
    <s v="BRC"/>
    <s v="on 2/20/25 Before Market Eastern Standard Time"/>
    <x v="0"/>
  </r>
  <r>
    <x v="227"/>
    <s v="ENOV"/>
    <s v="on 2/20/25 Before Market Eastern Standard Time"/>
    <x v="2"/>
  </r>
  <r>
    <x v="227"/>
    <s v="CCJ"/>
    <s v="on 2/20/25 Before Market Eastern Standard Time"/>
    <x v="0"/>
  </r>
  <r>
    <x v="227"/>
    <s v="CHH"/>
    <s v="on 2/20/25 Before Market Eastern Standard Time"/>
    <x v="2"/>
  </r>
  <r>
    <x v="227"/>
    <s v="DINO"/>
    <s v="on 2/20/25 Before Market Eastern Standard Time"/>
    <x v="2"/>
  </r>
  <r>
    <x v="227"/>
    <s v="HSHP"/>
    <s v="on 2/20/25 Before Market Eastern Standard Time"/>
    <x v="1"/>
  </r>
  <r>
    <x v="227"/>
    <s v="DAN"/>
    <s v="on 2/20/25 Before Market Eastern Standard Time"/>
    <x v="1"/>
  </r>
  <r>
    <x v="227"/>
    <s v="ITCI"/>
    <s v="on 2/20/25 Before Market Eastern Standard Time"/>
    <x v="0"/>
  </r>
  <r>
    <x v="227"/>
    <s v="NICE"/>
    <s v="on 2/20/25 Before Market Eastern Standard Time"/>
    <x v="0"/>
  </r>
  <r>
    <x v="227"/>
    <s v="DGICA"/>
    <s v="on 2/20/25 Before Market Eastern Standard Time"/>
    <x v="1"/>
  </r>
  <r>
    <x v="227"/>
    <s v="SJW"/>
    <s v="on 2/20/25 Before Market Eastern Standard Time"/>
    <x v="1"/>
  </r>
  <r>
    <x v="227"/>
    <s v="MD"/>
    <s v="on 2/20/25 Before Market Eastern Standard Time"/>
    <x v="1"/>
  </r>
  <r>
    <x v="227"/>
    <s v="ESGR"/>
    <s v="on 2/20/25 Before Market Eastern Standard Time"/>
    <x v="1"/>
  </r>
  <r>
    <x v="227"/>
    <s v="DSX"/>
    <s v="on 2/20/25 Before Market Eastern Standard Time"/>
    <x v="0"/>
  </r>
  <r>
    <x v="227"/>
    <s v="RS"/>
    <s v="on 2/20/25 Before Market Eastern Standard Time"/>
    <x v="2"/>
  </r>
  <r>
    <x v="227"/>
    <s v="MITT"/>
    <s v="on 2/20/25 Before Market Eastern Standard Time"/>
    <x v="1"/>
  </r>
  <r>
    <x v="227"/>
    <s v="DGICB"/>
    <s v="on 2/20/25 Before Market Eastern Standard Time"/>
    <x v="0"/>
  </r>
  <r>
    <x v="227"/>
    <s v="CNP"/>
    <s v="on 2/20/25 Before Market Eastern Standard Time"/>
    <x v="3"/>
  </r>
  <r>
    <x v="227"/>
    <s v="TECK"/>
    <s v="on 2/20/25 Before Market Eastern Standard Time"/>
    <x v="0"/>
  </r>
  <r>
    <x v="227"/>
    <s v="GASS"/>
    <s v="on 2/20/25 Before Market Eastern Standard Time"/>
    <x v="0"/>
  </r>
  <r>
    <x v="227"/>
    <s v="FCN"/>
    <s v="on 2/20/25 Before Market Eastern Standard Time"/>
    <x v="2"/>
  </r>
  <r>
    <x v="227"/>
    <s v="BIGC"/>
    <s v="on 2/20/25 Before Market Eastern Standard Time"/>
    <x v="1"/>
  </r>
  <r>
    <x v="227"/>
    <s v="CIO"/>
    <s v="on 2/20/25 Before Market Eastern Standard Time"/>
    <x v="1"/>
  </r>
  <r>
    <x v="227"/>
    <s v="ESAB"/>
    <s v="on 2/20/25 Before Market Eastern Standard Time"/>
    <x v="2"/>
  </r>
  <r>
    <x v="227"/>
    <s v="PRM"/>
    <s v="on 2/20/25 Before Market Eastern Standard Time"/>
    <x v="1"/>
  </r>
  <r>
    <x v="227"/>
    <s v="POOL"/>
    <s v="on 2/20/25 Before Market Eastern Standard Time"/>
    <x v="3"/>
  </r>
  <r>
    <x v="227"/>
    <s v="DRS"/>
    <s v="on 2/20/25 Before Market Eastern Standard Time"/>
    <x v="1"/>
  </r>
  <r>
    <x v="227"/>
    <s v="CPYYY"/>
    <s v="on 2/20/25 Unspecified Eastern Standard Time"/>
    <x v="0"/>
  </r>
  <r>
    <x v="227"/>
    <s v="CRH"/>
    <s v="on 2/20/25 Before Market Eastern Standard Time"/>
    <x v="0"/>
  </r>
  <r>
    <x v="227"/>
    <s v="W"/>
    <s v="on 2/20/25 Before Market Eastern Standard Time"/>
    <x v="0"/>
  </r>
  <r>
    <x v="227"/>
    <s v="LKQ"/>
    <s v="on 2/20/25 Before Market Eastern Standard Time"/>
    <x v="3"/>
  </r>
  <r>
    <x v="227"/>
    <s v="LAMR"/>
    <s v="on 2/20/25 Before Market Eastern Standard Time"/>
    <x v="2"/>
  </r>
  <r>
    <x v="227"/>
    <s v="NTLA"/>
    <s v="on 2/20/25 Before Market Eastern Standard Time"/>
    <x v="1"/>
  </r>
  <r>
    <x v="227"/>
    <s v="TAC"/>
    <s v="on 2/20/25 Before Market Eastern Standard Time"/>
    <x v="0"/>
  </r>
  <r>
    <x v="228"/>
    <s v="VFS"/>
    <s v="on 2/20/25 During Market Eastern Standard Time"/>
    <x v="0"/>
  </r>
  <r>
    <x v="229"/>
    <s v="ACCO"/>
    <s v="on 2/20/25 After Market Eastern Standard Time"/>
    <x v="1"/>
  </r>
  <r>
    <x v="229"/>
    <s v="CSR"/>
    <s v="on 2/20/25 After Market Eastern Standard Time"/>
    <x v="1"/>
  </r>
  <r>
    <x v="229"/>
    <s v="AORT"/>
    <s v="on 2/20/25 After Market Eastern Standard Time"/>
    <x v="1"/>
  </r>
  <r>
    <x v="229"/>
    <s v="RKT"/>
    <s v="on 2/20/25 After Market Eastern Standard Time"/>
    <x v="0"/>
  </r>
  <r>
    <x v="229"/>
    <s v="PODD"/>
    <s v="on 2/20/25 After Market Eastern Standard Time"/>
    <x v="3"/>
  </r>
  <r>
    <x v="229"/>
    <s v="PRTA"/>
    <s v="on 2/20/25 After Market Eastern Standard Time"/>
    <x v="1"/>
  </r>
  <r>
    <x v="229"/>
    <s v="MODV"/>
    <s v="on 2/20/25 After Market Eastern Standard Time"/>
    <x v="0"/>
  </r>
  <r>
    <x v="229"/>
    <s v="GKOS"/>
    <s v="on 2/20/25 After Market Eastern Standard Time"/>
    <x v="1"/>
  </r>
  <r>
    <x v="229"/>
    <s v="ALG"/>
    <s v="on 2/20/25 After Market Eastern Standard Time"/>
    <x v="1"/>
  </r>
  <r>
    <x v="229"/>
    <s v="ENV"/>
    <s v="on 2/20/25 After Market Eastern Standard Time"/>
    <x v="1"/>
  </r>
  <r>
    <x v="229"/>
    <s v="WKC"/>
    <s v="on 2/20/25 After Market Eastern Standard Time"/>
    <x v="1"/>
  </r>
  <r>
    <x v="229"/>
    <s v="LAW"/>
    <s v="on 2/20/25 After Market Eastern Standard Time"/>
    <x v="0"/>
  </r>
  <r>
    <x v="229"/>
    <s v="DMLP"/>
    <s v="on 2/20/25 After Market Eastern Standard Time"/>
    <x v="0"/>
  </r>
  <r>
    <x v="229"/>
    <s v="INTU"/>
    <s v="on 2/20/25 After Market Eastern Standard Time"/>
    <x v="3"/>
  </r>
  <r>
    <x v="229"/>
    <s v="SFM"/>
    <s v="on 2/20/25 After Market Eastern Standard Time"/>
    <x v="1"/>
  </r>
  <r>
    <x v="229"/>
    <s v="ARDX"/>
    <s v="on 2/20/25 After Market Eastern Standard Time"/>
    <x v="1"/>
  </r>
  <r>
    <x v="229"/>
    <s v="VCYT"/>
    <s v="on 2/20/25 After Market Eastern Standard Time"/>
    <x v="1"/>
  </r>
  <r>
    <x v="229"/>
    <s v="BKNG"/>
    <s v="on 2/20/25 After Market Eastern Standard Time"/>
    <x v="3"/>
  </r>
  <r>
    <x v="229"/>
    <s v="RCUS"/>
    <s v="on 2/20/25 After Market Eastern Standard Time"/>
    <x v="1"/>
  </r>
  <r>
    <x v="229"/>
    <s v="CVI"/>
    <s v="on 2/20/25 After Market Eastern Standard Time"/>
    <x v="1"/>
  </r>
  <r>
    <x v="229"/>
    <s v="GH"/>
    <s v="on 2/20/25 After Market Eastern Standard Time"/>
    <x v="1"/>
  </r>
  <r>
    <x v="229"/>
    <s v="EXFY"/>
    <s v="on 2/20/25 After Market Eastern Standard Time"/>
    <x v="0"/>
  </r>
  <r>
    <x v="229"/>
    <s v="BJRI"/>
    <s v="on 2/20/25 After Market Eastern Standard Time"/>
    <x v="1"/>
  </r>
  <r>
    <x v="229"/>
    <s v="LILAK"/>
    <s v="on 2/20/25 After Market Eastern Standard Time"/>
    <x v="1"/>
  </r>
  <r>
    <x v="229"/>
    <s v="EIX"/>
    <s v="on 2/20/25 After Market Eastern Standard Time"/>
    <x v="3"/>
  </r>
  <r>
    <x v="229"/>
    <s v="PAGS"/>
    <s v="on 2/20/25 After Market Eastern Standard Time"/>
    <x v="1"/>
  </r>
  <r>
    <x v="229"/>
    <s v="EIG"/>
    <s v="on 2/20/25 After Market Eastern Standard Time"/>
    <x v="1"/>
  </r>
  <r>
    <x v="229"/>
    <s v="SEI"/>
    <s v="on 2/20/25 After Market Eastern Standard Time"/>
    <x v="1"/>
  </r>
  <r>
    <x v="229"/>
    <s v="RYI"/>
    <s v="on 2/20/25 After Market Eastern Standard Time"/>
    <x v="1"/>
  </r>
  <r>
    <x v="229"/>
    <s v="HPP"/>
    <s v="on 2/20/25 After Market Eastern Standard Time"/>
    <x v="1"/>
  </r>
  <r>
    <x v="229"/>
    <s v="MFIN"/>
    <s v="on 2/20/25 After Market Eastern Standard Time"/>
    <x v="1"/>
  </r>
  <r>
    <x v="229"/>
    <s v="NEM"/>
    <s v="on 2/20/25 After Market Eastern Standard Time"/>
    <x v="3"/>
  </r>
  <r>
    <x v="229"/>
    <s v="GRAB"/>
    <s v="on 2/20/25 After Market Eastern Standard Time"/>
    <x v="0"/>
  </r>
  <r>
    <x v="229"/>
    <s v="YXT"/>
    <s v="on 2/20/25 After Market Eastern Standard Time"/>
    <x v="0"/>
  </r>
  <r>
    <x v="229"/>
    <s v="UVE"/>
    <s v="on 2/20/25 After Market Eastern Standard Time"/>
    <x v="1"/>
  </r>
  <r>
    <x v="229"/>
    <s v="AIV"/>
    <s v="on 2/20/25 After Market Eastern Standard Time"/>
    <x v="1"/>
  </r>
  <r>
    <x v="229"/>
    <s v="LZ"/>
    <s v="on 2/20/25 After Market Eastern Standard Time"/>
    <x v="1"/>
  </r>
  <r>
    <x v="229"/>
    <s v="PKST"/>
    <s v="on 2/20/25 After Market Eastern Standard Time"/>
    <x v="1"/>
  </r>
  <r>
    <x v="229"/>
    <s v="ED"/>
    <s v="on 2/20/25 After Market Eastern Standard Time"/>
    <x v="3"/>
  </r>
  <r>
    <x v="229"/>
    <s v="HSTM"/>
    <s v="on 2/20/25 After Market Eastern Standard Time"/>
    <x v="1"/>
  </r>
  <r>
    <x v="229"/>
    <s v="HCAT"/>
    <s v="on 2/20/25 After Market Eastern Standard Time"/>
    <x v="1"/>
  </r>
  <r>
    <x v="229"/>
    <s v="SNBR"/>
    <s v="on 2/20/25 After Market Eastern Standard Time"/>
    <x v="1"/>
  </r>
  <r>
    <x v="229"/>
    <s v="RMAX"/>
    <s v="on 2/20/25 After Market Eastern Standard Time"/>
    <x v="1"/>
  </r>
  <r>
    <x v="229"/>
    <s v="FIX"/>
    <s v="on 2/20/25 After Market Eastern Standard Time"/>
    <x v="2"/>
  </r>
  <r>
    <x v="229"/>
    <s v="INDI"/>
    <s v="on 2/20/25 After Market Eastern Standard Time"/>
    <x v="1"/>
  </r>
  <r>
    <x v="229"/>
    <s v="PACB"/>
    <s v="on 2/20/25 After Market Eastern Standard Time"/>
    <x v="1"/>
  </r>
  <r>
    <x v="229"/>
    <s v="ZIP"/>
    <s v="on 2/20/25 After Market Eastern Standard Time"/>
    <x v="1"/>
  </r>
  <r>
    <x v="229"/>
    <s v="AMN"/>
    <s v="on 2/20/25 After Market Eastern Standard Time"/>
    <x v="1"/>
  </r>
  <r>
    <x v="229"/>
    <s v="XYZ"/>
    <s v="on 2/20/25 After Market Eastern Standard Time"/>
    <x v="0"/>
  </r>
  <r>
    <x v="229"/>
    <s v="FND"/>
    <s v="on 2/20/25 After Market Eastern Standard Time"/>
    <x v="2"/>
  </r>
  <r>
    <x v="229"/>
    <s v="MELI"/>
    <s v="on 2/20/25 After Market Eastern Standard Time"/>
    <x v="4"/>
  </r>
  <r>
    <x v="229"/>
    <s v="MODG"/>
    <s v="on 2/20/25 After Market Eastern Standard Time"/>
    <x v="1"/>
  </r>
  <r>
    <x v="229"/>
    <s v="SEM"/>
    <s v="on 2/20/25 After Market Eastern Standard Time"/>
    <x v="1"/>
  </r>
  <r>
    <x v="229"/>
    <s v="RIVN"/>
    <s v="on 2/20/25 After Market Eastern Standard Time"/>
    <x v="0"/>
  </r>
  <r>
    <x v="229"/>
    <s v="HASI"/>
    <s v="on 2/20/25 After Market Eastern Standard Time"/>
    <x v="1"/>
  </r>
  <r>
    <x v="229"/>
    <s v="ATHA"/>
    <s v="on 2/20/25 After Market Eastern Standard Time"/>
    <x v="0"/>
  </r>
  <r>
    <x v="229"/>
    <s v="BIOA"/>
    <s v="on 2/20/25 After Market Eastern Standard Time"/>
    <x v="0"/>
  </r>
  <r>
    <x v="229"/>
    <s v="CMBM"/>
    <s v="on 2/20/25 After Market Eastern Standard Time"/>
    <x v="0"/>
  </r>
  <r>
    <x v="229"/>
    <s v="IRTC"/>
    <s v="on 2/20/25 After Market Eastern Standard Time"/>
    <x v="1"/>
  </r>
  <r>
    <x v="229"/>
    <s v="GDYN"/>
    <s v="on 2/20/25 After Market Eastern Standard Time"/>
    <x v="1"/>
  </r>
  <r>
    <x v="229"/>
    <s v="BOOM"/>
    <s v="on 2/20/25 After Market Eastern Standard Time"/>
    <x v="0"/>
  </r>
  <r>
    <x v="229"/>
    <s v="AWR"/>
    <s v="on 2/20/25 After Market Eastern Standard Time"/>
    <x v="1"/>
  </r>
  <r>
    <x v="229"/>
    <s v="RIOT"/>
    <s v="on 2/20/25 After Market Eastern Standard Time"/>
    <x v="1"/>
  </r>
  <r>
    <x v="229"/>
    <s v="SQ"/>
    <s v="on 2/20/25 After Market Eastern Standard Time"/>
    <x v="0"/>
  </r>
  <r>
    <x v="229"/>
    <s v="CTRA"/>
    <s v="on 2/20/25 After Market Eastern Standard Time"/>
    <x v="3"/>
  </r>
  <r>
    <x v="229"/>
    <s v="CUTR"/>
    <s v="on 2/20/25 After Market Eastern Standard Time"/>
    <x v="0"/>
  </r>
  <r>
    <x v="229"/>
    <s v="ALTR"/>
    <s v="on 2/20/25 After Market Eastern Standard Time"/>
    <x v="1"/>
  </r>
  <r>
    <x v="229"/>
    <s v="TCMD"/>
    <s v="on 2/20/25 After Market Eastern Standard Time"/>
    <x v="1"/>
  </r>
  <r>
    <x v="229"/>
    <s v="NE"/>
    <s v="on 2/20/25 After Market Eastern Standard Time"/>
    <x v="1"/>
  </r>
  <r>
    <x v="229"/>
    <s v="BWMX"/>
    <s v="on 2/20/25 After Market Eastern Standard Time"/>
    <x v="0"/>
  </r>
  <r>
    <x v="229"/>
    <s v="VICI"/>
    <s v="on 2/20/25 After Market Eastern Standard Time"/>
    <x v="3"/>
  </r>
  <r>
    <x v="229"/>
    <s v="MGRC"/>
    <s v="on 2/20/25 After Market Eastern Standard Time"/>
    <x v="1"/>
  </r>
  <r>
    <x v="229"/>
    <s v="ZEUS"/>
    <s v="on 2/20/25 After Market Eastern Standard Time"/>
    <x v="1"/>
  </r>
  <r>
    <x v="229"/>
    <s v="LYV"/>
    <s v="on 2/20/25 After Market Eastern Standard Time"/>
    <x v="3"/>
  </r>
  <r>
    <x v="229"/>
    <s v="LNT"/>
    <s v="on 2/20/25 After Market Eastern Standard Time"/>
    <x v="3"/>
  </r>
  <r>
    <x v="229"/>
    <s v="LILAB"/>
    <s v="on 2/20/25 After Market Eastern Standard Time"/>
    <x v="0"/>
  </r>
  <r>
    <x v="229"/>
    <s v="ALRM"/>
    <s v="on 2/20/25 After Market Eastern Standard Time"/>
    <x v="1"/>
  </r>
  <r>
    <x v="229"/>
    <s v="RYAN"/>
    <s v="on 2/20/25 After Market Eastern Standard Time"/>
    <x v="2"/>
  </r>
  <r>
    <x v="229"/>
    <s v="NU"/>
    <s v="on 2/20/25 After Market Eastern Standard Time"/>
    <x v="0"/>
  </r>
  <r>
    <x v="229"/>
    <s v="TXRH"/>
    <s v="on 2/20/25 After Market Eastern Standard Time"/>
    <x v="2"/>
  </r>
  <r>
    <x v="229"/>
    <s v="RHP"/>
    <s v="on 2/20/25 After Market Eastern Standard Time"/>
    <x v="1"/>
  </r>
  <r>
    <x v="229"/>
    <s v="RNG"/>
    <s v="on 2/20/25 After Market Eastern Standard Time"/>
    <x v="0"/>
  </r>
  <r>
    <x v="229"/>
    <s v="AXTI"/>
    <s v="on 2/20/25 After Market Eastern Standard Time"/>
    <x v="0"/>
  </r>
  <r>
    <x v="229"/>
    <s v="MTW"/>
    <s v="on 2/20/25 After Market Eastern Standard Time"/>
    <x v="1"/>
  </r>
  <r>
    <x v="229"/>
    <s v="VIR"/>
    <s v="on 2/20/25 After Market Eastern Standard Time"/>
    <x v="1"/>
  </r>
  <r>
    <x v="229"/>
    <s v="EGO"/>
    <s v="on 2/20/25 After Market Eastern Standard Time"/>
    <x v="0"/>
  </r>
  <r>
    <x v="229"/>
    <s v="IAG"/>
    <s v="on 2/20/25 After Market Eastern Standard Time"/>
    <x v="0"/>
  </r>
  <r>
    <x v="229"/>
    <s v="RXT"/>
    <s v="on 2/20/25 After Market Eastern Standard Time"/>
    <x v="0"/>
  </r>
  <r>
    <x v="229"/>
    <s v="OTTR"/>
    <s v="on 2/20/25 After Market Eastern Standard Time"/>
    <x v="1"/>
  </r>
  <r>
    <x v="229"/>
    <s v="DBX"/>
    <s v="on 2/20/25 After Market Eastern Standard Time"/>
    <x v="2"/>
  </r>
  <r>
    <x v="229"/>
    <s v="LILA"/>
    <s v="on 2/20/25 After Market Eastern Standard Time"/>
    <x v="1"/>
  </r>
  <r>
    <x v="229"/>
    <s v="TNK"/>
    <s v="on 2/20/25 After Market Eastern Standard Time"/>
    <x v="1"/>
  </r>
  <r>
    <x v="229"/>
    <s v="SNES"/>
    <s v="on 2/20/25 After Market Eastern Standard Time"/>
    <x v="0"/>
  </r>
  <r>
    <x v="229"/>
    <s v="GLPI"/>
    <s v="on 2/20/25 After Market Eastern Standard Time"/>
    <x v="2"/>
  </r>
  <r>
    <x v="229"/>
    <s v="OMAB"/>
    <s v="on 2/20/25 After Market Eastern Standard Time"/>
    <x v="0"/>
  </r>
  <r>
    <x v="229"/>
    <s v="MRIN"/>
    <s v="on 2/20/25 After Market Eastern Standard Time"/>
    <x v="0"/>
  </r>
  <r>
    <x v="229"/>
    <s v="BMRN"/>
    <s v="on 2/20/25 After Market Eastern Standard Time"/>
    <x v="2"/>
  </r>
  <r>
    <x v="229"/>
    <s v="OLED"/>
    <s v="on 2/20/25 After Market Eastern Standard Time"/>
    <x v="2"/>
  </r>
  <r>
    <x v="229"/>
    <s v="AMH"/>
    <s v="on 2/20/25 After Market Eastern Standard Time"/>
    <x v="2"/>
  </r>
  <r>
    <x v="229"/>
    <s v="PANW"/>
    <s v="on 2/20/25 After Market Eastern Standard Time"/>
    <x v="3"/>
  </r>
  <r>
    <x v="229"/>
    <s v="UAN"/>
    <s v="on 2/20/25 After Market Eastern Standard Time"/>
    <x v="0"/>
  </r>
  <r>
    <x v="229"/>
    <s v="CTO"/>
    <s v="on 2/20/25 After Market Eastern Standard Time"/>
    <x v="1"/>
  </r>
  <r>
    <x v="229"/>
    <s v="TK"/>
    <s v="on 2/20/25 After Market Eastern Standard Time"/>
    <x v="1"/>
  </r>
  <r>
    <x v="229"/>
    <s v="MERC"/>
    <s v="on 2/20/25 After Market Eastern Standard Time"/>
    <x v="0"/>
  </r>
  <r>
    <x v="229"/>
    <s v="RIG"/>
    <s v="on 2/20/25 After Market Eastern Standard Time"/>
    <x v="1"/>
  </r>
  <r>
    <x v="229"/>
    <s v="FOXF"/>
    <s v="on 2/20/25 After Market Eastern Standard Time"/>
    <x v="1"/>
  </r>
  <r>
    <x v="229"/>
    <s v="ALTM"/>
    <s v="on 2/20/25 After Market Eastern Standard Time"/>
    <x v="1"/>
  </r>
  <r>
    <x v="229"/>
    <s v="RLAY"/>
    <s v="on 2/20/25 After Market Eastern Standard Time"/>
    <x v="1"/>
  </r>
  <r>
    <x v="229"/>
    <s v="RNW"/>
    <s v="on 2/20/25 After Market Eastern Standard Time"/>
    <x v="0"/>
  </r>
  <r>
    <x v="229"/>
    <s v="MNOV"/>
    <s v="on 2/20/25 After Market Eastern Standard Time"/>
    <x v="0"/>
  </r>
  <r>
    <x v="229"/>
    <s v="GMED"/>
    <s v="on 2/20/25 After Market Eastern Standard Time"/>
    <x v="2"/>
  </r>
  <r>
    <x v="229"/>
    <s v="UEIC"/>
    <s v="on 2/20/25 After Market Eastern Standard Time"/>
    <x v="0"/>
  </r>
  <r>
    <x v="229"/>
    <s v="REZI"/>
    <s v="on 2/20/25 After Market Eastern Standard Time"/>
    <x v="1"/>
  </r>
  <r>
    <x v="229"/>
    <s v="BBDC"/>
    <s v="on 2/20/25 After Market Eastern Standard Time"/>
    <x v="0"/>
  </r>
  <r>
    <x v="229"/>
    <s v="AKAM"/>
    <s v="on 2/20/25 After Market Eastern Standard Time"/>
    <x v="3"/>
  </r>
  <r>
    <x v="230"/>
    <s v="BLMN"/>
    <s v="on 2/21/25 Before Market Eastern Standard Time"/>
    <x v="1"/>
  </r>
  <r>
    <x v="230"/>
    <s v="MMI"/>
    <s v="on 2/21/25 Before Market Eastern Standard Time"/>
    <x v="1"/>
  </r>
  <r>
    <x v="230"/>
    <s v="SCHYY"/>
    <s v="on 2/21/25 Unspecified Eastern Standard Time"/>
    <x v="0"/>
  </r>
  <r>
    <x v="230"/>
    <s v="NHC"/>
    <s v="on 2/21/25 Before Market Eastern Standard Time"/>
    <x v="1"/>
  </r>
  <r>
    <x v="230"/>
    <s v="MBX"/>
    <s v="on 2/21/25 Before Market Eastern Standard Time"/>
    <x v="0"/>
  </r>
  <r>
    <x v="230"/>
    <s v="WPP"/>
    <s v="on 2/21/25 Before Market Eastern Standard Time"/>
    <x v="0"/>
  </r>
  <r>
    <x v="230"/>
    <s v="AIQUY"/>
    <s v="on 2/21/25 Before Market Eastern Standard Time"/>
    <x v="0"/>
  </r>
  <r>
    <x v="230"/>
    <s v="CLMT"/>
    <s v="on 2/21/25 Before Market Eastern Standard Time"/>
    <x v="0"/>
  </r>
  <r>
    <x v="230"/>
    <s v="FMX"/>
    <s v="on 2/21/25 Before Market Eastern Standard Time"/>
    <x v="0"/>
  </r>
  <r>
    <x v="230"/>
    <s v="TXNM"/>
    <s v="on 2/21/25 Before Market Eastern Standard Time"/>
    <x v="1"/>
  </r>
  <r>
    <x v="230"/>
    <s v="SBSW"/>
    <s v="on 2/21/25 Unspecified Eastern Standard Time"/>
    <x v="0"/>
  </r>
  <r>
    <x v="230"/>
    <s v="KEP"/>
    <s v="on 2/21/25 Unspecified Eastern Standard Time"/>
    <x v="0"/>
  </r>
  <r>
    <x v="230"/>
    <s v="ABR"/>
    <s v="on 2/21/25 Before Market Eastern Standard Time"/>
    <x v="1"/>
  </r>
  <r>
    <x v="230"/>
    <s v="UNIT"/>
    <s v="on 2/21/25 Before Market Eastern Standard Time"/>
    <x v="1"/>
  </r>
  <r>
    <x v="230"/>
    <s v="LKNCY"/>
    <s v="on 2/21/25 Before Market Eastern Standard Time"/>
    <x v="0"/>
  </r>
  <r>
    <x v="230"/>
    <s v="BCPC"/>
    <s v="on 2/21/25 Before Market Eastern Standard Time"/>
    <x v="1"/>
  </r>
  <r>
    <x v="230"/>
    <s v="ASIX"/>
    <s v="on 2/21/25 Before Market Eastern Standard Time"/>
    <x v="1"/>
  </r>
  <r>
    <x v="230"/>
    <s v="SSP"/>
    <s v="on 2/21/25 Before Market Eastern Standard Time"/>
    <x v="0"/>
  </r>
  <r>
    <x v="230"/>
    <s v="SHO"/>
    <s v="on 2/21/25 Before Market Eastern Standard Time"/>
    <x v="1"/>
  </r>
  <r>
    <x v="230"/>
    <s v="AU"/>
    <s v="on 2/21/25 Unspecified Eastern Standard Time"/>
    <x v="0"/>
  </r>
  <r>
    <x v="231"/>
    <s v="BTCM"/>
    <s v="on 2/21/25 After Market Eastern Standard Time"/>
    <x v="0"/>
  </r>
  <r>
    <x v="231"/>
    <s v="FYBR"/>
    <s v="on 2/21/25 After Market Eastern Standard Time"/>
    <x v="2"/>
  </r>
  <r>
    <x v="231"/>
    <s v="AGM"/>
    <s v="on 2/21/25 After Market Eastern Standard Time"/>
    <x v="1"/>
  </r>
  <r>
    <x v="232"/>
    <s v="BRK/A"/>
    <s v="on 2/22/25 Unspecified Eastern Standard Time"/>
    <x v="0"/>
  </r>
  <r>
    <x v="233"/>
    <s v="ELAN"/>
    <s v="on 2/24/25 Before Market Eastern Standard Time"/>
    <x v="0"/>
  </r>
  <r>
    <x v="233"/>
    <s v="KBR"/>
    <s v="on 2/24/25 Unspecified Eastern Standard Time"/>
    <x v="2"/>
  </r>
  <r>
    <x v="233"/>
    <s v="ENLT"/>
    <s v="on 2/24/25 Before Market Eastern Standard Time"/>
    <x v="0"/>
  </r>
  <r>
    <x v="233"/>
    <s v="PSTNY"/>
    <s v="on 2/24/25 Unspecified Eastern Standard Time"/>
    <x v="0"/>
  </r>
  <r>
    <x v="233"/>
    <s v="FRPT"/>
    <s v="on 2/24/25 Before Market Eastern Standard Time"/>
    <x v="0"/>
  </r>
  <r>
    <x v="233"/>
    <s v="LI"/>
    <s v="on 2/24/25 Before Market Eastern Standard Time"/>
    <x v="0"/>
  </r>
  <r>
    <x v="233"/>
    <s v="CWEN"/>
    <s v="on 2/24/25 Before Market Eastern Standard Time"/>
    <x v="0"/>
  </r>
  <r>
    <x v="233"/>
    <s v="UXIN"/>
    <s v="on 2/24/25 Before Market Eastern Standard Time"/>
    <x v="0"/>
  </r>
  <r>
    <x v="233"/>
    <s v="IE"/>
    <s v="on 2/24/25 Before Market Eastern Standard Time"/>
    <x v="1"/>
  </r>
  <r>
    <x v="233"/>
    <s v="CRGO"/>
    <s v="on 2/24/25 Before Market Eastern Standard Time"/>
    <x v="0"/>
  </r>
  <r>
    <x v="233"/>
    <s v="DPZ"/>
    <s v="on 2/24/25 Before Market Eastern Standard Time"/>
    <x v="3"/>
  </r>
  <r>
    <x v="233"/>
    <s v="KRYS"/>
    <s v="on 2/24/25 Before Market Eastern Standard Time"/>
    <x v="1"/>
  </r>
  <r>
    <x v="233"/>
    <s v="CHRYY"/>
    <s v="on 2/24/25 Unspecified Eastern Standard Time"/>
    <x v="0"/>
  </r>
  <r>
    <x v="233"/>
    <s v="CLPHY"/>
    <s v="on 2/24/25 Unspecified Eastern Standard Time"/>
    <x v="0"/>
  </r>
  <r>
    <x v="233"/>
    <s v="ADTN"/>
    <s v="on 2/24/25 Before Market Eastern Standard Time"/>
    <x v="1"/>
  </r>
  <r>
    <x v="233"/>
    <s v="CCO"/>
    <s v="on 2/24/25 Before Market Eastern Standard Time"/>
    <x v="1"/>
  </r>
  <r>
    <x v="233"/>
    <s v="KOS"/>
    <s v="on 2/24/25 Before Market Eastern Standard Time"/>
    <x v="1"/>
  </r>
  <r>
    <x v="233"/>
    <s v="FDP"/>
    <s v="on 2/24/25 Before Market Eastern Standard Time"/>
    <x v="1"/>
  </r>
  <r>
    <x v="233"/>
    <s v="IRBT"/>
    <s v="on 2/24/25 Before Market Eastern Standard Time"/>
    <x v="1"/>
  </r>
  <r>
    <x v="233"/>
    <s v="KSPI"/>
    <s v="on 2/24/25 Before Market Eastern Standard Time"/>
    <x v="0"/>
  </r>
  <r>
    <x v="233"/>
    <s v="SSL"/>
    <s v="on 2/24/25 Before Market Eastern Standard Time"/>
    <x v="0"/>
  </r>
  <r>
    <x v="233"/>
    <s v="BZLFY"/>
    <s v="on 2/24/25 Before Market Eastern Standard Time"/>
    <x v="0"/>
  </r>
  <r>
    <x v="234"/>
    <s v="FSP"/>
    <s v="on 2/24/25 After Market Eastern Standard Time"/>
    <x v="0"/>
  </r>
  <r>
    <x v="234"/>
    <s v="HSII"/>
    <s v="on 2/24/25 After Market Eastern Standard Time"/>
    <x v="1"/>
  </r>
  <r>
    <x v="234"/>
    <s v="PLOW"/>
    <s v="on 2/24/25 After Market Eastern Standard Time"/>
    <x v="1"/>
  </r>
  <r>
    <x v="234"/>
    <s v="HIMS"/>
    <s v="on 2/24/25 After Market Eastern Standard Time"/>
    <x v="1"/>
  </r>
  <r>
    <x v="234"/>
    <s v="INN"/>
    <s v="on 2/24/25 After Market Eastern Standard Time"/>
    <x v="1"/>
  </r>
  <r>
    <x v="234"/>
    <s v="AES"/>
    <s v="on 2/24/25 After Market Eastern Standard Time"/>
    <x v="3"/>
  </r>
  <r>
    <x v="234"/>
    <s v="AIN"/>
    <s v="on 2/24/25 After Market Eastern Standard Time"/>
    <x v="1"/>
  </r>
  <r>
    <x v="234"/>
    <s v="WDAY"/>
    <s v="on 2/24/25 After Market Eastern Standard Time"/>
    <x v="4"/>
  </r>
  <r>
    <x v="234"/>
    <s v="VTS"/>
    <s v="on 2/24/25 After Market Eastern Standard Time"/>
    <x v="1"/>
  </r>
  <r>
    <x v="234"/>
    <s v="EVER"/>
    <s v="on 2/24/25 After Market Eastern Standard Time"/>
    <x v="1"/>
  </r>
  <r>
    <x v="234"/>
    <s v="INVX"/>
    <s v="on 2/24/25 After Market Eastern Standard Time"/>
    <x v="1"/>
  </r>
  <r>
    <x v="234"/>
    <s v="HEI"/>
    <s v="on 2/24/25 After Market Eastern Standard Time"/>
    <x v="0"/>
  </r>
  <r>
    <x v="234"/>
    <s v="ASR"/>
    <s v="on 2/24/25 After Market Eastern Standard Time"/>
    <x v="0"/>
  </r>
  <r>
    <x v="234"/>
    <s v="STRL"/>
    <s v="on 2/24/25 After Market Eastern Standard Time"/>
    <x v="1"/>
  </r>
  <r>
    <x v="234"/>
    <s v="CARG"/>
    <s v="on 2/24/25 After Market Eastern Standard Time"/>
    <x v="1"/>
  </r>
  <r>
    <x v="234"/>
    <s v="HEI/A"/>
    <s v="on 2/24/25 After Market Eastern Standard Time"/>
    <x v="0"/>
  </r>
  <r>
    <x v="234"/>
    <s v="EFC"/>
    <s v="on 2/24/25 After Market Eastern Standard Time"/>
    <x v="1"/>
  </r>
  <r>
    <x v="234"/>
    <s v="SEZL"/>
    <s v="on 2/24/25 After Market Eastern Standard Time"/>
    <x v="1"/>
  </r>
  <r>
    <x v="234"/>
    <s v="WDS"/>
    <s v="on 2/24/25 After Market Eastern Standard Time"/>
    <x v="0"/>
  </r>
  <r>
    <x v="234"/>
    <s v="ASUR"/>
    <s v="on 2/24/25 After Market Eastern Standard Time"/>
    <x v="1"/>
  </r>
  <r>
    <x v="234"/>
    <s v="API"/>
    <s v="on 2/24/25 After Market Eastern Standard Time"/>
    <x v="0"/>
  </r>
  <r>
    <x v="234"/>
    <s v="DAWN"/>
    <s v="on 2/24/25 After Market Eastern Standard Time"/>
    <x v="1"/>
  </r>
  <r>
    <x v="234"/>
    <s v="OKE"/>
    <s v="on 2/24/25 After Market Eastern Standard Time"/>
    <x v="3"/>
  </r>
  <r>
    <x v="234"/>
    <s v="SKYT"/>
    <s v="on 2/24/25 After Market Eastern Standard Time"/>
    <x v="1"/>
  </r>
  <r>
    <x v="234"/>
    <s v="SBAC"/>
    <s v="on 2/24/25 After Market Eastern Standard Time"/>
    <x v="3"/>
  </r>
  <r>
    <x v="234"/>
    <s v="CWEN/A"/>
    <s v="on 2/24/25 After Market Eastern Standard Time"/>
    <x v="0"/>
  </r>
  <r>
    <x v="234"/>
    <s v="OPAD"/>
    <s v="on 2/24/25 After Market Eastern Standard Time"/>
    <x v="0"/>
  </r>
  <r>
    <x v="234"/>
    <s v="GFL"/>
    <s v="on 2/24/25 After Market Eastern Standard Time"/>
    <x v="0"/>
  </r>
  <r>
    <x v="234"/>
    <s v="AESI"/>
    <s v="on 2/24/25 After Market Eastern Standard Time"/>
    <x v="1"/>
  </r>
  <r>
    <x v="234"/>
    <s v="TREX"/>
    <s v="on 2/24/25 After Market Eastern Standard Time"/>
    <x v="2"/>
  </r>
  <r>
    <x v="234"/>
    <s v="HLX"/>
    <s v="on 2/24/25 After Market Eastern Standard Time"/>
    <x v="1"/>
  </r>
  <r>
    <x v="234"/>
    <s v="CLF"/>
    <s v="on 2/24/25 After Market Eastern Standard Time"/>
    <x v="2"/>
  </r>
  <r>
    <x v="234"/>
    <s v="RVMD"/>
    <s v="on 2/24/25 After Market Eastern Standard Time"/>
    <x v="1"/>
  </r>
  <r>
    <x v="234"/>
    <s v="APLE"/>
    <s v="on 2/24/25 After Market Eastern Standard Time"/>
    <x v="1"/>
  </r>
  <r>
    <x v="234"/>
    <s v="VRE"/>
    <s v="on 2/24/25 After Market Eastern Standard Time"/>
    <x v="1"/>
  </r>
  <r>
    <x v="234"/>
    <s v="CHGG"/>
    <s v="on 2/24/25 After Market Eastern Standard Time"/>
    <x v="0"/>
  </r>
  <r>
    <x v="234"/>
    <s v="PRIM"/>
    <s v="on 2/24/25 After Market Eastern Standard Time"/>
    <x v="1"/>
  </r>
  <r>
    <x v="234"/>
    <s v="FANG"/>
    <s v="on 2/24/25 After Market Eastern Standard Time"/>
    <x v="3"/>
  </r>
  <r>
    <x v="234"/>
    <s v="BSM"/>
    <s v="on 2/24/25 After Market Eastern Standard Time"/>
    <x v="0"/>
  </r>
  <r>
    <x v="234"/>
    <b v="1"/>
    <s v="on 2/24/25 After Market Eastern Standard Time"/>
    <x v="0"/>
  </r>
  <r>
    <x v="234"/>
    <s v="VLRS"/>
    <s v="on 2/24/25 After Market Eastern Standard Time"/>
    <x v="0"/>
  </r>
  <r>
    <x v="234"/>
    <s v="UCTT"/>
    <s v="on 2/24/25 After Market Eastern Standard Time"/>
    <x v="1"/>
  </r>
  <r>
    <x v="234"/>
    <s v="VNOM"/>
    <s v="on 2/24/25 After Market Eastern Standard Time"/>
    <x v="2"/>
  </r>
  <r>
    <x v="234"/>
    <s v="ACHR"/>
    <s v="on 2/24/25 After Market Eastern Standard Time"/>
    <x v="1"/>
  </r>
  <r>
    <x v="234"/>
    <s v="VVX"/>
    <s v="on 2/24/25 After Market Eastern Standard Time"/>
    <x v="1"/>
  </r>
  <r>
    <x v="234"/>
    <s v="HLIO"/>
    <s v="on 2/24/25 After Market Eastern Standard Time"/>
    <x v="1"/>
  </r>
  <r>
    <x v="234"/>
    <s v="U"/>
    <s v="on 2/24/25 After Market Eastern Standard Time"/>
    <x v="0"/>
  </r>
  <r>
    <x v="234"/>
    <s v="NTST"/>
    <s v="on 2/24/25 After Market Eastern Standard Time"/>
    <x v="1"/>
  </r>
  <r>
    <x v="234"/>
    <s v="BWXT"/>
    <s v="on 2/24/25 After Market Eastern Standard Time"/>
    <x v="2"/>
  </r>
  <r>
    <x v="234"/>
    <s v="PRAA"/>
    <s v="on 2/24/25 After Market Eastern Standard Time"/>
    <x v="1"/>
  </r>
  <r>
    <x v="234"/>
    <s v="CIVI"/>
    <s v="on 2/24/25 After Market Eastern Standard Time"/>
    <x v="2"/>
  </r>
  <r>
    <x v="234"/>
    <s v="FGEN"/>
    <s v="on 2/24/25 After Market Eastern Standard Time"/>
    <x v="0"/>
  </r>
  <r>
    <x v="234"/>
    <s v="ATIP"/>
    <s v="on 2/24/25 After Market Eastern Standard Time"/>
    <x v="0"/>
  </r>
  <r>
    <x v="235"/>
    <s v="ITRI"/>
    <s v="on 2/25/25 Before Market Eastern Standard Time"/>
    <x v="1"/>
  </r>
  <r>
    <x v="235"/>
    <s v="AWI"/>
    <s v="on 2/25/25 Before Market Eastern Standard Time"/>
    <x v="0"/>
  </r>
  <r>
    <x v="235"/>
    <s v="PAR"/>
    <s v="on 2/25/25 Before Market Eastern Standard Time"/>
    <x v="1"/>
  </r>
  <r>
    <x v="235"/>
    <s v="ARVN"/>
    <s v="on 2/25/25 Before Market Eastern Standard Time"/>
    <x v="1"/>
  </r>
  <r>
    <x v="235"/>
    <s v="ZVIA"/>
    <s v="on 2/25/25 Before Market Eastern Standard Time"/>
    <x v="0"/>
  </r>
  <r>
    <x v="235"/>
    <s v="PLNT"/>
    <s v="on 2/25/25 Before Market Eastern Standard Time"/>
    <x v="2"/>
  </r>
  <r>
    <x v="235"/>
    <s v="CTV"/>
    <s v="on 2/25/25 Before Market Eastern Standard Time"/>
    <x v="0"/>
  </r>
  <r>
    <x v="235"/>
    <s v="GLNG"/>
    <s v="on 2/25/25 Before Market Eastern Standard Time"/>
    <x v="1"/>
  </r>
  <r>
    <x v="235"/>
    <s v="PTLO"/>
    <s v="on 2/25/25 Before Market Eastern Standard Time"/>
    <x v="1"/>
  </r>
  <r>
    <x v="235"/>
    <s v="BSY"/>
    <s v="on 2/25/25 Before Market Eastern Standard Time"/>
    <x v="0"/>
  </r>
  <r>
    <x v="235"/>
    <s v="GRFS"/>
    <s v="on 2/25/25 Unspecified Eastern Standard Time"/>
    <x v="0"/>
  </r>
  <r>
    <x v="235"/>
    <s v="PRGO"/>
    <s v="on 2/25/25 Before Market Eastern Standard Time"/>
    <x v="2"/>
  </r>
  <r>
    <x v="235"/>
    <s v="ESPR"/>
    <s v="on 2/25/25 Before Market Eastern Standard Time"/>
    <x v="1"/>
  </r>
  <r>
    <x v="235"/>
    <s v="CYD"/>
    <s v="on 2/25/25 Before Market Eastern Standard Time"/>
    <x v="0"/>
  </r>
  <r>
    <x v="235"/>
    <s v="LGIH"/>
    <s v="on 2/25/25 Before Market Eastern Standard Time"/>
    <x v="1"/>
  </r>
  <r>
    <x v="235"/>
    <s v="ALLT"/>
    <s v="on 2/25/25 Before Market Eastern Standard Time"/>
    <x v="0"/>
  </r>
  <r>
    <x v="235"/>
    <s v="VRDN"/>
    <s v="on 2/25/25 Before Market Eastern Standard Time"/>
    <x v="1"/>
  </r>
  <r>
    <x v="235"/>
    <s v="FMS"/>
    <s v="on 2/25/25 Unspecified Eastern Standard Time"/>
    <x v="0"/>
  </r>
  <r>
    <x v="235"/>
    <s v="SRE"/>
    <s v="on 2/25/25 Before Market Eastern Standard Time"/>
    <x v="3"/>
  </r>
  <r>
    <x v="235"/>
    <s v="SPKKY"/>
    <s v="on 2/25/25 Unspecified Eastern Standard Time"/>
    <x v="0"/>
  </r>
  <r>
    <x v="235"/>
    <s v="LAZR"/>
    <s v="on 2/25/25 Before Market Eastern Standard Time"/>
    <x v="1"/>
  </r>
  <r>
    <x v="235"/>
    <s v="AHCO"/>
    <s v="on 2/25/25 Before Market Eastern Standard Time"/>
    <x v="1"/>
  </r>
  <r>
    <x v="235"/>
    <s v="TILE"/>
    <s v="on 2/25/25 Before Market Eastern Standard Time"/>
    <x v="1"/>
  </r>
  <r>
    <x v="235"/>
    <s v="COGT"/>
    <s v="on 2/25/25 Before Market Eastern Standard Time"/>
    <x v="1"/>
  </r>
  <r>
    <x v="235"/>
    <s v="NOVT"/>
    <s v="on 2/25/25 Before Market Eastern Standard Time"/>
    <x v="1"/>
  </r>
  <r>
    <x v="235"/>
    <s v="CCU"/>
    <s v="on 2/25/25 Unspecified Eastern Standard Time"/>
    <x v="0"/>
  </r>
  <r>
    <x v="235"/>
    <s v="OEDC"/>
    <s v="on 2/25/25 Before Market Eastern Standard Time"/>
    <x v="0"/>
  </r>
  <r>
    <x v="235"/>
    <s v="SJM"/>
    <s v="on 2/25/25 Before Market Eastern Standard Time"/>
    <x v="3"/>
  </r>
  <r>
    <x v="235"/>
    <s v="AIRS"/>
    <s v="on 2/25/25 Before Market Eastern Standard Time"/>
    <x v="0"/>
  </r>
  <r>
    <x v="235"/>
    <s v="NXRT"/>
    <s v="on 2/25/25 Before Market Eastern Standard Time"/>
    <x v="1"/>
  </r>
  <r>
    <x v="235"/>
    <s v="GENE"/>
    <s v="on 2/25/25 Unspecified Eastern Standard Time"/>
    <x v="0"/>
  </r>
  <r>
    <x v="235"/>
    <s v="FSS"/>
    <s v="on 2/25/25 Before Market Eastern Standard Time"/>
    <x v="1"/>
  </r>
  <r>
    <x v="235"/>
    <s v="AMT"/>
    <s v="on 2/25/25 Before Market Eastern Standard Time"/>
    <x v="3"/>
  </r>
  <r>
    <x v="235"/>
    <s v="DKL"/>
    <s v="on 2/25/25 Before Market Eastern Standard Time"/>
    <x v="0"/>
  </r>
  <r>
    <x v="235"/>
    <s v="KDP"/>
    <s v="on 2/25/25 Before Market Eastern Standard Time"/>
    <x v="3"/>
  </r>
  <r>
    <x v="235"/>
    <s v="NCLH"/>
    <s v="on 2/25/25 Before Market Eastern Standard Time"/>
    <x v="3"/>
  </r>
  <r>
    <x v="235"/>
    <s v="HD"/>
    <s v="on 2/25/25 Before Market Eastern Standard Time"/>
    <x v="3"/>
  </r>
  <r>
    <x v="235"/>
    <s v="NPO"/>
    <s v="on 2/25/25 Before Market Eastern Standard Time"/>
    <x v="1"/>
  </r>
  <r>
    <x v="235"/>
    <s v="NUVL"/>
    <s v="on 2/25/25 Before Market Eastern Standard Time"/>
    <x v="1"/>
  </r>
  <r>
    <x v="235"/>
    <s v="SCL"/>
    <s v="on 2/25/25 Before Market Eastern Standard Time"/>
    <x v="1"/>
  </r>
  <r>
    <x v="235"/>
    <s v="SPNS"/>
    <s v="on 2/25/25 Before Market Eastern Standard Time"/>
    <x v="1"/>
  </r>
  <r>
    <x v="235"/>
    <s v="HSIC"/>
    <s v="on 2/25/25 Before Market Eastern Standard Time"/>
    <x v="3"/>
  </r>
  <r>
    <x v="235"/>
    <s v="BEAM"/>
    <s v="on 2/25/25 Before Market Eastern Standard Time"/>
    <x v="1"/>
  </r>
  <r>
    <x v="235"/>
    <s v="ONIT"/>
    <s v="on 2/25/25 Before Market Eastern Standard Time"/>
    <x v="1"/>
  </r>
  <r>
    <x v="235"/>
    <s v="LGND"/>
    <s v="on 2/25/25 Before Market Eastern Standard Time"/>
    <x v="1"/>
  </r>
  <r>
    <x v="235"/>
    <s v="SNN"/>
    <s v="on 2/25/25 Before Market Eastern Standard Time"/>
    <x v="0"/>
  </r>
  <r>
    <x v="235"/>
    <s v="OCGN"/>
    <s v="on 2/25/25 Before Market Eastern Standard Time"/>
    <x v="1"/>
  </r>
  <r>
    <x v="235"/>
    <s v="EHTH"/>
    <s v="on 2/25/25 Before Market Eastern Standard Time"/>
    <x v="0"/>
  </r>
  <r>
    <x v="235"/>
    <s v="XHR"/>
    <s v="on 2/25/25 Before Market Eastern Standard Time"/>
    <x v="1"/>
  </r>
  <r>
    <x v="235"/>
    <s v="DAR"/>
    <s v="on 2/25/25 Before Market Eastern Standard Time"/>
    <x v="2"/>
  </r>
  <r>
    <x v="235"/>
    <s v="SEE"/>
    <s v="on 2/25/25 Before Market Eastern Standard Time"/>
    <x v="0"/>
  </r>
  <r>
    <x v="235"/>
    <s v="LIVN"/>
    <s v="on 2/25/25 Before Market Eastern Standard Time"/>
    <x v="1"/>
  </r>
  <r>
    <x v="235"/>
    <s v="PEG"/>
    <s v="on 2/25/25 Before Market Eastern Standard Time"/>
    <x v="3"/>
  </r>
  <r>
    <x v="235"/>
    <s v="BMO"/>
    <s v="on 2/25/25 Before Market Eastern Standard Time"/>
    <x v="0"/>
  </r>
  <r>
    <x v="235"/>
    <s v="BNS"/>
    <s v="on 2/25/25 Before Market Eastern Standard Time"/>
    <x v="0"/>
  </r>
  <r>
    <x v="235"/>
    <s v="TALK"/>
    <s v="on 2/25/25 Before Market Eastern Standard Time"/>
    <x v="1"/>
  </r>
  <r>
    <x v="235"/>
    <s v="GOTU"/>
    <s v="on 2/25/25 Before Market Eastern Standard Time"/>
    <x v="0"/>
  </r>
  <r>
    <x v="235"/>
    <s v="CRI"/>
    <s v="on 2/25/25 Before Market Eastern Standard Time"/>
    <x v="2"/>
  </r>
  <r>
    <x v="235"/>
    <s v="DK"/>
    <s v="on 2/25/25 Before Market Eastern Standard Time"/>
    <x v="1"/>
  </r>
  <r>
    <x v="236"/>
    <s v="ASMIY"/>
    <s v="on 2/25/25 During Market Eastern Standard Time"/>
    <x v="0"/>
  </r>
  <r>
    <x v="236"/>
    <s v="MGEE"/>
    <s v="on 2/25/25 During Market Eastern Standard Time"/>
    <x v="1"/>
  </r>
  <r>
    <x v="237"/>
    <s v="VIV"/>
    <s v="on 2/25/25 After Market Eastern Standard Time"/>
    <x v="0"/>
  </r>
  <r>
    <x v="237"/>
    <s v="CPNG"/>
    <s v="on 2/25/25 After Market Eastern Standard Time"/>
    <x v="0"/>
  </r>
  <r>
    <x v="237"/>
    <s v="PR"/>
    <s v="on 2/25/25 After Market Eastern Standard Time"/>
    <x v="2"/>
  </r>
  <r>
    <x v="237"/>
    <s v="WMK"/>
    <s v="on 2/25/25 After Market Eastern Standard Time"/>
    <x v="1"/>
  </r>
  <r>
    <x v="237"/>
    <s v="QUIK"/>
    <s v="on 2/25/25 After Market Eastern Standard Time"/>
    <x v="0"/>
  </r>
  <r>
    <x v="237"/>
    <s v="MRVI"/>
    <s v="on 2/25/25 After Market Eastern Standard Time"/>
    <x v="1"/>
  </r>
  <r>
    <x v="237"/>
    <s v="BECN"/>
    <s v="on 2/25/25 After Market Eastern Standard Time"/>
    <x v="1"/>
  </r>
  <r>
    <x v="237"/>
    <s v="LPRO"/>
    <s v="on 2/25/25 After Market Eastern Standard Time"/>
    <x v="1"/>
  </r>
  <r>
    <x v="237"/>
    <s v="FRGE"/>
    <s v="on 2/25/25 After Market Eastern Standard Time"/>
    <x v="0"/>
  </r>
  <r>
    <x v="237"/>
    <s v="BMBL"/>
    <s v="on 2/25/25 After Market Eastern Standard Time"/>
    <x v="1"/>
  </r>
  <r>
    <x v="237"/>
    <s v="PRA"/>
    <s v="on 2/25/25 After Market Eastern Standard Time"/>
    <x v="1"/>
  </r>
  <r>
    <x v="237"/>
    <s v="VTEX"/>
    <s v="on 2/25/25 After Market Eastern Standard Time"/>
    <x v="0"/>
  </r>
  <r>
    <x v="237"/>
    <s v="ARKO"/>
    <s v="on 2/25/25 After Market Eastern Standard Time"/>
    <x v="1"/>
  </r>
  <r>
    <x v="237"/>
    <s v="AMBA"/>
    <s v="on 2/25/25 After Market Eastern Standard Time"/>
    <x v="1"/>
  </r>
  <r>
    <x v="237"/>
    <s v="NTNX"/>
    <s v="on 2/25/25 After Market Eastern Standard Time"/>
    <x v="0"/>
  </r>
  <r>
    <x v="237"/>
    <s v="GNL"/>
    <s v="on 2/25/25 After Market Eastern Standard Time"/>
    <x v="1"/>
  </r>
  <r>
    <x v="237"/>
    <s v="DNLI"/>
    <s v="on 2/25/25 After Market Eastern Standard Time"/>
    <x v="1"/>
  </r>
  <r>
    <x v="237"/>
    <s v="LMND"/>
    <s v="on 2/25/25 After Market Eastern Standard Time"/>
    <x v="1"/>
  </r>
  <r>
    <x v="237"/>
    <s v="INGN"/>
    <s v="on 2/25/25 After Market Eastern Standard Time"/>
    <x v="1"/>
  </r>
  <r>
    <x v="237"/>
    <s v="RWT"/>
    <s v="on 2/25/25 After Market Eastern Standard Time"/>
    <x v="1"/>
  </r>
  <r>
    <x v="237"/>
    <s v="CWK"/>
    <s v="on 2/25/25 After Market Eastern Standard Time"/>
    <x v="1"/>
  </r>
  <r>
    <x v="237"/>
    <s v="VICR"/>
    <s v="on 2/25/25 After Market Eastern Standard Time"/>
    <x v="1"/>
  </r>
  <r>
    <x v="237"/>
    <s v="VZIO"/>
    <s v="on 2/25/25 After Market Eastern Standard Time"/>
    <x v="1"/>
  </r>
  <r>
    <x v="237"/>
    <s v="BCSF"/>
    <s v="on 2/25/25 After Market Eastern Standard Time"/>
    <x v="0"/>
  </r>
  <r>
    <x v="237"/>
    <s v="LGVN"/>
    <s v="on 2/25/25 After Market Eastern Standard Time"/>
    <x v="0"/>
  </r>
  <r>
    <x v="237"/>
    <s v="FSLR"/>
    <s v="on 2/25/25 After Market Eastern Standard Time"/>
    <x v="3"/>
  </r>
  <r>
    <x v="237"/>
    <s v="WTTR"/>
    <s v="on 2/25/25 After Market Eastern Standard Time"/>
    <x v="1"/>
  </r>
  <r>
    <x v="237"/>
    <s v="RYTM"/>
    <s v="on 2/25/25 After Market Eastern Standard Time"/>
    <x v="1"/>
  </r>
  <r>
    <x v="237"/>
    <s v="EB"/>
    <s v="on 2/25/25 After Market Eastern Standard Time"/>
    <x v="1"/>
  </r>
  <r>
    <x v="237"/>
    <s v="SAM"/>
    <s v="on 2/25/25 After Market Eastern Standard Time"/>
    <x v="2"/>
  </r>
  <r>
    <x v="237"/>
    <s v="LMAT"/>
    <s v="on 2/25/25 After Market Eastern Standard Time"/>
    <x v="1"/>
  </r>
  <r>
    <x v="237"/>
    <s v="MNKD"/>
    <s v="on 2/25/25 After Market Eastern Standard Time"/>
    <x v="1"/>
  </r>
  <r>
    <x v="237"/>
    <s v="CHE"/>
    <s v="on 2/25/25 After Market Eastern Standard Time"/>
    <x v="2"/>
  </r>
  <r>
    <x v="237"/>
    <s v="RLJ"/>
    <s v="on 2/25/25 After Market Eastern Standard Time"/>
    <x v="1"/>
  </r>
  <r>
    <x v="237"/>
    <s v="BYND"/>
    <s v="on 2/25/25 After Market Eastern Standard Time"/>
    <x v="1"/>
  </r>
  <r>
    <x v="237"/>
    <s v="KAR"/>
    <s v="on 2/25/25 After Market Eastern Standard Time"/>
    <x v="1"/>
  </r>
  <r>
    <x v="237"/>
    <s v="BGFV"/>
    <s v="on 2/25/25 After Market Eastern Standard Time"/>
    <x v="0"/>
  </r>
  <r>
    <x v="237"/>
    <s v="SNDX"/>
    <s v="on 2/25/25 After Market Eastern Standard Time"/>
    <x v="1"/>
  </r>
  <r>
    <x v="237"/>
    <s v="RVLV"/>
    <s v="on 2/25/25 After Market Eastern Standard Time"/>
    <x v="1"/>
  </r>
  <r>
    <x v="237"/>
    <s v="LCID"/>
    <s v="on 2/25/25 After Market Eastern Standard Time"/>
    <x v="0"/>
  </r>
  <r>
    <x v="237"/>
    <s v="CGBD"/>
    <s v="on 2/25/25 After Market Eastern Standard Time"/>
    <x v="0"/>
  </r>
  <r>
    <x v="237"/>
    <s v="AGO"/>
    <s v="on 2/25/25 After Market Eastern Standard Time"/>
    <x v="0"/>
  </r>
  <r>
    <x v="237"/>
    <s v="DDD"/>
    <s v="on 2/25/25 After Market Eastern Standard Time"/>
    <x v="1"/>
  </r>
  <r>
    <x v="237"/>
    <s v="OSUR"/>
    <s v="on 2/25/25 After Market Eastern Standard Time"/>
    <x v="1"/>
  </r>
  <r>
    <x v="237"/>
    <s v="SPCE"/>
    <s v="on 2/25/25 After Market Eastern Standard Time"/>
    <x v="0"/>
  </r>
  <r>
    <x v="237"/>
    <s v="SLDP"/>
    <s v="on 2/25/25 After Market Eastern Standard Time"/>
    <x v="0"/>
  </r>
  <r>
    <x v="237"/>
    <s v="JACK"/>
    <s v="on 2/25/25 After Market Eastern Standard Time"/>
    <x v="1"/>
  </r>
  <r>
    <x v="237"/>
    <s v="ICCC"/>
    <s v="on 2/25/25 After Market Eastern Standard Time"/>
    <x v="0"/>
  </r>
  <r>
    <x v="237"/>
    <s v="JAMF"/>
    <s v="on 2/25/25 After Market Eastern Standard Time"/>
    <x v="1"/>
  </r>
  <r>
    <x v="237"/>
    <s v="TUYA"/>
    <s v="on 2/25/25 After Market Eastern Standard Time"/>
    <x v="0"/>
  </r>
  <r>
    <x v="237"/>
    <s v="SUPN"/>
    <s v="on 2/25/25 After Market Eastern Standard Time"/>
    <x v="1"/>
  </r>
  <r>
    <x v="237"/>
    <s v="IPAR"/>
    <s v="on 2/25/25 After Market Eastern Standard Time"/>
    <x v="1"/>
  </r>
  <r>
    <x v="237"/>
    <s v="HURN"/>
    <s v="on 2/25/25 After Market Eastern Standard Time"/>
    <x v="1"/>
  </r>
  <r>
    <x v="237"/>
    <s v="SPXC"/>
    <s v="on 2/25/25 After Market Eastern Standard Time"/>
    <x v="1"/>
  </r>
  <r>
    <x v="237"/>
    <s v="WK"/>
    <s v="on 2/25/25 After Market Eastern Standard Time"/>
    <x v="1"/>
  </r>
  <r>
    <x v="237"/>
    <s v="CART"/>
    <s v="on 2/25/25 After Market Eastern Standard Time"/>
    <x v="0"/>
  </r>
  <r>
    <x v="237"/>
    <s v="GATO"/>
    <s v="on 2/25/25 After Market Eastern Standard Time"/>
    <x v="0"/>
  </r>
  <r>
    <x v="237"/>
    <s v="PLYA"/>
    <s v="on 2/25/25 After Market Eastern Standard Time"/>
    <x v="0"/>
  </r>
  <r>
    <x v="237"/>
    <s v="ICUI"/>
    <s v="on 2/25/25 After Market Eastern Standard Time"/>
    <x v="1"/>
  </r>
  <r>
    <x v="237"/>
    <s v="TKO"/>
    <s v="on 2/25/25 After Market Eastern Standard Time"/>
    <x v="2"/>
  </r>
  <r>
    <x v="237"/>
    <s v="SPT"/>
    <s v="on 2/25/25 After Market Eastern Standard Time"/>
    <x v="1"/>
  </r>
  <r>
    <x v="237"/>
    <s v="TTI"/>
    <s v="on 2/25/25 After Market Eastern Standard Time"/>
    <x v="1"/>
  </r>
  <r>
    <x v="237"/>
    <s v="GMRE"/>
    <s v="on 2/25/25 After Market Eastern Standard Time"/>
    <x v="1"/>
  </r>
  <r>
    <x v="237"/>
    <s v="BWIN"/>
    <s v="on 2/25/25 After Market Eastern Standard Time"/>
    <x v="1"/>
  </r>
  <r>
    <x v="237"/>
    <s v="IGIC"/>
    <s v="on 2/25/25 After Market Eastern Standard Time"/>
    <x v="0"/>
  </r>
  <r>
    <x v="237"/>
    <s v="GO"/>
    <s v="on 2/25/25 After Market Eastern Standard Time"/>
    <x v="0"/>
  </r>
  <r>
    <x v="237"/>
    <s v="AXON"/>
    <s v="on 2/25/25 After Market Eastern Standard Time"/>
    <x v="3"/>
  </r>
  <r>
    <x v="237"/>
    <s v="PCVX"/>
    <s v="on 2/25/25 After Market Eastern Standard Time"/>
    <x v="1"/>
  </r>
  <r>
    <x v="237"/>
    <s v="MYGN"/>
    <s v="on 2/25/25 After Market Eastern Standard Time"/>
    <x v="1"/>
  </r>
  <r>
    <x v="237"/>
    <s v="FLYW"/>
    <s v="on 2/25/25 After Market Eastern Standard Time"/>
    <x v="1"/>
  </r>
  <r>
    <x v="237"/>
    <s v="XP"/>
    <s v="on 2/25/25 After Market Eastern Standard Time"/>
    <x v="0"/>
  </r>
  <r>
    <x v="237"/>
    <s v="NRDY"/>
    <s v="on 2/25/25 After Market Eastern Standard Time"/>
    <x v="0"/>
  </r>
  <r>
    <x v="237"/>
    <s v="CLNE"/>
    <s v="on 2/25/25 After Market Eastern Standard Time"/>
    <x v="1"/>
  </r>
  <r>
    <x v="237"/>
    <s v="LNW"/>
    <s v="on 2/25/25 After Market Eastern Standard Time"/>
    <x v="2"/>
  </r>
  <r>
    <x v="237"/>
    <s v="NHI"/>
    <s v="on 2/25/25 After Market Eastern Standard Time"/>
    <x v="1"/>
  </r>
  <r>
    <x v="237"/>
    <s v="AHT"/>
    <s v="on 2/25/25 After Market Eastern Standard Time"/>
    <x v="0"/>
  </r>
  <r>
    <x v="237"/>
    <s v="RKLB"/>
    <s v="on 2/25/25 After Market Eastern Standard Time"/>
    <x v="1"/>
  </r>
  <r>
    <x v="237"/>
    <s v="RYAM"/>
    <s v="on 2/25/25 After Market Eastern Standard Time"/>
    <x v="1"/>
  </r>
  <r>
    <x v="237"/>
    <s v="TREE"/>
    <s v="on 2/25/25 After Market Eastern Standard Time"/>
    <x v="1"/>
  </r>
  <r>
    <x v="237"/>
    <s v="NVEE"/>
    <s v="on 2/25/25 After Market Eastern Standard Time"/>
    <x v="1"/>
  </r>
  <r>
    <x v="237"/>
    <s v="ARRY"/>
    <s v="on 2/25/25 After Market Eastern Standard Time"/>
    <x v="1"/>
  </r>
  <r>
    <x v="237"/>
    <s v="MASI"/>
    <s v="on 2/25/25 After Market Eastern Standard Time"/>
    <x v="2"/>
  </r>
  <r>
    <x v="237"/>
    <s v="VTYX"/>
    <s v="on 2/25/25 After Market Eastern Standard Time"/>
    <x v="0"/>
  </r>
  <r>
    <x v="237"/>
    <s v="HRZN"/>
    <s v="on 2/25/25 After Market Eastern Standard Time"/>
    <x v="0"/>
  </r>
  <r>
    <x v="237"/>
    <s v="RC"/>
    <s v="on 2/25/25 After Market Eastern Standard Time"/>
    <x v="1"/>
  </r>
  <r>
    <x v="237"/>
    <s v="ARQT"/>
    <s v="on 2/25/25 After Market Eastern Standard Time"/>
    <x v="1"/>
  </r>
  <r>
    <x v="237"/>
    <s v="GLDG"/>
    <s v="on 2/25/25 After Market Eastern Standard Time"/>
    <x v="0"/>
  </r>
  <r>
    <x v="237"/>
    <s v="CZR"/>
    <s v="on 2/25/25 After Market Eastern Standard Time"/>
    <x v="3"/>
  </r>
  <r>
    <x v="237"/>
    <s v="EXR"/>
    <s v="on 2/25/25 After Market Eastern Standard Time"/>
    <x v="3"/>
  </r>
  <r>
    <x v="237"/>
    <s v="MMSI"/>
    <s v="on 2/25/25 After Market Eastern Standard Time"/>
    <x v="1"/>
  </r>
  <r>
    <x v="237"/>
    <s v="SLRC"/>
    <s v="on 2/25/25 After Market Eastern Standard Time"/>
    <x v="0"/>
  </r>
  <r>
    <x v="237"/>
    <s v="ZI"/>
    <s v="on 2/25/25 After Market Eastern Standard Time"/>
    <x v="2"/>
  </r>
  <r>
    <x v="237"/>
    <s v="USNA"/>
    <s v="on 2/25/25 After Market Eastern Standard Time"/>
    <x v="1"/>
  </r>
  <r>
    <x v="237"/>
    <s v="HY"/>
    <s v="on 2/25/25 After Market Eastern Standard Time"/>
    <x v="1"/>
  </r>
  <r>
    <x v="237"/>
    <s v="MFIC"/>
    <s v="on 2/25/25 After Market Eastern Standard Time"/>
    <x v="0"/>
  </r>
  <r>
    <x v="237"/>
    <s v="BCC"/>
    <s v="on 2/25/25 After Market Eastern Standard Time"/>
    <x v="1"/>
  </r>
  <r>
    <x v="237"/>
    <s v="ONTF"/>
    <s v="on 2/25/25 After Market Eastern Standard Time"/>
    <x v="1"/>
  </r>
  <r>
    <x v="238"/>
    <s v="EDIT"/>
    <s v="on 2/26/25 Before Market Eastern Standard Time"/>
    <x v="1"/>
  </r>
  <r>
    <x v="238"/>
    <s v="FWONK"/>
    <s v="on 2/26/25 Before Market Eastern Standard Time"/>
    <x v="0"/>
  </r>
  <r>
    <x v="238"/>
    <s v="QURE"/>
    <s v="on 2/26/25 Before Market Eastern Standard Time"/>
    <x v="0"/>
  </r>
  <r>
    <x v="238"/>
    <s v="GLBE"/>
    <s v="on 2/26/25 Before Market Eastern Standard Time"/>
    <x v="0"/>
  </r>
  <r>
    <x v="238"/>
    <s v="PARAA"/>
    <s v="on 2/26/25 Before Market Eastern Standard Time"/>
    <x v="0"/>
  </r>
  <r>
    <x v="238"/>
    <s v="TZOO"/>
    <s v="on 2/26/25 Before Market Eastern Standard Time"/>
    <x v="0"/>
  </r>
  <r>
    <x v="238"/>
    <s v="TBLA"/>
    <s v="on 2/26/25 Before Market Eastern Standard Time"/>
    <x v="0"/>
  </r>
  <r>
    <x v="238"/>
    <s v="YOU"/>
    <s v="on 2/26/25 Before Market Eastern Standard Time"/>
    <x v="1"/>
  </r>
  <r>
    <x v="238"/>
    <s v="ELEZY"/>
    <s v="on 2/26/25 Unspecified Eastern Standard Time"/>
    <x v="0"/>
  </r>
  <r>
    <x v="238"/>
    <s v="EME"/>
    <s v="on 2/26/25 Before Market Eastern Standard Time"/>
    <x v="2"/>
  </r>
  <r>
    <x v="238"/>
    <s v="SHOO"/>
    <s v="on 2/26/25 Before Market Eastern Standard Time"/>
    <x v="1"/>
  </r>
  <r>
    <x v="238"/>
    <s v="CSTE"/>
    <s v="on 2/26/25 Before Market Eastern Standard Time"/>
    <x v="0"/>
  </r>
  <r>
    <x v="238"/>
    <s v="UWMC"/>
    <s v="on 2/26/25 Before Market Eastern Standard Time"/>
    <x v="0"/>
  </r>
  <r>
    <x v="238"/>
    <s v="KLBAY"/>
    <s v="on 2/26/25 Before Market Eastern Standard Time"/>
    <x v="0"/>
  </r>
  <r>
    <x v="238"/>
    <s v="BKSY"/>
    <s v="on 2/26/25 Before Market Eastern Standard Time"/>
    <x v="0"/>
  </r>
  <r>
    <x v="238"/>
    <s v="STLA"/>
    <s v="on 2/26/25 Before Market Eastern Standard Time"/>
    <x v="0"/>
  </r>
  <r>
    <x v="238"/>
    <s v="VLN"/>
    <s v="on 2/26/25 Before Market Eastern Standard Time"/>
    <x v="0"/>
  </r>
  <r>
    <x v="238"/>
    <s v="FTDR"/>
    <s v="on 2/26/25 Before Market Eastern Standard Time"/>
    <x v="1"/>
  </r>
  <r>
    <x v="238"/>
    <s v="ODP"/>
    <s v="on 2/26/25 Before Market Eastern Standard Time"/>
    <x v="1"/>
  </r>
  <r>
    <x v="238"/>
    <s v="KNSA"/>
    <s v="on 2/26/25 Before Market Eastern Standard Time"/>
    <x v="1"/>
  </r>
  <r>
    <x v="238"/>
    <s v="CSAN"/>
    <s v="on 2/26/25 Unspecified Eastern Standard Time"/>
    <x v="0"/>
  </r>
  <r>
    <x v="238"/>
    <s v="EYE"/>
    <s v="on 2/26/25 Before Market Eastern Standard Time"/>
    <x v="1"/>
  </r>
  <r>
    <x v="238"/>
    <s v="PARA"/>
    <s v="on 2/26/25 Before Market Eastern Standard Time"/>
    <x v="3"/>
  </r>
  <r>
    <x v="238"/>
    <s v="QRTEA"/>
    <s v="on 2/26/25 Before Market Eastern Standard Time"/>
    <x v="0"/>
  </r>
  <r>
    <x v="238"/>
    <s v="BATRK"/>
    <s v="on 2/26/25 Before Market Eastern Standard Time"/>
    <x v="1"/>
  </r>
  <r>
    <x v="238"/>
    <s v="TPB"/>
    <s v="on 2/26/25 Before Market Eastern Standard Time"/>
    <x v="1"/>
  </r>
  <r>
    <x v="238"/>
    <s v="GERN"/>
    <s v="on 2/26/25 Before Market Eastern Standard Time"/>
    <x v="1"/>
  </r>
  <r>
    <x v="238"/>
    <s v="NVZMY"/>
    <s v="on 2/26/25 Before Market Eastern Standard Time"/>
    <x v="0"/>
  </r>
  <r>
    <x v="238"/>
    <s v="EONGY"/>
    <s v="on 2/26/25 Before Market Eastern Standard Time"/>
    <x v="0"/>
  </r>
  <r>
    <x v="238"/>
    <s v="ECVT"/>
    <s v="on 2/26/25 Before Market Eastern Standard Time"/>
    <x v="1"/>
  </r>
  <r>
    <x v="238"/>
    <s v="LOW"/>
    <s v="on 2/26/25 Before Market Eastern Standard Time"/>
    <x v="3"/>
  </r>
  <r>
    <x v="238"/>
    <s v="DIBS"/>
    <s v="on 2/26/25 Before Market Eastern Standard Time"/>
    <x v="0"/>
  </r>
  <r>
    <x v="238"/>
    <s v="TJX"/>
    <s v="on 2/26/25 Before Market Eastern Standard Time"/>
    <x v="3"/>
  </r>
  <r>
    <x v="238"/>
    <s v="SHEN"/>
    <s v="on 2/26/25 Before Market Eastern Standard Time"/>
    <x v="1"/>
  </r>
  <r>
    <x v="238"/>
    <s v="JBI"/>
    <s v="on 2/26/25 Before Market Eastern Standard Time"/>
    <x v="1"/>
  </r>
  <r>
    <x v="238"/>
    <s v="MTLS"/>
    <s v="on 2/26/25 Before Market Eastern Standard Time"/>
    <x v="0"/>
  </r>
  <r>
    <x v="238"/>
    <s v="DTEGY"/>
    <s v="on 2/26/25 Before Market Eastern Standard Time"/>
    <x v="0"/>
  </r>
  <r>
    <x v="238"/>
    <s v="DOCN"/>
    <s v="on 2/26/25 Before Market Eastern Standard Time"/>
    <x v="1"/>
  </r>
  <r>
    <x v="238"/>
    <s v="ADT"/>
    <s v="on 2/26/25 Before Market Eastern Standard Time"/>
    <x v="0"/>
  </r>
  <r>
    <x v="238"/>
    <s v="NAUT"/>
    <s v="on 2/26/25 Before Market Eastern Standard Time"/>
    <x v="0"/>
  </r>
  <r>
    <x v="238"/>
    <s v="VST"/>
    <s v="on 2/26/25 Before Market Eastern Standard Time"/>
    <x v="3"/>
  </r>
  <r>
    <x v="238"/>
    <s v="TGTX"/>
    <s v="on 2/26/25 Before Market Eastern Standard Time"/>
    <x v="1"/>
  </r>
  <r>
    <x v="238"/>
    <s v="VIPS"/>
    <s v="on 2/26/25 Before Market Eastern Standard Time"/>
    <x v="0"/>
  </r>
  <r>
    <x v="238"/>
    <s v="PERF"/>
    <s v="on 2/26/25 Before Market Eastern Standard Time"/>
    <x v="0"/>
  </r>
  <r>
    <x v="238"/>
    <s v="DCI"/>
    <s v="on 2/26/25 Before Market Eastern Standard Time"/>
    <x v="2"/>
  </r>
  <r>
    <x v="238"/>
    <s v="ABEV"/>
    <s v="on 2/26/25 Before Market Eastern Standard Time"/>
    <x v="0"/>
  </r>
  <r>
    <x v="238"/>
    <s v="NVAX"/>
    <s v="on 2/26/25 Before Market Eastern Standard Time"/>
    <x v="1"/>
  </r>
  <r>
    <x v="238"/>
    <s v="PRMW"/>
    <s v="on 2/26/25 Before Market Eastern Standard Time"/>
    <x v="0"/>
  </r>
  <r>
    <x v="238"/>
    <s v="PDCO"/>
    <s v="on 2/26/25 Before Market Eastern Standard Time"/>
    <x v="1"/>
  </r>
  <r>
    <x v="238"/>
    <s v="FWONB"/>
    <s v="on 2/26/25 Before Market Eastern Standard Time"/>
    <x v="0"/>
  </r>
  <r>
    <x v="238"/>
    <s v="BRFS"/>
    <s v="on 2/26/25 Unspecified Eastern Standard Time"/>
    <x v="0"/>
  </r>
  <r>
    <x v="238"/>
    <s v="NRG"/>
    <s v="on 2/26/25 Before Market Eastern Standard Time"/>
    <x v="3"/>
  </r>
  <r>
    <x v="238"/>
    <s v="MOS"/>
    <s v="on 2/26/25 Before Market Eastern Standard Time"/>
    <x v="3"/>
  </r>
  <r>
    <x v="238"/>
    <s v="ARC"/>
    <s v="on 2/26/25 Before Market Eastern Standard Time"/>
    <x v="0"/>
  </r>
  <r>
    <x v="238"/>
    <s v="MDXH"/>
    <s v="on 2/26/25 Unspecified Eastern Standard Time"/>
    <x v="0"/>
  </r>
  <r>
    <x v="238"/>
    <s v="LFST"/>
    <s v="on 2/26/25 Before Market Eastern Standard Time"/>
    <x v="1"/>
  </r>
  <r>
    <x v="238"/>
    <s v="MLYBY"/>
    <s v="on 2/26/25 Unspecified Eastern Standard Time"/>
    <x v="0"/>
  </r>
  <r>
    <x v="238"/>
    <s v="FWONA"/>
    <s v="on 2/26/25 Before Market Eastern Standard Time"/>
    <x v="0"/>
  </r>
  <r>
    <x v="238"/>
    <s v="SWX"/>
    <s v="on 2/26/25 Before Market Eastern Standard Time"/>
    <x v="1"/>
  </r>
  <r>
    <x v="238"/>
    <s v="RMNI"/>
    <s v="on 2/26/25 Before Market Eastern Standard Time"/>
    <x v="0"/>
  </r>
  <r>
    <x v="238"/>
    <s v="PRKS"/>
    <s v="on 2/26/25 Before Market Eastern Standard Time"/>
    <x v="1"/>
  </r>
  <r>
    <x v="238"/>
    <s v="BCO"/>
    <s v="on 2/26/25 Before Market Eastern Standard Time"/>
    <x v="1"/>
  </r>
  <r>
    <x v="238"/>
    <s v="BFLY"/>
    <s v="on 2/26/25 Before Market Eastern Standard Time"/>
    <x v="0"/>
  </r>
  <r>
    <x v="238"/>
    <s v="DY"/>
    <s v="on 2/26/25 Before Market Eastern Standard Time"/>
    <x v="1"/>
  </r>
  <r>
    <x v="238"/>
    <s v="ACMR"/>
    <s v="on 2/26/25 Before Market Eastern Standard Time"/>
    <x v="1"/>
  </r>
  <r>
    <x v="238"/>
    <s v="LENZ"/>
    <s v="on 2/26/25 Unspecified Eastern Standard Time"/>
    <x v="1"/>
  </r>
  <r>
    <x v="238"/>
    <s v="BUD"/>
    <s v="on 2/26/25 Before Market Eastern Standard Time"/>
    <x v="0"/>
  </r>
  <r>
    <x v="238"/>
    <s v="GB"/>
    <s v="on 2/26/25 Before Market Eastern Standard Time"/>
    <x v="0"/>
  </r>
  <r>
    <x v="238"/>
    <s v="AAP"/>
    <s v="on 2/26/25 Before Market Eastern Standard Time"/>
    <x v="0"/>
  </r>
  <r>
    <x v="238"/>
    <s v="PAYO"/>
    <s v="on 2/26/25 Before Market Eastern Standard Time"/>
    <x v="1"/>
  </r>
  <r>
    <x v="238"/>
    <s v="VTRS"/>
    <s v="on 2/26/25 Before Market Eastern Standard Time"/>
    <x v="3"/>
  </r>
  <r>
    <x v="238"/>
    <s v="SNLAY"/>
    <s v="on 2/26/25 Unspecified Eastern Standard Time"/>
    <x v="0"/>
  </r>
  <r>
    <x v="238"/>
    <s v="HLLY"/>
    <s v="on 2/26/25 Before Market Eastern Standard Time"/>
    <x v="0"/>
  </r>
  <r>
    <x v="238"/>
    <s v="SDGR"/>
    <s v="on 2/26/25 Before Market Eastern Standard Time"/>
    <x v="1"/>
  </r>
  <r>
    <x v="238"/>
    <s v="MRUS"/>
    <s v="on 2/26/25 Before Market Eastern Standard Time"/>
    <x v="0"/>
  </r>
  <r>
    <x v="238"/>
    <s v="ICL"/>
    <s v="on 2/26/25 Before Market Eastern Standard Time"/>
    <x v="0"/>
  </r>
  <r>
    <x v="238"/>
    <s v="LFWD"/>
    <s v="on 2/26/25 Before Market Eastern Standard Time"/>
    <x v="0"/>
  </r>
  <r>
    <x v="238"/>
    <s v="WBX"/>
    <s v="on 2/26/25 Before Market Eastern Standard Time"/>
    <x v="0"/>
  </r>
  <r>
    <x v="238"/>
    <s v="PRMB"/>
    <s v="on 2/26/25 Before Market Eastern Standard Time"/>
    <x v="1"/>
  </r>
  <r>
    <x v="238"/>
    <s v="AVA"/>
    <s v="on 2/26/25 Before Market Eastern Standard Time"/>
    <x v="1"/>
  </r>
  <r>
    <x v="238"/>
    <s v="HLTOY"/>
    <s v="on 2/26/25 Unspecified Eastern Standard Time"/>
    <x v="0"/>
  </r>
  <r>
    <x v="238"/>
    <s v="RPTX"/>
    <s v="on 2/26/25 Before Market Eastern Standard Time"/>
    <x v="0"/>
  </r>
  <r>
    <x v="238"/>
    <s v="JTKWY"/>
    <s v="on 2/26/25 Before Market Eastern Standard Time"/>
    <x v="0"/>
  </r>
  <r>
    <x v="238"/>
    <s v="BATRA"/>
    <s v="on 2/26/25 Before Market Eastern Standard Time"/>
    <x v="1"/>
  </r>
  <r>
    <x v="238"/>
    <s v="KTB"/>
    <s v="on 2/26/25 Before Market Eastern Standard Time"/>
    <x v="1"/>
  </r>
  <r>
    <x v="238"/>
    <s v="AVDX"/>
    <s v="on 2/26/25 Before Market Eastern Standard Time"/>
    <x v="1"/>
  </r>
  <r>
    <x v="238"/>
    <s v="AER"/>
    <s v="on 2/26/25 Before Market Eastern Standard Time"/>
    <x v="0"/>
  </r>
  <r>
    <x v="238"/>
    <s v="QRTEB"/>
    <s v="on 2/26/25 Before Market Eastern Standard Time"/>
    <x v="0"/>
  </r>
  <r>
    <x v="238"/>
    <s v="IEP"/>
    <s v="on 2/26/25 Before Market Eastern Standard Time"/>
    <x v="0"/>
  </r>
  <r>
    <x v="238"/>
    <s v="OPCH"/>
    <s v="on 2/26/25 Before Market Eastern Standard Time"/>
    <x v="1"/>
  </r>
  <r>
    <x v="238"/>
    <s v="BCRX"/>
    <s v="on 2/26/25 Before Market Eastern Standard Time"/>
    <x v="1"/>
  </r>
  <r>
    <x v="238"/>
    <s v="COCO"/>
    <s v="on 2/26/25 Before Market Eastern Standard Time"/>
    <x v="1"/>
  </r>
  <r>
    <x v="238"/>
    <s v="GHC"/>
    <s v="on 2/26/25 Before Market Eastern Standard Time"/>
    <x v="1"/>
  </r>
  <r>
    <x v="238"/>
    <s v="OSW"/>
    <s v="on 2/26/25 Before Market Eastern Standard Time"/>
    <x v="1"/>
  </r>
  <r>
    <x v="238"/>
    <s v="NI"/>
    <s v="on 2/26/25 Before Market Eastern Standard Time"/>
    <x v="3"/>
  </r>
  <r>
    <x v="238"/>
    <s v="LODE"/>
    <s v="on 2/26/25 Unspecified Eastern Standard Time"/>
    <x v="0"/>
  </r>
  <r>
    <x v="238"/>
    <s v="DAKT"/>
    <s v="on 2/26/25 Before Market Eastern Standard Time"/>
    <x v="1"/>
  </r>
  <r>
    <x v="238"/>
    <s v="IMCR"/>
    <s v="on 2/26/25 Before Market Eastern Standard Time"/>
    <x v="0"/>
  </r>
  <r>
    <x v="238"/>
    <s v="LINE"/>
    <s v="on 2/26/25 Before Market Eastern Standard Time"/>
    <x v="0"/>
  </r>
  <r>
    <x v="238"/>
    <s v="FOLD"/>
    <s v="on 2/26/25 Before Market Eastern Standard Time"/>
    <x v="1"/>
  </r>
  <r>
    <x v="238"/>
    <s v="TRIN"/>
    <s v="on 2/26/25 Before Market Eastern Standard Time"/>
    <x v="0"/>
  </r>
  <r>
    <x v="239"/>
    <s v="EBAY"/>
    <s v="on 2/26/25 After Market Eastern Standard Time"/>
    <x v="3"/>
  </r>
  <r>
    <x v="239"/>
    <s v="SBGI"/>
    <s v="on 2/26/25 After Market Eastern Standard Time"/>
    <x v="1"/>
  </r>
  <r>
    <x v="239"/>
    <s v="NSA"/>
    <s v="on 2/26/25 After Market Eastern Standard Time"/>
    <x v="2"/>
  </r>
  <r>
    <x v="239"/>
    <s v="AAON"/>
    <s v="on 2/26/25 After Market Eastern Standard Time"/>
    <x v="2"/>
  </r>
  <r>
    <x v="239"/>
    <s v="INVH"/>
    <s v="on 2/26/25 After Market Eastern Standard Time"/>
    <x v="3"/>
  </r>
  <r>
    <x v="239"/>
    <s v="GNK"/>
    <s v="on 2/26/25 After Market Eastern Standard Time"/>
    <x v="1"/>
  </r>
  <r>
    <x v="239"/>
    <s v="NEWT"/>
    <s v="on 2/26/25 After Market Eastern Standard Time"/>
    <x v="1"/>
  </r>
  <r>
    <x v="239"/>
    <s v="NMFC"/>
    <s v="on 2/26/25 After Market Eastern Standard Time"/>
    <x v="0"/>
  </r>
  <r>
    <x v="239"/>
    <s v="CCRN"/>
    <s v="on 2/26/25 After Market Eastern Standard Time"/>
    <x v="1"/>
  </r>
  <r>
    <x v="239"/>
    <s v="RRGB"/>
    <s v="on 2/26/25 After Market Eastern Standard Time"/>
    <x v="0"/>
  </r>
  <r>
    <x v="239"/>
    <s v="OKTA"/>
    <s v="on 2/26/25 After Market Eastern Standard Time"/>
    <x v="0"/>
  </r>
  <r>
    <x v="239"/>
    <s v="STKL"/>
    <s v="on 2/26/25 After Market Eastern Standard Time"/>
    <x v="1"/>
  </r>
  <r>
    <x v="239"/>
    <s v="CCCS"/>
    <s v="on 2/26/25 After Market Eastern Standard Time"/>
    <x v="0"/>
  </r>
  <r>
    <x v="239"/>
    <s v="MX"/>
    <s v="on 2/26/25 After Market Eastern Standard Time"/>
    <x v="0"/>
  </r>
  <r>
    <x v="239"/>
    <s v="AMRN"/>
    <s v="on 2/26/25 After Market Eastern Standard Time"/>
    <x v="0"/>
  </r>
  <r>
    <x v="239"/>
    <s v="ZUO"/>
    <s v="on 2/26/25 After Market Eastern Standard Time"/>
    <x v="1"/>
  </r>
  <r>
    <x v="239"/>
    <s v="CRM"/>
    <s v="on 2/26/25 After Market Eastern Standard Time"/>
    <x v="3"/>
  </r>
  <r>
    <x v="239"/>
    <s v="SRPT"/>
    <s v="on 2/26/25 After Market Eastern Standard Time"/>
    <x v="2"/>
  </r>
  <r>
    <x v="239"/>
    <s v="AMPH"/>
    <s v="on 2/26/25 After Market Eastern Standard Time"/>
    <x v="1"/>
  </r>
  <r>
    <x v="239"/>
    <s v="TPC"/>
    <s v="on 2/26/25 After Market Eastern Standard Time"/>
    <x v="1"/>
  </r>
  <r>
    <x v="239"/>
    <s v="BGS"/>
    <s v="on 2/26/25 After Market Eastern Standard Time"/>
    <x v="1"/>
  </r>
  <r>
    <x v="239"/>
    <s v="MYRG"/>
    <s v="on 2/26/25 After Market Eastern Standard Time"/>
    <x v="1"/>
  </r>
  <r>
    <x v="239"/>
    <s v="ALVO"/>
    <s v="on 2/26/25 After Market Eastern Standard Time"/>
    <x v="0"/>
  </r>
  <r>
    <x v="239"/>
    <s v="WES"/>
    <s v="on 2/26/25 After Market Eastern Standard Time"/>
    <x v="0"/>
  </r>
  <r>
    <x v="239"/>
    <s v="AI"/>
    <s v="on 2/26/25 After Market Eastern Standard Time"/>
    <x v="1"/>
  </r>
  <r>
    <x v="239"/>
    <s v="TIPT"/>
    <s v="on 2/26/25 After Market Eastern Standard Time"/>
    <x v="1"/>
  </r>
  <r>
    <x v="239"/>
    <s v="PBR"/>
    <s v="on 2/26/25 After Market Eastern Standard Time"/>
    <x v="0"/>
  </r>
  <r>
    <x v="239"/>
    <s v="VCSA"/>
    <s v="on 2/26/25 After Market Eastern Standard Time"/>
    <x v="0"/>
  </r>
  <r>
    <x v="239"/>
    <s v="TASK"/>
    <s v="on 2/26/25 After Market Eastern Standard Time"/>
    <x v="0"/>
  </r>
  <r>
    <x v="239"/>
    <s v="IOVA"/>
    <s v="on 2/26/25 After Market Eastern Standard Time"/>
    <x v="1"/>
  </r>
  <r>
    <x v="239"/>
    <s v="JAZZ"/>
    <s v="on 2/26/25 After Market Eastern Standard Time"/>
    <x v="2"/>
  </r>
  <r>
    <x v="239"/>
    <s v="NEXA"/>
    <s v="on 2/26/25 After Market Eastern Standard Time"/>
    <x v="0"/>
  </r>
  <r>
    <x v="239"/>
    <s v="HHH"/>
    <s v="on 2/26/25 After Market Eastern Standard Time"/>
    <x v="0"/>
  </r>
  <r>
    <x v="239"/>
    <s v="EE"/>
    <s v="on 2/26/25 After Market Eastern Standard Time"/>
    <x v="1"/>
  </r>
  <r>
    <x v="239"/>
    <s v="KNTK"/>
    <s v="on 2/26/25 After Market Eastern Standard Time"/>
    <x v="1"/>
  </r>
  <r>
    <x v="239"/>
    <s v="INFN"/>
    <s v="on 2/26/25 After Market Eastern Standard Time"/>
    <x v="1"/>
  </r>
  <r>
    <x v="239"/>
    <s v="AAOI"/>
    <s v="on 2/26/25 After Market Eastern Standard Time"/>
    <x v="1"/>
  </r>
  <r>
    <x v="239"/>
    <s v="ADMA"/>
    <s v="on 2/26/25 After Market Eastern Standard Time"/>
    <x v="1"/>
  </r>
  <r>
    <x v="239"/>
    <s v="DMRC"/>
    <s v="on 2/26/25 After Market Eastern Standard Time"/>
    <x v="1"/>
  </r>
  <r>
    <x v="239"/>
    <s v="CTKB"/>
    <s v="on 2/26/25 After Market Eastern Standard Time"/>
    <x v="1"/>
  </r>
  <r>
    <x v="239"/>
    <s v="NOVA"/>
    <s v="on 2/26/25 After Market Eastern Standard Time"/>
    <x v="1"/>
  </r>
  <r>
    <x v="239"/>
    <s v="KW"/>
    <s v="on 2/26/25 After Market Eastern Standard Time"/>
    <x v="1"/>
  </r>
  <r>
    <x v="239"/>
    <s v="TMDX"/>
    <s v="on 2/26/25 After Market Eastern Standard Time"/>
    <x v="1"/>
  </r>
  <r>
    <x v="239"/>
    <s v="DUOL"/>
    <s v="on 2/26/25 After Market Eastern Standard Time"/>
    <x v="2"/>
  </r>
  <r>
    <x v="239"/>
    <s v="ICDI"/>
    <s v="on 2/26/25 After Market Eastern Standard Time"/>
    <x v="0"/>
  </r>
  <r>
    <x v="239"/>
    <s v="FG"/>
    <s v="on 2/26/25 After Market Eastern Standard Time"/>
    <x v="1"/>
  </r>
  <r>
    <x v="239"/>
    <s v="FNF"/>
    <s v="on 2/26/25 After Market Eastern Standard Time"/>
    <x v="2"/>
  </r>
  <r>
    <x v="239"/>
    <s v="SPOK"/>
    <s v="on 2/26/25 After Market Eastern Standard Time"/>
    <x v="1"/>
  </r>
  <r>
    <x v="239"/>
    <s v="SMHI"/>
    <s v="on 2/26/25 After Market Eastern Standard Time"/>
    <x v="0"/>
  </r>
  <r>
    <x v="239"/>
    <s v="SM"/>
    <s v="on 2/26/25 After Market Eastern Standard Time"/>
    <x v="1"/>
  </r>
  <r>
    <x v="239"/>
    <s v="NARI"/>
    <s v="on 2/26/25 After Market Eastern Standard Time"/>
    <x v="1"/>
  </r>
  <r>
    <x v="239"/>
    <s v="EPR"/>
    <s v="on 2/26/25 After Market Eastern Standard Time"/>
    <x v="2"/>
  </r>
  <r>
    <x v="239"/>
    <s v="DHIL"/>
    <s v="on 2/26/25 After Market Eastern Standard Time"/>
    <x v="1"/>
  </r>
  <r>
    <x v="239"/>
    <s v="KROS"/>
    <s v="on 2/26/25 After Market Eastern Standard Time"/>
    <x v="1"/>
  </r>
  <r>
    <x v="239"/>
    <s v="ARIS"/>
    <s v="on 2/26/25 After Market Eastern Standard Time"/>
    <x v="1"/>
  </r>
  <r>
    <x v="239"/>
    <s v="CPK"/>
    <s v="on 2/26/25 After Market Eastern Standard Time"/>
    <x v="1"/>
  </r>
  <r>
    <x v="239"/>
    <s v="FPI"/>
    <s v="on 2/26/25 After Market Eastern Standard Time"/>
    <x v="1"/>
  </r>
  <r>
    <x v="239"/>
    <s v="BALY"/>
    <s v="on 2/26/25 After Market Eastern Standard Time"/>
    <x v="1"/>
  </r>
  <r>
    <x v="239"/>
    <s v="OVV"/>
    <s v="on 2/26/25 After Market Eastern Standard Time"/>
    <x v="2"/>
  </r>
  <r>
    <x v="239"/>
    <s v="CODI"/>
    <s v="on 2/26/25 After Market Eastern Standard Time"/>
    <x v="1"/>
  </r>
  <r>
    <x v="239"/>
    <s v="MRAM"/>
    <s v="on 2/26/25 After Market Eastern Standard Time"/>
    <x v="0"/>
  </r>
  <r>
    <x v="239"/>
    <s v="ACR"/>
    <s v="on 2/26/25 After Market Eastern Standard Time"/>
    <x v="0"/>
  </r>
  <r>
    <x v="239"/>
    <s v="UMH"/>
    <s v="on 2/26/25 After Market Eastern Standard Time"/>
    <x v="1"/>
  </r>
  <r>
    <x v="239"/>
    <s v="ATRO"/>
    <s v="on 2/26/25 After Market Eastern Standard Time"/>
    <x v="1"/>
  </r>
  <r>
    <x v="239"/>
    <s v="SRI"/>
    <s v="on 2/26/25 After Market Eastern Standard Time"/>
    <x v="0"/>
  </r>
  <r>
    <x v="239"/>
    <s v="WHD"/>
    <s v="on 2/26/25 After Market Eastern Standard Time"/>
    <x v="1"/>
  </r>
  <r>
    <x v="239"/>
    <s v="MQ"/>
    <s v="on 2/26/25 After Market Eastern Standard Time"/>
    <x v="1"/>
  </r>
  <r>
    <x v="239"/>
    <s v="FIVN"/>
    <s v="on 2/26/25 After Market Eastern Standard Time"/>
    <x v="0"/>
  </r>
  <r>
    <x v="239"/>
    <s v="DHC"/>
    <s v="on 2/26/25 After Market Eastern Standard Time"/>
    <x v="1"/>
  </r>
  <r>
    <x v="239"/>
    <s v="ERII"/>
    <s v="on 2/26/25 After Market Eastern Standard Time"/>
    <x v="1"/>
  </r>
  <r>
    <x v="239"/>
    <s v="PLYM"/>
    <s v="on 2/26/25 After Market Eastern Standard Time"/>
    <x v="1"/>
  </r>
  <r>
    <x v="239"/>
    <s v="LXU"/>
    <s v="on 2/26/25 After Market Eastern Standard Time"/>
    <x v="1"/>
  </r>
  <r>
    <x v="239"/>
    <s v="GEF/B"/>
    <s v="on 2/26/25 After Market Eastern Standard Time"/>
    <x v="0"/>
  </r>
  <r>
    <x v="239"/>
    <s v="STN"/>
    <s v="on 2/26/25 After Market Eastern Standard Time"/>
    <x v="0"/>
  </r>
  <r>
    <x v="239"/>
    <s v="CAPL"/>
    <s v="on 2/26/25 After Market Eastern Standard Time"/>
    <x v="0"/>
  </r>
  <r>
    <x v="239"/>
    <s v="SES"/>
    <s v="on 2/26/25 After Market Eastern Standard Time"/>
    <x v="0"/>
  </r>
  <r>
    <x v="239"/>
    <s v="ROOT"/>
    <s v="on 2/26/25 After Market Eastern Standard Time"/>
    <x v="1"/>
  </r>
  <r>
    <x v="239"/>
    <s v="ECPG"/>
    <s v="on 2/26/25 After Market Eastern Standard Time"/>
    <x v="1"/>
  </r>
  <r>
    <x v="239"/>
    <s v="TNDM"/>
    <s v="on 2/26/25 After Market Eastern Standard Time"/>
    <x v="1"/>
  </r>
  <r>
    <x v="239"/>
    <s v="MGNI"/>
    <s v="on 2/26/25 After Market Eastern Standard Time"/>
    <x v="1"/>
  </r>
  <r>
    <x v="239"/>
    <s v="KNOP"/>
    <s v="on 2/26/25 After Market Eastern Standard Time"/>
    <x v="0"/>
  </r>
  <r>
    <x v="239"/>
    <s v="CLMB"/>
    <s v="on 2/26/25 After Market Eastern Standard Time"/>
    <x v="1"/>
  </r>
  <r>
    <x v="239"/>
    <s v="IONQ"/>
    <s v="on 2/26/25 After Market Eastern Standard Time"/>
    <x v="1"/>
  </r>
  <r>
    <x v="239"/>
    <s v="DORM"/>
    <s v="on 2/26/25 After Market Eastern Standard Time"/>
    <x v="1"/>
  </r>
  <r>
    <x v="239"/>
    <s v="MDXG"/>
    <s v="on 2/26/25 After Market Eastern Standard Time"/>
    <x v="1"/>
  </r>
  <r>
    <x v="239"/>
    <s v="JOBY"/>
    <s v="on 2/26/25 After Market Eastern Standard Time"/>
    <x v="1"/>
  </r>
  <r>
    <x v="239"/>
    <s v="NVDA"/>
    <s v="on 2/26/25 After Market Eastern Standard Time"/>
    <x v="3"/>
  </r>
  <r>
    <x v="239"/>
    <s v="CWAN"/>
    <s v="on 2/26/25 After Market Eastern Standard Time"/>
    <x v="1"/>
  </r>
  <r>
    <x v="239"/>
    <s v="EVTC"/>
    <s v="on 2/26/25 After Market Eastern Standard Time"/>
    <x v="1"/>
  </r>
  <r>
    <x v="239"/>
    <s v="GEF"/>
    <s v="on 2/26/25 After Market Eastern Standard Time"/>
    <x v="1"/>
  </r>
  <r>
    <x v="239"/>
    <s v="TPL"/>
    <s v="on 2/26/25 After Market Eastern Standard Time"/>
    <x v="2"/>
  </r>
  <r>
    <x v="239"/>
    <s v="DCGO"/>
    <s v="on 2/26/25 After Market Eastern Standard Time"/>
    <x v="1"/>
  </r>
  <r>
    <x v="239"/>
    <s v="A"/>
    <s v="on 2/26/25 After Market Eastern Standard Time"/>
    <x v="3"/>
  </r>
  <r>
    <x v="239"/>
    <s v="PDYN"/>
    <s v="on 2/26/25 After Market Eastern Standard Time"/>
    <x v="0"/>
  </r>
  <r>
    <x v="239"/>
    <s v="PSTG"/>
    <s v="on 2/26/25 After Market Eastern Standard Time"/>
    <x v="2"/>
  </r>
  <r>
    <x v="239"/>
    <s v="EQX"/>
    <s v="on 2/26/25 After Market Eastern Standard Time"/>
    <x v="0"/>
  </r>
  <r>
    <x v="239"/>
    <s v="CSTL"/>
    <s v="on 2/26/25 After Market Eastern Standard Time"/>
    <x v="1"/>
  </r>
  <r>
    <x v="239"/>
    <s v="ENIC"/>
    <s v="on 2/26/25 After Market Eastern Standard Time"/>
    <x v="0"/>
  </r>
  <r>
    <x v="239"/>
    <s v="MRRTY"/>
    <s v="on 2/26/25 After Market Eastern Standard Time"/>
    <x v="0"/>
  </r>
  <r>
    <x v="239"/>
    <s v="CPRX"/>
    <s v="on 2/26/25 After Market Eastern Standard Time"/>
    <x v="1"/>
  </r>
  <r>
    <x v="239"/>
    <s v="VAC"/>
    <s v="on 2/26/25 After Market Eastern Standard Time"/>
    <x v="2"/>
  </r>
  <r>
    <x v="239"/>
    <s v="PEB"/>
    <s v="on 2/26/25 After Market Eastern Standard Time"/>
    <x v="1"/>
  </r>
  <r>
    <x v="239"/>
    <s v="USPH"/>
    <s v="on 2/26/25 After Market Eastern Standard Time"/>
    <x v="1"/>
  </r>
  <r>
    <x v="239"/>
    <s v="LPSN"/>
    <s v="on 2/26/25 After Market Eastern Standard Time"/>
    <x v="0"/>
  </r>
  <r>
    <x v="239"/>
    <s v="ZIMV"/>
    <s v="on 2/26/25 After Market Eastern Standard Time"/>
    <x v="1"/>
  </r>
  <r>
    <x v="239"/>
    <s v="BMA"/>
    <s v="on 2/26/25 After Market Eastern Standard Time"/>
    <x v="0"/>
  </r>
  <r>
    <x v="239"/>
    <s v="RCKY"/>
    <s v="on 2/26/25 After Market Eastern Standard Time"/>
    <x v="0"/>
  </r>
  <r>
    <x v="239"/>
    <s v="CDNA"/>
    <s v="on 2/26/25 After Market Eastern Standard Time"/>
    <x v="1"/>
  </r>
  <r>
    <x v="239"/>
    <s v="AMSF"/>
    <s v="on 2/26/25 After Market Eastern Standard Time"/>
    <x v="1"/>
  </r>
  <r>
    <x v="239"/>
    <s v="APA"/>
    <s v="on 2/26/25 After Market Eastern Standard Time"/>
    <x v="3"/>
  </r>
  <r>
    <x v="239"/>
    <s v="CNNE"/>
    <s v="on 2/26/25 After Market Eastern Standard Time"/>
    <x v="1"/>
  </r>
  <r>
    <x v="239"/>
    <s v="TDOC"/>
    <s v="on 2/26/25 After Market Eastern Standard Time"/>
    <x v="1"/>
  </r>
  <r>
    <x v="239"/>
    <s v="CRDO"/>
    <s v="on 2/26/25 After Market Eastern Standard Time"/>
    <x v="1"/>
  </r>
  <r>
    <x v="239"/>
    <s v="CHRD"/>
    <s v="on 2/26/25 After Market Eastern Standard Time"/>
    <x v="2"/>
  </r>
  <r>
    <x v="239"/>
    <s v="FWRD"/>
    <s v="on 2/26/25 After Market Eastern Standard Time"/>
    <x v="1"/>
  </r>
  <r>
    <x v="239"/>
    <s v="MIRM"/>
    <s v="on 2/26/25 After Market Eastern Standard Time"/>
    <x v="1"/>
  </r>
  <r>
    <x v="239"/>
    <s v="ATROB"/>
    <s v="on 2/26/25 After Market Eastern Standard Time"/>
    <x v="0"/>
  </r>
  <r>
    <x v="239"/>
    <s v="BHR"/>
    <s v="on 2/26/25 After Market Eastern Standard Time"/>
    <x v="1"/>
  </r>
  <r>
    <x v="239"/>
    <s v="LAB"/>
    <s v="on 2/26/25 After Market Eastern Standard Time"/>
    <x v="1"/>
  </r>
  <r>
    <x v="239"/>
    <s v="INVA"/>
    <s v="on 2/26/25 After Market Eastern Standard Time"/>
    <x v="1"/>
  </r>
  <r>
    <x v="239"/>
    <s v="UGP"/>
    <s v="on 2/26/25 After Market Eastern Standard Time"/>
    <x v="0"/>
  </r>
  <r>
    <x v="239"/>
    <s v="ICDIQ"/>
    <s v="on 2/26/25 After Market Eastern Standard Time"/>
    <x v="0"/>
  </r>
  <r>
    <x v="239"/>
    <s v="ALKT"/>
    <s v="on 2/26/25 After Market Eastern Standard Time"/>
    <x v="1"/>
  </r>
  <r>
    <x v="239"/>
    <s v="UHS"/>
    <s v="on 2/26/25 After Market Eastern Standard Time"/>
    <x v="3"/>
  </r>
  <r>
    <x v="239"/>
    <s v="WTRG"/>
    <s v="on 2/26/25 After Market Eastern Standard Time"/>
    <x v="2"/>
  </r>
  <r>
    <x v="239"/>
    <s v="VIST"/>
    <s v="on 2/26/25 After Market Eastern Standard Time"/>
    <x v="0"/>
  </r>
  <r>
    <x v="239"/>
    <s v="RXST"/>
    <s v="on 2/26/25 After Market Eastern Standard Time"/>
    <x v="1"/>
  </r>
  <r>
    <x v="239"/>
    <s v="STR"/>
    <s v="on 2/26/25 After Market Eastern Standard Time"/>
    <x v="1"/>
  </r>
  <r>
    <x v="239"/>
    <s v="GTBIF"/>
    <s v="on 2/26/25 After Market Eastern Standard Time"/>
    <x v="0"/>
  </r>
  <r>
    <x v="239"/>
    <s v="QTWO"/>
    <s v="on 2/26/25 After Market Eastern Standard Time"/>
    <x v="1"/>
  </r>
  <r>
    <x v="239"/>
    <s v="ORA"/>
    <s v="on 2/26/25 After Market Eastern Standard Time"/>
    <x v="1"/>
  </r>
  <r>
    <x v="239"/>
    <s v="FSK"/>
    <s v="on 2/26/25 After Market Eastern Standard Time"/>
    <x v="0"/>
  </r>
  <r>
    <x v="239"/>
    <s v="HG"/>
    <s v="on 2/26/25 After Market Eastern Standard Time"/>
    <x v="1"/>
  </r>
  <r>
    <x v="239"/>
    <s v="ATEC"/>
    <s v="on 2/26/25 After Market Eastern Standard Time"/>
    <x v="1"/>
  </r>
  <r>
    <x v="239"/>
    <s v="VYGR"/>
    <s v="on 2/26/25 After Market Eastern Standard Time"/>
    <x v="1"/>
  </r>
  <r>
    <x v="240"/>
    <s v="BBWI"/>
    <s v="on 2/27/25 Before Market Eastern Standard Time"/>
    <x v="0"/>
  </r>
  <r>
    <x v="240"/>
    <s v="CLCO"/>
    <s v="on 2/27/25 Unspecified Eastern Standard Time"/>
    <x v="0"/>
  </r>
  <r>
    <x v="240"/>
    <s v="SYRS"/>
    <s v="on 2/27/25 Before Market Eastern Standard Time"/>
    <x v="0"/>
  </r>
  <r>
    <x v="240"/>
    <s v="KRP"/>
    <s v="on 2/27/25 Before Market Eastern Standard Time"/>
    <x v="0"/>
  </r>
  <r>
    <x v="240"/>
    <s v="ANIP"/>
    <s v="on 2/27/25 Before Market Eastern Standard Time"/>
    <x v="1"/>
  </r>
  <r>
    <x v="240"/>
    <s v="ECX"/>
    <s v="on 2/27/25 Before Market Eastern Standard Time"/>
    <x v="0"/>
  </r>
  <r>
    <x v="240"/>
    <s v="CRON"/>
    <s v="on 2/27/25 Before Market Eastern Standard Time"/>
    <x v="0"/>
  </r>
  <r>
    <x v="240"/>
    <s v="INUV"/>
    <s v="on 2/27/25 Unspecified Eastern Standard Time"/>
    <x v="0"/>
  </r>
  <r>
    <x v="240"/>
    <s v="PENN"/>
    <s v="on 2/27/25 Before Market Eastern Standard Time"/>
    <x v="0"/>
  </r>
  <r>
    <x v="240"/>
    <s v="XMTR"/>
    <s v="on 2/27/25 Before Market Eastern Standard Time"/>
    <x v="1"/>
  </r>
  <r>
    <x v="240"/>
    <s v="VCEL"/>
    <s v="on 2/27/25 Before Market Eastern Standard Time"/>
    <x v="1"/>
  </r>
  <r>
    <x v="240"/>
    <s v="PNW"/>
    <s v="on 2/27/25 Before Market Eastern Standard Time"/>
    <x v="3"/>
  </r>
  <r>
    <x v="240"/>
    <s v="FULC"/>
    <s v="on 2/27/25 Before Market Eastern Standard Time"/>
    <x v="1"/>
  </r>
  <r>
    <x v="240"/>
    <s v="GTN"/>
    <s v="on 2/27/25 Before Market Eastern Standard Time"/>
    <x v="1"/>
  </r>
  <r>
    <x v="240"/>
    <s v="HYFM"/>
    <s v="on 2/27/25 Before Market Eastern Standard Time"/>
    <x v="0"/>
  </r>
  <r>
    <x v="240"/>
    <s v="LNZA"/>
    <s v="on 2/27/25 Before Market Eastern Standard Time"/>
    <x v="0"/>
  </r>
  <r>
    <x v="240"/>
    <s v="SHC"/>
    <s v="on 2/27/25 Before Market Eastern Standard Time"/>
    <x v="2"/>
  </r>
  <r>
    <x v="240"/>
    <s v="VERV"/>
    <s v="on 2/27/25 Before Market Eastern Standard Time"/>
    <x v="1"/>
  </r>
  <r>
    <x v="240"/>
    <s v="UTZ"/>
    <s v="on 2/27/25 Before Market Eastern Standard Time"/>
    <x v="1"/>
  </r>
  <r>
    <x v="240"/>
    <s v="DQ"/>
    <s v="on 2/27/25 Before Market Eastern Standard Time"/>
    <x v="0"/>
  </r>
  <r>
    <x v="240"/>
    <s v="NEON"/>
    <s v="on 2/27/25 Before Market Eastern Standard Time"/>
    <x v="0"/>
  </r>
  <r>
    <x v="240"/>
    <s v="KPTI"/>
    <s v="on 2/27/25 Before Market Eastern Standard Time"/>
    <x v="0"/>
  </r>
  <r>
    <x v="240"/>
    <s v="WRBY"/>
    <s v="on 2/27/25 Before Market Eastern Standard Time"/>
    <x v="1"/>
  </r>
  <r>
    <x v="240"/>
    <s v="CBRL"/>
    <s v="on 2/27/25 Before Market Eastern Standard Time"/>
    <x v="1"/>
  </r>
  <r>
    <x v="240"/>
    <s v="VRN"/>
    <s v="on 2/27/25 Before Market Eastern Standard Time"/>
    <x v="0"/>
  </r>
  <r>
    <x v="240"/>
    <s v="CMBT"/>
    <s v="on 2/27/25 Before Market Eastern Standard Time"/>
    <x v="0"/>
  </r>
  <r>
    <x v="240"/>
    <s v="GECC"/>
    <s v="on 2/27/25 Before Market Eastern Standard Time"/>
    <x v="0"/>
  </r>
  <r>
    <x v="240"/>
    <s v="DANOY"/>
    <s v="on 2/27/25 Before Market Eastern Standard Time"/>
    <x v="0"/>
  </r>
  <r>
    <x v="240"/>
    <s v="GEO"/>
    <s v="on 2/27/25 Before Market Eastern Standard Time"/>
    <x v="1"/>
  </r>
  <r>
    <x v="240"/>
    <s v="SMP"/>
    <s v="on 2/27/25 Before Market Eastern Standard Time"/>
    <x v="1"/>
  </r>
  <r>
    <x v="240"/>
    <s v="BDRFY"/>
    <s v="on 2/27/25 Unspecified Eastern Standard Time"/>
    <x v="0"/>
  </r>
  <r>
    <x v="240"/>
    <s v="WW"/>
    <s v="on 2/27/25 Before Market Eastern Standard Time"/>
    <x v="0"/>
  </r>
  <r>
    <x v="240"/>
    <s v="DOLE"/>
    <s v="on 2/27/25 Before Market Eastern Standard Time"/>
    <x v="1"/>
  </r>
  <r>
    <x v="240"/>
    <s v="DAVA"/>
    <s v="on 2/27/25 Before Market Eastern Standard Time"/>
    <x v="0"/>
  </r>
  <r>
    <x v="240"/>
    <s v="GASNY"/>
    <s v="on 2/27/25 Before Market Eastern Standard Time"/>
    <x v="0"/>
  </r>
  <r>
    <x v="240"/>
    <s v="IHRT"/>
    <s v="on 2/27/25 Before Market Eastern Standard Time"/>
    <x v="1"/>
  </r>
  <r>
    <x v="240"/>
    <s v="NTES"/>
    <s v="on 2/27/25 Before Market Eastern Standard Time"/>
    <x v="0"/>
  </r>
  <r>
    <x v="240"/>
    <s v="OB"/>
    <s v="on 2/27/25 Before Market Eastern Standard Time"/>
    <x v="1"/>
  </r>
  <r>
    <x v="240"/>
    <s v="RDNT"/>
    <s v="on 2/27/25 Unspecified Eastern Standard Time"/>
    <x v="1"/>
  </r>
  <r>
    <x v="240"/>
    <s v="NXST"/>
    <s v="on 2/27/25 Before Market Eastern Standard Time"/>
    <x v="2"/>
  </r>
  <r>
    <x v="240"/>
    <s v="ADV"/>
    <s v="on 2/27/25 Before Market Eastern Standard Time"/>
    <x v="1"/>
  </r>
  <r>
    <x v="240"/>
    <s v="NVCR"/>
    <s v="on 2/27/25 Before Market Eastern Standard Time"/>
    <x v="1"/>
  </r>
  <r>
    <x v="240"/>
    <s v="PZZA"/>
    <s v="on 2/27/25 Before Market Eastern Standard Time"/>
    <x v="1"/>
  </r>
  <r>
    <x v="240"/>
    <s v="TCPC"/>
    <s v="on 2/27/25 Before Market Eastern Standard Time"/>
    <x v="0"/>
  </r>
  <r>
    <x v="240"/>
    <s v="HAYW"/>
    <s v="on 2/27/25 Before Market Eastern Standard Time"/>
    <x v="0"/>
  </r>
  <r>
    <x v="240"/>
    <s v="VLOWY"/>
    <s v="on 2/27/25 Unspecified Eastern Standard Time"/>
    <x v="0"/>
  </r>
  <r>
    <x v="240"/>
    <s v="HCM"/>
    <s v="on 2/27/25 Before Market Eastern Standard Time"/>
    <x v="0"/>
  </r>
  <r>
    <x v="240"/>
    <s v="ITRN"/>
    <s v="on 2/27/25 Before Market Eastern Standard Time"/>
    <x v="0"/>
  </r>
  <r>
    <x v="240"/>
    <s v="CM"/>
    <s v="on 2/27/25 Before Market Eastern Standard Time"/>
    <x v="0"/>
  </r>
  <r>
    <x v="240"/>
    <s v="GBTG"/>
    <s v="on 2/27/25 Before Market Eastern Standard Time"/>
    <x v="1"/>
  </r>
  <r>
    <x v="240"/>
    <s v="SATS"/>
    <s v="on 2/27/25 Before Market Eastern Standard Time"/>
    <x v="1"/>
  </r>
  <r>
    <x v="240"/>
    <s v="IBDRY"/>
    <s v="on 2/27/25 Unspecified Eastern Standard Time"/>
    <x v="0"/>
  </r>
  <r>
    <x v="240"/>
    <s v="IMAB"/>
    <s v="on 2/27/25 Before Market Eastern Standard Time"/>
    <x v="0"/>
  </r>
  <r>
    <x v="240"/>
    <s v="ABUS"/>
    <s v="on 2/27/25 Before Market Eastern Standard Time"/>
    <x v="1"/>
  </r>
  <r>
    <x v="240"/>
    <s v="SSREY"/>
    <s v="on 2/27/25 Unspecified Eastern Standard Time"/>
    <x v="0"/>
  </r>
  <r>
    <x v="240"/>
    <s v="PLUG"/>
    <s v="on 2/27/25 Before Market Eastern Standard Time"/>
    <x v="1"/>
  </r>
  <r>
    <x v="240"/>
    <s v="IPWR"/>
    <s v="on 2/27/25 Before Market Eastern Standard Time"/>
    <x v="0"/>
  </r>
  <r>
    <x v="240"/>
    <s v="GDRX"/>
    <s v="on 2/27/25 Before Market Eastern Standard Time"/>
    <x v="0"/>
  </r>
  <r>
    <x v="240"/>
    <s v="TEF"/>
    <s v="on 2/27/25 Before Market Eastern Standard Time"/>
    <x v="0"/>
  </r>
  <r>
    <x v="240"/>
    <s v="ACRE"/>
    <s v="on 2/27/25 Before Market Eastern Standard Time"/>
    <x v="1"/>
  </r>
  <r>
    <x v="240"/>
    <s v="RYCEY"/>
    <s v="on 2/27/25 Unspecified Eastern Standard Time"/>
    <x v="0"/>
  </r>
  <r>
    <x v="240"/>
    <s v="OPT"/>
    <s v="on 2/27/25 Before Market Eastern Standard Time"/>
    <x v="0"/>
  </r>
  <r>
    <x v="240"/>
    <s v="IBP"/>
    <s v="on 2/27/25 Before Market Eastern Standard Time"/>
    <x v="1"/>
  </r>
  <r>
    <x v="240"/>
    <s v="APG"/>
    <s v="on 2/27/25 Before Market Eastern Standard Time"/>
    <x v="0"/>
  </r>
  <r>
    <x v="240"/>
    <s v="MLTX"/>
    <s v="on 2/27/25 Before Market Eastern Standard Time"/>
    <x v="0"/>
  </r>
  <r>
    <x v="240"/>
    <s v="RCM"/>
    <s v="on 2/27/25 Before Market Eastern Standard Time"/>
    <x v="2"/>
  </r>
  <r>
    <x v="240"/>
    <s v="DFH"/>
    <s v="on 2/27/25 Before Market Eastern Standard Time"/>
    <x v="1"/>
  </r>
  <r>
    <x v="240"/>
    <s v="FREY"/>
    <s v="on 2/27/25 Before Market Eastern Standard Time"/>
    <x v="1"/>
  </r>
  <r>
    <x v="240"/>
    <s v="PTAIY"/>
    <s v="on 2/27/25 Unspecified Eastern Standard Time"/>
    <x v="0"/>
  </r>
  <r>
    <x v="240"/>
    <s v="FUN"/>
    <s v="on 2/27/25 Before Market Eastern Standard Time"/>
    <x v="1"/>
  </r>
  <r>
    <x v="240"/>
    <s v="ACRS"/>
    <s v="on 2/27/25 Before Market Eastern Standard Time"/>
    <x v="0"/>
  </r>
  <r>
    <x v="240"/>
    <s v="LIND"/>
    <s v="on 2/27/25 Before Market Eastern Standard Time"/>
    <x v="1"/>
  </r>
  <r>
    <x v="240"/>
    <s v="LTH"/>
    <s v="on 2/27/25 Before Market Eastern Standard Time"/>
    <x v="1"/>
  </r>
  <r>
    <x v="240"/>
    <s v="THRY"/>
    <s v="on 2/27/25 Before Market Eastern Standard Time"/>
    <x v="1"/>
  </r>
  <r>
    <x v="240"/>
    <s v="CARS"/>
    <s v="on 2/27/25 Before Market Eastern Standard Time"/>
    <x v="1"/>
  </r>
  <r>
    <x v="240"/>
    <s v="NVRI"/>
    <s v="on 2/27/25 Before Market Eastern Standard Time"/>
    <x v="1"/>
  </r>
  <r>
    <x v="240"/>
    <s v="OLPX"/>
    <s v="on 2/27/25 Before Market Eastern Standard Time"/>
    <x v="1"/>
  </r>
  <r>
    <x v="240"/>
    <s v="ENGIY"/>
    <s v="on 2/27/25 Unspecified Eastern Standard Time"/>
    <x v="0"/>
  </r>
  <r>
    <x v="240"/>
    <s v="EDR"/>
    <s v="on 2/27/25 Before Market Eastern Standard Time"/>
    <x v="0"/>
  </r>
  <r>
    <x v="240"/>
    <s v="DAO"/>
    <s v="on 2/27/25 Before Market Eastern Standard Time"/>
    <x v="0"/>
  </r>
  <r>
    <x v="240"/>
    <s v="PSNY"/>
    <s v="on 2/27/25 Before Market Eastern Standard Time"/>
    <x v="0"/>
  </r>
  <r>
    <x v="240"/>
    <s v="IMOS"/>
    <s v="on 2/27/25 Before Market Eastern Standard Time"/>
    <x v="0"/>
  </r>
  <r>
    <x v="240"/>
    <s v="NWSGY"/>
    <s v="on 2/27/25 Unspecified Eastern Standard Time"/>
    <x v="0"/>
  </r>
  <r>
    <x v="240"/>
    <s v="TRS"/>
    <s v="on 2/27/25 Before Market Eastern Standard Time"/>
    <x v="1"/>
  </r>
  <r>
    <x v="240"/>
    <s v="NOMD"/>
    <s v="on 2/27/25 Before Market Eastern Standard Time"/>
    <x v="0"/>
  </r>
  <r>
    <x v="240"/>
    <s v="FTI"/>
    <s v="on 2/27/25 Before Market Eastern Standard Time"/>
    <x v="0"/>
  </r>
  <r>
    <x v="240"/>
    <s v="CPPCY"/>
    <s v="on 2/27/25 Unspecified Eastern Standard Time"/>
    <x v="0"/>
  </r>
  <r>
    <x v="240"/>
    <s v="MPLN"/>
    <s v="on 2/27/25 Before Market Eastern Standard Time"/>
    <x v="0"/>
  </r>
  <r>
    <x v="240"/>
    <s v="PMVP"/>
    <s v="on 2/27/25 Before Market Eastern Standard Time"/>
    <x v="0"/>
  </r>
  <r>
    <x v="240"/>
    <s v="CDRO"/>
    <s v="on 2/27/25 Before Market Eastern Standard Time"/>
    <x v="0"/>
  </r>
  <r>
    <x v="240"/>
    <s v="SUBCY"/>
    <s v="on 2/27/25 Before Market Eastern Standard Time"/>
    <x v="0"/>
  </r>
  <r>
    <x v="240"/>
    <s v="GMS"/>
    <s v="on 2/27/25 Before Market Eastern Standard Time"/>
    <x v="1"/>
  </r>
  <r>
    <x v="240"/>
    <s v="STTK"/>
    <s v="on 2/27/25 Before Market Eastern Standard Time"/>
    <x v="0"/>
  </r>
  <r>
    <x v="240"/>
    <s v="SUHJY"/>
    <s v="on 2/27/25 Unspecified Eastern Standard Time"/>
    <x v="0"/>
  </r>
  <r>
    <x v="240"/>
    <s v="CELH"/>
    <s v="on 2/27/25 Before Market Eastern Standard Time"/>
    <x v="2"/>
  </r>
  <r>
    <x v="240"/>
    <s v="APLS"/>
    <s v="on 2/27/25 Before Market Eastern Standard Time"/>
    <x v="0"/>
  </r>
  <r>
    <x v="240"/>
    <s v="CODYY"/>
    <s v="on 2/27/25 Unspecified Eastern Standard Time"/>
    <x v="0"/>
  </r>
  <r>
    <x v="240"/>
    <s v="TGNA"/>
    <s v="on 2/27/25 Before Market Eastern Standard Time"/>
    <x v="1"/>
  </r>
  <r>
    <x v="240"/>
    <s v="CVEO"/>
    <s v="on 2/27/25 Before Market Eastern Standard Time"/>
    <x v="0"/>
  </r>
  <r>
    <x v="240"/>
    <s v="PTVE"/>
    <s v="on 2/27/25 Before Market Eastern Standard Time"/>
    <x v="1"/>
  </r>
  <r>
    <x v="240"/>
    <s v="ERJ"/>
    <s v="on 2/27/25 Before Market Eastern Standard Time"/>
    <x v="0"/>
  </r>
  <r>
    <x v="240"/>
    <s v="INSW"/>
    <s v="on 2/27/25 Before Market Eastern Standard Time"/>
    <x v="1"/>
  </r>
  <r>
    <x v="240"/>
    <s v="BDSX"/>
    <s v="on 2/27/25 Before Market Eastern Standard Time"/>
    <x v="0"/>
  </r>
  <r>
    <x v="240"/>
    <s v="TD"/>
    <s v="on 2/27/25 Before Market Eastern Standard Time"/>
    <x v="0"/>
  </r>
  <r>
    <x v="240"/>
    <s v="DOUG"/>
    <s v="on 2/27/25 Before Market Eastern Standard Time"/>
    <x v="0"/>
  </r>
  <r>
    <x v="240"/>
    <s v="PRVA"/>
    <s v="on 2/27/25 Before Market Eastern Standard Time"/>
    <x v="1"/>
  </r>
  <r>
    <x v="240"/>
    <s v="CMPS"/>
    <s v="on 2/27/25 Before Market Eastern Standard Time"/>
    <x v="0"/>
  </r>
  <r>
    <x v="240"/>
    <s v="NREF"/>
    <s v="on 2/27/25 Before Market Eastern Standard Time"/>
    <x v="0"/>
  </r>
  <r>
    <x v="240"/>
    <s v="MSC"/>
    <s v="on 2/27/25 Before Market Eastern Standard Time"/>
    <x v="0"/>
  </r>
  <r>
    <x v="240"/>
    <s v="MDGL"/>
    <s v="on 2/27/25 Before Market Eastern Standard Time"/>
    <x v="1"/>
  </r>
  <r>
    <x v="240"/>
    <s v="IMUX"/>
    <s v="on 2/27/25 Before Market Eastern Standard Time"/>
    <x v="0"/>
  </r>
  <r>
    <x v="240"/>
    <s v="CRAI"/>
    <s v="on 2/27/25 Before Market Eastern Standard Time"/>
    <x v="1"/>
  </r>
  <r>
    <x v="240"/>
    <s v="OPRA"/>
    <s v="on 2/27/25 Before Market Eastern Standard Time"/>
    <x v="0"/>
  </r>
  <r>
    <x v="240"/>
    <s v="EDPFY"/>
    <s v="on 2/27/25 Unspecified Eastern Standard Time"/>
    <x v="0"/>
  </r>
  <r>
    <x v="240"/>
    <s v="HRL"/>
    <s v="on 2/27/25 Before Market Eastern Standard Time"/>
    <x v="3"/>
  </r>
  <r>
    <x v="240"/>
    <s v="VRNA"/>
    <s v="on 2/27/25 Before Market Eastern Standard Time"/>
    <x v="0"/>
  </r>
  <r>
    <x v="240"/>
    <s v="CCOI"/>
    <s v="on 2/27/25 Before Market Eastern Standard Time"/>
    <x v="1"/>
  </r>
  <r>
    <x v="240"/>
    <s v="NAMS"/>
    <s v="on 2/27/25 Before Market Eastern Standard Time"/>
    <x v="0"/>
  </r>
  <r>
    <x v="240"/>
    <s v="DWTX"/>
    <s v="on 2/27/25 Before Market Eastern Standard Time"/>
    <x v="0"/>
  </r>
  <r>
    <x v="240"/>
    <s v="ARGX"/>
    <s v="on 2/27/25 Before Market Eastern Standard Time"/>
    <x v="0"/>
  </r>
  <r>
    <x v="240"/>
    <s v="COMM"/>
    <s v="on 2/27/25 Before Market Eastern Standard Time"/>
    <x v="1"/>
  </r>
  <r>
    <x v="240"/>
    <s v="BTSG"/>
    <s v="on 2/27/25 Before Market Eastern Standard Time"/>
    <x v="1"/>
  </r>
  <r>
    <x v="240"/>
    <s v="INSM"/>
    <s v="on 2/27/25 Before Market Eastern Standard Time"/>
    <x v="1"/>
  </r>
  <r>
    <x v="240"/>
    <s v="TIGO"/>
    <s v="on 2/27/25 Before Market Eastern Standard Time"/>
    <x v="0"/>
  </r>
  <r>
    <x v="240"/>
    <s v="IMMP"/>
    <s v="on 2/27/25 Before Market Eastern Standard Time"/>
    <x v="0"/>
  </r>
  <r>
    <x v="240"/>
    <s v="EEX"/>
    <s v="on 2/27/25 Before Market Eastern Standard Time"/>
    <x v="0"/>
  </r>
  <r>
    <x v="240"/>
    <s v="HLN"/>
    <s v="on 2/27/25 Before Market Eastern Standard Time"/>
    <x v="0"/>
  </r>
  <r>
    <x v="240"/>
    <s v="GLP"/>
    <s v="on 2/27/25 Before Market Eastern Standard Time"/>
    <x v="0"/>
  </r>
  <r>
    <x v="240"/>
    <s v="YMAB"/>
    <s v="on 2/27/25 Before Market Eastern Standard Time"/>
    <x v="1"/>
  </r>
  <r>
    <x v="240"/>
    <s v="AMWD"/>
    <s v="on 2/27/25 Before Market Eastern Standard Time"/>
    <x v="1"/>
  </r>
  <r>
    <x v="240"/>
    <s v="MLCO"/>
    <s v="on 2/27/25 Before Market Eastern Standard Time"/>
    <x v="0"/>
  </r>
  <r>
    <x v="240"/>
    <s v="LSEA"/>
    <s v="on 2/27/25 Before Market Eastern Standard Time"/>
    <x v="1"/>
  </r>
  <r>
    <x v="240"/>
    <s v="PLL"/>
    <s v="on 2/27/25 Before Market Eastern Standard Time"/>
    <x v="1"/>
  </r>
  <r>
    <x v="240"/>
    <s v="STRA"/>
    <s v="on 2/27/25 Before Market Eastern Standard Time"/>
    <x v="1"/>
  </r>
  <r>
    <x v="240"/>
    <s v="CARM"/>
    <s v="on 2/27/25 Before Market Eastern Standard Time"/>
    <x v="0"/>
  </r>
  <r>
    <x v="240"/>
    <s v="GOGO"/>
    <s v="on 2/27/25 Before Market Eastern Standard Time"/>
    <x v="1"/>
  </r>
  <r>
    <x v="240"/>
    <s v="FA"/>
    <s v="on 2/27/25 Before Market Eastern Standard Time"/>
    <x v="1"/>
  </r>
  <r>
    <x v="240"/>
    <s v="SWTX"/>
    <s v="on 2/27/25 Before Market Eastern Standard Time"/>
    <x v="1"/>
  </r>
  <r>
    <x v="240"/>
    <s v="AKRO"/>
    <s v="on 2/27/25 Before Market Eastern Standard Time"/>
    <x v="1"/>
  </r>
  <r>
    <x v="240"/>
    <s v="QSI"/>
    <s v="on 2/27/25 Before Market Eastern Standard Time"/>
    <x v="0"/>
  </r>
  <r>
    <x v="240"/>
    <s v="WBD"/>
    <s v="on 2/27/25 Before Market Eastern Standard Time"/>
    <x v="3"/>
  </r>
  <r>
    <x v="240"/>
    <s v="HRMY"/>
    <s v="on 2/27/25 Before Market Eastern Standard Time"/>
    <x v="1"/>
  </r>
  <r>
    <x v="240"/>
    <s v="VERX"/>
    <s v="on 2/27/25 Before Market Eastern Standard Time"/>
    <x v="1"/>
  </r>
  <r>
    <x v="240"/>
    <s v="E"/>
    <s v="on 2/27/25 Unspecified Eastern Standard Time"/>
    <x v="0"/>
  </r>
  <r>
    <x v="240"/>
    <s v="WHF"/>
    <s v="on 2/27/25 Before Market Eastern Standard Time"/>
    <x v="0"/>
  </r>
  <r>
    <x v="240"/>
    <s v="MCS"/>
    <s v="on 2/27/25 Before Market Eastern Standard Time"/>
    <x v="1"/>
  </r>
  <r>
    <x v="240"/>
    <s v="AXAHY"/>
    <s v="on 2/27/25 Before Market Eastern Standard Time"/>
    <x v="0"/>
  </r>
  <r>
    <x v="240"/>
    <s v="NFE"/>
    <s v="on 2/27/25 Before Market Eastern Standard Time"/>
    <x v="0"/>
  </r>
  <r>
    <x v="241"/>
    <s v="PBT"/>
    <s v="on 2/27/25 During Market Eastern Standard Time"/>
    <x v="0"/>
  </r>
  <r>
    <x v="241"/>
    <s v="CGGYY"/>
    <s v="on 2/27/25 During Market Eastern Standard Time"/>
    <x v="0"/>
  </r>
  <r>
    <x v="241"/>
    <s v="VIRDY"/>
    <s v="on 2/27/25 During Market Eastern Standard Time"/>
    <x v="0"/>
  </r>
  <r>
    <x v="242"/>
    <s v="REAL"/>
    <s v="on 2/27/25 After Market Eastern Standard Time"/>
    <x v="1"/>
  </r>
  <r>
    <x v="242"/>
    <s v="DELL"/>
    <s v="on 2/27/25 After Market Eastern Standard Time"/>
    <x v="3"/>
  </r>
  <r>
    <x v="242"/>
    <s v="SEER"/>
    <s v="on 2/27/25 After Market Eastern Standard Time"/>
    <x v="0"/>
  </r>
  <r>
    <x v="242"/>
    <s v="MARA"/>
    <s v="on 2/27/25 After Market Eastern Standard Time"/>
    <x v="1"/>
  </r>
  <r>
    <x v="242"/>
    <s v="PUBM"/>
    <s v="on 2/27/25 After Market Eastern Standard Time"/>
    <x v="1"/>
  </r>
  <r>
    <x v="242"/>
    <s v="NUVB"/>
    <s v="on 2/27/25 After Market Eastern Standard Time"/>
    <x v="1"/>
  </r>
  <r>
    <x v="242"/>
    <s v="PRTG"/>
    <s v="on 2/27/25 After Market Eastern Standard Time"/>
    <x v="0"/>
  </r>
  <r>
    <x v="242"/>
    <s v="CERT"/>
    <s v="on 2/27/25 After Market Eastern Standard Time"/>
    <x v="0"/>
  </r>
  <r>
    <x v="242"/>
    <s v="DRH"/>
    <s v="on 2/27/25 After Market Eastern Standard Time"/>
    <x v="1"/>
  </r>
  <r>
    <x v="242"/>
    <s v="INOD"/>
    <s v="on 2/27/25 After Market Eastern Standard Time"/>
    <x v="1"/>
  </r>
  <r>
    <x v="242"/>
    <s v="MTZ"/>
    <s v="on 2/27/25 After Market Eastern Standard Time"/>
    <x v="2"/>
  </r>
  <r>
    <x v="242"/>
    <s v="GXYYY"/>
    <s v="on 2/27/25 After Market Eastern Standard Time"/>
    <x v="0"/>
  </r>
  <r>
    <x v="242"/>
    <s v="AVIR"/>
    <s v="on 2/27/25 After Market Eastern Standard Time"/>
    <x v="1"/>
  </r>
  <r>
    <x v="242"/>
    <s v="DNN"/>
    <s v="on 2/27/25 After Market Eastern Standard Time"/>
    <x v="0"/>
  </r>
  <r>
    <x v="242"/>
    <s v="TWI"/>
    <s v="on 2/27/25 After Market Eastern Standard Time"/>
    <x v="1"/>
  </r>
  <r>
    <x v="242"/>
    <s v="FTAI"/>
    <s v="on 2/27/25 After Market Eastern Standard Time"/>
    <x v="1"/>
  </r>
  <r>
    <x v="242"/>
    <s v="CUBE"/>
    <s v="on 2/27/25 After Market Eastern Standard Time"/>
    <x v="2"/>
  </r>
  <r>
    <x v="242"/>
    <s v="ZS"/>
    <s v="on 2/27/25 After Market Eastern Standard Time"/>
    <x v="4"/>
  </r>
  <r>
    <x v="242"/>
    <s v="ELP"/>
    <s v="on 2/27/25 After Market Eastern Standard Time"/>
    <x v="0"/>
  </r>
  <r>
    <x v="242"/>
    <s v="LSTA"/>
    <s v="on 2/27/25 After Market Eastern Standard Time"/>
    <x v="0"/>
  </r>
  <r>
    <x v="242"/>
    <s v="ACLX"/>
    <s v="on 2/27/25 After Market Eastern Standard Time"/>
    <x v="1"/>
  </r>
  <r>
    <x v="242"/>
    <s v="FDUS"/>
    <s v="on 2/27/25 After Market Eastern Standard Time"/>
    <x v="0"/>
  </r>
  <r>
    <x v="242"/>
    <s v="RUN"/>
    <s v="on 2/27/25 After Market Eastern Standard Time"/>
    <x v="1"/>
  </r>
  <r>
    <x v="242"/>
    <s v="BVN"/>
    <s v="on 2/27/25 After Market Eastern Standard Time"/>
    <x v="0"/>
  </r>
  <r>
    <x v="242"/>
    <s v="SDRL"/>
    <s v="on 2/27/25 After Market Eastern Standard Time"/>
    <x v="1"/>
  </r>
  <r>
    <x v="242"/>
    <s v="PCRX"/>
    <s v="on 2/27/25 After Market Eastern Standard Time"/>
    <x v="1"/>
  </r>
  <r>
    <x v="242"/>
    <s v="ARLO"/>
    <s v="on 2/27/25 After Market Eastern Standard Time"/>
    <x v="1"/>
  </r>
  <r>
    <x v="242"/>
    <s v="ESEA"/>
    <s v="on 2/27/25 After Market Eastern Standard Time"/>
    <x v="0"/>
  </r>
  <r>
    <x v="242"/>
    <s v="PARR"/>
    <s v="on 2/27/25 After Market Eastern Standard Time"/>
    <x v="1"/>
  </r>
  <r>
    <x v="242"/>
    <s v="NTAP"/>
    <s v="on 2/27/25 After Market Eastern Standard Time"/>
    <x v="3"/>
  </r>
  <r>
    <x v="242"/>
    <s v="MSDL"/>
    <s v="on 2/27/25 After Market Eastern Standard Time"/>
    <x v="0"/>
  </r>
  <r>
    <x v="242"/>
    <s v="ICFI"/>
    <s v="on 2/27/25 After Market Eastern Standard Time"/>
    <x v="1"/>
  </r>
  <r>
    <x v="242"/>
    <s v="CAPR"/>
    <s v="on 2/27/25 After Market Eastern Standard Time"/>
    <x v="1"/>
  </r>
  <r>
    <x v="242"/>
    <s v="PBA"/>
    <s v="on 2/27/25 After Market Eastern Standard Time"/>
    <x v="0"/>
  </r>
  <r>
    <x v="242"/>
    <s v="UUUU"/>
    <s v="on 2/27/25 After Market Eastern Standard Time"/>
    <x v="1"/>
  </r>
  <r>
    <x v="242"/>
    <s v="AVPT"/>
    <s v="on 2/27/25 After Market Eastern Standard Time"/>
    <x v="1"/>
  </r>
  <r>
    <x v="242"/>
    <s v="BLX"/>
    <s v="on 2/27/25 After Market Eastern Standard Time"/>
    <x v="1"/>
  </r>
  <r>
    <x v="242"/>
    <s v="TNC"/>
    <s v="on 2/27/25 After Market Eastern Standard Time"/>
    <x v="1"/>
  </r>
  <r>
    <x v="242"/>
    <s v="ESTC"/>
    <s v="on 2/27/25 After Market Eastern Standard Time"/>
    <x v="0"/>
  </r>
  <r>
    <x v="242"/>
    <s v="AHR"/>
    <s v="on 2/27/25 After Market Eastern Standard Time"/>
    <x v="1"/>
  </r>
  <r>
    <x v="242"/>
    <s v="STHO"/>
    <s v="on 2/27/25 After Market Eastern Standard Time"/>
    <x v="0"/>
  </r>
  <r>
    <x v="242"/>
    <s v="CPRT"/>
    <s v="on 2/27/25 After Market Eastern Standard Time"/>
    <x v="3"/>
  </r>
  <r>
    <x v="242"/>
    <s v="ORGN"/>
    <s v="on 2/27/25 After Market Eastern Standard Time"/>
    <x v="0"/>
  </r>
  <r>
    <x v="242"/>
    <s v="ACAD"/>
    <s v="on 2/27/25 After Market Eastern Standard Time"/>
    <x v="1"/>
  </r>
  <r>
    <x v="242"/>
    <s v="RPAY"/>
    <s v="on 2/27/25 After Market Eastern Standard Time"/>
    <x v="1"/>
  </r>
  <r>
    <x v="242"/>
    <s v="KWR"/>
    <s v="on 2/27/25 After Market Eastern Standard Time"/>
    <x v="1"/>
  </r>
  <r>
    <x v="242"/>
    <s v="NVTS"/>
    <s v="on 2/27/25 After Market Eastern Standard Time"/>
    <x v="1"/>
  </r>
  <r>
    <x v="242"/>
    <s v="INMB"/>
    <s v="on 2/27/25 After Market Eastern Standard Time"/>
    <x v="0"/>
  </r>
  <r>
    <x v="242"/>
    <s v="MBI"/>
    <s v="on 2/27/25 After Market Eastern Standard Time"/>
    <x v="1"/>
  </r>
  <r>
    <x v="242"/>
    <s v="LWLG"/>
    <s v="on 2/27/25 After Market Eastern Standard Time"/>
    <x v="1"/>
  </r>
  <r>
    <x v="242"/>
    <s v="SMSI"/>
    <s v="on 2/27/25 After Market Eastern Standard Time"/>
    <x v="0"/>
  </r>
  <r>
    <x v="242"/>
    <s v="XPOF"/>
    <s v="on 2/27/25 After Market Eastern Standard Time"/>
    <x v="1"/>
  </r>
  <r>
    <x v="242"/>
    <s v="TPIC"/>
    <s v="on 2/27/25 After Market Eastern Standard Time"/>
    <x v="0"/>
  </r>
  <r>
    <x v="242"/>
    <s v="DNA"/>
    <s v="on 2/27/25 After Market Eastern Standard Time"/>
    <x v="0"/>
  </r>
  <r>
    <x v="242"/>
    <s v="MESO"/>
    <s v="on 2/27/25 After Market Eastern Standard Time"/>
    <x v="0"/>
  </r>
  <r>
    <x v="242"/>
    <s v="TDW"/>
    <s v="on 2/27/25 After Market Eastern Standard Time"/>
    <x v="1"/>
  </r>
  <r>
    <x v="242"/>
    <s v="ORGO"/>
    <s v="on 2/27/25 After Market Eastern Standard Time"/>
    <x v="1"/>
  </r>
  <r>
    <x v="242"/>
    <s v="XENE"/>
    <s v="on 2/27/25 After Market Eastern Standard Time"/>
    <x v="0"/>
  </r>
  <r>
    <x v="242"/>
    <s v="ESTA"/>
    <s v="on 2/27/25 After Market Eastern Standard Time"/>
    <x v="0"/>
  </r>
  <r>
    <x v="242"/>
    <s v="BHVN"/>
    <s v="on 2/27/25 After Market Eastern Standard Time"/>
    <x v="1"/>
  </r>
  <r>
    <x v="242"/>
    <s v="UPLD"/>
    <s v="on 2/27/25 After Market Eastern Standard Time"/>
    <x v="0"/>
  </r>
  <r>
    <x v="242"/>
    <s v="XNCR"/>
    <s v="on 2/27/25 After Market Eastern Standard Time"/>
    <x v="1"/>
  </r>
  <r>
    <x v="242"/>
    <s v="ALHC"/>
    <s v="on 2/27/25 After Market Eastern Standard Time"/>
    <x v="1"/>
  </r>
  <r>
    <x v="242"/>
    <s v="ACA"/>
    <s v="on 2/27/25 After Market Eastern Standard Time"/>
    <x v="1"/>
  </r>
  <r>
    <x v="242"/>
    <s v="EXPI"/>
    <s v="on 2/27/25 After Market Eastern Standard Time"/>
    <x v="1"/>
  </r>
  <r>
    <x v="242"/>
    <s v="PNTG"/>
    <s v="on 2/27/25 After Market Eastern Standard Time"/>
    <x v="1"/>
  </r>
  <r>
    <x v="242"/>
    <s v="KIND"/>
    <s v="on 2/27/25 After Market Eastern Standard Time"/>
    <x v="1"/>
  </r>
  <r>
    <x v="242"/>
    <s v="OPK"/>
    <s v="on 2/27/25 After Market Eastern Standard Time"/>
    <x v="1"/>
  </r>
  <r>
    <x v="242"/>
    <s v="CON"/>
    <s v="on 2/27/25 After Market Eastern Standard Time"/>
    <x v="1"/>
  </r>
  <r>
    <x v="242"/>
    <s v="AMC"/>
    <s v="on 2/27/25 After Market Eastern Standard Time"/>
    <x v="1"/>
  </r>
  <r>
    <x v="242"/>
    <s v="ALEX"/>
    <s v="on 2/27/25 After Market Eastern Standard Time"/>
    <x v="1"/>
  </r>
  <r>
    <x v="242"/>
    <s v="MEG"/>
    <s v="on 2/27/25 After Market Eastern Standard Time"/>
    <x v="1"/>
  </r>
  <r>
    <x v="242"/>
    <s v="SBRA"/>
    <s v="on 2/27/25 After Market Eastern Standard Time"/>
    <x v="1"/>
  </r>
  <r>
    <x v="242"/>
    <s v="SOUN"/>
    <s v="on 2/27/25 After Market Eastern Standard Time"/>
    <x v="1"/>
  </r>
  <r>
    <x v="242"/>
    <s v="RXRX"/>
    <s v="on 2/27/25 After Market Eastern Standard Time"/>
    <x v="1"/>
  </r>
  <r>
    <x v="242"/>
    <s v="LYEL"/>
    <s v="on 2/27/25 After Market Eastern Standard Time"/>
    <x v="1"/>
  </r>
  <r>
    <x v="242"/>
    <s v="TARS"/>
    <s v="on 2/27/25 After Market Eastern Standard Time"/>
    <x v="1"/>
  </r>
  <r>
    <x v="242"/>
    <s v="MP"/>
    <s v="on 2/27/25 After Market Eastern Standard Time"/>
    <x v="0"/>
  </r>
  <r>
    <x v="242"/>
    <s v="LASR"/>
    <s v="on 2/27/25 After Market Eastern Standard Time"/>
    <x v="1"/>
  </r>
  <r>
    <x v="242"/>
    <s v="MAIN"/>
    <s v="on 2/27/25 After Market Eastern Standard Time"/>
    <x v="0"/>
  </r>
  <r>
    <x v="242"/>
    <s v="DV"/>
    <s v="on 2/27/25 After Market Eastern Standard Time"/>
    <x v="0"/>
  </r>
  <r>
    <x v="242"/>
    <s v="MVIS"/>
    <s v="on 2/27/25 After Market Eastern Standard Time"/>
    <x v="1"/>
  </r>
  <r>
    <x v="242"/>
    <s v="PRME"/>
    <s v="on 2/27/25 After Market Eastern Standard Time"/>
    <x v="1"/>
  </r>
  <r>
    <x v="242"/>
    <s v="PLRX"/>
    <s v="on 2/27/25 After Market Eastern Standard Time"/>
    <x v="1"/>
  </r>
  <r>
    <x v="242"/>
    <s v="TCX"/>
    <s v="on 2/27/25 After Market Eastern Standard Time"/>
    <x v="0"/>
  </r>
  <r>
    <x v="242"/>
    <s v="ACHC"/>
    <s v="on 2/27/25 After Market Eastern Standard Time"/>
    <x v="2"/>
  </r>
  <r>
    <x v="242"/>
    <s v="ASTH"/>
    <s v="on 2/27/25 After Market Eastern Standard Time"/>
    <x v="1"/>
  </r>
  <r>
    <x v="242"/>
    <s v="RNA"/>
    <s v="on 2/27/25 After Market Eastern Standard Time"/>
    <x v="1"/>
  </r>
  <r>
    <x v="242"/>
    <s v="LIF"/>
    <s v="on 2/27/25 After Market Eastern Standard Time"/>
    <x v="1"/>
  </r>
  <r>
    <x v="242"/>
    <s v="NNI"/>
    <s v="on 2/27/25 After Market Eastern Standard Time"/>
    <x v="1"/>
  </r>
  <r>
    <x v="242"/>
    <s v="GOVX"/>
    <s v="on 2/27/25 After Market Eastern Standard Time"/>
    <x v="0"/>
  </r>
  <r>
    <x v="242"/>
    <s v="SENS"/>
    <s v="on 2/27/25 After Market Eastern Standard Time"/>
    <x v="0"/>
  </r>
  <r>
    <x v="242"/>
    <s v="COMP"/>
    <s v="on 2/27/25 After Market Eastern Standard Time"/>
    <x v="1"/>
  </r>
  <r>
    <x v="242"/>
    <s v="IMAX"/>
    <s v="on 2/27/25 After Market Eastern Standard Time"/>
    <x v="1"/>
  </r>
  <r>
    <x v="242"/>
    <s v="LGTY"/>
    <s v="on 2/27/25 After Market Eastern Standard Time"/>
    <x v="1"/>
  </r>
  <r>
    <x v="242"/>
    <s v="SVC"/>
    <s v="on 2/27/25 After Market Eastern Standard Time"/>
    <x v="1"/>
  </r>
  <r>
    <x v="242"/>
    <s v="MSEX"/>
    <s v="on 2/27/25 After Market Eastern Standard Time"/>
    <x v="1"/>
  </r>
  <r>
    <x v="242"/>
    <s v="JRVR"/>
    <s v="on 2/27/25 After Market Eastern Standard Time"/>
    <x v="0"/>
  </r>
  <r>
    <x v="242"/>
    <s v="TALO"/>
    <s v="on 2/27/25 After Market Eastern Standard Time"/>
    <x v="1"/>
  </r>
  <r>
    <x v="242"/>
    <s v="ABCL"/>
    <s v="on 2/27/25 After Market Eastern Standard Time"/>
    <x v="0"/>
  </r>
  <r>
    <x v="242"/>
    <s v="HPQ"/>
    <s v="on 2/27/25 After Market Eastern Standard Time"/>
    <x v="3"/>
  </r>
  <r>
    <x v="242"/>
    <s v="GSBD"/>
    <s v="on 2/27/25 After Market Eastern Standard Time"/>
    <x v="0"/>
  </r>
  <r>
    <x v="242"/>
    <s v="BLFS"/>
    <s v="on 2/27/25 After Market Eastern Standard Time"/>
    <x v="1"/>
  </r>
  <r>
    <x v="242"/>
    <s v="VEEV"/>
    <s v="on 2/27/25 After Market Eastern Standard Time"/>
    <x v="0"/>
  </r>
  <r>
    <x v="242"/>
    <s v="GIC"/>
    <s v="on 2/27/25 After Market Eastern Standard Time"/>
    <x v="1"/>
  </r>
  <r>
    <x v="242"/>
    <s v="GRBK"/>
    <s v="on 2/27/25 After Market Eastern Standard Time"/>
    <x v="1"/>
  </r>
  <r>
    <x v="242"/>
    <s v="COLL"/>
    <s v="on 2/27/25 After Market Eastern Standard Time"/>
    <x v="1"/>
  </r>
  <r>
    <x v="242"/>
    <s v="FET"/>
    <s v="on 2/27/25 After Market Eastern Standard Time"/>
    <x v="0"/>
  </r>
  <r>
    <x v="242"/>
    <s v="ADSK"/>
    <s v="on 2/27/25 After Market Eastern Standard Time"/>
    <x v="3"/>
  </r>
  <r>
    <x v="242"/>
    <s v="EXLS"/>
    <s v="on 2/27/25 After Market Eastern Standard Time"/>
    <x v="1"/>
  </r>
  <r>
    <x v="242"/>
    <s v="TBRG"/>
    <s v="on 2/27/25 After Market Eastern Standard Time"/>
    <x v="0"/>
  </r>
  <r>
    <x v="242"/>
    <s v="ZETA"/>
    <s v="on 2/27/25 After Market Eastern Standard Time"/>
    <x v="1"/>
  </r>
  <r>
    <x v="242"/>
    <s v="AMRC"/>
    <s v="on 2/27/25 After Market Eastern Standard Time"/>
    <x v="1"/>
  </r>
  <r>
    <x v="242"/>
    <s v="ALEC"/>
    <s v="on 2/27/25 After Market Eastern Standard Time"/>
    <x v="1"/>
  </r>
  <r>
    <x v="242"/>
    <s v="VRCA"/>
    <s v="on 2/27/25 After Market Eastern Standard Time"/>
    <x v="0"/>
  </r>
  <r>
    <x v="242"/>
    <s v="EOG"/>
    <s v="on 2/27/25 After Market Eastern Standard Time"/>
    <x v="3"/>
  </r>
  <r>
    <x v="242"/>
    <s v="UHT"/>
    <s v="on 2/27/25 After Market Eastern Standard Time"/>
    <x v="1"/>
  </r>
  <r>
    <x v="242"/>
    <s v="JAKK"/>
    <s v="on 2/27/25 After Market Eastern Standard Time"/>
    <x v="1"/>
  </r>
  <r>
    <x v="242"/>
    <s v="FIP"/>
    <s v="on 2/27/25 After Market Eastern Standard Time"/>
    <x v="1"/>
  </r>
  <r>
    <x v="242"/>
    <s v="RVNC"/>
    <s v="on 2/27/25 After Market Eastern Standard Time"/>
    <x v="1"/>
  </r>
  <r>
    <x v="242"/>
    <s v="VLDX"/>
    <s v="on 2/27/25 After Market Eastern Standard Time"/>
    <x v="0"/>
  </r>
  <r>
    <x v="242"/>
    <s v="ZNTL"/>
    <s v="on 2/27/25 After Market Eastern Standard Time"/>
    <x v="0"/>
  </r>
  <r>
    <x v="242"/>
    <s v="VRRM"/>
    <s v="on 2/27/25 After Market Eastern Standard Time"/>
    <x v="1"/>
  </r>
  <r>
    <x v="242"/>
    <s v="NTRA"/>
    <s v="on 2/27/25 After Market Eastern Standard Time"/>
    <x v="0"/>
  </r>
  <r>
    <x v="242"/>
    <s v="XPER"/>
    <s v="on 2/27/25 After Market Eastern Standard Time"/>
    <x v="1"/>
  </r>
  <r>
    <x v="242"/>
    <s v="MUX"/>
    <s v="on 2/27/25 After Market Eastern Standard Time"/>
    <x v="0"/>
  </r>
  <r>
    <x v="242"/>
    <s v="TMCI"/>
    <s v="on 2/27/25 After Market Eastern Standard Time"/>
    <x v="1"/>
  </r>
  <r>
    <x v="242"/>
    <s v="OPEN"/>
    <s v="on 2/27/25 After Market Eastern Standard Time"/>
    <x v="1"/>
  </r>
  <r>
    <x v="242"/>
    <s v="CABO"/>
    <s v="on 2/27/25 After Market Eastern Standard Time"/>
    <x v="1"/>
  </r>
  <r>
    <x v="242"/>
    <s v="EVH"/>
    <s v="on 2/27/25 After Market Eastern Standard Time"/>
    <x v="1"/>
  </r>
  <r>
    <x v="242"/>
    <s v="DVAX"/>
    <s v="on 2/27/25 After Market Eastern Standard Time"/>
    <x v="1"/>
  </r>
  <r>
    <x v="242"/>
    <s v="SYRE"/>
    <s v="on 2/27/25 After Market Eastern Standard Time"/>
    <x v="1"/>
  </r>
  <r>
    <x v="242"/>
    <s v="STEM"/>
    <s v="on 2/27/25 After Market Eastern Standard Time"/>
    <x v="0"/>
  </r>
  <r>
    <x v="242"/>
    <s v="OSPN"/>
    <s v="on 2/27/25 After Market Eastern Standard Time"/>
    <x v="1"/>
  </r>
  <r>
    <x v="242"/>
    <s v="SG"/>
    <s v="on 2/27/25 After Market Eastern Standard Time"/>
    <x v="1"/>
  </r>
  <r>
    <x v="242"/>
    <s v="ACIC"/>
    <s v="on 2/27/25 After Market Eastern Standard Time"/>
    <x v="1"/>
  </r>
  <r>
    <x v="242"/>
    <s v="ZYXI"/>
    <s v="on 2/27/25 After Market Eastern Standard Time"/>
    <x v="0"/>
  </r>
  <r>
    <x v="242"/>
    <s v="IVR"/>
    <s v="on 2/27/25 After Market Eastern Standard Time"/>
    <x v="1"/>
  </r>
  <r>
    <x v="242"/>
    <s v="VGZ"/>
    <s v="on 2/27/25 After Market Eastern Standard Time"/>
    <x v="0"/>
  </r>
  <r>
    <x v="242"/>
    <s v="FIHL"/>
    <s v="on 2/27/25 After Market Eastern Standard Time"/>
    <x v="1"/>
  </r>
  <r>
    <x v="243"/>
    <s v="NWN"/>
    <s v="on 2/28/25 Before Market Eastern Standard Time"/>
    <x v="1"/>
  </r>
  <r>
    <x v="243"/>
    <s v="INTT"/>
    <s v="on 2/28/25 Before Market Eastern Standard Time"/>
    <x v="0"/>
  </r>
  <r>
    <x v="243"/>
    <s v="GTLS"/>
    <s v="on 2/28/25 Before Market Eastern Standard Time"/>
    <x v="1"/>
  </r>
  <r>
    <x v="243"/>
    <s v="RPID"/>
    <s v="on 2/28/25 Before Market Eastern Standard Time"/>
    <x v="0"/>
  </r>
  <r>
    <x v="243"/>
    <s v="ALIZY"/>
    <s v="on 2/28/25 Unspecified Eastern Standard Time"/>
    <x v="0"/>
  </r>
  <r>
    <x v="243"/>
    <s v="ICAGY"/>
    <s v="on 2/28/25 Before Market Eastern Standard Time"/>
    <x v="0"/>
  </r>
  <r>
    <x v="243"/>
    <s v="SFL"/>
    <s v="on 2/28/25 Before Market Eastern Standard Time"/>
    <x v="1"/>
  </r>
  <r>
    <x v="243"/>
    <s v="PSBD"/>
    <s v="on 2/28/25 Before Market Eastern Standard Time"/>
    <x v="0"/>
  </r>
  <r>
    <x v="243"/>
    <s v="HCMLY"/>
    <s v="on 2/28/25 Unspecified Eastern Standard Time"/>
    <x v="0"/>
  </r>
  <r>
    <x v="243"/>
    <s v="FRO"/>
    <s v="on 2/28/25 Before Market Eastern Standard Time"/>
    <x v="0"/>
  </r>
  <r>
    <x v="243"/>
    <s v="FUBO"/>
    <s v="on 2/28/25 Before Market Eastern Standard Time"/>
    <x v="1"/>
  </r>
  <r>
    <x v="243"/>
    <s v="BASFY"/>
    <s v="on 2/28/25 Before Market Eastern Standard Time"/>
    <x v="0"/>
  </r>
  <r>
    <x v="243"/>
    <s v="ACU"/>
    <s v="on 2/28/25 Before Market Eastern Standard Time"/>
    <x v="0"/>
  </r>
  <r>
    <x v="243"/>
    <s v="AMR"/>
    <s v="on 2/28/25 Before Market Eastern Standard Time"/>
    <x v="1"/>
  </r>
  <r>
    <x v="243"/>
    <s v="GOGL"/>
    <s v="on 2/28/25 Before Market Eastern Standard Time"/>
    <x v="1"/>
  </r>
  <r>
    <x v="243"/>
    <s v="BRK/B"/>
    <s v="on 2/28/25 Unspecified Eastern Standard Time"/>
    <x v="0"/>
  </r>
  <r>
    <x v="243"/>
    <s v="TUSK"/>
    <s v="on 2/28/25 Before Market Eastern Standard Time"/>
    <x v="0"/>
  </r>
  <r>
    <x v="243"/>
    <s v="PSO"/>
    <s v="on 2/28/25 Unspecified Eastern Standard Time"/>
    <x v="0"/>
  </r>
  <r>
    <x v="244"/>
    <s v="SIBN"/>
    <s v="on 2/28/25 After Market Eastern Standard Time"/>
    <x v="1"/>
  </r>
  <r>
    <x v="244"/>
    <s v="FBLG"/>
    <s v="on 2/28/25 After Market Eastern Standard Time"/>
    <x v="0"/>
  </r>
  <r>
    <x v="245"/>
    <s v="BH"/>
    <s v="on 3/1/25 After Market Eastern Standard Time"/>
    <x v="0"/>
  </r>
  <r>
    <x v="246"/>
    <s v="TOYO"/>
    <s v="on 3/3/25 Before Market Eastern Standard Time"/>
    <x v="0"/>
  </r>
  <r>
    <x v="246"/>
    <s v="SHLS"/>
    <s v="on 3/3/25 Before Market Eastern Standard Time"/>
    <x v="1"/>
  </r>
  <r>
    <x v="246"/>
    <s v="TGLS"/>
    <s v="on 3/3/25 Before Market Eastern Standard Time"/>
    <x v="1"/>
  </r>
  <r>
    <x v="246"/>
    <s v="PRCT"/>
    <s v="on 3/3/25 Before Market Eastern Standard Time"/>
    <x v="1"/>
  </r>
  <r>
    <x v="246"/>
    <s v="ATSG"/>
    <s v="on 3/3/25 Before Market Eastern Standard Time"/>
    <x v="1"/>
  </r>
  <r>
    <x v="246"/>
    <s v="DIN"/>
    <s v="on 3/3/25 Before Market Eastern Standard Time"/>
    <x v="1"/>
  </r>
  <r>
    <x v="246"/>
    <s v="EVRG"/>
    <s v="on 3/3/25 Before Market Eastern Standard Time"/>
    <x v="3"/>
  </r>
  <r>
    <x v="246"/>
    <s v="TWKS"/>
    <s v="on 3/3/25 Before Market Eastern Standard Time"/>
    <x v="0"/>
  </r>
  <r>
    <x v="246"/>
    <s v="DEA"/>
    <s v="on 3/3/25 Before Market Eastern Standard Time"/>
    <x v="1"/>
  </r>
  <r>
    <x v="246"/>
    <s v="CEG"/>
    <s v="on 3/3/25 Before Market Eastern Standard Time"/>
    <x v="3"/>
  </r>
  <r>
    <x v="246"/>
    <s v="HGV"/>
    <s v="on 3/3/25 Before Market Eastern Standard Time"/>
    <x v="1"/>
  </r>
  <r>
    <x v="246"/>
    <s v="LNSR"/>
    <s v="on 3/3/25 Before Market Eastern Standard Time"/>
    <x v="0"/>
  </r>
  <r>
    <x v="246"/>
    <s v="SGRY"/>
    <s v="on 3/3/25 Before Market Eastern Standard Time"/>
    <x v="1"/>
  </r>
  <r>
    <x v="246"/>
    <s v="SRCL"/>
    <s v="on 3/3/25 Before Market Eastern Standard Time"/>
    <x v="0"/>
  </r>
  <r>
    <x v="246"/>
    <s v="CRC"/>
    <s v="on 3/3/25 Before Market Eastern Standard Time"/>
    <x v="1"/>
  </r>
  <r>
    <x v="246"/>
    <s v="IMXI"/>
    <s v="on 3/3/25 Before Market Eastern Standard Time"/>
    <x v="1"/>
  </r>
  <r>
    <x v="246"/>
    <s v="GOLF"/>
    <s v="on 3/3/25 Before Market Eastern Standard Time"/>
    <x v="1"/>
  </r>
  <r>
    <x v="246"/>
    <s v="AVDL"/>
    <s v="on 3/3/25 Before Market Eastern Standard Time"/>
    <x v="1"/>
  </r>
  <r>
    <x v="246"/>
    <s v="BLD"/>
    <s v="on 3/3/25 Before Market Eastern Standard Time"/>
    <x v="2"/>
  </r>
  <r>
    <x v="246"/>
    <s v="RNGR"/>
    <s v="on 3/3/25 Before Market Eastern Standard Time"/>
    <x v="1"/>
  </r>
  <r>
    <x v="246"/>
    <s v="LINC"/>
    <s v="on 3/3/25 Before Market Eastern Standard Time"/>
    <x v="1"/>
  </r>
  <r>
    <x v="246"/>
    <s v="ACIW"/>
    <s v="on 3/3/25 Before Market Eastern Standard Time"/>
    <x v="1"/>
  </r>
  <r>
    <x v="246"/>
    <s v="CWT"/>
    <s v="on 3/3/25 Before Market Eastern Standard Time"/>
    <x v="1"/>
  </r>
  <r>
    <x v="246"/>
    <s v="ONC"/>
    <s v="on 3/3/25 Unspecified Eastern Standard Time"/>
    <x v="0"/>
  </r>
  <r>
    <x v="246"/>
    <s v="SAVA"/>
    <s v="on 3/3/25 Before Market Eastern Standard Time"/>
    <x v="1"/>
  </r>
  <r>
    <x v="246"/>
    <s v="FLGT"/>
    <s v="on 3/3/25 Before Market Eastern Standard Time"/>
    <x v="1"/>
  </r>
  <r>
    <x v="246"/>
    <s v="XRAY"/>
    <s v="on 3/3/25 Before Market Eastern Standard Time"/>
    <x v="2"/>
  </r>
  <r>
    <x v="246"/>
    <s v="PCT"/>
    <s v="on 3/3/25 Before Market Eastern Standard Time"/>
    <x v="1"/>
  </r>
  <r>
    <x v="246"/>
    <s v="SE"/>
    <s v="on 3/3/25 Before Market Eastern Standard Time"/>
    <x v="0"/>
  </r>
  <r>
    <x v="246"/>
    <s v="BGNE"/>
    <s v="on 3/3/25 Unspecified Eastern Standard Time"/>
    <x v="0"/>
  </r>
  <r>
    <x v="246"/>
    <s v="PASG"/>
    <s v="on 3/3/25 Before Market Eastern Standard Time"/>
    <x v="0"/>
  </r>
  <r>
    <x v="246"/>
    <s v="ASTE"/>
    <s v="on 3/3/25 Before Market Eastern Standard Time"/>
    <x v="1"/>
  </r>
  <r>
    <x v="246"/>
    <s v="PLTK"/>
    <s v="on 3/3/25 Before Market Eastern Standard Time"/>
    <x v="0"/>
  </r>
  <r>
    <x v="246"/>
    <s v="MDV"/>
    <s v="on 3/3/25 Before Market Eastern Standard Time"/>
    <x v="0"/>
  </r>
  <r>
    <x v="246"/>
    <s v="AVAL"/>
    <s v="on 3/3/25 Unspecified Eastern Standard Time"/>
    <x v="0"/>
  </r>
  <r>
    <x v="247"/>
    <s v="SBR"/>
    <s v="on 3/3/25 During Market Eastern Standard Time"/>
    <x v="0"/>
  </r>
  <r>
    <x v="247"/>
    <s v="IBOC"/>
    <s v="on 3/3/25 During Market Eastern Standard Time"/>
    <x v="1"/>
  </r>
  <r>
    <x v="247"/>
    <s v="ICCH"/>
    <s v="on 3/3/25 During Market Eastern Standard Time"/>
    <x v="0"/>
  </r>
  <r>
    <x v="248"/>
    <s v="FNA"/>
    <s v="on 3/3/25 After Market Eastern Standard Time"/>
    <x v="1"/>
  </r>
  <r>
    <x v="248"/>
    <s v="CRD/B"/>
    <s v="on 3/3/25 After Market Eastern Standard Time"/>
    <x v="0"/>
  </r>
  <r>
    <x v="248"/>
    <s v="TTEC"/>
    <s v="on 3/3/25 After Market Eastern Standard Time"/>
    <x v="0"/>
  </r>
  <r>
    <x v="248"/>
    <s v="CAKE"/>
    <s v="on 3/3/25 After Market Eastern Standard Time"/>
    <x v="1"/>
  </r>
  <r>
    <x v="248"/>
    <s v="RCKT"/>
    <s v="on 3/3/25 After Market Eastern Standard Time"/>
    <x v="1"/>
  </r>
  <r>
    <x v="248"/>
    <s v="CRD/A"/>
    <s v="on 3/3/25 After Market Eastern Standard Time"/>
    <x v="0"/>
  </r>
  <r>
    <x v="248"/>
    <s v="SLND"/>
    <s v="on 3/3/25 After Market Eastern Standard Time"/>
    <x v="0"/>
  </r>
  <r>
    <x v="248"/>
    <s v="GTLB"/>
    <s v="on 3/3/25 After Market Eastern Standard Time"/>
    <x v="0"/>
  </r>
  <r>
    <x v="248"/>
    <s v="PSTL"/>
    <s v="on 3/3/25 After Market Eastern Standard Time"/>
    <x v="1"/>
  </r>
  <r>
    <x v="248"/>
    <s v="IIPR"/>
    <s v="on 3/3/25 After Market Eastern Standard Time"/>
    <x v="1"/>
  </r>
  <r>
    <x v="248"/>
    <s v="NWBO"/>
    <s v="on 3/3/25 After Market Eastern Standard Time"/>
    <x v="0"/>
  </r>
  <r>
    <x v="248"/>
    <s v="LOGC"/>
    <s v="on 3/3/25 After Market Eastern Standard Time"/>
    <x v="0"/>
  </r>
  <r>
    <x v="248"/>
    <s v="KIDS"/>
    <s v="on 3/3/25 After Market Eastern Standard Time"/>
    <x v="1"/>
  </r>
  <r>
    <x v="248"/>
    <s v="NWPX"/>
    <s v="on 3/3/25 After Market Eastern Standard Time"/>
    <x v="1"/>
  </r>
  <r>
    <x v="248"/>
    <s v="RGNX"/>
    <s v="on 3/3/25 After Market Eastern Standard Time"/>
    <x v="1"/>
  </r>
  <r>
    <x v="248"/>
    <s v="TDUP"/>
    <s v="on 3/3/25 After Market Eastern Standard Time"/>
    <x v="0"/>
  </r>
  <r>
    <x v="248"/>
    <s v="GDEN"/>
    <s v="on 3/3/25 After Market Eastern Standard Time"/>
    <x v="1"/>
  </r>
  <r>
    <x v="248"/>
    <s v="CRNX"/>
    <s v="on 3/3/25 After Market Eastern Standard Time"/>
    <x v="1"/>
  </r>
  <r>
    <x v="248"/>
    <s v="ERIE"/>
    <s v="on 3/3/25 After Market Eastern Standard Time"/>
    <x v="3"/>
  </r>
  <r>
    <x v="248"/>
    <s v="EVRI"/>
    <s v="on 3/3/25 After Market Eastern Standard Time"/>
    <x v="1"/>
  </r>
  <r>
    <x v="248"/>
    <s v="CAVA"/>
    <s v="on 3/3/25 After Market Eastern Standard Time"/>
    <x v="0"/>
  </r>
  <r>
    <x v="248"/>
    <s v="FATE"/>
    <s v="on 3/3/25 After Market Eastern Standard Time"/>
    <x v="1"/>
  </r>
  <r>
    <x v="248"/>
    <s v="PAC"/>
    <s v="on 3/3/25 After Market Eastern Standard Time"/>
    <x v="0"/>
  </r>
  <r>
    <x v="248"/>
    <s v="PTCT"/>
    <s v="on 3/3/25 After Market Eastern Standard Time"/>
    <x v="1"/>
  </r>
  <r>
    <x v="248"/>
    <s v="RDFN"/>
    <s v="on 3/3/25 After Market Eastern Standard Time"/>
    <x v="1"/>
  </r>
  <r>
    <x v="248"/>
    <s v="CVGI"/>
    <s v="on 3/3/25 After Market Eastern Standard Time"/>
    <x v="0"/>
  </r>
  <r>
    <x v="248"/>
    <s v="RBOT"/>
    <s v="on 3/3/25 After Market Eastern Standard Time"/>
    <x v="0"/>
  </r>
  <r>
    <x v="248"/>
    <s v="AGL"/>
    <s v="on 3/3/25 After Market Eastern Standard Time"/>
    <x v="1"/>
  </r>
  <r>
    <x v="248"/>
    <s v="TBPH"/>
    <s v="on 3/3/25 After Market Eastern Standard Time"/>
    <x v="1"/>
  </r>
  <r>
    <x v="248"/>
    <s v="ATXS"/>
    <s v="on 3/3/25 After Market Eastern Standard Time"/>
    <x v="1"/>
  </r>
  <r>
    <x v="248"/>
    <s v="EKSO"/>
    <s v="on 3/3/25 After Market Eastern Standard Time"/>
    <x v="0"/>
  </r>
  <r>
    <x v="248"/>
    <s v="GAIA"/>
    <s v="on 3/3/25 After Market Eastern Standard Time"/>
    <x v="0"/>
  </r>
  <r>
    <x v="248"/>
    <s v="MTUS"/>
    <s v="on 3/3/25 After Market Eastern Standard Time"/>
    <x v="1"/>
  </r>
  <r>
    <x v="248"/>
    <s v="FIGS"/>
    <s v="on 3/3/25 After Market Eastern Standard Time"/>
    <x v="1"/>
  </r>
  <r>
    <x v="248"/>
    <s v="SEMR"/>
    <s v="on 3/3/25 After Market Eastern Standard Time"/>
    <x v="1"/>
  </r>
  <r>
    <x v="248"/>
    <s v="AVAV"/>
    <s v="on 3/3/25 After Market Eastern Standard Time"/>
    <x v="1"/>
  </r>
  <r>
    <x v="248"/>
    <s v="PAY"/>
    <s v="on 3/3/25 After Market Eastern Standard Time"/>
    <x v="0"/>
  </r>
  <r>
    <x v="248"/>
    <s v="CYTK"/>
    <s v="on 3/3/25 After Market Eastern Standard Time"/>
    <x v="1"/>
  </r>
  <r>
    <x v="248"/>
    <s v="CARA"/>
    <s v="on 3/3/25 After Market Eastern Standard Time"/>
    <x v="0"/>
  </r>
  <r>
    <x v="248"/>
    <s v="TGS"/>
    <s v="on 3/3/25 After Market Eastern Standard Time"/>
    <x v="0"/>
  </r>
  <r>
    <x v="248"/>
    <s v="IAS"/>
    <s v="on 3/3/25 After Market Eastern Standard Time"/>
    <x v="1"/>
  </r>
  <r>
    <x v="248"/>
    <s v="GDOT"/>
    <s v="on 3/3/25 After Market Eastern Standard Time"/>
    <x v="1"/>
  </r>
  <r>
    <x v="248"/>
    <s v="GSAT"/>
    <s v="on 3/3/25 After Market Eastern Standard Time"/>
    <x v="1"/>
  </r>
  <r>
    <x v="248"/>
    <s v="NKTR"/>
    <s v="on 3/3/25 After Market Eastern Standard Time"/>
    <x v="1"/>
  </r>
  <r>
    <x v="248"/>
    <s v="CLDX"/>
    <s v="on 3/3/25 After Market Eastern Standard Time"/>
    <x v="1"/>
  </r>
  <r>
    <x v="248"/>
    <s v="BLNK"/>
    <s v="on 3/3/25 After Market Eastern Standard Time"/>
    <x v="0"/>
  </r>
  <r>
    <x v="248"/>
    <s v="WSR"/>
    <s v="on 3/3/25 After Market Eastern Standard Time"/>
    <x v="1"/>
  </r>
  <r>
    <x v="248"/>
    <s v="SAFT"/>
    <s v="on 3/3/25 After Market Eastern Standard Time"/>
    <x v="1"/>
  </r>
  <r>
    <x v="248"/>
    <s v="AXNX"/>
    <s v="on 3/3/25 After Market Eastern Standard Time"/>
    <x v="0"/>
  </r>
  <r>
    <x v="248"/>
    <s v="MNST"/>
    <s v="on 3/3/25 After Market Eastern Standard Time"/>
    <x v="3"/>
  </r>
  <r>
    <x v="248"/>
    <s v="CLOV"/>
    <s v="on 3/3/25 After Market Eastern Standard Time"/>
    <x v="0"/>
  </r>
  <r>
    <x v="248"/>
    <s v="OFS"/>
    <s v="on 3/3/25 After Market Eastern Standard Time"/>
    <x v="0"/>
  </r>
  <r>
    <x v="248"/>
    <s v="ADUS"/>
    <s v="on 3/3/25 After Market Eastern Standard Time"/>
    <x v="1"/>
  </r>
  <r>
    <x v="248"/>
    <s v="KURA"/>
    <s v="on 3/3/25 After Market Eastern Standard Time"/>
    <x v="1"/>
  </r>
  <r>
    <x v="248"/>
    <s v="ZM"/>
    <s v="on 3/3/25 After Market Eastern Standard Time"/>
    <x v="0"/>
  </r>
  <r>
    <x v="248"/>
    <s v="ETNB"/>
    <s v="on 3/3/25 After Market Eastern Standard Time"/>
    <x v="1"/>
  </r>
  <r>
    <x v="248"/>
    <s v="AMBC"/>
    <s v="on 3/3/25 After Market Eastern Standard Time"/>
    <x v="1"/>
  </r>
  <r>
    <x v="248"/>
    <s v="GPOR"/>
    <s v="on 3/3/25 After Market Eastern Standard Time"/>
    <x v="1"/>
  </r>
  <r>
    <x v="248"/>
    <s v="PTGX"/>
    <s v="on 3/3/25 After Market Eastern Standard Time"/>
    <x v="1"/>
  </r>
  <r>
    <x v="248"/>
    <s v="VATE"/>
    <s v="on 3/3/25 After Market Eastern Standard Time"/>
    <x v="0"/>
  </r>
  <r>
    <x v="248"/>
    <s v="PGNY"/>
    <s v="on 3/3/25 After Market Eastern Standard Time"/>
    <x v="1"/>
  </r>
  <r>
    <x v="248"/>
    <s v="CRGY"/>
    <s v="on 3/3/25 After Market Eastern Standard Time"/>
    <x v="1"/>
  </r>
  <r>
    <x v="248"/>
    <s v="SKIN"/>
    <s v="on 3/3/25 After Market Eastern Standard Time"/>
    <x v="0"/>
  </r>
  <r>
    <x v="249"/>
    <s v="NUWE"/>
    <s v="on 3/4/25 Before Market Eastern Standard Time"/>
    <x v="0"/>
  </r>
  <r>
    <x v="249"/>
    <s v="CMLS"/>
    <s v="on 3/4/25 Before Market Eastern Standard Time"/>
    <x v="0"/>
  </r>
  <r>
    <x v="249"/>
    <s v="SOPH"/>
    <s v="on 3/4/25 Before Market Eastern Standard Time"/>
    <x v="0"/>
  </r>
  <r>
    <x v="249"/>
    <s v="DYN"/>
    <s v="on 3/4/25 Before Market Eastern Standard Time"/>
    <x v="1"/>
  </r>
  <r>
    <x v="249"/>
    <s v="CAN"/>
    <s v="on 3/4/25 Before Market Eastern Standard Time"/>
    <x v="0"/>
  </r>
  <r>
    <x v="249"/>
    <s v="JSPR"/>
    <s v="on 3/4/25 Before Market Eastern Standard Time"/>
    <x v="1"/>
  </r>
  <r>
    <x v="249"/>
    <s v="MCRB"/>
    <s v="on 3/4/25 Before Market Eastern Standard Time"/>
    <x v="0"/>
  </r>
  <r>
    <x v="249"/>
    <s v="AXGN"/>
    <s v="on 3/4/25 Before Market Eastern Standard Time"/>
    <x v="1"/>
  </r>
  <r>
    <x v="249"/>
    <s v="AOMR"/>
    <s v="on 3/4/25 Before Market Eastern Standard Time"/>
    <x v="0"/>
  </r>
  <r>
    <x v="249"/>
    <s v="M"/>
    <s v="on 3/4/25 Before Market Eastern Standard Time"/>
    <x v="2"/>
  </r>
  <r>
    <x v="249"/>
    <s v="HDL"/>
    <s v="on 3/4/25 Before Market Eastern Standard Time"/>
    <x v="0"/>
  </r>
  <r>
    <x v="249"/>
    <s v="ML"/>
    <s v="on 3/4/25 Before Market Eastern Standard Time"/>
    <x v="1"/>
  </r>
  <r>
    <x v="249"/>
    <s v="RSKD"/>
    <s v="on 3/4/25 Before Market Eastern Standard Time"/>
    <x v="0"/>
  </r>
  <r>
    <x v="249"/>
    <s v="CNSL"/>
    <s v="on 3/4/25 Before Market Eastern Standard Time"/>
    <x v="1"/>
  </r>
  <r>
    <x v="249"/>
    <s v="MNDO"/>
    <s v="on 3/4/25 Before Market Eastern Standard Time"/>
    <x v="0"/>
  </r>
  <r>
    <x v="249"/>
    <s v="SEAT"/>
    <s v="on 3/4/25 Before Market Eastern Standard Time"/>
    <x v="1"/>
  </r>
  <r>
    <x v="249"/>
    <s v="BBY"/>
    <s v="on 3/4/25 Before Market Eastern Standard Time"/>
    <x v="3"/>
  </r>
  <r>
    <x v="249"/>
    <s v="GSL"/>
    <s v="on 3/4/25 Before Market Eastern Standard Time"/>
    <x v="0"/>
  </r>
  <r>
    <x v="249"/>
    <s v="NVCT"/>
    <s v="on 3/4/25 Before Market Eastern Standard Time"/>
    <x v="0"/>
  </r>
  <r>
    <x v="249"/>
    <s v="SPMYY"/>
    <s v="on 3/4/25 Unspecified Eastern Standard Time"/>
    <x v="0"/>
  </r>
  <r>
    <x v="249"/>
    <s v="SMRT"/>
    <s v="on 3/4/25 Before Market Eastern Standard Time"/>
    <x v="1"/>
  </r>
  <r>
    <x v="249"/>
    <s v="AZO"/>
    <s v="on 3/4/25 Before Market Eastern Standard Time"/>
    <x v="3"/>
  </r>
  <r>
    <x v="249"/>
    <s v="IKTSY"/>
    <s v="on 3/4/25 Unspecified Eastern Standard Time"/>
    <x v="0"/>
  </r>
  <r>
    <x v="249"/>
    <s v="CRBP"/>
    <s v="on 3/4/25 Before Market Eastern Standard Time"/>
    <x v="0"/>
  </r>
  <r>
    <x v="249"/>
    <s v="OFIX"/>
    <s v="on 3/4/25 Before Market Eastern Standard Time"/>
    <x v="1"/>
  </r>
  <r>
    <x v="249"/>
    <s v="CECO"/>
    <s v="on 3/4/25 Before Market Eastern Standard Time"/>
    <x v="1"/>
  </r>
  <r>
    <x v="249"/>
    <s v="CTTAY"/>
    <s v="on 3/4/25 Unspecified Eastern Standard Time"/>
    <x v="0"/>
  </r>
  <r>
    <x v="249"/>
    <s v="HMY"/>
    <s v="on 3/4/25 Before Market Eastern Standard Time"/>
    <x v="0"/>
  </r>
  <r>
    <x v="249"/>
    <s v="VLGEA"/>
    <s v="on 3/4/25 Before Market Eastern Standard Time"/>
    <x v="1"/>
  </r>
  <r>
    <x v="249"/>
    <s v="APGE"/>
    <s v="on 3/4/25 Before Market Eastern Standard Time"/>
    <x v="1"/>
  </r>
  <r>
    <x v="249"/>
    <s v="STGW"/>
    <s v="on 3/4/25 Before Market Eastern Standard Time"/>
    <x v="1"/>
  </r>
  <r>
    <x v="249"/>
    <s v="BWEN"/>
    <s v="on 3/4/25 Before Market Eastern Standard Time"/>
    <x v="0"/>
  </r>
  <r>
    <x v="249"/>
    <s v="FSTR"/>
    <s v="on 3/4/25 Before Market Eastern Standard Time"/>
    <x v="1"/>
  </r>
  <r>
    <x v="249"/>
    <s v="NSPR"/>
    <s v="on 3/4/25 Before Market Eastern Standard Time"/>
    <x v="0"/>
  </r>
  <r>
    <x v="249"/>
    <s v="ZLAB"/>
    <s v="on 3/4/25 Before Market Eastern Standard Time"/>
    <x v="0"/>
  </r>
  <r>
    <x v="249"/>
    <s v="AS"/>
    <s v="on 3/4/25 Before Market Eastern Standard Time"/>
    <x v="0"/>
  </r>
  <r>
    <x v="249"/>
    <s v="IOBT"/>
    <s v="on 3/4/25 Before Market Eastern Standard Time"/>
    <x v="0"/>
  </r>
  <r>
    <x v="250"/>
    <s v="STXS"/>
    <s v="on 3/4/25 After Market Eastern Standard Time"/>
    <x v="0"/>
  </r>
  <r>
    <x v="250"/>
    <s v="CPIX"/>
    <s v="on 3/4/25 After Market Eastern Standard Time"/>
    <x v="0"/>
  </r>
  <r>
    <x v="250"/>
    <s v="CERS"/>
    <s v="on 3/4/25 After Market Eastern Standard Time"/>
    <x v="1"/>
  </r>
  <r>
    <x v="250"/>
    <s v="CRWD"/>
    <s v="on 3/4/25 After Market Eastern Standard Time"/>
    <x v="3"/>
  </r>
  <r>
    <x v="250"/>
    <s v="FTCO"/>
    <s v="on 3/4/25 After Market Eastern Standard Time"/>
    <x v="0"/>
  </r>
  <r>
    <x v="250"/>
    <s v="FLL"/>
    <s v="on 3/4/25 After Market Eastern Standard Time"/>
    <x v="0"/>
  </r>
  <r>
    <x v="250"/>
    <s v="GLRE"/>
    <s v="on 3/4/25 After Market Eastern Standard Time"/>
    <x v="1"/>
  </r>
  <r>
    <x v="250"/>
    <s v="ATLC"/>
    <s v="on 3/4/25 After Market Eastern Standard Time"/>
    <x v="1"/>
  </r>
  <r>
    <x v="250"/>
    <s v="SQM"/>
    <s v="on 3/4/25 After Market Eastern Standard Time"/>
    <x v="0"/>
  </r>
  <r>
    <x v="250"/>
    <s v="SSTI"/>
    <s v="on 3/4/25 After Market Eastern Standard Time"/>
    <x v="0"/>
  </r>
  <r>
    <x v="250"/>
    <s v="LXFR"/>
    <s v="on 3/4/25 After Market Eastern Standard Time"/>
    <x v="1"/>
  </r>
  <r>
    <x v="250"/>
    <s v="OOMA"/>
    <s v="on 3/4/25 After Market Eastern Standard Time"/>
    <x v="1"/>
  </r>
  <r>
    <x v="250"/>
    <s v="FNV"/>
    <s v="on 3/4/25 After Market Eastern Standard Time"/>
    <x v="0"/>
  </r>
  <r>
    <x v="250"/>
    <s v="CDRE"/>
    <s v="on 3/4/25 After Market Eastern Standard Time"/>
    <x v="1"/>
  </r>
  <r>
    <x v="250"/>
    <s v="URBN"/>
    <s v="on 3/4/25 After Market Eastern Standard Time"/>
    <x v="1"/>
  </r>
  <r>
    <x v="250"/>
    <s v="EVC"/>
    <s v="on 3/4/25 After Market Eastern Standard Time"/>
    <x v="0"/>
  </r>
  <r>
    <x v="250"/>
    <s v="TXO"/>
    <s v="on 3/4/25 After Market Eastern Standard Time"/>
    <x v="0"/>
  </r>
  <r>
    <x v="250"/>
    <s v="BNGO"/>
    <s v="on 3/4/25 After Market Eastern Standard Time"/>
    <x v="0"/>
  </r>
  <r>
    <x v="250"/>
    <s v="CRCT"/>
    <s v="on 3/4/25 After Market Eastern Standard Time"/>
    <x v="1"/>
  </r>
  <r>
    <x v="250"/>
    <s v="AGS"/>
    <s v="on 3/4/25 After Market Eastern Standard Time"/>
    <x v="1"/>
  </r>
  <r>
    <x v="250"/>
    <s v="CHPT"/>
    <s v="on 3/4/25 After Market Eastern Standard Time"/>
    <x v="1"/>
  </r>
  <r>
    <x v="250"/>
    <s v="OLP"/>
    <s v="on 3/4/25 After Market Eastern Standard Time"/>
    <x v="1"/>
  </r>
  <r>
    <x v="250"/>
    <s v="TEM"/>
    <s v="on 3/4/25 After Market Eastern Standard Time"/>
    <x v="0"/>
  </r>
  <r>
    <x v="250"/>
    <s v="SCM"/>
    <s v="on 3/4/25 After Market Eastern Standard Time"/>
    <x v="0"/>
  </r>
  <r>
    <x v="250"/>
    <s v="FTEL"/>
    <s v="on 3/4/25 After Market Eastern Standard Time"/>
    <x v="0"/>
  </r>
  <r>
    <x v="250"/>
    <s v="VTOL"/>
    <s v="on 3/4/25 After Market Eastern Standard Time"/>
    <x v="1"/>
  </r>
  <r>
    <x v="250"/>
    <s v="MLNK"/>
    <s v="on 3/4/25 After Market Eastern Standard Time"/>
    <x v="1"/>
  </r>
  <r>
    <x v="250"/>
    <s v="KFS"/>
    <s v="on 3/4/25 After Market Eastern Standard Time"/>
    <x v="0"/>
  </r>
  <r>
    <x v="250"/>
    <s v="MEC"/>
    <s v="on 3/4/25 After Market Eastern Standard Time"/>
    <x v="1"/>
  </r>
  <r>
    <x v="250"/>
    <s v="AEVA"/>
    <s v="on 3/4/25 After Market Eastern Standard Time"/>
    <x v="0"/>
  </r>
  <r>
    <x v="250"/>
    <s v="BOX"/>
    <s v="on 3/4/25 After Market Eastern Standard Time"/>
    <x v="1"/>
  </r>
  <r>
    <x v="250"/>
    <s v="CXDO"/>
    <s v="on 3/4/25 After Market Eastern Standard Time"/>
    <x v="0"/>
  </r>
  <r>
    <x v="250"/>
    <s v="SCKT"/>
    <s v="on 3/4/25 After Market Eastern Standard Time"/>
    <x v="0"/>
  </r>
  <r>
    <x v="250"/>
    <s v="WEYS"/>
    <s v="on 3/4/25 After Market Eastern Standard Time"/>
    <x v="1"/>
  </r>
  <r>
    <x v="250"/>
    <s v="AEO"/>
    <s v="on 3/4/25 After Market Eastern Standard Time"/>
    <x v="1"/>
  </r>
  <r>
    <x v="250"/>
    <s v="BASE"/>
    <s v="on 3/4/25 After Market Eastern Standard Time"/>
    <x v="1"/>
  </r>
  <r>
    <x v="250"/>
    <s v="HCP"/>
    <s v="on 3/4/25 After Market Eastern Standard Time"/>
    <x v="0"/>
  </r>
  <r>
    <x v="250"/>
    <s v="GOSS"/>
    <s v="on 3/4/25 After Market Eastern Standard Time"/>
    <x v="0"/>
  </r>
  <r>
    <x v="250"/>
    <s v="JWN"/>
    <s v="on 3/4/25 After Market Eastern Standard Time"/>
    <x v="2"/>
  </r>
  <r>
    <x v="251"/>
    <s v="REVG"/>
    <s v="on 3/5/25 Before Market Eastern Standard Time"/>
    <x v="1"/>
  </r>
  <r>
    <x v="251"/>
    <s v="BF/A"/>
    <s v="on 3/5/25 Before Market Eastern Standard Time"/>
    <x v="0"/>
  </r>
  <r>
    <x v="251"/>
    <s v="CMPO"/>
    <s v="on 3/5/25 Before Market Eastern Standard Time"/>
    <x v="1"/>
  </r>
  <r>
    <x v="251"/>
    <s v="WVE"/>
    <s v="on 3/5/25 Before Market Eastern Standard Time"/>
    <x v="1"/>
  </r>
  <r>
    <x v="251"/>
    <s v="SCRYY"/>
    <s v="on 3/5/25 Before Market Eastern Standard Time"/>
    <x v="0"/>
  </r>
  <r>
    <x v="251"/>
    <s v="BF/B"/>
    <s v="on 3/5/25 Before Market Eastern Standard Time"/>
    <x v="0"/>
  </r>
  <r>
    <x v="251"/>
    <s v="INVZ"/>
    <s v="on 3/5/25 Before Market Eastern Standard Time"/>
    <x v="0"/>
  </r>
  <r>
    <x v="251"/>
    <s v="VBNK"/>
    <s v="on 3/5/25 Before Market Eastern Standard Time"/>
    <x v="0"/>
  </r>
  <r>
    <x v="251"/>
    <s v="CTRI"/>
    <s v="on 3/5/25 Before Market Eastern Standard Time"/>
    <x v="1"/>
  </r>
  <r>
    <x v="251"/>
    <s v="MRSN"/>
    <s v="on 3/5/25 Before Market Eastern Standard Time"/>
    <x v="1"/>
  </r>
  <r>
    <x v="251"/>
    <s v="RY"/>
    <s v="on 3/5/25 Before Market Eastern Standard Time"/>
    <x v="0"/>
  </r>
  <r>
    <x v="251"/>
    <s v="BRY"/>
    <s v="on 3/5/25 Before Market Eastern Standard Time"/>
    <x v="1"/>
  </r>
  <r>
    <x v="251"/>
    <s v="RAND"/>
    <s v="on 3/5/25 Before Market Eastern Standard Time"/>
    <x v="0"/>
  </r>
  <r>
    <x v="251"/>
    <s v="KMDA"/>
    <s v="on 3/5/25 Before Market Eastern Standard Time"/>
    <x v="0"/>
  </r>
  <r>
    <x v="251"/>
    <s v="BWAY"/>
    <s v="on 3/5/25 Before Market Eastern Standard Time"/>
    <x v="0"/>
  </r>
  <r>
    <x v="251"/>
    <s v="EWCZ"/>
    <s v="on 3/5/25 Before Market Eastern Standard Time"/>
    <x v="1"/>
  </r>
  <r>
    <x v="251"/>
    <s v="TIIAY"/>
    <s v="on 3/5/25 Unspecified Eastern Standard Time"/>
    <x v="0"/>
  </r>
  <r>
    <x v="251"/>
    <s v="HIPO"/>
    <s v="on 3/5/25 Before Market Eastern Standard Time"/>
    <x v="1"/>
  </r>
  <r>
    <x v="251"/>
    <s v="TSVT"/>
    <s v="on 3/5/25 Before Market Eastern Standard Time"/>
    <x v="0"/>
  </r>
  <r>
    <x v="251"/>
    <s v="FANDY"/>
    <s v="on 3/5/25 Unspecified Eastern Standard Time"/>
    <x v="0"/>
  </r>
  <r>
    <x v="251"/>
    <s v="BAYRY"/>
    <s v="on 3/5/25 Before Market Eastern Standard Time"/>
    <x v="0"/>
  </r>
  <r>
    <x v="251"/>
    <s v="ADDYY"/>
    <s v="on 3/5/25 Before Market Eastern Standard Time"/>
    <x v="0"/>
  </r>
  <r>
    <x v="251"/>
    <s v="NEUE"/>
    <s v="on 3/5/25 Before Market Eastern Standard Time"/>
    <x v="0"/>
  </r>
  <r>
    <x v="251"/>
    <s v="FL"/>
    <s v="on 3/5/25 Before Market Eastern Standard Time"/>
    <x v="1"/>
  </r>
  <r>
    <x v="251"/>
    <s v="KFY"/>
    <s v="on 3/5/25 Before Market Eastern Standard Time"/>
    <x v="1"/>
  </r>
  <r>
    <x v="251"/>
    <s v="ANF"/>
    <s v="on 3/5/25 Before Market Eastern Standard Time"/>
    <x v="1"/>
  </r>
  <r>
    <x v="251"/>
    <s v="KOP"/>
    <s v="on 3/5/25 Before Market Eastern Standard Time"/>
    <x v="1"/>
  </r>
  <r>
    <x v="251"/>
    <s v="MNSO"/>
    <s v="on 3/5/25 Before Market Eastern Standard Time"/>
    <x v="0"/>
  </r>
  <r>
    <x v="251"/>
    <s v="YSG"/>
    <s v="on 3/5/25 Before Market Eastern Standard Time"/>
    <x v="0"/>
  </r>
  <r>
    <x v="251"/>
    <s v="EVGO"/>
    <s v="on 3/5/25 Before Market Eastern Standard Time"/>
    <x v="1"/>
  </r>
  <r>
    <x v="251"/>
    <s v="PEPG"/>
    <s v="on 3/5/25 Before Market Eastern Standard Time"/>
    <x v="0"/>
  </r>
  <r>
    <x v="251"/>
    <s v="THO"/>
    <s v="on 3/5/25 Before Market Eastern Standard Time"/>
    <x v="2"/>
  </r>
  <r>
    <x v="251"/>
    <s v="SDIG"/>
    <s v="on 3/5/25 Before Market Eastern Standard Time"/>
    <x v="0"/>
  </r>
  <r>
    <x v="251"/>
    <s v="WLWHY"/>
    <s v="on 3/5/25 Unspecified Eastern Standard Time"/>
    <x v="0"/>
  </r>
  <r>
    <x v="251"/>
    <s v="PRDSY"/>
    <s v="on 3/5/25 Unspecified Eastern Standard Time"/>
    <x v="0"/>
  </r>
  <r>
    <x v="251"/>
    <s v="SGHC"/>
    <s v="on 3/5/25 Before Market Eastern Standard Time"/>
    <x v="1"/>
  </r>
  <r>
    <x v="251"/>
    <s v="TTNDY"/>
    <s v="on 3/5/25 Unspecified Eastern Standard Time"/>
    <x v="0"/>
  </r>
  <r>
    <x v="251"/>
    <s v="NIO"/>
    <s v="on 3/5/25 Before Market Eastern Standard Time"/>
    <x v="0"/>
  </r>
  <r>
    <x v="251"/>
    <s v="BRCC"/>
    <s v="on 3/5/25 Before Market Eastern Standard Time"/>
    <x v="0"/>
  </r>
  <r>
    <x v="252"/>
    <s v="FRPH"/>
    <s v="on 3/5/25 During Market Eastern Standard Time"/>
    <x v="1"/>
  </r>
  <r>
    <x v="253"/>
    <s v="WAY"/>
    <s v="on 3/5/25 After Market Eastern Standard Time"/>
    <x v="1"/>
  </r>
  <r>
    <x v="253"/>
    <s v="AIRG"/>
    <s v="on 3/5/25 After Market Eastern Standard Time"/>
    <x v="0"/>
  </r>
  <r>
    <x v="253"/>
    <s v="REPX"/>
    <s v="on 3/5/25 After Market Eastern Standard Time"/>
    <x v="1"/>
  </r>
  <r>
    <x v="253"/>
    <s v="HBB"/>
    <s v="on 3/5/25 After Market Eastern Standard Time"/>
    <x v="0"/>
  </r>
  <r>
    <x v="253"/>
    <s v="HPK"/>
    <s v="on 3/5/25 After Market Eastern Standard Time"/>
    <x v="1"/>
  </r>
  <r>
    <x v="253"/>
    <s v="GPRK"/>
    <s v="on 3/5/25 After Market Eastern Standard Time"/>
    <x v="0"/>
  </r>
  <r>
    <x v="253"/>
    <s v="ONL"/>
    <s v="on 3/5/25 After Market Eastern Standard Time"/>
    <x v="1"/>
  </r>
  <r>
    <x v="253"/>
    <s v="RSI"/>
    <s v="on 3/5/25 After Market Eastern Standard Time"/>
    <x v="1"/>
  </r>
  <r>
    <x v="253"/>
    <s v="HDSN"/>
    <s v="on 3/5/25 After Market Eastern Standard Time"/>
    <x v="1"/>
  </r>
  <r>
    <x v="253"/>
    <s v="OMGA"/>
    <s v="on 3/5/25 After Market Eastern Standard Time"/>
    <x v="0"/>
  </r>
  <r>
    <x v="253"/>
    <s v="EBS"/>
    <s v="on 3/5/25 After Market Eastern Standard Time"/>
    <x v="0"/>
  </r>
  <r>
    <x v="253"/>
    <s v="MNMD"/>
    <s v="on 3/5/25 After Market Eastern Standard Time"/>
    <x v="1"/>
  </r>
  <r>
    <x v="253"/>
    <s v="MLR"/>
    <s v="on 3/5/25 After Market Eastern Standard Time"/>
    <x v="1"/>
  </r>
  <r>
    <x v="253"/>
    <s v="PSNL"/>
    <s v="on 3/5/25 After Market Eastern Standard Time"/>
    <x v="0"/>
  </r>
  <r>
    <x v="253"/>
    <s v="INO"/>
    <s v="on 3/5/25 After Market Eastern Standard Time"/>
    <x v="0"/>
  </r>
  <r>
    <x v="253"/>
    <s v="SLNO"/>
    <s v="on 3/5/25 After Market Eastern Standard Time"/>
    <x v="1"/>
  </r>
  <r>
    <x v="253"/>
    <s v="ORMP"/>
    <s v="on 3/5/25 After Market Eastern Standard Time"/>
    <x v="0"/>
  </r>
  <r>
    <x v="253"/>
    <s v="IPI"/>
    <s v="on 3/5/25 After Market Eastern Standard Time"/>
    <x v="1"/>
  </r>
  <r>
    <x v="253"/>
    <s v="NLOP"/>
    <s v="on 3/5/25 After Market Eastern Standard Time"/>
    <x v="1"/>
  </r>
  <r>
    <x v="253"/>
    <s v="FARO"/>
    <s v="on 3/5/25 After Market Eastern Standard Time"/>
    <x v="1"/>
  </r>
  <r>
    <x v="253"/>
    <s v="BBSI"/>
    <s v="on 3/5/25 After Market Eastern Standard Time"/>
    <x v="1"/>
  </r>
  <r>
    <x v="253"/>
    <s v="CPB"/>
    <s v="on 3/5/25 After Market Eastern Standard Time"/>
    <x v="3"/>
  </r>
  <r>
    <x v="253"/>
    <s v="O"/>
    <s v="on 3/5/25 After Market Eastern Standard Time"/>
    <x v="3"/>
  </r>
  <r>
    <x v="253"/>
    <s v="VUZI"/>
    <s v="on 3/5/25 After Market Eastern Standard Time"/>
    <x v="0"/>
  </r>
  <r>
    <x v="253"/>
    <s v="CDXC"/>
    <s v="on 3/5/25 After Market Eastern Standard Time"/>
    <x v="1"/>
  </r>
  <r>
    <x v="253"/>
    <s v="KGS"/>
    <s v="on 3/5/25 After Market Eastern Standard Time"/>
    <x v="1"/>
  </r>
  <r>
    <x v="253"/>
    <s v="CIX"/>
    <s v="on 3/5/25 After Market Eastern Standard Time"/>
    <x v="0"/>
  </r>
  <r>
    <x v="253"/>
    <s v="TPVG"/>
    <s v="on 3/5/25 After Market Eastern Standard Time"/>
    <x v="0"/>
  </r>
  <r>
    <x v="253"/>
    <s v="CDXS"/>
    <s v="on 3/5/25 After Market Eastern Standard Time"/>
    <x v="1"/>
  </r>
  <r>
    <x v="253"/>
    <s v="LDI"/>
    <s v="on 3/5/25 After Market Eastern Standard Time"/>
    <x v="0"/>
  </r>
  <r>
    <x v="253"/>
    <s v="LTBR"/>
    <s v="on 3/5/25 After Market Eastern Standard Time"/>
    <x v="0"/>
  </r>
  <r>
    <x v="253"/>
    <s v="BBAR"/>
    <s v="on 3/5/25 After Market Eastern Standard Time"/>
    <x v="0"/>
  </r>
  <r>
    <x v="253"/>
    <s v="NC"/>
    <s v="on 3/5/25 After Market Eastern Standard Time"/>
    <x v="0"/>
  </r>
  <r>
    <x v="253"/>
    <s v="MNTS"/>
    <s v="on 3/5/25 After Market Eastern Standard Time"/>
    <x v="0"/>
  </r>
  <r>
    <x v="253"/>
    <s v="ICG"/>
    <s v="on 3/5/25 After Market Eastern Standard Time"/>
    <x v="0"/>
  </r>
  <r>
    <x v="253"/>
    <s v="CULP"/>
    <s v="on 3/5/25 After Market Eastern Standard Time"/>
    <x v="0"/>
  </r>
  <r>
    <x v="253"/>
    <s v="KLXE"/>
    <s v="on 3/5/25 After Market Eastern Standard Time"/>
    <x v="0"/>
  </r>
  <r>
    <x v="253"/>
    <s v="VSCO"/>
    <s v="on 3/5/25 After Market Eastern Standard Time"/>
    <x v="1"/>
  </r>
  <r>
    <x v="253"/>
    <s v="SD"/>
    <s v="on 3/5/25 After Market Eastern Standard Time"/>
    <x v="1"/>
  </r>
  <r>
    <x v="253"/>
    <s v="CNFR"/>
    <s v="on 3/5/25 After Market Eastern Standard Time"/>
    <x v="0"/>
  </r>
  <r>
    <x v="253"/>
    <s v="SVCO"/>
    <s v="on 3/5/25 After Market Eastern Standard Time"/>
    <x v="0"/>
  </r>
  <r>
    <x v="253"/>
    <s v="DH"/>
    <s v="on 3/5/25 After Market Eastern Standard Time"/>
    <x v="1"/>
  </r>
  <r>
    <x v="253"/>
    <s v="PSTV"/>
    <s v="on 3/5/25 After Market Eastern Standard Time"/>
    <x v="0"/>
  </r>
  <r>
    <x v="253"/>
    <s v="ORN"/>
    <s v="on 3/5/25 After Market Eastern Standard Time"/>
    <x v="1"/>
  </r>
  <r>
    <x v="253"/>
    <s v="ACEL"/>
    <s v="on 3/5/25 After Market Eastern Standard Time"/>
    <x v="1"/>
  </r>
  <r>
    <x v="253"/>
    <s v="DSGX"/>
    <s v="on 3/5/25 After Market Eastern Standard Time"/>
    <x v="0"/>
  </r>
  <r>
    <x v="253"/>
    <s v="SLNG"/>
    <s v="on 3/5/25 After Market Eastern Standard Time"/>
    <x v="0"/>
  </r>
  <r>
    <x v="253"/>
    <s v="WRAP"/>
    <s v="on 3/5/25 After Market Eastern Standard Time"/>
    <x v="0"/>
  </r>
  <r>
    <x v="253"/>
    <s v="GBIO"/>
    <s v="on 3/5/25 After Market Eastern Standard Time"/>
    <x v="0"/>
  </r>
  <r>
    <x v="253"/>
    <s v="MAXN"/>
    <s v="on 3/5/25 After Market Eastern Standard Time"/>
    <x v="0"/>
  </r>
  <r>
    <x v="253"/>
    <s v="YEXT"/>
    <s v="on 3/5/25 After Market Eastern Standard Time"/>
    <x v="1"/>
  </r>
  <r>
    <x v="253"/>
    <s v="FSM"/>
    <s v="on 3/5/25 After Market Eastern Standard Time"/>
    <x v="0"/>
  </r>
  <r>
    <x v="253"/>
    <s v="CPSH"/>
    <s v="on 3/5/25 After Market Eastern Standard Time"/>
    <x v="0"/>
  </r>
  <r>
    <x v="253"/>
    <s v="PAM"/>
    <s v="on 3/5/25 After Market Eastern Standard Time"/>
    <x v="0"/>
  </r>
  <r>
    <x v="253"/>
    <s v="EHAB"/>
    <s v="on 3/5/25 After Market Eastern Standard Time"/>
    <x v="1"/>
  </r>
  <r>
    <x v="253"/>
    <s v="CYN"/>
    <s v="on 3/5/25 After Market Eastern Standard Time"/>
    <x v="0"/>
  </r>
  <r>
    <x v="253"/>
    <s v="LB"/>
    <s v="on 3/5/25 After Market Eastern Standard Time"/>
    <x v="0"/>
  </r>
  <r>
    <x v="253"/>
    <s v="VET"/>
    <s v="on 3/5/25 After Market Eastern Standard Time"/>
    <x v="0"/>
  </r>
  <r>
    <x v="253"/>
    <s v="KRMD"/>
    <s v="on 3/5/25 After Market Eastern Standard Time"/>
    <x v="0"/>
  </r>
  <r>
    <x v="254"/>
    <s v="CLPS"/>
    <s v="on 3/6/25 Before Market Eastern Standard Time"/>
    <x v="0"/>
  </r>
  <r>
    <x v="254"/>
    <s v="UP"/>
    <s v="on 3/6/25 Before Market Eastern Standard Time"/>
    <x v="1"/>
  </r>
  <r>
    <x v="254"/>
    <s v="ZURA"/>
    <s v="on 3/6/25 Before Market Eastern Standard Time"/>
    <x v="0"/>
  </r>
  <r>
    <x v="254"/>
    <s v="NNOX"/>
    <s v="on 3/6/25 Before Market Eastern Standard Time"/>
    <x v="1"/>
  </r>
  <r>
    <x v="254"/>
    <s v="BFS"/>
    <s v="on 3/6/25 Unspecified Eastern Standard Time"/>
    <x v="1"/>
  </r>
  <r>
    <x v="254"/>
    <s v="KR"/>
    <s v="on 3/6/25 Before Market Eastern Standard Time"/>
    <x v="3"/>
  </r>
  <r>
    <x v="254"/>
    <s v="SANA"/>
    <s v="on 3/6/25 Before Market Eastern Standard Time"/>
    <x v="1"/>
  </r>
  <r>
    <x v="254"/>
    <s v="WLYB"/>
    <s v="on 3/6/25 Before Market Eastern Standard Time"/>
    <x v="0"/>
  </r>
  <r>
    <x v="254"/>
    <s v="GOLLQ"/>
    <s v="on 3/6/25 Unspecified Eastern Standard Time"/>
    <x v="0"/>
  </r>
  <r>
    <x v="254"/>
    <s v="SVRA"/>
    <s v="on 3/6/25 Before Market Eastern Standard Time"/>
    <x v="1"/>
  </r>
  <r>
    <x v="254"/>
    <s v="PMTS"/>
    <s v="on 3/6/25 Before Market Eastern Standard Time"/>
    <x v="0"/>
  </r>
  <r>
    <x v="254"/>
    <s v="TRMD"/>
    <s v="on 3/6/25 Before Market Eastern Standard Time"/>
    <x v="0"/>
  </r>
  <r>
    <x v="254"/>
    <s v="HOWL"/>
    <s v="on 3/6/25 Before Market Eastern Standard Time"/>
    <x v="0"/>
  </r>
  <r>
    <x v="254"/>
    <s v="BJ"/>
    <s v="on 3/6/25 Before Market Eastern Standard Time"/>
    <x v="2"/>
  </r>
  <r>
    <x v="254"/>
    <s v="SOHO"/>
    <s v="on 3/6/25 Before Market Eastern Standard Time"/>
    <x v="0"/>
  </r>
  <r>
    <x v="254"/>
    <s v="RAPP"/>
    <s v="on 3/6/25 Before Market Eastern Standard Time"/>
    <x v="1"/>
  </r>
  <r>
    <x v="254"/>
    <s v="YMM"/>
    <s v="on 3/6/25 Before Market Eastern Standard Time"/>
    <x v="0"/>
  </r>
  <r>
    <x v="254"/>
    <s v="ACHL"/>
    <s v="on 3/6/25 Before Market Eastern Standard Time"/>
    <x v="0"/>
  </r>
  <r>
    <x v="254"/>
    <s v="HBIO"/>
    <s v="on 3/6/25 Before Market Eastern Standard Time"/>
    <x v="0"/>
  </r>
  <r>
    <x v="254"/>
    <s v="MNTX"/>
    <s v="on 3/6/25 Before Market Eastern Standard Time"/>
    <x v="0"/>
  </r>
  <r>
    <x v="254"/>
    <s v="PSFE"/>
    <s v="on 3/6/25 Before Market Eastern Standard Time"/>
    <x v="1"/>
  </r>
  <r>
    <x v="254"/>
    <s v="WLY"/>
    <s v="on 3/6/25 Before Market Eastern Standard Time"/>
    <x v="1"/>
  </r>
  <r>
    <x v="254"/>
    <s v="RNAC"/>
    <s v="on 3/6/25 Before Market Eastern Standard Time"/>
    <x v="0"/>
  </r>
  <r>
    <x v="254"/>
    <s v="ASPS"/>
    <s v="on 3/6/25 Before Market Eastern Standard Time"/>
    <x v="0"/>
  </r>
  <r>
    <x v="254"/>
    <s v="TTC"/>
    <s v="on 3/6/25 Before Market Eastern Standard Time"/>
    <x v="2"/>
  </r>
  <r>
    <x v="254"/>
    <s v="TTSH"/>
    <s v="on 3/6/25 Before Market Eastern Standard Time"/>
    <x v="0"/>
  </r>
  <r>
    <x v="254"/>
    <s v="NMRA"/>
    <s v="on 3/6/25 Before Market Eastern Standard Time"/>
    <x v="1"/>
  </r>
  <r>
    <x v="254"/>
    <s v="REAX"/>
    <s v="on 3/6/25 Before Market Eastern Standard Time"/>
    <x v="1"/>
  </r>
  <r>
    <x v="254"/>
    <s v="UPB"/>
    <s v="on 3/6/25 Before Market Eastern Standard Time"/>
    <x v="0"/>
  </r>
  <r>
    <x v="254"/>
    <s v="VIVHY"/>
    <s v="on 3/6/25 Unspecified Eastern Standard Time"/>
    <x v="0"/>
  </r>
  <r>
    <x v="254"/>
    <s v="FCEL"/>
    <s v="on 3/6/25 Before Market Eastern Standard Time"/>
    <x v="0"/>
  </r>
  <r>
    <x v="254"/>
    <s v="RTO"/>
    <s v="on 3/6/25 Unspecified Eastern Standard Time"/>
    <x v="0"/>
  </r>
  <r>
    <x v="254"/>
    <s v="DSGR"/>
    <s v="on 3/6/25 Before Market Eastern Standard Time"/>
    <x v="1"/>
  </r>
  <r>
    <x v="254"/>
    <s v="OPFI"/>
    <s v="on 3/6/25 Before Market Eastern Standard Time"/>
    <x v="0"/>
  </r>
  <r>
    <x v="254"/>
    <s v="ABM"/>
    <s v="on 3/6/25 Before Market Eastern Standard Time"/>
    <x v="1"/>
  </r>
  <r>
    <x v="254"/>
    <s v="DCTH"/>
    <s v="on 3/6/25 Unspecified Eastern Standard Time"/>
    <x v="0"/>
  </r>
  <r>
    <x v="254"/>
    <s v="NRP"/>
    <s v="on 3/6/25 Before Market Eastern Standard Time"/>
    <x v="0"/>
  </r>
  <r>
    <x v="254"/>
    <s v="XERS"/>
    <s v="on 3/6/25 Before Market Eastern Standard Time"/>
    <x v="1"/>
  </r>
  <r>
    <x v="254"/>
    <s v="PHAT"/>
    <s v="on 3/6/25 Before Market Eastern Standard Time"/>
    <x v="1"/>
  </r>
  <r>
    <x v="254"/>
    <s v="DDS"/>
    <s v="on 3/6/25 Before Market Eastern Standard Time"/>
    <x v="0"/>
  </r>
  <r>
    <x v="254"/>
    <s v="TRC"/>
    <s v="on 3/6/25 Before Market Eastern Standard Time"/>
    <x v="1"/>
  </r>
  <r>
    <x v="254"/>
    <s v="GENI"/>
    <s v="on 3/6/25 Before Market Eastern Standard Time"/>
    <x v="0"/>
  </r>
  <r>
    <x v="254"/>
    <s v="IRD"/>
    <s v="on 3/6/25 Before Market Eastern Standard Time"/>
    <x v="0"/>
  </r>
  <r>
    <x v="254"/>
    <s v="MEI"/>
    <s v="on 3/6/25 Before Market Eastern Standard Time"/>
    <x v="1"/>
  </r>
  <r>
    <x v="254"/>
    <s v="SSYS"/>
    <s v="on 3/6/25 Before Market Eastern Standard Time"/>
    <x v="0"/>
  </r>
  <r>
    <x v="254"/>
    <s v="GHRS"/>
    <s v="on 3/6/25 Before Market Eastern Standard Time"/>
    <x v="0"/>
  </r>
  <r>
    <x v="254"/>
    <s v="ONCY"/>
    <s v="on 3/6/25 Before Market Eastern Standard Time"/>
    <x v="0"/>
  </r>
  <r>
    <x v="254"/>
    <s v="SUP"/>
    <s v="on 3/6/25 Before Market Eastern Standard Time"/>
    <x v="0"/>
  </r>
  <r>
    <x v="254"/>
    <s v="NVNO"/>
    <s v="on 3/6/25 Before Market Eastern Standard Time"/>
    <x v="0"/>
  </r>
  <r>
    <x v="254"/>
    <s v="OPTN"/>
    <s v="on 3/6/25 Before Market Eastern Standard Time"/>
    <x v="0"/>
  </r>
  <r>
    <x v="254"/>
    <s v="NAT"/>
    <s v="on 3/6/25 Unspecified Eastern Standard Time"/>
    <x v="1"/>
  </r>
  <r>
    <x v="254"/>
    <s v="ILLM"/>
    <s v="on 3/6/25 Before Market Eastern Standard Time"/>
    <x v="0"/>
  </r>
  <r>
    <x v="254"/>
    <s v="GDEV"/>
    <s v="on 3/6/25 Before Market Eastern Standard Time"/>
    <x v="0"/>
  </r>
  <r>
    <x v="254"/>
    <s v="RBGLY"/>
    <s v="on 3/6/25 Unspecified Eastern Standard Time"/>
    <x v="0"/>
  </r>
  <r>
    <x v="254"/>
    <s v="APLT"/>
    <s v="on 3/6/25 Before Market Eastern Standard Time"/>
    <x v="1"/>
  </r>
  <r>
    <x v="254"/>
    <s v="GGAL"/>
    <s v="on 3/6/25 Unspecified Eastern Standard Time"/>
    <x v="0"/>
  </r>
  <r>
    <x v="254"/>
    <s v="MYE"/>
    <s v="on 3/6/25 Before Market Eastern Standard Time"/>
    <x v="1"/>
  </r>
  <r>
    <x v="254"/>
    <s v="CINT"/>
    <s v="on 3/6/25 Before Market Eastern Standard Time"/>
    <x v="0"/>
  </r>
  <r>
    <x v="254"/>
    <s v="JMHLY"/>
    <s v="on 3/6/25 Unspecified Eastern Standard Time"/>
    <x v="0"/>
  </r>
  <r>
    <x v="254"/>
    <s v="DLTH"/>
    <s v="on 3/6/25 Before Market Eastern Standard Time"/>
    <x v="0"/>
  </r>
  <r>
    <x v="254"/>
    <s v="CMRX"/>
    <s v="on 3/6/25 Before Market Eastern Standard Time"/>
    <x v="0"/>
  </r>
  <r>
    <x v="254"/>
    <s v="COHN"/>
    <s v="on 3/6/25 Before Market Eastern Standard Time"/>
    <x v="0"/>
  </r>
  <r>
    <x v="254"/>
    <s v="DHLGY"/>
    <s v="on 3/6/25 Unspecified Eastern Standard Time"/>
    <x v="0"/>
  </r>
  <r>
    <x v="254"/>
    <s v="MKTW"/>
    <s v="on 3/6/25 Before Market Eastern Standard Time"/>
    <x v="0"/>
  </r>
  <r>
    <x v="254"/>
    <s v="LPCN"/>
    <s v="on 3/6/25 Before Market Eastern Standard Time"/>
    <x v="0"/>
  </r>
  <r>
    <x v="254"/>
    <s v="ARBE"/>
    <s v="on 3/6/25 Before Market Eastern Standard Time"/>
    <x v="0"/>
  </r>
  <r>
    <x v="254"/>
    <s v="CLDT"/>
    <s v="on 3/6/25 Before Market Eastern Standard Time"/>
    <x v="1"/>
  </r>
  <r>
    <x v="254"/>
    <s v="BURL"/>
    <s v="on 3/6/25 Before Market Eastern Standard Time"/>
    <x v="2"/>
  </r>
  <r>
    <x v="254"/>
    <s v="STVN"/>
    <s v="on 3/6/25 Before Market Eastern Standard Time"/>
    <x v="0"/>
  </r>
  <r>
    <x v="254"/>
    <s v="ISDR"/>
    <s v="on 3/6/25 Before Market Eastern Standard Time"/>
    <x v="0"/>
  </r>
  <r>
    <x v="254"/>
    <s v="RAPT"/>
    <s v="on 3/6/25 Before Market Eastern Standard Time"/>
    <x v="0"/>
  </r>
  <r>
    <x v="254"/>
    <s v="PMN"/>
    <s v="on 3/6/25 Before Market Eastern Standard Time"/>
    <x v="0"/>
  </r>
  <r>
    <x v="254"/>
    <s v="IGMS"/>
    <s v="on 3/6/25 Before Market Eastern Standard Time"/>
    <x v="0"/>
  </r>
  <r>
    <x v="255"/>
    <s v="OPHC"/>
    <s v="on 3/6/25 During Market Eastern Standard Time"/>
    <x v="0"/>
  </r>
  <r>
    <x v="255"/>
    <s v="TCRT"/>
    <s v="on 3/6/25 During Market Eastern Standard Time"/>
    <x v="0"/>
  </r>
  <r>
    <x v="255"/>
    <s v="LUMO"/>
    <s v="on 3/6/25 During Market Eastern Standard Time"/>
    <x v="0"/>
  </r>
  <r>
    <x v="256"/>
    <s v="GRND"/>
    <s v="on 3/6/25 After Market Eastern Standard Time"/>
    <x v="1"/>
  </r>
  <r>
    <x v="256"/>
    <s v="CTOS"/>
    <s v="on 3/6/25 After Market Eastern Standard Time"/>
    <x v="1"/>
  </r>
  <r>
    <x v="256"/>
    <s v="OWLT"/>
    <s v="on 3/6/25 After Market Eastern Standard Time"/>
    <x v="0"/>
  </r>
  <r>
    <x v="256"/>
    <s v="GRNT"/>
    <s v="on 3/6/25 After Market Eastern Standard Time"/>
    <x v="1"/>
  </r>
  <r>
    <x v="256"/>
    <s v="RBTC"/>
    <s v="on 3/6/25 After Market Eastern Standard Time"/>
    <x v="0"/>
  </r>
  <r>
    <x v="256"/>
    <s v="IOT"/>
    <s v="on 3/6/25 After Market Eastern Standard Time"/>
    <x v="0"/>
  </r>
  <r>
    <x v="256"/>
    <s v="HNST"/>
    <s v="on 3/6/25 After Market Eastern Standard Time"/>
    <x v="1"/>
  </r>
  <r>
    <x v="256"/>
    <s v="BBAI"/>
    <s v="on 3/6/25 After Market Eastern Standard Time"/>
    <x v="1"/>
  </r>
  <r>
    <x v="256"/>
    <s v="LMNR"/>
    <s v="on 3/6/25 After Market Eastern Standard Time"/>
    <x v="1"/>
  </r>
  <r>
    <x v="256"/>
    <s v="CLYM"/>
    <s v="on 3/6/25 After Market Eastern Standard Time"/>
    <x v="0"/>
  </r>
  <r>
    <x v="256"/>
    <s v="SERV"/>
    <s v="on 3/6/25 After Market Eastern Standard Time"/>
    <x v="0"/>
  </r>
  <r>
    <x v="256"/>
    <s v="EC"/>
    <s v="on 3/6/25 After Market Eastern Standard Time"/>
    <x v="0"/>
  </r>
  <r>
    <x v="256"/>
    <s v="YPF"/>
    <s v="on 3/6/25 After Market Eastern Standard Time"/>
    <x v="0"/>
  </r>
  <r>
    <x v="256"/>
    <s v="FOA"/>
    <s v="on 3/6/25 After Market Eastern Standard Time"/>
    <x v="0"/>
  </r>
  <r>
    <x v="256"/>
    <s v="GWRE"/>
    <s v="on 3/6/25 After Market Eastern Standard Time"/>
    <x v="0"/>
  </r>
  <r>
    <x v="256"/>
    <s v="CPSS"/>
    <s v="on 3/6/25 After Market Eastern Standard Time"/>
    <x v="0"/>
  </r>
  <r>
    <x v="256"/>
    <s v="GPCR"/>
    <s v="on 3/6/25 After Market Eastern Standard Time"/>
    <x v="0"/>
  </r>
  <r>
    <x v="256"/>
    <s v="RBRK"/>
    <s v="on 3/6/25 After Market Eastern Standard Time"/>
    <x v="0"/>
  </r>
  <r>
    <x v="256"/>
    <s v="TISI"/>
    <s v="on 3/6/25 After Market Eastern Standard Time"/>
    <x v="0"/>
  </r>
  <r>
    <x v="256"/>
    <s v="MOLN"/>
    <s v="on 3/6/25 After Market Eastern Standard Time"/>
    <x v="0"/>
  </r>
  <r>
    <x v="256"/>
    <s v="METC"/>
    <s v="on 3/6/25 After Market Eastern Standard Time"/>
    <x v="0"/>
  </r>
  <r>
    <x v="256"/>
    <s v="FFIE"/>
    <s v="on 3/6/25 After Market Eastern Standard Time"/>
    <x v="0"/>
  </r>
  <r>
    <x v="256"/>
    <s v="HCI"/>
    <s v="on 3/6/25 After Market Eastern Standard Time"/>
    <x v="1"/>
  </r>
  <r>
    <x v="256"/>
    <s v="MKFG"/>
    <s v="on 3/6/25 After Market Eastern Standard Time"/>
    <x v="0"/>
  </r>
  <r>
    <x v="256"/>
    <s v="COOK"/>
    <s v="on 3/6/25 After Market Eastern Standard Time"/>
    <x v="0"/>
  </r>
  <r>
    <x v="256"/>
    <s v="FIZZ"/>
    <s v="on 3/6/25 After Market Eastern Standard Time"/>
    <x v="1"/>
  </r>
  <r>
    <x v="256"/>
    <s v="IMRX"/>
    <s v="on 3/6/25 After Market Eastern Standard Time"/>
    <x v="0"/>
  </r>
  <r>
    <x v="256"/>
    <s v="ARCT"/>
    <s v="on 3/6/25 After Market Eastern Standard Time"/>
    <x v="1"/>
  </r>
  <r>
    <x v="256"/>
    <s v="MRVL"/>
    <s v="on 3/6/25 After Market Eastern Standard Time"/>
    <x v="4"/>
  </r>
  <r>
    <x v="256"/>
    <s v="DALN"/>
    <s v="on 3/6/25 After Market Eastern Standard Time"/>
    <x v="0"/>
  </r>
  <r>
    <x v="256"/>
    <s v="PBPB"/>
    <s v="on 3/6/25 After Market Eastern Standard Time"/>
    <x v="1"/>
  </r>
  <r>
    <x v="256"/>
    <s v="BPTH"/>
    <s v="on 3/6/25 After Market Eastern Standard Time"/>
    <x v="0"/>
  </r>
  <r>
    <x v="256"/>
    <s v="ASLE"/>
    <s v="on 3/6/25 After Market Eastern Standard Time"/>
    <x v="1"/>
  </r>
  <r>
    <x v="256"/>
    <s v="SOLV"/>
    <s v="on 3/6/25 After Market Eastern Standard Time"/>
    <x v="3"/>
  </r>
  <r>
    <x v="256"/>
    <s v="ALDX"/>
    <s v="on 3/6/25 After Market Eastern Standard Time"/>
    <x v="1"/>
  </r>
  <r>
    <x v="256"/>
    <s v="LIB"/>
    <s v="on 3/6/25 After Market Eastern Standard Time"/>
    <x v="0"/>
  </r>
  <r>
    <x v="256"/>
    <s v="ARDT"/>
    <s v="on 3/6/25 After Market Eastern Standard Time"/>
    <x v="1"/>
  </r>
  <r>
    <x v="256"/>
    <s v="GEVO"/>
    <s v="on 3/6/25 After Market Eastern Standard Time"/>
    <x v="0"/>
  </r>
  <r>
    <x v="256"/>
    <s v="CLLS"/>
    <s v="on 3/6/25 After Market Eastern Standard Time"/>
    <x v="0"/>
  </r>
  <r>
    <x v="256"/>
    <s v="EOLS"/>
    <s v="on 3/6/25 After Market Eastern Standard Time"/>
    <x v="1"/>
  </r>
  <r>
    <x v="256"/>
    <s v="DBVT"/>
    <s v="on 3/6/25 After Market Eastern Standard Time"/>
    <x v="0"/>
  </r>
  <r>
    <x v="256"/>
    <s v="CLAR"/>
    <s v="on 3/6/25 After Market Eastern Standard Time"/>
    <x v="0"/>
  </r>
  <r>
    <x v="256"/>
    <s v="REI"/>
    <s v="on 3/6/25 After Market Eastern Standard Time"/>
    <x v="1"/>
  </r>
  <r>
    <x v="256"/>
    <s v="CRDF"/>
    <s v="on 3/6/25 After Market Eastern Standard Time"/>
    <x v="0"/>
  </r>
  <r>
    <x v="256"/>
    <s v="FAT"/>
    <s v="on 3/6/25 After Market Eastern Standard Time"/>
    <x v="0"/>
  </r>
  <r>
    <x v="256"/>
    <s v="SVV"/>
    <s v="on 3/6/25 After Market Eastern Standard Time"/>
    <x v="1"/>
  </r>
  <r>
    <x v="256"/>
    <s v="ALXO"/>
    <s v="on 3/6/25 After Market Eastern Standard Time"/>
    <x v="0"/>
  </r>
  <r>
    <x v="256"/>
    <s v="MDB"/>
    <s v="on 3/6/25 After Market Eastern Standard Time"/>
    <x v="4"/>
  </r>
  <r>
    <x v="256"/>
    <s v="NAPA"/>
    <s v="on 3/6/25 After Market Eastern Standard Time"/>
    <x v="1"/>
  </r>
  <r>
    <x v="256"/>
    <s v="PRCH"/>
    <s v="on 3/6/25 After Market Eastern Standard Time"/>
    <x v="1"/>
  </r>
  <r>
    <x v="256"/>
    <s v="GIFI"/>
    <s v="on 3/6/25 After Market Eastern Standard Time"/>
    <x v="0"/>
  </r>
  <r>
    <x v="256"/>
    <s v="BOLD"/>
    <s v="on 3/6/25 After Market Eastern Standard Time"/>
    <x v="0"/>
  </r>
  <r>
    <x v="256"/>
    <s v="NEPH"/>
    <s v="on 3/6/25 After Market Eastern Standard Time"/>
    <x v="0"/>
  </r>
  <r>
    <x v="256"/>
    <s v="NDLS"/>
    <s v="on 3/6/25 After Market Eastern Standard Time"/>
    <x v="0"/>
  </r>
  <r>
    <x v="256"/>
    <s v="FDMT"/>
    <s v="on 3/6/25 After Market Eastern Standard Time"/>
    <x v="1"/>
  </r>
  <r>
    <x v="256"/>
    <s v="NCSM"/>
    <s v="on 3/6/25 After Market Eastern Standard Time"/>
    <x v="0"/>
  </r>
  <r>
    <x v="256"/>
    <s v="MYO"/>
    <s v="on 3/6/25 After Market Eastern Standard Time"/>
    <x v="0"/>
  </r>
  <r>
    <x v="256"/>
    <s v="GENK"/>
    <s v="on 3/6/25 After Market Eastern Standard Time"/>
    <x v="0"/>
  </r>
  <r>
    <x v="256"/>
    <s v="WBTN"/>
    <s v="on 3/6/25 After Market Eastern Standard Time"/>
    <x v="0"/>
  </r>
  <r>
    <x v="256"/>
    <s v="SWBI"/>
    <s v="on 3/6/25 After Market Eastern Standard Time"/>
    <x v="1"/>
  </r>
  <r>
    <x v="256"/>
    <s v="ZYME"/>
    <s v="on 3/6/25 After Market Eastern Standard Time"/>
    <x v="1"/>
  </r>
  <r>
    <x v="256"/>
    <s v="SAMG"/>
    <s v="on 3/6/25 After Market Eastern Standard Time"/>
    <x v="0"/>
  </r>
  <r>
    <x v="256"/>
    <s v="PSTX"/>
    <s v="on 3/6/25 After Market Eastern Standard Time"/>
    <x v="1"/>
  </r>
  <r>
    <x v="256"/>
    <s v="NUTX"/>
    <s v="on 3/6/25 After Market Eastern Standard Time"/>
    <x v="0"/>
  </r>
  <r>
    <x v="256"/>
    <s v="DRTS"/>
    <s v="on 3/6/25 After Market Eastern Standard Time"/>
    <x v="0"/>
  </r>
  <r>
    <x v="256"/>
    <s v="PLPC"/>
    <s v="on 3/6/25 After Market Eastern Standard Time"/>
    <x v="1"/>
  </r>
  <r>
    <x v="256"/>
    <s v="MGNX"/>
    <s v="on 3/6/25 After Market Eastern Standard Time"/>
    <x v="1"/>
  </r>
  <r>
    <x v="256"/>
    <s v="PBYI"/>
    <s v="on 3/6/25 After Market Eastern Standard Time"/>
    <x v="0"/>
  </r>
  <r>
    <x v="256"/>
    <s v="LOCO"/>
    <s v="on 3/6/25 After Market Eastern Standard Time"/>
    <x v="1"/>
  </r>
  <r>
    <x v="256"/>
    <s v="ELUT"/>
    <s v="on 3/6/25 After Market Eastern Standard Time"/>
    <x v="0"/>
  </r>
  <r>
    <x v="256"/>
    <s v="NINE"/>
    <s v="on 3/6/25 After Market Eastern Standard Time"/>
    <x v="0"/>
  </r>
  <r>
    <x v="256"/>
    <s v="AKA"/>
    <s v="on 3/6/25 After Market Eastern Standard Time"/>
    <x v="0"/>
  </r>
  <r>
    <x v="256"/>
    <s v="IDT"/>
    <s v="on 3/6/25 After Market Eastern Standard Time"/>
    <x v="1"/>
  </r>
  <r>
    <x v="256"/>
    <s v="SGHT"/>
    <s v="on 3/6/25 After Market Eastern Standard Time"/>
    <x v="0"/>
  </r>
  <r>
    <x v="256"/>
    <s v="DOCU"/>
    <s v="on 3/6/25 After Market Eastern Standard Time"/>
    <x v="2"/>
  </r>
  <r>
    <x v="256"/>
    <s v="COST"/>
    <s v="on 3/6/25 After Market Eastern Standard Time"/>
    <x v="3"/>
  </r>
  <r>
    <x v="256"/>
    <s v="DXPE"/>
    <s v="on 3/6/25 After Market Eastern Standard Time"/>
    <x v="1"/>
  </r>
  <r>
    <x v="256"/>
    <s v="AVGO"/>
    <s v="on 3/6/25 After Market Eastern Standard Time"/>
    <x v="3"/>
  </r>
  <r>
    <x v="256"/>
    <s v="AOUT"/>
    <s v="on 3/6/25 After Market Eastern Standard Time"/>
    <x v="0"/>
  </r>
  <r>
    <x v="256"/>
    <s v="RWAY"/>
    <s v="on 3/6/25 After Market Eastern Standard Time"/>
    <x v="0"/>
  </r>
  <r>
    <x v="256"/>
    <s v="RIGL"/>
    <s v="on 3/6/25 After Market Eastern Standard Time"/>
    <x v="1"/>
  </r>
  <r>
    <x v="256"/>
    <s v="GROV"/>
    <s v="on 3/6/25 After Market Eastern Standard Time"/>
    <x v="0"/>
  </r>
  <r>
    <x v="256"/>
    <s v="COO"/>
    <s v="on 3/6/25 After Market Eastern Standard Time"/>
    <x v="3"/>
  </r>
  <r>
    <x v="256"/>
    <s v="BBCP"/>
    <s v="on 3/6/25 After Market Eastern Standard Time"/>
    <x v="0"/>
  </r>
  <r>
    <x v="256"/>
    <s v="JETMF"/>
    <s v="on 3/6/25 After Market Eastern Standard Time"/>
    <x v="0"/>
  </r>
  <r>
    <x v="256"/>
    <s v="EARN"/>
    <s v="on 3/6/25 After Market Eastern Standard Time"/>
    <x v="0"/>
  </r>
  <r>
    <x v="256"/>
    <s v="WLDN"/>
    <s v="on 3/6/25 After Market Eastern Standard Time"/>
    <x v="1"/>
  </r>
  <r>
    <x v="256"/>
    <s v="NX"/>
    <s v="on 3/6/25 After Market Eastern Standard Time"/>
    <x v="1"/>
  </r>
  <r>
    <x v="256"/>
    <s v="ODC"/>
    <s v="on 3/6/25 After Market Eastern Standard Time"/>
    <x v="1"/>
  </r>
  <r>
    <x v="256"/>
    <s v="RDVT"/>
    <s v="on 3/6/25 After Market Eastern Standard Time"/>
    <x v="1"/>
  </r>
  <r>
    <x v="256"/>
    <s v="HPE"/>
    <s v="on 3/6/25 After Market Eastern Standard Time"/>
    <x v="3"/>
  </r>
  <r>
    <x v="257"/>
    <s v="EDN"/>
    <s v="on 3/7/25 Unspecified Eastern Standard Time"/>
    <x v="0"/>
  </r>
  <r>
    <x v="257"/>
    <s v="CRMT"/>
    <s v="on 3/7/25 Before Market Eastern Standard Time"/>
    <x v="1"/>
  </r>
  <r>
    <x v="257"/>
    <s v="GLTO"/>
    <s v="on 3/7/25 Before Market Eastern Standard Time"/>
    <x v="0"/>
  </r>
  <r>
    <x v="257"/>
    <s v="AMRX"/>
    <s v="on 3/7/25 Before Market Eastern Standard Time"/>
    <x v="1"/>
  </r>
  <r>
    <x v="257"/>
    <s v="EVEX"/>
    <s v="on 3/7/25 Before Market Eastern Standard Time"/>
    <x v="0"/>
  </r>
  <r>
    <x v="257"/>
    <s v="AQN"/>
    <s v="on 3/7/25 Before Market Eastern Standard Time"/>
    <x v="0"/>
  </r>
  <r>
    <x v="257"/>
    <s v="HURC"/>
    <s v="on 3/7/25 Before Market Eastern Standard Time"/>
    <x v="0"/>
  </r>
  <r>
    <x v="257"/>
    <s v="ERLFF"/>
    <s v="on 3/7/25 Before Market Eastern Standard Time"/>
    <x v="0"/>
  </r>
  <r>
    <x v="257"/>
    <s v="UEC"/>
    <s v="on 3/7/25 Unspecified Eastern Standard Time"/>
    <x v="1"/>
  </r>
  <r>
    <x v="258"/>
    <s v="JANX"/>
    <s v="on 3/7/25 After Market Eastern Standard Time"/>
    <x v="1"/>
  </r>
  <r>
    <x v="258"/>
    <s v="LICY"/>
    <s v="on 3/7/25 After Market Eastern Standard Time"/>
    <x v="0"/>
  </r>
  <r>
    <x v="259"/>
    <s v="BLTE"/>
    <s v="on 3/10/25 Before Market Eastern Standard Time"/>
    <x v="0"/>
  </r>
  <r>
    <x v="259"/>
    <s v="BNTX"/>
    <s v="on 3/10/25 Before Market Eastern Standard Time"/>
    <x v="0"/>
  </r>
  <r>
    <x v="259"/>
    <s v="LXEO"/>
    <s v="on 3/10/25 Before Market Eastern Standard Time"/>
    <x v="0"/>
  </r>
  <r>
    <x v="259"/>
    <s v="ELTK"/>
    <s v="on 3/10/25 Before Market Eastern Standard Time"/>
    <x v="0"/>
  </r>
  <r>
    <x v="259"/>
    <s v="OCUL"/>
    <s v="on 3/10/25 Before Market Eastern Standard Time"/>
    <x v="1"/>
  </r>
  <r>
    <x v="259"/>
    <s v="ANNX"/>
    <s v="on 3/10/25 Before Market Eastern Standard Time"/>
    <x v="1"/>
  </r>
  <r>
    <x v="259"/>
    <s v="OCS"/>
    <s v="on 3/10/25 Before Market Eastern Standard Time"/>
    <x v="0"/>
  </r>
  <r>
    <x v="259"/>
    <s v="SOHU"/>
    <s v="on 3/10/25 Before Market Eastern Standard Time"/>
    <x v="0"/>
  </r>
  <r>
    <x v="259"/>
    <s v="FTRE"/>
    <s v="on 3/10/25 Before Market Eastern Standard Time"/>
    <x v="0"/>
  </r>
  <r>
    <x v="259"/>
    <s v="GNE"/>
    <s v="on 3/10/25 Before Market Eastern Standard Time"/>
    <x v="1"/>
  </r>
  <r>
    <x v="259"/>
    <s v="PACK"/>
    <s v="on 3/10/25 Before Market Eastern Standard Time"/>
    <x v="1"/>
  </r>
  <r>
    <x v="260"/>
    <s v="NLCP"/>
    <s v="on 3/10/25 After Market Eastern Standard Time"/>
    <x v="0"/>
  </r>
  <r>
    <x v="260"/>
    <s v="SUPV"/>
    <s v="on 3/10/25 After Market Eastern Standard Time"/>
    <x v="0"/>
  </r>
  <r>
    <x v="260"/>
    <s v="TTOO"/>
    <s v="on 3/10/25 After Market Eastern Standard Time"/>
    <x v="0"/>
  </r>
  <r>
    <x v="260"/>
    <s v="ORCL"/>
    <s v="on 3/10/25 After Market Eastern Standard Time"/>
    <x v="3"/>
  </r>
  <r>
    <x v="260"/>
    <s v="BWMN"/>
    <s v="on 3/10/25 After Market Eastern Standard Time"/>
    <x v="1"/>
  </r>
  <r>
    <x v="260"/>
    <s v="CRBU"/>
    <s v="on 3/10/25 After Market Eastern Standard Time"/>
    <x v="0"/>
  </r>
  <r>
    <x v="260"/>
    <s v="DSP"/>
    <s v="on 3/10/25 After Market Eastern Standard Time"/>
    <x v="1"/>
  </r>
  <r>
    <x v="260"/>
    <s v="ORIC"/>
    <s v="on 3/10/25 After Market Eastern Standard Time"/>
    <x v="1"/>
  </r>
  <r>
    <x v="260"/>
    <s v="SONXD"/>
    <s v="on 3/10/25 After Market Eastern Standard Time"/>
    <x v="0"/>
  </r>
  <r>
    <x v="260"/>
    <s v="CTMX"/>
    <s v="on 3/10/25 After Market Eastern Standard Time"/>
    <x v="0"/>
  </r>
  <r>
    <x v="260"/>
    <s v="EOSE"/>
    <s v="on 3/10/25 After Market Eastern Standard Time"/>
    <x v="0"/>
  </r>
  <r>
    <x v="260"/>
    <s v="FTEK"/>
    <s v="on 3/10/25 After Market Eastern Standard Time"/>
    <x v="0"/>
  </r>
  <r>
    <x v="260"/>
    <s v="NPWR"/>
    <s v="on 3/10/25 After Market Eastern Standard Time"/>
    <x v="1"/>
  </r>
  <r>
    <x v="260"/>
    <s v="YALA"/>
    <s v="on 3/10/25 After Market Eastern Standard Time"/>
    <x v="0"/>
  </r>
  <r>
    <x v="260"/>
    <s v="CVGW"/>
    <s v="on 3/10/25 After Market Eastern Standard Time"/>
    <x v="1"/>
  </r>
  <r>
    <x v="260"/>
    <s v="LXRX"/>
    <s v="on 3/10/25 After Market Eastern Standard Time"/>
    <x v="0"/>
  </r>
  <r>
    <x v="260"/>
    <s v="SONX"/>
    <s v="on 3/10/25 After Market Eastern Standard Time"/>
    <x v="0"/>
  </r>
  <r>
    <x v="260"/>
    <s v="KLC"/>
    <s v="on 3/10/25 After Market Eastern Standard Time"/>
    <x v="0"/>
  </r>
  <r>
    <x v="260"/>
    <s v="OLMA"/>
    <s v="on 3/10/25 After Market Eastern Standard Time"/>
    <x v="1"/>
  </r>
  <r>
    <x v="260"/>
    <s v="AVO"/>
    <s v="on 3/10/25 After Market Eastern Standard Time"/>
    <x v="1"/>
  </r>
  <r>
    <x v="260"/>
    <s v="AKYA"/>
    <s v="on 3/10/25 After Market Eastern Standard Time"/>
    <x v="0"/>
  </r>
  <r>
    <x v="260"/>
    <s v="LFMD"/>
    <s v="on 3/10/25 After Market Eastern Standard Time"/>
    <x v="1"/>
  </r>
  <r>
    <x v="260"/>
    <s v="MTN"/>
    <s v="on 3/10/25 After Market Eastern Standard Time"/>
    <x v="2"/>
  </r>
  <r>
    <x v="260"/>
    <s v="ALTO"/>
    <s v="on 3/10/25 After Market Eastern Standard Time"/>
    <x v="0"/>
  </r>
  <r>
    <x v="261"/>
    <s v="BZ"/>
    <s v="on 3/11/25 Before Market Eastern Standard Time"/>
    <x v="0"/>
  </r>
  <r>
    <x v="261"/>
    <s v="QXO"/>
    <s v="on 3/11/25 Before Market Eastern Standard Time"/>
    <x v="0"/>
  </r>
  <r>
    <x v="261"/>
    <s v="FERG"/>
    <s v="on 3/11/25 Before Market Eastern Standard Time"/>
    <x v="0"/>
  </r>
  <r>
    <x v="261"/>
    <s v="REFI"/>
    <s v="on 3/11/25 Before Market Eastern Standard Time"/>
    <x v="1"/>
  </r>
  <r>
    <x v="261"/>
    <s v="DKS"/>
    <s v="on 3/11/25 Before Market Eastern Standard Time"/>
    <x v="2"/>
  </r>
  <r>
    <x v="261"/>
    <s v="LEGN"/>
    <s v="on 3/11/25 Before Market Eastern Standard Time"/>
    <x v="0"/>
  </r>
  <r>
    <x v="261"/>
    <s v="BNED"/>
    <s v="on 3/11/25 Before Market Eastern Standard Time"/>
    <x v="0"/>
  </r>
  <r>
    <x v="261"/>
    <s v="BLDE"/>
    <s v="on 3/11/25 Before Market Eastern Standard Time"/>
    <x v="1"/>
  </r>
  <r>
    <x v="261"/>
    <s v="MASS"/>
    <s v="on 3/11/25 Before Market Eastern Standard Time"/>
    <x v="0"/>
  </r>
  <r>
    <x v="261"/>
    <s v="ULS"/>
    <s v="on 3/11/25 Before Market Eastern Standard Time"/>
    <x v="0"/>
  </r>
  <r>
    <x v="261"/>
    <s v="QTTB"/>
    <s v="on 3/11/25 Before Market Eastern Standard Time"/>
    <x v="0"/>
  </r>
  <r>
    <x v="261"/>
    <s v="IKNA"/>
    <s v="on 3/11/25 Before Market Eastern Standard Time"/>
    <x v="0"/>
  </r>
  <r>
    <x v="261"/>
    <s v="CGEN"/>
    <s v="on 3/11/25 Before Market Eastern Standard Time"/>
    <x v="0"/>
  </r>
  <r>
    <x v="261"/>
    <s v="IHS"/>
    <s v="on 3/11/25 Before Market Eastern Standard Time"/>
    <x v="0"/>
  </r>
  <r>
    <x v="261"/>
    <s v="INZY"/>
    <s v="on 3/11/25 Before Market Eastern Standard Time"/>
    <x v="0"/>
  </r>
  <r>
    <x v="261"/>
    <s v="CMT"/>
    <s v="on 3/11/25 Before Market Eastern Standard Time"/>
    <x v="0"/>
  </r>
  <r>
    <x v="261"/>
    <s v="ONON"/>
    <s v="on 3/11/25 Before Market Eastern Standard Time"/>
    <x v="0"/>
  </r>
  <r>
    <x v="261"/>
    <s v="ADCT"/>
    <s v="on 3/11/25 Before Market Eastern Standard Time"/>
    <x v="0"/>
  </r>
  <r>
    <x v="261"/>
    <s v="CIFR"/>
    <s v="on 3/11/25 Before Market Eastern Standard Time"/>
    <x v="1"/>
  </r>
  <r>
    <x v="261"/>
    <s v="BVS"/>
    <s v="on 3/11/25 Before Market Eastern Standard Time"/>
    <x v="1"/>
  </r>
  <r>
    <x v="261"/>
    <s v="RERE"/>
    <s v="on 3/11/25 Before Market Eastern Standard Time"/>
    <x v="0"/>
  </r>
  <r>
    <x v="261"/>
    <s v="ZBIO"/>
    <s v="on 3/11/25 Before Market Eastern Standard Time"/>
    <x v="0"/>
  </r>
  <r>
    <x v="261"/>
    <s v="VWAGY"/>
    <s v="on 3/11/25 Unspecified Eastern Standard Time"/>
    <x v="0"/>
  </r>
  <r>
    <x v="261"/>
    <s v="BLDP"/>
    <s v="on 3/11/25 Before Market Eastern Standard Time"/>
    <x v="0"/>
  </r>
  <r>
    <x v="261"/>
    <s v="HGTY"/>
    <s v="on 3/11/25 Before Market Eastern Standard Time"/>
    <x v="0"/>
  </r>
  <r>
    <x v="261"/>
    <s v="HRTX"/>
    <s v="on 3/11/25 Before Market Eastern Standard Time"/>
    <x v="0"/>
  </r>
  <r>
    <x v="261"/>
    <s v="CEPU"/>
    <s v="on 3/11/25 Unspecified Eastern Standard Time"/>
    <x v="0"/>
  </r>
  <r>
    <x v="261"/>
    <s v="RLYB"/>
    <s v="on 3/11/25 Before Market Eastern Standard Time"/>
    <x v="0"/>
  </r>
  <r>
    <x v="261"/>
    <s v="ARQ"/>
    <s v="on 3/11/25 Before Market Eastern Standard Time"/>
    <x v="1"/>
  </r>
  <r>
    <x v="261"/>
    <s v="STIM"/>
    <s v="on 3/11/25 Before Market Eastern Standard Time"/>
    <x v="0"/>
  </r>
  <r>
    <x v="261"/>
    <s v="EXK"/>
    <s v="on 3/11/25 Before Market Eastern Standard Time"/>
    <x v="0"/>
  </r>
  <r>
    <x v="261"/>
    <s v="KALA"/>
    <s v="on 3/11/25 Before Market Eastern Standard Time"/>
    <x v="0"/>
  </r>
  <r>
    <x v="261"/>
    <s v="GAUZ"/>
    <s v="on 3/11/25 Before Market Eastern Standard Time"/>
    <x v="0"/>
  </r>
  <r>
    <x v="261"/>
    <s v="HENKY"/>
    <s v="on 3/11/25 Unspecified Eastern Standard Time"/>
    <x v="0"/>
  </r>
  <r>
    <x v="261"/>
    <s v="ENFN"/>
    <s v="on 3/11/25 Before Market Eastern Standard Time"/>
    <x v="1"/>
  </r>
  <r>
    <x v="261"/>
    <s v="BDTX"/>
    <s v="on 3/11/25 Before Market Eastern Standard Time"/>
    <x v="0"/>
  </r>
  <r>
    <x v="261"/>
    <s v="FWRG"/>
    <s v="on 3/11/25 Before Market Eastern Standard Time"/>
    <x v="1"/>
  </r>
  <r>
    <x v="261"/>
    <s v="LOAN"/>
    <s v="on 3/11/25 Before Market Eastern Standard Time"/>
    <x v="0"/>
  </r>
  <r>
    <x v="261"/>
    <s v="PRTH"/>
    <s v="on 3/11/25 Before Market Eastern Standard Time"/>
    <x v="0"/>
  </r>
  <r>
    <x v="261"/>
    <s v="BOW"/>
    <s v="on 3/11/25 Before Market Eastern Standard Time"/>
    <x v="1"/>
  </r>
  <r>
    <x v="262"/>
    <s v="YORW"/>
    <s v="on 3/11/25 During Market Eastern Standard Time"/>
    <x v="1"/>
  </r>
  <r>
    <x v="262"/>
    <s v="TEO"/>
    <s v="on 3/11/25 During Market Eastern Standard Time"/>
    <x v="0"/>
  </r>
  <r>
    <x v="263"/>
    <s v="NATR"/>
    <s v="on 3/11/25 After Market Eastern Standard Time"/>
    <x v="1"/>
  </r>
  <r>
    <x v="263"/>
    <s v="NNBR"/>
    <s v="on 3/11/25 After Market Eastern Standard Time"/>
    <x v="0"/>
  </r>
  <r>
    <x v="263"/>
    <s v="CLPT"/>
    <s v="on 3/11/25 After Market Eastern Standard Time"/>
    <x v="0"/>
  </r>
  <r>
    <x v="263"/>
    <s v="PFMT"/>
    <s v="on 3/11/25 After Market Eastern Standard Time"/>
    <x v="1"/>
  </r>
  <r>
    <x v="263"/>
    <s v="FENG"/>
    <s v="on 3/11/25 After Market Eastern Standard Time"/>
    <x v="0"/>
  </r>
  <r>
    <x v="263"/>
    <s v="SIGA"/>
    <s v="on 3/11/25 After Market Eastern Standard Time"/>
    <x v="1"/>
  </r>
  <r>
    <x v="263"/>
    <s v="ATER"/>
    <s v="on 3/11/25 After Market Eastern Standard Time"/>
    <x v="0"/>
  </r>
  <r>
    <x v="263"/>
    <s v="APEI"/>
    <s v="on 3/11/25 After Market Eastern Standard Time"/>
    <x v="1"/>
  </r>
  <r>
    <x v="263"/>
    <s v="AWRE"/>
    <s v="on 3/11/25 After Market Eastern Standard Time"/>
    <x v="0"/>
  </r>
  <r>
    <x v="263"/>
    <s v="MCHX"/>
    <s v="on 3/11/25 After Market Eastern Standard Time"/>
    <x v="0"/>
  </r>
  <r>
    <x v="263"/>
    <s v="MYPS"/>
    <s v="on 3/11/25 After Market Eastern Standard Time"/>
    <x v="0"/>
  </r>
  <r>
    <x v="263"/>
    <s v="TKNO"/>
    <s v="on 3/11/25 After Market Eastern Standard Time"/>
    <x v="0"/>
  </r>
  <r>
    <x v="263"/>
    <s v="ODD"/>
    <s v="on 3/11/25 After Market Eastern Standard Time"/>
    <x v="0"/>
  </r>
  <r>
    <x v="263"/>
    <s v="ALGS"/>
    <s v="on 3/11/25 After Market Eastern Standard Time"/>
    <x v="0"/>
  </r>
  <r>
    <x v="263"/>
    <s v="PKOH"/>
    <s v="on 3/11/25 After Market Eastern Standard Time"/>
    <x v="1"/>
  </r>
  <r>
    <x v="263"/>
    <s v="NEXT"/>
    <s v="on 3/11/25 After Market Eastern Standard Time"/>
    <x v="1"/>
  </r>
  <r>
    <x v="263"/>
    <s v="NRGV"/>
    <s v="on 3/11/25 After Market Eastern Standard Time"/>
    <x v="0"/>
  </r>
  <r>
    <x v="263"/>
    <s v="ISPO"/>
    <s v="on 3/11/25 After Market Eastern Standard Time"/>
    <x v="0"/>
  </r>
  <r>
    <x v="263"/>
    <s v="NPCE"/>
    <s v="on 3/11/25 After Market Eastern Standard Time"/>
    <x v="0"/>
  </r>
  <r>
    <x v="263"/>
    <s v="ANAB"/>
    <s v="on 3/11/25 After Market Eastern Standard Time"/>
    <x v="1"/>
  </r>
  <r>
    <x v="263"/>
    <s v="DJT"/>
    <s v="on 3/11/25 After Market Eastern Standard Time"/>
    <x v="0"/>
  </r>
  <r>
    <x v="263"/>
    <s v="TNON"/>
    <s v="on 3/11/25 After Market Eastern Standard Time"/>
    <x v="0"/>
  </r>
  <r>
    <x v="263"/>
    <s v="SNCR"/>
    <s v="on 3/11/25 After Market Eastern Standard Time"/>
    <x v="0"/>
  </r>
  <r>
    <x v="263"/>
    <s v="MRNS"/>
    <s v="on 3/11/25 After Market Eastern Standard Time"/>
    <x v="0"/>
  </r>
  <r>
    <x v="263"/>
    <s v="PHLT"/>
    <s v="on 3/11/25 After Market Eastern Standard Time"/>
    <x v="0"/>
  </r>
  <r>
    <x v="263"/>
    <s v="PHUN"/>
    <s v="on 3/11/25 After Market Eastern Standard Time"/>
    <x v="0"/>
  </r>
  <r>
    <x v="263"/>
    <s v="FTK"/>
    <s v="on 3/11/25 After Market Eastern Standard Time"/>
    <x v="0"/>
  </r>
  <r>
    <x v="263"/>
    <s v="AQST"/>
    <s v="on 3/11/25 After Market Eastern Standard Time"/>
    <x v="1"/>
  </r>
  <r>
    <x v="263"/>
    <s v="NYXH"/>
    <s v="on 3/11/25 After Market Eastern Standard Time"/>
    <x v="0"/>
  </r>
  <r>
    <x v="263"/>
    <s v="EML"/>
    <s v="on 3/11/25 After Market Eastern Standard Time"/>
    <x v="0"/>
  </r>
  <r>
    <x v="263"/>
    <s v="CANG"/>
    <s v="on 3/11/25 After Market Eastern Standard Time"/>
    <x v="0"/>
  </r>
  <r>
    <x v="263"/>
    <s v="HRTG"/>
    <s v="on 3/11/25 After Market Eastern Standard Time"/>
    <x v="1"/>
  </r>
  <r>
    <x v="263"/>
    <s v="SWIM"/>
    <s v="on 3/11/25 After Market Eastern Standard Time"/>
    <x v="1"/>
  </r>
  <r>
    <x v="263"/>
    <s v="SFIX"/>
    <s v="on 3/11/25 After Market Eastern Standard Time"/>
    <x v="1"/>
  </r>
  <r>
    <x v="263"/>
    <s v="DAVE"/>
    <s v="on 3/11/25 After Market Eastern Standard Time"/>
    <x v="1"/>
  </r>
  <r>
    <x v="263"/>
    <s v="ASRT"/>
    <s v="on 3/11/25 After Market Eastern Standard Time"/>
    <x v="0"/>
  </r>
  <r>
    <x v="263"/>
    <s v="SCOR"/>
    <s v="on 3/11/25 After Market Eastern Standard Time"/>
    <x v="0"/>
  </r>
  <r>
    <x v="263"/>
    <s v="MXCT"/>
    <s v="on 3/11/25 After Market Eastern Standard Time"/>
    <x v="1"/>
  </r>
  <r>
    <x v="263"/>
    <s v="SCLX"/>
    <s v="on 3/11/25 After Market Eastern Standard Time"/>
    <x v="0"/>
  </r>
  <r>
    <x v="263"/>
    <s v="BIRD"/>
    <s v="on 3/11/25 After Market Eastern Standard Time"/>
    <x v="0"/>
  </r>
  <r>
    <x v="263"/>
    <s v="OPRT"/>
    <s v="on 3/11/25 After Market Eastern Standard Time"/>
    <x v="0"/>
  </r>
  <r>
    <x v="263"/>
    <s v="LSF"/>
    <s v="on 3/11/25 After Market Eastern Standard Time"/>
    <x v="0"/>
  </r>
  <r>
    <x v="263"/>
    <s v="LQMT"/>
    <s v="on 3/11/25 After Market Eastern Standard Time"/>
    <x v="0"/>
  </r>
  <r>
    <x v="263"/>
    <s v="ASAN"/>
    <s v="on 3/11/25 After Market Eastern Standard Time"/>
    <x v="1"/>
  </r>
  <r>
    <x v="263"/>
    <s v="WTI"/>
    <s v="on 3/11/25 After Market Eastern Standard Time"/>
    <x v="1"/>
  </r>
  <r>
    <x v="263"/>
    <s v="WEST"/>
    <s v="on 3/11/25 After Market Eastern Standard Time"/>
    <x v="1"/>
  </r>
  <r>
    <x v="264"/>
    <s v="WSM"/>
    <s v="on 3/12/25 Before Market Eastern Standard Time"/>
    <x v="2"/>
  </r>
  <r>
    <x v="264"/>
    <s v="UNFI"/>
    <s v="on 3/12/25 Before Market Eastern Standard Time"/>
    <x v="1"/>
  </r>
  <r>
    <x v="264"/>
    <s v="MHLD"/>
    <s v="on 3/12/25 Before Market Eastern Standard Time"/>
    <x v="0"/>
  </r>
  <r>
    <x v="264"/>
    <s v="APT"/>
    <s v="on 3/12/25 Before Market Eastern Standard Time"/>
    <x v="0"/>
  </r>
  <r>
    <x v="264"/>
    <s v="SID"/>
    <s v="on 3/12/25 Unspecified Eastern Standard Time"/>
    <x v="0"/>
  </r>
  <r>
    <x v="264"/>
    <s v="AADI"/>
    <s v="on 3/12/25 Before Market Eastern Standard Time"/>
    <x v="0"/>
  </r>
  <r>
    <x v="264"/>
    <s v="VRA"/>
    <s v="on 3/12/25 Before Market Eastern Standard Time"/>
    <x v="0"/>
  </r>
  <r>
    <x v="264"/>
    <s v="AAGIY"/>
    <s v="on 3/12/25 Unspecified Eastern Standard Time"/>
    <x v="0"/>
  </r>
  <r>
    <x v="264"/>
    <s v="CMTL"/>
    <s v="on 3/12/25 Before Market Eastern Standard Time"/>
    <x v="0"/>
  </r>
  <r>
    <x v="264"/>
    <s v="JD"/>
    <s v="on 3/12/25 Before Market Eastern Standard Time"/>
    <x v="0"/>
  </r>
  <r>
    <x v="264"/>
    <s v="BTAI"/>
    <s v="on 3/12/25 Before Market Eastern Standard Time"/>
    <x v="0"/>
  </r>
  <r>
    <x v="264"/>
    <s v="ARCO"/>
    <s v="on 3/12/25 Before Market Eastern Standard Time"/>
    <x v="0"/>
  </r>
  <r>
    <x v="264"/>
    <s v="TGT"/>
    <s v="on 3/12/25 Before Market Eastern Standard Time"/>
    <x v="3"/>
  </r>
  <r>
    <x v="264"/>
    <s v="MANU"/>
    <s v="on 3/12/25 Before Market Eastern Standard Time"/>
    <x v="0"/>
  </r>
  <r>
    <x v="264"/>
    <s v="FTCI"/>
    <s v="on 3/12/25 Before Market Eastern Standard Time"/>
    <x v="0"/>
  </r>
  <r>
    <x v="264"/>
    <s v="VSEC"/>
    <s v="on 3/12/25 Before Market Eastern Standard Time"/>
    <x v="1"/>
  </r>
  <r>
    <x v="264"/>
    <s v="GBLI"/>
    <s v="on 3/12/25 Before Market Eastern Standard Time"/>
    <x v="0"/>
  </r>
  <r>
    <x v="264"/>
    <s v="TH"/>
    <s v="on 3/12/25 Before Market Eastern Standard Time"/>
    <x v="1"/>
  </r>
  <r>
    <x v="264"/>
    <s v="TRDA"/>
    <s v="on 3/12/25 Before Market Eastern Standard Time"/>
    <x v="1"/>
  </r>
  <r>
    <x v="264"/>
    <s v="DUFRY"/>
    <s v="on 3/12/25 Unspecified Eastern Standard Time"/>
    <x v="0"/>
  </r>
  <r>
    <x v="264"/>
    <s v="ACDC"/>
    <s v="on 3/12/25 Before Market Eastern Standard Time"/>
    <x v="0"/>
  </r>
  <r>
    <x v="264"/>
    <s v="WLFC"/>
    <s v="on 3/12/25 Before Market Eastern Standard Time"/>
    <x v="1"/>
  </r>
  <r>
    <x v="264"/>
    <s v="SDHC"/>
    <s v="on 3/12/25 Before Market Eastern Standard Time"/>
    <x v="0"/>
  </r>
  <r>
    <x v="264"/>
    <s v="VFF"/>
    <s v="on 3/12/25 Before Market Eastern Standard Time"/>
    <x v="0"/>
  </r>
  <r>
    <x v="264"/>
    <s v="ALT"/>
    <s v="on 3/12/25 Before Market Eastern Standard Time"/>
    <x v="1"/>
  </r>
  <r>
    <x v="265"/>
    <s v="NL"/>
    <s v="on 3/12/25 After Market Eastern Standard Time"/>
    <x v="0"/>
  </r>
  <r>
    <x v="265"/>
    <s v="GWRS"/>
    <s v="on 3/12/25 After Market Eastern Standard Time"/>
    <x v="0"/>
  </r>
  <r>
    <x v="265"/>
    <s v="OPAL"/>
    <s v="on 3/12/25 After Market Eastern Standard Time"/>
    <x v="0"/>
  </r>
  <r>
    <x v="265"/>
    <s v="AE"/>
    <s v="on 3/12/25 After Market Eastern Standard Time"/>
    <x v="0"/>
  </r>
  <r>
    <x v="265"/>
    <s v="CDMO"/>
    <s v="on 3/12/25 After Market Eastern Standard Time"/>
    <x v="1"/>
  </r>
  <r>
    <x v="265"/>
    <s v="ARTNA"/>
    <s v="on 3/12/25 After Market Eastern Standard Time"/>
    <x v="0"/>
  </r>
  <r>
    <x v="265"/>
    <s v="MG"/>
    <s v="on 3/12/25 After Market Eastern Standard Time"/>
    <x v="1"/>
  </r>
  <r>
    <x v="265"/>
    <s v="NVGS"/>
    <s v="on 3/12/25 After Market Eastern Standard Time"/>
    <x v="0"/>
  </r>
  <r>
    <x v="265"/>
    <s v="AMPY"/>
    <s v="on 3/12/25 After Market Eastern Standard Time"/>
    <x v="1"/>
  </r>
  <r>
    <x v="265"/>
    <s v="OTCM"/>
    <s v="on 3/12/25 After Market Eastern Standard Time"/>
    <x v="0"/>
  </r>
  <r>
    <x v="265"/>
    <s v="FOSL"/>
    <s v="on 3/12/25 After Market Eastern Standard Time"/>
    <x v="0"/>
  </r>
  <r>
    <x v="265"/>
    <s v="KRO"/>
    <s v="on 3/12/25 After Market Eastern Standard Time"/>
    <x v="1"/>
  </r>
  <r>
    <x v="265"/>
    <s v="BRT"/>
    <s v="on 3/12/25 After Market Eastern Standard Time"/>
    <x v="1"/>
  </r>
  <r>
    <x v="265"/>
    <s v="GAU"/>
    <s v="on 3/12/25 After Market Eastern Standard Time"/>
    <x v="0"/>
  </r>
  <r>
    <x v="265"/>
    <s v="PFIE"/>
    <s v="on 3/12/25 After Market Eastern Standard Time"/>
    <x v="0"/>
  </r>
  <r>
    <x v="265"/>
    <s v="ALTG"/>
    <s v="on 3/12/25 After Market Eastern Standard Time"/>
    <x v="1"/>
  </r>
  <r>
    <x v="265"/>
    <s v="OPTT"/>
    <s v="on 3/12/25 After Market Eastern Standard Time"/>
    <x v="0"/>
  </r>
  <r>
    <x v="265"/>
    <s v="EGY"/>
    <s v="on 3/12/25 After Market Eastern Standard Time"/>
    <x v="1"/>
  </r>
  <r>
    <x v="265"/>
    <s v="QFIN"/>
    <s v="on 3/12/25 After Market Eastern Standard Time"/>
    <x v="0"/>
  </r>
  <r>
    <x v="265"/>
    <s v="SURG"/>
    <s v="on 3/12/25 After Market Eastern Standard Time"/>
    <x v="0"/>
  </r>
  <r>
    <x v="265"/>
    <s v="SLDB"/>
    <s v="on 3/12/25 After Market Eastern Standard Time"/>
    <x v="0"/>
  </r>
  <r>
    <x v="265"/>
    <s v="VMD"/>
    <s v="on 3/12/25 After Market Eastern Standard Time"/>
    <x v="1"/>
  </r>
  <r>
    <x v="265"/>
    <s v="ADAP"/>
    <s v="on 3/12/25 After Market Eastern Standard Time"/>
    <x v="0"/>
  </r>
  <r>
    <x v="265"/>
    <s v="SSSS"/>
    <s v="on 3/12/25 After Market Eastern Standard Time"/>
    <x v="0"/>
  </r>
  <r>
    <x v="265"/>
    <s v="URG"/>
    <s v="on 3/12/25 After Market Eastern Standard Time"/>
    <x v="1"/>
  </r>
  <r>
    <x v="265"/>
    <s v="CASY"/>
    <s v="on 3/12/25 After Market Eastern Standard Time"/>
    <x v="2"/>
  </r>
  <r>
    <x v="265"/>
    <s v="SGC"/>
    <s v="on 3/12/25 After Market Eastern Standard Time"/>
    <x v="1"/>
  </r>
  <r>
    <x v="265"/>
    <s v="HNRG"/>
    <s v="on 3/12/25 After Market Eastern Standard Time"/>
    <x v="1"/>
  </r>
  <r>
    <x v="265"/>
    <s v="ALNT"/>
    <s v="on 3/12/25 After Market Eastern Standard Time"/>
    <x v="1"/>
  </r>
  <r>
    <x v="265"/>
    <s v="MRCC"/>
    <s v="on 3/12/25 After Market Eastern Standard Time"/>
    <x v="0"/>
  </r>
  <r>
    <x v="265"/>
    <s v="VTVT"/>
    <s v="on 3/12/25 After Market Eastern Standard Time"/>
    <x v="0"/>
  </r>
  <r>
    <x v="265"/>
    <s v="CYRX"/>
    <s v="on 3/12/25 After Market Eastern Standard Time"/>
    <x v="1"/>
  </r>
  <r>
    <x v="265"/>
    <s v="ECOR"/>
    <s v="on 3/12/25 After Market Eastern Standard Time"/>
    <x v="0"/>
  </r>
  <r>
    <x v="265"/>
    <s v="PHX"/>
    <s v="on 3/12/25 After Market Eastern Standard Time"/>
    <x v="0"/>
  </r>
  <r>
    <x v="265"/>
    <s v="GWH"/>
    <s v="on 3/12/25 After Market Eastern Standard Time"/>
    <x v="0"/>
  </r>
  <r>
    <x v="265"/>
    <s v="GRWG"/>
    <s v="on 3/12/25 After Market Eastern Standard Time"/>
    <x v="0"/>
  </r>
  <r>
    <x v="265"/>
    <s v="PANL"/>
    <s v="on 3/12/25 After Market Eastern Standard Time"/>
    <x v="1"/>
  </r>
  <r>
    <x v="265"/>
    <s v="LMB"/>
    <s v="on 3/12/25 After Market Eastern Standard Time"/>
    <x v="1"/>
  </r>
  <r>
    <x v="265"/>
    <s v="WOOF"/>
    <s v="on 3/12/25 After Market Eastern Standard Time"/>
    <x v="1"/>
  </r>
  <r>
    <x v="265"/>
    <s v="ICAD"/>
    <s v="on 3/12/25 After Market Eastern Standard Time"/>
    <x v="0"/>
  </r>
  <r>
    <x v="265"/>
    <s v="CLSD"/>
    <s v="on 3/12/25 After Market Eastern Standard Time"/>
    <x v="0"/>
  </r>
  <r>
    <x v="265"/>
    <s v="ANIX"/>
    <s v="on 3/12/25 After Market Eastern Standard Time"/>
    <x v="0"/>
  </r>
  <r>
    <x v="265"/>
    <s v="BGSF"/>
    <s v="on 3/12/25 After Market Eastern Standard Time"/>
    <x v="0"/>
  </r>
  <r>
    <x v="265"/>
    <s v="S"/>
    <s v="on 3/12/25 After Market Eastern Standard Time"/>
    <x v="0"/>
  </r>
  <r>
    <x v="265"/>
    <s v="TACT"/>
    <s v="on 3/12/25 After Market Eastern Standard Time"/>
    <x v="0"/>
  </r>
  <r>
    <x v="265"/>
    <s v="MRMD"/>
    <s v="on 3/12/25 After Market Eastern Standard Time"/>
    <x v="0"/>
  </r>
  <r>
    <x v="265"/>
    <s v="QRHC"/>
    <s v="on 3/12/25 After Market Eastern Standard Time"/>
    <x v="0"/>
  </r>
  <r>
    <x v="265"/>
    <s v="CSBR"/>
    <s v="on 3/12/25 After Market Eastern Standard Time"/>
    <x v="0"/>
  </r>
  <r>
    <x v="265"/>
    <s v="NXE"/>
    <s v="on 3/12/25 After Market Eastern Standard Time"/>
    <x v="0"/>
  </r>
  <r>
    <x v="265"/>
    <s v="WOW"/>
    <s v="on 3/12/25 After Market Eastern Standard Time"/>
    <x v="1"/>
  </r>
  <r>
    <x v="265"/>
    <s v="TATT"/>
    <s v="on 3/12/25 After Market Eastern Standard Time"/>
    <x v="0"/>
  </r>
  <r>
    <x v="265"/>
    <s v="TLPH"/>
    <s v="on 3/12/25 After Market Eastern Standard Time"/>
    <x v="0"/>
  </r>
  <r>
    <x v="265"/>
    <s v="OTRK"/>
    <s v="on 3/12/25 After Market Eastern Standard Time"/>
    <x v="0"/>
  </r>
  <r>
    <x v="265"/>
    <s v="LOMA"/>
    <s v="on 3/12/25 After Market Eastern Standard Time"/>
    <x v="0"/>
  </r>
  <r>
    <x v="265"/>
    <s v="AEYE"/>
    <s v="on 3/12/25 After Market Eastern Standard Time"/>
    <x v="1"/>
  </r>
  <r>
    <x v="265"/>
    <s v="NOTE"/>
    <s v="on 3/12/25 After Market Eastern Standard Time"/>
    <x v="0"/>
  </r>
  <r>
    <x v="265"/>
    <s v="LVLU"/>
    <s v="on 3/12/25 After Market Eastern Standard Time"/>
    <x v="0"/>
  </r>
  <r>
    <x v="265"/>
    <s v="PRPL"/>
    <s v="on 3/12/25 After Market Eastern Standard Time"/>
    <x v="0"/>
  </r>
  <r>
    <x v="265"/>
    <s v="CORZ"/>
    <s v="on 3/12/25 After Market Eastern Standard Time"/>
    <x v="1"/>
  </r>
  <r>
    <x v="266"/>
    <s v="CBAT"/>
    <s v="on 3/13/25 Before Market Eastern Standard Time"/>
    <x v="0"/>
  </r>
  <r>
    <x v="266"/>
    <s v="BBW"/>
    <s v="on 3/13/25 Before Market Eastern Standard Time"/>
    <x v="1"/>
  </r>
  <r>
    <x v="266"/>
    <s v="IPSC"/>
    <s v="on 3/13/25 Before Market Eastern Standard Time"/>
    <x v="0"/>
  </r>
  <r>
    <x v="266"/>
    <s v="SGA"/>
    <s v="on 3/13/25 Before Market Eastern Standard Time"/>
    <x v="0"/>
  </r>
  <r>
    <x v="266"/>
    <s v="MGIC"/>
    <s v="on 3/13/25 Before Market Eastern Standard Time"/>
    <x v="0"/>
  </r>
  <r>
    <x v="266"/>
    <s v="CGON"/>
    <s v="on 3/13/25 Before Market Eastern Standard Time"/>
    <x v="1"/>
  </r>
  <r>
    <x v="266"/>
    <s v="UHG"/>
    <s v="on 3/13/25 Before Market Eastern Standard Time"/>
    <x v="0"/>
  </r>
  <r>
    <x v="266"/>
    <s v="KPLT"/>
    <s v="on 3/13/25 Before Market Eastern Standard Time"/>
    <x v="0"/>
  </r>
  <r>
    <x v="266"/>
    <s v="HSON"/>
    <s v="on 3/13/25 Before Market Eastern Standard Time"/>
    <x v="0"/>
  </r>
  <r>
    <x v="266"/>
    <s v="MOMO"/>
    <s v="on 3/13/25 Before Market Eastern Standard Time"/>
    <x v="0"/>
  </r>
  <r>
    <x v="266"/>
    <s v="URGN"/>
    <s v="on 3/13/25 Before Market Eastern Standard Time"/>
    <x v="1"/>
  </r>
  <r>
    <x v="266"/>
    <s v="RGTI"/>
    <s v="on 3/13/25 Before Market Eastern Standard Time"/>
    <x v="0"/>
  </r>
  <r>
    <x v="266"/>
    <s v="PXS"/>
    <s v="on 3/13/25 Before Market Eastern Standard Time"/>
    <x v="0"/>
  </r>
  <r>
    <x v="266"/>
    <s v="BHIL"/>
    <s v="on 3/13/25 Before Market Eastern Standard Time"/>
    <x v="0"/>
  </r>
  <r>
    <x v="266"/>
    <s v="BOSSY"/>
    <s v="on 3/13/25 Before Market Eastern Standard Time"/>
    <x v="0"/>
  </r>
  <r>
    <x v="266"/>
    <s v="XNET"/>
    <s v="on 3/13/25 Before Market Eastern Standard Time"/>
    <x v="0"/>
  </r>
  <r>
    <x v="266"/>
    <s v="RFL"/>
    <s v="on 3/13/25 Before Market Eastern Standard Time"/>
    <x v="0"/>
  </r>
  <r>
    <x v="266"/>
    <s v="PLCE"/>
    <s v="on 3/13/25 Before Market Eastern Standard Time"/>
    <x v="0"/>
  </r>
  <r>
    <x v="266"/>
    <s v="LRMR"/>
    <s v="on 3/13/25 Before Market Eastern Standard Time"/>
    <x v="1"/>
  </r>
  <r>
    <x v="266"/>
    <s v="BKTI"/>
    <s v="on 3/13/25 Before Market Eastern Standard Time"/>
    <x v="0"/>
  </r>
  <r>
    <x v="266"/>
    <s v="AVAH"/>
    <s v="on 3/13/25 Before Market Eastern Standard Time"/>
    <x v="1"/>
  </r>
  <r>
    <x v="266"/>
    <s v="TLN"/>
    <s v="on 3/13/25 Before Market Eastern Standard Time"/>
    <x v="0"/>
  </r>
  <r>
    <x v="266"/>
    <s v="ENLAY"/>
    <s v="on 3/13/25 Unspecified Eastern Standard Time"/>
    <x v="0"/>
  </r>
  <r>
    <x v="266"/>
    <s v="ZDGE"/>
    <s v="on 3/13/25 Before Market Eastern Standard Time"/>
    <x v="0"/>
  </r>
  <r>
    <x v="266"/>
    <s v="ARHS"/>
    <s v="on 3/13/25 Before Market Eastern Standard Time"/>
    <x v="1"/>
  </r>
  <r>
    <x v="266"/>
    <s v="CGEM"/>
    <s v="on 3/13/25 Before Market Eastern Standard Time"/>
    <x v="1"/>
  </r>
  <r>
    <x v="266"/>
    <s v="MGTX"/>
    <s v="on 3/13/25 Before Market Eastern Standard Time"/>
    <x v="1"/>
  </r>
  <r>
    <x v="266"/>
    <s v="DTC"/>
    <s v="on 3/13/25 Before Market Eastern Standard Time"/>
    <x v="0"/>
  </r>
  <r>
    <x v="266"/>
    <s v="SLGL"/>
    <s v="on 3/13/25 Before Market Eastern Standard Time"/>
    <x v="0"/>
  </r>
  <r>
    <x v="266"/>
    <s v="BUR"/>
    <s v="on 3/13/25 Unspecified Eastern Standard Time"/>
    <x v="1"/>
  </r>
  <r>
    <x v="266"/>
    <s v="AFCG"/>
    <s v="on 3/13/25 Before Market Eastern Standard Time"/>
    <x v="0"/>
  </r>
  <r>
    <x v="266"/>
    <s v="CIEN"/>
    <s v="on 3/13/25 Before Market Eastern Standard Time"/>
    <x v="2"/>
  </r>
  <r>
    <x v="266"/>
    <s v="ITOS"/>
    <s v="on 3/13/25 Before Market Eastern Standard Time"/>
    <x v="1"/>
  </r>
  <r>
    <x v="266"/>
    <s v="CSIQ"/>
    <s v="on 3/13/25 Before Market Eastern Standard Time"/>
    <x v="0"/>
  </r>
  <r>
    <x v="266"/>
    <s v="TCRX"/>
    <s v="on 3/13/25 Before Market Eastern Standard Time"/>
    <x v="0"/>
  </r>
  <r>
    <x v="266"/>
    <s v="LQDA"/>
    <s v="on 3/13/25 Before Market Eastern Standard Time"/>
    <x v="1"/>
  </r>
  <r>
    <x v="266"/>
    <s v="KNDI"/>
    <s v="on 3/13/25 Before Market Eastern Standard Time"/>
    <x v="0"/>
  </r>
  <r>
    <x v="266"/>
    <s v="ANIK"/>
    <s v="on 3/13/25 Before Market Eastern Standard Time"/>
    <x v="1"/>
  </r>
  <r>
    <x v="266"/>
    <s v="BILI"/>
    <s v="on 3/13/25 Before Market Eastern Standard Time"/>
    <x v="0"/>
  </r>
  <r>
    <x v="266"/>
    <s v="EYPT"/>
    <s v="on 3/13/25 Before Market Eastern Standard Time"/>
    <x v="1"/>
  </r>
  <r>
    <x v="266"/>
    <s v="TARA"/>
    <s v="on 3/13/25 Before Market Eastern Standard Time"/>
    <x v="0"/>
  </r>
  <r>
    <x v="266"/>
    <s v="IPA"/>
    <s v="on 3/13/25 Before Market Eastern Standard Time"/>
    <x v="0"/>
  </r>
  <r>
    <x v="266"/>
    <s v="NEXN"/>
    <s v="on 3/13/25 Before Market Eastern Standard Time"/>
    <x v="0"/>
  </r>
  <r>
    <x v="266"/>
    <s v="GOCO"/>
    <s v="on 3/13/25 Before Market Eastern Standard Time"/>
    <x v="0"/>
  </r>
  <r>
    <x v="266"/>
    <s v="OCC"/>
    <s v="on 3/13/25 Before Market Eastern Standard Time"/>
    <x v="0"/>
  </r>
  <r>
    <x v="266"/>
    <s v="KOPN"/>
    <s v="on 3/13/25 Before Market Eastern Standard Time"/>
    <x v="0"/>
  </r>
  <r>
    <x v="266"/>
    <s v="TLS"/>
    <s v="on 3/13/25 Before Market Eastern Standard Time"/>
    <x v="1"/>
  </r>
  <r>
    <x v="266"/>
    <s v="MTCPY"/>
    <s v="on 3/13/25 Unspecified Eastern Standard Time"/>
    <x v="0"/>
  </r>
  <r>
    <x v="266"/>
    <s v="VITL"/>
    <s v="on 3/13/25 Before Market Eastern Standard Time"/>
    <x v="1"/>
  </r>
  <r>
    <x v="266"/>
    <s v="EH"/>
    <s v="on 3/13/25 Before Market Eastern Standard Time"/>
    <x v="0"/>
  </r>
  <r>
    <x v="266"/>
    <s v="PLX"/>
    <s v="on 3/13/25 Before Market Eastern Standard Time"/>
    <x v="0"/>
  </r>
  <r>
    <x v="266"/>
    <s v="KALV"/>
    <s v="on 3/13/25 Before Market Eastern Standard Time"/>
    <x v="1"/>
  </r>
  <r>
    <x v="266"/>
    <s v="EVGN"/>
    <s v="on 3/13/25 Before Market Eastern Standard Time"/>
    <x v="0"/>
  </r>
  <r>
    <x v="266"/>
    <s v="AUTL"/>
    <s v="on 3/13/25 Before Market Eastern Standard Time"/>
    <x v="0"/>
  </r>
  <r>
    <x v="266"/>
    <s v="LEAT"/>
    <s v="on 3/13/25 Before Market Eastern Standard Time"/>
    <x v="0"/>
  </r>
  <r>
    <x v="266"/>
    <s v="DG"/>
    <s v="on 3/13/25 Before Market Eastern Standard Time"/>
    <x v="3"/>
  </r>
  <r>
    <x v="266"/>
    <s v="FUTU"/>
    <s v="on 3/13/25 Before Market Eastern Standard Time"/>
    <x v="0"/>
  </r>
  <r>
    <x v="266"/>
    <s v="GLUE"/>
    <s v="on 3/13/25 Before Market Eastern Standard Time"/>
    <x v="1"/>
  </r>
  <r>
    <x v="266"/>
    <s v="CBSTF"/>
    <s v="on 3/13/25 Before Market Eastern Standard Time"/>
    <x v="0"/>
  </r>
  <r>
    <x v="266"/>
    <s v="ACIU"/>
    <s v="on 3/13/25 Before Market Eastern Standard Time"/>
    <x v="0"/>
  </r>
  <r>
    <x v="266"/>
    <s v="SHIP"/>
    <s v="on 3/13/25 Before Market Eastern Standard Time"/>
    <x v="0"/>
  </r>
  <r>
    <x v="266"/>
    <s v="SGBLY"/>
    <s v="on 3/13/25 Unspecified Eastern Standard Time"/>
    <x v="0"/>
  </r>
  <r>
    <x v="266"/>
    <s v="CNTY"/>
    <s v="on 3/13/25 Before Market Eastern Standard Time"/>
    <x v="0"/>
  </r>
  <r>
    <x v="266"/>
    <s v="STCN"/>
    <s v="on 3/13/25 Before Market Eastern Standard Time"/>
    <x v="0"/>
  </r>
  <r>
    <x v="266"/>
    <s v="SCWX"/>
    <s v="on 3/13/25 Before Market Eastern Standard Time"/>
    <x v="0"/>
  </r>
  <r>
    <x v="266"/>
    <s v="AKBA"/>
    <s v="on 3/13/25 Before Market Eastern Standard Time"/>
    <x v="1"/>
  </r>
  <r>
    <x v="266"/>
    <s v="ISPC"/>
    <s v="on 3/13/25 Before Market Eastern Standard Time"/>
    <x v="0"/>
  </r>
  <r>
    <x v="266"/>
    <s v="TOUR"/>
    <s v="on 3/13/25 Before Market Eastern Standard Time"/>
    <x v="0"/>
  </r>
  <r>
    <x v="266"/>
    <s v="SWPLY"/>
    <s v="on 3/13/25 Unspecified Eastern Standard Time"/>
    <x v="0"/>
  </r>
  <r>
    <x v="266"/>
    <s v="AMTX"/>
    <s v="on 3/13/25 Before Market Eastern Standard Time"/>
    <x v="0"/>
  </r>
  <r>
    <x v="266"/>
    <s v="SILA"/>
    <s v="on 3/13/25 Before Market Eastern Standard Time"/>
    <x v="0"/>
  </r>
  <r>
    <x v="266"/>
    <s v="KPLUY"/>
    <s v="on 3/13/25 Unspecified Eastern Standard Time"/>
    <x v="0"/>
  </r>
  <r>
    <x v="266"/>
    <s v="WB"/>
    <s v="on 3/13/25 Before Market Eastern Standard Time"/>
    <x v="0"/>
  </r>
  <r>
    <x v="267"/>
    <s v="BLND"/>
    <s v="on 3/13/25 After Market Eastern Standard Time"/>
    <x v="1"/>
  </r>
  <r>
    <x v="267"/>
    <s v="MNTK"/>
    <s v="on 3/13/25 After Market Eastern Standard Time"/>
    <x v="1"/>
  </r>
  <r>
    <x v="267"/>
    <s v="FTHM"/>
    <s v="on 3/13/25 After Market Eastern Standard Time"/>
    <x v="0"/>
  </r>
  <r>
    <x v="267"/>
    <s v="PRTS"/>
    <s v="on 3/13/25 After Market Eastern Standard Time"/>
    <x v="0"/>
  </r>
  <r>
    <x v="267"/>
    <s v="INTS"/>
    <s v="on 3/13/25 After Market Eastern Standard Time"/>
    <x v="0"/>
  </r>
  <r>
    <x v="267"/>
    <s v="HGBL"/>
    <s v="on 3/13/25 After Market Eastern Standard Time"/>
    <x v="0"/>
  </r>
  <r>
    <x v="267"/>
    <s v="TECX"/>
    <s v="on 3/13/25 After Market Eastern Standard Time"/>
    <x v="0"/>
  </r>
  <r>
    <x v="267"/>
    <s v="SMR"/>
    <s v="on 3/13/25 After Market Eastern Standard Time"/>
    <x v="1"/>
  </r>
  <r>
    <x v="267"/>
    <s v="JSDA"/>
    <s v="on 3/13/25 After Market Eastern Standard Time"/>
    <x v="0"/>
  </r>
  <r>
    <x v="267"/>
    <s v="FHTX"/>
    <s v="on 3/13/25 After Market Eastern Standard Time"/>
    <x v="1"/>
  </r>
  <r>
    <x v="267"/>
    <s v="CDLX"/>
    <s v="on 3/13/25 After Market Eastern Standard Time"/>
    <x v="0"/>
  </r>
  <r>
    <x v="267"/>
    <s v="TBCH"/>
    <s v="on 3/13/25 After Market Eastern Standard Time"/>
    <x v="0"/>
  </r>
  <r>
    <x v="267"/>
    <s v="LCUT"/>
    <s v="on 3/13/25 After Market Eastern Standard Time"/>
    <x v="0"/>
  </r>
  <r>
    <x v="267"/>
    <s v="SGMO"/>
    <s v="on 3/13/25 After Market Eastern Standard Time"/>
    <x v="0"/>
  </r>
  <r>
    <x v="267"/>
    <s v="AIRE"/>
    <s v="on 3/13/25 After Market Eastern Standard Time"/>
    <x v="0"/>
  </r>
  <r>
    <x v="267"/>
    <s v="FF"/>
    <s v="on 3/13/25 After Market Eastern Standard Time"/>
    <x v="0"/>
  </r>
  <r>
    <x v="267"/>
    <s v="ADBE"/>
    <s v="on 3/13/25 After Market Eastern Standard Time"/>
    <x v="3"/>
  </r>
  <r>
    <x v="267"/>
    <s v="FEIM"/>
    <s v="on 3/13/25 After Market Eastern Standard Time"/>
    <x v="0"/>
  </r>
  <r>
    <x v="267"/>
    <s v="CLPR"/>
    <s v="on 3/13/25 After Market Eastern Standard Time"/>
    <x v="0"/>
  </r>
  <r>
    <x v="267"/>
    <s v="HYMC"/>
    <s v="on 3/13/25 After Market Eastern Standard Time"/>
    <x v="0"/>
  </r>
  <r>
    <x v="267"/>
    <s v="AVD"/>
    <s v="on 3/13/25 After Market Eastern Standard Time"/>
    <x v="0"/>
  </r>
  <r>
    <x v="267"/>
    <s v="KDLY"/>
    <s v="on 3/13/25 After Market Eastern Standard Time"/>
    <x v="0"/>
  </r>
  <r>
    <x v="267"/>
    <s v="HHS"/>
    <s v="on 3/13/25 After Market Eastern Standard Time"/>
    <x v="0"/>
  </r>
  <r>
    <x v="267"/>
    <s v="TERN"/>
    <s v="on 3/13/25 After Market Eastern Standard Time"/>
    <x v="1"/>
  </r>
  <r>
    <x v="267"/>
    <s v="EVCM"/>
    <s v="on 3/13/25 After Market Eastern Standard Time"/>
    <x v="1"/>
  </r>
  <r>
    <x v="267"/>
    <s v="KRT"/>
    <s v="on 3/13/25 After Market Eastern Standard Time"/>
    <x v="1"/>
  </r>
  <r>
    <x v="267"/>
    <s v="BEEP"/>
    <s v="on 3/13/25 After Market Eastern Standard Time"/>
    <x v="0"/>
  </r>
  <r>
    <x v="267"/>
    <s v="AGRO"/>
    <s v="on 3/13/25 After Market Eastern Standard Time"/>
    <x v="0"/>
  </r>
  <r>
    <x v="267"/>
    <s v="POET"/>
    <s v="on 3/13/25 After Market Eastern Standard Time"/>
    <x v="0"/>
  </r>
  <r>
    <x v="267"/>
    <s v="PD"/>
    <s v="on 3/13/25 After Market Eastern Standard Time"/>
    <x v="1"/>
  </r>
  <r>
    <x v="267"/>
    <s v="PTMN"/>
    <s v="on 3/13/25 After Market Eastern Standard Time"/>
    <x v="0"/>
  </r>
  <r>
    <x v="267"/>
    <s v="BPT"/>
    <s v="on 3/13/25 After Market Eastern Standard Time"/>
    <x v="0"/>
  </r>
  <r>
    <x v="267"/>
    <s v="GRPN"/>
    <s v="on 3/13/25 After Market Eastern Standard Time"/>
    <x v="1"/>
  </r>
  <r>
    <x v="267"/>
    <s v="BSEM"/>
    <s v="on 3/13/25 After Market Eastern Standard Time"/>
    <x v="0"/>
  </r>
  <r>
    <x v="267"/>
    <s v="GORV"/>
    <s v="on 3/13/25 After Market Eastern Standard Time"/>
    <x v="0"/>
  </r>
  <r>
    <x v="267"/>
    <s v="SPRU"/>
    <s v="on 3/13/25 After Market Eastern Standard Time"/>
    <x v="0"/>
  </r>
  <r>
    <x v="267"/>
    <s v="EXOD"/>
    <s v="on 3/13/25 After Market Eastern Standard Time"/>
    <x v="0"/>
  </r>
  <r>
    <x v="267"/>
    <s v="ROST"/>
    <s v="on 3/13/25 After Market Eastern Standard Time"/>
    <x v="3"/>
  </r>
  <r>
    <x v="267"/>
    <s v="LRFC"/>
    <s v="on 3/13/25 After Market Eastern Standard Time"/>
    <x v="0"/>
  </r>
  <r>
    <x v="267"/>
    <s v="GETY"/>
    <s v="on 3/13/25 After Market Eastern Standard Time"/>
    <x v="1"/>
  </r>
  <r>
    <x v="267"/>
    <s v="VEL"/>
    <s v="on 3/13/25 After Market Eastern Standard Time"/>
    <x v="1"/>
  </r>
  <r>
    <x v="267"/>
    <s v="FNKO"/>
    <s v="on 3/13/25 After Market Eastern Standard Time"/>
    <x v="1"/>
  </r>
  <r>
    <x v="267"/>
    <s v="SMAR"/>
    <s v="on 3/13/25 After Market Eastern Standard Time"/>
    <x v="0"/>
  </r>
  <r>
    <x v="267"/>
    <s v="ZUMZ"/>
    <s v="on 3/13/25 After Market Eastern Standard Time"/>
    <x v="1"/>
  </r>
  <r>
    <x v="267"/>
    <s v="SBC"/>
    <s v="on 3/13/25 After Market Eastern Standard Time"/>
    <x v="0"/>
  </r>
  <r>
    <x v="267"/>
    <s v="EBR/B"/>
    <s v="on 3/13/25 After Market Eastern Standard Time"/>
    <x v="0"/>
  </r>
  <r>
    <x v="267"/>
    <s v="VHC"/>
    <s v="on 3/13/25 After Market Eastern Standard Time"/>
    <x v="0"/>
  </r>
  <r>
    <x v="267"/>
    <s v="BZFD"/>
    <s v="on 3/13/25 After Market Eastern Standard Time"/>
    <x v="0"/>
  </r>
  <r>
    <x v="267"/>
    <s v="ETON"/>
    <s v="on 3/13/25 After Market Eastern Standard Time"/>
    <x v="0"/>
  </r>
  <r>
    <x v="267"/>
    <s v="GAN"/>
    <s v="on 3/13/25 After Market Eastern Standard Time"/>
    <x v="0"/>
  </r>
  <r>
    <x v="267"/>
    <s v="INAB"/>
    <s v="on 3/13/25 After Market Eastern Standard Time"/>
    <x v="0"/>
  </r>
  <r>
    <x v="267"/>
    <s v="RDW"/>
    <s v="on 3/13/25 After Market Eastern Standard Time"/>
    <x v="1"/>
  </r>
  <r>
    <x v="267"/>
    <s v="SPRO"/>
    <s v="on 3/13/25 After Market Eastern Standard Time"/>
    <x v="0"/>
  </r>
  <r>
    <x v="267"/>
    <s v="BRLT"/>
    <s v="on 3/13/25 After Market Eastern Standard Time"/>
    <x v="0"/>
  </r>
  <r>
    <x v="267"/>
    <s v="III"/>
    <s v="on 3/13/25 After Market Eastern Standard Time"/>
    <x v="0"/>
  </r>
  <r>
    <x v="267"/>
    <s v="GCT"/>
    <s v="on 3/13/25 After Market Eastern Standard Time"/>
    <x v="1"/>
  </r>
  <r>
    <x v="267"/>
    <s v="LEGH"/>
    <s v="on 3/13/25 After Market Eastern Standard Time"/>
    <x v="1"/>
  </r>
  <r>
    <x v="267"/>
    <s v="ULTA"/>
    <s v="on 3/13/25 After Market Eastern Standard Time"/>
    <x v="3"/>
  </r>
  <r>
    <x v="267"/>
    <s v="KODK"/>
    <s v="on 3/13/25 After Market Eastern Standard Time"/>
    <x v="1"/>
  </r>
  <r>
    <x v="267"/>
    <s v="REFR"/>
    <s v="on 3/13/25 After Market Eastern Standard Time"/>
    <x v="0"/>
  </r>
  <r>
    <x v="267"/>
    <s v="JYNT"/>
    <s v="on 3/13/25 After Market Eastern Standard Time"/>
    <x v="0"/>
  </r>
  <r>
    <x v="267"/>
    <s v="MAPS"/>
    <s v="on 3/13/25 After Market Eastern Standard Time"/>
    <x v="0"/>
  </r>
  <r>
    <x v="267"/>
    <s v="OPRX"/>
    <s v="on 3/13/25 After Market Eastern Standard Time"/>
    <x v="0"/>
  </r>
  <r>
    <x v="267"/>
    <s v="CODX"/>
    <s v="on 3/13/25 After Market Eastern Standard Time"/>
    <x v="0"/>
  </r>
  <r>
    <x v="267"/>
    <s v="TGB"/>
    <s v="on 3/13/25 After Market Eastern Standard Time"/>
    <x v="0"/>
  </r>
  <r>
    <x v="267"/>
    <s v="AMPS"/>
    <s v="on 3/13/25 After Market Eastern Standard Time"/>
    <x v="1"/>
  </r>
  <r>
    <x v="267"/>
    <s v="CHMI"/>
    <s v="on 3/13/25 After Market Eastern Standard Time"/>
    <x v="0"/>
  </r>
  <r>
    <x v="267"/>
    <s v="SKLZ"/>
    <s v="on 3/13/25 After Market Eastern Standard Time"/>
    <x v="0"/>
  </r>
  <r>
    <x v="267"/>
    <s v="BFRI"/>
    <s v="on 3/13/25 After Market Eastern Standard Time"/>
    <x v="0"/>
  </r>
  <r>
    <x v="267"/>
    <s v="NODK"/>
    <s v="on 3/13/25 After Market Eastern Standard Time"/>
    <x v="0"/>
  </r>
  <r>
    <x v="267"/>
    <s v="TG"/>
    <s v="on 3/13/25 After Market Eastern Standard Time"/>
    <x v="1"/>
  </r>
  <r>
    <x v="267"/>
    <s v="INSE"/>
    <s v="on 3/13/25 After Market Eastern Standard Time"/>
    <x v="1"/>
  </r>
  <r>
    <x v="267"/>
    <s v="DOMO"/>
    <s v="on 3/13/25 After Market Eastern Standard Time"/>
    <x v="1"/>
  </r>
  <r>
    <x v="267"/>
    <s v="LCTX"/>
    <s v="on 3/13/25 After Market Eastern Standard Time"/>
    <x v="0"/>
  </r>
  <r>
    <x v="267"/>
    <s v="VHI"/>
    <s v="on 3/13/25 After Market Eastern Standard Time"/>
    <x v="0"/>
  </r>
  <r>
    <x v="267"/>
    <s v="PSIX"/>
    <s v="on 3/13/25 After Market Eastern Standard Time"/>
    <x v="0"/>
  </r>
  <r>
    <x v="267"/>
    <s v="TLYS"/>
    <s v="on 3/13/25 After Market Eastern Standard Time"/>
    <x v="0"/>
  </r>
  <r>
    <x v="267"/>
    <s v="STKS"/>
    <s v="on 3/13/25 After Market Eastern Standard Time"/>
    <x v="0"/>
  </r>
  <r>
    <x v="267"/>
    <s v="HFFG"/>
    <s v="on 3/13/25 After Market Eastern Standard Time"/>
    <x v="0"/>
  </r>
  <r>
    <x v="267"/>
    <s v="ATYR"/>
    <s v="on 3/13/25 After Market Eastern Standard Time"/>
    <x v="0"/>
  </r>
  <r>
    <x v="267"/>
    <s v="ALLK"/>
    <s v="on 3/13/25 After Market Eastern Standard Time"/>
    <x v="0"/>
  </r>
  <r>
    <x v="267"/>
    <s v="PHR"/>
    <s v="on 3/13/25 After Market Eastern Standard Time"/>
    <x v="1"/>
  </r>
  <r>
    <x v="267"/>
    <s v="HEAR"/>
    <s v="on 3/13/25 After Market Eastern Standard Time"/>
    <x v="1"/>
  </r>
  <r>
    <x v="267"/>
    <s v="CTGO"/>
    <s v="on 3/13/25 After Market Eastern Standard Time"/>
    <x v="1"/>
  </r>
  <r>
    <x v="267"/>
    <s v="PSQH"/>
    <s v="on 3/13/25 After Market Eastern Standard Time"/>
    <x v="0"/>
  </r>
  <r>
    <x v="267"/>
    <s v="LBPH"/>
    <s v="on 3/13/25 After Market Eastern Standard Time"/>
    <x v="1"/>
  </r>
  <r>
    <x v="267"/>
    <s v="EBR"/>
    <s v="on 3/13/25 After Market Eastern Standard Time"/>
    <x v="0"/>
  </r>
  <r>
    <x v="267"/>
    <s v="CIA"/>
    <s v="on 3/13/25 After Market Eastern Standard Time"/>
    <x v="0"/>
  </r>
  <r>
    <x v="267"/>
    <s v="ANRO"/>
    <s v="on 3/13/25 After Market Eastern Standard Time"/>
    <x v="0"/>
  </r>
  <r>
    <x v="267"/>
    <s v="AFYA"/>
    <s v="on 3/13/25 After Market Eastern Standard Time"/>
    <x v="0"/>
  </r>
  <r>
    <x v="267"/>
    <s v="VSTM"/>
    <s v="on 3/13/25 After Market Eastern Standard Time"/>
    <x v="0"/>
  </r>
  <r>
    <x v="267"/>
    <s v="LFT"/>
    <s v="on 3/13/25 After Market Eastern Standard Time"/>
    <x v="0"/>
  </r>
  <r>
    <x v="267"/>
    <s v="ENZ"/>
    <s v="on 3/13/25 After Market Eastern Standard Time"/>
    <x v="0"/>
  </r>
  <r>
    <x v="267"/>
    <s v="GAP"/>
    <s v="on 3/13/25 After Market Eastern Standard Time"/>
    <x v="2"/>
  </r>
  <r>
    <x v="267"/>
    <s v="ONCT"/>
    <s v="on 3/13/25 After Market Eastern Standard Time"/>
    <x v="0"/>
  </r>
  <r>
    <x v="267"/>
    <s v="BW"/>
    <s v="on 3/13/25 After Market Eastern Standard Time"/>
    <x v="0"/>
  </r>
  <r>
    <x v="267"/>
    <s v="SDST"/>
    <s v="on 3/13/25 After Market Eastern Standard Time"/>
    <x v="0"/>
  </r>
  <r>
    <x v="267"/>
    <s v="LAC"/>
    <s v="on 3/13/25 After Market Eastern Standard Time"/>
    <x v="0"/>
  </r>
  <r>
    <x v="267"/>
    <s v="WPM"/>
    <s v="on 3/13/25 After Market Eastern Standard Time"/>
    <x v="0"/>
  </r>
  <r>
    <x v="267"/>
    <s v="KZR"/>
    <s v="on 3/13/25 After Market Eastern Standard Time"/>
    <x v="0"/>
  </r>
  <r>
    <x v="267"/>
    <s v="WWR"/>
    <s v="on 3/13/25 After Market Eastern Standard Time"/>
    <x v="0"/>
  </r>
  <r>
    <x v="267"/>
    <s v="NXDT"/>
    <s v="on 3/13/25 After Market Eastern Standard Time"/>
    <x v="1"/>
  </r>
  <r>
    <x v="267"/>
    <s v="GRAL"/>
    <s v="on 3/13/25 After Market Eastern Standard Time"/>
    <x v="0"/>
  </r>
  <r>
    <x v="267"/>
    <s v="CHRS"/>
    <s v="on 3/13/25 After Market Eastern Standard Time"/>
    <x v="0"/>
  </r>
  <r>
    <x v="267"/>
    <s v="ZK"/>
    <s v="on 3/13/25 After Market Eastern Standard Time"/>
    <x v="0"/>
  </r>
  <r>
    <x v="268"/>
    <s v="XOMA"/>
    <s v="on 3/14/25 Before Market Eastern Standard Time"/>
    <x v="1"/>
  </r>
  <r>
    <x v="268"/>
    <s v="QTRHF"/>
    <s v="on 3/14/25 Before Market Eastern Standard Time"/>
    <x v="0"/>
  </r>
  <r>
    <x v="268"/>
    <s v="ALTI"/>
    <s v="on 3/14/25 Before Market Eastern Standard Time"/>
    <x v="0"/>
  </r>
  <r>
    <x v="268"/>
    <s v="PRPH"/>
    <s v="on 3/14/25 Before Market Eastern Standard Time"/>
    <x v="0"/>
  </r>
  <r>
    <x v="268"/>
    <s v="KVHI"/>
    <s v="on 3/14/25 Before Market Eastern Standard Time"/>
    <x v="0"/>
  </r>
  <r>
    <x v="268"/>
    <s v="BKE"/>
    <s v="on 3/14/25 Before Market Eastern Standard Time"/>
    <x v="1"/>
  </r>
  <r>
    <x v="268"/>
    <s v="TSQ"/>
    <s v="on 3/14/25 Before Market Eastern Standard Time"/>
    <x v="0"/>
  </r>
  <r>
    <x v="268"/>
    <s v="GCO"/>
    <s v="on 3/14/25 Before Market Eastern Standard Time"/>
    <x v="1"/>
  </r>
  <r>
    <x v="268"/>
    <s v="SMC"/>
    <s v="on 3/14/25 Before Market Eastern Standard Time"/>
    <x v="0"/>
  </r>
  <r>
    <x v="268"/>
    <s v="OXSQ"/>
    <s v="on 3/14/25 Before Market Eastern Standard Time"/>
    <x v="0"/>
  </r>
  <r>
    <x v="268"/>
    <s v="RLX"/>
    <s v="on 3/14/25 Before Market Eastern Standard Time"/>
    <x v="0"/>
  </r>
  <r>
    <x v="268"/>
    <s v="OVID"/>
    <s v="on 3/14/25 Before Market Eastern Standard Time"/>
    <x v="0"/>
  </r>
  <r>
    <x v="268"/>
    <s v="SHCO"/>
    <s v="on 3/14/25 Before Market Eastern Standard Time"/>
    <x v="0"/>
  </r>
  <r>
    <x v="268"/>
    <s v="DM"/>
    <s v="on 3/14/25 Before Market Eastern Standard Time"/>
    <x v="0"/>
  </r>
  <r>
    <x v="269"/>
    <s v="BBXIA"/>
    <s v="on 3/14/25 During Market Eastern Standard Time"/>
    <x v="0"/>
  </r>
  <r>
    <x v="270"/>
    <s v="LILMF"/>
    <s v="on 3/14/25 After Market Eastern Standard Time"/>
    <x v="0"/>
  </r>
  <r>
    <x v="270"/>
    <s v="LILM"/>
    <s v="on 3/14/25 After Market Eastern Standard Time"/>
    <x v="0"/>
  </r>
  <r>
    <x v="270"/>
    <s v="UROY"/>
    <s v="on 3/14/25 After Market Eastern Standard Time"/>
    <x v="0"/>
  </r>
  <r>
    <x v="271"/>
    <s v="NIU"/>
    <s v="on 3/17/25 Before Market Eastern Standard Time"/>
    <x v="0"/>
  </r>
  <r>
    <x v="271"/>
    <s v="AGEN"/>
    <s v="on 3/17/25 Before Market Eastern Standard Time"/>
    <x v="0"/>
  </r>
  <r>
    <x v="271"/>
    <s v="SAIC"/>
    <s v="on 3/17/25 Before Market Eastern Standard Time"/>
    <x v="2"/>
  </r>
  <r>
    <x v="271"/>
    <s v="OCFT"/>
    <s v="on 3/17/25 Before Market Eastern Standard Time"/>
    <x v="0"/>
  </r>
  <r>
    <x v="271"/>
    <s v="TNGX"/>
    <s v="on 3/17/25 Before Market Eastern Standard Time"/>
    <x v="1"/>
  </r>
  <r>
    <x v="271"/>
    <s v="NA"/>
    <s v="on 3/17/25 Before Market Eastern Standard Time"/>
    <x v="0"/>
  </r>
  <r>
    <x v="271"/>
    <s v="LPTX"/>
    <s v="on 3/17/25 Before Market Eastern Standard Time"/>
    <x v="0"/>
  </r>
  <r>
    <x v="271"/>
    <s v="RMBL"/>
    <s v="on 3/17/25 Before Market Eastern Standard Time"/>
    <x v="0"/>
  </r>
  <r>
    <x v="271"/>
    <s v="BAK"/>
    <s v="on 3/17/25 Unspecified Eastern Standard Time"/>
    <x v="0"/>
  </r>
  <r>
    <x v="271"/>
    <s v="AAWH"/>
    <s v="on 3/17/25 Before Market Eastern Standard Time"/>
    <x v="0"/>
  </r>
  <r>
    <x v="271"/>
    <s v="ATOS"/>
    <s v="on 3/17/25 Before Market Eastern Standard Time"/>
    <x v="0"/>
  </r>
  <r>
    <x v="271"/>
    <s v="VERI"/>
    <s v="on 3/17/25 Before Market Eastern Standard Time"/>
    <x v="0"/>
  </r>
  <r>
    <x v="271"/>
    <s v="XGN"/>
    <s v="on 3/17/25 Before Market Eastern Standard Time"/>
    <x v="0"/>
  </r>
  <r>
    <x v="271"/>
    <s v="IMMR"/>
    <s v="on 3/17/25 Before Market Eastern Standard Time"/>
    <x v="1"/>
  </r>
  <r>
    <x v="271"/>
    <s v="ZJK"/>
    <s v="on 3/17/25 Before Market Eastern Standard Time"/>
    <x v="0"/>
  </r>
  <r>
    <x v="271"/>
    <s v="INFU"/>
    <s v="on 3/17/25 Before Market Eastern Standard Time"/>
    <x v="0"/>
  </r>
  <r>
    <x v="272"/>
    <s v="RFIL"/>
    <s v="on 3/17/25 After Market Eastern Standard Time"/>
    <x v="0"/>
  </r>
  <r>
    <x v="272"/>
    <s v="EYEN"/>
    <s v="on 3/17/25 After Market Eastern Standard Time"/>
    <x v="0"/>
  </r>
  <r>
    <x v="272"/>
    <s v="PRSO"/>
    <s v="on 3/17/25 After Market Eastern Standard Time"/>
    <x v="0"/>
  </r>
  <r>
    <x v="272"/>
    <s v="SST"/>
    <s v="on 3/17/25 After Market Eastern Standard Time"/>
    <x v="0"/>
  </r>
  <r>
    <x v="272"/>
    <s v="TNYA"/>
    <s v="on 3/17/25 After Market Eastern Standard Time"/>
    <x v="0"/>
  </r>
  <r>
    <x v="272"/>
    <s v="PIII"/>
    <s v="on 3/17/25 After Market Eastern Standard Time"/>
    <x v="0"/>
  </r>
  <r>
    <x v="272"/>
    <s v="VRM"/>
    <s v="on 3/17/25 After Market Eastern Standard Time"/>
    <x v="0"/>
  </r>
  <r>
    <x v="272"/>
    <s v="QTRX"/>
    <s v="on 3/17/25 After Market Eastern Standard Time"/>
    <x v="1"/>
  </r>
  <r>
    <x v="272"/>
    <s v="WULF"/>
    <s v="on 3/17/25 After Market Eastern Standard Time"/>
    <x v="1"/>
  </r>
  <r>
    <x v="272"/>
    <s v="ADVM"/>
    <s v="on 3/17/25 After Market Eastern Standard Time"/>
    <x v="0"/>
  </r>
  <r>
    <x v="272"/>
    <s v="HSAI"/>
    <s v="on 3/17/25 After Market Eastern Standard Time"/>
    <x v="0"/>
  </r>
  <r>
    <x v="272"/>
    <s v="ZEPP"/>
    <s v="on 3/17/25 After Market Eastern Standard Time"/>
    <x v="0"/>
  </r>
  <r>
    <x v="272"/>
    <s v="OMIC"/>
    <s v="on 3/17/25 After Market Eastern Standard Time"/>
    <x v="0"/>
  </r>
  <r>
    <x v="272"/>
    <s v="FINV"/>
    <s v="on 3/17/25 After Market Eastern Standard Time"/>
    <x v="0"/>
  </r>
  <r>
    <x v="272"/>
    <s v="VRMMQ"/>
    <s v="on 3/17/25 After Market Eastern Standard Time"/>
    <x v="0"/>
  </r>
  <r>
    <x v="272"/>
    <s v="RCAT"/>
    <s v="on 3/17/25 After Market Eastern Standard Time"/>
    <x v="0"/>
  </r>
  <r>
    <x v="272"/>
    <s v="DLO"/>
    <s v="on 3/17/25 After Market Eastern Standard Time"/>
    <x v="0"/>
  </r>
  <r>
    <x v="272"/>
    <s v="PLBY"/>
    <s v="on 3/17/25 After Market Eastern Standard Time"/>
    <x v="0"/>
  </r>
  <r>
    <x v="272"/>
    <s v="PED"/>
    <s v="on 3/17/25 After Market Eastern Standard Time"/>
    <x v="0"/>
  </r>
  <r>
    <x v="272"/>
    <s v="SRG"/>
    <s v="on 3/17/25 After Market Eastern Standard Time"/>
    <x v="0"/>
  </r>
  <r>
    <x v="272"/>
    <s v="GHLD"/>
    <s v="on 3/17/25 After Market Eastern Standard Time"/>
    <x v="0"/>
  </r>
  <r>
    <x v="272"/>
    <s v="BODI"/>
    <s v="on 3/17/25 After Market Eastern Standard Time"/>
    <x v="0"/>
  </r>
  <r>
    <x v="272"/>
    <s v="ACNT"/>
    <s v="on 3/17/25 After Market Eastern Standard Time"/>
    <x v="0"/>
  </r>
  <r>
    <x v="272"/>
    <s v="MVST"/>
    <s v="on 3/17/25 After Market Eastern Standard Time"/>
    <x v="0"/>
  </r>
  <r>
    <x v="272"/>
    <s v="INVE"/>
    <s v="on 3/17/25 After Market Eastern Standard Time"/>
    <x v="0"/>
  </r>
  <r>
    <x v="272"/>
    <s v="BTMD"/>
    <s v="on 3/17/25 After Market Eastern Standard Time"/>
    <x v="0"/>
  </r>
  <r>
    <x v="272"/>
    <s v="YY"/>
    <s v="on 3/17/25 After Market Eastern Standard Time"/>
    <x v="0"/>
  </r>
  <r>
    <x v="272"/>
    <s v="NCMI"/>
    <s v="on 3/17/25 After Market Eastern Standard Time"/>
    <x v="1"/>
  </r>
  <r>
    <x v="273"/>
    <s v="KSS"/>
    <s v="on 3/18/25 Before Market Eastern Standard Time"/>
    <x v="0"/>
  </r>
  <r>
    <x v="273"/>
    <s v="CAL"/>
    <s v="on 3/18/25 Before Market Eastern Standard Time"/>
    <x v="1"/>
  </r>
  <r>
    <x v="273"/>
    <s v="CRMD"/>
    <s v="on 3/18/25 Before Market Eastern Standard Time"/>
    <x v="1"/>
  </r>
  <r>
    <x v="273"/>
    <s v="ZKH"/>
    <s v="on 3/18/25 Before Market Eastern Standard Time"/>
    <x v="0"/>
  </r>
  <r>
    <x v="273"/>
    <s v="HUYA"/>
    <s v="on 3/18/25 Before Market Eastern Standard Time"/>
    <x v="0"/>
  </r>
  <r>
    <x v="273"/>
    <s v="IGT"/>
    <s v="on 3/18/25 Before Market Eastern Standard Time"/>
    <x v="1"/>
  </r>
  <r>
    <x v="273"/>
    <s v="TME"/>
    <s v="on 3/18/25 Before Market Eastern Standard Time"/>
    <x v="0"/>
  </r>
  <r>
    <x v="273"/>
    <s v="ABEO"/>
    <s v="on 3/18/25 Before Market Eastern Standard Time"/>
    <x v="0"/>
  </r>
  <r>
    <x v="273"/>
    <s v="ACXP"/>
    <s v="on 3/18/25 Before Market Eastern Standard Time"/>
    <x v="0"/>
  </r>
  <r>
    <x v="273"/>
    <s v="CNM"/>
    <s v="on 3/18/25 Before Market Eastern Standard Time"/>
    <x v="2"/>
  </r>
  <r>
    <x v="273"/>
    <s v="CSLR"/>
    <s v="on 3/18/25 Unspecified Eastern Standard Time"/>
    <x v="0"/>
  </r>
  <r>
    <x v="273"/>
    <s v="BTBT"/>
    <s v="on 3/18/25 Before Market Eastern Standard Time"/>
    <x v="1"/>
  </r>
  <r>
    <x v="274"/>
    <s v="SND"/>
    <s v="on 3/18/25 After Market Eastern Standard Time"/>
    <x v="0"/>
  </r>
  <r>
    <x v="274"/>
    <s v="STNE"/>
    <s v="on 3/18/25 After Market Eastern Standard Time"/>
    <x v="1"/>
  </r>
  <r>
    <x v="274"/>
    <s v="WKHS"/>
    <s v="on 3/18/25 After Market Eastern Standard Time"/>
    <x v="0"/>
  </r>
  <r>
    <x v="274"/>
    <s v="TSHA"/>
    <s v="on 3/18/25 After Market Eastern Standard Time"/>
    <x v="1"/>
  </r>
  <r>
    <x v="274"/>
    <s v="LTRN"/>
    <s v="on 3/18/25 After Market Eastern Standard Time"/>
    <x v="0"/>
  </r>
  <r>
    <x v="274"/>
    <s v="BAER"/>
    <s v="on 3/18/25 After Market Eastern Standard Time"/>
    <x v="0"/>
  </r>
  <r>
    <x v="274"/>
    <s v="HQY"/>
    <s v="on 3/18/25 After Market Eastern Standard Time"/>
    <x v="1"/>
  </r>
  <r>
    <x v="275"/>
    <s v="RANI"/>
    <s v="on 3/19/25 Before Market Eastern Standard Time"/>
    <x v="0"/>
  </r>
  <r>
    <x v="275"/>
    <s v="ZIM"/>
    <s v="on 3/19/25 Before Market Eastern Standard Time"/>
    <x v="0"/>
  </r>
  <r>
    <x v="275"/>
    <s v="CLNN"/>
    <s v="on 3/19/25 Before Market Eastern Standard Time"/>
    <x v="0"/>
  </r>
  <r>
    <x v="275"/>
    <s v="XPEV"/>
    <s v="on 3/19/25 Before Market Eastern Standard Time"/>
    <x v="0"/>
  </r>
  <r>
    <x v="275"/>
    <s v="SLN"/>
    <s v="on 3/19/25 Before Market Eastern Standard Time"/>
    <x v="0"/>
  </r>
  <r>
    <x v="275"/>
    <s v="HPH"/>
    <s v="on 3/19/25 Before Market Eastern Standard Time"/>
    <x v="0"/>
  </r>
  <r>
    <x v="275"/>
    <s v="FORTY"/>
    <s v="on 3/19/25 Unspecified Eastern Standard Time"/>
    <x v="0"/>
  </r>
  <r>
    <x v="275"/>
    <s v="KC"/>
    <s v="on 3/19/25 Before Market Eastern Standard Time"/>
    <x v="0"/>
  </r>
  <r>
    <x v="275"/>
    <s v="VONOY"/>
    <s v="on 3/19/25 Unspecified Eastern Standard Time"/>
    <x v="0"/>
  </r>
  <r>
    <x v="275"/>
    <s v="MAG"/>
    <s v="on 3/19/25 Before Market Eastern Standard Time"/>
    <x v="0"/>
  </r>
  <r>
    <x v="275"/>
    <s v="IBRX"/>
    <s v="on 3/19/25 Before Market Eastern Standard Time"/>
    <x v="1"/>
  </r>
  <r>
    <x v="275"/>
    <s v="SRAD"/>
    <s v="on 3/19/25 Before Market Eastern Standard Time"/>
    <x v="0"/>
  </r>
  <r>
    <x v="275"/>
    <s v="GIS"/>
    <s v="on 3/19/25 Before Market Eastern Standard Time"/>
    <x v="3"/>
  </r>
  <r>
    <x v="275"/>
    <s v="JKS"/>
    <s v="on 3/19/25 Before Market Eastern Standard Time"/>
    <x v="0"/>
  </r>
  <r>
    <x v="275"/>
    <s v="DLTR"/>
    <s v="on 3/19/25 Before Market Eastern Standard Time"/>
    <x v="3"/>
  </r>
  <r>
    <x v="275"/>
    <s v="PRQR"/>
    <s v="on 3/19/25 Before Market Eastern Standard Time"/>
    <x v="0"/>
  </r>
  <r>
    <x v="275"/>
    <s v="CHWY"/>
    <s v="on 3/19/25 Before Market Eastern Standard Time"/>
    <x v="2"/>
  </r>
  <r>
    <x v="275"/>
    <s v="XIACY"/>
    <s v="on 3/19/25 Unspecified Eastern Standard Time"/>
    <x v="0"/>
  </r>
  <r>
    <x v="275"/>
    <s v="BLRX"/>
    <s v="on 3/19/25 Before Market Eastern Standard Time"/>
    <x v="0"/>
  </r>
  <r>
    <x v="275"/>
    <s v="NESR"/>
    <s v="on 3/19/25 Before Market Eastern Standard Time"/>
    <x v="0"/>
  </r>
  <r>
    <x v="275"/>
    <s v="TIGR"/>
    <s v="on 3/19/25 Before Market Eastern Standard Time"/>
    <x v="0"/>
  </r>
  <r>
    <x v="275"/>
    <s v="LVTX"/>
    <s v="on 3/19/25 Before Market Eastern Standard Time"/>
    <x v="0"/>
  </r>
  <r>
    <x v="275"/>
    <s v="TCEHY"/>
    <s v="on 3/19/25 Before Market Eastern Standard Time"/>
    <x v="0"/>
  </r>
  <r>
    <x v="275"/>
    <s v="PUK"/>
    <s v="on 3/19/25 Unspecified Eastern Standard Time"/>
    <x v="0"/>
  </r>
  <r>
    <x v="275"/>
    <s v="VIK"/>
    <s v="on 3/19/25 Before Market Eastern Standard Time"/>
    <x v="0"/>
  </r>
  <r>
    <x v="275"/>
    <s v="TRML"/>
    <s v="on 3/19/25 Before Market Eastern Standard Time"/>
    <x v="1"/>
  </r>
  <r>
    <x v="275"/>
    <s v="OLLI"/>
    <s v="on 3/19/25 Before Market Eastern Standard Time"/>
    <x v="2"/>
  </r>
  <r>
    <x v="275"/>
    <s v="HLVX"/>
    <s v="on 3/19/25 Before Market Eastern Standard Time"/>
    <x v="0"/>
  </r>
  <r>
    <x v="276"/>
    <s v="ELA"/>
    <s v="on 3/19/25 During Market Eastern Standard Time"/>
    <x v="0"/>
  </r>
  <r>
    <x v="276"/>
    <s v="TKC"/>
    <s v="on 3/19/25 During Market Eastern Standard Time"/>
    <x v="0"/>
  </r>
  <r>
    <x v="277"/>
    <s v="OUST"/>
    <s v="on 3/19/25 After Market Eastern Standard Time"/>
    <x v="1"/>
  </r>
  <r>
    <x v="277"/>
    <s v="UBX"/>
    <s v="on 3/19/25 After Market Eastern Standard Time"/>
    <x v="0"/>
  </r>
  <r>
    <x v="277"/>
    <s v="ASM"/>
    <s v="on 3/19/25 After Market Eastern Standard Time"/>
    <x v="0"/>
  </r>
  <r>
    <x v="277"/>
    <s v="RLMD"/>
    <s v="on 3/19/25 After Market Eastern Standard Time"/>
    <x v="0"/>
  </r>
  <r>
    <x v="277"/>
    <s v="NN"/>
    <s v="on 3/19/25 After Market Eastern Standard Time"/>
    <x v="1"/>
  </r>
  <r>
    <x v="277"/>
    <s v="AUID"/>
    <s v="on 3/19/25 After Market Eastern Standard Time"/>
    <x v="0"/>
  </r>
  <r>
    <x v="277"/>
    <s v="DSGN"/>
    <s v="on 3/19/25 After Market Eastern Standard Time"/>
    <x v="0"/>
  </r>
  <r>
    <x v="277"/>
    <s v="SCS"/>
    <s v="on 3/19/25 After Market Eastern Standard Time"/>
    <x v="1"/>
  </r>
  <r>
    <x v="277"/>
    <s v="PATH"/>
    <s v="on 3/19/25 After Market Eastern Standard Time"/>
    <x v="0"/>
  </r>
  <r>
    <x v="277"/>
    <s v="BOXL"/>
    <s v="on 3/19/25 After Market Eastern Standard Time"/>
    <x v="0"/>
  </r>
  <r>
    <x v="277"/>
    <s v="EPSN"/>
    <s v="on 3/19/25 After Market Eastern Standard Time"/>
    <x v="0"/>
  </r>
  <r>
    <x v="277"/>
    <s v="BEAT"/>
    <s v="on 3/19/25 After Market Eastern Standard Time"/>
    <x v="0"/>
  </r>
  <r>
    <x v="277"/>
    <s v="AUNA"/>
    <s v="on 3/19/25 After Market Eastern Standard Time"/>
    <x v="0"/>
  </r>
  <r>
    <x v="277"/>
    <s v="SERA"/>
    <s v="on 3/19/25 After Market Eastern Standard Time"/>
    <x v="0"/>
  </r>
  <r>
    <x v="277"/>
    <s v="DMAC"/>
    <s v="on 3/19/25 After Market Eastern Standard Time"/>
    <x v="0"/>
  </r>
  <r>
    <x v="277"/>
    <s v="SCPH"/>
    <s v="on 3/19/25 After Market Eastern Standard Time"/>
    <x v="0"/>
  </r>
  <r>
    <x v="277"/>
    <s v="ZTO"/>
    <s v="on 3/19/25 After Market Eastern Standard Time"/>
    <x v="0"/>
  </r>
  <r>
    <x v="277"/>
    <s v="HROW"/>
    <s v="on 3/19/25 After Market Eastern Standard Time"/>
    <x v="1"/>
  </r>
  <r>
    <x v="277"/>
    <s v="ZNOG"/>
    <s v="on 3/19/25 After Market Eastern Standard Time"/>
    <x v="0"/>
  </r>
  <r>
    <x v="277"/>
    <s v="KBH"/>
    <s v="on 3/19/25 After Market Eastern Standard Time"/>
    <x v="1"/>
  </r>
  <r>
    <x v="277"/>
    <s v="CDTX"/>
    <s v="on 3/19/25 After Market Eastern Standard Time"/>
    <x v="0"/>
  </r>
  <r>
    <x v="277"/>
    <s v="EPAC"/>
    <s v="on 3/19/25 After Market Eastern Standard Time"/>
    <x v="1"/>
  </r>
  <r>
    <x v="277"/>
    <s v="VSTA"/>
    <s v="on 3/19/25 After Market Eastern Standard Time"/>
    <x v="0"/>
  </r>
  <r>
    <x v="277"/>
    <s v="FVR"/>
    <s v="on 3/19/25 After Market Eastern Standard Time"/>
    <x v="0"/>
  </r>
  <r>
    <x v="277"/>
    <s v="MU"/>
    <s v="on 3/19/25 After Market Eastern Standard Time"/>
    <x v="3"/>
  </r>
  <r>
    <x v="277"/>
    <s v="CAAP"/>
    <s v="on 3/19/25 After Market Eastern Standard Time"/>
    <x v="0"/>
  </r>
  <r>
    <x v="277"/>
    <s v="AVGR"/>
    <s v="on 3/19/25 After Market Eastern Standard Time"/>
    <x v="0"/>
  </r>
  <r>
    <x v="277"/>
    <s v="NOA"/>
    <s v="on 3/19/25 After Market Eastern Standard Time"/>
    <x v="0"/>
  </r>
  <r>
    <x v="277"/>
    <s v="FGI"/>
    <s v="on 3/19/25 After Market Eastern Standard Time"/>
    <x v="0"/>
  </r>
  <r>
    <x v="277"/>
    <s v="HOFV"/>
    <s v="on 3/19/25 After Market Eastern Standard Time"/>
    <x v="0"/>
  </r>
  <r>
    <x v="277"/>
    <s v="ZEO"/>
    <s v="on 3/19/25 After Market Eastern Standard Time"/>
    <x v="0"/>
  </r>
  <r>
    <x v="277"/>
    <s v="FIVE"/>
    <s v="on 3/19/25 After Market Eastern Standard Time"/>
    <x v="2"/>
  </r>
  <r>
    <x v="278"/>
    <s v="VEON"/>
    <s v="on 3/20/25 Before Market Eastern Standard Time"/>
    <x v="0"/>
  </r>
  <r>
    <x v="278"/>
    <s v="PNGAY"/>
    <s v="on 3/20/25 Unspecified Eastern Standard Time"/>
    <x v="0"/>
  </r>
  <r>
    <x v="278"/>
    <s v="BEKE"/>
    <s v="on 3/20/25 Before Market Eastern Standard Time"/>
    <x v="0"/>
  </r>
  <r>
    <x v="278"/>
    <s v="SPRY"/>
    <s v="on 3/20/25 Before Market Eastern Standard Time"/>
    <x v="1"/>
  </r>
  <r>
    <x v="278"/>
    <s v="LU"/>
    <s v="on 3/20/25 Before Market Eastern Standard Time"/>
    <x v="0"/>
  </r>
  <r>
    <x v="278"/>
    <s v="WGO"/>
    <s v="on 3/20/25 Before Market Eastern Standard Time"/>
    <x v="1"/>
  </r>
  <r>
    <x v="278"/>
    <s v="YJ"/>
    <s v="on 3/20/25 Before Market Eastern Standard Time"/>
    <x v="0"/>
  </r>
  <r>
    <x v="278"/>
    <s v="MIST"/>
    <s v="on 3/20/25 Before Market Eastern Standard Time"/>
    <x v="0"/>
  </r>
  <r>
    <x v="278"/>
    <s v="HTHT"/>
    <s v="on 3/20/25 Before Market Eastern Standard Time"/>
    <x v="0"/>
  </r>
  <r>
    <x v="278"/>
    <s v="TITN"/>
    <s v="on 3/20/25 Before Market Eastern Standard Time"/>
    <x v="1"/>
  </r>
  <r>
    <x v="278"/>
    <s v="CATO"/>
    <s v="on 3/20/25 Before Market Eastern Standard Time"/>
    <x v="0"/>
  </r>
  <r>
    <x v="278"/>
    <s v="DRI"/>
    <s v="on 3/20/25 Before Market Eastern Standard Time"/>
    <x v="3"/>
  </r>
  <r>
    <x v="278"/>
    <s v="XCH"/>
    <s v="on 3/20/25 Unspecified Eastern Standard Time"/>
    <x v="0"/>
  </r>
  <r>
    <x v="278"/>
    <s v="HLDCY"/>
    <s v="on 3/20/25 Unspecified Eastern Standard Time"/>
    <x v="0"/>
  </r>
  <r>
    <x v="278"/>
    <s v="SCVL"/>
    <s v="on 3/20/25 Before Market Eastern Standard Time"/>
    <x v="1"/>
  </r>
  <r>
    <x v="278"/>
    <s v="VERA"/>
    <s v="on 3/20/25 Before Market Eastern Standard Time"/>
    <x v="1"/>
  </r>
  <r>
    <x v="278"/>
    <s v="XFOR"/>
    <s v="on 3/20/25 Before Market Eastern Standard Time"/>
    <x v="0"/>
  </r>
  <r>
    <x v="278"/>
    <s v="HYZN"/>
    <s v="on 3/20/25 Before Market Eastern Standard Time"/>
    <x v="0"/>
  </r>
  <r>
    <x v="278"/>
    <s v="ASO"/>
    <s v="on 3/20/25 Before Market Eastern Standard Time"/>
    <x v="1"/>
  </r>
  <r>
    <x v="278"/>
    <s v="PESI"/>
    <s v="on 3/20/25 Before Market Eastern Standard Time"/>
    <x v="1"/>
  </r>
  <r>
    <x v="278"/>
    <s v="CIG"/>
    <s v="on 3/20/25 Unspecified Eastern Standard Time"/>
    <x v="0"/>
  </r>
  <r>
    <x v="278"/>
    <s v="CMPX"/>
    <s v="on 3/20/25 Before Market Eastern Standard Time"/>
    <x v="0"/>
  </r>
  <r>
    <x v="278"/>
    <s v="FDS"/>
    <s v="on 3/20/25 Before Market Eastern Standard Time"/>
    <x v="3"/>
  </r>
  <r>
    <x v="278"/>
    <s v="CCLD"/>
    <s v="on 3/20/25 Before Market Eastern Standard Time"/>
    <x v="0"/>
  </r>
  <r>
    <x v="278"/>
    <s v="OSS"/>
    <s v="on 3/20/25 Before Market Eastern Standard Time"/>
    <x v="0"/>
  </r>
  <r>
    <x v="278"/>
    <s v="PROK"/>
    <s v="on 3/20/25 Before Market Eastern Standard Time"/>
    <x v="1"/>
  </r>
  <r>
    <x v="278"/>
    <s v="DIDIY"/>
    <s v="on 3/20/25 Unspecified Eastern Standard Time"/>
    <x v="0"/>
  </r>
  <r>
    <x v="278"/>
    <s v="BZUN"/>
    <s v="on 3/20/25 Before Market Eastern Standard Time"/>
    <x v="0"/>
  </r>
  <r>
    <x v="278"/>
    <s v="CREX"/>
    <s v="on 3/20/25 Before Market Eastern Standard Time"/>
    <x v="0"/>
  </r>
  <r>
    <x v="278"/>
    <s v="DXLG"/>
    <s v="on 3/20/25 Before Market Eastern Standard Time"/>
    <x v="0"/>
  </r>
  <r>
    <x v="278"/>
    <s v="ABSI"/>
    <s v="on 3/20/25 Before Market Eastern Standard Time"/>
    <x v="1"/>
  </r>
  <r>
    <x v="278"/>
    <s v="YRD"/>
    <s v="on 3/20/25 Before Market Eastern Standard Time"/>
    <x v="0"/>
  </r>
  <r>
    <x v="278"/>
    <s v="ACN"/>
    <s v="on 3/20/25 Before Market Eastern Standard Time"/>
    <x v="3"/>
  </r>
  <r>
    <x v="278"/>
    <s v="ACTG"/>
    <s v="on 3/20/25 Before Market Eastern Standard Time"/>
    <x v="0"/>
  </r>
  <r>
    <x v="278"/>
    <s v="CABA"/>
    <s v="on 3/20/25 Before Market Eastern Standard Time"/>
    <x v="0"/>
  </r>
  <r>
    <x v="278"/>
    <s v="IFRX"/>
    <s v="on 3/20/25 Before Market Eastern Standard Time"/>
    <x v="0"/>
  </r>
  <r>
    <x v="278"/>
    <s v="RMTI"/>
    <s v="on 3/20/25 Before Market Eastern Standard Time"/>
    <x v="0"/>
  </r>
  <r>
    <x v="278"/>
    <s v="TIL"/>
    <s v="on 3/20/25 Before Market Eastern Standard Time"/>
    <x v="0"/>
  </r>
  <r>
    <x v="278"/>
    <s v="DOYU"/>
    <s v="on 3/20/25 Before Market Eastern Standard Time"/>
    <x v="0"/>
  </r>
  <r>
    <x v="278"/>
    <s v="LUNR"/>
    <s v="on 3/20/25 Before Market Eastern Standard Time"/>
    <x v="1"/>
  </r>
  <r>
    <x v="278"/>
    <s v="VALN"/>
    <s v="on 3/20/25 Before Market Eastern Standard Time"/>
    <x v="0"/>
  </r>
  <r>
    <x v="278"/>
    <s v="APYX"/>
    <s v="on 3/20/25 Before Market Eastern Standard Time"/>
    <x v="0"/>
  </r>
  <r>
    <x v="278"/>
    <s v="NNDM"/>
    <s v="on 3/20/25 Before Market Eastern Standard Time"/>
    <x v="0"/>
  </r>
  <r>
    <x v="278"/>
    <s v="SNDL"/>
    <s v="on 3/20/25 Before Market Eastern Standard Time"/>
    <x v="0"/>
  </r>
  <r>
    <x v="278"/>
    <s v="SY"/>
    <s v="on 3/20/25 Before Market Eastern Standard Time"/>
    <x v="0"/>
  </r>
  <r>
    <x v="278"/>
    <s v="PDD"/>
    <s v="on 3/20/25 Before Market Eastern Standard Time"/>
    <x v="4"/>
  </r>
  <r>
    <x v="278"/>
    <s v="GIII"/>
    <s v="on 3/20/25 Before Market Eastern Standard Time"/>
    <x v="1"/>
  </r>
  <r>
    <x v="278"/>
    <s v="YI"/>
    <s v="on 3/20/25 Before Market Eastern Standard Time"/>
    <x v="0"/>
  </r>
  <r>
    <x v="278"/>
    <s v="STRR"/>
    <s v="on 3/20/25 Before Market Eastern Standard Time"/>
    <x v="0"/>
  </r>
  <r>
    <x v="278"/>
    <s v="GAMB"/>
    <s v="on 3/20/25 Before Market Eastern Standard Time"/>
    <x v="1"/>
  </r>
  <r>
    <x v="278"/>
    <s v="ALUR"/>
    <s v="on 3/20/25 Before Market Eastern Standard Time"/>
    <x v="0"/>
  </r>
  <r>
    <x v="278"/>
    <s v="BRNS"/>
    <s v="on 3/20/25 Before Market Eastern Standard Time"/>
    <x v="0"/>
  </r>
  <r>
    <x v="278"/>
    <s v="INKT"/>
    <s v="on 3/20/25 Before Market Eastern Standard Time"/>
    <x v="0"/>
  </r>
  <r>
    <x v="279"/>
    <s v="CMC"/>
    <s v="on 3/20/25 During Market Eastern Standard Time"/>
    <x v="1"/>
  </r>
  <r>
    <x v="280"/>
    <s v="ABL"/>
    <s v="on 3/20/25 After Market Eastern Standard Time"/>
    <x v="0"/>
  </r>
  <r>
    <x v="280"/>
    <s v="LEN/B"/>
    <s v="on 3/20/25 After Market Eastern Standard Time"/>
    <x v="0"/>
  </r>
  <r>
    <x v="280"/>
    <s v="CRGX"/>
    <s v="on 3/20/25 After Market Eastern Standard Time"/>
    <x v="1"/>
  </r>
  <r>
    <x v="280"/>
    <s v="DESP"/>
    <s v="on 3/20/25 After Market Eastern Standard Time"/>
    <x v="1"/>
  </r>
  <r>
    <x v="280"/>
    <s v="DERM"/>
    <s v="on 3/20/25 After Market Eastern Standard Time"/>
    <x v="0"/>
  </r>
  <r>
    <x v="280"/>
    <s v="NKTX"/>
    <s v="on 3/20/25 After Market Eastern Standard Time"/>
    <x v="0"/>
  </r>
  <r>
    <x v="280"/>
    <s v="TELA"/>
    <s v="on 3/20/25 After Market Eastern Standard Time"/>
    <x v="0"/>
  </r>
  <r>
    <x v="280"/>
    <s v="FDX"/>
    <s v="on 3/20/25 After Market Eastern Standard Time"/>
    <x v="3"/>
  </r>
  <r>
    <x v="280"/>
    <s v="LAAC"/>
    <s v="on 3/20/25 After Market Eastern Standard Time"/>
    <x v="0"/>
  </r>
  <r>
    <x v="280"/>
    <s v="WALD"/>
    <s v="on 3/20/25 After Market Eastern Standard Time"/>
    <x v="0"/>
  </r>
  <r>
    <x v="280"/>
    <s v="OABI"/>
    <s v="on 3/20/25 After Market Eastern Standard Time"/>
    <x v="1"/>
  </r>
  <r>
    <x v="280"/>
    <s v="MLYS"/>
    <s v="on 3/20/25 After Market Eastern Standard Time"/>
    <x v="1"/>
  </r>
  <r>
    <x v="280"/>
    <s v="LX"/>
    <s v="on 3/20/25 After Market Eastern Standard Time"/>
    <x v="0"/>
  </r>
  <r>
    <x v="280"/>
    <s v="AIR"/>
    <s v="on 3/20/25 After Market Eastern Standard Time"/>
    <x v="1"/>
  </r>
  <r>
    <x v="280"/>
    <s v="KRON"/>
    <s v="on 3/20/25 After Market Eastern Standard Time"/>
    <x v="0"/>
  </r>
  <r>
    <x v="280"/>
    <s v="VXRT"/>
    <s v="on 3/20/25 After Market Eastern Standard Time"/>
    <x v="0"/>
  </r>
  <r>
    <x v="280"/>
    <s v="ELVN"/>
    <s v="on 3/20/25 After Market Eastern Standard Time"/>
    <x v="1"/>
  </r>
  <r>
    <x v="280"/>
    <s v="PVL"/>
    <s v="on 3/20/25 After Market Eastern Standard Time"/>
    <x v="0"/>
  </r>
  <r>
    <x v="280"/>
    <s v="ULY"/>
    <s v="on 3/20/25 After Market Eastern Standard Time"/>
    <x v="0"/>
  </r>
  <r>
    <x v="280"/>
    <s v="ARMP"/>
    <s v="on 3/20/25 After Market Eastern Standard Time"/>
    <x v="0"/>
  </r>
  <r>
    <x v="280"/>
    <s v="SKYE"/>
    <s v="on 3/20/25 After Market Eastern Standard Time"/>
    <x v="0"/>
  </r>
  <r>
    <x v="280"/>
    <s v="LULU"/>
    <s v="on 3/20/25 After Market Eastern Standard Time"/>
    <x v="3"/>
  </r>
  <r>
    <x v="280"/>
    <s v="AMPX"/>
    <s v="on 3/20/25 After Market Eastern Standard Time"/>
    <x v="0"/>
  </r>
  <r>
    <x v="280"/>
    <s v="LAES"/>
    <s v="on 3/20/25 After Market Eastern Standard Time"/>
    <x v="0"/>
  </r>
  <r>
    <x v="280"/>
    <s v="HYPR"/>
    <s v="on 3/20/25 After Market Eastern Standard Time"/>
    <x v="0"/>
  </r>
  <r>
    <x v="280"/>
    <s v="ALLO"/>
    <s v="on 3/20/25 After Market Eastern Standard Time"/>
    <x v="1"/>
  </r>
  <r>
    <x v="280"/>
    <s v="TRVI"/>
    <s v="on 3/20/25 After Market Eastern Standard Time"/>
    <x v="0"/>
  </r>
  <r>
    <x v="280"/>
    <s v="NKE"/>
    <s v="on 3/20/25 After Market Eastern Standard Time"/>
    <x v="3"/>
  </r>
  <r>
    <x v="280"/>
    <s v="DNTH"/>
    <s v="on 3/20/25 After Market Eastern Standard Time"/>
    <x v="1"/>
  </r>
  <r>
    <x v="280"/>
    <s v="WS"/>
    <s v="on 3/20/25 After Market Eastern Standard Time"/>
    <x v="1"/>
  </r>
  <r>
    <x v="280"/>
    <s v="CTM"/>
    <s v="on 3/20/25 After Market Eastern Standard Time"/>
    <x v="0"/>
  </r>
  <r>
    <x v="280"/>
    <s v="CBUS"/>
    <s v="on 3/20/25 After Market Eastern Standard Time"/>
    <x v="0"/>
  </r>
  <r>
    <x v="280"/>
    <s v="CURI"/>
    <s v="on 3/20/25 After Market Eastern Standard Time"/>
    <x v="0"/>
  </r>
  <r>
    <x v="280"/>
    <s v="CHCI"/>
    <s v="on 3/20/25 After Market Eastern Standard Time"/>
    <x v="0"/>
  </r>
  <r>
    <x v="280"/>
    <s v="KULR"/>
    <s v="on 3/20/25 After Market Eastern Standard Time"/>
    <x v="0"/>
  </r>
  <r>
    <x v="280"/>
    <s v="ENSC"/>
    <s v="on 3/20/25 After Market Eastern Standard Time"/>
    <x v="0"/>
  </r>
  <r>
    <x v="280"/>
    <s v="CAMP"/>
    <s v="on 3/20/25 After Market Eastern Standard Time"/>
    <x v="0"/>
  </r>
  <r>
    <x v="280"/>
    <s v="MAIA"/>
    <s v="on 3/20/25 After Market Eastern Standard Time"/>
    <x v="0"/>
  </r>
  <r>
    <x v="280"/>
    <s v="RGLS"/>
    <s v="on 3/20/25 After Market Eastern Standard Time"/>
    <x v="0"/>
  </r>
  <r>
    <x v="280"/>
    <s v="JILL"/>
    <s v="on 3/20/25 After Market Eastern Standard Time"/>
    <x v="0"/>
  </r>
  <r>
    <x v="280"/>
    <s v="VOR"/>
    <s v="on 3/20/25 After Market Eastern Standard Time"/>
    <x v="0"/>
  </r>
  <r>
    <x v="280"/>
    <s v="GORO"/>
    <s v="on 3/20/25 After Market Eastern Standard Time"/>
    <x v="0"/>
  </r>
  <r>
    <x v="280"/>
    <s v="NANX"/>
    <s v="on 3/20/25 After Market Eastern Standard Time"/>
    <x v="0"/>
  </r>
  <r>
    <x v="280"/>
    <s v="IDN"/>
    <s v="on 3/20/25 After Market Eastern Standard Time"/>
    <x v="0"/>
  </r>
  <r>
    <x v="280"/>
    <s v="CTSO"/>
    <s v="on 3/20/25 After Market Eastern Standard Time"/>
    <x v="0"/>
  </r>
  <r>
    <x v="280"/>
    <s v="HQI"/>
    <s v="on 3/20/25 After Market Eastern Standard Time"/>
    <x v="0"/>
  </r>
  <r>
    <x v="280"/>
    <s v="LEN"/>
    <s v="on 3/20/25 After Market Eastern Standard Time"/>
    <x v="3"/>
  </r>
  <r>
    <x v="281"/>
    <s v="JBL"/>
    <s v="on 3/21/25 Before Market Eastern Standard Time"/>
    <x v="3"/>
  </r>
  <r>
    <x v="281"/>
    <s v="SOWG"/>
    <s v="on 3/21/25 Before Market Eastern Standard Time"/>
    <x v="0"/>
  </r>
  <r>
    <x v="281"/>
    <s v="TLK"/>
    <s v="on 3/21/25 Unspecified Eastern Standard Time"/>
    <x v="0"/>
  </r>
  <r>
    <x v="281"/>
    <s v="HUMA"/>
    <s v="on 3/21/25 Before Market Eastern Standard Time"/>
    <x v="1"/>
  </r>
  <r>
    <x v="281"/>
    <s v="CSUAY"/>
    <s v="on 3/21/25 Unspecified Eastern Standard Time"/>
    <x v="0"/>
  </r>
  <r>
    <x v="282"/>
    <s v="IPM"/>
    <s v="on 3/21/25 After Market Eastern Standard Time"/>
    <x v="0"/>
  </r>
  <r>
    <x v="282"/>
    <s v="REVB"/>
    <s v="on 3/21/25 After Market Eastern Standard Time"/>
    <x v="0"/>
  </r>
  <r>
    <x v="282"/>
    <s v="PALT"/>
    <s v="on 3/21/25 After Market Eastern Standard Time"/>
    <x v="0"/>
  </r>
  <r>
    <x v="283"/>
    <s v="SBS"/>
    <s v="on 3/24/25 Unspecified Eastern Standard Time"/>
    <x v="0"/>
  </r>
  <r>
    <x v="283"/>
    <s v="PAVM"/>
    <s v="on 3/24/25 Before Market Eastern Standard Time"/>
    <x v="0"/>
  </r>
  <r>
    <x v="283"/>
    <s v="LUCD"/>
    <s v="on 3/24/25 Before Market Eastern Standard Time"/>
    <x v="0"/>
  </r>
  <r>
    <x v="283"/>
    <s v="RAIL"/>
    <s v="on 3/24/25 Before Market Eastern Standard Time"/>
    <x v="0"/>
  </r>
  <r>
    <x v="283"/>
    <s v="IDR"/>
    <s v="on 3/24/25 Before Market Eastern Standard Time"/>
    <x v="0"/>
  </r>
  <r>
    <x v="283"/>
    <s v="LITB"/>
    <s v="on 3/24/25 Before Market Eastern Standard Time"/>
    <x v="0"/>
  </r>
  <r>
    <x v="283"/>
    <s v="BTM"/>
    <s v="on 3/24/25 Before Market Eastern Standard Time"/>
    <x v="0"/>
  </r>
  <r>
    <x v="283"/>
    <s v="CIHKY"/>
    <s v="on 3/24/25 Unspecified Eastern Standard Time"/>
    <x v="0"/>
  </r>
  <r>
    <x v="283"/>
    <s v="SGMT"/>
    <s v="on 3/24/25 Before Market Eastern Standard Time"/>
    <x v="0"/>
  </r>
  <r>
    <x v="283"/>
    <s v="AP"/>
    <s v="on 3/24/25 Before Market Eastern Standard Time"/>
    <x v="0"/>
  </r>
  <r>
    <x v="283"/>
    <s v="STOK"/>
    <s v="on 3/24/25 Before Market Eastern Standard Time"/>
    <x v="1"/>
  </r>
  <r>
    <x v="284"/>
    <s v="HLGN"/>
    <s v="on 3/24/25 After Market Eastern Standard Time"/>
    <x v="0"/>
  </r>
  <r>
    <x v="284"/>
    <s v="EQ"/>
    <s v="on 3/24/25 After Market Eastern Standard Time"/>
    <x v="0"/>
  </r>
  <r>
    <x v="284"/>
    <s v="GLXZ"/>
    <s v="on 3/24/25 After Market Eastern Standard Time"/>
    <x v="0"/>
  </r>
  <r>
    <x v="284"/>
    <s v="EMX"/>
    <s v="on 3/24/25 After Market Eastern Standard Time"/>
    <x v="0"/>
  </r>
  <r>
    <x v="284"/>
    <s v="SMTI"/>
    <s v="on 3/24/25 After Market Eastern Standard Time"/>
    <x v="0"/>
  </r>
  <r>
    <x v="284"/>
    <s v="NGNE"/>
    <s v="on 3/24/25 After Market Eastern Standard Time"/>
    <x v="0"/>
  </r>
  <r>
    <x v="284"/>
    <s v="VNRX"/>
    <s v="on 3/24/25 After Market Eastern Standard Time"/>
    <x v="0"/>
  </r>
  <r>
    <x v="284"/>
    <s v="REKR"/>
    <s v="on 3/24/25 After Market Eastern Standard Time"/>
    <x v="0"/>
  </r>
  <r>
    <x v="284"/>
    <s v="AVTE"/>
    <s v="on 3/24/25 After Market Eastern Standard Time"/>
    <x v="0"/>
  </r>
  <r>
    <x v="284"/>
    <s v="BKKT"/>
    <s v="on 3/24/25 After Market Eastern Standard Time"/>
    <x v="0"/>
  </r>
  <r>
    <x v="285"/>
    <s v="SRRK"/>
    <s v="on 3/25/25 Before Market Eastern Standard Time"/>
    <x v="1"/>
  </r>
  <r>
    <x v="285"/>
    <s v="FLUT"/>
    <s v="on 3/25/25 Unspecified Eastern Standard Time"/>
    <x v="0"/>
  </r>
  <r>
    <x v="285"/>
    <s v="HEPS"/>
    <s v="on 3/25/25 Before Market Eastern Standard Time"/>
    <x v="0"/>
  </r>
  <r>
    <x v="285"/>
    <s v="SALM"/>
    <s v="on 3/25/25 Unspecified Eastern Standard Time"/>
    <x v="0"/>
  </r>
  <r>
    <x v="285"/>
    <s v="GDS"/>
    <s v="on 3/25/25 Before Market Eastern Standard Time"/>
    <x v="0"/>
  </r>
  <r>
    <x v="285"/>
    <s v="SNX"/>
    <s v="on 3/25/25 Before Market Eastern Standard Time"/>
    <x v="2"/>
  </r>
  <r>
    <x v="285"/>
    <s v="BIORQ"/>
    <s v="on 3/25/25 Before Market Eastern Standard Time"/>
    <x v="0"/>
  </r>
  <r>
    <x v="285"/>
    <s v="MKC"/>
    <s v="on 3/25/25 Before Market Eastern Standard Time"/>
    <x v="3"/>
  </r>
  <r>
    <x v="285"/>
    <s v="CGTX"/>
    <s v="on 3/25/25 Before Market Eastern Standard Time"/>
    <x v="0"/>
  </r>
  <r>
    <x v="285"/>
    <s v="BIOR"/>
    <s v="on 3/25/25 Before Market Eastern Standard Time"/>
    <x v="0"/>
  </r>
  <r>
    <x v="285"/>
    <s v="VANI"/>
    <s v="on 3/25/25 Before Market Eastern Standard Time"/>
    <x v="0"/>
  </r>
  <r>
    <x v="285"/>
    <s v="SOAR"/>
    <s v="on 3/25/25 Before Market Eastern Standard Time"/>
    <x v="0"/>
  </r>
  <r>
    <x v="285"/>
    <s v="THRD"/>
    <s v="on 3/25/25 Before Market Eastern Standard Time"/>
    <x v="1"/>
  </r>
  <r>
    <x v="285"/>
    <s v="CTRN"/>
    <s v="on 3/25/25 Before Market Eastern Standard Time"/>
    <x v="0"/>
  </r>
  <r>
    <x v="285"/>
    <s v="GYRE"/>
    <s v="on 3/25/25 Before Market Eastern Standard Time"/>
    <x v="0"/>
  </r>
  <r>
    <x v="285"/>
    <s v="PAL"/>
    <s v="on 3/25/25 Before Market Eastern Standard Time"/>
    <x v="0"/>
  </r>
  <r>
    <x v="285"/>
    <s v="ESLT"/>
    <s v="on 3/25/25 Before Market Eastern Standard Time"/>
    <x v="0"/>
  </r>
  <r>
    <x v="286"/>
    <s v="SELF"/>
    <s v="on 3/25/25 After Market Eastern Standard Time"/>
    <x v="0"/>
  </r>
  <r>
    <x v="286"/>
    <s v="CRVS"/>
    <s v="on 3/25/25 After Market Eastern Standard Time"/>
    <x v="0"/>
  </r>
  <r>
    <x v="286"/>
    <s v="GANX"/>
    <s v="on 3/25/25 After Market Eastern Standard Time"/>
    <x v="0"/>
  </r>
  <r>
    <x v="286"/>
    <s v="BCAB"/>
    <s v="on 3/25/25 After Market Eastern Standard Time"/>
    <x v="0"/>
  </r>
  <r>
    <x v="286"/>
    <s v="RVYL"/>
    <s v="on 3/25/25 After Market Eastern Standard Time"/>
    <x v="0"/>
  </r>
  <r>
    <x v="286"/>
    <s v="MRAI"/>
    <s v="on 3/25/25 After Market Eastern Standard Time"/>
    <x v="0"/>
  </r>
  <r>
    <x v="286"/>
    <s v="ACET"/>
    <s v="on 3/25/25 After Market Eastern Standard Time"/>
    <x v="0"/>
  </r>
  <r>
    <x v="286"/>
    <s v="WOR"/>
    <s v="on 3/25/25 After Market Eastern Standard Time"/>
    <x v="1"/>
  </r>
  <r>
    <x v="286"/>
    <s v="PAYS"/>
    <s v="on 3/25/25 After Market Eastern Standard Time"/>
    <x v="0"/>
  </r>
  <r>
    <x v="286"/>
    <s v="APTO"/>
    <s v="on 3/25/25 After Market Eastern Standard Time"/>
    <x v="0"/>
  </r>
  <r>
    <x v="286"/>
    <s v="DADA"/>
    <s v="on 3/25/25 After Market Eastern Standard Time"/>
    <x v="0"/>
  </r>
  <r>
    <x v="286"/>
    <s v="INTZ"/>
    <s v="on 3/25/25 After Market Eastern Standard Time"/>
    <x v="0"/>
  </r>
  <r>
    <x v="286"/>
    <s v="KRRO"/>
    <s v="on 3/25/25 After Market Eastern Standard Time"/>
    <x v="1"/>
  </r>
  <r>
    <x v="286"/>
    <s v="IRIX"/>
    <s v="on 3/25/25 After Market Eastern Standard Time"/>
    <x v="0"/>
  </r>
  <r>
    <x v="286"/>
    <s v="TYRA"/>
    <s v="on 3/25/25 After Market Eastern Standard Time"/>
    <x v="1"/>
  </r>
  <r>
    <x v="286"/>
    <s v="GME"/>
    <s v="on 3/25/25 After Market Eastern Standard Time"/>
    <x v="2"/>
  </r>
  <r>
    <x v="286"/>
    <s v="DRCT"/>
    <s v="on 3/25/25 After Market Eastern Standard Time"/>
    <x v="0"/>
  </r>
  <r>
    <x v="286"/>
    <s v="WYY"/>
    <s v="on 3/25/25 After Market Eastern Standard Time"/>
    <x v="0"/>
  </r>
  <r>
    <x v="286"/>
    <s v="GLBS"/>
    <s v="on 3/25/25 After Market Eastern Standard Time"/>
    <x v="0"/>
  </r>
  <r>
    <x v="287"/>
    <s v="ADUR"/>
    <s v="on 3/26/25 Before Market Eastern Standard Time"/>
    <x v="0"/>
  </r>
  <r>
    <x v="287"/>
    <s v="SIG"/>
    <s v="on 3/26/25 Before Market Eastern Standard Time"/>
    <x v="1"/>
  </r>
  <r>
    <x v="287"/>
    <s v="EDAP"/>
    <s v="on 3/26/25 Before Market Eastern Standard Time"/>
    <x v="0"/>
  </r>
  <r>
    <x v="287"/>
    <s v="REE"/>
    <s v="on 3/26/25 Before Market Eastern Standard Time"/>
    <x v="0"/>
  </r>
  <r>
    <x v="287"/>
    <s v="KEN"/>
    <s v="on 3/26/25 Before Market Eastern Standard Time"/>
    <x v="0"/>
  </r>
  <r>
    <x v="287"/>
    <s v="BLUE"/>
    <s v="on 3/26/25 Before Market Eastern Standard Time"/>
    <x v="0"/>
  </r>
  <r>
    <x v="287"/>
    <s v="CTAS"/>
    <s v="on 3/26/25 Before Market Eastern Standard Time"/>
    <x v="3"/>
  </r>
  <r>
    <x v="287"/>
    <s v="LOCL"/>
    <s v="on 3/26/25 Before Market Eastern Standard Time"/>
    <x v="0"/>
  </r>
  <r>
    <x v="287"/>
    <s v="POAHY"/>
    <s v="on 3/26/25 Unspecified Eastern Standard Time"/>
    <x v="0"/>
  </r>
  <r>
    <x v="287"/>
    <s v="MGX"/>
    <s v="on 3/26/25 Before Market Eastern Standard Time"/>
    <x v="0"/>
  </r>
  <r>
    <x v="287"/>
    <s v="CLRB"/>
    <s v="on 3/26/25 Before Market Eastern Standard Time"/>
    <x v="0"/>
  </r>
  <r>
    <x v="287"/>
    <s v="WDH"/>
    <s v="on 3/26/25 Before Market Eastern Standard Time"/>
    <x v="0"/>
  </r>
  <r>
    <x v="287"/>
    <s v="IVA"/>
    <s v="on 3/26/25 Unspecified Eastern Standard Time"/>
    <x v="0"/>
  </r>
  <r>
    <x v="287"/>
    <s v="ZH"/>
    <s v="on 3/26/25 Before Market Eastern Standard Time"/>
    <x v="0"/>
  </r>
  <r>
    <x v="287"/>
    <s v="VEEE"/>
    <s v="on 3/26/25 Before Market Eastern Standard Time"/>
    <x v="0"/>
  </r>
  <r>
    <x v="287"/>
    <s v="BCMXY"/>
    <s v="on 3/26/25 Unspecified Eastern Standard Time"/>
    <x v="0"/>
  </r>
  <r>
    <x v="287"/>
    <s v="HOUR"/>
    <s v="on 3/26/25 Before Market Eastern Standard Time"/>
    <x v="0"/>
  </r>
  <r>
    <x v="288"/>
    <s v="NOAH"/>
    <s v="on 3/26/25 After Market Eastern Standard Time"/>
    <x v="0"/>
  </r>
  <r>
    <x v="288"/>
    <s v="OXBR"/>
    <s v="on 3/26/25 After Market Eastern Standard Time"/>
    <x v="0"/>
  </r>
  <r>
    <x v="288"/>
    <s v="GES"/>
    <s v="on 3/26/25 After Market Eastern Standard Time"/>
    <x v="0"/>
  </r>
  <r>
    <x v="288"/>
    <s v="AURA"/>
    <s v="on 3/26/25 After Market Eastern Standard Time"/>
    <x v="1"/>
  </r>
  <r>
    <x v="288"/>
    <s v="USIO"/>
    <s v="on 3/26/25 After Market Eastern Standard Time"/>
    <x v="0"/>
  </r>
  <r>
    <x v="288"/>
    <s v="KINS"/>
    <s v="on 3/26/25 After Market Eastern Standard Time"/>
    <x v="0"/>
  </r>
  <r>
    <x v="288"/>
    <s v="STRO"/>
    <s v="on 3/26/25 After Market Eastern Standard Time"/>
    <x v="1"/>
  </r>
  <r>
    <x v="288"/>
    <s v="RUM"/>
    <s v="on 3/26/25 After Market Eastern Standard Time"/>
    <x v="0"/>
  </r>
  <r>
    <x v="288"/>
    <s v="MTNB"/>
    <s v="on 3/26/25 After Market Eastern Standard Time"/>
    <x v="0"/>
  </r>
  <r>
    <x v="288"/>
    <s v="SIDU"/>
    <s v="on 3/26/25 After Market Eastern Standard Time"/>
    <x v="0"/>
  </r>
  <r>
    <x v="288"/>
    <s v="FRZA"/>
    <s v="on 3/26/25 After Market Eastern Standard Time"/>
    <x v="0"/>
  </r>
  <r>
    <x v="288"/>
    <s v="LIDR"/>
    <s v="on 3/26/25 After Market Eastern Standard Time"/>
    <x v="0"/>
  </r>
  <r>
    <x v="288"/>
    <s v="TC"/>
    <s v="on 3/26/25 After Market Eastern Standard Time"/>
    <x v="0"/>
  </r>
  <r>
    <x v="288"/>
    <s v="MLKN"/>
    <s v="on 3/26/25 After Market Eastern Standard Time"/>
    <x v="1"/>
  </r>
  <r>
    <x v="288"/>
    <s v="JEF"/>
    <s v="on 3/26/25 After Market Eastern Standard Time"/>
    <x v="2"/>
  </r>
  <r>
    <x v="288"/>
    <s v="FUL"/>
    <s v="on 3/26/25 After Market Eastern Standard Time"/>
    <x v="1"/>
  </r>
  <r>
    <x v="288"/>
    <s v="SA"/>
    <s v="on 3/26/25 After Market Eastern Standard Time"/>
    <x v="0"/>
  </r>
  <r>
    <x v="288"/>
    <s v="VNET"/>
    <s v="on 3/26/25 After Market Eastern Standard Time"/>
    <x v="0"/>
  </r>
  <r>
    <x v="288"/>
    <s v="AQMS"/>
    <s v="on 3/26/25 After Market Eastern Standard Time"/>
    <x v="0"/>
  </r>
  <r>
    <x v="288"/>
    <s v="CNXC"/>
    <s v="on 3/26/25 After Market Eastern Standard Time"/>
    <x v="2"/>
  </r>
  <r>
    <x v="288"/>
    <s v="VRNT"/>
    <s v="on 3/26/25 After Market Eastern Standard Time"/>
    <x v="1"/>
  </r>
  <r>
    <x v="288"/>
    <s v="SMTC"/>
    <s v="on 3/26/25 After Market Eastern Standard Time"/>
    <x v="1"/>
  </r>
  <r>
    <x v="288"/>
    <s v="CXM"/>
    <s v="on 3/26/25 After Market Eastern Standard Time"/>
    <x v="1"/>
  </r>
  <r>
    <x v="288"/>
    <s v="MDAI"/>
    <s v="on 3/26/25 After Market Eastern Standard Time"/>
    <x v="0"/>
  </r>
  <r>
    <x v="288"/>
    <s v="PGEN"/>
    <s v="on 3/26/25 After Market Eastern Standard Time"/>
    <x v="0"/>
  </r>
  <r>
    <x v="288"/>
    <s v="CYCC"/>
    <s v="on 3/26/25 After Market Eastern Standard Time"/>
    <x v="0"/>
  </r>
  <r>
    <x v="288"/>
    <s v="BRZE"/>
    <s v="on 3/26/25 After Market Eastern Standard Time"/>
    <x v="1"/>
  </r>
  <r>
    <x v="289"/>
    <s v="AZUL"/>
    <s v="on 3/27/25 Before Market Eastern Standard Time"/>
    <x v="0"/>
  </r>
  <r>
    <x v="289"/>
    <s v="DTIL"/>
    <s v="on 3/27/25 Before Market Eastern Standard Time"/>
    <x v="0"/>
  </r>
  <r>
    <x v="289"/>
    <s v="SHIM"/>
    <s v="on 3/27/25 Before Market Eastern Standard Time"/>
    <x v="0"/>
  </r>
  <r>
    <x v="289"/>
    <s v="CNF"/>
    <s v="on 3/27/25 Before Market Eastern Standard Time"/>
    <x v="0"/>
  </r>
  <r>
    <x v="289"/>
    <s v="CAOVY"/>
    <s v="on 3/27/25 Unspecified Eastern Standard Time"/>
    <x v="0"/>
  </r>
  <r>
    <x v="289"/>
    <s v="ZGN"/>
    <s v="on 3/27/25 Before Market Eastern Standard Time"/>
    <x v="0"/>
  </r>
  <r>
    <x v="289"/>
    <s v="CKHUY"/>
    <s v="on 3/27/25 Unspecified Eastern Standard Time"/>
    <x v="0"/>
  </r>
  <r>
    <x v="289"/>
    <s v="LOAR"/>
    <s v="on 3/27/25 Before Market Eastern Standard Time"/>
    <x v="0"/>
  </r>
  <r>
    <x v="289"/>
    <s v="EXAI"/>
    <s v="on 3/27/25 Before Market Eastern Standard Time"/>
    <x v="0"/>
  </r>
  <r>
    <x v="289"/>
    <s v="IPHA"/>
    <s v="on 3/27/25 Before Market Eastern Standard Time"/>
    <x v="0"/>
  </r>
  <r>
    <x v="289"/>
    <s v="WBA"/>
    <s v="on 3/27/25 Before Market Eastern Standard Time"/>
    <x v="3"/>
  </r>
  <r>
    <x v="289"/>
    <s v="PDSB"/>
    <s v="on 3/27/25 Before Market Eastern Standard Time"/>
    <x v="0"/>
  </r>
  <r>
    <x v="289"/>
    <s v="CICHY"/>
    <s v="on 3/27/25 Unspecified Eastern Standard Time"/>
    <x v="0"/>
  </r>
  <r>
    <x v="289"/>
    <s v="BHKLY"/>
    <s v="on 3/27/25 Unspecified Eastern Standard Time"/>
    <x v="0"/>
  </r>
  <r>
    <x v="289"/>
    <s v="GALT"/>
    <s v="on 3/27/25 Before Market Eastern Standard Time"/>
    <x v="0"/>
  </r>
  <r>
    <x v="289"/>
    <s v="AWH"/>
    <s v="on 3/27/25 Before Market Eastern Standard Time"/>
    <x v="0"/>
  </r>
  <r>
    <x v="289"/>
    <s v="DBI"/>
    <s v="on 3/27/25 Before Market Eastern Standard Time"/>
    <x v="1"/>
  </r>
  <r>
    <x v="289"/>
    <s v="CNTA"/>
    <s v="on 3/27/25 Before Market Eastern Standard Time"/>
    <x v="0"/>
  </r>
  <r>
    <x v="289"/>
    <s v="CRNCY"/>
    <s v="on 3/27/25 Unspecified Eastern Standard Time"/>
    <x v="0"/>
  </r>
  <r>
    <x v="289"/>
    <s v="IMTX"/>
    <s v="on 3/27/25 Before Market Eastern Standard Time"/>
    <x v="0"/>
  </r>
  <r>
    <x v="289"/>
    <s v="ITRM"/>
    <s v="on 3/27/25 Before Market Eastern Standard Time"/>
    <x v="0"/>
  </r>
  <r>
    <x v="289"/>
    <s v="POAI"/>
    <s v="on 3/27/25 Before Market Eastern Standard Time"/>
    <x v="0"/>
  </r>
  <r>
    <x v="289"/>
    <s v="CUK"/>
    <s v="on 3/27/25 Before Market Eastern Standard Time"/>
    <x v="0"/>
  </r>
  <r>
    <x v="289"/>
    <s v="CMCT"/>
    <s v="on 3/27/25 Before Market Eastern Standard Time"/>
    <x v="0"/>
  </r>
  <r>
    <x v="289"/>
    <s v="AFMD"/>
    <s v="on 3/27/25 Before Market Eastern Standard Time"/>
    <x v="0"/>
  </r>
  <r>
    <x v="289"/>
    <s v="IRON"/>
    <s v="on 3/27/25 Before Market Eastern Standard Time"/>
    <x v="1"/>
  </r>
  <r>
    <x v="289"/>
    <s v="USAS"/>
    <s v="on 3/27/25 Before Market Eastern Standard Time"/>
    <x v="0"/>
  </r>
  <r>
    <x v="289"/>
    <s v="JFIN"/>
    <s v="on 3/27/25 Before Market Eastern Standard Time"/>
    <x v="0"/>
  </r>
  <r>
    <x v="289"/>
    <s v="PYXS"/>
    <s v="on 3/27/25 Before Market Eastern Standard Time"/>
    <x v="1"/>
  </r>
  <r>
    <x v="289"/>
    <s v="CAAS"/>
    <s v="on 3/27/25 Before Market Eastern Standard Time"/>
    <x v="0"/>
  </r>
  <r>
    <x v="289"/>
    <s v="LZM"/>
    <s v="on 3/27/25 Before Market Eastern Standard Time"/>
    <x v="1"/>
  </r>
  <r>
    <x v="289"/>
    <s v="TEN"/>
    <s v="on 3/27/25 Before Market Eastern Standard Time"/>
    <x v="0"/>
  </r>
  <r>
    <x v="289"/>
    <s v="XXII"/>
    <s v="on 3/27/25 Before Market Eastern Standard Time"/>
    <x v="0"/>
  </r>
  <r>
    <x v="289"/>
    <s v="MREO"/>
    <s v="on 3/27/25 Before Market Eastern Standard Time"/>
    <x v="0"/>
  </r>
  <r>
    <x v="289"/>
    <s v="REX"/>
    <s v="on 3/27/25 Before Market Eastern Standard Time"/>
    <x v="1"/>
  </r>
  <r>
    <x v="289"/>
    <s v="MDWD"/>
    <s v="on 3/27/25 Before Market Eastern Standard Time"/>
    <x v="0"/>
  </r>
  <r>
    <x v="289"/>
    <s v="TBIO"/>
    <s v="on 3/27/25 Before Market Eastern Standard Time"/>
    <x v="0"/>
  </r>
  <r>
    <x v="289"/>
    <s v="DTST"/>
    <s v="on 3/27/25 Before Market Eastern Standard Time"/>
    <x v="0"/>
  </r>
  <r>
    <x v="289"/>
    <s v="VCIG"/>
    <s v="on 3/27/25 Before Market Eastern Standard Time"/>
    <x v="0"/>
  </r>
  <r>
    <x v="289"/>
    <s v="AMS"/>
    <s v="on 3/27/25 Before Market Eastern Standard Time"/>
    <x v="0"/>
  </r>
  <r>
    <x v="289"/>
    <s v="ALOT"/>
    <s v="on 3/27/25 Before Market Eastern Standard Time"/>
    <x v="0"/>
  </r>
  <r>
    <x v="289"/>
    <s v="SNDA"/>
    <s v="on 3/27/25 Before Market Eastern Standard Time"/>
    <x v="0"/>
  </r>
  <r>
    <x v="289"/>
    <s v="ADN"/>
    <s v="on 3/27/25 Before Market Eastern Standard Time"/>
    <x v="0"/>
  </r>
  <r>
    <x v="289"/>
    <s v="ATAI"/>
    <s v="on 3/27/25 Before Market Eastern Standard Time"/>
    <x v="0"/>
  </r>
  <r>
    <x v="289"/>
    <s v="BACHY"/>
    <s v="on 3/27/25 Unspecified Eastern Standard Time"/>
    <x v="0"/>
  </r>
  <r>
    <x v="289"/>
    <s v="AVBP"/>
    <s v="on 3/27/25 Before Market Eastern Standard Time"/>
    <x v="1"/>
  </r>
  <r>
    <x v="289"/>
    <s v="KIRK"/>
    <s v="on 3/27/25 Before Market Eastern Standard Time"/>
    <x v="0"/>
  </r>
  <r>
    <x v="289"/>
    <s v="FENC"/>
    <s v="on 3/27/25 Before Market Eastern Standard Time"/>
    <x v="0"/>
  </r>
  <r>
    <x v="289"/>
    <s v="CMCL"/>
    <s v="on 3/27/25 Before Market Eastern Standard Time"/>
    <x v="0"/>
  </r>
  <r>
    <x v="289"/>
    <s v="COCP"/>
    <s v="on 3/27/25 Before Market Eastern Standard Time"/>
    <x v="0"/>
  </r>
  <r>
    <x v="289"/>
    <s v="IKT"/>
    <s v="on 3/27/25 Before Market Eastern Standard Time"/>
    <x v="0"/>
  </r>
  <r>
    <x v="289"/>
    <s v="EP"/>
    <s v="on 3/27/25 Before Market Eastern Standard Time"/>
    <x v="0"/>
  </r>
  <r>
    <x v="289"/>
    <s v="BOSC"/>
    <s v="on 3/27/25 Before Market Eastern Standard Time"/>
    <x v="0"/>
  </r>
  <r>
    <x v="289"/>
    <s v="DLNG"/>
    <s v="on 3/27/25 Before Market Eastern Standard Time"/>
    <x v="0"/>
  </r>
  <r>
    <x v="289"/>
    <s v="DELKY"/>
    <s v="on 3/27/25 Unspecified Eastern Standard Time"/>
    <x v="0"/>
  </r>
  <r>
    <x v="289"/>
    <s v="SATX"/>
    <s v="on 3/27/25 Before Market Eastern Standard Time"/>
    <x v="0"/>
  </r>
  <r>
    <x v="289"/>
    <s v="HUT"/>
    <s v="on 3/27/25 Before Market Eastern Standard Time"/>
    <x v="1"/>
  </r>
  <r>
    <x v="289"/>
    <s v="CCL"/>
    <s v="on 3/27/25 Before Market Eastern Standard Time"/>
    <x v="3"/>
  </r>
  <r>
    <x v="289"/>
    <s v="CRBJY"/>
    <s v="on 3/27/25 Unspecified Eastern Standard Time"/>
    <x v="0"/>
  </r>
  <r>
    <x v="289"/>
    <s v="CTRYY"/>
    <s v="on 3/27/25 Unspecified Eastern Standard Time"/>
    <x v="0"/>
  </r>
  <r>
    <x v="289"/>
    <s v="STRS"/>
    <s v="on 3/27/25 Before Market Eastern Standard Time"/>
    <x v="0"/>
  </r>
  <r>
    <x v="290"/>
    <s v="HRGN"/>
    <s v="on 3/27/25 During Market Eastern Standard Time"/>
    <x v="0"/>
  </r>
  <r>
    <x v="290"/>
    <s v="DC"/>
    <s v="on 3/27/25 During Market Eastern Standard Time"/>
    <x v="0"/>
  </r>
  <r>
    <x v="290"/>
    <s v="SNFCA"/>
    <s v="on 3/27/25 During Market Eastern Standard Time"/>
    <x v="0"/>
  </r>
  <r>
    <x v="291"/>
    <s v="CURV"/>
    <s v="on 3/27/25 After Market Eastern Standard Time"/>
    <x v="0"/>
  </r>
  <r>
    <x v="291"/>
    <s v="LFLY"/>
    <s v="on 3/27/25 After Market Eastern Standard Time"/>
    <x v="0"/>
  </r>
  <r>
    <x v="291"/>
    <s v="AXDX"/>
    <s v="on 3/27/25 After Market Eastern Standard Time"/>
    <x v="0"/>
  </r>
  <r>
    <x v="291"/>
    <s v="DYAI"/>
    <s v="on 3/27/25 After Market Eastern Standard Time"/>
    <x v="0"/>
  </r>
  <r>
    <x v="291"/>
    <s v="CUE"/>
    <s v="on 3/27/25 After Market Eastern Standard Time"/>
    <x v="0"/>
  </r>
  <r>
    <x v="291"/>
    <s v="KOD"/>
    <s v="on 3/27/25 After Market Eastern Standard Time"/>
    <x v="0"/>
  </r>
  <r>
    <x v="291"/>
    <s v="PLSE"/>
    <s v="on 3/27/25 After Market Eastern Standard Time"/>
    <x v="1"/>
  </r>
  <r>
    <x v="291"/>
    <s v="GROY"/>
    <s v="on 3/27/25 After Market Eastern Standard Time"/>
    <x v="0"/>
  </r>
  <r>
    <x v="291"/>
    <s v="LPA"/>
    <s v="on 3/27/25 After Market Eastern Standard Time"/>
    <x v="0"/>
  </r>
  <r>
    <x v="291"/>
    <s v="SCYX"/>
    <s v="on 3/27/25 After Market Eastern Standard Time"/>
    <x v="0"/>
  </r>
  <r>
    <x v="291"/>
    <s v="SKYH"/>
    <s v="on 3/27/25 After Market Eastern Standard Time"/>
    <x v="0"/>
  </r>
  <r>
    <x v="291"/>
    <s v="SARO"/>
    <s v="on 3/27/25 After Market Eastern Standard Time"/>
    <x v="0"/>
  </r>
  <r>
    <x v="291"/>
    <s v="SLRN"/>
    <s v="on 3/27/25 After Market Eastern Standard Time"/>
    <x v="1"/>
  </r>
  <r>
    <x v="291"/>
    <s v="RKDA"/>
    <s v="on 3/27/25 After Market Eastern Standard Time"/>
    <x v="0"/>
  </r>
  <r>
    <x v="291"/>
    <s v="WRN"/>
    <s v="on 3/27/25 After Market Eastern Standard Time"/>
    <x v="0"/>
  </r>
  <r>
    <x v="291"/>
    <s v="ALMS"/>
    <s v="on 3/27/25 After Market Eastern Standard Time"/>
    <x v="0"/>
  </r>
  <r>
    <x v="291"/>
    <s v="FBIO"/>
    <s v="on 3/27/25 After Market Eastern Standard Time"/>
    <x v="0"/>
  </r>
  <r>
    <x v="291"/>
    <s v="ANVS"/>
    <s v="on 3/27/25 After Market Eastern Standard Time"/>
    <x v="0"/>
  </r>
  <r>
    <x v="291"/>
    <s v="GLASF"/>
    <s v="on 3/27/25 After Market Eastern Standard Time"/>
    <x v="0"/>
  </r>
  <r>
    <x v="291"/>
    <s v="SOL"/>
    <s v="on 3/27/25 After Market Eastern Standard Time"/>
    <x v="0"/>
  </r>
  <r>
    <x v="291"/>
    <s v="DRRX"/>
    <s v="on 3/27/25 After Market Eastern Standard Time"/>
    <x v="0"/>
  </r>
  <r>
    <x v="291"/>
    <s v="ZVRA"/>
    <s v="on 3/27/25 After Market Eastern Standard Time"/>
    <x v="1"/>
  </r>
  <r>
    <x v="291"/>
    <s v="AONC"/>
    <s v="on 3/27/25 After Market Eastern Standard Time"/>
    <x v="0"/>
  </r>
  <r>
    <x v="291"/>
    <s v="CDZI"/>
    <s v="on 3/27/25 After Market Eastern Standard Time"/>
    <x v="0"/>
  </r>
  <r>
    <x v="291"/>
    <s v="VVOS"/>
    <s v="on 3/27/25 After Market Eastern Standard Time"/>
    <x v="0"/>
  </r>
  <r>
    <x v="291"/>
    <s v="ACHV"/>
    <s v="on 3/27/25 After Market Eastern Standard Time"/>
    <x v="0"/>
  </r>
  <r>
    <x v="291"/>
    <s v="ELDN"/>
    <s v="on 3/27/25 After Market Eastern Standard Time"/>
    <x v="0"/>
  </r>
  <r>
    <x v="291"/>
    <s v="NBY"/>
    <s v="on 3/27/25 After Market Eastern Standard Time"/>
    <x v="0"/>
  </r>
  <r>
    <x v="291"/>
    <s v="HSDT"/>
    <s v="on 3/27/25 After Market Eastern Standard Time"/>
    <x v="0"/>
  </r>
  <r>
    <x v="291"/>
    <s v="BOC"/>
    <s v="on 3/27/25 After Market Eastern Standard Time"/>
    <x v="1"/>
  </r>
  <r>
    <x v="291"/>
    <s v="NXTC"/>
    <s v="on 3/27/25 After Market Eastern Standard Time"/>
    <x v="0"/>
  </r>
  <r>
    <x v="291"/>
    <s v="GURE"/>
    <s v="on 3/27/25 After Market Eastern Standard Time"/>
    <x v="0"/>
  </r>
  <r>
    <x v="291"/>
    <s v="IBTA"/>
    <s v="on 3/27/25 After Market Eastern Standard Time"/>
    <x v="1"/>
  </r>
  <r>
    <x v="291"/>
    <s v="NMG"/>
    <s v="on 3/27/25 After Market Eastern Standard Time"/>
    <x v="0"/>
  </r>
  <r>
    <x v="291"/>
    <s v="XOS"/>
    <s v="on 3/27/25 After Market Eastern Standard Time"/>
    <x v="0"/>
  </r>
  <r>
    <x v="291"/>
    <s v="BNR"/>
    <s v="on 3/27/25 After Market Eastern Standard Time"/>
    <x v="0"/>
  </r>
  <r>
    <x v="291"/>
    <s v="ACOG"/>
    <s v="on 3/27/25 After Market Eastern Standard Time"/>
    <x v="0"/>
  </r>
  <r>
    <x v="291"/>
    <s v="BOLT"/>
    <s v="on 3/27/25 After Market Eastern Standard Time"/>
    <x v="0"/>
  </r>
  <r>
    <x v="291"/>
    <s v="WATT"/>
    <s v="on 3/27/25 After Market Eastern Standard Time"/>
    <x v="0"/>
  </r>
  <r>
    <x v="291"/>
    <s v="CPTN"/>
    <s v="on 3/27/25 After Market Eastern Standard Time"/>
    <x v="0"/>
  </r>
  <r>
    <x v="291"/>
    <s v="FORA"/>
    <s v="on 3/27/25 After Market Eastern Standard Time"/>
    <x v="0"/>
  </r>
  <r>
    <x v="291"/>
    <s v="SLE"/>
    <s v="on 3/27/25 After Market Eastern Standard Time"/>
    <x v="0"/>
  </r>
  <r>
    <x v="291"/>
    <s v="XPON"/>
    <s v="on 3/27/25 After Market Eastern Standard Time"/>
    <x v="0"/>
  </r>
  <r>
    <x v="291"/>
    <s v="BFRG"/>
    <s v="on 3/27/25 After Market Eastern Standard Time"/>
    <x v="0"/>
  </r>
  <r>
    <x v="291"/>
    <s v="SRFM"/>
    <s v="on 3/27/25 After Market Eastern Standard Time"/>
    <x v="0"/>
  </r>
  <r>
    <x v="291"/>
    <s v="OKLO"/>
    <s v="on 3/27/25 After Market Eastern Standard Time"/>
    <x v="0"/>
  </r>
  <r>
    <x v="291"/>
    <s v="SOC"/>
    <s v="on 3/27/25 After Market Eastern Standard Time"/>
    <x v="1"/>
  </r>
  <r>
    <x v="291"/>
    <s v="ASMB"/>
    <s v="on 3/27/25 After Market Eastern Standard Time"/>
    <x v="0"/>
  </r>
  <r>
    <x v="291"/>
    <s v="LIEN"/>
    <s v="on 3/27/25 After Market Eastern Standard Time"/>
    <x v="0"/>
  </r>
  <r>
    <x v="291"/>
    <s v="PL"/>
    <s v="on 3/27/25 After Market Eastern Standard Time"/>
    <x v="1"/>
  </r>
  <r>
    <x v="291"/>
    <s v="CELC"/>
    <s v="on 3/27/25 After Market Eastern Standard Time"/>
    <x v="1"/>
  </r>
  <r>
    <x v="291"/>
    <s v="ATNM"/>
    <s v="on 3/27/25 After Market Eastern Standard Time"/>
    <x v="0"/>
  </r>
  <r>
    <x v="291"/>
    <s v="OCX"/>
    <s v="on 3/27/25 After Market Eastern Standard Time"/>
    <x v="0"/>
  </r>
  <r>
    <x v="291"/>
    <s v="SABS"/>
    <s v="on 3/27/25 After Market Eastern Standard Time"/>
    <x v="0"/>
  </r>
  <r>
    <x v="291"/>
    <s v="NRXP"/>
    <s v="on 3/27/25 After Market Eastern Standard Time"/>
    <x v="0"/>
  </r>
  <r>
    <x v="291"/>
    <s v="CVV"/>
    <s v="on 3/27/25 After Market Eastern Standard Time"/>
    <x v="0"/>
  </r>
  <r>
    <x v="291"/>
    <s v="DLPN"/>
    <s v="on 3/27/25 After Market Eastern Standard Time"/>
    <x v="0"/>
  </r>
  <r>
    <x v="291"/>
    <s v="WKSP"/>
    <s v="on 3/27/25 After Market Eastern Standard Time"/>
    <x v="0"/>
  </r>
  <r>
    <x v="291"/>
    <s v="AIRJ"/>
    <s v="on 3/27/25 After Market Eastern Standard Time"/>
    <x v="0"/>
  </r>
  <r>
    <x v="291"/>
    <s v="SCHL"/>
    <s v="on 3/27/25 After Market Eastern Standard Time"/>
    <x v="1"/>
  </r>
  <r>
    <x v="291"/>
    <s v="DTI"/>
    <s v="on 3/27/25 After Market Eastern Standard Time"/>
    <x v="0"/>
  </r>
  <r>
    <x v="292"/>
    <s v="CCG"/>
    <s v="on 3/28/25 Before Market Eastern Standard Time"/>
    <x v="0"/>
  </r>
  <r>
    <x v="292"/>
    <s v="BTDR"/>
    <s v="on 3/28/25 Before Market Eastern Standard Time"/>
    <x v="0"/>
  </r>
  <r>
    <x v="292"/>
    <s v="OSTX"/>
    <s v="on 3/28/25 Unspecified Eastern Standard Time"/>
    <x v="0"/>
  </r>
  <r>
    <x v="293"/>
    <s v="PIRS"/>
    <s v="on 3/28/25 After Market Eastern Standard Time"/>
    <x v="0"/>
  </r>
  <r>
    <x v="293"/>
    <s v="PVLA"/>
    <s v="on 3/28/25 After Market Eastern Standard Time"/>
    <x v="0"/>
  </r>
  <r>
    <x v="293"/>
    <s v="MDBH"/>
    <s v="on 3/28/25 After Market Eastern Standard Time"/>
    <x v="0"/>
  </r>
  <r>
    <x v="294"/>
    <s v="TOON"/>
    <s v="on 3/31/25 Before Market Eastern Standard Time"/>
    <x v="0"/>
  </r>
  <r>
    <x v="294"/>
    <s v="NYC"/>
    <s v="on 3/31/25 Before Market Eastern Standard Time"/>
    <x v="0"/>
  </r>
  <r>
    <x v="294"/>
    <s v="NAK"/>
    <s v="on 3/31/25 Before Market Eastern Standard Time"/>
    <x v="0"/>
  </r>
  <r>
    <x v="294"/>
    <s v="ONDS"/>
    <s v="on 3/31/25 Before Market Eastern Standard Time"/>
    <x v="0"/>
  </r>
  <r>
    <x v="294"/>
    <s v="TLSI"/>
    <s v="on 3/31/25 Before Market Eastern Standard Time"/>
    <x v="0"/>
  </r>
  <r>
    <x v="294"/>
    <s v="VIGL"/>
    <s v="on 3/31/25 Before Market Eastern Standard Time"/>
    <x v="0"/>
  </r>
  <r>
    <x v="294"/>
    <s v="JAGX"/>
    <s v="on 3/31/25 Before Market Eastern Standard Time"/>
    <x v="0"/>
  </r>
  <r>
    <x v="294"/>
    <s v="BKV"/>
    <s v="on 3/31/25 Unspecified Eastern Standard Time"/>
    <x v="0"/>
  </r>
  <r>
    <x v="294"/>
    <s v="ZVSA"/>
    <s v="on 3/31/25 Before Market Eastern Standard Time"/>
    <x v="0"/>
  </r>
  <r>
    <x v="294"/>
    <s v="VISL"/>
    <s v="on 3/31/25 Before Market Eastern Standard Time"/>
    <x v="0"/>
  </r>
  <r>
    <x v="294"/>
    <s v="PPSI"/>
    <s v="on 3/31/25 Before Market Eastern Standard Time"/>
    <x v="0"/>
  </r>
  <r>
    <x v="294"/>
    <s v="PHGE"/>
    <s v="on 3/31/25 Before Market Eastern Standard Time"/>
    <x v="0"/>
  </r>
  <r>
    <x v="294"/>
    <s v="CADL"/>
    <s v="on 3/31/25 Before Market Eastern Standard Time"/>
    <x v="0"/>
  </r>
  <r>
    <x v="294"/>
    <s v="KPRX"/>
    <s v="on 3/31/25 Before Market Eastern Standard Time"/>
    <x v="0"/>
  </r>
  <r>
    <x v="294"/>
    <s v="ABOS"/>
    <s v="on 3/31/25 Before Market Eastern Standard Time"/>
    <x v="0"/>
  </r>
  <r>
    <x v="294"/>
    <s v="REED"/>
    <s v="on 3/31/25 Before Market Eastern Standard Time"/>
    <x v="0"/>
  </r>
  <r>
    <x v="294"/>
    <s v="DNMR"/>
    <s v="on 3/31/25 Before Market Eastern Standard Time"/>
    <x v="0"/>
  </r>
  <r>
    <x v="294"/>
    <s v="DRIO"/>
    <s v="on 3/31/25 Before Market Eastern Standard Time"/>
    <x v="0"/>
  </r>
  <r>
    <x v="294"/>
    <s v="ACRV"/>
    <s v="on 3/31/25 Before Market Eastern Standard Time"/>
    <x v="0"/>
  </r>
  <r>
    <x v="294"/>
    <s v="FPAY"/>
    <s v="on 3/31/25 Before Market Eastern Standard Time"/>
    <x v="0"/>
  </r>
  <r>
    <x v="294"/>
    <s v="QBTS"/>
    <s v="on 3/31/25 Before Market Eastern Standard Time"/>
    <x v="0"/>
  </r>
  <r>
    <x v="294"/>
    <s v="VERO"/>
    <s v="on 3/31/25 Before Market Eastern Standard Time"/>
    <x v="0"/>
  </r>
  <r>
    <x v="294"/>
    <s v="SIEB"/>
    <s v="on 3/31/25 Before Market Eastern Standard Time"/>
    <x v="0"/>
  </r>
  <r>
    <x v="294"/>
    <s v="RNXT"/>
    <s v="on 3/31/25 Before Market Eastern Standard Time"/>
    <x v="0"/>
  </r>
  <r>
    <x v="294"/>
    <s v="SMXT"/>
    <s v="on 3/31/25 Before Market Eastern Standard Time"/>
    <x v="0"/>
  </r>
  <r>
    <x v="294"/>
    <s v="BIAF"/>
    <s v="on 3/31/25 Before Market Eastern Standard Time"/>
    <x v="0"/>
  </r>
  <r>
    <x v="294"/>
    <s v="INV"/>
    <s v="on 3/31/25 Before Market Eastern Standard Time"/>
    <x v="0"/>
  </r>
  <r>
    <x v="294"/>
    <s v="CENN"/>
    <s v="on 3/31/25 Before Market Eastern Standard Time"/>
    <x v="0"/>
  </r>
  <r>
    <x v="294"/>
    <s v="VIRC"/>
    <s v="on 3/31/25 Before Market Eastern Standard Time"/>
    <x v="0"/>
  </r>
  <r>
    <x v="294"/>
    <s v="MAMO"/>
    <s v="on 3/31/25 Before Market Eastern Standard Time"/>
    <x v="0"/>
  </r>
  <r>
    <x v="294"/>
    <s v="SACH"/>
    <s v="on 3/31/25 Before Market Eastern Standard Time"/>
    <x v="0"/>
  </r>
  <r>
    <x v="294"/>
    <s v="SYPR"/>
    <s v="on 3/31/25 Before Market Eastern Standard Time"/>
    <x v="0"/>
  </r>
  <r>
    <x v="294"/>
    <s v="EDBL"/>
    <s v="on 3/31/25 Before Market Eastern Standard Time"/>
    <x v="0"/>
  </r>
  <r>
    <x v="294"/>
    <s v="TOVX"/>
    <s v="on 3/31/25 Before Market Eastern Standard Time"/>
    <x v="0"/>
  </r>
  <r>
    <x v="294"/>
    <s v="LASE"/>
    <s v="on 3/31/25 Before Market Eastern Standard Time"/>
    <x v="0"/>
  </r>
  <r>
    <x v="294"/>
    <s v="BCAX"/>
    <s v="on 3/31/25 Before Market Eastern Standard Time"/>
    <x v="0"/>
  </r>
  <r>
    <x v="294"/>
    <s v="AIRI"/>
    <s v="on 3/31/25 Before Market Eastern Standard Time"/>
    <x v="0"/>
  </r>
  <r>
    <x v="294"/>
    <s v="FTLF"/>
    <s v="on 3/31/25 Before Market Eastern Standard Time"/>
    <x v="0"/>
  </r>
  <r>
    <x v="294"/>
    <s v="IVVD"/>
    <s v="on 3/31/25 Before Market Eastern Standard Time"/>
    <x v="0"/>
  </r>
  <r>
    <x v="295"/>
    <s v="PEGY"/>
    <s v="on 3/31/25 During Market Eastern Standard Time"/>
    <x v="0"/>
  </r>
  <r>
    <x v="295"/>
    <s v="AAME"/>
    <s v="on 3/31/25 During Market Eastern Standard Time"/>
    <x v="0"/>
  </r>
  <r>
    <x v="295"/>
    <s v="MFON"/>
    <s v="on 3/31/25 During Market Eastern Standard Time"/>
    <x v="0"/>
  </r>
  <r>
    <x v="296"/>
    <s v="ASTS"/>
    <s v="on 3/31/25 After Market Eastern Standard Time"/>
    <x v="1"/>
  </r>
  <r>
    <x v="296"/>
    <s v="KITT"/>
    <s v="on 3/31/25 After Market Eastern Standard Time"/>
    <x v="0"/>
  </r>
  <r>
    <x v="296"/>
    <s v="INGM"/>
    <s v="on 3/31/25 After Market Eastern Standard Time"/>
    <x v="0"/>
  </r>
  <r>
    <x v="296"/>
    <s v="TPST"/>
    <s v="on 3/31/25 After Market Eastern Standard Time"/>
    <x v="0"/>
  </r>
  <r>
    <x v="296"/>
    <s v="AREN"/>
    <s v="on 3/31/25 After Market Eastern Standard Time"/>
    <x v="0"/>
  </r>
  <r>
    <x v="296"/>
    <s v="MLSS"/>
    <s v="on 3/31/25 After Market Eastern Standard Time"/>
    <x v="0"/>
  </r>
  <r>
    <x v="296"/>
    <s v="IZEA"/>
    <s v="on 3/31/25 After Market Eastern Standard Time"/>
    <x v="0"/>
  </r>
  <r>
    <x v="296"/>
    <s v="EAST"/>
    <s v="on 3/31/25 After Market Eastern Standard Time"/>
    <x v="0"/>
  </r>
  <r>
    <x v="296"/>
    <s v="CETY"/>
    <s v="on 3/31/25 After Market Eastern Standard Time"/>
    <x v="0"/>
  </r>
  <r>
    <x v="296"/>
    <s v="SKYX"/>
    <s v="on 3/31/25 After Market Eastern Standard Time"/>
    <x v="0"/>
  </r>
  <r>
    <x v="296"/>
    <s v="GFR"/>
    <s v="on 3/31/25 After Market Eastern Standard Time"/>
    <x v="0"/>
  </r>
  <r>
    <x v="296"/>
    <s v="GIPR"/>
    <s v="on 3/31/25 After Market Eastern Standard Time"/>
    <x v="0"/>
  </r>
  <r>
    <x v="296"/>
    <s v="GNLX"/>
    <s v="on 3/31/25 After Market Eastern Standard Time"/>
    <x v="0"/>
  </r>
  <r>
    <x v="296"/>
    <s v="WPRT"/>
    <s v="on 3/31/25 After Market Eastern Standard Time"/>
    <x v="0"/>
  </r>
  <r>
    <x v="296"/>
    <s v="BMEA"/>
    <s v="on 3/31/25 After Market Eastern Standard Time"/>
    <x v="1"/>
  </r>
  <r>
    <x v="296"/>
    <s v="SHFS"/>
    <s v="on 3/31/25 After Market Eastern Standard Time"/>
    <x v="0"/>
  </r>
  <r>
    <x v="296"/>
    <s v="ZOM"/>
    <s v="on 3/31/25 After Market Eastern Standard Time"/>
    <x v="0"/>
  </r>
  <r>
    <x v="296"/>
    <s v="NGS"/>
    <s v="on 3/31/25 After Market Eastern Standard Time"/>
    <x v="1"/>
  </r>
  <r>
    <x v="296"/>
    <s v="GCTS"/>
    <s v="on 3/31/25 After Market Eastern Standard Time"/>
    <x v="0"/>
  </r>
  <r>
    <x v="296"/>
    <s v="ARTV"/>
    <s v="on 3/31/25 After Market Eastern Standard Time"/>
    <x v="0"/>
  </r>
  <r>
    <x v="296"/>
    <s v="SLS"/>
    <s v="on 3/31/25 After Market Eastern Standard Time"/>
    <x v="0"/>
  </r>
  <r>
    <x v="296"/>
    <s v="SCWO"/>
    <s v="on 3/31/25 After Market Eastern Standard Time"/>
    <x v="0"/>
  </r>
  <r>
    <x v="296"/>
    <s v="SSKN"/>
    <s v="on 3/31/25 After Market Eastern Standard Time"/>
    <x v="0"/>
  </r>
  <r>
    <x v="296"/>
    <s v="FLNT"/>
    <s v="on 3/31/25 After Market Eastern Standard Time"/>
    <x v="0"/>
  </r>
  <r>
    <x v="296"/>
    <s v="SNAL"/>
    <s v="on 3/31/25 After Market Eastern Standard Time"/>
    <x v="0"/>
  </r>
  <r>
    <x v="296"/>
    <s v="GRDN"/>
    <s v="on 3/31/25 After Market Eastern Standard Time"/>
    <x v="0"/>
  </r>
  <r>
    <x v="296"/>
    <s v="DWSN"/>
    <s v="on 3/31/25 After Market Eastern Standard Time"/>
    <x v="0"/>
  </r>
  <r>
    <x v="296"/>
    <s v="BHST"/>
    <s v="on 3/31/25 After Market Eastern Standard Time"/>
    <x v="0"/>
  </r>
  <r>
    <x v="296"/>
    <s v="GTEC"/>
    <s v="on 3/31/25 After Market Eastern Standard Time"/>
    <x v="0"/>
  </r>
  <r>
    <x v="296"/>
    <s v="KYTX"/>
    <s v="on 3/31/25 After Market Eastern Standard Time"/>
    <x v="0"/>
  </r>
  <r>
    <x v="296"/>
    <s v="BEEM"/>
    <s v="on 3/31/25 After Market Eastern Standard Time"/>
    <x v="0"/>
  </r>
  <r>
    <x v="296"/>
    <s v="QUBT"/>
    <s v="on 3/31/25 After Market Eastern Standard Time"/>
    <x v="0"/>
  </r>
  <r>
    <x v="296"/>
    <s v="VTSI"/>
    <s v="on 3/31/25 After Market Eastern Standard Time"/>
    <x v="0"/>
  </r>
  <r>
    <x v="296"/>
    <s v="ERAS"/>
    <s v="on 3/31/25 After Market Eastern Standard Time"/>
    <x v="1"/>
  </r>
  <r>
    <x v="296"/>
    <s v="CBLL"/>
    <s v="on 3/31/25 After Market Eastern Standard Time"/>
    <x v="0"/>
  </r>
  <r>
    <x v="296"/>
    <s v="BGXX"/>
    <s v="on 3/31/25 After Market Eastern Standard Time"/>
    <x v="0"/>
  </r>
  <r>
    <x v="296"/>
    <s v="OMER"/>
    <s v="on 3/31/25 After Market Eastern Standard Time"/>
    <x v="1"/>
  </r>
  <r>
    <x v="296"/>
    <s v="RSLS"/>
    <s v="on 3/31/25 After Market Eastern Standard Time"/>
    <x v="0"/>
  </r>
  <r>
    <x v="296"/>
    <s v="ANTX"/>
    <s v="on 3/31/25 After Market Eastern Standard Time"/>
    <x v="0"/>
  </r>
  <r>
    <x v="296"/>
    <s v="XELB"/>
    <s v="on 3/31/25 After Market Eastern Standard Time"/>
    <x v="0"/>
  </r>
  <r>
    <x v="296"/>
    <s v="FSI"/>
    <s v="on 3/31/25 After Market Eastern Standard Time"/>
    <x v="0"/>
  </r>
  <r>
    <x v="296"/>
    <s v="PBLA"/>
    <s v="on 3/31/25 After Market Eastern Standard Time"/>
    <x v="0"/>
  </r>
  <r>
    <x v="296"/>
    <s v="BMTX"/>
    <s v="on 3/31/25 After Market Eastern Standard Time"/>
    <x v="0"/>
  </r>
  <r>
    <x v="296"/>
    <s v="CATX"/>
    <s v="on 3/31/25 After Market Eastern Standard Time"/>
    <x v="1"/>
  </r>
  <r>
    <x v="296"/>
    <s v="XTIA"/>
    <s v="on 3/31/25 After Market Eastern Standard Time"/>
    <x v="0"/>
  </r>
  <r>
    <x v="296"/>
    <s v="CXAI"/>
    <s v="on 3/31/25 After Market Eastern Standard Time"/>
    <x v="0"/>
  </r>
  <r>
    <x v="296"/>
    <s v="MGOL"/>
    <s v="on 3/31/25 After Market Eastern Standard Time"/>
    <x v="0"/>
  </r>
  <r>
    <x v="296"/>
    <s v="SMID"/>
    <s v="on 3/31/25 After Market Eastern Standard Time"/>
    <x v="1"/>
  </r>
  <r>
    <x v="296"/>
    <s v="BNAI"/>
    <s v="on 3/31/25 After Market Eastern Standard Time"/>
    <x v="0"/>
  </r>
  <r>
    <x v="296"/>
    <s v="SNAX"/>
    <s v="on 3/31/25 After Market Eastern Standard Time"/>
    <x v="0"/>
  </r>
  <r>
    <x v="296"/>
    <s v="FLYX"/>
    <s v="on 3/31/25 After Market Eastern Standard Time"/>
    <x v="0"/>
  </r>
  <r>
    <x v="296"/>
    <s v="IMNM"/>
    <s v="on 3/31/25 After Market Eastern Standard Time"/>
    <x v="1"/>
  </r>
  <r>
    <x v="296"/>
    <s v="AISP"/>
    <s v="on 3/31/25 After Market Eastern Standard Time"/>
    <x v="0"/>
  </r>
  <r>
    <x v="296"/>
    <s v="TTAN"/>
    <s v="on 3/31/25 After Market Eastern Standard Time"/>
    <x v="0"/>
  </r>
  <r>
    <x v="296"/>
    <s v="TOI"/>
    <s v="on 3/31/25 After Market Eastern Standard Time"/>
    <x v="0"/>
  </r>
  <r>
    <x v="296"/>
    <s v="TMC"/>
    <s v="on 3/31/25 After Market Eastern Standard Time"/>
    <x v="0"/>
  </r>
  <r>
    <x v="296"/>
    <s v="CWD"/>
    <s v="on 3/31/25 After Market Eastern Standard Time"/>
    <x v="0"/>
  </r>
  <r>
    <x v="296"/>
    <s v="MSGM"/>
    <s v="on 3/31/25 After Market Eastern Standard Time"/>
    <x v="0"/>
  </r>
  <r>
    <x v="296"/>
    <s v="SUNE"/>
    <s v="on 3/31/25 After Market Eastern Standard Time"/>
    <x v="0"/>
  </r>
  <r>
    <x v="296"/>
    <s v="AREC"/>
    <s v="on 3/31/25 After Market Eastern Standard Time"/>
    <x v="0"/>
  </r>
  <r>
    <x v="296"/>
    <s v="FLGC"/>
    <s v="on 3/31/25 After Market Eastern Standard Time"/>
    <x v="0"/>
  </r>
  <r>
    <x v="296"/>
    <s v="LGMK"/>
    <s v="on 3/31/25 After Market Eastern Standard Time"/>
    <x v="0"/>
  </r>
  <r>
    <x v="296"/>
    <s v="BCLI"/>
    <s v="on 3/31/25 After Market Eastern Standard Time"/>
    <x v="0"/>
  </r>
  <r>
    <x v="296"/>
    <s v="GOEV"/>
    <s v="on 3/31/25 After Market Eastern Standard Time"/>
    <x v="0"/>
  </r>
  <r>
    <x v="296"/>
    <s v="AULT"/>
    <s v="on 3/31/25 After Market Eastern Standard Time"/>
    <x v="0"/>
  </r>
  <r>
    <x v="296"/>
    <s v="XTNT"/>
    <s v="on 3/31/25 After Market Eastern Standard Time"/>
    <x v="0"/>
  </r>
  <r>
    <x v="296"/>
    <s v="RVPH"/>
    <s v="on 3/31/25 After Market Eastern Standard Time"/>
    <x v="0"/>
  </r>
  <r>
    <x v="296"/>
    <s v="SGRP"/>
    <s v="on 3/31/25 After Market Eastern Standard Time"/>
    <x v="0"/>
  </r>
  <r>
    <x v="296"/>
    <s v="DUOT"/>
    <s v="on 3/31/25 After Market Eastern Standard Time"/>
    <x v="0"/>
  </r>
  <r>
    <x v="296"/>
    <s v="AGAE"/>
    <s v="on 3/31/25 After Market Eastern Standard Time"/>
    <x v="0"/>
  </r>
  <r>
    <x v="296"/>
    <s v="DFLI"/>
    <s v="on 3/31/25 After Market Eastern Standard Time"/>
    <x v="0"/>
  </r>
  <r>
    <x v="296"/>
    <s v="CELU"/>
    <s v="on 3/31/25 After Market Eastern Standard Time"/>
    <x v="0"/>
  </r>
  <r>
    <x v="296"/>
    <s v="PPTA"/>
    <s v="on 3/31/25 After Market Eastern Standard Time"/>
    <x v="1"/>
  </r>
  <r>
    <x v="296"/>
    <s v="OLB"/>
    <s v="on 3/31/25 After Market Eastern Standard Time"/>
    <x v="0"/>
  </r>
  <r>
    <x v="296"/>
    <s v="MOVE"/>
    <s v="on 3/31/25 After Market Eastern Standard Time"/>
    <x v="0"/>
  </r>
  <r>
    <x v="296"/>
    <s v="TRAW"/>
    <s v="on 3/31/25 After Market Eastern Standard Time"/>
    <x v="0"/>
  </r>
  <r>
    <x v="296"/>
    <s v="TWFG"/>
    <s v="on 3/31/25 After Market Eastern Standard Time"/>
    <x v="0"/>
  </r>
  <r>
    <x v="296"/>
    <s v="FFNTF"/>
    <s v="on 3/31/25 After Market Eastern Standard Time"/>
    <x v="0"/>
  </r>
  <r>
    <x v="296"/>
    <s v="CLIR"/>
    <s v="on 3/31/25 After Market Eastern Standard Time"/>
    <x v="0"/>
  </r>
  <r>
    <x v="296"/>
    <s v="KORE"/>
    <s v="on 3/31/25 After Market Eastern Standard Time"/>
    <x v="0"/>
  </r>
  <r>
    <x v="296"/>
    <s v="OMQS"/>
    <s v="on 3/31/25 After Market Eastern Standard Time"/>
    <x v="0"/>
  </r>
  <r>
    <x v="296"/>
    <s v="GUTS"/>
    <s v="on 3/31/25 After Market Eastern Standard Time"/>
    <x v="0"/>
  </r>
  <r>
    <x v="296"/>
    <s v="MARK"/>
    <s v="on 3/31/25 After Market Eastern Standard Time"/>
    <x v="0"/>
  </r>
  <r>
    <x v="296"/>
    <s v="MNR"/>
    <s v="on 3/31/25 After Market Eastern Standard Time"/>
    <x v="0"/>
  </r>
  <r>
    <x v="296"/>
    <s v="NXGL"/>
    <s v="on 3/31/25 After Market Eastern Standard Time"/>
    <x v="0"/>
  </r>
  <r>
    <x v="296"/>
    <s v="QNCX"/>
    <s v="on 3/31/25 After Market Eastern Standard Time"/>
    <x v="0"/>
  </r>
  <r>
    <x v="296"/>
    <s v="DARE"/>
    <s v="on 3/31/25 After Market Eastern Standard Time"/>
    <x v="0"/>
  </r>
  <r>
    <x v="296"/>
    <s v="CWCO"/>
    <s v="on 3/31/25 After Market Eastern Standard Time"/>
    <x v="1"/>
  </r>
  <r>
    <x v="297"/>
    <s v="PENG"/>
    <s v="on 4/1/25 After Market Eastern Standard Time"/>
    <x v="1"/>
  </r>
  <r>
    <x v="297"/>
    <s v="PRGS"/>
    <s v="on 4/1/25 After Market Eastern Standard Time"/>
    <x v="1"/>
  </r>
  <r>
    <x v="297"/>
    <s v="NCNO"/>
    <s v="on 4/1/25 After Market Eastern Standard Time"/>
    <x v="0"/>
  </r>
  <r>
    <x v="297"/>
    <s v="PLAY"/>
    <s v="on 4/1/25 After Market Eastern Standard Time"/>
    <x v="1"/>
  </r>
  <r>
    <x v="297"/>
    <s v="PVH"/>
    <s v="on 4/1/25 After Market Eastern Standard Time"/>
    <x v="2"/>
  </r>
  <r>
    <x v="297"/>
    <s v="CALM"/>
    <s v="on 4/1/25 After Market Eastern Standard Time"/>
    <x v="1"/>
  </r>
  <r>
    <x v="298"/>
    <s v="LE"/>
    <s v="on 4/2/25 Before Market Eastern Standard Time"/>
    <x v="1"/>
  </r>
  <r>
    <x v="298"/>
    <s v="PAYX"/>
    <s v="on 4/2/25 Before Market Eastern Standard Time"/>
    <x v="3"/>
  </r>
  <r>
    <x v="298"/>
    <s v="UNF"/>
    <s v="on 4/2/25 Before Market Eastern Standard Time"/>
    <x v="1"/>
  </r>
  <r>
    <x v="298"/>
    <s v="NG"/>
    <s v="on 4/2/25 Before Market Eastern Standard Time"/>
    <x v="1"/>
  </r>
  <r>
    <x v="299"/>
    <s v="RH"/>
    <s v="on 4/2/25 After Market Eastern Standard Time"/>
    <x v="2"/>
  </r>
  <r>
    <x v="299"/>
    <s v="OXM"/>
    <s v="on 4/2/25 After Market Eastern Standard Time"/>
    <x v="1"/>
  </r>
  <r>
    <x v="299"/>
    <s v="FC"/>
    <s v="on 4/2/25 After Market Eastern Standard Time"/>
    <x v="1"/>
  </r>
  <r>
    <x v="299"/>
    <s v="LFCR"/>
    <s v="on 4/2/25 After Market Eastern Standard Time"/>
    <x v="0"/>
  </r>
  <r>
    <x v="299"/>
    <s v="BB"/>
    <s v="on 4/2/25 After Market Eastern Standard Time"/>
    <x v="0"/>
  </r>
  <r>
    <x v="299"/>
    <s v="SLP"/>
    <s v="on 4/2/25 After Market Eastern Standard Time"/>
    <x v="1"/>
  </r>
  <r>
    <x v="299"/>
    <s v="RGP"/>
    <s v="on 4/2/25 After Market Eastern Standard Time"/>
    <x v="1"/>
  </r>
  <r>
    <x v="300"/>
    <s v="MSM"/>
    <s v="on 4/3/25 Before Market Eastern Standard Time"/>
    <x v="2"/>
  </r>
  <r>
    <x v="300"/>
    <s v="ATAT"/>
    <s v="on 4/3/25 Before Market Eastern Standard Time"/>
    <x v="0"/>
  </r>
  <r>
    <x v="300"/>
    <s v="AYI"/>
    <s v="on 4/3/25 Before Market Eastern Standard Time"/>
    <x v="2"/>
  </r>
  <r>
    <x v="300"/>
    <s v="CAG"/>
    <s v="on 4/3/25 Before Market Eastern Standard Time"/>
    <x v="3"/>
  </r>
  <r>
    <x v="300"/>
    <s v="SMPL"/>
    <s v="on 4/3/25 Before Market Eastern Standard Time"/>
    <x v="1"/>
  </r>
  <r>
    <x v="300"/>
    <s v="CLGN"/>
    <s v="on 4/3/25 Before Market Eastern Standard Time"/>
    <x v="0"/>
  </r>
  <r>
    <x v="300"/>
    <s v="LW"/>
    <s v="on 4/3/25 Before Market Eastern Standard Time"/>
    <x v="3"/>
  </r>
  <r>
    <x v="300"/>
    <s v="GNFT"/>
    <s v="on 4/3/25 Unspecified Eastern Standard Time"/>
    <x v="0"/>
  </r>
  <r>
    <x v="300"/>
    <s v="ANGO"/>
    <s v="on 4/3/25 Before Market Eastern Standard Time"/>
    <x v="1"/>
  </r>
  <r>
    <x v="300"/>
    <s v="MOV"/>
    <s v="on 4/3/25 Before Market Eastern Standard Time"/>
    <x v="1"/>
  </r>
  <r>
    <x v="300"/>
    <s v="RPM"/>
    <s v="on 4/3/25 Before Market Eastern Standard Time"/>
    <x v="2"/>
  </r>
  <r>
    <x v="300"/>
    <s v="ICCM"/>
    <s v="on 4/3/25 Before Market Eastern Standard Time"/>
    <x v="0"/>
  </r>
  <r>
    <x v="301"/>
    <s v="ITHUF"/>
    <s v="on 4/3/25 After Market Eastern Standard Time"/>
    <x v="0"/>
  </r>
  <r>
    <x v="301"/>
    <s v="DPRO"/>
    <s v="on 4/3/25 After Market Eastern Standard Time"/>
    <x v="0"/>
  </r>
  <r>
    <x v="301"/>
    <s v="ZENV"/>
    <s v="on 4/3/25 After Market Eastern Standard Time"/>
    <x v="0"/>
  </r>
  <r>
    <x v="301"/>
    <s v="GBX"/>
    <s v="on 4/3/25 After Market Eastern Standard Time"/>
    <x v="1"/>
  </r>
  <r>
    <x v="301"/>
    <s v="KRUS"/>
    <s v="on 4/3/25 After Market Eastern Standard Time"/>
    <x v="1"/>
  </r>
  <r>
    <x v="301"/>
    <s v="GRRR"/>
    <s v="on 4/3/25 After Market Eastern Standard Time"/>
    <x v="0"/>
  </r>
  <r>
    <x v="302"/>
    <s v="CGNT"/>
    <s v="on 4/8/25 Before Market Eastern Standard Time"/>
    <x v="0"/>
  </r>
  <r>
    <x v="302"/>
    <s v="NEOG"/>
    <s v="on 4/8/25 Before Market Eastern Standard Time"/>
    <x v="1"/>
  </r>
  <r>
    <x v="303"/>
    <s v="PSMT"/>
    <s v="on 4/8/25 After Market Eastern Standard Time"/>
    <x v="1"/>
  </r>
  <r>
    <x v="304"/>
    <s v="RENT"/>
    <s v="on 4/9/25 Before Market Eastern Standard Time"/>
    <x v="0"/>
  </r>
  <r>
    <x v="304"/>
    <s v="TLRY"/>
    <s v="on 4/9/25 Before Market Eastern Standard Time"/>
    <x v="0"/>
  </r>
  <r>
    <x v="304"/>
    <s v="SVNDY"/>
    <s v="on 4/9/25 Unspecified Eastern Standard Time"/>
    <x v="0"/>
  </r>
  <r>
    <x v="304"/>
    <s v="DAL"/>
    <s v="on 4/9/25 Before Market Eastern Standard Time"/>
    <x v="3"/>
  </r>
  <r>
    <x v="304"/>
    <s v="LNN"/>
    <s v="on 4/9/25 Before Market Eastern Standard Time"/>
    <x v="1"/>
  </r>
  <r>
    <x v="305"/>
    <s v="PCYO"/>
    <s v="on 4/9/25 After Market Eastern Standard Time"/>
    <x v="1"/>
  </r>
  <r>
    <x v="305"/>
    <s v="RELL"/>
    <s v="on 4/9/25 After Market Eastern Standard Time"/>
    <x v="0"/>
  </r>
  <r>
    <x v="305"/>
    <s v="WDFC"/>
    <s v="on 4/9/25 After Market Eastern Standard Time"/>
    <x v="1"/>
  </r>
  <r>
    <x v="305"/>
    <s v="LAKE"/>
    <s v="on 4/9/25 After Market Eastern Standard Time"/>
    <x v="0"/>
  </r>
  <r>
    <x v="305"/>
    <s v="RDUS"/>
    <s v="on 4/9/25 After Market Eastern Standard Time"/>
    <x v="1"/>
  </r>
  <r>
    <x v="305"/>
    <s v="SPWH"/>
    <s v="on 4/9/25 After Market Eastern Standard Time"/>
    <x v="0"/>
  </r>
  <r>
    <x v="306"/>
    <s v="FRCOY"/>
    <s v="on 4/10/25 Unspecified Eastern Standard Time"/>
    <x v="0"/>
  </r>
  <r>
    <x v="306"/>
    <s v="BKSC"/>
    <s v="on 4/10/25 Unspecified Eastern Standard Time"/>
    <x v="0"/>
  </r>
  <r>
    <x v="306"/>
    <s v="STZ"/>
    <s v="on 4/10/25 Before Market Eastern Standard Time"/>
    <x v="3"/>
  </r>
  <r>
    <x v="306"/>
    <s v="CYTO"/>
    <s v="on 4/10/25 Before Market Eastern Standard Time"/>
    <x v="0"/>
  </r>
  <r>
    <x v="306"/>
    <s v="CYTOF"/>
    <s v="on 4/10/25 Before Market Eastern Standard Time"/>
    <x v="0"/>
  </r>
  <r>
    <x v="306"/>
    <s v="KMX"/>
    <s v="on 4/10/25 Before Market Eastern Standard Time"/>
    <x v="3"/>
  </r>
  <r>
    <x v="306"/>
    <s v="HOFT"/>
    <s v="on 4/10/25 Before Market Eastern Standard Time"/>
    <x v="1"/>
  </r>
  <r>
    <x v="307"/>
    <s v="FRMO"/>
    <s v="on 4/10/25 After Market Eastern Standard Time"/>
    <x v="0"/>
  </r>
  <r>
    <x v="307"/>
    <s v="NTIC"/>
    <s v="on 4/10/25 After Market Eastern Standard Time"/>
    <x v="0"/>
  </r>
  <r>
    <x v="307"/>
    <s v="APLD"/>
    <s v="on 4/10/25 After Market Eastern Standard Time"/>
    <x v="1"/>
  </r>
  <r>
    <x v="307"/>
    <s v="AGX"/>
    <s v="on 4/10/25 After Market Eastern Standard Time"/>
    <x v="1"/>
  </r>
  <r>
    <x v="308"/>
    <s v="STT"/>
    <s v="on 4/11/25 Before Market Eastern Standard Time"/>
    <x v="3"/>
  </r>
  <r>
    <x v="308"/>
    <s v="JPM"/>
    <s v="on 4/11/25 Before Market Eastern Standard Time"/>
    <x v="3"/>
  </r>
  <r>
    <x v="308"/>
    <s v="WFC"/>
    <s v="on 4/11/25 Before Market Eastern Standard Time"/>
    <x v="3"/>
  </r>
  <r>
    <x v="308"/>
    <s v="BSVN"/>
    <s v="on 4/11/25 Before Market Eastern Standard Time"/>
    <x v="1"/>
  </r>
  <r>
    <x v="308"/>
    <s v="UNTY"/>
    <s v="on 4/11/25 Before Market Eastern Standard Time"/>
    <x v="1"/>
  </r>
  <r>
    <x v="308"/>
    <s v="FAST"/>
    <s v="on 4/11/25 Before Market Eastern Standard Time"/>
    <x v="3"/>
  </r>
  <r>
    <x v="308"/>
    <s v="BLK"/>
    <s v="on 4/11/25 Before Market Eastern Standard Time"/>
    <x v="3"/>
  </r>
  <r>
    <x v="308"/>
    <s v="MS"/>
    <s v="on 4/11/25 Before Market Eastern Standard Time"/>
    <x v="3"/>
  </r>
  <r>
    <x v="309"/>
    <s v="HIFS"/>
    <s v="on 4/11/25 After Market Eastern Standard Tim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0A58E-FDD2-431C-AB47-22D6ECF9223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1" firstHeaderRow="1" firstDataRow="1" firstDataCol="1" rowPageCount="1" colPageCount="1"/>
  <pivotFields count="6">
    <pivotField numFmtId="22" showAll="0">
      <items count="311">
        <item x="184"/>
        <item x="185"/>
        <item x="186"/>
        <item x="187"/>
        <item x="188"/>
        <item x="189"/>
        <item x="190"/>
        <item x="191"/>
        <item x="192"/>
        <item x="193"/>
        <item x="194"/>
        <item x="195"/>
        <item x="196"/>
        <item x="197"/>
        <item x="198"/>
        <item x="199"/>
        <item x="200"/>
        <item x="201"/>
        <item x="202"/>
        <item x="203"/>
        <item x="204"/>
        <item x="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dataField="1" showAll="0"/>
    <pivotField showAll="0"/>
    <pivotField axis="axisPage" multipleItemSelectionAllowed="1" showAll="0">
      <items count="6">
        <item h="1" x="0"/>
        <item h="1" x="1"/>
        <item x="4"/>
        <item x="2"/>
        <item x="3"/>
        <item t="default"/>
      </items>
    </pivotField>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8">
    <i>
      <x v="6"/>
    </i>
    <i>
      <x v="7"/>
    </i>
    <i>
      <x v="9"/>
    </i>
    <i>
      <x v="13"/>
    </i>
    <i>
      <x v="14"/>
    </i>
    <i>
      <x v="15"/>
    </i>
    <i>
      <x v="16"/>
    </i>
    <i>
      <x v="20"/>
    </i>
    <i>
      <x v="21"/>
    </i>
    <i>
      <x v="22"/>
    </i>
    <i>
      <x v="23"/>
    </i>
    <i>
      <x v="26"/>
    </i>
    <i>
      <x v="27"/>
    </i>
    <i>
      <x v="28"/>
    </i>
    <i>
      <x v="29"/>
    </i>
    <i>
      <x v="30"/>
    </i>
    <i>
      <x v="33"/>
    </i>
    <i>
      <x v="34"/>
    </i>
    <i>
      <x v="35"/>
    </i>
    <i>
      <x v="36"/>
    </i>
    <i>
      <x v="37"/>
    </i>
    <i>
      <x v="40"/>
    </i>
    <i>
      <x v="41"/>
    </i>
    <i>
      <x v="42"/>
    </i>
    <i>
      <x v="43"/>
    </i>
    <i>
      <x v="44"/>
    </i>
    <i>
      <x v="47"/>
    </i>
    <i>
      <x v="48"/>
    </i>
    <i>
      <x v="49"/>
    </i>
    <i>
      <x v="50"/>
    </i>
    <i>
      <x v="51"/>
    </i>
    <i>
      <x v="54"/>
    </i>
    <i>
      <x v="55"/>
    </i>
    <i>
      <x v="56"/>
    </i>
    <i>
      <x v="57"/>
    </i>
    <i>
      <x v="62"/>
    </i>
    <i>
      <x v="63"/>
    </i>
    <i>
      <x v="64"/>
    </i>
    <i>
      <x v="65"/>
    </i>
    <i>
      <x v="69"/>
    </i>
    <i>
      <x v="70"/>
    </i>
    <i>
      <x v="71"/>
    </i>
    <i>
      <x v="72"/>
    </i>
    <i>
      <x v="76"/>
    </i>
    <i>
      <x v="77"/>
    </i>
    <i>
      <x v="78"/>
    </i>
    <i>
      <x v="79"/>
    </i>
    <i>
      <x v="80"/>
    </i>
    <i>
      <x v="84"/>
    </i>
    <i>
      <x v="85"/>
    </i>
    <i>
      <x v="86"/>
    </i>
    <i>
      <x v="91"/>
    </i>
    <i>
      <x v="92"/>
    </i>
    <i>
      <x v="93"/>
    </i>
    <i>
      <x v="99"/>
    </i>
    <i>
      <x v="100"/>
    </i>
    <i>
      <x v="101"/>
    </i>
    <i t="grand">
      <x/>
    </i>
  </rowItems>
  <colItems count="1">
    <i/>
  </colItems>
  <pageFields count="1">
    <pageField fld="3" hier="-1"/>
  </pageFields>
  <dataFields count="1">
    <dataField name="Count of Ticker"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558F-35B0-4CD6-B3CC-F3592E74FB91}">
  <sheetPr>
    <tabColor theme="0" tint="-0.34998626667073579"/>
  </sheetPr>
  <dimension ref="A1:A5"/>
  <sheetViews>
    <sheetView showGridLines="0" workbookViewId="0">
      <selection activeCell="A12" sqref="A12"/>
    </sheetView>
  </sheetViews>
  <sheetFormatPr defaultRowHeight="15" x14ac:dyDescent="0.25"/>
  <cols>
    <col min="1" max="1" width="94.28515625" bestFit="1" customWidth="1"/>
  </cols>
  <sheetData>
    <row r="1" spans="1:1" ht="15.75" x14ac:dyDescent="0.25">
      <c r="A1" s="141" t="s">
        <v>4959</v>
      </c>
    </row>
    <row r="2" spans="1:1" ht="15.75" x14ac:dyDescent="0.25">
      <c r="A2" s="141" t="s">
        <v>4960</v>
      </c>
    </row>
    <row r="3" spans="1:1" ht="15.75" x14ac:dyDescent="0.25">
      <c r="A3" s="141" t="s">
        <v>4961</v>
      </c>
    </row>
    <row r="4" spans="1:1" ht="15.75" x14ac:dyDescent="0.25">
      <c r="A4" s="141" t="s">
        <v>4962</v>
      </c>
    </row>
    <row r="5" spans="1:1" ht="15.75" x14ac:dyDescent="0.25">
      <c r="A5" s="141" t="s">
        <v>4963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0F13-DC4F-4506-91B1-22EDD6E76CFB}">
  <sheetPr>
    <tabColor theme="0" tint="-0.499984740745262"/>
  </sheetPr>
  <dimension ref="A1:O2676"/>
  <sheetViews>
    <sheetView showGridLines="0" workbookViewId="0">
      <pane ySplit="1" topLeftCell="A480" activePane="bottomLeft" state="frozen"/>
      <selection pane="bottomLeft" activeCell="A517" sqref="A517:A602"/>
    </sheetView>
  </sheetViews>
  <sheetFormatPr defaultRowHeight="15" x14ac:dyDescent="0.25"/>
  <cols>
    <col min="1" max="1" width="15.140625" customWidth="1"/>
    <col min="2" max="2" width="14.140625" style="7" customWidth="1"/>
    <col min="3" max="3" width="11.42578125" customWidth="1"/>
    <col min="4" max="4" width="13.28515625" customWidth="1"/>
    <col min="6" max="6" width="10.42578125" bestFit="1" customWidth="1"/>
  </cols>
  <sheetData>
    <row r="1" spans="1:15" x14ac:dyDescent="0.25">
      <c r="A1" s="2" t="s">
        <v>1615</v>
      </c>
      <c r="B1" s="2" t="s">
        <v>1614</v>
      </c>
      <c r="C1" s="2" t="s">
        <v>1622</v>
      </c>
      <c r="D1" s="2" t="s">
        <v>4717</v>
      </c>
      <c r="E1" s="2" t="s">
        <v>2338</v>
      </c>
      <c r="F1" s="11">
        <v>45616</v>
      </c>
      <c r="I1" s="3"/>
      <c r="K1" s="3"/>
      <c r="L1" s="3"/>
      <c r="M1" s="3"/>
      <c r="N1" s="4"/>
      <c r="O1" s="3"/>
    </row>
    <row r="2" spans="1:15" x14ac:dyDescent="0.25">
      <c r="A2" s="6" t="s">
        <v>1109</v>
      </c>
      <c r="B2" s="7" t="s">
        <v>1616</v>
      </c>
      <c r="C2" s="1" t="s">
        <v>1621</v>
      </c>
      <c r="I2" s="3"/>
      <c r="K2" s="3"/>
      <c r="L2" s="3"/>
      <c r="M2" s="3"/>
      <c r="N2" s="4"/>
      <c r="O2" s="3"/>
    </row>
    <row r="3" spans="1:15" x14ac:dyDescent="0.25">
      <c r="A3" s="6" t="s">
        <v>1275</v>
      </c>
      <c r="B3" s="7" t="s">
        <v>1616</v>
      </c>
      <c r="C3" s="1" t="s">
        <v>1621</v>
      </c>
      <c r="I3" s="3"/>
      <c r="K3" s="3"/>
      <c r="L3" s="3"/>
      <c r="M3" s="3"/>
      <c r="N3" s="4"/>
      <c r="O3" s="3"/>
    </row>
    <row r="4" spans="1:15" x14ac:dyDescent="0.25">
      <c r="A4" s="6" t="s">
        <v>1276</v>
      </c>
      <c r="B4" s="7" t="s">
        <v>1616</v>
      </c>
      <c r="C4" s="1" t="s">
        <v>1621</v>
      </c>
      <c r="I4" s="3"/>
      <c r="K4" s="3"/>
      <c r="L4" s="3"/>
      <c r="M4" s="3"/>
      <c r="N4" s="4"/>
      <c r="O4" s="3"/>
    </row>
    <row r="5" spans="1:15" x14ac:dyDescent="0.25">
      <c r="A5" s="6" t="s">
        <v>1277</v>
      </c>
      <c r="B5" s="7" t="s">
        <v>1616</v>
      </c>
      <c r="C5" s="1" t="s">
        <v>1621</v>
      </c>
      <c r="I5" s="3"/>
      <c r="K5" s="3"/>
      <c r="L5" s="3"/>
      <c r="M5" s="3"/>
      <c r="N5" s="4"/>
      <c r="O5" s="3"/>
    </row>
    <row r="6" spans="1:15" x14ac:dyDescent="0.25">
      <c r="A6" s="6" t="s">
        <v>1278</v>
      </c>
      <c r="B6" s="7" t="s">
        <v>1616</v>
      </c>
      <c r="C6" s="1" t="s">
        <v>1621</v>
      </c>
      <c r="I6" s="3"/>
      <c r="K6" s="3"/>
      <c r="L6" s="3"/>
      <c r="M6" s="3"/>
      <c r="N6" s="4"/>
      <c r="O6" s="3"/>
    </row>
    <row r="7" spans="1:15" x14ac:dyDescent="0.25">
      <c r="A7" s="6" t="s">
        <v>1279</v>
      </c>
      <c r="B7" s="7" t="s">
        <v>1616</v>
      </c>
      <c r="C7" s="1" t="s">
        <v>1621</v>
      </c>
      <c r="I7" s="3"/>
      <c r="K7" s="3"/>
      <c r="L7" s="3"/>
      <c r="M7" s="3"/>
      <c r="N7" s="4"/>
      <c r="O7" s="3"/>
    </row>
    <row r="8" spans="1:15" x14ac:dyDescent="0.25">
      <c r="A8" s="6" t="s">
        <v>1280</v>
      </c>
      <c r="B8" s="7" t="s">
        <v>1616</v>
      </c>
      <c r="C8" s="1" t="s">
        <v>1621</v>
      </c>
      <c r="I8" s="3"/>
      <c r="K8" s="3"/>
      <c r="L8" s="3"/>
      <c r="M8" s="3"/>
      <c r="N8" s="4"/>
      <c r="O8" s="3"/>
    </row>
    <row r="9" spans="1:15" x14ac:dyDescent="0.25">
      <c r="A9" s="6" t="s">
        <v>1281</v>
      </c>
      <c r="B9" s="7" t="s">
        <v>1616</v>
      </c>
      <c r="C9" s="1" t="s">
        <v>1621</v>
      </c>
      <c r="I9" s="3"/>
      <c r="K9" s="3"/>
      <c r="L9" s="3"/>
      <c r="M9" s="3"/>
      <c r="N9" s="4"/>
      <c r="O9" s="3"/>
    </row>
    <row r="10" spans="1:15" x14ac:dyDescent="0.25">
      <c r="A10" s="6" t="s">
        <v>1282</v>
      </c>
      <c r="B10" s="7" t="s">
        <v>1616</v>
      </c>
      <c r="C10" s="1" t="s">
        <v>1623</v>
      </c>
      <c r="I10" s="3"/>
      <c r="K10" s="3"/>
      <c r="L10" s="3"/>
      <c r="M10" s="3"/>
      <c r="N10" s="4"/>
      <c r="O10" s="3"/>
    </row>
    <row r="11" spans="1:15" x14ac:dyDescent="0.25">
      <c r="A11" s="6" t="s">
        <v>1270</v>
      </c>
      <c r="B11" s="7" t="s">
        <v>1616</v>
      </c>
      <c r="C11" s="1" t="s">
        <v>1621</v>
      </c>
      <c r="I11" s="3"/>
      <c r="K11" s="3"/>
      <c r="L11" s="3"/>
      <c r="M11" s="3"/>
      <c r="N11" s="4"/>
      <c r="O11" s="3"/>
    </row>
    <row r="12" spans="1:15" x14ac:dyDescent="0.25">
      <c r="A12" s="6" t="s">
        <v>1085</v>
      </c>
      <c r="B12" s="7" t="s">
        <v>1616</v>
      </c>
      <c r="C12" s="1" t="s">
        <v>1623</v>
      </c>
      <c r="I12" s="3"/>
      <c r="K12" s="3"/>
      <c r="L12" s="3"/>
      <c r="M12" s="3"/>
      <c r="N12" s="4"/>
      <c r="O12" s="3"/>
    </row>
    <row r="13" spans="1:15" x14ac:dyDescent="0.25">
      <c r="A13" s="6" t="s">
        <v>1283</v>
      </c>
      <c r="B13" s="7" t="s">
        <v>1616</v>
      </c>
      <c r="C13" s="1" t="s">
        <v>1623</v>
      </c>
      <c r="I13" s="3"/>
      <c r="K13" s="3"/>
      <c r="L13" s="3"/>
      <c r="M13" s="3"/>
      <c r="N13" s="4"/>
      <c r="O13" s="3"/>
    </row>
    <row r="14" spans="1:15" x14ac:dyDescent="0.25">
      <c r="A14" s="6" t="s">
        <v>1284</v>
      </c>
      <c r="B14" s="7" t="s">
        <v>1616</v>
      </c>
      <c r="C14" s="1" t="s">
        <v>1623</v>
      </c>
      <c r="I14" s="3"/>
      <c r="K14" s="3"/>
      <c r="L14" s="3"/>
      <c r="M14" s="3"/>
      <c r="N14" s="4"/>
      <c r="O14" s="3"/>
    </row>
    <row r="15" spans="1:15" x14ac:dyDescent="0.25">
      <c r="A15" s="6" t="s">
        <v>1285</v>
      </c>
      <c r="B15" s="7" t="s">
        <v>1616</v>
      </c>
      <c r="C15" s="1" t="s">
        <v>1623</v>
      </c>
      <c r="I15" s="3"/>
      <c r="K15" s="3"/>
      <c r="L15" s="3"/>
      <c r="M15" s="3"/>
      <c r="N15" s="4"/>
      <c r="O15" s="3"/>
    </row>
    <row r="16" spans="1:15" x14ac:dyDescent="0.25">
      <c r="A16" s="6" t="s">
        <v>1286</v>
      </c>
      <c r="B16" s="7" t="s">
        <v>1616</v>
      </c>
      <c r="C16" s="1" t="s">
        <v>1623</v>
      </c>
      <c r="I16" s="3"/>
      <c r="K16" s="3"/>
      <c r="L16" s="3"/>
      <c r="M16" s="3"/>
      <c r="N16" s="4"/>
      <c r="O16" s="3"/>
    </row>
    <row r="17" spans="1:15" x14ac:dyDescent="0.25">
      <c r="A17" s="6" t="s">
        <v>13</v>
      </c>
      <c r="B17" s="7" t="s">
        <v>1616</v>
      </c>
      <c r="C17" s="1" t="s">
        <v>1623</v>
      </c>
      <c r="I17" s="3"/>
      <c r="K17" s="3"/>
      <c r="L17" s="3"/>
      <c r="M17" s="3"/>
      <c r="N17" s="4"/>
      <c r="O17" s="3"/>
    </row>
    <row r="18" spans="1:15" x14ac:dyDescent="0.25">
      <c r="A18" s="6" t="s">
        <v>1253</v>
      </c>
      <c r="B18" s="7" t="s">
        <v>1616</v>
      </c>
      <c r="C18" s="1" t="s">
        <v>1623</v>
      </c>
      <c r="I18" s="3"/>
      <c r="K18" s="3"/>
      <c r="L18" s="3"/>
      <c r="M18" s="3"/>
      <c r="N18" s="4"/>
      <c r="O18" s="3"/>
    </row>
    <row r="19" spans="1:15" x14ac:dyDescent="0.25">
      <c r="A19" s="6" t="s">
        <v>1287</v>
      </c>
      <c r="B19" s="7" t="s">
        <v>1616</v>
      </c>
      <c r="C19" s="1" t="s">
        <v>1623</v>
      </c>
      <c r="I19" s="3"/>
      <c r="K19" s="3"/>
      <c r="L19" s="3"/>
      <c r="M19" s="3"/>
      <c r="N19" s="4"/>
      <c r="O19" s="3"/>
    </row>
    <row r="20" spans="1:15" x14ac:dyDescent="0.25">
      <c r="A20" s="6" t="s">
        <v>1272</v>
      </c>
      <c r="B20" s="7" t="s">
        <v>1616</v>
      </c>
      <c r="C20" s="1" t="s">
        <v>1621</v>
      </c>
      <c r="I20" s="3"/>
      <c r="K20" s="3"/>
      <c r="L20" s="3"/>
      <c r="M20" s="3"/>
      <c r="N20" s="4"/>
      <c r="O20" s="3"/>
    </row>
    <row r="21" spans="1:15" x14ac:dyDescent="0.25">
      <c r="A21" s="6" t="s">
        <v>1288</v>
      </c>
      <c r="B21" s="7" t="s">
        <v>1616</v>
      </c>
      <c r="C21" s="1" t="s">
        <v>1623</v>
      </c>
      <c r="I21" s="3"/>
      <c r="K21" s="3"/>
      <c r="L21" s="3"/>
      <c r="M21" s="3"/>
      <c r="N21" s="4"/>
      <c r="O21" s="3"/>
    </row>
    <row r="22" spans="1:15" x14ac:dyDescent="0.25">
      <c r="A22" s="6" t="s">
        <v>881</v>
      </c>
      <c r="B22" s="7" t="s">
        <v>1616</v>
      </c>
      <c r="C22" s="1" t="s">
        <v>1623</v>
      </c>
      <c r="I22" s="3"/>
      <c r="K22" s="3"/>
      <c r="L22" s="3"/>
      <c r="M22" s="3"/>
      <c r="N22" s="4"/>
      <c r="O22" s="3"/>
    </row>
    <row r="23" spans="1:15" x14ac:dyDescent="0.25">
      <c r="A23" s="6" t="s">
        <v>1289</v>
      </c>
      <c r="B23" s="7" t="s">
        <v>1616</v>
      </c>
      <c r="C23" s="1" t="s">
        <v>1621</v>
      </c>
      <c r="I23" s="3"/>
      <c r="K23" s="3"/>
      <c r="L23" s="3"/>
      <c r="M23" s="3"/>
      <c r="N23" s="4"/>
      <c r="O23" s="3"/>
    </row>
    <row r="24" spans="1:15" x14ac:dyDescent="0.25">
      <c r="A24" s="6" t="s">
        <v>1290</v>
      </c>
      <c r="B24" s="7" t="s">
        <v>1616</v>
      </c>
      <c r="C24" s="1" t="s">
        <v>1623</v>
      </c>
      <c r="I24" s="3"/>
      <c r="K24" s="3"/>
      <c r="L24" s="3"/>
      <c r="M24" s="5"/>
      <c r="N24" s="4"/>
      <c r="O24" s="3"/>
    </row>
    <row r="25" spans="1:15" x14ac:dyDescent="0.25">
      <c r="A25" s="6" t="s">
        <v>1291</v>
      </c>
      <c r="B25" s="7" t="s">
        <v>1616</v>
      </c>
      <c r="C25" s="1" t="s">
        <v>1623</v>
      </c>
      <c r="I25" s="3"/>
      <c r="K25" s="3"/>
      <c r="L25" s="3"/>
      <c r="M25" s="3"/>
      <c r="N25" s="4"/>
      <c r="O25" s="3"/>
    </row>
    <row r="26" spans="1:15" x14ac:dyDescent="0.25">
      <c r="A26" s="6" t="s">
        <v>1188</v>
      </c>
      <c r="B26" s="7" t="s">
        <v>1616</v>
      </c>
      <c r="C26" s="1" t="s">
        <v>1623</v>
      </c>
      <c r="I26" s="3"/>
      <c r="K26" s="3"/>
      <c r="L26" s="3"/>
      <c r="M26" s="3"/>
      <c r="N26" s="4"/>
      <c r="O26" s="3"/>
    </row>
    <row r="27" spans="1:15" x14ac:dyDescent="0.25">
      <c r="A27" s="6" t="s">
        <v>1292</v>
      </c>
      <c r="B27" s="7" t="s">
        <v>1616</v>
      </c>
      <c r="C27" s="1" t="s">
        <v>1623</v>
      </c>
      <c r="I27" s="3"/>
      <c r="K27" s="3"/>
      <c r="L27" s="3"/>
      <c r="M27" s="3"/>
      <c r="N27" s="4"/>
      <c r="O27" s="3"/>
    </row>
    <row r="28" spans="1:15" x14ac:dyDescent="0.25">
      <c r="A28" s="6" t="s">
        <v>9</v>
      </c>
      <c r="B28" s="7" t="s">
        <v>1616</v>
      </c>
      <c r="C28" s="1" t="s">
        <v>1623</v>
      </c>
      <c r="I28" s="3"/>
      <c r="K28" s="3"/>
      <c r="L28" s="3"/>
      <c r="M28" s="3"/>
      <c r="N28" s="4"/>
      <c r="O28" s="3"/>
    </row>
    <row r="29" spans="1:15" x14ac:dyDescent="0.25">
      <c r="A29" s="6" t="s">
        <v>1293</v>
      </c>
      <c r="B29" s="7" t="s">
        <v>1616</v>
      </c>
      <c r="C29" s="1" t="s">
        <v>1621</v>
      </c>
      <c r="I29" s="3"/>
      <c r="K29" s="3"/>
      <c r="L29" s="3"/>
      <c r="M29" s="3"/>
      <c r="N29" s="4"/>
      <c r="O29" s="3"/>
    </row>
    <row r="30" spans="1:15" x14ac:dyDescent="0.25">
      <c r="A30" s="6" t="s">
        <v>1294</v>
      </c>
      <c r="B30" s="7" t="s">
        <v>1616</v>
      </c>
      <c r="C30" s="1" t="s">
        <v>1623</v>
      </c>
      <c r="I30" s="3"/>
      <c r="K30" s="3"/>
      <c r="L30" s="3"/>
      <c r="M30" s="3"/>
      <c r="N30" s="4"/>
      <c r="O30" s="3"/>
    </row>
    <row r="31" spans="1:15" x14ac:dyDescent="0.25">
      <c r="A31" s="6" t="s">
        <v>1295</v>
      </c>
      <c r="B31" s="7" t="s">
        <v>1616</v>
      </c>
      <c r="C31" s="1" t="s">
        <v>1623</v>
      </c>
      <c r="I31" s="3"/>
      <c r="K31" s="3"/>
      <c r="L31" s="3"/>
      <c r="M31" s="3"/>
      <c r="N31" s="4"/>
      <c r="O31" s="3"/>
    </row>
    <row r="32" spans="1:15" x14ac:dyDescent="0.25">
      <c r="A32" s="6" t="s">
        <v>1296</v>
      </c>
      <c r="B32" s="7" t="s">
        <v>1616</v>
      </c>
      <c r="C32" s="1" t="s">
        <v>1623</v>
      </c>
      <c r="I32" s="3"/>
      <c r="K32" s="3"/>
      <c r="L32" s="3"/>
      <c r="M32" s="3"/>
      <c r="N32" s="4"/>
      <c r="O32" s="3"/>
    </row>
    <row r="33" spans="1:15" x14ac:dyDescent="0.25">
      <c r="A33" s="6" t="s">
        <v>1032</v>
      </c>
      <c r="B33" s="7" t="s">
        <v>1616</v>
      </c>
      <c r="C33" s="1" t="s">
        <v>1621</v>
      </c>
      <c r="I33" s="3"/>
      <c r="K33" s="3"/>
      <c r="L33" s="3"/>
      <c r="M33" s="3"/>
      <c r="N33" s="4"/>
      <c r="O33" s="3"/>
    </row>
    <row r="34" spans="1:15" x14ac:dyDescent="0.25">
      <c r="A34" s="6" t="s">
        <v>1297</v>
      </c>
      <c r="B34" s="7" t="s">
        <v>1616</v>
      </c>
      <c r="C34" s="1" t="s">
        <v>1623</v>
      </c>
      <c r="I34" s="3"/>
      <c r="K34" s="3"/>
      <c r="L34" s="3"/>
      <c r="M34" s="3"/>
      <c r="N34" s="4"/>
      <c r="O34" s="3"/>
    </row>
    <row r="35" spans="1:15" x14ac:dyDescent="0.25">
      <c r="A35" s="6" t="s">
        <v>1298</v>
      </c>
      <c r="B35" s="7" t="s">
        <v>1616</v>
      </c>
      <c r="C35" s="1" t="s">
        <v>1623</v>
      </c>
      <c r="I35" s="3"/>
      <c r="K35" s="3"/>
      <c r="L35" s="3"/>
      <c r="M35" s="3"/>
      <c r="N35" s="4"/>
      <c r="O35" s="3"/>
    </row>
    <row r="36" spans="1:15" x14ac:dyDescent="0.25">
      <c r="A36" s="6" t="s">
        <v>1299</v>
      </c>
      <c r="B36" s="7" t="s">
        <v>1616</v>
      </c>
      <c r="C36" s="1" t="s">
        <v>1621</v>
      </c>
      <c r="I36" s="3"/>
      <c r="K36" s="3"/>
      <c r="L36" s="3"/>
      <c r="M36" s="3"/>
      <c r="N36" s="4"/>
      <c r="O36" s="3"/>
    </row>
    <row r="37" spans="1:15" x14ac:dyDescent="0.25">
      <c r="A37" s="6" t="s">
        <v>1262</v>
      </c>
      <c r="B37" s="7" t="s">
        <v>1616</v>
      </c>
      <c r="C37" s="1" t="s">
        <v>1621</v>
      </c>
      <c r="I37" s="3"/>
      <c r="K37" s="3"/>
      <c r="L37" s="3"/>
      <c r="M37" s="3"/>
      <c r="N37" s="4"/>
      <c r="O37" s="3"/>
    </row>
    <row r="38" spans="1:15" x14ac:dyDescent="0.25">
      <c r="A38" s="6" t="s">
        <v>1300</v>
      </c>
      <c r="B38" s="7" t="s">
        <v>1616</v>
      </c>
      <c r="C38" s="1" t="s">
        <v>1621</v>
      </c>
      <c r="I38" s="3"/>
      <c r="K38" s="3"/>
      <c r="L38" s="3"/>
      <c r="M38" s="3"/>
      <c r="N38" s="4"/>
      <c r="O38" s="3"/>
    </row>
    <row r="39" spans="1:15" x14ac:dyDescent="0.25">
      <c r="A39" s="6" t="s">
        <v>1301</v>
      </c>
      <c r="B39" s="7" t="s">
        <v>1616</v>
      </c>
      <c r="C39" s="1" t="s">
        <v>1621</v>
      </c>
      <c r="I39" s="3"/>
      <c r="K39" s="3"/>
      <c r="L39" s="3"/>
      <c r="M39" s="5"/>
      <c r="N39" s="4"/>
      <c r="O39" s="3"/>
    </row>
    <row r="40" spans="1:15" x14ac:dyDescent="0.25">
      <c r="A40" s="6" t="s">
        <v>1302</v>
      </c>
      <c r="B40" s="7" t="s">
        <v>1616</v>
      </c>
      <c r="C40" s="1" t="s">
        <v>1623</v>
      </c>
      <c r="I40" s="3"/>
      <c r="K40" s="3"/>
      <c r="L40" s="3"/>
      <c r="M40" s="3"/>
      <c r="N40" s="4"/>
      <c r="O40" s="3"/>
    </row>
    <row r="41" spans="1:15" x14ac:dyDescent="0.25">
      <c r="A41" s="6" t="s">
        <v>1303</v>
      </c>
      <c r="B41" s="7" t="s">
        <v>1616</v>
      </c>
      <c r="C41" s="1" t="s">
        <v>1623</v>
      </c>
      <c r="I41" s="3"/>
      <c r="K41" s="3"/>
      <c r="L41" s="3"/>
      <c r="M41" s="3"/>
      <c r="N41" s="3"/>
      <c r="O41" s="3"/>
    </row>
    <row r="42" spans="1:15" x14ac:dyDescent="0.25">
      <c r="A42" s="6" t="s">
        <v>1304</v>
      </c>
      <c r="B42" s="7" t="s">
        <v>1616</v>
      </c>
      <c r="C42" s="1" t="s">
        <v>1623</v>
      </c>
      <c r="I42" s="3"/>
      <c r="K42" s="3"/>
      <c r="L42" s="3"/>
      <c r="M42" s="3"/>
      <c r="N42" s="4"/>
      <c r="O42" s="3"/>
    </row>
    <row r="43" spans="1:15" x14ac:dyDescent="0.25">
      <c r="A43" s="6" t="s">
        <v>1048</v>
      </c>
      <c r="B43" s="7" t="s">
        <v>1616</v>
      </c>
      <c r="C43" s="1" t="s">
        <v>1623</v>
      </c>
      <c r="I43" s="3"/>
      <c r="K43" s="3"/>
      <c r="L43" s="3"/>
      <c r="M43" s="3"/>
      <c r="N43" s="4"/>
      <c r="O43" s="3"/>
    </row>
    <row r="44" spans="1:15" x14ac:dyDescent="0.25">
      <c r="A44" s="6" t="s">
        <v>1305</v>
      </c>
      <c r="B44" s="7" t="s">
        <v>1616</v>
      </c>
      <c r="C44" s="1" t="s">
        <v>1623</v>
      </c>
      <c r="I44" s="3"/>
      <c r="K44" s="3"/>
      <c r="L44" s="3"/>
      <c r="M44" s="3"/>
      <c r="N44" s="4"/>
      <c r="O44" s="3"/>
    </row>
    <row r="45" spans="1:15" x14ac:dyDescent="0.25">
      <c r="A45" s="6" t="s">
        <v>1306</v>
      </c>
      <c r="B45" s="7" t="s">
        <v>1616</v>
      </c>
      <c r="C45" s="1" t="s">
        <v>1623</v>
      </c>
      <c r="I45" s="3"/>
      <c r="K45" s="3"/>
      <c r="L45" s="3"/>
      <c r="M45" s="3"/>
      <c r="N45" s="4"/>
      <c r="O45" s="3"/>
    </row>
    <row r="46" spans="1:15" x14ac:dyDescent="0.25">
      <c r="A46" s="6" t="s">
        <v>1307</v>
      </c>
      <c r="B46" s="7" t="s">
        <v>1616</v>
      </c>
      <c r="C46" s="1" t="s">
        <v>1623</v>
      </c>
      <c r="I46" s="3"/>
      <c r="K46" s="3"/>
      <c r="L46" s="3"/>
      <c r="M46" s="3"/>
      <c r="N46" s="4"/>
      <c r="O46" s="3"/>
    </row>
    <row r="47" spans="1:15" x14ac:dyDescent="0.25">
      <c r="A47" s="6" t="s">
        <v>1308</v>
      </c>
      <c r="B47" s="7" t="s">
        <v>1616</v>
      </c>
      <c r="C47" s="1" t="s">
        <v>1623</v>
      </c>
      <c r="I47" s="3"/>
      <c r="K47" s="3"/>
      <c r="L47" s="3"/>
      <c r="M47" s="3"/>
      <c r="N47" s="4"/>
      <c r="O47" s="3"/>
    </row>
    <row r="48" spans="1:15" x14ac:dyDescent="0.25">
      <c r="A48" s="6" t="s">
        <v>1309</v>
      </c>
      <c r="B48" s="7" t="s">
        <v>1616</v>
      </c>
      <c r="C48" s="1" t="s">
        <v>1623</v>
      </c>
      <c r="I48" s="3"/>
      <c r="K48" s="3"/>
      <c r="L48" s="3"/>
      <c r="M48" s="3"/>
      <c r="N48" s="4"/>
      <c r="O48" s="3"/>
    </row>
    <row r="49" spans="1:15" x14ac:dyDescent="0.25">
      <c r="A49" s="6" t="s">
        <v>1310</v>
      </c>
      <c r="B49" s="7" t="s">
        <v>1616</v>
      </c>
      <c r="C49" s="1" t="s">
        <v>1621</v>
      </c>
      <c r="I49" s="3"/>
      <c r="K49" s="3"/>
      <c r="L49" s="3"/>
      <c r="M49" s="3"/>
      <c r="N49" s="4"/>
      <c r="O49" s="3"/>
    </row>
    <row r="50" spans="1:15" x14ac:dyDescent="0.25">
      <c r="A50" s="6" t="s">
        <v>1311</v>
      </c>
      <c r="B50" s="7" t="s">
        <v>1616</v>
      </c>
      <c r="C50" s="1" t="s">
        <v>1623</v>
      </c>
      <c r="I50" s="3"/>
      <c r="K50" s="3"/>
      <c r="L50" s="3"/>
      <c r="M50" s="3"/>
      <c r="N50" s="4"/>
      <c r="O50" s="3"/>
    </row>
    <row r="51" spans="1:15" x14ac:dyDescent="0.25">
      <c r="A51" s="6" t="s">
        <v>1312</v>
      </c>
      <c r="B51" s="7" t="s">
        <v>1616</v>
      </c>
      <c r="C51" s="1" t="s">
        <v>1623</v>
      </c>
      <c r="I51" s="3"/>
      <c r="K51" s="3"/>
      <c r="L51" s="3"/>
      <c r="M51" s="3"/>
      <c r="N51" s="4"/>
      <c r="O51" s="3"/>
    </row>
    <row r="52" spans="1:15" x14ac:dyDescent="0.25">
      <c r="A52" s="6" t="s">
        <v>1313</v>
      </c>
      <c r="B52" s="7" t="s">
        <v>1616</v>
      </c>
      <c r="C52" s="1" t="s">
        <v>1623</v>
      </c>
      <c r="I52" s="3"/>
      <c r="K52" s="3"/>
      <c r="L52" s="3"/>
      <c r="M52" s="3"/>
      <c r="N52" s="4"/>
      <c r="O52" s="3"/>
    </row>
    <row r="53" spans="1:15" x14ac:dyDescent="0.25">
      <c r="A53" s="6" t="s">
        <v>1126</v>
      </c>
      <c r="B53" s="7" t="s">
        <v>1616</v>
      </c>
      <c r="C53" s="1" t="s">
        <v>1621</v>
      </c>
      <c r="I53" s="3"/>
      <c r="K53" s="3"/>
      <c r="L53" s="3"/>
      <c r="M53" s="3"/>
      <c r="N53" s="4"/>
      <c r="O53" s="3"/>
    </row>
    <row r="54" spans="1:15" x14ac:dyDescent="0.25">
      <c r="A54" s="6" t="s">
        <v>1314</v>
      </c>
      <c r="B54" s="7" t="s">
        <v>1616</v>
      </c>
      <c r="C54" s="1" t="s">
        <v>1621</v>
      </c>
      <c r="I54" s="3"/>
      <c r="K54" s="3"/>
      <c r="L54" s="3"/>
      <c r="M54" s="3"/>
      <c r="N54" s="4"/>
      <c r="O54" s="3"/>
    </row>
    <row r="55" spans="1:15" x14ac:dyDescent="0.25">
      <c r="A55" s="6" t="s">
        <v>1315</v>
      </c>
      <c r="B55" s="7" t="s">
        <v>1616</v>
      </c>
      <c r="C55" s="1" t="s">
        <v>1623</v>
      </c>
      <c r="I55" s="3"/>
      <c r="K55" s="3"/>
      <c r="L55" s="3"/>
      <c r="M55" s="5"/>
      <c r="N55" s="4"/>
      <c r="O55" s="3"/>
    </row>
    <row r="56" spans="1:15" x14ac:dyDescent="0.25">
      <c r="A56" s="6" t="s">
        <v>333</v>
      </c>
      <c r="B56" s="7" t="s">
        <v>1616</v>
      </c>
      <c r="C56" s="1" t="s">
        <v>1621</v>
      </c>
      <c r="I56" s="3"/>
      <c r="K56" s="3"/>
      <c r="L56" s="3"/>
      <c r="M56" s="3"/>
      <c r="N56" s="4"/>
      <c r="O56" s="3"/>
    </row>
    <row r="57" spans="1:15" x14ac:dyDescent="0.25">
      <c r="A57" s="6" t="s">
        <v>1316</v>
      </c>
      <c r="B57" s="7" t="s">
        <v>1616</v>
      </c>
      <c r="C57" s="1" t="s">
        <v>1623</v>
      </c>
      <c r="I57" s="3"/>
      <c r="K57" s="3"/>
      <c r="L57" s="3"/>
      <c r="M57" s="3"/>
      <c r="N57" s="4"/>
      <c r="O57" s="3"/>
    </row>
    <row r="58" spans="1:15" x14ac:dyDescent="0.25">
      <c r="A58" s="6" t="s">
        <v>1317</v>
      </c>
      <c r="B58" s="7" t="s">
        <v>1616</v>
      </c>
      <c r="C58" s="1" t="s">
        <v>1621</v>
      </c>
      <c r="I58" s="3"/>
      <c r="K58" s="3"/>
      <c r="L58" s="3"/>
      <c r="M58" s="3"/>
      <c r="N58" s="4"/>
      <c r="O58" s="3"/>
    </row>
    <row r="59" spans="1:15" x14ac:dyDescent="0.25">
      <c r="A59" s="6" t="s">
        <v>1318</v>
      </c>
      <c r="B59" s="7" t="s">
        <v>1616</v>
      </c>
      <c r="C59" s="1" t="s">
        <v>1623</v>
      </c>
      <c r="I59" s="3"/>
      <c r="K59" s="3"/>
      <c r="L59" s="3"/>
      <c r="M59" s="3"/>
      <c r="N59" s="4"/>
      <c r="O59" s="3"/>
    </row>
    <row r="60" spans="1:15" x14ac:dyDescent="0.25">
      <c r="A60" s="6" t="s">
        <v>1319</v>
      </c>
      <c r="B60" s="7" t="s">
        <v>1616</v>
      </c>
      <c r="C60" s="1" t="s">
        <v>1621</v>
      </c>
      <c r="I60" s="3"/>
      <c r="K60" s="3"/>
      <c r="L60" s="3"/>
      <c r="M60" s="3"/>
      <c r="N60" s="4"/>
      <c r="O60" s="3"/>
    </row>
    <row r="61" spans="1:15" x14ac:dyDescent="0.25">
      <c r="A61" s="6" t="s">
        <v>1320</v>
      </c>
      <c r="B61" s="7" t="s">
        <v>1616</v>
      </c>
      <c r="C61" s="1" t="s">
        <v>1623</v>
      </c>
      <c r="I61" s="3"/>
      <c r="K61" s="3"/>
      <c r="L61" s="3"/>
      <c r="M61" s="3"/>
      <c r="N61" s="4"/>
      <c r="O61" s="3"/>
    </row>
    <row r="62" spans="1:15" x14ac:dyDescent="0.25">
      <c r="A62" s="6" t="s">
        <v>1321</v>
      </c>
      <c r="B62" s="7" t="s">
        <v>1616</v>
      </c>
      <c r="C62" s="1" t="s">
        <v>1623</v>
      </c>
      <c r="I62" s="3"/>
      <c r="K62" s="3"/>
      <c r="L62" s="3"/>
      <c r="M62" s="3"/>
      <c r="N62" s="4"/>
      <c r="O62" s="3"/>
    </row>
    <row r="63" spans="1:15" x14ac:dyDescent="0.25">
      <c r="A63" s="6" t="s">
        <v>1322</v>
      </c>
      <c r="B63" s="7" t="s">
        <v>1616</v>
      </c>
      <c r="C63" s="1" t="s">
        <v>1623</v>
      </c>
      <c r="I63" s="3"/>
      <c r="K63" s="3"/>
      <c r="L63" s="3"/>
      <c r="M63" s="3"/>
      <c r="N63" s="4"/>
      <c r="O63" s="3"/>
    </row>
    <row r="64" spans="1:15" x14ac:dyDescent="0.25">
      <c r="A64" s="6" t="s">
        <v>1323</v>
      </c>
      <c r="B64" s="7" t="s">
        <v>1616</v>
      </c>
      <c r="C64" s="1" t="s">
        <v>1623</v>
      </c>
      <c r="I64" s="3"/>
      <c r="K64" s="3"/>
      <c r="L64" s="3"/>
      <c r="M64" s="3"/>
      <c r="N64" s="4"/>
      <c r="O64" s="3"/>
    </row>
    <row r="65" spans="1:15" x14ac:dyDescent="0.25">
      <c r="A65" s="6" t="s">
        <v>1324</v>
      </c>
      <c r="B65" s="7" t="s">
        <v>1616</v>
      </c>
      <c r="C65" s="1" t="s">
        <v>1621</v>
      </c>
      <c r="I65" s="3"/>
      <c r="K65" s="3"/>
      <c r="L65" s="3"/>
      <c r="M65" s="3"/>
      <c r="N65" s="4"/>
      <c r="O65" s="3"/>
    </row>
    <row r="66" spans="1:15" x14ac:dyDescent="0.25">
      <c r="A66" s="6" t="s">
        <v>1325</v>
      </c>
      <c r="B66" s="7" t="s">
        <v>1616</v>
      </c>
      <c r="C66" s="1" t="s">
        <v>1623</v>
      </c>
      <c r="I66" s="3"/>
      <c r="K66" s="3"/>
      <c r="L66" s="3"/>
      <c r="M66" s="3"/>
      <c r="N66" s="4"/>
      <c r="O66" s="3"/>
    </row>
    <row r="67" spans="1:15" x14ac:dyDescent="0.25">
      <c r="A67" s="6" t="s">
        <v>1079</v>
      </c>
      <c r="B67" s="7" t="s">
        <v>1616</v>
      </c>
      <c r="C67" s="1" t="s">
        <v>1623</v>
      </c>
      <c r="I67" s="3"/>
      <c r="K67" s="3"/>
      <c r="L67" s="3"/>
      <c r="M67" s="3"/>
      <c r="N67" s="4"/>
      <c r="O67" s="3"/>
    </row>
    <row r="68" spans="1:15" x14ac:dyDescent="0.25">
      <c r="A68" s="6" t="s">
        <v>1326</v>
      </c>
      <c r="B68" s="7" t="s">
        <v>1616</v>
      </c>
      <c r="C68" s="1" t="s">
        <v>1621</v>
      </c>
      <c r="I68" s="3"/>
      <c r="K68" s="3"/>
      <c r="L68" s="3"/>
      <c r="M68" s="3"/>
      <c r="N68" s="4"/>
      <c r="O68" s="3"/>
    </row>
    <row r="69" spans="1:15" x14ac:dyDescent="0.25">
      <c r="A69" s="6" t="s">
        <v>1327</v>
      </c>
      <c r="B69" s="7" t="s">
        <v>1616</v>
      </c>
      <c r="C69" s="1" t="s">
        <v>1623</v>
      </c>
      <c r="I69" s="3"/>
      <c r="K69" s="3"/>
      <c r="L69" s="3"/>
      <c r="M69" s="3"/>
      <c r="N69" s="4"/>
      <c r="O69" s="3"/>
    </row>
    <row r="70" spans="1:15" x14ac:dyDescent="0.25">
      <c r="A70" s="6" t="s">
        <v>1328</v>
      </c>
      <c r="B70" s="7" t="s">
        <v>1616</v>
      </c>
      <c r="C70" s="1" t="s">
        <v>1623</v>
      </c>
      <c r="I70" s="3"/>
      <c r="K70" s="3"/>
      <c r="L70" s="3"/>
      <c r="M70" s="3"/>
      <c r="N70" s="4"/>
      <c r="O70" s="3"/>
    </row>
    <row r="71" spans="1:15" x14ac:dyDescent="0.25">
      <c r="A71" s="6" t="s">
        <v>1329</v>
      </c>
      <c r="B71" s="7" t="s">
        <v>1616</v>
      </c>
      <c r="C71" s="1" t="s">
        <v>1623</v>
      </c>
      <c r="I71" s="3"/>
      <c r="K71" s="3"/>
      <c r="L71" s="3"/>
      <c r="M71" s="3"/>
      <c r="N71" s="4"/>
      <c r="O71" s="3"/>
    </row>
    <row r="72" spans="1:15" x14ac:dyDescent="0.25">
      <c r="A72" s="6" t="s">
        <v>1330</v>
      </c>
      <c r="B72" s="7" t="s">
        <v>1616</v>
      </c>
      <c r="C72" s="1" t="s">
        <v>1623</v>
      </c>
      <c r="I72" s="3"/>
      <c r="K72" s="3"/>
      <c r="L72" s="3"/>
      <c r="M72" s="3"/>
      <c r="N72" s="4"/>
      <c r="O72" s="3"/>
    </row>
    <row r="73" spans="1:15" x14ac:dyDescent="0.25">
      <c r="A73" s="6" t="s">
        <v>1331</v>
      </c>
      <c r="B73" s="7" t="s">
        <v>1616</v>
      </c>
      <c r="C73" s="1" t="s">
        <v>1623</v>
      </c>
      <c r="I73" s="3"/>
      <c r="K73" s="3"/>
      <c r="L73" s="3"/>
      <c r="M73" s="3"/>
      <c r="N73" s="4"/>
      <c r="O73" s="3"/>
    </row>
    <row r="74" spans="1:15" x14ac:dyDescent="0.25">
      <c r="A74" s="6" t="s">
        <v>89</v>
      </c>
      <c r="B74" s="7" t="s">
        <v>1616</v>
      </c>
      <c r="C74" s="1" t="s">
        <v>1623</v>
      </c>
      <c r="I74" s="3"/>
      <c r="K74" s="3"/>
      <c r="L74" s="3"/>
      <c r="M74" s="3"/>
      <c r="N74" s="4"/>
      <c r="O74" s="3"/>
    </row>
    <row r="75" spans="1:15" x14ac:dyDescent="0.25">
      <c r="A75" s="6" t="s">
        <v>1332</v>
      </c>
      <c r="B75" s="7" t="s">
        <v>1616</v>
      </c>
      <c r="C75" s="1" t="s">
        <v>1623</v>
      </c>
      <c r="I75" s="3"/>
      <c r="K75" s="3"/>
      <c r="L75" s="3"/>
      <c r="M75" s="3"/>
      <c r="N75" s="4"/>
      <c r="O75" s="3"/>
    </row>
    <row r="76" spans="1:15" x14ac:dyDescent="0.25">
      <c r="A76" s="6" t="s">
        <v>1059</v>
      </c>
      <c r="B76" s="7" t="s">
        <v>1616</v>
      </c>
      <c r="C76" s="1" t="s">
        <v>1621</v>
      </c>
      <c r="I76" s="3"/>
      <c r="K76" s="3"/>
      <c r="L76" s="3"/>
      <c r="M76" s="3"/>
      <c r="N76" s="4"/>
      <c r="O76" s="3"/>
    </row>
    <row r="77" spans="1:15" x14ac:dyDescent="0.25">
      <c r="A77" s="6" t="s">
        <v>1333</v>
      </c>
      <c r="B77" s="7" t="s">
        <v>1616</v>
      </c>
      <c r="C77" s="1" t="s">
        <v>1623</v>
      </c>
      <c r="I77" s="3"/>
      <c r="K77" s="3"/>
      <c r="L77" s="3"/>
      <c r="M77" s="3"/>
      <c r="N77" s="4"/>
      <c r="O77" s="3"/>
    </row>
    <row r="78" spans="1:15" x14ac:dyDescent="0.25">
      <c r="A78" s="6" t="s">
        <v>1105</v>
      </c>
      <c r="B78" s="7" t="s">
        <v>1616</v>
      </c>
      <c r="C78" s="1" t="s">
        <v>1623</v>
      </c>
      <c r="I78" s="3"/>
      <c r="K78" s="3"/>
      <c r="L78" s="3"/>
      <c r="M78" s="3"/>
      <c r="N78" s="4"/>
      <c r="O78" s="3"/>
    </row>
    <row r="79" spans="1:15" x14ac:dyDescent="0.25">
      <c r="A79" s="6" t="s">
        <v>1334</v>
      </c>
      <c r="B79" s="7" t="s">
        <v>1616</v>
      </c>
      <c r="C79" s="1" t="s">
        <v>1623</v>
      </c>
      <c r="I79" s="3"/>
      <c r="K79" s="3"/>
      <c r="L79" s="3"/>
      <c r="M79" s="3"/>
      <c r="N79" s="4"/>
      <c r="O79" s="3"/>
    </row>
    <row r="80" spans="1:15" x14ac:dyDescent="0.25">
      <c r="A80" s="6" t="s">
        <v>1335</v>
      </c>
      <c r="B80" s="7" t="s">
        <v>1616</v>
      </c>
      <c r="C80" s="1" t="s">
        <v>1623</v>
      </c>
      <c r="I80" s="3"/>
      <c r="K80" s="3"/>
      <c r="L80" s="3"/>
      <c r="M80" s="3"/>
      <c r="N80" s="4"/>
      <c r="O80" s="3"/>
    </row>
    <row r="81" spans="1:15" x14ac:dyDescent="0.25">
      <c r="A81" s="6" t="s">
        <v>1336</v>
      </c>
      <c r="B81" s="7" t="s">
        <v>1616</v>
      </c>
      <c r="C81" s="1" t="s">
        <v>1623</v>
      </c>
      <c r="I81" s="3"/>
      <c r="K81" s="3"/>
      <c r="L81" s="3"/>
      <c r="M81" s="3"/>
      <c r="N81" s="4"/>
      <c r="O81" s="3"/>
    </row>
    <row r="82" spans="1:15" x14ac:dyDescent="0.25">
      <c r="A82" s="6" t="s">
        <v>1107</v>
      </c>
      <c r="B82" s="7" t="s">
        <v>1616</v>
      </c>
      <c r="C82" s="1" t="s">
        <v>1621</v>
      </c>
      <c r="I82" s="3"/>
      <c r="K82" s="3"/>
      <c r="L82" s="3"/>
      <c r="M82" s="3"/>
      <c r="N82" s="4"/>
      <c r="O82" s="3"/>
    </row>
    <row r="83" spans="1:15" x14ac:dyDescent="0.25">
      <c r="A83" s="6" t="s">
        <v>1337</v>
      </c>
      <c r="B83" s="7" t="s">
        <v>1616</v>
      </c>
      <c r="C83" s="1" t="s">
        <v>1623</v>
      </c>
      <c r="I83" s="3"/>
      <c r="K83" s="3"/>
      <c r="L83" s="3"/>
      <c r="M83" s="3"/>
      <c r="N83" s="4"/>
      <c r="O83" s="3"/>
    </row>
    <row r="84" spans="1:15" x14ac:dyDescent="0.25">
      <c r="A84" s="6" t="s">
        <v>1338</v>
      </c>
      <c r="B84" s="7" t="s">
        <v>1616</v>
      </c>
      <c r="C84" s="1" t="s">
        <v>1623</v>
      </c>
      <c r="I84" s="3"/>
      <c r="K84" s="3"/>
      <c r="L84" s="3"/>
      <c r="M84" s="3"/>
      <c r="N84" s="4"/>
      <c r="O84" s="3"/>
    </row>
    <row r="85" spans="1:15" x14ac:dyDescent="0.25">
      <c r="A85" s="6" t="s">
        <v>1339</v>
      </c>
      <c r="B85" s="7" t="s">
        <v>1616</v>
      </c>
      <c r="C85" s="1" t="s">
        <v>1621</v>
      </c>
      <c r="I85" s="3"/>
      <c r="K85" s="3"/>
      <c r="L85" s="3"/>
      <c r="M85" s="3"/>
      <c r="N85" s="4"/>
      <c r="O85" s="3"/>
    </row>
    <row r="86" spans="1:15" x14ac:dyDescent="0.25">
      <c r="A86" s="6" t="s">
        <v>743</v>
      </c>
      <c r="B86" s="7" t="s">
        <v>1616</v>
      </c>
      <c r="C86" s="1" t="s">
        <v>1623</v>
      </c>
      <c r="I86" s="3"/>
      <c r="K86" s="3"/>
      <c r="L86" s="3"/>
      <c r="M86" s="3"/>
      <c r="N86" s="4"/>
      <c r="O86" s="3"/>
    </row>
    <row r="87" spans="1:15" x14ac:dyDescent="0.25">
      <c r="A87" s="6" t="s">
        <v>1340</v>
      </c>
      <c r="B87" s="7" t="s">
        <v>1616</v>
      </c>
      <c r="C87" s="1" t="s">
        <v>1623</v>
      </c>
      <c r="I87" s="3"/>
      <c r="K87" s="3"/>
      <c r="L87" s="3"/>
      <c r="M87" s="3"/>
      <c r="N87" s="4"/>
      <c r="O87" s="3"/>
    </row>
    <row r="88" spans="1:15" x14ac:dyDescent="0.25">
      <c r="A88" s="6" t="s">
        <v>66</v>
      </c>
      <c r="B88" s="7" t="s">
        <v>1616</v>
      </c>
      <c r="C88" s="1" t="s">
        <v>1621</v>
      </c>
      <c r="I88" s="3"/>
      <c r="K88" s="3"/>
      <c r="L88" s="3"/>
      <c r="M88" s="3"/>
      <c r="N88" s="4"/>
      <c r="O88" s="3"/>
    </row>
    <row r="89" spans="1:15" x14ac:dyDescent="0.25">
      <c r="A89" s="6" t="s">
        <v>1341</v>
      </c>
      <c r="B89" s="7" t="s">
        <v>1616</v>
      </c>
      <c r="C89" s="1" t="s">
        <v>1623</v>
      </c>
      <c r="I89" s="3"/>
      <c r="K89" s="3"/>
      <c r="L89" s="3"/>
      <c r="M89" s="3"/>
      <c r="N89" s="4"/>
      <c r="O89" s="3"/>
    </row>
    <row r="90" spans="1:15" x14ac:dyDescent="0.25">
      <c r="A90" s="6" t="s">
        <v>1342</v>
      </c>
      <c r="B90" s="7" t="s">
        <v>1616</v>
      </c>
      <c r="C90" s="1" t="s">
        <v>1623</v>
      </c>
      <c r="I90" s="3"/>
      <c r="K90" s="3"/>
      <c r="L90" s="3"/>
      <c r="M90" s="3"/>
      <c r="N90" s="4"/>
      <c r="O90" s="3"/>
    </row>
    <row r="91" spans="1:15" x14ac:dyDescent="0.25">
      <c r="A91" s="6" t="s">
        <v>1343</v>
      </c>
      <c r="B91" s="7" t="s">
        <v>1616</v>
      </c>
      <c r="C91" s="1" t="s">
        <v>1621</v>
      </c>
      <c r="I91" s="3"/>
      <c r="K91" s="3"/>
      <c r="L91" s="3"/>
      <c r="M91" s="3"/>
      <c r="N91" s="4"/>
      <c r="O91" s="3"/>
    </row>
    <row r="92" spans="1:15" x14ac:dyDescent="0.25">
      <c r="A92" s="6" t="s">
        <v>350</v>
      </c>
      <c r="B92" s="7" t="s">
        <v>1616</v>
      </c>
      <c r="C92" s="1" t="s">
        <v>1621</v>
      </c>
      <c r="I92" s="3"/>
      <c r="K92" s="3"/>
      <c r="L92" s="3"/>
      <c r="M92" s="3"/>
      <c r="N92" s="4"/>
      <c r="O92" s="3"/>
    </row>
    <row r="93" spans="1:15" x14ac:dyDescent="0.25">
      <c r="A93" s="6" t="s">
        <v>1120</v>
      </c>
      <c r="B93" s="7" t="s">
        <v>1616</v>
      </c>
      <c r="C93" s="1" t="s">
        <v>1623</v>
      </c>
      <c r="I93" s="3"/>
      <c r="K93" s="3"/>
      <c r="L93" s="3"/>
      <c r="M93" s="3"/>
      <c r="N93" s="4"/>
      <c r="O93" s="3"/>
    </row>
    <row r="94" spans="1:15" x14ac:dyDescent="0.25">
      <c r="A94" s="6" t="s">
        <v>1344</v>
      </c>
      <c r="B94" s="7" t="s">
        <v>1616</v>
      </c>
      <c r="C94" s="1" t="s">
        <v>1623</v>
      </c>
      <c r="I94" s="3"/>
      <c r="K94" s="3"/>
      <c r="L94" s="3"/>
      <c r="M94" s="3"/>
      <c r="N94" s="4"/>
      <c r="O94" s="3"/>
    </row>
    <row r="95" spans="1:15" x14ac:dyDescent="0.25">
      <c r="A95" s="6" t="s">
        <v>1345</v>
      </c>
      <c r="B95" s="7" t="s">
        <v>1616</v>
      </c>
      <c r="C95" s="1" t="s">
        <v>1623</v>
      </c>
      <c r="I95" s="3"/>
      <c r="K95" s="3"/>
      <c r="L95" s="3"/>
      <c r="M95" s="3"/>
      <c r="N95" s="4"/>
      <c r="O95" s="3"/>
    </row>
    <row r="96" spans="1:15" x14ac:dyDescent="0.25">
      <c r="A96" s="6" t="s">
        <v>1346</v>
      </c>
      <c r="B96" s="7" t="s">
        <v>1616</v>
      </c>
      <c r="C96" s="1" t="s">
        <v>1623</v>
      </c>
      <c r="I96" s="3"/>
      <c r="K96" s="3"/>
      <c r="L96" s="3"/>
      <c r="M96" s="3"/>
      <c r="N96" s="4"/>
      <c r="O96" s="3"/>
    </row>
    <row r="97" spans="1:15" x14ac:dyDescent="0.25">
      <c r="A97" s="6" t="s">
        <v>1347</v>
      </c>
      <c r="B97" s="7" t="s">
        <v>1616</v>
      </c>
      <c r="C97" s="1" t="s">
        <v>1621</v>
      </c>
      <c r="I97" s="3"/>
      <c r="K97" s="3"/>
      <c r="L97" s="3"/>
      <c r="M97" s="3"/>
      <c r="N97" s="4"/>
      <c r="O97" s="3"/>
    </row>
    <row r="98" spans="1:15" x14ac:dyDescent="0.25">
      <c r="A98" s="6" t="s">
        <v>1082</v>
      </c>
      <c r="B98" s="7" t="s">
        <v>1616</v>
      </c>
      <c r="C98" s="1" t="s">
        <v>1623</v>
      </c>
      <c r="I98" s="3"/>
      <c r="K98" s="3"/>
      <c r="L98" s="3"/>
      <c r="M98" s="3"/>
      <c r="N98" s="4"/>
      <c r="O98" s="3"/>
    </row>
    <row r="99" spans="1:15" x14ac:dyDescent="0.25">
      <c r="A99" s="6" t="s">
        <v>1348</v>
      </c>
      <c r="B99" s="7" t="s">
        <v>1616</v>
      </c>
      <c r="C99" s="1" t="s">
        <v>1623</v>
      </c>
      <c r="I99" s="3"/>
      <c r="K99" s="3"/>
      <c r="L99" s="3"/>
      <c r="M99" s="3"/>
      <c r="N99" s="4"/>
      <c r="O99" s="3"/>
    </row>
    <row r="100" spans="1:15" x14ac:dyDescent="0.25">
      <c r="A100" s="6" t="s">
        <v>1151</v>
      </c>
      <c r="B100" s="7" t="s">
        <v>1616</v>
      </c>
      <c r="C100" s="1" t="s">
        <v>1621</v>
      </c>
      <c r="I100" s="3"/>
      <c r="K100" s="3"/>
      <c r="L100" s="3"/>
      <c r="M100" s="3"/>
      <c r="N100" s="4"/>
      <c r="O100" s="3"/>
    </row>
    <row r="101" spans="1:15" x14ac:dyDescent="0.25">
      <c r="A101" s="6" t="s">
        <v>1349</v>
      </c>
      <c r="B101" s="7" t="s">
        <v>1616</v>
      </c>
      <c r="C101" s="1" t="s">
        <v>1621</v>
      </c>
      <c r="I101" s="3"/>
      <c r="K101" s="3"/>
      <c r="L101" s="3"/>
      <c r="M101" s="3"/>
      <c r="N101" s="4"/>
      <c r="O101" s="3"/>
    </row>
    <row r="102" spans="1:15" x14ac:dyDescent="0.25">
      <c r="A102" s="6" t="s">
        <v>1350</v>
      </c>
      <c r="B102" s="7" t="s">
        <v>1616</v>
      </c>
      <c r="C102" s="1" t="s">
        <v>1623</v>
      </c>
    </row>
    <row r="103" spans="1:15" x14ac:dyDescent="0.25">
      <c r="A103" s="6" t="s">
        <v>1351</v>
      </c>
      <c r="B103" s="7" t="s">
        <v>1616</v>
      </c>
      <c r="C103" s="1" t="s">
        <v>1623</v>
      </c>
    </row>
    <row r="104" spans="1:15" x14ac:dyDescent="0.25">
      <c r="A104" s="6" t="s">
        <v>1352</v>
      </c>
      <c r="B104" s="7" t="s">
        <v>1616</v>
      </c>
      <c r="C104" s="1" t="s">
        <v>1623</v>
      </c>
    </row>
    <row r="105" spans="1:15" x14ac:dyDescent="0.25">
      <c r="A105" s="6" t="s">
        <v>1353</v>
      </c>
      <c r="B105" s="7" t="s">
        <v>1616</v>
      </c>
      <c r="C105" s="1" t="s">
        <v>1623</v>
      </c>
    </row>
    <row r="106" spans="1:15" x14ac:dyDescent="0.25">
      <c r="A106" s="6" t="s">
        <v>1164</v>
      </c>
      <c r="B106" s="7" t="s">
        <v>1616</v>
      </c>
      <c r="C106" s="1" t="s">
        <v>1623</v>
      </c>
    </row>
    <row r="107" spans="1:15" x14ac:dyDescent="0.25">
      <c r="A107" s="6" t="s">
        <v>1354</v>
      </c>
      <c r="B107" s="7" t="s">
        <v>1616</v>
      </c>
      <c r="C107" s="1" t="s">
        <v>1623</v>
      </c>
    </row>
    <row r="108" spans="1:15" x14ac:dyDescent="0.25">
      <c r="A108" s="6" t="s">
        <v>1355</v>
      </c>
      <c r="B108" s="7" t="s">
        <v>1616</v>
      </c>
      <c r="C108" s="1" t="s">
        <v>1623</v>
      </c>
    </row>
    <row r="109" spans="1:15" x14ac:dyDescent="0.25">
      <c r="A109" s="6" t="s">
        <v>1356</v>
      </c>
      <c r="B109" s="7" t="s">
        <v>1616</v>
      </c>
      <c r="C109" s="1" t="s">
        <v>1623</v>
      </c>
    </row>
    <row r="110" spans="1:15" x14ac:dyDescent="0.25">
      <c r="A110" s="6" t="s">
        <v>1357</v>
      </c>
      <c r="B110" s="7" t="s">
        <v>1616</v>
      </c>
      <c r="C110" s="1" t="s">
        <v>1623</v>
      </c>
    </row>
    <row r="111" spans="1:15" x14ac:dyDescent="0.25">
      <c r="A111" s="6" t="s">
        <v>1358</v>
      </c>
      <c r="B111" s="7" t="s">
        <v>1616</v>
      </c>
      <c r="C111" s="1" t="s">
        <v>1621</v>
      </c>
    </row>
    <row r="112" spans="1:15" x14ac:dyDescent="0.25">
      <c r="A112" s="6" t="s">
        <v>1359</v>
      </c>
      <c r="B112" s="7" t="s">
        <v>1616</v>
      </c>
      <c r="C112" s="1" t="s">
        <v>1623</v>
      </c>
    </row>
    <row r="113" spans="1:3" x14ac:dyDescent="0.25">
      <c r="A113" s="6" t="s">
        <v>1360</v>
      </c>
      <c r="B113" s="7" t="s">
        <v>1616</v>
      </c>
      <c r="C113" s="1" t="s">
        <v>1623</v>
      </c>
    </row>
    <row r="114" spans="1:3" x14ac:dyDescent="0.25">
      <c r="A114" s="6" t="s">
        <v>1361</v>
      </c>
      <c r="B114" s="7" t="s">
        <v>1616</v>
      </c>
      <c r="C114" s="1" t="s">
        <v>1623</v>
      </c>
    </row>
    <row r="115" spans="1:3" x14ac:dyDescent="0.25">
      <c r="A115" s="6" t="s">
        <v>520</v>
      </c>
      <c r="B115" s="7" t="s">
        <v>1616</v>
      </c>
      <c r="C115" s="1" t="s">
        <v>1623</v>
      </c>
    </row>
    <row r="116" spans="1:3" x14ac:dyDescent="0.25">
      <c r="A116" s="6" t="s">
        <v>1362</v>
      </c>
      <c r="B116" s="7" t="s">
        <v>1616</v>
      </c>
      <c r="C116" s="1" t="s">
        <v>1621</v>
      </c>
    </row>
    <row r="117" spans="1:3" x14ac:dyDescent="0.25">
      <c r="A117" s="6" t="s">
        <v>1363</v>
      </c>
      <c r="B117" s="7" t="s">
        <v>1616</v>
      </c>
      <c r="C117" s="1" t="s">
        <v>1623</v>
      </c>
    </row>
    <row r="118" spans="1:3" x14ac:dyDescent="0.25">
      <c r="A118" s="6" t="s">
        <v>1364</v>
      </c>
      <c r="B118" s="7" t="s">
        <v>1616</v>
      </c>
      <c r="C118" s="1" t="s">
        <v>1621</v>
      </c>
    </row>
    <row r="119" spans="1:3" x14ac:dyDescent="0.25">
      <c r="A119" s="6" t="s">
        <v>1365</v>
      </c>
      <c r="B119" s="7" t="s">
        <v>1616</v>
      </c>
      <c r="C119" s="1" t="s">
        <v>1623</v>
      </c>
    </row>
    <row r="120" spans="1:3" x14ac:dyDescent="0.25">
      <c r="A120" s="6" t="s">
        <v>1366</v>
      </c>
      <c r="B120" s="7" t="s">
        <v>1616</v>
      </c>
      <c r="C120" s="1" t="s">
        <v>1623</v>
      </c>
    </row>
    <row r="121" spans="1:3" x14ac:dyDescent="0.25">
      <c r="A121" s="6" t="s">
        <v>1367</v>
      </c>
      <c r="B121" s="7" t="s">
        <v>1616</v>
      </c>
      <c r="C121" s="1" t="s">
        <v>1623</v>
      </c>
    </row>
    <row r="122" spans="1:3" x14ac:dyDescent="0.25">
      <c r="A122" s="6" t="s">
        <v>1167</v>
      </c>
      <c r="B122" s="7" t="s">
        <v>1616</v>
      </c>
      <c r="C122" s="1" t="s">
        <v>1621</v>
      </c>
    </row>
    <row r="123" spans="1:3" x14ac:dyDescent="0.25">
      <c r="A123" s="6" t="s">
        <v>1368</v>
      </c>
      <c r="B123" s="7" t="s">
        <v>1616</v>
      </c>
      <c r="C123" s="1" t="s">
        <v>1621</v>
      </c>
    </row>
    <row r="124" spans="1:3" x14ac:dyDescent="0.25">
      <c r="A124" s="6" t="s">
        <v>652</v>
      </c>
      <c r="B124" s="7" t="s">
        <v>1616</v>
      </c>
      <c r="C124" s="1" t="s">
        <v>1621</v>
      </c>
    </row>
    <row r="125" spans="1:3" x14ac:dyDescent="0.25">
      <c r="A125" s="6" t="s">
        <v>1369</v>
      </c>
      <c r="B125" s="7" t="s">
        <v>1616</v>
      </c>
      <c r="C125" s="1" t="s">
        <v>1623</v>
      </c>
    </row>
    <row r="126" spans="1:3" x14ac:dyDescent="0.25">
      <c r="A126" s="6" t="s">
        <v>1370</v>
      </c>
      <c r="B126" s="7" t="s">
        <v>1616</v>
      </c>
      <c r="C126" s="1" t="s">
        <v>1621</v>
      </c>
    </row>
    <row r="127" spans="1:3" x14ac:dyDescent="0.25">
      <c r="A127" s="6" t="s">
        <v>1215</v>
      </c>
      <c r="B127" s="7" t="s">
        <v>1616</v>
      </c>
      <c r="C127" s="1" t="s">
        <v>1621</v>
      </c>
    </row>
    <row r="128" spans="1:3" x14ac:dyDescent="0.25">
      <c r="A128" s="6" t="s">
        <v>1371</v>
      </c>
      <c r="B128" s="7" t="s">
        <v>1616</v>
      </c>
      <c r="C128" s="1" t="s">
        <v>1621</v>
      </c>
    </row>
    <row r="129" spans="1:3" x14ac:dyDescent="0.25">
      <c r="A129" s="6" t="s">
        <v>1372</v>
      </c>
      <c r="B129" s="7" t="s">
        <v>1616</v>
      </c>
      <c r="C129" s="1" t="s">
        <v>1623</v>
      </c>
    </row>
    <row r="130" spans="1:3" x14ac:dyDescent="0.25">
      <c r="A130" s="6" t="s">
        <v>776</v>
      </c>
      <c r="B130" s="7" t="s">
        <v>1616</v>
      </c>
      <c r="C130" s="1" t="s">
        <v>1623</v>
      </c>
    </row>
    <row r="131" spans="1:3" x14ac:dyDescent="0.25">
      <c r="A131" s="6" t="s">
        <v>1373</v>
      </c>
      <c r="B131" s="7" t="s">
        <v>1616</v>
      </c>
      <c r="C131" s="1" t="s">
        <v>1623</v>
      </c>
    </row>
    <row r="132" spans="1:3" x14ac:dyDescent="0.25">
      <c r="A132" s="6" t="s">
        <v>1374</v>
      </c>
      <c r="B132" s="7" t="s">
        <v>1616</v>
      </c>
      <c r="C132" s="1" t="s">
        <v>1623</v>
      </c>
    </row>
    <row r="133" spans="1:3" x14ac:dyDescent="0.25">
      <c r="A133" s="6" t="s">
        <v>1375</v>
      </c>
      <c r="B133" s="7" t="s">
        <v>1616</v>
      </c>
      <c r="C133" s="1" t="s">
        <v>1623</v>
      </c>
    </row>
    <row r="134" spans="1:3" x14ac:dyDescent="0.25">
      <c r="A134" s="6" t="s">
        <v>1376</v>
      </c>
      <c r="B134" s="7" t="s">
        <v>1616</v>
      </c>
      <c r="C134" s="1" t="s">
        <v>1621</v>
      </c>
    </row>
    <row r="135" spans="1:3" x14ac:dyDescent="0.25">
      <c r="A135" s="6" t="s">
        <v>1377</v>
      </c>
      <c r="B135" s="7" t="s">
        <v>1616</v>
      </c>
      <c r="C135" s="1" t="s">
        <v>1623</v>
      </c>
    </row>
    <row r="136" spans="1:3" x14ac:dyDescent="0.25">
      <c r="A136" s="6" t="s">
        <v>51</v>
      </c>
      <c r="B136" s="7" t="s">
        <v>1616</v>
      </c>
      <c r="C136" s="1" t="s">
        <v>1623</v>
      </c>
    </row>
    <row r="137" spans="1:3" x14ac:dyDescent="0.25">
      <c r="A137" s="6" t="s">
        <v>416</v>
      </c>
      <c r="B137" s="7" t="s">
        <v>1616</v>
      </c>
      <c r="C137" s="1" t="s">
        <v>1623</v>
      </c>
    </row>
    <row r="138" spans="1:3" x14ac:dyDescent="0.25">
      <c r="A138" s="6" t="s">
        <v>1378</v>
      </c>
      <c r="B138" s="7" t="s">
        <v>1616</v>
      </c>
      <c r="C138" s="1" t="s">
        <v>1623</v>
      </c>
    </row>
    <row r="139" spans="1:3" x14ac:dyDescent="0.25">
      <c r="A139" s="6" t="s">
        <v>48</v>
      </c>
      <c r="B139" s="7" t="s">
        <v>1616</v>
      </c>
      <c r="C139" s="1" t="s">
        <v>1621</v>
      </c>
    </row>
    <row r="140" spans="1:3" x14ac:dyDescent="0.25">
      <c r="A140" s="6" t="s">
        <v>1379</v>
      </c>
      <c r="B140" s="7" t="s">
        <v>1616</v>
      </c>
      <c r="C140" s="1" t="s">
        <v>1623</v>
      </c>
    </row>
    <row r="141" spans="1:3" x14ac:dyDescent="0.25">
      <c r="A141" s="6" t="s">
        <v>1380</v>
      </c>
      <c r="B141" s="7" t="s">
        <v>1616</v>
      </c>
      <c r="C141" s="1" t="s">
        <v>1623</v>
      </c>
    </row>
    <row r="142" spans="1:3" x14ac:dyDescent="0.25">
      <c r="A142" s="6" t="s">
        <v>790</v>
      </c>
      <c r="B142" s="7" t="s">
        <v>1616</v>
      </c>
      <c r="C142" s="1" t="s">
        <v>1623</v>
      </c>
    </row>
    <row r="143" spans="1:3" x14ac:dyDescent="0.25">
      <c r="A143" s="6" t="s">
        <v>176</v>
      </c>
      <c r="B143" s="7" t="s">
        <v>1616</v>
      </c>
      <c r="C143" s="1" t="s">
        <v>1623</v>
      </c>
    </row>
    <row r="144" spans="1:3" x14ac:dyDescent="0.25">
      <c r="A144" s="6" t="s">
        <v>43</v>
      </c>
      <c r="B144" s="7" t="s">
        <v>1616</v>
      </c>
      <c r="C144" s="1" t="s">
        <v>1621</v>
      </c>
    </row>
    <row r="145" spans="1:3" x14ac:dyDescent="0.25">
      <c r="A145" s="6" t="s">
        <v>613</v>
      </c>
      <c r="B145" s="7" t="s">
        <v>1616</v>
      </c>
      <c r="C145" s="1" t="s">
        <v>1623</v>
      </c>
    </row>
    <row r="146" spans="1:3" x14ac:dyDescent="0.25">
      <c r="A146" s="6" t="s">
        <v>542</v>
      </c>
      <c r="B146" s="7" t="s">
        <v>1616</v>
      </c>
      <c r="C146" s="1" t="s">
        <v>1623</v>
      </c>
    </row>
    <row r="147" spans="1:3" x14ac:dyDescent="0.25">
      <c r="A147" s="6" t="s">
        <v>1381</v>
      </c>
      <c r="B147" s="7" t="s">
        <v>1616</v>
      </c>
      <c r="C147" s="1" t="s">
        <v>1623</v>
      </c>
    </row>
    <row r="148" spans="1:3" x14ac:dyDescent="0.25">
      <c r="A148" s="6" t="s">
        <v>277</v>
      </c>
      <c r="B148" s="7" t="s">
        <v>1616</v>
      </c>
      <c r="C148" s="1" t="s">
        <v>1623</v>
      </c>
    </row>
    <row r="149" spans="1:3" x14ac:dyDescent="0.25">
      <c r="A149" s="6" t="s">
        <v>431</v>
      </c>
      <c r="B149" s="7" t="s">
        <v>1616</v>
      </c>
      <c r="C149" s="1" t="s">
        <v>1623</v>
      </c>
    </row>
    <row r="150" spans="1:3" x14ac:dyDescent="0.25">
      <c r="A150" s="6" t="s">
        <v>712</v>
      </c>
      <c r="B150" s="7" t="s">
        <v>1616</v>
      </c>
      <c r="C150" s="1" t="s">
        <v>1621</v>
      </c>
    </row>
    <row r="151" spans="1:3" x14ac:dyDescent="0.25">
      <c r="A151" s="6" t="s">
        <v>1382</v>
      </c>
      <c r="B151" s="7" t="s">
        <v>1616</v>
      </c>
      <c r="C151" s="1" t="s">
        <v>1623</v>
      </c>
    </row>
    <row r="152" spans="1:3" x14ac:dyDescent="0.25">
      <c r="A152" s="6" t="s">
        <v>1383</v>
      </c>
      <c r="B152" s="7" t="s">
        <v>1616</v>
      </c>
      <c r="C152" s="1" t="s">
        <v>1623</v>
      </c>
    </row>
    <row r="153" spans="1:3" x14ac:dyDescent="0.25">
      <c r="A153" s="6" t="s">
        <v>1384</v>
      </c>
      <c r="B153" s="7" t="s">
        <v>1616</v>
      </c>
      <c r="C153" s="1" t="s">
        <v>1623</v>
      </c>
    </row>
    <row r="154" spans="1:3" x14ac:dyDescent="0.25">
      <c r="A154" s="6" t="s">
        <v>1385</v>
      </c>
      <c r="B154" s="7" t="s">
        <v>1616</v>
      </c>
      <c r="C154" s="1" t="s">
        <v>1621</v>
      </c>
    </row>
    <row r="155" spans="1:3" x14ac:dyDescent="0.25">
      <c r="A155" s="6" t="s">
        <v>1386</v>
      </c>
      <c r="B155" s="7" t="s">
        <v>1616</v>
      </c>
      <c r="C155" s="1" t="s">
        <v>1623</v>
      </c>
    </row>
    <row r="156" spans="1:3" x14ac:dyDescent="0.25">
      <c r="A156" s="6" t="s">
        <v>28</v>
      </c>
      <c r="B156" s="7" t="s">
        <v>1616</v>
      </c>
      <c r="C156" s="1" t="s">
        <v>1623</v>
      </c>
    </row>
    <row r="157" spans="1:3" x14ac:dyDescent="0.25">
      <c r="A157" s="6" t="s">
        <v>1387</v>
      </c>
      <c r="B157" s="7" t="s">
        <v>1616</v>
      </c>
      <c r="C157" s="1" t="s">
        <v>1621</v>
      </c>
    </row>
    <row r="158" spans="1:3" x14ac:dyDescent="0.25">
      <c r="A158" s="6" t="s">
        <v>1388</v>
      </c>
      <c r="B158" s="7" t="s">
        <v>1616</v>
      </c>
      <c r="C158" s="1" t="s">
        <v>1623</v>
      </c>
    </row>
    <row r="159" spans="1:3" x14ac:dyDescent="0.25">
      <c r="A159" s="6" t="s">
        <v>1389</v>
      </c>
      <c r="B159" s="7" t="s">
        <v>1616</v>
      </c>
      <c r="C159" s="1" t="s">
        <v>1623</v>
      </c>
    </row>
    <row r="160" spans="1:3" x14ac:dyDescent="0.25">
      <c r="A160" s="6" t="s">
        <v>1390</v>
      </c>
      <c r="B160" s="7" t="s">
        <v>1616</v>
      </c>
      <c r="C160" s="1" t="s">
        <v>1623</v>
      </c>
    </row>
    <row r="161" spans="1:3" x14ac:dyDescent="0.25">
      <c r="A161" s="6" t="s">
        <v>1161</v>
      </c>
      <c r="B161" s="7" t="s">
        <v>1616</v>
      </c>
      <c r="C161" s="1" t="s">
        <v>1621</v>
      </c>
    </row>
    <row r="162" spans="1:3" x14ac:dyDescent="0.25">
      <c r="A162" s="6" t="s">
        <v>1391</v>
      </c>
      <c r="B162" s="7" t="s">
        <v>1616</v>
      </c>
      <c r="C162" s="1" t="s">
        <v>1623</v>
      </c>
    </row>
    <row r="163" spans="1:3" x14ac:dyDescent="0.25">
      <c r="A163" s="6" t="s">
        <v>556</v>
      </c>
      <c r="B163" s="7" t="s">
        <v>1616</v>
      </c>
      <c r="C163" s="1" t="s">
        <v>1623</v>
      </c>
    </row>
    <row r="164" spans="1:3" x14ac:dyDescent="0.25">
      <c r="A164" s="6" t="s">
        <v>1392</v>
      </c>
      <c r="B164" s="7" t="s">
        <v>1616</v>
      </c>
      <c r="C164" s="1" t="s">
        <v>1623</v>
      </c>
    </row>
    <row r="165" spans="1:3" x14ac:dyDescent="0.25">
      <c r="A165" s="6" t="s">
        <v>1393</v>
      </c>
      <c r="B165" s="7" t="s">
        <v>1616</v>
      </c>
      <c r="C165" s="1" t="s">
        <v>1623</v>
      </c>
    </row>
    <row r="166" spans="1:3" x14ac:dyDescent="0.25">
      <c r="A166" s="6" t="s">
        <v>1394</v>
      </c>
      <c r="B166" s="7" t="s">
        <v>1616</v>
      </c>
      <c r="C166" s="1" t="s">
        <v>1623</v>
      </c>
    </row>
    <row r="167" spans="1:3" x14ac:dyDescent="0.25">
      <c r="A167" s="6" t="s">
        <v>1395</v>
      </c>
      <c r="B167" s="7" t="s">
        <v>1616</v>
      </c>
      <c r="C167" s="1" t="s">
        <v>1623</v>
      </c>
    </row>
    <row r="168" spans="1:3" x14ac:dyDescent="0.25">
      <c r="A168" s="6" t="s">
        <v>19</v>
      </c>
      <c r="B168" s="7" t="s">
        <v>1616</v>
      </c>
      <c r="C168" s="1" t="s">
        <v>1621</v>
      </c>
    </row>
    <row r="169" spans="1:3" x14ac:dyDescent="0.25">
      <c r="A169" s="6" t="s">
        <v>1396</v>
      </c>
      <c r="B169" s="7" t="s">
        <v>1616</v>
      </c>
      <c r="C169" s="1" t="s">
        <v>1623</v>
      </c>
    </row>
    <row r="170" spans="1:3" x14ac:dyDescent="0.25">
      <c r="A170" s="6" t="s">
        <v>1397</v>
      </c>
      <c r="B170" s="7" t="s">
        <v>1616</v>
      </c>
      <c r="C170" s="1" t="s">
        <v>1623</v>
      </c>
    </row>
    <row r="171" spans="1:3" x14ac:dyDescent="0.25">
      <c r="A171" s="6" t="s">
        <v>1398</v>
      </c>
      <c r="B171" s="7" t="s">
        <v>1616</v>
      </c>
      <c r="C171" s="1" t="s">
        <v>1623</v>
      </c>
    </row>
    <row r="172" spans="1:3" x14ac:dyDescent="0.25">
      <c r="A172" s="6" t="s">
        <v>1399</v>
      </c>
      <c r="B172" s="7" t="s">
        <v>1616</v>
      </c>
      <c r="C172" s="1" t="s">
        <v>1623</v>
      </c>
    </row>
    <row r="173" spans="1:3" x14ac:dyDescent="0.25">
      <c r="A173" s="6" t="s">
        <v>1400</v>
      </c>
      <c r="B173" s="7" t="s">
        <v>1616</v>
      </c>
      <c r="C173" s="1" t="s">
        <v>1623</v>
      </c>
    </row>
    <row r="174" spans="1:3" x14ac:dyDescent="0.25">
      <c r="A174" s="6" t="s">
        <v>315</v>
      </c>
      <c r="B174" s="7" t="s">
        <v>1616</v>
      </c>
      <c r="C174" s="1" t="s">
        <v>1623</v>
      </c>
    </row>
    <row r="175" spans="1:3" x14ac:dyDescent="0.25">
      <c r="A175" s="6" t="s">
        <v>1401</v>
      </c>
      <c r="B175" s="7" t="s">
        <v>1616</v>
      </c>
      <c r="C175" s="1" t="s">
        <v>1621</v>
      </c>
    </row>
    <row r="176" spans="1:3" x14ac:dyDescent="0.25">
      <c r="A176" s="6" t="s">
        <v>1402</v>
      </c>
      <c r="B176" s="7" t="s">
        <v>1616</v>
      </c>
      <c r="C176" s="1" t="s">
        <v>1623</v>
      </c>
    </row>
    <row r="177" spans="1:3" x14ac:dyDescent="0.25">
      <c r="A177" s="6" t="s">
        <v>1403</v>
      </c>
      <c r="B177" s="7" t="s">
        <v>1616</v>
      </c>
      <c r="C177" s="1" t="s">
        <v>1623</v>
      </c>
    </row>
    <row r="178" spans="1:3" x14ac:dyDescent="0.25">
      <c r="A178" s="6" t="s">
        <v>1404</v>
      </c>
      <c r="B178" s="7" t="s">
        <v>1616</v>
      </c>
      <c r="C178" s="1" t="s">
        <v>1623</v>
      </c>
    </row>
    <row r="179" spans="1:3" x14ac:dyDescent="0.25">
      <c r="A179" s="6" t="s">
        <v>1405</v>
      </c>
      <c r="B179" s="7" t="s">
        <v>1616</v>
      </c>
      <c r="C179" s="1" t="s">
        <v>1621</v>
      </c>
    </row>
    <row r="180" spans="1:3" x14ac:dyDescent="0.25">
      <c r="A180" s="6" t="s">
        <v>1406</v>
      </c>
      <c r="B180" s="7" t="s">
        <v>1616</v>
      </c>
      <c r="C180" s="1" t="s">
        <v>1623</v>
      </c>
    </row>
    <row r="181" spans="1:3" x14ac:dyDescent="0.25">
      <c r="A181" s="6" t="s">
        <v>1407</v>
      </c>
      <c r="B181" s="7" t="s">
        <v>1616</v>
      </c>
      <c r="C181" s="1" t="s">
        <v>1623</v>
      </c>
    </row>
    <row r="182" spans="1:3" x14ac:dyDescent="0.25">
      <c r="A182" s="6" t="s">
        <v>1408</v>
      </c>
      <c r="B182" s="7" t="s">
        <v>1616</v>
      </c>
      <c r="C182" s="1" t="s">
        <v>1623</v>
      </c>
    </row>
    <row r="183" spans="1:3" x14ac:dyDescent="0.25">
      <c r="A183" s="6" t="s">
        <v>1102</v>
      </c>
      <c r="B183" s="7" t="s">
        <v>1616</v>
      </c>
      <c r="C183" s="1" t="s">
        <v>1623</v>
      </c>
    </row>
    <row r="184" spans="1:3" x14ac:dyDescent="0.25">
      <c r="A184" s="6" t="s">
        <v>436</v>
      </c>
      <c r="B184" s="7" t="s">
        <v>1616</v>
      </c>
      <c r="C184" s="1" t="s">
        <v>1623</v>
      </c>
    </row>
    <row r="185" spans="1:3" x14ac:dyDescent="0.25">
      <c r="A185" s="6" t="s">
        <v>120</v>
      </c>
      <c r="B185" s="7" t="s">
        <v>1616</v>
      </c>
      <c r="C185" s="1" t="s">
        <v>1621</v>
      </c>
    </row>
    <row r="186" spans="1:3" x14ac:dyDescent="0.25">
      <c r="A186" s="6" t="s">
        <v>289</v>
      </c>
      <c r="B186" s="7" t="s">
        <v>1616</v>
      </c>
      <c r="C186" s="1" t="s">
        <v>1623</v>
      </c>
    </row>
    <row r="187" spans="1:3" x14ac:dyDescent="0.25">
      <c r="A187" s="6" t="s">
        <v>1409</v>
      </c>
      <c r="B187" s="7" t="s">
        <v>1616</v>
      </c>
      <c r="C187" s="1" t="s">
        <v>1623</v>
      </c>
    </row>
    <row r="188" spans="1:3" x14ac:dyDescent="0.25">
      <c r="A188" s="6" t="s">
        <v>1410</v>
      </c>
      <c r="B188" s="7" t="s">
        <v>1616</v>
      </c>
      <c r="C188" s="1" t="s">
        <v>1623</v>
      </c>
    </row>
    <row r="189" spans="1:3" x14ac:dyDescent="0.25">
      <c r="A189" s="6" t="s">
        <v>1411</v>
      </c>
      <c r="B189" s="7" t="s">
        <v>1616</v>
      </c>
      <c r="C189" s="1" t="s">
        <v>1623</v>
      </c>
    </row>
    <row r="190" spans="1:3" x14ac:dyDescent="0.25">
      <c r="A190" s="6" t="s">
        <v>1131</v>
      </c>
      <c r="B190" s="7" t="s">
        <v>1616</v>
      </c>
      <c r="C190" s="1" t="s">
        <v>1621</v>
      </c>
    </row>
    <row r="191" spans="1:3" x14ac:dyDescent="0.25">
      <c r="A191" s="6" t="s">
        <v>75</v>
      </c>
      <c r="B191" s="7" t="s">
        <v>1616</v>
      </c>
      <c r="C191" s="1" t="s">
        <v>1621</v>
      </c>
    </row>
    <row r="192" spans="1:3" x14ac:dyDescent="0.25">
      <c r="A192" s="6" t="s">
        <v>598</v>
      </c>
      <c r="B192" s="7" t="s">
        <v>1616</v>
      </c>
      <c r="C192" s="1" t="s">
        <v>1623</v>
      </c>
    </row>
    <row r="193" spans="1:3" x14ac:dyDescent="0.25">
      <c r="A193" s="6" t="s">
        <v>1412</v>
      </c>
      <c r="B193" s="7" t="s">
        <v>1616</v>
      </c>
      <c r="C193" s="1" t="s">
        <v>1623</v>
      </c>
    </row>
    <row r="194" spans="1:3" x14ac:dyDescent="0.25">
      <c r="A194" s="6" t="s">
        <v>1413</v>
      </c>
      <c r="B194" s="7" t="s">
        <v>1616</v>
      </c>
      <c r="C194" s="1" t="s">
        <v>1623</v>
      </c>
    </row>
    <row r="195" spans="1:3" x14ac:dyDescent="0.25">
      <c r="A195" s="6" t="s">
        <v>775</v>
      </c>
      <c r="B195" s="7" t="s">
        <v>1616</v>
      </c>
      <c r="C195" s="1" t="s">
        <v>1621</v>
      </c>
    </row>
    <row r="196" spans="1:3" x14ac:dyDescent="0.25">
      <c r="A196" s="6" t="s">
        <v>1254</v>
      </c>
      <c r="B196" s="7" t="s">
        <v>1616</v>
      </c>
      <c r="C196" s="1" t="s">
        <v>1623</v>
      </c>
    </row>
    <row r="197" spans="1:3" x14ac:dyDescent="0.25">
      <c r="A197" s="6" t="s">
        <v>290</v>
      </c>
      <c r="B197" s="7" t="s">
        <v>1616</v>
      </c>
      <c r="C197" s="1" t="s">
        <v>1621</v>
      </c>
    </row>
    <row r="198" spans="1:3" x14ac:dyDescent="0.25">
      <c r="A198" s="6" t="s">
        <v>162</v>
      </c>
      <c r="B198" s="7" t="s">
        <v>1616</v>
      </c>
      <c r="C198" s="1" t="s">
        <v>1623</v>
      </c>
    </row>
    <row r="199" spans="1:3" x14ac:dyDescent="0.25">
      <c r="A199" s="6" t="s">
        <v>1414</v>
      </c>
      <c r="B199" s="7" t="s">
        <v>1616</v>
      </c>
      <c r="C199" s="1" t="s">
        <v>1621</v>
      </c>
    </row>
    <row r="200" spans="1:3" x14ac:dyDescent="0.25">
      <c r="A200" s="6" t="s">
        <v>114</v>
      </c>
      <c r="B200" s="7" t="s">
        <v>1616</v>
      </c>
      <c r="C200" s="1" t="s">
        <v>1623</v>
      </c>
    </row>
    <row r="201" spans="1:3" x14ac:dyDescent="0.25">
      <c r="A201" s="6" t="s">
        <v>205</v>
      </c>
      <c r="B201" s="7" t="s">
        <v>1616</v>
      </c>
      <c r="C201" s="1" t="s">
        <v>1623</v>
      </c>
    </row>
    <row r="202" spans="1:3" x14ac:dyDescent="0.25">
      <c r="A202" s="6" t="s">
        <v>1415</v>
      </c>
      <c r="B202" s="7" t="s">
        <v>1616</v>
      </c>
      <c r="C202" s="1" t="s">
        <v>1623</v>
      </c>
    </row>
    <row r="203" spans="1:3" x14ac:dyDescent="0.25">
      <c r="A203" s="6" t="s">
        <v>23</v>
      </c>
      <c r="B203" s="7" t="s">
        <v>1616</v>
      </c>
      <c r="C203" s="1" t="s">
        <v>1623</v>
      </c>
    </row>
    <row r="204" spans="1:3" x14ac:dyDescent="0.25">
      <c r="A204" s="6" t="s">
        <v>1416</v>
      </c>
      <c r="B204" s="7" t="s">
        <v>1616</v>
      </c>
      <c r="C204" s="1" t="s">
        <v>1623</v>
      </c>
    </row>
    <row r="205" spans="1:3" x14ac:dyDescent="0.25">
      <c r="A205" s="6" t="s">
        <v>298</v>
      </c>
      <c r="B205" s="7" t="s">
        <v>1616</v>
      </c>
      <c r="C205" s="1" t="s">
        <v>1623</v>
      </c>
    </row>
    <row r="206" spans="1:3" x14ac:dyDescent="0.25">
      <c r="A206" s="6" t="s">
        <v>282</v>
      </c>
      <c r="B206" s="7" t="s">
        <v>1616</v>
      </c>
      <c r="C206" s="1" t="s">
        <v>1623</v>
      </c>
    </row>
    <row r="207" spans="1:3" x14ac:dyDescent="0.25">
      <c r="A207" s="6" t="s">
        <v>990</v>
      </c>
      <c r="B207" s="7" t="s">
        <v>1616</v>
      </c>
      <c r="C207" s="1" t="s">
        <v>1623</v>
      </c>
    </row>
    <row r="208" spans="1:3" x14ac:dyDescent="0.25">
      <c r="A208" s="6" t="s">
        <v>141</v>
      </c>
      <c r="B208" s="7" t="s">
        <v>1616</v>
      </c>
      <c r="C208" s="1" t="s">
        <v>1623</v>
      </c>
    </row>
    <row r="209" spans="1:3" x14ac:dyDescent="0.25">
      <c r="A209" s="6" t="s">
        <v>1417</v>
      </c>
      <c r="B209" s="7" t="s">
        <v>1616</v>
      </c>
      <c r="C209" s="1" t="s">
        <v>1621</v>
      </c>
    </row>
    <row r="210" spans="1:3" x14ac:dyDescent="0.25">
      <c r="A210" s="6" t="s">
        <v>657</v>
      </c>
      <c r="B210" s="7" t="s">
        <v>1616</v>
      </c>
      <c r="C210" s="1" t="s">
        <v>1623</v>
      </c>
    </row>
    <row r="211" spans="1:3" x14ac:dyDescent="0.25">
      <c r="A211" s="6" t="s">
        <v>47</v>
      </c>
      <c r="B211" s="7" t="s">
        <v>1616</v>
      </c>
      <c r="C211" s="1" t="s">
        <v>1623</v>
      </c>
    </row>
    <row r="212" spans="1:3" x14ac:dyDescent="0.25">
      <c r="A212" s="6" t="s">
        <v>1418</v>
      </c>
      <c r="B212" s="7" t="s">
        <v>1616</v>
      </c>
      <c r="C212" s="1" t="s">
        <v>1623</v>
      </c>
    </row>
    <row r="213" spans="1:3" x14ac:dyDescent="0.25">
      <c r="A213" s="6" t="s">
        <v>1130</v>
      </c>
      <c r="B213" s="7" t="s">
        <v>1616</v>
      </c>
      <c r="C213" s="1" t="s">
        <v>1621</v>
      </c>
    </row>
    <row r="214" spans="1:3" x14ac:dyDescent="0.25">
      <c r="A214" s="6" t="s">
        <v>1419</v>
      </c>
      <c r="B214" s="7" t="s">
        <v>1616</v>
      </c>
      <c r="C214" s="1" t="s">
        <v>1623</v>
      </c>
    </row>
    <row r="215" spans="1:3" x14ac:dyDescent="0.25">
      <c r="A215" s="6" t="s">
        <v>1420</v>
      </c>
      <c r="B215" s="7" t="s">
        <v>1616</v>
      </c>
      <c r="C215" s="1" t="s">
        <v>1623</v>
      </c>
    </row>
    <row r="216" spans="1:3" x14ac:dyDescent="0.25">
      <c r="A216" s="6" t="s">
        <v>1421</v>
      </c>
      <c r="B216" s="7" t="s">
        <v>1616</v>
      </c>
      <c r="C216" s="1" t="s">
        <v>1623</v>
      </c>
    </row>
    <row r="217" spans="1:3" x14ac:dyDescent="0.25">
      <c r="A217" s="6" t="s">
        <v>1422</v>
      </c>
      <c r="B217" s="7" t="s">
        <v>1616</v>
      </c>
      <c r="C217" s="1" t="s">
        <v>1621</v>
      </c>
    </row>
    <row r="218" spans="1:3" x14ac:dyDescent="0.25">
      <c r="A218" s="6" t="s">
        <v>570</v>
      </c>
      <c r="B218" s="7" t="s">
        <v>1616</v>
      </c>
      <c r="C218" s="1" t="s">
        <v>1623</v>
      </c>
    </row>
    <row r="219" spans="1:3" x14ac:dyDescent="0.25">
      <c r="A219" s="6" t="s">
        <v>1423</v>
      </c>
      <c r="B219" s="7" t="s">
        <v>1616</v>
      </c>
      <c r="C219" s="1" t="s">
        <v>1623</v>
      </c>
    </row>
    <row r="220" spans="1:3" x14ac:dyDescent="0.25">
      <c r="A220" s="6" t="s">
        <v>1424</v>
      </c>
      <c r="B220" s="7" t="s">
        <v>1616</v>
      </c>
      <c r="C220" s="1" t="s">
        <v>1623</v>
      </c>
    </row>
    <row r="221" spans="1:3" x14ac:dyDescent="0.25">
      <c r="A221" s="6" t="s">
        <v>1425</v>
      </c>
      <c r="B221" s="7" t="s">
        <v>1616</v>
      </c>
      <c r="C221" s="1" t="s">
        <v>1623</v>
      </c>
    </row>
    <row r="222" spans="1:3" x14ac:dyDescent="0.25">
      <c r="A222" s="6" t="s">
        <v>53</v>
      </c>
      <c r="B222" s="7" t="s">
        <v>1616</v>
      </c>
      <c r="C222" s="1" t="s">
        <v>1623</v>
      </c>
    </row>
    <row r="223" spans="1:3" x14ac:dyDescent="0.25">
      <c r="A223" s="6" t="s">
        <v>546</v>
      </c>
      <c r="B223" s="7" t="s">
        <v>1616</v>
      </c>
      <c r="C223" s="1" t="s">
        <v>1623</v>
      </c>
    </row>
    <row r="224" spans="1:3" x14ac:dyDescent="0.25">
      <c r="A224" s="6" t="s">
        <v>1426</v>
      </c>
      <c r="B224" s="7" t="s">
        <v>1616</v>
      </c>
      <c r="C224" s="1" t="s">
        <v>1623</v>
      </c>
    </row>
    <row r="225" spans="1:3" x14ac:dyDescent="0.25">
      <c r="A225" s="6" t="s">
        <v>1427</v>
      </c>
      <c r="B225" s="7" t="s">
        <v>1616</v>
      </c>
      <c r="C225" s="1" t="s">
        <v>1623</v>
      </c>
    </row>
    <row r="226" spans="1:3" x14ac:dyDescent="0.25">
      <c r="A226" s="6" t="s">
        <v>164</v>
      </c>
      <c r="B226" s="7" t="s">
        <v>1616</v>
      </c>
      <c r="C226" s="1" t="s">
        <v>1623</v>
      </c>
    </row>
    <row r="227" spans="1:3" x14ac:dyDescent="0.25">
      <c r="A227" s="6" t="s">
        <v>1428</v>
      </c>
      <c r="B227" s="7" t="s">
        <v>1616</v>
      </c>
      <c r="C227" s="1" t="s">
        <v>1623</v>
      </c>
    </row>
    <row r="228" spans="1:3" x14ac:dyDescent="0.25">
      <c r="A228" s="6" t="s">
        <v>1429</v>
      </c>
      <c r="B228" s="7" t="s">
        <v>1616</v>
      </c>
      <c r="C228" s="1" t="s">
        <v>1623</v>
      </c>
    </row>
    <row r="229" spans="1:3" x14ac:dyDescent="0.25">
      <c r="A229" s="6" t="s">
        <v>1430</v>
      </c>
      <c r="B229" s="7" t="s">
        <v>1616</v>
      </c>
      <c r="C229" s="1" t="s">
        <v>1621</v>
      </c>
    </row>
    <row r="230" spans="1:3" x14ac:dyDescent="0.25">
      <c r="A230" s="6" t="s">
        <v>1431</v>
      </c>
      <c r="B230" s="7" t="s">
        <v>1616</v>
      </c>
      <c r="C230" s="1" t="s">
        <v>1621</v>
      </c>
    </row>
    <row r="231" spans="1:3" x14ac:dyDescent="0.25">
      <c r="A231" s="6" t="s">
        <v>1432</v>
      </c>
      <c r="B231" s="7" t="s">
        <v>1616</v>
      </c>
      <c r="C231" s="1" t="s">
        <v>1623</v>
      </c>
    </row>
    <row r="232" spans="1:3" x14ac:dyDescent="0.25">
      <c r="A232" s="6" t="s">
        <v>1433</v>
      </c>
      <c r="B232" s="7" t="s">
        <v>1616</v>
      </c>
      <c r="C232" s="1" t="s">
        <v>1623</v>
      </c>
    </row>
    <row r="233" spans="1:3" x14ac:dyDescent="0.25">
      <c r="A233" s="6" t="s">
        <v>1434</v>
      </c>
      <c r="B233" s="7" t="s">
        <v>1616</v>
      </c>
      <c r="C233" s="1" t="s">
        <v>1621</v>
      </c>
    </row>
    <row r="234" spans="1:3" x14ac:dyDescent="0.25">
      <c r="A234" s="6" t="s">
        <v>1435</v>
      </c>
      <c r="B234" s="7" t="s">
        <v>1616</v>
      </c>
      <c r="C234" s="1" t="s">
        <v>1623</v>
      </c>
    </row>
    <row r="235" spans="1:3" x14ac:dyDescent="0.25">
      <c r="A235" s="6" t="s">
        <v>1223</v>
      </c>
      <c r="B235" s="7" t="s">
        <v>1616</v>
      </c>
      <c r="C235" s="1" t="s">
        <v>1623</v>
      </c>
    </row>
    <row r="236" spans="1:3" x14ac:dyDescent="0.25">
      <c r="A236" s="6" t="s">
        <v>1436</v>
      </c>
      <c r="B236" s="7" t="s">
        <v>1616</v>
      </c>
      <c r="C236" s="1" t="s">
        <v>1623</v>
      </c>
    </row>
    <row r="237" spans="1:3" x14ac:dyDescent="0.25">
      <c r="A237" s="6" t="s">
        <v>1437</v>
      </c>
      <c r="B237" s="7" t="s">
        <v>1616</v>
      </c>
      <c r="C237" s="1" t="s">
        <v>1623</v>
      </c>
    </row>
    <row r="238" spans="1:3" x14ac:dyDescent="0.25">
      <c r="A238" s="6" t="s">
        <v>1438</v>
      </c>
      <c r="B238" s="7" t="s">
        <v>1616</v>
      </c>
      <c r="C238" s="1" t="s">
        <v>1623</v>
      </c>
    </row>
    <row r="239" spans="1:3" x14ac:dyDescent="0.25">
      <c r="A239" s="6" t="s">
        <v>1439</v>
      </c>
      <c r="B239" s="7" t="s">
        <v>1616</v>
      </c>
      <c r="C239" s="1" t="s">
        <v>1623</v>
      </c>
    </row>
    <row r="240" spans="1:3" x14ac:dyDescent="0.25">
      <c r="A240" s="6" t="s">
        <v>455</v>
      </c>
      <c r="B240" s="7" t="s">
        <v>1616</v>
      </c>
      <c r="C240" s="1" t="s">
        <v>1623</v>
      </c>
    </row>
    <row r="241" spans="1:3" x14ac:dyDescent="0.25">
      <c r="A241" s="6" t="s">
        <v>1440</v>
      </c>
      <c r="B241" s="7" t="s">
        <v>1616</v>
      </c>
      <c r="C241" s="1" t="s">
        <v>1621</v>
      </c>
    </row>
    <row r="242" spans="1:3" x14ac:dyDescent="0.25">
      <c r="A242" s="6" t="s">
        <v>1441</v>
      </c>
      <c r="B242" s="7" t="s">
        <v>1616</v>
      </c>
      <c r="C242" s="1" t="s">
        <v>1621</v>
      </c>
    </row>
    <row r="243" spans="1:3" x14ac:dyDescent="0.25">
      <c r="A243" s="6" t="s">
        <v>1442</v>
      </c>
      <c r="B243" s="7" t="s">
        <v>1616</v>
      </c>
      <c r="C243" s="1" t="s">
        <v>1623</v>
      </c>
    </row>
    <row r="244" spans="1:3" x14ac:dyDescent="0.25">
      <c r="A244" s="6" t="s">
        <v>168</v>
      </c>
      <c r="B244" s="7" t="s">
        <v>1616</v>
      </c>
      <c r="C244" s="1" t="s">
        <v>1623</v>
      </c>
    </row>
    <row r="245" spans="1:3" x14ac:dyDescent="0.25">
      <c r="A245" s="6" t="s">
        <v>1443</v>
      </c>
      <c r="B245" s="7" t="s">
        <v>1616</v>
      </c>
      <c r="C245" s="1" t="s">
        <v>1623</v>
      </c>
    </row>
    <row r="246" spans="1:3" x14ac:dyDescent="0.25">
      <c r="A246" s="6" t="s">
        <v>1444</v>
      </c>
      <c r="B246" s="7" t="s">
        <v>1616</v>
      </c>
      <c r="C246" s="1" t="s">
        <v>1623</v>
      </c>
    </row>
    <row r="247" spans="1:3" x14ac:dyDescent="0.25">
      <c r="A247" s="6" t="s">
        <v>1445</v>
      </c>
      <c r="B247" s="7" t="s">
        <v>1616</v>
      </c>
      <c r="C247" s="1" t="s">
        <v>1621</v>
      </c>
    </row>
    <row r="248" spans="1:3" x14ac:dyDescent="0.25">
      <c r="A248" s="6" t="s">
        <v>1446</v>
      </c>
      <c r="B248" s="7" t="s">
        <v>1616</v>
      </c>
      <c r="C248" s="1" t="s">
        <v>1621</v>
      </c>
    </row>
    <row r="249" spans="1:3" x14ac:dyDescent="0.25">
      <c r="A249" s="6" t="s">
        <v>1447</v>
      </c>
      <c r="B249" s="7" t="s">
        <v>1616</v>
      </c>
      <c r="C249" s="1" t="s">
        <v>1621</v>
      </c>
    </row>
    <row r="250" spans="1:3" x14ac:dyDescent="0.25">
      <c r="A250" s="6" t="s">
        <v>1242</v>
      </c>
      <c r="B250" s="7" t="s">
        <v>1616</v>
      </c>
      <c r="C250" s="1" t="s">
        <v>1621</v>
      </c>
    </row>
    <row r="251" spans="1:3" x14ac:dyDescent="0.25">
      <c r="A251" s="6" t="s">
        <v>1448</v>
      </c>
      <c r="B251" s="7" t="s">
        <v>1616</v>
      </c>
      <c r="C251" s="1" t="s">
        <v>1621</v>
      </c>
    </row>
    <row r="252" spans="1:3" x14ac:dyDescent="0.25">
      <c r="A252" s="6" t="s">
        <v>185</v>
      </c>
      <c r="B252" s="7" t="s">
        <v>1616</v>
      </c>
      <c r="C252" s="1" t="s">
        <v>1623</v>
      </c>
    </row>
    <row r="253" spans="1:3" x14ac:dyDescent="0.25">
      <c r="A253" s="6" t="s">
        <v>1449</v>
      </c>
      <c r="B253" s="7" t="s">
        <v>1616</v>
      </c>
      <c r="C253" s="1" t="s">
        <v>1623</v>
      </c>
    </row>
    <row r="254" spans="1:3" x14ac:dyDescent="0.25">
      <c r="A254" s="6" t="s">
        <v>1141</v>
      </c>
      <c r="B254" s="7" t="s">
        <v>1616</v>
      </c>
      <c r="C254" s="1" t="s">
        <v>1623</v>
      </c>
    </row>
    <row r="255" spans="1:3" x14ac:dyDescent="0.25">
      <c r="A255" s="6" t="s">
        <v>1450</v>
      </c>
      <c r="B255" s="7" t="s">
        <v>1616</v>
      </c>
      <c r="C255" s="1" t="s">
        <v>1623</v>
      </c>
    </row>
    <row r="256" spans="1:3" x14ac:dyDescent="0.25">
      <c r="A256" s="6" t="s">
        <v>1451</v>
      </c>
      <c r="B256" s="7" t="s">
        <v>1616</v>
      </c>
      <c r="C256" s="1" t="s">
        <v>1623</v>
      </c>
    </row>
    <row r="257" spans="1:3" x14ac:dyDescent="0.25">
      <c r="A257" s="6" t="s">
        <v>1452</v>
      </c>
      <c r="B257" s="7" t="s">
        <v>1616</v>
      </c>
      <c r="C257" s="1" t="s">
        <v>1623</v>
      </c>
    </row>
    <row r="258" spans="1:3" x14ac:dyDescent="0.25">
      <c r="A258" s="6" t="s">
        <v>1453</v>
      </c>
      <c r="B258" s="7" t="s">
        <v>1616</v>
      </c>
      <c r="C258" s="1" t="s">
        <v>1623</v>
      </c>
    </row>
    <row r="259" spans="1:3" x14ac:dyDescent="0.25">
      <c r="A259" s="6" t="s">
        <v>1454</v>
      </c>
      <c r="B259" s="7" t="s">
        <v>1616</v>
      </c>
      <c r="C259" s="1" t="s">
        <v>1623</v>
      </c>
    </row>
    <row r="260" spans="1:3" x14ac:dyDescent="0.25">
      <c r="A260" s="6" t="s">
        <v>1455</v>
      </c>
      <c r="B260" s="7" t="s">
        <v>1616</v>
      </c>
      <c r="C260" s="1" t="s">
        <v>1623</v>
      </c>
    </row>
    <row r="261" spans="1:3" x14ac:dyDescent="0.25">
      <c r="A261" s="6" t="s">
        <v>1456</v>
      </c>
      <c r="B261" s="7" t="s">
        <v>1616</v>
      </c>
      <c r="C261" s="1" t="s">
        <v>1623</v>
      </c>
    </row>
    <row r="262" spans="1:3" x14ac:dyDescent="0.25">
      <c r="A262" s="6" t="s">
        <v>1457</v>
      </c>
      <c r="B262" s="7" t="s">
        <v>1616</v>
      </c>
      <c r="C262" s="1" t="s">
        <v>1623</v>
      </c>
    </row>
    <row r="263" spans="1:3" x14ac:dyDescent="0.25">
      <c r="A263" s="6" t="s">
        <v>1160</v>
      </c>
      <c r="B263" s="7" t="s">
        <v>1616</v>
      </c>
      <c r="C263" s="1" t="s">
        <v>1623</v>
      </c>
    </row>
    <row r="264" spans="1:3" x14ac:dyDescent="0.25">
      <c r="A264" s="6" t="s">
        <v>573</v>
      </c>
      <c r="B264" s="7" t="s">
        <v>1616</v>
      </c>
      <c r="C264" s="1" t="s">
        <v>1623</v>
      </c>
    </row>
    <row r="265" spans="1:3" x14ac:dyDescent="0.25">
      <c r="A265" s="6" t="s">
        <v>1458</v>
      </c>
      <c r="B265" s="7" t="s">
        <v>1616</v>
      </c>
      <c r="C265" s="1" t="s">
        <v>1623</v>
      </c>
    </row>
    <row r="266" spans="1:3" x14ac:dyDescent="0.25">
      <c r="A266" s="6" t="s">
        <v>1459</v>
      </c>
      <c r="B266" s="7" t="s">
        <v>1616</v>
      </c>
      <c r="C266" s="1" t="s">
        <v>1623</v>
      </c>
    </row>
    <row r="267" spans="1:3" x14ac:dyDescent="0.25">
      <c r="A267" s="6" t="s">
        <v>1460</v>
      </c>
      <c r="B267" s="7" t="s">
        <v>1616</v>
      </c>
      <c r="C267" s="1" t="s">
        <v>1623</v>
      </c>
    </row>
    <row r="268" spans="1:3" x14ac:dyDescent="0.25">
      <c r="A268" s="6" t="s">
        <v>245</v>
      </c>
      <c r="B268" s="7" t="s">
        <v>1616</v>
      </c>
      <c r="C268" s="1" t="s">
        <v>1621</v>
      </c>
    </row>
    <row r="269" spans="1:3" x14ac:dyDescent="0.25">
      <c r="A269" s="6" t="s">
        <v>1461</v>
      </c>
      <c r="B269" s="7" t="s">
        <v>1616</v>
      </c>
      <c r="C269" s="1" t="s">
        <v>1623</v>
      </c>
    </row>
    <row r="270" spans="1:3" x14ac:dyDescent="0.25">
      <c r="A270" s="6" t="s">
        <v>1462</v>
      </c>
      <c r="B270" s="7" t="s">
        <v>1616</v>
      </c>
      <c r="C270" s="1" t="s">
        <v>1623</v>
      </c>
    </row>
    <row r="271" spans="1:3" x14ac:dyDescent="0.25">
      <c r="A271" s="6" t="s">
        <v>285</v>
      </c>
      <c r="B271" s="7" t="s">
        <v>1616</v>
      </c>
      <c r="C271" s="1" t="s">
        <v>1623</v>
      </c>
    </row>
    <row r="272" spans="1:3" x14ac:dyDescent="0.25">
      <c r="A272" s="6" t="s">
        <v>167</v>
      </c>
      <c r="B272" s="7" t="s">
        <v>1616</v>
      </c>
      <c r="C272" s="1" t="s">
        <v>1623</v>
      </c>
    </row>
    <row r="273" spans="1:3" x14ac:dyDescent="0.25">
      <c r="A273" s="6" t="s">
        <v>1463</v>
      </c>
      <c r="B273" s="7" t="s">
        <v>1616</v>
      </c>
      <c r="C273" s="1" t="s">
        <v>1621</v>
      </c>
    </row>
    <row r="274" spans="1:3" x14ac:dyDescent="0.25">
      <c r="A274" s="6" t="s">
        <v>818</v>
      </c>
      <c r="B274" s="7" t="s">
        <v>1616</v>
      </c>
      <c r="C274" s="1" t="s">
        <v>1623</v>
      </c>
    </row>
    <row r="275" spans="1:3" x14ac:dyDescent="0.25">
      <c r="A275" s="6" t="s">
        <v>1464</v>
      </c>
      <c r="B275" s="7" t="s">
        <v>1616</v>
      </c>
      <c r="C275" s="1" t="s">
        <v>1623</v>
      </c>
    </row>
    <row r="276" spans="1:3" x14ac:dyDescent="0.25">
      <c r="A276" s="6" t="s">
        <v>1465</v>
      </c>
      <c r="B276" s="7" t="s">
        <v>1616</v>
      </c>
      <c r="C276" s="1" t="s">
        <v>1623</v>
      </c>
    </row>
    <row r="277" spans="1:3" x14ac:dyDescent="0.25">
      <c r="A277" s="6" t="s">
        <v>1466</v>
      </c>
      <c r="B277" s="7" t="s">
        <v>1616</v>
      </c>
      <c r="C277" s="1" t="s">
        <v>1623</v>
      </c>
    </row>
    <row r="278" spans="1:3" x14ac:dyDescent="0.25">
      <c r="A278" s="6" t="s">
        <v>378</v>
      </c>
      <c r="B278" s="7" t="s">
        <v>1616</v>
      </c>
      <c r="C278" s="1" t="s">
        <v>1621</v>
      </c>
    </row>
    <row r="279" spans="1:3" x14ac:dyDescent="0.25">
      <c r="A279" s="6" t="s">
        <v>1467</v>
      </c>
      <c r="B279" s="7" t="s">
        <v>1616</v>
      </c>
      <c r="C279" s="1" t="s">
        <v>1623</v>
      </c>
    </row>
    <row r="280" spans="1:3" x14ac:dyDescent="0.25">
      <c r="A280" s="6" t="s">
        <v>1468</v>
      </c>
      <c r="B280" s="7" t="s">
        <v>1616</v>
      </c>
      <c r="C280" s="1" t="s">
        <v>1623</v>
      </c>
    </row>
    <row r="281" spans="1:3" x14ac:dyDescent="0.25">
      <c r="A281" s="6" t="s">
        <v>130</v>
      </c>
      <c r="B281" s="7" t="s">
        <v>1616</v>
      </c>
      <c r="C281" s="1" t="s">
        <v>1623</v>
      </c>
    </row>
    <row r="282" spans="1:3" x14ac:dyDescent="0.25">
      <c r="A282" s="6" t="s">
        <v>605</v>
      </c>
      <c r="B282" s="7" t="s">
        <v>1616</v>
      </c>
      <c r="C282" s="1" t="s">
        <v>1623</v>
      </c>
    </row>
    <row r="283" spans="1:3" x14ac:dyDescent="0.25">
      <c r="A283" s="6" t="s">
        <v>1469</v>
      </c>
      <c r="B283" s="7" t="s">
        <v>1616</v>
      </c>
      <c r="C283" s="1" t="s">
        <v>1623</v>
      </c>
    </row>
    <row r="284" spans="1:3" x14ac:dyDescent="0.25">
      <c r="A284" s="6" t="s">
        <v>873</v>
      </c>
      <c r="B284" s="7" t="s">
        <v>1616</v>
      </c>
      <c r="C284" s="1" t="s">
        <v>1623</v>
      </c>
    </row>
    <row r="285" spans="1:3" x14ac:dyDescent="0.25">
      <c r="A285" s="6" t="s">
        <v>1470</v>
      </c>
      <c r="B285" s="7" t="s">
        <v>1616</v>
      </c>
      <c r="C285" s="1" t="s">
        <v>1623</v>
      </c>
    </row>
    <row r="286" spans="1:3" x14ac:dyDescent="0.25">
      <c r="A286" s="6" t="s">
        <v>1471</v>
      </c>
      <c r="B286" s="7" t="s">
        <v>1616</v>
      </c>
      <c r="C286" s="1" t="s">
        <v>1623</v>
      </c>
    </row>
    <row r="287" spans="1:3" x14ac:dyDescent="0.25">
      <c r="A287" s="6" t="s">
        <v>1472</v>
      </c>
      <c r="B287" s="7" t="s">
        <v>1616</v>
      </c>
      <c r="C287" s="1" t="s">
        <v>1623</v>
      </c>
    </row>
    <row r="288" spans="1:3" x14ac:dyDescent="0.25">
      <c r="A288" s="6" t="s">
        <v>1473</v>
      </c>
      <c r="B288" s="7" t="s">
        <v>1616</v>
      </c>
      <c r="C288" s="1" t="s">
        <v>1621</v>
      </c>
    </row>
    <row r="289" spans="1:3" x14ac:dyDescent="0.25">
      <c r="A289" s="6" t="s">
        <v>1474</v>
      </c>
      <c r="B289" s="7" t="s">
        <v>1616</v>
      </c>
      <c r="C289" s="1" t="s">
        <v>1623</v>
      </c>
    </row>
    <row r="290" spans="1:3" x14ac:dyDescent="0.25">
      <c r="A290" s="6" t="s">
        <v>1475</v>
      </c>
      <c r="B290" s="7" t="s">
        <v>1616</v>
      </c>
      <c r="C290" s="1" t="s">
        <v>1623</v>
      </c>
    </row>
    <row r="291" spans="1:3" x14ac:dyDescent="0.25">
      <c r="A291" s="6" t="s">
        <v>1476</v>
      </c>
      <c r="B291" s="7" t="s">
        <v>1616</v>
      </c>
      <c r="C291" s="1" t="s">
        <v>1623</v>
      </c>
    </row>
    <row r="292" spans="1:3" x14ac:dyDescent="0.25">
      <c r="A292" s="6" t="s">
        <v>1477</v>
      </c>
      <c r="B292" s="7" t="s">
        <v>1616</v>
      </c>
      <c r="C292" s="1" t="s">
        <v>1623</v>
      </c>
    </row>
    <row r="293" spans="1:3" x14ac:dyDescent="0.25">
      <c r="A293" s="6" t="s">
        <v>480</v>
      </c>
      <c r="B293" s="7" t="s">
        <v>1616</v>
      </c>
      <c r="C293" s="1" t="s">
        <v>1621</v>
      </c>
    </row>
    <row r="294" spans="1:3" x14ac:dyDescent="0.25">
      <c r="A294" s="6" t="s">
        <v>1478</v>
      </c>
      <c r="B294" s="7" t="s">
        <v>1616</v>
      </c>
      <c r="C294" s="1" t="s">
        <v>1623</v>
      </c>
    </row>
    <row r="295" spans="1:3" x14ac:dyDescent="0.25">
      <c r="A295" s="6" t="s">
        <v>1479</v>
      </c>
      <c r="B295" s="7" t="s">
        <v>1616</v>
      </c>
      <c r="C295" s="1" t="s">
        <v>1621</v>
      </c>
    </row>
    <row r="296" spans="1:3" x14ac:dyDescent="0.25">
      <c r="A296" s="6" t="s">
        <v>1480</v>
      </c>
      <c r="B296" s="7" t="s">
        <v>1616</v>
      </c>
      <c r="C296" s="1" t="s">
        <v>1623</v>
      </c>
    </row>
    <row r="297" spans="1:3" x14ac:dyDescent="0.25">
      <c r="A297" s="6" t="s">
        <v>1481</v>
      </c>
      <c r="B297" s="7" t="s">
        <v>1616</v>
      </c>
      <c r="C297" s="1" t="s">
        <v>1623</v>
      </c>
    </row>
    <row r="298" spans="1:3" x14ac:dyDescent="0.25">
      <c r="A298" s="6" t="s">
        <v>16</v>
      </c>
      <c r="B298" s="7" t="s">
        <v>1616</v>
      </c>
      <c r="C298" s="1" t="s">
        <v>1623</v>
      </c>
    </row>
    <row r="299" spans="1:3" x14ac:dyDescent="0.25">
      <c r="A299" s="6" t="s">
        <v>1482</v>
      </c>
      <c r="B299" s="7" t="s">
        <v>1616</v>
      </c>
      <c r="C299" s="1" t="s">
        <v>1623</v>
      </c>
    </row>
    <row r="300" spans="1:3" x14ac:dyDescent="0.25">
      <c r="A300" s="6" t="s">
        <v>1483</v>
      </c>
      <c r="B300" s="7" t="s">
        <v>1616</v>
      </c>
      <c r="C300" s="1" t="s">
        <v>1623</v>
      </c>
    </row>
    <row r="301" spans="1:3" x14ac:dyDescent="0.25">
      <c r="A301" s="6" t="s">
        <v>1484</v>
      </c>
      <c r="B301" s="7" t="s">
        <v>1616</v>
      </c>
      <c r="C301" s="1" t="s">
        <v>1623</v>
      </c>
    </row>
    <row r="302" spans="1:3" x14ac:dyDescent="0.25">
      <c r="A302" s="6" t="s">
        <v>1485</v>
      </c>
      <c r="B302" s="7" t="s">
        <v>1616</v>
      </c>
      <c r="C302" s="1" t="s">
        <v>1621</v>
      </c>
    </row>
    <row r="303" spans="1:3" x14ac:dyDescent="0.25">
      <c r="A303" s="6" t="s">
        <v>1093</v>
      </c>
      <c r="B303" s="7" t="s">
        <v>1616</v>
      </c>
      <c r="C303" s="1" t="s">
        <v>1623</v>
      </c>
    </row>
    <row r="304" spans="1:3" x14ac:dyDescent="0.25">
      <c r="A304" s="6" t="s">
        <v>1486</v>
      </c>
      <c r="B304" s="7" t="s">
        <v>1616</v>
      </c>
      <c r="C304" s="1" t="s">
        <v>1623</v>
      </c>
    </row>
    <row r="305" spans="1:3" x14ac:dyDescent="0.25">
      <c r="A305" s="6" t="s">
        <v>1487</v>
      </c>
      <c r="B305" s="7" t="s">
        <v>1616</v>
      </c>
      <c r="C305" s="1" t="s">
        <v>1623</v>
      </c>
    </row>
    <row r="306" spans="1:3" x14ac:dyDescent="0.25">
      <c r="A306" s="6" t="s">
        <v>1488</v>
      </c>
      <c r="B306" s="7" t="s">
        <v>1616</v>
      </c>
      <c r="C306" s="1" t="s">
        <v>1623</v>
      </c>
    </row>
    <row r="307" spans="1:3" x14ac:dyDescent="0.25">
      <c r="A307" s="6" t="s">
        <v>1489</v>
      </c>
      <c r="B307" s="7" t="s">
        <v>1616</v>
      </c>
      <c r="C307" s="1" t="s">
        <v>1623</v>
      </c>
    </row>
    <row r="308" spans="1:3" x14ac:dyDescent="0.25">
      <c r="A308" s="6" t="s">
        <v>1240</v>
      </c>
      <c r="B308" s="7" t="s">
        <v>1616</v>
      </c>
      <c r="C308" s="1" t="s">
        <v>1623</v>
      </c>
    </row>
    <row r="309" spans="1:3" x14ac:dyDescent="0.25">
      <c r="A309" s="6" t="s">
        <v>569</v>
      </c>
      <c r="B309" s="7" t="s">
        <v>1616</v>
      </c>
      <c r="C309" s="1" t="s">
        <v>1623</v>
      </c>
    </row>
    <row r="310" spans="1:3" x14ac:dyDescent="0.25">
      <c r="A310" s="6" t="s">
        <v>1490</v>
      </c>
      <c r="B310" s="7" t="s">
        <v>1616</v>
      </c>
      <c r="C310" s="1" t="s">
        <v>1623</v>
      </c>
    </row>
    <row r="311" spans="1:3" x14ac:dyDescent="0.25">
      <c r="A311" s="6" t="s">
        <v>18</v>
      </c>
      <c r="B311" s="7" t="s">
        <v>1616</v>
      </c>
      <c r="C311" s="1" t="s">
        <v>1623</v>
      </c>
    </row>
    <row r="312" spans="1:3" x14ac:dyDescent="0.25">
      <c r="A312" s="6" t="s">
        <v>1491</v>
      </c>
      <c r="B312" s="7" t="s">
        <v>1616</v>
      </c>
      <c r="C312" s="1" t="s">
        <v>1623</v>
      </c>
    </row>
    <row r="313" spans="1:3" x14ac:dyDescent="0.25">
      <c r="A313" s="6" t="s">
        <v>1492</v>
      </c>
      <c r="B313" s="7" t="s">
        <v>1616</v>
      </c>
      <c r="C313" s="1" t="s">
        <v>1623</v>
      </c>
    </row>
    <row r="314" spans="1:3" x14ac:dyDescent="0.25">
      <c r="A314" s="6" t="s">
        <v>1493</v>
      </c>
      <c r="B314" s="7" t="s">
        <v>1616</v>
      </c>
      <c r="C314" s="1" t="s">
        <v>1623</v>
      </c>
    </row>
    <row r="315" spans="1:3" x14ac:dyDescent="0.25">
      <c r="A315" s="6" t="s">
        <v>1494</v>
      </c>
      <c r="B315" s="7" t="s">
        <v>1616</v>
      </c>
      <c r="C315" s="1" t="s">
        <v>1623</v>
      </c>
    </row>
    <row r="316" spans="1:3" x14ac:dyDescent="0.25">
      <c r="A316" s="6" t="s">
        <v>1495</v>
      </c>
      <c r="B316" s="7" t="s">
        <v>1616</v>
      </c>
      <c r="C316" s="1" t="s">
        <v>1623</v>
      </c>
    </row>
    <row r="317" spans="1:3" x14ac:dyDescent="0.25">
      <c r="A317" s="6" t="s">
        <v>1496</v>
      </c>
      <c r="B317" s="7" t="s">
        <v>1616</v>
      </c>
      <c r="C317" s="1" t="s">
        <v>1623</v>
      </c>
    </row>
    <row r="318" spans="1:3" x14ac:dyDescent="0.25">
      <c r="A318" s="6" t="s">
        <v>14</v>
      </c>
      <c r="B318" s="7" t="s">
        <v>1616</v>
      </c>
      <c r="C318" s="1" t="s">
        <v>1623</v>
      </c>
    </row>
    <row r="319" spans="1:3" x14ac:dyDescent="0.25">
      <c r="A319" s="6" t="s">
        <v>197</v>
      </c>
      <c r="B319" s="7" t="s">
        <v>1616</v>
      </c>
      <c r="C319" s="1" t="s">
        <v>1623</v>
      </c>
    </row>
    <row r="320" spans="1:3" x14ac:dyDescent="0.25">
      <c r="A320" s="6" t="s">
        <v>1497</v>
      </c>
      <c r="B320" s="7" t="s">
        <v>1616</v>
      </c>
      <c r="C320" s="1" t="s">
        <v>1623</v>
      </c>
    </row>
    <row r="321" spans="1:3" x14ac:dyDescent="0.25">
      <c r="A321" s="6" t="s">
        <v>1498</v>
      </c>
      <c r="B321" s="7" t="s">
        <v>1616</v>
      </c>
      <c r="C321" s="1" t="s">
        <v>1623</v>
      </c>
    </row>
    <row r="322" spans="1:3" x14ac:dyDescent="0.25">
      <c r="A322" s="6" t="s">
        <v>1499</v>
      </c>
      <c r="B322" s="7" t="s">
        <v>1616</v>
      </c>
      <c r="C322" s="1" t="s">
        <v>1623</v>
      </c>
    </row>
    <row r="323" spans="1:3" x14ac:dyDescent="0.25">
      <c r="A323" s="6" t="s">
        <v>1500</v>
      </c>
      <c r="B323" s="7" t="s">
        <v>1616</v>
      </c>
      <c r="C323" s="1" t="s">
        <v>1623</v>
      </c>
    </row>
    <row r="324" spans="1:3" x14ac:dyDescent="0.25">
      <c r="A324" s="6" t="s">
        <v>703</v>
      </c>
      <c r="B324" s="7" t="s">
        <v>1616</v>
      </c>
      <c r="C324" s="1" t="s">
        <v>1623</v>
      </c>
    </row>
    <row r="325" spans="1:3" x14ac:dyDescent="0.25">
      <c r="A325" s="6" t="s">
        <v>1501</v>
      </c>
      <c r="B325" s="7" t="s">
        <v>1616</v>
      </c>
      <c r="C325" s="1" t="s">
        <v>1623</v>
      </c>
    </row>
    <row r="326" spans="1:3" x14ac:dyDescent="0.25">
      <c r="A326" s="6" t="s">
        <v>1076</v>
      </c>
      <c r="B326" s="7" t="s">
        <v>1616</v>
      </c>
      <c r="C326" s="1" t="s">
        <v>1623</v>
      </c>
    </row>
    <row r="327" spans="1:3" x14ac:dyDescent="0.25">
      <c r="A327" s="6" t="s">
        <v>1502</v>
      </c>
      <c r="B327" s="7" t="s">
        <v>1616</v>
      </c>
      <c r="C327" s="1" t="s">
        <v>1623</v>
      </c>
    </row>
    <row r="328" spans="1:3" x14ac:dyDescent="0.25">
      <c r="A328" s="6" t="s">
        <v>1503</v>
      </c>
      <c r="B328" s="7" t="s">
        <v>1616</v>
      </c>
      <c r="C328" s="1" t="s">
        <v>1623</v>
      </c>
    </row>
    <row r="329" spans="1:3" x14ac:dyDescent="0.25">
      <c r="A329" s="6" t="s">
        <v>25</v>
      </c>
      <c r="B329" s="7" t="s">
        <v>1616</v>
      </c>
      <c r="C329" s="1" t="s">
        <v>1623</v>
      </c>
    </row>
    <row r="330" spans="1:3" x14ac:dyDescent="0.25">
      <c r="A330" s="6" t="s">
        <v>231</v>
      </c>
      <c r="B330" s="7" t="s">
        <v>1616</v>
      </c>
      <c r="C330" s="1" t="s">
        <v>1623</v>
      </c>
    </row>
    <row r="331" spans="1:3" x14ac:dyDescent="0.25">
      <c r="A331" s="6" t="s">
        <v>1128</v>
      </c>
      <c r="B331" s="7" t="s">
        <v>1616</v>
      </c>
      <c r="C331" s="1" t="s">
        <v>1623</v>
      </c>
    </row>
    <row r="332" spans="1:3" x14ac:dyDescent="0.25">
      <c r="A332" s="6" t="s">
        <v>1504</v>
      </c>
      <c r="B332" s="7" t="s">
        <v>1616</v>
      </c>
      <c r="C332" s="1" t="s">
        <v>1623</v>
      </c>
    </row>
    <row r="333" spans="1:3" x14ac:dyDescent="0.25">
      <c r="A333" s="6" t="s">
        <v>488</v>
      </c>
      <c r="B333" s="7" t="s">
        <v>1616</v>
      </c>
      <c r="C333" s="1" t="s">
        <v>1623</v>
      </c>
    </row>
    <row r="334" spans="1:3" x14ac:dyDescent="0.25">
      <c r="A334" s="6" t="s">
        <v>810</v>
      </c>
      <c r="B334" s="7" t="s">
        <v>1616</v>
      </c>
      <c r="C334" s="1" t="s">
        <v>1623</v>
      </c>
    </row>
    <row r="335" spans="1:3" x14ac:dyDescent="0.25">
      <c r="A335" s="6" t="s">
        <v>517</v>
      </c>
      <c r="B335" s="7" t="s">
        <v>1616</v>
      </c>
      <c r="C335" s="1" t="s">
        <v>1621</v>
      </c>
    </row>
    <row r="336" spans="1:3" x14ac:dyDescent="0.25">
      <c r="A336" s="6" t="s">
        <v>1505</v>
      </c>
      <c r="B336" s="7" t="s">
        <v>1616</v>
      </c>
      <c r="C336" s="1" t="s">
        <v>1623</v>
      </c>
    </row>
    <row r="337" spans="1:3" x14ac:dyDescent="0.25">
      <c r="A337" s="6" t="s">
        <v>1506</v>
      </c>
      <c r="B337" s="7" t="s">
        <v>1616</v>
      </c>
      <c r="C337" s="1" t="s">
        <v>1623</v>
      </c>
    </row>
    <row r="338" spans="1:3" x14ac:dyDescent="0.25">
      <c r="A338" s="6" t="s">
        <v>1507</v>
      </c>
      <c r="B338" s="7" t="s">
        <v>1616</v>
      </c>
      <c r="C338" s="1" t="s">
        <v>1623</v>
      </c>
    </row>
    <row r="339" spans="1:3" x14ac:dyDescent="0.25">
      <c r="A339" s="6" t="s">
        <v>1508</v>
      </c>
      <c r="B339" s="7" t="s">
        <v>1616</v>
      </c>
      <c r="C339" s="1" t="s">
        <v>1623</v>
      </c>
    </row>
    <row r="340" spans="1:3" x14ac:dyDescent="0.25">
      <c r="A340" s="6" t="s">
        <v>1509</v>
      </c>
      <c r="B340" s="7" t="s">
        <v>1616</v>
      </c>
      <c r="C340" s="1" t="s">
        <v>1623</v>
      </c>
    </row>
    <row r="341" spans="1:3" x14ac:dyDescent="0.25">
      <c r="A341" s="6" t="s">
        <v>1510</v>
      </c>
      <c r="B341" s="7" t="s">
        <v>1616</v>
      </c>
      <c r="C341" s="1" t="s">
        <v>1623</v>
      </c>
    </row>
    <row r="342" spans="1:3" x14ac:dyDescent="0.25">
      <c r="A342" s="6" t="s">
        <v>1511</v>
      </c>
      <c r="B342" s="7" t="s">
        <v>1616</v>
      </c>
      <c r="C342" s="1" t="s">
        <v>1623</v>
      </c>
    </row>
    <row r="343" spans="1:3" x14ac:dyDescent="0.25">
      <c r="A343" s="6" t="s">
        <v>1512</v>
      </c>
      <c r="B343" s="7" t="s">
        <v>1616</v>
      </c>
      <c r="C343" s="1" t="s">
        <v>1621</v>
      </c>
    </row>
    <row r="344" spans="1:3" x14ac:dyDescent="0.25">
      <c r="A344" s="6" t="s">
        <v>1513</v>
      </c>
      <c r="B344" s="7" t="s">
        <v>1616</v>
      </c>
      <c r="C344" s="1" t="s">
        <v>1623</v>
      </c>
    </row>
    <row r="345" spans="1:3" x14ac:dyDescent="0.25">
      <c r="A345" s="6" t="s">
        <v>658</v>
      </c>
      <c r="B345" s="7" t="s">
        <v>1616</v>
      </c>
      <c r="C345" s="1" t="s">
        <v>1623</v>
      </c>
    </row>
    <row r="346" spans="1:3" x14ac:dyDescent="0.25">
      <c r="A346" s="6" t="s">
        <v>495</v>
      </c>
      <c r="B346" s="7" t="s">
        <v>1616</v>
      </c>
      <c r="C346" s="1" t="s">
        <v>1623</v>
      </c>
    </row>
    <row r="347" spans="1:3" x14ac:dyDescent="0.25">
      <c r="A347" s="6" t="s">
        <v>250</v>
      </c>
      <c r="B347" s="7" t="s">
        <v>1616</v>
      </c>
      <c r="C347" s="1" t="s">
        <v>1623</v>
      </c>
    </row>
    <row r="348" spans="1:3" x14ac:dyDescent="0.25">
      <c r="A348" s="6" t="s">
        <v>1514</v>
      </c>
      <c r="B348" s="7" t="s">
        <v>1616</v>
      </c>
      <c r="C348" s="1" t="s">
        <v>1621</v>
      </c>
    </row>
    <row r="349" spans="1:3" x14ac:dyDescent="0.25">
      <c r="A349" s="6" t="s">
        <v>345</v>
      </c>
      <c r="B349" s="7" t="s">
        <v>1616</v>
      </c>
      <c r="C349" s="1" t="s">
        <v>1623</v>
      </c>
    </row>
    <row r="350" spans="1:3" x14ac:dyDescent="0.25">
      <c r="A350" s="6" t="s">
        <v>135</v>
      </c>
      <c r="B350" s="7" t="s">
        <v>1616</v>
      </c>
      <c r="C350" s="1" t="s">
        <v>1623</v>
      </c>
    </row>
    <row r="351" spans="1:3" x14ac:dyDescent="0.25">
      <c r="A351" s="6" t="s">
        <v>928</v>
      </c>
      <c r="B351" s="7" t="s">
        <v>1616</v>
      </c>
      <c r="C351" s="1" t="s">
        <v>1623</v>
      </c>
    </row>
    <row r="352" spans="1:3" x14ac:dyDescent="0.25">
      <c r="A352" s="6" t="s">
        <v>1515</v>
      </c>
      <c r="B352" s="7" t="s">
        <v>1616</v>
      </c>
      <c r="C352" s="1" t="s">
        <v>1623</v>
      </c>
    </row>
    <row r="353" spans="1:3" x14ac:dyDescent="0.25">
      <c r="A353" s="6" t="s">
        <v>1516</v>
      </c>
      <c r="B353" s="7" t="s">
        <v>1616</v>
      </c>
      <c r="C353" s="1" t="s">
        <v>1623</v>
      </c>
    </row>
    <row r="354" spans="1:3" x14ac:dyDescent="0.25">
      <c r="A354" s="6" t="s">
        <v>1517</v>
      </c>
      <c r="B354" s="7" t="s">
        <v>1616</v>
      </c>
      <c r="C354" s="1" t="s">
        <v>1623</v>
      </c>
    </row>
    <row r="355" spans="1:3" x14ac:dyDescent="0.25">
      <c r="A355" s="6" t="s">
        <v>1518</v>
      </c>
      <c r="B355" s="7" t="s">
        <v>1616</v>
      </c>
      <c r="C355" s="1" t="s">
        <v>1623</v>
      </c>
    </row>
    <row r="356" spans="1:3" x14ac:dyDescent="0.25">
      <c r="A356" s="6" t="s">
        <v>1519</v>
      </c>
      <c r="B356" s="7" t="s">
        <v>1616</v>
      </c>
      <c r="C356" s="1" t="s">
        <v>1623</v>
      </c>
    </row>
    <row r="357" spans="1:3" x14ac:dyDescent="0.25">
      <c r="A357" s="6" t="s">
        <v>22</v>
      </c>
      <c r="B357" s="7" t="s">
        <v>1616</v>
      </c>
      <c r="C357" s="1" t="s">
        <v>1623</v>
      </c>
    </row>
    <row r="358" spans="1:3" x14ac:dyDescent="0.25">
      <c r="A358" s="6" t="s">
        <v>1520</v>
      </c>
      <c r="B358" s="7" t="s">
        <v>1616</v>
      </c>
      <c r="C358" s="1" t="s">
        <v>1623</v>
      </c>
    </row>
    <row r="359" spans="1:3" x14ac:dyDescent="0.25">
      <c r="A359" s="6" t="s">
        <v>1521</v>
      </c>
      <c r="B359" s="7" t="s">
        <v>1616</v>
      </c>
      <c r="C359" s="1" t="s">
        <v>1623</v>
      </c>
    </row>
    <row r="360" spans="1:3" x14ac:dyDescent="0.25">
      <c r="A360" s="6" t="s">
        <v>1522</v>
      </c>
      <c r="B360" s="7" t="s">
        <v>1616</v>
      </c>
      <c r="C360" s="1" t="s">
        <v>1623</v>
      </c>
    </row>
    <row r="361" spans="1:3" x14ac:dyDescent="0.25">
      <c r="A361" s="6" t="s">
        <v>1523</v>
      </c>
      <c r="B361" s="7" t="s">
        <v>1616</v>
      </c>
      <c r="C361" s="1" t="s">
        <v>1623</v>
      </c>
    </row>
    <row r="362" spans="1:3" x14ac:dyDescent="0.25">
      <c r="A362" s="6" t="s">
        <v>1524</v>
      </c>
      <c r="B362" s="7" t="s">
        <v>1616</v>
      </c>
      <c r="C362" s="1" t="s">
        <v>1623</v>
      </c>
    </row>
    <row r="363" spans="1:3" x14ac:dyDescent="0.25">
      <c r="A363" s="6" t="s">
        <v>7</v>
      </c>
      <c r="B363" s="7" t="s">
        <v>1616</v>
      </c>
      <c r="C363" s="1" t="s">
        <v>1623</v>
      </c>
    </row>
    <row r="364" spans="1:3" x14ac:dyDescent="0.25">
      <c r="A364" s="6" t="s">
        <v>58</v>
      </c>
      <c r="B364" s="7" t="s">
        <v>1616</v>
      </c>
      <c r="C364" s="1" t="s">
        <v>1623</v>
      </c>
    </row>
    <row r="365" spans="1:3" x14ac:dyDescent="0.25">
      <c r="A365" s="6" t="s">
        <v>482</v>
      </c>
      <c r="B365" s="7" t="s">
        <v>1616</v>
      </c>
      <c r="C365" s="1" t="s">
        <v>1623</v>
      </c>
    </row>
    <row r="366" spans="1:3" x14ac:dyDescent="0.25">
      <c r="A366" s="6" t="s">
        <v>1525</v>
      </c>
      <c r="B366" s="7" t="s">
        <v>1616</v>
      </c>
      <c r="C366" s="1" t="s">
        <v>1623</v>
      </c>
    </row>
    <row r="367" spans="1:3" x14ac:dyDescent="0.25">
      <c r="A367" s="6" t="s">
        <v>1526</v>
      </c>
      <c r="B367" s="7" t="s">
        <v>1616</v>
      </c>
      <c r="C367" s="1" t="s">
        <v>1623</v>
      </c>
    </row>
    <row r="368" spans="1:3" x14ac:dyDescent="0.25">
      <c r="A368" s="6" t="s">
        <v>1527</v>
      </c>
      <c r="B368" s="7" t="s">
        <v>1616</v>
      </c>
      <c r="C368" s="1" t="s">
        <v>1623</v>
      </c>
    </row>
    <row r="369" spans="1:3" x14ac:dyDescent="0.25">
      <c r="A369" s="6" t="s">
        <v>1528</v>
      </c>
      <c r="B369" s="7" t="s">
        <v>1616</v>
      </c>
      <c r="C369" s="1" t="s">
        <v>1623</v>
      </c>
    </row>
    <row r="370" spans="1:3" x14ac:dyDescent="0.25">
      <c r="A370" s="6" t="s">
        <v>1529</v>
      </c>
      <c r="B370" s="7" t="s">
        <v>1616</v>
      </c>
      <c r="C370" s="1" t="s">
        <v>1623</v>
      </c>
    </row>
    <row r="371" spans="1:3" x14ac:dyDescent="0.25">
      <c r="A371" s="6" t="s">
        <v>1530</v>
      </c>
      <c r="B371" s="7" t="s">
        <v>1616</v>
      </c>
      <c r="C371" s="1" t="s">
        <v>1623</v>
      </c>
    </row>
    <row r="372" spans="1:3" x14ac:dyDescent="0.25">
      <c r="A372" s="6" t="s">
        <v>1531</v>
      </c>
      <c r="B372" s="7" t="s">
        <v>1616</v>
      </c>
      <c r="C372" s="1" t="s">
        <v>1623</v>
      </c>
    </row>
    <row r="373" spans="1:3" x14ac:dyDescent="0.25">
      <c r="A373" s="6" t="s">
        <v>1532</v>
      </c>
      <c r="B373" s="7" t="s">
        <v>1616</v>
      </c>
      <c r="C373" s="1" t="s">
        <v>1623</v>
      </c>
    </row>
    <row r="374" spans="1:3" x14ac:dyDescent="0.25">
      <c r="A374" s="6" t="s">
        <v>59</v>
      </c>
      <c r="B374" s="7" t="s">
        <v>1616</v>
      </c>
      <c r="C374" s="1" t="s">
        <v>1623</v>
      </c>
    </row>
    <row r="375" spans="1:3" x14ac:dyDescent="0.25">
      <c r="A375" s="6" t="s">
        <v>198</v>
      </c>
      <c r="B375" s="7" t="s">
        <v>1616</v>
      </c>
      <c r="C375" s="1" t="s">
        <v>1623</v>
      </c>
    </row>
    <row r="376" spans="1:3" x14ac:dyDescent="0.25">
      <c r="A376" s="6" t="s">
        <v>1533</v>
      </c>
      <c r="B376" s="7" t="s">
        <v>1616</v>
      </c>
      <c r="C376" s="1" t="s">
        <v>1623</v>
      </c>
    </row>
    <row r="377" spans="1:3" x14ac:dyDescent="0.25">
      <c r="A377" s="6" t="s">
        <v>1534</v>
      </c>
      <c r="B377" s="7" t="s">
        <v>1616</v>
      </c>
      <c r="C377" s="1" t="s">
        <v>1623</v>
      </c>
    </row>
    <row r="378" spans="1:3" x14ac:dyDescent="0.25">
      <c r="A378" s="6" t="s">
        <v>1535</v>
      </c>
      <c r="B378" s="7" t="s">
        <v>1616</v>
      </c>
      <c r="C378" s="1" t="s">
        <v>1623</v>
      </c>
    </row>
    <row r="379" spans="1:3" x14ac:dyDescent="0.25">
      <c r="A379" s="6" t="s">
        <v>1536</v>
      </c>
      <c r="B379" s="7" t="s">
        <v>1616</v>
      </c>
      <c r="C379" s="1" t="s">
        <v>1623</v>
      </c>
    </row>
    <row r="380" spans="1:3" x14ac:dyDescent="0.25">
      <c r="A380" s="6" t="s">
        <v>1239</v>
      </c>
      <c r="B380" s="7" t="s">
        <v>1616</v>
      </c>
      <c r="C380" s="1" t="s">
        <v>1623</v>
      </c>
    </row>
    <row r="381" spans="1:3" x14ac:dyDescent="0.25">
      <c r="A381" s="6" t="s">
        <v>1537</v>
      </c>
      <c r="B381" s="7" t="s">
        <v>1616</v>
      </c>
      <c r="C381" s="1" t="s">
        <v>1623</v>
      </c>
    </row>
    <row r="382" spans="1:3" x14ac:dyDescent="0.25">
      <c r="A382" s="6" t="s">
        <v>1538</v>
      </c>
      <c r="B382" s="7" t="s">
        <v>1616</v>
      </c>
      <c r="C382" s="1" t="s">
        <v>1623</v>
      </c>
    </row>
    <row r="383" spans="1:3" x14ac:dyDescent="0.25">
      <c r="A383" s="6" t="s">
        <v>1539</v>
      </c>
      <c r="B383" s="7" t="s">
        <v>1616</v>
      </c>
      <c r="C383" s="1" t="s">
        <v>1623</v>
      </c>
    </row>
    <row r="384" spans="1:3" x14ac:dyDescent="0.25">
      <c r="A384" s="6" t="s">
        <v>849</v>
      </c>
      <c r="B384" s="7" t="s">
        <v>1616</v>
      </c>
      <c r="C384" s="1" t="s">
        <v>1623</v>
      </c>
    </row>
    <row r="385" spans="1:3" x14ac:dyDescent="0.25">
      <c r="A385" s="6" t="s">
        <v>1540</v>
      </c>
      <c r="B385" s="7" t="s">
        <v>1616</v>
      </c>
      <c r="C385" s="1" t="s">
        <v>1623</v>
      </c>
    </row>
    <row r="386" spans="1:3" x14ac:dyDescent="0.25">
      <c r="A386" s="6" t="s">
        <v>1541</v>
      </c>
      <c r="B386" s="7" t="s">
        <v>1616</v>
      </c>
      <c r="C386" s="1" t="s">
        <v>1623</v>
      </c>
    </row>
    <row r="387" spans="1:3" x14ac:dyDescent="0.25">
      <c r="A387" s="6" t="s">
        <v>1542</v>
      </c>
      <c r="B387" s="7" t="s">
        <v>1616</v>
      </c>
      <c r="C387" s="1" t="s">
        <v>1623</v>
      </c>
    </row>
    <row r="388" spans="1:3" x14ac:dyDescent="0.25">
      <c r="A388" s="6" t="s">
        <v>1543</v>
      </c>
      <c r="B388" s="7" t="s">
        <v>1616</v>
      </c>
      <c r="C388" s="1" t="s">
        <v>1623</v>
      </c>
    </row>
    <row r="389" spans="1:3" x14ac:dyDescent="0.25">
      <c r="A389" s="6" t="s">
        <v>1544</v>
      </c>
      <c r="B389" s="7" t="s">
        <v>1616</v>
      </c>
      <c r="C389" s="1" t="s">
        <v>1623</v>
      </c>
    </row>
    <row r="390" spans="1:3" x14ac:dyDescent="0.25">
      <c r="A390" s="6" t="s">
        <v>1545</v>
      </c>
      <c r="B390" s="7" t="s">
        <v>1616</v>
      </c>
      <c r="C390" s="1" t="s">
        <v>1623</v>
      </c>
    </row>
    <row r="391" spans="1:3" x14ac:dyDescent="0.25">
      <c r="A391" s="6" t="s">
        <v>667</v>
      </c>
      <c r="B391" s="7" t="s">
        <v>1616</v>
      </c>
      <c r="C391" s="1" t="s">
        <v>1623</v>
      </c>
    </row>
    <row r="392" spans="1:3" x14ac:dyDescent="0.25">
      <c r="A392" s="6" t="s">
        <v>1153</v>
      </c>
      <c r="B392" s="7" t="s">
        <v>1616</v>
      </c>
      <c r="C392" s="1" t="s">
        <v>1623</v>
      </c>
    </row>
    <row r="393" spans="1:3" x14ac:dyDescent="0.25">
      <c r="A393" s="6" t="s">
        <v>38</v>
      </c>
      <c r="B393" s="7" t="s">
        <v>1616</v>
      </c>
      <c r="C393" s="1" t="s">
        <v>1623</v>
      </c>
    </row>
    <row r="394" spans="1:3" x14ac:dyDescent="0.25">
      <c r="A394" s="6" t="s">
        <v>1546</v>
      </c>
      <c r="B394" s="7" t="s">
        <v>1616</v>
      </c>
      <c r="C394" s="1" t="s">
        <v>1623</v>
      </c>
    </row>
    <row r="395" spans="1:3" x14ac:dyDescent="0.25">
      <c r="A395" s="6" t="s">
        <v>1547</v>
      </c>
      <c r="B395" s="7" t="s">
        <v>1616</v>
      </c>
      <c r="C395" s="1" t="s">
        <v>1623</v>
      </c>
    </row>
    <row r="396" spans="1:3" x14ac:dyDescent="0.25">
      <c r="A396" s="6" t="s">
        <v>1548</v>
      </c>
      <c r="B396" s="7" t="s">
        <v>1616</v>
      </c>
      <c r="C396" s="1" t="s">
        <v>1623</v>
      </c>
    </row>
    <row r="397" spans="1:3" x14ac:dyDescent="0.25">
      <c r="A397" s="6" t="s">
        <v>69</v>
      </c>
      <c r="B397" s="7" t="s">
        <v>1616</v>
      </c>
      <c r="C397" s="1" t="s">
        <v>1623</v>
      </c>
    </row>
    <row r="398" spans="1:3" x14ac:dyDescent="0.25">
      <c r="A398" s="6" t="s">
        <v>1549</v>
      </c>
      <c r="B398" s="7" t="s">
        <v>1616</v>
      </c>
      <c r="C398" s="1" t="s">
        <v>1623</v>
      </c>
    </row>
    <row r="399" spans="1:3" x14ac:dyDescent="0.25">
      <c r="A399" s="6" t="s">
        <v>1550</v>
      </c>
      <c r="B399" s="7" t="s">
        <v>1616</v>
      </c>
      <c r="C399" s="1" t="s">
        <v>1623</v>
      </c>
    </row>
    <row r="400" spans="1:3" x14ac:dyDescent="0.25">
      <c r="A400" s="6" t="s">
        <v>1551</v>
      </c>
      <c r="B400" s="7" t="s">
        <v>1616</v>
      </c>
      <c r="C400" s="1" t="s">
        <v>1623</v>
      </c>
    </row>
    <row r="401" spans="1:3" x14ac:dyDescent="0.25">
      <c r="A401" s="6" t="s">
        <v>1552</v>
      </c>
      <c r="B401" s="7" t="s">
        <v>1616</v>
      </c>
      <c r="C401" s="1" t="s">
        <v>1623</v>
      </c>
    </row>
    <row r="402" spans="1:3" x14ac:dyDescent="0.25">
      <c r="A402" s="6" t="s">
        <v>1553</v>
      </c>
      <c r="B402" s="7" t="s">
        <v>1616</v>
      </c>
      <c r="C402" s="1" t="s">
        <v>1623</v>
      </c>
    </row>
    <row r="403" spans="1:3" x14ac:dyDescent="0.25">
      <c r="A403" s="6" t="s">
        <v>1554</v>
      </c>
      <c r="B403" s="7" t="s">
        <v>1616</v>
      </c>
      <c r="C403" s="1" t="s">
        <v>1623</v>
      </c>
    </row>
    <row r="404" spans="1:3" x14ac:dyDescent="0.25">
      <c r="A404" s="6" t="s">
        <v>288</v>
      </c>
      <c r="B404" s="7" t="s">
        <v>1616</v>
      </c>
      <c r="C404" s="1" t="s">
        <v>1623</v>
      </c>
    </row>
    <row r="405" spans="1:3" x14ac:dyDescent="0.25">
      <c r="A405" s="6" t="s">
        <v>791</v>
      </c>
      <c r="B405" s="7" t="s">
        <v>1616</v>
      </c>
      <c r="C405" s="1" t="s">
        <v>1623</v>
      </c>
    </row>
    <row r="406" spans="1:3" x14ac:dyDescent="0.25">
      <c r="A406" s="6" t="s">
        <v>1555</v>
      </c>
      <c r="B406" s="7" t="s">
        <v>1616</v>
      </c>
      <c r="C406" s="1" t="s">
        <v>1623</v>
      </c>
    </row>
    <row r="407" spans="1:3" x14ac:dyDescent="0.25">
      <c r="A407" s="6" t="s">
        <v>1556</v>
      </c>
      <c r="B407" s="7" t="s">
        <v>1616</v>
      </c>
      <c r="C407" s="1" t="s">
        <v>1623</v>
      </c>
    </row>
    <row r="408" spans="1:3" x14ac:dyDescent="0.25">
      <c r="A408" s="6" t="s">
        <v>1557</v>
      </c>
      <c r="B408" s="7" t="s">
        <v>1616</v>
      </c>
      <c r="C408" s="1" t="s">
        <v>1623</v>
      </c>
    </row>
    <row r="409" spans="1:3" x14ac:dyDescent="0.25">
      <c r="A409" s="6" t="s">
        <v>1558</v>
      </c>
      <c r="B409" s="7" t="s">
        <v>1616</v>
      </c>
      <c r="C409" s="1" t="s">
        <v>1623</v>
      </c>
    </row>
    <row r="410" spans="1:3" x14ac:dyDescent="0.25">
      <c r="A410" s="6" t="s">
        <v>1559</v>
      </c>
      <c r="B410" s="7" t="s">
        <v>1616</v>
      </c>
      <c r="C410" s="1" t="s">
        <v>1623</v>
      </c>
    </row>
    <row r="411" spans="1:3" x14ac:dyDescent="0.25">
      <c r="A411" s="6" t="s">
        <v>850</v>
      </c>
      <c r="B411" s="7" t="s">
        <v>1616</v>
      </c>
      <c r="C411" s="1" t="s">
        <v>1623</v>
      </c>
    </row>
    <row r="412" spans="1:3" x14ac:dyDescent="0.25">
      <c r="A412" s="6" t="s">
        <v>214</v>
      </c>
      <c r="B412" s="7" t="s">
        <v>1616</v>
      </c>
      <c r="C412" s="1" t="s">
        <v>1623</v>
      </c>
    </row>
    <row r="413" spans="1:3" x14ac:dyDescent="0.25">
      <c r="A413" s="6" t="s">
        <v>1560</v>
      </c>
      <c r="B413" s="7" t="s">
        <v>1616</v>
      </c>
      <c r="C413" s="1" t="s">
        <v>1623</v>
      </c>
    </row>
    <row r="414" spans="1:3" x14ac:dyDescent="0.25">
      <c r="A414" s="6" t="s">
        <v>1561</v>
      </c>
      <c r="B414" s="7" t="s">
        <v>1616</v>
      </c>
      <c r="C414" s="1" t="s">
        <v>1623</v>
      </c>
    </row>
    <row r="415" spans="1:3" x14ac:dyDescent="0.25">
      <c r="A415" s="6" t="s">
        <v>1562</v>
      </c>
      <c r="B415" s="7" t="s">
        <v>1616</v>
      </c>
      <c r="C415" s="1" t="s">
        <v>1623</v>
      </c>
    </row>
    <row r="416" spans="1:3" x14ac:dyDescent="0.25">
      <c r="A416" s="6" t="s">
        <v>798</v>
      </c>
      <c r="B416" s="7" t="s">
        <v>1616</v>
      </c>
      <c r="C416" s="1" t="s">
        <v>1623</v>
      </c>
    </row>
    <row r="417" spans="1:3" x14ac:dyDescent="0.25">
      <c r="A417" s="6" t="s">
        <v>1199</v>
      </c>
      <c r="B417" s="7" t="s">
        <v>1616</v>
      </c>
      <c r="C417" s="1" t="s">
        <v>1623</v>
      </c>
    </row>
    <row r="418" spans="1:3" x14ac:dyDescent="0.25">
      <c r="A418" s="6" t="s">
        <v>1081</v>
      </c>
      <c r="B418" s="7" t="s">
        <v>1616</v>
      </c>
      <c r="C418" s="1" t="s">
        <v>1623</v>
      </c>
    </row>
    <row r="419" spans="1:3" x14ac:dyDescent="0.25">
      <c r="A419" s="6" t="s">
        <v>477</v>
      </c>
      <c r="B419" s="7" t="s">
        <v>1616</v>
      </c>
      <c r="C419" s="1" t="s">
        <v>1623</v>
      </c>
    </row>
    <row r="420" spans="1:3" x14ac:dyDescent="0.25">
      <c r="A420" s="6" t="s">
        <v>1563</v>
      </c>
      <c r="B420" s="7" t="s">
        <v>1616</v>
      </c>
      <c r="C420" s="1" t="s">
        <v>1623</v>
      </c>
    </row>
    <row r="421" spans="1:3" x14ac:dyDescent="0.25">
      <c r="A421" s="6" t="s">
        <v>1217</v>
      </c>
      <c r="B421" s="7" t="s">
        <v>1616</v>
      </c>
      <c r="C421" s="1" t="s">
        <v>1623</v>
      </c>
    </row>
    <row r="422" spans="1:3" x14ac:dyDescent="0.25">
      <c r="A422" s="6" t="s">
        <v>1235</v>
      </c>
      <c r="B422" s="7" t="s">
        <v>1616</v>
      </c>
      <c r="C422" s="1" t="s">
        <v>1623</v>
      </c>
    </row>
    <row r="423" spans="1:3" x14ac:dyDescent="0.25">
      <c r="A423" s="6" t="s">
        <v>1564</v>
      </c>
      <c r="B423" s="7" t="s">
        <v>1616</v>
      </c>
      <c r="C423" s="1" t="s">
        <v>1623</v>
      </c>
    </row>
    <row r="424" spans="1:3" x14ac:dyDescent="0.25">
      <c r="A424" s="6" t="s">
        <v>1565</v>
      </c>
      <c r="B424" s="7" t="s">
        <v>1616</v>
      </c>
      <c r="C424" s="1" t="s">
        <v>1623</v>
      </c>
    </row>
    <row r="425" spans="1:3" x14ac:dyDescent="0.25">
      <c r="A425" s="6" t="s">
        <v>579</v>
      </c>
      <c r="B425" s="7" t="s">
        <v>1616</v>
      </c>
      <c r="C425" s="1" t="s">
        <v>1623</v>
      </c>
    </row>
    <row r="426" spans="1:3" x14ac:dyDescent="0.25">
      <c r="A426" s="6" t="s">
        <v>1566</v>
      </c>
      <c r="B426" s="7" t="s">
        <v>1616</v>
      </c>
      <c r="C426" s="1" t="s">
        <v>1623</v>
      </c>
    </row>
    <row r="427" spans="1:3" x14ac:dyDescent="0.25">
      <c r="A427" s="6" t="s">
        <v>1567</v>
      </c>
      <c r="B427" s="7" t="s">
        <v>1616</v>
      </c>
      <c r="C427" s="1" t="s">
        <v>1623</v>
      </c>
    </row>
    <row r="428" spans="1:3" x14ac:dyDescent="0.25">
      <c r="A428" s="6" t="s">
        <v>1568</v>
      </c>
      <c r="B428" s="7" t="s">
        <v>1616</v>
      </c>
      <c r="C428" s="1" t="s">
        <v>1623</v>
      </c>
    </row>
    <row r="429" spans="1:3" x14ac:dyDescent="0.25">
      <c r="A429" s="6" t="s">
        <v>1569</v>
      </c>
      <c r="B429" s="7" t="s">
        <v>1616</v>
      </c>
      <c r="C429" s="1" t="s">
        <v>1623</v>
      </c>
    </row>
    <row r="430" spans="1:3" x14ac:dyDescent="0.25">
      <c r="A430" s="6" t="s">
        <v>1110</v>
      </c>
      <c r="B430" s="7" t="s">
        <v>1616</v>
      </c>
      <c r="C430" s="1" t="s">
        <v>1623</v>
      </c>
    </row>
    <row r="431" spans="1:3" x14ac:dyDescent="0.25">
      <c r="A431" s="6" t="s">
        <v>1570</v>
      </c>
      <c r="B431" s="7" t="s">
        <v>1616</v>
      </c>
      <c r="C431" s="1" t="s">
        <v>1623</v>
      </c>
    </row>
    <row r="432" spans="1:3" x14ac:dyDescent="0.25">
      <c r="A432" s="6" t="s">
        <v>589</v>
      </c>
      <c r="B432" s="7" t="s">
        <v>1616</v>
      </c>
      <c r="C432" s="1" t="s">
        <v>1623</v>
      </c>
    </row>
    <row r="433" spans="1:3" x14ac:dyDescent="0.25">
      <c r="A433" s="6" t="s">
        <v>1571</v>
      </c>
      <c r="B433" s="7" t="s">
        <v>1616</v>
      </c>
      <c r="C433" s="1" t="s">
        <v>1623</v>
      </c>
    </row>
    <row r="434" spans="1:3" x14ac:dyDescent="0.25">
      <c r="A434" s="6" t="s">
        <v>1261</v>
      </c>
      <c r="B434" s="7" t="s">
        <v>1616</v>
      </c>
      <c r="C434" s="1" t="s">
        <v>1623</v>
      </c>
    </row>
    <row r="435" spans="1:3" x14ac:dyDescent="0.25">
      <c r="A435" s="6" t="s">
        <v>1572</v>
      </c>
      <c r="B435" s="7" t="s">
        <v>1616</v>
      </c>
      <c r="C435" s="1" t="s">
        <v>1623</v>
      </c>
    </row>
    <row r="436" spans="1:3" x14ac:dyDescent="0.25">
      <c r="A436" s="6" t="s">
        <v>552</v>
      </c>
      <c r="B436" s="7" t="s">
        <v>1616</v>
      </c>
      <c r="C436" s="1" t="s">
        <v>1621</v>
      </c>
    </row>
    <row r="437" spans="1:3" x14ac:dyDescent="0.25">
      <c r="A437" s="6" t="s">
        <v>1573</v>
      </c>
      <c r="B437" s="7" t="s">
        <v>1616</v>
      </c>
      <c r="C437" s="1" t="s">
        <v>1623</v>
      </c>
    </row>
    <row r="438" spans="1:3" x14ac:dyDescent="0.25">
      <c r="A438" s="6" t="s">
        <v>1574</v>
      </c>
      <c r="B438" s="7" t="s">
        <v>1616</v>
      </c>
      <c r="C438" s="1" t="s">
        <v>1623</v>
      </c>
    </row>
    <row r="439" spans="1:3" x14ac:dyDescent="0.25">
      <c r="A439" s="6" t="s">
        <v>1575</v>
      </c>
      <c r="B439" s="7" t="s">
        <v>1616</v>
      </c>
      <c r="C439" s="1" t="s">
        <v>1623</v>
      </c>
    </row>
    <row r="440" spans="1:3" x14ac:dyDescent="0.25">
      <c r="A440" s="6" t="s">
        <v>1576</v>
      </c>
      <c r="B440" s="7" t="s">
        <v>1616</v>
      </c>
      <c r="C440" s="1" t="s">
        <v>1623</v>
      </c>
    </row>
    <row r="441" spans="1:3" x14ac:dyDescent="0.25">
      <c r="A441" s="6" t="s">
        <v>1194</v>
      </c>
      <c r="B441" s="7" t="s">
        <v>1616</v>
      </c>
      <c r="C441" s="1" t="s">
        <v>1621</v>
      </c>
    </row>
    <row r="442" spans="1:3" x14ac:dyDescent="0.25">
      <c r="A442" s="6" t="s">
        <v>36</v>
      </c>
      <c r="B442" s="7" t="s">
        <v>1616</v>
      </c>
      <c r="C442" s="1" t="s">
        <v>1623</v>
      </c>
    </row>
    <row r="443" spans="1:3" x14ac:dyDescent="0.25">
      <c r="A443" s="6" t="s">
        <v>527</v>
      </c>
      <c r="B443" s="7" t="s">
        <v>1616</v>
      </c>
      <c r="C443" s="1" t="s">
        <v>1623</v>
      </c>
    </row>
    <row r="444" spans="1:3" x14ac:dyDescent="0.25">
      <c r="A444" s="6" t="s">
        <v>948</v>
      </c>
      <c r="B444" s="7" t="s">
        <v>1616</v>
      </c>
      <c r="C444" s="1" t="s">
        <v>1623</v>
      </c>
    </row>
    <row r="445" spans="1:3" x14ac:dyDescent="0.25">
      <c r="A445" s="6" t="s">
        <v>1577</v>
      </c>
      <c r="B445" s="7" t="s">
        <v>1616</v>
      </c>
      <c r="C445" s="1" t="s">
        <v>1623</v>
      </c>
    </row>
    <row r="446" spans="1:3" x14ac:dyDescent="0.25">
      <c r="A446" s="6" t="s">
        <v>1578</v>
      </c>
      <c r="B446" s="7" t="s">
        <v>1616</v>
      </c>
      <c r="C446" s="1" t="s">
        <v>1623</v>
      </c>
    </row>
    <row r="447" spans="1:3" x14ac:dyDescent="0.25">
      <c r="A447" s="6" t="s">
        <v>659</v>
      </c>
      <c r="B447" s="7" t="s">
        <v>1616</v>
      </c>
      <c r="C447" s="1" t="s">
        <v>1623</v>
      </c>
    </row>
    <row r="448" spans="1:3" x14ac:dyDescent="0.25">
      <c r="A448" s="6" t="s">
        <v>1579</v>
      </c>
      <c r="B448" s="7" t="s">
        <v>1616</v>
      </c>
      <c r="C448" s="1" t="s">
        <v>1623</v>
      </c>
    </row>
    <row r="449" spans="1:3" x14ac:dyDescent="0.25">
      <c r="A449" s="6" t="s">
        <v>1580</v>
      </c>
      <c r="B449" s="7" t="s">
        <v>1616</v>
      </c>
      <c r="C449" s="1" t="s">
        <v>1623</v>
      </c>
    </row>
    <row r="450" spans="1:3" x14ac:dyDescent="0.25">
      <c r="A450" s="6" t="s">
        <v>1201</v>
      </c>
      <c r="B450" s="7" t="s">
        <v>1616</v>
      </c>
      <c r="C450" s="1" t="s">
        <v>1623</v>
      </c>
    </row>
    <row r="451" spans="1:3" x14ac:dyDescent="0.25">
      <c r="A451" s="6" t="s">
        <v>1581</v>
      </c>
      <c r="B451" s="7" t="s">
        <v>1616</v>
      </c>
      <c r="C451" s="1" t="s">
        <v>1623</v>
      </c>
    </row>
    <row r="452" spans="1:3" x14ac:dyDescent="0.25">
      <c r="A452" s="6" t="s">
        <v>437</v>
      </c>
      <c r="B452" s="7" t="s">
        <v>1616</v>
      </c>
      <c r="C452" s="1" t="s">
        <v>1623</v>
      </c>
    </row>
    <row r="453" spans="1:3" x14ac:dyDescent="0.25">
      <c r="A453" s="6" t="s">
        <v>1582</v>
      </c>
      <c r="B453" s="7" t="s">
        <v>1616</v>
      </c>
      <c r="C453" s="1" t="s">
        <v>1623</v>
      </c>
    </row>
    <row r="454" spans="1:3" x14ac:dyDescent="0.25">
      <c r="A454" s="6" t="s">
        <v>566</v>
      </c>
      <c r="B454" s="7" t="s">
        <v>1616</v>
      </c>
      <c r="C454" s="1" t="s">
        <v>1623</v>
      </c>
    </row>
    <row r="455" spans="1:3" x14ac:dyDescent="0.25">
      <c r="A455" s="6" t="s">
        <v>640</v>
      </c>
      <c r="B455" s="7" t="s">
        <v>1616</v>
      </c>
      <c r="C455" s="1" t="s">
        <v>1623</v>
      </c>
    </row>
    <row r="456" spans="1:3" x14ac:dyDescent="0.25">
      <c r="A456" s="6" t="s">
        <v>242</v>
      </c>
      <c r="B456" s="7" t="s">
        <v>1616</v>
      </c>
      <c r="C456" s="1" t="s">
        <v>1623</v>
      </c>
    </row>
    <row r="457" spans="1:3" x14ac:dyDescent="0.25">
      <c r="A457" s="6" t="s">
        <v>560</v>
      </c>
      <c r="B457" s="7" t="s">
        <v>1616</v>
      </c>
      <c r="C457" s="1" t="s">
        <v>1623</v>
      </c>
    </row>
    <row r="458" spans="1:3" x14ac:dyDescent="0.25">
      <c r="A458" s="6" t="s">
        <v>1583</v>
      </c>
      <c r="B458" s="7" t="s">
        <v>1616</v>
      </c>
      <c r="C458" s="1" t="s">
        <v>1623</v>
      </c>
    </row>
    <row r="459" spans="1:3" x14ac:dyDescent="0.25">
      <c r="A459" s="6" t="s">
        <v>1584</v>
      </c>
      <c r="B459" s="7" t="s">
        <v>1616</v>
      </c>
      <c r="C459" s="1" t="s">
        <v>1623</v>
      </c>
    </row>
    <row r="460" spans="1:3" x14ac:dyDescent="0.25">
      <c r="A460" s="6" t="s">
        <v>1585</v>
      </c>
      <c r="B460" s="7" t="s">
        <v>1616</v>
      </c>
      <c r="C460" s="1" t="s">
        <v>1623</v>
      </c>
    </row>
    <row r="461" spans="1:3" x14ac:dyDescent="0.25">
      <c r="A461" s="6" t="s">
        <v>486</v>
      </c>
      <c r="B461" s="7" t="s">
        <v>1616</v>
      </c>
      <c r="C461" s="1" t="s">
        <v>1623</v>
      </c>
    </row>
    <row r="462" spans="1:3" x14ac:dyDescent="0.25">
      <c r="A462" s="6" t="s">
        <v>1586</v>
      </c>
      <c r="B462" s="7" t="s">
        <v>1616</v>
      </c>
      <c r="C462" s="1" t="s">
        <v>1623</v>
      </c>
    </row>
    <row r="463" spans="1:3" x14ac:dyDescent="0.25">
      <c r="A463" s="6" t="s">
        <v>1587</v>
      </c>
      <c r="B463" s="7" t="s">
        <v>1616</v>
      </c>
      <c r="C463" s="1" t="s">
        <v>1623</v>
      </c>
    </row>
    <row r="464" spans="1:3" x14ac:dyDescent="0.25">
      <c r="A464" s="6" t="s">
        <v>1157</v>
      </c>
      <c r="B464" s="7" t="s">
        <v>1616</v>
      </c>
      <c r="C464" s="1" t="s">
        <v>1623</v>
      </c>
    </row>
    <row r="465" spans="1:3" x14ac:dyDescent="0.25">
      <c r="A465" s="6" t="s">
        <v>1588</v>
      </c>
      <c r="B465" s="7" t="s">
        <v>1616</v>
      </c>
      <c r="C465" s="1" t="s">
        <v>1623</v>
      </c>
    </row>
    <row r="466" spans="1:3" x14ac:dyDescent="0.25">
      <c r="A466" s="6" t="s">
        <v>1589</v>
      </c>
      <c r="B466" s="7" t="s">
        <v>1616</v>
      </c>
      <c r="C466" s="1" t="s">
        <v>1623</v>
      </c>
    </row>
    <row r="467" spans="1:3" x14ac:dyDescent="0.25">
      <c r="A467" s="6" t="s">
        <v>694</v>
      </c>
      <c r="B467" s="7" t="s">
        <v>1616</v>
      </c>
      <c r="C467" s="1" t="s">
        <v>1623</v>
      </c>
    </row>
    <row r="468" spans="1:3" x14ac:dyDescent="0.25">
      <c r="A468" s="6" t="s">
        <v>1590</v>
      </c>
      <c r="B468" s="7" t="s">
        <v>1616</v>
      </c>
      <c r="C468" s="1" t="s">
        <v>1623</v>
      </c>
    </row>
    <row r="469" spans="1:3" x14ac:dyDescent="0.25">
      <c r="A469" s="6" t="s">
        <v>1591</v>
      </c>
      <c r="B469" s="7" t="s">
        <v>1616</v>
      </c>
      <c r="C469" s="1" t="s">
        <v>1623</v>
      </c>
    </row>
    <row r="470" spans="1:3" x14ac:dyDescent="0.25">
      <c r="A470" s="6" t="s">
        <v>248</v>
      </c>
      <c r="B470" s="7" t="s">
        <v>1616</v>
      </c>
      <c r="C470" s="1" t="s">
        <v>1623</v>
      </c>
    </row>
    <row r="471" spans="1:3" x14ac:dyDescent="0.25">
      <c r="A471" s="6" t="s">
        <v>62</v>
      </c>
      <c r="B471" s="7" t="s">
        <v>1616</v>
      </c>
      <c r="C471" s="1" t="s">
        <v>1623</v>
      </c>
    </row>
    <row r="472" spans="1:3" x14ac:dyDescent="0.25">
      <c r="A472" s="6" t="s">
        <v>1592</v>
      </c>
      <c r="B472" s="7" t="s">
        <v>1616</v>
      </c>
      <c r="C472" s="1" t="s">
        <v>1623</v>
      </c>
    </row>
    <row r="473" spans="1:3" x14ac:dyDescent="0.25">
      <c r="A473" s="6" t="s">
        <v>1593</v>
      </c>
      <c r="B473" s="7" t="s">
        <v>1616</v>
      </c>
      <c r="C473" s="1" t="s">
        <v>1623</v>
      </c>
    </row>
    <row r="474" spans="1:3" x14ac:dyDescent="0.25">
      <c r="A474" s="6" t="s">
        <v>1594</v>
      </c>
      <c r="B474" s="7" t="s">
        <v>1616</v>
      </c>
      <c r="C474" s="1" t="s">
        <v>1623</v>
      </c>
    </row>
    <row r="475" spans="1:3" x14ac:dyDescent="0.25">
      <c r="A475" s="6" t="s">
        <v>188</v>
      </c>
      <c r="B475" s="7" t="s">
        <v>1616</v>
      </c>
      <c r="C475" s="1" t="s">
        <v>1623</v>
      </c>
    </row>
    <row r="476" spans="1:3" x14ac:dyDescent="0.25">
      <c r="A476" s="6" t="s">
        <v>1595</v>
      </c>
      <c r="B476" s="7" t="s">
        <v>1616</v>
      </c>
      <c r="C476" s="1" t="s">
        <v>1623</v>
      </c>
    </row>
    <row r="477" spans="1:3" x14ac:dyDescent="0.25">
      <c r="A477" s="6" t="s">
        <v>1596</v>
      </c>
      <c r="B477" s="7" t="s">
        <v>1616</v>
      </c>
      <c r="C477" s="1" t="s">
        <v>1623</v>
      </c>
    </row>
    <row r="478" spans="1:3" x14ac:dyDescent="0.25">
      <c r="A478" s="6" t="s">
        <v>1597</v>
      </c>
      <c r="B478" s="7" t="s">
        <v>1616</v>
      </c>
      <c r="C478" s="1" t="s">
        <v>1623</v>
      </c>
    </row>
    <row r="479" spans="1:3" x14ac:dyDescent="0.25">
      <c r="A479" s="6" t="s">
        <v>325</v>
      </c>
      <c r="B479" s="7" t="s">
        <v>1616</v>
      </c>
      <c r="C479" s="1" t="s">
        <v>1623</v>
      </c>
    </row>
    <row r="480" spans="1:3" x14ac:dyDescent="0.25">
      <c r="A480" s="6" t="s">
        <v>280</v>
      </c>
      <c r="B480" s="7" t="s">
        <v>1616</v>
      </c>
      <c r="C480" s="1" t="s">
        <v>1623</v>
      </c>
    </row>
    <row r="481" spans="1:3" x14ac:dyDescent="0.25">
      <c r="A481" s="6" t="s">
        <v>78</v>
      </c>
      <c r="B481" s="7" t="s">
        <v>1616</v>
      </c>
      <c r="C481" s="1" t="s">
        <v>1623</v>
      </c>
    </row>
    <row r="482" spans="1:3" x14ac:dyDescent="0.25">
      <c r="A482" s="6" t="s">
        <v>1598</v>
      </c>
      <c r="B482" s="7" t="s">
        <v>1616</v>
      </c>
      <c r="C482" s="1" t="s">
        <v>1623</v>
      </c>
    </row>
    <row r="483" spans="1:3" x14ac:dyDescent="0.25">
      <c r="A483" s="6" t="s">
        <v>1599</v>
      </c>
      <c r="B483" s="7" t="s">
        <v>1616</v>
      </c>
      <c r="C483" s="1" t="s">
        <v>1623</v>
      </c>
    </row>
    <row r="484" spans="1:3" x14ac:dyDescent="0.25">
      <c r="A484" s="6" t="s">
        <v>300</v>
      </c>
      <c r="B484" s="7" t="s">
        <v>1616</v>
      </c>
      <c r="C484" s="1" t="s">
        <v>1623</v>
      </c>
    </row>
    <row r="485" spans="1:3" x14ac:dyDescent="0.25">
      <c r="A485" s="6" t="s">
        <v>1600</v>
      </c>
      <c r="B485" s="7" t="s">
        <v>1616</v>
      </c>
      <c r="C485" s="1" t="s">
        <v>1623</v>
      </c>
    </row>
    <row r="486" spans="1:3" x14ac:dyDescent="0.25">
      <c r="A486" s="6" t="s">
        <v>163</v>
      </c>
      <c r="B486" s="7" t="s">
        <v>1616</v>
      </c>
      <c r="C486" s="1" t="s">
        <v>1623</v>
      </c>
    </row>
    <row r="487" spans="1:3" x14ac:dyDescent="0.25">
      <c r="A487" s="6" t="s">
        <v>1601</v>
      </c>
      <c r="B487" s="7" t="s">
        <v>1616</v>
      </c>
      <c r="C487" s="1" t="s">
        <v>1623</v>
      </c>
    </row>
    <row r="488" spans="1:3" x14ac:dyDescent="0.25">
      <c r="A488" s="6" t="s">
        <v>1602</v>
      </c>
      <c r="B488" s="7" t="s">
        <v>1616</v>
      </c>
      <c r="C488" s="1" t="s">
        <v>1623</v>
      </c>
    </row>
    <row r="489" spans="1:3" x14ac:dyDescent="0.25">
      <c r="A489" s="6" t="s">
        <v>1603</v>
      </c>
      <c r="B489" s="7" t="s">
        <v>1616</v>
      </c>
      <c r="C489" s="1" t="s">
        <v>1623</v>
      </c>
    </row>
    <row r="490" spans="1:3" x14ac:dyDescent="0.25">
      <c r="A490" s="6" t="s">
        <v>1604</v>
      </c>
      <c r="B490" s="7" t="s">
        <v>1616</v>
      </c>
      <c r="C490" s="1" t="s">
        <v>1623</v>
      </c>
    </row>
    <row r="491" spans="1:3" x14ac:dyDescent="0.25">
      <c r="A491" s="6" t="s">
        <v>1605</v>
      </c>
      <c r="B491" s="7" t="s">
        <v>1616</v>
      </c>
      <c r="C491" s="1" t="s">
        <v>1623</v>
      </c>
    </row>
    <row r="492" spans="1:3" x14ac:dyDescent="0.25">
      <c r="A492" s="6" t="s">
        <v>505</v>
      </c>
      <c r="B492" s="7" t="s">
        <v>1616</v>
      </c>
      <c r="C492" s="1" t="s">
        <v>1623</v>
      </c>
    </row>
    <row r="493" spans="1:3" x14ac:dyDescent="0.25">
      <c r="A493" s="6" t="s">
        <v>879</v>
      </c>
      <c r="B493" s="7" t="s">
        <v>1616</v>
      </c>
      <c r="C493" s="1" t="s">
        <v>1623</v>
      </c>
    </row>
    <row r="494" spans="1:3" x14ac:dyDescent="0.25">
      <c r="A494" s="6" t="s">
        <v>124</v>
      </c>
      <c r="B494" s="7" t="s">
        <v>1616</v>
      </c>
      <c r="C494" s="1" t="s">
        <v>1623</v>
      </c>
    </row>
    <row r="495" spans="1:3" x14ac:dyDescent="0.25">
      <c r="A495" s="6" t="s">
        <v>1606</v>
      </c>
      <c r="B495" s="7" t="s">
        <v>1616</v>
      </c>
      <c r="C495" s="1" t="s">
        <v>1623</v>
      </c>
    </row>
    <row r="496" spans="1:3" x14ac:dyDescent="0.25">
      <c r="A496" s="6" t="s">
        <v>1607</v>
      </c>
      <c r="B496" s="7" t="s">
        <v>1616</v>
      </c>
      <c r="C496" s="1" t="s">
        <v>1623</v>
      </c>
    </row>
    <row r="497" spans="1:3" x14ac:dyDescent="0.25">
      <c r="A497" s="6" t="s">
        <v>423</v>
      </c>
      <c r="B497" s="7" t="s">
        <v>1616</v>
      </c>
      <c r="C497" s="1" t="s">
        <v>1623</v>
      </c>
    </row>
    <row r="498" spans="1:3" x14ac:dyDescent="0.25">
      <c r="A498" s="6" t="s">
        <v>1608</v>
      </c>
      <c r="B498" s="7" t="s">
        <v>1616</v>
      </c>
      <c r="C498" s="1" t="s">
        <v>1623</v>
      </c>
    </row>
    <row r="499" spans="1:3" x14ac:dyDescent="0.25">
      <c r="A499" s="6" t="s">
        <v>1609</v>
      </c>
      <c r="B499" s="7" t="s">
        <v>1616</v>
      </c>
      <c r="C499" s="1" t="s">
        <v>1623</v>
      </c>
    </row>
    <row r="500" spans="1:3" x14ac:dyDescent="0.25">
      <c r="A500" s="6" t="s">
        <v>1610</v>
      </c>
      <c r="B500" s="7" t="s">
        <v>1616</v>
      </c>
      <c r="C500" s="1" t="s">
        <v>1621</v>
      </c>
    </row>
    <row r="501" spans="1:3" x14ac:dyDescent="0.25">
      <c r="A501" s="6" t="s">
        <v>1611</v>
      </c>
      <c r="B501" s="7" t="s">
        <v>1616</v>
      </c>
      <c r="C501" s="1" t="s">
        <v>1623</v>
      </c>
    </row>
    <row r="502" spans="1:3" x14ac:dyDescent="0.25">
      <c r="A502" s="6" t="s">
        <v>859</v>
      </c>
      <c r="B502" s="7" t="s">
        <v>1616</v>
      </c>
      <c r="C502" s="1" t="s">
        <v>1623</v>
      </c>
    </row>
    <row r="503" spans="1:3" x14ac:dyDescent="0.25">
      <c r="A503" s="6" t="s">
        <v>1612</v>
      </c>
      <c r="B503" s="7" t="s">
        <v>1616</v>
      </c>
      <c r="C503" s="1" t="s">
        <v>1623</v>
      </c>
    </row>
    <row r="504" spans="1:3" x14ac:dyDescent="0.25">
      <c r="A504" s="6" t="s">
        <v>1613</v>
      </c>
      <c r="B504" s="7" t="s">
        <v>1616</v>
      </c>
      <c r="C504" s="1" t="s">
        <v>1623</v>
      </c>
    </row>
    <row r="505" spans="1:3" x14ac:dyDescent="0.25">
      <c r="A505" s="9" t="s">
        <v>1109</v>
      </c>
      <c r="B505" s="7" t="s">
        <v>1621</v>
      </c>
      <c r="C505" s="1" t="s">
        <v>1616</v>
      </c>
    </row>
    <row r="506" spans="1:3" x14ac:dyDescent="0.25">
      <c r="A506" s="9" t="s">
        <v>1275</v>
      </c>
      <c r="B506" s="7" t="s">
        <v>1621</v>
      </c>
      <c r="C506" s="1" t="s">
        <v>1616</v>
      </c>
    </row>
    <row r="507" spans="1:3" x14ac:dyDescent="0.25">
      <c r="A507" s="9" t="s">
        <v>1276</v>
      </c>
      <c r="B507" s="7" t="s">
        <v>1621</v>
      </c>
      <c r="C507" s="1" t="s">
        <v>1616</v>
      </c>
    </row>
    <row r="508" spans="1:3" x14ac:dyDescent="0.25">
      <c r="A508" s="9" t="s">
        <v>1277</v>
      </c>
      <c r="B508" s="7" t="s">
        <v>1621</v>
      </c>
      <c r="C508" s="1" t="s">
        <v>1616</v>
      </c>
    </row>
    <row r="509" spans="1:3" x14ac:dyDescent="0.25">
      <c r="A509" s="9" t="s">
        <v>1278</v>
      </c>
      <c r="B509" s="7" t="s">
        <v>1621</v>
      </c>
      <c r="C509" s="1" t="s">
        <v>1616</v>
      </c>
    </row>
    <row r="510" spans="1:3" x14ac:dyDescent="0.25">
      <c r="A510" s="9" t="s">
        <v>1279</v>
      </c>
      <c r="B510" s="7" t="s">
        <v>1621</v>
      </c>
      <c r="C510" s="1" t="s">
        <v>1616</v>
      </c>
    </row>
    <row r="511" spans="1:3" x14ac:dyDescent="0.25">
      <c r="A511" s="9" t="s">
        <v>1280</v>
      </c>
      <c r="B511" s="7" t="s">
        <v>1621</v>
      </c>
      <c r="C511" s="1" t="s">
        <v>1616</v>
      </c>
    </row>
    <row r="512" spans="1:3" x14ac:dyDescent="0.25">
      <c r="A512" s="9" t="s">
        <v>1281</v>
      </c>
      <c r="B512" s="7" t="s">
        <v>1621</v>
      </c>
      <c r="C512" s="1" t="s">
        <v>1616</v>
      </c>
    </row>
    <row r="513" spans="1:3" x14ac:dyDescent="0.25">
      <c r="A513" s="9" t="s">
        <v>1270</v>
      </c>
      <c r="B513" s="7" t="s">
        <v>1621</v>
      </c>
      <c r="C513" s="1" t="s">
        <v>1616</v>
      </c>
    </row>
    <row r="514" spans="1:3" x14ac:dyDescent="0.25">
      <c r="A514" s="9" t="s">
        <v>1272</v>
      </c>
      <c r="B514" s="7" t="s">
        <v>1621</v>
      </c>
      <c r="C514" s="1" t="s">
        <v>1616</v>
      </c>
    </row>
    <row r="515" spans="1:3" x14ac:dyDescent="0.25">
      <c r="A515" s="9" t="s">
        <v>1289</v>
      </c>
      <c r="B515" s="7" t="s">
        <v>1621</v>
      </c>
      <c r="C515" s="1" t="s">
        <v>1616</v>
      </c>
    </row>
    <row r="516" spans="1:3" x14ac:dyDescent="0.25">
      <c r="A516" s="9" t="s">
        <v>1293</v>
      </c>
      <c r="B516" s="7" t="s">
        <v>1621</v>
      </c>
      <c r="C516" s="1" t="s">
        <v>1616</v>
      </c>
    </row>
    <row r="517" spans="1:3" x14ac:dyDescent="0.25">
      <c r="A517" s="9" t="s">
        <v>1617</v>
      </c>
      <c r="B517" s="7" t="s">
        <v>1621</v>
      </c>
      <c r="C517" s="1" t="s">
        <v>1623</v>
      </c>
    </row>
    <row r="518" spans="1:3" x14ac:dyDescent="0.25">
      <c r="A518" s="9" t="s">
        <v>1032</v>
      </c>
      <c r="B518" s="7" t="s">
        <v>1621</v>
      </c>
      <c r="C518" s="1" t="s">
        <v>1616</v>
      </c>
    </row>
    <row r="519" spans="1:3" x14ac:dyDescent="0.25">
      <c r="A519" s="9" t="s">
        <v>1299</v>
      </c>
      <c r="B519" s="7" t="s">
        <v>1621</v>
      </c>
      <c r="C519" s="1" t="s">
        <v>1616</v>
      </c>
    </row>
    <row r="520" spans="1:3" x14ac:dyDescent="0.25">
      <c r="A520" s="9" t="s">
        <v>1262</v>
      </c>
      <c r="B520" s="7" t="s">
        <v>1621</v>
      </c>
      <c r="C520" s="1" t="s">
        <v>1616</v>
      </c>
    </row>
    <row r="521" spans="1:3" x14ac:dyDescent="0.25">
      <c r="A521" s="9" t="s">
        <v>1300</v>
      </c>
      <c r="B521" s="7" t="s">
        <v>1621</v>
      </c>
      <c r="C521" s="1" t="s">
        <v>1616</v>
      </c>
    </row>
    <row r="522" spans="1:3" x14ac:dyDescent="0.25">
      <c r="A522" s="9" t="s">
        <v>1301</v>
      </c>
      <c r="B522" s="7" t="s">
        <v>1621</v>
      </c>
      <c r="C522" s="1" t="s">
        <v>1616</v>
      </c>
    </row>
    <row r="523" spans="1:3" x14ac:dyDescent="0.25">
      <c r="A523" s="9" t="s">
        <v>900</v>
      </c>
      <c r="B523" s="7" t="s">
        <v>1621</v>
      </c>
      <c r="C523" s="1" t="s">
        <v>1623</v>
      </c>
    </row>
    <row r="524" spans="1:3" x14ac:dyDescent="0.25">
      <c r="A524" s="9" t="s">
        <v>1310</v>
      </c>
      <c r="B524" s="7" t="s">
        <v>1621</v>
      </c>
      <c r="C524" s="1" t="s">
        <v>1616</v>
      </c>
    </row>
    <row r="525" spans="1:3" x14ac:dyDescent="0.25">
      <c r="A525" s="9" t="s">
        <v>1126</v>
      </c>
      <c r="B525" s="7" t="s">
        <v>1621</v>
      </c>
      <c r="C525" s="1" t="s">
        <v>1616</v>
      </c>
    </row>
    <row r="526" spans="1:3" x14ac:dyDescent="0.25">
      <c r="A526" s="9" t="s">
        <v>1314</v>
      </c>
      <c r="B526" s="7" t="s">
        <v>1621</v>
      </c>
      <c r="C526" s="1" t="s">
        <v>1616</v>
      </c>
    </row>
    <row r="527" spans="1:3" x14ac:dyDescent="0.25">
      <c r="A527" s="9" t="s">
        <v>333</v>
      </c>
      <c r="B527" s="7" t="s">
        <v>1621</v>
      </c>
      <c r="C527" s="1" t="s">
        <v>1616</v>
      </c>
    </row>
    <row r="528" spans="1:3" x14ac:dyDescent="0.25">
      <c r="A528" s="9" t="s">
        <v>1317</v>
      </c>
      <c r="B528" s="7" t="s">
        <v>1621</v>
      </c>
      <c r="C528" s="1" t="s">
        <v>1616</v>
      </c>
    </row>
    <row r="529" spans="1:3" x14ac:dyDescent="0.25">
      <c r="A529" s="9" t="s">
        <v>1319</v>
      </c>
      <c r="B529" s="7" t="s">
        <v>1621</v>
      </c>
      <c r="C529" s="1" t="s">
        <v>1616</v>
      </c>
    </row>
    <row r="530" spans="1:3" x14ac:dyDescent="0.25">
      <c r="A530" s="9" t="s">
        <v>1114</v>
      </c>
      <c r="B530" s="7" t="s">
        <v>1621</v>
      </c>
      <c r="C530" s="1" t="s">
        <v>1623</v>
      </c>
    </row>
    <row r="531" spans="1:3" x14ac:dyDescent="0.25">
      <c r="A531" s="9" t="s">
        <v>1324</v>
      </c>
      <c r="B531" s="7" t="s">
        <v>1621</v>
      </c>
      <c r="C531" s="1" t="s">
        <v>1616</v>
      </c>
    </row>
    <row r="532" spans="1:3" x14ac:dyDescent="0.25">
      <c r="A532" s="9" t="s">
        <v>1326</v>
      </c>
      <c r="B532" s="7" t="s">
        <v>1621</v>
      </c>
      <c r="C532" s="1" t="s">
        <v>1616</v>
      </c>
    </row>
    <row r="533" spans="1:3" x14ac:dyDescent="0.25">
      <c r="A533" s="9" t="s">
        <v>352</v>
      </c>
      <c r="B533" s="7" t="s">
        <v>1621</v>
      </c>
      <c r="C533" s="1" t="s">
        <v>1623</v>
      </c>
    </row>
    <row r="534" spans="1:3" x14ac:dyDescent="0.25">
      <c r="A534" s="9" t="s">
        <v>1059</v>
      </c>
      <c r="B534" s="7" t="s">
        <v>1621</v>
      </c>
      <c r="C534" s="1" t="s">
        <v>1616</v>
      </c>
    </row>
    <row r="535" spans="1:3" x14ac:dyDescent="0.25">
      <c r="A535" s="9" t="s">
        <v>1107</v>
      </c>
      <c r="B535" s="7" t="s">
        <v>1621</v>
      </c>
      <c r="C535" s="1" t="s">
        <v>1616</v>
      </c>
    </row>
    <row r="536" spans="1:3" x14ac:dyDescent="0.25">
      <c r="A536" s="9" t="s">
        <v>1339</v>
      </c>
      <c r="B536" s="7" t="s">
        <v>1621</v>
      </c>
      <c r="C536" s="1" t="s">
        <v>1616</v>
      </c>
    </row>
    <row r="537" spans="1:3" x14ac:dyDescent="0.25">
      <c r="A537" s="9" t="s">
        <v>66</v>
      </c>
      <c r="B537" s="7" t="s">
        <v>1621</v>
      </c>
      <c r="C537" s="1" t="s">
        <v>1616</v>
      </c>
    </row>
    <row r="538" spans="1:3" x14ac:dyDescent="0.25">
      <c r="A538" s="9" t="s">
        <v>1343</v>
      </c>
      <c r="B538" s="7" t="s">
        <v>1621</v>
      </c>
      <c r="C538" s="1" t="s">
        <v>1616</v>
      </c>
    </row>
    <row r="539" spans="1:3" x14ac:dyDescent="0.25">
      <c r="A539" s="9" t="s">
        <v>350</v>
      </c>
      <c r="B539" s="7" t="s">
        <v>1621</v>
      </c>
      <c r="C539" s="1" t="s">
        <v>1616</v>
      </c>
    </row>
    <row r="540" spans="1:3" x14ac:dyDescent="0.25">
      <c r="A540" s="9" t="s">
        <v>1347</v>
      </c>
      <c r="B540" s="7" t="s">
        <v>1621</v>
      </c>
      <c r="C540" s="1" t="s">
        <v>1616</v>
      </c>
    </row>
    <row r="541" spans="1:3" x14ac:dyDescent="0.25">
      <c r="A541" s="9" t="s">
        <v>1151</v>
      </c>
      <c r="B541" s="7" t="s">
        <v>1621</v>
      </c>
      <c r="C541" s="1" t="s">
        <v>1616</v>
      </c>
    </row>
    <row r="542" spans="1:3" x14ac:dyDescent="0.25">
      <c r="A542" s="9" t="s">
        <v>1349</v>
      </c>
      <c r="B542" s="7" t="s">
        <v>1621</v>
      </c>
      <c r="C542" s="1" t="s">
        <v>1616</v>
      </c>
    </row>
    <row r="543" spans="1:3" x14ac:dyDescent="0.25">
      <c r="A543" s="9" t="s">
        <v>341</v>
      </c>
      <c r="B543" s="7" t="s">
        <v>1621</v>
      </c>
      <c r="C543" s="1" t="s">
        <v>1623</v>
      </c>
    </row>
    <row r="544" spans="1:3" x14ac:dyDescent="0.25">
      <c r="A544" s="9" t="s">
        <v>1358</v>
      </c>
      <c r="B544" s="7" t="s">
        <v>1621</v>
      </c>
      <c r="C544" s="1" t="s">
        <v>1616</v>
      </c>
    </row>
    <row r="545" spans="1:3" x14ac:dyDescent="0.25">
      <c r="A545" s="9" t="s">
        <v>1362</v>
      </c>
      <c r="B545" s="7" t="s">
        <v>1621</v>
      </c>
      <c r="C545" s="1" t="s">
        <v>1616</v>
      </c>
    </row>
    <row r="546" spans="1:3" x14ac:dyDescent="0.25">
      <c r="A546" s="9" t="s">
        <v>1364</v>
      </c>
      <c r="B546" s="7" t="s">
        <v>1621</v>
      </c>
      <c r="C546" s="1" t="s">
        <v>1616</v>
      </c>
    </row>
    <row r="547" spans="1:3" x14ac:dyDescent="0.25">
      <c r="A547" s="9" t="s">
        <v>1167</v>
      </c>
      <c r="B547" s="7" t="s">
        <v>1621</v>
      </c>
      <c r="C547" s="1" t="s">
        <v>1616</v>
      </c>
    </row>
    <row r="548" spans="1:3" x14ac:dyDescent="0.25">
      <c r="A548" s="9" t="s">
        <v>1368</v>
      </c>
      <c r="B548" s="7" t="s">
        <v>1621</v>
      </c>
      <c r="C548" s="1" t="s">
        <v>1616</v>
      </c>
    </row>
    <row r="549" spans="1:3" x14ac:dyDescent="0.25">
      <c r="A549" s="9" t="s">
        <v>652</v>
      </c>
      <c r="B549" s="7" t="s">
        <v>1621</v>
      </c>
      <c r="C549" s="1" t="s">
        <v>1616</v>
      </c>
    </row>
    <row r="550" spans="1:3" x14ac:dyDescent="0.25">
      <c r="A550" s="9" t="s">
        <v>1370</v>
      </c>
      <c r="B550" s="7" t="s">
        <v>1621</v>
      </c>
      <c r="C550" s="1" t="s">
        <v>1616</v>
      </c>
    </row>
    <row r="551" spans="1:3" x14ac:dyDescent="0.25">
      <c r="A551" s="9" t="s">
        <v>1215</v>
      </c>
      <c r="B551" s="7" t="s">
        <v>1621</v>
      </c>
      <c r="C551" s="1" t="s">
        <v>1616</v>
      </c>
    </row>
    <row r="552" spans="1:3" x14ac:dyDescent="0.25">
      <c r="A552" s="9" t="s">
        <v>1371</v>
      </c>
      <c r="B552" s="7" t="s">
        <v>1621</v>
      </c>
      <c r="C552" s="1" t="s">
        <v>1616</v>
      </c>
    </row>
    <row r="553" spans="1:3" x14ac:dyDescent="0.25">
      <c r="A553" s="9" t="s">
        <v>1376</v>
      </c>
      <c r="B553" s="7" t="s">
        <v>1621</v>
      </c>
      <c r="C553" s="1" t="s">
        <v>1616</v>
      </c>
    </row>
    <row r="554" spans="1:3" x14ac:dyDescent="0.25">
      <c r="A554" s="9" t="s">
        <v>48</v>
      </c>
      <c r="B554" s="7" t="s">
        <v>1621</v>
      </c>
      <c r="C554" s="1" t="s">
        <v>1616</v>
      </c>
    </row>
    <row r="555" spans="1:3" x14ac:dyDescent="0.25">
      <c r="A555" s="9" t="s">
        <v>1191</v>
      </c>
      <c r="B555" s="7" t="s">
        <v>1621</v>
      </c>
      <c r="C555" s="1" t="s">
        <v>1623</v>
      </c>
    </row>
    <row r="556" spans="1:3" x14ac:dyDescent="0.25">
      <c r="A556" s="9" t="s">
        <v>43</v>
      </c>
      <c r="B556" s="7" t="s">
        <v>1621</v>
      </c>
      <c r="C556" s="1" t="s">
        <v>1616</v>
      </c>
    </row>
    <row r="557" spans="1:3" x14ac:dyDescent="0.25">
      <c r="A557" s="9" t="s">
        <v>1618</v>
      </c>
      <c r="B557" s="7" t="s">
        <v>1621</v>
      </c>
      <c r="C557" s="1" t="s">
        <v>1623</v>
      </c>
    </row>
    <row r="558" spans="1:3" x14ac:dyDescent="0.25">
      <c r="A558" s="9" t="s">
        <v>712</v>
      </c>
      <c r="B558" s="7" t="s">
        <v>1621</v>
      </c>
      <c r="C558" s="1" t="s">
        <v>1616</v>
      </c>
    </row>
    <row r="559" spans="1:3" x14ac:dyDescent="0.25">
      <c r="A559" s="9" t="s">
        <v>1385</v>
      </c>
      <c r="B559" s="7" t="s">
        <v>1621</v>
      </c>
      <c r="C559" s="1" t="s">
        <v>1616</v>
      </c>
    </row>
    <row r="560" spans="1:3" x14ac:dyDescent="0.25">
      <c r="A560" s="9" t="s">
        <v>1163</v>
      </c>
      <c r="B560" s="7" t="s">
        <v>1621</v>
      </c>
      <c r="C560" s="1" t="s">
        <v>1623</v>
      </c>
    </row>
    <row r="561" spans="1:3" x14ac:dyDescent="0.25">
      <c r="A561" s="9" t="s">
        <v>1387</v>
      </c>
      <c r="B561" s="7" t="s">
        <v>1621</v>
      </c>
      <c r="C561" s="1" t="s">
        <v>1616</v>
      </c>
    </row>
    <row r="562" spans="1:3" x14ac:dyDescent="0.25">
      <c r="A562" s="9" t="s">
        <v>1161</v>
      </c>
      <c r="B562" s="7" t="s">
        <v>1621</v>
      </c>
      <c r="C562" s="1" t="s">
        <v>1616</v>
      </c>
    </row>
    <row r="563" spans="1:3" x14ac:dyDescent="0.25">
      <c r="A563" s="9" t="s">
        <v>1619</v>
      </c>
      <c r="B563" s="7" t="s">
        <v>1621</v>
      </c>
      <c r="C563" s="1" t="s">
        <v>1623</v>
      </c>
    </row>
    <row r="564" spans="1:3" x14ac:dyDescent="0.25">
      <c r="A564" s="9" t="s">
        <v>19</v>
      </c>
      <c r="B564" s="7" t="s">
        <v>1621</v>
      </c>
      <c r="C564" s="1" t="s">
        <v>1616</v>
      </c>
    </row>
    <row r="565" spans="1:3" x14ac:dyDescent="0.25">
      <c r="A565" s="9" t="s">
        <v>671</v>
      </c>
      <c r="B565" s="7" t="s">
        <v>1621</v>
      </c>
      <c r="C565" s="1" t="s">
        <v>1623</v>
      </c>
    </row>
    <row r="566" spans="1:3" x14ac:dyDescent="0.25">
      <c r="A566" s="9" t="s">
        <v>1401</v>
      </c>
      <c r="B566" s="7" t="s">
        <v>1621</v>
      </c>
      <c r="C566" s="1" t="s">
        <v>1616</v>
      </c>
    </row>
    <row r="567" spans="1:3" x14ac:dyDescent="0.25">
      <c r="A567" s="9" t="s">
        <v>1405</v>
      </c>
      <c r="B567" s="7" t="s">
        <v>1621</v>
      </c>
      <c r="C567" s="1" t="s">
        <v>1616</v>
      </c>
    </row>
    <row r="568" spans="1:3" x14ac:dyDescent="0.25">
      <c r="A568" s="9" t="s">
        <v>120</v>
      </c>
      <c r="B568" s="7" t="s">
        <v>1621</v>
      </c>
      <c r="C568" s="1" t="s">
        <v>1616</v>
      </c>
    </row>
    <row r="569" spans="1:3" x14ac:dyDescent="0.25">
      <c r="A569" s="9" t="s">
        <v>1131</v>
      </c>
      <c r="B569" s="7" t="s">
        <v>1621</v>
      </c>
      <c r="C569" s="1" t="s">
        <v>1616</v>
      </c>
    </row>
    <row r="570" spans="1:3" x14ac:dyDescent="0.25">
      <c r="A570" s="9" t="s">
        <v>75</v>
      </c>
      <c r="B570" s="7" t="s">
        <v>1621</v>
      </c>
      <c r="C570" s="1" t="s">
        <v>1616</v>
      </c>
    </row>
    <row r="571" spans="1:3" x14ac:dyDescent="0.25">
      <c r="A571" s="9" t="s">
        <v>775</v>
      </c>
      <c r="B571" s="7" t="s">
        <v>1621</v>
      </c>
      <c r="C571" s="1" t="s">
        <v>1616</v>
      </c>
    </row>
    <row r="572" spans="1:3" x14ac:dyDescent="0.25">
      <c r="A572" s="9" t="s">
        <v>290</v>
      </c>
      <c r="B572" s="7" t="s">
        <v>1621</v>
      </c>
      <c r="C572" s="1" t="s">
        <v>1616</v>
      </c>
    </row>
    <row r="573" spans="1:3" x14ac:dyDescent="0.25">
      <c r="A573" s="9" t="s">
        <v>1414</v>
      </c>
      <c r="B573" s="7" t="s">
        <v>1621</v>
      </c>
      <c r="C573" s="1" t="s">
        <v>1616</v>
      </c>
    </row>
    <row r="574" spans="1:3" x14ac:dyDescent="0.25">
      <c r="A574" s="9" t="s">
        <v>1417</v>
      </c>
      <c r="B574" s="7" t="s">
        <v>1621</v>
      </c>
      <c r="C574" s="1" t="s">
        <v>1616</v>
      </c>
    </row>
    <row r="575" spans="1:3" x14ac:dyDescent="0.25">
      <c r="A575" s="9" t="s">
        <v>606</v>
      </c>
      <c r="B575" s="7" t="s">
        <v>1621</v>
      </c>
      <c r="C575" s="1" t="s">
        <v>1623</v>
      </c>
    </row>
    <row r="576" spans="1:3" x14ac:dyDescent="0.25">
      <c r="A576" s="9" t="s">
        <v>1130</v>
      </c>
      <c r="B576" s="7" t="s">
        <v>1621</v>
      </c>
      <c r="C576" s="1" t="s">
        <v>1616</v>
      </c>
    </row>
    <row r="577" spans="1:3" x14ac:dyDescent="0.25">
      <c r="A577" s="9" t="s">
        <v>1422</v>
      </c>
      <c r="B577" s="7" t="s">
        <v>1621</v>
      </c>
      <c r="C577" s="1" t="s">
        <v>1616</v>
      </c>
    </row>
    <row r="578" spans="1:3" x14ac:dyDescent="0.25">
      <c r="A578" s="9" t="s">
        <v>1430</v>
      </c>
      <c r="B578" s="7" t="s">
        <v>1621</v>
      </c>
      <c r="C578" s="1" t="s">
        <v>1616</v>
      </c>
    </row>
    <row r="579" spans="1:3" x14ac:dyDescent="0.25">
      <c r="A579" s="9" t="s">
        <v>1431</v>
      </c>
      <c r="B579" s="7" t="s">
        <v>1621</v>
      </c>
      <c r="C579" s="1" t="s">
        <v>1616</v>
      </c>
    </row>
    <row r="580" spans="1:3" x14ac:dyDescent="0.25">
      <c r="A580" s="9" t="s">
        <v>1434</v>
      </c>
      <c r="B580" s="7" t="s">
        <v>1621</v>
      </c>
      <c r="C580" s="1" t="s">
        <v>1616</v>
      </c>
    </row>
    <row r="581" spans="1:3" x14ac:dyDescent="0.25">
      <c r="A581" s="9" t="s">
        <v>1440</v>
      </c>
      <c r="B581" s="7" t="s">
        <v>1621</v>
      </c>
      <c r="C581" s="1" t="s">
        <v>1616</v>
      </c>
    </row>
    <row r="582" spans="1:3" x14ac:dyDescent="0.25">
      <c r="A582" s="9" t="s">
        <v>1441</v>
      </c>
      <c r="B582" s="7" t="s">
        <v>1621</v>
      </c>
      <c r="C582" s="1" t="s">
        <v>1616</v>
      </c>
    </row>
    <row r="583" spans="1:3" x14ac:dyDescent="0.25">
      <c r="A583" s="9" t="s">
        <v>1445</v>
      </c>
      <c r="B583" s="7" t="s">
        <v>1621</v>
      </c>
      <c r="C583" s="1" t="s">
        <v>1616</v>
      </c>
    </row>
    <row r="584" spans="1:3" x14ac:dyDescent="0.25">
      <c r="A584" s="9" t="s">
        <v>1446</v>
      </c>
      <c r="B584" s="7" t="s">
        <v>1621</v>
      </c>
      <c r="C584" s="1" t="s">
        <v>1616</v>
      </c>
    </row>
    <row r="585" spans="1:3" x14ac:dyDescent="0.25">
      <c r="A585" s="9" t="s">
        <v>1447</v>
      </c>
      <c r="B585" s="7" t="s">
        <v>1621</v>
      </c>
      <c r="C585" s="1" t="s">
        <v>1616</v>
      </c>
    </row>
    <row r="586" spans="1:3" x14ac:dyDescent="0.25">
      <c r="A586" s="9" t="s">
        <v>1242</v>
      </c>
      <c r="B586" s="7" t="s">
        <v>1621</v>
      </c>
      <c r="C586" s="1" t="s">
        <v>1616</v>
      </c>
    </row>
    <row r="587" spans="1:3" x14ac:dyDescent="0.25">
      <c r="A587" s="9" t="s">
        <v>1448</v>
      </c>
      <c r="B587" s="7" t="s">
        <v>1621</v>
      </c>
      <c r="C587" s="1" t="s">
        <v>1616</v>
      </c>
    </row>
    <row r="588" spans="1:3" x14ac:dyDescent="0.25">
      <c r="A588" s="9" t="s">
        <v>1620</v>
      </c>
      <c r="B588" s="7" t="s">
        <v>1621</v>
      </c>
      <c r="C588" s="1" t="s">
        <v>1623</v>
      </c>
    </row>
    <row r="589" spans="1:3" x14ac:dyDescent="0.25">
      <c r="A589" s="9" t="s">
        <v>245</v>
      </c>
      <c r="B589" s="7" t="s">
        <v>1621</v>
      </c>
      <c r="C589" s="1" t="s">
        <v>1616</v>
      </c>
    </row>
    <row r="590" spans="1:3" x14ac:dyDescent="0.25">
      <c r="A590" s="9" t="s">
        <v>1463</v>
      </c>
      <c r="B590" s="7" t="s">
        <v>1621</v>
      </c>
      <c r="C590" s="1" t="s">
        <v>1616</v>
      </c>
    </row>
    <row r="591" spans="1:3" x14ac:dyDescent="0.25">
      <c r="A591" s="9" t="s">
        <v>378</v>
      </c>
      <c r="B591" s="7" t="s">
        <v>1621</v>
      </c>
      <c r="C591" s="1" t="s">
        <v>1616</v>
      </c>
    </row>
    <row r="592" spans="1:3" x14ac:dyDescent="0.25">
      <c r="A592" s="9" t="s">
        <v>1473</v>
      </c>
      <c r="B592" s="7" t="s">
        <v>1621</v>
      </c>
      <c r="C592" s="1" t="s">
        <v>1616</v>
      </c>
    </row>
    <row r="593" spans="1:3" x14ac:dyDescent="0.25">
      <c r="A593" s="9" t="s">
        <v>1177</v>
      </c>
      <c r="B593" s="7" t="s">
        <v>1621</v>
      </c>
      <c r="C593" s="1" t="s">
        <v>1623</v>
      </c>
    </row>
    <row r="594" spans="1:3" x14ac:dyDescent="0.25">
      <c r="A594" s="9" t="s">
        <v>480</v>
      </c>
      <c r="B594" s="7" t="s">
        <v>1621</v>
      </c>
      <c r="C594" s="1" t="s">
        <v>1616</v>
      </c>
    </row>
    <row r="595" spans="1:3" x14ac:dyDescent="0.25">
      <c r="A595" s="9" t="s">
        <v>1479</v>
      </c>
      <c r="B595" s="7" t="s">
        <v>1621</v>
      </c>
      <c r="C595" s="1" t="s">
        <v>1616</v>
      </c>
    </row>
    <row r="596" spans="1:3" x14ac:dyDescent="0.25">
      <c r="A596" s="9" t="s">
        <v>1485</v>
      </c>
      <c r="B596" s="7" t="s">
        <v>1621</v>
      </c>
      <c r="C596" s="1" t="s">
        <v>1616</v>
      </c>
    </row>
    <row r="597" spans="1:3" x14ac:dyDescent="0.25">
      <c r="A597" s="9" t="s">
        <v>517</v>
      </c>
      <c r="B597" s="7" t="s">
        <v>1621</v>
      </c>
      <c r="C597" s="1" t="s">
        <v>1616</v>
      </c>
    </row>
    <row r="598" spans="1:3" x14ac:dyDescent="0.25">
      <c r="A598" s="9" t="s">
        <v>1512</v>
      </c>
      <c r="B598" s="7" t="s">
        <v>1621</v>
      </c>
      <c r="C598" s="1" t="s">
        <v>1616</v>
      </c>
    </row>
    <row r="599" spans="1:3" x14ac:dyDescent="0.25">
      <c r="A599" s="9" t="s">
        <v>190</v>
      </c>
      <c r="B599" s="7" t="s">
        <v>1621</v>
      </c>
      <c r="C599" s="1" t="s">
        <v>1623</v>
      </c>
    </row>
    <row r="600" spans="1:3" x14ac:dyDescent="0.25">
      <c r="A600" s="9" t="s">
        <v>1514</v>
      </c>
      <c r="B600" s="7" t="s">
        <v>1621</v>
      </c>
      <c r="C600" s="1" t="s">
        <v>1616</v>
      </c>
    </row>
    <row r="601" spans="1:3" x14ac:dyDescent="0.25">
      <c r="A601" s="9" t="s">
        <v>113</v>
      </c>
      <c r="B601" s="7" t="s">
        <v>1621</v>
      </c>
      <c r="C601" s="1" t="s">
        <v>1623</v>
      </c>
    </row>
    <row r="602" spans="1:3" x14ac:dyDescent="0.25">
      <c r="A602" s="9" t="s">
        <v>1245</v>
      </c>
      <c r="B602" s="7" t="s">
        <v>1621</v>
      </c>
      <c r="C602" s="1" t="s">
        <v>1623</v>
      </c>
    </row>
    <row r="603" spans="1:3" x14ac:dyDescent="0.25">
      <c r="A603" s="9" t="s">
        <v>552</v>
      </c>
      <c r="B603" s="7" t="s">
        <v>1621</v>
      </c>
      <c r="C603" s="1" t="s">
        <v>1616</v>
      </c>
    </row>
    <row r="604" spans="1:3" x14ac:dyDescent="0.25">
      <c r="A604" s="9" t="s">
        <v>1194</v>
      </c>
      <c r="B604" s="7" t="s">
        <v>1621</v>
      </c>
      <c r="C604" s="1" t="s">
        <v>1616</v>
      </c>
    </row>
    <row r="605" spans="1:3" x14ac:dyDescent="0.25">
      <c r="A605" s="9" t="s">
        <v>1610</v>
      </c>
      <c r="B605" s="7" t="s">
        <v>1621</v>
      </c>
      <c r="C605" s="1" t="s">
        <v>1616</v>
      </c>
    </row>
    <row r="606" spans="1:3" x14ac:dyDescent="0.25">
      <c r="A606" s="10" t="s">
        <v>1624</v>
      </c>
      <c r="B606" s="7" t="s">
        <v>2337</v>
      </c>
    </row>
    <row r="607" spans="1:3" x14ac:dyDescent="0.25">
      <c r="A607" s="10" t="s">
        <v>1625</v>
      </c>
      <c r="B607" s="7" t="s">
        <v>2337</v>
      </c>
    </row>
    <row r="608" spans="1:3" x14ac:dyDescent="0.25">
      <c r="A608" s="10" t="s">
        <v>1626</v>
      </c>
      <c r="B608" s="7" t="s">
        <v>2337</v>
      </c>
    </row>
    <row r="609" spans="1:2" x14ac:dyDescent="0.25">
      <c r="A609" s="10" t="s">
        <v>218</v>
      </c>
      <c r="B609" s="7" t="s">
        <v>2337</v>
      </c>
    </row>
    <row r="610" spans="1:2" x14ac:dyDescent="0.25">
      <c r="A610" s="10" t="s">
        <v>1627</v>
      </c>
      <c r="B610" s="7" t="s">
        <v>2337</v>
      </c>
    </row>
    <row r="611" spans="1:2" x14ac:dyDescent="0.25">
      <c r="A611" s="10" t="s">
        <v>1628</v>
      </c>
      <c r="B611" s="7" t="s">
        <v>2337</v>
      </c>
    </row>
    <row r="612" spans="1:2" x14ac:dyDescent="0.25">
      <c r="A612" s="10" t="s">
        <v>138</v>
      </c>
      <c r="B612" s="7" t="s">
        <v>2337</v>
      </c>
    </row>
    <row r="613" spans="1:2" x14ac:dyDescent="0.25">
      <c r="A613" s="10" t="s">
        <v>830</v>
      </c>
      <c r="B613" s="7" t="s">
        <v>2337</v>
      </c>
    </row>
    <row r="614" spans="1:2" x14ac:dyDescent="0.25">
      <c r="A614" s="10" t="s">
        <v>1629</v>
      </c>
      <c r="B614" s="7" t="s">
        <v>2337</v>
      </c>
    </row>
    <row r="615" spans="1:2" x14ac:dyDescent="0.25">
      <c r="A615" s="10" t="s">
        <v>1246</v>
      </c>
      <c r="B615" s="7" t="s">
        <v>2337</v>
      </c>
    </row>
    <row r="616" spans="1:2" x14ac:dyDescent="0.25">
      <c r="A616" s="10" t="s">
        <v>349</v>
      </c>
      <c r="B616" s="7" t="s">
        <v>2337</v>
      </c>
    </row>
    <row r="617" spans="1:2" x14ac:dyDescent="0.25">
      <c r="A617" s="10" t="s">
        <v>1630</v>
      </c>
      <c r="B617" s="7" t="s">
        <v>2337</v>
      </c>
    </row>
    <row r="618" spans="1:2" x14ac:dyDescent="0.25">
      <c r="A618" s="10" t="s">
        <v>1631</v>
      </c>
      <c r="B618" s="7" t="s">
        <v>2337</v>
      </c>
    </row>
    <row r="619" spans="1:2" x14ac:dyDescent="0.25">
      <c r="A619" s="10" t="s">
        <v>219</v>
      </c>
      <c r="B619" s="7" t="s">
        <v>2337</v>
      </c>
    </row>
    <row r="620" spans="1:2" x14ac:dyDescent="0.25">
      <c r="A620" s="10" t="s">
        <v>1632</v>
      </c>
      <c r="B620" s="7" t="s">
        <v>2337</v>
      </c>
    </row>
    <row r="621" spans="1:2" x14ac:dyDescent="0.25">
      <c r="A621" s="10" t="s">
        <v>1633</v>
      </c>
      <c r="B621" s="7" t="s">
        <v>2337</v>
      </c>
    </row>
    <row r="622" spans="1:2" x14ac:dyDescent="0.25">
      <c r="A622" s="10" t="s">
        <v>293</v>
      </c>
      <c r="B622" s="7" t="s">
        <v>2337</v>
      </c>
    </row>
    <row r="623" spans="1:2" x14ac:dyDescent="0.25">
      <c r="A623" s="10" t="s">
        <v>1634</v>
      </c>
      <c r="B623" s="7" t="s">
        <v>2337</v>
      </c>
    </row>
    <row r="624" spans="1:2" x14ac:dyDescent="0.25">
      <c r="A624" s="10" t="s">
        <v>12</v>
      </c>
      <c r="B624" s="7" t="s">
        <v>2337</v>
      </c>
    </row>
    <row r="625" spans="1:2" x14ac:dyDescent="0.25">
      <c r="A625" s="10" t="s">
        <v>1635</v>
      </c>
      <c r="B625" s="7" t="s">
        <v>2337</v>
      </c>
    </row>
    <row r="626" spans="1:2" x14ac:dyDescent="0.25">
      <c r="A626" s="10" t="s">
        <v>1149</v>
      </c>
      <c r="B626" s="7" t="s">
        <v>2337</v>
      </c>
    </row>
    <row r="627" spans="1:2" x14ac:dyDescent="0.25">
      <c r="A627" s="10" t="s">
        <v>988</v>
      </c>
      <c r="B627" s="7" t="s">
        <v>2337</v>
      </c>
    </row>
    <row r="628" spans="1:2" x14ac:dyDescent="0.25">
      <c r="A628" s="10" t="s">
        <v>96</v>
      </c>
      <c r="B628" s="7" t="s">
        <v>2337</v>
      </c>
    </row>
    <row r="629" spans="1:2" x14ac:dyDescent="0.25">
      <c r="A629" s="10" t="s">
        <v>1636</v>
      </c>
      <c r="B629" s="7" t="s">
        <v>2337</v>
      </c>
    </row>
    <row r="630" spans="1:2" x14ac:dyDescent="0.25">
      <c r="A630" s="10" t="s">
        <v>1637</v>
      </c>
      <c r="B630" s="7" t="s">
        <v>2337</v>
      </c>
    </row>
    <row r="631" spans="1:2" x14ac:dyDescent="0.25">
      <c r="A631" s="10" t="s">
        <v>1638</v>
      </c>
      <c r="B631" s="7" t="s">
        <v>2337</v>
      </c>
    </row>
    <row r="632" spans="1:2" x14ac:dyDescent="0.25">
      <c r="A632" s="10" t="s">
        <v>1639</v>
      </c>
      <c r="B632" s="7" t="s">
        <v>2337</v>
      </c>
    </row>
    <row r="633" spans="1:2" x14ac:dyDescent="0.25">
      <c r="A633" s="10" t="s">
        <v>1640</v>
      </c>
      <c r="B633" s="7" t="s">
        <v>2337</v>
      </c>
    </row>
    <row r="634" spans="1:2" x14ac:dyDescent="0.25">
      <c r="A634" s="10" t="s">
        <v>1641</v>
      </c>
      <c r="B634" s="7" t="s">
        <v>2337</v>
      </c>
    </row>
    <row r="635" spans="1:2" x14ac:dyDescent="0.25">
      <c r="A635" s="10" t="s">
        <v>1642</v>
      </c>
      <c r="B635" s="7" t="s">
        <v>2337</v>
      </c>
    </row>
    <row r="636" spans="1:2" x14ac:dyDescent="0.25">
      <c r="A636" s="10" t="s">
        <v>150</v>
      </c>
      <c r="B636" s="7" t="s">
        <v>2337</v>
      </c>
    </row>
    <row r="637" spans="1:2" x14ac:dyDescent="0.25">
      <c r="A637" s="10" t="s">
        <v>1643</v>
      </c>
      <c r="B637" s="7" t="s">
        <v>2337</v>
      </c>
    </row>
    <row r="638" spans="1:2" x14ac:dyDescent="0.25">
      <c r="A638" s="10" t="s">
        <v>1644</v>
      </c>
      <c r="B638" s="7" t="s">
        <v>2337</v>
      </c>
    </row>
    <row r="639" spans="1:2" x14ac:dyDescent="0.25">
      <c r="A639" s="10" t="s">
        <v>1645</v>
      </c>
      <c r="B639" s="7" t="s">
        <v>2337</v>
      </c>
    </row>
    <row r="640" spans="1:2" x14ac:dyDescent="0.25">
      <c r="A640" s="10" t="s">
        <v>1646</v>
      </c>
      <c r="B640" s="7" t="s">
        <v>2337</v>
      </c>
    </row>
    <row r="641" spans="1:2" x14ac:dyDescent="0.25">
      <c r="A641" s="10" t="s">
        <v>432</v>
      </c>
      <c r="B641" s="7" t="s">
        <v>2337</v>
      </c>
    </row>
    <row r="642" spans="1:2" x14ac:dyDescent="0.25">
      <c r="A642" s="10" t="s">
        <v>1647</v>
      </c>
      <c r="B642" s="7" t="s">
        <v>2337</v>
      </c>
    </row>
    <row r="643" spans="1:2" x14ac:dyDescent="0.25">
      <c r="A643" s="10" t="s">
        <v>1648</v>
      </c>
      <c r="B643" s="7" t="s">
        <v>2337</v>
      </c>
    </row>
    <row r="644" spans="1:2" x14ac:dyDescent="0.25">
      <c r="A644" s="10" t="s">
        <v>1649</v>
      </c>
      <c r="B644" s="7" t="s">
        <v>2337</v>
      </c>
    </row>
    <row r="645" spans="1:2" x14ac:dyDescent="0.25">
      <c r="A645" s="10" t="s">
        <v>1650</v>
      </c>
      <c r="B645" s="7" t="s">
        <v>2337</v>
      </c>
    </row>
    <row r="646" spans="1:2" x14ac:dyDescent="0.25">
      <c r="A646" s="10" t="s">
        <v>1651</v>
      </c>
      <c r="B646" s="7" t="s">
        <v>2337</v>
      </c>
    </row>
    <row r="647" spans="1:2" x14ac:dyDescent="0.25">
      <c r="A647" s="10" t="s">
        <v>1652</v>
      </c>
      <c r="B647" s="7" t="s">
        <v>2337</v>
      </c>
    </row>
    <row r="648" spans="1:2" x14ac:dyDescent="0.25">
      <c r="A648" s="10" t="s">
        <v>1653</v>
      </c>
      <c r="B648" s="7" t="s">
        <v>2337</v>
      </c>
    </row>
    <row r="649" spans="1:2" x14ac:dyDescent="0.25">
      <c r="A649" s="10" t="s">
        <v>1654</v>
      </c>
      <c r="B649" s="7" t="s">
        <v>2337</v>
      </c>
    </row>
    <row r="650" spans="1:2" x14ac:dyDescent="0.25">
      <c r="A650" s="10" t="s">
        <v>1655</v>
      </c>
      <c r="B650" s="7" t="s">
        <v>2337</v>
      </c>
    </row>
    <row r="651" spans="1:2" x14ac:dyDescent="0.25">
      <c r="A651" s="10" t="s">
        <v>1656</v>
      </c>
      <c r="B651" s="7" t="s">
        <v>2337</v>
      </c>
    </row>
    <row r="652" spans="1:2" x14ac:dyDescent="0.25">
      <c r="A652" s="10" t="s">
        <v>15</v>
      </c>
      <c r="B652" s="7" t="s">
        <v>2337</v>
      </c>
    </row>
    <row r="653" spans="1:2" x14ac:dyDescent="0.25">
      <c r="A653" s="10" t="s">
        <v>1657</v>
      </c>
      <c r="B653" s="7" t="s">
        <v>2337</v>
      </c>
    </row>
    <row r="654" spans="1:2" x14ac:dyDescent="0.25">
      <c r="A654" s="10" t="s">
        <v>184</v>
      </c>
      <c r="B654" s="7" t="s">
        <v>2337</v>
      </c>
    </row>
    <row r="655" spans="1:2" x14ac:dyDescent="0.25">
      <c r="A655" s="10" t="s">
        <v>479</v>
      </c>
      <c r="B655" s="7" t="s">
        <v>2337</v>
      </c>
    </row>
    <row r="656" spans="1:2" x14ac:dyDescent="0.25">
      <c r="A656" s="10" t="s">
        <v>1658</v>
      </c>
      <c r="B656" s="7" t="s">
        <v>2337</v>
      </c>
    </row>
    <row r="657" spans="1:2" x14ac:dyDescent="0.25">
      <c r="A657" s="10" t="s">
        <v>156</v>
      </c>
      <c r="B657" s="7" t="s">
        <v>2337</v>
      </c>
    </row>
    <row r="658" spans="1:2" x14ac:dyDescent="0.25">
      <c r="A658" s="10" t="s">
        <v>1659</v>
      </c>
      <c r="B658" s="7" t="s">
        <v>2337</v>
      </c>
    </row>
    <row r="659" spans="1:2" x14ac:dyDescent="0.25">
      <c r="A659" s="10" t="s">
        <v>1660</v>
      </c>
      <c r="B659" s="7" t="s">
        <v>2337</v>
      </c>
    </row>
    <row r="660" spans="1:2" x14ac:dyDescent="0.25">
      <c r="A660" s="10" t="s">
        <v>1661</v>
      </c>
      <c r="B660" s="7" t="s">
        <v>2337</v>
      </c>
    </row>
    <row r="661" spans="1:2" x14ac:dyDescent="0.25">
      <c r="A661" s="10" t="s">
        <v>398</v>
      </c>
      <c r="B661" s="7" t="s">
        <v>2337</v>
      </c>
    </row>
    <row r="662" spans="1:2" x14ac:dyDescent="0.25">
      <c r="A662" s="10" t="s">
        <v>1662</v>
      </c>
      <c r="B662" s="7" t="s">
        <v>2337</v>
      </c>
    </row>
    <row r="663" spans="1:2" x14ac:dyDescent="0.25">
      <c r="A663" s="10" t="s">
        <v>328</v>
      </c>
      <c r="B663" s="7" t="s">
        <v>2337</v>
      </c>
    </row>
    <row r="664" spans="1:2" x14ac:dyDescent="0.25">
      <c r="A664" s="10" t="s">
        <v>532</v>
      </c>
      <c r="B664" s="7" t="s">
        <v>2337</v>
      </c>
    </row>
    <row r="665" spans="1:2" x14ac:dyDescent="0.25">
      <c r="A665" s="10" t="s">
        <v>331</v>
      </c>
      <c r="B665" s="7" t="s">
        <v>2337</v>
      </c>
    </row>
    <row r="666" spans="1:2" x14ac:dyDescent="0.25">
      <c r="A666" s="10" t="s">
        <v>1100</v>
      </c>
      <c r="B666" s="7" t="s">
        <v>2337</v>
      </c>
    </row>
    <row r="667" spans="1:2" x14ac:dyDescent="0.25">
      <c r="A667" s="10" t="s">
        <v>1663</v>
      </c>
      <c r="B667" s="7" t="s">
        <v>2337</v>
      </c>
    </row>
    <row r="668" spans="1:2" x14ac:dyDescent="0.25">
      <c r="A668" s="10" t="s">
        <v>1664</v>
      </c>
      <c r="B668" s="7" t="s">
        <v>2337</v>
      </c>
    </row>
    <row r="669" spans="1:2" x14ac:dyDescent="0.25">
      <c r="A669" s="10" t="s">
        <v>1665</v>
      </c>
      <c r="B669" s="7" t="s">
        <v>2337</v>
      </c>
    </row>
    <row r="670" spans="1:2" x14ac:dyDescent="0.25">
      <c r="A670" s="10" t="s">
        <v>1666</v>
      </c>
      <c r="B670" s="7" t="s">
        <v>2337</v>
      </c>
    </row>
    <row r="671" spans="1:2" x14ac:dyDescent="0.25">
      <c r="A671" s="10" t="s">
        <v>1178</v>
      </c>
      <c r="B671" s="7" t="s">
        <v>2337</v>
      </c>
    </row>
    <row r="672" spans="1:2" x14ac:dyDescent="0.25">
      <c r="A672" s="10" t="s">
        <v>754</v>
      </c>
      <c r="B672" s="7" t="s">
        <v>2337</v>
      </c>
    </row>
    <row r="673" spans="1:2" x14ac:dyDescent="0.25">
      <c r="A673" s="10" t="s">
        <v>1667</v>
      </c>
      <c r="B673" s="7" t="s">
        <v>2337</v>
      </c>
    </row>
    <row r="674" spans="1:2" x14ac:dyDescent="0.25">
      <c r="A674" s="10" t="s">
        <v>1668</v>
      </c>
      <c r="B674" s="7" t="s">
        <v>2337</v>
      </c>
    </row>
    <row r="675" spans="1:2" x14ac:dyDescent="0.25">
      <c r="A675" s="10" t="s">
        <v>1669</v>
      </c>
      <c r="B675" s="7" t="s">
        <v>2337</v>
      </c>
    </row>
    <row r="676" spans="1:2" x14ac:dyDescent="0.25">
      <c r="A676" s="10" t="s">
        <v>49</v>
      </c>
      <c r="B676" s="7" t="s">
        <v>2337</v>
      </c>
    </row>
    <row r="677" spans="1:2" x14ac:dyDescent="0.25">
      <c r="A677" s="10" t="s">
        <v>405</v>
      </c>
      <c r="B677" s="7" t="s">
        <v>2337</v>
      </c>
    </row>
    <row r="678" spans="1:2" x14ac:dyDescent="0.25">
      <c r="A678" s="10" t="s">
        <v>1670</v>
      </c>
      <c r="B678" s="7" t="s">
        <v>2337</v>
      </c>
    </row>
    <row r="679" spans="1:2" x14ac:dyDescent="0.25">
      <c r="A679" s="10" t="s">
        <v>730</v>
      </c>
      <c r="B679" s="7" t="s">
        <v>2337</v>
      </c>
    </row>
    <row r="680" spans="1:2" x14ac:dyDescent="0.25">
      <c r="A680" s="10" t="s">
        <v>1671</v>
      </c>
      <c r="B680" s="7" t="s">
        <v>2337</v>
      </c>
    </row>
    <row r="681" spans="1:2" x14ac:dyDescent="0.25">
      <c r="A681" s="10" t="s">
        <v>118</v>
      </c>
      <c r="B681" s="7" t="s">
        <v>2337</v>
      </c>
    </row>
    <row r="682" spans="1:2" x14ac:dyDescent="0.25">
      <c r="A682" s="10" t="s">
        <v>1672</v>
      </c>
      <c r="B682" s="7" t="s">
        <v>2337</v>
      </c>
    </row>
    <row r="683" spans="1:2" x14ac:dyDescent="0.25">
      <c r="A683" s="10" t="s">
        <v>291</v>
      </c>
      <c r="B683" s="7" t="s">
        <v>2337</v>
      </c>
    </row>
    <row r="684" spans="1:2" x14ac:dyDescent="0.25">
      <c r="A684" s="10" t="s">
        <v>441</v>
      </c>
      <c r="B684" s="7" t="s">
        <v>2337</v>
      </c>
    </row>
    <row r="685" spans="1:2" x14ac:dyDescent="0.25">
      <c r="A685" s="10" t="s">
        <v>1673</v>
      </c>
      <c r="B685" s="7" t="s">
        <v>2337</v>
      </c>
    </row>
    <row r="686" spans="1:2" x14ac:dyDescent="0.25">
      <c r="A686" s="10" t="s">
        <v>1674</v>
      </c>
      <c r="B686" s="7" t="s">
        <v>2337</v>
      </c>
    </row>
    <row r="687" spans="1:2" x14ac:dyDescent="0.25">
      <c r="A687" s="10" t="s">
        <v>967</v>
      </c>
      <c r="B687" s="7" t="s">
        <v>2337</v>
      </c>
    </row>
    <row r="688" spans="1:2" x14ac:dyDescent="0.25">
      <c r="A688" s="10" t="s">
        <v>1675</v>
      </c>
      <c r="B688" s="7" t="s">
        <v>2337</v>
      </c>
    </row>
    <row r="689" spans="1:2" x14ac:dyDescent="0.25">
      <c r="A689" s="10" t="s">
        <v>1676</v>
      </c>
      <c r="B689" s="7" t="s">
        <v>2337</v>
      </c>
    </row>
    <row r="690" spans="1:2" x14ac:dyDescent="0.25">
      <c r="A690" s="10" t="s">
        <v>1677</v>
      </c>
      <c r="B690" s="7" t="s">
        <v>2337</v>
      </c>
    </row>
    <row r="691" spans="1:2" x14ac:dyDescent="0.25">
      <c r="A691" s="10" t="s">
        <v>866</v>
      </c>
      <c r="B691" s="7" t="s">
        <v>2337</v>
      </c>
    </row>
    <row r="692" spans="1:2" x14ac:dyDescent="0.25">
      <c r="A692" s="10" t="s">
        <v>1678</v>
      </c>
      <c r="B692" s="7" t="s">
        <v>2337</v>
      </c>
    </row>
    <row r="693" spans="1:2" x14ac:dyDescent="0.25">
      <c r="A693" s="10" t="s">
        <v>1679</v>
      </c>
      <c r="B693" s="7" t="s">
        <v>2337</v>
      </c>
    </row>
    <row r="694" spans="1:2" x14ac:dyDescent="0.25">
      <c r="A694" s="10" t="s">
        <v>1680</v>
      </c>
      <c r="B694" s="7" t="s">
        <v>2337</v>
      </c>
    </row>
    <row r="695" spans="1:2" x14ac:dyDescent="0.25">
      <c r="A695" s="10" t="s">
        <v>233</v>
      </c>
      <c r="B695" s="7" t="s">
        <v>2337</v>
      </c>
    </row>
    <row r="696" spans="1:2" x14ac:dyDescent="0.25">
      <c r="A696" s="10" t="s">
        <v>1681</v>
      </c>
      <c r="B696" s="7" t="s">
        <v>2337</v>
      </c>
    </row>
    <row r="697" spans="1:2" x14ac:dyDescent="0.25">
      <c r="A697" s="10" t="s">
        <v>1682</v>
      </c>
      <c r="B697" s="7" t="s">
        <v>2337</v>
      </c>
    </row>
    <row r="698" spans="1:2" x14ac:dyDescent="0.25">
      <c r="A698" s="10" t="s">
        <v>287</v>
      </c>
      <c r="B698" s="7" t="s">
        <v>2337</v>
      </c>
    </row>
    <row r="699" spans="1:2" x14ac:dyDescent="0.25">
      <c r="A699" s="10" t="s">
        <v>1683</v>
      </c>
      <c r="B699" s="7" t="s">
        <v>2337</v>
      </c>
    </row>
    <row r="700" spans="1:2" x14ac:dyDescent="0.25">
      <c r="A700" s="10" t="s">
        <v>1216</v>
      </c>
      <c r="B700" s="7" t="s">
        <v>2337</v>
      </c>
    </row>
    <row r="701" spans="1:2" x14ac:dyDescent="0.25">
      <c r="A701" s="10" t="s">
        <v>1684</v>
      </c>
      <c r="B701" s="7" t="s">
        <v>2337</v>
      </c>
    </row>
    <row r="702" spans="1:2" x14ac:dyDescent="0.25">
      <c r="A702" s="10" t="s">
        <v>483</v>
      </c>
      <c r="B702" s="7" t="s">
        <v>2337</v>
      </c>
    </row>
    <row r="703" spans="1:2" x14ac:dyDescent="0.25">
      <c r="A703" s="10" t="s">
        <v>1685</v>
      </c>
      <c r="B703" s="7" t="s">
        <v>2337</v>
      </c>
    </row>
    <row r="704" spans="1:2" x14ac:dyDescent="0.25">
      <c r="A704" s="10" t="s">
        <v>1686</v>
      </c>
      <c r="B704" s="7" t="s">
        <v>2337</v>
      </c>
    </row>
    <row r="705" spans="1:2" x14ac:dyDescent="0.25">
      <c r="A705" s="10" t="s">
        <v>1687</v>
      </c>
      <c r="B705" s="7" t="s">
        <v>2337</v>
      </c>
    </row>
    <row r="706" spans="1:2" x14ac:dyDescent="0.25">
      <c r="A706" s="10" t="s">
        <v>1688</v>
      </c>
      <c r="B706" s="7" t="s">
        <v>2337</v>
      </c>
    </row>
    <row r="707" spans="1:2" x14ac:dyDescent="0.25">
      <c r="A707" s="10" t="s">
        <v>629</v>
      </c>
      <c r="B707" s="7" t="s">
        <v>2337</v>
      </c>
    </row>
    <row r="708" spans="1:2" x14ac:dyDescent="0.25">
      <c r="A708" s="10" t="s">
        <v>1112</v>
      </c>
      <c r="B708" s="7" t="s">
        <v>2337</v>
      </c>
    </row>
    <row r="709" spans="1:2" x14ac:dyDescent="0.25">
      <c r="A709" s="10" t="s">
        <v>1689</v>
      </c>
      <c r="B709" s="7" t="s">
        <v>2337</v>
      </c>
    </row>
    <row r="710" spans="1:2" x14ac:dyDescent="0.25">
      <c r="A710" s="10" t="s">
        <v>1690</v>
      </c>
      <c r="B710" s="7" t="s">
        <v>2337</v>
      </c>
    </row>
    <row r="711" spans="1:2" x14ac:dyDescent="0.25">
      <c r="A711" s="10" t="s">
        <v>316</v>
      </c>
      <c r="B711" s="7" t="s">
        <v>2337</v>
      </c>
    </row>
    <row r="712" spans="1:2" x14ac:dyDescent="0.25">
      <c r="A712" s="10" t="s">
        <v>1142</v>
      </c>
      <c r="B712" s="7" t="s">
        <v>2337</v>
      </c>
    </row>
    <row r="713" spans="1:2" x14ac:dyDescent="0.25">
      <c r="A713" s="10" t="s">
        <v>973</v>
      </c>
      <c r="B713" s="7" t="s">
        <v>2337</v>
      </c>
    </row>
    <row r="714" spans="1:2" x14ac:dyDescent="0.25">
      <c r="A714" s="10" t="s">
        <v>1691</v>
      </c>
      <c r="B714" s="7" t="s">
        <v>2337</v>
      </c>
    </row>
    <row r="715" spans="1:2" x14ac:dyDescent="0.25">
      <c r="A715" s="10" t="s">
        <v>1692</v>
      </c>
      <c r="B715" s="7" t="s">
        <v>2337</v>
      </c>
    </row>
    <row r="716" spans="1:2" x14ac:dyDescent="0.25">
      <c r="A716" s="10" t="s">
        <v>1693</v>
      </c>
      <c r="B716" s="7" t="s">
        <v>2337</v>
      </c>
    </row>
    <row r="717" spans="1:2" x14ac:dyDescent="0.25">
      <c r="A717" s="10" t="s">
        <v>1694</v>
      </c>
      <c r="B717" s="7" t="s">
        <v>2337</v>
      </c>
    </row>
    <row r="718" spans="1:2" x14ac:dyDescent="0.25">
      <c r="A718" s="10" t="s">
        <v>1695</v>
      </c>
      <c r="B718" s="7" t="s">
        <v>2337</v>
      </c>
    </row>
    <row r="719" spans="1:2" x14ac:dyDescent="0.25">
      <c r="A719" s="10" t="s">
        <v>544</v>
      </c>
      <c r="B719" s="7" t="s">
        <v>2337</v>
      </c>
    </row>
    <row r="720" spans="1:2" x14ac:dyDescent="0.25">
      <c r="A720" s="10" t="s">
        <v>1696</v>
      </c>
      <c r="B720" s="7" t="s">
        <v>2337</v>
      </c>
    </row>
    <row r="721" spans="1:2" x14ac:dyDescent="0.25">
      <c r="A721" s="10" t="s">
        <v>1697</v>
      </c>
      <c r="B721" s="7" t="s">
        <v>2337</v>
      </c>
    </row>
    <row r="722" spans="1:2" x14ac:dyDescent="0.25">
      <c r="A722" s="10" t="s">
        <v>1698</v>
      </c>
      <c r="B722" s="7" t="s">
        <v>2337</v>
      </c>
    </row>
    <row r="723" spans="1:2" x14ac:dyDescent="0.25">
      <c r="A723" s="10" t="s">
        <v>1699</v>
      </c>
      <c r="B723" s="7" t="s">
        <v>2337</v>
      </c>
    </row>
    <row r="724" spans="1:2" x14ac:dyDescent="0.25">
      <c r="A724" s="10" t="s">
        <v>809</v>
      </c>
      <c r="B724" s="7" t="s">
        <v>2337</v>
      </c>
    </row>
    <row r="725" spans="1:2" x14ac:dyDescent="0.25">
      <c r="A725" s="10" t="s">
        <v>1187</v>
      </c>
      <c r="B725" s="7" t="s">
        <v>2337</v>
      </c>
    </row>
    <row r="726" spans="1:2" x14ac:dyDescent="0.25">
      <c r="A726" s="10" t="s">
        <v>692</v>
      </c>
      <c r="B726" s="7" t="s">
        <v>2337</v>
      </c>
    </row>
    <row r="727" spans="1:2" x14ac:dyDescent="0.25">
      <c r="A727" s="10" t="s">
        <v>1700</v>
      </c>
      <c r="B727" s="7" t="s">
        <v>2337</v>
      </c>
    </row>
    <row r="728" spans="1:2" x14ac:dyDescent="0.25">
      <c r="A728" s="10" t="s">
        <v>759</v>
      </c>
      <c r="B728" s="7" t="s">
        <v>2337</v>
      </c>
    </row>
    <row r="729" spans="1:2" x14ac:dyDescent="0.25">
      <c r="A729" s="10" t="s">
        <v>1701</v>
      </c>
      <c r="B729" s="7" t="s">
        <v>2337</v>
      </c>
    </row>
    <row r="730" spans="1:2" x14ac:dyDescent="0.25">
      <c r="A730" s="10" t="s">
        <v>264</v>
      </c>
      <c r="B730" s="7" t="s">
        <v>2337</v>
      </c>
    </row>
    <row r="731" spans="1:2" x14ac:dyDescent="0.25">
      <c r="A731" s="10" t="s">
        <v>1702</v>
      </c>
      <c r="B731" s="7" t="s">
        <v>2337</v>
      </c>
    </row>
    <row r="732" spans="1:2" x14ac:dyDescent="0.25">
      <c r="A732" s="10" t="s">
        <v>452</v>
      </c>
      <c r="B732" s="7" t="s">
        <v>2337</v>
      </c>
    </row>
    <row r="733" spans="1:2" x14ac:dyDescent="0.25">
      <c r="A733" s="10" t="s">
        <v>1703</v>
      </c>
      <c r="B733" s="7" t="s">
        <v>2337</v>
      </c>
    </row>
    <row r="734" spans="1:2" x14ac:dyDescent="0.25">
      <c r="A734" s="10" t="s">
        <v>1704</v>
      </c>
      <c r="B734" s="7" t="s">
        <v>2337</v>
      </c>
    </row>
    <row r="735" spans="1:2" x14ac:dyDescent="0.25">
      <c r="A735" s="10" t="s">
        <v>133</v>
      </c>
      <c r="B735" s="7" t="s">
        <v>2337</v>
      </c>
    </row>
    <row r="736" spans="1:2" x14ac:dyDescent="0.25">
      <c r="A736" s="10" t="s">
        <v>1705</v>
      </c>
      <c r="B736" s="7" t="s">
        <v>2337</v>
      </c>
    </row>
    <row r="737" spans="1:2" x14ac:dyDescent="0.25">
      <c r="A737" s="10" t="s">
        <v>1706</v>
      </c>
      <c r="B737" s="7" t="s">
        <v>2337</v>
      </c>
    </row>
    <row r="738" spans="1:2" x14ac:dyDescent="0.25">
      <c r="A738" s="10" t="s">
        <v>1707</v>
      </c>
      <c r="B738" s="7" t="s">
        <v>2337</v>
      </c>
    </row>
    <row r="739" spans="1:2" x14ac:dyDescent="0.25">
      <c r="A739" s="10" t="s">
        <v>108</v>
      </c>
      <c r="B739" s="7" t="s">
        <v>2337</v>
      </c>
    </row>
    <row r="740" spans="1:2" x14ac:dyDescent="0.25">
      <c r="A740" s="10" t="s">
        <v>61</v>
      </c>
      <c r="B740" s="7" t="s">
        <v>2337</v>
      </c>
    </row>
    <row r="741" spans="1:2" x14ac:dyDescent="0.25">
      <c r="A741" s="10" t="s">
        <v>1708</v>
      </c>
      <c r="B741" s="7" t="s">
        <v>2337</v>
      </c>
    </row>
    <row r="742" spans="1:2" x14ac:dyDescent="0.25">
      <c r="A742" s="10" t="s">
        <v>430</v>
      </c>
      <c r="B742" s="7" t="s">
        <v>2337</v>
      </c>
    </row>
    <row r="743" spans="1:2" x14ac:dyDescent="0.25">
      <c r="A743" s="10" t="s">
        <v>1709</v>
      </c>
      <c r="B743" s="7" t="s">
        <v>2337</v>
      </c>
    </row>
    <row r="744" spans="1:2" x14ac:dyDescent="0.25">
      <c r="A744" s="10" t="s">
        <v>1710</v>
      </c>
      <c r="B744" s="7" t="s">
        <v>2337</v>
      </c>
    </row>
    <row r="745" spans="1:2" x14ac:dyDescent="0.25">
      <c r="A745" s="10" t="s">
        <v>1711</v>
      </c>
      <c r="B745" s="7" t="s">
        <v>2337</v>
      </c>
    </row>
    <row r="746" spans="1:2" x14ac:dyDescent="0.25">
      <c r="A746" s="10" t="s">
        <v>439</v>
      </c>
      <c r="B746" s="7" t="s">
        <v>2337</v>
      </c>
    </row>
    <row r="747" spans="1:2" x14ac:dyDescent="0.25">
      <c r="A747" s="10" t="s">
        <v>269</v>
      </c>
      <c r="B747" s="7" t="s">
        <v>2337</v>
      </c>
    </row>
    <row r="748" spans="1:2" x14ac:dyDescent="0.25">
      <c r="A748" s="10" t="s">
        <v>128</v>
      </c>
      <c r="B748" s="7" t="s">
        <v>2337</v>
      </c>
    </row>
    <row r="749" spans="1:2" x14ac:dyDescent="0.25">
      <c r="A749" s="10" t="s">
        <v>1712</v>
      </c>
      <c r="B749" s="7" t="s">
        <v>2337</v>
      </c>
    </row>
    <row r="750" spans="1:2" x14ac:dyDescent="0.25">
      <c r="A750" s="10" t="s">
        <v>10</v>
      </c>
      <c r="B750" s="7" t="s">
        <v>2337</v>
      </c>
    </row>
    <row r="751" spans="1:2" x14ac:dyDescent="0.25">
      <c r="A751" s="10" t="s">
        <v>1713</v>
      </c>
      <c r="B751" s="7" t="s">
        <v>2337</v>
      </c>
    </row>
    <row r="752" spans="1:2" x14ac:dyDescent="0.25">
      <c r="A752" s="10" t="s">
        <v>268</v>
      </c>
      <c r="B752" s="7" t="s">
        <v>2337</v>
      </c>
    </row>
    <row r="753" spans="1:2" x14ac:dyDescent="0.25">
      <c r="A753" s="10" t="s">
        <v>1714</v>
      </c>
      <c r="B753" s="7" t="s">
        <v>2337</v>
      </c>
    </row>
    <row r="754" spans="1:2" x14ac:dyDescent="0.25">
      <c r="A754" s="10" t="s">
        <v>522</v>
      </c>
      <c r="B754" s="7" t="s">
        <v>2337</v>
      </c>
    </row>
    <row r="755" spans="1:2" x14ac:dyDescent="0.25">
      <c r="A755" s="10" t="s">
        <v>55</v>
      </c>
      <c r="B755" s="7" t="s">
        <v>2337</v>
      </c>
    </row>
    <row r="756" spans="1:2" x14ac:dyDescent="0.25">
      <c r="A756" s="10" t="s">
        <v>50</v>
      </c>
      <c r="B756" s="7" t="s">
        <v>2337</v>
      </c>
    </row>
    <row r="757" spans="1:2" x14ac:dyDescent="0.25">
      <c r="A757" s="10" t="s">
        <v>1715</v>
      </c>
      <c r="B757" s="7" t="s">
        <v>2337</v>
      </c>
    </row>
    <row r="758" spans="1:2" x14ac:dyDescent="0.25">
      <c r="A758" s="10" t="s">
        <v>1716</v>
      </c>
      <c r="B758" s="7" t="s">
        <v>2337</v>
      </c>
    </row>
    <row r="759" spans="1:2" x14ac:dyDescent="0.25">
      <c r="A759" s="10" t="s">
        <v>72</v>
      </c>
      <c r="B759" s="7" t="s">
        <v>2337</v>
      </c>
    </row>
    <row r="760" spans="1:2" x14ac:dyDescent="0.25">
      <c r="A760" s="10" t="s">
        <v>1717</v>
      </c>
      <c r="B760" s="7" t="s">
        <v>2337</v>
      </c>
    </row>
    <row r="761" spans="1:2" x14ac:dyDescent="0.25">
      <c r="A761" s="10" t="s">
        <v>725</v>
      </c>
      <c r="B761" s="7" t="s">
        <v>2337</v>
      </c>
    </row>
    <row r="762" spans="1:2" x14ac:dyDescent="0.25">
      <c r="A762" s="10" t="s">
        <v>886</v>
      </c>
      <c r="B762" s="7" t="s">
        <v>2337</v>
      </c>
    </row>
    <row r="763" spans="1:2" x14ac:dyDescent="0.25">
      <c r="A763" s="10" t="s">
        <v>1718</v>
      </c>
      <c r="B763" s="7" t="s">
        <v>2337</v>
      </c>
    </row>
    <row r="764" spans="1:2" x14ac:dyDescent="0.25">
      <c r="A764" s="10" t="s">
        <v>1719</v>
      </c>
      <c r="B764" s="7" t="s">
        <v>2337</v>
      </c>
    </row>
    <row r="765" spans="1:2" x14ac:dyDescent="0.25">
      <c r="A765" s="10" t="s">
        <v>1720</v>
      </c>
      <c r="B765" s="7" t="s">
        <v>2337</v>
      </c>
    </row>
    <row r="766" spans="1:2" x14ac:dyDescent="0.25">
      <c r="A766" s="10" t="s">
        <v>308</v>
      </c>
      <c r="B766" s="7" t="s">
        <v>2337</v>
      </c>
    </row>
    <row r="767" spans="1:2" x14ac:dyDescent="0.25">
      <c r="A767" s="10" t="s">
        <v>1721</v>
      </c>
      <c r="B767" s="7" t="s">
        <v>2337</v>
      </c>
    </row>
    <row r="768" spans="1:2" x14ac:dyDescent="0.25">
      <c r="A768" s="10" t="s">
        <v>876</v>
      </c>
      <c r="B768" s="7" t="s">
        <v>2337</v>
      </c>
    </row>
    <row r="769" spans="1:2" x14ac:dyDescent="0.25">
      <c r="A769" s="10" t="s">
        <v>541</v>
      </c>
      <c r="B769" s="7" t="s">
        <v>2337</v>
      </c>
    </row>
    <row r="770" spans="1:2" x14ac:dyDescent="0.25">
      <c r="A770" s="10" t="s">
        <v>257</v>
      </c>
      <c r="B770" s="7" t="s">
        <v>2337</v>
      </c>
    </row>
    <row r="771" spans="1:2" x14ac:dyDescent="0.25">
      <c r="A771" s="10" t="s">
        <v>1722</v>
      </c>
      <c r="B771" s="7" t="s">
        <v>2337</v>
      </c>
    </row>
    <row r="772" spans="1:2" x14ac:dyDescent="0.25">
      <c r="A772" s="10" t="s">
        <v>1723</v>
      </c>
      <c r="B772" s="7" t="s">
        <v>2337</v>
      </c>
    </row>
    <row r="773" spans="1:2" x14ac:dyDescent="0.25">
      <c r="A773" s="10" t="s">
        <v>1228</v>
      </c>
      <c r="B773" s="7" t="s">
        <v>2337</v>
      </c>
    </row>
    <row r="774" spans="1:2" x14ac:dyDescent="0.25">
      <c r="A774" s="10" t="s">
        <v>1724</v>
      </c>
      <c r="B774" s="7" t="s">
        <v>2337</v>
      </c>
    </row>
    <row r="775" spans="1:2" x14ac:dyDescent="0.25">
      <c r="A775" s="10" t="s">
        <v>1218</v>
      </c>
      <c r="B775" s="7" t="s">
        <v>2337</v>
      </c>
    </row>
    <row r="776" spans="1:2" x14ac:dyDescent="0.25">
      <c r="A776" s="10" t="s">
        <v>1725</v>
      </c>
      <c r="B776" s="7" t="s">
        <v>2337</v>
      </c>
    </row>
    <row r="777" spans="1:2" x14ac:dyDescent="0.25">
      <c r="A777" s="10" t="s">
        <v>1115</v>
      </c>
      <c r="B777" s="7" t="s">
        <v>2337</v>
      </c>
    </row>
    <row r="778" spans="1:2" x14ac:dyDescent="0.25">
      <c r="A778" s="10" t="s">
        <v>1196</v>
      </c>
      <c r="B778" s="7" t="s">
        <v>2337</v>
      </c>
    </row>
    <row r="779" spans="1:2" x14ac:dyDescent="0.25">
      <c r="A779" s="10" t="s">
        <v>1726</v>
      </c>
      <c r="B779" s="7" t="s">
        <v>2337</v>
      </c>
    </row>
    <row r="780" spans="1:2" x14ac:dyDescent="0.25">
      <c r="A780" s="10" t="s">
        <v>259</v>
      </c>
      <c r="B780" s="7" t="s">
        <v>2337</v>
      </c>
    </row>
    <row r="781" spans="1:2" x14ac:dyDescent="0.25">
      <c r="A781" s="10" t="s">
        <v>1727</v>
      </c>
      <c r="B781" s="7" t="s">
        <v>2337</v>
      </c>
    </row>
    <row r="782" spans="1:2" x14ac:dyDescent="0.25">
      <c r="A782" s="10" t="s">
        <v>647</v>
      </c>
      <c r="B782" s="7" t="s">
        <v>2337</v>
      </c>
    </row>
    <row r="783" spans="1:2" x14ac:dyDescent="0.25">
      <c r="A783" s="10" t="s">
        <v>1728</v>
      </c>
      <c r="B783" s="7" t="s">
        <v>2337</v>
      </c>
    </row>
    <row r="784" spans="1:2" x14ac:dyDescent="0.25">
      <c r="A784" s="10" t="s">
        <v>1729</v>
      </c>
      <c r="B784" s="7" t="s">
        <v>2337</v>
      </c>
    </row>
    <row r="785" spans="1:2" x14ac:dyDescent="0.25">
      <c r="A785" s="10" t="s">
        <v>872</v>
      </c>
      <c r="B785" s="7" t="s">
        <v>2337</v>
      </c>
    </row>
    <row r="786" spans="1:2" x14ac:dyDescent="0.25">
      <c r="A786" s="10" t="s">
        <v>358</v>
      </c>
      <c r="B786" s="7" t="s">
        <v>2337</v>
      </c>
    </row>
    <row r="787" spans="1:2" x14ac:dyDescent="0.25">
      <c r="A787" s="10" t="s">
        <v>1730</v>
      </c>
      <c r="B787" s="7" t="s">
        <v>2337</v>
      </c>
    </row>
    <row r="788" spans="1:2" x14ac:dyDescent="0.25">
      <c r="A788" s="10" t="s">
        <v>1103</v>
      </c>
      <c r="B788" s="7" t="s">
        <v>2337</v>
      </c>
    </row>
    <row r="789" spans="1:2" x14ac:dyDescent="0.25">
      <c r="A789" s="10" t="s">
        <v>1731</v>
      </c>
      <c r="B789" s="7" t="s">
        <v>2337</v>
      </c>
    </row>
    <row r="790" spans="1:2" x14ac:dyDescent="0.25">
      <c r="A790" s="10" t="s">
        <v>1732</v>
      </c>
      <c r="B790" s="7" t="s">
        <v>2337</v>
      </c>
    </row>
    <row r="791" spans="1:2" x14ac:dyDescent="0.25">
      <c r="A791" s="10" t="s">
        <v>1733</v>
      </c>
      <c r="B791" s="7" t="s">
        <v>2337</v>
      </c>
    </row>
    <row r="792" spans="1:2" x14ac:dyDescent="0.25">
      <c r="A792" s="10" t="s">
        <v>377</v>
      </c>
      <c r="B792" s="7" t="s">
        <v>2337</v>
      </c>
    </row>
    <row r="793" spans="1:2" x14ac:dyDescent="0.25">
      <c r="A793" s="10" t="s">
        <v>720</v>
      </c>
      <c r="B793" s="7" t="s">
        <v>2337</v>
      </c>
    </row>
    <row r="794" spans="1:2" x14ac:dyDescent="0.25">
      <c r="A794" s="10" t="s">
        <v>326</v>
      </c>
      <c r="B794" s="7" t="s">
        <v>2337</v>
      </c>
    </row>
    <row r="795" spans="1:2" x14ac:dyDescent="0.25">
      <c r="A795" s="10" t="s">
        <v>1734</v>
      </c>
      <c r="B795" s="7" t="s">
        <v>2337</v>
      </c>
    </row>
    <row r="796" spans="1:2" x14ac:dyDescent="0.25">
      <c r="A796" s="10" t="s">
        <v>498</v>
      </c>
      <c r="B796" s="7" t="s">
        <v>2337</v>
      </c>
    </row>
    <row r="797" spans="1:2" x14ac:dyDescent="0.25">
      <c r="A797" s="10" t="s">
        <v>1735</v>
      </c>
      <c r="B797" s="7" t="s">
        <v>2337</v>
      </c>
    </row>
    <row r="798" spans="1:2" x14ac:dyDescent="0.25">
      <c r="A798" s="10" t="s">
        <v>1065</v>
      </c>
      <c r="B798" s="7" t="s">
        <v>2337</v>
      </c>
    </row>
    <row r="799" spans="1:2" x14ac:dyDescent="0.25">
      <c r="A799" s="10" t="s">
        <v>654</v>
      </c>
      <c r="B799" s="7" t="s">
        <v>2337</v>
      </c>
    </row>
    <row r="800" spans="1:2" x14ac:dyDescent="0.25">
      <c r="A800" s="10" t="s">
        <v>459</v>
      </c>
      <c r="B800" s="7" t="s">
        <v>2337</v>
      </c>
    </row>
    <row r="801" spans="1:2" x14ac:dyDescent="0.25">
      <c r="A801" s="10" t="s">
        <v>1736</v>
      </c>
      <c r="B801" s="7" t="s">
        <v>2337</v>
      </c>
    </row>
    <row r="802" spans="1:2" x14ac:dyDescent="0.25">
      <c r="A802" s="10" t="s">
        <v>179</v>
      </c>
      <c r="B802" s="7" t="s">
        <v>2337</v>
      </c>
    </row>
    <row r="803" spans="1:2" x14ac:dyDescent="0.25">
      <c r="A803" s="10" t="s">
        <v>1737</v>
      </c>
      <c r="B803" s="7" t="s">
        <v>2337</v>
      </c>
    </row>
    <row r="804" spans="1:2" x14ac:dyDescent="0.25">
      <c r="A804" s="10" t="s">
        <v>717</v>
      </c>
      <c r="B804" s="7" t="s">
        <v>2337</v>
      </c>
    </row>
    <row r="805" spans="1:2" x14ac:dyDescent="0.25">
      <c r="A805" s="10" t="s">
        <v>529</v>
      </c>
      <c r="B805" s="7" t="s">
        <v>2337</v>
      </c>
    </row>
    <row r="806" spans="1:2" x14ac:dyDescent="0.25">
      <c r="A806" s="10" t="s">
        <v>649</v>
      </c>
      <c r="B806" s="7" t="s">
        <v>2337</v>
      </c>
    </row>
    <row r="807" spans="1:2" x14ac:dyDescent="0.25">
      <c r="A807" s="10" t="s">
        <v>1738</v>
      </c>
      <c r="B807" s="7" t="s">
        <v>2337</v>
      </c>
    </row>
    <row r="808" spans="1:2" x14ac:dyDescent="0.25">
      <c r="A808" s="10" t="s">
        <v>1739</v>
      </c>
      <c r="B808" s="7" t="s">
        <v>2337</v>
      </c>
    </row>
    <row r="809" spans="1:2" x14ac:dyDescent="0.25">
      <c r="A809" s="10" t="s">
        <v>1740</v>
      </c>
      <c r="B809" s="7" t="s">
        <v>2337</v>
      </c>
    </row>
    <row r="810" spans="1:2" x14ac:dyDescent="0.25">
      <c r="A810" s="10" t="s">
        <v>1741</v>
      </c>
      <c r="B810" s="7" t="s">
        <v>2337</v>
      </c>
    </row>
    <row r="811" spans="1:2" x14ac:dyDescent="0.25">
      <c r="A811" s="10" t="s">
        <v>178</v>
      </c>
      <c r="B811" s="7" t="s">
        <v>2337</v>
      </c>
    </row>
    <row r="812" spans="1:2" x14ac:dyDescent="0.25">
      <c r="A812" s="10" t="s">
        <v>971</v>
      </c>
      <c r="B812" s="7" t="s">
        <v>2337</v>
      </c>
    </row>
    <row r="813" spans="1:2" x14ac:dyDescent="0.25">
      <c r="A813" s="10" t="s">
        <v>129</v>
      </c>
      <c r="B813" s="7" t="s">
        <v>2337</v>
      </c>
    </row>
    <row r="814" spans="1:2" x14ac:dyDescent="0.25">
      <c r="A814" s="10" t="s">
        <v>543</v>
      </c>
      <c r="B814" s="7" t="s">
        <v>2337</v>
      </c>
    </row>
    <row r="815" spans="1:2" x14ac:dyDescent="0.25">
      <c r="A815" s="10" t="s">
        <v>386</v>
      </c>
      <c r="B815" s="7" t="s">
        <v>2337</v>
      </c>
    </row>
    <row r="816" spans="1:2" x14ac:dyDescent="0.25">
      <c r="A816" s="10" t="s">
        <v>837</v>
      </c>
      <c r="B816" s="7" t="s">
        <v>2337</v>
      </c>
    </row>
    <row r="817" spans="1:2" x14ac:dyDescent="0.25">
      <c r="A817" s="10" t="s">
        <v>1269</v>
      </c>
      <c r="B817" s="7" t="s">
        <v>2337</v>
      </c>
    </row>
    <row r="818" spans="1:2" x14ac:dyDescent="0.25">
      <c r="A818" s="10" t="s">
        <v>535</v>
      </c>
      <c r="B818" s="7" t="s">
        <v>2337</v>
      </c>
    </row>
    <row r="819" spans="1:2" x14ac:dyDescent="0.25">
      <c r="A819" s="10" t="s">
        <v>533</v>
      </c>
      <c r="B819" s="7" t="s">
        <v>2337</v>
      </c>
    </row>
    <row r="820" spans="1:2" x14ac:dyDescent="0.25">
      <c r="A820" s="10" t="s">
        <v>1742</v>
      </c>
      <c r="B820" s="7" t="s">
        <v>2337</v>
      </c>
    </row>
    <row r="821" spans="1:2" x14ac:dyDescent="0.25">
      <c r="A821" s="10" t="s">
        <v>1743</v>
      </c>
      <c r="B821" s="7" t="s">
        <v>2337</v>
      </c>
    </row>
    <row r="822" spans="1:2" x14ac:dyDescent="0.25">
      <c r="A822" s="10" t="s">
        <v>1744</v>
      </c>
      <c r="B822" s="7" t="s">
        <v>2337</v>
      </c>
    </row>
    <row r="823" spans="1:2" x14ac:dyDescent="0.25">
      <c r="A823" s="10" t="s">
        <v>578</v>
      </c>
      <c r="B823" s="7" t="s">
        <v>2337</v>
      </c>
    </row>
    <row r="824" spans="1:2" x14ac:dyDescent="0.25">
      <c r="A824" s="10" t="s">
        <v>1745</v>
      </c>
      <c r="B824" s="7" t="s">
        <v>2337</v>
      </c>
    </row>
    <row r="825" spans="1:2" x14ac:dyDescent="0.25">
      <c r="A825" s="10" t="s">
        <v>1746</v>
      </c>
      <c r="B825" s="7" t="s">
        <v>2337</v>
      </c>
    </row>
    <row r="826" spans="1:2" x14ac:dyDescent="0.25">
      <c r="A826" s="10" t="s">
        <v>1747</v>
      </c>
      <c r="B826" s="7" t="s">
        <v>2337</v>
      </c>
    </row>
    <row r="827" spans="1:2" x14ac:dyDescent="0.25">
      <c r="A827" s="10" t="s">
        <v>1067</v>
      </c>
      <c r="B827" s="7" t="s">
        <v>2337</v>
      </c>
    </row>
    <row r="828" spans="1:2" x14ac:dyDescent="0.25">
      <c r="A828" s="10" t="s">
        <v>977</v>
      </c>
      <c r="B828" s="7" t="s">
        <v>2337</v>
      </c>
    </row>
    <row r="829" spans="1:2" x14ac:dyDescent="0.25">
      <c r="A829" s="10" t="s">
        <v>910</v>
      </c>
      <c r="B829" s="7" t="s">
        <v>2337</v>
      </c>
    </row>
    <row r="830" spans="1:2" x14ac:dyDescent="0.25">
      <c r="A830" s="10" t="s">
        <v>1748</v>
      </c>
      <c r="B830" s="7" t="s">
        <v>2337</v>
      </c>
    </row>
    <row r="831" spans="1:2" x14ac:dyDescent="0.25">
      <c r="A831" s="10" t="s">
        <v>1749</v>
      </c>
      <c r="B831" s="7" t="s">
        <v>2337</v>
      </c>
    </row>
    <row r="832" spans="1:2" x14ac:dyDescent="0.25">
      <c r="A832" s="10" t="s">
        <v>1750</v>
      </c>
      <c r="B832" s="7" t="s">
        <v>2337</v>
      </c>
    </row>
    <row r="833" spans="1:2" x14ac:dyDescent="0.25">
      <c r="A833" s="10" t="s">
        <v>887</v>
      </c>
      <c r="B833" s="7" t="s">
        <v>2337</v>
      </c>
    </row>
    <row r="834" spans="1:2" x14ac:dyDescent="0.25">
      <c r="A834" s="10" t="s">
        <v>1751</v>
      </c>
      <c r="B834" s="7" t="s">
        <v>2337</v>
      </c>
    </row>
    <row r="835" spans="1:2" x14ac:dyDescent="0.25">
      <c r="A835" s="10" t="s">
        <v>1243</v>
      </c>
      <c r="B835" s="7" t="s">
        <v>2337</v>
      </c>
    </row>
    <row r="836" spans="1:2" x14ac:dyDescent="0.25">
      <c r="A836" s="10" t="s">
        <v>1752</v>
      </c>
      <c r="B836" s="7" t="s">
        <v>2337</v>
      </c>
    </row>
    <row r="837" spans="1:2" x14ac:dyDescent="0.25">
      <c r="A837" s="10" t="s">
        <v>346</v>
      </c>
      <c r="B837" s="7" t="s">
        <v>2337</v>
      </c>
    </row>
    <row r="838" spans="1:2" x14ac:dyDescent="0.25">
      <c r="A838" s="10" t="s">
        <v>1753</v>
      </c>
      <c r="B838" s="7" t="s">
        <v>2337</v>
      </c>
    </row>
    <row r="839" spans="1:2" x14ac:dyDescent="0.25">
      <c r="A839" s="10" t="s">
        <v>1754</v>
      </c>
      <c r="B839" s="7" t="s">
        <v>2337</v>
      </c>
    </row>
    <row r="840" spans="1:2" x14ac:dyDescent="0.25">
      <c r="A840" s="10" t="s">
        <v>513</v>
      </c>
      <c r="B840" s="7" t="s">
        <v>2337</v>
      </c>
    </row>
    <row r="841" spans="1:2" x14ac:dyDescent="0.25">
      <c r="A841" s="10" t="s">
        <v>1755</v>
      </c>
      <c r="B841" s="7" t="s">
        <v>2337</v>
      </c>
    </row>
    <row r="842" spans="1:2" x14ac:dyDescent="0.25">
      <c r="A842" s="10" t="s">
        <v>1756</v>
      </c>
      <c r="B842" s="7" t="s">
        <v>2337</v>
      </c>
    </row>
    <row r="843" spans="1:2" x14ac:dyDescent="0.25">
      <c r="A843" s="10" t="s">
        <v>1041</v>
      </c>
      <c r="B843" s="7" t="s">
        <v>2337</v>
      </c>
    </row>
    <row r="844" spans="1:2" x14ac:dyDescent="0.25">
      <c r="A844" s="10" t="s">
        <v>753</v>
      </c>
      <c r="B844" s="7" t="s">
        <v>2337</v>
      </c>
    </row>
    <row r="845" spans="1:2" x14ac:dyDescent="0.25">
      <c r="A845" s="10" t="s">
        <v>1757</v>
      </c>
      <c r="B845" s="7" t="s">
        <v>2337</v>
      </c>
    </row>
    <row r="846" spans="1:2" x14ac:dyDescent="0.25">
      <c r="A846" s="10" t="s">
        <v>160</v>
      </c>
      <c r="B846" s="7" t="s">
        <v>2337</v>
      </c>
    </row>
    <row r="847" spans="1:2" x14ac:dyDescent="0.25">
      <c r="A847" s="10" t="s">
        <v>243</v>
      </c>
      <c r="B847" s="7" t="s">
        <v>2337</v>
      </c>
    </row>
    <row r="848" spans="1:2" x14ac:dyDescent="0.25">
      <c r="A848" s="10" t="s">
        <v>917</v>
      </c>
      <c r="B848" s="7" t="s">
        <v>2337</v>
      </c>
    </row>
    <row r="849" spans="1:2" x14ac:dyDescent="0.25">
      <c r="A849" s="10" t="s">
        <v>1758</v>
      </c>
      <c r="B849" s="7" t="s">
        <v>2337</v>
      </c>
    </row>
    <row r="850" spans="1:2" x14ac:dyDescent="0.25">
      <c r="A850" s="10" t="s">
        <v>1759</v>
      </c>
      <c r="B850" s="7" t="s">
        <v>2337</v>
      </c>
    </row>
    <row r="851" spans="1:2" x14ac:dyDescent="0.25">
      <c r="A851" s="10" t="s">
        <v>224</v>
      </c>
      <c r="B851" s="7" t="s">
        <v>2337</v>
      </c>
    </row>
    <row r="852" spans="1:2" x14ac:dyDescent="0.25">
      <c r="A852" s="10" t="s">
        <v>1227</v>
      </c>
      <c r="B852" s="7" t="s">
        <v>2337</v>
      </c>
    </row>
    <row r="853" spans="1:2" x14ac:dyDescent="0.25">
      <c r="A853" s="10" t="s">
        <v>1760</v>
      </c>
      <c r="B853" s="7" t="s">
        <v>2337</v>
      </c>
    </row>
    <row r="854" spans="1:2" x14ac:dyDescent="0.25">
      <c r="A854" s="10" t="s">
        <v>1761</v>
      </c>
      <c r="B854" s="7" t="s">
        <v>2337</v>
      </c>
    </row>
    <row r="855" spans="1:2" x14ac:dyDescent="0.25">
      <c r="A855" s="10" t="s">
        <v>1762</v>
      </c>
      <c r="B855" s="7" t="s">
        <v>2337</v>
      </c>
    </row>
    <row r="856" spans="1:2" x14ac:dyDescent="0.25">
      <c r="A856" s="10" t="s">
        <v>1763</v>
      </c>
      <c r="B856" s="7" t="s">
        <v>2337</v>
      </c>
    </row>
    <row r="857" spans="1:2" x14ac:dyDescent="0.25">
      <c r="A857" s="10" t="s">
        <v>1764</v>
      </c>
      <c r="B857" s="7" t="s">
        <v>2337</v>
      </c>
    </row>
    <row r="858" spans="1:2" x14ac:dyDescent="0.25">
      <c r="A858" s="10" t="s">
        <v>686</v>
      </c>
      <c r="B858" s="7" t="s">
        <v>2337</v>
      </c>
    </row>
    <row r="859" spans="1:2" x14ac:dyDescent="0.25">
      <c r="A859" s="10" t="s">
        <v>1765</v>
      </c>
      <c r="B859" s="7" t="s">
        <v>2337</v>
      </c>
    </row>
    <row r="860" spans="1:2" x14ac:dyDescent="0.25">
      <c r="A860" s="10" t="s">
        <v>1766</v>
      </c>
      <c r="B860" s="7" t="s">
        <v>2337</v>
      </c>
    </row>
    <row r="861" spans="1:2" x14ac:dyDescent="0.25">
      <c r="A861" s="10" t="s">
        <v>758</v>
      </c>
      <c r="B861" s="7" t="s">
        <v>2337</v>
      </c>
    </row>
    <row r="862" spans="1:2" x14ac:dyDescent="0.25">
      <c r="A862" s="10" t="s">
        <v>1767</v>
      </c>
      <c r="B862" s="7" t="s">
        <v>2337</v>
      </c>
    </row>
    <row r="863" spans="1:2" x14ac:dyDescent="0.25">
      <c r="A863" s="10" t="s">
        <v>1205</v>
      </c>
      <c r="B863" s="7" t="s">
        <v>2337</v>
      </c>
    </row>
    <row r="864" spans="1:2" x14ac:dyDescent="0.25">
      <c r="A864" s="10" t="s">
        <v>170</v>
      </c>
      <c r="B864" s="7" t="s">
        <v>2337</v>
      </c>
    </row>
    <row r="865" spans="1:2" x14ac:dyDescent="0.25">
      <c r="A865" s="10" t="s">
        <v>474</v>
      </c>
      <c r="B865" s="7" t="s">
        <v>2337</v>
      </c>
    </row>
    <row r="866" spans="1:2" x14ac:dyDescent="0.25">
      <c r="A866" s="10" t="s">
        <v>1116</v>
      </c>
      <c r="B866" s="7" t="s">
        <v>2337</v>
      </c>
    </row>
    <row r="867" spans="1:2" x14ac:dyDescent="0.25">
      <c r="A867" s="10" t="s">
        <v>921</v>
      </c>
      <c r="B867" s="7" t="s">
        <v>2337</v>
      </c>
    </row>
    <row r="868" spans="1:2" x14ac:dyDescent="0.25">
      <c r="A868" s="10" t="s">
        <v>97</v>
      </c>
      <c r="B868" s="7" t="s">
        <v>2337</v>
      </c>
    </row>
    <row r="869" spans="1:2" x14ac:dyDescent="0.25">
      <c r="A869" s="10" t="s">
        <v>766</v>
      </c>
      <c r="B869" s="7" t="s">
        <v>2337</v>
      </c>
    </row>
    <row r="870" spans="1:2" x14ac:dyDescent="0.25">
      <c r="A870" s="10" t="s">
        <v>890</v>
      </c>
      <c r="B870" s="7" t="s">
        <v>2337</v>
      </c>
    </row>
    <row r="871" spans="1:2" x14ac:dyDescent="0.25">
      <c r="A871" s="10" t="s">
        <v>618</v>
      </c>
      <c r="B871" s="7" t="s">
        <v>2337</v>
      </c>
    </row>
    <row r="872" spans="1:2" x14ac:dyDescent="0.25">
      <c r="A872" s="10" t="s">
        <v>305</v>
      </c>
      <c r="B872" s="7" t="s">
        <v>2337</v>
      </c>
    </row>
    <row r="873" spans="1:2" x14ac:dyDescent="0.25">
      <c r="A873" s="10" t="s">
        <v>1768</v>
      </c>
      <c r="B873" s="7" t="s">
        <v>2337</v>
      </c>
    </row>
    <row r="874" spans="1:2" x14ac:dyDescent="0.25">
      <c r="A874" s="10" t="s">
        <v>428</v>
      </c>
      <c r="B874" s="7" t="s">
        <v>2337</v>
      </c>
    </row>
    <row r="875" spans="1:2" x14ac:dyDescent="0.25">
      <c r="A875" s="10" t="s">
        <v>24</v>
      </c>
      <c r="B875" s="7" t="s">
        <v>2337</v>
      </c>
    </row>
    <row r="876" spans="1:2" x14ac:dyDescent="0.25">
      <c r="A876" s="10" t="s">
        <v>580</v>
      </c>
      <c r="B876" s="7" t="s">
        <v>2337</v>
      </c>
    </row>
    <row r="877" spans="1:2" x14ac:dyDescent="0.25">
      <c r="A877" s="10" t="s">
        <v>1769</v>
      </c>
      <c r="B877" s="7" t="s">
        <v>2337</v>
      </c>
    </row>
    <row r="878" spans="1:2" x14ac:dyDescent="0.25">
      <c r="A878" s="10" t="s">
        <v>1770</v>
      </c>
      <c r="B878" s="7" t="s">
        <v>2337</v>
      </c>
    </row>
    <row r="879" spans="1:2" x14ac:dyDescent="0.25">
      <c r="A879" s="10" t="s">
        <v>1771</v>
      </c>
      <c r="B879" s="7" t="s">
        <v>2337</v>
      </c>
    </row>
    <row r="880" spans="1:2" x14ac:dyDescent="0.25">
      <c r="A880" s="10" t="s">
        <v>338</v>
      </c>
      <c r="B880" s="7" t="s">
        <v>2337</v>
      </c>
    </row>
    <row r="881" spans="1:2" x14ac:dyDescent="0.25">
      <c r="A881" s="10" t="s">
        <v>1772</v>
      </c>
      <c r="B881" s="7" t="s">
        <v>2337</v>
      </c>
    </row>
    <row r="882" spans="1:2" x14ac:dyDescent="0.25">
      <c r="A882" s="10" t="s">
        <v>1773</v>
      </c>
      <c r="B882" s="7" t="s">
        <v>2337</v>
      </c>
    </row>
    <row r="883" spans="1:2" x14ac:dyDescent="0.25">
      <c r="A883" s="10" t="s">
        <v>907</v>
      </c>
      <c r="B883" s="7" t="s">
        <v>2337</v>
      </c>
    </row>
    <row r="884" spans="1:2" x14ac:dyDescent="0.25">
      <c r="A884" s="10" t="s">
        <v>1140</v>
      </c>
      <c r="B884" s="7" t="s">
        <v>2337</v>
      </c>
    </row>
    <row r="885" spans="1:2" x14ac:dyDescent="0.25">
      <c r="A885" s="10" t="s">
        <v>1774</v>
      </c>
      <c r="B885" s="7" t="s">
        <v>2337</v>
      </c>
    </row>
    <row r="886" spans="1:2" x14ac:dyDescent="0.25">
      <c r="A886" s="10" t="s">
        <v>465</v>
      </c>
      <c r="B886" s="7" t="s">
        <v>2337</v>
      </c>
    </row>
    <row r="887" spans="1:2" x14ac:dyDescent="0.25">
      <c r="A887" s="10" t="s">
        <v>628</v>
      </c>
      <c r="B887" s="7" t="s">
        <v>2337</v>
      </c>
    </row>
    <row r="888" spans="1:2" x14ac:dyDescent="0.25">
      <c r="A888" s="10" t="s">
        <v>1775</v>
      </c>
      <c r="B888" s="7" t="s">
        <v>2337</v>
      </c>
    </row>
    <row r="889" spans="1:2" x14ac:dyDescent="0.25">
      <c r="A889" s="10" t="s">
        <v>340</v>
      </c>
      <c r="B889" s="7" t="s">
        <v>2337</v>
      </c>
    </row>
    <row r="890" spans="1:2" x14ac:dyDescent="0.25">
      <c r="A890" s="10" t="s">
        <v>86</v>
      </c>
      <c r="B890" s="7" t="s">
        <v>2337</v>
      </c>
    </row>
    <row r="891" spans="1:2" x14ac:dyDescent="0.25">
      <c r="A891" s="10" t="s">
        <v>420</v>
      </c>
      <c r="B891" s="7" t="s">
        <v>2337</v>
      </c>
    </row>
    <row r="892" spans="1:2" x14ac:dyDescent="0.25">
      <c r="A892" s="10" t="s">
        <v>668</v>
      </c>
      <c r="B892" s="7" t="s">
        <v>2337</v>
      </c>
    </row>
    <row r="893" spans="1:2" x14ac:dyDescent="0.25">
      <c r="A893" s="10" t="s">
        <v>1776</v>
      </c>
      <c r="B893" s="7" t="s">
        <v>2337</v>
      </c>
    </row>
    <row r="894" spans="1:2" x14ac:dyDescent="0.25">
      <c r="A894" s="10" t="s">
        <v>929</v>
      </c>
      <c r="B894" s="7" t="s">
        <v>2337</v>
      </c>
    </row>
    <row r="895" spans="1:2" x14ac:dyDescent="0.25">
      <c r="A895" s="10" t="s">
        <v>183</v>
      </c>
      <c r="B895" s="7" t="s">
        <v>2337</v>
      </c>
    </row>
    <row r="896" spans="1:2" x14ac:dyDescent="0.25">
      <c r="A896" s="10" t="s">
        <v>1777</v>
      </c>
      <c r="B896" s="7" t="s">
        <v>2337</v>
      </c>
    </row>
    <row r="897" spans="1:2" x14ac:dyDescent="0.25">
      <c r="A897" s="10" t="s">
        <v>1778</v>
      </c>
      <c r="B897" s="7" t="s">
        <v>2337</v>
      </c>
    </row>
    <row r="898" spans="1:2" x14ac:dyDescent="0.25">
      <c r="A898" s="10" t="s">
        <v>1087</v>
      </c>
      <c r="B898" s="7" t="s">
        <v>2337</v>
      </c>
    </row>
    <row r="899" spans="1:2" x14ac:dyDescent="0.25">
      <c r="A899" s="10" t="s">
        <v>414</v>
      </c>
      <c r="B899" s="7" t="s">
        <v>2337</v>
      </c>
    </row>
    <row r="900" spans="1:2" x14ac:dyDescent="0.25">
      <c r="A900" s="10" t="s">
        <v>1779</v>
      </c>
      <c r="B900" s="7" t="s">
        <v>2337</v>
      </c>
    </row>
    <row r="901" spans="1:2" x14ac:dyDescent="0.25">
      <c r="A901" s="10" t="s">
        <v>575</v>
      </c>
      <c r="B901" s="7" t="s">
        <v>2337</v>
      </c>
    </row>
    <row r="902" spans="1:2" x14ac:dyDescent="0.25">
      <c r="A902" s="10" t="s">
        <v>1780</v>
      </c>
      <c r="B902" s="7" t="s">
        <v>2337</v>
      </c>
    </row>
    <row r="903" spans="1:2" x14ac:dyDescent="0.25">
      <c r="A903" s="10" t="s">
        <v>1781</v>
      </c>
      <c r="B903" s="7" t="s">
        <v>2337</v>
      </c>
    </row>
    <row r="904" spans="1:2" x14ac:dyDescent="0.25">
      <c r="A904" s="10" t="s">
        <v>1782</v>
      </c>
      <c r="B904" s="7" t="s">
        <v>2337</v>
      </c>
    </row>
    <row r="905" spans="1:2" x14ac:dyDescent="0.25">
      <c r="A905" s="10" t="s">
        <v>260</v>
      </c>
      <c r="B905" s="7" t="s">
        <v>2337</v>
      </c>
    </row>
    <row r="906" spans="1:2" x14ac:dyDescent="0.25">
      <c r="A906" s="10" t="s">
        <v>1783</v>
      </c>
      <c r="B906" s="7" t="s">
        <v>2337</v>
      </c>
    </row>
    <row r="907" spans="1:2" x14ac:dyDescent="0.25">
      <c r="A907" s="10" t="s">
        <v>1784</v>
      </c>
      <c r="B907" s="7" t="s">
        <v>2337</v>
      </c>
    </row>
    <row r="908" spans="1:2" x14ac:dyDescent="0.25">
      <c r="A908" s="10" t="s">
        <v>1016</v>
      </c>
      <c r="B908" s="7" t="s">
        <v>2337</v>
      </c>
    </row>
    <row r="909" spans="1:2" x14ac:dyDescent="0.25">
      <c r="A909" s="10" t="s">
        <v>675</v>
      </c>
      <c r="B909" s="7" t="s">
        <v>2337</v>
      </c>
    </row>
    <row r="910" spans="1:2" x14ac:dyDescent="0.25">
      <c r="A910" s="10" t="s">
        <v>815</v>
      </c>
      <c r="B910" s="7" t="s">
        <v>2337</v>
      </c>
    </row>
    <row r="911" spans="1:2" x14ac:dyDescent="0.25">
      <c r="A911" s="10" t="s">
        <v>1785</v>
      </c>
      <c r="B911" s="7" t="s">
        <v>2337</v>
      </c>
    </row>
    <row r="912" spans="1:2" x14ac:dyDescent="0.25">
      <c r="A912" s="10" t="s">
        <v>914</v>
      </c>
      <c r="B912" s="7" t="s">
        <v>2337</v>
      </c>
    </row>
    <row r="913" spans="1:2" x14ac:dyDescent="0.25">
      <c r="A913" s="10" t="s">
        <v>1233</v>
      </c>
      <c r="B913" s="7" t="s">
        <v>2337</v>
      </c>
    </row>
    <row r="914" spans="1:2" x14ac:dyDescent="0.25">
      <c r="A914" s="10" t="s">
        <v>1786</v>
      </c>
      <c r="B914" s="7" t="s">
        <v>2337</v>
      </c>
    </row>
    <row r="915" spans="1:2" x14ac:dyDescent="0.25">
      <c r="A915" s="10" t="s">
        <v>808</v>
      </c>
      <c r="B915" s="7" t="s">
        <v>2337</v>
      </c>
    </row>
    <row r="916" spans="1:2" x14ac:dyDescent="0.25">
      <c r="A916" s="10" t="s">
        <v>1787</v>
      </c>
      <c r="B916" s="7" t="s">
        <v>2337</v>
      </c>
    </row>
    <row r="917" spans="1:2" x14ac:dyDescent="0.25">
      <c r="A917" s="10" t="s">
        <v>1788</v>
      </c>
      <c r="B917" s="7" t="s">
        <v>2337</v>
      </c>
    </row>
    <row r="918" spans="1:2" x14ac:dyDescent="0.25">
      <c r="A918" s="10" t="s">
        <v>731</v>
      </c>
      <c r="B918" s="7" t="s">
        <v>2337</v>
      </c>
    </row>
    <row r="919" spans="1:2" x14ac:dyDescent="0.25">
      <c r="A919" s="10" t="s">
        <v>1789</v>
      </c>
      <c r="B919" s="7" t="s">
        <v>2337</v>
      </c>
    </row>
    <row r="920" spans="1:2" x14ac:dyDescent="0.25">
      <c r="A920" s="10" t="s">
        <v>206</v>
      </c>
      <c r="B920" s="7" t="s">
        <v>2337</v>
      </c>
    </row>
    <row r="921" spans="1:2" x14ac:dyDescent="0.25">
      <c r="A921" s="10" t="s">
        <v>581</v>
      </c>
      <c r="B921" s="7" t="s">
        <v>2337</v>
      </c>
    </row>
    <row r="922" spans="1:2" x14ac:dyDescent="0.25">
      <c r="A922" s="10" t="s">
        <v>1790</v>
      </c>
      <c r="B922" s="7" t="s">
        <v>2337</v>
      </c>
    </row>
    <row r="923" spans="1:2" x14ac:dyDescent="0.25">
      <c r="A923" s="10" t="s">
        <v>1791</v>
      </c>
      <c r="B923" s="7" t="s">
        <v>2337</v>
      </c>
    </row>
    <row r="924" spans="1:2" x14ac:dyDescent="0.25">
      <c r="A924" s="10" t="s">
        <v>1792</v>
      </c>
      <c r="B924" s="7" t="s">
        <v>2337</v>
      </c>
    </row>
    <row r="925" spans="1:2" x14ac:dyDescent="0.25">
      <c r="A925" s="10" t="s">
        <v>1793</v>
      </c>
      <c r="B925" s="7" t="s">
        <v>2337</v>
      </c>
    </row>
    <row r="926" spans="1:2" x14ac:dyDescent="0.25">
      <c r="A926" s="10" t="s">
        <v>1248</v>
      </c>
      <c r="B926" s="7" t="s">
        <v>2337</v>
      </c>
    </row>
    <row r="927" spans="1:2" x14ac:dyDescent="0.25">
      <c r="A927" s="10" t="s">
        <v>1794</v>
      </c>
      <c r="B927" s="7" t="s">
        <v>2337</v>
      </c>
    </row>
    <row r="928" spans="1:2" x14ac:dyDescent="0.25">
      <c r="A928" s="10" t="s">
        <v>306</v>
      </c>
      <c r="B928" s="7" t="s">
        <v>2337</v>
      </c>
    </row>
    <row r="929" spans="1:2" x14ac:dyDescent="0.25">
      <c r="A929" s="10" t="s">
        <v>1795</v>
      </c>
      <c r="B929" s="7" t="s">
        <v>2337</v>
      </c>
    </row>
    <row r="930" spans="1:2" x14ac:dyDescent="0.25">
      <c r="A930" s="10" t="s">
        <v>301</v>
      </c>
      <c r="B930" s="7" t="s">
        <v>2337</v>
      </c>
    </row>
    <row r="931" spans="1:2" x14ac:dyDescent="0.25">
      <c r="A931" s="10" t="s">
        <v>1796</v>
      </c>
      <c r="B931" s="7" t="s">
        <v>2337</v>
      </c>
    </row>
    <row r="932" spans="1:2" x14ac:dyDescent="0.25">
      <c r="A932" s="10" t="s">
        <v>1094</v>
      </c>
      <c r="B932" s="7" t="s">
        <v>2337</v>
      </c>
    </row>
    <row r="933" spans="1:2" x14ac:dyDescent="0.25">
      <c r="A933" s="10" t="s">
        <v>1797</v>
      </c>
      <c r="B933" s="7" t="s">
        <v>2337</v>
      </c>
    </row>
    <row r="934" spans="1:2" x14ac:dyDescent="0.25">
      <c r="A934" s="10" t="s">
        <v>1006</v>
      </c>
      <c r="B934" s="7" t="s">
        <v>2337</v>
      </c>
    </row>
    <row r="935" spans="1:2" x14ac:dyDescent="0.25">
      <c r="A935" s="10" t="s">
        <v>1798</v>
      </c>
      <c r="B935" s="7" t="s">
        <v>2337</v>
      </c>
    </row>
    <row r="936" spans="1:2" x14ac:dyDescent="0.25">
      <c r="A936" s="10" t="s">
        <v>1799</v>
      </c>
      <c r="B936" s="7" t="s">
        <v>2337</v>
      </c>
    </row>
    <row r="937" spans="1:2" x14ac:dyDescent="0.25">
      <c r="A937" s="10" t="s">
        <v>1800</v>
      </c>
      <c r="B937" s="7" t="s">
        <v>2337</v>
      </c>
    </row>
    <row r="938" spans="1:2" x14ac:dyDescent="0.25">
      <c r="A938" s="10" t="s">
        <v>514</v>
      </c>
      <c r="B938" s="7" t="s">
        <v>2337</v>
      </c>
    </row>
    <row r="939" spans="1:2" x14ac:dyDescent="0.25">
      <c r="A939" s="10" t="s">
        <v>644</v>
      </c>
      <c r="B939" s="7" t="s">
        <v>2337</v>
      </c>
    </row>
    <row r="940" spans="1:2" x14ac:dyDescent="0.25">
      <c r="A940" s="10" t="s">
        <v>987</v>
      </c>
      <c r="B940" s="7" t="s">
        <v>2337</v>
      </c>
    </row>
    <row r="941" spans="1:2" x14ac:dyDescent="0.25">
      <c r="A941" s="10" t="s">
        <v>1801</v>
      </c>
      <c r="B941" s="7" t="s">
        <v>2337</v>
      </c>
    </row>
    <row r="942" spans="1:2" x14ac:dyDescent="0.25">
      <c r="A942" s="10" t="s">
        <v>852</v>
      </c>
      <c r="B942" s="7" t="s">
        <v>2337</v>
      </c>
    </row>
    <row r="943" spans="1:2" x14ac:dyDescent="0.25">
      <c r="A943" s="10" t="s">
        <v>1802</v>
      </c>
      <c r="B943" s="7" t="s">
        <v>2337</v>
      </c>
    </row>
    <row r="944" spans="1:2" x14ac:dyDescent="0.25">
      <c r="A944" s="10" t="s">
        <v>765</v>
      </c>
      <c r="B944" s="7" t="s">
        <v>2337</v>
      </c>
    </row>
    <row r="945" spans="1:2" x14ac:dyDescent="0.25">
      <c r="A945" s="10" t="s">
        <v>631</v>
      </c>
      <c r="B945" s="7" t="s">
        <v>2337</v>
      </c>
    </row>
    <row r="946" spans="1:2" x14ac:dyDescent="0.25">
      <c r="A946" s="10" t="s">
        <v>1803</v>
      </c>
      <c r="B946" s="7" t="s">
        <v>2337</v>
      </c>
    </row>
    <row r="947" spans="1:2" x14ac:dyDescent="0.25">
      <c r="A947" s="10" t="s">
        <v>1804</v>
      </c>
      <c r="B947" s="7" t="s">
        <v>2337</v>
      </c>
    </row>
    <row r="948" spans="1:2" x14ac:dyDescent="0.25">
      <c r="A948" s="10" t="s">
        <v>273</v>
      </c>
      <c r="B948" s="7" t="s">
        <v>2337</v>
      </c>
    </row>
    <row r="949" spans="1:2" x14ac:dyDescent="0.25">
      <c r="A949" s="10" t="s">
        <v>1083</v>
      </c>
      <c r="B949" s="7" t="s">
        <v>2337</v>
      </c>
    </row>
    <row r="950" spans="1:2" x14ac:dyDescent="0.25">
      <c r="A950" s="10" t="s">
        <v>1805</v>
      </c>
      <c r="B950" s="7" t="s">
        <v>2337</v>
      </c>
    </row>
    <row r="951" spans="1:2" x14ac:dyDescent="0.25">
      <c r="A951" s="10" t="s">
        <v>1806</v>
      </c>
      <c r="B951" s="7" t="s">
        <v>2337</v>
      </c>
    </row>
    <row r="952" spans="1:2" x14ac:dyDescent="0.25">
      <c r="A952" s="10" t="s">
        <v>26</v>
      </c>
      <c r="B952" s="7" t="s">
        <v>2337</v>
      </c>
    </row>
    <row r="953" spans="1:2" x14ac:dyDescent="0.25">
      <c r="A953" s="10" t="s">
        <v>484</v>
      </c>
      <c r="B953" s="7" t="s">
        <v>2337</v>
      </c>
    </row>
    <row r="954" spans="1:2" x14ac:dyDescent="0.25">
      <c r="A954" s="10" t="s">
        <v>123</v>
      </c>
      <c r="B954" s="7" t="s">
        <v>2337</v>
      </c>
    </row>
    <row r="955" spans="1:2" x14ac:dyDescent="0.25">
      <c r="A955" s="10" t="s">
        <v>1807</v>
      </c>
      <c r="B955" s="7" t="s">
        <v>2337</v>
      </c>
    </row>
    <row r="956" spans="1:2" x14ac:dyDescent="0.25">
      <c r="A956" s="10" t="s">
        <v>1808</v>
      </c>
      <c r="B956" s="7" t="s">
        <v>2337</v>
      </c>
    </row>
    <row r="957" spans="1:2" x14ac:dyDescent="0.25">
      <c r="A957" s="10" t="s">
        <v>1809</v>
      </c>
      <c r="B957" s="7" t="s">
        <v>2337</v>
      </c>
    </row>
    <row r="958" spans="1:2" x14ac:dyDescent="0.25">
      <c r="A958" s="10" t="s">
        <v>1810</v>
      </c>
      <c r="B958" s="7" t="s">
        <v>2337</v>
      </c>
    </row>
    <row r="959" spans="1:2" x14ac:dyDescent="0.25">
      <c r="A959" s="10" t="s">
        <v>1811</v>
      </c>
      <c r="B959" s="7" t="s">
        <v>2337</v>
      </c>
    </row>
    <row r="960" spans="1:2" x14ac:dyDescent="0.25">
      <c r="A960" s="10" t="s">
        <v>1812</v>
      </c>
      <c r="B960" s="7" t="s">
        <v>2337</v>
      </c>
    </row>
    <row r="961" spans="1:2" x14ac:dyDescent="0.25">
      <c r="A961" s="10" t="s">
        <v>888</v>
      </c>
      <c r="B961" s="7" t="s">
        <v>2337</v>
      </c>
    </row>
    <row r="962" spans="1:2" x14ac:dyDescent="0.25">
      <c r="A962" s="10" t="s">
        <v>1813</v>
      </c>
      <c r="B962" s="7" t="s">
        <v>2337</v>
      </c>
    </row>
    <row r="963" spans="1:2" x14ac:dyDescent="0.25">
      <c r="A963" s="10" t="s">
        <v>157</v>
      </c>
      <c r="B963" s="7" t="s">
        <v>2337</v>
      </c>
    </row>
    <row r="964" spans="1:2" x14ac:dyDescent="0.25">
      <c r="A964" s="10" t="s">
        <v>1814</v>
      </c>
      <c r="B964" s="7" t="s">
        <v>2337</v>
      </c>
    </row>
    <row r="965" spans="1:2" x14ac:dyDescent="0.25">
      <c r="A965" s="10" t="s">
        <v>481</v>
      </c>
      <c r="B965" s="7" t="s">
        <v>2337</v>
      </c>
    </row>
    <row r="966" spans="1:2" x14ac:dyDescent="0.25">
      <c r="A966" s="10" t="s">
        <v>1815</v>
      </c>
      <c r="B966" s="7" t="s">
        <v>2337</v>
      </c>
    </row>
    <row r="967" spans="1:2" x14ac:dyDescent="0.25">
      <c r="A967" s="10" t="s">
        <v>1816</v>
      </c>
      <c r="B967" s="7" t="s">
        <v>2337</v>
      </c>
    </row>
    <row r="968" spans="1:2" x14ac:dyDescent="0.25">
      <c r="A968" s="10" t="s">
        <v>1817</v>
      </c>
      <c r="B968" s="7" t="s">
        <v>2337</v>
      </c>
    </row>
    <row r="969" spans="1:2" x14ac:dyDescent="0.25">
      <c r="A969" s="10" t="s">
        <v>1818</v>
      </c>
      <c r="B969" s="7" t="s">
        <v>2337</v>
      </c>
    </row>
    <row r="970" spans="1:2" x14ac:dyDescent="0.25">
      <c r="A970" s="10" t="s">
        <v>1819</v>
      </c>
      <c r="B970" s="7" t="s">
        <v>2337</v>
      </c>
    </row>
    <row r="971" spans="1:2" x14ac:dyDescent="0.25">
      <c r="A971" s="10" t="s">
        <v>424</v>
      </c>
      <c r="B971" s="7" t="s">
        <v>2337</v>
      </c>
    </row>
    <row r="972" spans="1:2" x14ac:dyDescent="0.25">
      <c r="A972" s="10" t="s">
        <v>8</v>
      </c>
      <c r="B972" s="7" t="s">
        <v>2337</v>
      </c>
    </row>
    <row r="973" spans="1:2" x14ac:dyDescent="0.25">
      <c r="A973" s="10" t="s">
        <v>723</v>
      </c>
      <c r="B973" s="7" t="s">
        <v>2337</v>
      </c>
    </row>
    <row r="974" spans="1:2" x14ac:dyDescent="0.25">
      <c r="A974" s="10" t="s">
        <v>1820</v>
      </c>
      <c r="B974" s="7" t="s">
        <v>2337</v>
      </c>
    </row>
    <row r="975" spans="1:2" x14ac:dyDescent="0.25">
      <c r="A975" s="10" t="s">
        <v>826</v>
      </c>
      <c r="B975" s="7" t="s">
        <v>2337</v>
      </c>
    </row>
    <row r="976" spans="1:2" x14ac:dyDescent="0.25">
      <c r="A976" s="10" t="s">
        <v>1821</v>
      </c>
      <c r="B976" s="7" t="s">
        <v>2337</v>
      </c>
    </row>
    <row r="977" spans="1:2" x14ac:dyDescent="0.25">
      <c r="A977" s="10" t="s">
        <v>1039</v>
      </c>
      <c r="B977" s="7" t="s">
        <v>2337</v>
      </c>
    </row>
    <row r="978" spans="1:2" x14ac:dyDescent="0.25">
      <c r="A978" s="10" t="s">
        <v>454</v>
      </c>
      <c r="B978" s="7" t="s">
        <v>2337</v>
      </c>
    </row>
    <row r="979" spans="1:2" x14ac:dyDescent="0.25">
      <c r="A979" s="10" t="s">
        <v>52</v>
      </c>
      <c r="B979" s="7" t="s">
        <v>2337</v>
      </c>
    </row>
    <row r="980" spans="1:2" x14ac:dyDescent="0.25">
      <c r="A980" s="10" t="s">
        <v>710</v>
      </c>
      <c r="B980" s="7" t="s">
        <v>2337</v>
      </c>
    </row>
    <row r="981" spans="1:2" x14ac:dyDescent="0.25">
      <c r="A981" s="10" t="s">
        <v>1822</v>
      </c>
      <c r="B981" s="7" t="s">
        <v>2337</v>
      </c>
    </row>
    <row r="982" spans="1:2" x14ac:dyDescent="0.25">
      <c r="A982" s="10" t="s">
        <v>1823</v>
      </c>
      <c r="B982" s="7" t="s">
        <v>2337</v>
      </c>
    </row>
    <row r="983" spans="1:2" x14ac:dyDescent="0.25">
      <c r="A983" s="10" t="s">
        <v>824</v>
      </c>
      <c r="B983" s="7" t="s">
        <v>2337</v>
      </c>
    </row>
    <row r="984" spans="1:2" x14ac:dyDescent="0.25">
      <c r="A984" s="10" t="s">
        <v>1824</v>
      </c>
      <c r="B984" s="7" t="s">
        <v>2337</v>
      </c>
    </row>
    <row r="985" spans="1:2" x14ac:dyDescent="0.25">
      <c r="A985" s="10" t="s">
        <v>817</v>
      </c>
      <c r="B985" s="7" t="s">
        <v>2337</v>
      </c>
    </row>
    <row r="986" spans="1:2" x14ac:dyDescent="0.25">
      <c r="A986" s="10" t="s">
        <v>1026</v>
      </c>
      <c r="B986" s="7" t="s">
        <v>2337</v>
      </c>
    </row>
    <row r="987" spans="1:2" x14ac:dyDescent="0.25">
      <c r="A987" s="10" t="s">
        <v>1825</v>
      </c>
      <c r="B987" s="7" t="s">
        <v>2337</v>
      </c>
    </row>
    <row r="988" spans="1:2" x14ac:dyDescent="0.25">
      <c r="A988" s="10" t="s">
        <v>1826</v>
      </c>
      <c r="B988" s="7" t="s">
        <v>2337</v>
      </c>
    </row>
    <row r="989" spans="1:2" x14ac:dyDescent="0.25">
      <c r="A989" s="10" t="s">
        <v>1827</v>
      </c>
      <c r="B989" s="7" t="s">
        <v>2337</v>
      </c>
    </row>
    <row r="990" spans="1:2" x14ac:dyDescent="0.25">
      <c r="A990" s="10" t="s">
        <v>1828</v>
      </c>
      <c r="B990" s="7" t="s">
        <v>2337</v>
      </c>
    </row>
    <row r="991" spans="1:2" x14ac:dyDescent="0.25">
      <c r="A991" s="10" t="s">
        <v>1829</v>
      </c>
      <c r="B991" s="7" t="s">
        <v>2337</v>
      </c>
    </row>
    <row r="992" spans="1:2" x14ac:dyDescent="0.25">
      <c r="A992" s="10" t="s">
        <v>396</v>
      </c>
      <c r="B992" s="7" t="s">
        <v>2337</v>
      </c>
    </row>
    <row r="993" spans="1:2" x14ac:dyDescent="0.25">
      <c r="A993" s="10" t="s">
        <v>1168</v>
      </c>
      <c r="B993" s="7" t="s">
        <v>2337</v>
      </c>
    </row>
    <row r="994" spans="1:2" x14ac:dyDescent="0.25">
      <c r="A994" s="10" t="s">
        <v>1830</v>
      </c>
      <c r="B994" s="7" t="s">
        <v>2337</v>
      </c>
    </row>
    <row r="995" spans="1:2" x14ac:dyDescent="0.25">
      <c r="A995" s="10" t="s">
        <v>1831</v>
      </c>
      <c r="B995" s="7" t="s">
        <v>2337</v>
      </c>
    </row>
    <row r="996" spans="1:2" x14ac:dyDescent="0.25">
      <c r="A996" s="10" t="s">
        <v>925</v>
      </c>
      <c r="B996" s="7" t="s">
        <v>2337</v>
      </c>
    </row>
    <row r="997" spans="1:2" x14ac:dyDescent="0.25">
      <c r="A997" s="10" t="s">
        <v>1252</v>
      </c>
      <c r="B997" s="7" t="s">
        <v>2337</v>
      </c>
    </row>
    <row r="998" spans="1:2" x14ac:dyDescent="0.25">
      <c r="A998" s="10" t="s">
        <v>421</v>
      </c>
      <c r="B998" s="7" t="s">
        <v>2337</v>
      </c>
    </row>
    <row r="999" spans="1:2" x14ac:dyDescent="0.25">
      <c r="A999" s="10" t="s">
        <v>1832</v>
      </c>
      <c r="B999" s="7" t="s">
        <v>2337</v>
      </c>
    </row>
    <row r="1000" spans="1:2" x14ac:dyDescent="0.25">
      <c r="A1000" s="10" t="s">
        <v>1072</v>
      </c>
      <c r="B1000" s="7" t="s">
        <v>2337</v>
      </c>
    </row>
    <row r="1001" spans="1:2" x14ac:dyDescent="0.25">
      <c r="A1001" s="10" t="s">
        <v>1833</v>
      </c>
      <c r="B1001" s="7" t="s">
        <v>2337</v>
      </c>
    </row>
    <row r="1002" spans="1:2" x14ac:dyDescent="0.25">
      <c r="A1002" s="10" t="s">
        <v>1834</v>
      </c>
      <c r="B1002" s="7" t="s">
        <v>2337</v>
      </c>
    </row>
    <row r="1003" spans="1:2" x14ac:dyDescent="0.25">
      <c r="A1003" s="10" t="s">
        <v>1835</v>
      </c>
      <c r="B1003" s="7" t="s">
        <v>2337</v>
      </c>
    </row>
    <row r="1004" spans="1:2" x14ac:dyDescent="0.25">
      <c r="A1004" s="10" t="s">
        <v>1836</v>
      </c>
      <c r="B1004" s="7" t="s">
        <v>2337</v>
      </c>
    </row>
    <row r="1005" spans="1:2" x14ac:dyDescent="0.25">
      <c r="A1005" s="10" t="s">
        <v>1837</v>
      </c>
      <c r="B1005" s="7" t="s">
        <v>2337</v>
      </c>
    </row>
    <row r="1006" spans="1:2" x14ac:dyDescent="0.25">
      <c r="A1006" s="10" t="s">
        <v>1133</v>
      </c>
      <c r="B1006" s="7" t="s">
        <v>2337</v>
      </c>
    </row>
    <row r="1007" spans="1:2" x14ac:dyDescent="0.25">
      <c r="A1007" s="10" t="s">
        <v>756</v>
      </c>
      <c r="B1007" s="7" t="s">
        <v>2337</v>
      </c>
    </row>
    <row r="1008" spans="1:2" x14ac:dyDescent="0.25">
      <c r="A1008" s="10" t="s">
        <v>1838</v>
      </c>
      <c r="B1008" s="7" t="s">
        <v>2337</v>
      </c>
    </row>
    <row r="1009" spans="1:2" x14ac:dyDescent="0.25">
      <c r="A1009" s="10" t="s">
        <v>278</v>
      </c>
      <c r="B1009" s="7" t="s">
        <v>2337</v>
      </c>
    </row>
    <row r="1010" spans="1:2" x14ac:dyDescent="0.25">
      <c r="A1010" s="10" t="s">
        <v>521</v>
      </c>
      <c r="B1010" s="7" t="s">
        <v>2337</v>
      </c>
    </row>
    <row r="1011" spans="1:2" x14ac:dyDescent="0.25">
      <c r="A1011" s="10" t="s">
        <v>1839</v>
      </c>
      <c r="B1011" s="7" t="s">
        <v>2337</v>
      </c>
    </row>
    <row r="1012" spans="1:2" x14ac:dyDescent="0.25">
      <c r="A1012" s="10" t="s">
        <v>995</v>
      </c>
      <c r="B1012" s="7" t="s">
        <v>2337</v>
      </c>
    </row>
    <row r="1013" spans="1:2" x14ac:dyDescent="0.25">
      <c r="A1013" s="10" t="s">
        <v>1840</v>
      </c>
      <c r="B1013" s="7" t="s">
        <v>2337</v>
      </c>
    </row>
    <row r="1014" spans="1:2" x14ac:dyDescent="0.25">
      <c r="A1014" s="10" t="s">
        <v>84</v>
      </c>
      <c r="B1014" s="7" t="s">
        <v>2337</v>
      </c>
    </row>
    <row r="1015" spans="1:2" x14ac:dyDescent="0.25">
      <c r="A1015" s="10" t="s">
        <v>456</v>
      </c>
      <c r="B1015" s="7" t="s">
        <v>2337</v>
      </c>
    </row>
    <row r="1016" spans="1:2" x14ac:dyDescent="0.25">
      <c r="A1016" s="10" t="s">
        <v>411</v>
      </c>
      <c r="B1016" s="7" t="s">
        <v>2337</v>
      </c>
    </row>
    <row r="1017" spans="1:2" x14ac:dyDescent="0.25">
      <c r="A1017" s="10" t="s">
        <v>1841</v>
      </c>
      <c r="B1017" s="7" t="s">
        <v>2337</v>
      </c>
    </row>
    <row r="1018" spans="1:2" x14ac:dyDescent="0.25">
      <c r="A1018" s="10" t="s">
        <v>336</v>
      </c>
      <c r="B1018" s="7" t="s">
        <v>2337</v>
      </c>
    </row>
    <row r="1019" spans="1:2" x14ac:dyDescent="0.25">
      <c r="A1019" s="10" t="s">
        <v>633</v>
      </c>
      <c r="B1019" s="7" t="s">
        <v>2337</v>
      </c>
    </row>
    <row r="1020" spans="1:2" x14ac:dyDescent="0.25">
      <c r="A1020" s="10" t="s">
        <v>1842</v>
      </c>
      <c r="B1020" s="7" t="s">
        <v>2337</v>
      </c>
    </row>
    <row r="1021" spans="1:2" x14ac:dyDescent="0.25">
      <c r="A1021" s="10" t="s">
        <v>1843</v>
      </c>
      <c r="B1021" s="7" t="s">
        <v>2337</v>
      </c>
    </row>
    <row r="1022" spans="1:2" x14ac:dyDescent="0.25">
      <c r="A1022" s="10" t="s">
        <v>1844</v>
      </c>
      <c r="B1022" s="7" t="s">
        <v>2337</v>
      </c>
    </row>
    <row r="1023" spans="1:2" x14ac:dyDescent="0.25">
      <c r="A1023" s="10" t="s">
        <v>393</v>
      </c>
      <c r="B1023" s="7" t="s">
        <v>2337</v>
      </c>
    </row>
    <row r="1024" spans="1:2" x14ac:dyDescent="0.25">
      <c r="A1024" s="10" t="s">
        <v>1845</v>
      </c>
      <c r="B1024" s="7" t="s">
        <v>2337</v>
      </c>
    </row>
    <row r="1025" spans="1:2" x14ac:dyDescent="0.25">
      <c r="A1025" s="10" t="s">
        <v>1846</v>
      </c>
      <c r="B1025" s="7" t="s">
        <v>2337</v>
      </c>
    </row>
    <row r="1026" spans="1:2" x14ac:dyDescent="0.25">
      <c r="A1026" s="10" t="s">
        <v>689</v>
      </c>
      <c r="B1026" s="7" t="s">
        <v>2337</v>
      </c>
    </row>
    <row r="1027" spans="1:2" x14ac:dyDescent="0.25">
      <c r="A1027" s="10" t="s">
        <v>788</v>
      </c>
      <c r="B1027" s="7" t="s">
        <v>2337</v>
      </c>
    </row>
    <row r="1028" spans="1:2" x14ac:dyDescent="0.25">
      <c r="A1028" s="10" t="s">
        <v>1165</v>
      </c>
      <c r="B1028" s="7" t="s">
        <v>2337</v>
      </c>
    </row>
    <row r="1029" spans="1:2" x14ac:dyDescent="0.25">
      <c r="A1029" s="10" t="s">
        <v>1847</v>
      </c>
      <c r="B1029" s="7" t="s">
        <v>2337</v>
      </c>
    </row>
    <row r="1030" spans="1:2" x14ac:dyDescent="0.25">
      <c r="A1030" s="10" t="s">
        <v>1162</v>
      </c>
      <c r="B1030" s="7" t="s">
        <v>2337</v>
      </c>
    </row>
    <row r="1031" spans="1:2" x14ac:dyDescent="0.25">
      <c r="A1031" s="10" t="s">
        <v>1848</v>
      </c>
      <c r="B1031" s="7" t="s">
        <v>2337</v>
      </c>
    </row>
    <row r="1032" spans="1:2" x14ac:dyDescent="0.25">
      <c r="A1032" s="10" t="s">
        <v>1042</v>
      </c>
      <c r="B1032" s="7" t="s">
        <v>2337</v>
      </c>
    </row>
    <row r="1033" spans="1:2" x14ac:dyDescent="0.25">
      <c r="A1033" s="10" t="s">
        <v>590</v>
      </c>
      <c r="B1033" s="7" t="s">
        <v>2337</v>
      </c>
    </row>
    <row r="1034" spans="1:2" x14ac:dyDescent="0.25">
      <c r="A1034" s="10" t="s">
        <v>1849</v>
      </c>
      <c r="B1034" s="7" t="s">
        <v>2337</v>
      </c>
    </row>
    <row r="1035" spans="1:2" x14ac:dyDescent="0.25">
      <c r="A1035" s="10" t="s">
        <v>1850</v>
      </c>
      <c r="B1035" s="7" t="s">
        <v>2337</v>
      </c>
    </row>
    <row r="1036" spans="1:2" x14ac:dyDescent="0.25">
      <c r="A1036" s="10" t="s">
        <v>891</v>
      </c>
      <c r="B1036" s="7" t="s">
        <v>2337</v>
      </c>
    </row>
    <row r="1037" spans="1:2" x14ac:dyDescent="0.25">
      <c r="A1037" s="10" t="s">
        <v>1851</v>
      </c>
      <c r="B1037" s="7" t="s">
        <v>2337</v>
      </c>
    </row>
    <row r="1038" spans="1:2" x14ac:dyDescent="0.25">
      <c r="A1038" s="10" t="s">
        <v>1852</v>
      </c>
      <c r="B1038" s="7" t="s">
        <v>2337</v>
      </c>
    </row>
    <row r="1039" spans="1:2" x14ac:dyDescent="0.25">
      <c r="A1039" s="10" t="s">
        <v>1853</v>
      </c>
      <c r="B1039" s="7" t="s">
        <v>2337</v>
      </c>
    </row>
    <row r="1040" spans="1:2" x14ac:dyDescent="0.25">
      <c r="A1040" s="10" t="s">
        <v>221</v>
      </c>
      <c r="B1040" s="7" t="s">
        <v>2337</v>
      </c>
    </row>
    <row r="1041" spans="1:2" x14ac:dyDescent="0.25">
      <c r="A1041" s="10" t="s">
        <v>534</v>
      </c>
      <c r="B1041" s="7" t="s">
        <v>2337</v>
      </c>
    </row>
    <row r="1042" spans="1:2" x14ac:dyDescent="0.25">
      <c r="A1042" s="10" t="s">
        <v>963</v>
      </c>
      <c r="B1042" s="7" t="s">
        <v>2337</v>
      </c>
    </row>
    <row r="1043" spans="1:2" x14ac:dyDescent="0.25">
      <c r="A1043" s="10" t="s">
        <v>39</v>
      </c>
      <c r="B1043" s="7" t="s">
        <v>2337</v>
      </c>
    </row>
    <row r="1044" spans="1:2" x14ac:dyDescent="0.25">
      <c r="A1044" s="10" t="s">
        <v>1854</v>
      </c>
      <c r="B1044" s="7" t="s">
        <v>2337</v>
      </c>
    </row>
    <row r="1045" spans="1:2" x14ac:dyDescent="0.25">
      <c r="A1045" s="10" t="s">
        <v>220</v>
      </c>
      <c r="B1045" s="7" t="s">
        <v>2337</v>
      </c>
    </row>
    <row r="1046" spans="1:2" x14ac:dyDescent="0.25">
      <c r="A1046" s="10" t="s">
        <v>794</v>
      </c>
      <c r="B1046" s="7" t="s">
        <v>2337</v>
      </c>
    </row>
    <row r="1047" spans="1:2" x14ac:dyDescent="0.25">
      <c r="A1047" s="10" t="s">
        <v>1855</v>
      </c>
      <c r="B1047" s="7" t="s">
        <v>2337</v>
      </c>
    </row>
    <row r="1048" spans="1:2" x14ac:dyDescent="0.25">
      <c r="A1048" s="10" t="s">
        <v>1856</v>
      </c>
      <c r="B1048" s="7" t="s">
        <v>2337</v>
      </c>
    </row>
    <row r="1049" spans="1:2" x14ac:dyDescent="0.25">
      <c r="A1049" s="10" t="s">
        <v>764</v>
      </c>
      <c r="B1049" s="7" t="s">
        <v>2337</v>
      </c>
    </row>
    <row r="1050" spans="1:2" x14ac:dyDescent="0.25">
      <c r="A1050" s="10" t="s">
        <v>1857</v>
      </c>
      <c r="B1050" s="7" t="s">
        <v>2337</v>
      </c>
    </row>
    <row r="1051" spans="1:2" x14ac:dyDescent="0.25">
      <c r="A1051" s="10" t="s">
        <v>660</v>
      </c>
      <c r="B1051" s="7" t="s">
        <v>2337</v>
      </c>
    </row>
    <row r="1052" spans="1:2" x14ac:dyDescent="0.25">
      <c r="A1052" s="10" t="s">
        <v>207</v>
      </c>
      <c r="B1052" s="7" t="s">
        <v>2337</v>
      </c>
    </row>
    <row r="1053" spans="1:2" x14ac:dyDescent="0.25">
      <c r="A1053" s="10" t="s">
        <v>451</v>
      </c>
      <c r="B1053" s="7" t="s">
        <v>2337</v>
      </c>
    </row>
    <row r="1054" spans="1:2" x14ac:dyDescent="0.25">
      <c r="A1054" s="10" t="s">
        <v>964</v>
      </c>
      <c r="B1054" s="7" t="s">
        <v>2337</v>
      </c>
    </row>
    <row r="1055" spans="1:2" x14ac:dyDescent="0.25">
      <c r="A1055" s="10" t="s">
        <v>1858</v>
      </c>
      <c r="B1055" s="7" t="s">
        <v>2337</v>
      </c>
    </row>
    <row r="1056" spans="1:2" x14ac:dyDescent="0.25">
      <c r="A1056" s="10" t="s">
        <v>194</v>
      </c>
      <c r="B1056" s="7" t="s">
        <v>2337</v>
      </c>
    </row>
    <row r="1057" spans="1:2" x14ac:dyDescent="0.25">
      <c r="A1057" s="10" t="s">
        <v>215</v>
      </c>
      <c r="B1057" s="7" t="s">
        <v>2337</v>
      </c>
    </row>
    <row r="1058" spans="1:2" x14ac:dyDescent="0.25">
      <c r="A1058" s="10" t="s">
        <v>235</v>
      </c>
      <c r="B1058" s="7" t="s">
        <v>2337</v>
      </c>
    </row>
    <row r="1059" spans="1:2" x14ac:dyDescent="0.25">
      <c r="A1059" s="10" t="s">
        <v>845</v>
      </c>
      <c r="B1059" s="7" t="s">
        <v>2337</v>
      </c>
    </row>
    <row r="1060" spans="1:2" x14ac:dyDescent="0.25">
      <c r="A1060" s="10" t="s">
        <v>557</v>
      </c>
      <c r="B1060" s="7" t="s">
        <v>2337</v>
      </c>
    </row>
    <row r="1061" spans="1:2" x14ac:dyDescent="0.25">
      <c r="A1061" s="10" t="s">
        <v>1859</v>
      </c>
      <c r="B1061" s="7" t="s">
        <v>2337</v>
      </c>
    </row>
    <row r="1062" spans="1:2" x14ac:dyDescent="0.25">
      <c r="A1062" s="10" t="s">
        <v>102</v>
      </c>
      <c r="B1062" s="7" t="s">
        <v>2337</v>
      </c>
    </row>
    <row r="1063" spans="1:2" x14ac:dyDescent="0.25">
      <c r="A1063" s="10" t="s">
        <v>1860</v>
      </c>
      <c r="B1063" s="7" t="s">
        <v>2337</v>
      </c>
    </row>
    <row r="1064" spans="1:2" x14ac:dyDescent="0.25">
      <c r="A1064" s="10" t="s">
        <v>919</v>
      </c>
      <c r="B1064" s="7" t="s">
        <v>2337</v>
      </c>
    </row>
    <row r="1065" spans="1:2" x14ac:dyDescent="0.25">
      <c r="A1065" s="10" t="s">
        <v>1861</v>
      </c>
      <c r="B1065" s="7" t="s">
        <v>2337</v>
      </c>
    </row>
    <row r="1066" spans="1:2" x14ac:dyDescent="0.25">
      <c r="A1066" s="10" t="s">
        <v>161</v>
      </c>
      <c r="B1066" s="7" t="s">
        <v>2337</v>
      </c>
    </row>
    <row r="1067" spans="1:2" x14ac:dyDescent="0.25">
      <c r="A1067" s="10" t="s">
        <v>1010</v>
      </c>
      <c r="B1067" s="7" t="s">
        <v>2337</v>
      </c>
    </row>
    <row r="1068" spans="1:2" x14ac:dyDescent="0.25">
      <c r="A1068" s="10" t="s">
        <v>1862</v>
      </c>
      <c r="B1068" s="7" t="s">
        <v>2337</v>
      </c>
    </row>
    <row r="1069" spans="1:2" x14ac:dyDescent="0.25">
      <c r="A1069" s="10" t="s">
        <v>1863</v>
      </c>
      <c r="B1069" s="7" t="s">
        <v>2337</v>
      </c>
    </row>
    <row r="1070" spans="1:2" x14ac:dyDescent="0.25">
      <c r="A1070" s="10" t="s">
        <v>663</v>
      </c>
      <c r="B1070" s="7" t="s">
        <v>2337</v>
      </c>
    </row>
    <row r="1071" spans="1:2" x14ac:dyDescent="0.25">
      <c r="A1071" s="10" t="s">
        <v>1864</v>
      </c>
      <c r="B1071" s="7" t="s">
        <v>2337</v>
      </c>
    </row>
    <row r="1072" spans="1:2" x14ac:dyDescent="0.25">
      <c r="A1072" s="10" t="s">
        <v>1865</v>
      </c>
      <c r="B1072" s="7" t="s">
        <v>2337</v>
      </c>
    </row>
    <row r="1073" spans="1:2" x14ac:dyDescent="0.25">
      <c r="A1073" s="10" t="s">
        <v>1866</v>
      </c>
      <c r="B1073" s="7" t="s">
        <v>2337</v>
      </c>
    </row>
    <row r="1074" spans="1:2" x14ac:dyDescent="0.25">
      <c r="A1074" s="10" t="s">
        <v>559</v>
      </c>
      <c r="B1074" s="7" t="s">
        <v>2337</v>
      </c>
    </row>
    <row r="1075" spans="1:2" x14ac:dyDescent="0.25">
      <c r="A1075" s="10" t="s">
        <v>1867</v>
      </c>
      <c r="B1075" s="7" t="s">
        <v>2337</v>
      </c>
    </row>
    <row r="1076" spans="1:2" x14ac:dyDescent="0.25">
      <c r="A1076" s="10" t="s">
        <v>145</v>
      </c>
      <c r="B1076" s="7" t="s">
        <v>2337</v>
      </c>
    </row>
    <row r="1077" spans="1:2" x14ac:dyDescent="0.25">
      <c r="A1077" s="10" t="s">
        <v>1868</v>
      </c>
      <c r="B1077" s="7" t="s">
        <v>2337</v>
      </c>
    </row>
    <row r="1078" spans="1:2" x14ac:dyDescent="0.25">
      <c r="A1078" s="10" t="s">
        <v>700</v>
      </c>
      <c r="B1078" s="7" t="s">
        <v>2337</v>
      </c>
    </row>
    <row r="1079" spans="1:2" x14ac:dyDescent="0.25">
      <c r="A1079" s="10" t="s">
        <v>30</v>
      </c>
      <c r="B1079" s="7" t="s">
        <v>2337</v>
      </c>
    </row>
    <row r="1080" spans="1:2" x14ac:dyDescent="0.25">
      <c r="A1080" s="10" t="s">
        <v>320</v>
      </c>
      <c r="B1080" s="7" t="s">
        <v>2337</v>
      </c>
    </row>
    <row r="1081" spans="1:2" x14ac:dyDescent="0.25">
      <c r="A1081" s="10" t="s">
        <v>516</v>
      </c>
      <c r="B1081" s="7" t="s">
        <v>2337</v>
      </c>
    </row>
    <row r="1082" spans="1:2" x14ac:dyDescent="0.25">
      <c r="A1082" s="10" t="s">
        <v>1869</v>
      </c>
      <c r="B1082" s="7" t="s">
        <v>2337</v>
      </c>
    </row>
    <row r="1083" spans="1:2" x14ac:dyDescent="0.25">
      <c r="A1083" s="10" t="s">
        <v>572</v>
      </c>
      <c r="B1083" s="7" t="s">
        <v>2337</v>
      </c>
    </row>
    <row r="1084" spans="1:2" x14ac:dyDescent="0.25">
      <c r="A1084" s="10" t="s">
        <v>549</v>
      </c>
      <c r="B1084" s="7" t="s">
        <v>2337</v>
      </c>
    </row>
    <row r="1085" spans="1:2" x14ac:dyDescent="0.25">
      <c r="A1085" s="10" t="s">
        <v>1870</v>
      </c>
      <c r="B1085" s="7" t="s">
        <v>2337</v>
      </c>
    </row>
    <row r="1086" spans="1:2" x14ac:dyDescent="0.25">
      <c r="A1086" s="10" t="s">
        <v>1871</v>
      </c>
      <c r="B1086" s="7" t="s">
        <v>2337</v>
      </c>
    </row>
    <row r="1087" spans="1:2" x14ac:dyDescent="0.25">
      <c r="A1087" s="10" t="s">
        <v>153</v>
      </c>
      <c r="B1087" s="7" t="s">
        <v>2337</v>
      </c>
    </row>
    <row r="1088" spans="1:2" x14ac:dyDescent="0.25">
      <c r="A1088" s="10" t="s">
        <v>20</v>
      </c>
      <c r="B1088" s="7" t="s">
        <v>2337</v>
      </c>
    </row>
    <row r="1089" spans="1:2" x14ac:dyDescent="0.25">
      <c r="A1089" s="10" t="s">
        <v>372</v>
      </c>
      <c r="B1089" s="7" t="s">
        <v>2337</v>
      </c>
    </row>
    <row r="1090" spans="1:2" x14ac:dyDescent="0.25">
      <c r="A1090" s="10" t="s">
        <v>199</v>
      </c>
      <c r="B1090" s="7" t="s">
        <v>2337</v>
      </c>
    </row>
    <row r="1091" spans="1:2" x14ac:dyDescent="0.25">
      <c r="A1091" s="10" t="s">
        <v>1872</v>
      </c>
      <c r="B1091" s="7" t="s">
        <v>2337</v>
      </c>
    </row>
    <row r="1092" spans="1:2" x14ac:dyDescent="0.25">
      <c r="A1092" s="10" t="s">
        <v>109</v>
      </c>
      <c r="B1092" s="7" t="s">
        <v>2337</v>
      </c>
    </row>
    <row r="1093" spans="1:2" x14ac:dyDescent="0.25">
      <c r="A1093" s="10" t="s">
        <v>1873</v>
      </c>
      <c r="B1093" s="7" t="s">
        <v>2337</v>
      </c>
    </row>
    <row r="1094" spans="1:2" x14ac:dyDescent="0.25">
      <c r="A1094" s="10" t="s">
        <v>401</v>
      </c>
      <c r="B1094" s="7" t="s">
        <v>2337</v>
      </c>
    </row>
    <row r="1095" spans="1:2" x14ac:dyDescent="0.25">
      <c r="A1095" s="10" t="s">
        <v>173</v>
      </c>
      <c r="B1095" s="7" t="s">
        <v>2337</v>
      </c>
    </row>
    <row r="1096" spans="1:2" x14ac:dyDescent="0.25">
      <c r="A1096" s="10" t="s">
        <v>1874</v>
      </c>
      <c r="B1096" s="7" t="s">
        <v>2337</v>
      </c>
    </row>
    <row r="1097" spans="1:2" x14ac:dyDescent="0.25">
      <c r="A1097" s="10" t="s">
        <v>662</v>
      </c>
      <c r="B1097" s="7" t="s">
        <v>2337</v>
      </c>
    </row>
    <row r="1098" spans="1:2" x14ac:dyDescent="0.25">
      <c r="A1098" s="10" t="s">
        <v>904</v>
      </c>
      <c r="B1098" s="7" t="s">
        <v>2337</v>
      </c>
    </row>
    <row r="1099" spans="1:2" x14ac:dyDescent="0.25">
      <c r="A1099" s="10" t="s">
        <v>1875</v>
      </c>
      <c r="B1099" s="7" t="s">
        <v>2337</v>
      </c>
    </row>
    <row r="1100" spans="1:2" x14ac:dyDescent="0.25">
      <c r="A1100" s="10" t="s">
        <v>307</v>
      </c>
      <c r="B1100" s="7" t="s">
        <v>2337</v>
      </c>
    </row>
    <row r="1101" spans="1:2" x14ac:dyDescent="0.25">
      <c r="A1101" s="10" t="s">
        <v>742</v>
      </c>
      <c r="B1101" s="7" t="s">
        <v>2337</v>
      </c>
    </row>
    <row r="1102" spans="1:2" x14ac:dyDescent="0.25">
      <c r="A1102" s="10" t="s">
        <v>983</v>
      </c>
      <c r="B1102" s="7" t="s">
        <v>2337</v>
      </c>
    </row>
    <row r="1103" spans="1:2" x14ac:dyDescent="0.25">
      <c r="A1103" s="10" t="s">
        <v>1876</v>
      </c>
      <c r="B1103" s="7" t="s">
        <v>2337</v>
      </c>
    </row>
    <row r="1104" spans="1:2" x14ac:dyDescent="0.25">
      <c r="A1104" s="10" t="s">
        <v>1212</v>
      </c>
      <c r="B1104" s="7" t="s">
        <v>2337</v>
      </c>
    </row>
    <row r="1105" spans="1:2" x14ac:dyDescent="0.25">
      <c r="A1105" s="10" t="s">
        <v>297</v>
      </c>
      <c r="B1105" s="7" t="s">
        <v>2337</v>
      </c>
    </row>
    <row r="1106" spans="1:2" x14ac:dyDescent="0.25">
      <c r="A1106" s="10" t="s">
        <v>1877</v>
      </c>
      <c r="B1106" s="7" t="s">
        <v>2337</v>
      </c>
    </row>
    <row r="1107" spans="1:2" x14ac:dyDescent="0.25">
      <c r="A1107" s="10" t="s">
        <v>591</v>
      </c>
      <c r="B1107" s="7" t="s">
        <v>2337</v>
      </c>
    </row>
    <row r="1108" spans="1:2" x14ac:dyDescent="0.25">
      <c r="A1108" s="10" t="s">
        <v>1202</v>
      </c>
      <c r="B1108" s="7" t="s">
        <v>2337</v>
      </c>
    </row>
    <row r="1109" spans="1:2" x14ac:dyDescent="0.25">
      <c r="A1109" s="10" t="s">
        <v>1878</v>
      </c>
      <c r="B1109" s="7" t="s">
        <v>2337</v>
      </c>
    </row>
    <row r="1110" spans="1:2" x14ac:dyDescent="0.25">
      <c r="A1110" s="10" t="s">
        <v>376</v>
      </c>
      <c r="B1110" s="7" t="s">
        <v>2337</v>
      </c>
    </row>
    <row r="1111" spans="1:2" x14ac:dyDescent="0.25">
      <c r="A1111" s="10" t="s">
        <v>1879</v>
      </c>
      <c r="B1111" s="7" t="s">
        <v>2337</v>
      </c>
    </row>
    <row r="1112" spans="1:2" x14ac:dyDescent="0.25">
      <c r="A1112" s="10" t="s">
        <v>1880</v>
      </c>
      <c r="B1112" s="7" t="s">
        <v>2337</v>
      </c>
    </row>
    <row r="1113" spans="1:2" x14ac:dyDescent="0.25">
      <c r="A1113" s="10" t="s">
        <v>1881</v>
      </c>
      <c r="B1113" s="7" t="s">
        <v>2337</v>
      </c>
    </row>
    <row r="1114" spans="1:2" x14ac:dyDescent="0.25">
      <c r="A1114" s="10" t="s">
        <v>1882</v>
      </c>
      <c r="B1114" s="7" t="s">
        <v>2337</v>
      </c>
    </row>
    <row r="1115" spans="1:2" x14ac:dyDescent="0.25">
      <c r="A1115" s="10" t="s">
        <v>354</v>
      </c>
      <c r="B1115" s="7" t="s">
        <v>2337</v>
      </c>
    </row>
    <row r="1116" spans="1:2" x14ac:dyDescent="0.25">
      <c r="A1116" s="10" t="s">
        <v>284</v>
      </c>
      <c r="B1116" s="7" t="s">
        <v>2337</v>
      </c>
    </row>
    <row r="1117" spans="1:2" x14ac:dyDescent="0.25">
      <c r="A1117" s="10" t="s">
        <v>1883</v>
      </c>
      <c r="B1117" s="7" t="s">
        <v>2337</v>
      </c>
    </row>
    <row r="1118" spans="1:2" x14ac:dyDescent="0.25">
      <c r="A1118" s="10" t="s">
        <v>82</v>
      </c>
      <c r="B1118" s="7" t="s">
        <v>2337</v>
      </c>
    </row>
    <row r="1119" spans="1:2" x14ac:dyDescent="0.25">
      <c r="A1119" s="10" t="s">
        <v>34</v>
      </c>
      <c r="B1119" s="7" t="s">
        <v>2337</v>
      </c>
    </row>
    <row r="1120" spans="1:2" x14ac:dyDescent="0.25">
      <c r="A1120" s="10" t="s">
        <v>1884</v>
      </c>
      <c r="B1120" s="7" t="s">
        <v>2337</v>
      </c>
    </row>
    <row r="1121" spans="1:2" x14ac:dyDescent="0.25">
      <c r="A1121" s="10" t="s">
        <v>1885</v>
      </c>
      <c r="B1121" s="7" t="s">
        <v>2337</v>
      </c>
    </row>
    <row r="1122" spans="1:2" x14ac:dyDescent="0.25">
      <c r="A1122" s="10" t="s">
        <v>1200</v>
      </c>
      <c r="B1122" s="7" t="s">
        <v>2337</v>
      </c>
    </row>
    <row r="1123" spans="1:2" x14ac:dyDescent="0.25">
      <c r="A1123" s="10" t="s">
        <v>680</v>
      </c>
      <c r="B1123" s="7" t="s">
        <v>2337</v>
      </c>
    </row>
    <row r="1124" spans="1:2" x14ac:dyDescent="0.25">
      <c r="A1124" s="10" t="s">
        <v>1886</v>
      </c>
      <c r="B1124" s="7" t="s">
        <v>2337</v>
      </c>
    </row>
    <row r="1125" spans="1:2" x14ac:dyDescent="0.25">
      <c r="A1125" s="10" t="s">
        <v>1887</v>
      </c>
      <c r="B1125" s="7" t="s">
        <v>2337</v>
      </c>
    </row>
    <row r="1126" spans="1:2" x14ac:dyDescent="0.25">
      <c r="A1126" s="10" t="s">
        <v>364</v>
      </c>
      <c r="B1126" s="7" t="s">
        <v>2337</v>
      </c>
    </row>
    <row r="1127" spans="1:2" x14ac:dyDescent="0.25">
      <c r="A1127" s="10" t="s">
        <v>1888</v>
      </c>
      <c r="B1127" s="7" t="s">
        <v>2337</v>
      </c>
    </row>
    <row r="1128" spans="1:2" x14ac:dyDescent="0.25">
      <c r="A1128" s="10" t="s">
        <v>1889</v>
      </c>
      <c r="B1128" s="7" t="s">
        <v>2337</v>
      </c>
    </row>
    <row r="1129" spans="1:2" x14ac:dyDescent="0.25">
      <c r="A1129" s="10" t="s">
        <v>1097</v>
      </c>
      <c r="B1129" s="7" t="s">
        <v>2337</v>
      </c>
    </row>
    <row r="1130" spans="1:2" x14ac:dyDescent="0.25">
      <c r="A1130" s="10" t="s">
        <v>639</v>
      </c>
      <c r="B1130" s="7" t="s">
        <v>2337</v>
      </c>
    </row>
    <row r="1131" spans="1:2" x14ac:dyDescent="0.25">
      <c r="A1131" s="10" t="s">
        <v>88</v>
      </c>
      <c r="B1131" s="7" t="s">
        <v>2337</v>
      </c>
    </row>
    <row r="1132" spans="1:2" x14ac:dyDescent="0.25">
      <c r="A1132" s="10" t="s">
        <v>555</v>
      </c>
      <c r="B1132" s="7" t="s">
        <v>2337</v>
      </c>
    </row>
    <row r="1133" spans="1:2" x14ac:dyDescent="0.25">
      <c r="A1133" s="10" t="s">
        <v>1890</v>
      </c>
      <c r="B1133" s="7" t="s">
        <v>2337</v>
      </c>
    </row>
    <row r="1134" spans="1:2" x14ac:dyDescent="0.25">
      <c r="A1134" s="10" t="s">
        <v>882</v>
      </c>
      <c r="B1134" s="7" t="s">
        <v>2337</v>
      </c>
    </row>
    <row r="1135" spans="1:2" x14ac:dyDescent="0.25">
      <c r="A1135" s="10" t="s">
        <v>1891</v>
      </c>
      <c r="B1135" s="7" t="s">
        <v>2337</v>
      </c>
    </row>
    <row r="1136" spans="1:2" x14ac:dyDescent="0.25">
      <c r="A1136" s="10" t="s">
        <v>1892</v>
      </c>
      <c r="B1136" s="7" t="s">
        <v>2337</v>
      </c>
    </row>
    <row r="1137" spans="1:2" x14ac:dyDescent="0.25">
      <c r="A1137" s="10" t="s">
        <v>897</v>
      </c>
      <c r="B1137" s="7" t="s">
        <v>2337</v>
      </c>
    </row>
    <row r="1138" spans="1:2" x14ac:dyDescent="0.25">
      <c r="A1138" s="10" t="s">
        <v>816</v>
      </c>
      <c r="B1138" s="7" t="s">
        <v>2337</v>
      </c>
    </row>
    <row r="1139" spans="1:2" x14ac:dyDescent="0.25">
      <c r="A1139" s="10" t="s">
        <v>960</v>
      </c>
      <c r="B1139" s="7" t="s">
        <v>2337</v>
      </c>
    </row>
    <row r="1140" spans="1:2" x14ac:dyDescent="0.25">
      <c r="A1140" s="10" t="s">
        <v>863</v>
      </c>
      <c r="B1140" s="7" t="s">
        <v>2337</v>
      </c>
    </row>
    <row r="1141" spans="1:2" x14ac:dyDescent="0.25">
      <c r="A1141" s="10" t="s">
        <v>1893</v>
      </c>
      <c r="B1141" s="7" t="s">
        <v>2337</v>
      </c>
    </row>
    <row r="1142" spans="1:2" x14ac:dyDescent="0.25">
      <c r="A1142" s="10" t="s">
        <v>1894</v>
      </c>
      <c r="B1142" s="7" t="s">
        <v>2337</v>
      </c>
    </row>
    <row r="1143" spans="1:2" x14ac:dyDescent="0.25">
      <c r="A1143" s="10" t="s">
        <v>1895</v>
      </c>
      <c r="B1143" s="7" t="s">
        <v>2337</v>
      </c>
    </row>
    <row r="1144" spans="1:2" x14ac:dyDescent="0.25">
      <c r="A1144" s="10" t="s">
        <v>927</v>
      </c>
      <c r="B1144" s="7" t="s">
        <v>2337</v>
      </c>
    </row>
    <row r="1145" spans="1:2" x14ac:dyDescent="0.25">
      <c r="A1145" s="10" t="s">
        <v>1896</v>
      </c>
      <c r="B1145" s="7" t="s">
        <v>2337</v>
      </c>
    </row>
    <row r="1146" spans="1:2" x14ac:dyDescent="0.25">
      <c r="A1146" s="10" t="s">
        <v>1897</v>
      </c>
      <c r="B1146" s="7" t="s">
        <v>2337</v>
      </c>
    </row>
    <row r="1147" spans="1:2" x14ac:dyDescent="0.25">
      <c r="A1147" s="10" t="s">
        <v>1207</v>
      </c>
      <c r="B1147" s="7" t="s">
        <v>2337</v>
      </c>
    </row>
    <row r="1148" spans="1:2" x14ac:dyDescent="0.25">
      <c r="A1148" s="10" t="s">
        <v>1898</v>
      </c>
      <c r="B1148" s="7" t="s">
        <v>2337</v>
      </c>
    </row>
    <row r="1149" spans="1:2" x14ac:dyDescent="0.25">
      <c r="A1149" s="10" t="s">
        <v>841</v>
      </c>
      <c r="B1149" s="7" t="s">
        <v>2337</v>
      </c>
    </row>
    <row r="1150" spans="1:2" x14ac:dyDescent="0.25">
      <c r="A1150" s="10" t="s">
        <v>1028</v>
      </c>
      <c r="B1150" s="7" t="s">
        <v>2337</v>
      </c>
    </row>
    <row r="1151" spans="1:2" x14ac:dyDescent="0.25">
      <c r="A1151" s="10" t="s">
        <v>1899</v>
      </c>
      <c r="B1151" s="7" t="s">
        <v>2337</v>
      </c>
    </row>
    <row r="1152" spans="1:2" x14ac:dyDescent="0.25">
      <c r="A1152" s="10" t="s">
        <v>1900</v>
      </c>
      <c r="B1152" s="7" t="s">
        <v>2337</v>
      </c>
    </row>
    <row r="1153" spans="1:2" x14ac:dyDescent="0.25">
      <c r="A1153" s="10" t="s">
        <v>1166</v>
      </c>
      <c r="B1153" s="7" t="s">
        <v>2337</v>
      </c>
    </row>
    <row r="1154" spans="1:2" x14ac:dyDescent="0.25">
      <c r="A1154" s="10" t="s">
        <v>98</v>
      </c>
      <c r="B1154" s="7" t="s">
        <v>2337</v>
      </c>
    </row>
    <row r="1155" spans="1:2" x14ac:dyDescent="0.25">
      <c r="A1155" s="10" t="s">
        <v>1901</v>
      </c>
      <c r="B1155" s="7" t="s">
        <v>2337</v>
      </c>
    </row>
    <row r="1156" spans="1:2" x14ac:dyDescent="0.25">
      <c r="A1156" s="10" t="s">
        <v>530</v>
      </c>
      <c r="B1156" s="7" t="s">
        <v>2337</v>
      </c>
    </row>
    <row r="1157" spans="1:2" x14ac:dyDescent="0.25">
      <c r="A1157" s="10" t="s">
        <v>565</v>
      </c>
      <c r="B1157" s="7" t="s">
        <v>2337</v>
      </c>
    </row>
    <row r="1158" spans="1:2" x14ac:dyDescent="0.25">
      <c r="A1158" s="10" t="s">
        <v>608</v>
      </c>
      <c r="B1158" s="7" t="s">
        <v>2337</v>
      </c>
    </row>
    <row r="1159" spans="1:2" x14ac:dyDescent="0.25">
      <c r="A1159" s="10" t="s">
        <v>406</v>
      </c>
      <c r="B1159" s="7" t="s">
        <v>2337</v>
      </c>
    </row>
    <row r="1160" spans="1:2" x14ac:dyDescent="0.25">
      <c r="A1160" s="10" t="s">
        <v>249</v>
      </c>
      <c r="B1160" s="7" t="s">
        <v>2337</v>
      </c>
    </row>
    <row r="1161" spans="1:2" x14ac:dyDescent="0.25">
      <c r="A1161" s="10" t="s">
        <v>1902</v>
      </c>
      <c r="B1161" s="7" t="s">
        <v>2337</v>
      </c>
    </row>
    <row r="1162" spans="1:2" x14ac:dyDescent="0.25">
      <c r="A1162" s="10" t="s">
        <v>1903</v>
      </c>
      <c r="B1162" s="7" t="s">
        <v>2337</v>
      </c>
    </row>
    <row r="1163" spans="1:2" x14ac:dyDescent="0.25">
      <c r="A1163" s="10" t="s">
        <v>1904</v>
      </c>
      <c r="B1163" s="7" t="s">
        <v>2337</v>
      </c>
    </row>
    <row r="1164" spans="1:2" x14ac:dyDescent="0.25">
      <c r="A1164" s="10" t="s">
        <v>1905</v>
      </c>
      <c r="B1164" s="7" t="s">
        <v>2337</v>
      </c>
    </row>
    <row r="1165" spans="1:2" x14ac:dyDescent="0.25">
      <c r="A1165" s="10" t="s">
        <v>931</v>
      </c>
      <c r="B1165" s="7" t="s">
        <v>2337</v>
      </c>
    </row>
    <row r="1166" spans="1:2" x14ac:dyDescent="0.25">
      <c r="A1166" s="10" t="s">
        <v>1906</v>
      </c>
      <c r="B1166" s="7" t="s">
        <v>2337</v>
      </c>
    </row>
    <row r="1167" spans="1:2" x14ac:dyDescent="0.25">
      <c r="A1167" s="10" t="s">
        <v>1907</v>
      </c>
      <c r="B1167" s="7" t="s">
        <v>2337</v>
      </c>
    </row>
    <row r="1168" spans="1:2" x14ac:dyDescent="0.25">
      <c r="A1168" s="10" t="s">
        <v>1908</v>
      </c>
      <c r="B1168" s="7" t="s">
        <v>2337</v>
      </c>
    </row>
    <row r="1169" spans="1:2" x14ac:dyDescent="0.25">
      <c r="A1169" s="10" t="s">
        <v>1138</v>
      </c>
      <c r="B1169" s="7" t="s">
        <v>2337</v>
      </c>
    </row>
    <row r="1170" spans="1:2" x14ac:dyDescent="0.25">
      <c r="A1170" s="10" t="s">
        <v>1909</v>
      </c>
      <c r="B1170" s="7" t="s">
        <v>2337</v>
      </c>
    </row>
    <row r="1171" spans="1:2" x14ac:dyDescent="0.25">
      <c r="A1171" s="10" t="s">
        <v>1910</v>
      </c>
      <c r="B1171" s="7" t="s">
        <v>2337</v>
      </c>
    </row>
    <row r="1172" spans="1:2" x14ac:dyDescent="0.25">
      <c r="A1172" s="10" t="s">
        <v>342</v>
      </c>
      <c r="B1172" s="7" t="s">
        <v>2337</v>
      </c>
    </row>
    <row r="1173" spans="1:2" x14ac:dyDescent="0.25">
      <c r="A1173" s="10" t="s">
        <v>877</v>
      </c>
      <c r="B1173" s="7" t="s">
        <v>2337</v>
      </c>
    </row>
    <row r="1174" spans="1:2" x14ac:dyDescent="0.25">
      <c r="A1174" s="10" t="s">
        <v>1911</v>
      </c>
      <c r="B1174" s="7" t="s">
        <v>2337</v>
      </c>
    </row>
    <row r="1175" spans="1:2" x14ac:dyDescent="0.25">
      <c r="A1175" s="10" t="s">
        <v>755</v>
      </c>
      <c r="B1175" s="7" t="s">
        <v>2337</v>
      </c>
    </row>
    <row r="1176" spans="1:2" x14ac:dyDescent="0.25">
      <c r="A1176" s="10" t="s">
        <v>1912</v>
      </c>
      <c r="B1176" s="7" t="s">
        <v>2337</v>
      </c>
    </row>
    <row r="1177" spans="1:2" x14ac:dyDescent="0.25">
      <c r="A1177" s="10" t="s">
        <v>1913</v>
      </c>
      <c r="B1177" s="7" t="s">
        <v>2337</v>
      </c>
    </row>
    <row r="1178" spans="1:2" x14ac:dyDescent="0.25">
      <c r="A1178" s="10" t="s">
        <v>339</v>
      </c>
      <c r="B1178" s="7" t="s">
        <v>2337</v>
      </c>
    </row>
    <row r="1179" spans="1:2" x14ac:dyDescent="0.25">
      <c r="A1179" s="10" t="s">
        <v>1170</v>
      </c>
      <c r="B1179" s="7" t="s">
        <v>2337</v>
      </c>
    </row>
    <row r="1180" spans="1:2" x14ac:dyDescent="0.25">
      <c r="A1180" s="10" t="s">
        <v>1914</v>
      </c>
      <c r="B1180" s="7" t="s">
        <v>2337</v>
      </c>
    </row>
    <row r="1181" spans="1:2" x14ac:dyDescent="0.25">
      <c r="A1181" s="10" t="s">
        <v>1915</v>
      </c>
      <c r="B1181" s="7" t="s">
        <v>2337</v>
      </c>
    </row>
    <row r="1182" spans="1:2" x14ac:dyDescent="0.25">
      <c r="A1182" s="10" t="s">
        <v>1916</v>
      </c>
      <c r="B1182" s="7" t="s">
        <v>2337</v>
      </c>
    </row>
    <row r="1183" spans="1:2" x14ac:dyDescent="0.25">
      <c r="A1183" s="10" t="s">
        <v>1917</v>
      </c>
      <c r="B1183" s="7" t="s">
        <v>2337</v>
      </c>
    </row>
    <row r="1184" spans="1:2" x14ac:dyDescent="0.25">
      <c r="A1184" s="10" t="s">
        <v>896</v>
      </c>
      <c r="B1184" s="7" t="s">
        <v>2337</v>
      </c>
    </row>
    <row r="1185" spans="1:2" x14ac:dyDescent="0.25">
      <c r="A1185" s="10" t="s">
        <v>1918</v>
      </c>
      <c r="B1185" s="7" t="s">
        <v>2337</v>
      </c>
    </row>
    <row r="1186" spans="1:2" x14ac:dyDescent="0.25">
      <c r="A1186" s="10" t="s">
        <v>784</v>
      </c>
      <c r="B1186" s="7" t="s">
        <v>2337</v>
      </c>
    </row>
    <row r="1187" spans="1:2" x14ac:dyDescent="0.25">
      <c r="A1187" s="10" t="s">
        <v>1919</v>
      </c>
      <c r="B1187" s="7" t="s">
        <v>2337</v>
      </c>
    </row>
    <row r="1188" spans="1:2" x14ac:dyDescent="0.25">
      <c r="A1188" s="10" t="s">
        <v>1920</v>
      </c>
      <c r="B1188" s="7" t="s">
        <v>2337</v>
      </c>
    </row>
    <row r="1189" spans="1:2" x14ac:dyDescent="0.25">
      <c r="A1189" s="10" t="s">
        <v>1029</v>
      </c>
      <c r="B1189" s="7" t="s">
        <v>2337</v>
      </c>
    </row>
    <row r="1190" spans="1:2" x14ac:dyDescent="0.25">
      <c r="A1190" s="10" t="s">
        <v>1921</v>
      </c>
      <c r="B1190" s="7" t="s">
        <v>2337</v>
      </c>
    </row>
    <row r="1191" spans="1:2" x14ac:dyDescent="0.25">
      <c r="A1191" s="10" t="s">
        <v>679</v>
      </c>
      <c r="B1191" s="7" t="s">
        <v>2337</v>
      </c>
    </row>
    <row r="1192" spans="1:2" x14ac:dyDescent="0.25">
      <c r="A1192" s="10" t="s">
        <v>884</v>
      </c>
      <c r="B1192" s="7" t="s">
        <v>2337</v>
      </c>
    </row>
    <row r="1193" spans="1:2" x14ac:dyDescent="0.25">
      <c r="A1193" s="10" t="s">
        <v>344</v>
      </c>
      <c r="B1193" s="7" t="s">
        <v>2337</v>
      </c>
    </row>
    <row r="1194" spans="1:2" x14ac:dyDescent="0.25">
      <c r="A1194" s="10" t="s">
        <v>1922</v>
      </c>
      <c r="B1194" s="7" t="s">
        <v>2337</v>
      </c>
    </row>
    <row r="1195" spans="1:2" x14ac:dyDescent="0.25">
      <c r="A1195" s="10" t="s">
        <v>1923</v>
      </c>
      <c r="B1195" s="7" t="s">
        <v>2337</v>
      </c>
    </row>
    <row r="1196" spans="1:2" x14ac:dyDescent="0.25">
      <c r="A1196" s="10" t="s">
        <v>92</v>
      </c>
      <c r="B1196" s="7" t="s">
        <v>2337</v>
      </c>
    </row>
    <row r="1197" spans="1:2" x14ac:dyDescent="0.25">
      <c r="A1197" s="10" t="s">
        <v>599</v>
      </c>
      <c r="B1197" s="7" t="s">
        <v>2337</v>
      </c>
    </row>
    <row r="1198" spans="1:2" x14ac:dyDescent="0.25">
      <c r="A1198" s="10" t="s">
        <v>1924</v>
      </c>
      <c r="B1198" s="7" t="s">
        <v>2337</v>
      </c>
    </row>
    <row r="1199" spans="1:2" x14ac:dyDescent="0.25">
      <c r="A1199" s="10" t="s">
        <v>438</v>
      </c>
      <c r="B1199" s="7" t="s">
        <v>2337</v>
      </c>
    </row>
    <row r="1200" spans="1:2" x14ac:dyDescent="0.25">
      <c r="A1200" s="10" t="s">
        <v>833</v>
      </c>
      <c r="B1200" s="7" t="s">
        <v>2337</v>
      </c>
    </row>
    <row r="1201" spans="1:2" x14ac:dyDescent="0.25">
      <c r="A1201" s="10" t="s">
        <v>932</v>
      </c>
      <c r="B1201" s="7" t="s">
        <v>2337</v>
      </c>
    </row>
    <row r="1202" spans="1:2" x14ac:dyDescent="0.25">
      <c r="A1202" s="10" t="s">
        <v>40</v>
      </c>
      <c r="B1202" s="7" t="s">
        <v>2337</v>
      </c>
    </row>
    <row r="1203" spans="1:2" x14ac:dyDescent="0.25">
      <c r="A1203" s="10" t="s">
        <v>478</v>
      </c>
      <c r="B1203" s="7" t="s">
        <v>2337</v>
      </c>
    </row>
    <row r="1204" spans="1:2" x14ac:dyDescent="0.25">
      <c r="A1204" s="10" t="s">
        <v>1925</v>
      </c>
      <c r="B1204" s="7" t="s">
        <v>2337</v>
      </c>
    </row>
    <row r="1205" spans="1:2" x14ac:dyDescent="0.25">
      <c r="A1205" s="10" t="s">
        <v>1926</v>
      </c>
      <c r="B1205" s="7" t="s">
        <v>2337</v>
      </c>
    </row>
    <row r="1206" spans="1:2" x14ac:dyDescent="0.25">
      <c r="A1206" s="10" t="s">
        <v>1927</v>
      </c>
      <c r="B1206" s="7" t="s">
        <v>2337</v>
      </c>
    </row>
    <row r="1207" spans="1:2" x14ac:dyDescent="0.25">
      <c r="A1207" s="10" t="s">
        <v>1928</v>
      </c>
      <c r="B1207" s="7" t="s">
        <v>2337</v>
      </c>
    </row>
    <row r="1208" spans="1:2" x14ac:dyDescent="0.25">
      <c r="A1208" s="10" t="s">
        <v>1929</v>
      </c>
      <c r="B1208" s="7" t="s">
        <v>2337</v>
      </c>
    </row>
    <row r="1209" spans="1:2" x14ac:dyDescent="0.25">
      <c r="A1209" s="10" t="s">
        <v>769</v>
      </c>
      <c r="B1209" s="7" t="s">
        <v>2337</v>
      </c>
    </row>
    <row r="1210" spans="1:2" x14ac:dyDescent="0.25">
      <c r="A1210" s="10" t="s">
        <v>1930</v>
      </c>
      <c r="B1210" s="7" t="s">
        <v>2337</v>
      </c>
    </row>
    <row r="1211" spans="1:2" x14ac:dyDescent="0.25">
      <c r="A1211" s="10" t="s">
        <v>131</v>
      </c>
      <c r="B1211" s="7" t="s">
        <v>2337</v>
      </c>
    </row>
    <row r="1212" spans="1:2" x14ac:dyDescent="0.25">
      <c r="A1212" s="10" t="s">
        <v>1931</v>
      </c>
      <c r="B1212" s="7" t="s">
        <v>2337</v>
      </c>
    </row>
    <row r="1213" spans="1:2" x14ac:dyDescent="0.25">
      <c r="A1213" s="10" t="s">
        <v>1259</v>
      </c>
      <c r="B1213" s="7" t="s">
        <v>2337</v>
      </c>
    </row>
    <row r="1214" spans="1:2" x14ac:dyDescent="0.25">
      <c r="A1214" s="10" t="s">
        <v>568</v>
      </c>
      <c r="B1214" s="7" t="s">
        <v>2337</v>
      </c>
    </row>
    <row r="1215" spans="1:2" x14ac:dyDescent="0.25">
      <c r="A1215" s="10" t="s">
        <v>1932</v>
      </c>
      <c r="B1215" s="7" t="s">
        <v>2337</v>
      </c>
    </row>
    <row r="1216" spans="1:2" x14ac:dyDescent="0.25">
      <c r="A1216" s="10" t="s">
        <v>944</v>
      </c>
      <c r="B1216" s="7" t="s">
        <v>2337</v>
      </c>
    </row>
    <row r="1217" spans="1:2" x14ac:dyDescent="0.25">
      <c r="A1217" s="10" t="s">
        <v>491</v>
      </c>
      <c r="B1217" s="7" t="s">
        <v>2337</v>
      </c>
    </row>
    <row r="1218" spans="1:2" x14ac:dyDescent="0.25">
      <c r="A1218" s="10" t="s">
        <v>612</v>
      </c>
      <c r="B1218" s="7" t="s">
        <v>2337</v>
      </c>
    </row>
    <row r="1219" spans="1:2" x14ac:dyDescent="0.25">
      <c r="A1219" s="10" t="s">
        <v>45</v>
      </c>
      <c r="B1219" s="7" t="s">
        <v>2337</v>
      </c>
    </row>
    <row r="1220" spans="1:2" x14ac:dyDescent="0.25">
      <c r="A1220" s="10" t="s">
        <v>3</v>
      </c>
      <c r="B1220" s="7" t="s">
        <v>2337</v>
      </c>
    </row>
    <row r="1221" spans="1:2" x14ac:dyDescent="0.25">
      <c r="A1221" s="10" t="s">
        <v>1933</v>
      </c>
      <c r="B1221" s="7" t="s">
        <v>2337</v>
      </c>
    </row>
    <row r="1222" spans="1:2" x14ac:dyDescent="0.25">
      <c r="A1222" s="10" t="s">
        <v>1934</v>
      </c>
      <c r="B1222" s="7" t="s">
        <v>2337</v>
      </c>
    </row>
    <row r="1223" spans="1:2" x14ac:dyDescent="0.25">
      <c r="A1223" s="10" t="s">
        <v>1260</v>
      </c>
      <c r="B1223" s="7" t="s">
        <v>2337</v>
      </c>
    </row>
    <row r="1224" spans="1:2" x14ac:dyDescent="0.25">
      <c r="A1224" s="10" t="s">
        <v>1152</v>
      </c>
      <c r="B1224" s="7" t="s">
        <v>2337</v>
      </c>
    </row>
    <row r="1225" spans="1:2" x14ac:dyDescent="0.25">
      <c r="A1225" s="10" t="s">
        <v>1935</v>
      </c>
      <c r="B1225" s="7" t="s">
        <v>2337</v>
      </c>
    </row>
    <row r="1226" spans="1:2" x14ac:dyDescent="0.25">
      <c r="A1226" s="10" t="s">
        <v>1936</v>
      </c>
      <c r="B1226" s="7" t="s">
        <v>2337</v>
      </c>
    </row>
    <row r="1227" spans="1:2" x14ac:dyDescent="0.25">
      <c r="A1227" s="10" t="s">
        <v>1937</v>
      </c>
      <c r="B1227" s="7" t="s">
        <v>2337</v>
      </c>
    </row>
    <row r="1228" spans="1:2" x14ac:dyDescent="0.25">
      <c r="A1228" s="10" t="s">
        <v>1938</v>
      </c>
      <c r="B1228" s="7" t="s">
        <v>2337</v>
      </c>
    </row>
    <row r="1229" spans="1:2" x14ac:dyDescent="0.25">
      <c r="A1229" s="10" t="s">
        <v>444</v>
      </c>
      <c r="B1229" s="7" t="s">
        <v>2337</v>
      </c>
    </row>
    <row r="1230" spans="1:2" x14ac:dyDescent="0.25">
      <c r="A1230" s="10" t="s">
        <v>468</v>
      </c>
      <c r="B1230" s="7" t="s">
        <v>2337</v>
      </c>
    </row>
    <row r="1231" spans="1:2" x14ac:dyDescent="0.25">
      <c r="A1231" s="10" t="s">
        <v>547</v>
      </c>
      <c r="B1231" s="7" t="s">
        <v>2337</v>
      </c>
    </row>
    <row r="1232" spans="1:2" x14ac:dyDescent="0.25">
      <c r="A1232" s="10" t="s">
        <v>1939</v>
      </c>
      <c r="B1232" s="7" t="s">
        <v>2337</v>
      </c>
    </row>
    <row r="1233" spans="1:2" x14ac:dyDescent="0.25">
      <c r="A1233" s="10" t="s">
        <v>1172</v>
      </c>
      <c r="B1233" s="7" t="s">
        <v>2337</v>
      </c>
    </row>
    <row r="1234" spans="1:2" x14ac:dyDescent="0.25">
      <c r="A1234" s="10" t="s">
        <v>643</v>
      </c>
      <c r="B1234" s="7" t="s">
        <v>2337</v>
      </c>
    </row>
    <row r="1235" spans="1:2" x14ac:dyDescent="0.25">
      <c r="A1235" s="10" t="s">
        <v>1940</v>
      </c>
      <c r="B1235" s="7" t="s">
        <v>2337</v>
      </c>
    </row>
    <row r="1236" spans="1:2" x14ac:dyDescent="0.25">
      <c r="A1236" s="10" t="s">
        <v>1134</v>
      </c>
      <c r="B1236" s="7" t="s">
        <v>2337</v>
      </c>
    </row>
    <row r="1237" spans="1:2" x14ac:dyDescent="0.25">
      <c r="A1237" s="10" t="s">
        <v>368</v>
      </c>
      <c r="B1237" s="7" t="s">
        <v>2337</v>
      </c>
    </row>
    <row r="1238" spans="1:2" x14ac:dyDescent="0.25">
      <c r="A1238" s="10" t="s">
        <v>1941</v>
      </c>
      <c r="B1238" s="7" t="s">
        <v>2337</v>
      </c>
    </row>
    <row r="1239" spans="1:2" x14ac:dyDescent="0.25">
      <c r="A1239" s="10" t="s">
        <v>708</v>
      </c>
      <c r="B1239" s="7" t="s">
        <v>2337</v>
      </c>
    </row>
    <row r="1240" spans="1:2" x14ac:dyDescent="0.25">
      <c r="A1240" s="10" t="s">
        <v>1036</v>
      </c>
      <c r="B1240" s="7" t="s">
        <v>2337</v>
      </c>
    </row>
    <row r="1241" spans="1:2" x14ac:dyDescent="0.25">
      <c r="A1241" s="10" t="s">
        <v>905</v>
      </c>
      <c r="B1241" s="7" t="s">
        <v>2337</v>
      </c>
    </row>
    <row r="1242" spans="1:2" x14ac:dyDescent="0.25">
      <c r="A1242" s="10" t="s">
        <v>1210</v>
      </c>
      <c r="B1242" s="7" t="s">
        <v>2337</v>
      </c>
    </row>
    <row r="1243" spans="1:2" x14ac:dyDescent="0.25">
      <c r="A1243" s="10" t="s">
        <v>1942</v>
      </c>
      <c r="B1243" s="7" t="s">
        <v>2337</v>
      </c>
    </row>
    <row r="1244" spans="1:2" x14ac:dyDescent="0.25">
      <c r="A1244" s="10" t="s">
        <v>1943</v>
      </c>
      <c r="B1244" s="7" t="s">
        <v>2337</v>
      </c>
    </row>
    <row r="1245" spans="1:2" x14ac:dyDescent="0.25">
      <c r="A1245" s="10" t="s">
        <v>1944</v>
      </c>
      <c r="B1245" s="7" t="s">
        <v>2337</v>
      </c>
    </row>
    <row r="1246" spans="1:2" x14ac:dyDescent="0.25">
      <c r="A1246" s="10" t="s">
        <v>1945</v>
      </c>
      <c r="B1246" s="7" t="s">
        <v>2337</v>
      </c>
    </row>
    <row r="1247" spans="1:2" x14ac:dyDescent="0.25">
      <c r="A1247" s="10" t="s">
        <v>1946</v>
      </c>
      <c r="B1247" s="7" t="s">
        <v>2337</v>
      </c>
    </row>
    <row r="1248" spans="1:2" x14ac:dyDescent="0.25">
      <c r="A1248" s="10" t="s">
        <v>842</v>
      </c>
      <c r="B1248" s="7" t="s">
        <v>2337</v>
      </c>
    </row>
    <row r="1249" spans="1:2" x14ac:dyDescent="0.25">
      <c r="A1249" s="10" t="s">
        <v>997</v>
      </c>
      <c r="B1249" s="7" t="s">
        <v>2337</v>
      </c>
    </row>
    <row r="1250" spans="1:2" x14ac:dyDescent="0.25">
      <c r="A1250" s="10" t="s">
        <v>335</v>
      </c>
      <c r="B1250" s="7" t="s">
        <v>2337</v>
      </c>
    </row>
    <row r="1251" spans="1:2" x14ac:dyDescent="0.25">
      <c r="A1251" s="10" t="s">
        <v>127</v>
      </c>
      <c r="B1251" s="7" t="s">
        <v>2337</v>
      </c>
    </row>
    <row r="1252" spans="1:2" x14ac:dyDescent="0.25">
      <c r="A1252" s="10" t="s">
        <v>1947</v>
      </c>
      <c r="B1252" s="7" t="s">
        <v>2337</v>
      </c>
    </row>
    <row r="1253" spans="1:2" x14ac:dyDescent="0.25">
      <c r="A1253" s="10" t="s">
        <v>1948</v>
      </c>
      <c r="B1253" s="7" t="s">
        <v>2337</v>
      </c>
    </row>
    <row r="1254" spans="1:2" x14ac:dyDescent="0.25">
      <c r="A1254" s="10" t="s">
        <v>1051</v>
      </c>
      <c r="B1254" s="7" t="s">
        <v>2337</v>
      </c>
    </row>
    <row r="1255" spans="1:2" x14ac:dyDescent="0.25">
      <c r="A1255" s="10" t="s">
        <v>843</v>
      </c>
      <c r="B1255" s="7" t="s">
        <v>2337</v>
      </c>
    </row>
    <row r="1256" spans="1:2" x14ac:dyDescent="0.25">
      <c r="A1256" s="10" t="s">
        <v>1949</v>
      </c>
      <c r="B1256" s="7" t="s">
        <v>2337</v>
      </c>
    </row>
    <row r="1257" spans="1:2" x14ac:dyDescent="0.25">
      <c r="A1257" s="10" t="s">
        <v>1950</v>
      </c>
      <c r="B1257" s="7" t="s">
        <v>2337</v>
      </c>
    </row>
    <row r="1258" spans="1:2" x14ac:dyDescent="0.25">
      <c r="A1258" s="10" t="s">
        <v>1173</v>
      </c>
      <c r="B1258" s="7" t="s">
        <v>2337</v>
      </c>
    </row>
    <row r="1259" spans="1:2" x14ac:dyDescent="0.25">
      <c r="A1259" s="10" t="s">
        <v>1951</v>
      </c>
      <c r="B1259" s="7" t="s">
        <v>2337</v>
      </c>
    </row>
    <row r="1260" spans="1:2" x14ac:dyDescent="0.25">
      <c r="A1260" s="10" t="s">
        <v>773</v>
      </c>
      <c r="B1260" s="7" t="s">
        <v>2337</v>
      </c>
    </row>
    <row r="1261" spans="1:2" x14ac:dyDescent="0.25">
      <c r="A1261" s="10" t="s">
        <v>883</v>
      </c>
      <c r="B1261" s="7" t="s">
        <v>2337</v>
      </c>
    </row>
    <row r="1262" spans="1:2" x14ac:dyDescent="0.25">
      <c r="A1262" s="10" t="s">
        <v>343</v>
      </c>
      <c r="B1262" s="7" t="s">
        <v>2337</v>
      </c>
    </row>
    <row r="1263" spans="1:2" x14ac:dyDescent="0.25">
      <c r="A1263" s="10" t="s">
        <v>1952</v>
      </c>
      <c r="B1263" s="7" t="s">
        <v>2337</v>
      </c>
    </row>
    <row r="1264" spans="1:2" x14ac:dyDescent="0.25">
      <c r="A1264" s="10" t="s">
        <v>1953</v>
      </c>
      <c r="B1264" s="7" t="s">
        <v>2337</v>
      </c>
    </row>
    <row r="1265" spans="1:2" x14ac:dyDescent="0.25">
      <c r="A1265" s="10" t="s">
        <v>620</v>
      </c>
      <c r="B1265" s="7" t="s">
        <v>2337</v>
      </c>
    </row>
    <row r="1266" spans="1:2" x14ac:dyDescent="0.25">
      <c r="A1266" s="10" t="s">
        <v>1954</v>
      </c>
      <c r="B1266" s="7" t="s">
        <v>2337</v>
      </c>
    </row>
    <row r="1267" spans="1:2" x14ac:dyDescent="0.25">
      <c r="A1267" s="10" t="s">
        <v>831</v>
      </c>
      <c r="B1267" s="7" t="s">
        <v>2337</v>
      </c>
    </row>
    <row r="1268" spans="1:2" x14ac:dyDescent="0.25">
      <c r="A1268" s="10" t="s">
        <v>1955</v>
      </c>
      <c r="B1268" s="7" t="s">
        <v>2337</v>
      </c>
    </row>
    <row r="1269" spans="1:2" x14ac:dyDescent="0.25">
      <c r="A1269" s="10" t="s">
        <v>232</v>
      </c>
      <c r="B1269" s="7" t="s">
        <v>2337</v>
      </c>
    </row>
    <row r="1270" spans="1:2" x14ac:dyDescent="0.25">
      <c r="A1270" s="10" t="s">
        <v>1049</v>
      </c>
      <c r="B1270" s="7" t="s">
        <v>2337</v>
      </c>
    </row>
    <row r="1271" spans="1:2" x14ac:dyDescent="0.25">
      <c r="A1271" s="10" t="s">
        <v>381</v>
      </c>
      <c r="B1271" s="7" t="s">
        <v>2337</v>
      </c>
    </row>
    <row r="1272" spans="1:2" x14ac:dyDescent="0.25">
      <c r="A1272" s="10" t="s">
        <v>1956</v>
      </c>
      <c r="B1272" s="7" t="s">
        <v>2337</v>
      </c>
    </row>
    <row r="1273" spans="1:2" x14ac:dyDescent="0.25">
      <c r="A1273" s="10" t="s">
        <v>935</v>
      </c>
      <c r="B1273" s="7" t="s">
        <v>2337</v>
      </c>
    </row>
    <row r="1274" spans="1:2" x14ac:dyDescent="0.25">
      <c r="A1274" s="10" t="s">
        <v>1957</v>
      </c>
      <c r="B1274" s="7" t="s">
        <v>2337</v>
      </c>
    </row>
    <row r="1275" spans="1:2" x14ac:dyDescent="0.25">
      <c r="A1275" s="10" t="s">
        <v>1958</v>
      </c>
      <c r="B1275" s="7" t="s">
        <v>2337</v>
      </c>
    </row>
    <row r="1276" spans="1:2" x14ac:dyDescent="0.25">
      <c r="A1276" s="10" t="s">
        <v>226</v>
      </c>
      <c r="B1276" s="7" t="s">
        <v>2337</v>
      </c>
    </row>
    <row r="1277" spans="1:2" x14ac:dyDescent="0.25">
      <c r="A1277" s="10" t="s">
        <v>693</v>
      </c>
      <c r="B1277" s="7" t="s">
        <v>2337</v>
      </c>
    </row>
    <row r="1278" spans="1:2" x14ac:dyDescent="0.25">
      <c r="A1278" s="10" t="s">
        <v>1959</v>
      </c>
      <c r="B1278" s="7" t="s">
        <v>2337</v>
      </c>
    </row>
    <row r="1279" spans="1:2" x14ac:dyDescent="0.25">
      <c r="A1279" s="10" t="s">
        <v>251</v>
      </c>
      <c r="B1279" s="7" t="s">
        <v>2337</v>
      </c>
    </row>
    <row r="1280" spans="1:2" x14ac:dyDescent="0.25">
      <c r="A1280" s="10" t="s">
        <v>1960</v>
      </c>
      <c r="B1280" s="7" t="s">
        <v>2337</v>
      </c>
    </row>
    <row r="1281" spans="1:2" x14ac:dyDescent="0.25">
      <c r="A1281" s="10" t="s">
        <v>1961</v>
      </c>
      <c r="B1281" s="7" t="s">
        <v>2337</v>
      </c>
    </row>
    <row r="1282" spans="1:2" x14ac:dyDescent="0.25">
      <c r="A1282" s="10" t="s">
        <v>1273</v>
      </c>
      <c r="B1282" s="7" t="s">
        <v>2337</v>
      </c>
    </row>
    <row r="1283" spans="1:2" x14ac:dyDescent="0.25">
      <c r="A1283" s="10" t="s">
        <v>1962</v>
      </c>
      <c r="B1283" s="7" t="s">
        <v>2337</v>
      </c>
    </row>
    <row r="1284" spans="1:2" x14ac:dyDescent="0.25">
      <c r="A1284" s="10" t="s">
        <v>442</v>
      </c>
      <c r="B1284" s="7" t="s">
        <v>2337</v>
      </c>
    </row>
    <row r="1285" spans="1:2" x14ac:dyDescent="0.25">
      <c r="A1285" s="10" t="s">
        <v>1963</v>
      </c>
      <c r="B1285" s="7" t="s">
        <v>2337</v>
      </c>
    </row>
    <row r="1286" spans="1:2" x14ac:dyDescent="0.25">
      <c r="A1286" s="10" t="s">
        <v>1964</v>
      </c>
      <c r="B1286" s="7" t="s">
        <v>2337</v>
      </c>
    </row>
    <row r="1287" spans="1:2" x14ac:dyDescent="0.25">
      <c r="A1287" s="10" t="s">
        <v>223</v>
      </c>
      <c r="B1287" s="7" t="s">
        <v>2337</v>
      </c>
    </row>
    <row r="1288" spans="1:2" x14ac:dyDescent="0.25">
      <c r="A1288" s="10" t="s">
        <v>1965</v>
      </c>
      <c r="B1288" s="7" t="s">
        <v>2337</v>
      </c>
    </row>
    <row r="1289" spans="1:2" x14ac:dyDescent="0.25">
      <c r="A1289" s="10" t="s">
        <v>1966</v>
      </c>
      <c r="B1289" s="7" t="s">
        <v>2337</v>
      </c>
    </row>
    <row r="1290" spans="1:2" x14ac:dyDescent="0.25">
      <c r="A1290" s="10" t="s">
        <v>1148</v>
      </c>
      <c r="B1290" s="7" t="s">
        <v>2337</v>
      </c>
    </row>
    <row r="1291" spans="1:2" x14ac:dyDescent="0.25">
      <c r="A1291" s="10" t="s">
        <v>1256</v>
      </c>
      <c r="B1291" s="7" t="s">
        <v>2337</v>
      </c>
    </row>
    <row r="1292" spans="1:2" x14ac:dyDescent="0.25">
      <c r="A1292" s="10" t="s">
        <v>228</v>
      </c>
      <c r="B1292" s="7" t="s">
        <v>2337</v>
      </c>
    </row>
    <row r="1293" spans="1:2" x14ac:dyDescent="0.25">
      <c r="A1293" s="10" t="s">
        <v>779</v>
      </c>
      <c r="B1293" s="7" t="s">
        <v>2337</v>
      </c>
    </row>
    <row r="1294" spans="1:2" x14ac:dyDescent="0.25">
      <c r="A1294" s="10" t="s">
        <v>1967</v>
      </c>
      <c r="B1294" s="7" t="s">
        <v>2337</v>
      </c>
    </row>
    <row r="1295" spans="1:2" x14ac:dyDescent="0.25">
      <c r="A1295" s="10" t="s">
        <v>225</v>
      </c>
      <c r="B1295" s="7" t="s">
        <v>2337</v>
      </c>
    </row>
    <row r="1296" spans="1:2" x14ac:dyDescent="0.25">
      <c r="A1296" s="10" t="s">
        <v>799</v>
      </c>
      <c r="B1296" s="7" t="s">
        <v>2337</v>
      </c>
    </row>
    <row r="1297" spans="1:2" x14ac:dyDescent="0.25">
      <c r="A1297" s="10" t="s">
        <v>1968</v>
      </c>
      <c r="B1297" s="7" t="s">
        <v>2337</v>
      </c>
    </row>
    <row r="1298" spans="1:2" x14ac:dyDescent="0.25">
      <c r="A1298" s="10" t="s">
        <v>1969</v>
      </c>
      <c r="B1298" s="7" t="s">
        <v>2337</v>
      </c>
    </row>
    <row r="1299" spans="1:2" x14ac:dyDescent="0.25">
      <c r="A1299" s="10" t="s">
        <v>44</v>
      </c>
      <c r="B1299" s="7" t="s">
        <v>2337</v>
      </c>
    </row>
    <row r="1300" spans="1:2" x14ac:dyDescent="0.25">
      <c r="A1300" s="10" t="s">
        <v>804</v>
      </c>
      <c r="B1300" s="7" t="s">
        <v>2337</v>
      </c>
    </row>
    <row r="1301" spans="1:2" x14ac:dyDescent="0.25">
      <c r="A1301" s="10" t="s">
        <v>1970</v>
      </c>
      <c r="B1301" s="7" t="s">
        <v>2337</v>
      </c>
    </row>
    <row r="1302" spans="1:2" x14ac:dyDescent="0.25">
      <c r="A1302" s="10" t="s">
        <v>1971</v>
      </c>
      <c r="B1302" s="7" t="s">
        <v>2337</v>
      </c>
    </row>
    <row r="1303" spans="1:2" x14ac:dyDescent="0.25">
      <c r="A1303" s="10" t="s">
        <v>200</v>
      </c>
      <c r="B1303" s="7" t="s">
        <v>2337</v>
      </c>
    </row>
    <row r="1304" spans="1:2" x14ac:dyDescent="0.25">
      <c r="A1304" s="10" t="s">
        <v>448</v>
      </c>
      <c r="B1304" s="7" t="s">
        <v>2337</v>
      </c>
    </row>
    <row r="1305" spans="1:2" x14ac:dyDescent="0.25">
      <c r="A1305" s="10" t="s">
        <v>650</v>
      </c>
      <c r="B1305" s="7" t="s">
        <v>2337</v>
      </c>
    </row>
    <row r="1306" spans="1:2" x14ac:dyDescent="0.25">
      <c r="A1306" s="10" t="s">
        <v>279</v>
      </c>
      <c r="B1306" s="7" t="s">
        <v>2337</v>
      </c>
    </row>
    <row r="1307" spans="1:2" x14ac:dyDescent="0.25">
      <c r="A1307" s="10" t="s">
        <v>487</v>
      </c>
      <c r="B1307" s="7" t="s">
        <v>2337</v>
      </c>
    </row>
    <row r="1308" spans="1:2" x14ac:dyDescent="0.25">
      <c r="A1308" s="10" t="s">
        <v>909</v>
      </c>
      <c r="B1308" s="7" t="s">
        <v>2337</v>
      </c>
    </row>
    <row r="1309" spans="1:2" x14ac:dyDescent="0.25">
      <c r="A1309" s="10" t="s">
        <v>1972</v>
      </c>
      <c r="B1309" s="7" t="s">
        <v>2337</v>
      </c>
    </row>
    <row r="1310" spans="1:2" x14ac:dyDescent="0.25">
      <c r="A1310" s="10" t="s">
        <v>741</v>
      </c>
      <c r="B1310" s="7" t="s">
        <v>2337</v>
      </c>
    </row>
    <row r="1311" spans="1:2" x14ac:dyDescent="0.25">
      <c r="A1311" s="10" t="s">
        <v>312</v>
      </c>
      <c r="B1311" s="7" t="s">
        <v>2337</v>
      </c>
    </row>
    <row r="1312" spans="1:2" x14ac:dyDescent="0.25">
      <c r="A1312" s="10" t="s">
        <v>787</v>
      </c>
      <c r="B1312" s="7" t="s">
        <v>2337</v>
      </c>
    </row>
    <row r="1313" spans="1:2" x14ac:dyDescent="0.25">
      <c r="A1313" s="10" t="s">
        <v>642</v>
      </c>
      <c r="B1313" s="7" t="s">
        <v>2337</v>
      </c>
    </row>
    <row r="1314" spans="1:2" x14ac:dyDescent="0.25">
      <c r="A1314" s="10" t="s">
        <v>1008</v>
      </c>
      <c r="B1314" s="7" t="s">
        <v>2337</v>
      </c>
    </row>
    <row r="1315" spans="1:2" x14ac:dyDescent="0.25">
      <c r="A1315" s="10" t="s">
        <v>142</v>
      </c>
      <c r="B1315" s="7" t="s">
        <v>2337</v>
      </c>
    </row>
    <row r="1316" spans="1:2" x14ac:dyDescent="0.25">
      <c r="A1316" s="10" t="s">
        <v>5</v>
      </c>
      <c r="B1316" s="7" t="s">
        <v>2337</v>
      </c>
    </row>
    <row r="1317" spans="1:2" x14ac:dyDescent="0.25">
      <c r="A1317" s="10" t="s">
        <v>1973</v>
      </c>
      <c r="B1317" s="7" t="s">
        <v>2337</v>
      </c>
    </row>
    <row r="1318" spans="1:2" x14ac:dyDescent="0.25">
      <c r="A1318" s="10" t="s">
        <v>106</v>
      </c>
      <c r="B1318" s="7" t="s">
        <v>2337</v>
      </c>
    </row>
    <row r="1319" spans="1:2" x14ac:dyDescent="0.25">
      <c r="A1319" s="10" t="s">
        <v>616</v>
      </c>
      <c r="B1319" s="7" t="s">
        <v>2337</v>
      </c>
    </row>
    <row r="1320" spans="1:2" x14ac:dyDescent="0.25">
      <c r="A1320" s="10" t="s">
        <v>1974</v>
      </c>
      <c r="B1320" s="7" t="s">
        <v>2337</v>
      </c>
    </row>
    <row r="1321" spans="1:2" x14ac:dyDescent="0.25">
      <c r="A1321" s="10" t="s">
        <v>1045</v>
      </c>
      <c r="B1321" s="7" t="s">
        <v>2337</v>
      </c>
    </row>
    <row r="1322" spans="1:2" x14ac:dyDescent="0.25">
      <c r="A1322" s="10" t="s">
        <v>778</v>
      </c>
      <c r="B1322" s="7" t="s">
        <v>2337</v>
      </c>
    </row>
    <row r="1323" spans="1:2" x14ac:dyDescent="0.25">
      <c r="A1323" s="10" t="s">
        <v>1975</v>
      </c>
      <c r="B1323" s="7" t="s">
        <v>2337</v>
      </c>
    </row>
    <row r="1324" spans="1:2" x14ac:dyDescent="0.25">
      <c r="A1324" s="10" t="s">
        <v>1976</v>
      </c>
      <c r="B1324" s="7" t="s">
        <v>2337</v>
      </c>
    </row>
    <row r="1325" spans="1:2" x14ac:dyDescent="0.25">
      <c r="A1325" s="10" t="s">
        <v>1977</v>
      </c>
      <c r="B1325" s="7" t="s">
        <v>2337</v>
      </c>
    </row>
    <row r="1326" spans="1:2" x14ac:dyDescent="0.25">
      <c r="A1326" s="10" t="s">
        <v>1978</v>
      </c>
      <c r="B1326" s="7" t="s">
        <v>2337</v>
      </c>
    </row>
    <row r="1327" spans="1:2" x14ac:dyDescent="0.25">
      <c r="A1327" s="10" t="s">
        <v>1139</v>
      </c>
      <c r="B1327" s="7" t="s">
        <v>2337</v>
      </c>
    </row>
    <row r="1328" spans="1:2" x14ac:dyDescent="0.25">
      <c r="A1328" s="10" t="s">
        <v>992</v>
      </c>
      <c r="B1328" s="7" t="s">
        <v>2337</v>
      </c>
    </row>
    <row r="1329" spans="1:2" x14ac:dyDescent="0.25">
      <c r="A1329" s="10" t="s">
        <v>1979</v>
      </c>
      <c r="B1329" s="7" t="s">
        <v>2337</v>
      </c>
    </row>
    <row r="1330" spans="1:2" x14ac:dyDescent="0.25">
      <c r="A1330" s="10" t="s">
        <v>1980</v>
      </c>
      <c r="B1330" s="7" t="s">
        <v>2337</v>
      </c>
    </row>
    <row r="1331" spans="1:2" x14ac:dyDescent="0.25">
      <c r="A1331" s="10" t="s">
        <v>1981</v>
      </c>
      <c r="B1331" s="7" t="s">
        <v>2337</v>
      </c>
    </row>
    <row r="1332" spans="1:2" x14ac:dyDescent="0.25">
      <c r="A1332" s="10" t="s">
        <v>714</v>
      </c>
      <c r="B1332" s="7" t="s">
        <v>2337</v>
      </c>
    </row>
    <row r="1333" spans="1:2" x14ac:dyDescent="0.25">
      <c r="A1333" s="10" t="s">
        <v>1004</v>
      </c>
      <c r="B1333" s="7" t="s">
        <v>2337</v>
      </c>
    </row>
    <row r="1334" spans="1:2" x14ac:dyDescent="0.25">
      <c r="A1334" s="10" t="s">
        <v>1982</v>
      </c>
      <c r="B1334" s="7" t="s">
        <v>2337</v>
      </c>
    </row>
    <row r="1335" spans="1:2" x14ac:dyDescent="0.25">
      <c r="A1335" s="10" t="s">
        <v>1983</v>
      </c>
      <c r="B1335" s="7" t="s">
        <v>2337</v>
      </c>
    </row>
    <row r="1336" spans="1:2" x14ac:dyDescent="0.25">
      <c r="A1336" s="10" t="s">
        <v>1984</v>
      </c>
      <c r="B1336" s="7" t="s">
        <v>2337</v>
      </c>
    </row>
    <row r="1337" spans="1:2" x14ac:dyDescent="0.25">
      <c r="A1337" s="10" t="s">
        <v>395</v>
      </c>
      <c r="B1337" s="7" t="s">
        <v>2337</v>
      </c>
    </row>
    <row r="1338" spans="1:2" x14ac:dyDescent="0.25">
      <c r="A1338" s="10" t="s">
        <v>1033</v>
      </c>
      <c r="B1338" s="7" t="s">
        <v>2337</v>
      </c>
    </row>
    <row r="1339" spans="1:2" x14ac:dyDescent="0.25">
      <c r="A1339" s="10" t="s">
        <v>283</v>
      </c>
      <c r="B1339" s="7" t="s">
        <v>2337</v>
      </c>
    </row>
    <row r="1340" spans="1:2" x14ac:dyDescent="0.25">
      <c r="A1340" s="10" t="s">
        <v>403</v>
      </c>
      <c r="B1340" s="7" t="s">
        <v>2337</v>
      </c>
    </row>
    <row r="1341" spans="1:2" x14ac:dyDescent="0.25">
      <c r="A1341" s="10" t="s">
        <v>1182</v>
      </c>
      <c r="B1341" s="7" t="s">
        <v>2337</v>
      </c>
    </row>
    <row r="1342" spans="1:2" x14ac:dyDescent="0.25">
      <c r="A1342" s="10" t="s">
        <v>853</v>
      </c>
      <c r="B1342" s="7" t="s">
        <v>2337</v>
      </c>
    </row>
    <row r="1343" spans="1:2" x14ac:dyDescent="0.25">
      <c r="A1343" s="10" t="s">
        <v>934</v>
      </c>
      <c r="B1343" s="7" t="s">
        <v>2337</v>
      </c>
    </row>
    <row r="1344" spans="1:2" x14ac:dyDescent="0.25">
      <c r="A1344" s="10" t="s">
        <v>1985</v>
      </c>
      <c r="B1344" s="7" t="s">
        <v>2337</v>
      </c>
    </row>
    <row r="1345" spans="1:2" x14ac:dyDescent="0.25">
      <c r="A1345" s="10" t="s">
        <v>1986</v>
      </c>
      <c r="B1345" s="7" t="s">
        <v>2337</v>
      </c>
    </row>
    <row r="1346" spans="1:2" x14ac:dyDescent="0.25">
      <c r="A1346" s="10" t="s">
        <v>1987</v>
      </c>
      <c r="B1346" s="7" t="s">
        <v>2337</v>
      </c>
    </row>
    <row r="1347" spans="1:2" x14ac:dyDescent="0.25">
      <c r="A1347" s="10" t="s">
        <v>175</v>
      </c>
      <c r="B1347" s="7" t="s">
        <v>2337</v>
      </c>
    </row>
    <row r="1348" spans="1:2" x14ac:dyDescent="0.25">
      <c r="A1348" s="10" t="s">
        <v>413</v>
      </c>
      <c r="B1348" s="7" t="s">
        <v>2337</v>
      </c>
    </row>
    <row r="1349" spans="1:2" x14ac:dyDescent="0.25">
      <c r="A1349" s="10" t="s">
        <v>889</v>
      </c>
      <c r="B1349" s="7" t="s">
        <v>2337</v>
      </c>
    </row>
    <row r="1350" spans="1:2" x14ac:dyDescent="0.25">
      <c r="A1350" s="10" t="s">
        <v>1988</v>
      </c>
      <c r="B1350" s="7" t="s">
        <v>2337</v>
      </c>
    </row>
    <row r="1351" spans="1:2" x14ac:dyDescent="0.25">
      <c r="A1351" s="10" t="s">
        <v>209</v>
      </c>
      <c r="B1351" s="7" t="s">
        <v>2337</v>
      </c>
    </row>
    <row r="1352" spans="1:2" x14ac:dyDescent="0.25">
      <c r="A1352" s="10" t="s">
        <v>698</v>
      </c>
      <c r="B1352" s="7" t="s">
        <v>2337</v>
      </c>
    </row>
    <row r="1353" spans="1:2" x14ac:dyDescent="0.25">
      <c r="A1353" s="10" t="s">
        <v>383</v>
      </c>
      <c r="B1353" s="7" t="s">
        <v>2337</v>
      </c>
    </row>
    <row r="1354" spans="1:2" x14ac:dyDescent="0.25">
      <c r="A1354" s="10" t="s">
        <v>1989</v>
      </c>
      <c r="B1354" s="7" t="s">
        <v>2337</v>
      </c>
    </row>
    <row r="1355" spans="1:2" x14ac:dyDescent="0.25">
      <c r="A1355" s="10" t="s">
        <v>770</v>
      </c>
      <c r="B1355" s="7" t="s">
        <v>2337</v>
      </c>
    </row>
    <row r="1356" spans="1:2" x14ac:dyDescent="0.25">
      <c r="A1356" s="10" t="s">
        <v>949</v>
      </c>
      <c r="B1356" s="7" t="s">
        <v>2337</v>
      </c>
    </row>
    <row r="1357" spans="1:2" x14ac:dyDescent="0.25">
      <c r="A1357" s="10" t="s">
        <v>1257</v>
      </c>
      <c r="B1357" s="7" t="s">
        <v>2337</v>
      </c>
    </row>
    <row r="1358" spans="1:2" x14ac:dyDescent="0.25">
      <c r="A1358" s="10" t="s">
        <v>324</v>
      </c>
      <c r="B1358" s="7" t="s">
        <v>2337</v>
      </c>
    </row>
    <row r="1359" spans="1:2" x14ac:dyDescent="0.25">
      <c r="A1359" s="10" t="s">
        <v>294</v>
      </c>
      <c r="B1359" s="7" t="s">
        <v>2337</v>
      </c>
    </row>
    <row r="1360" spans="1:2" x14ac:dyDescent="0.25">
      <c r="A1360" s="10" t="s">
        <v>1990</v>
      </c>
      <c r="B1360" s="7" t="s">
        <v>2337</v>
      </c>
    </row>
    <row r="1361" spans="1:2" x14ac:dyDescent="0.25">
      <c r="A1361" s="10" t="s">
        <v>1238</v>
      </c>
      <c r="B1361" s="7" t="s">
        <v>2337</v>
      </c>
    </row>
    <row r="1362" spans="1:2" x14ac:dyDescent="0.25">
      <c r="A1362" s="10" t="s">
        <v>630</v>
      </c>
      <c r="B1362" s="7" t="s">
        <v>2337</v>
      </c>
    </row>
    <row r="1363" spans="1:2" x14ac:dyDescent="0.25">
      <c r="A1363" s="10" t="s">
        <v>261</v>
      </c>
      <c r="B1363" s="7" t="s">
        <v>2337</v>
      </c>
    </row>
    <row r="1364" spans="1:2" x14ac:dyDescent="0.25">
      <c r="A1364" s="10" t="s">
        <v>761</v>
      </c>
      <c r="B1364" s="7" t="s">
        <v>2337</v>
      </c>
    </row>
    <row r="1365" spans="1:2" x14ac:dyDescent="0.25">
      <c r="A1365" s="10" t="s">
        <v>632</v>
      </c>
      <c r="B1365" s="7" t="s">
        <v>2337</v>
      </c>
    </row>
    <row r="1366" spans="1:2" x14ac:dyDescent="0.25">
      <c r="A1366" s="10" t="s">
        <v>937</v>
      </c>
      <c r="B1366" s="7" t="s">
        <v>2337</v>
      </c>
    </row>
    <row r="1367" spans="1:2" x14ac:dyDescent="0.25">
      <c r="A1367" s="10" t="s">
        <v>112</v>
      </c>
      <c r="B1367" s="7" t="s">
        <v>2337</v>
      </c>
    </row>
    <row r="1368" spans="1:2" x14ac:dyDescent="0.25">
      <c r="A1368" s="10" t="s">
        <v>253</v>
      </c>
      <c r="B1368" s="7" t="s">
        <v>2337</v>
      </c>
    </row>
    <row r="1369" spans="1:2" x14ac:dyDescent="0.25">
      <c r="A1369" s="10" t="s">
        <v>1991</v>
      </c>
      <c r="B1369" s="7" t="s">
        <v>2337</v>
      </c>
    </row>
    <row r="1370" spans="1:2" x14ac:dyDescent="0.25">
      <c r="A1370" s="10" t="s">
        <v>1009</v>
      </c>
      <c r="B1370" s="7" t="s">
        <v>2337</v>
      </c>
    </row>
    <row r="1371" spans="1:2" x14ac:dyDescent="0.25">
      <c r="A1371" s="10" t="s">
        <v>103</v>
      </c>
      <c r="B1371" s="7" t="s">
        <v>2337</v>
      </c>
    </row>
    <row r="1372" spans="1:2" x14ac:dyDescent="0.25">
      <c r="A1372" s="10" t="s">
        <v>1992</v>
      </c>
      <c r="B1372" s="7" t="s">
        <v>2337</v>
      </c>
    </row>
    <row r="1373" spans="1:2" x14ac:dyDescent="0.25">
      <c r="A1373" s="10" t="s">
        <v>518</v>
      </c>
      <c r="B1373" s="7" t="s">
        <v>2337</v>
      </c>
    </row>
    <row r="1374" spans="1:2" x14ac:dyDescent="0.25">
      <c r="A1374" s="10" t="s">
        <v>1993</v>
      </c>
      <c r="B1374" s="7" t="s">
        <v>2337</v>
      </c>
    </row>
    <row r="1375" spans="1:2" x14ac:dyDescent="0.25">
      <c r="A1375" s="10" t="s">
        <v>1994</v>
      </c>
      <c r="B1375" s="7" t="s">
        <v>2337</v>
      </c>
    </row>
    <row r="1376" spans="1:2" x14ac:dyDescent="0.25">
      <c r="A1376" s="10" t="s">
        <v>1995</v>
      </c>
      <c r="B1376" s="7" t="s">
        <v>2337</v>
      </c>
    </row>
    <row r="1377" spans="1:2" x14ac:dyDescent="0.25">
      <c r="A1377" s="10" t="s">
        <v>1236</v>
      </c>
      <c r="B1377" s="7" t="s">
        <v>2337</v>
      </c>
    </row>
    <row r="1378" spans="1:2" x14ac:dyDescent="0.25">
      <c r="A1378" s="10" t="s">
        <v>1263</v>
      </c>
      <c r="B1378" s="7" t="s">
        <v>2337</v>
      </c>
    </row>
    <row r="1379" spans="1:2" x14ac:dyDescent="0.25">
      <c r="A1379" s="10" t="s">
        <v>1025</v>
      </c>
      <c r="B1379" s="7" t="s">
        <v>2337</v>
      </c>
    </row>
    <row r="1380" spans="1:2" x14ac:dyDescent="0.25">
      <c r="A1380" s="10" t="s">
        <v>922</v>
      </c>
      <c r="B1380" s="7" t="s">
        <v>2337</v>
      </c>
    </row>
    <row r="1381" spans="1:2" x14ac:dyDescent="0.25">
      <c r="A1381" s="10" t="s">
        <v>1996</v>
      </c>
      <c r="B1381" s="7" t="s">
        <v>2337</v>
      </c>
    </row>
    <row r="1382" spans="1:2" x14ac:dyDescent="0.25">
      <c r="A1382" s="10" t="s">
        <v>926</v>
      </c>
      <c r="B1382" s="7" t="s">
        <v>2337</v>
      </c>
    </row>
    <row r="1383" spans="1:2" x14ac:dyDescent="0.25">
      <c r="A1383" s="10" t="s">
        <v>1997</v>
      </c>
      <c r="B1383" s="7" t="s">
        <v>2337</v>
      </c>
    </row>
    <row r="1384" spans="1:2" x14ac:dyDescent="0.25">
      <c r="A1384" s="10" t="s">
        <v>1070</v>
      </c>
      <c r="B1384" s="7" t="s">
        <v>2337</v>
      </c>
    </row>
    <row r="1385" spans="1:2" x14ac:dyDescent="0.25">
      <c r="A1385" s="10" t="s">
        <v>1998</v>
      </c>
      <c r="B1385" s="7" t="s">
        <v>2337</v>
      </c>
    </row>
    <row r="1386" spans="1:2" x14ac:dyDescent="0.25">
      <c r="A1386" s="10" t="s">
        <v>1999</v>
      </c>
      <c r="B1386" s="7" t="s">
        <v>2337</v>
      </c>
    </row>
    <row r="1387" spans="1:2" x14ac:dyDescent="0.25">
      <c r="A1387" s="10" t="s">
        <v>2000</v>
      </c>
      <c r="B1387" s="7" t="s">
        <v>2337</v>
      </c>
    </row>
    <row r="1388" spans="1:2" x14ac:dyDescent="0.25">
      <c r="A1388" s="10" t="s">
        <v>993</v>
      </c>
      <c r="B1388" s="7" t="s">
        <v>2337</v>
      </c>
    </row>
    <row r="1389" spans="1:2" x14ac:dyDescent="0.25">
      <c r="A1389" s="10" t="s">
        <v>2001</v>
      </c>
      <c r="B1389" s="7" t="s">
        <v>2337</v>
      </c>
    </row>
    <row r="1390" spans="1:2" x14ac:dyDescent="0.25">
      <c r="A1390" s="10" t="s">
        <v>2002</v>
      </c>
      <c r="B1390" s="7" t="s">
        <v>2337</v>
      </c>
    </row>
    <row r="1391" spans="1:2" x14ac:dyDescent="0.25">
      <c r="A1391" s="10" t="s">
        <v>545</v>
      </c>
      <c r="B1391" s="7" t="s">
        <v>2337</v>
      </c>
    </row>
    <row r="1392" spans="1:2" x14ac:dyDescent="0.25">
      <c r="A1392" s="10" t="s">
        <v>425</v>
      </c>
      <c r="B1392" s="7" t="s">
        <v>2337</v>
      </c>
    </row>
    <row r="1393" spans="1:2" x14ac:dyDescent="0.25">
      <c r="A1393" s="10" t="s">
        <v>330</v>
      </c>
      <c r="B1393" s="7" t="s">
        <v>2337</v>
      </c>
    </row>
    <row r="1394" spans="1:2" x14ac:dyDescent="0.25">
      <c r="A1394" s="10" t="s">
        <v>2003</v>
      </c>
      <c r="B1394" s="7" t="s">
        <v>2337</v>
      </c>
    </row>
    <row r="1395" spans="1:2" x14ac:dyDescent="0.25">
      <c r="A1395" s="10" t="s">
        <v>785</v>
      </c>
      <c r="B1395" s="7" t="s">
        <v>2337</v>
      </c>
    </row>
    <row r="1396" spans="1:2" x14ac:dyDescent="0.25">
      <c r="A1396" s="10" t="s">
        <v>744</v>
      </c>
      <c r="B1396" s="7" t="s">
        <v>2337</v>
      </c>
    </row>
    <row r="1397" spans="1:2" x14ac:dyDescent="0.25">
      <c r="A1397" s="10" t="s">
        <v>2004</v>
      </c>
      <c r="B1397" s="7" t="s">
        <v>2337</v>
      </c>
    </row>
    <row r="1398" spans="1:2" x14ac:dyDescent="0.25">
      <c r="A1398" s="10" t="s">
        <v>2005</v>
      </c>
      <c r="B1398" s="7" t="s">
        <v>2337</v>
      </c>
    </row>
    <row r="1399" spans="1:2" x14ac:dyDescent="0.25">
      <c r="A1399" s="10" t="s">
        <v>584</v>
      </c>
      <c r="B1399" s="7" t="s">
        <v>2337</v>
      </c>
    </row>
    <row r="1400" spans="1:2" x14ac:dyDescent="0.25">
      <c r="A1400" s="10" t="s">
        <v>2006</v>
      </c>
      <c r="B1400" s="7" t="s">
        <v>2337</v>
      </c>
    </row>
    <row r="1401" spans="1:2" x14ac:dyDescent="0.25">
      <c r="A1401" s="10" t="s">
        <v>895</v>
      </c>
      <c r="B1401" s="7" t="s">
        <v>2337</v>
      </c>
    </row>
    <row r="1402" spans="1:2" x14ac:dyDescent="0.25">
      <c r="A1402" s="10" t="s">
        <v>57</v>
      </c>
      <c r="B1402" s="7" t="s">
        <v>2337</v>
      </c>
    </row>
    <row r="1403" spans="1:2" x14ac:dyDescent="0.25">
      <c r="A1403" s="10" t="s">
        <v>2007</v>
      </c>
      <c r="B1403" s="7" t="s">
        <v>2337</v>
      </c>
    </row>
    <row r="1404" spans="1:2" x14ac:dyDescent="0.25">
      <c r="A1404" s="10" t="s">
        <v>1057</v>
      </c>
      <c r="B1404" s="7" t="s">
        <v>2337</v>
      </c>
    </row>
    <row r="1405" spans="1:2" x14ac:dyDescent="0.25">
      <c r="A1405" s="10" t="s">
        <v>1002</v>
      </c>
      <c r="B1405" s="7" t="s">
        <v>2337</v>
      </c>
    </row>
    <row r="1406" spans="1:2" x14ac:dyDescent="0.25">
      <c r="A1406" s="10" t="s">
        <v>134</v>
      </c>
      <c r="B1406" s="7" t="s">
        <v>2337</v>
      </c>
    </row>
    <row r="1407" spans="1:2" x14ac:dyDescent="0.25">
      <c r="A1407" s="10" t="s">
        <v>781</v>
      </c>
      <c r="B1407" s="7" t="s">
        <v>2337</v>
      </c>
    </row>
    <row r="1408" spans="1:2" x14ac:dyDescent="0.25">
      <c r="A1408" s="10" t="s">
        <v>760</v>
      </c>
      <c r="B1408" s="7" t="s">
        <v>2337</v>
      </c>
    </row>
    <row r="1409" spans="1:2" x14ac:dyDescent="0.25">
      <c r="A1409" s="10" t="s">
        <v>2008</v>
      </c>
      <c r="B1409" s="7" t="s">
        <v>2337</v>
      </c>
    </row>
    <row r="1410" spans="1:2" x14ac:dyDescent="0.25">
      <c r="A1410" s="10" t="s">
        <v>360</v>
      </c>
      <c r="B1410" s="7" t="s">
        <v>2337</v>
      </c>
    </row>
    <row r="1411" spans="1:2" x14ac:dyDescent="0.25">
      <c r="A1411" s="10" t="s">
        <v>2009</v>
      </c>
      <c r="B1411" s="7" t="s">
        <v>2337</v>
      </c>
    </row>
    <row r="1412" spans="1:2" x14ac:dyDescent="0.25">
      <c r="A1412" s="10" t="s">
        <v>1061</v>
      </c>
      <c r="B1412" s="7" t="s">
        <v>2337</v>
      </c>
    </row>
    <row r="1413" spans="1:2" x14ac:dyDescent="0.25">
      <c r="A1413" s="10" t="s">
        <v>394</v>
      </c>
      <c r="B1413" s="7" t="s">
        <v>2337</v>
      </c>
    </row>
    <row r="1414" spans="1:2" x14ac:dyDescent="0.25">
      <c r="A1414" s="10" t="s">
        <v>461</v>
      </c>
      <c r="B1414" s="7" t="s">
        <v>2337</v>
      </c>
    </row>
    <row r="1415" spans="1:2" x14ac:dyDescent="0.25">
      <c r="A1415" s="10" t="s">
        <v>623</v>
      </c>
      <c r="B1415" s="7" t="s">
        <v>2337</v>
      </c>
    </row>
    <row r="1416" spans="1:2" x14ac:dyDescent="0.25">
      <c r="A1416" s="10" t="s">
        <v>2010</v>
      </c>
      <c r="B1416" s="7" t="s">
        <v>2337</v>
      </c>
    </row>
    <row r="1417" spans="1:2" x14ac:dyDescent="0.25">
      <c r="A1417" s="10" t="s">
        <v>2011</v>
      </c>
      <c r="B1417" s="7" t="s">
        <v>2337</v>
      </c>
    </row>
    <row r="1418" spans="1:2" x14ac:dyDescent="0.25">
      <c r="A1418" s="10" t="s">
        <v>347</v>
      </c>
      <c r="B1418" s="7" t="s">
        <v>2337</v>
      </c>
    </row>
    <row r="1419" spans="1:2" x14ac:dyDescent="0.25">
      <c r="A1419" s="10" t="s">
        <v>229</v>
      </c>
      <c r="B1419" s="7" t="s">
        <v>2337</v>
      </c>
    </row>
    <row r="1420" spans="1:2" x14ac:dyDescent="0.25">
      <c r="A1420" s="10" t="s">
        <v>2012</v>
      </c>
      <c r="B1420" s="7" t="s">
        <v>2337</v>
      </c>
    </row>
    <row r="1421" spans="1:2" x14ac:dyDescent="0.25">
      <c r="A1421" s="10" t="s">
        <v>2013</v>
      </c>
      <c r="B1421" s="7" t="s">
        <v>2337</v>
      </c>
    </row>
    <row r="1422" spans="1:2" x14ac:dyDescent="0.25">
      <c r="A1422" s="10" t="s">
        <v>2014</v>
      </c>
      <c r="B1422" s="7" t="s">
        <v>2337</v>
      </c>
    </row>
    <row r="1423" spans="1:2" x14ac:dyDescent="0.25">
      <c r="A1423" s="10" t="s">
        <v>1171</v>
      </c>
      <c r="B1423" s="7" t="s">
        <v>2337</v>
      </c>
    </row>
    <row r="1424" spans="1:2" x14ac:dyDescent="0.25">
      <c r="A1424" s="10" t="s">
        <v>507</v>
      </c>
      <c r="B1424" s="7" t="s">
        <v>2337</v>
      </c>
    </row>
    <row r="1425" spans="1:2" x14ac:dyDescent="0.25">
      <c r="A1425" s="10" t="s">
        <v>1247</v>
      </c>
      <c r="B1425" s="7" t="s">
        <v>2337</v>
      </c>
    </row>
    <row r="1426" spans="1:2" x14ac:dyDescent="0.25">
      <c r="A1426" s="10" t="s">
        <v>2015</v>
      </c>
      <c r="B1426" s="7" t="s">
        <v>2337</v>
      </c>
    </row>
    <row r="1427" spans="1:2" x14ac:dyDescent="0.25">
      <c r="A1427" s="10" t="s">
        <v>811</v>
      </c>
      <c r="B1427" s="7" t="s">
        <v>2337</v>
      </c>
    </row>
    <row r="1428" spans="1:2" x14ac:dyDescent="0.25">
      <c r="A1428" s="10" t="s">
        <v>1225</v>
      </c>
      <c r="B1428" s="7" t="s">
        <v>2337</v>
      </c>
    </row>
    <row r="1429" spans="1:2" x14ac:dyDescent="0.25">
      <c r="A1429" s="10" t="s">
        <v>389</v>
      </c>
      <c r="B1429" s="7" t="s">
        <v>2337</v>
      </c>
    </row>
    <row r="1430" spans="1:2" x14ac:dyDescent="0.25">
      <c r="A1430" s="10" t="s">
        <v>2016</v>
      </c>
      <c r="B1430" s="7" t="s">
        <v>2337</v>
      </c>
    </row>
    <row r="1431" spans="1:2" x14ac:dyDescent="0.25">
      <c r="A1431" s="10" t="s">
        <v>2017</v>
      </c>
      <c r="B1431" s="7" t="s">
        <v>2337</v>
      </c>
    </row>
    <row r="1432" spans="1:2" x14ac:dyDescent="0.25">
      <c r="A1432" s="10" t="s">
        <v>2018</v>
      </c>
      <c r="B1432" s="7" t="s">
        <v>2337</v>
      </c>
    </row>
    <row r="1433" spans="1:2" x14ac:dyDescent="0.25">
      <c r="A1433" s="10" t="s">
        <v>840</v>
      </c>
      <c r="B1433" s="7" t="s">
        <v>2337</v>
      </c>
    </row>
    <row r="1434" spans="1:2" x14ac:dyDescent="0.25">
      <c r="A1434" s="10" t="s">
        <v>848</v>
      </c>
      <c r="B1434" s="7" t="s">
        <v>2337</v>
      </c>
    </row>
    <row r="1435" spans="1:2" x14ac:dyDescent="0.25">
      <c r="A1435" s="10" t="s">
        <v>2019</v>
      </c>
      <c r="B1435" s="7" t="s">
        <v>2337</v>
      </c>
    </row>
    <row r="1436" spans="1:2" x14ac:dyDescent="0.25">
      <c r="A1436" s="10" t="s">
        <v>600</v>
      </c>
      <c r="B1436" s="7" t="s">
        <v>2337</v>
      </c>
    </row>
    <row r="1437" spans="1:2" x14ac:dyDescent="0.25">
      <c r="A1437" s="10" t="s">
        <v>110</v>
      </c>
      <c r="B1437" s="7" t="s">
        <v>2337</v>
      </c>
    </row>
    <row r="1438" spans="1:2" x14ac:dyDescent="0.25">
      <c r="A1438" s="10" t="s">
        <v>2020</v>
      </c>
      <c r="B1438" s="7" t="s">
        <v>2337</v>
      </c>
    </row>
    <row r="1439" spans="1:2" x14ac:dyDescent="0.25">
      <c r="A1439" s="10" t="s">
        <v>6</v>
      </c>
      <c r="B1439" s="7" t="s">
        <v>2337</v>
      </c>
    </row>
    <row r="1440" spans="1:2" x14ac:dyDescent="0.25">
      <c r="A1440" s="10" t="s">
        <v>2021</v>
      </c>
      <c r="B1440" s="7" t="s">
        <v>2337</v>
      </c>
    </row>
    <row r="1441" spans="1:2" x14ac:dyDescent="0.25">
      <c r="A1441" s="10" t="s">
        <v>898</v>
      </c>
      <c r="B1441" s="7" t="s">
        <v>2337</v>
      </c>
    </row>
    <row r="1442" spans="1:2" x14ac:dyDescent="0.25">
      <c r="A1442" s="10" t="s">
        <v>2022</v>
      </c>
      <c r="B1442" s="7" t="s">
        <v>2337</v>
      </c>
    </row>
    <row r="1443" spans="1:2" x14ac:dyDescent="0.25">
      <c r="A1443" s="10" t="s">
        <v>696</v>
      </c>
      <c r="B1443" s="7" t="s">
        <v>2337</v>
      </c>
    </row>
    <row r="1444" spans="1:2" x14ac:dyDescent="0.25">
      <c r="A1444" s="10" t="s">
        <v>528</v>
      </c>
      <c r="B1444" s="7" t="s">
        <v>2337</v>
      </c>
    </row>
    <row r="1445" spans="1:2" x14ac:dyDescent="0.25">
      <c r="A1445" s="10" t="s">
        <v>449</v>
      </c>
      <c r="B1445" s="7" t="s">
        <v>2337</v>
      </c>
    </row>
    <row r="1446" spans="1:2" x14ac:dyDescent="0.25">
      <c r="A1446" s="10" t="s">
        <v>2023</v>
      </c>
      <c r="B1446" s="7" t="s">
        <v>2337</v>
      </c>
    </row>
    <row r="1447" spans="1:2" x14ac:dyDescent="0.25">
      <c r="A1447" s="10" t="s">
        <v>2024</v>
      </c>
      <c r="B1447" s="7" t="s">
        <v>2337</v>
      </c>
    </row>
    <row r="1448" spans="1:2" x14ac:dyDescent="0.25">
      <c r="A1448" s="10" t="s">
        <v>1213</v>
      </c>
      <c r="B1448" s="7" t="s">
        <v>2337</v>
      </c>
    </row>
    <row r="1449" spans="1:2" x14ac:dyDescent="0.25">
      <c r="A1449" s="10" t="s">
        <v>202</v>
      </c>
      <c r="B1449" s="7" t="s">
        <v>2337</v>
      </c>
    </row>
    <row r="1450" spans="1:2" x14ac:dyDescent="0.25">
      <c r="A1450" s="10" t="s">
        <v>81</v>
      </c>
      <c r="B1450" s="7" t="s">
        <v>2337</v>
      </c>
    </row>
    <row r="1451" spans="1:2" x14ac:dyDescent="0.25">
      <c r="A1451" s="10" t="s">
        <v>854</v>
      </c>
      <c r="B1451" s="7" t="s">
        <v>2337</v>
      </c>
    </row>
    <row r="1452" spans="1:2" x14ac:dyDescent="0.25">
      <c r="A1452" s="10" t="s">
        <v>2025</v>
      </c>
      <c r="B1452" s="7" t="s">
        <v>2337</v>
      </c>
    </row>
    <row r="1453" spans="1:2" x14ac:dyDescent="0.25">
      <c r="A1453" s="10" t="s">
        <v>2026</v>
      </c>
      <c r="B1453" s="7" t="s">
        <v>2337</v>
      </c>
    </row>
    <row r="1454" spans="1:2" x14ac:dyDescent="0.25">
      <c r="A1454" s="10" t="s">
        <v>614</v>
      </c>
      <c r="B1454" s="7" t="s">
        <v>2337</v>
      </c>
    </row>
    <row r="1455" spans="1:2" x14ac:dyDescent="0.25">
      <c r="A1455" s="10" t="s">
        <v>1040</v>
      </c>
      <c r="B1455" s="7" t="s">
        <v>2337</v>
      </c>
    </row>
    <row r="1456" spans="1:2" x14ac:dyDescent="0.25">
      <c r="A1456" s="10" t="s">
        <v>2027</v>
      </c>
      <c r="B1456" s="7" t="s">
        <v>2337</v>
      </c>
    </row>
    <row r="1457" spans="1:2" x14ac:dyDescent="0.25">
      <c r="A1457" s="10" t="s">
        <v>2028</v>
      </c>
      <c r="B1457" s="7" t="s">
        <v>2337</v>
      </c>
    </row>
    <row r="1458" spans="1:2" x14ac:dyDescent="0.25">
      <c r="A1458" s="10" t="s">
        <v>2029</v>
      </c>
      <c r="B1458" s="7" t="s">
        <v>2337</v>
      </c>
    </row>
    <row r="1459" spans="1:2" x14ac:dyDescent="0.25">
      <c r="A1459" s="10" t="s">
        <v>2030</v>
      </c>
      <c r="B1459" s="7" t="s">
        <v>2337</v>
      </c>
    </row>
    <row r="1460" spans="1:2" x14ac:dyDescent="0.25">
      <c r="A1460" s="10" t="s">
        <v>551</v>
      </c>
      <c r="B1460" s="7" t="s">
        <v>2337</v>
      </c>
    </row>
    <row r="1461" spans="1:2" x14ac:dyDescent="0.25">
      <c r="A1461" s="10" t="s">
        <v>678</v>
      </c>
      <c r="B1461" s="7" t="s">
        <v>2337</v>
      </c>
    </row>
    <row r="1462" spans="1:2" x14ac:dyDescent="0.25">
      <c r="A1462" s="10" t="s">
        <v>653</v>
      </c>
      <c r="B1462" s="7" t="s">
        <v>2337</v>
      </c>
    </row>
    <row r="1463" spans="1:2" x14ac:dyDescent="0.25">
      <c r="A1463" s="10" t="s">
        <v>2031</v>
      </c>
      <c r="B1463" s="7" t="s">
        <v>2337</v>
      </c>
    </row>
    <row r="1464" spans="1:2" x14ac:dyDescent="0.25">
      <c r="A1464" s="10" t="s">
        <v>2032</v>
      </c>
      <c r="B1464" s="7" t="s">
        <v>2337</v>
      </c>
    </row>
    <row r="1465" spans="1:2" x14ac:dyDescent="0.25">
      <c r="A1465" s="10" t="s">
        <v>4</v>
      </c>
      <c r="B1465" s="7" t="s">
        <v>2337</v>
      </c>
    </row>
    <row r="1466" spans="1:2" x14ac:dyDescent="0.25">
      <c r="A1466" s="10" t="s">
        <v>140</v>
      </c>
      <c r="B1466" s="7" t="s">
        <v>2337</v>
      </c>
    </row>
    <row r="1467" spans="1:2" x14ac:dyDescent="0.25">
      <c r="A1467" s="10" t="s">
        <v>796</v>
      </c>
      <c r="B1467" s="7" t="s">
        <v>2337</v>
      </c>
    </row>
    <row r="1468" spans="1:2" x14ac:dyDescent="0.25">
      <c r="A1468" s="10" t="s">
        <v>2033</v>
      </c>
      <c r="B1468" s="7" t="s">
        <v>2337</v>
      </c>
    </row>
    <row r="1469" spans="1:2" x14ac:dyDescent="0.25">
      <c r="A1469" s="10" t="s">
        <v>42</v>
      </c>
      <c r="B1469" s="7" t="s">
        <v>2337</v>
      </c>
    </row>
    <row r="1470" spans="1:2" x14ac:dyDescent="0.25">
      <c r="A1470" s="10" t="s">
        <v>2034</v>
      </c>
      <c r="B1470" s="7" t="s">
        <v>2337</v>
      </c>
    </row>
    <row r="1471" spans="1:2" x14ac:dyDescent="0.25">
      <c r="A1471" s="10" t="s">
        <v>2035</v>
      </c>
      <c r="B1471" s="7" t="s">
        <v>2337</v>
      </c>
    </row>
    <row r="1472" spans="1:2" x14ac:dyDescent="0.25">
      <c r="A1472" s="10" t="s">
        <v>1038</v>
      </c>
      <c r="B1472" s="7" t="s">
        <v>2337</v>
      </c>
    </row>
    <row r="1473" spans="1:2" x14ac:dyDescent="0.25">
      <c r="A1473" s="10" t="s">
        <v>148</v>
      </c>
      <c r="B1473" s="7" t="s">
        <v>2337</v>
      </c>
    </row>
    <row r="1474" spans="1:2" x14ac:dyDescent="0.25">
      <c r="A1474" s="10" t="s">
        <v>526</v>
      </c>
      <c r="B1474" s="7" t="s">
        <v>2337</v>
      </c>
    </row>
    <row r="1475" spans="1:2" x14ac:dyDescent="0.25">
      <c r="A1475" s="10" t="s">
        <v>782</v>
      </c>
      <c r="B1475" s="7" t="s">
        <v>2337</v>
      </c>
    </row>
    <row r="1476" spans="1:2" x14ac:dyDescent="0.25">
      <c r="A1476" s="10" t="s">
        <v>2036</v>
      </c>
      <c r="B1476" s="7" t="s">
        <v>2337</v>
      </c>
    </row>
    <row r="1477" spans="1:2" x14ac:dyDescent="0.25">
      <c r="A1477" s="10" t="s">
        <v>774</v>
      </c>
      <c r="B1477" s="7" t="s">
        <v>2337</v>
      </c>
    </row>
    <row r="1478" spans="1:2" x14ac:dyDescent="0.25">
      <c r="A1478" s="10" t="s">
        <v>2037</v>
      </c>
      <c r="B1478" s="7" t="s">
        <v>2337</v>
      </c>
    </row>
    <row r="1479" spans="1:2" x14ac:dyDescent="0.25">
      <c r="A1479" s="10" t="s">
        <v>724</v>
      </c>
      <c r="B1479" s="7" t="s">
        <v>2337</v>
      </c>
    </row>
    <row r="1480" spans="1:2" x14ac:dyDescent="0.25">
      <c r="A1480" s="10" t="s">
        <v>719</v>
      </c>
      <c r="B1480" s="7" t="s">
        <v>2337</v>
      </c>
    </row>
    <row r="1481" spans="1:2" x14ac:dyDescent="0.25">
      <c r="A1481" s="10" t="s">
        <v>2038</v>
      </c>
      <c r="B1481" s="7" t="s">
        <v>2337</v>
      </c>
    </row>
    <row r="1482" spans="1:2" x14ac:dyDescent="0.25">
      <c r="A1482" s="10" t="s">
        <v>571</v>
      </c>
      <c r="B1482" s="7" t="s">
        <v>2337</v>
      </c>
    </row>
    <row r="1483" spans="1:2" x14ac:dyDescent="0.25">
      <c r="A1483" s="10" t="s">
        <v>70</v>
      </c>
      <c r="B1483" s="7" t="s">
        <v>2337</v>
      </c>
    </row>
    <row r="1484" spans="1:2" x14ac:dyDescent="0.25">
      <c r="A1484" s="10" t="s">
        <v>2039</v>
      </c>
      <c r="B1484" s="7" t="s">
        <v>2337</v>
      </c>
    </row>
    <row r="1485" spans="1:2" x14ac:dyDescent="0.25">
      <c r="A1485" s="10" t="s">
        <v>2040</v>
      </c>
      <c r="B1485" s="7" t="s">
        <v>2337</v>
      </c>
    </row>
    <row r="1486" spans="1:2" x14ac:dyDescent="0.25">
      <c r="A1486" s="10" t="s">
        <v>247</v>
      </c>
      <c r="B1486" s="7" t="s">
        <v>2337</v>
      </c>
    </row>
    <row r="1487" spans="1:2" x14ac:dyDescent="0.25">
      <c r="A1487" s="10" t="s">
        <v>2041</v>
      </c>
      <c r="B1487" s="7" t="s">
        <v>2337</v>
      </c>
    </row>
    <row r="1488" spans="1:2" x14ac:dyDescent="0.25">
      <c r="A1488" s="10" t="s">
        <v>2042</v>
      </c>
      <c r="B1488" s="7" t="s">
        <v>2337</v>
      </c>
    </row>
    <row r="1489" spans="1:2" x14ac:dyDescent="0.25">
      <c r="A1489" s="10" t="s">
        <v>492</v>
      </c>
      <c r="B1489" s="7" t="s">
        <v>2337</v>
      </c>
    </row>
    <row r="1490" spans="1:2" x14ac:dyDescent="0.25">
      <c r="A1490" s="10" t="s">
        <v>1030</v>
      </c>
      <c r="B1490" s="7" t="s">
        <v>2337</v>
      </c>
    </row>
    <row r="1491" spans="1:2" x14ac:dyDescent="0.25">
      <c r="A1491" s="10" t="s">
        <v>2043</v>
      </c>
      <c r="B1491" s="7" t="s">
        <v>2337</v>
      </c>
    </row>
    <row r="1492" spans="1:2" x14ac:dyDescent="0.25">
      <c r="A1492" s="10" t="s">
        <v>2044</v>
      </c>
      <c r="B1492" s="7" t="s">
        <v>2337</v>
      </c>
    </row>
    <row r="1493" spans="1:2" x14ac:dyDescent="0.25">
      <c r="A1493" s="10" t="s">
        <v>538</v>
      </c>
      <c r="B1493" s="7" t="s">
        <v>2337</v>
      </c>
    </row>
    <row r="1494" spans="1:2" x14ac:dyDescent="0.25">
      <c r="A1494" s="10" t="s">
        <v>2045</v>
      </c>
      <c r="B1494" s="7" t="s">
        <v>2337</v>
      </c>
    </row>
    <row r="1495" spans="1:2" x14ac:dyDescent="0.25">
      <c r="A1495" s="10" t="s">
        <v>286</v>
      </c>
      <c r="B1495" s="7" t="s">
        <v>2337</v>
      </c>
    </row>
    <row r="1496" spans="1:2" x14ac:dyDescent="0.25">
      <c r="A1496" s="10" t="s">
        <v>418</v>
      </c>
      <c r="B1496" s="7" t="s">
        <v>2337</v>
      </c>
    </row>
    <row r="1497" spans="1:2" x14ac:dyDescent="0.25">
      <c r="A1497" s="10" t="s">
        <v>1106</v>
      </c>
      <c r="B1497" s="7" t="s">
        <v>2337</v>
      </c>
    </row>
    <row r="1498" spans="1:2" x14ac:dyDescent="0.25">
      <c r="A1498" s="10" t="s">
        <v>801</v>
      </c>
      <c r="B1498" s="7" t="s">
        <v>2337</v>
      </c>
    </row>
    <row r="1499" spans="1:2" x14ac:dyDescent="0.25">
      <c r="A1499" s="10" t="s">
        <v>503</v>
      </c>
      <c r="B1499" s="7" t="s">
        <v>2337</v>
      </c>
    </row>
    <row r="1500" spans="1:2" x14ac:dyDescent="0.25">
      <c r="A1500" s="10" t="s">
        <v>2046</v>
      </c>
      <c r="B1500" s="7" t="s">
        <v>2337</v>
      </c>
    </row>
    <row r="1501" spans="1:2" x14ac:dyDescent="0.25">
      <c r="A1501" s="10" t="s">
        <v>2047</v>
      </c>
      <c r="B1501" s="7" t="s">
        <v>2337</v>
      </c>
    </row>
    <row r="1502" spans="1:2" x14ac:dyDescent="0.25">
      <c r="A1502" s="10" t="s">
        <v>2048</v>
      </c>
      <c r="B1502" s="7" t="s">
        <v>2337</v>
      </c>
    </row>
    <row r="1503" spans="1:2" x14ac:dyDescent="0.25">
      <c r="A1503" s="10" t="s">
        <v>2049</v>
      </c>
      <c r="B1503" s="7" t="s">
        <v>2337</v>
      </c>
    </row>
    <row r="1504" spans="1:2" x14ac:dyDescent="0.25">
      <c r="A1504" s="10" t="s">
        <v>2050</v>
      </c>
      <c r="B1504" s="7" t="s">
        <v>2337</v>
      </c>
    </row>
    <row r="1505" spans="1:2" x14ac:dyDescent="0.25">
      <c r="A1505" s="10" t="s">
        <v>493</v>
      </c>
      <c r="B1505" s="7" t="s">
        <v>2337</v>
      </c>
    </row>
    <row r="1506" spans="1:2" x14ac:dyDescent="0.25">
      <c r="A1506" s="10" t="s">
        <v>2051</v>
      </c>
      <c r="B1506" s="7" t="s">
        <v>2337</v>
      </c>
    </row>
    <row r="1507" spans="1:2" x14ac:dyDescent="0.25">
      <c r="A1507" s="10" t="s">
        <v>83</v>
      </c>
      <c r="B1507" s="7" t="s">
        <v>2337</v>
      </c>
    </row>
    <row r="1508" spans="1:2" x14ac:dyDescent="0.25">
      <c r="A1508" s="10" t="s">
        <v>2052</v>
      </c>
      <c r="B1508" s="7" t="s">
        <v>2337</v>
      </c>
    </row>
    <row r="1509" spans="1:2" x14ac:dyDescent="0.25">
      <c r="A1509" s="10" t="s">
        <v>146</v>
      </c>
      <c r="B1509" s="7" t="s">
        <v>2337</v>
      </c>
    </row>
    <row r="1510" spans="1:2" x14ac:dyDescent="0.25">
      <c r="A1510" s="10" t="s">
        <v>272</v>
      </c>
      <c r="B1510" s="7" t="s">
        <v>2337</v>
      </c>
    </row>
    <row r="1511" spans="1:2" x14ac:dyDescent="0.25">
      <c r="A1511" s="10" t="s">
        <v>2053</v>
      </c>
      <c r="B1511" s="7" t="s">
        <v>2337</v>
      </c>
    </row>
    <row r="1512" spans="1:2" x14ac:dyDescent="0.25">
      <c r="A1512" s="10" t="s">
        <v>313</v>
      </c>
      <c r="B1512" s="7" t="s">
        <v>2337</v>
      </c>
    </row>
    <row r="1513" spans="1:2" x14ac:dyDescent="0.25">
      <c r="A1513" s="10" t="s">
        <v>2054</v>
      </c>
      <c r="B1513" s="7" t="s">
        <v>2337</v>
      </c>
    </row>
    <row r="1514" spans="1:2" x14ac:dyDescent="0.25">
      <c r="A1514" s="10" t="s">
        <v>673</v>
      </c>
      <c r="B1514" s="7" t="s">
        <v>2337</v>
      </c>
    </row>
    <row r="1515" spans="1:2" x14ac:dyDescent="0.25">
      <c r="A1515" s="10" t="s">
        <v>404</v>
      </c>
      <c r="B1515" s="7" t="s">
        <v>2337</v>
      </c>
    </row>
    <row r="1516" spans="1:2" x14ac:dyDescent="0.25">
      <c r="A1516" s="10" t="s">
        <v>2055</v>
      </c>
      <c r="B1516" s="7" t="s">
        <v>2337</v>
      </c>
    </row>
    <row r="1517" spans="1:2" x14ac:dyDescent="0.25">
      <c r="A1517" s="10" t="s">
        <v>2056</v>
      </c>
      <c r="B1517" s="7" t="s">
        <v>2337</v>
      </c>
    </row>
    <row r="1518" spans="1:2" x14ac:dyDescent="0.25">
      <c r="A1518" s="10" t="s">
        <v>2057</v>
      </c>
      <c r="B1518" s="7" t="s">
        <v>2337</v>
      </c>
    </row>
    <row r="1519" spans="1:2" x14ac:dyDescent="0.25">
      <c r="A1519" s="10" t="s">
        <v>814</v>
      </c>
      <c r="B1519" s="7" t="s">
        <v>2337</v>
      </c>
    </row>
    <row r="1520" spans="1:2" x14ac:dyDescent="0.25">
      <c r="A1520" s="10" t="s">
        <v>158</v>
      </c>
      <c r="B1520" s="7" t="s">
        <v>2337</v>
      </c>
    </row>
    <row r="1521" spans="1:2" x14ac:dyDescent="0.25">
      <c r="A1521" s="10" t="s">
        <v>2058</v>
      </c>
      <c r="B1521" s="7" t="s">
        <v>2337</v>
      </c>
    </row>
    <row r="1522" spans="1:2" x14ac:dyDescent="0.25">
      <c r="A1522" s="10" t="s">
        <v>2059</v>
      </c>
      <c r="B1522" s="7" t="s">
        <v>2337</v>
      </c>
    </row>
    <row r="1523" spans="1:2" x14ac:dyDescent="0.25">
      <c r="A1523" s="10" t="s">
        <v>583</v>
      </c>
      <c r="B1523" s="7" t="s">
        <v>2337</v>
      </c>
    </row>
    <row r="1524" spans="1:2" x14ac:dyDescent="0.25">
      <c r="A1524" s="10" t="s">
        <v>713</v>
      </c>
      <c r="B1524" s="7" t="s">
        <v>2337</v>
      </c>
    </row>
    <row r="1525" spans="1:2" x14ac:dyDescent="0.25">
      <c r="A1525" s="10" t="s">
        <v>2060</v>
      </c>
      <c r="B1525" s="7" t="s">
        <v>2337</v>
      </c>
    </row>
    <row r="1526" spans="1:2" x14ac:dyDescent="0.25">
      <c r="A1526" s="10" t="s">
        <v>74</v>
      </c>
      <c r="B1526" s="7" t="s">
        <v>2337</v>
      </c>
    </row>
    <row r="1527" spans="1:2" x14ac:dyDescent="0.25">
      <c r="A1527" s="10" t="s">
        <v>1226</v>
      </c>
      <c r="B1527" s="7" t="s">
        <v>2337</v>
      </c>
    </row>
    <row r="1528" spans="1:2" x14ac:dyDescent="0.25">
      <c r="A1528" s="10" t="s">
        <v>867</v>
      </c>
      <c r="B1528" s="7" t="s">
        <v>2337</v>
      </c>
    </row>
    <row r="1529" spans="1:2" x14ac:dyDescent="0.25">
      <c r="A1529" s="10" t="s">
        <v>2061</v>
      </c>
      <c r="B1529" s="7" t="s">
        <v>2337</v>
      </c>
    </row>
    <row r="1530" spans="1:2" x14ac:dyDescent="0.25">
      <c r="A1530" s="10" t="s">
        <v>515</v>
      </c>
      <c r="B1530" s="7" t="s">
        <v>2337</v>
      </c>
    </row>
    <row r="1531" spans="1:2" x14ac:dyDescent="0.25">
      <c r="A1531" s="10" t="s">
        <v>419</v>
      </c>
      <c r="B1531" s="7" t="s">
        <v>2337</v>
      </c>
    </row>
    <row r="1532" spans="1:2" x14ac:dyDescent="0.25">
      <c r="A1532" s="10" t="s">
        <v>2062</v>
      </c>
      <c r="B1532" s="7" t="s">
        <v>2337</v>
      </c>
    </row>
    <row r="1533" spans="1:2" x14ac:dyDescent="0.25">
      <c r="A1533" s="10" t="s">
        <v>2063</v>
      </c>
      <c r="B1533" s="7" t="s">
        <v>2337</v>
      </c>
    </row>
    <row r="1534" spans="1:2" x14ac:dyDescent="0.25">
      <c r="A1534" s="10" t="s">
        <v>936</v>
      </c>
      <c r="B1534" s="7" t="s">
        <v>2337</v>
      </c>
    </row>
    <row r="1535" spans="1:2" x14ac:dyDescent="0.25">
      <c r="A1535" s="10" t="s">
        <v>457</v>
      </c>
      <c r="B1535" s="7" t="s">
        <v>2337</v>
      </c>
    </row>
    <row r="1536" spans="1:2" x14ac:dyDescent="0.25">
      <c r="A1536" s="10" t="s">
        <v>2064</v>
      </c>
      <c r="B1536" s="7" t="s">
        <v>2337</v>
      </c>
    </row>
    <row r="1537" spans="1:2" x14ac:dyDescent="0.25">
      <c r="A1537" s="10" t="s">
        <v>901</v>
      </c>
      <c r="B1537" s="7" t="s">
        <v>2337</v>
      </c>
    </row>
    <row r="1538" spans="1:2" x14ac:dyDescent="0.25">
      <c r="A1538" s="10" t="s">
        <v>447</v>
      </c>
      <c r="B1538" s="7" t="s">
        <v>2337</v>
      </c>
    </row>
    <row r="1539" spans="1:2" x14ac:dyDescent="0.25">
      <c r="A1539" s="10" t="s">
        <v>267</v>
      </c>
      <c r="B1539" s="7" t="s">
        <v>2337</v>
      </c>
    </row>
    <row r="1540" spans="1:2" x14ac:dyDescent="0.25">
      <c r="A1540" s="10" t="s">
        <v>2065</v>
      </c>
      <c r="B1540" s="7" t="s">
        <v>2337</v>
      </c>
    </row>
    <row r="1541" spans="1:2" x14ac:dyDescent="0.25">
      <c r="A1541" s="10" t="s">
        <v>2066</v>
      </c>
      <c r="B1541" s="7" t="s">
        <v>2337</v>
      </c>
    </row>
    <row r="1542" spans="1:2" x14ac:dyDescent="0.25">
      <c r="A1542" s="10" t="s">
        <v>2067</v>
      </c>
      <c r="B1542" s="7" t="s">
        <v>2337</v>
      </c>
    </row>
    <row r="1543" spans="1:2" x14ac:dyDescent="0.25">
      <c r="A1543" s="10" t="s">
        <v>472</v>
      </c>
      <c r="B1543" s="7" t="s">
        <v>2337</v>
      </c>
    </row>
    <row r="1544" spans="1:2" x14ac:dyDescent="0.25">
      <c r="A1544" s="10" t="s">
        <v>2068</v>
      </c>
      <c r="B1544" s="7" t="s">
        <v>2337</v>
      </c>
    </row>
    <row r="1545" spans="1:2" x14ac:dyDescent="0.25">
      <c r="A1545" s="10" t="s">
        <v>2069</v>
      </c>
      <c r="B1545" s="7" t="s">
        <v>2337</v>
      </c>
    </row>
    <row r="1546" spans="1:2" x14ac:dyDescent="0.25">
      <c r="A1546" s="10" t="s">
        <v>962</v>
      </c>
      <c r="B1546" s="7" t="s">
        <v>2337</v>
      </c>
    </row>
    <row r="1547" spans="1:2" x14ac:dyDescent="0.25">
      <c r="A1547" s="10" t="s">
        <v>2070</v>
      </c>
      <c r="B1547" s="7" t="s">
        <v>2337</v>
      </c>
    </row>
    <row r="1548" spans="1:2" x14ac:dyDescent="0.25">
      <c r="A1548" s="10" t="s">
        <v>1190</v>
      </c>
      <c r="B1548" s="7" t="s">
        <v>2337</v>
      </c>
    </row>
    <row r="1549" spans="1:2" x14ac:dyDescent="0.25">
      <c r="A1549" s="10" t="s">
        <v>211</v>
      </c>
      <c r="B1549" s="7" t="s">
        <v>2337</v>
      </c>
    </row>
    <row r="1550" spans="1:2" x14ac:dyDescent="0.25">
      <c r="A1550" s="10" t="s">
        <v>746</v>
      </c>
      <c r="B1550" s="7" t="s">
        <v>2337</v>
      </c>
    </row>
    <row r="1551" spans="1:2" x14ac:dyDescent="0.25">
      <c r="A1551" s="10" t="s">
        <v>2071</v>
      </c>
      <c r="B1551" s="7" t="s">
        <v>2337</v>
      </c>
    </row>
    <row r="1552" spans="1:2" x14ac:dyDescent="0.25">
      <c r="A1552" s="10" t="s">
        <v>767</v>
      </c>
      <c r="B1552" s="7" t="s">
        <v>2337</v>
      </c>
    </row>
    <row r="1553" spans="1:2" x14ac:dyDescent="0.25">
      <c r="A1553" s="10" t="s">
        <v>2072</v>
      </c>
      <c r="B1553" s="7" t="s">
        <v>2337</v>
      </c>
    </row>
    <row r="1554" spans="1:2" x14ac:dyDescent="0.25">
      <c r="A1554" s="10" t="s">
        <v>1189</v>
      </c>
      <c r="B1554" s="7" t="s">
        <v>2337</v>
      </c>
    </row>
    <row r="1555" spans="1:2" x14ac:dyDescent="0.25">
      <c r="A1555" s="10" t="s">
        <v>2073</v>
      </c>
      <c r="B1555" s="7" t="s">
        <v>2337</v>
      </c>
    </row>
    <row r="1556" spans="1:2" x14ac:dyDescent="0.25">
      <c r="A1556" s="10" t="s">
        <v>986</v>
      </c>
      <c r="B1556" s="7" t="s">
        <v>2337</v>
      </c>
    </row>
    <row r="1557" spans="1:2" x14ac:dyDescent="0.25">
      <c r="A1557" s="10" t="s">
        <v>2074</v>
      </c>
      <c r="B1557" s="7" t="s">
        <v>2337</v>
      </c>
    </row>
    <row r="1558" spans="1:2" x14ac:dyDescent="0.25">
      <c r="A1558" s="10" t="s">
        <v>1113</v>
      </c>
      <c r="B1558" s="7" t="s">
        <v>2337</v>
      </c>
    </row>
    <row r="1559" spans="1:2" x14ac:dyDescent="0.25">
      <c r="A1559" s="10" t="s">
        <v>2075</v>
      </c>
      <c r="B1559" s="7" t="s">
        <v>2337</v>
      </c>
    </row>
    <row r="1560" spans="1:2" x14ac:dyDescent="0.25">
      <c r="A1560" s="10" t="s">
        <v>2076</v>
      </c>
      <c r="B1560" s="7" t="s">
        <v>2337</v>
      </c>
    </row>
    <row r="1561" spans="1:2" x14ac:dyDescent="0.25">
      <c r="A1561" s="10" t="s">
        <v>1155</v>
      </c>
      <c r="B1561" s="7" t="s">
        <v>2337</v>
      </c>
    </row>
    <row r="1562" spans="1:2" x14ac:dyDescent="0.25">
      <c r="A1562" s="10" t="s">
        <v>2077</v>
      </c>
      <c r="B1562" s="7" t="s">
        <v>2337</v>
      </c>
    </row>
    <row r="1563" spans="1:2" x14ac:dyDescent="0.25">
      <c r="A1563" s="10" t="s">
        <v>2078</v>
      </c>
      <c r="B1563" s="7" t="s">
        <v>2337</v>
      </c>
    </row>
    <row r="1564" spans="1:2" x14ac:dyDescent="0.25">
      <c r="A1564" s="10" t="s">
        <v>467</v>
      </c>
      <c r="B1564" s="7" t="s">
        <v>2337</v>
      </c>
    </row>
    <row r="1565" spans="1:2" x14ac:dyDescent="0.25">
      <c r="A1565" s="10" t="s">
        <v>2079</v>
      </c>
      <c r="B1565" s="7" t="s">
        <v>2337</v>
      </c>
    </row>
    <row r="1566" spans="1:2" x14ac:dyDescent="0.25">
      <c r="A1566" s="10" t="s">
        <v>2080</v>
      </c>
      <c r="B1566" s="7" t="s">
        <v>2337</v>
      </c>
    </row>
    <row r="1567" spans="1:2" x14ac:dyDescent="0.25">
      <c r="A1567" s="10" t="s">
        <v>2081</v>
      </c>
      <c r="B1567" s="7" t="s">
        <v>2337</v>
      </c>
    </row>
    <row r="1568" spans="1:2" x14ac:dyDescent="0.25">
      <c r="A1568" s="10" t="s">
        <v>915</v>
      </c>
      <c r="B1568" s="7" t="s">
        <v>2337</v>
      </c>
    </row>
    <row r="1569" spans="1:2" x14ac:dyDescent="0.25">
      <c r="A1569" s="10" t="s">
        <v>2082</v>
      </c>
      <c r="B1569" s="7" t="s">
        <v>2337</v>
      </c>
    </row>
    <row r="1570" spans="1:2" x14ac:dyDescent="0.25">
      <c r="A1570" s="10" t="s">
        <v>2083</v>
      </c>
      <c r="B1570" s="7" t="s">
        <v>2337</v>
      </c>
    </row>
    <row r="1571" spans="1:2" x14ac:dyDescent="0.25">
      <c r="A1571" s="10" t="s">
        <v>1056</v>
      </c>
      <c r="B1571" s="7" t="s">
        <v>2337</v>
      </c>
    </row>
    <row r="1572" spans="1:2" x14ac:dyDescent="0.25">
      <c r="A1572" s="10" t="s">
        <v>464</v>
      </c>
      <c r="B1572" s="7" t="s">
        <v>2337</v>
      </c>
    </row>
    <row r="1573" spans="1:2" x14ac:dyDescent="0.25">
      <c r="A1573" s="10" t="s">
        <v>1000</v>
      </c>
      <c r="B1573" s="7" t="s">
        <v>2337</v>
      </c>
    </row>
    <row r="1574" spans="1:2" x14ac:dyDescent="0.25">
      <c r="A1574" s="10" t="s">
        <v>1074</v>
      </c>
      <c r="B1574" s="7" t="s">
        <v>2337</v>
      </c>
    </row>
    <row r="1575" spans="1:2" x14ac:dyDescent="0.25">
      <c r="A1575" s="10" t="s">
        <v>139</v>
      </c>
      <c r="B1575" s="7" t="s">
        <v>2337</v>
      </c>
    </row>
    <row r="1576" spans="1:2" x14ac:dyDescent="0.25">
      <c r="A1576" s="10" t="s">
        <v>950</v>
      </c>
      <c r="B1576" s="7" t="s">
        <v>2337</v>
      </c>
    </row>
    <row r="1577" spans="1:2" x14ac:dyDescent="0.25">
      <c r="A1577" s="10" t="s">
        <v>1209</v>
      </c>
      <c r="B1577" s="7" t="s">
        <v>2337</v>
      </c>
    </row>
    <row r="1578" spans="1:2" x14ac:dyDescent="0.25">
      <c r="A1578" s="10" t="s">
        <v>2084</v>
      </c>
      <c r="B1578" s="7" t="s">
        <v>2337</v>
      </c>
    </row>
    <row r="1579" spans="1:2" x14ac:dyDescent="0.25">
      <c r="A1579" s="10" t="s">
        <v>855</v>
      </c>
      <c r="B1579" s="7" t="s">
        <v>2337</v>
      </c>
    </row>
    <row r="1580" spans="1:2" x14ac:dyDescent="0.25">
      <c r="A1580" s="10" t="s">
        <v>812</v>
      </c>
      <c r="B1580" s="7" t="s">
        <v>2337</v>
      </c>
    </row>
    <row r="1581" spans="1:2" x14ac:dyDescent="0.25">
      <c r="A1581" s="10" t="s">
        <v>2085</v>
      </c>
      <c r="B1581" s="7" t="s">
        <v>2337</v>
      </c>
    </row>
    <row r="1582" spans="1:2" x14ac:dyDescent="0.25">
      <c r="A1582" s="10" t="s">
        <v>334</v>
      </c>
      <c r="B1582" s="7" t="s">
        <v>2337</v>
      </c>
    </row>
    <row r="1583" spans="1:2" x14ac:dyDescent="0.25">
      <c r="A1583" s="10" t="s">
        <v>2086</v>
      </c>
      <c r="B1583" s="7" t="s">
        <v>2337</v>
      </c>
    </row>
    <row r="1584" spans="1:2" x14ac:dyDescent="0.25">
      <c r="A1584" s="10" t="s">
        <v>392</v>
      </c>
      <c r="B1584" s="7" t="s">
        <v>2337</v>
      </c>
    </row>
    <row r="1585" spans="1:2" x14ac:dyDescent="0.25">
      <c r="A1585" s="10" t="s">
        <v>73</v>
      </c>
      <c r="B1585" s="7" t="s">
        <v>2337</v>
      </c>
    </row>
    <row r="1586" spans="1:2" x14ac:dyDescent="0.25">
      <c r="A1586" s="10" t="s">
        <v>2087</v>
      </c>
      <c r="B1586" s="7" t="s">
        <v>2337</v>
      </c>
    </row>
    <row r="1587" spans="1:2" x14ac:dyDescent="0.25">
      <c r="A1587" s="10" t="s">
        <v>793</v>
      </c>
      <c r="B1587" s="7" t="s">
        <v>2337</v>
      </c>
    </row>
    <row r="1588" spans="1:2" x14ac:dyDescent="0.25">
      <c r="A1588" s="10" t="s">
        <v>880</v>
      </c>
      <c r="B1588" s="7" t="s">
        <v>2337</v>
      </c>
    </row>
    <row r="1589" spans="1:2" x14ac:dyDescent="0.25">
      <c r="A1589" s="10" t="s">
        <v>1237</v>
      </c>
      <c r="B1589" s="7" t="s">
        <v>2337</v>
      </c>
    </row>
    <row r="1590" spans="1:2" x14ac:dyDescent="0.25">
      <c r="A1590" s="10" t="s">
        <v>94</v>
      </c>
      <c r="B1590" s="7" t="s">
        <v>2337</v>
      </c>
    </row>
    <row r="1591" spans="1:2" x14ac:dyDescent="0.25">
      <c r="A1591" s="10" t="s">
        <v>2088</v>
      </c>
      <c r="B1591" s="7" t="s">
        <v>2337</v>
      </c>
    </row>
    <row r="1592" spans="1:2" x14ac:dyDescent="0.25">
      <c r="A1592" s="10" t="s">
        <v>2089</v>
      </c>
      <c r="B1592" s="7" t="s">
        <v>2337</v>
      </c>
    </row>
    <row r="1593" spans="1:2" x14ac:dyDescent="0.25">
      <c r="A1593" s="10" t="s">
        <v>2090</v>
      </c>
      <c r="B1593" s="7" t="s">
        <v>2337</v>
      </c>
    </row>
    <row r="1594" spans="1:2" x14ac:dyDescent="0.25">
      <c r="A1594" s="10" t="s">
        <v>241</v>
      </c>
      <c r="B1594" s="7" t="s">
        <v>2337</v>
      </c>
    </row>
    <row r="1595" spans="1:2" x14ac:dyDescent="0.25">
      <c r="A1595" s="10" t="s">
        <v>11</v>
      </c>
      <c r="B1595" s="7" t="s">
        <v>2337</v>
      </c>
    </row>
    <row r="1596" spans="1:2" x14ac:dyDescent="0.25">
      <c r="A1596" s="10" t="s">
        <v>2091</v>
      </c>
      <c r="B1596" s="7" t="s">
        <v>2337</v>
      </c>
    </row>
    <row r="1597" spans="1:2" x14ac:dyDescent="0.25">
      <c r="A1597" s="10" t="s">
        <v>460</v>
      </c>
      <c r="B1597" s="7" t="s">
        <v>2337</v>
      </c>
    </row>
    <row r="1598" spans="1:2" x14ac:dyDescent="0.25">
      <c r="A1598" s="10" t="s">
        <v>627</v>
      </c>
      <c r="B1598" s="7" t="s">
        <v>2337</v>
      </c>
    </row>
    <row r="1599" spans="1:2" x14ac:dyDescent="0.25">
      <c r="A1599" s="10" t="s">
        <v>485</v>
      </c>
      <c r="B1599" s="7" t="s">
        <v>2337</v>
      </c>
    </row>
    <row r="1600" spans="1:2" x14ac:dyDescent="0.25">
      <c r="A1600" s="10" t="s">
        <v>2092</v>
      </c>
      <c r="B1600" s="7" t="s">
        <v>2337</v>
      </c>
    </row>
    <row r="1601" spans="1:2" x14ac:dyDescent="0.25">
      <c r="A1601" s="10" t="s">
        <v>2093</v>
      </c>
      <c r="B1601" s="7" t="s">
        <v>2337</v>
      </c>
    </row>
    <row r="1602" spans="1:2" x14ac:dyDescent="0.25">
      <c r="A1602" s="10" t="s">
        <v>2094</v>
      </c>
      <c r="B1602" s="7" t="s">
        <v>2337</v>
      </c>
    </row>
    <row r="1603" spans="1:2" x14ac:dyDescent="0.25">
      <c r="A1603" s="10" t="s">
        <v>2095</v>
      </c>
      <c r="B1603" s="7" t="s">
        <v>2337</v>
      </c>
    </row>
    <row r="1604" spans="1:2" x14ac:dyDescent="0.25">
      <c r="A1604" s="10" t="s">
        <v>93</v>
      </c>
      <c r="B1604" s="7" t="s">
        <v>2337</v>
      </c>
    </row>
    <row r="1605" spans="1:2" x14ac:dyDescent="0.25">
      <c r="A1605" s="10" t="s">
        <v>85</v>
      </c>
      <c r="B1605" s="7" t="s">
        <v>2337</v>
      </c>
    </row>
    <row r="1606" spans="1:2" x14ac:dyDescent="0.25">
      <c r="A1606" s="10" t="s">
        <v>90</v>
      </c>
      <c r="B1606" s="7" t="s">
        <v>2337</v>
      </c>
    </row>
    <row r="1607" spans="1:2" x14ac:dyDescent="0.25">
      <c r="A1607" s="10" t="s">
        <v>688</v>
      </c>
      <c r="B1607" s="7" t="s">
        <v>2337</v>
      </c>
    </row>
    <row r="1608" spans="1:2" x14ac:dyDescent="0.25">
      <c r="A1608" s="10" t="s">
        <v>1132</v>
      </c>
      <c r="B1608" s="7" t="s">
        <v>2337</v>
      </c>
    </row>
    <row r="1609" spans="1:2" x14ac:dyDescent="0.25">
      <c r="A1609" s="10" t="s">
        <v>2096</v>
      </c>
      <c r="B1609" s="7" t="s">
        <v>2337</v>
      </c>
    </row>
    <row r="1610" spans="1:2" x14ac:dyDescent="0.25">
      <c r="A1610" s="10" t="s">
        <v>976</v>
      </c>
      <c r="B1610" s="7" t="s">
        <v>2337</v>
      </c>
    </row>
    <row r="1611" spans="1:2" x14ac:dyDescent="0.25">
      <c r="A1611" s="10" t="s">
        <v>2097</v>
      </c>
      <c r="B1611" s="7" t="s">
        <v>2337</v>
      </c>
    </row>
    <row r="1612" spans="1:2" x14ac:dyDescent="0.25">
      <c r="A1612" s="10" t="s">
        <v>597</v>
      </c>
      <c r="B1612" s="7" t="s">
        <v>2337</v>
      </c>
    </row>
    <row r="1613" spans="1:2" x14ac:dyDescent="0.25">
      <c r="A1613" s="10" t="s">
        <v>2098</v>
      </c>
      <c r="B1613" s="7" t="s">
        <v>2337</v>
      </c>
    </row>
    <row r="1614" spans="1:2" x14ac:dyDescent="0.25">
      <c r="A1614" s="10" t="s">
        <v>856</v>
      </c>
      <c r="B1614" s="7" t="s">
        <v>2337</v>
      </c>
    </row>
    <row r="1615" spans="1:2" x14ac:dyDescent="0.25">
      <c r="A1615" s="10" t="s">
        <v>2099</v>
      </c>
      <c r="B1615" s="7" t="s">
        <v>2337</v>
      </c>
    </row>
    <row r="1616" spans="1:2" x14ac:dyDescent="0.25">
      <c r="A1616" s="10" t="s">
        <v>911</v>
      </c>
      <c r="B1616" s="7" t="s">
        <v>2337</v>
      </c>
    </row>
    <row r="1617" spans="1:2" x14ac:dyDescent="0.25">
      <c r="A1617" s="10" t="s">
        <v>2100</v>
      </c>
      <c r="B1617" s="7" t="s">
        <v>2337</v>
      </c>
    </row>
    <row r="1618" spans="1:2" x14ac:dyDescent="0.25">
      <c r="A1618" s="10" t="s">
        <v>166</v>
      </c>
      <c r="B1618" s="7" t="s">
        <v>2337</v>
      </c>
    </row>
    <row r="1619" spans="1:2" x14ac:dyDescent="0.25">
      <c r="A1619" s="10" t="s">
        <v>2101</v>
      </c>
      <c r="B1619" s="7" t="s">
        <v>2337</v>
      </c>
    </row>
    <row r="1620" spans="1:2" x14ac:dyDescent="0.25">
      <c r="A1620" s="10" t="s">
        <v>2102</v>
      </c>
      <c r="B1620" s="7" t="s">
        <v>2337</v>
      </c>
    </row>
    <row r="1621" spans="1:2" x14ac:dyDescent="0.25">
      <c r="A1621" s="10" t="s">
        <v>2103</v>
      </c>
      <c r="B1621" s="7" t="s">
        <v>2337</v>
      </c>
    </row>
    <row r="1622" spans="1:2" x14ac:dyDescent="0.25">
      <c r="A1622" s="10" t="s">
        <v>263</v>
      </c>
      <c r="B1622" s="7" t="s">
        <v>2337</v>
      </c>
    </row>
    <row r="1623" spans="1:2" x14ac:dyDescent="0.25">
      <c r="A1623" s="10" t="s">
        <v>2104</v>
      </c>
      <c r="B1623" s="7" t="s">
        <v>2337</v>
      </c>
    </row>
    <row r="1624" spans="1:2" x14ac:dyDescent="0.25">
      <c r="A1624" s="10" t="s">
        <v>2105</v>
      </c>
      <c r="B1624" s="7" t="s">
        <v>2337</v>
      </c>
    </row>
    <row r="1625" spans="1:2" x14ac:dyDescent="0.25">
      <c r="A1625" s="10" t="s">
        <v>2106</v>
      </c>
      <c r="B1625" s="7" t="s">
        <v>2337</v>
      </c>
    </row>
    <row r="1626" spans="1:2" x14ac:dyDescent="0.25">
      <c r="A1626" s="10" t="s">
        <v>728</v>
      </c>
      <c r="B1626" s="7" t="s">
        <v>2337</v>
      </c>
    </row>
    <row r="1627" spans="1:2" x14ac:dyDescent="0.25">
      <c r="A1627" s="10" t="s">
        <v>121</v>
      </c>
      <c r="B1627" s="7" t="s">
        <v>2337</v>
      </c>
    </row>
    <row r="1628" spans="1:2" x14ac:dyDescent="0.25">
      <c r="A1628" s="10" t="s">
        <v>116</v>
      </c>
      <c r="B1628" s="7" t="s">
        <v>2337</v>
      </c>
    </row>
    <row r="1629" spans="1:2" x14ac:dyDescent="0.25">
      <c r="A1629" s="10" t="s">
        <v>684</v>
      </c>
      <c r="B1629" s="7" t="s">
        <v>2337</v>
      </c>
    </row>
    <row r="1630" spans="1:2" x14ac:dyDescent="0.25">
      <c r="A1630" s="10" t="s">
        <v>2107</v>
      </c>
      <c r="B1630" s="7" t="s">
        <v>2337</v>
      </c>
    </row>
    <row r="1631" spans="1:2" x14ac:dyDescent="0.25">
      <c r="A1631" s="10" t="s">
        <v>361</v>
      </c>
      <c r="B1631" s="7" t="s">
        <v>2337</v>
      </c>
    </row>
    <row r="1632" spans="1:2" x14ac:dyDescent="0.25">
      <c r="A1632" s="10" t="s">
        <v>2108</v>
      </c>
      <c r="B1632" s="7" t="s">
        <v>2337</v>
      </c>
    </row>
    <row r="1633" spans="1:2" x14ac:dyDescent="0.25">
      <c r="A1633" s="10" t="s">
        <v>1011</v>
      </c>
      <c r="B1633" s="7" t="s">
        <v>2337</v>
      </c>
    </row>
    <row r="1634" spans="1:2" x14ac:dyDescent="0.25">
      <c r="A1634" s="10" t="s">
        <v>2109</v>
      </c>
      <c r="B1634" s="7" t="s">
        <v>2337</v>
      </c>
    </row>
    <row r="1635" spans="1:2" x14ac:dyDescent="0.25">
      <c r="A1635" s="10" t="s">
        <v>2110</v>
      </c>
      <c r="B1635" s="7" t="s">
        <v>2337</v>
      </c>
    </row>
    <row r="1636" spans="1:2" x14ac:dyDescent="0.25">
      <c r="A1636" s="10" t="s">
        <v>604</v>
      </c>
      <c r="B1636" s="7" t="s">
        <v>2337</v>
      </c>
    </row>
    <row r="1637" spans="1:2" x14ac:dyDescent="0.25">
      <c r="A1637" s="10" t="s">
        <v>2111</v>
      </c>
      <c r="B1637" s="7" t="s">
        <v>2337</v>
      </c>
    </row>
    <row r="1638" spans="1:2" x14ac:dyDescent="0.25">
      <c r="A1638" s="10" t="s">
        <v>1234</v>
      </c>
      <c r="B1638" s="7" t="s">
        <v>2337</v>
      </c>
    </row>
    <row r="1639" spans="1:2" x14ac:dyDescent="0.25">
      <c r="A1639" s="10" t="s">
        <v>2112</v>
      </c>
      <c r="B1639" s="7" t="s">
        <v>2337</v>
      </c>
    </row>
    <row r="1640" spans="1:2" x14ac:dyDescent="0.25">
      <c r="A1640" s="10" t="s">
        <v>2113</v>
      </c>
      <c r="B1640" s="7" t="s">
        <v>2337</v>
      </c>
    </row>
    <row r="1641" spans="1:2" x14ac:dyDescent="0.25">
      <c r="A1641" s="10" t="s">
        <v>1098</v>
      </c>
      <c r="B1641" s="7" t="s">
        <v>2337</v>
      </c>
    </row>
    <row r="1642" spans="1:2" x14ac:dyDescent="0.25">
      <c r="A1642" s="10" t="s">
        <v>2114</v>
      </c>
      <c r="B1642" s="7" t="s">
        <v>2337</v>
      </c>
    </row>
    <row r="1643" spans="1:2" x14ac:dyDescent="0.25">
      <c r="A1643" s="10" t="s">
        <v>508</v>
      </c>
      <c r="B1643" s="7" t="s">
        <v>2337</v>
      </c>
    </row>
    <row r="1644" spans="1:2" x14ac:dyDescent="0.25">
      <c r="A1644" s="10" t="s">
        <v>752</v>
      </c>
      <c r="B1644" s="7" t="s">
        <v>2337</v>
      </c>
    </row>
    <row r="1645" spans="1:2" x14ac:dyDescent="0.25">
      <c r="A1645" s="10" t="s">
        <v>857</v>
      </c>
      <c r="B1645" s="7" t="s">
        <v>2337</v>
      </c>
    </row>
    <row r="1646" spans="1:2" x14ac:dyDescent="0.25">
      <c r="A1646" s="10" t="s">
        <v>870</v>
      </c>
      <c r="B1646" s="7" t="s">
        <v>2337</v>
      </c>
    </row>
    <row r="1647" spans="1:2" x14ac:dyDescent="0.25">
      <c r="A1647" s="10" t="s">
        <v>2115</v>
      </c>
      <c r="B1647" s="7" t="s">
        <v>2337</v>
      </c>
    </row>
    <row r="1648" spans="1:2" x14ac:dyDescent="0.25">
      <c r="A1648" s="10" t="s">
        <v>1183</v>
      </c>
      <c r="B1648" s="7" t="s">
        <v>2337</v>
      </c>
    </row>
    <row r="1649" spans="1:2" x14ac:dyDescent="0.25">
      <c r="A1649" s="10" t="s">
        <v>2116</v>
      </c>
      <c r="B1649" s="7" t="s">
        <v>2337</v>
      </c>
    </row>
    <row r="1650" spans="1:2" x14ac:dyDescent="0.25">
      <c r="A1650" s="10" t="s">
        <v>930</v>
      </c>
      <c r="B1650" s="7" t="s">
        <v>2337</v>
      </c>
    </row>
    <row r="1651" spans="1:2" x14ac:dyDescent="0.25">
      <c r="A1651" s="10" t="s">
        <v>2117</v>
      </c>
      <c r="B1651" s="7" t="s">
        <v>2337</v>
      </c>
    </row>
    <row r="1652" spans="1:2" x14ac:dyDescent="0.25">
      <c r="A1652" s="10" t="s">
        <v>2118</v>
      </c>
      <c r="B1652" s="7" t="s">
        <v>2337</v>
      </c>
    </row>
    <row r="1653" spans="1:2" x14ac:dyDescent="0.25">
      <c r="A1653" s="10" t="s">
        <v>603</v>
      </c>
      <c r="B1653" s="7" t="s">
        <v>2337</v>
      </c>
    </row>
    <row r="1654" spans="1:2" x14ac:dyDescent="0.25">
      <c r="A1654" s="10" t="s">
        <v>2119</v>
      </c>
      <c r="B1654" s="7" t="s">
        <v>2337</v>
      </c>
    </row>
    <row r="1655" spans="1:2" x14ac:dyDescent="0.25">
      <c r="A1655" s="10" t="s">
        <v>2120</v>
      </c>
      <c r="B1655" s="7" t="s">
        <v>2337</v>
      </c>
    </row>
    <row r="1656" spans="1:2" x14ac:dyDescent="0.25">
      <c r="A1656" s="10" t="s">
        <v>2121</v>
      </c>
      <c r="B1656" s="7" t="s">
        <v>2337</v>
      </c>
    </row>
    <row r="1657" spans="1:2" x14ac:dyDescent="0.25">
      <c r="A1657" s="10" t="s">
        <v>982</v>
      </c>
      <c r="B1657" s="7" t="s">
        <v>2337</v>
      </c>
    </row>
    <row r="1658" spans="1:2" x14ac:dyDescent="0.25">
      <c r="A1658" s="10" t="s">
        <v>2122</v>
      </c>
      <c r="B1658" s="7" t="s">
        <v>2337</v>
      </c>
    </row>
    <row r="1659" spans="1:2" x14ac:dyDescent="0.25">
      <c r="A1659" s="10" t="s">
        <v>525</v>
      </c>
      <c r="B1659" s="7" t="s">
        <v>2337</v>
      </c>
    </row>
    <row r="1660" spans="1:2" x14ac:dyDescent="0.25">
      <c r="A1660" s="10" t="s">
        <v>615</v>
      </c>
      <c r="B1660" s="7" t="s">
        <v>2337</v>
      </c>
    </row>
    <row r="1661" spans="1:2" x14ac:dyDescent="0.25">
      <c r="A1661" s="10" t="s">
        <v>147</v>
      </c>
      <c r="B1661" s="7" t="s">
        <v>2337</v>
      </c>
    </row>
    <row r="1662" spans="1:2" x14ac:dyDescent="0.25">
      <c r="A1662" s="10" t="s">
        <v>2123</v>
      </c>
      <c r="B1662" s="7" t="s">
        <v>2337</v>
      </c>
    </row>
    <row r="1663" spans="1:2" x14ac:dyDescent="0.25">
      <c r="A1663" s="10" t="s">
        <v>685</v>
      </c>
      <c r="B1663" s="7" t="s">
        <v>2337</v>
      </c>
    </row>
    <row r="1664" spans="1:2" x14ac:dyDescent="0.25">
      <c r="A1664" s="10" t="s">
        <v>985</v>
      </c>
      <c r="B1664" s="7" t="s">
        <v>2337</v>
      </c>
    </row>
    <row r="1665" spans="1:2" x14ac:dyDescent="0.25">
      <c r="A1665" s="10" t="s">
        <v>2124</v>
      </c>
      <c r="B1665" s="7" t="s">
        <v>2337</v>
      </c>
    </row>
    <row r="1666" spans="1:2" x14ac:dyDescent="0.25">
      <c r="A1666" s="10" t="s">
        <v>736</v>
      </c>
      <c r="B1666" s="7" t="s">
        <v>2337</v>
      </c>
    </row>
    <row r="1667" spans="1:2" x14ac:dyDescent="0.25">
      <c r="A1667" s="10" t="s">
        <v>2125</v>
      </c>
      <c r="B1667" s="7" t="s">
        <v>2337</v>
      </c>
    </row>
    <row r="1668" spans="1:2" x14ac:dyDescent="0.25">
      <c r="A1668" s="10" t="s">
        <v>523</v>
      </c>
      <c r="B1668" s="7" t="s">
        <v>2337</v>
      </c>
    </row>
    <row r="1669" spans="1:2" x14ac:dyDescent="0.25">
      <c r="A1669" s="10" t="s">
        <v>596</v>
      </c>
      <c r="B1669" s="7" t="s">
        <v>2337</v>
      </c>
    </row>
    <row r="1670" spans="1:2" x14ac:dyDescent="0.25">
      <c r="A1670" s="10" t="s">
        <v>2126</v>
      </c>
      <c r="B1670" s="7" t="s">
        <v>2337</v>
      </c>
    </row>
    <row r="1671" spans="1:2" x14ac:dyDescent="0.25">
      <c r="A1671" s="10" t="s">
        <v>2127</v>
      </c>
      <c r="B1671" s="7" t="s">
        <v>2337</v>
      </c>
    </row>
    <row r="1672" spans="1:2" x14ac:dyDescent="0.25">
      <c r="A1672" s="10" t="s">
        <v>21</v>
      </c>
      <c r="B1672" s="7" t="s">
        <v>2337</v>
      </c>
    </row>
    <row r="1673" spans="1:2" x14ac:dyDescent="0.25">
      <c r="A1673" s="10" t="s">
        <v>172</v>
      </c>
      <c r="B1673" s="7" t="s">
        <v>2337</v>
      </c>
    </row>
    <row r="1674" spans="1:2" x14ac:dyDescent="0.25">
      <c r="A1674" s="10" t="s">
        <v>2128</v>
      </c>
      <c r="B1674" s="7" t="s">
        <v>2337</v>
      </c>
    </row>
    <row r="1675" spans="1:2" x14ac:dyDescent="0.25">
      <c r="A1675" s="10" t="s">
        <v>388</v>
      </c>
      <c r="B1675" s="7" t="s">
        <v>2337</v>
      </c>
    </row>
    <row r="1676" spans="1:2" x14ac:dyDescent="0.25">
      <c r="A1676" s="10" t="s">
        <v>2129</v>
      </c>
      <c r="B1676" s="7" t="s">
        <v>2337</v>
      </c>
    </row>
    <row r="1677" spans="1:2" x14ac:dyDescent="0.25">
      <c r="A1677" s="10" t="s">
        <v>1136</v>
      </c>
      <c r="B1677" s="7" t="s">
        <v>2337</v>
      </c>
    </row>
    <row r="1678" spans="1:2" x14ac:dyDescent="0.25">
      <c r="A1678" s="10" t="s">
        <v>2130</v>
      </c>
      <c r="B1678" s="7" t="s">
        <v>2337</v>
      </c>
    </row>
    <row r="1679" spans="1:2" x14ac:dyDescent="0.25">
      <c r="A1679" s="10" t="s">
        <v>1174</v>
      </c>
      <c r="B1679" s="7" t="s">
        <v>2337</v>
      </c>
    </row>
    <row r="1680" spans="1:2" x14ac:dyDescent="0.25">
      <c r="A1680" s="10" t="s">
        <v>772</v>
      </c>
      <c r="B1680" s="7" t="s">
        <v>2337</v>
      </c>
    </row>
    <row r="1681" spans="1:2" x14ac:dyDescent="0.25">
      <c r="A1681" s="10" t="s">
        <v>611</v>
      </c>
      <c r="B1681" s="7" t="s">
        <v>2337</v>
      </c>
    </row>
    <row r="1682" spans="1:2" x14ac:dyDescent="0.25">
      <c r="A1682" s="10" t="s">
        <v>2131</v>
      </c>
      <c r="B1682" s="7" t="s">
        <v>2337</v>
      </c>
    </row>
    <row r="1683" spans="1:2" x14ac:dyDescent="0.25">
      <c r="A1683" s="10" t="s">
        <v>607</v>
      </c>
      <c r="B1683" s="7" t="s">
        <v>2337</v>
      </c>
    </row>
    <row r="1684" spans="1:2" x14ac:dyDescent="0.25">
      <c r="A1684" s="10" t="s">
        <v>902</v>
      </c>
      <c r="B1684" s="7" t="s">
        <v>2337</v>
      </c>
    </row>
    <row r="1685" spans="1:2" x14ac:dyDescent="0.25">
      <c r="A1685" s="10" t="s">
        <v>1122</v>
      </c>
      <c r="B1685" s="7" t="s">
        <v>2337</v>
      </c>
    </row>
    <row r="1686" spans="1:2" x14ac:dyDescent="0.25">
      <c r="A1686" s="10" t="s">
        <v>2132</v>
      </c>
      <c r="B1686" s="7" t="s">
        <v>2337</v>
      </c>
    </row>
    <row r="1687" spans="1:2" x14ac:dyDescent="0.25">
      <c r="A1687" s="10" t="s">
        <v>2133</v>
      </c>
      <c r="B1687" s="7" t="s">
        <v>2337</v>
      </c>
    </row>
    <row r="1688" spans="1:2" x14ac:dyDescent="0.25">
      <c r="A1688" s="10" t="s">
        <v>2134</v>
      </c>
      <c r="B1688" s="7" t="s">
        <v>2337</v>
      </c>
    </row>
    <row r="1689" spans="1:2" x14ac:dyDescent="0.25">
      <c r="A1689" s="10" t="s">
        <v>991</v>
      </c>
      <c r="B1689" s="7" t="s">
        <v>2337</v>
      </c>
    </row>
    <row r="1690" spans="1:2" x14ac:dyDescent="0.25">
      <c r="A1690" s="10" t="s">
        <v>699</v>
      </c>
      <c r="B1690" s="7" t="s">
        <v>2337</v>
      </c>
    </row>
    <row r="1691" spans="1:2" x14ac:dyDescent="0.25">
      <c r="A1691" s="10" t="s">
        <v>2135</v>
      </c>
      <c r="B1691" s="7" t="s">
        <v>2337</v>
      </c>
    </row>
    <row r="1692" spans="1:2" x14ac:dyDescent="0.25">
      <c r="A1692" s="10" t="s">
        <v>216</v>
      </c>
      <c r="B1692" s="7" t="s">
        <v>2337</v>
      </c>
    </row>
    <row r="1693" spans="1:2" x14ac:dyDescent="0.25">
      <c r="A1693" s="10" t="s">
        <v>2136</v>
      </c>
      <c r="B1693" s="7" t="s">
        <v>2337</v>
      </c>
    </row>
    <row r="1694" spans="1:2" x14ac:dyDescent="0.25">
      <c r="A1694" s="10" t="s">
        <v>2137</v>
      </c>
      <c r="B1694" s="7" t="s">
        <v>2337</v>
      </c>
    </row>
    <row r="1695" spans="1:2" x14ac:dyDescent="0.25">
      <c r="A1695" s="10" t="s">
        <v>1232</v>
      </c>
      <c r="B1695" s="7" t="s">
        <v>2337</v>
      </c>
    </row>
    <row r="1696" spans="1:2" x14ac:dyDescent="0.25">
      <c r="A1696" s="10" t="s">
        <v>2138</v>
      </c>
      <c r="B1696" s="7" t="s">
        <v>2337</v>
      </c>
    </row>
    <row r="1697" spans="1:2" x14ac:dyDescent="0.25">
      <c r="A1697" s="10" t="s">
        <v>2139</v>
      </c>
      <c r="B1697" s="7" t="s">
        <v>2337</v>
      </c>
    </row>
    <row r="1698" spans="1:2" x14ac:dyDescent="0.25">
      <c r="A1698" s="10" t="s">
        <v>966</v>
      </c>
      <c r="B1698" s="7" t="s">
        <v>2337</v>
      </c>
    </row>
    <row r="1699" spans="1:2" x14ac:dyDescent="0.25">
      <c r="A1699" s="10" t="s">
        <v>321</v>
      </c>
      <c r="B1699" s="7" t="s">
        <v>2337</v>
      </c>
    </row>
    <row r="1700" spans="1:2" x14ac:dyDescent="0.25">
      <c r="A1700" s="10" t="s">
        <v>2140</v>
      </c>
      <c r="B1700" s="7" t="s">
        <v>2337</v>
      </c>
    </row>
    <row r="1701" spans="1:2" x14ac:dyDescent="0.25">
      <c r="A1701" s="10" t="s">
        <v>829</v>
      </c>
      <c r="B1701" s="7" t="s">
        <v>2337</v>
      </c>
    </row>
    <row r="1702" spans="1:2" x14ac:dyDescent="0.25">
      <c r="A1702" s="10" t="s">
        <v>913</v>
      </c>
      <c r="B1702" s="7" t="s">
        <v>2337</v>
      </c>
    </row>
    <row r="1703" spans="1:2" x14ac:dyDescent="0.25">
      <c r="A1703" s="10" t="s">
        <v>807</v>
      </c>
      <c r="B1703" s="7" t="s">
        <v>2337</v>
      </c>
    </row>
    <row r="1704" spans="1:2" x14ac:dyDescent="0.25">
      <c r="A1704" s="10" t="s">
        <v>60</v>
      </c>
      <c r="B1704" s="7" t="s">
        <v>2337</v>
      </c>
    </row>
    <row r="1705" spans="1:2" x14ac:dyDescent="0.25">
      <c r="A1705" s="10" t="s">
        <v>1013</v>
      </c>
      <c r="B1705" s="7" t="s">
        <v>2337</v>
      </c>
    </row>
    <row r="1706" spans="1:2" x14ac:dyDescent="0.25">
      <c r="A1706" s="10" t="s">
        <v>802</v>
      </c>
      <c r="B1706" s="7" t="s">
        <v>2337</v>
      </c>
    </row>
    <row r="1707" spans="1:2" x14ac:dyDescent="0.25">
      <c r="A1707" s="10" t="s">
        <v>252</v>
      </c>
      <c r="B1707" s="7" t="s">
        <v>2337</v>
      </c>
    </row>
    <row r="1708" spans="1:2" x14ac:dyDescent="0.25">
      <c r="A1708" s="10" t="s">
        <v>1012</v>
      </c>
      <c r="B1708" s="7" t="s">
        <v>2337</v>
      </c>
    </row>
    <row r="1709" spans="1:2" x14ac:dyDescent="0.25">
      <c r="A1709" s="10" t="s">
        <v>2141</v>
      </c>
      <c r="B1709" s="7" t="s">
        <v>2337</v>
      </c>
    </row>
    <row r="1710" spans="1:2" x14ac:dyDescent="0.25">
      <c r="A1710" s="10" t="s">
        <v>1192</v>
      </c>
      <c r="B1710" s="7" t="s">
        <v>2337</v>
      </c>
    </row>
    <row r="1711" spans="1:2" x14ac:dyDescent="0.25">
      <c r="A1711" s="10" t="s">
        <v>2142</v>
      </c>
      <c r="B1711" s="7" t="s">
        <v>2337</v>
      </c>
    </row>
    <row r="1712" spans="1:2" x14ac:dyDescent="0.25">
      <c r="A1712" s="10" t="s">
        <v>2143</v>
      </c>
      <c r="B1712" s="7" t="s">
        <v>2337</v>
      </c>
    </row>
    <row r="1713" spans="1:2" x14ac:dyDescent="0.25">
      <c r="A1713" s="10" t="s">
        <v>210</v>
      </c>
      <c r="B1713" s="7" t="s">
        <v>2337</v>
      </c>
    </row>
    <row r="1714" spans="1:2" x14ac:dyDescent="0.25">
      <c r="A1714" s="10" t="s">
        <v>2144</v>
      </c>
      <c r="B1714" s="7" t="s">
        <v>2337</v>
      </c>
    </row>
    <row r="1715" spans="1:2" x14ac:dyDescent="0.25">
      <c r="A1715" s="10" t="s">
        <v>2145</v>
      </c>
      <c r="B1715" s="7" t="s">
        <v>2337</v>
      </c>
    </row>
    <row r="1716" spans="1:2" x14ac:dyDescent="0.25">
      <c r="A1716" s="10" t="s">
        <v>587</v>
      </c>
      <c r="B1716" s="7" t="s">
        <v>2337</v>
      </c>
    </row>
    <row r="1717" spans="1:2" x14ac:dyDescent="0.25">
      <c r="A1717" s="10" t="s">
        <v>666</v>
      </c>
      <c r="B1717" s="7" t="s">
        <v>2337</v>
      </c>
    </row>
    <row r="1718" spans="1:2" x14ac:dyDescent="0.25">
      <c r="A1718" s="10" t="s">
        <v>892</v>
      </c>
      <c r="B1718" s="7" t="s">
        <v>2337</v>
      </c>
    </row>
    <row r="1719" spans="1:2" x14ac:dyDescent="0.25">
      <c r="A1719" s="10" t="s">
        <v>648</v>
      </c>
      <c r="B1719" s="7" t="s">
        <v>2337</v>
      </c>
    </row>
    <row r="1720" spans="1:2" x14ac:dyDescent="0.25">
      <c r="A1720" s="10" t="s">
        <v>1197</v>
      </c>
      <c r="B1720" s="7" t="s">
        <v>2337</v>
      </c>
    </row>
    <row r="1721" spans="1:2" x14ac:dyDescent="0.25">
      <c r="A1721" s="10" t="s">
        <v>2146</v>
      </c>
      <c r="B1721" s="7" t="s">
        <v>2337</v>
      </c>
    </row>
    <row r="1722" spans="1:2" x14ac:dyDescent="0.25">
      <c r="A1722" s="10" t="s">
        <v>2147</v>
      </c>
      <c r="B1722" s="7" t="s">
        <v>2337</v>
      </c>
    </row>
    <row r="1723" spans="1:2" x14ac:dyDescent="0.25">
      <c r="A1723" s="10" t="s">
        <v>2148</v>
      </c>
      <c r="B1723" s="7" t="s">
        <v>2337</v>
      </c>
    </row>
    <row r="1724" spans="1:2" x14ac:dyDescent="0.25">
      <c r="A1724" s="10" t="s">
        <v>2149</v>
      </c>
      <c r="B1724" s="7" t="s">
        <v>2337</v>
      </c>
    </row>
    <row r="1725" spans="1:2" x14ac:dyDescent="0.25">
      <c r="A1725" s="10" t="s">
        <v>2150</v>
      </c>
      <c r="B1725" s="7" t="s">
        <v>2337</v>
      </c>
    </row>
    <row r="1726" spans="1:2" x14ac:dyDescent="0.25">
      <c r="A1726" s="10" t="s">
        <v>2151</v>
      </c>
      <c r="B1726" s="7" t="s">
        <v>2337</v>
      </c>
    </row>
    <row r="1727" spans="1:2" x14ac:dyDescent="0.25">
      <c r="A1727" s="10" t="s">
        <v>1088</v>
      </c>
      <c r="B1727" s="7" t="s">
        <v>2337</v>
      </c>
    </row>
    <row r="1728" spans="1:2" x14ac:dyDescent="0.25">
      <c r="A1728" s="10" t="s">
        <v>2152</v>
      </c>
      <c r="B1728" s="7" t="s">
        <v>2337</v>
      </c>
    </row>
    <row r="1729" spans="1:2" x14ac:dyDescent="0.25">
      <c r="A1729" s="10" t="s">
        <v>2153</v>
      </c>
      <c r="B1729" s="7" t="s">
        <v>2337</v>
      </c>
    </row>
    <row r="1730" spans="1:2" x14ac:dyDescent="0.25">
      <c r="A1730" s="10" t="s">
        <v>2154</v>
      </c>
      <c r="B1730" s="7" t="s">
        <v>2337</v>
      </c>
    </row>
    <row r="1731" spans="1:2" x14ac:dyDescent="0.25">
      <c r="A1731" s="10" t="s">
        <v>2155</v>
      </c>
      <c r="B1731" s="7" t="s">
        <v>2337</v>
      </c>
    </row>
    <row r="1732" spans="1:2" x14ac:dyDescent="0.25">
      <c r="A1732" s="10" t="s">
        <v>2156</v>
      </c>
      <c r="B1732" s="7" t="s">
        <v>2337</v>
      </c>
    </row>
    <row r="1733" spans="1:2" x14ac:dyDescent="0.25">
      <c r="A1733" s="10" t="s">
        <v>2157</v>
      </c>
      <c r="B1733" s="7" t="s">
        <v>2337</v>
      </c>
    </row>
    <row r="1734" spans="1:2" x14ac:dyDescent="0.25">
      <c r="A1734" s="10" t="s">
        <v>2158</v>
      </c>
      <c r="B1734" s="7" t="s">
        <v>2337</v>
      </c>
    </row>
    <row r="1735" spans="1:2" x14ac:dyDescent="0.25">
      <c r="A1735" s="10" t="s">
        <v>878</v>
      </c>
      <c r="B1735" s="7" t="s">
        <v>2337</v>
      </c>
    </row>
    <row r="1736" spans="1:2" x14ac:dyDescent="0.25">
      <c r="A1736" s="10" t="s">
        <v>2159</v>
      </c>
      <c r="B1736" s="7" t="s">
        <v>2337</v>
      </c>
    </row>
    <row r="1737" spans="1:2" x14ac:dyDescent="0.25">
      <c r="A1737" s="10" t="s">
        <v>2160</v>
      </c>
      <c r="B1737" s="7" t="s">
        <v>2337</v>
      </c>
    </row>
    <row r="1738" spans="1:2" x14ac:dyDescent="0.25">
      <c r="A1738" s="10" t="s">
        <v>861</v>
      </c>
      <c r="B1738" s="7" t="s">
        <v>2337</v>
      </c>
    </row>
    <row r="1739" spans="1:2" x14ac:dyDescent="0.25">
      <c r="A1739" s="10" t="s">
        <v>2161</v>
      </c>
      <c r="B1739" s="7" t="s">
        <v>2337</v>
      </c>
    </row>
    <row r="1740" spans="1:2" x14ac:dyDescent="0.25">
      <c r="A1740" s="10" t="s">
        <v>961</v>
      </c>
      <c r="B1740" s="7" t="s">
        <v>2337</v>
      </c>
    </row>
    <row r="1741" spans="1:2" x14ac:dyDescent="0.25">
      <c r="A1741" s="10" t="s">
        <v>969</v>
      </c>
      <c r="B1741" s="7" t="s">
        <v>2337</v>
      </c>
    </row>
    <row r="1742" spans="1:2" x14ac:dyDescent="0.25">
      <c r="A1742" s="10" t="s">
        <v>2162</v>
      </c>
      <c r="B1742" s="7" t="s">
        <v>2337</v>
      </c>
    </row>
    <row r="1743" spans="1:2" x14ac:dyDescent="0.25">
      <c r="A1743" s="10" t="s">
        <v>2163</v>
      </c>
      <c r="B1743" s="7" t="s">
        <v>2337</v>
      </c>
    </row>
    <row r="1744" spans="1:2" x14ac:dyDescent="0.25">
      <c r="A1744" s="10" t="s">
        <v>965</v>
      </c>
      <c r="B1744" s="7" t="s">
        <v>2337</v>
      </c>
    </row>
    <row r="1745" spans="1:2" x14ac:dyDescent="0.25">
      <c r="A1745" s="10" t="s">
        <v>593</v>
      </c>
      <c r="B1745" s="7" t="s">
        <v>2337</v>
      </c>
    </row>
    <row r="1746" spans="1:2" x14ac:dyDescent="0.25">
      <c r="A1746" s="10" t="s">
        <v>1265</v>
      </c>
      <c r="B1746" s="7" t="s">
        <v>2337</v>
      </c>
    </row>
    <row r="1747" spans="1:2" x14ac:dyDescent="0.25">
      <c r="A1747" s="10" t="s">
        <v>152</v>
      </c>
      <c r="B1747" s="7" t="s">
        <v>2337</v>
      </c>
    </row>
    <row r="1748" spans="1:2" x14ac:dyDescent="0.25">
      <c r="A1748" s="10" t="s">
        <v>2164</v>
      </c>
      <c r="B1748" s="7" t="s">
        <v>2337</v>
      </c>
    </row>
    <row r="1749" spans="1:2" x14ac:dyDescent="0.25">
      <c r="A1749" s="10" t="s">
        <v>2165</v>
      </c>
      <c r="B1749" s="7" t="s">
        <v>2337</v>
      </c>
    </row>
    <row r="1750" spans="1:2" x14ac:dyDescent="0.25">
      <c r="A1750" s="10" t="s">
        <v>2166</v>
      </c>
      <c r="B1750" s="7" t="s">
        <v>2337</v>
      </c>
    </row>
    <row r="1751" spans="1:2" x14ac:dyDescent="0.25">
      <c r="A1751" s="10" t="s">
        <v>2167</v>
      </c>
      <c r="B1751" s="7" t="s">
        <v>2337</v>
      </c>
    </row>
    <row r="1752" spans="1:2" x14ac:dyDescent="0.25">
      <c r="A1752" s="10" t="s">
        <v>382</v>
      </c>
      <c r="B1752" s="7" t="s">
        <v>2337</v>
      </c>
    </row>
    <row r="1753" spans="1:2" x14ac:dyDescent="0.25">
      <c r="A1753" s="10" t="s">
        <v>625</v>
      </c>
      <c r="B1753" s="7" t="s">
        <v>2337</v>
      </c>
    </row>
    <row r="1754" spans="1:2" x14ac:dyDescent="0.25">
      <c r="A1754" s="10" t="s">
        <v>2168</v>
      </c>
      <c r="B1754" s="7" t="s">
        <v>2337</v>
      </c>
    </row>
    <row r="1755" spans="1:2" x14ac:dyDescent="0.25">
      <c r="A1755" s="10" t="s">
        <v>595</v>
      </c>
      <c r="B1755" s="7" t="s">
        <v>2337</v>
      </c>
    </row>
    <row r="1756" spans="1:2" x14ac:dyDescent="0.25">
      <c r="A1756" s="10" t="s">
        <v>380</v>
      </c>
      <c r="B1756" s="7" t="s">
        <v>2337</v>
      </c>
    </row>
    <row r="1757" spans="1:2" x14ac:dyDescent="0.25">
      <c r="A1757" s="10" t="s">
        <v>2169</v>
      </c>
      <c r="B1757" s="7" t="s">
        <v>2337</v>
      </c>
    </row>
    <row r="1758" spans="1:2" x14ac:dyDescent="0.25">
      <c r="A1758" s="10" t="s">
        <v>2170</v>
      </c>
      <c r="B1758" s="7" t="s">
        <v>2337</v>
      </c>
    </row>
    <row r="1759" spans="1:2" x14ac:dyDescent="0.25">
      <c r="A1759" s="10" t="s">
        <v>672</v>
      </c>
      <c r="B1759" s="7" t="s">
        <v>2337</v>
      </c>
    </row>
    <row r="1760" spans="1:2" x14ac:dyDescent="0.25">
      <c r="A1760" s="10" t="s">
        <v>2171</v>
      </c>
      <c r="B1760" s="7" t="s">
        <v>2337</v>
      </c>
    </row>
    <row r="1761" spans="1:2" x14ac:dyDescent="0.25">
      <c r="A1761" s="10" t="s">
        <v>2172</v>
      </c>
      <c r="B1761" s="7" t="s">
        <v>2337</v>
      </c>
    </row>
    <row r="1762" spans="1:2" x14ac:dyDescent="0.25">
      <c r="A1762" s="10" t="s">
        <v>292</v>
      </c>
      <c r="B1762" s="7" t="s">
        <v>2337</v>
      </c>
    </row>
    <row r="1763" spans="1:2" x14ac:dyDescent="0.25">
      <c r="A1763" s="10" t="s">
        <v>737</v>
      </c>
      <c r="B1763" s="7" t="s">
        <v>2337</v>
      </c>
    </row>
    <row r="1764" spans="1:2" x14ac:dyDescent="0.25">
      <c r="A1764" s="10" t="s">
        <v>899</v>
      </c>
      <c r="B1764" s="7" t="s">
        <v>2337</v>
      </c>
    </row>
    <row r="1765" spans="1:2" x14ac:dyDescent="0.25">
      <c r="A1765" s="10" t="s">
        <v>80</v>
      </c>
      <c r="B1765" s="7" t="s">
        <v>2337</v>
      </c>
    </row>
    <row r="1766" spans="1:2" x14ac:dyDescent="0.25">
      <c r="A1766" s="10" t="s">
        <v>2173</v>
      </c>
      <c r="B1766" s="7" t="s">
        <v>2337</v>
      </c>
    </row>
    <row r="1767" spans="1:2" x14ac:dyDescent="0.25">
      <c r="A1767" s="10" t="s">
        <v>706</v>
      </c>
      <c r="B1767" s="7" t="s">
        <v>2337</v>
      </c>
    </row>
    <row r="1768" spans="1:2" x14ac:dyDescent="0.25">
      <c r="A1768" s="10" t="s">
        <v>2174</v>
      </c>
      <c r="B1768" s="7" t="s">
        <v>2337</v>
      </c>
    </row>
    <row r="1769" spans="1:2" x14ac:dyDescent="0.25">
      <c r="A1769" s="10" t="s">
        <v>1078</v>
      </c>
      <c r="B1769" s="7" t="s">
        <v>2337</v>
      </c>
    </row>
    <row r="1770" spans="1:2" x14ac:dyDescent="0.25">
      <c r="A1770" s="10" t="s">
        <v>356</v>
      </c>
      <c r="B1770" s="7" t="s">
        <v>2337</v>
      </c>
    </row>
    <row r="1771" spans="1:2" x14ac:dyDescent="0.25">
      <c r="A1771" s="10" t="s">
        <v>2175</v>
      </c>
      <c r="B1771" s="7" t="s">
        <v>2337</v>
      </c>
    </row>
    <row r="1772" spans="1:2" x14ac:dyDescent="0.25">
      <c r="A1772" s="10" t="s">
        <v>1143</v>
      </c>
      <c r="B1772" s="7" t="s">
        <v>2337</v>
      </c>
    </row>
    <row r="1773" spans="1:2" x14ac:dyDescent="0.25">
      <c r="A1773" s="10" t="s">
        <v>2176</v>
      </c>
      <c r="B1773" s="7" t="s">
        <v>2337</v>
      </c>
    </row>
    <row r="1774" spans="1:2" x14ac:dyDescent="0.25">
      <c r="A1774" s="10" t="s">
        <v>427</v>
      </c>
      <c r="B1774" s="7" t="s">
        <v>2337</v>
      </c>
    </row>
    <row r="1775" spans="1:2" x14ac:dyDescent="0.25">
      <c r="A1775" s="10" t="s">
        <v>669</v>
      </c>
      <c r="B1775" s="7" t="s">
        <v>2337</v>
      </c>
    </row>
    <row r="1776" spans="1:2" x14ac:dyDescent="0.25">
      <c r="A1776" s="10" t="s">
        <v>1055</v>
      </c>
      <c r="B1776" s="7" t="s">
        <v>2337</v>
      </c>
    </row>
    <row r="1777" spans="1:2" x14ac:dyDescent="0.25">
      <c r="A1777" s="10" t="s">
        <v>2177</v>
      </c>
      <c r="B1777" s="7" t="s">
        <v>2337</v>
      </c>
    </row>
    <row r="1778" spans="1:2" x14ac:dyDescent="0.25">
      <c r="A1778" s="10" t="s">
        <v>716</v>
      </c>
      <c r="B1778" s="7" t="s">
        <v>2337</v>
      </c>
    </row>
    <row r="1779" spans="1:2" x14ac:dyDescent="0.25">
      <c r="A1779" s="10" t="s">
        <v>2178</v>
      </c>
      <c r="B1779" s="7" t="s">
        <v>2337</v>
      </c>
    </row>
    <row r="1780" spans="1:2" x14ac:dyDescent="0.25">
      <c r="A1780" s="10" t="s">
        <v>490</v>
      </c>
      <c r="B1780" s="7" t="s">
        <v>2337</v>
      </c>
    </row>
    <row r="1781" spans="1:2" x14ac:dyDescent="0.25">
      <c r="A1781" s="10" t="s">
        <v>825</v>
      </c>
      <c r="B1781" s="7" t="s">
        <v>2337</v>
      </c>
    </row>
    <row r="1782" spans="1:2" x14ac:dyDescent="0.25">
      <c r="A1782" s="10" t="s">
        <v>302</v>
      </c>
      <c r="B1782" s="7" t="s">
        <v>2337</v>
      </c>
    </row>
    <row r="1783" spans="1:2" x14ac:dyDescent="0.25">
      <c r="A1783" s="10" t="s">
        <v>750</v>
      </c>
      <c r="B1783" s="7" t="s">
        <v>2337</v>
      </c>
    </row>
    <row r="1784" spans="1:2" x14ac:dyDescent="0.25">
      <c r="A1784" s="10" t="s">
        <v>2179</v>
      </c>
      <c r="B1784" s="7" t="s">
        <v>2337</v>
      </c>
    </row>
    <row r="1785" spans="1:2" x14ac:dyDescent="0.25">
      <c r="A1785" s="10" t="s">
        <v>201</v>
      </c>
      <c r="B1785" s="7" t="s">
        <v>2337</v>
      </c>
    </row>
    <row r="1786" spans="1:2" x14ac:dyDescent="0.25">
      <c r="A1786" s="10" t="s">
        <v>885</v>
      </c>
      <c r="B1786" s="7" t="s">
        <v>2337</v>
      </c>
    </row>
    <row r="1787" spans="1:2" x14ac:dyDescent="0.25">
      <c r="A1787" s="10" t="s">
        <v>2180</v>
      </c>
      <c r="B1787" s="7" t="s">
        <v>2337</v>
      </c>
    </row>
    <row r="1788" spans="1:2" x14ac:dyDescent="0.25">
      <c r="A1788" s="10" t="s">
        <v>408</v>
      </c>
      <c r="B1788" s="7" t="s">
        <v>2337</v>
      </c>
    </row>
    <row r="1789" spans="1:2" x14ac:dyDescent="0.25">
      <c r="A1789" s="10" t="s">
        <v>664</v>
      </c>
      <c r="B1789" s="7" t="s">
        <v>2337</v>
      </c>
    </row>
    <row r="1790" spans="1:2" x14ac:dyDescent="0.25">
      <c r="A1790" s="10" t="s">
        <v>592</v>
      </c>
      <c r="B1790" s="7" t="s">
        <v>2337</v>
      </c>
    </row>
    <row r="1791" spans="1:2" x14ac:dyDescent="0.25">
      <c r="A1791" s="10" t="s">
        <v>638</v>
      </c>
      <c r="B1791" s="7" t="s">
        <v>2337</v>
      </c>
    </row>
    <row r="1792" spans="1:2" x14ac:dyDescent="0.25">
      <c r="A1792" s="10" t="s">
        <v>122</v>
      </c>
      <c r="B1792" s="7" t="s">
        <v>2337</v>
      </c>
    </row>
    <row r="1793" spans="1:2" x14ac:dyDescent="0.25">
      <c r="A1793" s="10" t="s">
        <v>311</v>
      </c>
      <c r="B1793" s="7" t="s">
        <v>2337</v>
      </c>
    </row>
    <row r="1794" spans="1:2" x14ac:dyDescent="0.25">
      <c r="A1794" s="10" t="s">
        <v>1123</v>
      </c>
      <c r="B1794" s="7" t="s">
        <v>2337</v>
      </c>
    </row>
    <row r="1795" spans="1:2" x14ac:dyDescent="0.25">
      <c r="A1795" s="10" t="s">
        <v>323</v>
      </c>
      <c r="B1795" s="7" t="s">
        <v>2337</v>
      </c>
    </row>
    <row r="1796" spans="1:2" x14ac:dyDescent="0.25">
      <c r="A1796" s="10" t="s">
        <v>1062</v>
      </c>
      <c r="B1796" s="7" t="s">
        <v>2337</v>
      </c>
    </row>
    <row r="1797" spans="1:2" x14ac:dyDescent="0.25">
      <c r="A1797" s="10" t="s">
        <v>2181</v>
      </c>
      <c r="B1797" s="7" t="s">
        <v>2337</v>
      </c>
    </row>
    <row r="1798" spans="1:2" x14ac:dyDescent="0.25">
      <c r="A1798" s="10" t="s">
        <v>2182</v>
      </c>
      <c r="B1798" s="7" t="s">
        <v>2337</v>
      </c>
    </row>
    <row r="1799" spans="1:2" x14ac:dyDescent="0.25">
      <c r="A1799" s="10" t="s">
        <v>763</v>
      </c>
      <c r="B1799" s="7" t="s">
        <v>2337</v>
      </c>
    </row>
    <row r="1800" spans="1:2" x14ac:dyDescent="0.25">
      <c r="A1800" s="10" t="s">
        <v>2183</v>
      </c>
      <c r="B1800" s="7" t="s">
        <v>2337</v>
      </c>
    </row>
    <row r="1801" spans="1:2" x14ac:dyDescent="0.25">
      <c r="A1801" s="10" t="s">
        <v>687</v>
      </c>
      <c r="B1801" s="7" t="s">
        <v>2337</v>
      </c>
    </row>
    <row r="1802" spans="1:2" x14ac:dyDescent="0.25">
      <c r="A1802" s="10" t="s">
        <v>933</v>
      </c>
      <c r="B1802" s="7" t="s">
        <v>2337</v>
      </c>
    </row>
    <row r="1803" spans="1:2" x14ac:dyDescent="0.25">
      <c r="A1803" s="10" t="s">
        <v>941</v>
      </c>
      <c r="B1803" s="7" t="s">
        <v>2337</v>
      </c>
    </row>
    <row r="1804" spans="1:2" x14ac:dyDescent="0.25">
      <c r="A1804" s="10" t="s">
        <v>984</v>
      </c>
      <c r="B1804" s="7" t="s">
        <v>2337</v>
      </c>
    </row>
    <row r="1805" spans="1:2" x14ac:dyDescent="0.25">
      <c r="A1805" s="10" t="s">
        <v>365</v>
      </c>
      <c r="B1805" s="7" t="s">
        <v>2337</v>
      </c>
    </row>
    <row r="1806" spans="1:2" x14ac:dyDescent="0.25">
      <c r="A1806" s="10" t="s">
        <v>968</v>
      </c>
      <c r="B1806" s="7" t="s">
        <v>2337</v>
      </c>
    </row>
    <row r="1807" spans="1:2" x14ac:dyDescent="0.25">
      <c r="A1807" s="10" t="s">
        <v>1024</v>
      </c>
      <c r="B1807" s="7" t="s">
        <v>2337</v>
      </c>
    </row>
    <row r="1808" spans="1:2" x14ac:dyDescent="0.25">
      <c r="A1808" s="10" t="s">
        <v>1073</v>
      </c>
      <c r="B1808" s="7" t="s">
        <v>2337</v>
      </c>
    </row>
    <row r="1809" spans="1:2" x14ac:dyDescent="0.25">
      <c r="A1809" s="10" t="s">
        <v>2184</v>
      </c>
      <c r="B1809" s="7" t="s">
        <v>2337</v>
      </c>
    </row>
    <row r="1810" spans="1:2" x14ac:dyDescent="0.25">
      <c r="A1810" s="10" t="s">
        <v>2185</v>
      </c>
      <c r="B1810" s="7" t="s">
        <v>2337</v>
      </c>
    </row>
    <row r="1811" spans="1:2" x14ac:dyDescent="0.25">
      <c r="A1811" s="10" t="s">
        <v>2186</v>
      </c>
      <c r="B1811" s="7" t="s">
        <v>2337</v>
      </c>
    </row>
    <row r="1812" spans="1:2" x14ac:dyDescent="0.25">
      <c r="A1812" s="10" t="s">
        <v>651</v>
      </c>
      <c r="B1812" s="7" t="s">
        <v>2337</v>
      </c>
    </row>
    <row r="1813" spans="1:2" x14ac:dyDescent="0.25">
      <c r="A1813" s="10" t="s">
        <v>2187</v>
      </c>
      <c r="B1813" s="7" t="s">
        <v>2337</v>
      </c>
    </row>
    <row r="1814" spans="1:2" x14ac:dyDescent="0.25">
      <c r="A1814" s="10" t="s">
        <v>266</v>
      </c>
      <c r="B1814" s="7" t="s">
        <v>2337</v>
      </c>
    </row>
    <row r="1815" spans="1:2" x14ac:dyDescent="0.25">
      <c r="A1815" s="10" t="s">
        <v>494</v>
      </c>
      <c r="B1815" s="7" t="s">
        <v>2337</v>
      </c>
    </row>
    <row r="1816" spans="1:2" x14ac:dyDescent="0.25">
      <c r="A1816" s="10" t="s">
        <v>2188</v>
      </c>
      <c r="B1816" s="7" t="s">
        <v>2337</v>
      </c>
    </row>
    <row r="1817" spans="1:2" x14ac:dyDescent="0.25">
      <c r="A1817" s="10" t="s">
        <v>244</v>
      </c>
      <c r="B1817" s="7" t="s">
        <v>2337</v>
      </c>
    </row>
    <row r="1818" spans="1:2" x14ac:dyDescent="0.25">
      <c r="A1818" s="10" t="s">
        <v>2189</v>
      </c>
      <c r="B1818" s="7" t="s">
        <v>2337</v>
      </c>
    </row>
    <row r="1819" spans="1:2" x14ac:dyDescent="0.25">
      <c r="A1819" s="10" t="s">
        <v>1035</v>
      </c>
      <c r="B1819" s="7" t="s">
        <v>2337</v>
      </c>
    </row>
    <row r="1820" spans="1:2" x14ac:dyDescent="0.25">
      <c r="A1820" s="10" t="s">
        <v>234</v>
      </c>
      <c r="B1820" s="7" t="s">
        <v>2337</v>
      </c>
    </row>
    <row r="1821" spans="1:2" x14ac:dyDescent="0.25">
      <c r="A1821" s="10" t="s">
        <v>585</v>
      </c>
      <c r="B1821" s="7" t="s">
        <v>2337</v>
      </c>
    </row>
    <row r="1822" spans="1:2" x14ac:dyDescent="0.25">
      <c r="A1822" s="10" t="s">
        <v>217</v>
      </c>
      <c r="B1822" s="7" t="s">
        <v>2337</v>
      </c>
    </row>
    <row r="1823" spans="1:2" x14ac:dyDescent="0.25">
      <c r="A1823" s="10" t="s">
        <v>95</v>
      </c>
      <c r="B1823" s="7" t="s">
        <v>2337</v>
      </c>
    </row>
    <row r="1824" spans="1:2" x14ac:dyDescent="0.25">
      <c r="A1824" s="10" t="s">
        <v>2190</v>
      </c>
      <c r="B1824" s="7" t="s">
        <v>2337</v>
      </c>
    </row>
    <row r="1825" spans="1:2" x14ac:dyDescent="0.25">
      <c r="A1825" s="10" t="s">
        <v>374</v>
      </c>
      <c r="B1825" s="7" t="s">
        <v>2337</v>
      </c>
    </row>
    <row r="1826" spans="1:2" x14ac:dyDescent="0.25">
      <c r="A1826" s="10" t="s">
        <v>1022</v>
      </c>
      <c r="B1826" s="7" t="s">
        <v>2337</v>
      </c>
    </row>
    <row r="1827" spans="1:2" x14ac:dyDescent="0.25">
      <c r="A1827" s="10" t="s">
        <v>31</v>
      </c>
      <c r="B1827" s="7" t="s">
        <v>2337</v>
      </c>
    </row>
    <row r="1828" spans="1:2" x14ac:dyDescent="0.25">
      <c r="A1828" s="10" t="s">
        <v>563</v>
      </c>
      <c r="B1828" s="7" t="s">
        <v>2337</v>
      </c>
    </row>
    <row r="1829" spans="1:2" x14ac:dyDescent="0.25">
      <c r="A1829" s="10" t="s">
        <v>2191</v>
      </c>
      <c r="B1829" s="7" t="s">
        <v>2337</v>
      </c>
    </row>
    <row r="1830" spans="1:2" x14ac:dyDescent="0.25">
      <c r="A1830" s="10" t="s">
        <v>203</v>
      </c>
      <c r="B1830" s="7" t="s">
        <v>2337</v>
      </c>
    </row>
    <row r="1831" spans="1:2" x14ac:dyDescent="0.25">
      <c r="A1831" s="10" t="s">
        <v>318</v>
      </c>
      <c r="B1831" s="7" t="s">
        <v>2337</v>
      </c>
    </row>
    <row r="1832" spans="1:2" x14ac:dyDescent="0.25">
      <c r="A1832" s="10" t="s">
        <v>429</v>
      </c>
      <c r="B1832" s="7" t="s">
        <v>2337</v>
      </c>
    </row>
    <row r="1833" spans="1:2" x14ac:dyDescent="0.25">
      <c r="A1833" s="10" t="s">
        <v>749</v>
      </c>
      <c r="B1833" s="7" t="s">
        <v>2337</v>
      </c>
    </row>
    <row r="1834" spans="1:2" x14ac:dyDescent="0.25">
      <c r="A1834" s="10" t="s">
        <v>385</v>
      </c>
      <c r="B1834" s="7" t="s">
        <v>2337</v>
      </c>
    </row>
    <row r="1835" spans="1:2" x14ac:dyDescent="0.25">
      <c r="A1835" s="10" t="s">
        <v>2192</v>
      </c>
      <c r="B1835" s="7" t="s">
        <v>2337</v>
      </c>
    </row>
    <row r="1836" spans="1:2" x14ac:dyDescent="0.25">
      <c r="A1836" s="10" t="s">
        <v>2193</v>
      </c>
      <c r="B1836" s="7" t="s">
        <v>2337</v>
      </c>
    </row>
    <row r="1837" spans="1:2" x14ac:dyDescent="0.25">
      <c r="A1837" s="10" t="s">
        <v>2194</v>
      </c>
      <c r="B1837" s="7" t="s">
        <v>2337</v>
      </c>
    </row>
    <row r="1838" spans="1:2" x14ac:dyDescent="0.25">
      <c r="A1838" s="10" t="s">
        <v>619</v>
      </c>
      <c r="B1838" s="7" t="s">
        <v>2337</v>
      </c>
    </row>
    <row r="1839" spans="1:2" x14ac:dyDescent="0.25">
      <c r="A1839" s="10" t="s">
        <v>351</v>
      </c>
      <c r="B1839" s="7" t="s">
        <v>2337</v>
      </c>
    </row>
    <row r="1840" spans="1:2" x14ac:dyDescent="0.25">
      <c r="A1840" s="10" t="s">
        <v>2195</v>
      </c>
      <c r="B1840" s="7" t="s">
        <v>2337</v>
      </c>
    </row>
    <row r="1841" spans="1:2" x14ac:dyDescent="0.25">
      <c r="A1841" s="10" t="s">
        <v>1267</v>
      </c>
      <c r="B1841" s="7" t="s">
        <v>2337</v>
      </c>
    </row>
    <row r="1842" spans="1:2" x14ac:dyDescent="0.25">
      <c r="A1842" s="10" t="s">
        <v>32</v>
      </c>
      <c r="B1842" s="7" t="s">
        <v>2337</v>
      </c>
    </row>
    <row r="1843" spans="1:2" x14ac:dyDescent="0.25">
      <c r="A1843" s="10" t="s">
        <v>582</v>
      </c>
      <c r="B1843" s="7" t="s">
        <v>2337</v>
      </c>
    </row>
    <row r="1844" spans="1:2" x14ac:dyDescent="0.25">
      <c r="A1844" s="10" t="s">
        <v>2196</v>
      </c>
      <c r="B1844" s="7" t="s">
        <v>2337</v>
      </c>
    </row>
    <row r="1845" spans="1:2" x14ac:dyDescent="0.25">
      <c r="A1845" s="10" t="s">
        <v>975</v>
      </c>
      <c r="B1845" s="7" t="s">
        <v>2337</v>
      </c>
    </row>
    <row r="1846" spans="1:2" x14ac:dyDescent="0.25">
      <c r="A1846" s="10" t="s">
        <v>1224</v>
      </c>
      <c r="B1846" s="7" t="s">
        <v>2337</v>
      </c>
    </row>
    <row r="1847" spans="1:2" x14ac:dyDescent="0.25">
      <c r="A1847" s="10" t="s">
        <v>2197</v>
      </c>
      <c r="B1847" s="7" t="s">
        <v>2337</v>
      </c>
    </row>
    <row r="1848" spans="1:2" x14ac:dyDescent="0.25">
      <c r="A1848" s="10" t="s">
        <v>2198</v>
      </c>
      <c r="B1848" s="7" t="s">
        <v>2337</v>
      </c>
    </row>
    <row r="1849" spans="1:2" x14ac:dyDescent="0.25">
      <c r="A1849" s="10" t="s">
        <v>510</v>
      </c>
      <c r="B1849" s="7" t="s">
        <v>2337</v>
      </c>
    </row>
    <row r="1850" spans="1:2" x14ac:dyDescent="0.25">
      <c r="A1850" s="10" t="s">
        <v>531</v>
      </c>
      <c r="B1850" s="7" t="s">
        <v>2337</v>
      </c>
    </row>
    <row r="1851" spans="1:2" x14ac:dyDescent="0.25">
      <c r="A1851" s="10" t="s">
        <v>2199</v>
      </c>
      <c r="B1851" s="7" t="s">
        <v>2337</v>
      </c>
    </row>
    <row r="1852" spans="1:2" x14ac:dyDescent="0.25">
      <c r="A1852" s="10" t="s">
        <v>159</v>
      </c>
      <c r="B1852" s="7" t="s">
        <v>2337</v>
      </c>
    </row>
    <row r="1853" spans="1:2" x14ac:dyDescent="0.25">
      <c r="A1853" s="10" t="s">
        <v>213</v>
      </c>
      <c r="B1853" s="7" t="s">
        <v>2337</v>
      </c>
    </row>
    <row r="1854" spans="1:2" x14ac:dyDescent="0.25">
      <c r="A1854" s="10" t="s">
        <v>2200</v>
      </c>
      <c r="B1854" s="7" t="s">
        <v>2337</v>
      </c>
    </row>
    <row r="1855" spans="1:2" x14ac:dyDescent="0.25">
      <c r="A1855" s="10" t="s">
        <v>2201</v>
      </c>
      <c r="B1855" s="7" t="s">
        <v>2337</v>
      </c>
    </row>
    <row r="1856" spans="1:2" x14ac:dyDescent="0.25">
      <c r="A1856" s="10" t="s">
        <v>2202</v>
      </c>
      <c r="B1856" s="7" t="s">
        <v>2337</v>
      </c>
    </row>
    <row r="1857" spans="1:2" x14ac:dyDescent="0.25">
      <c r="A1857" s="10" t="s">
        <v>362</v>
      </c>
      <c r="B1857" s="7" t="s">
        <v>2337</v>
      </c>
    </row>
    <row r="1858" spans="1:2" x14ac:dyDescent="0.25">
      <c r="A1858" s="10" t="s">
        <v>303</v>
      </c>
      <c r="B1858" s="7" t="s">
        <v>2337</v>
      </c>
    </row>
    <row r="1859" spans="1:2" x14ac:dyDescent="0.25">
      <c r="A1859" s="10" t="s">
        <v>2203</v>
      </c>
      <c r="B1859" s="7" t="s">
        <v>2337</v>
      </c>
    </row>
    <row r="1860" spans="1:2" x14ac:dyDescent="0.25">
      <c r="A1860" s="10" t="s">
        <v>2204</v>
      </c>
      <c r="B1860" s="7" t="s">
        <v>2337</v>
      </c>
    </row>
    <row r="1861" spans="1:2" x14ac:dyDescent="0.25">
      <c r="A1861" s="10" t="s">
        <v>822</v>
      </c>
      <c r="B1861" s="7" t="s">
        <v>2337</v>
      </c>
    </row>
    <row r="1862" spans="1:2" x14ac:dyDescent="0.25">
      <c r="A1862" s="10" t="s">
        <v>780</v>
      </c>
      <c r="B1862" s="7" t="s">
        <v>2337</v>
      </c>
    </row>
    <row r="1863" spans="1:2" x14ac:dyDescent="0.25">
      <c r="A1863" s="10" t="s">
        <v>2205</v>
      </c>
      <c r="B1863" s="7" t="s">
        <v>2337</v>
      </c>
    </row>
    <row r="1864" spans="1:2" x14ac:dyDescent="0.25">
      <c r="A1864" s="10" t="s">
        <v>2206</v>
      </c>
      <c r="B1864" s="7" t="s">
        <v>2337</v>
      </c>
    </row>
    <row r="1865" spans="1:2" x14ac:dyDescent="0.25">
      <c r="A1865" s="10" t="s">
        <v>2207</v>
      </c>
      <c r="B1865" s="7" t="s">
        <v>2337</v>
      </c>
    </row>
    <row r="1866" spans="1:2" x14ac:dyDescent="0.25">
      <c r="A1866" s="10" t="s">
        <v>1063</v>
      </c>
      <c r="B1866" s="7" t="s">
        <v>2337</v>
      </c>
    </row>
    <row r="1867" spans="1:2" x14ac:dyDescent="0.25">
      <c r="A1867" s="10" t="s">
        <v>550</v>
      </c>
      <c r="B1867" s="7" t="s">
        <v>2337</v>
      </c>
    </row>
    <row r="1868" spans="1:2" x14ac:dyDescent="0.25">
      <c r="A1868" s="10" t="s">
        <v>2208</v>
      </c>
      <c r="B1868" s="7" t="s">
        <v>2337</v>
      </c>
    </row>
    <row r="1869" spans="1:2" x14ac:dyDescent="0.25">
      <c r="A1869" s="10" t="s">
        <v>353</v>
      </c>
      <c r="B1869" s="7" t="s">
        <v>2337</v>
      </c>
    </row>
    <row r="1870" spans="1:2" x14ac:dyDescent="0.25">
      <c r="A1870" s="10" t="s">
        <v>1034</v>
      </c>
      <c r="B1870" s="7" t="s">
        <v>2337</v>
      </c>
    </row>
    <row r="1871" spans="1:2" x14ac:dyDescent="0.25">
      <c r="A1871" s="10" t="s">
        <v>208</v>
      </c>
      <c r="B1871" s="7" t="s">
        <v>2337</v>
      </c>
    </row>
    <row r="1872" spans="1:2" x14ac:dyDescent="0.25">
      <c r="A1872" s="10" t="s">
        <v>387</v>
      </c>
      <c r="B1872" s="7" t="s">
        <v>2337</v>
      </c>
    </row>
    <row r="1873" spans="1:2" x14ac:dyDescent="0.25">
      <c r="A1873" s="10" t="s">
        <v>2209</v>
      </c>
      <c r="B1873" s="7" t="s">
        <v>2337</v>
      </c>
    </row>
    <row r="1874" spans="1:2" x14ac:dyDescent="0.25">
      <c r="A1874" s="10" t="s">
        <v>2210</v>
      </c>
      <c r="B1874" s="7" t="s">
        <v>2337</v>
      </c>
    </row>
    <row r="1875" spans="1:2" x14ac:dyDescent="0.25">
      <c r="A1875" s="10" t="s">
        <v>191</v>
      </c>
      <c r="B1875" s="7" t="s">
        <v>2337</v>
      </c>
    </row>
    <row r="1876" spans="1:2" x14ac:dyDescent="0.25">
      <c r="A1876" s="10" t="s">
        <v>1037</v>
      </c>
      <c r="B1876" s="7" t="s">
        <v>2337</v>
      </c>
    </row>
    <row r="1877" spans="1:2" x14ac:dyDescent="0.25">
      <c r="A1877" s="10" t="s">
        <v>2211</v>
      </c>
      <c r="B1877" s="7" t="s">
        <v>2337</v>
      </c>
    </row>
    <row r="1878" spans="1:2" x14ac:dyDescent="0.25">
      <c r="A1878" s="10" t="s">
        <v>655</v>
      </c>
      <c r="B1878" s="7" t="s">
        <v>2337</v>
      </c>
    </row>
    <row r="1879" spans="1:2" x14ac:dyDescent="0.25">
      <c r="A1879" s="10" t="s">
        <v>469</v>
      </c>
      <c r="B1879" s="7" t="s">
        <v>2337</v>
      </c>
    </row>
    <row r="1880" spans="1:2" x14ac:dyDescent="0.25">
      <c r="A1880" s="10" t="s">
        <v>1203</v>
      </c>
      <c r="B1880" s="7" t="s">
        <v>2337</v>
      </c>
    </row>
    <row r="1881" spans="1:2" x14ac:dyDescent="0.25">
      <c r="A1881" s="10" t="s">
        <v>2212</v>
      </c>
      <c r="B1881" s="7" t="s">
        <v>2337</v>
      </c>
    </row>
    <row r="1882" spans="1:2" x14ac:dyDescent="0.25">
      <c r="A1882" s="10" t="s">
        <v>2213</v>
      </c>
      <c r="B1882" s="7" t="s">
        <v>2337</v>
      </c>
    </row>
    <row r="1883" spans="1:2" x14ac:dyDescent="0.25">
      <c r="A1883" s="10" t="s">
        <v>366</v>
      </c>
      <c r="B1883" s="7" t="s">
        <v>2337</v>
      </c>
    </row>
    <row r="1884" spans="1:2" x14ac:dyDescent="0.25">
      <c r="A1884" s="10" t="s">
        <v>536</v>
      </c>
      <c r="B1884" s="7" t="s">
        <v>2337</v>
      </c>
    </row>
    <row r="1885" spans="1:2" x14ac:dyDescent="0.25">
      <c r="A1885" s="10" t="s">
        <v>2214</v>
      </c>
      <c r="B1885" s="7" t="s">
        <v>2337</v>
      </c>
    </row>
    <row r="1886" spans="1:2" x14ac:dyDescent="0.25">
      <c r="A1886" s="10" t="s">
        <v>661</v>
      </c>
      <c r="B1886" s="7" t="s">
        <v>2337</v>
      </c>
    </row>
    <row r="1887" spans="1:2" x14ac:dyDescent="0.25">
      <c r="A1887" s="10" t="s">
        <v>646</v>
      </c>
      <c r="B1887" s="7" t="s">
        <v>2337</v>
      </c>
    </row>
    <row r="1888" spans="1:2" x14ac:dyDescent="0.25">
      <c r="A1888" s="10" t="s">
        <v>835</v>
      </c>
      <c r="B1888" s="7" t="s">
        <v>2337</v>
      </c>
    </row>
    <row r="1889" spans="1:2" x14ac:dyDescent="0.25">
      <c r="A1889" s="10" t="s">
        <v>390</v>
      </c>
      <c r="B1889" s="7" t="s">
        <v>2337</v>
      </c>
    </row>
    <row r="1890" spans="1:2" x14ac:dyDescent="0.25">
      <c r="A1890" s="10" t="s">
        <v>27</v>
      </c>
      <c r="B1890" s="7" t="s">
        <v>2337</v>
      </c>
    </row>
    <row r="1891" spans="1:2" x14ac:dyDescent="0.25">
      <c r="A1891" s="10" t="s">
        <v>617</v>
      </c>
      <c r="B1891" s="7" t="s">
        <v>2337</v>
      </c>
    </row>
    <row r="1892" spans="1:2" x14ac:dyDescent="0.25">
      <c r="A1892" s="10" t="s">
        <v>132</v>
      </c>
      <c r="B1892" s="7" t="s">
        <v>2337</v>
      </c>
    </row>
    <row r="1893" spans="1:2" x14ac:dyDescent="0.25">
      <c r="A1893" s="10" t="s">
        <v>2215</v>
      </c>
      <c r="B1893" s="7" t="s">
        <v>2337</v>
      </c>
    </row>
    <row r="1894" spans="1:2" x14ac:dyDescent="0.25">
      <c r="A1894" s="10" t="s">
        <v>844</v>
      </c>
      <c r="B1894" s="7" t="s">
        <v>2337</v>
      </c>
    </row>
    <row r="1895" spans="1:2" x14ac:dyDescent="0.25">
      <c r="A1895" s="10" t="s">
        <v>2216</v>
      </c>
      <c r="B1895" s="7" t="s">
        <v>2337</v>
      </c>
    </row>
    <row r="1896" spans="1:2" x14ac:dyDescent="0.25">
      <c r="A1896" s="10" t="s">
        <v>622</v>
      </c>
      <c r="B1896" s="7" t="s">
        <v>2337</v>
      </c>
    </row>
    <row r="1897" spans="1:2" x14ac:dyDescent="0.25">
      <c r="A1897" s="10" t="s">
        <v>674</v>
      </c>
      <c r="B1897" s="7" t="s">
        <v>2337</v>
      </c>
    </row>
    <row r="1898" spans="1:2" x14ac:dyDescent="0.25">
      <c r="A1898" s="10" t="s">
        <v>107</v>
      </c>
      <c r="B1898" s="7" t="s">
        <v>2337</v>
      </c>
    </row>
    <row r="1899" spans="1:2" x14ac:dyDescent="0.25">
      <c r="A1899" s="10" t="s">
        <v>322</v>
      </c>
      <c r="B1899" s="7" t="s">
        <v>2337</v>
      </c>
    </row>
    <row r="1900" spans="1:2" x14ac:dyDescent="0.25">
      <c r="A1900" s="10" t="s">
        <v>970</v>
      </c>
      <c r="B1900" s="7" t="s">
        <v>2337</v>
      </c>
    </row>
    <row r="1901" spans="1:2" x14ac:dyDescent="0.25">
      <c r="A1901" s="10" t="s">
        <v>2217</v>
      </c>
      <c r="B1901" s="7" t="s">
        <v>2337</v>
      </c>
    </row>
    <row r="1902" spans="1:2" x14ac:dyDescent="0.25">
      <c r="A1902" s="10" t="s">
        <v>189</v>
      </c>
      <c r="B1902" s="7" t="s">
        <v>2337</v>
      </c>
    </row>
    <row r="1903" spans="1:2" x14ac:dyDescent="0.25">
      <c r="A1903" s="10" t="s">
        <v>697</v>
      </c>
      <c r="B1903" s="7" t="s">
        <v>2337</v>
      </c>
    </row>
    <row r="1904" spans="1:2" x14ac:dyDescent="0.25">
      <c r="A1904" s="10" t="s">
        <v>265</v>
      </c>
      <c r="B1904" s="7" t="s">
        <v>2337</v>
      </c>
    </row>
    <row r="1905" spans="1:2" x14ac:dyDescent="0.25">
      <c r="A1905" s="10" t="s">
        <v>1271</v>
      </c>
      <c r="B1905" s="7" t="s">
        <v>2337</v>
      </c>
    </row>
    <row r="1906" spans="1:2" x14ac:dyDescent="0.25">
      <c r="A1906" s="10" t="s">
        <v>125</v>
      </c>
      <c r="B1906" s="7" t="s">
        <v>2337</v>
      </c>
    </row>
    <row r="1907" spans="1:2" x14ac:dyDescent="0.25">
      <c r="A1907" s="10" t="s">
        <v>355</v>
      </c>
      <c r="B1907" s="7" t="s">
        <v>2337</v>
      </c>
    </row>
    <row r="1908" spans="1:2" x14ac:dyDescent="0.25">
      <c r="A1908" s="10" t="s">
        <v>916</v>
      </c>
      <c r="B1908" s="7" t="s">
        <v>2337</v>
      </c>
    </row>
    <row r="1909" spans="1:2" x14ac:dyDescent="0.25">
      <c r="A1909" s="10" t="s">
        <v>540</v>
      </c>
      <c r="B1909" s="7" t="s">
        <v>2337</v>
      </c>
    </row>
    <row r="1910" spans="1:2" x14ac:dyDescent="0.25">
      <c r="A1910" s="10" t="s">
        <v>836</v>
      </c>
      <c r="B1910" s="7" t="s">
        <v>2337</v>
      </c>
    </row>
    <row r="1911" spans="1:2" x14ac:dyDescent="0.25">
      <c r="A1911" s="10" t="s">
        <v>2218</v>
      </c>
      <c r="B1911" s="7" t="s">
        <v>2337</v>
      </c>
    </row>
    <row r="1912" spans="1:2" x14ac:dyDescent="0.25">
      <c r="A1912" s="10" t="s">
        <v>2219</v>
      </c>
      <c r="B1912" s="7" t="s">
        <v>2337</v>
      </c>
    </row>
    <row r="1913" spans="1:2" x14ac:dyDescent="0.25">
      <c r="A1913" s="10" t="s">
        <v>588</v>
      </c>
      <c r="B1913" s="7" t="s">
        <v>2337</v>
      </c>
    </row>
    <row r="1914" spans="1:2" x14ac:dyDescent="0.25">
      <c r="A1914" s="10" t="s">
        <v>363</v>
      </c>
      <c r="B1914" s="7" t="s">
        <v>2337</v>
      </c>
    </row>
    <row r="1915" spans="1:2" x14ac:dyDescent="0.25">
      <c r="A1915" s="10" t="s">
        <v>947</v>
      </c>
      <c r="B1915" s="7" t="s">
        <v>2337</v>
      </c>
    </row>
    <row r="1916" spans="1:2" x14ac:dyDescent="0.25">
      <c r="A1916" s="10" t="s">
        <v>71</v>
      </c>
      <c r="B1916" s="7" t="s">
        <v>2337</v>
      </c>
    </row>
    <row r="1917" spans="1:2" x14ac:dyDescent="0.25">
      <c r="A1917" s="10" t="s">
        <v>869</v>
      </c>
      <c r="B1917" s="7" t="s">
        <v>2337</v>
      </c>
    </row>
    <row r="1918" spans="1:2" x14ac:dyDescent="0.25">
      <c r="A1918" s="10" t="s">
        <v>2220</v>
      </c>
      <c r="B1918" s="7" t="s">
        <v>2337</v>
      </c>
    </row>
    <row r="1919" spans="1:2" x14ac:dyDescent="0.25">
      <c r="A1919" s="10" t="s">
        <v>762</v>
      </c>
      <c r="B1919" s="7" t="s">
        <v>2337</v>
      </c>
    </row>
    <row r="1920" spans="1:2" x14ac:dyDescent="0.25">
      <c r="A1920" s="10" t="s">
        <v>1144</v>
      </c>
      <c r="B1920" s="7" t="s">
        <v>2337</v>
      </c>
    </row>
    <row r="1921" spans="1:2" x14ac:dyDescent="0.25">
      <c r="A1921" s="10" t="s">
        <v>858</v>
      </c>
      <c r="B1921" s="7" t="s">
        <v>2337</v>
      </c>
    </row>
    <row r="1922" spans="1:2" x14ac:dyDescent="0.25">
      <c r="A1922" s="10" t="s">
        <v>2221</v>
      </c>
      <c r="B1922" s="7" t="s">
        <v>2337</v>
      </c>
    </row>
    <row r="1923" spans="1:2" x14ac:dyDescent="0.25">
      <c r="A1923" s="10" t="s">
        <v>2222</v>
      </c>
      <c r="B1923" s="7" t="s">
        <v>2337</v>
      </c>
    </row>
    <row r="1924" spans="1:2" x14ac:dyDescent="0.25">
      <c r="A1924" s="10" t="s">
        <v>727</v>
      </c>
      <c r="B1924" s="7" t="s">
        <v>2337</v>
      </c>
    </row>
    <row r="1925" spans="1:2" x14ac:dyDescent="0.25">
      <c r="A1925" s="10" t="s">
        <v>834</v>
      </c>
      <c r="B1925" s="7" t="s">
        <v>2337</v>
      </c>
    </row>
    <row r="1926" spans="1:2" x14ac:dyDescent="0.25">
      <c r="A1926" s="10" t="s">
        <v>768</v>
      </c>
      <c r="B1926" s="7" t="s">
        <v>2337</v>
      </c>
    </row>
    <row r="1927" spans="1:2" x14ac:dyDescent="0.25">
      <c r="A1927" s="10" t="s">
        <v>2223</v>
      </c>
      <c r="B1927" s="7" t="s">
        <v>2337</v>
      </c>
    </row>
    <row r="1928" spans="1:2" x14ac:dyDescent="0.25">
      <c r="A1928" s="10" t="s">
        <v>733</v>
      </c>
      <c r="B1928" s="7" t="s">
        <v>2337</v>
      </c>
    </row>
    <row r="1929" spans="1:2" x14ac:dyDescent="0.25">
      <c r="A1929" s="10" t="s">
        <v>500</v>
      </c>
      <c r="B1929" s="7" t="s">
        <v>2337</v>
      </c>
    </row>
    <row r="1930" spans="1:2" x14ac:dyDescent="0.25">
      <c r="A1930" s="10" t="s">
        <v>734</v>
      </c>
      <c r="B1930" s="7" t="s">
        <v>2337</v>
      </c>
    </row>
    <row r="1931" spans="1:2" x14ac:dyDescent="0.25">
      <c r="A1931" s="10" t="s">
        <v>2224</v>
      </c>
      <c r="B1931" s="7" t="s">
        <v>2337</v>
      </c>
    </row>
    <row r="1932" spans="1:2" x14ac:dyDescent="0.25">
      <c r="A1932" s="10" t="s">
        <v>1044</v>
      </c>
      <c r="B1932" s="7" t="s">
        <v>2337</v>
      </c>
    </row>
    <row r="1933" spans="1:2" x14ac:dyDescent="0.25">
      <c r="A1933" s="10" t="s">
        <v>246</v>
      </c>
      <c r="B1933" s="7" t="s">
        <v>2337</v>
      </c>
    </row>
    <row r="1934" spans="1:2" x14ac:dyDescent="0.25">
      <c r="A1934" s="10" t="s">
        <v>327</v>
      </c>
      <c r="B1934" s="7" t="s">
        <v>2337</v>
      </c>
    </row>
    <row r="1935" spans="1:2" x14ac:dyDescent="0.25">
      <c r="A1935" s="10" t="s">
        <v>379</v>
      </c>
      <c r="B1935" s="7" t="s">
        <v>2337</v>
      </c>
    </row>
    <row r="1936" spans="1:2" x14ac:dyDescent="0.25">
      <c r="A1936" s="10" t="s">
        <v>496</v>
      </c>
      <c r="B1936" s="7" t="s">
        <v>2337</v>
      </c>
    </row>
    <row r="1937" spans="1:2" x14ac:dyDescent="0.25">
      <c r="A1937" s="10" t="s">
        <v>2225</v>
      </c>
      <c r="B1937" s="7" t="s">
        <v>2337</v>
      </c>
    </row>
    <row r="1938" spans="1:2" x14ac:dyDescent="0.25">
      <c r="A1938" s="10" t="s">
        <v>875</v>
      </c>
      <c r="B1938" s="7" t="s">
        <v>2337</v>
      </c>
    </row>
    <row r="1939" spans="1:2" x14ac:dyDescent="0.25">
      <c r="A1939" s="10" t="s">
        <v>2226</v>
      </c>
      <c r="B1939" s="7" t="s">
        <v>2337</v>
      </c>
    </row>
    <row r="1940" spans="1:2" x14ac:dyDescent="0.25">
      <c r="A1940" s="10" t="s">
        <v>2227</v>
      </c>
      <c r="B1940" s="7" t="s">
        <v>2337</v>
      </c>
    </row>
    <row r="1941" spans="1:2" x14ac:dyDescent="0.25">
      <c r="A1941" s="10" t="s">
        <v>2228</v>
      </c>
      <c r="B1941" s="7" t="s">
        <v>2337</v>
      </c>
    </row>
    <row r="1942" spans="1:2" x14ac:dyDescent="0.25">
      <c r="A1942" s="10" t="s">
        <v>2229</v>
      </c>
      <c r="B1942" s="7" t="s">
        <v>2337</v>
      </c>
    </row>
    <row r="1943" spans="1:2" x14ac:dyDescent="0.25">
      <c r="A1943" s="10" t="s">
        <v>846</v>
      </c>
      <c r="B1943" s="7" t="s">
        <v>2337</v>
      </c>
    </row>
    <row r="1944" spans="1:2" x14ac:dyDescent="0.25">
      <c r="A1944" s="10" t="s">
        <v>1147</v>
      </c>
      <c r="B1944" s="7" t="s">
        <v>2337</v>
      </c>
    </row>
    <row r="1945" spans="1:2" x14ac:dyDescent="0.25">
      <c r="A1945" s="10" t="s">
        <v>56</v>
      </c>
      <c r="B1945" s="7" t="s">
        <v>2337</v>
      </c>
    </row>
    <row r="1946" spans="1:2" x14ac:dyDescent="0.25">
      <c r="A1946" s="10" t="s">
        <v>1068</v>
      </c>
      <c r="B1946" s="7" t="s">
        <v>2337</v>
      </c>
    </row>
    <row r="1947" spans="1:2" x14ac:dyDescent="0.25">
      <c r="A1947" s="10" t="s">
        <v>955</v>
      </c>
      <c r="B1947" s="7" t="s">
        <v>2337</v>
      </c>
    </row>
    <row r="1948" spans="1:2" x14ac:dyDescent="0.25">
      <c r="A1948" s="10" t="s">
        <v>2230</v>
      </c>
      <c r="B1948" s="7" t="s">
        <v>2337</v>
      </c>
    </row>
    <row r="1949" spans="1:2" x14ac:dyDescent="0.25">
      <c r="A1949" s="10" t="s">
        <v>2231</v>
      </c>
      <c r="B1949" s="7" t="s">
        <v>2337</v>
      </c>
    </row>
    <row r="1950" spans="1:2" x14ac:dyDescent="0.25">
      <c r="A1950" s="10" t="s">
        <v>2232</v>
      </c>
      <c r="B1950" s="7" t="s">
        <v>2337</v>
      </c>
    </row>
    <row r="1951" spans="1:2" x14ac:dyDescent="0.25">
      <c r="A1951" s="10" t="s">
        <v>237</v>
      </c>
      <c r="B1951" s="7" t="s">
        <v>2337</v>
      </c>
    </row>
    <row r="1952" spans="1:2" x14ac:dyDescent="0.25">
      <c r="A1952" s="10" t="s">
        <v>373</v>
      </c>
      <c r="B1952" s="7" t="s">
        <v>2337</v>
      </c>
    </row>
    <row r="1953" spans="1:2" x14ac:dyDescent="0.25">
      <c r="A1953" s="10" t="s">
        <v>2233</v>
      </c>
      <c r="B1953" s="7" t="s">
        <v>2337</v>
      </c>
    </row>
    <row r="1954" spans="1:2" x14ac:dyDescent="0.25">
      <c r="A1954" s="10" t="s">
        <v>2234</v>
      </c>
      <c r="B1954" s="7" t="s">
        <v>2337</v>
      </c>
    </row>
    <row r="1955" spans="1:2" x14ac:dyDescent="0.25">
      <c r="A1955" s="10" t="s">
        <v>2235</v>
      </c>
      <c r="B1955" s="7" t="s">
        <v>2337</v>
      </c>
    </row>
    <row r="1956" spans="1:2" x14ac:dyDescent="0.25">
      <c r="A1956" s="10" t="s">
        <v>2236</v>
      </c>
      <c r="B1956" s="7" t="s">
        <v>2337</v>
      </c>
    </row>
    <row r="1957" spans="1:2" x14ac:dyDescent="0.25">
      <c r="A1957" s="10" t="s">
        <v>2237</v>
      </c>
      <c r="B1957" s="7" t="s">
        <v>2337</v>
      </c>
    </row>
    <row r="1958" spans="1:2" x14ac:dyDescent="0.25">
      <c r="A1958" s="10" t="s">
        <v>512</v>
      </c>
      <c r="B1958" s="7" t="s">
        <v>2337</v>
      </c>
    </row>
    <row r="1959" spans="1:2" x14ac:dyDescent="0.25">
      <c r="A1959" s="10" t="s">
        <v>871</v>
      </c>
      <c r="B1959" s="7" t="s">
        <v>2337</v>
      </c>
    </row>
    <row r="1960" spans="1:2" x14ac:dyDescent="0.25">
      <c r="A1960" s="10" t="s">
        <v>715</v>
      </c>
      <c r="B1960" s="7" t="s">
        <v>2337</v>
      </c>
    </row>
    <row r="1961" spans="1:2" x14ac:dyDescent="0.25">
      <c r="A1961" s="10" t="s">
        <v>1021</v>
      </c>
      <c r="B1961" s="7" t="s">
        <v>2337</v>
      </c>
    </row>
    <row r="1962" spans="1:2" x14ac:dyDescent="0.25">
      <c r="A1962" s="10" t="s">
        <v>952</v>
      </c>
      <c r="B1962" s="7" t="s">
        <v>2337</v>
      </c>
    </row>
    <row r="1963" spans="1:2" x14ac:dyDescent="0.25">
      <c r="A1963" s="10" t="s">
        <v>415</v>
      </c>
      <c r="B1963" s="7" t="s">
        <v>2337</v>
      </c>
    </row>
    <row r="1964" spans="1:2" x14ac:dyDescent="0.25">
      <c r="A1964" s="10" t="s">
        <v>957</v>
      </c>
      <c r="B1964" s="7" t="s">
        <v>2337</v>
      </c>
    </row>
    <row r="1965" spans="1:2" x14ac:dyDescent="0.25">
      <c r="A1965" s="10" t="s">
        <v>2238</v>
      </c>
      <c r="B1965" s="7" t="s">
        <v>2337</v>
      </c>
    </row>
    <row r="1966" spans="1:2" x14ac:dyDescent="0.25">
      <c r="A1966" s="10" t="s">
        <v>471</v>
      </c>
      <c r="B1966" s="7" t="s">
        <v>2337</v>
      </c>
    </row>
    <row r="1967" spans="1:2" x14ac:dyDescent="0.25">
      <c r="A1967" s="10" t="s">
        <v>2239</v>
      </c>
      <c r="B1967" s="7" t="s">
        <v>2337</v>
      </c>
    </row>
    <row r="1968" spans="1:2" x14ac:dyDescent="0.25">
      <c r="A1968" s="10" t="s">
        <v>601</v>
      </c>
      <c r="B1968" s="7" t="s">
        <v>2337</v>
      </c>
    </row>
    <row r="1969" spans="1:2" x14ac:dyDescent="0.25">
      <c r="A1969" s="10" t="s">
        <v>154</v>
      </c>
      <c r="B1969" s="7" t="s">
        <v>2337</v>
      </c>
    </row>
    <row r="1970" spans="1:2" x14ac:dyDescent="0.25">
      <c r="A1970" s="10" t="s">
        <v>996</v>
      </c>
      <c r="B1970" s="7" t="s">
        <v>2337</v>
      </c>
    </row>
    <row r="1971" spans="1:2" x14ac:dyDescent="0.25">
      <c r="A1971" s="10" t="s">
        <v>1054</v>
      </c>
      <c r="B1971" s="7" t="s">
        <v>2337</v>
      </c>
    </row>
    <row r="1972" spans="1:2" x14ac:dyDescent="0.25">
      <c r="A1972" s="10" t="s">
        <v>105</v>
      </c>
      <c r="B1972" s="7" t="s">
        <v>2337</v>
      </c>
    </row>
    <row r="1973" spans="1:2" x14ac:dyDescent="0.25">
      <c r="A1973" s="10" t="s">
        <v>212</v>
      </c>
      <c r="B1973" s="7" t="s">
        <v>2337</v>
      </c>
    </row>
    <row r="1974" spans="1:2" x14ac:dyDescent="0.25">
      <c r="A1974" s="10" t="s">
        <v>1231</v>
      </c>
      <c r="B1974" s="7" t="s">
        <v>2337</v>
      </c>
    </row>
    <row r="1975" spans="1:2" x14ac:dyDescent="0.25">
      <c r="A1975" s="10" t="s">
        <v>375</v>
      </c>
      <c r="B1975" s="7" t="s">
        <v>2337</v>
      </c>
    </row>
    <row r="1976" spans="1:2" x14ac:dyDescent="0.25">
      <c r="A1976" s="10" t="s">
        <v>1007</v>
      </c>
      <c r="B1976" s="7" t="s">
        <v>2337</v>
      </c>
    </row>
    <row r="1977" spans="1:2" x14ac:dyDescent="0.25">
      <c r="A1977" s="10" t="s">
        <v>2240</v>
      </c>
      <c r="B1977" s="7" t="s">
        <v>2337</v>
      </c>
    </row>
    <row r="1978" spans="1:2" x14ac:dyDescent="0.25">
      <c r="A1978" s="10" t="s">
        <v>1092</v>
      </c>
      <c r="B1978" s="7" t="s">
        <v>2337</v>
      </c>
    </row>
    <row r="1979" spans="1:2" x14ac:dyDescent="0.25">
      <c r="A1979" s="10" t="s">
        <v>2241</v>
      </c>
      <c r="B1979" s="7" t="s">
        <v>2337</v>
      </c>
    </row>
    <row r="1980" spans="1:2" x14ac:dyDescent="0.25">
      <c r="A1980" s="10" t="s">
        <v>1129</v>
      </c>
      <c r="B1980" s="7" t="s">
        <v>2337</v>
      </c>
    </row>
    <row r="1981" spans="1:2" x14ac:dyDescent="0.25">
      <c r="A1981" s="10" t="s">
        <v>2242</v>
      </c>
      <c r="B1981" s="7" t="s">
        <v>2337</v>
      </c>
    </row>
    <row r="1982" spans="1:2" x14ac:dyDescent="0.25">
      <c r="A1982" s="10" t="s">
        <v>2243</v>
      </c>
      <c r="B1982" s="7" t="s">
        <v>2337</v>
      </c>
    </row>
    <row r="1983" spans="1:2" x14ac:dyDescent="0.25">
      <c r="A1983" s="10" t="s">
        <v>1185</v>
      </c>
      <c r="B1983" s="7" t="s">
        <v>2337</v>
      </c>
    </row>
    <row r="1984" spans="1:2" x14ac:dyDescent="0.25">
      <c r="A1984" s="10" t="s">
        <v>463</v>
      </c>
      <c r="B1984" s="7" t="s">
        <v>2337</v>
      </c>
    </row>
    <row r="1985" spans="1:2" x14ac:dyDescent="0.25">
      <c r="A1985" s="10" t="s">
        <v>397</v>
      </c>
      <c r="B1985" s="7" t="s">
        <v>2337</v>
      </c>
    </row>
    <row r="1986" spans="1:2" x14ac:dyDescent="0.25">
      <c r="A1986" s="10" t="s">
        <v>1127</v>
      </c>
      <c r="B1986" s="7" t="s">
        <v>2337</v>
      </c>
    </row>
    <row r="1987" spans="1:2" x14ac:dyDescent="0.25">
      <c r="A1987" s="10" t="s">
        <v>602</v>
      </c>
      <c r="B1987" s="7" t="s">
        <v>2337</v>
      </c>
    </row>
    <row r="1988" spans="1:2" x14ac:dyDescent="0.25">
      <c r="A1988" s="10" t="s">
        <v>2244</v>
      </c>
      <c r="B1988" s="7" t="s">
        <v>2337</v>
      </c>
    </row>
    <row r="1989" spans="1:2" x14ac:dyDescent="0.25">
      <c r="A1989" s="10" t="s">
        <v>409</v>
      </c>
      <c r="B1989" s="7" t="s">
        <v>2337</v>
      </c>
    </row>
    <row r="1990" spans="1:2" x14ac:dyDescent="0.25">
      <c r="A1990" s="10" t="s">
        <v>314</v>
      </c>
      <c r="B1990" s="7" t="s">
        <v>2337</v>
      </c>
    </row>
    <row r="1991" spans="1:2" x14ac:dyDescent="0.25">
      <c r="A1991" s="10" t="s">
        <v>847</v>
      </c>
      <c r="B1991" s="7" t="s">
        <v>2337</v>
      </c>
    </row>
    <row r="1992" spans="1:2" x14ac:dyDescent="0.25">
      <c r="A1992" s="10" t="s">
        <v>1019</v>
      </c>
      <c r="B1992" s="7" t="s">
        <v>2337</v>
      </c>
    </row>
    <row r="1993" spans="1:2" x14ac:dyDescent="0.25">
      <c r="A1993" s="10" t="s">
        <v>943</v>
      </c>
      <c r="B1993" s="7" t="s">
        <v>2337</v>
      </c>
    </row>
    <row r="1994" spans="1:2" x14ac:dyDescent="0.25">
      <c r="A1994" s="10" t="s">
        <v>196</v>
      </c>
      <c r="B1994" s="7" t="s">
        <v>2337</v>
      </c>
    </row>
    <row r="1995" spans="1:2" x14ac:dyDescent="0.25">
      <c r="A1995" s="10" t="s">
        <v>2245</v>
      </c>
      <c r="B1995" s="7" t="s">
        <v>2337</v>
      </c>
    </row>
    <row r="1996" spans="1:2" x14ac:dyDescent="0.25">
      <c r="A1996" s="10" t="s">
        <v>91</v>
      </c>
      <c r="B1996" s="7" t="s">
        <v>2337</v>
      </c>
    </row>
    <row r="1997" spans="1:2" x14ac:dyDescent="0.25">
      <c r="A1997" s="10" t="s">
        <v>1219</v>
      </c>
      <c r="B1997" s="7" t="s">
        <v>2337</v>
      </c>
    </row>
    <row r="1998" spans="1:2" x14ac:dyDescent="0.25">
      <c r="A1998" s="10" t="s">
        <v>2246</v>
      </c>
      <c r="B1998" s="7" t="s">
        <v>2337</v>
      </c>
    </row>
    <row r="1999" spans="1:2" x14ac:dyDescent="0.25">
      <c r="A1999" s="10" t="s">
        <v>979</v>
      </c>
      <c r="B1999" s="7" t="s">
        <v>2337</v>
      </c>
    </row>
    <row r="2000" spans="1:2" x14ac:dyDescent="0.25">
      <c r="A2000" s="10" t="s">
        <v>721</v>
      </c>
      <c r="B2000" s="7" t="s">
        <v>2337</v>
      </c>
    </row>
    <row r="2001" spans="1:2" x14ac:dyDescent="0.25">
      <c r="A2001" s="10" t="s">
        <v>1230</v>
      </c>
      <c r="B2001" s="7" t="s">
        <v>2337</v>
      </c>
    </row>
    <row r="2002" spans="1:2" x14ac:dyDescent="0.25">
      <c r="A2002" s="10" t="s">
        <v>1023</v>
      </c>
      <c r="B2002" s="7" t="s">
        <v>2337</v>
      </c>
    </row>
    <row r="2003" spans="1:2" x14ac:dyDescent="0.25">
      <c r="A2003" s="10" t="s">
        <v>391</v>
      </c>
      <c r="B2003" s="7" t="s">
        <v>2337</v>
      </c>
    </row>
    <row r="2004" spans="1:2" x14ac:dyDescent="0.25">
      <c r="A2004" s="10" t="s">
        <v>2247</v>
      </c>
      <c r="B2004" s="7" t="s">
        <v>2337</v>
      </c>
    </row>
    <row r="2005" spans="1:2" x14ac:dyDescent="0.25">
      <c r="A2005" s="10" t="s">
        <v>938</v>
      </c>
      <c r="B2005" s="7" t="s">
        <v>2337</v>
      </c>
    </row>
    <row r="2006" spans="1:2" x14ac:dyDescent="0.25">
      <c r="A2006" s="10" t="s">
        <v>445</v>
      </c>
      <c r="B2006" s="7" t="s">
        <v>2337</v>
      </c>
    </row>
    <row r="2007" spans="1:2" x14ac:dyDescent="0.25">
      <c r="A2007" s="10" t="s">
        <v>974</v>
      </c>
      <c r="B2007" s="7" t="s">
        <v>2337</v>
      </c>
    </row>
    <row r="2008" spans="1:2" x14ac:dyDescent="0.25">
      <c r="A2008" s="10" t="s">
        <v>2248</v>
      </c>
      <c r="B2008" s="7" t="s">
        <v>2337</v>
      </c>
    </row>
    <row r="2009" spans="1:2" x14ac:dyDescent="0.25">
      <c r="A2009" s="10" t="s">
        <v>2249</v>
      </c>
      <c r="B2009" s="7" t="s">
        <v>2337</v>
      </c>
    </row>
    <row r="2010" spans="1:2" x14ac:dyDescent="0.25">
      <c r="A2010" s="10" t="s">
        <v>2250</v>
      </c>
      <c r="B2010" s="7" t="s">
        <v>2337</v>
      </c>
    </row>
    <row r="2011" spans="1:2" x14ac:dyDescent="0.25">
      <c r="A2011" s="10" t="s">
        <v>2251</v>
      </c>
      <c r="B2011" s="7" t="s">
        <v>2337</v>
      </c>
    </row>
    <row r="2012" spans="1:2" x14ac:dyDescent="0.25">
      <c r="A2012" s="10" t="s">
        <v>732</v>
      </c>
      <c r="B2012" s="7" t="s">
        <v>2337</v>
      </c>
    </row>
    <row r="2013" spans="1:2" x14ac:dyDescent="0.25">
      <c r="A2013" s="10" t="s">
        <v>2252</v>
      </c>
      <c r="B2013" s="7" t="s">
        <v>2337</v>
      </c>
    </row>
    <row r="2014" spans="1:2" x14ac:dyDescent="0.25">
      <c r="A2014" s="10" t="s">
        <v>2253</v>
      </c>
      <c r="B2014" s="7" t="s">
        <v>2337</v>
      </c>
    </row>
    <row r="2015" spans="1:2" x14ac:dyDescent="0.25">
      <c r="A2015" s="10" t="s">
        <v>978</v>
      </c>
      <c r="B2015" s="7" t="s">
        <v>2337</v>
      </c>
    </row>
    <row r="2016" spans="1:2" x14ac:dyDescent="0.25">
      <c r="A2016" s="10" t="s">
        <v>2254</v>
      </c>
      <c r="B2016" s="7" t="s">
        <v>2337</v>
      </c>
    </row>
    <row r="2017" spans="1:2" x14ac:dyDescent="0.25">
      <c r="A2017" s="10" t="s">
        <v>1031</v>
      </c>
      <c r="B2017" s="7" t="s">
        <v>2337</v>
      </c>
    </row>
    <row r="2018" spans="1:2" x14ac:dyDescent="0.25">
      <c r="A2018" s="10" t="s">
        <v>609</v>
      </c>
      <c r="B2018" s="7" t="s">
        <v>2337</v>
      </c>
    </row>
    <row r="2019" spans="1:2" x14ac:dyDescent="0.25">
      <c r="A2019" s="10" t="s">
        <v>2255</v>
      </c>
      <c r="B2019" s="7" t="s">
        <v>2337</v>
      </c>
    </row>
    <row r="2020" spans="1:2" x14ac:dyDescent="0.25">
      <c r="A2020" s="10" t="s">
        <v>1060</v>
      </c>
      <c r="B2020" s="7" t="s">
        <v>2337</v>
      </c>
    </row>
    <row r="2021" spans="1:2" x14ac:dyDescent="0.25">
      <c r="A2021" s="10" t="s">
        <v>1250</v>
      </c>
      <c r="B2021" s="7" t="s">
        <v>2337</v>
      </c>
    </row>
    <row r="2022" spans="1:2" x14ac:dyDescent="0.25">
      <c r="A2022" s="10" t="s">
        <v>989</v>
      </c>
      <c r="B2022" s="7" t="s">
        <v>2337</v>
      </c>
    </row>
    <row r="2023" spans="1:2" x14ac:dyDescent="0.25">
      <c r="A2023" s="10" t="s">
        <v>2256</v>
      </c>
      <c r="B2023" s="7" t="s">
        <v>2337</v>
      </c>
    </row>
    <row r="2024" spans="1:2" x14ac:dyDescent="0.25">
      <c r="A2024" s="10" t="s">
        <v>681</v>
      </c>
      <c r="B2024" s="7" t="s">
        <v>2337</v>
      </c>
    </row>
    <row r="2025" spans="1:2" x14ac:dyDescent="0.25">
      <c r="A2025" s="10" t="s">
        <v>1222</v>
      </c>
      <c r="B2025" s="7" t="s">
        <v>2337</v>
      </c>
    </row>
    <row r="2026" spans="1:2" x14ac:dyDescent="0.25">
      <c r="A2026" s="10" t="s">
        <v>740</v>
      </c>
      <c r="B2026" s="7" t="s">
        <v>2337</v>
      </c>
    </row>
    <row r="2027" spans="1:2" x14ac:dyDescent="0.25">
      <c r="A2027" s="10" t="s">
        <v>1175</v>
      </c>
      <c r="B2027" s="7" t="s">
        <v>2337</v>
      </c>
    </row>
    <row r="2028" spans="1:2" x14ac:dyDescent="0.25">
      <c r="A2028" s="10" t="s">
        <v>2257</v>
      </c>
      <c r="B2028" s="7" t="s">
        <v>2337</v>
      </c>
    </row>
    <row r="2029" spans="1:2" x14ac:dyDescent="0.25">
      <c r="A2029" s="10" t="s">
        <v>2258</v>
      </c>
      <c r="B2029" s="7" t="s">
        <v>2337</v>
      </c>
    </row>
    <row r="2030" spans="1:2" x14ac:dyDescent="0.25">
      <c r="A2030" s="10" t="s">
        <v>458</v>
      </c>
      <c r="B2030" s="7" t="s">
        <v>2337</v>
      </c>
    </row>
    <row r="2031" spans="1:2" x14ac:dyDescent="0.25">
      <c r="A2031" s="10" t="s">
        <v>2259</v>
      </c>
      <c r="B2031" s="7" t="s">
        <v>2337</v>
      </c>
    </row>
    <row r="2032" spans="1:2" x14ac:dyDescent="0.25">
      <c r="A2032" s="10" t="s">
        <v>2260</v>
      </c>
      <c r="B2032" s="7" t="s">
        <v>2337</v>
      </c>
    </row>
    <row r="2033" spans="1:2" x14ac:dyDescent="0.25">
      <c r="A2033" s="10" t="s">
        <v>2261</v>
      </c>
      <c r="B2033" s="7" t="s">
        <v>2337</v>
      </c>
    </row>
    <row r="2034" spans="1:2" x14ac:dyDescent="0.25">
      <c r="A2034" s="10" t="s">
        <v>695</v>
      </c>
      <c r="B2034" s="7" t="s">
        <v>2337</v>
      </c>
    </row>
    <row r="2035" spans="1:2" x14ac:dyDescent="0.25">
      <c r="A2035" s="10" t="s">
        <v>2262</v>
      </c>
      <c r="B2035" s="7" t="s">
        <v>2337</v>
      </c>
    </row>
    <row r="2036" spans="1:2" x14ac:dyDescent="0.25">
      <c r="A2036" s="10" t="s">
        <v>1208</v>
      </c>
      <c r="B2036" s="7" t="s">
        <v>2337</v>
      </c>
    </row>
    <row r="2037" spans="1:2" x14ac:dyDescent="0.25">
      <c r="A2037" s="10" t="s">
        <v>645</v>
      </c>
      <c r="B2037" s="7" t="s">
        <v>2337</v>
      </c>
    </row>
    <row r="2038" spans="1:2" x14ac:dyDescent="0.25">
      <c r="A2038" s="10" t="s">
        <v>2263</v>
      </c>
      <c r="B2038" s="7" t="s">
        <v>2337</v>
      </c>
    </row>
    <row r="2039" spans="1:2" x14ac:dyDescent="0.25">
      <c r="A2039" s="10" t="s">
        <v>1089</v>
      </c>
      <c r="B2039" s="7" t="s">
        <v>2337</v>
      </c>
    </row>
    <row r="2040" spans="1:2" x14ac:dyDescent="0.25">
      <c r="A2040" s="10" t="s">
        <v>635</v>
      </c>
      <c r="B2040" s="7" t="s">
        <v>2337</v>
      </c>
    </row>
    <row r="2041" spans="1:2" x14ac:dyDescent="0.25">
      <c r="A2041" s="10" t="s">
        <v>862</v>
      </c>
      <c r="B2041" s="7" t="s">
        <v>2337</v>
      </c>
    </row>
    <row r="2042" spans="1:2" x14ac:dyDescent="0.25">
      <c r="A2042" s="10" t="s">
        <v>367</v>
      </c>
      <c r="B2042" s="7" t="s">
        <v>2337</v>
      </c>
    </row>
    <row r="2043" spans="1:2" x14ac:dyDescent="0.25">
      <c r="A2043" s="10" t="s">
        <v>2264</v>
      </c>
      <c r="B2043" s="7" t="s">
        <v>2337</v>
      </c>
    </row>
    <row r="2044" spans="1:2" x14ac:dyDescent="0.25">
      <c r="A2044" s="10" t="s">
        <v>2265</v>
      </c>
      <c r="B2044" s="7" t="s">
        <v>2337</v>
      </c>
    </row>
    <row r="2045" spans="1:2" x14ac:dyDescent="0.25">
      <c r="A2045" s="10" t="s">
        <v>2266</v>
      </c>
      <c r="B2045" s="7" t="s">
        <v>2337</v>
      </c>
    </row>
    <row r="2046" spans="1:2" x14ac:dyDescent="0.25">
      <c r="A2046" s="10" t="s">
        <v>2267</v>
      </c>
      <c r="B2046" s="7" t="s">
        <v>2337</v>
      </c>
    </row>
    <row r="2047" spans="1:2" x14ac:dyDescent="0.25">
      <c r="A2047" s="10" t="s">
        <v>1118</v>
      </c>
      <c r="B2047" s="7" t="s">
        <v>2337</v>
      </c>
    </row>
    <row r="2048" spans="1:2" x14ac:dyDescent="0.25">
      <c r="A2048" s="10" t="s">
        <v>1244</v>
      </c>
      <c r="B2048" s="7" t="s">
        <v>2337</v>
      </c>
    </row>
    <row r="2049" spans="1:2" x14ac:dyDescent="0.25">
      <c r="A2049" s="10" t="s">
        <v>417</v>
      </c>
      <c r="B2049" s="7" t="s">
        <v>2337</v>
      </c>
    </row>
    <row r="2050" spans="1:2" x14ac:dyDescent="0.25">
      <c r="A2050" s="10" t="s">
        <v>959</v>
      </c>
      <c r="B2050" s="7" t="s">
        <v>2337</v>
      </c>
    </row>
    <row r="2051" spans="1:2" x14ac:dyDescent="0.25">
      <c r="A2051" s="10" t="s">
        <v>2268</v>
      </c>
      <c r="B2051" s="7" t="s">
        <v>2337</v>
      </c>
    </row>
    <row r="2052" spans="1:2" x14ac:dyDescent="0.25">
      <c r="A2052" s="10" t="s">
        <v>329</v>
      </c>
      <c r="B2052" s="7" t="s">
        <v>2337</v>
      </c>
    </row>
    <row r="2053" spans="1:2" x14ac:dyDescent="0.25">
      <c r="A2053" s="10" t="s">
        <v>2269</v>
      </c>
      <c r="B2053" s="7" t="s">
        <v>2337</v>
      </c>
    </row>
    <row r="2054" spans="1:2" x14ac:dyDescent="0.25">
      <c r="A2054" s="10" t="s">
        <v>806</v>
      </c>
      <c r="B2054" s="7" t="s">
        <v>2337</v>
      </c>
    </row>
    <row r="2055" spans="1:2" x14ac:dyDescent="0.25">
      <c r="A2055" s="10" t="s">
        <v>2270</v>
      </c>
      <c r="B2055" s="7" t="s">
        <v>2337</v>
      </c>
    </row>
    <row r="2056" spans="1:2" x14ac:dyDescent="0.25">
      <c r="A2056" s="10" t="s">
        <v>2271</v>
      </c>
      <c r="B2056" s="7" t="s">
        <v>2337</v>
      </c>
    </row>
    <row r="2057" spans="1:2" x14ac:dyDescent="0.25">
      <c r="A2057" s="10" t="s">
        <v>946</v>
      </c>
      <c r="B2057" s="7" t="s">
        <v>2337</v>
      </c>
    </row>
    <row r="2058" spans="1:2" x14ac:dyDescent="0.25">
      <c r="A2058" s="10" t="s">
        <v>691</v>
      </c>
      <c r="B2058" s="7" t="s">
        <v>2337</v>
      </c>
    </row>
    <row r="2059" spans="1:2" x14ac:dyDescent="0.25">
      <c r="A2059" s="10" t="s">
        <v>2272</v>
      </c>
      <c r="B2059" s="7" t="s">
        <v>2337</v>
      </c>
    </row>
    <row r="2060" spans="1:2" x14ac:dyDescent="0.25">
      <c r="A2060" s="10" t="s">
        <v>2273</v>
      </c>
      <c r="B2060" s="7" t="s">
        <v>2337</v>
      </c>
    </row>
    <row r="2061" spans="1:2" x14ac:dyDescent="0.25">
      <c r="A2061" s="10" t="s">
        <v>972</v>
      </c>
      <c r="B2061" s="7" t="s">
        <v>2337</v>
      </c>
    </row>
    <row r="2062" spans="1:2" x14ac:dyDescent="0.25">
      <c r="A2062" s="10" t="s">
        <v>554</v>
      </c>
      <c r="B2062" s="7" t="s">
        <v>2337</v>
      </c>
    </row>
    <row r="2063" spans="1:2" x14ac:dyDescent="0.25">
      <c r="A2063" s="10" t="s">
        <v>2274</v>
      </c>
      <c r="B2063" s="7" t="s">
        <v>2337</v>
      </c>
    </row>
    <row r="2064" spans="1:2" x14ac:dyDescent="0.25">
      <c r="A2064" s="10" t="s">
        <v>860</v>
      </c>
      <c r="B2064" s="7" t="s">
        <v>2337</v>
      </c>
    </row>
    <row r="2065" spans="1:2" x14ac:dyDescent="0.25">
      <c r="A2065" s="10" t="s">
        <v>502</v>
      </c>
      <c r="B2065" s="7" t="s">
        <v>2337</v>
      </c>
    </row>
    <row r="2066" spans="1:2" x14ac:dyDescent="0.25">
      <c r="A2066" s="10" t="s">
        <v>747</v>
      </c>
      <c r="B2066" s="7" t="s">
        <v>2337</v>
      </c>
    </row>
    <row r="2067" spans="1:2" x14ac:dyDescent="0.25">
      <c r="A2067" s="10" t="s">
        <v>410</v>
      </c>
      <c r="B2067" s="7" t="s">
        <v>2337</v>
      </c>
    </row>
    <row r="2068" spans="1:2" x14ac:dyDescent="0.25">
      <c r="A2068" s="10" t="s">
        <v>2275</v>
      </c>
      <c r="B2068" s="7" t="s">
        <v>2337</v>
      </c>
    </row>
    <row r="2069" spans="1:2" x14ac:dyDescent="0.25">
      <c r="A2069" s="10" t="s">
        <v>739</v>
      </c>
      <c r="B2069" s="7" t="s">
        <v>2337</v>
      </c>
    </row>
    <row r="2070" spans="1:2" x14ac:dyDescent="0.25">
      <c r="A2070" s="10" t="s">
        <v>2276</v>
      </c>
      <c r="B2070" s="7" t="s">
        <v>2337</v>
      </c>
    </row>
    <row r="2071" spans="1:2" x14ac:dyDescent="0.25">
      <c r="A2071" s="10" t="s">
        <v>771</v>
      </c>
      <c r="B2071" s="7" t="s">
        <v>2337</v>
      </c>
    </row>
    <row r="2072" spans="1:2" x14ac:dyDescent="0.25">
      <c r="A2072" s="10" t="s">
        <v>2277</v>
      </c>
      <c r="B2072" s="7" t="s">
        <v>2337</v>
      </c>
    </row>
    <row r="2073" spans="1:2" x14ac:dyDescent="0.25">
      <c r="A2073" s="10" t="s">
        <v>2278</v>
      </c>
      <c r="B2073" s="7" t="s">
        <v>2337</v>
      </c>
    </row>
    <row r="2074" spans="1:2" x14ac:dyDescent="0.25">
      <c r="A2074" s="10" t="s">
        <v>149</v>
      </c>
      <c r="B2074" s="7" t="s">
        <v>2337</v>
      </c>
    </row>
    <row r="2075" spans="1:2" x14ac:dyDescent="0.25">
      <c r="A2075" s="10" t="s">
        <v>827</v>
      </c>
      <c r="B2075" s="7" t="s">
        <v>2337</v>
      </c>
    </row>
    <row r="2076" spans="1:2" x14ac:dyDescent="0.25">
      <c r="A2076" s="10" t="s">
        <v>998</v>
      </c>
      <c r="B2076" s="7" t="s">
        <v>2337</v>
      </c>
    </row>
    <row r="2077" spans="1:2" x14ac:dyDescent="0.25">
      <c r="A2077" s="10" t="s">
        <v>2279</v>
      </c>
      <c r="B2077" s="7" t="s">
        <v>2337</v>
      </c>
    </row>
    <row r="2078" spans="1:2" x14ac:dyDescent="0.25">
      <c r="A2078" s="10" t="s">
        <v>2280</v>
      </c>
      <c r="B2078" s="7" t="s">
        <v>2337</v>
      </c>
    </row>
    <row r="2079" spans="1:2" x14ac:dyDescent="0.25">
      <c r="A2079" s="10" t="s">
        <v>893</v>
      </c>
      <c r="B2079" s="7" t="s">
        <v>2337</v>
      </c>
    </row>
    <row r="2080" spans="1:2" x14ac:dyDescent="0.25">
      <c r="A2080" s="10" t="s">
        <v>1221</v>
      </c>
      <c r="B2080" s="7" t="s">
        <v>2337</v>
      </c>
    </row>
    <row r="2081" spans="1:2" x14ac:dyDescent="0.25">
      <c r="A2081" s="10" t="s">
        <v>980</v>
      </c>
      <c r="B2081" s="7" t="s">
        <v>2337</v>
      </c>
    </row>
    <row r="2082" spans="1:2" x14ac:dyDescent="0.25">
      <c r="A2082" s="10" t="s">
        <v>1158</v>
      </c>
      <c r="B2082" s="7" t="s">
        <v>2337</v>
      </c>
    </row>
    <row r="2083" spans="1:2" x14ac:dyDescent="0.25">
      <c r="A2083" s="10" t="s">
        <v>561</v>
      </c>
      <c r="B2083" s="7" t="s">
        <v>2337</v>
      </c>
    </row>
    <row r="2084" spans="1:2" x14ac:dyDescent="0.25">
      <c r="A2084" s="10" t="s">
        <v>317</v>
      </c>
      <c r="B2084" s="7" t="s">
        <v>2337</v>
      </c>
    </row>
    <row r="2085" spans="1:2" x14ac:dyDescent="0.25">
      <c r="A2085" s="10" t="s">
        <v>1027</v>
      </c>
      <c r="B2085" s="7" t="s">
        <v>2337</v>
      </c>
    </row>
    <row r="2086" spans="1:2" x14ac:dyDescent="0.25">
      <c r="A2086" s="10" t="s">
        <v>348</v>
      </c>
      <c r="B2086" s="7" t="s">
        <v>2337</v>
      </c>
    </row>
    <row r="2087" spans="1:2" x14ac:dyDescent="0.25">
      <c r="A2087" s="10" t="s">
        <v>2281</v>
      </c>
      <c r="B2087" s="7" t="s">
        <v>2337</v>
      </c>
    </row>
    <row r="2088" spans="1:2" x14ac:dyDescent="0.25">
      <c r="A2088" s="10" t="s">
        <v>2282</v>
      </c>
      <c r="B2088" s="7" t="s">
        <v>2337</v>
      </c>
    </row>
    <row r="2089" spans="1:2" x14ac:dyDescent="0.25">
      <c r="A2089" s="10" t="s">
        <v>2283</v>
      </c>
      <c r="B2089" s="7" t="s">
        <v>2337</v>
      </c>
    </row>
    <row r="2090" spans="1:2" x14ac:dyDescent="0.25">
      <c r="A2090" s="10" t="s">
        <v>2284</v>
      </c>
      <c r="B2090" s="7" t="s">
        <v>2337</v>
      </c>
    </row>
    <row r="2091" spans="1:2" x14ac:dyDescent="0.25">
      <c r="A2091" s="10" t="s">
        <v>2285</v>
      </c>
      <c r="B2091" s="7" t="s">
        <v>2337</v>
      </c>
    </row>
    <row r="2092" spans="1:2" x14ac:dyDescent="0.25">
      <c r="A2092" s="10" t="s">
        <v>371</v>
      </c>
      <c r="B2092" s="7" t="s">
        <v>2337</v>
      </c>
    </row>
    <row r="2093" spans="1:2" x14ac:dyDescent="0.25">
      <c r="A2093" s="10" t="s">
        <v>874</v>
      </c>
      <c r="B2093" s="7" t="s">
        <v>2337</v>
      </c>
    </row>
    <row r="2094" spans="1:2" x14ac:dyDescent="0.25">
      <c r="A2094" s="10" t="s">
        <v>610</v>
      </c>
      <c r="B2094" s="7" t="s">
        <v>2337</v>
      </c>
    </row>
    <row r="2095" spans="1:2" x14ac:dyDescent="0.25">
      <c r="A2095" s="10" t="s">
        <v>677</v>
      </c>
      <c r="B2095" s="7" t="s">
        <v>2337</v>
      </c>
    </row>
    <row r="2096" spans="1:2" x14ac:dyDescent="0.25">
      <c r="A2096" s="10" t="s">
        <v>440</v>
      </c>
      <c r="B2096" s="7" t="s">
        <v>2337</v>
      </c>
    </row>
    <row r="2097" spans="1:2" x14ac:dyDescent="0.25">
      <c r="A2097" s="10" t="s">
        <v>504</v>
      </c>
      <c r="B2097" s="7" t="s">
        <v>2337</v>
      </c>
    </row>
    <row r="2098" spans="1:2" x14ac:dyDescent="0.25">
      <c r="A2098" s="10" t="s">
        <v>319</v>
      </c>
      <c r="B2098" s="7" t="s">
        <v>2337</v>
      </c>
    </row>
    <row r="2099" spans="1:2" x14ac:dyDescent="0.25">
      <c r="A2099" s="10" t="s">
        <v>2286</v>
      </c>
      <c r="B2099" s="7" t="s">
        <v>2337</v>
      </c>
    </row>
    <row r="2100" spans="1:2" x14ac:dyDescent="0.25">
      <c r="A2100" s="10" t="s">
        <v>2287</v>
      </c>
      <c r="B2100" s="7" t="s">
        <v>2337</v>
      </c>
    </row>
    <row r="2101" spans="1:2" x14ac:dyDescent="0.25">
      <c r="A2101" s="10" t="s">
        <v>1090</v>
      </c>
      <c r="B2101" s="7" t="s">
        <v>2337</v>
      </c>
    </row>
    <row r="2102" spans="1:2" x14ac:dyDescent="0.25">
      <c r="A2102" s="10" t="s">
        <v>1258</v>
      </c>
      <c r="B2102" s="7" t="s">
        <v>2337</v>
      </c>
    </row>
    <row r="2103" spans="1:2" x14ac:dyDescent="0.25">
      <c r="A2103" s="10" t="s">
        <v>2288</v>
      </c>
      <c r="B2103" s="7" t="s">
        <v>2337</v>
      </c>
    </row>
    <row r="2104" spans="1:2" x14ac:dyDescent="0.25">
      <c r="A2104" s="10" t="s">
        <v>748</v>
      </c>
      <c r="B2104" s="7" t="s">
        <v>2337</v>
      </c>
    </row>
    <row r="2105" spans="1:2" x14ac:dyDescent="0.25">
      <c r="A2105" s="10" t="s">
        <v>1071</v>
      </c>
      <c r="B2105" s="7" t="s">
        <v>2337</v>
      </c>
    </row>
    <row r="2106" spans="1:2" x14ac:dyDescent="0.25">
      <c r="A2106" s="10" t="s">
        <v>2289</v>
      </c>
      <c r="B2106" s="7" t="s">
        <v>2337</v>
      </c>
    </row>
    <row r="2107" spans="1:2" x14ac:dyDescent="0.25">
      <c r="A2107" s="10" t="s">
        <v>2290</v>
      </c>
      <c r="B2107" s="7" t="s">
        <v>2337</v>
      </c>
    </row>
    <row r="2108" spans="1:2" x14ac:dyDescent="0.25">
      <c r="A2108" s="10" t="s">
        <v>2291</v>
      </c>
      <c r="B2108" s="7" t="s">
        <v>2337</v>
      </c>
    </row>
    <row r="2109" spans="1:2" x14ac:dyDescent="0.25">
      <c r="A2109" s="10" t="s">
        <v>999</v>
      </c>
      <c r="B2109" s="7" t="s">
        <v>2337</v>
      </c>
    </row>
    <row r="2110" spans="1:2" x14ac:dyDescent="0.25">
      <c r="A2110" s="10" t="s">
        <v>1066</v>
      </c>
      <c r="B2110" s="7" t="s">
        <v>2337</v>
      </c>
    </row>
    <row r="2111" spans="1:2" x14ac:dyDescent="0.25">
      <c r="A2111" s="10" t="s">
        <v>2292</v>
      </c>
      <c r="B2111" s="7" t="s">
        <v>2337</v>
      </c>
    </row>
    <row r="2112" spans="1:2" x14ac:dyDescent="0.25">
      <c r="A2112" s="10" t="s">
        <v>786</v>
      </c>
      <c r="B2112" s="7" t="s">
        <v>2337</v>
      </c>
    </row>
    <row r="2113" spans="1:2" x14ac:dyDescent="0.25">
      <c r="A2113" s="10" t="s">
        <v>1064</v>
      </c>
      <c r="B2113" s="7" t="s">
        <v>2337</v>
      </c>
    </row>
    <row r="2114" spans="1:2" x14ac:dyDescent="0.25">
      <c r="A2114" s="10" t="s">
        <v>1180</v>
      </c>
      <c r="B2114" s="7" t="s">
        <v>2337</v>
      </c>
    </row>
    <row r="2115" spans="1:2" x14ac:dyDescent="0.25">
      <c r="A2115" s="10" t="s">
        <v>803</v>
      </c>
      <c r="B2115" s="7" t="s">
        <v>2337</v>
      </c>
    </row>
    <row r="2116" spans="1:2" x14ac:dyDescent="0.25">
      <c r="A2116" s="10" t="s">
        <v>2293</v>
      </c>
      <c r="B2116" s="7" t="s">
        <v>2337</v>
      </c>
    </row>
    <row r="2117" spans="1:2" x14ac:dyDescent="0.25">
      <c r="A2117" s="10" t="s">
        <v>65</v>
      </c>
      <c r="B2117" s="7" t="s">
        <v>2337</v>
      </c>
    </row>
    <row r="2118" spans="1:2" x14ac:dyDescent="0.25">
      <c r="A2118" s="10" t="s">
        <v>2294</v>
      </c>
      <c r="B2118" s="7" t="s">
        <v>2337</v>
      </c>
    </row>
    <row r="2119" spans="1:2" x14ac:dyDescent="0.25">
      <c r="A2119" s="10" t="s">
        <v>2295</v>
      </c>
      <c r="B2119" s="7" t="s">
        <v>2337</v>
      </c>
    </row>
    <row r="2120" spans="1:2" x14ac:dyDescent="0.25">
      <c r="A2120" s="10" t="s">
        <v>450</v>
      </c>
      <c r="B2120" s="7" t="s">
        <v>2337</v>
      </c>
    </row>
    <row r="2121" spans="1:2" x14ac:dyDescent="0.25">
      <c r="A2121" s="10" t="s">
        <v>446</v>
      </c>
      <c r="B2121" s="7" t="s">
        <v>2337</v>
      </c>
    </row>
    <row r="2122" spans="1:2" x14ac:dyDescent="0.25">
      <c r="A2122" s="10" t="s">
        <v>1014</v>
      </c>
      <c r="B2122" s="7" t="s">
        <v>2337</v>
      </c>
    </row>
    <row r="2123" spans="1:2" x14ac:dyDescent="0.25">
      <c r="A2123" s="10" t="s">
        <v>953</v>
      </c>
      <c r="B2123" s="7" t="s">
        <v>2337</v>
      </c>
    </row>
    <row r="2124" spans="1:2" x14ac:dyDescent="0.25">
      <c r="A2124" s="10" t="s">
        <v>2296</v>
      </c>
      <c r="B2124" s="7" t="s">
        <v>2337</v>
      </c>
    </row>
    <row r="2125" spans="1:2" x14ac:dyDescent="0.25">
      <c r="A2125" s="10" t="s">
        <v>407</v>
      </c>
      <c r="B2125" s="7" t="s">
        <v>2337</v>
      </c>
    </row>
    <row r="2126" spans="1:2" x14ac:dyDescent="0.25">
      <c r="A2126" s="10" t="s">
        <v>2297</v>
      </c>
      <c r="B2126" s="7" t="s">
        <v>2337</v>
      </c>
    </row>
    <row r="2127" spans="1:2" x14ac:dyDescent="0.25">
      <c r="A2127" s="10" t="s">
        <v>276</v>
      </c>
      <c r="B2127" s="7" t="s">
        <v>2337</v>
      </c>
    </row>
    <row r="2128" spans="1:2" x14ac:dyDescent="0.25">
      <c r="A2128" s="10" t="s">
        <v>1046</v>
      </c>
      <c r="B2128" s="7" t="s">
        <v>2337</v>
      </c>
    </row>
    <row r="2129" spans="1:2" x14ac:dyDescent="0.25">
      <c r="A2129" s="10" t="s">
        <v>227</v>
      </c>
      <c r="B2129" s="7" t="s">
        <v>2337</v>
      </c>
    </row>
    <row r="2130" spans="1:2" x14ac:dyDescent="0.25">
      <c r="A2130" s="10" t="s">
        <v>186</v>
      </c>
      <c r="B2130" s="7" t="s">
        <v>2337</v>
      </c>
    </row>
    <row r="2131" spans="1:2" x14ac:dyDescent="0.25">
      <c r="A2131" s="10" t="s">
        <v>2298</v>
      </c>
      <c r="B2131" s="7" t="s">
        <v>2337</v>
      </c>
    </row>
    <row r="2132" spans="1:2" x14ac:dyDescent="0.25">
      <c r="A2132" s="10" t="s">
        <v>958</v>
      </c>
      <c r="B2132" s="7" t="s">
        <v>2337</v>
      </c>
    </row>
    <row r="2133" spans="1:2" x14ac:dyDescent="0.25">
      <c r="A2133" s="10" t="s">
        <v>2299</v>
      </c>
      <c r="B2133" s="7" t="s">
        <v>2337</v>
      </c>
    </row>
    <row r="2134" spans="1:2" x14ac:dyDescent="0.25">
      <c r="A2134" s="10" t="s">
        <v>641</v>
      </c>
      <c r="B2134" s="7" t="s">
        <v>2337</v>
      </c>
    </row>
    <row r="2135" spans="1:2" x14ac:dyDescent="0.25">
      <c r="A2135" s="10" t="s">
        <v>676</v>
      </c>
      <c r="B2135" s="7" t="s">
        <v>2337</v>
      </c>
    </row>
    <row r="2136" spans="1:2" x14ac:dyDescent="0.25">
      <c r="A2136" s="10" t="s">
        <v>567</v>
      </c>
      <c r="B2136" s="7" t="s">
        <v>2337</v>
      </c>
    </row>
    <row r="2137" spans="1:2" x14ac:dyDescent="0.25">
      <c r="A2137" s="10" t="s">
        <v>99</v>
      </c>
      <c r="B2137" s="7" t="s">
        <v>2337</v>
      </c>
    </row>
    <row r="2138" spans="1:2" x14ac:dyDescent="0.25">
      <c r="A2138" s="10" t="s">
        <v>2300</v>
      </c>
      <c r="B2138" s="7" t="s">
        <v>2337</v>
      </c>
    </row>
    <row r="2139" spans="1:2" x14ac:dyDescent="0.25">
      <c r="A2139" s="10" t="s">
        <v>945</v>
      </c>
      <c r="B2139" s="7" t="s">
        <v>2337</v>
      </c>
    </row>
    <row r="2140" spans="1:2" x14ac:dyDescent="0.25">
      <c r="A2140" s="10" t="s">
        <v>2301</v>
      </c>
      <c r="B2140" s="7" t="s">
        <v>2337</v>
      </c>
    </row>
    <row r="2141" spans="1:2" x14ac:dyDescent="0.25">
      <c r="A2141" s="10" t="s">
        <v>1229</v>
      </c>
      <c r="B2141" s="7" t="s">
        <v>2337</v>
      </c>
    </row>
    <row r="2142" spans="1:2" x14ac:dyDescent="0.25">
      <c r="A2142" s="10" t="s">
        <v>954</v>
      </c>
      <c r="B2142" s="7" t="s">
        <v>2337</v>
      </c>
    </row>
    <row r="2143" spans="1:2" x14ac:dyDescent="0.25">
      <c r="A2143" s="10" t="s">
        <v>171</v>
      </c>
      <c r="B2143" s="7" t="s">
        <v>2337</v>
      </c>
    </row>
    <row r="2144" spans="1:2" x14ac:dyDescent="0.25">
      <c r="A2144" s="10" t="s">
        <v>820</v>
      </c>
      <c r="B2144" s="7" t="s">
        <v>2337</v>
      </c>
    </row>
    <row r="2145" spans="1:2" x14ac:dyDescent="0.25">
      <c r="A2145" s="10" t="s">
        <v>751</v>
      </c>
      <c r="B2145" s="7" t="s">
        <v>2337</v>
      </c>
    </row>
    <row r="2146" spans="1:2" x14ac:dyDescent="0.25">
      <c r="A2146" s="10" t="s">
        <v>2302</v>
      </c>
      <c r="B2146" s="7" t="s">
        <v>2337</v>
      </c>
    </row>
    <row r="2147" spans="1:2" x14ac:dyDescent="0.25">
      <c r="A2147" s="10" t="s">
        <v>656</v>
      </c>
      <c r="B2147" s="7" t="s">
        <v>2337</v>
      </c>
    </row>
    <row r="2148" spans="1:2" x14ac:dyDescent="0.25">
      <c r="A2148" s="10" t="s">
        <v>637</v>
      </c>
      <c r="B2148" s="7" t="s">
        <v>2337</v>
      </c>
    </row>
    <row r="2149" spans="1:2" x14ac:dyDescent="0.25">
      <c r="A2149" s="10" t="s">
        <v>1001</v>
      </c>
      <c r="B2149" s="7" t="s">
        <v>2337</v>
      </c>
    </row>
    <row r="2150" spans="1:2" x14ac:dyDescent="0.25">
      <c r="A2150" s="10" t="s">
        <v>624</v>
      </c>
      <c r="B2150" s="7" t="s">
        <v>2337</v>
      </c>
    </row>
    <row r="2151" spans="1:2" x14ac:dyDescent="0.25">
      <c r="A2151" s="10" t="s">
        <v>230</v>
      </c>
      <c r="B2151" s="7" t="s">
        <v>2337</v>
      </c>
    </row>
    <row r="2152" spans="1:2" x14ac:dyDescent="0.25">
      <c r="A2152" s="10" t="s">
        <v>155</v>
      </c>
      <c r="B2152" s="7" t="s">
        <v>2337</v>
      </c>
    </row>
    <row r="2153" spans="1:2" x14ac:dyDescent="0.25">
      <c r="A2153" s="10" t="s">
        <v>2303</v>
      </c>
      <c r="B2153" s="7" t="s">
        <v>2337</v>
      </c>
    </row>
    <row r="2154" spans="1:2" x14ac:dyDescent="0.25">
      <c r="A2154" s="10" t="s">
        <v>2304</v>
      </c>
      <c r="B2154" s="7" t="s">
        <v>2337</v>
      </c>
    </row>
    <row r="2155" spans="1:2" x14ac:dyDescent="0.25">
      <c r="A2155" s="10" t="s">
        <v>738</v>
      </c>
      <c r="B2155" s="7" t="s">
        <v>2337</v>
      </c>
    </row>
    <row r="2156" spans="1:2" x14ac:dyDescent="0.25">
      <c r="A2156" s="10" t="s">
        <v>79</v>
      </c>
      <c r="B2156" s="7" t="s">
        <v>2337</v>
      </c>
    </row>
    <row r="2157" spans="1:2" x14ac:dyDescent="0.25">
      <c r="A2157" s="10" t="s">
        <v>2305</v>
      </c>
      <c r="B2157" s="7" t="s">
        <v>2337</v>
      </c>
    </row>
    <row r="2158" spans="1:2" x14ac:dyDescent="0.25">
      <c r="A2158" s="10" t="s">
        <v>499</v>
      </c>
      <c r="B2158" s="7" t="s">
        <v>2337</v>
      </c>
    </row>
    <row r="2159" spans="1:2" x14ac:dyDescent="0.25">
      <c r="A2159" s="10" t="s">
        <v>2306</v>
      </c>
      <c r="B2159" s="7" t="s">
        <v>2337</v>
      </c>
    </row>
    <row r="2160" spans="1:2" x14ac:dyDescent="0.25">
      <c r="A2160" s="10" t="s">
        <v>497</v>
      </c>
      <c r="B2160" s="7" t="s">
        <v>2337</v>
      </c>
    </row>
    <row r="2161" spans="1:2" x14ac:dyDescent="0.25">
      <c r="A2161" s="10" t="s">
        <v>745</v>
      </c>
      <c r="B2161" s="7" t="s">
        <v>2337</v>
      </c>
    </row>
    <row r="2162" spans="1:2" x14ac:dyDescent="0.25">
      <c r="A2162" s="10" t="s">
        <v>2307</v>
      </c>
      <c r="B2162" s="7" t="s">
        <v>2337</v>
      </c>
    </row>
    <row r="2163" spans="1:2" x14ac:dyDescent="0.25">
      <c r="A2163" s="10" t="s">
        <v>704</v>
      </c>
      <c r="B2163" s="7" t="s">
        <v>2337</v>
      </c>
    </row>
    <row r="2164" spans="1:2" x14ac:dyDescent="0.25">
      <c r="A2164" s="10" t="s">
        <v>2308</v>
      </c>
      <c r="B2164" s="7" t="s">
        <v>2337</v>
      </c>
    </row>
    <row r="2165" spans="1:2" x14ac:dyDescent="0.25">
      <c r="A2165" s="10" t="s">
        <v>2309</v>
      </c>
      <c r="B2165" s="7" t="s">
        <v>2337</v>
      </c>
    </row>
    <row r="2166" spans="1:2" x14ac:dyDescent="0.25">
      <c r="A2166" s="10" t="s">
        <v>2310</v>
      </c>
      <c r="B2166" s="7" t="s">
        <v>2337</v>
      </c>
    </row>
    <row r="2167" spans="1:2" x14ac:dyDescent="0.25">
      <c r="A2167" s="10" t="s">
        <v>690</v>
      </c>
      <c r="B2167" s="7" t="s">
        <v>2337</v>
      </c>
    </row>
    <row r="2168" spans="1:2" x14ac:dyDescent="0.25">
      <c r="A2168" s="10" t="s">
        <v>1050</v>
      </c>
      <c r="B2168" s="7" t="s">
        <v>2337</v>
      </c>
    </row>
    <row r="2169" spans="1:2" x14ac:dyDescent="0.25">
      <c r="A2169" s="10" t="s">
        <v>805</v>
      </c>
      <c r="B2169" s="7" t="s">
        <v>2337</v>
      </c>
    </row>
    <row r="2170" spans="1:2" x14ac:dyDescent="0.25">
      <c r="A2170" s="10" t="s">
        <v>626</v>
      </c>
      <c r="B2170" s="7" t="s">
        <v>2337</v>
      </c>
    </row>
    <row r="2171" spans="1:2" x14ac:dyDescent="0.25">
      <c r="A2171" s="10" t="s">
        <v>1018</v>
      </c>
      <c r="B2171" s="7" t="s">
        <v>2337</v>
      </c>
    </row>
    <row r="2172" spans="1:2" x14ac:dyDescent="0.25">
      <c r="A2172" s="10" t="s">
        <v>839</v>
      </c>
      <c r="B2172" s="7" t="s">
        <v>2337</v>
      </c>
    </row>
    <row r="2173" spans="1:2" x14ac:dyDescent="0.25">
      <c r="A2173" s="10" t="s">
        <v>636</v>
      </c>
      <c r="B2173" s="7" t="s">
        <v>2337</v>
      </c>
    </row>
    <row r="2174" spans="1:2" x14ac:dyDescent="0.25">
      <c r="A2174" s="10" t="s">
        <v>2311</v>
      </c>
      <c r="B2174" s="7" t="s">
        <v>2337</v>
      </c>
    </row>
    <row r="2175" spans="1:2" x14ac:dyDescent="0.25">
      <c r="A2175" s="10" t="s">
        <v>894</v>
      </c>
      <c r="B2175" s="7" t="s">
        <v>2337</v>
      </c>
    </row>
    <row r="2176" spans="1:2" x14ac:dyDescent="0.25">
      <c r="A2176" s="10" t="s">
        <v>236</v>
      </c>
      <c r="B2176" s="7" t="s">
        <v>2337</v>
      </c>
    </row>
    <row r="2177" spans="1:2" x14ac:dyDescent="0.25">
      <c r="A2177" s="10" t="s">
        <v>2312</v>
      </c>
      <c r="B2177" s="7" t="s">
        <v>2337</v>
      </c>
    </row>
    <row r="2178" spans="1:2" x14ac:dyDescent="0.25">
      <c r="A2178" s="10" t="s">
        <v>920</v>
      </c>
      <c r="B2178" s="7" t="s">
        <v>2337</v>
      </c>
    </row>
    <row r="2179" spans="1:2" x14ac:dyDescent="0.25">
      <c r="A2179" s="10" t="s">
        <v>2313</v>
      </c>
      <c r="B2179" s="7" t="s">
        <v>2337</v>
      </c>
    </row>
    <row r="2180" spans="1:2" x14ac:dyDescent="0.25">
      <c r="A2180" s="10" t="s">
        <v>1043</v>
      </c>
      <c r="B2180" s="7" t="s">
        <v>2337</v>
      </c>
    </row>
    <row r="2181" spans="1:2" x14ac:dyDescent="0.25">
      <c r="A2181" s="10" t="s">
        <v>942</v>
      </c>
      <c r="B2181" s="7" t="s">
        <v>2337</v>
      </c>
    </row>
    <row r="2182" spans="1:2" x14ac:dyDescent="0.25">
      <c r="A2182" s="10" t="s">
        <v>2314</v>
      </c>
      <c r="B2182" s="7" t="s">
        <v>2337</v>
      </c>
    </row>
    <row r="2183" spans="1:2" x14ac:dyDescent="0.25">
      <c r="A2183" s="10" t="s">
        <v>2315</v>
      </c>
      <c r="B2183" s="7" t="s">
        <v>2337</v>
      </c>
    </row>
    <row r="2184" spans="1:2" x14ac:dyDescent="0.25">
      <c r="A2184" s="10" t="s">
        <v>2316</v>
      </c>
      <c r="B2184" s="7" t="s">
        <v>2337</v>
      </c>
    </row>
    <row r="2185" spans="1:2" x14ac:dyDescent="0.25">
      <c r="A2185" s="10" t="s">
        <v>426</v>
      </c>
      <c r="B2185" s="7" t="s">
        <v>2337</v>
      </c>
    </row>
    <row r="2186" spans="1:2" x14ac:dyDescent="0.25">
      <c r="A2186" s="10" t="s">
        <v>2317</v>
      </c>
      <c r="B2186" s="7" t="s">
        <v>2337</v>
      </c>
    </row>
    <row r="2187" spans="1:2" x14ac:dyDescent="0.25">
      <c r="A2187" s="10" t="s">
        <v>67</v>
      </c>
      <c r="B2187" s="7" t="s">
        <v>2337</v>
      </c>
    </row>
    <row r="2188" spans="1:2" x14ac:dyDescent="0.25">
      <c r="A2188" s="10" t="s">
        <v>2318</v>
      </c>
      <c r="B2188" s="7" t="s">
        <v>2337</v>
      </c>
    </row>
    <row r="2189" spans="1:2" x14ac:dyDescent="0.25">
      <c r="A2189" s="10" t="s">
        <v>222</v>
      </c>
      <c r="B2189" s="7" t="s">
        <v>2337</v>
      </c>
    </row>
    <row r="2190" spans="1:2" x14ac:dyDescent="0.25">
      <c r="A2190" s="10" t="s">
        <v>2319</v>
      </c>
      <c r="B2190" s="7" t="s">
        <v>2337</v>
      </c>
    </row>
    <row r="2191" spans="1:2" x14ac:dyDescent="0.25">
      <c r="A2191" s="10" t="s">
        <v>2320</v>
      </c>
      <c r="B2191" s="7" t="s">
        <v>2337</v>
      </c>
    </row>
    <row r="2192" spans="1:2" x14ac:dyDescent="0.25">
      <c r="A2192" s="10" t="s">
        <v>795</v>
      </c>
      <c r="B2192" s="7" t="s">
        <v>2337</v>
      </c>
    </row>
    <row r="2193" spans="1:2" x14ac:dyDescent="0.25">
      <c r="A2193" s="10" t="s">
        <v>2321</v>
      </c>
      <c r="B2193" s="7" t="s">
        <v>2337</v>
      </c>
    </row>
    <row r="2194" spans="1:2" x14ac:dyDescent="0.25">
      <c r="A2194" s="10" t="s">
        <v>2322</v>
      </c>
      <c r="B2194" s="7" t="s">
        <v>2337</v>
      </c>
    </row>
    <row r="2195" spans="1:2" x14ac:dyDescent="0.25">
      <c r="A2195" s="10" t="s">
        <v>254</v>
      </c>
      <c r="B2195" s="7" t="s">
        <v>2337</v>
      </c>
    </row>
    <row r="2196" spans="1:2" x14ac:dyDescent="0.25">
      <c r="A2196" s="10" t="s">
        <v>400</v>
      </c>
      <c r="B2196" s="7" t="s">
        <v>2337</v>
      </c>
    </row>
    <row r="2197" spans="1:2" x14ac:dyDescent="0.25">
      <c r="A2197" s="10" t="s">
        <v>2323</v>
      </c>
      <c r="B2197" s="7" t="s">
        <v>2337</v>
      </c>
    </row>
    <row r="2198" spans="1:2" x14ac:dyDescent="0.25">
      <c r="A2198" s="10" t="s">
        <v>1255</v>
      </c>
      <c r="B2198" s="7" t="s">
        <v>2337</v>
      </c>
    </row>
    <row r="2199" spans="1:2" x14ac:dyDescent="0.25">
      <c r="A2199" s="10" t="s">
        <v>310</v>
      </c>
      <c r="B2199" s="7" t="s">
        <v>2337</v>
      </c>
    </row>
    <row r="2200" spans="1:2" x14ac:dyDescent="0.25">
      <c r="A2200" s="10" t="s">
        <v>2324</v>
      </c>
      <c r="B2200" s="7" t="s">
        <v>2337</v>
      </c>
    </row>
    <row r="2201" spans="1:2" x14ac:dyDescent="0.25">
      <c r="A2201" s="10" t="s">
        <v>1181</v>
      </c>
      <c r="B2201" s="7" t="s">
        <v>2337</v>
      </c>
    </row>
    <row r="2202" spans="1:2" x14ac:dyDescent="0.25">
      <c r="A2202" s="10" t="s">
        <v>332</v>
      </c>
      <c r="B2202" s="7" t="s">
        <v>2337</v>
      </c>
    </row>
    <row r="2203" spans="1:2" x14ac:dyDescent="0.25">
      <c r="A2203" s="10" t="s">
        <v>104</v>
      </c>
      <c r="B2203" s="7" t="s">
        <v>2337</v>
      </c>
    </row>
    <row r="2204" spans="1:2" x14ac:dyDescent="0.25">
      <c r="A2204" s="10" t="s">
        <v>77</v>
      </c>
      <c r="B2204" s="7" t="s">
        <v>2337</v>
      </c>
    </row>
    <row r="2205" spans="1:2" x14ac:dyDescent="0.25">
      <c r="A2205" s="10" t="s">
        <v>2325</v>
      </c>
      <c r="B2205" s="7" t="s">
        <v>2337</v>
      </c>
    </row>
    <row r="2206" spans="1:2" x14ac:dyDescent="0.25">
      <c r="A2206" s="10" t="s">
        <v>54</v>
      </c>
      <c r="B2206" s="7" t="s">
        <v>2337</v>
      </c>
    </row>
    <row r="2207" spans="1:2" x14ac:dyDescent="0.25">
      <c r="A2207" s="10" t="s">
        <v>2326</v>
      </c>
      <c r="B2207" s="7" t="s">
        <v>2337</v>
      </c>
    </row>
    <row r="2208" spans="1:2" x14ac:dyDescent="0.25">
      <c r="A2208" s="10" t="s">
        <v>908</v>
      </c>
      <c r="B2208" s="7" t="s">
        <v>2337</v>
      </c>
    </row>
    <row r="2209" spans="1:2" x14ac:dyDescent="0.25">
      <c r="A2209" s="10" t="s">
        <v>271</v>
      </c>
      <c r="B2209" s="7" t="s">
        <v>2337</v>
      </c>
    </row>
    <row r="2210" spans="1:2" x14ac:dyDescent="0.25">
      <c r="A2210" s="10" t="s">
        <v>709</v>
      </c>
      <c r="B2210" s="7" t="s">
        <v>2337</v>
      </c>
    </row>
    <row r="2211" spans="1:2" x14ac:dyDescent="0.25">
      <c r="A2211" s="10" t="s">
        <v>256</v>
      </c>
      <c r="B2211" s="7" t="s">
        <v>2337</v>
      </c>
    </row>
    <row r="2212" spans="1:2" x14ac:dyDescent="0.25">
      <c r="A2212" s="10" t="s">
        <v>701</v>
      </c>
      <c r="B2212" s="7" t="s">
        <v>2337</v>
      </c>
    </row>
    <row r="2213" spans="1:2" x14ac:dyDescent="0.25">
      <c r="A2213" s="10" t="s">
        <v>711</v>
      </c>
      <c r="B2213" s="7" t="s">
        <v>2337</v>
      </c>
    </row>
    <row r="2214" spans="1:2" x14ac:dyDescent="0.25">
      <c r="A2214" s="10" t="s">
        <v>2327</v>
      </c>
      <c r="B2214" s="7" t="s">
        <v>2337</v>
      </c>
    </row>
    <row r="2215" spans="1:2" x14ac:dyDescent="0.25">
      <c r="A2215" s="10" t="s">
        <v>1003</v>
      </c>
      <c r="B2215" s="7" t="s">
        <v>2337</v>
      </c>
    </row>
    <row r="2216" spans="1:2" x14ac:dyDescent="0.25">
      <c r="A2216" s="10" t="s">
        <v>509</v>
      </c>
      <c r="B2216" s="7" t="s">
        <v>2337</v>
      </c>
    </row>
    <row r="2217" spans="1:2" x14ac:dyDescent="0.25">
      <c r="A2217" s="10" t="s">
        <v>240</v>
      </c>
      <c r="B2217" s="7" t="s">
        <v>2337</v>
      </c>
    </row>
    <row r="2218" spans="1:2" x14ac:dyDescent="0.25">
      <c r="A2218" s="10" t="s">
        <v>2328</v>
      </c>
      <c r="B2218" s="7" t="s">
        <v>2337</v>
      </c>
    </row>
    <row r="2219" spans="1:2" x14ac:dyDescent="0.25">
      <c r="A2219" s="10" t="s">
        <v>2329</v>
      </c>
      <c r="B2219" s="7" t="s">
        <v>2337</v>
      </c>
    </row>
    <row r="2220" spans="1:2" x14ac:dyDescent="0.25">
      <c r="A2220" s="10" t="s">
        <v>1005</v>
      </c>
      <c r="B2220" s="7" t="s">
        <v>2337</v>
      </c>
    </row>
    <row r="2221" spans="1:2" x14ac:dyDescent="0.25">
      <c r="A2221" s="10" t="s">
        <v>923</v>
      </c>
      <c r="B2221" s="7" t="s">
        <v>2337</v>
      </c>
    </row>
    <row r="2222" spans="1:2" x14ac:dyDescent="0.25">
      <c r="A2222" s="10" t="s">
        <v>558</v>
      </c>
      <c r="B2222" s="7" t="s">
        <v>2337</v>
      </c>
    </row>
    <row r="2223" spans="1:2" x14ac:dyDescent="0.25">
      <c r="A2223" s="10" t="s">
        <v>2330</v>
      </c>
      <c r="B2223" s="7" t="s">
        <v>2337</v>
      </c>
    </row>
    <row r="2224" spans="1:2" x14ac:dyDescent="0.25">
      <c r="A2224" s="10" t="s">
        <v>524</v>
      </c>
      <c r="B2224" s="7" t="s">
        <v>2337</v>
      </c>
    </row>
    <row r="2225" spans="1:2" x14ac:dyDescent="0.25">
      <c r="A2225" s="10" t="s">
        <v>115</v>
      </c>
      <c r="B2225" s="7" t="s">
        <v>2337</v>
      </c>
    </row>
    <row r="2226" spans="1:2" x14ac:dyDescent="0.25">
      <c r="A2226" s="10" t="s">
        <v>181</v>
      </c>
      <c r="B2226" s="7" t="s">
        <v>2337</v>
      </c>
    </row>
    <row r="2227" spans="1:2" x14ac:dyDescent="0.25">
      <c r="A2227" s="10" t="s">
        <v>1264</v>
      </c>
      <c r="B2227" s="7" t="s">
        <v>2337</v>
      </c>
    </row>
    <row r="2228" spans="1:2" x14ac:dyDescent="0.25">
      <c r="A2228" s="10" t="s">
        <v>735</v>
      </c>
      <c r="B2228" s="7" t="s">
        <v>2337</v>
      </c>
    </row>
    <row r="2229" spans="1:2" x14ac:dyDescent="0.25">
      <c r="A2229" s="10" t="s">
        <v>819</v>
      </c>
      <c r="B2229" s="7" t="s">
        <v>2337</v>
      </c>
    </row>
    <row r="2230" spans="1:2" x14ac:dyDescent="0.25">
      <c r="A2230" s="10" t="s">
        <v>777</v>
      </c>
      <c r="B2230" s="7" t="s">
        <v>2337</v>
      </c>
    </row>
    <row r="2231" spans="1:2" x14ac:dyDescent="0.25">
      <c r="A2231" s="10" t="s">
        <v>37</v>
      </c>
      <c r="B2231" s="7" t="s">
        <v>2337</v>
      </c>
    </row>
    <row r="2232" spans="1:2" x14ac:dyDescent="0.25">
      <c r="A2232" s="10" t="s">
        <v>2331</v>
      </c>
      <c r="B2232" s="7" t="s">
        <v>2337</v>
      </c>
    </row>
    <row r="2233" spans="1:2" x14ac:dyDescent="0.25">
      <c r="A2233" s="10" t="s">
        <v>174</v>
      </c>
      <c r="B2233" s="7" t="s">
        <v>2337</v>
      </c>
    </row>
    <row r="2234" spans="1:2" x14ac:dyDescent="0.25">
      <c r="A2234" s="10" t="s">
        <v>1053</v>
      </c>
      <c r="B2234" s="7" t="s">
        <v>2337</v>
      </c>
    </row>
    <row r="2235" spans="1:2" x14ac:dyDescent="0.25">
      <c r="A2235" s="10" t="s">
        <v>594</v>
      </c>
      <c r="B2235" s="7" t="s">
        <v>2337</v>
      </c>
    </row>
    <row r="2236" spans="1:2" x14ac:dyDescent="0.25">
      <c r="A2236" s="10" t="s">
        <v>634</v>
      </c>
      <c r="B2236" s="7" t="s">
        <v>2337</v>
      </c>
    </row>
    <row r="2237" spans="1:2" x14ac:dyDescent="0.25">
      <c r="A2237" s="10" t="s">
        <v>1017</v>
      </c>
      <c r="B2237" s="7" t="s">
        <v>2337</v>
      </c>
    </row>
    <row r="2238" spans="1:2" x14ac:dyDescent="0.25">
      <c r="A2238" s="10" t="s">
        <v>562</v>
      </c>
      <c r="B2238" s="7" t="s">
        <v>2337</v>
      </c>
    </row>
    <row r="2239" spans="1:2" x14ac:dyDescent="0.25">
      <c r="A2239" s="10" t="s">
        <v>789</v>
      </c>
      <c r="B2239" s="7" t="s">
        <v>2337</v>
      </c>
    </row>
    <row r="2240" spans="1:2" x14ac:dyDescent="0.25">
      <c r="A2240" s="10" t="s">
        <v>1146</v>
      </c>
      <c r="B2240" s="7" t="s">
        <v>2337</v>
      </c>
    </row>
    <row r="2241" spans="1:2" x14ac:dyDescent="0.25">
      <c r="A2241" s="10" t="s">
        <v>702</v>
      </c>
      <c r="B2241" s="7" t="s">
        <v>2337</v>
      </c>
    </row>
    <row r="2242" spans="1:2" x14ac:dyDescent="0.25">
      <c r="A2242" s="10" t="s">
        <v>1015</v>
      </c>
      <c r="B2242" s="7" t="s">
        <v>2337</v>
      </c>
    </row>
    <row r="2243" spans="1:2" x14ac:dyDescent="0.25">
      <c r="A2243" s="10" t="s">
        <v>2332</v>
      </c>
      <c r="B2243" s="7" t="s">
        <v>2337</v>
      </c>
    </row>
    <row r="2244" spans="1:2" x14ac:dyDescent="0.25">
      <c r="A2244" s="10" t="s">
        <v>1047</v>
      </c>
      <c r="B2244" s="7" t="s">
        <v>2337</v>
      </c>
    </row>
    <row r="2245" spans="1:2" x14ac:dyDescent="0.25">
      <c r="A2245" s="10" t="s">
        <v>864</v>
      </c>
      <c r="B2245" s="7" t="s">
        <v>2337</v>
      </c>
    </row>
    <row r="2246" spans="1:2" x14ac:dyDescent="0.25">
      <c r="A2246" s="10" t="s">
        <v>1052</v>
      </c>
      <c r="B2246" s="7" t="s">
        <v>2337</v>
      </c>
    </row>
    <row r="2247" spans="1:2" x14ac:dyDescent="0.25">
      <c r="A2247" s="10" t="s">
        <v>994</v>
      </c>
      <c r="B2247" s="7" t="s">
        <v>2337</v>
      </c>
    </row>
    <row r="2248" spans="1:2" x14ac:dyDescent="0.25">
      <c r="A2248" s="10" t="s">
        <v>757</v>
      </c>
      <c r="B2248" s="7" t="s">
        <v>2337</v>
      </c>
    </row>
    <row r="2249" spans="1:2" x14ac:dyDescent="0.25">
      <c r="A2249" s="10" t="s">
        <v>912</v>
      </c>
      <c r="B2249" s="7" t="s">
        <v>2337</v>
      </c>
    </row>
    <row r="2250" spans="1:2" x14ac:dyDescent="0.25">
      <c r="A2250" s="10" t="s">
        <v>800</v>
      </c>
      <c r="B2250" s="7" t="s">
        <v>2337</v>
      </c>
    </row>
    <row r="2251" spans="1:2" x14ac:dyDescent="0.25">
      <c r="A2251" s="10" t="s">
        <v>100</v>
      </c>
      <c r="B2251" s="7" t="s">
        <v>2337</v>
      </c>
    </row>
    <row r="2252" spans="1:2" x14ac:dyDescent="0.25">
      <c r="A2252" s="10" t="s">
        <v>918</v>
      </c>
      <c r="B2252" s="7" t="s">
        <v>2337</v>
      </c>
    </row>
    <row r="2253" spans="1:2" x14ac:dyDescent="0.25">
      <c r="A2253" s="10" t="s">
        <v>705</v>
      </c>
      <c r="B2253" s="7" t="s">
        <v>2337</v>
      </c>
    </row>
    <row r="2254" spans="1:2" x14ac:dyDescent="0.25">
      <c r="A2254" s="10" t="s">
        <v>238</v>
      </c>
      <c r="B2254" s="7" t="s">
        <v>2337</v>
      </c>
    </row>
    <row r="2255" spans="1:2" x14ac:dyDescent="0.25">
      <c r="A2255" s="10" t="s">
        <v>783</v>
      </c>
      <c r="B2255" s="7" t="s">
        <v>2337</v>
      </c>
    </row>
    <row r="2256" spans="1:2" x14ac:dyDescent="0.25">
      <c r="A2256" s="10" t="s">
        <v>707</v>
      </c>
      <c r="B2256" s="7" t="s">
        <v>2337</v>
      </c>
    </row>
    <row r="2257" spans="1:2" x14ac:dyDescent="0.25">
      <c r="A2257" s="10" t="s">
        <v>718</v>
      </c>
      <c r="B2257" s="7" t="s">
        <v>2337</v>
      </c>
    </row>
    <row r="2258" spans="1:2" x14ac:dyDescent="0.25">
      <c r="A2258" s="10" t="s">
        <v>304</v>
      </c>
      <c r="B2258" s="7" t="s">
        <v>2337</v>
      </c>
    </row>
    <row r="2259" spans="1:2" x14ac:dyDescent="0.25">
      <c r="A2259" s="10" t="s">
        <v>2333</v>
      </c>
      <c r="B2259" s="7" t="s">
        <v>2337</v>
      </c>
    </row>
    <row r="2260" spans="1:2" x14ac:dyDescent="0.25">
      <c r="A2260" s="10" t="s">
        <v>2334</v>
      </c>
      <c r="B2260" s="7" t="s">
        <v>2337</v>
      </c>
    </row>
    <row r="2261" spans="1:2" x14ac:dyDescent="0.25">
      <c r="A2261" s="10" t="s">
        <v>823</v>
      </c>
      <c r="B2261" s="7" t="s">
        <v>2337</v>
      </c>
    </row>
    <row r="2262" spans="1:2" x14ac:dyDescent="0.25">
      <c r="A2262" s="10" t="s">
        <v>939</v>
      </c>
      <c r="B2262" s="7" t="s">
        <v>2337</v>
      </c>
    </row>
    <row r="2263" spans="1:2" x14ac:dyDescent="0.25">
      <c r="A2263" s="10" t="s">
        <v>511</v>
      </c>
      <c r="B2263" s="7" t="s">
        <v>2337</v>
      </c>
    </row>
    <row r="2264" spans="1:2" x14ac:dyDescent="0.25">
      <c r="A2264" s="10" t="s">
        <v>2335</v>
      </c>
      <c r="B2264" s="7" t="s">
        <v>2337</v>
      </c>
    </row>
    <row r="2265" spans="1:2" x14ac:dyDescent="0.25">
      <c r="A2265" s="10" t="s">
        <v>940</v>
      </c>
      <c r="B2265" s="7" t="s">
        <v>2337</v>
      </c>
    </row>
    <row r="2266" spans="1:2" x14ac:dyDescent="0.25">
      <c r="A2266" s="10" t="s">
        <v>865</v>
      </c>
      <c r="B2266" s="7" t="s">
        <v>2337</v>
      </c>
    </row>
    <row r="2267" spans="1:2" x14ac:dyDescent="0.25">
      <c r="A2267" s="10" t="s">
        <v>2336</v>
      </c>
      <c r="B2267" s="7" t="s">
        <v>2337</v>
      </c>
    </row>
    <row r="2268" spans="1:2" x14ac:dyDescent="0.25">
      <c r="A2268" s="10" t="s">
        <v>1220</v>
      </c>
      <c r="B2268" s="7" t="s">
        <v>2337</v>
      </c>
    </row>
    <row r="2269" spans="1:2" x14ac:dyDescent="0.25">
      <c r="A2269" s="10" t="s">
        <v>1058</v>
      </c>
      <c r="B2269" s="7" t="s">
        <v>2337</v>
      </c>
    </row>
    <row r="2270" spans="1:2" x14ac:dyDescent="0.25">
      <c r="A2270" s="12" t="s">
        <v>435</v>
      </c>
      <c r="B2270" s="7" t="s">
        <v>2516</v>
      </c>
    </row>
    <row r="2271" spans="1:2" x14ac:dyDescent="0.25">
      <c r="A2271" s="12" t="s">
        <v>2372</v>
      </c>
      <c r="B2271" s="7" t="s">
        <v>2516</v>
      </c>
    </row>
    <row r="2272" spans="1:2" x14ac:dyDescent="0.25">
      <c r="A2272" s="12" t="s">
        <v>113</v>
      </c>
      <c r="B2272" s="7" t="s">
        <v>2516</v>
      </c>
    </row>
    <row r="2273" spans="1:2" x14ac:dyDescent="0.25">
      <c r="A2273" s="12" t="s">
        <v>2373</v>
      </c>
      <c r="B2273" s="7" t="s">
        <v>2516</v>
      </c>
    </row>
    <row r="2274" spans="1:2" x14ac:dyDescent="0.25">
      <c r="A2274" s="12" t="s">
        <v>2339</v>
      </c>
      <c r="B2274" s="7" t="s">
        <v>2516</v>
      </c>
    </row>
    <row r="2275" spans="1:2" x14ac:dyDescent="0.25">
      <c r="A2275" s="12" t="s">
        <v>2374</v>
      </c>
      <c r="B2275" s="7" t="s">
        <v>2516</v>
      </c>
    </row>
    <row r="2276" spans="1:2" x14ac:dyDescent="0.25">
      <c r="A2276" s="12" t="s">
        <v>2369</v>
      </c>
      <c r="B2276" s="7" t="s">
        <v>2516</v>
      </c>
    </row>
    <row r="2277" spans="1:2" x14ac:dyDescent="0.25">
      <c r="A2277" s="12" t="s">
        <v>2375</v>
      </c>
      <c r="B2277" s="7" t="s">
        <v>2516</v>
      </c>
    </row>
    <row r="2278" spans="1:2" x14ac:dyDescent="0.25">
      <c r="A2278" s="12" t="s">
        <v>1104</v>
      </c>
      <c r="B2278" s="7" t="s">
        <v>2516</v>
      </c>
    </row>
    <row r="2279" spans="1:2" x14ac:dyDescent="0.25">
      <c r="A2279" s="12" t="s">
        <v>2376</v>
      </c>
      <c r="B2279" s="7" t="s">
        <v>2516</v>
      </c>
    </row>
    <row r="2280" spans="1:2" x14ac:dyDescent="0.25">
      <c r="A2280" s="12" t="s">
        <v>1154</v>
      </c>
      <c r="B2280" s="7" t="s">
        <v>2516</v>
      </c>
    </row>
    <row r="2281" spans="1:2" x14ac:dyDescent="0.25">
      <c r="A2281" s="12" t="s">
        <v>851</v>
      </c>
      <c r="B2281" s="7" t="s">
        <v>2516</v>
      </c>
    </row>
    <row r="2282" spans="1:2" x14ac:dyDescent="0.25">
      <c r="A2282" s="12" t="s">
        <v>2364</v>
      </c>
      <c r="B2282" s="7" t="s">
        <v>2516</v>
      </c>
    </row>
    <row r="2283" spans="1:2" x14ac:dyDescent="0.25">
      <c r="A2283" s="12" t="s">
        <v>2377</v>
      </c>
      <c r="B2283" s="7" t="s">
        <v>2516</v>
      </c>
    </row>
    <row r="2284" spans="1:2" x14ac:dyDescent="0.25">
      <c r="A2284" s="12" t="s">
        <v>275</v>
      </c>
      <c r="B2284" s="7" t="s">
        <v>2516</v>
      </c>
    </row>
    <row r="2285" spans="1:2" x14ac:dyDescent="0.25">
      <c r="A2285" s="12" t="s">
        <v>2340</v>
      </c>
      <c r="B2285" s="7" t="s">
        <v>2516</v>
      </c>
    </row>
    <row r="2286" spans="1:2" x14ac:dyDescent="0.25">
      <c r="A2286" s="12" t="s">
        <v>2355</v>
      </c>
      <c r="B2286" s="7" t="s">
        <v>2516</v>
      </c>
    </row>
    <row r="2287" spans="1:2" x14ac:dyDescent="0.25">
      <c r="A2287" s="12" t="s">
        <v>1241</v>
      </c>
      <c r="B2287" s="7" t="s">
        <v>2516</v>
      </c>
    </row>
    <row r="2288" spans="1:2" x14ac:dyDescent="0.25">
      <c r="A2288" s="12" t="s">
        <v>574</v>
      </c>
      <c r="B2288" s="7" t="s">
        <v>2516</v>
      </c>
    </row>
    <row r="2289" spans="1:2" x14ac:dyDescent="0.25">
      <c r="A2289" s="12" t="s">
        <v>2378</v>
      </c>
      <c r="B2289" s="7" t="s">
        <v>2516</v>
      </c>
    </row>
    <row r="2290" spans="1:2" x14ac:dyDescent="0.25">
      <c r="A2290" s="12" t="s">
        <v>470</v>
      </c>
      <c r="B2290" s="7" t="s">
        <v>2516</v>
      </c>
    </row>
    <row r="2291" spans="1:2" x14ac:dyDescent="0.25">
      <c r="A2291" s="12" t="s">
        <v>462</v>
      </c>
      <c r="B2291" s="7" t="s">
        <v>2516</v>
      </c>
    </row>
    <row r="2292" spans="1:2" x14ac:dyDescent="0.25">
      <c r="A2292" s="12" t="s">
        <v>1251</v>
      </c>
      <c r="B2292" s="7" t="s">
        <v>2516</v>
      </c>
    </row>
    <row r="2293" spans="1:2" x14ac:dyDescent="0.25">
      <c r="A2293" s="12" t="s">
        <v>1186</v>
      </c>
      <c r="B2293" s="7" t="s">
        <v>2516</v>
      </c>
    </row>
    <row r="2294" spans="1:2" x14ac:dyDescent="0.25">
      <c r="A2294" s="12" t="s">
        <v>548</v>
      </c>
      <c r="B2294" s="7" t="s">
        <v>2516</v>
      </c>
    </row>
    <row r="2295" spans="1:2" x14ac:dyDescent="0.25">
      <c r="A2295" s="12" t="s">
        <v>1206</v>
      </c>
      <c r="B2295" s="7" t="s">
        <v>2516</v>
      </c>
    </row>
    <row r="2296" spans="1:2" x14ac:dyDescent="0.25">
      <c r="A2296" s="12" t="s">
        <v>2379</v>
      </c>
      <c r="B2296" s="7" t="s">
        <v>2516</v>
      </c>
    </row>
    <row r="2297" spans="1:2" x14ac:dyDescent="0.25">
      <c r="A2297" s="12" t="s">
        <v>2342</v>
      </c>
      <c r="B2297" s="7" t="s">
        <v>2516</v>
      </c>
    </row>
    <row r="2298" spans="1:2" x14ac:dyDescent="0.25">
      <c r="A2298" s="12" t="s">
        <v>2361</v>
      </c>
      <c r="B2298" s="7" t="s">
        <v>2516</v>
      </c>
    </row>
    <row r="2299" spans="1:2" x14ac:dyDescent="0.25">
      <c r="A2299" s="12" t="s">
        <v>1075</v>
      </c>
      <c r="B2299" s="7" t="s">
        <v>2516</v>
      </c>
    </row>
    <row r="2300" spans="1:2" x14ac:dyDescent="0.25">
      <c r="A2300" s="12" t="s">
        <v>2380</v>
      </c>
      <c r="B2300" s="7" t="s">
        <v>2516</v>
      </c>
    </row>
    <row r="2301" spans="1:2" x14ac:dyDescent="0.25">
      <c r="A2301" s="12" t="s">
        <v>1625</v>
      </c>
      <c r="B2301" s="7" t="s">
        <v>2516</v>
      </c>
    </row>
    <row r="2302" spans="1:2" x14ac:dyDescent="0.25">
      <c r="A2302" s="12" t="s">
        <v>2343</v>
      </c>
      <c r="B2302" s="7" t="s">
        <v>2516</v>
      </c>
    </row>
    <row r="2303" spans="1:2" x14ac:dyDescent="0.25">
      <c r="A2303" s="12" t="s">
        <v>433</v>
      </c>
      <c r="B2303" s="7" t="s">
        <v>2516</v>
      </c>
    </row>
    <row r="2304" spans="1:2" x14ac:dyDescent="0.25">
      <c r="A2304" s="12" t="s">
        <v>2381</v>
      </c>
      <c r="B2304" s="7" t="s">
        <v>2516</v>
      </c>
    </row>
    <row r="2305" spans="1:2" x14ac:dyDescent="0.25">
      <c r="A2305" s="12" t="s">
        <v>2382</v>
      </c>
      <c r="B2305" s="7" t="s">
        <v>2516</v>
      </c>
    </row>
    <row r="2306" spans="1:2" x14ac:dyDescent="0.25">
      <c r="A2306" s="12" t="s">
        <v>2383</v>
      </c>
      <c r="B2306" s="7" t="s">
        <v>2516</v>
      </c>
    </row>
    <row r="2307" spans="1:2" x14ac:dyDescent="0.25">
      <c r="A2307" s="12" t="s">
        <v>2384</v>
      </c>
      <c r="B2307" s="7" t="s">
        <v>2516</v>
      </c>
    </row>
    <row r="2308" spans="1:2" x14ac:dyDescent="0.25">
      <c r="A2308" s="12" t="s">
        <v>2385</v>
      </c>
      <c r="B2308" s="7" t="s">
        <v>2516</v>
      </c>
    </row>
    <row r="2309" spans="1:2" x14ac:dyDescent="0.25">
      <c r="A2309" s="12" t="s">
        <v>296</v>
      </c>
      <c r="B2309" s="7" t="s">
        <v>2516</v>
      </c>
    </row>
    <row r="2310" spans="1:2" x14ac:dyDescent="0.25">
      <c r="A2310" s="12" t="s">
        <v>17</v>
      </c>
      <c r="B2310" s="7" t="s">
        <v>2516</v>
      </c>
    </row>
    <row r="2311" spans="1:2" x14ac:dyDescent="0.25">
      <c r="A2311" s="12" t="s">
        <v>2386</v>
      </c>
      <c r="B2311" s="7" t="s">
        <v>2516</v>
      </c>
    </row>
    <row r="2312" spans="1:2" x14ac:dyDescent="0.25">
      <c r="A2312" s="12" t="s">
        <v>2387</v>
      </c>
      <c r="B2312" s="7" t="s">
        <v>2516</v>
      </c>
    </row>
    <row r="2313" spans="1:2" x14ac:dyDescent="0.25">
      <c r="A2313" s="12" t="s">
        <v>2388</v>
      </c>
      <c r="B2313" s="7" t="s">
        <v>2516</v>
      </c>
    </row>
    <row r="2314" spans="1:2" x14ac:dyDescent="0.25">
      <c r="A2314" s="12" t="s">
        <v>2389</v>
      </c>
      <c r="B2314" s="7" t="s">
        <v>2516</v>
      </c>
    </row>
    <row r="2315" spans="1:2" x14ac:dyDescent="0.25">
      <c r="A2315" s="12" t="s">
        <v>309</v>
      </c>
      <c r="B2315" s="7" t="s">
        <v>2516</v>
      </c>
    </row>
    <row r="2316" spans="1:2" x14ac:dyDescent="0.25">
      <c r="A2316" s="12" t="s">
        <v>2390</v>
      </c>
      <c r="B2316" s="7" t="s">
        <v>2516</v>
      </c>
    </row>
    <row r="2317" spans="1:2" x14ac:dyDescent="0.25">
      <c r="A2317" s="12" t="s">
        <v>337</v>
      </c>
      <c r="B2317" s="7" t="s">
        <v>2516</v>
      </c>
    </row>
    <row r="2318" spans="1:2" x14ac:dyDescent="0.25">
      <c r="A2318" s="12" t="s">
        <v>2391</v>
      </c>
      <c r="B2318" s="7" t="s">
        <v>2516</v>
      </c>
    </row>
    <row r="2319" spans="1:2" x14ac:dyDescent="0.25">
      <c r="A2319" s="12" t="s">
        <v>119</v>
      </c>
      <c r="B2319" s="7" t="s">
        <v>2516</v>
      </c>
    </row>
    <row r="2320" spans="1:2" x14ac:dyDescent="0.25">
      <c r="A2320" s="12" t="s">
        <v>2392</v>
      </c>
      <c r="B2320" s="7" t="s">
        <v>2516</v>
      </c>
    </row>
    <row r="2321" spans="1:2" x14ac:dyDescent="0.25">
      <c r="A2321" s="12" t="s">
        <v>2393</v>
      </c>
      <c r="B2321" s="7" t="s">
        <v>2516</v>
      </c>
    </row>
    <row r="2322" spans="1:2" x14ac:dyDescent="0.25">
      <c r="A2322" s="12" t="s">
        <v>2394</v>
      </c>
      <c r="B2322" s="7" t="s">
        <v>2516</v>
      </c>
    </row>
    <row r="2323" spans="1:2" x14ac:dyDescent="0.25">
      <c r="A2323" s="12" t="s">
        <v>2395</v>
      </c>
      <c r="B2323" s="7" t="s">
        <v>2516</v>
      </c>
    </row>
    <row r="2324" spans="1:2" x14ac:dyDescent="0.25">
      <c r="A2324" s="12" t="s">
        <v>821</v>
      </c>
      <c r="B2324" s="7" t="s">
        <v>2516</v>
      </c>
    </row>
    <row r="2325" spans="1:2" x14ac:dyDescent="0.25">
      <c r="A2325" s="12" t="s">
        <v>2396</v>
      </c>
      <c r="B2325" s="7" t="s">
        <v>2516</v>
      </c>
    </row>
    <row r="2326" spans="1:2" x14ac:dyDescent="0.25">
      <c r="A2326" s="12" t="s">
        <v>1150</v>
      </c>
      <c r="B2326" s="7" t="s">
        <v>2516</v>
      </c>
    </row>
    <row r="2327" spans="1:2" x14ac:dyDescent="0.25">
      <c r="A2327" s="12" t="s">
        <v>2341</v>
      </c>
      <c r="B2327" s="7" t="s">
        <v>2516</v>
      </c>
    </row>
    <row r="2328" spans="1:2" x14ac:dyDescent="0.25">
      <c r="A2328" s="12" t="s">
        <v>1119</v>
      </c>
      <c r="B2328" s="7" t="s">
        <v>2516</v>
      </c>
    </row>
    <row r="2329" spans="1:2" x14ac:dyDescent="0.25">
      <c r="A2329" s="12" t="s">
        <v>137</v>
      </c>
      <c r="B2329" s="7" t="s">
        <v>2516</v>
      </c>
    </row>
    <row r="2330" spans="1:2" x14ac:dyDescent="0.25">
      <c r="A2330" s="12" t="s">
        <v>126</v>
      </c>
      <c r="B2330" s="7" t="s">
        <v>2516</v>
      </c>
    </row>
    <row r="2331" spans="1:2" x14ac:dyDescent="0.25">
      <c r="A2331" s="12" t="s">
        <v>832</v>
      </c>
      <c r="B2331" s="7" t="s">
        <v>2516</v>
      </c>
    </row>
    <row r="2332" spans="1:2" x14ac:dyDescent="0.25">
      <c r="A2332" s="12" t="s">
        <v>2397</v>
      </c>
      <c r="B2332" s="7" t="s">
        <v>2516</v>
      </c>
    </row>
    <row r="2333" spans="1:2" x14ac:dyDescent="0.25">
      <c r="A2333" s="12" t="s">
        <v>2398</v>
      </c>
      <c r="B2333" s="7" t="s">
        <v>2516</v>
      </c>
    </row>
    <row r="2334" spans="1:2" x14ac:dyDescent="0.25">
      <c r="A2334" s="12" t="s">
        <v>1020</v>
      </c>
      <c r="B2334" s="7" t="s">
        <v>2516</v>
      </c>
    </row>
    <row r="2335" spans="1:2" x14ac:dyDescent="0.25">
      <c r="A2335" s="12" t="s">
        <v>2399</v>
      </c>
      <c r="B2335" s="7" t="s">
        <v>2516</v>
      </c>
    </row>
    <row r="2336" spans="1:2" x14ac:dyDescent="0.25">
      <c r="A2336" s="12" t="s">
        <v>519</v>
      </c>
      <c r="B2336" s="7" t="s">
        <v>2516</v>
      </c>
    </row>
    <row r="2337" spans="1:2" x14ac:dyDescent="0.25">
      <c r="A2337" s="12" t="s">
        <v>2400</v>
      </c>
      <c r="B2337" s="7" t="s">
        <v>2516</v>
      </c>
    </row>
    <row r="2338" spans="1:2" x14ac:dyDescent="0.25">
      <c r="A2338" s="12" t="s">
        <v>1211</v>
      </c>
      <c r="B2338" s="7" t="s">
        <v>2516</v>
      </c>
    </row>
    <row r="2339" spans="1:2" x14ac:dyDescent="0.25">
      <c r="A2339" s="12" t="s">
        <v>2401</v>
      </c>
      <c r="B2339" s="7" t="s">
        <v>2516</v>
      </c>
    </row>
    <row r="2340" spans="1:2" x14ac:dyDescent="0.25">
      <c r="A2340" s="12" t="s">
        <v>2402</v>
      </c>
      <c r="B2340" s="7" t="s">
        <v>2516</v>
      </c>
    </row>
    <row r="2341" spans="1:2" x14ac:dyDescent="0.25">
      <c r="A2341" s="12" t="s">
        <v>180</v>
      </c>
      <c r="B2341" s="7" t="s">
        <v>2516</v>
      </c>
    </row>
    <row r="2342" spans="1:2" x14ac:dyDescent="0.25">
      <c r="A2342" s="12" t="s">
        <v>2357</v>
      </c>
      <c r="B2342" s="7" t="s">
        <v>2516</v>
      </c>
    </row>
    <row r="2343" spans="1:2" x14ac:dyDescent="0.25">
      <c r="A2343" s="12" t="s">
        <v>2403</v>
      </c>
      <c r="B2343" s="7" t="s">
        <v>2516</v>
      </c>
    </row>
    <row r="2344" spans="1:2" x14ac:dyDescent="0.25">
      <c r="A2344" s="12" t="s">
        <v>2404</v>
      </c>
      <c r="B2344" s="7" t="s">
        <v>2516</v>
      </c>
    </row>
    <row r="2345" spans="1:2" x14ac:dyDescent="0.25">
      <c r="A2345" s="12" t="s">
        <v>1627</v>
      </c>
      <c r="B2345" s="7" t="s">
        <v>2516</v>
      </c>
    </row>
    <row r="2346" spans="1:2" x14ac:dyDescent="0.25">
      <c r="A2346" s="12" t="s">
        <v>1145</v>
      </c>
      <c r="B2346" s="7" t="s">
        <v>2516</v>
      </c>
    </row>
    <row r="2347" spans="1:2" x14ac:dyDescent="0.25">
      <c r="A2347" s="12" t="s">
        <v>2405</v>
      </c>
      <c r="B2347" s="7" t="s">
        <v>2516</v>
      </c>
    </row>
    <row r="2348" spans="1:2" x14ac:dyDescent="0.25">
      <c r="A2348" s="12" t="s">
        <v>412</v>
      </c>
      <c r="B2348" s="7" t="s">
        <v>2516</v>
      </c>
    </row>
    <row r="2349" spans="1:2" x14ac:dyDescent="0.25">
      <c r="A2349" s="12" t="s">
        <v>434</v>
      </c>
      <c r="B2349" s="7" t="s">
        <v>2516</v>
      </c>
    </row>
    <row r="2350" spans="1:2" x14ac:dyDescent="0.25">
      <c r="A2350" s="12" t="s">
        <v>2365</v>
      </c>
      <c r="B2350" s="7" t="s">
        <v>2516</v>
      </c>
    </row>
    <row r="2351" spans="1:2" x14ac:dyDescent="0.25">
      <c r="A2351" s="12" t="s">
        <v>262</v>
      </c>
      <c r="B2351" s="7" t="s">
        <v>2516</v>
      </c>
    </row>
    <row r="2352" spans="1:2" x14ac:dyDescent="0.25">
      <c r="A2352" s="12" t="s">
        <v>2406</v>
      </c>
      <c r="B2352" s="7" t="s">
        <v>2516</v>
      </c>
    </row>
    <row r="2353" spans="1:2" x14ac:dyDescent="0.25">
      <c r="A2353" s="12" t="s">
        <v>2407</v>
      </c>
      <c r="B2353" s="7" t="s">
        <v>2516</v>
      </c>
    </row>
    <row r="2354" spans="1:2" x14ac:dyDescent="0.25">
      <c r="A2354" s="12" t="s">
        <v>2147</v>
      </c>
      <c r="B2354" s="7" t="s">
        <v>2516</v>
      </c>
    </row>
    <row r="2355" spans="1:2" x14ac:dyDescent="0.25">
      <c r="A2355" s="12" t="s">
        <v>868</v>
      </c>
      <c r="B2355" s="7" t="s">
        <v>2516</v>
      </c>
    </row>
    <row r="2356" spans="1:2" x14ac:dyDescent="0.25">
      <c r="A2356" s="12" t="s">
        <v>2408</v>
      </c>
      <c r="B2356" s="7" t="s">
        <v>2516</v>
      </c>
    </row>
    <row r="2357" spans="1:2" x14ac:dyDescent="0.25">
      <c r="A2357" s="12" t="s">
        <v>2409</v>
      </c>
      <c r="B2357" s="7" t="s">
        <v>2516</v>
      </c>
    </row>
    <row r="2358" spans="1:2" x14ac:dyDescent="0.25">
      <c r="A2358" s="12" t="s">
        <v>2410</v>
      </c>
      <c r="B2358" s="7" t="s">
        <v>2516</v>
      </c>
    </row>
    <row r="2359" spans="1:2" x14ac:dyDescent="0.25">
      <c r="A2359" s="12" t="s">
        <v>2411</v>
      </c>
      <c r="B2359" s="7" t="s">
        <v>2516</v>
      </c>
    </row>
    <row r="2360" spans="1:2" x14ac:dyDescent="0.25">
      <c r="A2360" s="12" t="s">
        <v>2412</v>
      </c>
      <c r="B2360" s="7" t="s">
        <v>2516</v>
      </c>
    </row>
    <row r="2361" spans="1:2" x14ac:dyDescent="0.25">
      <c r="A2361" s="12" t="s">
        <v>2413</v>
      </c>
      <c r="B2361" s="7" t="s">
        <v>2516</v>
      </c>
    </row>
    <row r="2362" spans="1:2" x14ac:dyDescent="0.25">
      <c r="A2362" s="12" t="s">
        <v>144</v>
      </c>
      <c r="B2362" s="7" t="s">
        <v>2516</v>
      </c>
    </row>
    <row r="2363" spans="1:2" x14ac:dyDescent="0.25">
      <c r="A2363" s="12" t="s">
        <v>2352</v>
      </c>
      <c r="B2363" s="7" t="s">
        <v>2516</v>
      </c>
    </row>
    <row r="2364" spans="1:2" x14ac:dyDescent="0.25">
      <c r="A2364" s="12" t="s">
        <v>2414</v>
      </c>
      <c r="B2364" s="7" t="s">
        <v>2516</v>
      </c>
    </row>
    <row r="2365" spans="1:2" x14ac:dyDescent="0.25">
      <c r="A2365" s="12" t="s">
        <v>2345</v>
      </c>
      <c r="B2365" s="7" t="s">
        <v>2516</v>
      </c>
    </row>
    <row r="2366" spans="1:2" x14ac:dyDescent="0.25">
      <c r="A2366" s="12" t="s">
        <v>2415</v>
      </c>
      <c r="B2366" s="7" t="s">
        <v>2516</v>
      </c>
    </row>
    <row r="2367" spans="1:2" x14ac:dyDescent="0.25">
      <c r="A2367" s="12" t="s">
        <v>369</v>
      </c>
      <c r="B2367" s="7" t="s">
        <v>2516</v>
      </c>
    </row>
    <row r="2368" spans="1:2" x14ac:dyDescent="0.25">
      <c r="A2368" s="12" t="s">
        <v>813</v>
      </c>
      <c r="B2368" s="7" t="s">
        <v>2516</v>
      </c>
    </row>
    <row r="2369" spans="1:2" x14ac:dyDescent="0.25">
      <c r="A2369" s="12" t="s">
        <v>1266</v>
      </c>
      <c r="B2369" s="7" t="s">
        <v>2516</v>
      </c>
    </row>
    <row r="2370" spans="1:2" x14ac:dyDescent="0.25">
      <c r="A2370" s="12" t="s">
        <v>466</v>
      </c>
      <c r="B2370" s="7" t="s">
        <v>2516</v>
      </c>
    </row>
    <row r="2371" spans="1:2" x14ac:dyDescent="0.25">
      <c r="A2371" s="12" t="s">
        <v>1077</v>
      </c>
      <c r="B2371" s="7" t="s">
        <v>2516</v>
      </c>
    </row>
    <row r="2372" spans="1:2" x14ac:dyDescent="0.25">
      <c r="A2372" s="12" t="s">
        <v>255</v>
      </c>
      <c r="B2372" s="7" t="s">
        <v>2516</v>
      </c>
    </row>
    <row r="2373" spans="1:2" x14ac:dyDescent="0.25">
      <c r="A2373" s="12" t="s">
        <v>2416</v>
      </c>
      <c r="B2373" s="7" t="s">
        <v>2516</v>
      </c>
    </row>
    <row r="2374" spans="1:2" x14ac:dyDescent="0.25">
      <c r="A2374" s="12" t="s">
        <v>2417</v>
      </c>
      <c r="B2374" s="7" t="s">
        <v>2516</v>
      </c>
    </row>
    <row r="2375" spans="1:2" x14ac:dyDescent="0.25">
      <c r="A2375" s="12" t="s">
        <v>2418</v>
      </c>
      <c r="B2375" s="7" t="s">
        <v>2516</v>
      </c>
    </row>
    <row r="2376" spans="1:2" x14ac:dyDescent="0.25">
      <c r="A2376" s="12" t="s">
        <v>29</v>
      </c>
      <c r="B2376" s="7" t="s">
        <v>2516</v>
      </c>
    </row>
    <row r="2377" spans="1:2" x14ac:dyDescent="0.25">
      <c r="A2377" s="12" t="s">
        <v>2419</v>
      </c>
      <c r="B2377" s="7" t="s">
        <v>2516</v>
      </c>
    </row>
    <row r="2378" spans="1:2" x14ac:dyDescent="0.25">
      <c r="A2378" s="12" t="s">
        <v>564</v>
      </c>
      <c r="B2378" s="7" t="s">
        <v>2516</v>
      </c>
    </row>
    <row r="2379" spans="1:2" x14ac:dyDescent="0.25">
      <c r="A2379" s="12" t="s">
        <v>169</v>
      </c>
      <c r="B2379" s="7" t="s">
        <v>2516</v>
      </c>
    </row>
    <row r="2380" spans="1:2" x14ac:dyDescent="0.25">
      <c r="A2380" s="12" t="s">
        <v>2420</v>
      </c>
      <c r="B2380" s="7" t="s">
        <v>2516</v>
      </c>
    </row>
    <row r="2381" spans="1:2" x14ac:dyDescent="0.25">
      <c r="A2381" s="12" t="s">
        <v>2421</v>
      </c>
      <c r="B2381" s="7" t="s">
        <v>2516</v>
      </c>
    </row>
    <row r="2382" spans="1:2" x14ac:dyDescent="0.25">
      <c r="A2382" s="12" t="s">
        <v>2422</v>
      </c>
      <c r="B2382" s="7" t="s">
        <v>2516</v>
      </c>
    </row>
    <row r="2383" spans="1:2" x14ac:dyDescent="0.25">
      <c r="A2383" s="12" t="s">
        <v>370</v>
      </c>
      <c r="B2383" s="7" t="s">
        <v>2516</v>
      </c>
    </row>
    <row r="2384" spans="1:2" x14ac:dyDescent="0.25">
      <c r="A2384" s="12" t="s">
        <v>838</v>
      </c>
      <c r="B2384" s="7" t="s">
        <v>2516</v>
      </c>
    </row>
    <row r="2385" spans="1:2" x14ac:dyDescent="0.25">
      <c r="A2385" s="12" t="s">
        <v>1184</v>
      </c>
      <c r="B2385" s="7" t="s">
        <v>2516</v>
      </c>
    </row>
    <row r="2386" spans="1:2" x14ac:dyDescent="0.25">
      <c r="A2386" s="12" t="s">
        <v>2423</v>
      </c>
      <c r="B2386" s="7" t="s">
        <v>2516</v>
      </c>
    </row>
    <row r="2387" spans="1:2" x14ac:dyDescent="0.25">
      <c r="A2387" s="12" t="s">
        <v>830</v>
      </c>
      <c r="B2387" s="7" t="s">
        <v>2516</v>
      </c>
    </row>
    <row r="2388" spans="1:2" x14ac:dyDescent="0.25">
      <c r="A2388" s="12" t="s">
        <v>138</v>
      </c>
      <c r="B2388" s="7" t="s">
        <v>2516</v>
      </c>
    </row>
    <row r="2389" spans="1:2" x14ac:dyDescent="0.25">
      <c r="A2389" s="12" t="s">
        <v>2424</v>
      </c>
      <c r="B2389" s="7" t="s">
        <v>2516</v>
      </c>
    </row>
    <row r="2390" spans="1:2" x14ac:dyDescent="0.25">
      <c r="A2390" s="12" t="s">
        <v>1246</v>
      </c>
      <c r="B2390" s="7" t="s">
        <v>2516</v>
      </c>
    </row>
    <row r="2391" spans="1:2" x14ac:dyDescent="0.25">
      <c r="A2391" s="12" t="s">
        <v>2425</v>
      </c>
      <c r="B2391" s="7" t="s">
        <v>2516</v>
      </c>
    </row>
    <row r="2392" spans="1:2" x14ac:dyDescent="0.25">
      <c r="A2392" s="12" t="s">
        <v>2426</v>
      </c>
      <c r="B2392" s="7" t="s">
        <v>2516</v>
      </c>
    </row>
    <row r="2393" spans="1:2" x14ac:dyDescent="0.25">
      <c r="A2393" s="12" t="s">
        <v>665</v>
      </c>
      <c r="B2393" s="7" t="s">
        <v>2516</v>
      </c>
    </row>
    <row r="2394" spans="1:2" x14ac:dyDescent="0.25">
      <c r="A2394" s="12" t="s">
        <v>2427</v>
      </c>
      <c r="B2394" s="7" t="s">
        <v>2516</v>
      </c>
    </row>
    <row r="2395" spans="1:2" x14ac:dyDescent="0.25">
      <c r="A2395" s="12" t="s">
        <v>2428</v>
      </c>
      <c r="B2395" s="7" t="s">
        <v>2516</v>
      </c>
    </row>
    <row r="2396" spans="1:2" x14ac:dyDescent="0.25">
      <c r="A2396" s="12" t="s">
        <v>2429</v>
      </c>
      <c r="B2396" s="7" t="s">
        <v>2516</v>
      </c>
    </row>
    <row r="2397" spans="1:2" x14ac:dyDescent="0.25">
      <c r="A2397" s="12" t="s">
        <v>2430</v>
      </c>
      <c r="B2397" s="7" t="s">
        <v>2516</v>
      </c>
    </row>
    <row r="2398" spans="1:2" x14ac:dyDescent="0.25">
      <c r="A2398" s="12" t="s">
        <v>357</v>
      </c>
      <c r="B2398" s="7" t="s">
        <v>2516</v>
      </c>
    </row>
    <row r="2399" spans="1:2" x14ac:dyDescent="0.25">
      <c r="A2399" s="12" t="s">
        <v>2431</v>
      </c>
      <c r="B2399" s="7" t="s">
        <v>2516</v>
      </c>
    </row>
    <row r="2400" spans="1:2" x14ac:dyDescent="0.25">
      <c r="A2400" s="12" t="s">
        <v>2344</v>
      </c>
      <c r="B2400" s="7" t="s">
        <v>2516</v>
      </c>
    </row>
    <row r="2401" spans="1:2" x14ac:dyDescent="0.25">
      <c r="A2401" s="12" t="s">
        <v>192</v>
      </c>
      <c r="B2401" s="7" t="s">
        <v>2516</v>
      </c>
    </row>
    <row r="2402" spans="1:2" x14ac:dyDescent="0.25">
      <c r="A2402" s="12" t="s">
        <v>1179</v>
      </c>
      <c r="B2402" s="7" t="s">
        <v>2516</v>
      </c>
    </row>
    <row r="2403" spans="1:2" x14ac:dyDescent="0.25">
      <c r="A2403" s="12" t="s">
        <v>33</v>
      </c>
      <c r="B2403" s="7" t="s">
        <v>2516</v>
      </c>
    </row>
    <row r="2404" spans="1:2" x14ac:dyDescent="0.25">
      <c r="A2404" s="12" t="s">
        <v>2432</v>
      </c>
      <c r="B2404" s="7" t="s">
        <v>2516</v>
      </c>
    </row>
    <row r="2405" spans="1:2" x14ac:dyDescent="0.25">
      <c r="A2405" s="12" t="s">
        <v>2433</v>
      </c>
      <c r="B2405" s="7" t="s">
        <v>2516</v>
      </c>
    </row>
    <row r="2406" spans="1:2" x14ac:dyDescent="0.25">
      <c r="A2406" s="12" t="s">
        <v>2434</v>
      </c>
      <c r="B2406" s="7" t="s">
        <v>2516</v>
      </c>
    </row>
    <row r="2407" spans="1:2" x14ac:dyDescent="0.25">
      <c r="A2407" s="12" t="s">
        <v>2347</v>
      </c>
      <c r="B2407" s="7" t="s">
        <v>2516</v>
      </c>
    </row>
    <row r="2408" spans="1:2" x14ac:dyDescent="0.25">
      <c r="A2408" s="12" t="s">
        <v>2435</v>
      </c>
      <c r="B2408" s="7" t="s">
        <v>2516</v>
      </c>
    </row>
    <row r="2409" spans="1:2" x14ac:dyDescent="0.25">
      <c r="A2409" s="12" t="s">
        <v>2436</v>
      </c>
      <c r="B2409" s="7" t="s">
        <v>2516</v>
      </c>
    </row>
    <row r="2410" spans="1:2" x14ac:dyDescent="0.25">
      <c r="A2410" s="12" t="s">
        <v>2437</v>
      </c>
      <c r="B2410" s="7" t="s">
        <v>2516</v>
      </c>
    </row>
    <row r="2411" spans="1:2" x14ac:dyDescent="0.25">
      <c r="A2411" s="12" t="s">
        <v>553</v>
      </c>
      <c r="B2411" s="7" t="s">
        <v>2516</v>
      </c>
    </row>
    <row r="2412" spans="1:2" x14ac:dyDescent="0.25">
      <c r="A2412" s="12" t="s">
        <v>2363</v>
      </c>
      <c r="B2412" s="7" t="s">
        <v>2516</v>
      </c>
    </row>
    <row r="2413" spans="1:2" x14ac:dyDescent="0.25">
      <c r="A2413" s="12" t="s">
        <v>1631</v>
      </c>
      <c r="B2413" s="7" t="s">
        <v>2516</v>
      </c>
    </row>
    <row r="2414" spans="1:2" x14ac:dyDescent="0.25">
      <c r="A2414" s="12" t="s">
        <v>951</v>
      </c>
      <c r="B2414" s="7" t="s">
        <v>2516</v>
      </c>
    </row>
    <row r="2415" spans="1:2" x14ac:dyDescent="0.25">
      <c r="A2415" s="12" t="s">
        <v>2438</v>
      </c>
      <c r="B2415" s="7" t="s">
        <v>2516</v>
      </c>
    </row>
    <row r="2416" spans="1:2" x14ac:dyDescent="0.25">
      <c r="A2416" s="12" t="s">
        <v>2439</v>
      </c>
      <c r="B2416" s="7" t="s">
        <v>2516</v>
      </c>
    </row>
    <row r="2417" spans="1:2" x14ac:dyDescent="0.25">
      <c r="A2417" s="12" t="s">
        <v>1630</v>
      </c>
      <c r="B2417" s="7" t="s">
        <v>2516</v>
      </c>
    </row>
    <row r="2418" spans="1:2" x14ac:dyDescent="0.25">
      <c r="A2418" s="12" t="s">
        <v>2362</v>
      </c>
      <c r="B2418" s="7" t="s">
        <v>2516</v>
      </c>
    </row>
    <row r="2419" spans="1:2" x14ac:dyDescent="0.25">
      <c r="A2419" s="12" t="s">
        <v>2440</v>
      </c>
      <c r="B2419" s="7" t="s">
        <v>2516</v>
      </c>
    </row>
    <row r="2420" spans="1:2" x14ac:dyDescent="0.25">
      <c r="A2420" s="12" t="s">
        <v>2441</v>
      </c>
      <c r="B2420" s="7" t="s">
        <v>2516</v>
      </c>
    </row>
    <row r="2421" spans="1:2" x14ac:dyDescent="0.25">
      <c r="A2421" s="12" t="s">
        <v>476</v>
      </c>
      <c r="B2421" s="7" t="s">
        <v>2516</v>
      </c>
    </row>
    <row r="2422" spans="1:2" x14ac:dyDescent="0.25">
      <c r="A2422" s="12" t="s">
        <v>2442</v>
      </c>
      <c r="B2422" s="7" t="s">
        <v>2516</v>
      </c>
    </row>
    <row r="2423" spans="1:2" x14ac:dyDescent="0.25">
      <c r="A2423" s="12" t="s">
        <v>293</v>
      </c>
      <c r="B2423" s="7" t="s">
        <v>2516</v>
      </c>
    </row>
    <row r="2424" spans="1:2" x14ac:dyDescent="0.25">
      <c r="A2424" s="12" t="s">
        <v>136</v>
      </c>
      <c r="B2424" s="7" t="s">
        <v>2516</v>
      </c>
    </row>
    <row r="2425" spans="1:2" x14ac:dyDescent="0.25">
      <c r="A2425" s="12" t="s">
        <v>2358</v>
      </c>
      <c r="B2425" s="7" t="s">
        <v>2516</v>
      </c>
    </row>
    <row r="2426" spans="1:2" x14ac:dyDescent="0.25">
      <c r="A2426" s="12" t="s">
        <v>1632</v>
      </c>
      <c r="B2426" s="7" t="s">
        <v>2516</v>
      </c>
    </row>
    <row r="2427" spans="1:2" x14ac:dyDescent="0.25">
      <c r="A2427" s="12" t="s">
        <v>2443</v>
      </c>
      <c r="B2427" s="7" t="s">
        <v>2516</v>
      </c>
    </row>
    <row r="2428" spans="1:2" x14ac:dyDescent="0.25">
      <c r="A2428" s="12" t="s">
        <v>2444</v>
      </c>
      <c r="B2428" s="7" t="s">
        <v>2516</v>
      </c>
    </row>
    <row r="2429" spans="1:2" x14ac:dyDescent="0.25">
      <c r="A2429" s="12" t="s">
        <v>2445</v>
      </c>
      <c r="B2429" s="7" t="s">
        <v>2516</v>
      </c>
    </row>
    <row r="2430" spans="1:2" x14ac:dyDescent="0.25">
      <c r="A2430" s="12" t="s">
        <v>722</v>
      </c>
      <c r="B2430" s="7" t="s">
        <v>2516</v>
      </c>
    </row>
    <row r="2431" spans="1:2" x14ac:dyDescent="0.25">
      <c r="A2431" s="12" t="s">
        <v>258</v>
      </c>
      <c r="B2431" s="7" t="s">
        <v>2516</v>
      </c>
    </row>
    <row r="2432" spans="1:2" x14ac:dyDescent="0.25">
      <c r="A2432" s="12" t="s">
        <v>1080</v>
      </c>
      <c r="B2432" s="7" t="s">
        <v>2516</v>
      </c>
    </row>
    <row r="2433" spans="1:2" x14ac:dyDescent="0.25">
      <c r="A2433" s="12" t="s">
        <v>2349</v>
      </c>
      <c r="B2433" s="7" t="s">
        <v>2516</v>
      </c>
    </row>
    <row r="2434" spans="1:2" x14ac:dyDescent="0.25">
      <c r="A2434" s="12" t="s">
        <v>2446</v>
      </c>
      <c r="B2434" s="7" t="s">
        <v>2516</v>
      </c>
    </row>
    <row r="2435" spans="1:2" x14ac:dyDescent="0.25">
      <c r="A2435" s="12" t="s">
        <v>2447</v>
      </c>
      <c r="B2435" s="7" t="s">
        <v>2516</v>
      </c>
    </row>
    <row r="2436" spans="1:2" x14ac:dyDescent="0.25">
      <c r="A2436" s="12" t="s">
        <v>1634</v>
      </c>
      <c r="B2436" s="7" t="s">
        <v>2516</v>
      </c>
    </row>
    <row r="2437" spans="1:2" x14ac:dyDescent="0.25">
      <c r="A2437" s="12" t="s">
        <v>2448</v>
      </c>
      <c r="B2437" s="7" t="s">
        <v>2516</v>
      </c>
    </row>
    <row r="2438" spans="1:2" x14ac:dyDescent="0.25">
      <c r="A2438" s="12" t="s">
        <v>2346</v>
      </c>
      <c r="B2438" s="7" t="s">
        <v>2516</v>
      </c>
    </row>
    <row r="2439" spans="1:2" x14ac:dyDescent="0.25">
      <c r="A2439" s="12" t="s">
        <v>2449</v>
      </c>
      <c r="B2439" s="7" t="s">
        <v>2516</v>
      </c>
    </row>
    <row r="2440" spans="1:2" x14ac:dyDescent="0.25">
      <c r="A2440" s="12" t="s">
        <v>489</v>
      </c>
      <c r="B2440" s="7" t="s">
        <v>2516</v>
      </c>
    </row>
    <row r="2441" spans="1:2" x14ac:dyDescent="0.25">
      <c r="A2441" s="12" t="s">
        <v>1149</v>
      </c>
      <c r="B2441" s="7" t="s">
        <v>2516</v>
      </c>
    </row>
    <row r="2442" spans="1:2" x14ac:dyDescent="0.25">
      <c r="A2442" s="12" t="s">
        <v>729</v>
      </c>
      <c r="B2442" s="7" t="s">
        <v>2516</v>
      </c>
    </row>
    <row r="2443" spans="1:2" x14ac:dyDescent="0.25">
      <c r="A2443" s="12" t="s">
        <v>2359</v>
      </c>
      <c r="B2443" s="7" t="s">
        <v>2516</v>
      </c>
    </row>
    <row r="2444" spans="1:2" x14ac:dyDescent="0.25">
      <c r="A2444" s="12" t="s">
        <v>2450</v>
      </c>
      <c r="B2444" s="7" t="s">
        <v>2516</v>
      </c>
    </row>
    <row r="2445" spans="1:2" x14ac:dyDescent="0.25">
      <c r="A2445" s="12" t="s">
        <v>1635</v>
      </c>
      <c r="B2445" s="7" t="s">
        <v>2516</v>
      </c>
    </row>
    <row r="2446" spans="1:2" x14ac:dyDescent="0.25">
      <c r="A2446" s="12" t="s">
        <v>621</v>
      </c>
      <c r="B2446" s="7" t="s">
        <v>2516</v>
      </c>
    </row>
    <row r="2447" spans="1:2" x14ac:dyDescent="0.25">
      <c r="A2447" s="12" t="s">
        <v>239</v>
      </c>
      <c r="B2447" s="7" t="s">
        <v>2516</v>
      </c>
    </row>
    <row r="2448" spans="1:2" x14ac:dyDescent="0.25">
      <c r="A2448" s="12" t="s">
        <v>384</v>
      </c>
      <c r="B2448" s="7" t="s">
        <v>2516</v>
      </c>
    </row>
    <row r="2449" spans="1:2" x14ac:dyDescent="0.25">
      <c r="A2449" s="12" t="s">
        <v>2367</v>
      </c>
      <c r="B2449" s="7" t="s">
        <v>2516</v>
      </c>
    </row>
    <row r="2450" spans="1:2" x14ac:dyDescent="0.25">
      <c r="A2450" s="12" t="s">
        <v>2451</v>
      </c>
      <c r="B2450" s="7" t="s">
        <v>2516</v>
      </c>
    </row>
    <row r="2451" spans="1:2" x14ac:dyDescent="0.25">
      <c r="A2451" s="12" t="s">
        <v>1638</v>
      </c>
      <c r="B2451" s="7" t="s">
        <v>2516</v>
      </c>
    </row>
    <row r="2452" spans="1:2" x14ac:dyDescent="0.25">
      <c r="A2452" s="12" t="s">
        <v>12</v>
      </c>
      <c r="B2452" s="7" t="s">
        <v>2516</v>
      </c>
    </row>
    <row r="2453" spans="1:2" x14ac:dyDescent="0.25">
      <c r="A2453" s="12" t="s">
        <v>2452</v>
      </c>
      <c r="B2453" s="7" t="s">
        <v>2516</v>
      </c>
    </row>
    <row r="2454" spans="1:2" x14ac:dyDescent="0.25">
      <c r="A2454" s="12" t="s">
        <v>151</v>
      </c>
      <c r="B2454" s="7" t="s">
        <v>2516</v>
      </c>
    </row>
    <row r="2455" spans="1:2" x14ac:dyDescent="0.25">
      <c r="A2455" s="12" t="s">
        <v>2453</v>
      </c>
      <c r="B2455" s="7" t="s">
        <v>2516</v>
      </c>
    </row>
    <row r="2456" spans="1:2" x14ac:dyDescent="0.25">
      <c r="A2456" s="12" t="s">
        <v>2454</v>
      </c>
      <c r="B2456" s="7" t="s">
        <v>2516</v>
      </c>
    </row>
    <row r="2457" spans="1:2" x14ac:dyDescent="0.25">
      <c r="A2457" s="12" t="s">
        <v>165</v>
      </c>
      <c r="B2457" s="7" t="s">
        <v>2516</v>
      </c>
    </row>
    <row r="2458" spans="1:2" x14ac:dyDescent="0.25">
      <c r="A2458" s="12" t="s">
        <v>2455</v>
      </c>
      <c r="B2458" s="7" t="s">
        <v>2516</v>
      </c>
    </row>
    <row r="2459" spans="1:2" x14ac:dyDescent="0.25">
      <c r="A2459" s="12" t="s">
        <v>2456</v>
      </c>
      <c r="B2459" s="7" t="s">
        <v>2516</v>
      </c>
    </row>
    <row r="2460" spans="1:2" x14ac:dyDescent="0.25">
      <c r="A2460" s="12" t="s">
        <v>2457</v>
      </c>
      <c r="B2460" s="7" t="s">
        <v>2516</v>
      </c>
    </row>
    <row r="2461" spans="1:2" x14ac:dyDescent="0.25">
      <c r="A2461" s="12" t="s">
        <v>2458</v>
      </c>
      <c r="B2461" s="7" t="s">
        <v>2516</v>
      </c>
    </row>
    <row r="2462" spans="1:2" x14ac:dyDescent="0.25">
      <c r="A2462" s="12" t="s">
        <v>402</v>
      </c>
      <c r="B2462" s="7" t="s">
        <v>2516</v>
      </c>
    </row>
    <row r="2463" spans="1:2" x14ac:dyDescent="0.25">
      <c r="A2463" s="12" t="s">
        <v>2371</v>
      </c>
      <c r="B2463" s="7" t="s">
        <v>2516</v>
      </c>
    </row>
    <row r="2464" spans="1:2" x14ac:dyDescent="0.25">
      <c r="A2464" s="12" t="s">
        <v>2459</v>
      </c>
      <c r="B2464" s="7" t="s">
        <v>2516</v>
      </c>
    </row>
    <row r="2465" spans="1:2" x14ac:dyDescent="0.25">
      <c r="A2465" s="12" t="s">
        <v>1639</v>
      </c>
      <c r="B2465" s="7" t="s">
        <v>2516</v>
      </c>
    </row>
    <row r="2466" spans="1:2" x14ac:dyDescent="0.25">
      <c r="A2466" s="12" t="s">
        <v>2460</v>
      </c>
      <c r="B2466" s="7" t="s">
        <v>2516</v>
      </c>
    </row>
    <row r="2467" spans="1:2" x14ac:dyDescent="0.25">
      <c r="A2467" s="12" t="s">
        <v>143</v>
      </c>
      <c r="B2467" s="7" t="s">
        <v>2516</v>
      </c>
    </row>
    <row r="2468" spans="1:2" x14ac:dyDescent="0.25">
      <c r="A2468" s="12" t="s">
        <v>2461</v>
      </c>
      <c r="B2468" s="7" t="s">
        <v>2516</v>
      </c>
    </row>
    <row r="2469" spans="1:2" x14ac:dyDescent="0.25">
      <c r="A2469" s="12" t="s">
        <v>2462</v>
      </c>
      <c r="B2469" s="7" t="s">
        <v>2516</v>
      </c>
    </row>
    <row r="2470" spans="1:2" x14ac:dyDescent="0.25">
      <c r="A2470" s="12" t="s">
        <v>64</v>
      </c>
      <c r="B2470" s="7" t="s">
        <v>2516</v>
      </c>
    </row>
    <row r="2471" spans="1:2" x14ac:dyDescent="0.25">
      <c r="A2471" s="12" t="s">
        <v>2463</v>
      </c>
      <c r="B2471" s="7" t="s">
        <v>2516</v>
      </c>
    </row>
    <row r="2472" spans="1:2" x14ac:dyDescent="0.25">
      <c r="A2472" s="12" t="s">
        <v>924</v>
      </c>
      <c r="B2472" s="7" t="s">
        <v>2516</v>
      </c>
    </row>
    <row r="2473" spans="1:2" x14ac:dyDescent="0.25">
      <c r="A2473" s="12" t="s">
        <v>1642</v>
      </c>
      <c r="B2473" s="7" t="s">
        <v>2516</v>
      </c>
    </row>
    <row r="2474" spans="1:2" x14ac:dyDescent="0.25">
      <c r="A2474" s="12" t="s">
        <v>2464</v>
      </c>
      <c r="B2474" s="7" t="s">
        <v>2516</v>
      </c>
    </row>
    <row r="2475" spans="1:2" x14ac:dyDescent="0.25">
      <c r="A2475" s="12" t="s">
        <v>2465</v>
      </c>
      <c r="B2475" s="7" t="s">
        <v>2516</v>
      </c>
    </row>
    <row r="2476" spans="1:2" x14ac:dyDescent="0.25">
      <c r="A2476" s="12" t="s">
        <v>2350</v>
      </c>
      <c r="B2476" s="7" t="s">
        <v>2516</v>
      </c>
    </row>
    <row r="2477" spans="1:2" x14ac:dyDescent="0.25">
      <c r="A2477" s="12" t="s">
        <v>1249</v>
      </c>
      <c r="B2477" s="7" t="s">
        <v>2516</v>
      </c>
    </row>
    <row r="2478" spans="1:2" x14ac:dyDescent="0.25">
      <c r="A2478" s="12" t="s">
        <v>903</v>
      </c>
      <c r="B2478" s="7" t="s">
        <v>2516</v>
      </c>
    </row>
    <row r="2479" spans="1:2" x14ac:dyDescent="0.25">
      <c r="A2479" s="12" t="s">
        <v>117</v>
      </c>
      <c r="B2479" s="7" t="s">
        <v>2516</v>
      </c>
    </row>
    <row r="2480" spans="1:2" x14ac:dyDescent="0.25">
      <c r="A2480" s="12" t="s">
        <v>443</v>
      </c>
      <c r="B2480" s="7" t="s">
        <v>2516</v>
      </c>
    </row>
    <row r="2481" spans="1:2" x14ac:dyDescent="0.25">
      <c r="A2481" s="12" t="s">
        <v>670</v>
      </c>
      <c r="B2481" s="7" t="s">
        <v>2516</v>
      </c>
    </row>
    <row r="2482" spans="1:2" x14ac:dyDescent="0.25">
      <c r="A2482" s="12" t="s">
        <v>2466</v>
      </c>
      <c r="B2482" s="7" t="s">
        <v>2516</v>
      </c>
    </row>
    <row r="2483" spans="1:2" x14ac:dyDescent="0.25">
      <c r="A2483" s="12" t="s">
        <v>2348</v>
      </c>
      <c r="B2483" s="7" t="s">
        <v>2516</v>
      </c>
    </row>
    <row r="2484" spans="1:2" x14ac:dyDescent="0.25">
      <c r="A2484" s="12" t="s">
        <v>101</v>
      </c>
      <c r="B2484" s="7" t="s">
        <v>2516</v>
      </c>
    </row>
    <row r="2485" spans="1:2" x14ac:dyDescent="0.25">
      <c r="A2485" s="12" t="s">
        <v>1644</v>
      </c>
      <c r="B2485" s="7" t="s">
        <v>2516</v>
      </c>
    </row>
    <row r="2486" spans="1:2" x14ac:dyDescent="0.25">
      <c r="A2486" s="12" t="s">
        <v>683</v>
      </c>
      <c r="B2486" s="7" t="s">
        <v>2516</v>
      </c>
    </row>
    <row r="2487" spans="1:2" x14ac:dyDescent="0.25">
      <c r="A2487" s="12" t="s">
        <v>2467</v>
      </c>
      <c r="B2487" s="7" t="s">
        <v>2516</v>
      </c>
    </row>
    <row r="2488" spans="1:2" x14ac:dyDescent="0.25">
      <c r="A2488" s="12" t="s">
        <v>2468</v>
      </c>
      <c r="B2488" s="7" t="s">
        <v>2516</v>
      </c>
    </row>
    <row r="2489" spans="1:2" x14ac:dyDescent="0.25">
      <c r="A2489" s="12" t="s">
        <v>2469</v>
      </c>
      <c r="B2489" s="7" t="s">
        <v>2516</v>
      </c>
    </row>
    <row r="2490" spans="1:2" x14ac:dyDescent="0.25">
      <c r="A2490" s="12" t="s">
        <v>299</v>
      </c>
      <c r="B2490" s="7" t="s">
        <v>2516</v>
      </c>
    </row>
    <row r="2491" spans="1:2" x14ac:dyDescent="0.25">
      <c r="A2491" s="12" t="s">
        <v>2470</v>
      </c>
      <c r="B2491" s="7" t="s">
        <v>2516</v>
      </c>
    </row>
    <row r="2492" spans="1:2" x14ac:dyDescent="0.25">
      <c r="A2492" s="12" t="s">
        <v>1654</v>
      </c>
      <c r="B2492" s="7" t="s">
        <v>2516</v>
      </c>
    </row>
    <row r="2493" spans="1:2" x14ac:dyDescent="0.25">
      <c r="A2493" s="12" t="s">
        <v>2471</v>
      </c>
      <c r="B2493" s="7" t="s">
        <v>2516</v>
      </c>
    </row>
    <row r="2494" spans="1:2" x14ac:dyDescent="0.25">
      <c r="A2494" s="12" t="s">
        <v>1176</v>
      </c>
      <c r="B2494" s="7" t="s">
        <v>2516</v>
      </c>
    </row>
    <row r="2495" spans="1:2" x14ac:dyDescent="0.25">
      <c r="A2495" s="12" t="s">
        <v>2370</v>
      </c>
      <c r="B2495" s="7" t="s">
        <v>2516</v>
      </c>
    </row>
    <row r="2496" spans="1:2" x14ac:dyDescent="0.25">
      <c r="A2496" s="12" t="s">
        <v>2472</v>
      </c>
      <c r="B2496" s="7" t="s">
        <v>2516</v>
      </c>
    </row>
    <row r="2497" spans="1:2" x14ac:dyDescent="0.25">
      <c r="A2497" s="12" t="s">
        <v>2473</v>
      </c>
      <c r="B2497" s="7" t="s">
        <v>2516</v>
      </c>
    </row>
    <row r="2498" spans="1:2" x14ac:dyDescent="0.25">
      <c r="A2498" s="12" t="s">
        <v>328</v>
      </c>
      <c r="B2498" s="7" t="s">
        <v>2516</v>
      </c>
    </row>
    <row r="2499" spans="1:2" x14ac:dyDescent="0.25">
      <c r="A2499" s="12" t="s">
        <v>1653</v>
      </c>
      <c r="B2499" s="7" t="s">
        <v>2516</v>
      </c>
    </row>
    <row r="2500" spans="1:2" x14ac:dyDescent="0.25">
      <c r="A2500" s="12" t="s">
        <v>1660</v>
      </c>
      <c r="B2500" s="7" t="s">
        <v>2516</v>
      </c>
    </row>
    <row r="2501" spans="1:2" x14ac:dyDescent="0.25">
      <c r="A2501" s="12" t="s">
        <v>184</v>
      </c>
      <c r="B2501" s="7" t="s">
        <v>2516</v>
      </c>
    </row>
    <row r="2502" spans="1:2" x14ac:dyDescent="0.25">
      <c r="A2502" s="12" t="s">
        <v>15</v>
      </c>
      <c r="B2502" s="7" t="s">
        <v>2516</v>
      </c>
    </row>
    <row r="2503" spans="1:2" x14ac:dyDescent="0.25">
      <c r="A2503" s="12" t="s">
        <v>156</v>
      </c>
      <c r="B2503" s="7" t="s">
        <v>2516</v>
      </c>
    </row>
    <row r="2504" spans="1:2" x14ac:dyDescent="0.25">
      <c r="A2504" s="12" t="s">
        <v>1655</v>
      </c>
      <c r="B2504" s="7" t="s">
        <v>2516</v>
      </c>
    </row>
    <row r="2505" spans="1:2" x14ac:dyDescent="0.25">
      <c r="A2505" s="12" t="s">
        <v>2474</v>
      </c>
      <c r="B2505" s="7" t="s">
        <v>2516</v>
      </c>
    </row>
    <row r="2506" spans="1:2" x14ac:dyDescent="0.25">
      <c r="A2506" s="12" t="s">
        <v>2475</v>
      </c>
      <c r="B2506" s="7" t="s">
        <v>2516</v>
      </c>
    </row>
    <row r="2507" spans="1:2" x14ac:dyDescent="0.25">
      <c r="A2507" s="12" t="s">
        <v>2476</v>
      </c>
      <c r="B2507" s="7" t="s">
        <v>2516</v>
      </c>
    </row>
    <row r="2508" spans="1:2" x14ac:dyDescent="0.25">
      <c r="A2508" s="12" t="s">
        <v>2353</v>
      </c>
      <c r="B2508" s="7" t="s">
        <v>2516</v>
      </c>
    </row>
    <row r="2509" spans="1:2" x14ac:dyDescent="0.25">
      <c r="A2509" s="12" t="s">
        <v>1659</v>
      </c>
      <c r="B2509" s="7" t="s">
        <v>2516</v>
      </c>
    </row>
    <row r="2510" spans="1:2" x14ac:dyDescent="0.25">
      <c r="A2510" s="12" t="s">
        <v>1198</v>
      </c>
      <c r="B2510" s="7" t="s">
        <v>2516</v>
      </c>
    </row>
    <row r="2511" spans="1:2" x14ac:dyDescent="0.25">
      <c r="A2511" s="12" t="s">
        <v>1662</v>
      </c>
      <c r="B2511" s="7" t="s">
        <v>2516</v>
      </c>
    </row>
    <row r="2512" spans="1:2" x14ac:dyDescent="0.25">
      <c r="A2512" s="12" t="s">
        <v>2356</v>
      </c>
      <c r="B2512" s="7" t="s">
        <v>2516</v>
      </c>
    </row>
    <row r="2513" spans="1:2" x14ac:dyDescent="0.25">
      <c r="A2513" s="12" t="s">
        <v>1665</v>
      </c>
      <c r="B2513" s="7" t="s">
        <v>2516</v>
      </c>
    </row>
    <row r="2514" spans="1:2" x14ac:dyDescent="0.25">
      <c r="A2514" s="12" t="s">
        <v>204</v>
      </c>
      <c r="B2514" s="7" t="s">
        <v>2516</v>
      </c>
    </row>
    <row r="2515" spans="1:2" x14ac:dyDescent="0.25">
      <c r="A2515" s="12" t="s">
        <v>1668</v>
      </c>
      <c r="B2515" s="7" t="s">
        <v>2516</v>
      </c>
    </row>
    <row r="2516" spans="1:2" x14ac:dyDescent="0.25">
      <c r="A2516" s="12" t="s">
        <v>501</v>
      </c>
      <c r="B2516" s="7" t="s">
        <v>2516</v>
      </c>
    </row>
    <row r="2517" spans="1:2" x14ac:dyDescent="0.25">
      <c r="A2517" s="12" t="s">
        <v>1664</v>
      </c>
      <c r="B2517" s="7" t="s">
        <v>2516</v>
      </c>
    </row>
    <row r="2518" spans="1:2" x14ac:dyDescent="0.25">
      <c r="A2518" s="12" t="s">
        <v>1666</v>
      </c>
      <c r="B2518" s="7" t="s">
        <v>2516</v>
      </c>
    </row>
    <row r="2519" spans="1:2" x14ac:dyDescent="0.25">
      <c r="A2519" s="12" t="s">
        <v>1680</v>
      </c>
      <c r="B2519" s="7" t="s">
        <v>2516</v>
      </c>
    </row>
    <row r="2520" spans="1:2" x14ac:dyDescent="0.25">
      <c r="A2520" s="12" t="s">
        <v>682</v>
      </c>
      <c r="B2520" s="7" t="s">
        <v>2516</v>
      </c>
    </row>
    <row r="2521" spans="1:2" x14ac:dyDescent="0.25">
      <c r="A2521" s="12" t="s">
        <v>2477</v>
      </c>
      <c r="B2521" s="7" t="s">
        <v>2516</v>
      </c>
    </row>
    <row r="2522" spans="1:2" x14ac:dyDescent="0.25">
      <c r="A2522" s="12" t="s">
        <v>754</v>
      </c>
      <c r="B2522" s="7" t="s">
        <v>2516</v>
      </c>
    </row>
    <row r="2523" spans="1:2" x14ac:dyDescent="0.25">
      <c r="A2523" s="12" t="s">
        <v>1677</v>
      </c>
      <c r="B2523" s="7" t="s">
        <v>2516</v>
      </c>
    </row>
    <row r="2524" spans="1:2" x14ac:dyDescent="0.25">
      <c r="A2524" s="12" t="s">
        <v>49</v>
      </c>
      <c r="B2524" s="7" t="s">
        <v>2516</v>
      </c>
    </row>
    <row r="2525" spans="1:2" x14ac:dyDescent="0.25">
      <c r="A2525" s="12" t="s">
        <v>87</v>
      </c>
      <c r="B2525" s="7" t="s">
        <v>2516</v>
      </c>
    </row>
    <row r="2526" spans="1:2" x14ac:dyDescent="0.25">
      <c r="A2526" s="12" t="s">
        <v>291</v>
      </c>
      <c r="B2526" s="7" t="s">
        <v>2516</v>
      </c>
    </row>
    <row r="2527" spans="1:2" x14ac:dyDescent="0.25">
      <c r="A2527" s="12" t="s">
        <v>1204</v>
      </c>
      <c r="B2527" s="7" t="s">
        <v>2516</v>
      </c>
    </row>
    <row r="2528" spans="1:2" x14ac:dyDescent="0.25">
      <c r="A2528" s="12" t="s">
        <v>1193</v>
      </c>
      <c r="B2528" s="7" t="s">
        <v>2516</v>
      </c>
    </row>
    <row r="2529" spans="1:2" x14ac:dyDescent="0.25">
      <c r="A2529" s="12" t="s">
        <v>46</v>
      </c>
      <c r="B2529" s="7" t="s">
        <v>2516</v>
      </c>
    </row>
    <row r="2530" spans="1:2" x14ac:dyDescent="0.25">
      <c r="A2530" s="12" t="s">
        <v>1673</v>
      </c>
      <c r="B2530" s="7" t="s">
        <v>2516</v>
      </c>
    </row>
    <row r="2531" spans="1:2" x14ac:dyDescent="0.25">
      <c r="A2531" s="12" t="s">
        <v>68</v>
      </c>
      <c r="B2531" s="7" t="s">
        <v>2516</v>
      </c>
    </row>
    <row r="2532" spans="1:2" x14ac:dyDescent="0.25">
      <c r="A2532" s="12" t="s">
        <v>1669</v>
      </c>
      <c r="B2532" s="7" t="s">
        <v>2516</v>
      </c>
    </row>
    <row r="2533" spans="1:2" x14ac:dyDescent="0.25">
      <c r="A2533" s="12" t="s">
        <v>63</v>
      </c>
      <c r="B2533" s="7" t="s">
        <v>2516</v>
      </c>
    </row>
    <row r="2534" spans="1:2" x14ac:dyDescent="0.25">
      <c r="A2534" s="12" t="s">
        <v>187</v>
      </c>
      <c r="B2534" s="7" t="s">
        <v>2516</v>
      </c>
    </row>
    <row r="2535" spans="1:2" x14ac:dyDescent="0.25">
      <c r="A2535" s="12" t="s">
        <v>1675</v>
      </c>
      <c r="B2535" s="7" t="s">
        <v>2516</v>
      </c>
    </row>
    <row r="2536" spans="1:2" x14ac:dyDescent="0.25">
      <c r="A2536" s="12" t="s">
        <v>2478</v>
      </c>
      <c r="B2536" s="7" t="s">
        <v>2516</v>
      </c>
    </row>
    <row r="2537" spans="1:2" x14ac:dyDescent="0.25">
      <c r="A2537" s="12" t="s">
        <v>2479</v>
      </c>
      <c r="B2537" s="7" t="s">
        <v>2516</v>
      </c>
    </row>
    <row r="2538" spans="1:2" x14ac:dyDescent="0.25">
      <c r="A2538" s="12" t="s">
        <v>1125</v>
      </c>
      <c r="B2538" s="7" t="s">
        <v>2516</v>
      </c>
    </row>
    <row r="2539" spans="1:2" x14ac:dyDescent="0.25">
      <c r="A2539" s="12" t="s">
        <v>2480</v>
      </c>
      <c r="B2539" s="7" t="s">
        <v>2516</v>
      </c>
    </row>
    <row r="2540" spans="1:2" x14ac:dyDescent="0.25">
      <c r="A2540" s="12" t="s">
        <v>1069</v>
      </c>
      <c r="B2540" s="7" t="s">
        <v>2516</v>
      </c>
    </row>
    <row r="2541" spans="1:2" x14ac:dyDescent="0.25">
      <c r="A2541" s="12" t="s">
        <v>1681</v>
      </c>
      <c r="B2541" s="7" t="s">
        <v>2516</v>
      </c>
    </row>
    <row r="2542" spans="1:2" x14ac:dyDescent="0.25">
      <c r="A2542" s="12" t="s">
        <v>2481</v>
      </c>
      <c r="B2542" s="7" t="s">
        <v>2516</v>
      </c>
    </row>
    <row r="2543" spans="1:2" x14ac:dyDescent="0.25">
      <c r="A2543" s="12" t="s">
        <v>233</v>
      </c>
      <c r="B2543" s="7" t="s">
        <v>2516</v>
      </c>
    </row>
    <row r="2544" spans="1:2" x14ac:dyDescent="0.25">
      <c r="A2544" s="12" t="s">
        <v>2482</v>
      </c>
      <c r="B2544" s="7" t="s">
        <v>2516</v>
      </c>
    </row>
    <row r="2545" spans="1:2" x14ac:dyDescent="0.25">
      <c r="A2545" s="12" t="s">
        <v>2483</v>
      </c>
      <c r="B2545" s="7" t="s">
        <v>2516</v>
      </c>
    </row>
    <row r="2546" spans="1:2" x14ac:dyDescent="0.25">
      <c r="A2546" s="12" t="s">
        <v>1084</v>
      </c>
      <c r="B2546" s="7" t="s">
        <v>2516</v>
      </c>
    </row>
    <row r="2547" spans="1:2" x14ac:dyDescent="0.25">
      <c r="A2547" s="12" t="s">
        <v>586</v>
      </c>
      <c r="B2547" s="7" t="s">
        <v>2516</v>
      </c>
    </row>
    <row r="2548" spans="1:2" x14ac:dyDescent="0.25">
      <c r="A2548" s="12" t="s">
        <v>1688</v>
      </c>
      <c r="B2548" s="7" t="s">
        <v>2516</v>
      </c>
    </row>
    <row r="2549" spans="1:2" x14ac:dyDescent="0.25">
      <c r="A2549" s="12" t="s">
        <v>906</v>
      </c>
      <c r="B2549" s="7" t="s">
        <v>2516</v>
      </c>
    </row>
    <row r="2550" spans="1:2" x14ac:dyDescent="0.25">
      <c r="A2550" s="12" t="s">
        <v>2484</v>
      </c>
      <c r="B2550" s="7" t="s">
        <v>2516</v>
      </c>
    </row>
    <row r="2551" spans="1:2" x14ac:dyDescent="0.25">
      <c r="A2551" s="12" t="s">
        <v>1694</v>
      </c>
      <c r="B2551" s="7" t="s">
        <v>2516</v>
      </c>
    </row>
    <row r="2552" spans="1:2" x14ac:dyDescent="0.25">
      <c r="A2552" s="12" t="s">
        <v>1695</v>
      </c>
      <c r="B2552" s="7" t="s">
        <v>2516</v>
      </c>
    </row>
    <row r="2553" spans="1:2" x14ac:dyDescent="0.25">
      <c r="A2553" s="12" t="s">
        <v>1142</v>
      </c>
      <c r="B2553" s="7" t="s">
        <v>2516</v>
      </c>
    </row>
    <row r="2554" spans="1:2" x14ac:dyDescent="0.25">
      <c r="A2554" s="12" t="s">
        <v>1274</v>
      </c>
      <c r="B2554" s="7" t="s">
        <v>2516</v>
      </c>
    </row>
    <row r="2555" spans="1:2" x14ac:dyDescent="0.25">
      <c r="A2555" s="12" t="s">
        <v>2485</v>
      </c>
      <c r="B2555" s="7" t="s">
        <v>2516</v>
      </c>
    </row>
    <row r="2556" spans="1:2" x14ac:dyDescent="0.25">
      <c r="A2556" s="12" t="s">
        <v>1696</v>
      </c>
      <c r="B2556" s="7" t="s">
        <v>2516</v>
      </c>
    </row>
    <row r="2557" spans="1:2" x14ac:dyDescent="0.25">
      <c r="A2557" s="12" t="s">
        <v>2486</v>
      </c>
      <c r="B2557" s="7" t="s">
        <v>2516</v>
      </c>
    </row>
    <row r="2558" spans="1:2" x14ac:dyDescent="0.25">
      <c r="A2558" s="12" t="s">
        <v>2487</v>
      </c>
      <c r="B2558" s="7" t="s">
        <v>2516</v>
      </c>
    </row>
    <row r="2559" spans="1:2" x14ac:dyDescent="0.25">
      <c r="A2559" s="12" t="s">
        <v>1112</v>
      </c>
      <c r="B2559" s="7" t="s">
        <v>2516</v>
      </c>
    </row>
    <row r="2560" spans="1:2" x14ac:dyDescent="0.25">
      <c r="A2560" s="12" t="s">
        <v>1690</v>
      </c>
      <c r="B2560" s="7" t="s">
        <v>2516</v>
      </c>
    </row>
    <row r="2561" spans="1:2" x14ac:dyDescent="0.25">
      <c r="A2561" s="12" t="s">
        <v>1697</v>
      </c>
      <c r="B2561" s="7" t="s">
        <v>2516</v>
      </c>
    </row>
    <row r="2562" spans="1:2" x14ac:dyDescent="0.25">
      <c r="A2562" s="12" t="s">
        <v>316</v>
      </c>
      <c r="B2562" s="7" t="s">
        <v>2516</v>
      </c>
    </row>
    <row r="2563" spans="1:2" x14ac:dyDescent="0.25">
      <c r="A2563" s="12" t="s">
        <v>2488</v>
      </c>
      <c r="B2563" s="7" t="s">
        <v>2516</v>
      </c>
    </row>
    <row r="2564" spans="1:2" x14ac:dyDescent="0.25">
      <c r="A2564" s="12" t="s">
        <v>182</v>
      </c>
      <c r="B2564" s="7" t="s">
        <v>2516</v>
      </c>
    </row>
    <row r="2565" spans="1:2" x14ac:dyDescent="0.25">
      <c r="A2565" s="12" t="s">
        <v>359</v>
      </c>
      <c r="B2565" s="7" t="s">
        <v>2516</v>
      </c>
    </row>
    <row r="2566" spans="1:2" x14ac:dyDescent="0.25">
      <c r="A2566" s="12" t="s">
        <v>76</v>
      </c>
      <c r="B2566" s="7" t="s">
        <v>2516</v>
      </c>
    </row>
    <row r="2567" spans="1:2" x14ac:dyDescent="0.25">
      <c r="A2567" s="12" t="s">
        <v>1121</v>
      </c>
      <c r="B2567" s="7" t="s">
        <v>2516</v>
      </c>
    </row>
    <row r="2568" spans="1:2" x14ac:dyDescent="0.25">
      <c r="A2568" s="12" t="s">
        <v>1195</v>
      </c>
      <c r="B2568" s="7" t="s">
        <v>2516</v>
      </c>
    </row>
    <row r="2569" spans="1:2" x14ac:dyDescent="0.25">
      <c r="A2569" s="12" t="s">
        <v>1214</v>
      </c>
      <c r="B2569" s="7" t="s">
        <v>2516</v>
      </c>
    </row>
    <row r="2570" spans="1:2" x14ac:dyDescent="0.25">
      <c r="A2570" s="12" t="s">
        <v>1124</v>
      </c>
      <c r="B2570" s="7" t="s">
        <v>2516</v>
      </c>
    </row>
    <row r="2571" spans="1:2" x14ac:dyDescent="0.25">
      <c r="A2571" s="12" t="s">
        <v>544</v>
      </c>
      <c r="B2571" s="7" t="s">
        <v>2516</v>
      </c>
    </row>
    <row r="2572" spans="1:2" x14ac:dyDescent="0.25">
      <c r="A2572" s="12" t="s">
        <v>2489</v>
      </c>
      <c r="B2572" s="7" t="s">
        <v>2516</v>
      </c>
    </row>
    <row r="2573" spans="1:2" x14ac:dyDescent="0.25">
      <c r="A2573" s="12" t="s">
        <v>797</v>
      </c>
      <c r="B2573" s="7" t="s">
        <v>2516</v>
      </c>
    </row>
    <row r="2574" spans="1:2" x14ac:dyDescent="0.25">
      <c r="A2574" s="12" t="s">
        <v>1702</v>
      </c>
      <c r="B2574" s="7" t="s">
        <v>2516</v>
      </c>
    </row>
    <row r="2575" spans="1:2" x14ac:dyDescent="0.25">
      <c r="A2575" s="12" t="s">
        <v>2490</v>
      </c>
      <c r="B2575" s="7" t="s">
        <v>2516</v>
      </c>
    </row>
    <row r="2576" spans="1:2" x14ac:dyDescent="0.25">
      <c r="A2576" s="12" t="s">
        <v>2491</v>
      </c>
      <c r="B2576" s="7" t="s">
        <v>2516</v>
      </c>
    </row>
    <row r="2577" spans="1:2" x14ac:dyDescent="0.25">
      <c r="A2577" s="12" t="s">
        <v>430</v>
      </c>
      <c r="B2577" s="7" t="s">
        <v>2516</v>
      </c>
    </row>
    <row r="2578" spans="1:2" x14ac:dyDescent="0.25">
      <c r="A2578" s="12" t="s">
        <v>1710</v>
      </c>
      <c r="B2578" s="7" t="s">
        <v>2516</v>
      </c>
    </row>
    <row r="2579" spans="1:2" x14ac:dyDescent="0.25">
      <c r="A2579" s="12" t="s">
        <v>522</v>
      </c>
      <c r="B2579" s="7" t="s">
        <v>2516</v>
      </c>
    </row>
    <row r="2580" spans="1:2" x14ac:dyDescent="0.25">
      <c r="A2580" s="12" t="s">
        <v>128</v>
      </c>
      <c r="B2580" s="7" t="s">
        <v>2516</v>
      </c>
    </row>
    <row r="2581" spans="1:2" x14ac:dyDescent="0.25">
      <c r="A2581" s="12" t="s">
        <v>10</v>
      </c>
      <c r="B2581" s="7" t="s">
        <v>2516</v>
      </c>
    </row>
    <row r="2582" spans="1:2" x14ac:dyDescent="0.25">
      <c r="A2582" s="12" t="s">
        <v>2492</v>
      </c>
      <c r="B2582" s="7" t="s">
        <v>2516</v>
      </c>
    </row>
    <row r="2583" spans="1:2" x14ac:dyDescent="0.25">
      <c r="A2583" s="12" t="s">
        <v>828</v>
      </c>
      <c r="B2583" s="7" t="s">
        <v>2516</v>
      </c>
    </row>
    <row r="2584" spans="1:2" x14ac:dyDescent="0.25">
      <c r="A2584" s="12" t="s">
        <v>2493</v>
      </c>
      <c r="B2584" s="7" t="s">
        <v>2516</v>
      </c>
    </row>
    <row r="2585" spans="1:2" x14ac:dyDescent="0.25">
      <c r="A2585" s="12" t="s">
        <v>439</v>
      </c>
      <c r="B2585" s="7" t="s">
        <v>2516</v>
      </c>
    </row>
    <row r="2586" spans="1:2" x14ac:dyDescent="0.25">
      <c r="A2586" s="12" t="s">
        <v>2494</v>
      </c>
      <c r="B2586" s="7" t="s">
        <v>2516</v>
      </c>
    </row>
    <row r="2587" spans="1:2" x14ac:dyDescent="0.25">
      <c r="A2587" s="12" t="s">
        <v>270</v>
      </c>
      <c r="B2587" s="7" t="s">
        <v>2516</v>
      </c>
    </row>
    <row r="2588" spans="1:2" x14ac:dyDescent="0.25">
      <c r="A2588" s="12" t="s">
        <v>177</v>
      </c>
      <c r="B2588" s="7" t="s">
        <v>2516</v>
      </c>
    </row>
    <row r="2589" spans="1:2" x14ac:dyDescent="0.25">
      <c r="A2589" s="12" t="s">
        <v>1096</v>
      </c>
      <c r="B2589" s="7" t="s">
        <v>2516</v>
      </c>
    </row>
    <row r="2590" spans="1:2" x14ac:dyDescent="0.25">
      <c r="A2590" s="12" t="s">
        <v>1721</v>
      </c>
      <c r="B2590" s="7" t="s">
        <v>2516</v>
      </c>
    </row>
    <row r="2591" spans="1:2" x14ac:dyDescent="0.25">
      <c r="A2591" s="12" t="s">
        <v>1156</v>
      </c>
      <c r="B2591" s="7" t="s">
        <v>2516</v>
      </c>
    </row>
    <row r="2592" spans="1:2" x14ac:dyDescent="0.25">
      <c r="A2592" s="12" t="s">
        <v>1716</v>
      </c>
      <c r="B2592" s="7" t="s">
        <v>2516</v>
      </c>
    </row>
    <row r="2593" spans="1:2" x14ac:dyDescent="0.25">
      <c r="A2593" s="12" t="s">
        <v>2366</v>
      </c>
      <c r="B2593" s="7" t="s">
        <v>2516</v>
      </c>
    </row>
    <row r="2594" spans="1:2" x14ac:dyDescent="0.25">
      <c r="A2594" s="12" t="s">
        <v>1723</v>
      </c>
      <c r="B2594" s="7" t="s">
        <v>2516</v>
      </c>
    </row>
    <row r="2595" spans="1:2" x14ac:dyDescent="0.25">
      <c r="A2595" s="12" t="s">
        <v>2495</v>
      </c>
      <c r="B2595" s="7" t="s">
        <v>2516</v>
      </c>
    </row>
    <row r="2596" spans="1:2" x14ac:dyDescent="0.25">
      <c r="A2596" s="12" t="s">
        <v>308</v>
      </c>
      <c r="B2596" s="7" t="s">
        <v>2516</v>
      </c>
    </row>
    <row r="2597" spans="1:2" x14ac:dyDescent="0.25">
      <c r="A2597" s="12" t="s">
        <v>422</v>
      </c>
      <c r="B2597" s="7" t="s">
        <v>2516</v>
      </c>
    </row>
    <row r="2598" spans="1:2" x14ac:dyDescent="0.25">
      <c r="A2598" s="12" t="s">
        <v>1722</v>
      </c>
      <c r="B2598" s="7" t="s">
        <v>2516</v>
      </c>
    </row>
    <row r="2599" spans="1:2" x14ac:dyDescent="0.25">
      <c r="A2599" s="12" t="s">
        <v>1103</v>
      </c>
      <c r="B2599" s="7" t="s">
        <v>2516</v>
      </c>
    </row>
    <row r="2600" spans="1:2" x14ac:dyDescent="0.25">
      <c r="A2600" s="12" t="s">
        <v>2496</v>
      </c>
      <c r="B2600" s="7" t="s">
        <v>2516</v>
      </c>
    </row>
    <row r="2601" spans="1:2" x14ac:dyDescent="0.25">
      <c r="A2601" s="12" t="s">
        <v>539</v>
      </c>
      <c r="B2601" s="7" t="s">
        <v>2516</v>
      </c>
    </row>
    <row r="2602" spans="1:2" x14ac:dyDescent="0.25">
      <c r="A2602" s="12" t="s">
        <v>459</v>
      </c>
      <c r="B2602" s="7" t="s">
        <v>2516</v>
      </c>
    </row>
    <row r="2603" spans="1:2" x14ac:dyDescent="0.25">
      <c r="A2603" s="12" t="s">
        <v>1731</v>
      </c>
      <c r="B2603" s="7" t="s">
        <v>2516</v>
      </c>
    </row>
    <row r="2604" spans="1:2" x14ac:dyDescent="0.25">
      <c r="A2604" s="12" t="s">
        <v>647</v>
      </c>
      <c r="B2604" s="7" t="s">
        <v>2516</v>
      </c>
    </row>
    <row r="2605" spans="1:2" x14ac:dyDescent="0.25">
      <c r="A2605" s="12" t="s">
        <v>506</v>
      </c>
      <c r="B2605" s="7" t="s">
        <v>2516</v>
      </c>
    </row>
    <row r="2606" spans="1:2" x14ac:dyDescent="0.25">
      <c r="A2606" s="12" t="s">
        <v>1737</v>
      </c>
      <c r="B2606" s="7" t="s">
        <v>2516</v>
      </c>
    </row>
    <row r="2607" spans="1:2" x14ac:dyDescent="0.25">
      <c r="A2607" s="12" t="s">
        <v>1735</v>
      </c>
      <c r="B2607" s="7" t="s">
        <v>2516</v>
      </c>
    </row>
    <row r="2608" spans="1:2" x14ac:dyDescent="0.25">
      <c r="A2608" s="12" t="s">
        <v>281</v>
      </c>
      <c r="B2608" s="7" t="s">
        <v>2516</v>
      </c>
    </row>
    <row r="2609" spans="1:2" x14ac:dyDescent="0.25">
      <c r="A2609" s="12" t="s">
        <v>2497</v>
      </c>
      <c r="B2609" s="7" t="s">
        <v>2516</v>
      </c>
    </row>
    <row r="2610" spans="1:2" x14ac:dyDescent="0.25">
      <c r="A2610" s="12" t="s">
        <v>2351</v>
      </c>
      <c r="B2610" s="7" t="s">
        <v>2516</v>
      </c>
    </row>
    <row r="2611" spans="1:2" x14ac:dyDescent="0.25">
      <c r="A2611" s="12" t="s">
        <v>126</v>
      </c>
      <c r="B2611" s="7" t="s">
        <v>2516</v>
      </c>
    </row>
    <row r="2612" spans="1:2" x14ac:dyDescent="0.25">
      <c r="A2612" s="12" t="s">
        <v>2498</v>
      </c>
      <c r="B2612" s="7" t="s">
        <v>2516</v>
      </c>
    </row>
    <row r="2613" spans="1:2" x14ac:dyDescent="0.25">
      <c r="A2613" s="12" t="s">
        <v>1745</v>
      </c>
      <c r="B2613" s="7" t="s">
        <v>2516</v>
      </c>
    </row>
    <row r="2614" spans="1:2" x14ac:dyDescent="0.25">
      <c r="A2614" s="12" t="s">
        <v>2499</v>
      </c>
      <c r="B2614" s="7" t="s">
        <v>2516</v>
      </c>
    </row>
    <row r="2615" spans="1:2" x14ac:dyDescent="0.25">
      <c r="A2615" s="12" t="s">
        <v>2500</v>
      </c>
      <c r="B2615" s="7" t="s">
        <v>2516</v>
      </c>
    </row>
    <row r="2616" spans="1:2" x14ac:dyDescent="0.25">
      <c r="A2616" s="12" t="s">
        <v>1752</v>
      </c>
      <c r="B2616" s="7" t="s">
        <v>2516</v>
      </c>
    </row>
    <row r="2617" spans="1:2" x14ac:dyDescent="0.25">
      <c r="A2617" s="12" t="s">
        <v>346</v>
      </c>
      <c r="B2617" s="7" t="s">
        <v>2516</v>
      </c>
    </row>
    <row r="2618" spans="1:2" x14ac:dyDescent="0.25">
      <c r="A2618" s="12" t="s">
        <v>1749</v>
      </c>
      <c r="B2618" s="7" t="s">
        <v>2516</v>
      </c>
    </row>
    <row r="2619" spans="1:2" x14ac:dyDescent="0.25">
      <c r="A2619" s="12" t="s">
        <v>1751</v>
      </c>
      <c r="B2619" s="7" t="s">
        <v>2516</v>
      </c>
    </row>
    <row r="2620" spans="1:2" x14ac:dyDescent="0.25">
      <c r="A2620" s="12" t="s">
        <v>2501</v>
      </c>
      <c r="B2620" s="7" t="s">
        <v>2516</v>
      </c>
    </row>
    <row r="2621" spans="1:2" x14ac:dyDescent="0.25">
      <c r="A2621" s="12" t="s">
        <v>1750</v>
      </c>
      <c r="B2621" s="7" t="s">
        <v>2516</v>
      </c>
    </row>
    <row r="2622" spans="1:2" x14ac:dyDescent="0.25">
      <c r="A2622" s="12" t="s">
        <v>41</v>
      </c>
      <c r="B2622" s="7" t="s">
        <v>2516</v>
      </c>
    </row>
    <row r="2623" spans="1:2" x14ac:dyDescent="0.25">
      <c r="A2623" s="12" t="s">
        <v>2360</v>
      </c>
      <c r="B2623" s="7" t="s">
        <v>2516</v>
      </c>
    </row>
    <row r="2624" spans="1:2" x14ac:dyDescent="0.25">
      <c r="A2624" s="12" t="s">
        <v>1784</v>
      </c>
      <c r="B2624" s="7" t="s">
        <v>2516</v>
      </c>
    </row>
    <row r="2625" spans="1:2" x14ac:dyDescent="0.25">
      <c r="A2625" s="12" t="s">
        <v>2502</v>
      </c>
      <c r="B2625" s="7" t="s">
        <v>2516</v>
      </c>
    </row>
    <row r="2626" spans="1:2" x14ac:dyDescent="0.25">
      <c r="A2626" s="12" t="s">
        <v>537</v>
      </c>
      <c r="B2626" s="7" t="s">
        <v>2516</v>
      </c>
    </row>
    <row r="2627" spans="1:2" x14ac:dyDescent="0.25">
      <c r="A2627" s="12" t="s">
        <v>2503</v>
      </c>
      <c r="B2627" s="7" t="s">
        <v>2516</v>
      </c>
    </row>
    <row r="2628" spans="1:2" x14ac:dyDescent="0.25">
      <c r="A2628" s="12" t="s">
        <v>97</v>
      </c>
      <c r="B2628" s="7" t="s">
        <v>2516</v>
      </c>
    </row>
    <row r="2629" spans="1:2" x14ac:dyDescent="0.25">
      <c r="A2629" s="12" t="s">
        <v>295</v>
      </c>
      <c r="B2629" s="7" t="s">
        <v>2516</v>
      </c>
    </row>
    <row r="2630" spans="1:2" x14ac:dyDescent="0.25">
      <c r="A2630" s="12" t="s">
        <v>1772</v>
      </c>
      <c r="B2630" s="7" t="s">
        <v>2516</v>
      </c>
    </row>
    <row r="2631" spans="1:2" x14ac:dyDescent="0.25">
      <c r="A2631" s="12" t="s">
        <v>1758</v>
      </c>
      <c r="B2631" s="7" t="s">
        <v>2516</v>
      </c>
    </row>
    <row r="2632" spans="1:2" x14ac:dyDescent="0.25">
      <c r="A2632" s="12" t="s">
        <v>2504</v>
      </c>
      <c r="B2632" s="7" t="s">
        <v>2516</v>
      </c>
    </row>
    <row r="2633" spans="1:2" x14ac:dyDescent="0.25">
      <c r="A2633" s="12" t="s">
        <v>1781</v>
      </c>
      <c r="B2633" s="7" t="s">
        <v>2516</v>
      </c>
    </row>
    <row r="2634" spans="1:2" x14ac:dyDescent="0.25">
      <c r="A2634" s="12" t="s">
        <v>2505</v>
      </c>
      <c r="B2634" s="7" t="s">
        <v>2516</v>
      </c>
    </row>
    <row r="2635" spans="1:2" x14ac:dyDescent="0.25">
      <c r="A2635" s="12" t="s">
        <v>792</v>
      </c>
      <c r="B2635" s="7" t="s">
        <v>2516</v>
      </c>
    </row>
    <row r="2636" spans="1:2" x14ac:dyDescent="0.25">
      <c r="A2636" s="12" t="s">
        <v>2506</v>
      </c>
      <c r="B2636" s="7" t="s">
        <v>2516</v>
      </c>
    </row>
    <row r="2637" spans="1:2" x14ac:dyDescent="0.25">
      <c r="A2637" s="12" t="s">
        <v>1756</v>
      </c>
      <c r="B2637" s="7" t="s">
        <v>2516</v>
      </c>
    </row>
    <row r="2638" spans="1:2" x14ac:dyDescent="0.25">
      <c r="A2638" s="12" t="s">
        <v>2507</v>
      </c>
      <c r="B2638" s="7" t="s">
        <v>2516</v>
      </c>
    </row>
    <row r="2639" spans="1:2" x14ac:dyDescent="0.25">
      <c r="A2639" s="12" t="s">
        <v>1759</v>
      </c>
      <c r="B2639" s="7" t="s">
        <v>2516</v>
      </c>
    </row>
    <row r="2640" spans="1:2" x14ac:dyDescent="0.25">
      <c r="A2640" s="12" t="s">
        <v>2508</v>
      </c>
      <c r="B2640" s="7" t="s">
        <v>2516</v>
      </c>
    </row>
    <row r="2641" spans="1:2" x14ac:dyDescent="0.25">
      <c r="A2641" s="12" t="s">
        <v>473</v>
      </c>
      <c r="B2641" s="7" t="s">
        <v>2516</v>
      </c>
    </row>
    <row r="2642" spans="1:2" x14ac:dyDescent="0.25">
      <c r="A2642" s="12" t="s">
        <v>453</v>
      </c>
      <c r="B2642" s="7" t="s">
        <v>2516</v>
      </c>
    </row>
    <row r="2643" spans="1:2" x14ac:dyDescent="0.25">
      <c r="A2643" s="12" t="s">
        <v>2509</v>
      </c>
      <c r="B2643" s="7" t="s">
        <v>2516</v>
      </c>
    </row>
    <row r="2644" spans="1:2" x14ac:dyDescent="0.25">
      <c r="A2644" s="12" t="s">
        <v>731</v>
      </c>
      <c r="B2644" s="7" t="s">
        <v>2516</v>
      </c>
    </row>
    <row r="2645" spans="1:2" x14ac:dyDescent="0.25">
      <c r="A2645" s="12" t="s">
        <v>2510</v>
      </c>
      <c r="B2645" s="7" t="s">
        <v>2516</v>
      </c>
    </row>
    <row r="2646" spans="1:2" x14ac:dyDescent="0.25">
      <c r="A2646" s="12" t="s">
        <v>956</v>
      </c>
      <c r="B2646" s="7" t="s">
        <v>2516</v>
      </c>
    </row>
    <row r="2647" spans="1:2" x14ac:dyDescent="0.25">
      <c r="A2647" s="12" t="s">
        <v>111</v>
      </c>
      <c r="B2647" s="7" t="s">
        <v>2516</v>
      </c>
    </row>
    <row r="2648" spans="1:2" x14ac:dyDescent="0.25">
      <c r="A2648" s="12" t="s">
        <v>35</v>
      </c>
      <c r="B2648" s="7" t="s">
        <v>2516</v>
      </c>
    </row>
    <row r="2649" spans="1:2" x14ac:dyDescent="0.25">
      <c r="A2649" s="12" t="s">
        <v>1793</v>
      </c>
      <c r="B2649" s="7" t="s">
        <v>2516</v>
      </c>
    </row>
    <row r="2650" spans="1:2" x14ac:dyDescent="0.25">
      <c r="A2650" s="12" t="s">
        <v>399</v>
      </c>
      <c r="B2650" s="7" t="s">
        <v>2516</v>
      </c>
    </row>
    <row r="2651" spans="1:2" x14ac:dyDescent="0.25">
      <c r="A2651" s="12" t="s">
        <v>2368</v>
      </c>
      <c r="B2651" s="7" t="s">
        <v>2516</v>
      </c>
    </row>
    <row r="2652" spans="1:2" x14ac:dyDescent="0.25">
      <c r="A2652" s="12" t="s">
        <v>2511</v>
      </c>
      <c r="B2652" s="7" t="s">
        <v>2516</v>
      </c>
    </row>
    <row r="2653" spans="1:2" x14ac:dyDescent="0.25">
      <c r="A2653" s="12" t="s">
        <v>628</v>
      </c>
      <c r="B2653" s="7" t="s">
        <v>2516</v>
      </c>
    </row>
    <row r="2654" spans="1:2" x14ac:dyDescent="0.25">
      <c r="A2654" s="12" t="s">
        <v>157</v>
      </c>
      <c r="B2654" s="7" t="s">
        <v>2516</v>
      </c>
    </row>
    <row r="2655" spans="1:2" x14ac:dyDescent="0.25">
      <c r="A2655" s="12" t="s">
        <v>1812</v>
      </c>
      <c r="B2655" s="7" t="s">
        <v>2516</v>
      </c>
    </row>
    <row r="2656" spans="1:2" x14ac:dyDescent="0.25">
      <c r="A2656" s="12" t="s">
        <v>475</v>
      </c>
      <c r="B2656" s="7" t="s">
        <v>2516</v>
      </c>
    </row>
    <row r="2657" spans="1:2" x14ac:dyDescent="0.25">
      <c r="A2657" s="12" t="s">
        <v>274</v>
      </c>
      <c r="B2657" s="7" t="s">
        <v>2516</v>
      </c>
    </row>
    <row r="2658" spans="1:2" x14ac:dyDescent="0.25">
      <c r="A2658" s="12" t="s">
        <v>1834</v>
      </c>
      <c r="B2658" s="7" t="s">
        <v>2516</v>
      </c>
    </row>
    <row r="2659" spans="1:2" x14ac:dyDescent="0.25">
      <c r="A2659" s="12" t="s">
        <v>726</v>
      </c>
      <c r="B2659" s="7" t="s">
        <v>2516</v>
      </c>
    </row>
    <row r="2660" spans="1:2" x14ac:dyDescent="0.25">
      <c r="A2660" s="12" t="s">
        <v>1162</v>
      </c>
      <c r="B2660" s="7" t="s">
        <v>2516</v>
      </c>
    </row>
    <row r="2661" spans="1:2" x14ac:dyDescent="0.25">
      <c r="A2661" s="12" t="s">
        <v>195</v>
      </c>
      <c r="B2661" s="7" t="s">
        <v>2516</v>
      </c>
    </row>
    <row r="2662" spans="1:2" x14ac:dyDescent="0.25">
      <c r="A2662" s="12" t="s">
        <v>1159</v>
      </c>
      <c r="B2662" s="7" t="s">
        <v>2516</v>
      </c>
    </row>
    <row r="2663" spans="1:2" x14ac:dyDescent="0.25">
      <c r="A2663" s="12" t="s">
        <v>2512</v>
      </c>
      <c r="B2663" s="7" t="s">
        <v>2516</v>
      </c>
    </row>
    <row r="2664" spans="1:2" x14ac:dyDescent="0.25">
      <c r="A2664" s="12" t="s">
        <v>193</v>
      </c>
      <c r="B2664" s="7" t="s">
        <v>2516</v>
      </c>
    </row>
    <row r="2665" spans="1:2" x14ac:dyDescent="0.25">
      <c r="A2665" s="12" t="s">
        <v>981</v>
      </c>
      <c r="B2665" s="7" t="s">
        <v>2516</v>
      </c>
    </row>
    <row r="2666" spans="1:2" x14ac:dyDescent="0.25">
      <c r="A2666" s="12" t="s">
        <v>2513</v>
      </c>
      <c r="B2666" s="7" t="s">
        <v>2516</v>
      </c>
    </row>
    <row r="2667" spans="1:2" x14ac:dyDescent="0.25">
      <c r="A2667" s="12" t="s">
        <v>2354</v>
      </c>
      <c r="B2667" s="7" t="s">
        <v>2516</v>
      </c>
    </row>
    <row r="2668" spans="1:2" x14ac:dyDescent="0.25">
      <c r="A2668" s="12" t="s">
        <v>576</v>
      </c>
      <c r="B2668" s="7" t="s">
        <v>2516</v>
      </c>
    </row>
    <row r="2669" spans="1:2" x14ac:dyDescent="0.25">
      <c r="A2669" s="12" t="s">
        <v>2514</v>
      </c>
      <c r="B2669" s="7" t="s">
        <v>2516</v>
      </c>
    </row>
    <row r="2670" spans="1:2" x14ac:dyDescent="0.25">
      <c r="A2670" s="12" t="s">
        <v>1207</v>
      </c>
      <c r="B2670" s="7" t="s">
        <v>2516</v>
      </c>
    </row>
    <row r="2671" spans="1:2" x14ac:dyDescent="0.25">
      <c r="A2671" s="12" t="s">
        <v>307</v>
      </c>
      <c r="B2671" s="7" t="s">
        <v>2516</v>
      </c>
    </row>
    <row r="2672" spans="1:2" x14ac:dyDescent="0.25">
      <c r="A2672" s="12" t="s">
        <v>2515</v>
      </c>
      <c r="B2672" s="7" t="s">
        <v>2516</v>
      </c>
    </row>
    <row r="2673" spans="1:2" x14ac:dyDescent="0.25">
      <c r="A2673" s="12" t="s">
        <v>1677</v>
      </c>
      <c r="B2673" s="7" t="s">
        <v>2516</v>
      </c>
    </row>
    <row r="2674" spans="1:2" x14ac:dyDescent="0.25">
      <c r="A2674" s="12" t="s">
        <v>577</v>
      </c>
      <c r="B2674" s="7" t="s">
        <v>2516</v>
      </c>
    </row>
    <row r="2675" spans="1:2" x14ac:dyDescent="0.25">
      <c r="A2675" s="12" t="s">
        <v>2392</v>
      </c>
      <c r="B2675" s="7" t="s">
        <v>2516</v>
      </c>
    </row>
    <row r="2676" spans="1:2" x14ac:dyDescent="0.25">
      <c r="A2676" s="12" t="s">
        <v>2503</v>
      </c>
      <c r="B2676" s="7" t="s">
        <v>2516</v>
      </c>
    </row>
  </sheetData>
  <autoFilter ref="A1:D2676" xr:uid="{23CE0F13-DC4F-4506-91B1-22EDD6E76CFB}"/>
  <phoneticPr fontId="1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CA93-ECEA-4BF7-B750-78A14DE8E319}">
  <sheetPr>
    <tabColor theme="0" tint="-0.499984740745262"/>
  </sheetPr>
  <dimension ref="A1:B61"/>
  <sheetViews>
    <sheetView workbookViewId="0">
      <selection activeCell="F30" sqref="F30"/>
    </sheetView>
  </sheetViews>
  <sheetFormatPr defaultRowHeight="15" x14ac:dyDescent="0.25"/>
  <cols>
    <col min="1" max="1" width="13.42578125" bestFit="1" customWidth="1"/>
    <col min="2" max="2" width="17.28515625" bestFit="1" customWidth="1"/>
  </cols>
  <sheetData>
    <row r="1" spans="1:2" x14ac:dyDescent="0.25">
      <c r="A1" s="40" t="s">
        <v>1614</v>
      </c>
      <c r="B1" t="s">
        <v>6498</v>
      </c>
    </row>
    <row r="3" spans="1:2" x14ac:dyDescent="0.25">
      <c r="A3" s="40" t="s">
        <v>2765</v>
      </c>
      <c r="B3" t="s">
        <v>2764</v>
      </c>
    </row>
    <row r="4" spans="1:2" x14ac:dyDescent="0.25">
      <c r="A4" s="41" t="s">
        <v>4710</v>
      </c>
      <c r="B4">
        <v>1</v>
      </c>
    </row>
    <row r="5" spans="1:2" x14ac:dyDescent="0.25">
      <c r="A5" s="41" t="s">
        <v>4711</v>
      </c>
      <c r="B5">
        <v>3</v>
      </c>
    </row>
    <row r="6" spans="1:2" x14ac:dyDescent="0.25">
      <c r="A6" s="41" t="s">
        <v>4678</v>
      </c>
      <c r="B6">
        <v>4</v>
      </c>
    </row>
    <row r="7" spans="1:2" x14ac:dyDescent="0.25">
      <c r="A7" s="41" t="s">
        <v>6490</v>
      </c>
      <c r="B7">
        <v>5</v>
      </c>
    </row>
    <row r="8" spans="1:2" x14ac:dyDescent="0.25">
      <c r="A8" s="41" t="s">
        <v>4679</v>
      </c>
      <c r="B8">
        <v>5</v>
      </c>
    </row>
    <row r="9" spans="1:2" x14ac:dyDescent="0.25">
      <c r="A9" s="41" t="s">
        <v>4680</v>
      </c>
      <c r="B9">
        <v>9</v>
      </c>
    </row>
    <row r="10" spans="1:2" x14ac:dyDescent="0.25">
      <c r="A10" s="41" t="s">
        <v>4681</v>
      </c>
      <c r="B10">
        <v>6</v>
      </c>
    </row>
    <row r="11" spans="1:2" x14ac:dyDescent="0.25">
      <c r="A11" s="41" t="s">
        <v>4682</v>
      </c>
      <c r="B11">
        <v>15</v>
      </c>
    </row>
    <row r="12" spans="1:2" x14ac:dyDescent="0.25">
      <c r="A12" s="41" t="s">
        <v>4683</v>
      </c>
      <c r="B12">
        <v>22</v>
      </c>
    </row>
    <row r="13" spans="1:2" x14ac:dyDescent="0.25">
      <c r="A13" s="41" t="s">
        <v>4684</v>
      </c>
      <c r="B13">
        <v>13</v>
      </c>
    </row>
    <row r="14" spans="1:2" x14ac:dyDescent="0.25">
      <c r="A14" s="41" t="s">
        <v>6491</v>
      </c>
      <c r="B14">
        <v>3</v>
      </c>
    </row>
    <row r="15" spans="1:2" x14ac:dyDescent="0.25">
      <c r="A15" s="41" t="s">
        <v>2767</v>
      </c>
      <c r="B15">
        <v>10</v>
      </c>
    </row>
    <row r="16" spans="1:2" x14ac:dyDescent="0.25">
      <c r="A16" s="41" t="s">
        <v>2768</v>
      </c>
      <c r="B16">
        <v>23</v>
      </c>
    </row>
    <row r="17" spans="1:2" x14ac:dyDescent="0.25">
      <c r="A17" s="41" t="s">
        <v>2769</v>
      </c>
      <c r="B17">
        <v>41</v>
      </c>
    </row>
    <row r="18" spans="1:2" x14ac:dyDescent="0.25">
      <c r="A18" s="41" t="s">
        <v>2770</v>
      </c>
      <c r="B18">
        <v>52</v>
      </c>
    </row>
    <row r="19" spans="1:2" x14ac:dyDescent="0.25">
      <c r="A19" s="41" t="s">
        <v>2771</v>
      </c>
      <c r="B19">
        <v>18</v>
      </c>
    </row>
    <row r="20" spans="1:2" x14ac:dyDescent="0.25">
      <c r="A20" s="41" t="s">
        <v>2772</v>
      </c>
      <c r="B20">
        <v>18</v>
      </c>
    </row>
    <row r="21" spans="1:2" x14ac:dyDescent="0.25">
      <c r="A21" s="41" t="s">
        <v>2773</v>
      </c>
      <c r="B21">
        <v>61</v>
      </c>
    </row>
    <row r="22" spans="1:2" x14ac:dyDescent="0.25">
      <c r="A22" s="41" t="s">
        <v>2774</v>
      </c>
      <c r="B22">
        <v>59</v>
      </c>
    </row>
    <row r="23" spans="1:2" x14ac:dyDescent="0.25">
      <c r="A23" s="41" t="s">
        <v>2775</v>
      </c>
      <c r="B23">
        <v>79</v>
      </c>
    </row>
    <row r="24" spans="1:2" x14ac:dyDescent="0.25">
      <c r="A24" s="41" t="s">
        <v>2776</v>
      </c>
      <c r="B24">
        <v>6</v>
      </c>
    </row>
    <row r="25" spans="1:2" x14ac:dyDescent="0.25">
      <c r="A25" s="41" t="s">
        <v>4685</v>
      </c>
      <c r="B25">
        <v>13</v>
      </c>
    </row>
    <row r="26" spans="1:2" x14ac:dyDescent="0.25">
      <c r="A26" s="41" t="s">
        <v>4686</v>
      </c>
      <c r="B26">
        <v>31</v>
      </c>
    </row>
    <row r="27" spans="1:2" x14ac:dyDescent="0.25">
      <c r="A27" s="41" t="s">
        <v>4687</v>
      </c>
      <c r="B27">
        <v>42</v>
      </c>
    </row>
    <row r="28" spans="1:2" x14ac:dyDescent="0.25">
      <c r="A28" s="41" t="s">
        <v>4688</v>
      </c>
      <c r="B28">
        <v>40</v>
      </c>
    </row>
    <row r="29" spans="1:2" x14ac:dyDescent="0.25">
      <c r="A29" s="41" t="s">
        <v>4689</v>
      </c>
      <c r="B29">
        <v>3</v>
      </c>
    </row>
    <row r="30" spans="1:2" x14ac:dyDescent="0.25">
      <c r="A30" s="41" t="s">
        <v>4690</v>
      </c>
      <c r="B30">
        <v>2</v>
      </c>
    </row>
    <row r="31" spans="1:2" x14ac:dyDescent="0.25">
      <c r="A31" s="41" t="s">
        <v>4691</v>
      </c>
      <c r="B31">
        <v>25</v>
      </c>
    </row>
    <row r="32" spans="1:2" x14ac:dyDescent="0.25">
      <c r="A32" s="41" t="s">
        <v>4692</v>
      </c>
      <c r="B32">
        <v>27</v>
      </c>
    </row>
    <row r="33" spans="1:2" x14ac:dyDescent="0.25">
      <c r="A33" s="41" t="s">
        <v>4693</v>
      </c>
      <c r="B33">
        <v>44</v>
      </c>
    </row>
    <row r="34" spans="1:2" x14ac:dyDescent="0.25">
      <c r="A34" s="41" t="s">
        <v>4712</v>
      </c>
      <c r="B34">
        <v>1</v>
      </c>
    </row>
    <row r="35" spans="1:2" x14ac:dyDescent="0.25">
      <c r="A35" s="41" t="s">
        <v>4694</v>
      </c>
      <c r="B35">
        <v>12</v>
      </c>
    </row>
    <row r="36" spans="1:2" x14ac:dyDescent="0.25">
      <c r="A36" s="41" t="s">
        <v>4695</v>
      </c>
      <c r="B36">
        <v>23</v>
      </c>
    </row>
    <row r="37" spans="1:2" x14ac:dyDescent="0.25">
      <c r="A37" s="41" t="s">
        <v>4696</v>
      </c>
      <c r="B37">
        <v>30</v>
      </c>
    </row>
    <row r="38" spans="1:2" x14ac:dyDescent="0.25">
      <c r="A38" s="41" t="s">
        <v>4697</v>
      </c>
      <c r="B38">
        <v>17</v>
      </c>
    </row>
    <row r="39" spans="1:2" x14ac:dyDescent="0.25">
      <c r="A39" s="41" t="s">
        <v>4698</v>
      </c>
      <c r="B39">
        <v>6</v>
      </c>
    </row>
    <row r="40" spans="1:2" x14ac:dyDescent="0.25">
      <c r="A40" s="41" t="s">
        <v>4699</v>
      </c>
      <c r="B40">
        <v>5</v>
      </c>
    </row>
    <row r="41" spans="1:2" x14ac:dyDescent="0.25">
      <c r="A41" s="41" t="s">
        <v>4700</v>
      </c>
      <c r="B41">
        <v>3</v>
      </c>
    </row>
    <row r="42" spans="1:2" x14ac:dyDescent="0.25">
      <c r="A42" s="41" t="s">
        <v>4701</v>
      </c>
      <c r="B42">
        <v>12</v>
      </c>
    </row>
    <row r="43" spans="1:2" x14ac:dyDescent="0.25">
      <c r="A43" s="41" t="s">
        <v>4702</v>
      </c>
      <c r="B43">
        <v>2</v>
      </c>
    </row>
    <row r="44" spans="1:2" x14ac:dyDescent="0.25">
      <c r="A44" s="41" t="s">
        <v>4713</v>
      </c>
      <c r="B44">
        <v>1</v>
      </c>
    </row>
    <row r="45" spans="1:2" x14ac:dyDescent="0.25">
      <c r="A45" s="41" t="s">
        <v>4703</v>
      </c>
      <c r="B45">
        <v>3</v>
      </c>
    </row>
    <row r="46" spans="1:2" x14ac:dyDescent="0.25">
      <c r="A46" s="41" t="s">
        <v>4704</v>
      </c>
      <c r="B46">
        <v>6</v>
      </c>
    </row>
    <row r="47" spans="1:2" x14ac:dyDescent="0.25">
      <c r="A47" s="41" t="s">
        <v>4714</v>
      </c>
      <c r="B47">
        <v>1</v>
      </c>
    </row>
    <row r="48" spans="1:2" x14ac:dyDescent="0.25">
      <c r="A48" s="41" t="s">
        <v>4715</v>
      </c>
      <c r="B48">
        <v>1</v>
      </c>
    </row>
    <row r="49" spans="1:2" x14ac:dyDescent="0.25">
      <c r="A49" s="41" t="s">
        <v>4705</v>
      </c>
      <c r="B49">
        <v>6</v>
      </c>
    </row>
    <row r="50" spans="1:2" x14ac:dyDescent="0.25">
      <c r="A50" s="41" t="s">
        <v>6492</v>
      </c>
      <c r="B50">
        <v>8</v>
      </c>
    </row>
    <row r="51" spans="1:2" x14ac:dyDescent="0.25">
      <c r="A51" s="41" t="s">
        <v>6493</v>
      </c>
      <c r="B51">
        <v>1</v>
      </c>
    </row>
    <row r="52" spans="1:2" x14ac:dyDescent="0.25">
      <c r="A52" s="41" t="s">
        <v>4706</v>
      </c>
      <c r="B52">
        <v>3</v>
      </c>
    </row>
    <row r="53" spans="1:2" x14ac:dyDescent="0.25">
      <c r="A53" s="41" t="s">
        <v>4707</v>
      </c>
      <c r="B53">
        <v>3</v>
      </c>
    </row>
    <row r="54" spans="1:2" x14ac:dyDescent="0.25">
      <c r="A54" s="41" t="s">
        <v>6494</v>
      </c>
      <c r="B54">
        <v>2</v>
      </c>
    </row>
    <row r="55" spans="1:2" x14ac:dyDescent="0.25">
      <c r="A55" s="41" t="s">
        <v>4716</v>
      </c>
      <c r="B55">
        <v>1</v>
      </c>
    </row>
    <row r="56" spans="1:2" x14ac:dyDescent="0.25">
      <c r="A56" s="41" t="s">
        <v>4708</v>
      </c>
      <c r="B56">
        <v>2</v>
      </c>
    </row>
    <row r="57" spans="1:2" x14ac:dyDescent="0.25">
      <c r="A57" s="41" t="s">
        <v>4709</v>
      </c>
      <c r="B57">
        <v>5</v>
      </c>
    </row>
    <row r="58" spans="1:2" x14ac:dyDescent="0.25">
      <c r="A58" s="41" t="s">
        <v>6495</v>
      </c>
      <c r="B58">
        <v>1</v>
      </c>
    </row>
    <row r="59" spans="1:2" x14ac:dyDescent="0.25">
      <c r="A59" s="41" t="s">
        <v>6496</v>
      </c>
      <c r="B59">
        <v>2</v>
      </c>
    </row>
    <row r="60" spans="1:2" x14ac:dyDescent="0.25">
      <c r="A60" s="41" t="s">
        <v>6497</v>
      </c>
      <c r="B60">
        <v>6</v>
      </c>
    </row>
    <row r="61" spans="1:2" x14ac:dyDescent="0.25">
      <c r="A61" s="41" t="s">
        <v>2766</v>
      </c>
      <c r="B61">
        <v>843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8564-2456-4540-A018-B1DD4D6F25B2}">
  <sheetPr>
    <tabColor theme="9"/>
  </sheetPr>
  <dimension ref="A1:AK88"/>
  <sheetViews>
    <sheetView showGridLines="0" zoomScale="110" zoomScaleNormal="110" workbookViewId="0">
      <selection activeCell="AI14" sqref="AI14"/>
    </sheetView>
  </sheetViews>
  <sheetFormatPr defaultRowHeight="15" x14ac:dyDescent="0.25"/>
  <cols>
    <col min="1" max="1" width="4.7109375" customWidth="1"/>
    <col min="2" max="5" width="3" customWidth="1"/>
    <col min="6" max="6" width="2.140625" customWidth="1"/>
    <col min="7" max="7" width="3" customWidth="1"/>
    <col min="8" max="8" width="1.5703125" customWidth="1"/>
    <col min="9" max="10" width="3" customWidth="1"/>
    <col min="11" max="11" width="1.85546875" customWidth="1"/>
    <col min="12" max="12" width="3.5703125" customWidth="1"/>
    <col min="13" max="13" width="3.140625" customWidth="1"/>
    <col min="14" max="14" width="4.7109375" customWidth="1"/>
    <col min="15" max="33" width="3" customWidth="1"/>
  </cols>
  <sheetData>
    <row r="1" spans="1:33" x14ac:dyDescent="0.25">
      <c r="A1" s="550" t="s">
        <v>6440</v>
      </c>
      <c r="B1" s="551"/>
      <c r="C1" s="551"/>
      <c r="D1" s="551"/>
      <c r="E1" s="551"/>
      <c r="F1" s="551"/>
      <c r="G1" s="551"/>
      <c r="H1" s="551"/>
      <c r="I1" s="551"/>
      <c r="J1" s="551"/>
      <c r="K1" s="551"/>
      <c r="L1" s="551"/>
      <c r="M1" s="551"/>
      <c r="N1" s="551"/>
      <c r="O1" s="551"/>
      <c r="P1" s="551"/>
      <c r="Q1" s="551"/>
      <c r="R1" s="551"/>
      <c r="S1" s="551"/>
      <c r="T1" s="551"/>
      <c r="U1" s="551"/>
      <c r="V1" s="551"/>
      <c r="W1" s="551"/>
      <c r="X1" s="551"/>
      <c r="Y1" s="551"/>
      <c r="Z1" s="551"/>
      <c r="AA1" s="551"/>
      <c r="AB1" s="551"/>
      <c r="AC1" s="551"/>
      <c r="AD1" s="551"/>
      <c r="AE1" s="551"/>
      <c r="AF1" s="551"/>
      <c r="AG1" s="551"/>
    </row>
    <row r="2" spans="1:33" ht="5.25" customHeight="1" x14ac:dyDescent="0.25">
      <c r="A2" s="551"/>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row>
    <row r="3" spans="1:33" x14ac:dyDescent="0.25">
      <c r="A3" s="552" t="s">
        <v>6441</v>
      </c>
      <c r="B3" s="553"/>
      <c r="C3" s="553"/>
      <c r="D3" s="553"/>
      <c r="E3" s="553"/>
      <c r="F3" s="553"/>
      <c r="G3" s="553"/>
      <c r="H3" s="553"/>
      <c r="I3" s="553"/>
      <c r="J3" s="553"/>
      <c r="K3" s="553"/>
      <c r="L3" s="553"/>
      <c r="M3" s="553"/>
      <c r="N3" s="553"/>
      <c r="O3" s="553"/>
      <c r="P3" s="553"/>
      <c r="Q3" s="553"/>
      <c r="R3" s="553"/>
      <c r="S3" s="553"/>
      <c r="T3" s="553"/>
      <c r="U3" s="553"/>
      <c r="V3" s="553"/>
      <c r="W3" s="553"/>
      <c r="X3" s="553"/>
      <c r="Y3" s="553"/>
      <c r="Z3" s="553"/>
      <c r="AA3" s="553"/>
      <c r="AB3" s="553"/>
      <c r="AC3" s="553"/>
      <c r="AD3" s="553"/>
      <c r="AE3" s="553"/>
      <c r="AF3" s="553"/>
      <c r="AG3" s="554"/>
    </row>
    <row r="4" spans="1:33" ht="17.25" customHeight="1" x14ac:dyDescent="0.25">
      <c r="A4" s="562" t="str">
        <f>_xlfn.CONCAT(" For the ",A1," earnings season, ", TEXT('Stats Roll Up'!R4,"###")&amp; " earnings trades were taken, ",TEXT('Summary Data'!B2,"00%")," were stocks from the S&amp;P 500.")</f>
        <v xml:space="preserve"> For the 2025 -- Q1 earnings season, 443 earnings trades were taken, 88% were stocks from the S&amp;P 500.</v>
      </c>
      <c r="B4" s="563"/>
      <c r="C4" s="563"/>
      <c r="D4" s="563"/>
      <c r="E4" s="563"/>
      <c r="F4" s="563"/>
      <c r="G4" s="563"/>
      <c r="H4" s="563"/>
      <c r="I4" s="563"/>
      <c r="J4" s="563"/>
      <c r="K4" s="563"/>
      <c r="L4" s="563"/>
      <c r="M4" s="563"/>
      <c r="N4" s="563"/>
      <c r="O4" s="563"/>
      <c r="P4" s="563"/>
      <c r="Q4" s="563"/>
      <c r="R4" s="563"/>
      <c r="S4" s="563"/>
      <c r="T4" s="563"/>
      <c r="U4" s="563"/>
      <c r="V4" s="563"/>
      <c r="W4" s="563"/>
      <c r="X4" s="563"/>
      <c r="Y4" s="563"/>
      <c r="Z4" s="563"/>
      <c r="AA4" s="563"/>
      <c r="AB4" s="563"/>
      <c r="AC4" s="563"/>
      <c r="AD4" s="563"/>
      <c r="AE4" s="563"/>
      <c r="AF4" s="563"/>
      <c r="AG4" s="564"/>
    </row>
    <row r="5" spans="1:33" ht="17.25" customHeight="1" x14ac:dyDescent="0.25">
      <c r="A5" s="474" t="s">
        <v>6443</v>
      </c>
      <c r="B5" s="565" t="str">
        <f>CONCATENATE("Overall, the The Earnings Strategy producted: ")</f>
        <v xml:space="preserve">Overall, the The Earnings Strategy producted: </v>
      </c>
      <c r="C5" s="565"/>
      <c r="D5" s="565"/>
      <c r="E5" s="565"/>
      <c r="F5" s="565"/>
      <c r="G5" s="565"/>
      <c r="H5" s="565"/>
      <c r="I5" s="565"/>
      <c r="J5" s="565"/>
      <c r="K5" s="565"/>
      <c r="L5" s="565"/>
      <c r="M5" s="565"/>
      <c r="N5" s="565"/>
      <c r="O5" s="566" t="str">
        <f>TEXT('Summary Data'!J$4,"0.0")</f>
        <v>68.6</v>
      </c>
      <c r="P5" s="566"/>
      <c r="Q5" s="567" t="s">
        <v>6476</v>
      </c>
      <c r="R5" s="567"/>
      <c r="S5" s="567"/>
      <c r="T5" s="567"/>
      <c r="U5" s="567"/>
      <c r="V5" s="567"/>
      <c r="W5" s="567"/>
      <c r="X5" s="567"/>
      <c r="Y5" s="567"/>
      <c r="Z5" s="567"/>
      <c r="AA5" s="567"/>
      <c r="AB5" s="567"/>
      <c r="AC5" s="567"/>
      <c r="AD5" s="567"/>
      <c r="AE5" s="567"/>
      <c r="AF5" s="567"/>
      <c r="AG5" s="568"/>
    </row>
    <row r="6" spans="1:33" x14ac:dyDescent="0.25">
      <c r="A6" s="547" t="s">
        <v>6448</v>
      </c>
      <c r="B6" s="547"/>
      <c r="C6" s="547"/>
      <c r="D6" s="547"/>
      <c r="E6" s="547"/>
      <c r="F6" s="547"/>
      <c r="G6" s="547"/>
      <c r="H6" s="547"/>
      <c r="I6" s="547"/>
      <c r="J6" s="547"/>
      <c r="K6" s="547"/>
      <c r="L6" s="547"/>
      <c r="M6" s="547"/>
      <c r="N6" s="547"/>
      <c r="O6" s="547"/>
      <c r="P6" s="547"/>
      <c r="Q6" s="547"/>
      <c r="R6" s="547"/>
      <c r="S6" s="547"/>
      <c r="T6" s="547"/>
      <c r="U6" s="547"/>
      <c r="V6" s="547"/>
      <c r="W6" s="547"/>
      <c r="X6" s="547"/>
      <c r="Y6" s="547"/>
      <c r="Z6" s="547"/>
      <c r="AA6" s="547"/>
      <c r="AB6" s="547"/>
      <c r="AC6" s="547"/>
      <c r="AD6" s="547"/>
      <c r="AE6" s="547"/>
      <c r="AF6" s="547"/>
      <c r="AG6" s="547"/>
    </row>
    <row r="7" spans="1:33" x14ac:dyDescent="0.25">
      <c r="A7" s="474" t="s">
        <v>6443</v>
      </c>
      <c r="B7" s="555" t="str">
        <f>_xlfn.CONCAT('Summary Data'!$D$2," of the trades were stocks in an up trend."," This is ", TEXT('Summary Data'!$E$2,"00%")," of all trades.")</f>
        <v>101 of the trades were stocks in an up trend. This is 23% of all trades.</v>
      </c>
      <c r="C7" s="555"/>
      <c r="D7" s="555"/>
      <c r="E7" s="555"/>
      <c r="F7" s="555"/>
      <c r="G7" s="555"/>
      <c r="H7" s="555"/>
      <c r="I7" s="555"/>
      <c r="J7" s="555"/>
      <c r="K7" s="555"/>
      <c r="L7" s="555"/>
      <c r="M7" s="555"/>
      <c r="N7" s="555"/>
      <c r="O7" s="555"/>
      <c r="P7" s="555"/>
      <c r="Q7" s="555"/>
      <c r="R7" s="555"/>
      <c r="S7" s="555"/>
      <c r="T7" s="555"/>
      <c r="U7" s="555"/>
      <c r="V7" s="555"/>
      <c r="W7" s="555"/>
      <c r="X7" s="555"/>
      <c r="Y7" s="555"/>
      <c r="Z7" s="555"/>
      <c r="AA7" s="555"/>
      <c r="AB7" s="555"/>
      <c r="AC7" s="555"/>
      <c r="AD7" s="555"/>
      <c r="AE7" s="555"/>
      <c r="AF7" s="555"/>
      <c r="AG7" s="557"/>
    </row>
    <row r="8" spans="1:33" x14ac:dyDescent="0.25">
      <c r="A8" s="474" t="s">
        <v>6443</v>
      </c>
      <c r="B8" s="555" t="str">
        <f>_xlfn.CONCAT(TEXT('Stats Roll Up'!$G$4,"00.0%")," of the up trendng stocks opened higher after earnings. The average gap higher was ",TEXT('Stats Roll Up'!$D$4,"0.0%"),".")</f>
        <v>52.5% of the up trendng stocks opened higher after earnings. The average gap higher was 5.0%.</v>
      </c>
      <c r="C8" s="555"/>
      <c r="D8" s="555"/>
      <c r="E8" s="555"/>
      <c r="F8" s="555"/>
      <c r="G8" s="555"/>
      <c r="H8" s="555"/>
      <c r="I8" s="555"/>
      <c r="J8" s="555"/>
      <c r="K8" s="555"/>
      <c r="L8" s="555"/>
      <c r="M8" s="555"/>
      <c r="N8" s="555"/>
      <c r="O8" s="555"/>
      <c r="P8" s="555"/>
      <c r="Q8" s="555"/>
      <c r="R8" s="555"/>
      <c r="S8" s="555"/>
      <c r="T8" s="555"/>
      <c r="U8" s="555"/>
      <c r="V8" s="555"/>
      <c r="W8" s="555"/>
      <c r="X8" s="555"/>
      <c r="Y8" s="555"/>
      <c r="Z8" s="555"/>
      <c r="AA8" s="555"/>
      <c r="AB8" s="555"/>
      <c r="AC8" s="555"/>
      <c r="AD8" s="555"/>
      <c r="AE8" s="555"/>
      <c r="AF8" s="555"/>
      <c r="AG8" s="557"/>
    </row>
    <row r="9" spans="1:33" x14ac:dyDescent="0.25">
      <c r="A9" s="474" t="s">
        <v>6443</v>
      </c>
      <c r="B9" s="555" t="str">
        <f>_xlfn.CONCAT(TEXT('Stats Roll Up'!$AC$4,"00.0%")," of the up trendng stocks opened lower after earnings. The average gap down from an up trend was ",TEXT('Stats Roll Up'!$AE$4,"0.0%"),".")</f>
        <v>47.5% of the up trendng stocks opened lower after earnings. The average gap down from an up trend was 4.6%.</v>
      </c>
      <c r="C9" s="555"/>
      <c r="D9" s="555"/>
      <c r="E9" s="555"/>
      <c r="F9" s="555"/>
      <c r="G9" s="555"/>
      <c r="H9" s="555"/>
      <c r="I9" s="555"/>
      <c r="J9" s="555"/>
      <c r="K9" s="555"/>
      <c r="L9" s="555"/>
      <c r="M9" s="555"/>
      <c r="N9" s="555"/>
      <c r="O9" s="555"/>
      <c r="P9" s="555"/>
      <c r="Q9" s="555"/>
      <c r="R9" s="555"/>
      <c r="S9" s="555"/>
      <c r="T9" s="555"/>
      <c r="U9" s="555"/>
      <c r="V9" s="555"/>
      <c r="W9" s="555"/>
      <c r="X9" s="555"/>
      <c r="Y9" s="555"/>
      <c r="Z9" s="555"/>
      <c r="AA9" s="555"/>
      <c r="AB9" s="555"/>
      <c r="AC9" s="555"/>
      <c r="AD9" s="555"/>
      <c r="AE9" s="555"/>
      <c r="AF9" s="555"/>
      <c r="AG9" s="557"/>
    </row>
    <row r="10" spans="1:33" x14ac:dyDescent="0.25">
      <c r="A10" s="474" t="s">
        <v>6443</v>
      </c>
      <c r="B10" s="555" t="str">
        <f>CONCATENATE("For up trends, the strategy produced: ")</f>
        <v xml:space="preserve">For up trends, the strategy produced: </v>
      </c>
      <c r="C10" s="555"/>
      <c r="D10" s="555"/>
      <c r="E10" s="555"/>
      <c r="F10" s="555"/>
      <c r="G10" s="555"/>
      <c r="H10" s="555"/>
      <c r="I10" s="555"/>
      <c r="J10" s="555"/>
      <c r="K10" s="555"/>
      <c r="L10" s="555"/>
      <c r="M10" s="487">
        <f>'Summary Data'!$D$4</f>
        <v>10.009379462148743</v>
      </c>
      <c r="N10" s="486" t="s">
        <v>6476</v>
      </c>
      <c r="O10" s="476"/>
      <c r="P10" s="476"/>
      <c r="Q10" s="476"/>
      <c r="R10" s="476"/>
      <c r="S10" s="476"/>
      <c r="T10" s="476"/>
      <c r="U10" s="476"/>
      <c r="V10" s="476"/>
      <c r="W10" s="476"/>
      <c r="X10" s="476"/>
      <c r="Y10" s="476"/>
      <c r="Z10" s="476"/>
      <c r="AA10" s="476"/>
      <c r="AB10" s="476"/>
      <c r="AC10" s="476"/>
      <c r="AD10" s="476"/>
      <c r="AE10" s="476"/>
      <c r="AF10" s="476"/>
      <c r="AG10" s="477"/>
    </row>
    <row r="11" spans="1:33" hidden="1" x14ac:dyDescent="0.25">
      <c r="A11" s="474" t="s">
        <v>6443</v>
      </c>
      <c r="B11" s="476" t="s">
        <v>6478</v>
      </c>
      <c r="C11" s="476"/>
      <c r="D11" s="476"/>
      <c r="E11" s="476"/>
      <c r="F11" s="476"/>
      <c r="G11" s="476"/>
      <c r="H11" s="476"/>
      <c r="I11" s="476"/>
      <c r="J11" s="476"/>
      <c r="K11" s="556">
        <f>Expectancy!$Q$3</f>
        <v>9.910276695196775E-2</v>
      </c>
      <c r="L11" s="556"/>
      <c r="M11" s="555" t="s">
        <v>6479</v>
      </c>
      <c r="N11" s="555"/>
      <c r="O11" s="555"/>
      <c r="P11" s="555"/>
      <c r="Q11" s="555"/>
      <c r="R11" s="555"/>
      <c r="S11" s="555"/>
      <c r="T11" s="555"/>
      <c r="U11" s="555"/>
      <c r="V11" s="555"/>
      <c r="W11" s="555"/>
      <c r="X11" s="555"/>
      <c r="Y11" s="555"/>
      <c r="Z11" s="555"/>
      <c r="AA11" s="555"/>
      <c r="AB11" s="555"/>
      <c r="AC11" s="555"/>
      <c r="AD11" s="555"/>
      <c r="AE11" s="555"/>
      <c r="AF11" s="555"/>
      <c r="AG11" s="557"/>
    </row>
    <row r="12" spans="1:33" ht="6" customHeight="1" x14ac:dyDescent="0.25">
      <c r="A12" s="478"/>
      <c r="AG12" s="479"/>
    </row>
    <row r="13" spans="1:33" x14ac:dyDescent="0.25">
      <c r="A13" s="548" t="s">
        <v>6455</v>
      </c>
      <c r="B13" s="548"/>
      <c r="C13" s="548"/>
      <c r="D13" s="548"/>
      <c r="E13" s="548"/>
      <c r="F13" s="548"/>
      <c r="G13" s="548"/>
      <c r="H13" s="548"/>
      <c r="I13" s="548"/>
      <c r="J13" s="548"/>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row>
    <row r="14" spans="1:33" x14ac:dyDescent="0.25">
      <c r="A14" s="485" t="s">
        <v>6443</v>
      </c>
      <c r="B14" s="555" t="str">
        <f>_xlfn.CONCAT('Summary Data'!$F$2," of the trades were stocks in an down trend."," This is ", TEXT('Summary Data'!$G$2,"00%")," of all trades.")</f>
        <v>128 of the trades were stocks in an down trend. This is 29% of all trades.</v>
      </c>
      <c r="C14" s="555"/>
      <c r="D14" s="555"/>
      <c r="E14" s="555"/>
      <c r="F14" s="555"/>
      <c r="G14" s="555"/>
      <c r="H14" s="555"/>
      <c r="I14" s="555"/>
      <c r="J14" s="555"/>
      <c r="K14" s="555"/>
      <c r="L14" s="555"/>
      <c r="M14" s="555"/>
      <c r="N14" s="555"/>
      <c r="O14" s="555"/>
      <c r="P14" s="555"/>
      <c r="Q14" s="555"/>
      <c r="R14" s="555"/>
      <c r="S14" s="555"/>
      <c r="T14" s="555"/>
      <c r="U14" s="555"/>
      <c r="V14" s="555"/>
      <c r="W14" s="555"/>
      <c r="X14" s="555"/>
      <c r="Y14" s="555"/>
      <c r="Z14" s="555"/>
      <c r="AA14" s="555"/>
      <c r="AB14" s="555"/>
      <c r="AC14" s="555"/>
      <c r="AD14" s="555"/>
      <c r="AE14" s="555"/>
      <c r="AF14" s="555"/>
      <c r="AG14" s="557"/>
    </row>
    <row r="15" spans="1:33" x14ac:dyDescent="0.25">
      <c r="A15" s="485" t="s">
        <v>6443</v>
      </c>
      <c r="B15" s="555" t="str">
        <f>_xlfn.CONCAT(TEXT('Stats Roll Up'!$Y$4,"00.0%")," of the down trending stocks opened lower after earnings. The average gap down was ",TEXT('Stats Roll Up'!$AA$4,"0.0%"),".")</f>
        <v>59.4% of the down trending stocks opened lower after earnings. The average gap down was 6.5%.</v>
      </c>
      <c r="C15" s="555"/>
      <c r="D15" s="555"/>
      <c r="E15" s="555"/>
      <c r="F15" s="555"/>
      <c r="G15" s="555"/>
      <c r="H15" s="555"/>
      <c r="I15" s="555"/>
      <c r="J15" s="555"/>
      <c r="K15" s="555"/>
      <c r="L15" s="555"/>
      <c r="M15" s="555"/>
      <c r="N15" s="555"/>
      <c r="O15" s="555"/>
      <c r="P15" s="555"/>
      <c r="Q15" s="555"/>
      <c r="R15" s="555"/>
      <c r="S15" s="555"/>
      <c r="T15" s="555"/>
      <c r="U15" s="555"/>
      <c r="V15" s="555"/>
      <c r="W15" s="555"/>
      <c r="X15" s="555"/>
      <c r="Y15" s="555"/>
      <c r="Z15" s="555"/>
      <c r="AA15" s="555"/>
      <c r="AB15" s="555"/>
      <c r="AC15" s="555"/>
      <c r="AD15" s="555"/>
      <c r="AE15" s="555"/>
      <c r="AF15" s="555"/>
      <c r="AG15" s="557"/>
    </row>
    <row r="16" spans="1:33" x14ac:dyDescent="0.25">
      <c r="A16" s="485" t="s">
        <v>6443</v>
      </c>
      <c r="B16" s="555" t="str">
        <f>_xlfn.CONCAT(TEXT('Stats Roll Up'!$K$4,"00.0%")," of the down trending stocks opened higher after earnings. The average gap up from a down trend was ",TEXT('Stats Roll Up'!$M$4,"0.0%"),".")</f>
        <v>40.6% of the down trending stocks opened higher after earnings. The average gap up from a down trend was 4.6%.</v>
      </c>
      <c r="C16" s="555"/>
      <c r="D16" s="555"/>
      <c r="E16" s="555"/>
      <c r="F16" s="555"/>
      <c r="G16" s="555"/>
      <c r="H16" s="555"/>
      <c r="I16" s="555"/>
      <c r="J16" s="555"/>
      <c r="K16" s="555"/>
      <c r="L16" s="555"/>
      <c r="M16" s="555"/>
      <c r="N16" s="555"/>
      <c r="O16" s="555"/>
      <c r="P16" s="555"/>
      <c r="Q16" s="555"/>
      <c r="R16" s="555"/>
      <c r="S16" s="555"/>
      <c r="T16" s="555"/>
      <c r="U16" s="555"/>
      <c r="V16" s="555"/>
      <c r="W16" s="555"/>
      <c r="X16" s="555"/>
      <c r="Y16" s="555"/>
      <c r="Z16" s="555"/>
      <c r="AA16" s="555"/>
      <c r="AB16" s="555"/>
      <c r="AC16" s="555"/>
      <c r="AD16" s="555"/>
      <c r="AE16" s="555"/>
      <c r="AF16" s="555"/>
      <c r="AG16" s="557"/>
    </row>
    <row r="17" spans="1:37" x14ac:dyDescent="0.25">
      <c r="A17" s="485" t="s">
        <v>6443</v>
      </c>
      <c r="B17" s="555" t="str">
        <f>CONCATENATE("For down trends, the strategy produced: ")</f>
        <v xml:space="preserve">For down trends, the strategy produced: </v>
      </c>
      <c r="C17" s="555"/>
      <c r="D17" s="555"/>
      <c r="E17" s="555"/>
      <c r="F17" s="555"/>
      <c r="G17" s="555"/>
      <c r="H17" s="555"/>
      <c r="I17" s="555"/>
      <c r="J17" s="555"/>
      <c r="K17" s="555"/>
      <c r="L17" s="555"/>
      <c r="M17" s="555"/>
      <c r="N17" s="475">
        <f>'Summary Data'!$F$4</f>
        <v>43.496894859916743</v>
      </c>
      <c r="O17" s="555" t="str">
        <f>_xlfn.CONCAT("risk units.")</f>
        <v>risk units.</v>
      </c>
      <c r="P17" s="555"/>
      <c r="Q17" s="555"/>
      <c r="R17" s="555"/>
      <c r="S17" s="555"/>
      <c r="T17" s="555"/>
      <c r="U17" s="555"/>
      <c r="V17" s="555"/>
      <c r="W17" s="555"/>
      <c r="X17" s="555"/>
      <c r="Y17" s="555"/>
      <c r="Z17" s="555"/>
      <c r="AA17" s="555"/>
      <c r="AB17" s="555"/>
      <c r="AC17" s="555"/>
      <c r="AD17" s="555"/>
      <c r="AE17" s="555"/>
      <c r="AF17" s="555"/>
      <c r="AG17" s="557"/>
    </row>
    <row r="18" spans="1:37" ht="18.75" hidden="1" customHeight="1" x14ac:dyDescent="0.25">
      <c r="A18" s="485" t="s">
        <v>6443</v>
      </c>
      <c r="B18" s="488" t="s">
        <v>6480</v>
      </c>
      <c r="C18" s="488"/>
      <c r="D18" s="488"/>
      <c r="E18" s="488"/>
      <c r="F18" s="488"/>
      <c r="G18" s="488"/>
      <c r="H18" s="488"/>
      <c r="I18" s="488"/>
      <c r="J18" s="488"/>
      <c r="L18" s="556">
        <f>Expectancy!$R$3</f>
        <v>0.33981949109309956</v>
      </c>
      <c r="M18" s="560"/>
      <c r="N18" s="489" t="s">
        <v>6479</v>
      </c>
      <c r="O18" s="489"/>
      <c r="P18" s="489"/>
      <c r="Q18" s="489"/>
      <c r="R18" s="489"/>
      <c r="S18" s="489"/>
      <c r="T18" s="489"/>
      <c r="U18" s="489"/>
      <c r="V18" s="489"/>
      <c r="W18" s="489"/>
      <c r="X18" s="489"/>
      <c r="Y18" s="489"/>
      <c r="Z18" s="489"/>
      <c r="AA18" s="489"/>
      <c r="AB18" s="489"/>
      <c r="AC18" s="489"/>
      <c r="AD18" s="489"/>
      <c r="AE18" s="489"/>
      <c r="AF18" s="489"/>
      <c r="AG18" s="490"/>
      <c r="AJ18" s="558"/>
      <c r="AK18" s="559"/>
    </row>
    <row r="19" spans="1:37" ht="5.25" customHeight="1" x14ac:dyDescent="0.25">
      <c r="A19" s="478"/>
      <c r="AG19" s="479"/>
    </row>
    <row r="20" spans="1:37" x14ac:dyDescent="0.25">
      <c r="A20" s="549" t="s">
        <v>6475</v>
      </c>
      <c r="B20" s="549"/>
      <c r="C20" s="549"/>
      <c r="D20" s="549"/>
      <c r="E20" s="549"/>
      <c r="F20" s="549"/>
      <c r="G20" s="549"/>
      <c r="H20" s="549"/>
      <c r="I20" s="549"/>
      <c r="J20" s="549"/>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row>
    <row r="21" spans="1:37" x14ac:dyDescent="0.25">
      <c r="A21" s="484" t="s">
        <v>6443</v>
      </c>
      <c r="B21" s="555" t="str">
        <f>_xlfn.CONCAT('Summary Data'!$H$2," of the trades were stocks in a sideways trend."," This is ", TEXT('Summary Data'!$I$2,"00%")," of all trades.")</f>
        <v>215 of the trades were stocks in a sideways trend. This is 48% of all trades.</v>
      </c>
      <c r="C21" s="555"/>
      <c r="D21" s="555"/>
      <c r="E21" s="555"/>
      <c r="F21" s="555"/>
      <c r="G21" s="555"/>
      <c r="H21" s="555"/>
      <c r="I21" s="555"/>
      <c r="J21" s="555"/>
      <c r="K21" s="555"/>
      <c r="L21" s="555"/>
      <c r="M21" s="555"/>
      <c r="N21" s="555"/>
      <c r="O21" s="555"/>
      <c r="P21" s="555"/>
      <c r="Q21" s="555"/>
      <c r="R21" s="555"/>
      <c r="S21" s="555"/>
      <c r="T21" s="555"/>
      <c r="U21" s="555"/>
      <c r="V21" s="555"/>
      <c r="W21" s="555"/>
      <c r="X21" s="555"/>
      <c r="Y21" s="555"/>
      <c r="Z21" s="555"/>
      <c r="AA21" s="555"/>
      <c r="AB21" s="555"/>
      <c r="AC21" s="555"/>
      <c r="AD21" s="555"/>
      <c r="AE21" s="555"/>
      <c r="AF21" s="555"/>
      <c r="AG21" s="557"/>
    </row>
    <row r="22" spans="1:37" x14ac:dyDescent="0.25">
      <c r="A22" s="484" t="s">
        <v>6443</v>
      </c>
      <c r="B22" s="555" t="str">
        <f>_xlfn.CONCAT(TEXT('Stats Roll Up'!$O$4,"00.0%")," of the sideways stocks opened higher after earnings. The average gap up was ",TEXT('Stats Roll Up'!$Q$4,"0.0%"),".")</f>
        <v>51.2% of the sideways stocks opened higher after earnings. The average gap up was 5.0%.</v>
      </c>
      <c r="C22" s="555"/>
      <c r="D22" s="555"/>
      <c r="E22" s="555"/>
      <c r="F22" s="555"/>
      <c r="G22" s="555"/>
      <c r="H22" s="555"/>
      <c r="I22" s="555"/>
      <c r="J22" s="555"/>
      <c r="K22" s="555"/>
      <c r="L22" s="555"/>
      <c r="M22" s="555"/>
      <c r="N22" s="555"/>
      <c r="O22" s="555"/>
      <c r="P22" s="555"/>
      <c r="Q22" s="555"/>
      <c r="R22" s="555"/>
      <c r="S22" s="555"/>
      <c r="T22" s="555"/>
      <c r="U22" s="555"/>
      <c r="V22" s="555"/>
      <c r="W22" s="555"/>
      <c r="X22" s="555"/>
      <c r="Y22" s="555"/>
      <c r="Z22" s="555"/>
      <c r="AA22" s="555"/>
      <c r="AB22" s="555"/>
      <c r="AC22" s="555"/>
      <c r="AD22" s="555"/>
      <c r="AE22" s="555"/>
      <c r="AF22" s="555"/>
      <c r="AG22" s="557"/>
    </row>
    <row r="23" spans="1:37" x14ac:dyDescent="0.25">
      <c r="A23" s="484" t="s">
        <v>6443</v>
      </c>
      <c r="B23" s="555" t="str">
        <f>_xlfn.CONCAT(TEXT('Stats Roll Up'!$AG$4,"00.0%")," of the sideways stocks opened lower after earnings. The average gap down from a sideways trend was ",TEXT('Stats Roll Up'!$AI$4,"0.0%"),".")</f>
        <v>48.8% of the sideways stocks opened lower after earnings. The average gap down from a sideways trend was 4.4%.</v>
      </c>
      <c r="C23" s="555"/>
      <c r="D23" s="555"/>
      <c r="E23" s="555"/>
      <c r="F23" s="555"/>
      <c r="G23" s="555"/>
      <c r="H23" s="555"/>
      <c r="I23" s="555"/>
      <c r="J23" s="555"/>
      <c r="K23" s="555"/>
      <c r="L23" s="555"/>
      <c r="M23" s="555"/>
      <c r="N23" s="555"/>
      <c r="O23" s="555"/>
      <c r="P23" s="555"/>
      <c r="Q23" s="555"/>
      <c r="R23" s="555"/>
      <c r="S23" s="555"/>
      <c r="T23" s="555"/>
      <c r="U23" s="555"/>
      <c r="V23" s="555"/>
      <c r="W23" s="555"/>
      <c r="X23" s="555"/>
      <c r="Y23" s="555"/>
      <c r="Z23" s="555"/>
      <c r="AA23" s="555"/>
      <c r="AB23" s="555"/>
      <c r="AC23" s="555"/>
      <c r="AD23" s="555"/>
      <c r="AE23" s="555"/>
      <c r="AF23" s="555"/>
      <c r="AG23" s="557"/>
    </row>
    <row r="24" spans="1:37" x14ac:dyDescent="0.25">
      <c r="A24" s="484" t="s">
        <v>6443</v>
      </c>
      <c r="B24" s="561" t="str">
        <f>CONCATENATE("For sideways trends, the strategy produced: ")</f>
        <v xml:space="preserve">For sideways trends, the strategy produced: </v>
      </c>
      <c r="C24" s="561"/>
      <c r="D24" s="561"/>
      <c r="E24" s="561"/>
      <c r="F24" s="561"/>
      <c r="G24" s="561"/>
      <c r="H24" s="561"/>
      <c r="I24" s="561"/>
      <c r="J24" s="561"/>
      <c r="K24" s="561"/>
      <c r="L24" s="561"/>
      <c r="M24" s="561"/>
      <c r="N24" s="480">
        <f>'Summary Data'!$H$4</f>
        <v>15.126535164379963</v>
      </c>
      <c r="O24" s="555" t="str">
        <f>_xlfn.CONCAT("risk units.")</f>
        <v>risk units.</v>
      </c>
      <c r="P24" s="555"/>
      <c r="Q24" s="555"/>
      <c r="R24" s="555"/>
      <c r="S24" s="555"/>
      <c r="T24" s="555"/>
      <c r="U24" s="555"/>
      <c r="V24" s="555"/>
      <c r="W24" s="555"/>
      <c r="X24" s="555"/>
      <c r="Y24" s="555"/>
      <c r="Z24" s="555"/>
      <c r="AA24" s="555"/>
      <c r="AB24" s="555"/>
      <c r="AC24" s="555"/>
      <c r="AD24" s="555"/>
      <c r="AE24" s="555"/>
      <c r="AF24" s="555"/>
      <c r="AG24" s="557"/>
    </row>
    <row r="25" spans="1:37" hidden="1" x14ac:dyDescent="0.25">
      <c r="A25" s="484" t="s">
        <v>6443</v>
      </c>
      <c r="B25" s="488" t="s">
        <v>6481</v>
      </c>
      <c r="C25" s="488"/>
      <c r="D25" s="488"/>
      <c r="E25" s="488"/>
      <c r="F25" s="488"/>
      <c r="G25" s="488"/>
      <c r="H25" s="488"/>
      <c r="I25" s="488"/>
      <c r="J25" s="488"/>
      <c r="M25" s="556">
        <f>Expectancy!$S$3</f>
        <v>7.0355977508744005E-2</v>
      </c>
      <c r="N25" s="556"/>
      <c r="O25" s="489" t="s">
        <v>6479</v>
      </c>
      <c r="P25" s="489"/>
      <c r="Q25" s="489"/>
      <c r="R25" s="489"/>
      <c r="AG25" s="479"/>
    </row>
    <row r="26" spans="1:37" ht="3" customHeight="1" x14ac:dyDescent="0.25">
      <c r="A26" s="478"/>
      <c r="AG26" s="479"/>
    </row>
    <row r="27" spans="1:37" x14ac:dyDescent="0.25">
      <c r="A27" s="478"/>
      <c r="AG27" s="479"/>
    </row>
    <row r="28" spans="1:37" x14ac:dyDescent="0.25">
      <c r="A28" s="478"/>
      <c r="AG28" s="479"/>
    </row>
    <row r="29" spans="1:37" x14ac:dyDescent="0.25">
      <c r="A29" s="478"/>
      <c r="AG29" s="479"/>
    </row>
    <row r="30" spans="1:37" x14ac:dyDescent="0.25">
      <c r="A30" s="478"/>
      <c r="AG30" s="479"/>
    </row>
    <row r="31" spans="1:37" x14ac:dyDescent="0.25">
      <c r="A31" s="478"/>
      <c r="AG31" s="479"/>
    </row>
    <row r="32" spans="1:37" x14ac:dyDescent="0.25">
      <c r="A32" s="478"/>
      <c r="AG32" s="479"/>
    </row>
    <row r="33" spans="1:33" x14ac:dyDescent="0.25">
      <c r="A33" s="478"/>
      <c r="AG33" s="479"/>
    </row>
    <row r="34" spans="1:33" x14ac:dyDescent="0.25">
      <c r="A34" s="478"/>
      <c r="AG34" s="479"/>
    </row>
    <row r="35" spans="1:33" x14ac:dyDescent="0.25">
      <c r="A35" s="478"/>
      <c r="AG35" s="479"/>
    </row>
    <row r="36" spans="1:33" x14ac:dyDescent="0.25">
      <c r="A36" s="478"/>
      <c r="AG36" s="479"/>
    </row>
    <row r="37" spans="1:33" x14ac:dyDescent="0.25">
      <c r="A37" s="478"/>
      <c r="AG37" s="479"/>
    </row>
    <row r="38" spans="1:33" x14ac:dyDescent="0.25">
      <c r="A38" s="478"/>
      <c r="AG38" s="479"/>
    </row>
    <row r="39" spans="1:33" x14ac:dyDescent="0.25">
      <c r="A39" s="481"/>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c r="AA39" s="482"/>
      <c r="AB39" s="482"/>
      <c r="AC39" s="482"/>
      <c r="AD39" s="482"/>
      <c r="AE39" s="482"/>
      <c r="AF39" s="482"/>
      <c r="AG39" s="483"/>
    </row>
    <row r="40" spans="1:33" x14ac:dyDescent="0.25">
      <c r="A40" s="550" t="s">
        <v>6440</v>
      </c>
      <c r="B40" s="551"/>
      <c r="C40" s="551"/>
      <c r="D40" s="551"/>
      <c r="E40" s="551"/>
      <c r="F40" s="551"/>
      <c r="G40" s="551"/>
      <c r="H40" s="551"/>
      <c r="I40" s="551"/>
      <c r="J40" s="551"/>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row>
    <row r="41" spans="1:33" x14ac:dyDescent="0.25">
      <c r="A41" s="551"/>
      <c r="B41" s="551"/>
      <c r="C41" s="551"/>
      <c r="D41" s="551"/>
      <c r="E41" s="551"/>
      <c r="F41" s="551"/>
      <c r="G41" s="551"/>
      <c r="H41" s="551"/>
      <c r="I41" s="551"/>
      <c r="J41" s="551"/>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row>
    <row r="42" spans="1:33" ht="23.25" customHeight="1" x14ac:dyDescent="0.25">
      <c r="A42" s="552" t="s">
        <v>6477</v>
      </c>
      <c r="B42" s="553"/>
      <c r="C42" s="553"/>
      <c r="D42" s="553"/>
      <c r="E42" s="553"/>
      <c r="F42" s="553"/>
      <c r="G42" s="553"/>
      <c r="H42" s="553"/>
      <c r="I42" s="553"/>
      <c r="J42" s="553"/>
      <c r="K42" s="553"/>
      <c r="L42" s="553"/>
      <c r="M42" s="553"/>
      <c r="N42" s="553"/>
      <c r="O42" s="553"/>
      <c r="P42" s="553"/>
      <c r="Q42" s="553"/>
      <c r="R42" s="553"/>
      <c r="S42" s="553"/>
      <c r="T42" s="553"/>
      <c r="U42" s="553"/>
      <c r="V42" s="553"/>
      <c r="W42" s="553"/>
      <c r="X42" s="553"/>
      <c r="Y42" s="553"/>
      <c r="Z42" s="553"/>
      <c r="AA42" s="553"/>
      <c r="AB42" s="553"/>
      <c r="AC42" s="553"/>
      <c r="AD42" s="553"/>
      <c r="AE42" s="553"/>
      <c r="AF42" s="553"/>
      <c r="AG42" s="554"/>
    </row>
    <row r="43" spans="1:33" ht="16.5" customHeight="1" x14ac:dyDescent="0.25">
      <c r="A43" s="547" t="s">
        <v>6483</v>
      </c>
      <c r="B43" s="547"/>
      <c r="C43" s="547"/>
      <c r="D43" s="547"/>
      <c r="E43" s="547"/>
      <c r="F43" s="547"/>
      <c r="G43" s="547"/>
      <c r="H43" s="547"/>
      <c r="I43" s="547"/>
      <c r="J43" s="547"/>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row>
    <row r="50" spans="1:33" ht="9" customHeight="1" x14ac:dyDescent="0.25"/>
    <row r="57" spans="1:33" x14ac:dyDescent="0.25">
      <c r="A57" s="548" t="s">
        <v>6484</v>
      </c>
      <c r="B57" s="548"/>
      <c r="C57" s="548"/>
      <c r="D57" s="548"/>
      <c r="E57" s="548"/>
      <c r="F57" s="548"/>
      <c r="G57" s="548"/>
      <c r="H57" s="548"/>
      <c r="I57" s="548"/>
      <c r="J57" s="548"/>
      <c r="K57" s="548"/>
      <c r="L57" s="548"/>
      <c r="M57" s="548"/>
      <c r="N57" s="548"/>
      <c r="O57" s="548"/>
      <c r="P57" s="548"/>
      <c r="Q57" s="548"/>
      <c r="R57" s="548"/>
      <c r="S57" s="548"/>
      <c r="T57" s="548"/>
      <c r="U57" s="548"/>
      <c r="V57" s="548"/>
      <c r="W57" s="548"/>
      <c r="X57" s="548"/>
      <c r="Y57" s="548"/>
      <c r="Z57" s="548"/>
      <c r="AA57" s="548"/>
      <c r="AB57" s="548"/>
      <c r="AC57" s="548"/>
      <c r="AD57" s="548"/>
      <c r="AE57" s="548"/>
      <c r="AF57" s="548"/>
      <c r="AG57" s="548"/>
    </row>
    <row r="58" spans="1:33" ht="18" customHeight="1" x14ac:dyDescent="0.25"/>
    <row r="64" spans="1:33" ht="9" customHeight="1" x14ac:dyDescent="0.25"/>
    <row r="71" spans="1:33" x14ac:dyDescent="0.25">
      <c r="A71" s="549" t="s">
        <v>6475</v>
      </c>
      <c r="B71" s="549"/>
      <c r="C71" s="549"/>
      <c r="D71" s="549"/>
      <c r="E71" s="549"/>
      <c r="F71" s="549"/>
      <c r="G71" s="549"/>
      <c r="H71" s="549"/>
      <c r="I71" s="549"/>
      <c r="J71" s="549"/>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row>
    <row r="85" spans="1:33" x14ac:dyDescent="0.25">
      <c r="A85" s="550" t="s">
        <v>6440</v>
      </c>
      <c r="B85" s="551"/>
      <c r="C85" s="551"/>
      <c r="D85" s="551"/>
      <c r="E85" s="551"/>
      <c r="F85" s="551"/>
      <c r="G85" s="551"/>
      <c r="H85" s="551"/>
      <c r="I85" s="551"/>
      <c r="J85" s="551"/>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row>
    <row r="86" spans="1:33" x14ac:dyDescent="0.25">
      <c r="A86" s="551"/>
      <c r="B86" s="551"/>
      <c r="C86" s="551"/>
      <c r="D86" s="551"/>
      <c r="E86" s="551"/>
      <c r="F86" s="551"/>
      <c r="G86" s="551"/>
      <c r="H86" s="551"/>
      <c r="I86" s="551"/>
      <c r="J86" s="551"/>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row>
    <row r="87" spans="1:33" x14ac:dyDescent="0.25">
      <c r="A87" s="552" t="s">
        <v>6485</v>
      </c>
      <c r="B87" s="553"/>
      <c r="C87" s="553"/>
      <c r="D87" s="553"/>
      <c r="E87" s="553"/>
      <c r="F87" s="553"/>
      <c r="G87" s="553"/>
      <c r="H87" s="553"/>
      <c r="I87" s="553"/>
      <c r="J87" s="553"/>
      <c r="K87" s="553"/>
      <c r="L87" s="553"/>
      <c r="M87" s="553"/>
      <c r="N87" s="553"/>
      <c r="O87" s="553"/>
      <c r="P87" s="553"/>
      <c r="Q87" s="553"/>
      <c r="R87" s="553"/>
      <c r="S87" s="553"/>
      <c r="T87" s="553"/>
      <c r="U87" s="553"/>
      <c r="V87" s="553"/>
      <c r="W87" s="553"/>
      <c r="X87" s="553"/>
      <c r="Y87" s="553"/>
      <c r="Z87" s="553"/>
      <c r="AA87" s="553"/>
      <c r="AB87" s="553"/>
      <c r="AC87" s="553"/>
      <c r="AD87" s="553"/>
      <c r="AE87" s="553"/>
      <c r="AF87" s="553"/>
      <c r="AG87" s="554"/>
    </row>
    <row r="88" spans="1:33" x14ac:dyDescent="0.25">
      <c r="A88" s="547" t="s">
        <v>6486</v>
      </c>
      <c r="B88" s="547"/>
      <c r="C88" s="547"/>
      <c r="D88" s="547"/>
      <c r="E88" s="547"/>
      <c r="F88" s="547"/>
      <c r="G88" s="547"/>
      <c r="H88" s="547"/>
      <c r="I88" s="547"/>
      <c r="J88" s="547"/>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row>
  </sheetData>
  <mergeCells count="36">
    <mergeCell ref="B8:AG8"/>
    <mergeCell ref="B9:AG9"/>
    <mergeCell ref="A13:AG13"/>
    <mergeCell ref="B14:AG14"/>
    <mergeCell ref="B17:M17"/>
    <mergeCell ref="O17:AG17"/>
    <mergeCell ref="B15:AG15"/>
    <mergeCell ref="B16:AG16"/>
    <mergeCell ref="A1:AG2"/>
    <mergeCell ref="A3:AG3"/>
    <mergeCell ref="A4:AG4"/>
    <mergeCell ref="B7:AG7"/>
    <mergeCell ref="A6:AG6"/>
    <mergeCell ref="B5:N5"/>
    <mergeCell ref="O5:P5"/>
    <mergeCell ref="Q5:AG5"/>
    <mergeCell ref="AJ18:AK18"/>
    <mergeCell ref="L18:M18"/>
    <mergeCell ref="M25:N25"/>
    <mergeCell ref="A20:AG20"/>
    <mergeCell ref="B21:AG21"/>
    <mergeCell ref="B22:AG22"/>
    <mergeCell ref="B23:AG23"/>
    <mergeCell ref="B24:M24"/>
    <mergeCell ref="O24:AG24"/>
    <mergeCell ref="A40:AG41"/>
    <mergeCell ref="A42:AG42"/>
    <mergeCell ref="B10:L10"/>
    <mergeCell ref="K11:L11"/>
    <mergeCell ref="M11:AG11"/>
    <mergeCell ref="A88:AG88"/>
    <mergeCell ref="A43:AG43"/>
    <mergeCell ref="A57:AG57"/>
    <mergeCell ref="A71:AG71"/>
    <mergeCell ref="A85:AG86"/>
    <mergeCell ref="A87:AG87"/>
  </mergeCells>
  <printOptions horizontalCentered="1"/>
  <pageMargins left="0.25" right="0.25"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40DB-7133-4A81-AC23-9F4AB730A8B0}">
  <sheetPr>
    <tabColor theme="9"/>
  </sheetPr>
  <dimension ref="A1:J11"/>
  <sheetViews>
    <sheetView workbookViewId="0">
      <selection activeCell="G18" sqref="G18"/>
    </sheetView>
  </sheetViews>
  <sheetFormatPr defaultRowHeight="15" x14ac:dyDescent="0.25"/>
  <cols>
    <col min="4" max="4" width="8.7109375" customWidth="1"/>
  </cols>
  <sheetData>
    <row r="1" spans="1:10" x14ac:dyDescent="0.25">
      <c r="B1" s="25" t="s">
        <v>6442</v>
      </c>
      <c r="C1" s="25" t="s">
        <v>2737</v>
      </c>
      <c r="D1" s="417" t="s">
        <v>6451</v>
      </c>
      <c r="E1" s="417" t="s">
        <v>6452</v>
      </c>
      <c r="F1" s="418" t="s">
        <v>6444</v>
      </c>
      <c r="G1" s="418" t="s">
        <v>6446</v>
      </c>
      <c r="H1" s="419" t="s">
        <v>6445</v>
      </c>
      <c r="I1" s="419" t="s">
        <v>6447</v>
      </c>
    </row>
    <row r="2" spans="1:10" x14ac:dyDescent="0.25">
      <c r="B2" s="416">
        <f>COUNTIF('2025-Q1'!$D$4:$D$448,"Y")/C2</f>
        <v>0.8764044943820225</v>
      </c>
      <c r="C2" s="415">
        <f>COUNTA('2025-Q1'!$D$4:$D$448)</f>
        <v>445</v>
      </c>
      <c r="D2" s="415">
        <f>COUNTIF('2025-Q1'!$FV$4:$FV$448,"Up")</f>
        <v>101</v>
      </c>
      <c r="E2" s="416">
        <f>D2/$C$2</f>
        <v>0.22696629213483147</v>
      </c>
      <c r="F2" s="415">
        <f>COUNTIF('2025-Q1'!$FV$4:$FV$448,"Dwn")</f>
        <v>128</v>
      </c>
      <c r="G2" s="416">
        <f>F2/$C$2</f>
        <v>0.28764044943820227</v>
      </c>
      <c r="H2" s="415">
        <f>COUNTIF('2025-Q1'!$FV$4:$FV$448,"Sw")</f>
        <v>215</v>
      </c>
      <c r="I2" s="416">
        <f>H2/$C$2</f>
        <v>0.48314606741573035</v>
      </c>
    </row>
    <row r="3" spans="1:10" x14ac:dyDescent="0.25">
      <c r="D3" s="417" t="s">
        <v>6450</v>
      </c>
      <c r="F3" s="418" t="s">
        <v>6449</v>
      </c>
      <c r="H3" s="419" t="s">
        <v>6453</v>
      </c>
      <c r="J3" s="422" t="s">
        <v>6454</v>
      </c>
    </row>
    <row r="4" spans="1:10" x14ac:dyDescent="0.25">
      <c r="D4" s="420">
        <f>SUM('2025-Q1'!$T$4:$T$448)</f>
        <v>10.009379462148743</v>
      </c>
      <c r="F4" s="420">
        <f>SUM('2025-Q1'!$V$4:$V$448)</f>
        <v>43.496894859916743</v>
      </c>
      <c r="H4" s="420">
        <f>SUM('2025-Q1'!$X$4:$X$448)</f>
        <v>15.126535164379963</v>
      </c>
      <c r="J4" s="421">
        <f>D4+F4+H4</f>
        <v>68.632809486445453</v>
      </c>
    </row>
    <row r="8" spans="1:10" x14ac:dyDescent="0.25">
      <c r="B8" s="57" t="s">
        <v>6482</v>
      </c>
      <c r="C8" s="57" t="s">
        <v>5700</v>
      </c>
    </row>
    <row r="9" spans="1:10" x14ac:dyDescent="0.25">
      <c r="A9" s="417" t="s">
        <v>4739</v>
      </c>
      <c r="B9" s="60">
        <f>D4</f>
        <v>10.009379462148743</v>
      </c>
      <c r="C9" s="60">
        <f>Expectancy!Q3</f>
        <v>9.910276695196775E-2</v>
      </c>
    </row>
    <row r="10" spans="1:10" x14ac:dyDescent="0.25">
      <c r="A10" s="418" t="s">
        <v>6456</v>
      </c>
      <c r="B10" s="60">
        <f>F4</f>
        <v>43.496894859916743</v>
      </c>
      <c r="C10" s="60">
        <f>Expectancy!R3</f>
        <v>0.33981949109309956</v>
      </c>
    </row>
    <row r="11" spans="1:10" x14ac:dyDescent="0.25">
      <c r="A11" s="419" t="s">
        <v>1484</v>
      </c>
      <c r="B11" s="60">
        <f>H4</f>
        <v>15.126535164379963</v>
      </c>
      <c r="C11" s="60">
        <f>Expectancy!S3</f>
        <v>7.0355977508744005E-2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C00A-D7F8-4B9D-B5EB-FB5B93C4C8E9}">
  <sheetPr>
    <tabColor rgb="FF92D050"/>
  </sheetPr>
  <dimension ref="A1:F4735"/>
  <sheetViews>
    <sheetView showGridLines="0" workbookViewId="0">
      <pane ySplit="1" topLeftCell="A1916" activePane="bottomLeft" state="frozen"/>
      <selection pane="bottomLeft" activeCell="B1852" sqref="B1852:C1852"/>
    </sheetView>
  </sheetViews>
  <sheetFormatPr defaultRowHeight="15" x14ac:dyDescent="0.25"/>
  <cols>
    <col min="1" max="1" width="15.5703125" style="1" bestFit="1" customWidth="1"/>
    <col min="2" max="2" width="16.85546875" style="13" customWidth="1"/>
    <col min="3" max="3" width="54.140625" bestFit="1" customWidth="1"/>
    <col min="4" max="4" width="12" bestFit="1" customWidth="1"/>
  </cols>
  <sheetData>
    <row r="1" spans="1:4" x14ac:dyDescent="0.25">
      <c r="A1" s="2" t="s">
        <v>0</v>
      </c>
      <c r="B1" s="2" t="s">
        <v>1</v>
      </c>
      <c r="C1" s="8" t="s">
        <v>2</v>
      </c>
      <c r="D1" s="8" t="s">
        <v>1614</v>
      </c>
    </row>
    <row r="2" spans="1:4" x14ac:dyDescent="0.25">
      <c r="A2" s="140">
        <v>45659.586805555555</v>
      </c>
      <c r="B2" t="s">
        <v>2781</v>
      </c>
      <c r="C2" t="s">
        <v>5704</v>
      </c>
      <c r="D2" s="6" t="str">
        <f>_xlfn.XLOOKUP(B2,Indices!$A$2:$A$2676,Indices!$B$2:$B$2676,"")</f>
        <v/>
      </c>
    </row>
    <row r="3" spans="1:4" x14ac:dyDescent="0.25">
      <c r="A3" s="140">
        <v>45659.590277777781</v>
      </c>
      <c r="B3" t="s">
        <v>2278</v>
      </c>
      <c r="C3" t="s">
        <v>5705</v>
      </c>
      <c r="D3" s="6" t="str">
        <f>_xlfn.XLOOKUP(B3,Indices!$A$2:$A$2676,Indices!$B$2:$B$2676,"")</f>
        <v>IWM</v>
      </c>
    </row>
    <row r="4" spans="1:4" x14ac:dyDescent="0.25">
      <c r="A4" s="140">
        <v>45660.25</v>
      </c>
      <c r="B4" t="s">
        <v>2637</v>
      </c>
      <c r="C4" t="s">
        <v>5706</v>
      </c>
      <c r="D4" s="6" t="str">
        <f>_xlfn.XLOOKUP(B4,Indices!$A$2:$A$2676,Indices!$B$2:$B$2676,"")</f>
        <v/>
      </c>
    </row>
    <row r="5" spans="1:4" x14ac:dyDescent="0.25">
      <c r="A5" s="140">
        <v>45663.462500000001</v>
      </c>
      <c r="B5" t="s">
        <v>1639</v>
      </c>
      <c r="C5" t="s">
        <v>5707</v>
      </c>
      <c r="D5" s="6" t="str">
        <f>_xlfn.XLOOKUP(B5,Indices!$A$2:$A$2676,Indices!$B$2:$B$2676,"")</f>
        <v>IWM</v>
      </c>
    </row>
    <row r="6" spans="1:4" x14ac:dyDescent="0.25">
      <c r="A6" s="140">
        <v>45664.1875</v>
      </c>
      <c r="B6" t="s">
        <v>1889</v>
      </c>
      <c r="C6" t="s">
        <v>5708</v>
      </c>
      <c r="D6" s="6" t="str">
        <f>_xlfn.XLOOKUP(B6,Indices!$A$2:$A$2676,Indices!$B$2:$B$2676,"")</f>
        <v>IWM</v>
      </c>
    </row>
    <row r="7" spans="1:4" x14ac:dyDescent="0.25">
      <c r="A7" s="140">
        <v>45664.197916666664</v>
      </c>
      <c r="B7" t="s">
        <v>1957</v>
      </c>
      <c r="C7" t="s">
        <v>5709</v>
      </c>
      <c r="D7" s="6" t="str">
        <f>_xlfn.XLOOKUP(B7,Indices!$A$2:$A$2676,Indices!$B$2:$B$2676,"")</f>
        <v>IWM</v>
      </c>
    </row>
    <row r="8" spans="1:4" x14ac:dyDescent="0.25">
      <c r="A8" s="140">
        <v>45664.197916666664</v>
      </c>
      <c r="B8" t="s">
        <v>2376</v>
      </c>
      <c r="C8" t="s">
        <v>5709</v>
      </c>
      <c r="D8" s="6" t="str">
        <f>_xlfn.XLOOKUP(B8,Indices!$A$2:$A$2676,Indices!$B$2:$B$2676,"")</f>
        <v>S&amp;P Mid</v>
      </c>
    </row>
    <row r="9" spans="1:4" x14ac:dyDescent="0.25">
      <c r="A9" s="140">
        <v>45664.586805555555</v>
      </c>
      <c r="B9" t="s">
        <v>1730</v>
      </c>
      <c r="C9" t="s">
        <v>5710</v>
      </c>
      <c r="D9" s="6" t="str">
        <f>_xlfn.XLOOKUP(B9,Indices!$A$2:$A$2676,Indices!$B$2:$B$2676,"")</f>
        <v>IWM</v>
      </c>
    </row>
    <row r="10" spans="1:4" x14ac:dyDescent="0.25">
      <c r="A10" s="140">
        <v>45664.586805555555</v>
      </c>
      <c r="B10" t="s">
        <v>1839</v>
      </c>
      <c r="C10" t="s">
        <v>5710</v>
      </c>
      <c r="D10" s="6" t="str">
        <f>_xlfn.XLOOKUP(B10,Indices!$A$2:$A$2676,Indices!$B$2:$B$2676,"")</f>
        <v>IWM</v>
      </c>
    </row>
    <row r="11" spans="1:4" x14ac:dyDescent="0.25">
      <c r="A11" s="140">
        <v>45664.586805555555</v>
      </c>
      <c r="B11" t="s">
        <v>408</v>
      </c>
      <c r="C11" t="s">
        <v>5710</v>
      </c>
      <c r="D11" s="6" t="str">
        <f>_xlfn.XLOOKUP(B11,Indices!$A$2:$A$2676,Indices!$B$2:$B$2676,"")</f>
        <v>IWM</v>
      </c>
    </row>
    <row r="12" spans="1:4" x14ac:dyDescent="0.25">
      <c r="A12" s="140">
        <v>45664.587500000001</v>
      </c>
      <c r="B12" t="s">
        <v>2215</v>
      </c>
      <c r="C12" t="s">
        <v>5711</v>
      </c>
      <c r="D12" s="6" t="str">
        <f>_xlfn.XLOOKUP(B12,Indices!$A$2:$A$2676,Indices!$B$2:$B$2676,"")</f>
        <v>IWM</v>
      </c>
    </row>
    <row r="13" spans="1:4" x14ac:dyDescent="0.25">
      <c r="A13" s="140">
        <v>45664.59375</v>
      </c>
      <c r="B13" t="s">
        <v>1819</v>
      </c>
      <c r="C13" t="s">
        <v>5712</v>
      </c>
      <c r="D13" s="6" t="str">
        <f>_xlfn.XLOOKUP(B13,Indices!$A$2:$A$2676,Indices!$B$2:$B$2676,"")</f>
        <v>IWM</v>
      </c>
    </row>
    <row r="14" spans="1:4" x14ac:dyDescent="0.25">
      <c r="A14" s="140">
        <v>45664.59375</v>
      </c>
      <c r="B14" t="s">
        <v>2782</v>
      </c>
      <c r="C14" t="s">
        <v>5712</v>
      </c>
      <c r="D14" s="6" t="str">
        <f>_xlfn.XLOOKUP(B14,Indices!$A$2:$A$2676,Indices!$B$2:$B$2676,"")</f>
        <v/>
      </c>
    </row>
    <row r="15" spans="1:4" x14ac:dyDescent="0.25">
      <c r="A15" s="140">
        <v>45664.604166666664</v>
      </c>
      <c r="B15" t="s">
        <v>2197</v>
      </c>
      <c r="C15" t="s">
        <v>5713</v>
      </c>
      <c r="D15" s="6" t="str">
        <f>_xlfn.XLOOKUP(B15,Indices!$A$2:$A$2676,Indices!$B$2:$B$2676,"")</f>
        <v>IWM</v>
      </c>
    </row>
    <row r="16" spans="1:4" x14ac:dyDescent="0.25">
      <c r="A16" s="140">
        <v>45665.166666666664</v>
      </c>
      <c r="B16" t="s">
        <v>2345</v>
      </c>
      <c r="C16" t="s">
        <v>5714</v>
      </c>
      <c r="D16" s="6" t="str">
        <f>_xlfn.XLOOKUP(B16,Indices!$A$2:$A$2676,Indices!$B$2:$B$2676,"")</f>
        <v>S&amp;P Mid</v>
      </c>
    </row>
    <row r="17" spans="1:4" x14ac:dyDescent="0.25">
      <c r="A17" s="140">
        <v>45665.1875</v>
      </c>
      <c r="B17" t="s">
        <v>2294</v>
      </c>
      <c r="C17" t="s">
        <v>5715</v>
      </c>
      <c r="D17" s="6" t="str">
        <f>_xlfn.XLOOKUP(B17,Indices!$A$2:$A$2676,Indices!$B$2:$B$2676,"")</f>
        <v>IWM</v>
      </c>
    </row>
    <row r="18" spans="1:4" x14ac:dyDescent="0.25">
      <c r="A18" s="140">
        <v>45665.1875</v>
      </c>
      <c r="B18" t="s">
        <v>2351</v>
      </c>
      <c r="C18" t="s">
        <v>5715</v>
      </c>
      <c r="D18" s="6" t="str">
        <f>_xlfn.XLOOKUP(B18,Indices!$A$2:$A$2676,Indices!$B$2:$B$2676,"")</f>
        <v>S&amp;P Mid</v>
      </c>
    </row>
    <row r="19" spans="1:4" x14ac:dyDescent="0.25">
      <c r="A19" s="140">
        <v>45665.197916666664</v>
      </c>
      <c r="B19" t="s">
        <v>1926</v>
      </c>
      <c r="C19" t="s">
        <v>5716</v>
      </c>
      <c r="D19" s="6" t="str">
        <f>_xlfn.XLOOKUP(B19,Indices!$A$2:$A$2676,Indices!$B$2:$B$2676,"")</f>
        <v>IWM</v>
      </c>
    </row>
    <row r="20" spans="1:4" x14ac:dyDescent="0.25">
      <c r="A20" s="140">
        <v>45665.208333333336</v>
      </c>
      <c r="B20" t="s">
        <v>1748</v>
      </c>
      <c r="C20" t="s">
        <v>5717</v>
      </c>
      <c r="D20" s="6" t="str">
        <f>_xlfn.XLOOKUP(B20,Indices!$A$2:$A$2676,Indices!$B$2:$B$2676,"")</f>
        <v>IWM</v>
      </c>
    </row>
    <row r="21" spans="1:4" x14ac:dyDescent="0.25">
      <c r="A21" s="140">
        <v>45665.229166666664</v>
      </c>
      <c r="B21" t="s">
        <v>5718</v>
      </c>
      <c r="C21" t="s">
        <v>5719</v>
      </c>
      <c r="D21" s="6" t="str">
        <f>_xlfn.XLOOKUP(B21,Indices!$A$2:$A$2676,Indices!$B$2:$B$2676,"")</f>
        <v/>
      </c>
    </row>
    <row r="22" spans="1:4" x14ac:dyDescent="0.25">
      <c r="A22" s="140">
        <v>45665.25</v>
      </c>
      <c r="B22" t="s">
        <v>1782</v>
      </c>
      <c r="C22" t="s">
        <v>5720</v>
      </c>
      <c r="D22" s="6" t="str">
        <f>_xlfn.XLOOKUP(B22,Indices!$A$2:$A$2676,Indices!$B$2:$B$2676,"")</f>
        <v>IWM</v>
      </c>
    </row>
    <row r="23" spans="1:4" x14ac:dyDescent="0.25">
      <c r="A23" s="140">
        <v>45665.583333333336</v>
      </c>
      <c r="B23" t="s">
        <v>1046</v>
      </c>
      <c r="C23" t="s">
        <v>5721</v>
      </c>
      <c r="D23" s="6" t="str">
        <f>_xlfn.XLOOKUP(B23,Indices!$A$2:$A$2676,Indices!$B$2:$B$2676,"")</f>
        <v>IWM</v>
      </c>
    </row>
    <row r="24" spans="1:4" x14ac:dyDescent="0.25">
      <c r="A24" s="140">
        <v>45665.584027777775</v>
      </c>
      <c r="B24" t="s">
        <v>1849</v>
      </c>
      <c r="C24" t="s">
        <v>5722</v>
      </c>
      <c r="D24" s="6" t="str">
        <f>_xlfn.XLOOKUP(B24,Indices!$A$2:$A$2676,Indices!$B$2:$B$2676,"")</f>
        <v>IWM</v>
      </c>
    </row>
    <row r="25" spans="1:4" x14ac:dyDescent="0.25">
      <c r="A25" s="140">
        <v>45665.586111111108</v>
      </c>
      <c r="B25" t="s">
        <v>363</v>
      </c>
      <c r="C25" t="s">
        <v>5723</v>
      </c>
      <c r="D25" s="6" t="str">
        <f>_xlfn.XLOOKUP(B25,Indices!$A$2:$A$2676,Indices!$B$2:$B$2676,"")</f>
        <v>IWM</v>
      </c>
    </row>
    <row r="26" spans="1:4" x14ac:dyDescent="0.25">
      <c r="A26" s="140">
        <v>45665.586805555555</v>
      </c>
      <c r="B26" t="s">
        <v>5724</v>
      </c>
      <c r="C26" t="s">
        <v>5725</v>
      </c>
      <c r="D26" s="6" t="str">
        <f>_xlfn.XLOOKUP(B26,Indices!$A$2:$A$2676,Indices!$B$2:$B$2676,"")</f>
        <v/>
      </c>
    </row>
    <row r="27" spans="1:4" x14ac:dyDescent="0.25">
      <c r="A27" s="140">
        <v>45665.586805555555</v>
      </c>
      <c r="B27" t="s">
        <v>2046</v>
      </c>
      <c r="C27" t="s">
        <v>5725</v>
      </c>
      <c r="D27" s="6" t="str">
        <f>_xlfn.XLOOKUP(B27,Indices!$A$2:$A$2676,Indices!$B$2:$B$2676,"")</f>
        <v>IWM</v>
      </c>
    </row>
    <row r="28" spans="1:4" x14ac:dyDescent="0.25">
      <c r="A28" s="140">
        <v>45665.59375</v>
      </c>
      <c r="B28" t="s">
        <v>1864</v>
      </c>
      <c r="C28" t="s">
        <v>5726</v>
      </c>
      <c r="D28" s="6" t="str">
        <f>_xlfn.XLOOKUP(B28,Indices!$A$2:$A$2676,Indices!$B$2:$B$2676,"")</f>
        <v>IWM</v>
      </c>
    </row>
    <row r="29" spans="1:4" x14ac:dyDescent="0.25">
      <c r="A29" s="140">
        <v>45665.59375</v>
      </c>
      <c r="B29" t="s">
        <v>2390</v>
      </c>
      <c r="C29" t="s">
        <v>5726</v>
      </c>
      <c r="D29" s="6" t="str">
        <f>_xlfn.XLOOKUP(B29,Indices!$A$2:$A$2676,Indices!$B$2:$B$2676,"")</f>
        <v>S&amp;P Mid</v>
      </c>
    </row>
    <row r="30" spans="1:4" x14ac:dyDescent="0.25">
      <c r="A30" s="140">
        <v>45665.625</v>
      </c>
      <c r="B30" t="s">
        <v>2783</v>
      </c>
      <c r="C30" t="s">
        <v>5727</v>
      </c>
      <c r="D30" s="6" t="str">
        <f>_xlfn.XLOOKUP(B30,Indices!$A$2:$A$2676,Indices!$B$2:$B$2676,"")</f>
        <v/>
      </c>
    </row>
    <row r="31" spans="1:4" x14ac:dyDescent="0.25">
      <c r="A31" s="140">
        <v>45665.628472222219</v>
      </c>
      <c r="B31" t="s">
        <v>2784</v>
      </c>
      <c r="C31" t="s">
        <v>5728</v>
      </c>
      <c r="D31" s="6" t="str">
        <f>_xlfn.XLOOKUP(B31,Indices!$A$2:$A$2676,Indices!$B$2:$B$2676,"")</f>
        <v/>
      </c>
    </row>
    <row r="32" spans="1:4" x14ac:dyDescent="0.25">
      <c r="A32" s="140">
        <v>45665.958333333336</v>
      </c>
      <c r="B32" t="s">
        <v>2786</v>
      </c>
      <c r="C32" t="s">
        <v>5729</v>
      </c>
      <c r="D32" s="6" t="str">
        <f>_xlfn.XLOOKUP(B32,Indices!$A$2:$A$2676,Indices!$B$2:$B$2676,"")</f>
        <v/>
      </c>
    </row>
    <row r="33" spans="1:4" x14ac:dyDescent="0.25">
      <c r="A33" s="140">
        <v>45665.958333333336</v>
      </c>
      <c r="B33" t="s">
        <v>2785</v>
      </c>
      <c r="C33" t="s">
        <v>5729</v>
      </c>
      <c r="D33" s="6" t="str">
        <f>_xlfn.XLOOKUP(B33,Indices!$A$2:$A$2676,Indices!$B$2:$B$2676,"")</f>
        <v/>
      </c>
    </row>
    <row r="34" spans="1:4" x14ac:dyDescent="0.25">
      <c r="A34" s="140">
        <v>45666.291666666664</v>
      </c>
      <c r="B34" t="s">
        <v>2787</v>
      </c>
      <c r="C34" t="s">
        <v>5730</v>
      </c>
      <c r="D34" s="6" t="str">
        <f>_xlfn.XLOOKUP(B34,Indices!$A$2:$A$2676,Indices!$B$2:$B$2676,"")</f>
        <v/>
      </c>
    </row>
    <row r="35" spans="1:4" x14ac:dyDescent="0.25">
      <c r="A35" s="140">
        <v>45667.1875</v>
      </c>
      <c r="B35" t="s">
        <v>1439</v>
      </c>
      <c r="C35" t="s">
        <v>5731</v>
      </c>
      <c r="D35" s="6" t="str">
        <f>_xlfn.XLOOKUP(B35,Indices!$A$2:$A$2676,Indices!$B$2:$B$2676,"")</f>
        <v>SP500</v>
      </c>
    </row>
    <row r="36" spans="1:4" x14ac:dyDescent="0.25">
      <c r="A36" s="140">
        <v>45667.208333333336</v>
      </c>
      <c r="B36" t="s">
        <v>1759</v>
      </c>
      <c r="C36" t="s">
        <v>5732</v>
      </c>
      <c r="D36" s="6" t="str">
        <f>_xlfn.XLOOKUP(B36,Indices!$A$2:$A$2676,Indices!$B$2:$B$2676,"")</f>
        <v>IWM</v>
      </c>
    </row>
    <row r="37" spans="1:4" x14ac:dyDescent="0.25">
      <c r="A37" s="140">
        <v>45667.208333333336</v>
      </c>
      <c r="B37" t="s">
        <v>1610</v>
      </c>
      <c r="C37" t="s">
        <v>5732</v>
      </c>
      <c r="D37" s="6" t="str">
        <f>_xlfn.XLOOKUP(B37,Indices!$A$2:$A$2676,Indices!$B$2:$B$2676,"")</f>
        <v>SP500</v>
      </c>
    </row>
    <row r="38" spans="1:4" x14ac:dyDescent="0.25">
      <c r="A38" s="140">
        <v>45667.208333333336</v>
      </c>
      <c r="B38" t="s">
        <v>2788</v>
      </c>
      <c r="C38" t="s">
        <v>5732</v>
      </c>
      <c r="D38" s="6" t="str">
        <f>_xlfn.XLOOKUP(B38,Indices!$A$2:$A$2676,Indices!$B$2:$B$2676,"")</f>
        <v/>
      </c>
    </row>
    <row r="39" spans="1:4" x14ac:dyDescent="0.25">
      <c r="A39" s="140">
        <v>45667.229166666664</v>
      </c>
      <c r="B39" t="s">
        <v>1433</v>
      </c>
      <c r="C39" t="s">
        <v>5733</v>
      </c>
      <c r="D39" s="6" t="str">
        <f>_xlfn.XLOOKUP(B39,Indices!$A$2:$A$2676,Indices!$B$2:$B$2676,"")</f>
        <v>SP500</v>
      </c>
    </row>
    <row r="40" spans="1:4" x14ac:dyDescent="0.25">
      <c r="A40" s="140">
        <v>45667.239583333336</v>
      </c>
      <c r="B40" t="s">
        <v>2136</v>
      </c>
      <c r="C40" t="s">
        <v>5734</v>
      </c>
      <c r="D40" s="6" t="str">
        <f>_xlfn.XLOOKUP(B40,Indices!$A$2:$A$2676,Indices!$B$2:$B$2676,"")</f>
        <v>IWM</v>
      </c>
    </row>
    <row r="41" spans="1:4" x14ac:dyDescent="0.25">
      <c r="A41" s="140">
        <v>45667.25</v>
      </c>
      <c r="B41" t="s">
        <v>2789</v>
      </c>
      <c r="C41" t="s">
        <v>5735</v>
      </c>
      <c r="D41" s="6" t="str">
        <f>_xlfn.XLOOKUP(B41,Indices!$A$2:$A$2676,Indices!$B$2:$B$2676,"")</f>
        <v/>
      </c>
    </row>
    <row r="42" spans="1:4" x14ac:dyDescent="0.25">
      <c r="A42" s="140">
        <v>45667.253472222219</v>
      </c>
      <c r="B42" t="s">
        <v>2428</v>
      </c>
      <c r="C42" t="s">
        <v>5736</v>
      </c>
      <c r="D42" s="6" t="str">
        <f>_xlfn.XLOOKUP(B42,Indices!$A$2:$A$2676,Indices!$B$2:$B$2676,"")</f>
        <v>S&amp;P Mid</v>
      </c>
    </row>
    <row r="43" spans="1:4" x14ac:dyDescent="0.25">
      <c r="A43" s="140">
        <v>45667.3125</v>
      </c>
      <c r="B43" t="s">
        <v>2299</v>
      </c>
      <c r="C43" t="s">
        <v>5737</v>
      </c>
      <c r="D43" s="6" t="str">
        <f>_xlfn.XLOOKUP(B43,Indices!$A$2:$A$2676,Indices!$B$2:$B$2676,"")</f>
        <v>IWM</v>
      </c>
    </row>
    <row r="44" spans="1:4" x14ac:dyDescent="0.25">
      <c r="A44" s="140">
        <v>45667.586805555555</v>
      </c>
      <c r="B44" t="s">
        <v>1734</v>
      </c>
      <c r="C44" t="s">
        <v>5738</v>
      </c>
      <c r="D44" s="6" t="str">
        <f>_xlfn.XLOOKUP(B44,Indices!$A$2:$A$2676,Indices!$B$2:$B$2676,"")</f>
        <v>IWM</v>
      </c>
    </row>
    <row r="45" spans="1:4" x14ac:dyDescent="0.25">
      <c r="A45" s="140">
        <v>45667.637499999997</v>
      </c>
      <c r="B45" t="s">
        <v>2790</v>
      </c>
      <c r="C45" t="s">
        <v>5739</v>
      </c>
      <c r="D45" s="6" t="str">
        <f>_xlfn.XLOOKUP(B45,Indices!$A$2:$A$2676,Indices!$B$2:$B$2676,"")</f>
        <v/>
      </c>
    </row>
    <row r="46" spans="1:4" x14ac:dyDescent="0.25">
      <c r="A46" s="140">
        <v>45670.208333333336</v>
      </c>
      <c r="B46" t="s">
        <v>5740</v>
      </c>
      <c r="C46" t="s">
        <v>5741</v>
      </c>
      <c r="D46" s="6" t="str">
        <f>_xlfn.XLOOKUP(B46,Indices!$A$2:$A$2676,Indices!$B$2:$B$2676,"")</f>
        <v/>
      </c>
    </row>
    <row r="47" spans="1:4" x14ac:dyDescent="0.25">
      <c r="A47" s="140">
        <v>45670.209027777775</v>
      </c>
      <c r="B47" t="s">
        <v>2791</v>
      </c>
      <c r="C47" t="s">
        <v>5742</v>
      </c>
      <c r="D47" s="6" t="str">
        <f>_xlfn.XLOOKUP(B47,Indices!$A$2:$A$2676,Indices!$B$2:$B$2676,"")</f>
        <v/>
      </c>
    </row>
    <row r="48" spans="1:4" x14ac:dyDescent="0.25">
      <c r="A48" s="140">
        <v>45670.586805555555</v>
      </c>
      <c r="B48" t="s">
        <v>2792</v>
      </c>
      <c r="C48" t="s">
        <v>5743</v>
      </c>
      <c r="D48" s="6" t="str">
        <f>_xlfn.XLOOKUP(B48,Indices!$A$2:$A$2676,Indices!$B$2:$B$2676,"")</f>
        <v/>
      </c>
    </row>
    <row r="49" spans="1:4" x14ac:dyDescent="0.25">
      <c r="A49" s="140">
        <v>45670.586805555555</v>
      </c>
      <c r="B49" t="s">
        <v>2264</v>
      </c>
      <c r="C49" t="s">
        <v>5743</v>
      </c>
      <c r="D49" s="6" t="str">
        <f>_xlfn.XLOOKUP(B49,Indices!$A$2:$A$2676,Indices!$B$2:$B$2676,"")</f>
        <v>IWM</v>
      </c>
    </row>
    <row r="50" spans="1:4" x14ac:dyDescent="0.25">
      <c r="A50" s="140">
        <v>45670.590277777781</v>
      </c>
      <c r="B50" t="s">
        <v>1680</v>
      </c>
      <c r="C50" t="s">
        <v>5744</v>
      </c>
      <c r="D50" s="6" t="str">
        <f>_xlfn.XLOOKUP(B50,Indices!$A$2:$A$2676,Indices!$B$2:$B$2676,"")</f>
        <v>IWM</v>
      </c>
    </row>
    <row r="51" spans="1:4" x14ac:dyDescent="0.25">
      <c r="A51" s="140">
        <v>45670.594444444447</v>
      </c>
      <c r="B51" t="s">
        <v>2793</v>
      </c>
      <c r="C51" t="s">
        <v>5745</v>
      </c>
      <c r="D51" s="6" t="str">
        <f>_xlfn.XLOOKUP(B51,Indices!$A$2:$A$2676,Indices!$B$2:$B$2676,"")</f>
        <v/>
      </c>
    </row>
    <row r="52" spans="1:4" x14ac:dyDescent="0.25">
      <c r="A52" s="140">
        <v>45670.609027777777</v>
      </c>
      <c r="B52" t="s">
        <v>2794</v>
      </c>
      <c r="C52" t="s">
        <v>5746</v>
      </c>
      <c r="D52" s="6" t="str">
        <f>_xlfn.XLOOKUP(B52,Indices!$A$2:$A$2676,Indices!$B$2:$B$2676,"")</f>
        <v/>
      </c>
    </row>
    <row r="53" spans="1:4" x14ac:dyDescent="0.25">
      <c r="A53" s="140">
        <v>45671.586805555555</v>
      </c>
      <c r="B53" t="s">
        <v>5747</v>
      </c>
      <c r="C53" t="s">
        <v>5748</v>
      </c>
      <c r="D53" s="6" t="str">
        <f>_xlfn.XLOOKUP(B53,Indices!$A$2:$A$2676,Indices!$B$2:$B$2676,"")</f>
        <v/>
      </c>
    </row>
    <row r="54" spans="1:4" x14ac:dyDescent="0.25">
      <c r="A54" s="140">
        <v>45671.590277777781</v>
      </c>
      <c r="B54" t="s">
        <v>2291</v>
      </c>
      <c r="C54" t="s">
        <v>5749</v>
      </c>
      <c r="D54" s="6" t="str">
        <f>_xlfn.XLOOKUP(B54,Indices!$A$2:$A$2676,Indices!$B$2:$B$2676,"")</f>
        <v>IWM</v>
      </c>
    </row>
    <row r="55" spans="1:4" x14ac:dyDescent="0.25">
      <c r="A55" s="140">
        <v>45671.594444444447</v>
      </c>
      <c r="B55" t="s">
        <v>2002</v>
      </c>
      <c r="C55" t="s">
        <v>5750</v>
      </c>
      <c r="D55" s="6" t="str">
        <f>_xlfn.XLOOKUP(B55,Indices!$A$2:$A$2676,Indices!$B$2:$B$2676,"")</f>
        <v>IWM</v>
      </c>
    </row>
    <row r="56" spans="1:4" x14ac:dyDescent="0.25">
      <c r="A56" s="140">
        <v>45671.598611111112</v>
      </c>
      <c r="B56" t="s">
        <v>5751</v>
      </c>
      <c r="C56" t="s">
        <v>5752</v>
      </c>
      <c r="D56" s="6" t="str">
        <f>_xlfn.XLOOKUP(B56,Indices!$A$2:$A$2676,Indices!$B$2:$B$2676,"")</f>
        <v/>
      </c>
    </row>
    <row r="57" spans="1:4" x14ac:dyDescent="0.25">
      <c r="A57" s="140">
        <v>45671.613888888889</v>
      </c>
      <c r="B57" t="s">
        <v>2206</v>
      </c>
      <c r="C57" t="s">
        <v>5753</v>
      </c>
      <c r="D57" s="6" t="str">
        <f>_xlfn.XLOOKUP(B57,Indices!$A$2:$A$2676,Indices!$B$2:$B$2676,"")</f>
        <v>IWM</v>
      </c>
    </row>
    <row r="58" spans="1:4" x14ac:dyDescent="0.25">
      <c r="A58" s="140">
        <v>45671.617361111108</v>
      </c>
      <c r="B58" t="s">
        <v>5754</v>
      </c>
      <c r="C58" t="s">
        <v>5755</v>
      </c>
      <c r="D58" s="6" t="str">
        <f>_xlfn.XLOOKUP(B58,Indices!$A$2:$A$2676,Indices!$B$2:$B$2676,"")</f>
        <v/>
      </c>
    </row>
    <row r="59" spans="1:4" x14ac:dyDescent="0.25">
      <c r="A59" s="140">
        <v>45671.625</v>
      </c>
      <c r="B59" t="s">
        <v>5756</v>
      </c>
      <c r="C59" t="s">
        <v>5757</v>
      </c>
      <c r="D59" s="6" t="str">
        <f>_xlfn.XLOOKUP(B59,Indices!$A$2:$A$2676,Indices!$B$2:$B$2676,"")</f>
        <v/>
      </c>
    </row>
    <row r="60" spans="1:4" x14ac:dyDescent="0.25">
      <c r="A60" s="140">
        <v>45671.625</v>
      </c>
      <c r="B60" t="s">
        <v>5758</v>
      </c>
      <c r="C60" t="s">
        <v>5759</v>
      </c>
      <c r="D60" s="6" t="str">
        <f>_xlfn.XLOOKUP(B60,Indices!$A$2:$A$2676,Indices!$B$2:$B$2676,"")</f>
        <v/>
      </c>
    </row>
    <row r="61" spans="1:4" x14ac:dyDescent="0.25">
      <c r="A61" s="140">
        <v>45671.628472222219</v>
      </c>
      <c r="B61" t="s">
        <v>2795</v>
      </c>
      <c r="C61" t="s">
        <v>5760</v>
      </c>
      <c r="D61" s="6" t="str">
        <f>_xlfn.XLOOKUP(B61,Indices!$A$2:$A$2676,Indices!$B$2:$B$2676,"")</f>
        <v/>
      </c>
    </row>
    <row r="62" spans="1:4" x14ac:dyDescent="0.25">
      <c r="A62" s="140">
        <v>45671.652777777781</v>
      </c>
      <c r="B62" t="s">
        <v>5761</v>
      </c>
      <c r="C62" t="s">
        <v>5762</v>
      </c>
      <c r="D62" s="6" t="str">
        <f>_xlfn.XLOOKUP(B62,Indices!$A$2:$A$2676,Indices!$B$2:$B$2676,"")</f>
        <v/>
      </c>
    </row>
    <row r="63" spans="1:4" x14ac:dyDescent="0.25">
      <c r="A63" s="140">
        <v>45671.746527777781</v>
      </c>
      <c r="B63" t="s">
        <v>2796</v>
      </c>
      <c r="C63" t="s">
        <v>5763</v>
      </c>
      <c r="D63" s="6" t="str">
        <f>_xlfn.XLOOKUP(B63,Indices!$A$2:$A$2676,Indices!$B$2:$B$2676,"")</f>
        <v/>
      </c>
    </row>
    <row r="64" spans="1:4" x14ac:dyDescent="0.25">
      <c r="A64" s="140">
        <v>45671.958333333336</v>
      </c>
      <c r="B64" t="s">
        <v>1336</v>
      </c>
      <c r="C64" t="s">
        <v>5764</v>
      </c>
      <c r="D64" s="6" t="str">
        <f>_xlfn.XLOOKUP(B64,Indices!$A$2:$A$2676,Indices!$B$2:$B$2676,"")</f>
        <v>SP500</v>
      </c>
    </row>
    <row r="65" spans="1:4" x14ac:dyDescent="0.25">
      <c r="A65" s="140">
        <v>45671.958333333336</v>
      </c>
      <c r="B65" t="s">
        <v>1312</v>
      </c>
      <c r="C65" t="s">
        <v>5764</v>
      </c>
      <c r="D65" s="6" t="str">
        <f>_xlfn.XLOOKUP(B65,Indices!$A$2:$A$2676,Indices!$B$2:$B$2676,"")</f>
        <v>SP500</v>
      </c>
    </row>
    <row r="66" spans="1:4" x14ac:dyDescent="0.25">
      <c r="A66" s="140">
        <v>45671.958333333336</v>
      </c>
      <c r="B66" t="s">
        <v>1296</v>
      </c>
      <c r="C66" t="s">
        <v>5764</v>
      </c>
      <c r="D66" s="6" t="str">
        <f>_xlfn.XLOOKUP(B66,Indices!$A$2:$A$2676,Indices!$B$2:$B$2676,"")</f>
        <v>SP500</v>
      </c>
    </row>
    <row r="67" spans="1:4" x14ac:dyDescent="0.25">
      <c r="A67" s="140">
        <v>45671.958333333336</v>
      </c>
      <c r="B67" t="s">
        <v>1283</v>
      </c>
      <c r="C67" t="s">
        <v>5764</v>
      </c>
      <c r="D67" s="6" t="str">
        <f>_xlfn.XLOOKUP(B67,Indices!$A$2:$A$2676,Indices!$B$2:$B$2676,"")</f>
        <v>SP500</v>
      </c>
    </row>
    <row r="68" spans="1:4" x14ac:dyDescent="0.25">
      <c r="A68" s="140">
        <v>45671.958333333336</v>
      </c>
      <c r="B68" t="s">
        <v>1408</v>
      </c>
      <c r="C68" t="s">
        <v>5764</v>
      </c>
      <c r="D68" s="6" t="str">
        <f>_xlfn.XLOOKUP(B68,Indices!$A$2:$A$2676,Indices!$B$2:$B$2676,"")</f>
        <v>SP500</v>
      </c>
    </row>
    <row r="69" spans="1:4" x14ac:dyDescent="0.25">
      <c r="A69" s="140">
        <v>45672.165972222225</v>
      </c>
      <c r="B69" t="s">
        <v>1320</v>
      </c>
      <c r="C69" t="s">
        <v>5765</v>
      </c>
      <c r="D69" s="6" t="str">
        <f>_xlfn.XLOOKUP(B69,Indices!$A$2:$A$2676,Indices!$B$2:$B$2676,"")</f>
        <v>SP500</v>
      </c>
    </row>
    <row r="70" spans="1:4" x14ac:dyDescent="0.25">
      <c r="A70" s="140">
        <v>45672.166666666664</v>
      </c>
      <c r="B70" t="s">
        <v>2227</v>
      </c>
      <c r="C70" t="s">
        <v>5766</v>
      </c>
      <c r="D70" s="6" t="str">
        <f>_xlfn.XLOOKUP(B70,Indices!$A$2:$A$2676,Indices!$B$2:$B$2676,"")</f>
        <v>IWM</v>
      </c>
    </row>
    <row r="71" spans="1:4" x14ac:dyDescent="0.25">
      <c r="A71" s="140">
        <v>45672.167361111111</v>
      </c>
      <c r="B71" t="s">
        <v>2797</v>
      </c>
      <c r="C71" t="s">
        <v>5767</v>
      </c>
      <c r="D71" s="6" t="str">
        <f>_xlfn.XLOOKUP(B71,Indices!$A$2:$A$2676,Indices!$B$2:$B$2676,"")</f>
        <v/>
      </c>
    </row>
    <row r="72" spans="1:4" x14ac:dyDescent="0.25">
      <c r="A72" s="140">
        <v>45672.260416666664</v>
      </c>
      <c r="B72" t="s">
        <v>2018</v>
      </c>
      <c r="C72" t="s">
        <v>5768</v>
      </c>
      <c r="D72" s="6" t="str">
        <f>_xlfn.XLOOKUP(B72,Indices!$A$2:$A$2676,Indices!$B$2:$B$2676,"")</f>
        <v>IWM</v>
      </c>
    </row>
    <row r="73" spans="1:4" x14ac:dyDescent="0.25">
      <c r="A73" s="140">
        <v>45672.291666666664</v>
      </c>
      <c r="B73" t="s">
        <v>2281</v>
      </c>
      <c r="C73" t="s">
        <v>5769</v>
      </c>
      <c r="D73" s="6" t="str">
        <f>_xlfn.XLOOKUP(B73,Indices!$A$2:$A$2676,Indices!$B$2:$B$2676,"")</f>
        <v>IWM</v>
      </c>
    </row>
    <row r="74" spans="1:4" x14ac:dyDescent="0.25">
      <c r="A74" s="140">
        <v>45672.552777777775</v>
      </c>
      <c r="B74" t="s">
        <v>5770</v>
      </c>
      <c r="C74" t="s">
        <v>5771</v>
      </c>
      <c r="D74" s="6" t="str">
        <f>_xlfn.XLOOKUP(B74,Indices!$A$2:$A$2676,Indices!$B$2:$B$2676,"")</f>
        <v/>
      </c>
    </row>
    <row r="75" spans="1:4" x14ac:dyDescent="0.25">
      <c r="A75" s="140">
        <v>45672.586805555555</v>
      </c>
      <c r="B75" t="s">
        <v>2514</v>
      </c>
      <c r="C75" t="s">
        <v>5772</v>
      </c>
      <c r="D75" s="6" t="str">
        <f>_xlfn.XLOOKUP(B75,Indices!$A$2:$A$2676,Indices!$B$2:$B$2676,"")</f>
        <v>S&amp;P Mid</v>
      </c>
    </row>
    <row r="76" spans="1:4" x14ac:dyDescent="0.25">
      <c r="A76" s="140">
        <v>45672.586805555555</v>
      </c>
      <c r="B76" t="s">
        <v>1724</v>
      </c>
      <c r="C76" t="s">
        <v>5772</v>
      </c>
      <c r="D76" s="6" t="str">
        <f>_xlfn.XLOOKUP(B76,Indices!$A$2:$A$2676,Indices!$B$2:$B$2676,"")</f>
        <v>IWM</v>
      </c>
    </row>
    <row r="77" spans="1:4" x14ac:dyDescent="0.25">
      <c r="A77" s="140">
        <v>45672.59375</v>
      </c>
      <c r="B77" t="s">
        <v>1662</v>
      </c>
      <c r="C77" t="s">
        <v>5773</v>
      </c>
      <c r="D77" s="6" t="str">
        <f>_xlfn.XLOOKUP(B77,Indices!$A$2:$A$2676,Indices!$B$2:$B$2676,"")</f>
        <v>IWM</v>
      </c>
    </row>
    <row r="78" spans="1:4" x14ac:dyDescent="0.25">
      <c r="A78" s="140">
        <v>45672.629166666666</v>
      </c>
      <c r="B78" t="s">
        <v>2441</v>
      </c>
      <c r="C78" t="s">
        <v>5774</v>
      </c>
      <c r="D78" s="6" t="str">
        <f>_xlfn.XLOOKUP(B78,Indices!$A$2:$A$2676,Indices!$B$2:$B$2676,"")</f>
        <v>S&amp;P Mid</v>
      </c>
    </row>
    <row r="79" spans="1:4" x14ac:dyDescent="0.25">
      <c r="A79" s="140">
        <v>45672.958333333336</v>
      </c>
      <c r="B79" t="s">
        <v>1377</v>
      </c>
      <c r="C79" t="s">
        <v>5775</v>
      </c>
      <c r="D79" s="6" t="str">
        <f>_xlfn.XLOOKUP(B79,Indices!$A$2:$A$2676,Indices!$B$2:$B$2676,"")</f>
        <v>SP500</v>
      </c>
    </row>
    <row r="80" spans="1:4" x14ac:dyDescent="0.25">
      <c r="A80" s="140">
        <v>45672.958333333336</v>
      </c>
      <c r="B80" t="s">
        <v>1302</v>
      </c>
      <c r="C80" t="s">
        <v>5775</v>
      </c>
      <c r="D80" s="6" t="str">
        <f>_xlfn.XLOOKUP(B80,Indices!$A$2:$A$2676,Indices!$B$2:$B$2676,"")</f>
        <v>SP500</v>
      </c>
    </row>
    <row r="81" spans="1:4" x14ac:dyDescent="0.25">
      <c r="A81" s="140">
        <v>45672.958333333336</v>
      </c>
      <c r="B81" t="s">
        <v>5776</v>
      </c>
      <c r="C81" t="s">
        <v>5775</v>
      </c>
      <c r="D81" s="6" t="str">
        <f>_xlfn.XLOOKUP(B81,Indices!$A$2:$A$2676,Indices!$B$2:$B$2676,"")</f>
        <v/>
      </c>
    </row>
    <row r="82" spans="1:4" x14ac:dyDescent="0.25">
      <c r="A82" s="140">
        <v>45672.958333333336</v>
      </c>
      <c r="B82" t="s">
        <v>5777</v>
      </c>
      <c r="C82" t="s">
        <v>5775</v>
      </c>
      <c r="D82" s="6" t="str">
        <f>_xlfn.XLOOKUP(B82,Indices!$A$2:$A$2676,Indices!$B$2:$B$2676,"")</f>
        <v/>
      </c>
    </row>
    <row r="83" spans="1:4" x14ac:dyDescent="0.25">
      <c r="A83" s="140">
        <v>45673.145833333336</v>
      </c>
      <c r="B83" t="s">
        <v>1456</v>
      </c>
      <c r="C83" t="s">
        <v>5778</v>
      </c>
      <c r="D83" s="6" t="str">
        <f>_xlfn.XLOOKUP(B83,Indices!$A$2:$A$2676,Indices!$B$2:$B$2676,"")</f>
        <v>SP500</v>
      </c>
    </row>
    <row r="84" spans="1:4" x14ac:dyDescent="0.25">
      <c r="A84" s="140">
        <v>45673.163194444445</v>
      </c>
      <c r="B84" t="s">
        <v>1286</v>
      </c>
      <c r="C84" t="s">
        <v>5779</v>
      </c>
      <c r="D84" s="6" t="str">
        <f>_xlfn.XLOOKUP(B84,Indices!$A$2:$A$2676,Indices!$B$2:$B$2676,"")</f>
        <v>SP500</v>
      </c>
    </row>
    <row r="85" spans="1:4" x14ac:dyDescent="0.25">
      <c r="A85" s="140">
        <v>45673.186111111114</v>
      </c>
      <c r="B85" t="s">
        <v>1374</v>
      </c>
      <c r="C85" t="s">
        <v>5780</v>
      </c>
      <c r="D85" s="6" t="str">
        <f>_xlfn.XLOOKUP(B85,Indices!$A$2:$A$2676,Indices!$B$2:$B$2676,"")</f>
        <v>SP500</v>
      </c>
    </row>
    <row r="86" spans="1:4" x14ac:dyDescent="0.25">
      <c r="A86" s="140">
        <v>45673.1875</v>
      </c>
      <c r="B86" t="s">
        <v>2399</v>
      </c>
      <c r="C86" t="s">
        <v>5781</v>
      </c>
      <c r="D86" s="6" t="str">
        <f>_xlfn.XLOOKUP(B86,Indices!$A$2:$A$2676,Indices!$B$2:$B$2676,"")</f>
        <v>S&amp;P Mid</v>
      </c>
    </row>
    <row r="87" spans="1:4" x14ac:dyDescent="0.25">
      <c r="A87" s="140">
        <v>45673.1875</v>
      </c>
      <c r="B87" t="s">
        <v>2158</v>
      </c>
      <c r="C87" t="s">
        <v>5781</v>
      </c>
      <c r="D87" s="6" t="str">
        <f>_xlfn.XLOOKUP(B87,Indices!$A$2:$A$2676,Indices!$B$2:$B$2676,"")</f>
        <v>IWM</v>
      </c>
    </row>
    <row r="88" spans="1:4" x14ac:dyDescent="0.25">
      <c r="A88" s="140">
        <v>45673.197916666664</v>
      </c>
      <c r="B88" t="s">
        <v>1291</v>
      </c>
      <c r="C88" t="s">
        <v>5782</v>
      </c>
      <c r="D88" s="6" t="str">
        <f>_xlfn.XLOOKUP(B88,Indices!$A$2:$A$2676,Indices!$B$2:$B$2676,"")</f>
        <v>SP500</v>
      </c>
    </row>
    <row r="89" spans="1:4" x14ac:dyDescent="0.25">
      <c r="A89" s="140">
        <v>45673.25</v>
      </c>
      <c r="B89" t="s">
        <v>2317</v>
      </c>
      <c r="C89" t="s">
        <v>5783</v>
      </c>
      <c r="D89" s="6" t="str">
        <f>_xlfn.XLOOKUP(B89,Indices!$A$2:$A$2676,Indices!$B$2:$B$2676,"")</f>
        <v>IWM</v>
      </c>
    </row>
    <row r="90" spans="1:4" x14ac:dyDescent="0.25">
      <c r="A90" s="140">
        <v>45673.37777777778</v>
      </c>
      <c r="B90" t="s">
        <v>1936</v>
      </c>
      <c r="C90" t="s">
        <v>5784</v>
      </c>
      <c r="D90" s="6" t="str">
        <f>_xlfn.XLOOKUP(B90,Indices!$A$2:$A$2676,Indices!$B$2:$B$2676,"")</f>
        <v>IWM</v>
      </c>
    </row>
    <row r="91" spans="1:4" x14ac:dyDescent="0.25">
      <c r="A91" s="140">
        <v>45673.584027777775</v>
      </c>
      <c r="B91" t="s">
        <v>2483</v>
      </c>
      <c r="C91" t="s">
        <v>5785</v>
      </c>
      <c r="D91" s="6" t="str">
        <f>_xlfn.XLOOKUP(B91,Indices!$A$2:$A$2676,Indices!$B$2:$B$2676,"")</f>
        <v>S&amp;P Mid</v>
      </c>
    </row>
    <row r="92" spans="1:4" x14ac:dyDescent="0.25">
      <c r="A92" s="140">
        <v>45673.584722222222</v>
      </c>
      <c r="B92" t="s">
        <v>2798</v>
      </c>
      <c r="C92" t="s">
        <v>5786</v>
      </c>
      <c r="D92" s="6" t="str">
        <f>_xlfn.XLOOKUP(B92,Indices!$A$2:$A$2676,Indices!$B$2:$B$2676,"")</f>
        <v/>
      </c>
    </row>
    <row r="93" spans="1:4" x14ac:dyDescent="0.25">
      <c r="A93" s="140">
        <v>45673.586805555555</v>
      </c>
      <c r="B93" t="s">
        <v>1546</v>
      </c>
      <c r="C93" t="s">
        <v>5787</v>
      </c>
      <c r="D93" s="6" t="str">
        <f>_xlfn.XLOOKUP(B93,Indices!$A$2:$A$2676,Indices!$B$2:$B$2676,"")</f>
        <v>SP500</v>
      </c>
    </row>
    <row r="94" spans="1:4" x14ac:dyDescent="0.25">
      <c r="A94" s="140">
        <v>45673.590277777781</v>
      </c>
      <c r="B94" t="s">
        <v>1799</v>
      </c>
      <c r="C94" t="s">
        <v>5788</v>
      </c>
      <c r="D94" s="6" t="str">
        <f>_xlfn.XLOOKUP(B94,Indices!$A$2:$A$2676,Indices!$B$2:$B$2676,"")</f>
        <v>IWM</v>
      </c>
    </row>
    <row r="95" spans="1:4" x14ac:dyDescent="0.25">
      <c r="A95" s="140">
        <v>45673.635416666664</v>
      </c>
      <c r="B95" t="s">
        <v>1824</v>
      </c>
      <c r="C95" t="s">
        <v>5789</v>
      </c>
      <c r="D95" s="6" t="str">
        <f>_xlfn.XLOOKUP(B95,Indices!$A$2:$A$2676,Indices!$B$2:$B$2676,"")</f>
        <v>IWM</v>
      </c>
    </row>
    <row r="96" spans="1:4" x14ac:dyDescent="0.25">
      <c r="A96" s="140">
        <v>45673.958333333336</v>
      </c>
      <c r="B96" t="s">
        <v>5790</v>
      </c>
      <c r="C96" t="s">
        <v>5791</v>
      </c>
      <c r="D96" s="6" t="str">
        <f>_xlfn.XLOOKUP(B96,Indices!$A$2:$A$2676,Indices!$B$2:$B$2676,"")</f>
        <v/>
      </c>
    </row>
    <row r="97" spans="1:4" x14ac:dyDescent="0.25">
      <c r="A97" s="140">
        <v>45673.958333333336</v>
      </c>
      <c r="B97" t="s">
        <v>1488</v>
      </c>
      <c r="C97" t="s">
        <v>5791</v>
      </c>
      <c r="D97" s="6" t="str">
        <f>_xlfn.XLOOKUP(B97,Indices!$A$2:$A$2676,Indices!$B$2:$B$2676,"")</f>
        <v>SP500</v>
      </c>
    </row>
    <row r="98" spans="1:4" x14ac:dyDescent="0.25">
      <c r="A98" s="140">
        <v>45673.958333333336</v>
      </c>
      <c r="B98" t="s">
        <v>1396</v>
      </c>
      <c r="C98" t="s">
        <v>5791</v>
      </c>
      <c r="D98" s="6" t="str">
        <f>_xlfn.XLOOKUP(B98,Indices!$A$2:$A$2676,Indices!$B$2:$B$2676,"")</f>
        <v>SP500</v>
      </c>
    </row>
    <row r="99" spans="1:4" x14ac:dyDescent="0.25">
      <c r="A99" s="140">
        <v>45674.166666666664</v>
      </c>
      <c r="B99" t="s">
        <v>1507</v>
      </c>
      <c r="C99" t="s">
        <v>5792</v>
      </c>
      <c r="D99" s="6" t="str">
        <f>_xlfn.XLOOKUP(B99,Indices!$A$2:$A$2676,Indices!$B$2:$B$2676,"")</f>
        <v>SP500</v>
      </c>
    </row>
    <row r="100" spans="1:4" x14ac:dyDescent="0.25">
      <c r="A100" s="140">
        <v>45674.180555555555</v>
      </c>
      <c r="B100" t="s">
        <v>1532</v>
      </c>
      <c r="C100" t="s">
        <v>5793</v>
      </c>
      <c r="D100" s="6" t="str">
        <f>_xlfn.XLOOKUP(B100,Indices!$A$2:$A$2676,Indices!$B$2:$B$2676,"")</f>
        <v>SP500</v>
      </c>
    </row>
    <row r="101" spans="1:4" x14ac:dyDescent="0.25">
      <c r="A101" s="140">
        <v>45674.201388888891</v>
      </c>
      <c r="B101" t="s">
        <v>1417</v>
      </c>
      <c r="C101" t="s">
        <v>5794</v>
      </c>
      <c r="D101" s="6" t="str">
        <f>_xlfn.XLOOKUP(B101,Indices!$A$2:$A$2676,Indices!$B$2:$B$2676,"")</f>
        <v>SP500</v>
      </c>
    </row>
    <row r="102" spans="1:4" x14ac:dyDescent="0.25">
      <c r="A102" s="140">
        <v>45674.201388888891</v>
      </c>
      <c r="B102" t="s">
        <v>1398</v>
      </c>
      <c r="C102" t="s">
        <v>5794</v>
      </c>
      <c r="D102" s="6" t="str">
        <f>_xlfn.XLOOKUP(B102,Indices!$A$2:$A$2676,Indices!$B$2:$B$2676,"")</f>
        <v>SP500</v>
      </c>
    </row>
    <row r="103" spans="1:4" x14ac:dyDescent="0.25">
      <c r="A103" s="140">
        <v>45674.208333333336</v>
      </c>
      <c r="B103" t="s">
        <v>1502</v>
      </c>
      <c r="C103" t="s">
        <v>5795</v>
      </c>
      <c r="D103" s="6" t="str">
        <f>_xlfn.XLOOKUP(B103,Indices!$A$2:$A$2676,Indices!$B$2:$B$2676,"")</f>
        <v>SP500</v>
      </c>
    </row>
    <row r="104" spans="1:4" x14ac:dyDescent="0.25">
      <c r="A104" s="140">
        <v>45674.229166666664</v>
      </c>
      <c r="B104" t="s">
        <v>2404</v>
      </c>
      <c r="C104" t="s">
        <v>5796</v>
      </c>
      <c r="D104" s="6" t="str">
        <f>_xlfn.XLOOKUP(B104,Indices!$A$2:$A$2676,Indices!$B$2:$B$2676,"")</f>
        <v>S&amp;P Mid</v>
      </c>
    </row>
    <row r="105" spans="1:4" x14ac:dyDescent="0.25">
      <c r="A105" s="140">
        <v>45674.231944444444</v>
      </c>
      <c r="B105" t="s">
        <v>5797</v>
      </c>
      <c r="C105" t="s">
        <v>5798</v>
      </c>
      <c r="D105" s="6" t="str">
        <f>_xlfn.XLOOKUP(B105,Indices!$A$2:$A$2676,Indices!$B$2:$B$2676,"")</f>
        <v/>
      </c>
    </row>
    <row r="106" spans="1:4" x14ac:dyDescent="0.25">
      <c r="A106" s="140">
        <v>45674.584027777775</v>
      </c>
      <c r="B106" t="s">
        <v>2193</v>
      </c>
      <c r="C106" t="s">
        <v>5799</v>
      </c>
      <c r="D106" s="6" t="str">
        <f>_xlfn.XLOOKUP(B106,Indices!$A$2:$A$2676,Indices!$B$2:$B$2676,"")</f>
        <v>IWM</v>
      </c>
    </row>
    <row r="107" spans="1:4" x14ac:dyDescent="0.25">
      <c r="A107" s="140">
        <v>45674.585416666669</v>
      </c>
      <c r="B107" t="s">
        <v>5800</v>
      </c>
      <c r="C107" t="s">
        <v>5801</v>
      </c>
      <c r="D107" s="6" t="str">
        <f>_xlfn.XLOOKUP(B107,Indices!$A$2:$A$2676,Indices!$B$2:$B$2676,"")</f>
        <v/>
      </c>
    </row>
    <row r="108" spans="1:4" x14ac:dyDescent="0.25">
      <c r="A108" s="140">
        <v>45678.095833333333</v>
      </c>
      <c r="B108" t="s">
        <v>5802</v>
      </c>
      <c r="C108" t="s">
        <v>5803</v>
      </c>
      <c r="D108" s="6" t="str">
        <f>_xlfn.XLOOKUP(B108,Indices!$A$2:$A$2676,Indices!$B$2:$B$2676,"")</f>
        <v/>
      </c>
    </row>
    <row r="109" spans="1:4" x14ac:dyDescent="0.25">
      <c r="A109" s="140">
        <v>45678.128472222219</v>
      </c>
      <c r="B109" t="s">
        <v>2049</v>
      </c>
      <c r="C109" t="s">
        <v>5804</v>
      </c>
      <c r="D109" s="6" t="str">
        <f>_xlfn.XLOOKUP(B109,Indices!$A$2:$A$2676,Indices!$B$2:$B$2676,"")</f>
        <v>IWM</v>
      </c>
    </row>
    <row r="110" spans="1:4" x14ac:dyDescent="0.25">
      <c r="A110" s="140">
        <v>45678.166666666664</v>
      </c>
      <c r="B110" t="s">
        <v>1960</v>
      </c>
      <c r="C110" t="s">
        <v>5805</v>
      </c>
      <c r="D110" s="6" t="str">
        <f>_xlfn.XLOOKUP(B110,Indices!$A$2:$A$2676,Indices!$B$2:$B$2676,"")</f>
        <v>IWM</v>
      </c>
    </row>
    <row r="111" spans="1:4" x14ac:dyDescent="0.25">
      <c r="A111" s="140">
        <v>45678.168749999997</v>
      </c>
      <c r="B111" t="s">
        <v>5806</v>
      </c>
      <c r="C111" t="s">
        <v>5807</v>
      </c>
      <c r="D111" s="6" t="str">
        <f>_xlfn.XLOOKUP(B111,Indices!$A$2:$A$2676,Indices!$B$2:$B$2676,"")</f>
        <v/>
      </c>
    </row>
    <row r="112" spans="1:4" x14ac:dyDescent="0.25">
      <c r="A112" s="140">
        <v>45678.177083333336</v>
      </c>
      <c r="B112" t="s">
        <v>1868</v>
      </c>
      <c r="C112" t="s">
        <v>5808</v>
      </c>
      <c r="D112" s="6" t="str">
        <f>_xlfn.XLOOKUP(B112,Indices!$A$2:$A$2676,Indices!$B$2:$B$2676,"")</f>
        <v>IWM</v>
      </c>
    </row>
    <row r="113" spans="1:4" x14ac:dyDescent="0.25">
      <c r="A113" s="140">
        <v>45678.1875</v>
      </c>
      <c r="B113" t="s">
        <v>2162</v>
      </c>
      <c r="C113" t="s">
        <v>5809</v>
      </c>
      <c r="D113" s="6" t="str">
        <f>_xlfn.XLOOKUP(B113,Indices!$A$2:$A$2676,Indices!$B$2:$B$2676,"")</f>
        <v>IWM</v>
      </c>
    </row>
    <row r="114" spans="1:4" x14ac:dyDescent="0.25">
      <c r="A114" s="140">
        <v>45678.1875</v>
      </c>
      <c r="B114" t="s">
        <v>1412</v>
      </c>
      <c r="C114" t="s">
        <v>5809</v>
      </c>
      <c r="D114" s="6" t="str">
        <f>_xlfn.XLOOKUP(B114,Indices!$A$2:$A$2676,Indices!$B$2:$B$2676,"")</f>
        <v>SP500</v>
      </c>
    </row>
    <row r="115" spans="1:4" x14ac:dyDescent="0.25">
      <c r="A115" s="140">
        <v>45678.1875</v>
      </c>
      <c r="B115" t="s">
        <v>1544</v>
      </c>
      <c r="C115" t="s">
        <v>5809</v>
      </c>
      <c r="D115" s="6" t="str">
        <f>_xlfn.XLOOKUP(B115,Indices!$A$2:$A$2676,Indices!$B$2:$B$2676,"")</f>
        <v>SP500</v>
      </c>
    </row>
    <row r="116" spans="1:4" x14ac:dyDescent="0.25">
      <c r="A116" s="140">
        <v>45678.1875</v>
      </c>
      <c r="B116" t="s">
        <v>1383</v>
      </c>
      <c r="C116" t="s">
        <v>5809</v>
      </c>
      <c r="D116" s="6" t="str">
        <f>_xlfn.XLOOKUP(B116,Indices!$A$2:$A$2676,Indices!$B$2:$B$2676,"")</f>
        <v>SP500</v>
      </c>
    </row>
    <row r="117" spans="1:4" x14ac:dyDescent="0.25">
      <c r="A117" s="140">
        <v>45678.1875</v>
      </c>
      <c r="B117" t="s">
        <v>1471</v>
      </c>
      <c r="C117" t="s">
        <v>5809</v>
      </c>
      <c r="D117" s="6" t="str">
        <f>_xlfn.XLOOKUP(B117,Indices!$A$2:$A$2676,Indices!$B$2:$B$2676,"")</f>
        <v>SP500</v>
      </c>
    </row>
    <row r="118" spans="1:4" x14ac:dyDescent="0.25">
      <c r="A118" s="140">
        <v>45678.197916666664</v>
      </c>
      <c r="B118" t="s">
        <v>1763</v>
      </c>
      <c r="C118" t="s">
        <v>5810</v>
      </c>
      <c r="D118" s="6" t="str">
        <f>_xlfn.XLOOKUP(B118,Indices!$A$2:$A$2676,Indices!$B$2:$B$2676,"")</f>
        <v>IWM</v>
      </c>
    </row>
    <row r="119" spans="1:4" x14ac:dyDescent="0.25">
      <c r="A119" s="140">
        <v>45678.208333333336</v>
      </c>
      <c r="B119" t="s">
        <v>2271</v>
      </c>
      <c r="C119" t="s">
        <v>5811</v>
      </c>
      <c r="D119" s="6" t="str">
        <f>_xlfn.XLOOKUP(B119,Indices!$A$2:$A$2676,Indices!$B$2:$B$2676,"")</f>
        <v>IWM</v>
      </c>
    </row>
    <row r="120" spans="1:4" x14ac:dyDescent="0.25">
      <c r="A120" s="140">
        <v>45678.208333333336</v>
      </c>
      <c r="B120" t="s">
        <v>2257</v>
      </c>
      <c r="C120" t="s">
        <v>5811</v>
      </c>
      <c r="D120" s="6" t="str">
        <f>_xlfn.XLOOKUP(B120,Indices!$A$2:$A$2676,Indices!$B$2:$B$2676,"")</f>
        <v>IWM</v>
      </c>
    </row>
    <row r="121" spans="1:4" x14ac:dyDescent="0.25">
      <c r="A121" s="140">
        <v>45678.208333333336</v>
      </c>
      <c r="B121" t="s">
        <v>1642</v>
      </c>
      <c r="C121" t="s">
        <v>5811</v>
      </c>
      <c r="D121" s="6" t="str">
        <f>_xlfn.XLOOKUP(B121,Indices!$A$2:$A$2676,Indices!$B$2:$B$2676,"")</f>
        <v>IWM</v>
      </c>
    </row>
    <row r="122" spans="1:4" x14ac:dyDescent="0.25">
      <c r="A122" s="140">
        <v>45678.229166666664</v>
      </c>
      <c r="B122" t="s">
        <v>1327</v>
      </c>
      <c r="C122" t="s">
        <v>5812</v>
      </c>
      <c r="D122" s="6" t="str">
        <f>_xlfn.XLOOKUP(B122,Indices!$A$2:$A$2676,Indices!$B$2:$B$2676,"")</f>
        <v>SP500</v>
      </c>
    </row>
    <row r="123" spans="1:4" x14ac:dyDescent="0.25">
      <c r="A123" s="140">
        <v>45678.25</v>
      </c>
      <c r="B123" t="s">
        <v>1348</v>
      </c>
      <c r="C123" t="s">
        <v>5813</v>
      </c>
      <c r="D123" s="6" t="str">
        <f>_xlfn.XLOOKUP(B123,Indices!$A$2:$A$2676,Indices!$B$2:$B$2676,"")</f>
        <v>SP500</v>
      </c>
    </row>
    <row r="124" spans="1:4" x14ac:dyDescent="0.25">
      <c r="A124" s="140">
        <v>45678.25</v>
      </c>
      <c r="B124" t="s">
        <v>5814</v>
      </c>
      <c r="C124" t="s">
        <v>5813</v>
      </c>
      <c r="D124" s="6" t="str">
        <f>_xlfn.XLOOKUP(B124,Indices!$A$2:$A$2676,Indices!$B$2:$B$2676,"")</f>
        <v/>
      </c>
    </row>
    <row r="125" spans="1:4" x14ac:dyDescent="0.25">
      <c r="A125" s="140">
        <v>45678.3125</v>
      </c>
      <c r="B125" t="s">
        <v>2101</v>
      </c>
      <c r="C125" t="s">
        <v>5815</v>
      </c>
      <c r="D125" s="6" t="str">
        <f>_xlfn.XLOOKUP(B125,Indices!$A$2:$A$2676,Indices!$B$2:$B$2676,"")</f>
        <v>IWM</v>
      </c>
    </row>
    <row r="126" spans="1:4" x14ac:dyDescent="0.25">
      <c r="A126" s="140">
        <v>45678.583333333336</v>
      </c>
      <c r="B126" t="s">
        <v>1688</v>
      </c>
      <c r="C126" t="s">
        <v>5816</v>
      </c>
      <c r="D126" s="6" t="str">
        <f>_xlfn.XLOOKUP(B126,Indices!$A$2:$A$2676,Indices!$B$2:$B$2676,"")</f>
        <v>IWM</v>
      </c>
    </row>
    <row r="127" spans="1:4" x14ac:dyDescent="0.25">
      <c r="A127" s="140">
        <v>45678.583333333336</v>
      </c>
      <c r="B127" t="s">
        <v>2134</v>
      </c>
      <c r="C127" t="s">
        <v>5816</v>
      </c>
      <c r="D127" s="6" t="str">
        <f>_xlfn.XLOOKUP(B127,Indices!$A$2:$A$2676,Indices!$B$2:$B$2676,"")</f>
        <v>IWM</v>
      </c>
    </row>
    <row r="128" spans="1:4" x14ac:dyDescent="0.25">
      <c r="A128" s="140">
        <v>45678.584027777775</v>
      </c>
      <c r="B128" t="s">
        <v>1474</v>
      </c>
      <c r="C128" t="s">
        <v>5817</v>
      </c>
      <c r="D128" s="6" t="str">
        <f>_xlfn.XLOOKUP(B128,Indices!$A$2:$A$2676,Indices!$B$2:$B$2676,"")</f>
        <v>SP500</v>
      </c>
    </row>
    <row r="129" spans="1:4" x14ac:dyDescent="0.25">
      <c r="A129" s="140">
        <v>45678.584027777775</v>
      </c>
      <c r="B129" t="s">
        <v>2373</v>
      </c>
      <c r="C129" t="s">
        <v>5817</v>
      </c>
      <c r="D129" s="6" t="str">
        <f>_xlfn.XLOOKUP(B129,Indices!$A$2:$A$2676,Indices!$B$2:$B$2676,"")</f>
        <v>S&amp;P Mid</v>
      </c>
    </row>
    <row r="130" spans="1:4" x14ac:dyDescent="0.25">
      <c r="A130" s="140">
        <v>45678.584722222222</v>
      </c>
      <c r="B130" t="s">
        <v>1289</v>
      </c>
      <c r="C130" t="s">
        <v>5818</v>
      </c>
      <c r="D130" s="6" t="str">
        <f>_xlfn.XLOOKUP(B130,Indices!$A$2:$A$2676,Indices!$B$2:$B$2676,"")</f>
        <v>SP500</v>
      </c>
    </row>
    <row r="131" spans="1:4" x14ac:dyDescent="0.25">
      <c r="A131" s="140">
        <v>45678.586805555555</v>
      </c>
      <c r="B131" t="s">
        <v>1527</v>
      </c>
      <c r="C131" t="s">
        <v>5819</v>
      </c>
      <c r="D131" s="6" t="str">
        <f>_xlfn.XLOOKUP(B131,Indices!$A$2:$A$2676,Indices!$B$2:$B$2676,"")</f>
        <v>SP500</v>
      </c>
    </row>
    <row r="132" spans="1:4" x14ac:dyDescent="0.25">
      <c r="A132" s="140">
        <v>45678.586805555555</v>
      </c>
      <c r="B132" t="s">
        <v>1797</v>
      </c>
      <c r="C132" t="s">
        <v>5819</v>
      </c>
      <c r="D132" s="6" t="str">
        <f>_xlfn.XLOOKUP(B132,Indices!$A$2:$A$2676,Indices!$B$2:$B$2676,"")</f>
        <v>IWM</v>
      </c>
    </row>
    <row r="133" spans="1:4" x14ac:dyDescent="0.25">
      <c r="A133" s="140">
        <v>45678.586805555555</v>
      </c>
      <c r="B133" t="s">
        <v>1384</v>
      </c>
      <c r="C133" t="s">
        <v>5819</v>
      </c>
      <c r="D133" s="6" t="str">
        <f>_xlfn.XLOOKUP(B133,Indices!$A$2:$A$2676,Indices!$B$2:$B$2676,"")</f>
        <v>SP500</v>
      </c>
    </row>
    <row r="134" spans="1:4" x14ac:dyDescent="0.25">
      <c r="A134" s="140">
        <v>45678.590277777781</v>
      </c>
      <c r="B134" t="s">
        <v>1883</v>
      </c>
      <c r="C134" t="s">
        <v>5820</v>
      </c>
      <c r="D134" s="6" t="str">
        <f>_xlfn.XLOOKUP(B134,Indices!$A$2:$A$2676,Indices!$B$2:$B$2676,"")</f>
        <v>IWM</v>
      </c>
    </row>
    <row r="135" spans="1:4" x14ac:dyDescent="0.25">
      <c r="A135" s="140">
        <v>45678.590277777781</v>
      </c>
      <c r="B135" t="s">
        <v>2431</v>
      </c>
      <c r="C135" t="s">
        <v>5820</v>
      </c>
      <c r="D135" s="6" t="str">
        <f>_xlfn.XLOOKUP(B135,Indices!$A$2:$A$2676,Indices!$B$2:$B$2676,"")</f>
        <v>S&amp;P Mid</v>
      </c>
    </row>
    <row r="136" spans="1:4" x14ac:dyDescent="0.25">
      <c r="A136" s="140">
        <v>45678.59375</v>
      </c>
      <c r="B136" t="s">
        <v>2012</v>
      </c>
      <c r="C136" t="s">
        <v>5821</v>
      </c>
      <c r="D136" s="6" t="str">
        <f>_xlfn.XLOOKUP(B136,Indices!$A$2:$A$2676,Indices!$B$2:$B$2676,"")</f>
        <v>IWM</v>
      </c>
    </row>
    <row r="137" spans="1:4" x14ac:dyDescent="0.25">
      <c r="A137" s="140">
        <v>45678.59375</v>
      </c>
      <c r="B137" t="s">
        <v>1795</v>
      </c>
      <c r="C137" t="s">
        <v>5821</v>
      </c>
      <c r="D137" s="6" t="str">
        <f>_xlfn.XLOOKUP(B137,Indices!$A$2:$A$2676,Indices!$B$2:$B$2676,"")</f>
        <v>IWM</v>
      </c>
    </row>
    <row r="138" spans="1:4" x14ac:dyDescent="0.25">
      <c r="A138" s="140">
        <v>45678.59375</v>
      </c>
      <c r="B138" t="s">
        <v>1995</v>
      </c>
      <c r="C138" t="s">
        <v>5821</v>
      </c>
      <c r="D138" s="6" t="str">
        <f>_xlfn.XLOOKUP(B138,Indices!$A$2:$A$2676,Indices!$B$2:$B$2676,"")</f>
        <v>IWM</v>
      </c>
    </row>
    <row r="139" spans="1:4" x14ac:dyDescent="0.25">
      <c r="A139" s="140">
        <v>45678.6</v>
      </c>
      <c r="B139" t="s">
        <v>1920</v>
      </c>
      <c r="C139" t="s">
        <v>5822</v>
      </c>
      <c r="D139" s="6" t="str">
        <f>_xlfn.XLOOKUP(B139,Indices!$A$2:$A$2676,Indices!$B$2:$B$2676,"")</f>
        <v>IWM</v>
      </c>
    </row>
    <row r="140" spans="1:4" x14ac:dyDescent="0.25">
      <c r="A140" s="140">
        <v>45678.604166666664</v>
      </c>
      <c r="B140" t="s">
        <v>1766</v>
      </c>
      <c r="C140" t="s">
        <v>5823</v>
      </c>
      <c r="D140" s="6" t="str">
        <f>_xlfn.XLOOKUP(B140,Indices!$A$2:$A$2676,Indices!$B$2:$B$2676,"")</f>
        <v>IWM</v>
      </c>
    </row>
    <row r="141" spans="1:4" x14ac:dyDescent="0.25">
      <c r="A141" s="140">
        <v>45678.604166666664</v>
      </c>
      <c r="B141" t="s">
        <v>1788</v>
      </c>
      <c r="C141" t="s">
        <v>5823</v>
      </c>
      <c r="D141" s="6" t="str">
        <f>_xlfn.XLOOKUP(B141,Indices!$A$2:$A$2676,Indices!$B$2:$B$2676,"")</f>
        <v>IWM</v>
      </c>
    </row>
    <row r="142" spans="1:4" x14ac:dyDescent="0.25">
      <c r="A142" s="140">
        <v>45678.604166666664</v>
      </c>
      <c r="B142" t="s">
        <v>2253</v>
      </c>
      <c r="C142" t="s">
        <v>5823</v>
      </c>
      <c r="D142" s="6" t="str">
        <f>_xlfn.XLOOKUP(B142,Indices!$A$2:$A$2676,Indices!$B$2:$B$2676,"")</f>
        <v>IWM</v>
      </c>
    </row>
    <row r="143" spans="1:4" x14ac:dyDescent="0.25">
      <c r="A143" s="140">
        <v>45678.621527777781</v>
      </c>
      <c r="B143" t="s">
        <v>2429</v>
      </c>
      <c r="C143" t="s">
        <v>5824</v>
      </c>
      <c r="D143" s="6" t="str">
        <f>_xlfn.XLOOKUP(B143,Indices!$A$2:$A$2676,Indices!$B$2:$B$2676,"")</f>
        <v>S&amp;P Mid</v>
      </c>
    </row>
    <row r="144" spans="1:4" x14ac:dyDescent="0.25">
      <c r="A144" s="140">
        <v>45678.623611111114</v>
      </c>
      <c r="B144" t="s">
        <v>2799</v>
      </c>
      <c r="C144" t="s">
        <v>5825</v>
      </c>
      <c r="D144" s="6" t="str">
        <f>_xlfn.XLOOKUP(B144,Indices!$A$2:$A$2676,Indices!$B$2:$B$2676,"")</f>
        <v/>
      </c>
    </row>
    <row r="145" spans="1:4" x14ac:dyDescent="0.25">
      <c r="A145" s="140">
        <v>45678.625</v>
      </c>
      <c r="B145" t="s">
        <v>2119</v>
      </c>
      <c r="C145" t="s">
        <v>5826</v>
      </c>
      <c r="D145" s="6" t="str">
        <f>_xlfn.XLOOKUP(B145,Indices!$A$2:$A$2676,Indices!$B$2:$B$2676,"")</f>
        <v>IWM</v>
      </c>
    </row>
    <row r="146" spans="1:4" x14ac:dyDescent="0.25">
      <c r="A146" s="140">
        <v>45678.625</v>
      </c>
      <c r="B146" t="s">
        <v>2418</v>
      </c>
      <c r="C146" t="s">
        <v>5826</v>
      </c>
      <c r="D146" s="6" t="str">
        <f>_xlfn.XLOOKUP(B146,Indices!$A$2:$A$2676,Indices!$B$2:$B$2676,"")</f>
        <v>S&amp;P Mid</v>
      </c>
    </row>
    <row r="147" spans="1:4" x14ac:dyDescent="0.25">
      <c r="A147" s="140">
        <v>45678.6875</v>
      </c>
      <c r="B147" t="s">
        <v>2133</v>
      </c>
      <c r="C147" t="s">
        <v>5827</v>
      </c>
      <c r="D147" s="6" t="str">
        <f>_xlfn.XLOOKUP(B147,Indices!$A$2:$A$2676,Indices!$B$2:$B$2676,"")</f>
        <v>IWM</v>
      </c>
    </row>
    <row r="148" spans="1:4" x14ac:dyDescent="0.25">
      <c r="A148" s="140">
        <v>45678.958333333336</v>
      </c>
      <c r="B148" t="s">
        <v>5828</v>
      </c>
      <c r="C148" t="s">
        <v>5829</v>
      </c>
      <c r="D148" s="6" t="str">
        <f>_xlfn.XLOOKUP(B148,Indices!$A$2:$A$2676,Indices!$B$2:$B$2676,"")</f>
        <v/>
      </c>
    </row>
    <row r="149" spans="1:4" x14ac:dyDescent="0.25">
      <c r="A149" s="140">
        <v>45678.958333333336</v>
      </c>
      <c r="B149" t="s">
        <v>1785</v>
      </c>
      <c r="C149" t="s">
        <v>5830</v>
      </c>
      <c r="D149" s="6" t="str">
        <f>_xlfn.XLOOKUP(B149,Indices!$A$2:$A$2676,Indices!$B$2:$B$2676,"")</f>
        <v>IWM</v>
      </c>
    </row>
    <row r="150" spans="1:4" x14ac:dyDescent="0.25">
      <c r="A150" s="140">
        <v>45678.958333333336</v>
      </c>
      <c r="B150" t="s">
        <v>5831</v>
      </c>
      <c r="C150" t="s">
        <v>5829</v>
      </c>
      <c r="D150" s="6" t="str">
        <f>_xlfn.XLOOKUP(B150,Indices!$A$2:$A$2676,Indices!$B$2:$B$2676,"")</f>
        <v/>
      </c>
    </row>
    <row r="151" spans="1:4" x14ac:dyDescent="0.25">
      <c r="A151" s="140">
        <v>45678.958333333336</v>
      </c>
      <c r="B151" t="s">
        <v>5832</v>
      </c>
      <c r="C151" t="s">
        <v>5829</v>
      </c>
      <c r="D151" s="6" t="str">
        <f>_xlfn.XLOOKUP(B151,Indices!$A$2:$A$2676,Indices!$B$2:$B$2676,"")</f>
        <v/>
      </c>
    </row>
    <row r="152" spans="1:4" x14ac:dyDescent="0.25">
      <c r="A152" s="140">
        <v>45678.958333333336</v>
      </c>
      <c r="B152" t="s">
        <v>1352</v>
      </c>
      <c r="C152" t="s">
        <v>5833</v>
      </c>
      <c r="D152" s="6" t="str">
        <f>_xlfn.XLOOKUP(B152,Indices!$A$2:$A$2676,Indices!$B$2:$B$2676,"")</f>
        <v>SP500</v>
      </c>
    </row>
    <row r="153" spans="1:4" x14ac:dyDescent="0.25">
      <c r="A153" s="140">
        <v>45679.166666666664</v>
      </c>
      <c r="B153" t="s">
        <v>2435</v>
      </c>
      <c r="C153" t="s">
        <v>5834</v>
      </c>
      <c r="D153" s="6" t="str">
        <f>_xlfn.XLOOKUP(B153,Indices!$A$2:$A$2676,Indices!$B$2:$B$2676,"")</f>
        <v>S&amp;P Mid</v>
      </c>
    </row>
    <row r="154" spans="1:4" x14ac:dyDescent="0.25">
      <c r="A154" s="140">
        <v>45679.166666666664</v>
      </c>
      <c r="B154" t="s">
        <v>2475</v>
      </c>
      <c r="C154" t="s">
        <v>5834</v>
      </c>
      <c r="D154" s="6" t="str">
        <f>_xlfn.XLOOKUP(B154,Indices!$A$2:$A$2676,Indices!$B$2:$B$2676,"")</f>
        <v>S&amp;P Mid</v>
      </c>
    </row>
    <row r="155" spans="1:4" x14ac:dyDescent="0.25">
      <c r="A155" s="140">
        <v>45679.166666666664</v>
      </c>
      <c r="B155" t="s">
        <v>1429</v>
      </c>
      <c r="C155" t="s">
        <v>5834</v>
      </c>
      <c r="D155" s="6" t="str">
        <f>_xlfn.XLOOKUP(B155,Indices!$A$2:$A$2676,Indices!$B$2:$B$2676,"")</f>
        <v>SP500</v>
      </c>
    </row>
    <row r="156" spans="1:4" x14ac:dyDescent="0.25">
      <c r="A156" s="140">
        <v>45679.180555555555</v>
      </c>
      <c r="B156" t="s">
        <v>1290</v>
      </c>
      <c r="C156" t="s">
        <v>5835</v>
      </c>
      <c r="D156" s="6" t="str">
        <f>_xlfn.XLOOKUP(B156,Indices!$A$2:$A$2676,Indices!$B$2:$B$2676,"")</f>
        <v>SP500</v>
      </c>
    </row>
    <row r="157" spans="1:4" x14ac:dyDescent="0.25">
      <c r="A157" s="140">
        <v>45679.181944444441</v>
      </c>
      <c r="B157" t="s">
        <v>5836</v>
      </c>
      <c r="C157" t="s">
        <v>5837</v>
      </c>
      <c r="D157" s="6" t="str">
        <f>_xlfn.XLOOKUP(B157,Indices!$A$2:$A$2676,Indices!$B$2:$B$2676,"")</f>
        <v/>
      </c>
    </row>
    <row r="158" spans="1:4" x14ac:dyDescent="0.25">
      <c r="A158" s="140">
        <v>45679.1875</v>
      </c>
      <c r="B158" t="s">
        <v>1568</v>
      </c>
      <c r="C158" t="s">
        <v>5838</v>
      </c>
      <c r="D158" s="6" t="str">
        <f>_xlfn.XLOOKUP(B158,Indices!$A$2:$A$2676,Indices!$B$2:$B$2676,"")</f>
        <v>SP500</v>
      </c>
    </row>
    <row r="159" spans="1:4" x14ac:dyDescent="0.25">
      <c r="A159" s="140">
        <v>45679.197916666664</v>
      </c>
      <c r="B159" t="s">
        <v>1801</v>
      </c>
      <c r="C159" t="s">
        <v>5839</v>
      </c>
      <c r="D159" s="6" t="str">
        <f>_xlfn.XLOOKUP(B159,Indices!$A$2:$A$2676,Indices!$B$2:$B$2676,"")</f>
        <v>IWM</v>
      </c>
    </row>
    <row r="160" spans="1:4" x14ac:dyDescent="0.25">
      <c r="A160" s="140">
        <v>45679.197916666664</v>
      </c>
      <c r="B160" t="s">
        <v>569</v>
      </c>
      <c r="C160" t="s">
        <v>5839</v>
      </c>
      <c r="D160" s="6" t="str">
        <f>_xlfn.XLOOKUP(B160,Indices!$A$2:$A$2676,Indices!$B$2:$B$2676,"")</f>
        <v>SP500</v>
      </c>
    </row>
    <row r="161" spans="1:4" x14ac:dyDescent="0.25">
      <c r="A161" s="140">
        <v>45679.204861111109</v>
      </c>
      <c r="B161" t="s">
        <v>1520</v>
      </c>
      <c r="C161" t="s">
        <v>5840</v>
      </c>
      <c r="D161" s="6" t="str">
        <f>_xlfn.XLOOKUP(B161,Indices!$A$2:$A$2676,Indices!$B$2:$B$2676,"")</f>
        <v>SP500</v>
      </c>
    </row>
    <row r="162" spans="1:4" x14ac:dyDescent="0.25">
      <c r="A162" s="140">
        <v>45679.206250000003</v>
      </c>
      <c r="B162" t="s">
        <v>1404</v>
      </c>
      <c r="C162" t="s">
        <v>5841</v>
      </c>
      <c r="D162" s="6" t="str">
        <f>_xlfn.XLOOKUP(B162,Indices!$A$2:$A$2676,Indices!$B$2:$B$2676,"")</f>
        <v>SP500</v>
      </c>
    </row>
    <row r="163" spans="1:4" x14ac:dyDescent="0.25">
      <c r="A163" s="140">
        <v>45679.208333333336</v>
      </c>
      <c r="B163" t="s">
        <v>1288</v>
      </c>
      <c r="C163" t="s">
        <v>5842</v>
      </c>
      <c r="D163" s="6" t="str">
        <f>_xlfn.XLOOKUP(B163,Indices!$A$2:$A$2676,Indices!$B$2:$B$2676,"")</f>
        <v>SP500</v>
      </c>
    </row>
    <row r="164" spans="1:4" x14ac:dyDescent="0.25">
      <c r="A164" s="140">
        <v>45679.208333333336</v>
      </c>
      <c r="B164" t="s">
        <v>1307</v>
      </c>
      <c r="C164" t="s">
        <v>5842</v>
      </c>
      <c r="D164" s="6" t="str">
        <f>_xlfn.XLOOKUP(B164,Indices!$A$2:$A$2676,Indices!$B$2:$B$2676,"")</f>
        <v>SP500</v>
      </c>
    </row>
    <row r="165" spans="1:4" x14ac:dyDescent="0.25">
      <c r="A165" s="140">
        <v>45679.211805555555</v>
      </c>
      <c r="B165" t="s">
        <v>2235</v>
      </c>
      <c r="C165" t="s">
        <v>5843</v>
      </c>
      <c r="D165" s="6" t="str">
        <f>_xlfn.XLOOKUP(B165,Indices!$A$2:$A$2676,Indices!$B$2:$B$2676,"")</f>
        <v>IWM</v>
      </c>
    </row>
    <row r="166" spans="1:4" x14ac:dyDescent="0.25">
      <c r="A166" s="140">
        <v>45679.229166666664</v>
      </c>
      <c r="B166" t="s">
        <v>1746</v>
      </c>
      <c r="C166" t="s">
        <v>5844</v>
      </c>
      <c r="D166" s="6" t="str">
        <f>_xlfn.XLOOKUP(B166,Indices!$A$2:$A$2676,Indices!$B$2:$B$2676,"")</f>
        <v>IWM</v>
      </c>
    </row>
    <row r="167" spans="1:4" x14ac:dyDescent="0.25">
      <c r="A167" s="140">
        <v>45679.229166666664</v>
      </c>
      <c r="B167" t="s">
        <v>1882</v>
      </c>
      <c r="C167" t="s">
        <v>5844</v>
      </c>
      <c r="D167" s="6" t="str">
        <f>_xlfn.XLOOKUP(B167,Indices!$A$2:$A$2676,Indices!$B$2:$B$2676,"")</f>
        <v>IWM</v>
      </c>
    </row>
    <row r="168" spans="1:4" x14ac:dyDescent="0.25">
      <c r="A168" s="140">
        <v>45679.229166666664</v>
      </c>
      <c r="B168" t="s">
        <v>1869</v>
      </c>
      <c r="C168" t="s">
        <v>5844</v>
      </c>
      <c r="D168" s="6" t="str">
        <f>_xlfn.XLOOKUP(B168,Indices!$A$2:$A$2676,Indices!$B$2:$B$2676,"")</f>
        <v>IWM</v>
      </c>
    </row>
    <row r="169" spans="1:4" x14ac:dyDescent="0.25">
      <c r="A169" s="140">
        <v>45679.240277777775</v>
      </c>
      <c r="B169" t="s">
        <v>2414</v>
      </c>
      <c r="C169" t="s">
        <v>5845</v>
      </c>
      <c r="D169" s="6" t="str">
        <f>_xlfn.XLOOKUP(B169,Indices!$A$2:$A$2676,Indices!$B$2:$B$2676,"")</f>
        <v>S&amp;P Mid</v>
      </c>
    </row>
    <row r="170" spans="1:4" x14ac:dyDescent="0.25">
      <c r="A170" s="140">
        <v>45679.25</v>
      </c>
      <c r="B170" t="s">
        <v>1367</v>
      </c>
      <c r="C170" t="s">
        <v>5846</v>
      </c>
      <c r="D170" s="6" t="str">
        <f>_xlfn.XLOOKUP(B170,Indices!$A$2:$A$2676,Indices!$B$2:$B$2676,"")</f>
        <v>SP500</v>
      </c>
    </row>
    <row r="171" spans="1:4" x14ac:dyDescent="0.25">
      <c r="A171" s="140">
        <v>45679.291666666664</v>
      </c>
      <c r="B171" t="s">
        <v>5847</v>
      </c>
      <c r="C171" t="s">
        <v>5848</v>
      </c>
      <c r="D171" s="6" t="str">
        <f>_xlfn.XLOOKUP(B171,Indices!$A$2:$A$2676,Indices!$B$2:$B$2676,"")</f>
        <v/>
      </c>
    </row>
    <row r="172" spans="1:4" x14ac:dyDescent="0.25">
      <c r="A172" s="140">
        <v>45679.316666666666</v>
      </c>
      <c r="B172" t="s">
        <v>2307</v>
      </c>
      <c r="C172" t="s">
        <v>5849</v>
      </c>
      <c r="D172" s="6" t="str">
        <f>_xlfn.XLOOKUP(B172,Indices!$A$2:$A$2676,Indices!$B$2:$B$2676,"")</f>
        <v>IWM</v>
      </c>
    </row>
    <row r="173" spans="1:4" x14ac:dyDescent="0.25">
      <c r="A173" s="140">
        <v>45679.421527777777</v>
      </c>
      <c r="B173" t="s">
        <v>5850</v>
      </c>
      <c r="C173" t="s">
        <v>5851</v>
      </c>
      <c r="D173" s="6" t="str">
        <f>_xlfn.XLOOKUP(B173,Indices!$A$2:$A$2676,Indices!$B$2:$B$2676,"")</f>
        <v/>
      </c>
    </row>
    <row r="174" spans="1:4" x14ac:dyDescent="0.25">
      <c r="A174" s="140">
        <v>45679.583333333336</v>
      </c>
      <c r="B174" t="s">
        <v>1851</v>
      </c>
      <c r="C174" t="s">
        <v>5852</v>
      </c>
      <c r="D174" s="6" t="str">
        <f>_xlfn.XLOOKUP(B174,Indices!$A$2:$A$2676,Indices!$B$2:$B$2676,"")</f>
        <v>IWM</v>
      </c>
    </row>
    <row r="175" spans="1:4" x14ac:dyDescent="0.25">
      <c r="A175" s="140">
        <v>45679.584027777775</v>
      </c>
      <c r="B175" t="s">
        <v>2422</v>
      </c>
      <c r="C175" t="s">
        <v>5853</v>
      </c>
      <c r="D175" s="6" t="str">
        <f>_xlfn.XLOOKUP(B175,Indices!$A$2:$A$2676,Indices!$B$2:$B$2676,"")</f>
        <v>S&amp;P Mid</v>
      </c>
    </row>
    <row r="176" spans="1:4" x14ac:dyDescent="0.25">
      <c r="A176" s="140">
        <v>45679.586805555555</v>
      </c>
      <c r="B176" t="s">
        <v>1921</v>
      </c>
      <c r="C176" t="s">
        <v>5854</v>
      </c>
      <c r="D176" s="6" t="str">
        <f>_xlfn.XLOOKUP(B176,Indices!$A$2:$A$2676,Indices!$B$2:$B$2676,"")</f>
        <v>IWM</v>
      </c>
    </row>
    <row r="177" spans="1:4" x14ac:dyDescent="0.25">
      <c r="A177" s="140">
        <v>45679.586805555555</v>
      </c>
      <c r="B177" t="s">
        <v>1395</v>
      </c>
      <c r="C177" t="s">
        <v>5854</v>
      </c>
      <c r="D177" s="6" t="str">
        <f>_xlfn.XLOOKUP(B177,Indices!$A$2:$A$2676,Indices!$B$2:$B$2676,"")</f>
        <v>SP500</v>
      </c>
    </row>
    <row r="178" spans="1:4" x14ac:dyDescent="0.25">
      <c r="A178" s="140">
        <v>45679.586805555555</v>
      </c>
      <c r="B178" t="s">
        <v>2254</v>
      </c>
      <c r="C178" t="s">
        <v>5854</v>
      </c>
      <c r="D178" s="6" t="str">
        <f>_xlfn.XLOOKUP(B178,Indices!$A$2:$A$2676,Indices!$B$2:$B$2676,"")</f>
        <v>IWM</v>
      </c>
    </row>
    <row r="179" spans="1:4" x14ac:dyDescent="0.25">
      <c r="A179" s="140">
        <v>45679.586805555555</v>
      </c>
      <c r="B179" t="s">
        <v>2268</v>
      </c>
      <c r="C179" t="s">
        <v>5854</v>
      </c>
      <c r="D179" s="6" t="str">
        <f>_xlfn.XLOOKUP(B179,Indices!$A$2:$A$2676,Indices!$B$2:$B$2676,"")</f>
        <v>IWM</v>
      </c>
    </row>
    <row r="180" spans="1:4" x14ac:dyDescent="0.25">
      <c r="A180" s="140">
        <v>45679.586805555555</v>
      </c>
      <c r="B180" t="s">
        <v>2057</v>
      </c>
      <c r="C180" t="s">
        <v>5854</v>
      </c>
      <c r="D180" s="6" t="str">
        <f>_xlfn.XLOOKUP(B180,Indices!$A$2:$A$2676,Indices!$B$2:$B$2676,"")</f>
        <v>IWM</v>
      </c>
    </row>
    <row r="181" spans="1:4" x14ac:dyDescent="0.25">
      <c r="A181" s="140">
        <v>45679.586805555555</v>
      </c>
      <c r="B181" t="s">
        <v>2359</v>
      </c>
      <c r="C181" t="s">
        <v>5854</v>
      </c>
      <c r="D181" s="6" t="str">
        <f>_xlfn.XLOOKUP(B181,Indices!$A$2:$A$2676,Indices!$B$2:$B$2676,"")</f>
        <v>S&amp;P Mid</v>
      </c>
    </row>
    <row r="182" spans="1:4" x14ac:dyDescent="0.25">
      <c r="A182" s="140">
        <v>45679.588194444441</v>
      </c>
      <c r="B182" t="s">
        <v>1850</v>
      </c>
      <c r="C182" t="s">
        <v>5855</v>
      </c>
      <c r="D182" s="6" t="str">
        <f>_xlfn.XLOOKUP(B182,Indices!$A$2:$A$2676,Indices!$B$2:$B$2676,"")</f>
        <v>IWM</v>
      </c>
    </row>
    <row r="183" spans="1:4" x14ac:dyDescent="0.25">
      <c r="A183" s="140">
        <v>45679.588194444441</v>
      </c>
      <c r="B183" t="s">
        <v>2308</v>
      </c>
      <c r="C183" t="s">
        <v>5855</v>
      </c>
      <c r="D183" s="6" t="str">
        <f>_xlfn.XLOOKUP(B183,Indices!$A$2:$A$2676,Indices!$B$2:$B$2676,"")</f>
        <v>IWM</v>
      </c>
    </row>
    <row r="184" spans="1:4" x14ac:dyDescent="0.25">
      <c r="A184" s="140">
        <v>45679.590277777781</v>
      </c>
      <c r="B184" t="s">
        <v>1683</v>
      </c>
      <c r="C184" t="s">
        <v>5856</v>
      </c>
      <c r="D184" s="6" t="str">
        <f>_xlfn.XLOOKUP(B184,Indices!$A$2:$A$2676,Indices!$B$2:$B$2676,"")</f>
        <v>IWM</v>
      </c>
    </row>
    <row r="185" spans="1:4" x14ac:dyDescent="0.25">
      <c r="A185" s="140">
        <v>45679.593055555553</v>
      </c>
      <c r="B185" t="s">
        <v>2395</v>
      </c>
      <c r="C185" t="s">
        <v>5857</v>
      </c>
      <c r="D185" s="6" t="str">
        <f>_xlfn.XLOOKUP(B185,Indices!$A$2:$A$2676,Indices!$B$2:$B$2676,"")</f>
        <v>S&amp;P Mid</v>
      </c>
    </row>
    <row r="186" spans="1:4" x14ac:dyDescent="0.25">
      <c r="A186" s="140">
        <v>45679.593055555553</v>
      </c>
      <c r="B186" t="s">
        <v>1928</v>
      </c>
      <c r="C186" t="s">
        <v>5857</v>
      </c>
      <c r="D186" s="6" t="str">
        <f>_xlfn.XLOOKUP(B186,Indices!$A$2:$A$2676,Indices!$B$2:$B$2676,"")</f>
        <v>IWM</v>
      </c>
    </row>
    <row r="187" spans="1:4" x14ac:dyDescent="0.25">
      <c r="A187" s="140">
        <v>45679.59375</v>
      </c>
      <c r="B187" t="s">
        <v>2198</v>
      </c>
      <c r="C187" t="s">
        <v>5858</v>
      </c>
      <c r="D187" s="6" t="str">
        <f>_xlfn.XLOOKUP(B187,Indices!$A$2:$A$2676,Indices!$B$2:$B$2676,"")</f>
        <v>IWM</v>
      </c>
    </row>
    <row r="188" spans="1:4" x14ac:dyDescent="0.25">
      <c r="A188" s="140">
        <v>45679.59375</v>
      </c>
      <c r="B188" t="s">
        <v>2081</v>
      </c>
      <c r="C188" t="s">
        <v>5858</v>
      </c>
      <c r="D188" s="6" t="str">
        <f>_xlfn.XLOOKUP(B188,Indices!$A$2:$A$2676,Indices!$B$2:$B$2676,"")</f>
        <v>IWM</v>
      </c>
    </row>
    <row r="189" spans="1:4" x14ac:dyDescent="0.25">
      <c r="A189" s="140">
        <v>45679.59375</v>
      </c>
      <c r="B189" t="s">
        <v>1999</v>
      </c>
      <c r="C189" t="s">
        <v>5858</v>
      </c>
      <c r="D189" s="6" t="str">
        <f>_xlfn.XLOOKUP(B189,Indices!$A$2:$A$2676,Indices!$B$2:$B$2676,"")</f>
        <v>IWM</v>
      </c>
    </row>
    <row r="190" spans="1:4" x14ac:dyDescent="0.25">
      <c r="A190" s="140">
        <v>45679.59375</v>
      </c>
      <c r="B190" t="s">
        <v>1856</v>
      </c>
      <c r="C190" t="s">
        <v>5858</v>
      </c>
      <c r="D190" s="6" t="str">
        <f>_xlfn.XLOOKUP(B190,Indices!$A$2:$A$2676,Indices!$B$2:$B$2676,"")</f>
        <v>IWM</v>
      </c>
    </row>
    <row r="191" spans="1:4" x14ac:dyDescent="0.25">
      <c r="A191" s="140">
        <v>45679.59375</v>
      </c>
      <c r="B191" t="s">
        <v>2256</v>
      </c>
      <c r="C191" t="s">
        <v>5858</v>
      </c>
      <c r="D191" s="6" t="str">
        <f>_xlfn.XLOOKUP(B191,Indices!$A$2:$A$2676,Indices!$B$2:$B$2676,"")</f>
        <v>IWM</v>
      </c>
    </row>
    <row r="192" spans="1:4" x14ac:dyDescent="0.25">
      <c r="A192" s="140">
        <v>45679.59375</v>
      </c>
      <c r="B192" t="s">
        <v>2487</v>
      </c>
      <c r="C192" t="s">
        <v>5858</v>
      </c>
      <c r="D192" s="6" t="str">
        <f>_xlfn.XLOOKUP(B192,Indices!$A$2:$A$2676,Indices!$B$2:$B$2676,"")</f>
        <v>S&amp;P Mid</v>
      </c>
    </row>
    <row r="193" spans="1:4" x14ac:dyDescent="0.25">
      <c r="A193" s="140">
        <v>45679.59375</v>
      </c>
      <c r="B193" t="s">
        <v>1713</v>
      </c>
      <c r="C193" t="s">
        <v>5858</v>
      </c>
      <c r="D193" s="6" t="str">
        <f>_xlfn.XLOOKUP(B193,Indices!$A$2:$A$2676,Indices!$B$2:$B$2676,"")</f>
        <v>IWM</v>
      </c>
    </row>
    <row r="194" spans="1:4" x14ac:dyDescent="0.25">
      <c r="A194" s="140">
        <v>45679.59375</v>
      </c>
      <c r="B194" t="s">
        <v>2017</v>
      </c>
      <c r="C194" t="s">
        <v>5858</v>
      </c>
      <c r="D194" s="6" t="str">
        <f>_xlfn.XLOOKUP(B194,Indices!$A$2:$A$2676,Indices!$B$2:$B$2676,"")</f>
        <v>IWM</v>
      </c>
    </row>
    <row r="195" spans="1:4" x14ac:dyDescent="0.25">
      <c r="A195" s="140">
        <v>45679.59375</v>
      </c>
      <c r="B195" t="s">
        <v>2408</v>
      </c>
      <c r="C195" t="s">
        <v>5858</v>
      </c>
      <c r="D195" s="6" t="str">
        <f>_xlfn.XLOOKUP(B195,Indices!$A$2:$A$2676,Indices!$B$2:$B$2676,"")</f>
        <v>S&amp;P Mid</v>
      </c>
    </row>
    <row r="196" spans="1:4" x14ac:dyDescent="0.25">
      <c r="A196" s="140">
        <v>45679.604166666664</v>
      </c>
      <c r="B196" t="s">
        <v>1809</v>
      </c>
      <c r="C196" t="s">
        <v>5859</v>
      </c>
      <c r="D196" s="6" t="str">
        <f>_xlfn.XLOOKUP(B196,Indices!$A$2:$A$2676,Indices!$B$2:$B$2676,"")</f>
        <v>IWM</v>
      </c>
    </row>
    <row r="197" spans="1:4" x14ac:dyDescent="0.25">
      <c r="A197" s="140">
        <v>45679.604166666664</v>
      </c>
      <c r="B197" t="s">
        <v>1909</v>
      </c>
      <c r="C197" t="s">
        <v>5859</v>
      </c>
      <c r="D197" s="6" t="str">
        <f>_xlfn.XLOOKUP(B197,Indices!$A$2:$A$2676,Indices!$B$2:$B$2676,"")</f>
        <v>IWM</v>
      </c>
    </row>
    <row r="198" spans="1:4" x14ac:dyDescent="0.25">
      <c r="A198" s="140">
        <v>45679.604166666664</v>
      </c>
      <c r="B198" t="s">
        <v>2248</v>
      </c>
      <c r="C198" t="s">
        <v>5859</v>
      </c>
      <c r="D198" s="6" t="str">
        <f>_xlfn.XLOOKUP(B198,Indices!$A$2:$A$2676,Indices!$B$2:$B$2676,"")</f>
        <v>IWM</v>
      </c>
    </row>
    <row r="199" spans="1:4" x14ac:dyDescent="0.25">
      <c r="A199" s="140">
        <v>45679.604166666664</v>
      </c>
      <c r="B199" t="s">
        <v>1777</v>
      </c>
      <c r="C199" t="s">
        <v>5859</v>
      </c>
      <c r="D199" s="6" t="str">
        <f>_xlfn.XLOOKUP(B199,Indices!$A$2:$A$2676,Indices!$B$2:$B$2676,"")</f>
        <v>IWM</v>
      </c>
    </row>
    <row r="200" spans="1:4" x14ac:dyDescent="0.25">
      <c r="A200" s="140">
        <v>45679.604166666664</v>
      </c>
      <c r="B200" t="s">
        <v>5860</v>
      </c>
      <c r="C200" t="s">
        <v>5859</v>
      </c>
      <c r="D200" s="6" t="str">
        <f>_xlfn.XLOOKUP(B200,Indices!$A$2:$A$2676,Indices!$B$2:$B$2676,"")</f>
        <v/>
      </c>
    </row>
    <row r="201" spans="1:4" x14ac:dyDescent="0.25">
      <c r="A201" s="140">
        <v>45679.604166666664</v>
      </c>
      <c r="B201" t="s">
        <v>1432</v>
      </c>
      <c r="C201" t="s">
        <v>5859</v>
      </c>
      <c r="D201" s="6" t="str">
        <f>_xlfn.XLOOKUP(B201,Indices!$A$2:$A$2676,Indices!$B$2:$B$2676,"")</f>
        <v>SP500</v>
      </c>
    </row>
    <row r="202" spans="1:4" x14ac:dyDescent="0.25">
      <c r="A202" s="140">
        <v>45679.604166666664</v>
      </c>
      <c r="B202" t="s">
        <v>1677</v>
      </c>
      <c r="C202" t="s">
        <v>5859</v>
      </c>
      <c r="D202" s="6" t="str">
        <f>_xlfn.XLOOKUP(B202,Indices!$A$2:$A$2676,Indices!$B$2:$B$2676,"")</f>
        <v>IWM</v>
      </c>
    </row>
    <row r="203" spans="1:4" x14ac:dyDescent="0.25">
      <c r="A203" s="140">
        <v>45679.607638888891</v>
      </c>
      <c r="B203" t="s">
        <v>2041</v>
      </c>
      <c r="C203" t="s">
        <v>5861</v>
      </c>
      <c r="D203" s="6" t="str">
        <f>_xlfn.XLOOKUP(B203,Indices!$A$2:$A$2676,Indices!$B$2:$B$2676,"")</f>
        <v>IWM</v>
      </c>
    </row>
    <row r="204" spans="1:4" x14ac:dyDescent="0.25">
      <c r="A204" s="140">
        <v>45679.614583333336</v>
      </c>
      <c r="B204" t="s">
        <v>2080</v>
      </c>
      <c r="C204" t="s">
        <v>5862</v>
      </c>
      <c r="D204" s="6" t="str">
        <f>_xlfn.XLOOKUP(B204,Indices!$A$2:$A$2676,Indices!$B$2:$B$2676,"")</f>
        <v>IWM</v>
      </c>
    </row>
    <row r="205" spans="1:4" x14ac:dyDescent="0.25">
      <c r="A205" s="140">
        <v>45679.619444444441</v>
      </c>
      <c r="B205" t="s">
        <v>1775</v>
      </c>
      <c r="C205" t="s">
        <v>5863</v>
      </c>
      <c r="D205" s="6" t="str">
        <f>_xlfn.XLOOKUP(B205,Indices!$A$2:$A$2676,Indices!$B$2:$B$2676,"")</f>
        <v>IWM</v>
      </c>
    </row>
    <row r="206" spans="1:4" x14ac:dyDescent="0.25">
      <c r="A206" s="140">
        <v>45679.625</v>
      </c>
      <c r="B206" t="s">
        <v>1517</v>
      </c>
      <c r="C206" t="s">
        <v>5864</v>
      </c>
      <c r="D206" s="6" t="str">
        <f>_xlfn.XLOOKUP(B206,Indices!$A$2:$A$2676,Indices!$B$2:$B$2676,"")</f>
        <v>SP500</v>
      </c>
    </row>
    <row r="207" spans="1:4" x14ac:dyDescent="0.25">
      <c r="A207" s="140">
        <v>45679.625694444447</v>
      </c>
      <c r="B207" t="s">
        <v>2243</v>
      </c>
      <c r="C207" t="s">
        <v>5865</v>
      </c>
      <c r="D207" s="6" t="str">
        <f>_xlfn.XLOOKUP(B207,Indices!$A$2:$A$2676,Indices!$B$2:$B$2676,"")</f>
        <v>IWM</v>
      </c>
    </row>
    <row r="208" spans="1:4" x14ac:dyDescent="0.25">
      <c r="A208" s="140">
        <v>45679.625694444447</v>
      </c>
      <c r="B208" t="s">
        <v>2074</v>
      </c>
      <c r="C208" t="s">
        <v>5865</v>
      </c>
      <c r="D208" s="6" t="str">
        <f>_xlfn.XLOOKUP(B208,Indices!$A$2:$A$2676,Indices!$B$2:$B$2676,"")</f>
        <v>IWM</v>
      </c>
    </row>
    <row r="209" spans="1:4" x14ac:dyDescent="0.25">
      <c r="A209" s="140">
        <v>45679.676388888889</v>
      </c>
      <c r="B209" t="s">
        <v>2050</v>
      </c>
      <c r="C209" t="s">
        <v>5866</v>
      </c>
      <c r="D209" s="6" t="str">
        <f>_xlfn.XLOOKUP(B209,Indices!$A$2:$A$2676,Indices!$B$2:$B$2676,"")</f>
        <v>IWM</v>
      </c>
    </row>
    <row r="210" spans="1:4" x14ac:dyDescent="0.25">
      <c r="A210" s="140">
        <v>45679.677083333336</v>
      </c>
      <c r="B210" t="s">
        <v>2143</v>
      </c>
      <c r="C210" t="s">
        <v>5867</v>
      </c>
      <c r="D210" s="6" t="str">
        <f>_xlfn.XLOOKUP(B210,Indices!$A$2:$A$2676,Indices!$B$2:$B$2676,"")</f>
        <v>IWM</v>
      </c>
    </row>
    <row r="211" spans="1:4" x14ac:dyDescent="0.25">
      <c r="A211" s="140">
        <v>45679.677777777775</v>
      </c>
      <c r="B211" t="s">
        <v>2172</v>
      </c>
      <c r="C211" t="s">
        <v>5868</v>
      </c>
      <c r="D211" s="6" t="str">
        <f>_xlfn.XLOOKUP(B211,Indices!$A$2:$A$2676,Indices!$B$2:$B$2676,"")</f>
        <v>IWM</v>
      </c>
    </row>
    <row r="212" spans="1:4" x14ac:dyDescent="0.25">
      <c r="A212" s="140">
        <v>45679.763888888891</v>
      </c>
      <c r="B212" t="s">
        <v>5869</v>
      </c>
      <c r="C212" t="s">
        <v>5870</v>
      </c>
      <c r="D212" s="6" t="str">
        <f>_xlfn.XLOOKUP(B212,Indices!$A$2:$A$2676,Indices!$B$2:$B$2676,"")</f>
        <v/>
      </c>
    </row>
    <row r="213" spans="1:4" x14ac:dyDescent="0.25">
      <c r="A213" s="140">
        <v>45679.958333333336</v>
      </c>
      <c r="B213" t="s">
        <v>5871</v>
      </c>
      <c r="C213" t="s">
        <v>5872</v>
      </c>
      <c r="D213" s="6" t="str">
        <f>_xlfn.XLOOKUP(B213,Indices!$A$2:$A$2676,Indices!$B$2:$B$2676,"")</f>
        <v/>
      </c>
    </row>
    <row r="214" spans="1:4" x14ac:dyDescent="0.25">
      <c r="A214" s="140">
        <v>45679.958333333336</v>
      </c>
      <c r="B214" t="s">
        <v>1524</v>
      </c>
      <c r="C214" t="s">
        <v>5873</v>
      </c>
      <c r="D214" s="6" t="str">
        <f>_xlfn.XLOOKUP(B214,Indices!$A$2:$A$2676,Indices!$B$2:$B$2676,"")</f>
        <v>SP500</v>
      </c>
    </row>
    <row r="215" spans="1:4" x14ac:dyDescent="0.25">
      <c r="A215" s="140">
        <v>45679.958333333336</v>
      </c>
      <c r="B215" t="s">
        <v>1393</v>
      </c>
      <c r="C215" t="s">
        <v>5873</v>
      </c>
      <c r="D215" s="6" t="str">
        <f>_xlfn.XLOOKUP(B215,Indices!$A$2:$A$2676,Indices!$B$2:$B$2676,"")</f>
        <v>SP500</v>
      </c>
    </row>
    <row r="216" spans="1:4" x14ac:dyDescent="0.25">
      <c r="A216" s="140">
        <v>45679.958333333336</v>
      </c>
      <c r="B216" t="s">
        <v>5874</v>
      </c>
      <c r="C216" t="s">
        <v>5873</v>
      </c>
      <c r="D216" s="6" t="str">
        <f>_xlfn.XLOOKUP(B216,Indices!$A$2:$A$2676,Indices!$B$2:$B$2676,"")</f>
        <v/>
      </c>
    </row>
    <row r="217" spans="1:4" x14ac:dyDescent="0.25">
      <c r="A217" s="140">
        <v>45680.020833333336</v>
      </c>
      <c r="B217" t="s">
        <v>5875</v>
      </c>
      <c r="C217" t="s">
        <v>5876</v>
      </c>
      <c r="D217" s="6" t="str">
        <f>_xlfn.XLOOKUP(B217,Indices!$A$2:$A$2676,Indices!$B$2:$B$2676,"")</f>
        <v/>
      </c>
    </row>
    <row r="218" spans="1:4" x14ac:dyDescent="0.25">
      <c r="A218" s="140">
        <v>45680.054166666669</v>
      </c>
      <c r="B218" t="s">
        <v>5877</v>
      </c>
      <c r="C218" t="s">
        <v>5878</v>
      </c>
      <c r="D218" s="6" t="str">
        <f>_xlfn.XLOOKUP(B218,Indices!$A$2:$A$2676,Indices!$B$2:$B$2676,"")</f>
        <v/>
      </c>
    </row>
    <row r="219" spans="1:4" x14ac:dyDescent="0.25">
      <c r="A219" s="140">
        <v>45680.083333333336</v>
      </c>
      <c r="B219" t="s">
        <v>5879</v>
      </c>
      <c r="C219" t="s">
        <v>5880</v>
      </c>
      <c r="D219" s="6" t="str">
        <f>_xlfn.XLOOKUP(B219,Indices!$A$2:$A$2676,Indices!$B$2:$B$2676,"")</f>
        <v/>
      </c>
    </row>
    <row r="220" spans="1:4" x14ac:dyDescent="0.25">
      <c r="A220" s="140">
        <v>45680.165277777778</v>
      </c>
      <c r="B220" t="s">
        <v>1828</v>
      </c>
      <c r="C220" t="s">
        <v>5881</v>
      </c>
      <c r="D220" s="6" t="str">
        <f>_xlfn.XLOOKUP(B220,Indices!$A$2:$A$2676,Indices!$B$2:$B$2676,"")</f>
        <v>IWM</v>
      </c>
    </row>
    <row r="221" spans="1:4" x14ac:dyDescent="0.25">
      <c r="A221" s="140">
        <v>45680.166666666664</v>
      </c>
      <c r="B221" t="s">
        <v>1722</v>
      </c>
      <c r="C221" t="s">
        <v>5882</v>
      </c>
      <c r="D221" s="6" t="str">
        <f>_xlfn.XLOOKUP(B221,Indices!$A$2:$A$2676,Indices!$B$2:$B$2676,"")</f>
        <v>IWM</v>
      </c>
    </row>
    <row r="222" spans="1:4" x14ac:dyDescent="0.25">
      <c r="A222" s="140">
        <v>45680.166666666664</v>
      </c>
      <c r="B222" t="s">
        <v>1846</v>
      </c>
      <c r="C222" t="s">
        <v>5882</v>
      </c>
      <c r="D222" s="6" t="str">
        <f>_xlfn.XLOOKUP(B222,Indices!$A$2:$A$2676,Indices!$B$2:$B$2676,"")</f>
        <v>IWM</v>
      </c>
    </row>
    <row r="223" spans="1:4" x14ac:dyDescent="0.25">
      <c r="A223" s="140">
        <v>45680.166666666664</v>
      </c>
      <c r="B223" t="s">
        <v>1847</v>
      </c>
      <c r="C223" t="s">
        <v>5882</v>
      </c>
      <c r="D223" s="6" t="str">
        <f>_xlfn.XLOOKUP(B223,Indices!$A$2:$A$2676,Indices!$B$2:$B$2676,"")</f>
        <v>IWM</v>
      </c>
    </row>
    <row r="224" spans="1:4" x14ac:dyDescent="0.25">
      <c r="A224" s="140">
        <v>45680.166666666664</v>
      </c>
      <c r="B224" t="s">
        <v>1355</v>
      </c>
      <c r="C224" t="s">
        <v>5882</v>
      </c>
      <c r="D224" s="6" t="str">
        <f>_xlfn.XLOOKUP(B224,Indices!$A$2:$A$2676,Indices!$B$2:$B$2676,"")</f>
        <v>SP500</v>
      </c>
    </row>
    <row r="225" spans="1:4" x14ac:dyDescent="0.25">
      <c r="A225" s="140">
        <v>45680.181944444441</v>
      </c>
      <c r="B225" t="s">
        <v>1311</v>
      </c>
      <c r="C225" t="s">
        <v>5883</v>
      </c>
      <c r="D225" s="6" t="str">
        <f>_xlfn.XLOOKUP(B225,Indices!$A$2:$A$2676,Indices!$B$2:$B$2676,"")</f>
        <v>SP500</v>
      </c>
    </row>
    <row r="226" spans="1:4" x14ac:dyDescent="0.25">
      <c r="A226" s="140">
        <v>45680.184027777781</v>
      </c>
      <c r="B226" t="s">
        <v>2087</v>
      </c>
      <c r="C226" t="s">
        <v>5884</v>
      </c>
      <c r="D226" s="6" t="str">
        <f>_xlfn.XLOOKUP(B226,Indices!$A$2:$A$2676,Indices!$B$2:$B$2676,"")</f>
        <v>IWM</v>
      </c>
    </row>
    <row r="227" spans="1:4" x14ac:dyDescent="0.25">
      <c r="A227" s="140">
        <v>45680.1875</v>
      </c>
      <c r="B227" t="s">
        <v>1910</v>
      </c>
      <c r="C227" t="s">
        <v>5885</v>
      </c>
      <c r="D227" s="6" t="str">
        <f>_xlfn.XLOOKUP(B227,Indices!$A$2:$A$2676,Indices!$B$2:$B$2676,"")</f>
        <v>IWM</v>
      </c>
    </row>
    <row r="228" spans="1:4" x14ac:dyDescent="0.25">
      <c r="A228" s="140">
        <v>45680.1875</v>
      </c>
      <c r="B228" t="s">
        <v>1528</v>
      </c>
      <c r="C228" t="s">
        <v>5885</v>
      </c>
      <c r="D228" s="6" t="str">
        <f>_xlfn.XLOOKUP(B228,Indices!$A$2:$A$2676,Indices!$B$2:$B$2676,"")</f>
        <v>SP500</v>
      </c>
    </row>
    <row r="229" spans="1:4" x14ac:dyDescent="0.25">
      <c r="A229" s="140">
        <v>45680.197916666664</v>
      </c>
      <c r="B229" t="s">
        <v>2126</v>
      </c>
      <c r="C229" t="s">
        <v>5886</v>
      </c>
      <c r="D229" s="6" t="str">
        <f>_xlfn.XLOOKUP(B229,Indices!$A$2:$A$2676,Indices!$B$2:$B$2676,"")</f>
        <v>IWM</v>
      </c>
    </row>
    <row r="230" spans="1:4" x14ac:dyDescent="0.25">
      <c r="A230" s="140">
        <v>45680.197916666664</v>
      </c>
      <c r="B230" t="s">
        <v>1754</v>
      </c>
      <c r="C230" t="s">
        <v>5886</v>
      </c>
      <c r="D230" s="6" t="str">
        <f>_xlfn.XLOOKUP(B230,Indices!$A$2:$A$2676,Indices!$B$2:$B$2676,"")</f>
        <v>IWM</v>
      </c>
    </row>
    <row r="231" spans="1:4" x14ac:dyDescent="0.25">
      <c r="A231" s="140">
        <v>45680.208333333336</v>
      </c>
      <c r="B231" t="s">
        <v>1697</v>
      </c>
      <c r="C231" t="s">
        <v>5887</v>
      </c>
      <c r="D231" s="6" t="str">
        <f>_xlfn.XLOOKUP(B231,Indices!$A$2:$A$2676,Indices!$B$2:$B$2676,"")</f>
        <v>IWM</v>
      </c>
    </row>
    <row r="232" spans="1:4" x14ac:dyDescent="0.25">
      <c r="A232" s="140">
        <v>45680.208333333336</v>
      </c>
      <c r="B232" t="s">
        <v>587</v>
      </c>
      <c r="C232" t="s">
        <v>5887</v>
      </c>
      <c r="D232" s="6" t="str">
        <f>_xlfn.XLOOKUP(B232,Indices!$A$2:$A$2676,Indices!$B$2:$B$2676,"")</f>
        <v>IWM</v>
      </c>
    </row>
    <row r="233" spans="1:4" x14ac:dyDescent="0.25">
      <c r="A233" s="140">
        <v>45680.208333333336</v>
      </c>
      <c r="B233" t="s">
        <v>2425</v>
      </c>
      <c r="C233" t="s">
        <v>5887</v>
      </c>
      <c r="D233" s="6" t="str">
        <f>_xlfn.XLOOKUP(B233,Indices!$A$2:$A$2676,Indices!$B$2:$B$2676,"")</f>
        <v>S&amp;P Mid</v>
      </c>
    </row>
    <row r="234" spans="1:4" x14ac:dyDescent="0.25">
      <c r="A234" s="140">
        <v>45680.208333333336</v>
      </c>
      <c r="B234" t="s">
        <v>1790</v>
      </c>
      <c r="C234" t="s">
        <v>5887</v>
      </c>
      <c r="D234" s="6" t="str">
        <f>_xlfn.XLOOKUP(B234,Indices!$A$2:$A$2676,Indices!$B$2:$B$2676,"")</f>
        <v>IWM</v>
      </c>
    </row>
    <row r="235" spans="1:4" x14ac:dyDescent="0.25">
      <c r="A235" s="140">
        <v>45680.208333333336</v>
      </c>
      <c r="B235" t="s">
        <v>2416</v>
      </c>
      <c r="C235" t="s">
        <v>5887</v>
      </c>
      <c r="D235" s="6" t="str">
        <f>_xlfn.XLOOKUP(B235,Indices!$A$2:$A$2676,Indices!$B$2:$B$2676,"")</f>
        <v>S&amp;P Mid</v>
      </c>
    </row>
    <row r="236" spans="1:4" x14ac:dyDescent="0.25">
      <c r="A236" s="140">
        <v>45680.21875</v>
      </c>
      <c r="B236" t="s">
        <v>1974</v>
      </c>
      <c r="C236" t="s">
        <v>5888</v>
      </c>
      <c r="D236" s="6" t="str">
        <f>_xlfn.XLOOKUP(B236,Indices!$A$2:$A$2676,Indices!$B$2:$B$2676,"")</f>
        <v>IWM</v>
      </c>
    </row>
    <row r="237" spans="1:4" x14ac:dyDescent="0.25">
      <c r="A237" s="140">
        <v>45680.229166666664</v>
      </c>
      <c r="B237" t="s">
        <v>1892</v>
      </c>
      <c r="C237" t="s">
        <v>5889</v>
      </c>
      <c r="D237" s="6" t="str">
        <f>_xlfn.XLOOKUP(B237,Indices!$A$2:$A$2676,Indices!$B$2:$B$2676,"")</f>
        <v>IWM</v>
      </c>
    </row>
    <row r="238" spans="1:4" x14ac:dyDescent="0.25">
      <c r="A238" s="140">
        <v>45680.239583333336</v>
      </c>
      <c r="B238" t="s">
        <v>1331</v>
      </c>
      <c r="C238" t="s">
        <v>5890</v>
      </c>
      <c r="D238" s="6" t="str">
        <f>_xlfn.XLOOKUP(B238,Indices!$A$2:$A$2676,Indices!$B$2:$B$2676,"")</f>
        <v>SP500</v>
      </c>
    </row>
    <row r="239" spans="1:4" x14ac:dyDescent="0.25">
      <c r="A239" s="140">
        <v>45680.249305555553</v>
      </c>
      <c r="B239" t="s">
        <v>2065</v>
      </c>
      <c r="C239" t="s">
        <v>5891</v>
      </c>
      <c r="D239" s="6" t="str">
        <f>_xlfn.XLOOKUP(B239,Indices!$A$2:$A$2676,Indices!$B$2:$B$2676,"")</f>
        <v>IWM</v>
      </c>
    </row>
    <row r="240" spans="1:4" x14ac:dyDescent="0.25">
      <c r="A240" s="140">
        <v>45680.25</v>
      </c>
      <c r="B240" t="s">
        <v>2047</v>
      </c>
      <c r="C240" t="s">
        <v>5892</v>
      </c>
      <c r="D240" s="6" t="str">
        <f>_xlfn.XLOOKUP(B240,Indices!$A$2:$A$2676,Indices!$B$2:$B$2676,"")</f>
        <v>IWM</v>
      </c>
    </row>
    <row r="241" spans="1:4" x14ac:dyDescent="0.25">
      <c r="A241" s="140">
        <v>45680.25</v>
      </c>
      <c r="B241" t="s">
        <v>2006</v>
      </c>
      <c r="C241" t="s">
        <v>5892</v>
      </c>
      <c r="D241" s="6" t="str">
        <f>_xlfn.XLOOKUP(B241,Indices!$A$2:$A$2676,Indices!$B$2:$B$2676,"")</f>
        <v>IWM</v>
      </c>
    </row>
    <row r="242" spans="1:4" x14ac:dyDescent="0.25">
      <c r="A242" s="140">
        <v>45680.25</v>
      </c>
      <c r="B242" t="s">
        <v>2069</v>
      </c>
      <c r="C242" t="s">
        <v>5892</v>
      </c>
      <c r="D242" s="6" t="str">
        <f>_xlfn.XLOOKUP(B242,Indices!$A$2:$A$2676,Indices!$B$2:$B$2676,"")</f>
        <v>IWM</v>
      </c>
    </row>
    <row r="243" spans="1:4" x14ac:dyDescent="0.25">
      <c r="A243" s="140">
        <v>45680.25</v>
      </c>
      <c r="B243" t="s">
        <v>2204</v>
      </c>
      <c r="C243" t="s">
        <v>5892</v>
      </c>
      <c r="D243" s="6" t="str">
        <f>_xlfn.XLOOKUP(B243,Indices!$A$2:$A$2676,Indices!$B$2:$B$2676,"")</f>
        <v>IWM</v>
      </c>
    </row>
    <row r="244" spans="1:4" x14ac:dyDescent="0.25">
      <c r="A244" s="140">
        <v>45680.25</v>
      </c>
      <c r="B244" t="s">
        <v>2121</v>
      </c>
      <c r="C244" t="s">
        <v>5892</v>
      </c>
      <c r="D244" s="6" t="str">
        <f>_xlfn.XLOOKUP(B244,Indices!$A$2:$A$2676,Indices!$B$2:$B$2676,"")</f>
        <v>IWM</v>
      </c>
    </row>
    <row r="245" spans="1:4" x14ac:dyDescent="0.25">
      <c r="A245" s="140">
        <v>45680.270833333336</v>
      </c>
      <c r="B245" t="s">
        <v>1673</v>
      </c>
      <c r="C245" t="s">
        <v>5893</v>
      </c>
      <c r="D245" s="6" t="str">
        <f>_xlfn.XLOOKUP(B245,Indices!$A$2:$A$2676,Indices!$B$2:$B$2676,"")</f>
        <v>IWM</v>
      </c>
    </row>
    <row r="246" spans="1:4" x14ac:dyDescent="0.25">
      <c r="A246" s="140">
        <v>45680.270833333336</v>
      </c>
      <c r="B246" t="s">
        <v>1823</v>
      </c>
      <c r="C246" t="s">
        <v>5893</v>
      </c>
      <c r="D246" s="6" t="str">
        <f>_xlfn.XLOOKUP(B246,Indices!$A$2:$A$2676,Indices!$B$2:$B$2676,"")</f>
        <v>IWM</v>
      </c>
    </row>
    <row r="247" spans="1:4" x14ac:dyDescent="0.25">
      <c r="A247" s="140">
        <v>45680.270833333336</v>
      </c>
      <c r="B247" t="s">
        <v>2214</v>
      </c>
      <c r="C247" t="s">
        <v>5893</v>
      </c>
      <c r="D247" s="6" t="str">
        <f>_xlfn.XLOOKUP(B247,Indices!$A$2:$A$2676,Indices!$B$2:$B$2676,"")</f>
        <v>IWM</v>
      </c>
    </row>
    <row r="248" spans="1:4" x14ac:dyDescent="0.25">
      <c r="A248" s="140">
        <v>45680.272222222222</v>
      </c>
      <c r="B248" t="s">
        <v>2124</v>
      </c>
      <c r="C248" t="s">
        <v>5894</v>
      </c>
      <c r="D248" s="6" t="str">
        <f>_xlfn.XLOOKUP(B248,Indices!$A$2:$A$2676,Indices!$B$2:$B$2676,"")</f>
        <v>IWM</v>
      </c>
    </row>
    <row r="249" spans="1:4" x14ac:dyDescent="0.25">
      <c r="A249" s="140">
        <v>45680.287499999999</v>
      </c>
      <c r="B249" t="s">
        <v>2170</v>
      </c>
      <c r="C249" t="s">
        <v>5895</v>
      </c>
      <c r="D249" s="6" t="str">
        <f>_xlfn.XLOOKUP(B249,Indices!$A$2:$A$2676,Indices!$B$2:$B$2676,"")</f>
        <v>IWM</v>
      </c>
    </row>
    <row r="250" spans="1:4" x14ac:dyDescent="0.25">
      <c r="A250" s="140">
        <v>45680.583333333336</v>
      </c>
      <c r="B250" t="s">
        <v>2322</v>
      </c>
      <c r="C250" t="s">
        <v>5896</v>
      </c>
      <c r="D250" s="6" t="str">
        <f>_xlfn.XLOOKUP(B250,Indices!$A$2:$A$2676,Indices!$B$2:$B$2676,"")</f>
        <v>IWM</v>
      </c>
    </row>
    <row r="251" spans="1:4" x14ac:dyDescent="0.25">
      <c r="A251" s="140">
        <v>45680.583333333336</v>
      </c>
      <c r="B251" t="s">
        <v>2086</v>
      </c>
      <c r="C251" t="s">
        <v>5896</v>
      </c>
      <c r="D251" s="6" t="str">
        <f>_xlfn.XLOOKUP(B251,Indices!$A$2:$A$2676,Indices!$B$2:$B$2676,"")</f>
        <v>IWM</v>
      </c>
    </row>
    <row r="252" spans="1:4" x14ac:dyDescent="0.25">
      <c r="A252" s="140">
        <v>45680.583333333336</v>
      </c>
      <c r="B252" t="s">
        <v>1964</v>
      </c>
      <c r="C252" t="s">
        <v>5896</v>
      </c>
      <c r="D252" s="6" t="str">
        <f>_xlfn.XLOOKUP(B252,Indices!$A$2:$A$2676,Indices!$B$2:$B$2676,"")</f>
        <v>IWM</v>
      </c>
    </row>
    <row r="253" spans="1:4" x14ac:dyDescent="0.25">
      <c r="A253" s="140">
        <v>45680.583333333336</v>
      </c>
      <c r="B253" t="s">
        <v>2228</v>
      </c>
      <c r="C253" t="s">
        <v>5896</v>
      </c>
      <c r="D253" s="6" t="str">
        <f>_xlfn.XLOOKUP(B253,Indices!$A$2:$A$2676,Indices!$B$2:$B$2676,"")</f>
        <v>IWM</v>
      </c>
    </row>
    <row r="254" spans="1:4" x14ac:dyDescent="0.25">
      <c r="A254" s="140">
        <v>45680.584027777775</v>
      </c>
      <c r="B254" t="s">
        <v>1314</v>
      </c>
      <c r="C254" t="s">
        <v>5897</v>
      </c>
      <c r="D254" s="6" t="str">
        <f>_xlfn.XLOOKUP(B254,Indices!$A$2:$A$2676,Indices!$B$2:$B$2676,"")</f>
        <v>SP500</v>
      </c>
    </row>
    <row r="255" spans="1:4" x14ac:dyDescent="0.25">
      <c r="A255" s="140">
        <v>45680.584027777775</v>
      </c>
      <c r="B255" t="s">
        <v>2097</v>
      </c>
      <c r="C255" t="s">
        <v>5897</v>
      </c>
      <c r="D255" s="6" t="str">
        <f>_xlfn.XLOOKUP(B255,Indices!$A$2:$A$2676,Indices!$B$2:$B$2676,"")</f>
        <v>IWM</v>
      </c>
    </row>
    <row r="256" spans="1:4" x14ac:dyDescent="0.25">
      <c r="A256" s="140">
        <v>45680.584722222222</v>
      </c>
      <c r="B256" t="s">
        <v>2260</v>
      </c>
      <c r="C256" t="s">
        <v>5898</v>
      </c>
      <c r="D256" s="6" t="str">
        <f>_xlfn.XLOOKUP(B256,Indices!$A$2:$A$2676,Indices!$B$2:$B$2676,"")</f>
        <v>IWM</v>
      </c>
    </row>
    <row r="257" spans="1:4" x14ac:dyDescent="0.25">
      <c r="A257" s="140">
        <v>45680.584722222222</v>
      </c>
      <c r="B257" t="s">
        <v>2467</v>
      </c>
      <c r="C257" t="s">
        <v>5898</v>
      </c>
      <c r="D257" s="6" t="str">
        <f>_xlfn.XLOOKUP(B257,Indices!$A$2:$A$2676,Indices!$B$2:$B$2676,"")</f>
        <v>S&amp;P Mid</v>
      </c>
    </row>
    <row r="258" spans="1:4" x14ac:dyDescent="0.25">
      <c r="A258" s="140">
        <v>45680.584722222222</v>
      </c>
      <c r="B258" t="s">
        <v>1387</v>
      </c>
      <c r="C258" t="s">
        <v>5898</v>
      </c>
      <c r="D258" s="6" t="str">
        <f>_xlfn.XLOOKUP(B258,Indices!$A$2:$A$2676,Indices!$B$2:$B$2676,"")</f>
        <v>SP500</v>
      </c>
    </row>
    <row r="259" spans="1:4" x14ac:dyDescent="0.25">
      <c r="A259" s="140">
        <v>45680.586805555555</v>
      </c>
      <c r="B259" t="s">
        <v>2099</v>
      </c>
      <c r="C259" t="s">
        <v>5899</v>
      </c>
      <c r="D259" s="6" t="str">
        <f>_xlfn.XLOOKUP(B259,Indices!$A$2:$A$2676,Indices!$B$2:$B$2676,"")</f>
        <v>IWM</v>
      </c>
    </row>
    <row r="260" spans="1:4" x14ac:dyDescent="0.25">
      <c r="A260" s="140">
        <v>45680.586805555555</v>
      </c>
      <c r="B260" t="s">
        <v>1675</v>
      </c>
      <c r="C260" t="s">
        <v>5899</v>
      </c>
      <c r="D260" s="6" t="str">
        <f>_xlfn.XLOOKUP(B260,Indices!$A$2:$A$2676,Indices!$B$2:$B$2676,"")</f>
        <v>IWM</v>
      </c>
    </row>
    <row r="261" spans="1:4" x14ac:dyDescent="0.25">
      <c r="A261" s="140">
        <v>45680.586805555555</v>
      </c>
      <c r="B261" t="s">
        <v>1630</v>
      </c>
      <c r="C261" t="s">
        <v>5899</v>
      </c>
      <c r="D261" s="6" t="str">
        <f>_xlfn.XLOOKUP(B261,Indices!$A$2:$A$2676,Indices!$B$2:$B$2676,"")</f>
        <v>IWM</v>
      </c>
    </row>
    <row r="262" spans="1:4" x14ac:dyDescent="0.25">
      <c r="A262" s="140">
        <v>45680.586805555555</v>
      </c>
      <c r="B262" t="s">
        <v>2800</v>
      </c>
      <c r="C262" t="s">
        <v>5899</v>
      </c>
      <c r="D262" s="6" t="str">
        <f>_xlfn.XLOOKUP(B262,Indices!$A$2:$A$2676,Indices!$B$2:$B$2676,"")</f>
        <v/>
      </c>
    </row>
    <row r="263" spans="1:4" x14ac:dyDescent="0.25">
      <c r="A263" s="140">
        <v>45680.586805555555</v>
      </c>
      <c r="B263" t="s">
        <v>2380</v>
      </c>
      <c r="C263" t="s">
        <v>5899</v>
      </c>
      <c r="D263" s="6" t="str">
        <f>_xlfn.XLOOKUP(B263,Indices!$A$2:$A$2676,Indices!$B$2:$B$2676,"")</f>
        <v>S&amp;P Mid</v>
      </c>
    </row>
    <row r="264" spans="1:4" x14ac:dyDescent="0.25">
      <c r="A264" s="140">
        <v>45680.586805555555</v>
      </c>
      <c r="B264" t="s">
        <v>1310</v>
      </c>
      <c r="C264" t="s">
        <v>5899</v>
      </c>
      <c r="D264" s="6" t="str">
        <f>_xlfn.XLOOKUP(B264,Indices!$A$2:$A$2676,Indices!$B$2:$B$2676,"")</f>
        <v>SP500</v>
      </c>
    </row>
    <row r="265" spans="1:4" x14ac:dyDescent="0.25">
      <c r="A265" s="140">
        <v>45680.586805555555</v>
      </c>
      <c r="B265" t="s">
        <v>2192</v>
      </c>
      <c r="C265" t="s">
        <v>5899</v>
      </c>
      <c r="D265" s="6" t="str">
        <f>_xlfn.XLOOKUP(B265,Indices!$A$2:$A$2676,Indices!$B$2:$B$2676,"")</f>
        <v>IWM</v>
      </c>
    </row>
    <row r="266" spans="1:4" x14ac:dyDescent="0.25">
      <c r="A266" s="140">
        <v>45680.590277777781</v>
      </c>
      <c r="B266" t="s">
        <v>5900</v>
      </c>
      <c r="C266" t="s">
        <v>5901</v>
      </c>
      <c r="D266" s="6" t="str">
        <f>_xlfn.XLOOKUP(B266,Indices!$A$2:$A$2676,Indices!$B$2:$B$2676,"")</f>
        <v/>
      </c>
    </row>
    <row r="267" spans="1:4" x14ac:dyDescent="0.25">
      <c r="A267" s="140">
        <v>45680.59375</v>
      </c>
      <c r="B267" t="s">
        <v>2311</v>
      </c>
      <c r="C267" t="s">
        <v>5902</v>
      </c>
      <c r="D267" s="6" t="str">
        <f>_xlfn.XLOOKUP(B267,Indices!$A$2:$A$2676,Indices!$B$2:$B$2676,"")</f>
        <v>IWM</v>
      </c>
    </row>
    <row r="268" spans="1:4" x14ac:dyDescent="0.25">
      <c r="A268" s="140">
        <v>45680.59375</v>
      </c>
      <c r="B268" t="s">
        <v>2154</v>
      </c>
      <c r="C268" t="s">
        <v>5902</v>
      </c>
      <c r="D268" s="6" t="str">
        <f>_xlfn.XLOOKUP(B268,Indices!$A$2:$A$2676,Indices!$B$2:$B$2676,"")</f>
        <v>IWM</v>
      </c>
    </row>
    <row r="269" spans="1:4" x14ac:dyDescent="0.25">
      <c r="A269" s="140">
        <v>45680.59375</v>
      </c>
      <c r="B269" t="s">
        <v>1981</v>
      </c>
      <c r="C269" t="s">
        <v>5902</v>
      </c>
      <c r="D269" s="6" t="str">
        <f>_xlfn.XLOOKUP(B269,Indices!$A$2:$A$2676,Indices!$B$2:$B$2676,"")</f>
        <v>IWM</v>
      </c>
    </row>
    <row r="270" spans="1:4" x14ac:dyDescent="0.25">
      <c r="A270" s="140">
        <v>45680.59375</v>
      </c>
      <c r="B270" t="s">
        <v>2000</v>
      </c>
      <c r="C270" t="s">
        <v>5902</v>
      </c>
      <c r="D270" s="6" t="str">
        <f>_xlfn.XLOOKUP(B270,Indices!$A$2:$A$2676,Indices!$B$2:$B$2676,"")</f>
        <v>IWM</v>
      </c>
    </row>
    <row r="271" spans="1:4" x14ac:dyDescent="0.25">
      <c r="A271" s="140">
        <v>45680.59375</v>
      </c>
      <c r="B271" t="s">
        <v>2128</v>
      </c>
      <c r="C271" t="s">
        <v>5902</v>
      </c>
      <c r="D271" s="6" t="str">
        <f>_xlfn.XLOOKUP(B271,Indices!$A$2:$A$2676,Indices!$B$2:$B$2676,"")</f>
        <v>IWM</v>
      </c>
    </row>
    <row r="272" spans="1:4" x14ac:dyDescent="0.25">
      <c r="A272" s="140">
        <v>45680.59375</v>
      </c>
      <c r="B272" t="s">
        <v>1817</v>
      </c>
      <c r="C272" t="s">
        <v>5902</v>
      </c>
      <c r="D272" s="6" t="str">
        <f>_xlfn.XLOOKUP(B272,Indices!$A$2:$A$2676,Indices!$B$2:$B$2676,"")</f>
        <v>IWM</v>
      </c>
    </row>
    <row r="273" spans="1:4" x14ac:dyDescent="0.25">
      <c r="A273" s="140">
        <v>45680.59375</v>
      </c>
      <c r="B273" t="s">
        <v>5903</v>
      </c>
      <c r="C273" t="s">
        <v>5902</v>
      </c>
      <c r="D273" s="6" t="str">
        <f>_xlfn.XLOOKUP(B273,Indices!$A$2:$A$2676,Indices!$B$2:$B$2676,"")</f>
        <v/>
      </c>
    </row>
    <row r="274" spans="1:4" x14ac:dyDescent="0.25">
      <c r="A274" s="140">
        <v>45680.59375</v>
      </c>
      <c r="B274" t="s">
        <v>1820</v>
      </c>
      <c r="C274" t="s">
        <v>5902</v>
      </c>
      <c r="D274" s="6" t="str">
        <f>_xlfn.XLOOKUP(B274,Indices!$A$2:$A$2676,Indices!$B$2:$B$2676,"")</f>
        <v>IWM</v>
      </c>
    </row>
    <row r="275" spans="1:4" x14ac:dyDescent="0.25">
      <c r="A275" s="140">
        <v>45680.59375</v>
      </c>
      <c r="B275" t="s">
        <v>5904</v>
      </c>
      <c r="C275" t="s">
        <v>5902</v>
      </c>
      <c r="D275" s="6" t="str">
        <f>_xlfn.XLOOKUP(B275,Indices!$A$2:$A$2676,Indices!$B$2:$B$2676,"")</f>
        <v/>
      </c>
    </row>
    <row r="276" spans="1:4" x14ac:dyDescent="0.25">
      <c r="A276" s="140">
        <v>45680.59375</v>
      </c>
      <c r="B276" t="s">
        <v>1721</v>
      </c>
      <c r="C276" t="s">
        <v>5902</v>
      </c>
      <c r="D276" s="6" t="str">
        <f>_xlfn.XLOOKUP(B276,Indices!$A$2:$A$2676,Indices!$B$2:$B$2676,"")</f>
        <v>IWM</v>
      </c>
    </row>
    <row r="277" spans="1:4" x14ac:dyDescent="0.25">
      <c r="A277" s="140">
        <v>45680.595138888886</v>
      </c>
      <c r="B277" t="s">
        <v>1740</v>
      </c>
      <c r="C277" t="s">
        <v>5905</v>
      </c>
      <c r="D277" s="6" t="str">
        <f>_xlfn.XLOOKUP(B277,Indices!$A$2:$A$2676,Indices!$B$2:$B$2676,"")</f>
        <v>IWM</v>
      </c>
    </row>
    <row r="278" spans="1:4" x14ac:dyDescent="0.25">
      <c r="A278" s="140">
        <v>45680.601388888892</v>
      </c>
      <c r="B278" t="s">
        <v>2216</v>
      </c>
      <c r="C278" t="s">
        <v>5906</v>
      </c>
      <c r="D278" s="6" t="str">
        <f>_xlfn.XLOOKUP(B278,Indices!$A$2:$A$2676,Indices!$B$2:$B$2676,"")</f>
        <v>IWM</v>
      </c>
    </row>
    <row r="279" spans="1:4" x14ac:dyDescent="0.25">
      <c r="A279" s="140">
        <v>45680.604166666664</v>
      </c>
      <c r="B279" t="s">
        <v>2324</v>
      </c>
      <c r="C279" t="s">
        <v>5907</v>
      </c>
      <c r="D279" s="6" t="str">
        <f>_xlfn.XLOOKUP(B279,Indices!$A$2:$A$2676,Indices!$B$2:$B$2676,"")</f>
        <v>IWM</v>
      </c>
    </row>
    <row r="280" spans="1:4" x14ac:dyDescent="0.25">
      <c r="A280" s="140">
        <v>45680.604166666664</v>
      </c>
      <c r="B280" t="s">
        <v>2171</v>
      </c>
      <c r="C280" t="s">
        <v>5907</v>
      </c>
      <c r="D280" s="6" t="str">
        <f>_xlfn.XLOOKUP(B280,Indices!$A$2:$A$2676,Indices!$B$2:$B$2676,"")</f>
        <v>IWM</v>
      </c>
    </row>
    <row r="281" spans="1:4" x14ac:dyDescent="0.25">
      <c r="A281" s="140">
        <v>45680.604166666664</v>
      </c>
      <c r="B281" t="s">
        <v>5908</v>
      </c>
      <c r="C281" t="s">
        <v>5907</v>
      </c>
      <c r="D281" s="6" t="str">
        <f>_xlfn.XLOOKUP(B281,Indices!$A$2:$A$2676,Indices!$B$2:$B$2676,"")</f>
        <v/>
      </c>
    </row>
    <row r="282" spans="1:4" x14ac:dyDescent="0.25">
      <c r="A282" s="140">
        <v>45680.604166666664</v>
      </c>
      <c r="B282" t="s">
        <v>2251</v>
      </c>
      <c r="C282" t="s">
        <v>5907</v>
      </c>
      <c r="D282" s="6" t="str">
        <f>_xlfn.XLOOKUP(B282,Indices!$A$2:$A$2676,Indices!$B$2:$B$2676,"")</f>
        <v>IWM</v>
      </c>
    </row>
    <row r="283" spans="1:4" x14ac:dyDescent="0.25">
      <c r="A283" s="140">
        <v>45680.604166666664</v>
      </c>
      <c r="B283" t="s">
        <v>2482</v>
      </c>
      <c r="C283" t="s">
        <v>5907</v>
      </c>
      <c r="D283" s="6" t="str">
        <f>_xlfn.XLOOKUP(B283,Indices!$A$2:$A$2676,Indices!$B$2:$B$2676,"")</f>
        <v>S&amp;P Mid</v>
      </c>
    </row>
    <row r="284" spans="1:4" x14ac:dyDescent="0.25">
      <c r="A284" s="140">
        <v>45680.604166666664</v>
      </c>
      <c r="B284" t="s">
        <v>1908</v>
      </c>
      <c r="C284" t="s">
        <v>5907</v>
      </c>
      <c r="D284" s="6" t="str">
        <f>_xlfn.XLOOKUP(B284,Indices!$A$2:$A$2676,Indices!$B$2:$B$2676,"")</f>
        <v>IWM</v>
      </c>
    </row>
    <row r="285" spans="1:4" x14ac:dyDescent="0.25">
      <c r="A285" s="140">
        <v>45680.604166666664</v>
      </c>
      <c r="B285" t="s">
        <v>2328</v>
      </c>
      <c r="C285" t="s">
        <v>5907</v>
      </c>
      <c r="D285" s="6" t="str">
        <f>_xlfn.XLOOKUP(B285,Indices!$A$2:$A$2676,Indices!$B$2:$B$2676,"")</f>
        <v>IWM</v>
      </c>
    </row>
    <row r="286" spans="1:4" x14ac:dyDescent="0.25">
      <c r="A286" s="140">
        <v>45680.604166666664</v>
      </c>
      <c r="B286" t="s">
        <v>1644</v>
      </c>
      <c r="C286" t="s">
        <v>5907</v>
      </c>
      <c r="D286" s="6" t="str">
        <f>_xlfn.XLOOKUP(B286,Indices!$A$2:$A$2676,Indices!$B$2:$B$2676,"")</f>
        <v>IWM</v>
      </c>
    </row>
    <row r="287" spans="1:4" x14ac:dyDescent="0.25">
      <c r="A287" s="140">
        <v>45680.607638888891</v>
      </c>
      <c r="B287" t="s">
        <v>2241</v>
      </c>
      <c r="C287" t="s">
        <v>5909</v>
      </c>
      <c r="D287" s="6" t="str">
        <f>_xlfn.XLOOKUP(B287,Indices!$A$2:$A$2676,Indices!$B$2:$B$2676,"")</f>
        <v>IWM</v>
      </c>
    </row>
    <row r="288" spans="1:4" x14ac:dyDescent="0.25">
      <c r="A288" s="140">
        <v>45680.614583333336</v>
      </c>
      <c r="B288" t="s">
        <v>5910</v>
      </c>
      <c r="C288" t="s">
        <v>5911</v>
      </c>
      <c r="D288" s="6" t="str">
        <f>_xlfn.XLOOKUP(B288,Indices!$A$2:$A$2676,Indices!$B$2:$B$2676,"")</f>
        <v/>
      </c>
    </row>
    <row r="289" spans="1:4" x14ac:dyDescent="0.25">
      <c r="A289" s="140">
        <v>45680.614583333336</v>
      </c>
      <c r="B289" t="s">
        <v>2335</v>
      </c>
      <c r="C289" t="s">
        <v>5911</v>
      </c>
      <c r="D289" s="6" t="str">
        <f>_xlfn.XLOOKUP(B289,Indices!$A$2:$A$2676,Indices!$B$2:$B$2676,"")</f>
        <v>IWM</v>
      </c>
    </row>
    <row r="290" spans="1:4" x14ac:dyDescent="0.25">
      <c r="A290" s="140">
        <v>45680.625</v>
      </c>
      <c r="B290" t="s">
        <v>1841</v>
      </c>
      <c r="C290" t="s">
        <v>5912</v>
      </c>
      <c r="D290" s="6" t="str">
        <f>_xlfn.XLOOKUP(B290,Indices!$A$2:$A$2676,Indices!$B$2:$B$2676,"")</f>
        <v>IWM</v>
      </c>
    </row>
    <row r="291" spans="1:4" x14ac:dyDescent="0.25">
      <c r="A291" s="140">
        <v>45680.666666666664</v>
      </c>
      <c r="B291" t="s">
        <v>2319</v>
      </c>
      <c r="C291" t="s">
        <v>5913</v>
      </c>
      <c r="D291" s="6" t="str">
        <f>_xlfn.XLOOKUP(B291,Indices!$A$2:$A$2676,Indices!$B$2:$B$2676,"")</f>
        <v>IWM</v>
      </c>
    </row>
    <row r="292" spans="1:4" x14ac:dyDescent="0.25">
      <c r="A292" s="140">
        <v>45680.958333333336</v>
      </c>
      <c r="B292" t="s">
        <v>1322</v>
      </c>
      <c r="C292" t="s">
        <v>5914</v>
      </c>
      <c r="D292" s="6" t="str">
        <f>_xlfn.XLOOKUP(B292,Indices!$A$2:$A$2676,Indices!$B$2:$B$2676,"")</f>
        <v>SP500</v>
      </c>
    </row>
    <row r="293" spans="1:4" x14ac:dyDescent="0.25">
      <c r="A293" s="140">
        <v>45680.958333333336</v>
      </c>
      <c r="B293" t="s">
        <v>5915</v>
      </c>
      <c r="C293" t="s">
        <v>5914</v>
      </c>
      <c r="D293" s="6" t="str">
        <f>_xlfn.XLOOKUP(B293,Indices!$A$2:$A$2676,Indices!$B$2:$B$2676,"")</f>
        <v/>
      </c>
    </row>
    <row r="294" spans="1:4" x14ac:dyDescent="0.25">
      <c r="A294" s="140">
        <v>45680.958333333336</v>
      </c>
      <c r="B294" t="s">
        <v>1884</v>
      </c>
      <c r="C294" t="s">
        <v>5914</v>
      </c>
      <c r="D294" s="6" t="str">
        <f>_xlfn.XLOOKUP(B294,Indices!$A$2:$A$2676,Indices!$B$2:$B$2676,"")</f>
        <v>IWM</v>
      </c>
    </row>
    <row r="295" spans="1:4" x14ac:dyDescent="0.25">
      <c r="A295" s="140">
        <v>45681.184027777781</v>
      </c>
      <c r="B295" t="s">
        <v>2161</v>
      </c>
      <c r="C295" t="s">
        <v>5916</v>
      </c>
      <c r="D295" s="6" t="str">
        <f>_xlfn.XLOOKUP(B295,Indices!$A$2:$A$2676,Indices!$B$2:$B$2676,"")</f>
        <v>IWM</v>
      </c>
    </row>
    <row r="296" spans="1:4" x14ac:dyDescent="0.25">
      <c r="A296" s="140">
        <v>45681.188888888886</v>
      </c>
      <c r="B296" t="s">
        <v>5917</v>
      </c>
      <c r="C296" t="s">
        <v>5918</v>
      </c>
      <c r="D296" s="6" t="str">
        <f>_xlfn.XLOOKUP(B296,Indices!$A$2:$A$2676,Indices!$B$2:$B$2676,"")</f>
        <v/>
      </c>
    </row>
    <row r="297" spans="1:4" x14ac:dyDescent="0.25">
      <c r="A297" s="140">
        <v>45681.204861111109</v>
      </c>
      <c r="B297" t="s">
        <v>1315</v>
      </c>
      <c r="C297" t="s">
        <v>5919</v>
      </c>
      <c r="D297" s="6" t="str">
        <f>_xlfn.XLOOKUP(B297,Indices!$A$2:$A$2676,Indices!$B$2:$B$2676,"")</f>
        <v>SP500</v>
      </c>
    </row>
    <row r="298" spans="1:4" x14ac:dyDescent="0.25">
      <c r="A298" s="140">
        <v>45681.208333333336</v>
      </c>
      <c r="B298" t="s">
        <v>1306</v>
      </c>
      <c r="C298" t="s">
        <v>5920</v>
      </c>
      <c r="D298" s="6" t="str">
        <f>_xlfn.XLOOKUP(B298,Indices!$A$2:$A$2676,Indices!$B$2:$B$2676,"")</f>
        <v>SP500</v>
      </c>
    </row>
    <row r="299" spans="1:4" x14ac:dyDescent="0.25">
      <c r="A299" s="140">
        <v>45681.229166666664</v>
      </c>
      <c r="B299" t="s">
        <v>1369</v>
      </c>
      <c r="C299" t="s">
        <v>5921</v>
      </c>
      <c r="D299" s="6" t="str">
        <f>_xlfn.XLOOKUP(B299,Indices!$A$2:$A$2676,Indices!$B$2:$B$2676,"")</f>
        <v>SP500</v>
      </c>
    </row>
    <row r="300" spans="1:4" x14ac:dyDescent="0.25">
      <c r="A300" s="140">
        <v>45681.229166666664</v>
      </c>
      <c r="B300" t="s">
        <v>1899</v>
      </c>
      <c r="C300" t="s">
        <v>5921</v>
      </c>
      <c r="D300" s="6" t="str">
        <f>_xlfn.XLOOKUP(B300,Indices!$A$2:$A$2676,Indices!$B$2:$B$2676,"")</f>
        <v>IWM</v>
      </c>
    </row>
    <row r="301" spans="1:4" x14ac:dyDescent="0.25">
      <c r="A301" s="140">
        <v>45681.243055555555</v>
      </c>
      <c r="B301" t="s">
        <v>1666</v>
      </c>
      <c r="C301" t="s">
        <v>5922</v>
      </c>
      <c r="D301" s="6" t="str">
        <f>_xlfn.XLOOKUP(B301,Indices!$A$2:$A$2676,Indices!$B$2:$B$2676,"")</f>
        <v>IWM</v>
      </c>
    </row>
    <row r="302" spans="1:4" x14ac:dyDescent="0.25">
      <c r="A302" s="140">
        <v>45681.246527777781</v>
      </c>
      <c r="B302" t="s">
        <v>5923</v>
      </c>
      <c r="C302" t="s">
        <v>5924</v>
      </c>
      <c r="D302" s="6" t="str">
        <f>_xlfn.XLOOKUP(B302,Indices!$A$2:$A$2676,Indices!$B$2:$B$2676,"")</f>
        <v/>
      </c>
    </row>
    <row r="303" spans="1:4" x14ac:dyDescent="0.25">
      <c r="A303" s="140">
        <v>45681.246527777781</v>
      </c>
      <c r="B303" t="s">
        <v>5925</v>
      </c>
      <c r="C303" t="s">
        <v>5924</v>
      </c>
      <c r="D303" s="6" t="str">
        <f>_xlfn.XLOOKUP(B303,Indices!$A$2:$A$2676,Indices!$B$2:$B$2676,"")</f>
        <v/>
      </c>
    </row>
    <row r="304" spans="1:4" x14ac:dyDescent="0.25">
      <c r="A304" s="140">
        <v>45681.25</v>
      </c>
      <c r="B304" t="s">
        <v>2103</v>
      </c>
      <c r="C304" t="s">
        <v>5926</v>
      </c>
      <c r="D304" s="6" t="str">
        <f>_xlfn.XLOOKUP(B304,Indices!$A$2:$A$2676,Indices!$B$2:$B$2676,"")</f>
        <v>IWM</v>
      </c>
    </row>
    <row r="305" spans="1:4" x14ac:dyDescent="0.25">
      <c r="A305" s="140">
        <v>45681.291666666664</v>
      </c>
      <c r="B305" t="s">
        <v>5927</v>
      </c>
      <c r="C305" t="s">
        <v>5928</v>
      </c>
      <c r="D305" s="6" t="str">
        <f>_xlfn.XLOOKUP(B305,Indices!$A$2:$A$2676,Indices!$B$2:$B$2676,"")</f>
        <v/>
      </c>
    </row>
    <row r="306" spans="1:4" x14ac:dyDescent="0.25">
      <c r="A306" s="140">
        <v>45681.291666666664</v>
      </c>
      <c r="B306" t="s">
        <v>5929</v>
      </c>
      <c r="C306" t="s">
        <v>5930</v>
      </c>
      <c r="D306" s="6" t="str">
        <f>_xlfn.XLOOKUP(B306,Indices!$A$2:$A$2676,Indices!$B$2:$B$2676,"")</f>
        <v/>
      </c>
    </row>
    <row r="307" spans="1:4" x14ac:dyDescent="0.25">
      <c r="A307" s="140">
        <v>45681.583333333336</v>
      </c>
      <c r="B307" t="s">
        <v>5931</v>
      </c>
      <c r="C307" t="s">
        <v>5932</v>
      </c>
      <c r="D307" s="6" t="str">
        <f>_xlfn.XLOOKUP(B307,Indices!$A$2:$A$2676,Indices!$B$2:$B$2676,"")</f>
        <v/>
      </c>
    </row>
    <row r="308" spans="1:4" x14ac:dyDescent="0.25">
      <c r="A308" s="140">
        <v>45681.584027777775</v>
      </c>
      <c r="B308" t="s">
        <v>2036</v>
      </c>
      <c r="C308" t="s">
        <v>5933</v>
      </c>
      <c r="D308" s="6" t="str">
        <f>_xlfn.XLOOKUP(B308,Indices!$A$2:$A$2676,Indices!$B$2:$B$2676,"")</f>
        <v>IWM</v>
      </c>
    </row>
    <row r="309" spans="1:4" x14ac:dyDescent="0.25">
      <c r="A309" s="140">
        <v>45681.59375</v>
      </c>
      <c r="B309" t="s">
        <v>2179</v>
      </c>
      <c r="C309" t="s">
        <v>5934</v>
      </c>
      <c r="D309" s="6" t="str">
        <f>_xlfn.XLOOKUP(B309,Indices!$A$2:$A$2676,Indices!$B$2:$B$2676,"")</f>
        <v>IWM</v>
      </c>
    </row>
    <row r="310" spans="1:4" x14ac:dyDescent="0.25">
      <c r="A310" s="140">
        <v>45681.59375</v>
      </c>
      <c r="B310" t="s">
        <v>2801</v>
      </c>
      <c r="C310" t="s">
        <v>5934</v>
      </c>
      <c r="D310" s="6" t="str">
        <f>_xlfn.XLOOKUP(B310,Indices!$A$2:$A$2676,Indices!$B$2:$B$2676,"")</f>
        <v/>
      </c>
    </row>
    <row r="311" spans="1:4" x14ac:dyDescent="0.25">
      <c r="A311" s="140">
        <v>45681.59375</v>
      </c>
      <c r="B311" t="s">
        <v>2276</v>
      </c>
      <c r="C311" t="s">
        <v>5934</v>
      </c>
      <c r="D311" s="6" t="str">
        <f>_xlfn.XLOOKUP(B311,Indices!$A$2:$A$2676,Indices!$B$2:$B$2676,"")</f>
        <v>IWM</v>
      </c>
    </row>
    <row r="312" spans="1:4" x14ac:dyDescent="0.25">
      <c r="A312" s="140">
        <v>45681.625</v>
      </c>
      <c r="B312" t="s">
        <v>5935</v>
      </c>
      <c r="C312" t="s">
        <v>5936</v>
      </c>
      <c r="D312" s="6" t="str">
        <f>_xlfn.XLOOKUP(B312,Indices!$A$2:$A$2676,Indices!$B$2:$B$2676,"")</f>
        <v/>
      </c>
    </row>
    <row r="313" spans="1:4" x14ac:dyDescent="0.25">
      <c r="A313" s="140">
        <v>45681.761805555558</v>
      </c>
      <c r="B313" t="s">
        <v>2314</v>
      </c>
      <c r="C313" t="s">
        <v>5937</v>
      </c>
      <c r="D313" s="6" t="str">
        <f>_xlfn.XLOOKUP(B313,Indices!$A$2:$A$2676,Indices!$B$2:$B$2676,"")</f>
        <v>IWM</v>
      </c>
    </row>
    <row r="314" spans="1:4" x14ac:dyDescent="0.25">
      <c r="A314" s="140">
        <v>45681.958333333336</v>
      </c>
      <c r="B314" t="s">
        <v>5938</v>
      </c>
      <c r="C314" t="s">
        <v>5939</v>
      </c>
      <c r="D314" s="6" t="str">
        <f>_xlfn.XLOOKUP(B314,Indices!$A$2:$A$2676,Indices!$B$2:$B$2676,"")</f>
        <v/>
      </c>
    </row>
    <row r="315" spans="1:4" x14ac:dyDescent="0.25">
      <c r="A315" s="140">
        <v>45683.958333333336</v>
      </c>
      <c r="B315" t="s">
        <v>5940</v>
      </c>
      <c r="C315" t="s">
        <v>5941</v>
      </c>
      <c r="D315" s="6" t="str">
        <f>_xlfn.XLOOKUP(B315,Indices!$A$2:$A$2676,Indices!$B$2:$B$2676,"")</f>
        <v/>
      </c>
    </row>
    <row r="316" spans="1:4" x14ac:dyDescent="0.25">
      <c r="A316" s="140">
        <v>45683.958333333336</v>
      </c>
      <c r="B316" t="s">
        <v>5942</v>
      </c>
      <c r="C316" t="s">
        <v>5943</v>
      </c>
      <c r="D316" s="6" t="str">
        <f>_xlfn.XLOOKUP(B316,Indices!$A$2:$A$2676,Indices!$B$2:$B$2676,"")</f>
        <v/>
      </c>
    </row>
    <row r="317" spans="1:4" x14ac:dyDescent="0.25">
      <c r="A317" s="140">
        <v>45684.188194444447</v>
      </c>
      <c r="B317" t="s">
        <v>1318</v>
      </c>
      <c r="C317" t="s">
        <v>5944</v>
      </c>
      <c r="D317" s="6" t="str">
        <f>_xlfn.XLOOKUP(B317,Indices!$A$2:$A$2676,Indices!$B$2:$B$2676,"")</f>
        <v>SP500</v>
      </c>
    </row>
    <row r="318" spans="1:4" x14ac:dyDescent="0.25">
      <c r="A318" s="140">
        <v>45684.197916666664</v>
      </c>
      <c r="B318" t="s">
        <v>1805</v>
      </c>
      <c r="C318" t="s">
        <v>5945</v>
      </c>
      <c r="D318" s="6" t="str">
        <f>_xlfn.XLOOKUP(B318,Indices!$A$2:$A$2676,Indices!$B$2:$B$2676,"")</f>
        <v>IWM</v>
      </c>
    </row>
    <row r="319" spans="1:4" x14ac:dyDescent="0.25">
      <c r="A319" s="140">
        <v>45684.208333333336</v>
      </c>
      <c r="B319" t="s">
        <v>5946</v>
      </c>
      <c r="C319" t="s">
        <v>5947</v>
      </c>
      <c r="D319" s="6" t="str">
        <f>_xlfn.XLOOKUP(B319,Indices!$A$2:$A$2676,Indices!$B$2:$B$2676,"")</f>
        <v/>
      </c>
    </row>
    <row r="320" spans="1:4" x14ac:dyDescent="0.25">
      <c r="A320" s="140">
        <v>45684.229166666664</v>
      </c>
      <c r="B320" t="s">
        <v>1919</v>
      </c>
      <c r="C320" t="s">
        <v>5948</v>
      </c>
      <c r="D320" s="6" t="str">
        <f>_xlfn.XLOOKUP(B320,Indices!$A$2:$A$2676,Indices!$B$2:$B$2676,"")</f>
        <v>IWM</v>
      </c>
    </row>
    <row r="321" spans="1:4" x14ac:dyDescent="0.25">
      <c r="A321" s="140">
        <v>45684.25</v>
      </c>
      <c r="B321" t="s">
        <v>2039</v>
      </c>
      <c r="C321" t="s">
        <v>5949</v>
      </c>
      <c r="D321" s="6" t="str">
        <f>_xlfn.XLOOKUP(B321,Indices!$A$2:$A$2676,Indices!$B$2:$B$2676,"")</f>
        <v>IWM</v>
      </c>
    </row>
    <row r="322" spans="1:4" x14ac:dyDescent="0.25">
      <c r="A322" s="140">
        <v>45684.250694444447</v>
      </c>
      <c r="B322" t="s">
        <v>2195</v>
      </c>
      <c r="C322" t="s">
        <v>5950</v>
      </c>
      <c r="D322" s="6" t="str">
        <f>_xlfn.XLOOKUP(B322,Indices!$A$2:$A$2676,Indices!$B$2:$B$2676,"")</f>
        <v>IWM</v>
      </c>
    </row>
    <row r="323" spans="1:4" x14ac:dyDescent="0.25">
      <c r="A323" s="140">
        <v>45684.270833333336</v>
      </c>
      <c r="B323" t="s">
        <v>2194</v>
      </c>
      <c r="C323" t="s">
        <v>5951</v>
      </c>
      <c r="D323" s="6" t="str">
        <f>_xlfn.XLOOKUP(B323,Indices!$A$2:$A$2676,Indices!$B$2:$B$2676,"")</f>
        <v>IWM</v>
      </c>
    </row>
    <row r="324" spans="1:4" x14ac:dyDescent="0.25">
      <c r="A324" s="140">
        <v>45684.270833333336</v>
      </c>
      <c r="B324" t="s">
        <v>5952</v>
      </c>
      <c r="C324" t="s">
        <v>5951</v>
      </c>
      <c r="D324" s="6" t="str">
        <f>_xlfn.XLOOKUP(B324,Indices!$A$2:$A$2676,Indices!$B$2:$B$2676,"")</f>
        <v/>
      </c>
    </row>
    <row r="325" spans="1:4" x14ac:dyDescent="0.25">
      <c r="A325" s="140">
        <v>45684.583333333336</v>
      </c>
      <c r="B325" t="s">
        <v>5953</v>
      </c>
      <c r="C325" t="s">
        <v>5954</v>
      </c>
      <c r="D325" s="6" t="str">
        <f>_xlfn.XLOOKUP(B325,Indices!$A$2:$A$2676,Indices!$B$2:$B$2676,"")</f>
        <v/>
      </c>
    </row>
    <row r="326" spans="1:4" x14ac:dyDescent="0.25">
      <c r="A326" s="140">
        <v>45684.584027777775</v>
      </c>
      <c r="B326" t="s">
        <v>5955</v>
      </c>
      <c r="C326" t="s">
        <v>5956</v>
      </c>
      <c r="D326" s="6" t="str">
        <f>_xlfn.XLOOKUP(B326,Indices!$A$2:$A$2676,Indices!$B$2:$B$2676,"")</f>
        <v/>
      </c>
    </row>
    <row r="327" spans="1:4" x14ac:dyDescent="0.25">
      <c r="A327" s="140">
        <v>45684.584027777775</v>
      </c>
      <c r="B327" t="s">
        <v>72</v>
      </c>
      <c r="C327" t="s">
        <v>5956</v>
      </c>
      <c r="D327" s="6" t="str">
        <f>_xlfn.XLOOKUP(B327,Indices!$A$2:$A$2676,Indices!$B$2:$B$2676,"")</f>
        <v>IWM</v>
      </c>
    </row>
    <row r="328" spans="1:4" x14ac:dyDescent="0.25">
      <c r="A328" s="140">
        <v>45684.584027777775</v>
      </c>
      <c r="B328" t="s">
        <v>2034</v>
      </c>
      <c r="C328" t="s">
        <v>5956</v>
      </c>
      <c r="D328" s="6" t="str">
        <f>_xlfn.XLOOKUP(B328,Indices!$A$2:$A$2676,Indices!$B$2:$B$2676,"")</f>
        <v>IWM</v>
      </c>
    </row>
    <row r="329" spans="1:4" x14ac:dyDescent="0.25">
      <c r="A329" s="140">
        <v>45684.584027777775</v>
      </c>
      <c r="B329" t="s">
        <v>2109</v>
      </c>
      <c r="C329" t="s">
        <v>5956</v>
      </c>
      <c r="D329" s="6" t="str">
        <f>_xlfn.XLOOKUP(B329,Indices!$A$2:$A$2676,Indices!$B$2:$B$2676,"")</f>
        <v>IWM</v>
      </c>
    </row>
    <row r="330" spans="1:4" x14ac:dyDescent="0.25">
      <c r="A330" s="140">
        <v>45684.586111111108</v>
      </c>
      <c r="B330" t="s">
        <v>2315</v>
      </c>
      <c r="C330" t="s">
        <v>5957</v>
      </c>
      <c r="D330" s="6" t="str">
        <f>_xlfn.XLOOKUP(B330,Indices!$A$2:$A$2676,Indices!$B$2:$B$2676,"")</f>
        <v>IWM</v>
      </c>
    </row>
    <row r="331" spans="1:4" x14ac:dyDescent="0.25">
      <c r="A331" s="140">
        <v>45684.586111111108</v>
      </c>
      <c r="B331" t="s">
        <v>1693</v>
      </c>
      <c r="C331" t="s">
        <v>5957</v>
      </c>
      <c r="D331" s="6" t="str">
        <f>_xlfn.XLOOKUP(B331,Indices!$A$2:$A$2676,Indices!$B$2:$B$2676,"")</f>
        <v>IWM</v>
      </c>
    </row>
    <row r="332" spans="1:4" x14ac:dyDescent="0.25">
      <c r="A332" s="140">
        <v>45684.586805555555</v>
      </c>
      <c r="B332" t="s">
        <v>2025</v>
      </c>
      <c r="C332" t="s">
        <v>5958</v>
      </c>
      <c r="D332" s="6" t="str">
        <f>_xlfn.XLOOKUP(B332,Indices!$A$2:$A$2676,Indices!$B$2:$B$2676,"")</f>
        <v>IWM</v>
      </c>
    </row>
    <row r="333" spans="1:4" x14ac:dyDescent="0.25">
      <c r="A333" s="140">
        <v>45684.586805555555</v>
      </c>
      <c r="B333" t="s">
        <v>1844</v>
      </c>
      <c r="C333" t="s">
        <v>5958</v>
      </c>
      <c r="D333" s="6" t="str">
        <f>_xlfn.XLOOKUP(B333,Indices!$A$2:$A$2676,Indices!$B$2:$B$2676,"")</f>
        <v>IWM</v>
      </c>
    </row>
    <row r="334" spans="1:4" x14ac:dyDescent="0.25">
      <c r="A334" s="140">
        <v>45684.586805555555</v>
      </c>
      <c r="B334" t="s">
        <v>1770</v>
      </c>
      <c r="C334" t="s">
        <v>5958</v>
      </c>
      <c r="D334" s="6" t="str">
        <f>_xlfn.XLOOKUP(B334,Indices!$A$2:$A$2676,Indices!$B$2:$B$2676,"")</f>
        <v>IWM</v>
      </c>
    </row>
    <row r="335" spans="1:4" x14ac:dyDescent="0.25">
      <c r="A335" s="140">
        <v>45684.587500000001</v>
      </c>
      <c r="B335" t="s">
        <v>1826</v>
      </c>
      <c r="C335" t="s">
        <v>5959</v>
      </c>
      <c r="D335" s="6" t="str">
        <f>_xlfn.XLOOKUP(B335,Indices!$A$2:$A$2676,Indices!$B$2:$B$2676,"")</f>
        <v>IWM</v>
      </c>
    </row>
    <row r="336" spans="1:4" x14ac:dyDescent="0.25">
      <c r="A336" s="140">
        <v>45684.590277777781</v>
      </c>
      <c r="B336" t="s">
        <v>1756</v>
      </c>
      <c r="C336" t="s">
        <v>5960</v>
      </c>
      <c r="D336" s="6" t="str">
        <f>_xlfn.XLOOKUP(B336,Indices!$A$2:$A$2676,Indices!$B$2:$B$2676,"")</f>
        <v>IWM</v>
      </c>
    </row>
    <row r="337" spans="1:4" x14ac:dyDescent="0.25">
      <c r="A337" s="140">
        <v>45684.590277777781</v>
      </c>
      <c r="B337" t="s">
        <v>2342</v>
      </c>
      <c r="C337" t="s">
        <v>5960</v>
      </c>
      <c r="D337" s="6" t="str">
        <f>_xlfn.XLOOKUP(B337,Indices!$A$2:$A$2676,Indices!$B$2:$B$2676,"")</f>
        <v>S&amp;P Mid</v>
      </c>
    </row>
    <row r="338" spans="1:4" x14ac:dyDescent="0.25">
      <c r="A338" s="140">
        <v>45684.590277777781</v>
      </c>
      <c r="B338" t="s">
        <v>1547</v>
      </c>
      <c r="C338" t="s">
        <v>5960</v>
      </c>
      <c r="D338" s="6" t="str">
        <f>_xlfn.XLOOKUP(B338,Indices!$A$2:$A$2676,Indices!$B$2:$B$2676,"")</f>
        <v>SP500</v>
      </c>
    </row>
    <row r="339" spans="1:4" x14ac:dyDescent="0.25">
      <c r="A339" s="140">
        <v>45684.593055555553</v>
      </c>
      <c r="B339" t="s">
        <v>2223</v>
      </c>
      <c r="C339" t="s">
        <v>5961</v>
      </c>
      <c r="D339" s="6" t="str">
        <f>_xlfn.XLOOKUP(B339,Indices!$A$2:$A$2676,Indices!$B$2:$B$2676,"")</f>
        <v>IWM</v>
      </c>
    </row>
    <row r="340" spans="1:4" x14ac:dyDescent="0.25">
      <c r="A340" s="140">
        <v>45684.59375</v>
      </c>
      <c r="B340" t="s">
        <v>1789</v>
      </c>
      <c r="C340" t="s">
        <v>5962</v>
      </c>
      <c r="D340" s="6" t="str">
        <f>_xlfn.XLOOKUP(B340,Indices!$A$2:$A$2676,Indices!$B$2:$B$2676,"")</f>
        <v>IWM</v>
      </c>
    </row>
    <row r="341" spans="1:4" x14ac:dyDescent="0.25">
      <c r="A341" s="140">
        <v>45684.59375</v>
      </c>
      <c r="B341" t="s">
        <v>1513</v>
      </c>
      <c r="C341" t="s">
        <v>5962</v>
      </c>
      <c r="D341" s="6" t="str">
        <f>_xlfn.XLOOKUP(B341,Indices!$A$2:$A$2676,Indices!$B$2:$B$2676,"")</f>
        <v>SP500</v>
      </c>
    </row>
    <row r="342" spans="1:4" x14ac:dyDescent="0.25">
      <c r="A342" s="140">
        <v>45684.59375</v>
      </c>
      <c r="B342" t="s">
        <v>1863</v>
      </c>
      <c r="C342" t="s">
        <v>5962</v>
      </c>
      <c r="D342" s="6" t="str">
        <f>_xlfn.XLOOKUP(B342,Indices!$A$2:$A$2676,Indices!$B$2:$B$2676,"")</f>
        <v>IWM</v>
      </c>
    </row>
    <row r="343" spans="1:4" x14ac:dyDescent="0.25">
      <c r="A343" s="140">
        <v>45684.59375</v>
      </c>
      <c r="B343" t="s">
        <v>2344</v>
      </c>
      <c r="C343" t="s">
        <v>5962</v>
      </c>
      <c r="D343" s="6" t="str">
        <f>_xlfn.XLOOKUP(B343,Indices!$A$2:$A$2676,Indices!$B$2:$B$2676,"")</f>
        <v>S&amp;P Mid</v>
      </c>
    </row>
    <row r="344" spans="1:4" x14ac:dyDescent="0.25">
      <c r="A344" s="140">
        <v>45684.599305555559</v>
      </c>
      <c r="B344" t="s">
        <v>2384</v>
      </c>
      <c r="C344" t="s">
        <v>5963</v>
      </c>
      <c r="D344" s="6" t="str">
        <f>_xlfn.XLOOKUP(B344,Indices!$A$2:$A$2676,Indices!$B$2:$B$2676,"")</f>
        <v>S&amp;P Mid</v>
      </c>
    </row>
    <row r="345" spans="1:4" x14ac:dyDescent="0.25">
      <c r="A345" s="140">
        <v>45684.601388888892</v>
      </c>
      <c r="B345" t="s">
        <v>2273</v>
      </c>
      <c r="C345" t="s">
        <v>5964</v>
      </c>
      <c r="D345" s="6" t="str">
        <f>_xlfn.XLOOKUP(B345,Indices!$A$2:$A$2676,Indices!$B$2:$B$2676,"")</f>
        <v>IWM</v>
      </c>
    </row>
    <row r="346" spans="1:4" x14ac:dyDescent="0.25">
      <c r="A346" s="140">
        <v>45684.604166666664</v>
      </c>
      <c r="B346" t="s">
        <v>5965</v>
      </c>
      <c r="C346" t="s">
        <v>5966</v>
      </c>
      <c r="D346" s="6" t="str">
        <f>_xlfn.XLOOKUP(B346,Indices!$A$2:$A$2676,Indices!$B$2:$B$2676,"")</f>
        <v/>
      </c>
    </row>
    <row r="347" spans="1:4" x14ac:dyDescent="0.25">
      <c r="A347" s="140">
        <v>45684.604166666664</v>
      </c>
      <c r="B347" t="s">
        <v>1460</v>
      </c>
      <c r="C347" t="s">
        <v>5966</v>
      </c>
      <c r="D347" s="6" t="str">
        <f>_xlfn.XLOOKUP(B347,Indices!$A$2:$A$2676,Indices!$B$2:$B$2676,"")</f>
        <v>SP500</v>
      </c>
    </row>
    <row r="348" spans="1:4" x14ac:dyDescent="0.25">
      <c r="A348" s="140">
        <v>45684.611805555556</v>
      </c>
      <c r="B348" t="s">
        <v>2415</v>
      </c>
      <c r="C348" t="s">
        <v>5967</v>
      </c>
      <c r="D348" s="6" t="str">
        <f>_xlfn.XLOOKUP(B348,Indices!$A$2:$A$2676,Indices!$B$2:$B$2676,"")</f>
        <v>S&amp;P Mid</v>
      </c>
    </row>
    <row r="349" spans="1:4" x14ac:dyDescent="0.25">
      <c r="A349" s="140">
        <v>45684.618750000001</v>
      </c>
      <c r="B349" t="s">
        <v>2292</v>
      </c>
      <c r="C349" t="s">
        <v>5968</v>
      </c>
      <c r="D349" s="6" t="str">
        <f>_xlfn.XLOOKUP(B349,Indices!$A$2:$A$2676,Indices!$B$2:$B$2676,"")</f>
        <v>IWM</v>
      </c>
    </row>
    <row r="350" spans="1:4" x14ac:dyDescent="0.25">
      <c r="A350" s="140">
        <v>45684.625</v>
      </c>
      <c r="B350" t="s">
        <v>1470</v>
      </c>
      <c r="C350" t="s">
        <v>5969</v>
      </c>
      <c r="D350" s="6" t="str">
        <f>_xlfn.XLOOKUP(B350,Indices!$A$2:$A$2676,Indices!$B$2:$B$2676,"")</f>
        <v>SP500</v>
      </c>
    </row>
    <row r="351" spans="1:4" x14ac:dyDescent="0.25">
      <c r="A351" s="140">
        <v>45684.625</v>
      </c>
      <c r="B351" t="s">
        <v>2280</v>
      </c>
      <c r="C351" t="s">
        <v>5969</v>
      </c>
      <c r="D351" s="6" t="str">
        <f>_xlfn.XLOOKUP(B351,Indices!$A$2:$A$2676,Indices!$B$2:$B$2676,"")</f>
        <v>IWM</v>
      </c>
    </row>
    <row r="352" spans="1:4" x14ac:dyDescent="0.25">
      <c r="A352" s="140">
        <v>45684.625</v>
      </c>
      <c r="B352" t="s">
        <v>5970</v>
      </c>
      <c r="C352" t="s">
        <v>5971</v>
      </c>
      <c r="D352" s="6" t="str">
        <f>_xlfn.XLOOKUP(B352,Indices!$A$2:$A$2676,Indices!$B$2:$B$2676,"")</f>
        <v/>
      </c>
    </row>
    <row r="353" spans="1:4" x14ac:dyDescent="0.25">
      <c r="A353" s="140">
        <v>45684.631944444445</v>
      </c>
      <c r="B353" t="s">
        <v>1945</v>
      </c>
      <c r="C353" t="s">
        <v>5972</v>
      </c>
      <c r="D353" s="6" t="str">
        <f>_xlfn.XLOOKUP(B353,Indices!$A$2:$A$2676,Indices!$B$2:$B$2676,"")</f>
        <v>IWM</v>
      </c>
    </row>
    <row r="354" spans="1:4" x14ac:dyDescent="0.25">
      <c r="A354" s="140">
        <v>45684.672222222223</v>
      </c>
      <c r="B354" t="s">
        <v>2111</v>
      </c>
      <c r="C354" t="s">
        <v>5973</v>
      </c>
      <c r="D354" s="6" t="str">
        <f>_xlfn.XLOOKUP(B354,Indices!$A$2:$A$2676,Indices!$B$2:$B$2676,"")</f>
        <v>IWM</v>
      </c>
    </row>
    <row r="355" spans="1:4" x14ac:dyDescent="0.25">
      <c r="A355" s="140">
        <v>45684.6875</v>
      </c>
      <c r="B355" t="s">
        <v>2138</v>
      </c>
      <c r="C355" t="s">
        <v>5974</v>
      </c>
      <c r="D355" s="6" t="str">
        <f>_xlfn.XLOOKUP(B355,Indices!$A$2:$A$2676,Indices!$B$2:$B$2676,"")</f>
        <v>IWM</v>
      </c>
    </row>
    <row r="356" spans="1:4" x14ac:dyDescent="0.25">
      <c r="A356" s="140">
        <v>45684.695138888892</v>
      </c>
      <c r="B356" t="s">
        <v>2499</v>
      </c>
      <c r="C356" t="s">
        <v>5975</v>
      </c>
      <c r="D356" s="6" t="str">
        <f>_xlfn.XLOOKUP(B356,Indices!$A$2:$A$2676,Indices!$B$2:$B$2676,"")</f>
        <v>S&amp;P Mid</v>
      </c>
    </row>
    <row r="357" spans="1:4" x14ac:dyDescent="0.25">
      <c r="A357" s="140">
        <v>45684.917361111111</v>
      </c>
      <c r="B357" t="s">
        <v>5976</v>
      </c>
      <c r="C357" t="s">
        <v>5977</v>
      </c>
      <c r="D357" s="6" t="str">
        <f>_xlfn.XLOOKUP(B357,Indices!$A$2:$A$2676,Indices!$B$2:$B$2676,"")</f>
        <v/>
      </c>
    </row>
    <row r="358" spans="1:4" x14ac:dyDescent="0.25">
      <c r="A358" s="140">
        <v>45684.958333333336</v>
      </c>
      <c r="B358" t="s">
        <v>5978</v>
      </c>
      <c r="C358" t="s">
        <v>5979</v>
      </c>
      <c r="D358" s="6" t="str">
        <f>_xlfn.XLOOKUP(B358,Indices!$A$2:$A$2676,Indices!$B$2:$B$2676,"")</f>
        <v/>
      </c>
    </row>
    <row r="359" spans="1:4" x14ac:dyDescent="0.25">
      <c r="A359" s="140">
        <v>45684.958333333336</v>
      </c>
      <c r="B359" t="s">
        <v>5980</v>
      </c>
      <c r="C359" t="s">
        <v>5981</v>
      </c>
      <c r="D359" s="6" t="str">
        <f>_xlfn.XLOOKUP(B359,Indices!$A$2:$A$2676,Indices!$B$2:$B$2676,"")</f>
        <v/>
      </c>
    </row>
    <row r="360" spans="1:4" x14ac:dyDescent="0.25">
      <c r="A360" s="140">
        <v>45684.958333333336</v>
      </c>
      <c r="B360" t="s">
        <v>1607</v>
      </c>
      <c r="C360" t="s">
        <v>5979</v>
      </c>
      <c r="D360" s="6" t="str">
        <f>_xlfn.XLOOKUP(B360,Indices!$A$2:$A$2676,Indices!$B$2:$B$2676,"")</f>
        <v>SP500</v>
      </c>
    </row>
    <row r="361" spans="1:4" x14ac:dyDescent="0.25">
      <c r="A361" s="140">
        <v>45684.958333333336</v>
      </c>
      <c r="B361" t="s">
        <v>2031</v>
      </c>
      <c r="C361" t="s">
        <v>5981</v>
      </c>
      <c r="D361" s="6" t="str">
        <f>_xlfn.XLOOKUP(B361,Indices!$A$2:$A$2676,Indices!$B$2:$B$2676,"")</f>
        <v>IWM</v>
      </c>
    </row>
    <row r="362" spans="1:4" x14ac:dyDescent="0.25">
      <c r="A362" s="140">
        <v>45685.166666666664</v>
      </c>
      <c r="B362" t="s">
        <v>5982</v>
      </c>
      <c r="C362" t="s">
        <v>5983</v>
      </c>
      <c r="D362" s="6" t="str">
        <f>_xlfn.XLOOKUP(B362,Indices!$A$2:$A$2676,Indices!$B$2:$B$2676,"")</f>
        <v/>
      </c>
    </row>
    <row r="363" spans="1:4" x14ac:dyDescent="0.25">
      <c r="A363" s="140">
        <v>45685.166666666664</v>
      </c>
      <c r="B363" t="s">
        <v>1504</v>
      </c>
      <c r="C363" t="s">
        <v>5983</v>
      </c>
      <c r="D363" s="6" t="str">
        <f>_xlfn.XLOOKUP(B363,Indices!$A$2:$A$2676,Indices!$B$2:$B$2676,"")</f>
        <v>SP500</v>
      </c>
    </row>
    <row r="364" spans="1:4" x14ac:dyDescent="0.25">
      <c r="A364" s="140">
        <v>45685.1875</v>
      </c>
      <c r="B364" t="s">
        <v>1400</v>
      </c>
      <c r="C364" t="s">
        <v>5984</v>
      </c>
      <c r="D364" s="6" t="str">
        <f>_xlfn.XLOOKUP(B364,Indices!$A$2:$A$2676,Indices!$B$2:$B$2676,"")</f>
        <v>SP500</v>
      </c>
    </row>
    <row r="365" spans="1:4" x14ac:dyDescent="0.25">
      <c r="A365" s="140">
        <v>45685.1875</v>
      </c>
      <c r="B365" t="s">
        <v>1392</v>
      </c>
      <c r="C365" t="s">
        <v>5984</v>
      </c>
      <c r="D365" s="6" t="str">
        <f>_xlfn.XLOOKUP(B365,Indices!$A$2:$A$2676,Indices!$B$2:$B$2676,"")</f>
        <v>SP500</v>
      </c>
    </row>
    <row r="366" spans="1:4" x14ac:dyDescent="0.25">
      <c r="A366" s="140">
        <v>45685.1875</v>
      </c>
      <c r="B366" t="s">
        <v>2024</v>
      </c>
      <c r="C366" t="s">
        <v>5984</v>
      </c>
      <c r="D366" s="6" t="str">
        <f>_xlfn.XLOOKUP(B366,Indices!$A$2:$A$2676,Indices!$B$2:$B$2676,"")</f>
        <v>IWM</v>
      </c>
    </row>
    <row r="367" spans="1:4" x14ac:dyDescent="0.25">
      <c r="A367" s="140">
        <v>45685.190972222219</v>
      </c>
      <c r="B367" t="s">
        <v>1423</v>
      </c>
      <c r="C367" t="s">
        <v>5985</v>
      </c>
      <c r="D367" s="6" t="str">
        <f>_xlfn.XLOOKUP(B367,Indices!$A$2:$A$2676,Indices!$B$2:$B$2676,"")</f>
        <v>SP500</v>
      </c>
    </row>
    <row r="368" spans="1:4" x14ac:dyDescent="0.25">
      <c r="A368" s="140">
        <v>45685.197916666664</v>
      </c>
      <c r="B368" t="s">
        <v>841</v>
      </c>
      <c r="C368" t="s">
        <v>5986</v>
      </c>
      <c r="D368" s="6" t="str">
        <f>_xlfn.XLOOKUP(B368,Indices!$A$2:$A$2676,Indices!$B$2:$B$2676,"")</f>
        <v>IWM</v>
      </c>
    </row>
    <row r="369" spans="1:4" x14ac:dyDescent="0.25">
      <c r="A369" s="140">
        <v>45685.208333333336</v>
      </c>
      <c r="B369" t="s">
        <v>1881</v>
      </c>
      <c r="C369" t="s">
        <v>5987</v>
      </c>
      <c r="D369" s="6" t="str">
        <f>_xlfn.XLOOKUP(B369,Indices!$A$2:$A$2676,Indices!$B$2:$B$2676,"")</f>
        <v>IWM</v>
      </c>
    </row>
    <row r="370" spans="1:4" x14ac:dyDescent="0.25">
      <c r="A370" s="140">
        <v>45685.208333333336</v>
      </c>
      <c r="B370" t="s">
        <v>1344</v>
      </c>
      <c r="C370" t="s">
        <v>5987</v>
      </c>
      <c r="D370" s="6" t="str">
        <f>_xlfn.XLOOKUP(B370,Indices!$A$2:$A$2676,Indices!$B$2:$B$2676,"")</f>
        <v>SP500</v>
      </c>
    </row>
    <row r="371" spans="1:4" x14ac:dyDescent="0.25">
      <c r="A371" s="140">
        <v>45685.208333333336</v>
      </c>
      <c r="B371" t="s">
        <v>2144</v>
      </c>
      <c r="C371" t="s">
        <v>5987</v>
      </c>
      <c r="D371" s="6" t="str">
        <f>_xlfn.XLOOKUP(B371,Indices!$A$2:$A$2676,Indices!$B$2:$B$2676,"")</f>
        <v>IWM</v>
      </c>
    </row>
    <row r="372" spans="1:4" x14ac:dyDescent="0.25">
      <c r="A372" s="140">
        <v>45685.208333333336</v>
      </c>
      <c r="B372" t="s">
        <v>1894</v>
      </c>
      <c r="C372" t="s">
        <v>5987</v>
      </c>
      <c r="D372" s="6" t="str">
        <f>_xlfn.XLOOKUP(B372,Indices!$A$2:$A$2676,Indices!$B$2:$B$2676,"")</f>
        <v>IWM</v>
      </c>
    </row>
    <row r="373" spans="1:4" x14ac:dyDescent="0.25">
      <c r="A373" s="140">
        <v>45685.208333333336</v>
      </c>
      <c r="B373" t="s">
        <v>5988</v>
      </c>
      <c r="C373" t="s">
        <v>5987</v>
      </c>
      <c r="D373" s="6" t="str">
        <f>_xlfn.XLOOKUP(B373,Indices!$A$2:$A$2676,Indices!$B$2:$B$2676,"")</f>
        <v/>
      </c>
    </row>
    <row r="374" spans="1:4" x14ac:dyDescent="0.25">
      <c r="A374" s="140">
        <v>45685.211805555555</v>
      </c>
      <c r="B374" t="s">
        <v>1321</v>
      </c>
      <c r="C374" t="s">
        <v>5989</v>
      </c>
      <c r="D374" s="6" t="str">
        <f>_xlfn.XLOOKUP(B374,Indices!$A$2:$A$2676,Indices!$B$2:$B$2676,"")</f>
        <v>SP500</v>
      </c>
    </row>
    <row r="375" spans="1:4" x14ac:dyDescent="0.25">
      <c r="A375" s="140">
        <v>45685.21875</v>
      </c>
      <c r="B375" t="s">
        <v>2245</v>
      </c>
      <c r="C375" t="s">
        <v>5990</v>
      </c>
      <c r="D375" s="6" t="str">
        <f>_xlfn.XLOOKUP(B375,Indices!$A$2:$A$2676,Indices!$B$2:$B$2676,"")</f>
        <v>IWM</v>
      </c>
    </row>
    <row r="376" spans="1:4" x14ac:dyDescent="0.25">
      <c r="A376" s="140">
        <v>45685.228472222225</v>
      </c>
      <c r="B376" t="s">
        <v>1337</v>
      </c>
      <c r="C376" t="s">
        <v>5991</v>
      </c>
      <c r="D376" s="6" t="str">
        <f>_xlfn.XLOOKUP(B376,Indices!$A$2:$A$2676,Indices!$B$2:$B$2676,"")</f>
        <v>SP500</v>
      </c>
    </row>
    <row r="377" spans="1:4" x14ac:dyDescent="0.25">
      <c r="A377" s="140">
        <v>45685.229166666664</v>
      </c>
      <c r="B377" t="s">
        <v>2217</v>
      </c>
      <c r="C377" t="s">
        <v>5992</v>
      </c>
      <c r="D377" s="6" t="str">
        <f>_xlfn.XLOOKUP(B377,Indices!$A$2:$A$2676,Indices!$B$2:$B$2676,"")</f>
        <v>IWM</v>
      </c>
    </row>
    <row r="378" spans="1:4" x14ac:dyDescent="0.25">
      <c r="A378" s="140">
        <v>45685.239583333336</v>
      </c>
      <c r="B378" t="s">
        <v>1634</v>
      </c>
      <c r="C378" t="s">
        <v>5993</v>
      </c>
      <c r="D378" s="6" t="str">
        <f>_xlfn.XLOOKUP(B378,Indices!$A$2:$A$2676,Indices!$B$2:$B$2676,"")</f>
        <v>IWM</v>
      </c>
    </row>
    <row r="379" spans="1:4" x14ac:dyDescent="0.25">
      <c r="A379" s="140">
        <v>45685.25</v>
      </c>
      <c r="B379" t="s">
        <v>1451</v>
      </c>
      <c r="C379" t="s">
        <v>5994</v>
      </c>
      <c r="D379" s="6" t="str">
        <f>_xlfn.XLOOKUP(B379,Indices!$A$2:$A$2676,Indices!$B$2:$B$2676,"")</f>
        <v>SP500</v>
      </c>
    </row>
    <row r="380" spans="1:4" x14ac:dyDescent="0.25">
      <c r="A380" s="140">
        <v>45685.25</v>
      </c>
      <c r="B380" t="s">
        <v>1405</v>
      </c>
      <c r="C380" t="s">
        <v>5994</v>
      </c>
      <c r="D380" s="6" t="str">
        <f>_xlfn.XLOOKUP(B380,Indices!$A$2:$A$2676,Indices!$B$2:$B$2676,"")</f>
        <v>SP500</v>
      </c>
    </row>
    <row r="381" spans="1:4" x14ac:dyDescent="0.25">
      <c r="A381" s="140">
        <v>45685.260416666664</v>
      </c>
      <c r="B381" t="s">
        <v>2073</v>
      </c>
      <c r="C381" t="s">
        <v>5995</v>
      </c>
      <c r="D381" s="6" t="str">
        <f>_xlfn.XLOOKUP(B381,Indices!$A$2:$A$2676,Indices!$B$2:$B$2676,"")</f>
        <v>IWM</v>
      </c>
    </row>
    <row r="382" spans="1:4" x14ac:dyDescent="0.25">
      <c r="A382" s="140">
        <v>45685.270833333336</v>
      </c>
      <c r="B382" t="s">
        <v>2305</v>
      </c>
      <c r="C382" t="s">
        <v>5996</v>
      </c>
      <c r="D382" s="6" t="str">
        <f>_xlfn.XLOOKUP(B382,Indices!$A$2:$A$2676,Indices!$B$2:$B$2676,"")</f>
        <v>IWM</v>
      </c>
    </row>
    <row r="383" spans="1:4" x14ac:dyDescent="0.25">
      <c r="A383" s="140">
        <v>45685.291666666664</v>
      </c>
      <c r="B383" t="s">
        <v>1490</v>
      </c>
      <c r="C383" t="s">
        <v>5997</v>
      </c>
      <c r="D383" s="6" t="str">
        <f>_xlfn.XLOOKUP(B383,Indices!$A$2:$A$2676,Indices!$B$2:$B$2676,"")</f>
        <v>SP500</v>
      </c>
    </row>
    <row r="384" spans="1:4" x14ac:dyDescent="0.25">
      <c r="A384" s="140">
        <v>45685.291666666664</v>
      </c>
      <c r="B384" t="s">
        <v>5998</v>
      </c>
      <c r="C384" t="s">
        <v>5999</v>
      </c>
      <c r="D384" s="6" t="str">
        <f>_xlfn.XLOOKUP(B384,Indices!$A$2:$A$2676,Indices!$B$2:$B$2676,"")</f>
        <v/>
      </c>
    </row>
    <row r="385" spans="1:4" x14ac:dyDescent="0.25">
      <c r="A385" s="140">
        <v>45685.291666666664</v>
      </c>
      <c r="B385" t="s">
        <v>6000</v>
      </c>
      <c r="C385" t="s">
        <v>5997</v>
      </c>
      <c r="D385" s="6" t="str">
        <f>_xlfn.XLOOKUP(B385,Indices!$A$2:$A$2676,Indices!$B$2:$B$2676,"")</f>
        <v/>
      </c>
    </row>
    <row r="386" spans="1:4" x14ac:dyDescent="0.25">
      <c r="A386" s="140">
        <v>45685.291666666664</v>
      </c>
      <c r="B386" t="s">
        <v>2153</v>
      </c>
      <c r="C386" t="s">
        <v>5997</v>
      </c>
      <c r="D386" s="6" t="str">
        <f>_xlfn.XLOOKUP(B386,Indices!$A$2:$A$2676,Indices!$B$2:$B$2676,"")</f>
        <v>IWM</v>
      </c>
    </row>
    <row r="387" spans="1:4" x14ac:dyDescent="0.25">
      <c r="A387" s="140">
        <v>45685.298611111109</v>
      </c>
      <c r="B387" t="s">
        <v>6001</v>
      </c>
      <c r="C387" t="s">
        <v>6002</v>
      </c>
      <c r="D387" s="6" t="str">
        <f>_xlfn.XLOOKUP(B387,Indices!$A$2:$A$2676,Indices!$B$2:$B$2676,"")</f>
        <v/>
      </c>
    </row>
    <row r="388" spans="1:4" x14ac:dyDescent="0.25">
      <c r="A388" s="140">
        <v>45685.5</v>
      </c>
      <c r="B388" t="s">
        <v>6003</v>
      </c>
      <c r="C388" t="s">
        <v>6004</v>
      </c>
      <c r="D388" s="6" t="str">
        <f>_xlfn.XLOOKUP(B388,Indices!$A$2:$A$2676,Indices!$B$2:$B$2676,"")</f>
        <v/>
      </c>
    </row>
    <row r="389" spans="1:4" x14ac:dyDescent="0.25">
      <c r="A389" s="140">
        <v>45685.583333333336</v>
      </c>
      <c r="B389" t="s">
        <v>1940</v>
      </c>
      <c r="C389" t="s">
        <v>6005</v>
      </c>
      <c r="D389" s="6" t="str">
        <f>_xlfn.XLOOKUP(B389,Indices!$A$2:$A$2676,Indices!$B$2:$B$2676,"")</f>
        <v>IWM</v>
      </c>
    </row>
    <row r="390" spans="1:4" x14ac:dyDescent="0.25">
      <c r="A390" s="140">
        <v>45685.583333333336</v>
      </c>
      <c r="B390" t="s">
        <v>1612</v>
      </c>
      <c r="C390" t="s">
        <v>6005</v>
      </c>
      <c r="D390" s="6" t="str">
        <f>_xlfn.XLOOKUP(B390,Indices!$A$2:$A$2676,Indices!$B$2:$B$2676,"")</f>
        <v>SP500</v>
      </c>
    </row>
    <row r="391" spans="1:4" x14ac:dyDescent="0.25">
      <c r="A391" s="140">
        <v>45685.583333333336</v>
      </c>
      <c r="B391" t="s">
        <v>2067</v>
      </c>
      <c r="C391" t="s">
        <v>6005</v>
      </c>
      <c r="D391" s="6" t="str">
        <f>_xlfn.XLOOKUP(B391,Indices!$A$2:$A$2676,Indices!$B$2:$B$2676,"")</f>
        <v>IWM</v>
      </c>
    </row>
    <row r="392" spans="1:4" x14ac:dyDescent="0.25">
      <c r="A392" s="140">
        <v>45685.583333333336</v>
      </c>
      <c r="B392" t="s">
        <v>2330</v>
      </c>
      <c r="C392" t="s">
        <v>6005</v>
      </c>
      <c r="D392" s="6" t="str">
        <f>_xlfn.XLOOKUP(B392,Indices!$A$2:$A$2676,Indices!$B$2:$B$2676,"")</f>
        <v>IWM</v>
      </c>
    </row>
    <row r="393" spans="1:4" x14ac:dyDescent="0.25">
      <c r="A393" s="140">
        <v>45685.584027777775</v>
      </c>
      <c r="B393" t="s">
        <v>2277</v>
      </c>
      <c r="C393" t="s">
        <v>6006</v>
      </c>
      <c r="D393" s="6" t="str">
        <f>_xlfn.XLOOKUP(B393,Indices!$A$2:$A$2676,Indices!$B$2:$B$2676,"")</f>
        <v>IWM</v>
      </c>
    </row>
    <row r="394" spans="1:4" x14ac:dyDescent="0.25">
      <c r="A394" s="140">
        <v>45685.586805555555</v>
      </c>
      <c r="B394" t="s">
        <v>1669</v>
      </c>
      <c r="C394" t="s">
        <v>6007</v>
      </c>
      <c r="D394" s="6" t="str">
        <f>_xlfn.XLOOKUP(B394,Indices!$A$2:$A$2676,Indices!$B$2:$B$2676,"")</f>
        <v>IWM</v>
      </c>
    </row>
    <row r="395" spans="1:4" x14ac:dyDescent="0.25">
      <c r="A395" s="140">
        <v>45685.586805555555</v>
      </c>
      <c r="B395" t="s">
        <v>1681</v>
      </c>
      <c r="C395" t="s">
        <v>6007</v>
      </c>
      <c r="D395" s="6" t="str">
        <f>_xlfn.XLOOKUP(B395,Indices!$A$2:$A$2676,Indices!$B$2:$B$2676,"")</f>
        <v>IWM</v>
      </c>
    </row>
    <row r="396" spans="1:4" x14ac:dyDescent="0.25">
      <c r="A396" s="140">
        <v>45685.586805555555</v>
      </c>
      <c r="B396" t="s">
        <v>6008</v>
      </c>
      <c r="C396" t="s">
        <v>6007</v>
      </c>
      <c r="D396" s="6" t="str">
        <f>_xlfn.XLOOKUP(B396,Indices!$A$2:$A$2676,Indices!$B$2:$B$2676,"")</f>
        <v/>
      </c>
    </row>
    <row r="397" spans="1:4" x14ac:dyDescent="0.25">
      <c r="A397" s="140">
        <v>45685.586805555555</v>
      </c>
      <c r="B397" t="s">
        <v>6009</v>
      </c>
      <c r="C397" t="s">
        <v>6007</v>
      </c>
      <c r="D397" s="6" t="str">
        <f>_xlfn.XLOOKUP(B397,Indices!$A$2:$A$2676,Indices!$B$2:$B$2676,"")</f>
        <v/>
      </c>
    </row>
    <row r="398" spans="1:4" x14ac:dyDescent="0.25">
      <c r="A398" s="140">
        <v>45685.586805555555</v>
      </c>
      <c r="B398" t="s">
        <v>2083</v>
      </c>
      <c r="C398" t="s">
        <v>6007</v>
      </c>
      <c r="D398" s="6" t="str">
        <f>_xlfn.XLOOKUP(B398,Indices!$A$2:$A$2676,Indices!$B$2:$B$2676,"")</f>
        <v>IWM</v>
      </c>
    </row>
    <row r="399" spans="1:4" x14ac:dyDescent="0.25">
      <c r="A399" s="140">
        <v>45685.586805555555</v>
      </c>
      <c r="B399" t="s">
        <v>2120</v>
      </c>
      <c r="C399" t="s">
        <v>6007</v>
      </c>
      <c r="D399" s="6" t="str">
        <f>_xlfn.XLOOKUP(B399,Indices!$A$2:$A$2676,Indices!$B$2:$B$2676,"")</f>
        <v>IWM</v>
      </c>
    </row>
    <row r="400" spans="1:4" x14ac:dyDescent="0.25">
      <c r="A400" s="140">
        <v>45685.586805555555</v>
      </c>
      <c r="B400" t="s">
        <v>1572</v>
      </c>
      <c r="C400" t="s">
        <v>6007</v>
      </c>
      <c r="D400" s="6" t="str">
        <f>_xlfn.XLOOKUP(B400,Indices!$A$2:$A$2676,Indices!$B$2:$B$2676,"")</f>
        <v>SP500</v>
      </c>
    </row>
    <row r="401" spans="1:4" x14ac:dyDescent="0.25">
      <c r="A401" s="140">
        <v>45685.586805555555</v>
      </c>
      <c r="B401" t="s">
        <v>1720</v>
      </c>
      <c r="C401" t="s">
        <v>6007</v>
      </c>
      <c r="D401" s="6" t="str">
        <f>_xlfn.XLOOKUP(B401,Indices!$A$2:$A$2676,Indices!$B$2:$B$2676,"")</f>
        <v>IWM</v>
      </c>
    </row>
    <row r="402" spans="1:4" x14ac:dyDescent="0.25">
      <c r="A402" s="140">
        <v>45685.586805555555</v>
      </c>
      <c r="B402" t="s">
        <v>2176</v>
      </c>
      <c r="C402" t="s">
        <v>6007</v>
      </c>
      <c r="D402" s="6" t="str">
        <f>_xlfn.XLOOKUP(B402,Indices!$A$2:$A$2676,Indices!$B$2:$B$2676,"")</f>
        <v>IWM</v>
      </c>
    </row>
    <row r="403" spans="1:4" x14ac:dyDescent="0.25">
      <c r="A403" s="140">
        <v>45685.586805555555</v>
      </c>
      <c r="B403" t="s">
        <v>1328</v>
      </c>
      <c r="C403" t="s">
        <v>6007</v>
      </c>
      <c r="D403" s="6" t="str">
        <f>_xlfn.XLOOKUP(B403,Indices!$A$2:$A$2676,Indices!$B$2:$B$2676,"")</f>
        <v>SP500</v>
      </c>
    </row>
    <row r="404" spans="1:4" x14ac:dyDescent="0.25">
      <c r="A404" s="140">
        <v>45685.586805555555</v>
      </c>
      <c r="B404" t="s">
        <v>1343</v>
      </c>
      <c r="C404" t="s">
        <v>6007</v>
      </c>
      <c r="D404" s="6" t="str">
        <f>_xlfn.XLOOKUP(B404,Indices!$A$2:$A$2676,Indices!$B$2:$B$2676,"")</f>
        <v>SP500</v>
      </c>
    </row>
    <row r="405" spans="1:4" x14ac:dyDescent="0.25">
      <c r="A405" s="140">
        <v>45685.586805555555</v>
      </c>
      <c r="B405" t="s">
        <v>2355</v>
      </c>
      <c r="C405" t="s">
        <v>6007</v>
      </c>
      <c r="D405" s="6" t="str">
        <f>_xlfn.XLOOKUP(B405,Indices!$A$2:$A$2676,Indices!$B$2:$B$2676,"")</f>
        <v>S&amp;P Mid</v>
      </c>
    </row>
    <row r="406" spans="1:4" x14ac:dyDescent="0.25">
      <c r="A406" s="140">
        <v>45685.587500000001</v>
      </c>
      <c r="B406" t="s">
        <v>1891</v>
      </c>
      <c r="C406" t="s">
        <v>6010</v>
      </c>
      <c r="D406" s="6" t="str">
        <f>_xlfn.XLOOKUP(B406,Indices!$A$2:$A$2676,Indices!$B$2:$B$2676,"")</f>
        <v>IWM</v>
      </c>
    </row>
    <row r="407" spans="1:4" x14ac:dyDescent="0.25">
      <c r="A407" s="140">
        <v>45685.590277777781</v>
      </c>
      <c r="B407" t="s">
        <v>2131</v>
      </c>
      <c r="C407" t="s">
        <v>6011</v>
      </c>
      <c r="D407" s="6" t="str">
        <f>_xlfn.XLOOKUP(B407,Indices!$A$2:$A$2676,Indices!$B$2:$B$2676,"")</f>
        <v>IWM</v>
      </c>
    </row>
    <row r="408" spans="1:4" x14ac:dyDescent="0.25">
      <c r="A408" s="140">
        <v>45685.590277777781</v>
      </c>
      <c r="B408" t="s">
        <v>2222</v>
      </c>
      <c r="C408" t="s">
        <v>6011</v>
      </c>
      <c r="D408" s="6" t="str">
        <f>_xlfn.XLOOKUP(B408,Indices!$A$2:$A$2676,Indices!$B$2:$B$2676,"")</f>
        <v>IWM</v>
      </c>
    </row>
    <row r="409" spans="1:4" x14ac:dyDescent="0.25">
      <c r="A409" s="140">
        <v>45685.591666666667</v>
      </c>
      <c r="B409" t="s">
        <v>1783</v>
      </c>
      <c r="C409" t="s">
        <v>6012</v>
      </c>
      <c r="D409" s="6" t="str">
        <f>_xlfn.XLOOKUP(B409,Indices!$A$2:$A$2676,Indices!$B$2:$B$2676,"")</f>
        <v>IWM</v>
      </c>
    </row>
    <row r="410" spans="1:4" x14ac:dyDescent="0.25">
      <c r="A410" s="140">
        <v>45685.59375</v>
      </c>
      <c r="B410" t="s">
        <v>2318</v>
      </c>
      <c r="C410" t="s">
        <v>6013</v>
      </c>
      <c r="D410" s="6" t="str">
        <f>_xlfn.XLOOKUP(B410,Indices!$A$2:$A$2676,Indices!$B$2:$B$2676,"")</f>
        <v>IWM</v>
      </c>
    </row>
    <row r="411" spans="1:4" x14ac:dyDescent="0.25">
      <c r="A411" s="140">
        <v>45685.59375</v>
      </c>
      <c r="B411" t="s">
        <v>2412</v>
      </c>
      <c r="C411" t="s">
        <v>6013</v>
      </c>
      <c r="D411" s="6" t="str">
        <f>_xlfn.XLOOKUP(B411,Indices!$A$2:$A$2676,Indices!$B$2:$B$2676,"")</f>
        <v>S&amp;P Mid</v>
      </c>
    </row>
    <row r="412" spans="1:4" x14ac:dyDescent="0.25">
      <c r="A412" s="140">
        <v>45685.59375</v>
      </c>
      <c r="B412" t="s">
        <v>1341</v>
      </c>
      <c r="C412" t="s">
        <v>6013</v>
      </c>
      <c r="D412" s="6" t="str">
        <f>_xlfn.XLOOKUP(B412,Indices!$A$2:$A$2676,Indices!$B$2:$B$2676,"")</f>
        <v>SP500</v>
      </c>
    </row>
    <row r="413" spans="1:4" x14ac:dyDescent="0.25">
      <c r="A413" s="140">
        <v>45685.59375</v>
      </c>
      <c r="B413" t="s">
        <v>1709</v>
      </c>
      <c r="C413" t="s">
        <v>6013</v>
      </c>
      <c r="D413" s="6" t="str">
        <f>_xlfn.XLOOKUP(B413,Indices!$A$2:$A$2676,Indices!$B$2:$B$2676,"")</f>
        <v>IWM</v>
      </c>
    </row>
    <row r="414" spans="1:4" x14ac:dyDescent="0.25">
      <c r="A414" s="140">
        <v>45685.59375</v>
      </c>
      <c r="B414" t="s">
        <v>433</v>
      </c>
      <c r="C414" t="s">
        <v>6013</v>
      </c>
      <c r="D414" s="6" t="str">
        <f>_xlfn.XLOOKUP(B414,Indices!$A$2:$A$2676,Indices!$B$2:$B$2676,"")</f>
        <v>S&amp;P Mid</v>
      </c>
    </row>
    <row r="415" spans="1:4" x14ac:dyDescent="0.25">
      <c r="A415" s="140">
        <v>45685.602083333331</v>
      </c>
      <c r="B415" t="s">
        <v>6014</v>
      </c>
      <c r="C415" t="s">
        <v>6015</v>
      </c>
      <c r="D415" s="6" t="str">
        <f>_xlfn.XLOOKUP(B415,Indices!$A$2:$A$2676,Indices!$B$2:$B$2676,"")</f>
        <v/>
      </c>
    </row>
    <row r="416" spans="1:4" x14ac:dyDescent="0.25">
      <c r="A416" s="140">
        <v>45685.602083333331</v>
      </c>
      <c r="B416" t="s">
        <v>6016</v>
      </c>
      <c r="C416" t="s">
        <v>6015</v>
      </c>
      <c r="D416" s="6" t="str">
        <f>_xlfn.XLOOKUP(B416,Indices!$A$2:$A$2676,Indices!$B$2:$B$2676,"")</f>
        <v/>
      </c>
    </row>
    <row r="417" spans="1:4" x14ac:dyDescent="0.25">
      <c r="A417" s="140">
        <v>45685.604166666664</v>
      </c>
      <c r="B417" t="s">
        <v>1867</v>
      </c>
      <c r="C417" t="s">
        <v>6017</v>
      </c>
      <c r="D417" s="6" t="str">
        <f>_xlfn.XLOOKUP(B417,Indices!$A$2:$A$2676,Indices!$B$2:$B$2676,"")</f>
        <v>IWM</v>
      </c>
    </row>
    <row r="418" spans="1:4" x14ac:dyDescent="0.25">
      <c r="A418" s="140">
        <v>45685.604166666664</v>
      </c>
      <c r="B418" t="s">
        <v>6018</v>
      </c>
      <c r="C418" t="s">
        <v>6017</v>
      </c>
      <c r="D418" s="6" t="str">
        <f>_xlfn.XLOOKUP(B418,Indices!$A$2:$A$2676,Indices!$B$2:$B$2676,"")</f>
        <v/>
      </c>
    </row>
    <row r="419" spans="1:4" x14ac:dyDescent="0.25">
      <c r="A419" s="140">
        <v>45685.604166666664</v>
      </c>
      <c r="B419" t="s">
        <v>1951</v>
      </c>
      <c r="C419" t="s">
        <v>6017</v>
      </c>
      <c r="D419" s="6" t="str">
        <f>_xlfn.XLOOKUP(B419,Indices!$A$2:$A$2676,Indices!$B$2:$B$2676,"")</f>
        <v>IWM</v>
      </c>
    </row>
    <row r="420" spans="1:4" x14ac:dyDescent="0.25">
      <c r="A420" s="140">
        <v>45685.604166666664</v>
      </c>
      <c r="B420" t="s">
        <v>1862</v>
      </c>
      <c r="C420" t="s">
        <v>6017</v>
      </c>
      <c r="D420" s="6" t="str">
        <f>_xlfn.XLOOKUP(B420,Indices!$A$2:$A$2676,Indices!$B$2:$B$2676,"")</f>
        <v>IWM</v>
      </c>
    </row>
    <row r="421" spans="1:4" x14ac:dyDescent="0.25">
      <c r="A421" s="140">
        <v>45685.604861111111</v>
      </c>
      <c r="B421" t="s">
        <v>1522</v>
      </c>
      <c r="C421" t="s">
        <v>6019</v>
      </c>
      <c r="D421" s="6" t="str">
        <f>_xlfn.XLOOKUP(B421,Indices!$A$2:$A$2676,Indices!$B$2:$B$2676,"")</f>
        <v>SP500</v>
      </c>
    </row>
    <row r="422" spans="1:4" x14ac:dyDescent="0.25">
      <c r="A422" s="140">
        <v>45685.607638888891</v>
      </c>
      <c r="B422" t="s">
        <v>1573</v>
      </c>
      <c r="C422" t="s">
        <v>6020</v>
      </c>
      <c r="D422" s="6" t="str">
        <f>_xlfn.XLOOKUP(B422,Indices!$A$2:$A$2676,Indices!$B$2:$B$2676,"")</f>
        <v>SP500</v>
      </c>
    </row>
    <row r="423" spans="1:4" x14ac:dyDescent="0.25">
      <c r="A423" s="140">
        <v>45685.625</v>
      </c>
      <c r="B423" t="s">
        <v>2129</v>
      </c>
      <c r="C423" t="s">
        <v>6021</v>
      </c>
      <c r="D423" s="6" t="str">
        <f>_xlfn.XLOOKUP(B423,Indices!$A$2:$A$2676,Indices!$B$2:$B$2676,"")</f>
        <v>IWM</v>
      </c>
    </row>
    <row r="424" spans="1:4" x14ac:dyDescent="0.25">
      <c r="A424" s="140">
        <v>45685.625</v>
      </c>
      <c r="B424" t="s">
        <v>6022</v>
      </c>
      <c r="C424" t="s">
        <v>6023</v>
      </c>
      <c r="D424" s="6" t="str">
        <f>_xlfn.XLOOKUP(B424,Indices!$A$2:$A$2676,Indices!$B$2:$B$2676,"")</f>
        <v/>
      </c>
    </row>
    <row r="425" spans="1:4" x14ac:dyDescent="0.25">
      <c r="A425" s="140">
        <v>45685.625</v>
      </c>
      <c r="B425" t="s">
        <v>1925</v>
      </c>
      <c r="C425" t="s">
        <v>6021</v>
      </c>
      <c r="D425" s="6" t="str">
        <f>_xlfn.XLOOKUP(B425,Indices!$A$2:$A$2676,Indices!$B$2:$B$2676,"")</f>
        <v>IWM</v>
      </c>
    </row>
    <row r="426" spans="1:4" x14ac:dyDescent="0.25">
      <c r="A426" s="140">
        <v>45685.625</v>
      </c>
      <c r="B426" t="s">
        <v>2188</v>
      </c>
      <c r="C426" t="s">
        <v>6021</v>
      </c>
      <c r="D426" s="6" t="str">
        <f>_xlfn.XLOOKUP(B426,Indices!$A$2:$A$2676,Indices!$B$2:$B$2676,"")</f>
        <v>IWM</v>
      </c>
    </row>
    <row r="427" spans="1:4" x14ac:dyDescent="0.25">
      <c r="A427" s="140">
        <v>45685.625</v>
      </c>
      <c r="B427" t="s">
        <v>1890</v>
      </c>
      <c r="C427" t="s">
        <v>6021</v>
      </c>
      <c r="D427" s="6" t="str">
        <f>_xlfn.XLOOKUP(B427,Indices!$A$2:$A$2676,Indices!$B$2:$B$2676,"")</f>
        <v>IWM</v>
      </c>
    </row>
    <row r="428" spans="1:4" x14ac:dyDescent="0.25">
      <c r="A428" s="140">
        <v>45685.625</v>
      </c>
      <c r="B428" t="s">
        <v>1843</v>
      </c>
      <c r="C428" t="s">
        <v>6021</v>
      </c>
      <c r="D428" s="6" t="str">
        <f>_xlfn.XLOOKUP(B428,Indices!$A$2:$A$2676,Indices!$B$2:$B$2676,"")</f>
        <v>IWM</v>
      </c>
    </row>
    <row r="429" spans="1:4" x14ac:dyDescent="0.25">
      <c r="A429" s="140">
        <v>45685.625</v>
      </c>
      <c r="B429" t="s">
        <v>2275</v>
      </c>
      <c r="C429" t="s">
        <v>6021</v>
      </c>
      <c r="D429" s="6" t="str">
        <f>_xlfn.XLOOKUP(B429,Indices!$A$2:$A$2676,Indices!$B$2:$B$2676,"")</f>
        <v>IWM</v>
      </c>
    </row>
    <row r="430" spans="1:4" x14ac:dyDescent="0.25">
      <c r="A430" s="140">
        <v>45685.625</v>
      </c>
      <c r="B430" t="s">
        <v>2474</v>
      </c>
      <c r="C430" t="s">
        <v>6021</v>
      </c>
      <c r="D430" s="6" t="str">
        <f>_xlfn.XLOOKUP(B430,Indices!$A$2:$A$2676,Indices!$B$2:$B$2676,"")</f>
        <v>S&amp;P Mid</v>
      </c>
    </row>
    <row r="431" spans="1:4" x14ac:dyDescent="0.25">
      <c r="A431" s="140">
        <v>45685.625694444447</v>
      </c>
      <c r="B431" t="s">
        <v>506</v>
      </c>
      <c r="C431" t="s">
        <v>6024</v>
      </c>
      <c r="D431" s="6" t="str">
        <f>_xlfn.XLOOKUP(B431,Indices!$A$2:$A$2676,Indices!$B$2:$B$2676,"")</f>
        <v>S&amp;P Mid</v>
      </c>
    </row>
    <row r="432" spans="1:4" x14ac:dyDescent="0.25">
      <c r="A432" s="140">
        <v>45685.628472222219</v>
      </c>
      <c r="B432" t="s">
        <v>2054</v>
      </c>
      <c r="C432" t="s">
        <v>6025</v>
      </c>
      <c r="D432" s="6" t="str">
        <f>_xlfn.XLOOKUP(B432,Indices!$A$2:$A$2676,Indices!$B$2:$B$2676,"")</f>
        <v>IWM</v>
      </c>
    </row>
    <row r="433" spans="1:4" x14ac:dyDescent="0.25">
      <c r="A433" s="140">
        <v>45685.629861111112</v>
      </c>
      <c r="B433" t="s">
        <v>2098</v>
      </c>
      <c r="C433" t="s">
        <v>6026</v>
      </c>
      <c r="D433" s="6" t="str">
        <f>_xlfn.XLOOKUP(B433,Indices!$A$2:$A$2676,Indices!$B$2:$B$2676,"")</f>
        <v>IWM</v>
      </c>
    </row>
    <row r="434" spans="1:4" x14ac:dyDescent="0.25">
      <c r="A434" s="140">
        <v>45685.635416666664</v>
      </c>
      <c r="B434" t="s">
        <v>2187</v>
      </c>
      <c r="C434" t="s">
        <v>6027</v>
      </c>
      <c r="D434" s="6" t="str">
        <f>_xlfn.XLOOKUP(B434,Indices!$A$2:$A$2676,Indices!$B$2:$B$2676,"")</f>
        <v>IWM</v>
      </c>
    </row>
    <row r="435" spans="1:4" x14ac:dyDescent="0.25">
      <c r="A435" s="140">
        <v>45685.635416666664</v>
      </c>
      <c r="B435" t="s">
        <v>6028</v>
      </c>
      <c r="C435" t="s">
        <v>6027</v>
      </c>
      <c r="D435" s="6" t="str">
        <f>_xlfn.XLOOKUP(B435,Indices!$A$2:$A$2676,Indices!$B$2:$B$2676,"")</f>
        <v/>
      </c>
    </row>
    <row r="436" spans="1:4" x14ac:dyDescent="0.25">
      <c r="A436" s="140">
        <v>45685.668749999997</v>
      </c>
      <c r="B436" t="s">
        <v>6029</v>
      </c>
      <c r="C436" t="s">
        <v>6030</v>
      </c>
      <c r="D436" s="6" t="str">
        <f>_xlfn.XLOOKUP(B436,Indices!$A$2:$A$2676,Indices!$B$2:$B$2676,"")</f>
        <v/>
      </c>
    </row>
    <row r="437" spans="1:4" x14ac:dyDescent="0.25">
      <c r="A437" s="140">
        <v>45685.673611111109</v>
      </c>
      <c r="B437" t="s">
        <v>1985</v>
      </c>
      <c r="C437" t="s">
        <v>6031</v>
      </c>
      <c r="D437" s="6" t="str">
        <f>_xlfn.XLOOKUP(B437,Indices!$A$2:$A$2676,Indices!$B$2:$B$2676,"")</f>
        <v>IWM</v>
      </c>
    </row>
    <row r="438" spans="1:4" x14ac:dyDescent="0.25">
      <c r="A438" s="140">
        <v>45685.681250000001</v>
      </c>
      <c r="B438" t="s">
        <v>1969</v>
      </c>
      <c r="C438" t="s">
        <v>6032</v>
      </c>
      <c r="D438" s="6" t="str">
        <f>_xlfn.XLOOKUP(B438,Indices!$A$2:$A$2676,Indices!$B$2:$B$2676,"")</f>
        <v>IWM</v>
      </c>
    </row>
    <row r="439" spans="1:4" x14ac:dyDescent="0.25">
      <c r="A439" s="140">
        <v>45685.958333333336</v>
      </c>
      <c r="B439" t="s">
        <v>1419</v>
      </c>
      <c r="C439" t="s">
        <v>6033</v>
      </c>
      <c r="D439" s="6" t="str">
        <f>_xlfn.XLOOKUP(B439,Indices!$A$2:$A$2676,Indices!$B$2:$B$2676,"")</f>
        <v>SP500</v>
      </c>
    </row>
    <row r="440" spans="1:4" x14ac:dyDescent="0.25">
      <c r="A440" s="140">
        <v>45685.958333333336</v>
      </c>
      <c r="B440" t="s">
        <v>1339</v>
      </c>
      <c r="C440" t="s">
        <v>6033</v>
      </c>
      <c r="D440" s="6" t="str">
        <f>_xlfn.XLOOKUP(B440,Indices!$A$2:$A$2676,Indices!$B$2:$B$2676,"")</f>
        <v>SP500</v>
      </c>
    </row>
    <row r="441" spans="1:4" x14ac:dyDescent="0.25">
      <c r="A441" s="140">
        <v>45685.958333333336</v>
      </c>
      <c r="B441" t="s">
        <v>1877</v>
      </c>
      <c r="C441" t="s">
        <v>6034</v>
      </c>
      <c r="D441" s="6" t="str">
        <f>_xlfn.XLOOKUP(B441,Indices!$A$2:$A$2676,Indices!$B$2:$B$2676,"")</f>
        <v>IWM</v>
      </c>
    </row>
    <row r="442" spans="1:4" x14ac:dyDescent="0.25">
      <c r="A442" s="140">
        <v>45685.958333333336</v>
      </c>
      <c r="B442" t="s">
        <v>6035</v>
      </c>
      <c r="C442" t="s">
        <v>6033</v>
      </c>
      <c r="D442" s="6" t="str">
        <f>_xlfn.XLOOKUP(B442,Indices!$A$2:$A$2676,Indices!$B$2:$B$2676,"")</f>
        <v/>
      </c>
    </row>
    <row r="443" spans="1:4" x14ac:dyDescent="0.25">
      <c r="A443" s="140">
        <v>45685.958333333336</v>
      </c>
      <c r="B443" t="s">
        <v>6036</v>
      </c>
      <c r="C443" t="s">
        <v>6037</v>
      </c>
      <c r="D443" s="6" t="str">
        <f>_xlfn.XLOOKUP(B443,Indices!$A$2:$A$2676,Indices!$B$2:$B$2676,"")</f>
        <v/>
      </c>
    </row>
    <row r="444" spans="1:4" x14ac:dyDescent="0.25">
      <c r="A444" s="140">
        <v>45685.958333333336</v>
      </c>
      <c r="B444" t="s">
        <v>6038</v>
      </c>
      <c r="C444" t="s">
        <v>6037</v>
      </c>
      <c r="D444" s="6" t="str">
        <f>_xlfn.XLOOKUP(B444,Indices!$A$2:$A$2676,Indices!$B$2:$B$2676,"")</f>
        <v/>
      </c>
    </row>
    <row r="445" spans="1:4" x14ac:dyDescent="0.25">
      <c r="A445" s="140">
        <v>45685.958333333336</v>
      </c>
      <c r="B445" t="s">
        <v>6039</v>
      </c>
      <c r="C445" t="s">
        <v>6037</v>
      </c>
      <c r="D445" s="6" t="str">
        <f>_xlfn.XLOOKUP(B445,Indices!$A$2:$A$2676,Indices!$B$2:$B$2676,"")</f>
        <v/>
      </c>
    </row>
    <row r="446" spans="1:4" x14ac:dyDescent="0.25">
      <c r="A446" s="140">
        <v>45685.958333333336</v>
      </c>
      <c r="B446" t="s">
        <v>1617</v>
      </c>
      <c r="C446" t="s">
        <v>6033</v>
      </c>
      <c r="D446" s="6" t="str">
        <f>_xlfn.XLOOKUP(B446,Indices!$A$2:$A$2676,Indices!$B$2:$B$2676,"")</f>
        <v>NQ100</v>
      </c>
    </row>
    <row r="447" spans="1:4" x14ac:dyDescent="0.25">
      <c r="A447" s="140">
        <v>45685.972222222219</v>
      </c>
      <c r="B447" t="s">
        <v>6040</v>
      </c>
      <c r="C447" t="s">
        <v>6041</v>
      </c>
      <c r="D447" s="6" t="str">
        <f>_xlfn.XLOOKUP(B447,Indices!$A$2:$A$2676,Indices!$B$2:$B$2676,"")</f>
        <v/>
      </c>
    </row>
    <row r="448" spans="1:4" x14ac:dyDescent="0.25">
      <c r="A448" s="140">
        <v>45686.125694444447</v>
      </c>
      <c r="B448" t="s">
        <v>1676</v>
      </c>
      <c r="C448" t="s">
        <v>6042</v>
      </c>
      <c r="D448" s="6" t="str">
        <f>_xlfn.XLOOKUP(B448,Indices!$A$2:$A$2676,Indices!$B$2:$B$2676,"")</f>
        <v>IWM</v>
      </c>
    </row>
    <row r="449" spans="1:4" x14ac:dyDescent="0.25">
      <c r="A449" s="140">
        <v>45686.145833333336</v>
      </c>
      <c r="B449" t="s">
        <v>2125</v>
      </c>
      <c r="C449" t="s">
        <v>6043</v>
      </c>
      <c r="D449" s="6" t="str">
        <f>_xlfn.XLOOKUP(B449,Indices!$A$2:$A$2676,Indices!$B$2:$B$2676,"")</f>
        <v>IWM</v>
      </c>
    </row>
    <row r="450" spans="1:4" x14ac:dyDescent="0.25">
      <c r="A450" s="140">
        <v>45686.15625</v>
      </c>
      <c r="B450" t="s">
        <v>2013</v>
      </c>
      <c r="C450" t="s">
        <v>6044</v>
      </c>
      <c r="D450" s="6" t="str">
        <f>_xlfn.XLOOKUP(B450,Indices!$A$2:$A$2676,Indices!$B$2:$B$2676,"")</f>
        <v>IWM</v>
      </c>
    </row>
    <row r="451" spans="1:4" x14ac:dyDescent="0.25">
      <c r="A451" s="140">
        <v>45686.166666666664</v>
      </c>
      <c r="B451" t="s">
        <v>1316</v>
      </c>
      <c r="C451" t="s">
        <v>6045</v>
      </c>
      <c r="D451" s="6" t="str">
        <f>_xlfn.XLOOKUP(B451,Indices!$A$2:$A$2676,Indices!$B$2:$B$2676,"")</f>
        <v>SP500</v>
      </c>
    </row>
    <row r="452" spans="1:4" x14ac:dyDescent="0.25">
      <c r="A452" s="140">
        <v>45686.172222222223</v>
      </c>
      <c r="B452" t="s">
        <v>1442</v>
      </c>
      <c r="C452" t="s">
        <v>6046</v>
      </c>
      <c r="D452" s="6" t="str">
        <f>_xlfn.XLOOKUP(B452,Indices!$A$2:$A$2676,Indices!$B$2:$B$2676,"")</f>
        <v>SP500</v>
      </c>
    </row>
    <row r="453" spans="1:4" x14ac:dyDescent="0.25">
      <c r="A453" s="140">
        <v>45686.1875</v>
      </c>
      <c r="B453" t="s">
        <v>2443</v>
      </c>
      <c r="C453" t="s">
        <v>6047</v>
      </c>
      <c r="D453" s="6" t="str">
        <f>_xlfn.XLOOKUP(B453,Indices!$A$2:$A$2676,Indices!$B$2:$B$2676,"")</f>
        <v>S&amp;P Mid</v>
      </c>
    </row>
    <row r="454" spans="1:4" x14ac:dyDescent="0.25">
      <c r="A454" s="140">
        <v>45686.1875</v>
      </c>
      <c r="B454" t="s">
        <v>1627</v>
      </c>
      <c r="C454" t="s">
        <v>6047</v>
      </c>
      <c r="D454" s="6" t="str">
        <f>_xlfn.XLOOKUP(B454,Indices!$A$2:$A$2676,Indices!$B$2:$B$2676,"")</f>
        <v>IWM</v>
      </c>
    </row>
    <row r="455" spans="1:4" x14ac:dyDescent="0.25">
      <c r="A455" s="140">
        <v>45686.1875</v>
      </c>
      <c r="B455" t="s">
        <v>2365</v>
      </c>
      <c r="C455" t="s">
        <v>6047</v>
      </c>
      <c r="D455" s="6" t="str">
        <f>_xlfn.XLOOKUP(B455,Indices!$A$2:$A$2676,Indices!$B$2:$B$2676,"")</f>
        <v>S&amp;P Mid</v>
      </c>
    </row>
    <row r="456" spans="1:4" x14ac:dyDescent="0.25">
      <c r="A456" s="140">
        <v>45686.190972222219</v>
      </c>
      <c r="B456" t="s">
        <v>6048</v>
      </c>
      <c r="C456" t="s">
        <v>6049</v>
      </c>
      <c r="D456" s="6" t="str">
        <f>_xlfn.XLOOKUP(B456,Indices!$A$2:$A$2676,Indices!$B$2:$B$2676,"")</f>
        <v/>
      </c>
    </row>
    <row r="457" spans="1:4" x14ac:dyDescent="0.25">
      <c r="A457" s="140">
        <v>45686.197916666664</v>
      </c>
      <c r="B457" t="s">
        <v>1674</v>
      </c>
      <c r="C457" t="s">
        <v>6050</v>
      </c>
      <c r="D457" s="6" t="str">
        <f>_xlfn.XLOOKUP(B457,Indices!$A$2:$A$2676,Indices!$B$2:$B$2676,"")</f>
        <v>IWM</v>
      </c>
    </row>
    <row r="458" spans="1:4" x14ac:dyDescent="0.25">
      <c r="A458" s="140">
        <v>45686.197916666664</v>
      </c>
      <c r="B458" t="s">
        <v>2374</v>
      </c>
      <c r="C458" t="s">
        <v>6050</v>
      </c>
      <c r="D458" s="6" t="str">
        <f>_xlfn.XLOOKUP(B458,Indices!$A$2:$A$2676,Indices!$B$2:$B$2676,"")</f>
        <v>S&amp;P Mid</v>
      </c>
    </row>
    <row r="459" spans="1:4" x14ac:dyDescent="0.25">
      <c r="A459" s="140">
        <v>45686.197916666664</v>
      </c>
      <c r="B459" t="s">
        <v>1420</v>
      </c>
      <c r="C459" t="s">
        <v>6050</v>
      </c>
      <c r="D459" s="6" t="str">
        <f>_xlfn.XLOOKUP(B459,Indices!$A$2:$A$2676,Indices!$B$2:$B$2676,"")</f>
        <v>SP500</v>
      </c>
    </row>
    <row r="460" spans="1:4" x14ac:dyDescent="0.25">
      <c r="A460" s="140">
        <v>45686.203472222223</v>
      </c>
      <c r="B460" t="s">
        <v>2071</v>
      </c>
      <c r="C460" t="s">
        <v>6051</v>
      </c>
      <c r="D460" s="6" t="str">
        <f>_xlfn.XLOOKUP(B460,Indices!$A$2:$A$2676,Indices!$B$2:$B$2676,"")</f>
        <v>IWM</v>
      </c>
    </row>
    <row r="461" spans="1:4" x14ac:dyDescent="0.25">
      <c r="A461" s="140">
        <v>45686.204861111109</v>
      </c>
      <c r="B461" t="s">
        <v>6052</v>
      </c>
      <c r="C461" t="s">
        <v>6053</v>
      </c>
      <c r="D461" s="6" t="str">
        <f>_xlfn.XLOOKUP(B461,Indices!$A$2:$A$2676,Indices!$B$2:$B$2676,"")</f>
        <v/>
      </c>
    </row>
    <row r="462" spans="1:4" x14ac:dyDescent="0.25">
      <c r="A462" s="140">
        <v>45686.204861111109</v>
      </c>
      <c r="B462" t="s">
        <v>2491</v>
      </c>
      <c r="C462" t="s">
        <v>6053</v>
      </c>
      <c r="D462" s="6" t="str">
        <f>_xlfn.XLOOKUP(B462,Indices!$A$2:$A$2676,Indices!$B$2:$B$2676,"")</f>
        <v>S&amp;P Mid</v>
      </c>
    </row>
    <row r="463" spans="1:4" x14ac:dyDescent="0.25">
      <c r="A463" s="140">
        <v>45686.208333333336</v>
      </c>
      <c r="B463" t="s">
        <v>2289</v>
      </c>
      <c r="C463" t="s">
        <v>6054</v>
      </c>
      <c r="D463" s="6" t="str">
        <f>_xlfn.XLOOKUP(B463,Indices!$A$2:$A$2676,Indices!$B$2:$B$2676,"")</f>
        <v>IWM</v>
      </c>
    </row>
    <row r="464" spans="1:4" x14ac:dyDescent="0.25">
      <c r="A464" s="140">
        <v>45686.208333333336</v>
      </c>
      <c r="B464" t="s">
        <v>6055</v>
      </c>
      <c r="C464" t="s">
        <v>6054</v>
      </c>
      <c r="D464" s="6" t="str">
        <f>_xlfn.XLOOKUP(B464,Indices!$A$2:$A$2676,Indices!$B$2:$B$2676,"")</f>
        <v/>
      </c>
    </row>
    <row r="465" spans="1:4" x14ac:dyDescent="0.25">
      <c r="A465" s="140">
        <v>45686.208333333336</v>
      </c>
      <c r="B465" t="s">
        <v>6056</v>
      </c>
      <c r="C465" t="s">
        <v>6054</v>
      </c>
      <c r="D465" s="6" t="str">
        <f>_xlfn.XLOOKUP(B465,Indices!$A$2:$A$2676,Indices!$B$2:$B$2676,"")</f>
        <v/>
      </c>
    </row>
    <row r="466" spans="1:4" x14ac:dyDescent="0.25">
      <c r="A466" s="140">
        <v>45686.208333333336</v>
      </c>
      <c r="B466" t="s">
        <v>2524</v>
      </c>
      <c r="C466" t="s">
        <v>6054</v>
      </c>
      <c r="D466" s="6" t="str">
        <f>_xlfn.XLOOKUP(B466,Indices!$A$2:$A$2676,Indices!$B$2:$B$2676,"")</f>
        <v/>
      </c>
    </row>
    <row r="467" spans="1:4" x14ac:dyDescent="0.25">
      <c r="A467" s="140">
        <v>45686.208333333336</v>
      </c>
      <c r="B467" t="s">
        <v>2396</v>
      </c>
      <c r="C467" t="s">
        <v>6054</v>
      </c>
      <c r="D467" s="6" t="str">
        <f>_xlfn.XLOOKUP(B467,Indices!$A$2:$A$2676,Indices!$B$2:$B$2676,"")</f>
        <v>S&amp;P Mid</v>
      </c>
    </row>
    <row r="468" spans="1:4" x14ac:dyDescent="0.25">
      <c r="A468" s="140">
        <v>45686.208333333336</v>
      </c>
      <c r="B468" t="s">
        <v>1380</v>
      </c>
      <c r="C468" t="s">
        <v>6054</v>
      </c>
      <c r="D468" s="6" t="str">
        <f>_xlfn.XLOOKUP(B468,Indices!$A$2:$A$2676,Indices!$B$2:$B$2676,"")</f>
        <v>SP500</v>
      </c>
    </row>
    <row r="469" spans="1:4" x14ac:dyDescent="0.25">
      <c r="A469" s="140">
        <v>45686.208333333336</v>
      </c>
      <c r="B469" t="s">
        <v>295</v>
      </c>
      <c r="C469" t="s">
        <v>6054</v>
      </c>
      <c r="D469" s="6" t="str">
        <f>_xlfn.XLOOKUP(B469,Indices!$A$2:$A$2676,Indices!$B$2:$B$2676,"")</f>
        <v>S&amp;P Mid</v>
      </c>
    </row>
    <row r="470" spans="1:4" x14ac:dyDescent="0.25">
      <c r="A470" s="140">
        <v>45686.211805555555</v>
      </c>
      <c r="B470" t="s">
        <v>1293</v>
      </c>
      <c r="C470" t="s">
        <v>6057</v>
      </c>
      <c r="D470" s="6" t="str">
        <f>_xlfn.XLOOKUP(B470,Indices!$A$2:$A$2676,Indices!$B$2:$B$2676,"")</f>
        <v>SP500</v>
      </c>
    </row>
    <row r="471" spans="1:4" x14ac:dyDescent="0.25">
      <c r="A471" s="140">
        <v>45686.211805555555</v>
      </c>
      <c r="B471" t="s">
        <v>1873</v>
      </c>
      <c r="C471" t="s">
        <v>6057</v>
      </c>
      <c r="D471" s="6" t="str">
        <f>_xlfn.XLOOKUP(B471,Indices!$A$2:$A$2676,Indices!$B$2:$B$2676,"")</f>
        <v>IWM</v>
      </c>
    </row>
    <row r="472" spans="1:4" x14ac:dyDescent="0.25">
      <c r="A472" s="140">
        <v>45686.215277777781</v>
      </c>
      <c r="B472" t="s">
        <v>1438</v>
      </c>
      <c r="C472" t="s">
        <v>6058</v>
      </c>
      <c r="D472" s="6" t="str">
        <f>_xlfn.XLOOKUP(B472,Indices!$A$2:$A$2676,Indices!$B$2:$B$2676,"")</f>
        <v>SP500</v>
      </c>
    </row>
    <row r="473" spans="1:4" x14ac:dyDescent="0.25">
      <c r="A473" s="140">
        <v>45686.229166666664</v>
      </c>
      <c r="B473" t="s">
        <v>1719</v>
      </c>
      <c r="C473" t="s">
        <v>6059</v>
      </c>
      <c r="D473" s="6" t="str">
        <f>_xlfn.XLOOKUP(B473,Indices!$A$2:$A$2676,Indices!$B$2:$B$2676,"")</f>
        <v>IWM</v>
      </c>
    </row>
    <row r="474" spans="1:4" x14ac:dyDescent="0.25">
      <c r="A474" s="140">
        <v>45686.229166666664</v>
      </c>
      <c r="B474" t="s">
        <v>2064</v>
      </c>
      <c r="C474" t="s">
        <v>6059</v>
      </c>
      <c r="D474" s="6" t="str">
        <f>_xlfn.XLOOKUP(B474,Indices!$A$2:$A$2676,Indices!$B$2:$B$2676,"")</f>
        <v>IWM</v>
      </c>
    </row>
    <row r="475" spans="1:4" x14ac:dyDescent="0.25">
      <c r="A475" s="140">
        <v>45686.229166666664</v>
      </c>
      <c r="B475" t="s">
        <v>1424</v>
      </c>
      <c r="C475" t="s">
        <v>6059</v>
      </c>
      <c r="D475" s="6" t="str">
        <f>_xlfn.XLOOKUP(B475,Indices!$A$2:$A$2676,Indices!$B$2:$B$2676,"")</f>
        <v>SP500</v>
      </c>
    </row>
    <row r="476" spans="1:4" x14ac:dyDescent="0.25">
      <c r="A476" s="140">
        <v>45686.229166666664</v>
      </c>
      <c r="B476" t="s">
        <v>6060</v>
      </c>
      <c r="C476" t="s">
        <v>6059</v>
      </c>
      <c r="D476" s="6" t="str">
        <f>_xlfn.XLOOKUP(B476,Indices!$A$2:$A$2676,Indices!$B$2:$B$2676,"")</f>
        <v/>
      </c>
    </row>
    <row r="477" spans="1:4" x14ac:dyDescent="0.25">
      <c r="A477" s="140">
        <v>45686.25</v>
      </c>
      <c r="B477" t="s">
        <v>2132</v>
      </c>
      <c r="C477" t="s">
        <v>6061</v>
      </c>
      <c r="D477" s="6" t="str">
        <f>_xlfn.XLOOKUP(B477,Indices!$A$2:$A$2676,Indices!$B$2:$B$2676,"")</f>
        <v>IWM</v>
      </c>
    </row>
    <row r="478" spans="1:4" x14ac:dyDescent="0.25">
      <c r="A478" s="140">
        <v>45686.25</v>
      </c>
      <c r="B478" t="s">
        <v>2489</v>
      </c>
      <c r="C478" t="s">
        <v>6061</v>
      </c>
      <c r="D478" s="6" t="str">
        <f>_xlfn.XLOOKUP(B478,Indices!$A$2:$A$2676,Indices!$B$2:$B$2676,"")</f>
        <v>S&amp;P Mid</v>
      </c>
    </row>
    <row r="479" spans="1:4" x14ac:dyDescent="0.25">
      <c r="A479" s="140">
        <v>45686.25</v>
      </c>
      <c r="B479" t="s">
        <v>6062</v>
      </c>
      <c r="C479" t="s">
        <v>6061</v>
      </c>
      <c r="D479" s="6" t="str">
        <f>_xlfn.XLOOKUP(B479,Indices!$A$2:$A$2676,Indices!$B$2:$B$2676,"")</f>
        <v/>
      </c>
    </row>
    <row r="480" spans="1:4" x14ac:dyDescent="0.25">
      <c r="A480" s="140">
        <v>45686.253472222219</v>
      </c>
      <c r="B480" t="s">
        <v>6063</v>
      </c>
      <c r="C480" t="s">
        <v>6064</v>
      </c>
      <c r="D480" s="6" t="str">
        <f>_xlfn.XLOOKUP(B480,Indices!$A$2:$A$2676,Indices!$B$2:$B$2676,"")</f>
        <v/>
      </c>
    </row>
    <row r="481" spans="1:4" x14ac:dyDescent="0.25">
      <c r="A481" s="140">
        <v>45686.253472222219</v>
      </c>
      <c r="B481" t="s">
        <v>1402</v>
      </c>
      <c r="C481" t="s">
        <v>6064</v>
      </c>
      <c r="D481" s="6" t="str">
        <f>_xlfn.XLOOKUP(B481,Indices!$A$2:$A$2676,Indices!$B$2:$B$2676,"")</f>
        <v>SP500</v>
      </c>
    </row>
    <row r="482" spans="1:4" x14ac:dyDescent="0.25">
      <c r="A482" s="140">
        <v>45686.260416666664</v>
      </c>
      <c r="B482" t="s">
        <v>2288</v>
      </c>
      <c r="C482" t="s">
        <v>6065</v>
      </c>
      <c r="D482" s="6" t="str">
        <f>_xlfn.XLOOKUP(B482,Indices!$A$2:$A$2676,Indices!$B$2:$B$2676,"")</f>
        <v>IWM</v>
      </c>
    </row>
    <row r="483" spans="1:4" x14ac:dyDescent="0.25">
      <c r="A483" s="140">
        <v>45686.273611111108</v>
      </c>
      <c r="B483" t="s">
        <v>1325</v>
      </c>
      <c r="C483" t="s">
        <v>6066</v>
      </c>
      <c r="D483" s="6" t="str">
        <f>_xlfn.XLOOKUP(B483,Indices!$A$2:$A$2676,Indices!$B$2:$B$2676,"")</f>
        <v>SP500</v>
      </c>
    </row>
    <row r="484" spans="1:4" x14ac:dyDescent="0.25">
      <c r="A484" s="140">
        <v>45686.291666666664</v>
      </c>
      <c r="B484" t="s">
        <v>2059</v>
      </c>
      <c r="C484" t="s">
        <v>6067</v>
      </c>
      <c r="D484" s="6" t="str">
        <f>_xlfn.XLOOKUP(B484,Indices!$A$2:$A$2676,Indices!$B$2:$B$2676,"")</f>
        <v>IWM</v>
      </c>
    </row>
    <row r="485" spans="1:4" x14ac:dyDescent="0.25">
      <c r="A485" s="140">
        <v>45686.302083333336</v>
      </c>
      <c r="B485" t="s">
        <v>2272</v>
      </c>
      <c r="C485" t="s">
        <v>6068</v>
      </c>
      <c r="D485" s="6" t="str">
        <f>_xlfn.XLOOKUP(B485,Indices!$A$2:$A$2676,Indices!$B$2:$B$2676,"")</f>
        <v>IWM</v>
      </c>
    </row>
    <row r="486" spans="1:4" x14ac:dyDescent="0.25">
      <c r="A486" s="140">
        <v>45686.388888888891</v>
      </c>
      <c r="B486" t="s">
        <v>6069</v>
      </c>
      <c r="C486" t="s">
        <v>6070</v>
      </c>
      <c r="D486" s="6" t="str">
        <f>_xlfn.XLOOKUP(B486,Indices!$A$2:$A$2676,Indices!$B$2:$B$2676,"")</f>
        <v/>
      </c>
    </row>
    <row r="487" spans="1:4" x14ac:dyDescent="0.25">
      <c r="A487" s="140">
        <v>45686.509027777778</v>
      </c>
      <c r="B487" t="s">
        <v>6071</v>
      </c>
      <c r="C487" t="s">
        <v>6072</v>
      </c>
      <c r="D487" s="6" t="str">
        <f>_xlfn.XLOOKUP(B487,Indices!$A$2:$A$2676,Indices!$B$2:$B$2676,"")</f>
        <v/>
      </c>
    </row>
    <row r="488" spans="1:4" x14ac:dyDescent="0.25">
      <c r="A488" s="140">
        <v>45686.557638888888</v>
      </c>
      <c r="B488" t="s">
        <v>2211</v>
      </c>
      <c r="C488" t="s">
        <v>6073</v>
      </c>
      <c r="D488" s="6" t="str">
        <f>_xlfn.XLOOKUP(B488,Indices!$A$2:$A$2676,Indices!$B$2:$B$2676,"")</f>
        <v>IWM</v>
      </c>
    </row>
    <row r="489" spans="1:4" x14ac:dyDescent="0.25">
      <c r="A489" s="140">
        <v>45686.584027777775</v>
      </c>
      <c r="B489" t="s">
        <v>1518</v>
      </c>
      <c r="C489" t="s">
        <v>6074</v>
      </c>
      <c r="D489" s="6" t="str">
        <f>_xlfn.XLOOKUP(B489,Indices!$A$2:$A$2676,Indices!$B$2:$B$2676,"")</f>
        <v>SP500</v>
      </c>
    </row>
    <row r="490" spans="1:4" x14ac:dyDescent="0.25">
      <c r="A490" s="140">
        <v>45686.584027777775</v>
      </c>
      <c r="B490" t="s">
        <v>2358</v>
      </c>
      <c r="C490" t="s">
        <v>6074</v>
      </c>
      <c r="D490" s="6" t="str">
        <f>_xlfn.XLOOKUP(B490,Indices!$A$2:$A$2676,Indices!$B$2:$B$2676,"")</f>
        <v>S&amp;P Mid</v>
      </c>
    </row>
    <row r="491" spans="1:4" x14ac:dyDescent="0.25">
      <c r="A491" s="140">
        <v>45686.586805555555</v>
      </c>
      <c r="B491" t="s">
        <v>1358</v>
      </c>
      <c r="C491" t="s">
        <v>6075</v>
      </c>
      <c r="D491" s="6" t="str">
        <f>_xlfn.XLOOKUP(B491,Indices!$A$2:$A$2676,Indices!$B$2:$B$2676,"")</f>
        <v>SP500</v>
      </c>
    </row>
    <row r="492" spans="1:4" x14ac:dyDescent="0.25">
      <c r="A492" s="140">
        <v>45686.586805555555</v>
      </c>
      <c r="B492" t="s">
        <v>1582</v>
      </c>
      <c r="C492" t="s">
        <v>6075</v>
      </c>
      <c r="D492" s="6" t="str">
        <f>_xlfn.XLOOKUP(B492,Indices!$A$2:$A$2676,Indices!$B$2:$B$2676,"")</f>
        <v>SP500</v>
      </c>
    </row>
    <row r="493" spans="1:4" x14ac:dyDescent="0.25">
      <c r="A493" s="140">
        <v>45686.586805555555</v>
      </c>
      <c r="B493" t="s">
        <v>2116</v>
      </c>
      <c r="C493" t="s">
        <v>6075</v>
      </c>
      <c r="D493" s="6" t="str">
        <f>_xlfn.XLOOKUP(B493,Indices!$A$2:$A$2676,Indices!$B$2:$B$2676,"")</f>
        <v>IWM</v>
      </c>
    </row>
    <row r="494" spans="1:4" x14ac:dyDescent="0.25">
      <c r="A494" s="140">
        <v>45686.586805555555</v>
      </c>
      <c r="B494" t="s">
        <v>6076</v>
      </c>
      <c r="C494" t="s">
        <v>6075</v>
      </c>
      <c r="D494" s="6" t="str">
        <f>_xlfn.XLOOKUP(B494,Indices!$A$2:$A$2676,Indices!$B$2:$B$2676,"")</f>
        <v/>
      </c>
    </row>
    <row r="495" spans="1:4" x14ac:dyDescent="0.25">
      <c r="A495" s="140">
        <v>45686.586805555555</v>
      </c>
      <c r="B495" t="s">
        <v>2348</v>
      </c>
      <c r="C495" t="s">
        <v>6075</v>
      </c>
      <c r="D495" s="6" t="str">
        <f>_xlfn.XLOOKUP(B495,Indices!$A$2:$A$2676,Indices!$B$2:$B$2676,"")</f>
        <v>S&amp;P Mid</v>
      </c>
    </row>
    <row r="496" spans="1:4" x14ac:dyDescent="0.25">
      <c r="A496" s="140">
        <v>45686.586805555555</v>
      </c>
      <c r="B496" t="s">
        <v>1831</v>
      </c>
      <c r="C496" t="s">
        <v>6075</v>
      </c>
      <c r="D496" s="6" t="str">
        <f>_xlfn.XLOOKUP(B496,Indices!$A$2:$A$2676,Indices!$B$2:$B$2676,"")</f>
        <v>IWM</v>
      </c>
    </row>
    <row r="497" spans="1:4" x14ac:dyDescent="0.25">
      <c r="A497" s="140">
        <v>45686.586805555555</v>
      </c>
      <c r="B497" t="s">
        <v>2472</v>
      </c>
      <c r="C497" t="s">
        <v>6075</v>
      </c>
      <c r="D497" s="6" t="str">
        <f>_xlfn.XLOOKUP(B497,Indices!$A$2:$A$2676,Indices!$B$2:$B$2676,"")</f>
        <v>S&amp;P Mid</v>
      </c>
    </row>
    <row r="498" spans="1:4" x14ac:dyDescent="0.25">
      <c r="A498" s="140">
        <v>45686.586805555555</v>
      </c>
      <c r="B498" t="s">
        <v>1959</v>
      </c>
      <c r="C498" t="s">
        <v>6075</v>
      </c>
      <c r="D498" s="6" t="str">
        <f>_xlfn.XLOOKUP(B498,Indices!$A$2:$A$2676,Indices!$B$2:$B$2676,"")</f>
        <v>IWM</v>
      </c>
    </row>
    <row r="499" spans="1:4" x14ac:dyDescent="0.25">
      <c r="A499" s="140">
        <v>45686.586805555555</v>
      </c>
      <c r="B499" t="s">
        <v>1989</v>
      </c>
      <c r="C499" t="s">
        <v>6075</v>
      </c>
      <c r="D499" s="6" t="str">
        <f>_xlfn.XLOOKUP(B499,Indices!$A$2:$A$2676,Indices!$B$2:$B$2676,"")</f>
        <v>IWM</v>
      </c>
    </row>
    <row r="500" spans="1:4" x14ac:dyDescent="0.25">
      <c r="A500" s="140">
        <v>45686.586805555555</v>
      </c>
      <c r="B500" t="s">
        <v>2088</v>
      </c>
      <c r="C500" t="s">
        <v>6075</v>
      </c>
      <c r="D500" s="6" t="str">
        <f>_xlfn.XLOOKUP(B500,Indices!$A$2:$A$2676,Indices!$B$2:$B$2676,"")</f>
        <v>IWM</v>
      </c>
    </row>
    <row r="501" spans="1:4" x14ac:dyDescent="0.25">
      <c r="A501" s="140">
        <v>45686.586805555555</v>
      </c>
      <c r="B501" t="s">
        <v>1900</v>
      </c>
      <c r="C501" t="s">
        <v>6075</v>
      </c>
      <c r="D501" s="6" t="str">
        <f>_xlfn.XLOOKUP(B501,Indices!$A$2:$A$2676,Indices!$B$2:$B$2676,"")</f>
        <v>IWM</v>
      </c>
    </row>
    <row r="502" spans="1:4" x14ac:dyDescent="0.25">
      <c r="A502" s="140">
        <v>45686.586805555555</v>
      </c>
      <c r="B502" t="s">
        <v>1452</v>
      </c>
      <c r="C502" t="s">
        <v>6075</v>
      </c>
      <c r="D502" s="6" t="str">
        <f>_xlfn.XLOOKUP(B502,Indices!$A$2:$A$2676,Indices!$B$2:$B$2676,"")</f>
        <v>SP500</v>
      </c>
    </row>
    <row r="503" spans="1:4" x14ac:dyDescent="0.25">
      <c r="A503" s="140">
        <v>45686.586805555555</v>
      </c>
      <c r="B503" t="s">
        <v>6077</v>
      </c>
      <c r="C503" t="s">
        <v>6075</v>
      </c>
      <c r="D503" s="6" t="str">
        <f>_xlfn.XLOOKUP(B503,Indices!$A$2:$A$2676,Indices!$B$2:$B$2676,"")</f>
        <v/>
      </c>
    </row>
    <row r="504" spans="1:4" x14ac:dyDescent="0.25">
      <c r="A504" s="140">
        <v>45686.586805555555</v>
      </c>
      <c r="B504" t="s">
        <v>2028</v>
      </c>
      <c r="C504" t="s">
        <v>6075</v>
      </c>
      <c r="D504" s="6" t="str">
        <f>_xlfn.XLOOKUP(B504,Indices!$A$2:$A$2676,Indices!$B$2:$B$2676,"")</f>
        <v>IWM</v>
      </c>
    </row>
    <row r="505" spans="1:4" x14ac:dyDescent="0.25">
      <c r="A505" s="140">
        <v>45686.588194444441</v>
      </c>
      <c r="B505" t="s">
        <v>1896</v>
      </c>
      <c r="C505" t="s">
        <v>6078</v>
      </c>
      <c r="D505" s="6" t="str">
        <f>_xlfn.XLOOKUP(B505,Indices!$A$2:$A$2676,Indices!$B$2:$B$2676,"")</f>
        <v>IWM</v>
      </c>
    </row>
    <row r="506" spans="1:4" x14ac:dyDescent="0.25">
      <c r="A506" s="140">
        <v>45686.588888888888</v>
      </c>
      <c r="B506" t="s">
        <v>1308</v>
      </c>
      <c r="C506" t="s">
        <v>6079</v>
      </c>
      <c r="D506" s="6" t="str">
        <f>_xlfn.XLOOKUP(B506,Indices!$A$2:$A$2676,Indices!$B$2:$B$2676,"")</f>
        <v>SP500</v>
      </c>
    </row>
    <row r="507" spans="1:4" x14ac:dyDescent="0.25">
      <c r="A507" s="140">
        <v>45686.588888888888</v>
      </c>
      <c r="B507" t="s">
        <v>1409</v>
      </c>
      <c r="C507" t="s">
        <v>6079</v>
      </c>
      <c r="D507" s="6" t="str">
        <f>_xlfn.XLOOKUP(B507,Indices!$A$2:$A$2676,Indices!$B$2:$B$2676,"")</f>
        <v>SP500</v>
      </c>
    </row>
    <row r="508" spans="1:4" x14ac:dyDescent="0.25">
      <c r="A508" s="140">
        <v>45686.589583333334</v>
      </c>
      <c r="B508" t="s">
        <v>1281</v>
      </c>
      <c r="C508" t="s">
        <v>6080</v>
      </c>
      <c r="D508" s="6" t="str">
        <f>_xlfn.XLOOKUP(B508,Indices!$A$2:$A$2676,Indices!$B$2:$B$2676,"")</f>
        <v>SP500</v>
      </c>
    </row>
    <row r="509" spans="1:4" x14ac:dyDescent="0.25">
      <c r="A509" s="140">
        <v>45686.590277777781</v>
      </c>
      <c r="B509" t="s">
        <v>1303</v>
      </c>
      <c r="C509" t="s">
        <v>6081</v>
      </c>
      <c r="D509" s="6" t="str">
        <f>_xlfn.XLOOKUP(B509,Indices!$A$2:$A$2676,Indices!$B$2:$B$2676,"")</f>
        <v>SP500</v>
      </c>
    </row>
    <row r="510" spans="1:4" x14ac:dyDescent="0.25">
      <c r="A510" s="140">
        <v>45686.590277777781</v>
      </c>
      <c r="B510" t="s">
        <v>1827</v>
      </c>
      <c r="C510" t="s">
        <v>6081</v>
      </c>
      <c r="D510" s="6" t="str">
        <f>_xlfn.XLOOKUP(B510,Indices!$A$2:$A$2676,Indices!$B$2:$B$2676,"")</f>
        <v>IWM</v>
      </c>
    </row>
    <row r="511" spans="1:4" x14ac:dyDescent="0.25">
      <c r="A511" s="140">
        <v>45686.590277777781</v>
      </c>
      <c r="B511" t="s">
        <v>2529</v>
      </c>
      <c r="C511" t="s">
        <v>6081</v>
      </c>
      <c r="D511" s="6" t="str">
        <f>_xlfn.XLOOKUP(B511,Indices!$A$2:$A$2676,Indices!$B$2:$B$2676,"")</f>
        <v/>
      </c>
    </row>
    <row r="512" spans="1:4" x14ac:dyDescent="0.25">
      <c r="A512" s="140">
        <v>45686.59097222222</v>
      </c>
      <c r="B512" t="s">
        <v>1276</v>
      </c>
      <c r="C512" t="s">
        <v>6082</v>
      </c>
      <c r="D512" s="6" t="str">
        <f>_xlfn.XLOOKUP(B512,Indices!$A$2:$A$2676,Indices!$B$2:$B$2676,"")</f>
        <v>SP500</v>
      </c>
    </row>
    <row r="513" spans="1:4" x14ac:dyDescent="0.25">
      <c r="A513" s="140">
        <v>45686.59375</v>
      </c>
      <c r="B513" t="s">
        <v>2410</v>
      </c>
      <c r="C513" t="s">
        <v>6083</v>
      </c>
      <c r="D513" s="6" t="str">
        <f>_xlfn.XLOOKUP(B513,Indices!$A$2:$A$2676,Indices!$B$2:$B$2676,"")</f>
        <v>S&amp;P Mid</v>
      </c>
    </row>
    <row r="514" spans="1:4" x14ac:dyDescent="0.25">
      <c r="A514" s="140">
        <v>45686.59375</v>
      </c>
      <c r="B514" t="s">
        <v>1976</v>
      </c>
      <c r="C514" t="s">
        <v>6083</v>
      </c>
      <c r="D514" s="6" t="str">
        <f>_xlfn.XLOOKUP(B514,Indices!$A$2:$A$2676,Indices!$B$2:$B$2676,"")</f>
        <v>IWM</v>
      </c>
    </row>
    <row r="515" spans="1:4" x14ac:dyDescent="0.25">
      <c r="A515" s="140">
        <v>45686.59375</v>
      </c>
      <c r="B515" t="s">
        <v>1655</v>
      </c>
      <c r="C515" t="s">
        <v>6083</v>
      </c>
      <c r="D515" s="6" t="str">
        <f>_xlfn.XLOOKUP(B515,Indices!$A$2:$A$2676,Indices!$B$2:$B$2676,"")</f>
        <v>IWM</v>
      </c>
    </row>
    <row r="516" spans="1:4" x14ac:dyDescent="0.25">
      <c r="A516" s="140">
        <v>45686.59375</v>
      </c>
      <c r="B516" t="s">
        <v>2265</v>
      </c>
      <c r="C516" t="s">
        <v>6083</v>
      </c>
      <c r="D516" s="6" t="str">
        <f>_xlfn.XLOOKUP(B516,Indices!$A$2:$A$2676,Indices!$B$2:$B$2676,"")</f>
        <v>IWM</v>
      </c>
    </row>
    <row r="517" spans="1:4" x14ac:dyDescent="0.25">
      <c r="A517" s="140">
        <v>45686.59375</v>
      </c>
      <c r="B517" t="s">
        <v>1411</v>
      </c>
      <c r="C517" t="s">
        <v>6083</v>
      </c>
      <c r="D517" s="6" t="str">
        <f>_xlfn.XLOOKUP(B517,Indices!$A$2:$A$2676,Indices!$B$2:$B$2676,"")</f>
        <v>SP500</v>
      </c>
    </row>
    <row r="518" spans="1:4" x14ac:dyDescent="0.25">
      <c r="A518" s="140">
        <v>45686.59375</v>
      </c>
      <c r="B518" t="s">
        <v>1096</v>
      </c>
      <c r="C518" t="s">
        <v>6083</v>
      </c>
      <c r="D518" s="6" t="str">
        <f>_xlfn.XLOOKUP(B518,Indices!$A$2:$A$2676,Indices!$B$2:$B$2676,"")</f>
        <v>S&amp;P Mid</v>
      </c>
    </row>
    <row r="519" spans="1:4" x14ac:dyDescent="0.25">
      <c r="A519" s="140">
        <v>45686.595833333333</v>
      </c>
      <c r="B519" t="s">
        <v>6084</v>
      </c>
      <c r="C519" t="s">
        <v>6085</v>
      </c>
      <c r="D519" s="6" t="str">
        <f>_xlfn.XLOOKUP(B519,Indices!$A$2:$A$2676,Indices!$B$2:$B$2676,"")</f>
        <v/>
      </c>
    </row>
    <row r="520" spans="1:4" x14ac:dyDescent="0.25">
      <c r="A520" s="140">
        <v>45686.6</v>
      </c>
      <c r="B520" t="s">
        <v>1466</v>
      </c>
      <c r="C520" t="s">
        <v>6086</v>
      </c>
      <c r="D520" s="6" t="str">
        <f>_xlfn.XLOOKUP(B520,Indices!$A$2:$A$2676,Indices!$B$2:$B$2676,"")</f>
        <v>SP500</v>
      </c>
    </row>
    <row r="521" spans="1:4" x14ac:dyDescent="0.25">
      <c r="A521" s="140">
        <v>45686.600694444445</v>
      </c>
      <c r="B521" t="s">
        <v>6087</v>
      </c>
      <c r="C521" t="s">
        <v>6088</v>
      </c>
      <c r="D521" s="6" t="str">
        <f>_xlfn.XLOOKUP(B521,Indices!$A$2:$A$2676,Indices!$B$2:$B$2676,"")</f>
        <v/>
      </c>
    </row>
    <row r="522" spans="1:4" x14ac:dyDescent="0.25">
      <c r="A522" s="140">
        <v>45686.602083333331</v>
      </c>
      <c r="B522" t="s">
        <v>2522</v>
      </c>
      <c r="C522" t="s">
        <v>6089</v>
      </c>
      <c r="D522" s="6" t="str">
        <f>_xlfn.XLOOKUP(B522,Indices!$A$2:$A$2676,Indices!$B$2:$B$2676,"")</f>
        <v/>
      </c>
    </row>
    <row r="523" spans="1:4" x14ac:dyDescent="0.25">
      <c r="A523" s="140">
        <v>45686.604166666664</v>
      </c>
      <c r="B523" t="s">
        <v>1796</v>
      </c>
      <c r="C523" t="s">
        <v>6090</v>
      </c>
      <c r="D523" s="6" t="str">
        <f>_xlfn.XLOOKUP(B523,Indices!$A$2:$A$2676,Indices!$B$2:$B$2676,"")</f>
        <v>IWM</v>
      </c>
    </row>
    <row r="524" spans="1:4" x14ac:dyDescent="0.25">
      <c r="A524" s="140">
        <v>45686.604166666664</v>
      </c>
      <c r="B524" t="s">
        <v>6091</v>
      </c>
      <c r="C524" t="s">
        <v>6090</v>
      </c>
      <c r="D524" s="6" t="str">
        <f>_xlfn.XLOOKUP(B524,Indices!$A$2:$A$2676,Indices!$B$2:$B$2676,"")</f>
        <v/>
      </c>
    </row>
    <row r="525" spans="1:4" x14ac:dyDescent="0.25">
      <c r="A525" s="140">
        <v>45686.604166666664</v>
      </c>
      <c r="B525" t="s">
        <v>1645</v>
      </c>
      <c r="C525" t="s">
        <v>6090</v>
      </c>
      <c r="D525" s="6" t="str">
        <f>_xlfn.XLOOKUP(B525,Indices!$A$2:$A$2676,Indices!$B$2:$B$2676,"")</f>
        <v>IWM</v>
      </c>
    </row>
    <row r="526" spans="1:4" x14ac:dyDescent="0.25">
      <c r="A526" s="140">
        <v>45686.607638888891</v>
      </c>
      <c r="B526" t="s">
        <v>6092</v>
      </c>
      <c r="C526" t="s">
        <v>6093</v>
      </c>
      <c r="D526" s="6" t="str">
        <f>_xlfn.XLOOKUP(B526,Indices!$A$2:$A$2676,Indices!$B$2:$B$2676,"")</f>
        <v/>
      </c>
    </row>
    <row r="527" spans="1:4" x14ac:dyDescent="0.25">
      <c r="A527" s="140">
        <v>45686.609722222223</v>
      </c>
      <c r="B527" t="s">
        <v>1020</v>
      </c>
      <c r="C527" t="s">
        <v>6094</v>
      </c>
      <c r="D527" s="6" t="str">
        <f>_xlfn.XLOOKUP(B527,Indices!$A$2:$A$2676,Indices!$B$2:$B$2676,"")</f>
        <v>S&amp;P Mid</v>
      </c>
    </row>
    <row r="528" spans="1:4" x14ac:dyDescent="0.25">
      <c r="A528" s="140">
        <v>45686.61041666667</v>
      </c>
      <c r="B528" t="s">
        <v>1280</v>
      </c>
      <c r="C528" t="s">
        <v>6095</v>
      </c>
      <c r="D528" s="6" t="str">
        <f>_xlfn.XLOOKUP(B528,Indices!$A$2:$A$2676,Indices!$B$2:$B$2676,"")</f>
        <v>SP500</v>
      </c>
    </row>
    <row r="529" spans="1:4" x14ac:dyDescent="0.25">
      <c r="A529" s="140">
        <v>45686.614583333336</v>
      </c>
      <c r="B529" t="s">
        <v>501</v>
      </c>
      <c r="C529" t="s">
        <v>6096</v>
      </c>
      <c r="D529" s="6" t="str">
        <f>_xlfn.XLOOKUP(B529,Indices!$A$2:$A$2676,Indices!$B$2:$B$2676,"")</f>
        <v>S&amp;P Mid</v>
      </c>
    </row>
    <row r="530" spans="1:4" x14ac:dyDescent="0.25">
      <c r="A530" s="140">
        <v>45686.614583333336</v>
      </c>
      <c r="B530" t="s">
        <v>1792</v>
      </c>
      <c r="C530" t="s">
        <v>6096</v>
      </c>
      <c r="D530" s="6" t="str">
        <f>_xlfn.XLOOKUP(B530,Indices!$A$2:$A$2676,Indices!$B$2:$B$2676,"")</f>
        <v>IWM</v>
      </c>
    </row>
    <row r="531" spans="1:4" x14ac:dyDescent="0.25">
      <c r="A531" s="140">
        <v>45686.62222222222</v>
      </c>
      <c r="B531" t="s">
        <v>2092</v>
      </c>
      <c r="C531" t="s">
        <v>6097</v>
      </c>
      <c r="D531" s="6" t="str">
        <f>_xlfn.XLOOKUP(B531,Indices!$A$2:$A$2676,Indices!$B$2:$B$2676,"")</f>
        <v>IWM</v>
      </c>
    </row>
    <row r="532" spans="1:4" x14ac:dyDescent="0.25">
      <c r="A532" s="140">
        <v>45686.625</v>
      </c>
      <c r="B532" t="s">
        <v>6098</v>
      </c>
      <c r="C532" t="s">
        <v>6099</v>
      </c>
      <c r="D532" s="6" t="str">
        <f>_xlfn.XLOOKUP(B532,Indices!$A$2:$A$2676,Indices!$B$2:$B$2676,"")</f>
        <v/>
      </c>
    </row>
    <row r="533" spans="1:4" x14ac:dyDescent="0.25">
      <c r="A533" s="140">
        <v>45686.631944444445</v>
      </c>
      <c r="B533" t="s">
        <v>1557</v>
      </c>
      <c r="C533" t="s">
        <v>6100</v>
      </c>
      <c r="D533" s="6" t="str">
        <f>_xlfn.XLOOKUP(B533,Indices!$A$2:$A$2676,Indices!$B$2:$B$2676,"")</f>
        <v>SP500</v>
      </c>
    </row>
    <row r="534" spans="1:4" x14ac:dyDescent="0.25">
      <c r="A534" s="140">
        <v>45686.635416666664</v>
      </c>
      <c r="B534" t="s">
        <v>2040</v>
      </c>
      <c r="C534" t="s">
        <v>6101</v>
      </c>
      <c r="D534" s="6" t="str">
        <f>_xlfn.XLOOKUP(B534,Indices!$A$2:$A$2676,Indices!$B$2:$B$2676,"")</f>
        <v>IWM</v>
      </c>
    </row>
    <row r="535" spans="1:4" x14ac:dyDescent="0.25">
      <c r="A535" s="140">
        <v>45686.690972222219</v>
      </c>
      <c r="B535" t="s">
        <v>6102</v>
      </c>
      <c r="C535" t="s">
        <v>6103</v>
      </c>
      <c r="D535" s="6" t="str">
        <f>_xlfn.XLOOKUP(B535,Indices!$A$2:$A$2676,Indices!$B$2:$B$2676,"")</f>
        <v/>
      </c>
    </row>
    <row r="536" spans="1:4" x14ac:dyDescent="0.25">
      <c r="A536" s="140">
        <v>45686.711111111108</v>
      </c>
      <c r="B536" t="s">
        <v>1363</v>
      </c>
      <c r="C536" t="s">
        <v>6104</v>
      </c>
      <c r="D536" s="6" t="str">
        <f>_xlfn.XLOOKUP(B536,Indices!$A$2:$A$2676,Indices!$B$2:$B$2676,"")</f>
        <v>SP500</v>
      </c>
    </row>
    <row r="537" spans="1:4" x14ac:dyDescent="0.25">
      <c r="A537" s="140">
        <v>45686.756249999999</v>
      </c>
      <c r="B537" t="s">
        <v>6105</v>
      </c>
      <c r="C537" t="s">
        <v>6106</v>
      </c>
      <c r="D537" s="6" t="str">
        <f>_xlfn.XLOOKUP(B537,Indices!$A$2:$A$2676,Indices!$B$2:$B$2676,"")</f>
        <v/>
      </c>
    </row>
    <row r="538" spans="1:4" x14ac:dyDescent="0.25">
      <c r="A538" s="140">
        <v>45686.9375</v>
      </c>
      <c r="B538" t="s">
        <v>6107</v>
      </c>
      <c r="C538" t="s">
        <v>6108</v>
      </c>
      <c r="D538" s="6" t="str">
        <f>_xlfn.XLOOKUP(B538,Indices!$A$2:$A$2676,Indices!$B$2:$B$2676,"")</f>
        <v/>
      </c>
    </row>
    <row r="539" spans="1:4" x14ac:dyDescent="0.25">
      <c r="A539" s="140">
        <v>45686.958333333336</v>
      </c>
      <c r="B539" t="s">
        <v>1287</v>
      </c>
      <c r="C539" t="s">
        <v>6109</v>
      </c>
      <c r="D539" s="6" t="str">
        <f>_xlfn.XLOOKUP(B539,Indices!$A$2:$A$2676,Indices!$B$2:$B$2676,"")</f>
        <v>SP500</v>
      </c>
    </row>
    <row r="540" spans="1:4" x14ac:dyDescent="0.25">
      <c r="A540" s="140">
        <v>45686.958333333336</v>
      </c>
      <c r="B540" t="s">
        <v>6110</v>
      </c>
      <c r="C540" t="s">
        <v>6111</v>
      </c>
      <c r="D540" s="6" t="str">
        <f>_xlfn.XLOOKUP(B540,Indices!$A$2:$A$2676,Indices!$B$2:$B$2676,"")</f>
        <v/>
      </c>
    </row>
    <row r="541" spans="1:4" x14ac:dyDescent="0.25">
      <c r="A541" s="140">
        <v>45686.958333333336</v>
      </c>
      <c r="B541" t="s">
        <v>2182</v>
      </c>
      <c r="C541" t="s">
        <v>6109</v>
      </c>
      <c r="D541" s="6" t="str">
        <f>_xlfn.XLOOKUP(B541,Indices!$A$2:$A$2676,Indices!$B$2:$B$2676,"")</f>
        <v>IWM</v>
      </c>
    </row>
    <row r="542" spans="1:4" x14ac:dyDescent="0.25">
      <c r="A542" s="140">
        <v>45686.958333333336</v>
      </c>
      <c r="B542" t="s">
        <v>6112</v>
      </c>
      <c r="C542" t="s">
        <v>6109</v>
      </c>
      <c r="D542" s="6" t="str">
        <f>_xlfn.XLOOKUP(B542,Indices!$A$2:$A$2676,Indices!$B$2:$B$2676,"")</f>
        <v/>
      </c>
    </row>
    <row r="543" spans="1:4" x14ac:dyDescent="0.25">
      <c r="A543" s="140">
        <v>45686.958333333336</v>
      </c>
      <c r="B543" t="s">
        <v>6113</v>
      </c>
      <c r="C543" t="s">
        <v>6111</v>
      </c>
      <c r="D543" s="6" t="str">
        <f>_xlfn.XLOOKUP(B543,Indices!$A$2:$A$2676,Indices!$B$2:$B$2676,"")</f>
        <v/>
      </c>
    </row>
    <row r="544" spans="1:4" x14ac:dyDescent="0.25">
      <c r="A544" s="140">
        <v>45686.958333333336</v>
      </c>
      <c r="B544" t="s">
        <v>6114</v>
      </c>
      <c r="C544" t="s">
        <v>6109</v>
      </c>
      <c r="D544" s="6" t="str">
        <f>_xlfn.XLOOKUP(B544,Indices!$A$2:$A$2676,Indices!$B$2:$B$2676,"")</f>
        <v/>
      </c>
    </row>
    <row r="545" spans="1:4" x14ac:dyDescent="0.25">
      <c r="A545" s="140">
        <v>45686.958333333336</v>
      </c>
      <c r="B545" t="s">
        <v>6115</v>
      </c>
      <c r="C545" t="s">
        <v>6109</v>
      </c>
      <c r="D545" s="6" t="str">
        <f>_xlfn.XLOOKUP(B545,Indices!$A$2:$A$2676,Indices!$B$2:$B$2676,"")</f>
        <v/>
      </c>
    </row>
    <row r="546" spans="1:4" x14ac:dyDescent="0.25">
      <c r="A546" s="140">
        <v>45686.958333333336</v>
      </c>
      <c r="B546" t="s">
        <v>2541</v>
      </c>
      <c r="C546" t="s">
        <v>6111</v>
      </c>
      <c r="D546" s="6" t="str">
        <f>_xlfn.XLOOKUP(B546,Indices!$A$2:$A$2676,Indices!$B$2:$B$2676,"")</f>
        <v/>
      </c>
    </row>
    <row r="547" spans="1:4" x14ac:dyDescent="0.25">
      <c r="A547" s="140">
        <v>45686.958333333336</v>
      </c>
      <c r="B547" t="s">
        <v>6116</v>
      </c>
      <c r="C547" t="s">
        <v>6109</v>
      </c>
      <c r="D547" s="6" t="str">
        <f>_xlfn.XLOOKUP(B547,Indices!$A$2:$A$2676,Indices!$B$2:$B$2676,"")</f>
        <v/>
      </c>
    </row>
    <row r="548" spans="1:4" x14ac:dyDescent="0.25">
      <c r="A548" s="140">
        <v>45686.958333333336</v>
      </c>
      <c r="B548" t="s">
        <v>6117</v>
      </c>
      <c r="C548" t="s">
        <v>6109</v>
      </c>
      <c r="D548" s="6" t="str">
        <f>_xlfn.XLOOKUP(B548,Indices!$A$2:$A$2676,Indices!$B$2:$B$2676,"")</f>
        <v/>
      </c>
    </row>
    <row r="549" spans="1:4" x14ac:dyDescent="0.25">
      <c r="A549" s="140">
        <v>45686.958333333336</v>
      </c>
      <c r="B549" t="s">
        <v>6118</v>
      </c>
      <c r="C549" t="s">
        <v>6111</v>
      </c>
      <c r="D549" s="6" t="str">
        <f>_xlfn.XLOOKUP(B549,Indices!$A$2:$A$2676,Indices!$B$2:$B$2676,"")</f>
        <v/>
      </c>
    </row>
    <row r="550" spans="1:4" x14ac:dyDescent="0.25">
      <c r="A550" s="140">
        <v>45686.958333333336</v>
      </c>
      <c r="B550" t="s">
        <v>6119</v>
      </c>
      <c r="C550" t="s">
        <v>6109</v>
      </c>
      <c r="D550" s="6" t="str">
        <f>_xlfn.XLOOKUP(B550,Indices!$A$2:$A$2676,Indices!$B$2:$B$2676,"")</f>
        <v/>
      </c>
    </row>
    <row r="551" spans="1:4" x14ac:dyDescent="0.25">
      <c r="A551" s="140">
        <v>45686.979166666664</v>
      </c>
      <c r="B551" t="s">
        <v>6120</v>
      </c>
      <c r="C551" t="s">
        <v>6121</v>
      </c>
      <c r="D551" s="6" t="str">
        <f>_xlfn.XLOOKUP(B551,Indices!$A$2:$A$2676,Indices!$B$2:$B$2676,"")</f>
        <v/>
      </c>
    </row>
    <row r="552" spans="1:4" x14ac:dyDescent="0.25">
      <c r="A552" s="140">
        <v>45686.982638888891</v>
      </c>
      <c r="B552" t="s">
        <v>6122</v>
      </c>
      <c r="C552" t="s">
        <v>6123</v>
      </c>
      <c r="D552" s="6" t="str">
        <f>_xlfn.XLOOKUP(B552,Indices!$A$2:$A$2676,Indices!$B$2:$B$2676,"")</f>
        <v/>
      </c>
    </row>
    <row r="553" spans="1:4" x14ac:dyDescent="0.25">
      <c r="A553" s="140">
        <v>45687</v>
      </c>
      <c r="B553" t="s">
        <v>6124</v>
      </c>
      <c r="C553" t="s">
        <v>6125</v>
      </c>
      <c r="D553" s="6" t="str">
        <f>_xlfn.XLOOKUP(B553,Indices!$A$2:$A$2676,Indices!$B$2:$B$2676,"")</f>
        <v/>
      </c>
    </row>
    <row r="554" spans="1:4" x14ac:dyDescent="0.25">
      <c r="A554" s="140">
        <v>45687.001388888886</v>
      </c>
      <c r="B554" t="s">
        <v>6126</v>
      </c>
      <c r="C554" t="s">
        <v>6127</v>
      </c>
      <c r="D554" s="6" t="str">
        <f>_xlfn.XLOOKUP(B554,Indices!$A$2:$A$2676,Indices!$B$2:$B$2676,"")</f>
        <v/>
      </c>
    </row>
    <row r="555" spans="1:4" x14ac:dyDescent="0.25">
      <c r="A555" s="140">
        <v>45687.125</v>
      </c>
      <c r="B555" t="s">
        <v>6128</v>
      </c>
      <c r="C555" t="s">
        <v>6129</v>
      </c>
      <c r="D555" s="6" t="str">
        <f>_xlfn.XLOOKUP(B555,Indices!$A$2:$A$2676,Indices!$B$2:$B$2676,"")</f>
        <v/>
      </c>
    </row>
    <row r="556" spans="1:4" x14ac:dyDescent="0.25">
      <c r="A556" s="140">
        <v>45687.166666666664</v>
      </c>
      <c r="B556" t="s">
        <v>1784</v>
      </c>
      <c r="C556" t="s">
        <v>6130</v>
      </c>
      <c r="D556" s="6" t="str">
        <f>_xlfn.XLOOKUP(B556,Indices!$A$2:$A$2676,Indices!$B$2:$B$2676,"")</f>
        <v>IWM</v>
      </c>
    </row>
    <row r="557" spans="1:4" x14ac:dyDescent="0.25">
      <c r="A557" s="140">
        <v>45687.166666666664</v>
      </c>
      <c r="B557" t="s">
        <v>1357</v>
      </c>
      <c r="C557" t="s">
        <v>6130</v>
      </c>
      <c r="D557" s="6" t="str">
        <f>_xlfn.XLOOKUP(B557,Indices!$A$2:$A$2676,Indices!$B$2:$B$2676,"")</f>
        <v>SP500</v>
      </c>
    </row>
    <row r="558" spans="1:4" x14ac:dyDescent="0.25">
      <c r="A558" s="140">
        <v>45687.166666666664</v>
      </c>
      <c r="B558" t="s">
        <v>1309</v>
      </c>
      <c r="C558" t="s">
        <v>6130</v>
      </c>
      <c r="D558" s="6" t="str">
        <f>_xlfn.XLOOKUP(B558,Indices!$A$2:$A$2676,Indices!$B$2:$B$2676,"")</f>
        <v>SP500</v>
      </c>
    </row>
    <row r="559" spans="1:4" x14ac:dyDescent="0.25">
      <c r="A559" s="140">
        <v>45687.166666666664</v>
      </c>
      <c r="B559" t="s">
        <v>1475</v>
      </c>
      <c r="C559" t="s">
        <v>6130</v>
      </c>
      <c r="D559" s="6" t="str">
        <f>_xlfn.XLOOKUP(B559,Indices!$A$2:$A$2676,Indices!$B$2:$B$2676,"")</f>
        <v>SP500</v>
      </c>
    </row>
    <row r="560" spans="1:4" x14ac:dyDescent="0.25">
      <c r="A560" s="140">
        <v>45687.166666666664</v>
      </c>
      <c r="B560" t="s">
        <v>544</v>
      </c>
      <c r="C560" t="s">
        <v>6130</v>
      </c>
      <c r="D560" s="6" t="str">
        <f>_xlfn.XLOOKUP(B560,Indices!$A$2:$A$2676,Indices!$B$2:$B$2676,"")</f>
        <v>IWM</v>
      </c>
    </row>
    <row r="561" spans="1:4" x14ac:dyDescent="0.25">
      <c r="A561" s="140">
        <v>45687.166666666664</v>
      </c>
      <c r="B561" t="s">
        <v>1723</v>
      </c>
      <c r="C561" t="s">
        <v>6130</v>
      </c>
      <c r="D561" s="6" t="str">
        <f>_xlfn.XLOOKUP(B561,Indices!$A$2:$A$2676,Indices!$B$2:$B$2676,"")</f>
        <v>IWM</v>
      </c>
    </row>
    <row r="562" spans="1:4" x14ac:dyDescent="0.25">
      <c r="A562" s="140">
        <v>45687.166666666664</v>
      </c>
      <c r="B562" t="s">
        <v>1342</v>
      </c>
      <c r="C562" t="s">
        <v>6130</v>
      </c>
      <c r="D562" s="6" t="str">
        <f>_xlfn.XLOOKUP(B562,Indices!$A$2:$A$2676,Indices!$B$2:$B$2676,"")</f>
        <v>SP500</v>
      </c>
    </row>
    <row r="563" spans="1:4" x14ac:dyDescent="0.25">
      <c r="A563" s="140">
        <v>45687.178472222222</v>
      </c>
      <c r="B563" t="s">
        <v>2478</v>
      </c>
      <c r="C563" t="s">
        <v>6131</v>
      </c>
      <c r="D563" s="6" t="str">
        <f>_xlfn.XLOOKUP(B563,Indices!$A$2:$A$2676,Indices!$B$2:$B$2676,"")</f>
        <v>S&amp;P Mid</v>
      </c>
    </row>
    <row r="564" spans="1:4" x14ac:dyDescent="0.25">
      <c r="A564" s="140">
        <v>45687.1875</v>
      </c>
      <c r="B564" t="s">
        <v>6132</v>
      </c>
      <c r="C564" t="s">
        <v>6133</v>
      </c>
      <c r="D564" s="6" t="str">
        <f>_xlfn.XLOOKUP(B564,Indices!$A$2:$A$2676,Indices!$B$2:$B$2676,"")</f>
        <v/>
      </c>
    </row>
    <row r="565" spans="1:4" x14ac:dyDescent="0.25">
      <c r="A565" s="140">
        <v>45687.1875</v>
      </c>
      <c r="B565" t="s">
        <v>1356</v>
      </c>
      <c r="C565" t="s">
        <v>6133</v>
      </c>
      <c r="D565" s="6" t="str">
        <f>_xlfn.XLOOKUP(B565,Indices!$A$2:$A$2676,Indices!$B$2:$B$2676,"")</f>
        <v>SP500</v>
      </c>
    </row>
    <row r="566" spans="1:4" x14ac:dyDescent="0.25">
      <c r="A566" s="140">
        <v>45687.1875</v>
      </c>
      <c r="B566" t="s">
        <v>1313</v>
      </c>
      <c r="C566" t="s">
        <v>6133</v>
      </c>
      <c r="D566" s="6" t="str">
        <f>_xlfn.XLOOKUP(B566,Indices!$A$2:$A$2676,Indices!$B$2:$B$2676,"")</f>
        <v>SP500</v>
      </c>
    </row>
    <row r="567" spans="1:4" x14ac:dyDescent="0.25">
      <c r="A567" s="140">
        <v>45687.1875</v>
      </c>
      <c r="B567" t="s">
        <v>1491</v>
      </c>
      <c r="C567" t="s">
        <v>6133</v>
      </c>
      <c r="D567" s="6" t="str">
        <f>_xlfn.XLOOKUP(B567,Indices!$A$2:$A$2676,Indices!$B$2:$B$2676,"")</f>
        <v>SP500</v>
      </c>
    </row>
    <row r="568" spans="1:4" x14ac:dyDescent="0.25">
      <c r="A568" s="140">
        <v>45687.1875</v>
      </c>
      <c r="B568" t="s">
        <v>1497</v>
      </c>
      <c r="C568" t="s">
        <v>6133</v>
      </c>
      <c r="D568" s="6" t="str">
        <f>_xlfn.XLOOKUP(B568,Indices!$A$2:$A$2676,Indices!$B$2:$B$2676,"")</f>
        <v>SP500</v>
      </c>
    </row>
    <row r="569" spans="1:4" x14ac:dyDescent="0.25">
      <c r="A569" s="140">
        <v>45687.1875</v>
      </c>
      <c r="B569" t="s">
        <v>548</v>
      </c>
      <c r="C569" t="s">
        <v>6133</v>
      </c>
      <c r="D569" s="6" t="str">
        <f>_xlfn.XLOOKUP(B569,Indices!$A$2:$A$2676,Indices!$B$2:$B$2676,"")</f>
        <v>S&amp;P Mid</v>
      </c>
    </row>
    <row r="570" spans="1:4" x14ac:dyDescent="0.25">
      <c r="A570" s="140">
        <v>45687.1875</v>
      </c>
      <c r="B570" t="s">
        <v>1427</v>
      </c>
      <c r="C570" t="s">
        <v>6133</v>
      </c>
      <c r="D570" s="6" t="str">
        <f>_xlfn.XLOOKUP(B570,Indices!$A$2:$A$2676,Indices!$B$2:$B$2676,"")</f>
        <v>SP500</v>
      </c>
    </row>
    <row r="571" spans="1:4" x14ac:dyDescent="0.25">
      <c r="A571" s="140">
        <v>45687.197916666664</v>
      </c>
      <c r="B571" t="s">
        <v>1381</v>
      </c>
      <c r="C571" t="s">
        <v>6134</v>
      </c>
      <c r="D571" s="6" t="str">
        <f>_xlfn.XLOOKUP(B571,Indices!$A$2:$A$2676,Indices!$B$2:$B$2676,"")</f>
        <v>SP500</v>
      </c>
    </row>
    <row r="572" spans="1:4" x14ac:dyDescent="0.25">
      <c r="A572" s="140">
        <v>45687.197916666664</v>
      </c>
      <c r="B572" t="s">
        <v>2332</v>
      </c>
      <c r="C572" t="s">
        <v>6134</v>
      </c>
      <c r="D572" s="6" t="str">
        <f>_xlfn.XLOOKUP(B572,Indices!$A$2:$A$2676,Indices!$B$2:$B$2676,"")</f>
        <v>IWM</v>
      </c>
    </row>
    <row r="573" spans="1:4" x14ac:dyDescent="0.25">
      <c r="A573" s="140">
        <v>45687.197916666664</v>
      </c>
      <c r="B573" t="s">
        <v>1565</v>
      </c>
      <c r="C573" t="s">
        <v>6134</v>
      </c>
      <c r="D573" s="6" t="str">
        <f>_xlfn.XLOOKUP(B573,Indices!$A$2:$A$2676,Indices!$B$2:$B$2676,"")</f>
        <v>SP500</v>
      </c>
    </row>
    <row r="574" spans="1:4" x14ac:dyDescent="0.25">
      <c r="A574" s="140">
        <v>45687.197916666664</v>
      </c>
      <c r="B574" t="s">
        <v>1541</v>
      </c>
      <c r="C574" t="s">
        <v>6134</v>
      </c>
      <c r="D574" s="6" t="str">
        <f>_xlfn.XLOOKUP(B574,Indices!$A$2:$A$2676,Indices!$B$2:$B$2676,"")</f>
        <v>SP500</v>
      </c>
    </row>
    <row r="575" spans="1:4" x14ac:dyDescent="0.25">
      <c r="A575" s="140">
        <v>45687.197916666664</v>
      </c>
      <c r="B575" t="s">
        <v>6135</v>
      </c>
      <c r="C575" t="s">
        <v>6134</v>
      </c>
      <c r="D575" s="6" t="str">
        <f>_xlfn.XLOOKUP(B575,Indices!$A$2:$A$2676,Indices!$B$2:$B$2676,"")</f>
        <v/>
      </c>
    </row>
    <row r="576" spans="1:4" x14ac:dyDescent="0.25">
      <c r="A576" s="140">
        <v>45687.197916666664</v>
      </c>
      <c r="B576" t="s">
        <v>1550</v>
      </c>
      <c r="C576" t="s">
        <v>6134</v>
      </c>
      <c r="D576" s="6" t="str">
        <f>_xlfn.XLOOKUP(B576,Indices!$A$2:$A$2676,Indices!$B$2:$B$2676,"")</f>
        <v>SP500</v>
      </c>
    </row>
    <row r="577" spans="1:4" x14ac:dyDescent="0.25">
      <c r="A577" s="140">
        <v>45687.197916666664</v>
      </c>
      <c r="B577" t="s">
        <v>1640</v>
      </c>
      <c r="C577" t="s">
        <v>6134</v>
      </c>
      <c r="D577" s="6" t="str">
        <f>_xlfn.XLOOKUP(B577,Indices!$A$2:$A$2676,Indices!$B$2:$B$2676,"")</f>
        <v>IWM</v>
      </c>
    </row>
    <row r="578" spans="1:4" x14ac:dyDescent="0.25">
      <c r="A578" s="140">
        <v>45687.197916666664</v>
      </c>
      <c r="B578" t="s">
        <v>16</v>
      </c>
      <c r="C578" t="s">
        <v>6134</v>
      </c>
      <c r="D578" s="6" t="str">
        <f>_xlfn.XLOOKUP(B578,Indices!$A$2:$A$2676,Indices!$B$2:$B$2676,"")</f>
        <v>SP500</v>
      </c>
    </row>
    <row r="579" spans="1:4" x14ac:dyDescent="0.25">
      <c r="A579" s="140">
        <v>45687.197916666664</v>
      </c>
      <c r="B579" t="s">
        <v>2186</v>
      </c>
      <c r="C579" t="s">
        <v>6134</v>
      </c>
      <c r="D579" s="6" t="str">
        <f>_xlfn.XLOOKUP(B579,Indices!$A$2:$A$2676,Indices!$B$2:$B$2676,"")</f>
        <v>IWM</v>
      </c>
    </row>
    <row r="580" spans="1:4" x14ac:dyDescent="0.25">
      <c r="A580" s="140">
        <v>45687.197916666664</v>
      </c>
      <c r="B580" t="s">
        <v>6136</v>
      </c>
      <c r="C580" t="s">
        <v>6134</v>
      </c>
      <c r="D580" s="6" t="str">
        <f>_xlfn.XLOOKUP(B580,Indices!$A$2:$A$2676,Indices!$B$2:$B$2676,"")</f>
        <v/>
      </c>
    </row>
    <row r="581" spans="1:4" x14ac:dyDescent="0.25">
      <c r="A581" s="140">
        <v>45687.199305555558</v>
      </c>
      <c r="B581" t="s">
        <v>1660</v>
      </c>
      <c r="C581" t="s">
        <v>6137</v>
      </c>
      <c r="D581" s="6" t="str">
        <f>_xlfn.XLOOKUP(B581,Indices!$A$2:$A$2676,Indices!$B$2:$B$2676,"")</f>
        <v>IWM</v>
      </c>
    </row>
    <row r="582" spans="1:4" x14ac:dyDescent="0.25">
      <c r="A582" s="140">
        <v>45687.202777777777</v>
      </c>
      <c r="B582" t="s">
        <v>1955</v>
      </c>
      <c r="C582" t="s">
        <v>6138</v>
      </c>
      <c r="D582" s="6" t="str">
        <f>_xlfn.XLOOKUP(B582,Indices!$A$2:$A$2676,Indices!$B$2:$B$2676,"")</f>
        <v>IWM</v>
      </c>
    </row>
    <row r="583" spans="1:4" x14ac:dyDescent="0.25">
      <c r="A583" s="140">
        <v>45687.204861111109</v>
      </c>
      <c r="B583" t="s">
        <v>1418</v>
      </c>
      <c r="C583" t="s">
        <v>6139</v>
      </c>
      <c r="D583" s="6" t="str">
        <f>_xlfn.XLOOKUP(B583,Indices!$A$2:$A$2676,Indices!$B$2:$B$2676,"")</f>
        <v>SP500</v>
      </c>
    </row>
    <row r="584" spans="1:4" x14ac:dyDescent="0.25">
      <c r="A584" s="140">
        <v>45687.204861111109</v>
      </c>
      <c r="B584" t="s">
        <v>1483</v>
      </c>
      <c r="C584" t="s">
        <v>6139</v>
      </c>
      <c r="D584" s="6" t="str">
        <f>_xlfn.XLOOKUP(B584,Indices!$A$2:$A$2676,Indices!$B$2:$B$2676,"")</f>
        <v>SP500</v>
      </c>
    </row>
    <row r="585" spans="1:4" x14ac:dyDescent="0.25">
      <c r="A585" s="140">
        <v>45687.204861111109</v>
      </c>
      <c r="B585" t="s">
        <v>1297</v>
      </c>
      <c r="C585" t="s">
        <v>6139</v>
      </c>
      <c r="D585" s="6" t="str">
        <f>_xlfn.XLOOKUP(B585,Indices!$A$2:$A$2676,Indices!$B$2:$B$2676,"")</f>
        <v>SP500</v>
      </c>
    </row>
    <row r="586" spans="1:4" x14ac:dyDescent="0.25">
      <c r="A586" s="140">
        <v>45687.204861111109</v>
      </c>
      <c r="B586" t="s">
        <v>1401</v>
      </c>
      <c r="C586" t="s">
        <v>6139</v>
      </c>
      <c r="D586" s="6" t="str">
        <f>_xlfn.XLOOKUP(B586,Indices!$A$2:$A$2676,Indices!$B$2:$B$2676,"")</f>
        <v>SP500</v>
      </c>
    </row>
    <row r="587" spans="1:4" x14ac:dyDescent="0.25">
      <c r="A587" s="140">
        <v>45687.204861111109</v>
      </c>
      <c r="B587" t="s">
        <v>1597</v>
      </c>
      <c r="C587" t="s">
        <v>6139</v>
      </c>
      <c r="D587" s="6" t="str">
        <f>_xlfn.XLOOKUP(B587,Indices!$A$2:$A$2676,Indices!$B$2:$B$2676,"")</f>
        <v>SP500</v>
      </c>
    </row>
    <row r="588" spans="1:4" x14ac:dyDescent="0.25">
      <c r="A588" s="140">
        <v>45687.208333333336</v>
      </c>
      <c r="B588" t="s">
        <v>287</v>
      </c>
      <c r="C588" t="s">
        <v>6140</v>
      </c>
      <c r="D588" s="6" t="str">
        <f>_xlfn.XLOOKUP(B588,Indices!$A$2:$A$2676,Indices!$B$2:$B$2676,"")</f>
        <v>IWM</v>
      </c>
    </row>
    <row r="589" spans="1:4" x14ac:dyDescent="0.25">
      <c r="A589" s="140">
        <v>45687.208333333336</v>
      </c>
      <c r="B589" t="s">
        <v>2068</v>
      </c>
      <c r="C589" t="s">
        <v>6140</v>
      </c>
      <c r="D589" s="6" t="str">
        <f>_xlfn.XLOOKUP(B589,Indices!$A$2:$A$2676,Indices!$B$2:$B$2676,"")</f>
        <v>IWM</v>
      </c>
    </row>
    <row r="590" spans="1:4" x14ac:dyDescent="0.25">
      <c r="A590" s="140">
        <v>45687.208333333336</v>
      </c>
      <c r="B590" t="s">
        <v>1345</v>
      </c>
      <c r="C590" t="s">
        <v>6140</v>
      </c>
      <c r="D590" s="6" t="str">
        <f>_xlfn.XLOOKUP(B590,Indices!$A$2:$A$2676,Indices!$B$2:$B$2676,"")</f>
        <v>SP500</v>
      </c>
    </row>
    <row r="591" spans="1:4" x14ac:dyDescent="0.25">
      <c r="A591" s="140">
        <v>45687.208333333336</v>
      </c>
      <c r="B591" t="s">
        <v>6141</v>
      </c>
      <c r="C591" t="s">
        <v>6140</v>
      </c>
      <c r="D591" s="6" t="str">
        <f>_xlfn.XLOOKUP(B591,Indices!$A$2:$A$2676,Indices!$B$2:$B$2676,"")</f>
        <v/>
      </c>
    </row>
    <row r="592" spans="1:4" x14ac:dyDescent="0.25">
      <c r="A592" s="140">
        <v>45687.208333333336</v>
      </c>
      <c r="B592" t="s">
        <v>2447</v>
      </c>
      <c r="C592" t="s">
        <v>6140</v>
      </c>
      <c r="D592" s="6" t="str">
        <f>_xlfn.XLOOKUP(B592,Indices!$A$2:$A$2676,Indices!$B$2:$B$2676,"")</f>
        <v>S&amp;P Mid</v>
      </c>
    </row>
    <row r="593" spans="1:4" x14ac:dyDescent="0.25">
      <c r="A593" s="140">
        <v>45687.208333333336</v>
      </c>
      <c r="B593" t="s">
        <v>2506</v>
      </c>
      <c r="C593" t="s">
        <v>6140</v>
      </c>
      <c r="D593" s="6" t="str">
        <f>_xlfn.XLOOKUP(B593,Indices!$A$2:$A$2676,Indices!$B$2:$B$2676,"")</f>
        <v>S&amp;P Mid</v>
      </c>
    </row>
    <row r="594" spans="1:4" x14ac:dyDescent="0.25">
      <c r="A594" s="140">
        <v>45687.208333333336</v>
      </c>
      <c r="B594" t="s">
        <v>1050</v>
      </c>
      <c r="C594" t="s">
        <v>6140</v>
      </c>
      <c r="D594" s="6" t="str">
        <f>_xlfn.XLOOKUP(B594,Indices!$A$2:$A$2676,Indices!$B$2:$B$2676,"")</f>
        <v>IWM</v>
      </c>
    </row>
    <row r="595" spans="1:4" x14ac:dyDescent="0.25">
      <c r="A595" s="140">
        <v>45687.208333333336</v>
      </c>
      <c r="B595" t="s">
        <v>1686</v>
      </c>
      <c r="C595" t="s">
        <v>6140</v>
      </c>
      <c r="D595" s="6" t="str">
        <f>_xlfn.XLOOKUP(B595,Indices!$A$2:$A$2676,Indices!$B$2:$B$2676,"")</f>
        <v>IWM</v>
      </c>
    </row>
    <row r="596" spans="1:4" x14ac:dyDescent="0.25">
      <c r="A596" s="140">
        <v>45687.208333333336</v>
      </c>
      <c r="B596" t="s">
        <v>292</v>
      </c>
      <c r="C596" t="s">
        <v>6140</v>
      </c>
      <c r="D596" s="6" t="str">
        <f>_xlfn.XLOOKUP(B596,Indices!$A$2:$A$2676,Indices!$B$2:$B$2676,"")</f>
        <v>IWM</v>
      </c>
    </row>
    <row r="597" spans="1:4" x14ac:dyDescent="0.25">
      <c r="A597" s="140">
        <v>45687.208333333336</v>
      </c>
      <c r="B597" t="s">
        <v>1319</v>
      </c>
      <c r="C597" t="s">
        <v>6140</v>
      </c>
      <c r="D597" s="6" t="str">
        <f>_xlfn.XLOOKUP(B597,Indices!$A$2:$A$2676,Indices!$B$2:$B$2676,"")</f>
        <v>SP500</v>
      </c>
    </row>
    <row r="598" spans="1:4" x14ac:dyDescent="0.25">
      <c r="A598" s="140">
        <v>45687.208333333336</v>
      </c>
      <c r="B598" t="s">
        <v>6142</v>
      </c>
      <c r="C598" t="s">
        <v>6140</v>
      </c>
      <c r="D598" s="6" t="str">
        <f>_xlfn.XLOOKUP(B598,Indices!$A$2:$A$2676,Indices!$B$2:$B$2676,"")</f>
        <v/>
      </c>
    </row>
    <row r="599" spans="1:4" x14ac:dyDescent="0.25">
      <c r="A599" s="140">
        <v>45687.208333333336</v>
      </c>
      <c r="B599" t="s">
        <v>1998</v>
      </c>
      <c r="C599" t="s">
        <v>6140</v>
      </c>
      <c r="D599" s="6" t="str">
        <f>_xlfn.XLOOKUP(B599,Indices!$A$2:$A$2676,Indices!$B$2:$B$2676,"")</f>
        <v>IWM</v>
      </c>
    </row>
    <row r="600" spans="1:4" x14ac:dyDescent="0.25">
      <c r="A600" s="140">
        <v>45687.208333333336</v>
      </c>
      <c r="B600" t="s">
        <v>2452</v>
      </c>
      <c r="C600" t="s">
        <v>6140</v>
      </c>
      <c r="D600" s="6" t="str">
        <f>_xlfn.XLOOKUP(B600,Indices!$A$2:$A$2676,Indices!$B$2:$B$2676,"")</f>
        <v>S&amp;P Mid</v>
      </c>
    </row>
    <row r="601" spans="1:4" x14ac:dyDescent="0.25">
      <c r="A601" s="140">
        <v>45687.208333333336</v>
      </c>
      <c r="B601" t="s">
        <v>6143</v>
      </c>
      <c r="C601" t="s">
        <v>6140</v>
      </c>
      <c r="D601" s="6" t="str">
        <f>_xlfn.XLOOKUP(B601,Indices!$A$2:$A$2676,Indices!$B$2:$B$2676,"")</f>
        <v/>
      </c>
    </row>
    <row r="602" spans="1:4" x14ac:dyDescent="0.25">
      <c r="A602" s="140">
        <v>45687.208333333336</v>
      </c>
      <c r="B602" t="s">
        <v>1351</v>
      </c>
      <c r="C602" t="s">
        <v>6140</v>
      </c>
      <c r="D602" s="6" t="str">
        <f>_xlfn.XLOOKUP(B602,Indices!$A$2:$A$2676,Indices!$B$2:$B$2676,"")</f>
        <v>SP500</v>
      </c>
    </row>
    <row r="603" spans="1:4" x14ac:dyDescent="0.25">
      <c r="A603" s="140">
        <v>45687.208333333336</v>
      </c>
      <c r="B603" t="s">
        <v>2009</v>
      </c>
      <c r="C603" t="s">
        <v>6140</v>
      </c>
      <c r="D603" s="6" t="str">
        <f>_xlfn.XLOOKUP(B603,Indices!$A$2:$A$2676,Indices!$B$2:$B$2676,"")</f>
        <v>IWM</v>
      </c>
    </row>
    <row r="604" spans="1:4" x14ac:dyDescent="0.25">
      <c r="A604" s="140">
        <v>45687.208333333336</v>
      </c>
      <c r="B604" t="s">
        <v>1354</v>
      </c>
      <c r="C604" t="s">
        <v>6140</v>
      </c>
      <c r="D604" s="6" t="str">
        <f>_xlfn.XLOOKUP(B604,Indices!$A$2:$A$2676,Indices!$B$2:$B$2676,"")</f>
        <v>SP500</v>
      </c>
    </row>
    <row r="605" spans="1:4" x14ac:dyDescent="0.25">
      <c r="A605" s="140">
        <v>45687.229166666664</v>
      </c>
      <c r="B605" t="s">
        <v>1934</v>
      </c>
      <c r="C605" t="s">
        <v>6144</v>
      </c>
      <c r="D605" s="6" t="str">
        <f>_xlfn.XLOOKUP(B605,Indices!$A$2:$A$2676,Indices!$B$2:$B$2676,"")</f>
        <v>IWM</v>
      </c>
    </row>
    <row r="606" spans="1:4" x14ac:dyDescent="0.25">
      <c r="A606" s="140">
        <v>45687.229166666664</v>
      </c>
      <c r="B606" t="s">
        <v>1531</v>
      </c>
      <c r="C606" t="s">
        <v>6144</v>
      </c>
      <c r="D606" s="6" t="str">
        <f>_xlfn.XLOOKUP(B606,Indices!$A$2:$A$2676,Indices!$B$2:$B$2676,"")</f>
        <v>SP500</v>
      </c>
    </row>
    <row r="607" spans="1:4" x14ac:dyDescent="0.25">
      <c r="A607" s="140">
        <v>45687.229166666664</v>
      </c>
      <c r="B607" t="s">
        <v>1935</v>
      </c>
      <c r="C607" t="s">
        <v>6144</v>
      </c>
      <c r="D607" s="6" t="str">
        <f>_xlfn.XLOOKUP(B607,Indices!$A$2:$A$2676,Indices!$B$2:$B$2676,"")</f>
        <v>IWM</v>
      </c>
    </row>
    <row r="608" spans="1:4" x14ac:dyDescent="0.25">
      <c r="A608" s="140">
        <v>45687.229166666664</v>
      </c>
      <c r="B608" t="s">
        <v>1360</v>
      </c>
      <c r="C608" t="s">
        <v>6144</v>
      </c>
      <c r="D608" s="6" t="str">
        <f>_xlfn.XLOOKUP(B608,Indices!$A$2:$A$2676,Indices!$B$2:$B$2676,"")</f>
        <v>SP500</v>
      </c>
    </row>
    <row r="609" spans="1:4" x14ac:dyDescent="0.25">
      <c r="A609" s="140">
        <v>45687.229166666664</v>
      </c>
      <c r="B609" t="s">
        <v>2008</v>
      </c>
      <c r="C609" t="s">
        <v>6144</v>
      </c>
      <c r="D609" s="6" t="str">
        <f>_xlfn.XLOOKUP(B609,Indices!$A$2:$A$2676,Indices!$B$2:$B$2676,"")</f>
        <v>IWM</v>
      </c>
    </row>
    <row r="610" spans="1:4" x14ac:dyDescent="0.25">
      <c r="A610" s="140">
        <v>45687.229166666664</v>
      </c>
      <c r="B610" t="s">
        <v>2224</v>
      </c>
      <c r="C610" t="s">
        <v>6144</v>
      </c>
      <c r="D610" s="6" t="str">
        <f>_xlfn.XLOOKUP(B610,Indices!$A$2:$A$2676,Indices!$B$2:$B$2676,"")</f>
        <v>IWM</v>
      </c>
    </row>
    <row r="611" spans="1:4" x14ac:dyDescent="0.25">
      <c r="A611" s="140">
        <v>45687.234722222223</v>
      </c>
      <c r="B611" t="s">
        <v>2510</v>
      </c>
      <c r="C611" t="s">
        <v>6145</v>
      </c>
      <c r="D611" s="6" t="str">
        <f>_xlfn.XLOOKUP(B611,Indices!$A$2:$A$2676,Indices!$B$2:$B$2676,"")</f>
        <v>S&amp;P Mid</v>
      </c>
    </row>
    <row r="612" spans="1:4" x14ac:dyDescent="0.25">
      <c r="A612" s="140">
        <v>45687.24722222222</v>
      </c>
      <c r="B612" t="s">
        <v>6146</v>
      </c>
      <c r="C612" t="s">
        <v>6147</v>
      </c>
      <c r="D612" s="6" t="str">
        <f>_xlfn.XLOOKUP(B612,Indices!$A$2:$A$2676,Indices!$B$2:$B$2676,"")</f>
        <v/>
      </c>
    </row>
    <row r="613" spans="1:4" x14ac:dyDescent="0.25">
      <c r="A613" s="140">
        <v>45687.25</v>
      </c>
      <c r="B613" t="s">
        <v>1629</v>
      </c>
      <c r="C613" t="s">
        <v>6148</v>
      </c>
      <c r="D613" s="6" t="str">
        <f>_xlfn.XLOOKUP(B613,Indices!$A$2:$A$2676,Indices!$B$2:$B$2676,"")</f>
        <v>IWM</v>
      </c>
    </row>
    <row r="614" spans="1:4" x14ac:dyDescent="0.25">
      <c r="A614" s="140">
        <v>45687.25</v>
      </c>
      <c r="B614" t="s">
        <v>1808</v>
      </c>
      <c r="C614" t="s">
        <v>6148</v>
      </c>
      <c r="D614" s="6" t="str">
        <f>_xlfn.XLOOKUP(B614,Indices!$A$2:$A$2676,Indices!$B$2:$B$2676,"")</f>
        <v>IWM</v>
      </c>
    </row>
    <row r="615" spans="1:4" x14ac:dyDescent="0.25">
      <c r="A615" s="140">
        <v>45687.25</v>
      </c>
      <c r="B615" t="s">
        <v>2142</v>
      </c>
      <c r="C615" t="s">
        <v>6148</v>
      </c>
      <c r="D615" s="6" t="str">
        <f>_xlfn.XLOOKUP(B615,Indices!$A$2:$A$2676,Indices!$B$2:$B$2676,"")</f>
        <v>IWM</v>
      </c>
    </row>
    <row r="616" spans="1:4" x14ac:dyDescent="0.25">
      <c r="A616" s="140">
        <v>45687.260416666664</v>
      </c>
      <c r="B616" t="s">
        <v>6149</v>
      </c>
      <c r="C616" t="s">
        <v>6150</v>
      </c>
      <c r="D616" s="6" t="str">
        <f>_xlfn.XLOOKUP(B616,Indices!$A$2:$A$2676,Indices!$B$2:$B$2676,"")</f>
        <v/>
      </c>
    </row>
    <row r="617" spans="1:4" x14ac:dyDescent="0.25">
      <c r="A617" s="140">
        <v>45687.26458333333</v>
      </c>
      <c r="B617" t="s">
        <v>2156</v>
      </c>
      <c r="C617" t="s">
        <v>6151</v>
      </c>
      <c r="D617" s="6" t="str">
        <f>_xlfn.XLOOKUP(B617,Indices!$A$2:$A$2676,Indices!$B$2:$B$2676,"")</f>
        <v>IWM</v>
      </c>
    </row>
    <row r="618" spans="1:4" x14ac:dyDescent="0.25">
      <c r="A618" s="140">
        <v>45687.270833333336</v>
      </c>
      <c r="B618" t="s">
        <v>2287</v>
      </c>
      <c r="C618" t="s">
        <v>6152</v>
      </c>
      <c r="D618" s="6" t="str">
        <f>_xlfn.XLOOKUP(B618,Indices!$A$2:$A$2676,Indices!$B$2:$B$2676,"")</f>
        <v>IWM</v>
      </c>
    </row>
    <row r="619" spans="1:4" x14ac:dyDescent="0.25">
      <c r="A619" s="140">
        <v>45687.270833333336</v>
      </c>
      <c r="B619" t="s">
        <v>2035</v>
      </c>
      <c r="C619" t="s">
        <v>6152</v>
      </c>
      <c r="D619" s="6" t="str">
        <f>_xlfn.XLOOKUP(B619,Indices!$A$2:$A$2676,Indices!$B$2:$B$2676,"")</f>
        <v>IWM</v>
      </c>
    </row>
    <row r="620" spans="1:4" x14ac:dyDescent="0.25">
      <c r="A620" s="140">
        <v>45687.270833333336</v>
      </c>
      <c r="B620" t="s">
        <v>2169</v>
      </c>
      <c r="C620" t="s">
        <v>6152</v>
      </c>
      <c r="D620" s="6" t="str">
        <f>_xlfn.XLOOKUP(B620,Indices!$A$2:$A$2676,Indices!$B$2:$B$2676,"")</f>
        <v>IWM</v>
      </c>
    </row>
    <row r="621" spans="1:4" x14ac:dyDescent="0.25">
      <c r="A621" s="140">
        <v>45687.270833333336</v>
      </c>
      <c r="B621" t="s">
        <v>642</v>
      </c>
      <c r="C621" t="s">
        <v>6152</v>
      </c>
      <c r="D621" s="6" t="str">
        <f>_xlfn.XLOOKUP(B621,Indices!$A$2:$A$2676,Indices!$B$2:$B$2676,"")</f>
        <v>IWM</v>
      </c>
    </row>
    <row r="622" spans="1:4" x14ac:dyDescent="0.25">
      <c r="A622" s="140">
        <v>45687.291666666664</v>
      </c>
      <c r="B622" t="s">
        <v>6153</v>
      </c>
      <c r="C622" t="s">
        <v>6154</v>
      </c>
      <c r="D622" s="6" t="str">
        <f>_xlfn.XLOOKUP(B622,Indices!$A$2:$A$2676,Indices!$B$2:$B$2676,"")</f>
        <v/>
      </c>
    </row>
    <row r="623" spans="1:4" x14ac:dyDescent="0.25">
      <c r="A623" s="140">
        <v>45687.291666666664</v>
      </c>
      <c r="B623" t="s">
        <v>6155</v>
      </c>
      <c r="C623" t="s">
        <v>6156</v>
      </c>
      <c r="D623" s="6" t="str">
        <f>_xlfn.XLOOKUP(B623,Indices!$A$2:$A$2676,Indices!$B$2:$B$2676,"")</f>
        <v/>
      </c>
    </row>
    <row r="624" spans="1:4" x14ac:dyDescent="0.25">
      <c r="A624" s="140">
        <v>45687.291666666664</v>
      </c>
      <c r="B624" t="s">
        <v>6157</v>
      </c>
      <c r="C624" t="s">
        <v>6156</v>
      </c>
      <c r="D624" s="6" t="str">
        <f>_xlfn.XLOOKUP(B624,Indices!$A$2:$A$2676,Indices!$B$2:$B$2676,"")</f>
        <v/>
      </c>
    </row>
    <row r="625" spans="1:4" x14ac:dyDescent="0.25">
      <c r="A625" s="140">
        <v>45687.291666666664</v>
      </c>
      <c r="B625" t="s">
        <v>2426</v>
      </c>
      <c r="C625" t="s">
        <v>6154</v>
      </c>
      <c r="D625" s="6" t="str">
        <f>_xlfn.XLOOKUP(B625,Indices!$A$2:$A$2676,Indices!$B$2:$B$2676,"")</f>
        <v>S&amp;P Mid</v>
      </c>
    </row>
    <row r="626" spans="1:4" x14ac:dyDescent="0.25">
      <c r="A626" s="140">
        <v>45687.291666666664</v>
      </c>
      <c r="B626" t="s">
        <v>6158</v>
      </c>
      <c r="C626" t="s">
        <v>6159</v>
      </c>
      <c r="D626" s="6" t="str">
        <f>_xlfn.XLOOKUP(B626,Indices!$A$2:$A$2676,Indices!$B$2:$B$2676,"")</f>
        <v/>
      </c>
    </row>
    <row r="627" spans="1:4" x14ac:dyDescent="0.25">
      <c r="A627" s="140">
        <v>45687.291666666664</v>
      </c>
      <c r="B627" t="s">
        <v>2052</v>
      </c>
      <c r="C627" t="s">
        <v>6159</v>
      </c>
      <c r="D627" s="6" t="str">
        <f>_xlfn.XLOOKUP(B627,Indices!$A$2:$A$2676,Indices!$B$2:$B$2676,"")</f>
        <v>IWM</v>
      </c>
    </row>
    <row r="628" spans="1:4" x14ac:dyDescent="0.25">
      <c r="A628" s="140">
        <v>45687.583333333336</v>
      </c>
      <c r="B628" t="s">
        <v>2207</v>
      </c>
      <c r="C628" t="s">
        <v>6160</v>
      </c>
      <c r="D628" s="6" t="str">
        <f>_xlfn.XLOOKUP(B628,Indices!$A$2:$A$2676,Indices!$B$2:$B$2676,"")</f>
        <v>IWM</v>
      </c>
    </row>
    <row r="629" spans="1:4" x14ac:dyDescent="0.25">
      <c r="A629" s="140">
        <v>45687.583333333336</v>
      </c>
      <c r="B629" t="s">
        <v>6161</v>
      </c>
      <c r="C629" t="s">
        <v>6160</v>
      </c>
      <c r="D629" s="6" t="str">
        <f>_xlfn.XLOOKUP(B629,Indices!$A$2:$A$2676,Indices!$B$2:$B$2676,"")</f>
        <v/>
      </c>
    </row>
    <row r="630" spans="1:4" x14ac:dyDescent="0.25">
      <c r="A630" s="140">
        <v>45687.583333333336</v>
      </c>
      <c r="B630" t="s">
        <v>6162</v>
      </c>
      <c r="C630" t="s">
        <v>6160</v>
      </c>
      <c r="D630" s="6" t="str">
        <f>_xlfn.XLOOKUP(B630,Indices!$A$2:$A$2676,Indices!$B$2:$B$2676,"")</f>
        <v/>
      </c>
    </row>
    <row r="631" spans="1:4" x14ac:dyDescent="0.25">
      <c r="A631" s="140">
        <v>45687.584027777775</v>
      </c>
      <c r="B631" t="s">
        <v>2333</v>
      </c>
      <c r="C631" t="s">
        <v>6163</v>
      </c>
      <c r="D631" s="6" t="str">
        <f>_xlfn.XLOOKUP(B631,Indices!$A$2:$A$2676,Indices!$B$2:$B$2676,"")</f>
        <v>IWM</v>
      </c>
    </row>
    <row r="632" spans="1:4" x14ac:dyDescent="0.25">
      <c r="A632" s="140">
        <v>45687.584027777775</v>
      </c>
      <c r="B632" t="s">
        <v>1705</v>
      </c>
      <c r="C632" t="s">
        <v>6163</v>
      </c>
      <c r="D632" s="6" t="str">
        <f>_xlfn.XLOOKUP(B632,Indices!$A$2:$A$2676,Indices!$B$2:$B$2676,"")</f>
        <v>IWM</v>
      </c>
    </row>
    <row r="633" spans="1:4" x14ac:dyDescent="0.25">
      <c r="A633" s="140">
        <v>45687.584027777775</v>
      </c>
      <c r="B633" t="s">
        <v>6164</v>
      </c>
      <c r="C633" t="s">
        <v>6163</v>
      </c>
      <c r="D633" s="6" t="str">
        <f>_xlfn.XLOOKUP(B633,Indices!$A$2:$A$2676,Indices!$B$2:$B$2676,"")</f>
        <v/>
      </c>
    </row>
    <row r="634" spans="1:4" x14ac:dyDescent="0.25">
      <c r="A634" s="140">
        <v>45687.584027777775</v>
      </c>
      <c r="B634" t="s">
        <v>1349</v>
      </c>
      <c r="C634" t="s">
        <v>6163</v>
      </c>
      <c r="D634" s="6" t="str">
        <f>_xlfn.XLOOKUP(B634,Indices!$A$2:$A$2676,Indices!$B$2:$B$2676,"")</f>
        <v>SP500</v>
      </c>
    </row>
    <row r="635" spans="1:4" x14ac:dyDescent="0.25">
      <c r="A635" s="140">
        <v>45687.584027777775</v>
      </c>
      <c r="B635" t="s">
        <v>1835</v>
      </c>
      <c r="C635" t="s">
        <v>6163</v>
      </c>
      <c r="D635" s="6" t="str">
        <f>_xlfn.XLOOKUP(B635,Indices!$A$2:$A$2676,Indices!$B$2:$B$2676,"")</f>
        <v>IWM</v>
      </c>
    </row>
    <row r="636" spans="1:4" x14ac:dyDescent="0.25">
      <c r="A636" s="140">
        <v>45687.584722222222</v>
      </c>
      <c r="B636" t="s">
        <v>2149</v>
      </c>
      <c r="C636" t="s">
        <v>6165</v>
      </c>
      <c r="D636" s="6" t="str">
        <f>_xlfn.XLOOKUP(B636,Indices!$A$2:$A$2676,Indices!$B$2:$B$2676,"")</f>
        <v>IWM</v>
      </c>
    </row>
    <row r="637" spans="1:4" x14ac:dyDescent="0.25">
      <c r="A637" s="140">
        <v>45687.586805555555</v>
      </c>
      <c r="B637" t="s">
        <v>2486</v>
      </c>
      <c r="C637" t="s">
        <v>6166</v>
      </c>
      <c r="D637" s="6" t="str">
        <f>_xlfn.XLOOKUP(B637,Indices!$A$2:$A$2676,Indices!$B$2:$B$2676,"")</f>
        <v>S&amp;P Mid</v>
      </c>
    </row>
    <row r="638" spans="1:4" x14ac:dyDescent="0.25">
      <c r="A638" s="140">
        <v>45687.586805555555</v>
      </c>
      <c r="B638" t="s">
        <v>1455</v>
      </c>
      <c r="C638" t="s">
        <v>6166</v>
      </c>
      <c r="D638" s="6" t="str">
        <f>_xlfn.XLOOKUP(B638,Indices!$A$2:$A$2676,Indices!$B$2:$B$2676,"")</f>
        <v>SP500</v>
      </c>
    </row>
    <row r="639" spans="1:4" x14ac:dyDescent="0.25">
      <c r="A639" s="140">
        <v>45687.586805555555</v>
      </c>
      <c r="B639" t="s">
        <v>1371</v>
      </c>
      <c r="C639" t="s">
        <v>6166</v>
      </c>
      <c r="D639" s="6" t="str">
        <f>_xlfn.XLOOKUP(B639,Indices!$A$2:$A$2676,Indices!$B$2:$B$2676,"")</f>
        <v>SP500</v>
      </c>
    </row>
    <row r="640" spans="1:4" x14ac:dyDescent="0.25">
      <c r="A640" s="140">
        <v>45687.586805555555</v>
      </c>
      <c r="B640" t="s">
        <v>1729</v>
      </c>
      <c r="C640" t="s">
        <v>6166</v>
      </c>
      <c r="D640" s="6" t="str">
        <f>_xlfn.XLOOKUP(B640,Indices!$A$2:$A$2676,Indices!$B$2:$B$2676,"")</f>
        <v>IWM</v>
      </c>
    </row>
    <row r="641" spans="1:4" x14ac:dyDescent="0.25">
      <c r="A641" s="140">
        <v>45687.586805555555</v>
      </c>
      <c r="B641" t="s">
        <v>1285</v>
      </c>
      <c r="C641" t="s">
        <v>6166</v>
      </c>
      <c r="D641" s="6" t="str">
        <f>_xlfn.XLOOKUP(B641,Indices!$A$2:$A$2676,Indices!$B$2:$B$2676,"")</f>
        <v>SP500</v>
      </c>
    </row>
    <row r="642" spans="1:4" x14ac:dyDescent="0.25">
      <c r="A642" s="140">
        <v>45687.586805555555</v>
      </c>
      <c r="B642" t="s">
        <v>2203</v>
      </c>
      <c r="C642" t="s">
        <v>6166</v>
      </c>
      <c r="D642" s="6" t="str">
        <f>_xlfn.XLOOKUP(B642,Indices!$A$2:$A$2676,Indices!$B$2:$B$2676,"")</f>
        <v>IWM</v>
      </c>
    </row>
    <row r="643" spans="1:4" x14ac:dyDescent="0.25">
      <c r="A643" s="140">
        <v>45687.586805555555</v>
      </c>
      <c r="B643" t="s">
        <v>1825</v>
      </c>
      <c r="C643" t="s">
        <v>6166</v>
      </c>
      <c r="D643" s="6" t="str">
        <f>_xlfn.XLOOKUP(B643,Indices!$A$2:$A$2676,Indices!$B$2:$B$2676,"")</f>
        <v>IWM</v>
      </c>
    </row>
    <row r="644" spans="1:4" x14ac:dyDescent="0.25">
      <c r="A644" s="140">
        <v>45687.586805555555</v>
      </c>
      <c r="B644" t="s">
        <v>6167</v>
      </c>
      <c r="C644" t="s">
        <v>6166</v>
      </c>
      <c r="D644" s="6" t="str">
        <f>_xlfn.XLOOKUP(B644,Indices!$A$2:$A$2676,Indices!$B$2:$B$2676,"")</f>
        <v/>
      </c>
    </row>
    <row r="645" spans="1:4" x14ac:dyDescent="0.25">
      <c r="A645" s="140">
        <v>45687.586805555555</v>
      </c>
      <c r="B645" t="s">
        <v>2284</v>
      </c>
      <c r="C645" t="s">
        <v>6166</v>
      </c>
      <c r="D645" s="6" t="str">
        <f>_xlfn.XLOOKUP(B645,Indices!$A$2:$A$2676,Indices!$B$2:$B$2676,"")</f>
        <v>IWM</v>
      </c>
    </row>
    <row r="646" spans="1:4" x14ac:dyDescent="0.25">
      <c r="A646" s="140">
        <v>45687.586805555555</v>
      </c>
      <c r="B646" t="s">
        <v>1495</v>
      </c>
      <c r="C646" t="s">
        <v>6166</v>
      </c>
      <c r="D646" s="6" t="str">
        <f>_xlfn.XLOOKUP(B646,Indices!$A$2:$A$2676,Indices!$B$2:$B$2676,"")</f>
        <v>SP500</v>
      </c>
    </row>
    <row r="647" spans="1:4" x14ac:dyDescent="0.25">
      <c r="A647" s="140">
        <v>45687.586805555555</v>
      </c>
      <c r="B647" t="s">
        <v>1548</v>
      </c>
      <c r="C647" t="s">
        <v>6166</v>
      </c>
      <c r="D647" s="6" t="str">
        <f>_xlfn.XLOOKUP(B647,Indices!$A$2:$A$2676,Indices!$B$2:$B$2676,"")</f>
        <v>SP500</v>
      </c>
    </row>
    <row r="648" spans="1:4" x14ac:dyDescent="0.25">
      <c r="A648" s="140">
        <v>45687.586805555555</v>
      </c>
      <c r="B648" t="s">
        <v>2479</v>
      </c>
      <c r="C648" t="s">
        <v>6166</v>
      </c>
      <c r="D648" s="6" t="str">
        <f>_xlfn.XLOOKUP(B648,Indices!$A$2:$A$2676,Indices!$B$2:$B$2676,"")</f>
        <v>S&amp;P Mid</v>
      </c>
    </row>
    <row r="649" spans="1:4" x14ac:dyDescent="0.25">
      <c r="A649" s="140">
        <v>45687.586805555555</v>
      </c>
      <c r="B649" t="s">
        <v>6168</v>
      </c>
      <c r="C649" t="s">
        <v>6166</v>
      </c>
      <c r="D649" s="6" t="str">
        <f>_xlfn.XLOOKUP(B649,Indices!$A$2:$A$2676,Indices!$B$2:$B$2676,"")</f>
        <v/>
      </c>
    </row>
    <row r="650" spans="1:4" x14ac:dyDescent="0.25">
      <c r="A650" s="140">
        <v>45687.586805555555</v>
      </c>
      <c r="B650" t="s">
        <v>1619</v>
      </c>
      <c r="C650" t="s">
        <v>6166</v>
      </c>
      <c r="D650" s="6" t="str">
        <f>_xlfn.XLOOKUP(B650,Indices!$A$2:$A$2676,Indices!$B$2:$B$2676,"")</f>
        <v>NQ100</v>
      </c>
    </row>
    <row r="651" spans="1:4" x14ac:dyDescent="0.25">
      <c r="A651" s="140">
        <v>45687.587500000001</v>
      </c>
      <c r="B651" t="s">
        <v>2316</v>
      </c>
      <c r="C651" t="s">
        <v>6169</v>
      </c>
      <c r="D651" s="6" t="str">
        <f>_xlfn.XLOOKUP(B651,Indices!$A$2:$A$2676,Indices!$B$2:$B$2676,"")</f>
        <v>IWM</v>
      </c>
    </row>
    <row r="652" spans="1:4" x14ac:dyDescent="0.25">
      <c r="A652" s="140">
        <v>45687.588194444441</v>
      </c>
      <c r="B652" t="s">
        <v>6170</v>
      </c>
      <c r="C652" t="s">
        <v>6171</v>
      </c>
      <c r="D652" s="6" t="str">
        <f>_xlfn.XLOOKUP(B652,Indices!$A$2:$A$2676,Indices!$B$2:$B$2676,"")</f>
        <v/>
      </c>
    </row>
    <row r="653" spans="1:4" x14ac:dyDescent="0.25">
      <c r="A653" s="140">
        <v>45687.590277777781</v>
      </c>
      <c r="B653" t="s">
        <v>1516</v>
      </c>
      <c r="C653" t="s">
        <v>6172</v>
      </c>
      <c r="D653" s="6" t="str">
        <f>_xlfn.XLOOKUP(B653,Indices!$A$2:$A$2676,Indices!$B$2:$B$2676,"")</f>
        <v>SP500</v>
      </c>
    </row>
    <row r="654" spans="1:4" x14ac:dyDescent="0.25">
      <c r="A654" s="140">
        <v>45687.590277777781</v>
      </c>
      <c r="B654" t="s">
        <v>1728</v>
      </c>
      <c r="C654" t="s">
        <v>6172</v>
      </c>
      <c r="D654" s="6" t="str">
        <f>_xlfn.XLOOKUP(B654,Indices!$A$2:$A$2676,Indices!$B$2:$B$2676,"")</f>
        <v>IWM</v>
      </c>
    </row>
    <row r="655" spans="1:4" x14ac:dyDescent="0.25">
      <c r="A655" s="140">
        <v>45687.593055555553</v>
      </c>
      <c r="B655" t="s">
        <v>1983</v>
      </c>
      <c r="C655" t="s">
        <v>6173</v>
      </c>
      <c r="D655" s="6" t="str">
        <f>_xlfn.XLOOKUP(B655,Indices!$A$2:$A$2676,Indices!$B$2:$B$2676,"")</f>
        <v>IWM</v>
      </c>
    </row>
    <row r="656" spans="1:4" x14ac:dyDescent="0.25">
      <c r="A656" s="140">
        <v>45687.59375</v>
      </c>
      <c r="B656" t="s">
        <v>1590</v>
      </c>
      <c r="C656" t="s">
        <v>6174</v>
      </c>
      <c r="D656" s="6" t="str">
        <f>_xlfn.XLOOKUP(B656,Indices!$A$2:$A$2676,Indices!$B$2:$B$2676,"")</f>
        <v>SP500</v>
      </c>
    </row>
    <row r="657" spans="1:4" x14ac:dyDescent="0.25">
      <c r="A657" s="140">
        <v>45687.59375</v>
      </c>
      <c r="B657" t="s">
        <v>1778</v>
      </c>
      <c r="C657" t="s">
        <v>6174</v>
      </c>
      <c r="D657" s="6" t="str">
        <f>_xlfn.XLOOKUP(B657,Indices!$A$2:$A$2676,Indices!$B$2:$B$2676,"")</f>
        <v>IWM</v>
      </c>
    </row>
    <row r="658" spans="1:4" x14ac:dyDescent="0.25">
      <c r="A658" s="140">
        <v>45687.59375</v>
      </c>
      <c r="B658" t="s">
        <v>1461</v>
      </c>
      <c r="C658" t="s">
        <v>6174</v>
      </c>
      <c r="D658" s="6" t="str">
        <f>_xlfn.XLOOKUP(B658,Indices!$A$2:$A$2676,Indices!$B$2:$B$2676,"")</f>
        <v>SP500</v>
      </c>
    </row>
    <row r="659" spans="1:4" x14ac:dyDescent="0.25">
      <c r="A659" s="140">
        <v>45687.59375</v>
      </c>
      <c r="B659" t="s">
        <v>1854</v>
      </c>
      <c r="C659" t="s">
        <v>6174</v>
      </c>
      <c r="D659" s="6" t="str">
        <f>_xlfn.XLOOKUP(B659,Indices!$A$2:$A$2676,Indices!$B$2:$B$2676,"")</f>
        <v>IWM</v>
      </c>
    </row>
    <row r="660" spans="1:4" x14ac:dyDescent="0.25">
      <c r="A660" s="140">
        <v>45687.59375</v>
      </c>
      <c r="B660" t="s">
        <v>1757</v>
      </c>
      <c r="C660" t="s">
        <v>6174</v>
      </c>
      <c r="D660" s="6" t="str">
        <f>_xlfn.XLOOKUP(B660,Indices!$A$2:$A$2676,Indices!$B$2:$B$2676,"")</f>
        <v>IWM</v>
      </c>
    </row>
    <row r="661" spans="1:4" x14ac:dyDescent="0.25">
      <c r="A661" s="140">
        <v>45687.59375</v>
      </c>
      <c r="B661" t="s">
        <v>1711</v>
      </c>
      <c r="C661" t="s">
        <v>6174</v>
      </c>
      <c r="D661" s="6" t="str">
        <f>_xlfn.XLOOKUP(B661,Indices!$A$2:$A$2676,Indices!$B$2:$B$2676,"")</f>
        <v>IWM</v>
      </c>
    </row>
    <row r="662" spans="1:4" x14ac:dyDescent="0.25">
      <c r="A662" s="140">
        <v>45687.59375</v>
      </c>
      <c r="B662" t="s">
        <v>1040</v>
      </c>
      <c r="C662" t="s">
        <v>6174</v>
      </c>
      <c r="D662" s="6" t="str">
        <f>_xlfn.XLOOKUP(B662,Indices!$A$2:$A$2676,Indices!$B$2:$B$2676,"")</f>
        <v>IWM</v>
      </c>
    </row>
    <row r="663" spans="1:4" x14ac:dyDescent="0.25">
      <c r="A663" s="140">
        <v>45687.59375</v>
      </c>
      <c r="B663" t="s">
        <v>6175</v>
      </c>
      <c r="C663" t="s">
        <v>6174</v>
      </c>
      <c r="D663" s="6" t="str">
        <f>_xlfn.XLOOKUP(B663,Indices!$A$2:$A$2676,Indices!$B$2:$B$2676,"")</f>
        <v/>
      </c>
    </row>
    <row r="664" spans="1:4" x14ac:dyDescent="0.25">
      <c r="A664" s="140">
        <v>45687.59375</v>
      </c>
      <c r="B664" t="s">
        <v>6176</v>
      </c>
      <c r="C664" t="s">
        <v>6174</v>
      </c>
      <c r="D664" s="6" t="str">
        <f>_xlfn.XLOOKUP(B664,Indices!$A$2:$A$2676,Indices!$B$2:$B$2676,"")</f>
        <v/>
      </c>
    </row>
    <row r="665" spans="1:4" x14ac:dyDescent="0.25">
      <c r="A665" s="140">
        <v>45687.59375</v>
      </c>
      <c r="B665" t="s">
        <v>1391</v>
      </c>
      <c r="C665" t="s">
        <v>6174</v>
      </c>
      <c r="D665" s="6" t="str">
        <f>_xlfn.XLOOKUP(B665,Indices!$A$2:$A$2676,Indices!$B$2:$B$2676,"")</f>
        <v>SP500</v>
      </c>
    </row>
    <row r="666" spans="1:4" x14ac:dyDescent="0.25">
      <c r="A666" s="140">
        <v>45687.59375</v>
      </c>
      <c r="B666" t="s">
        <v>6177</v>
      </c>
      <c r="C666" t="s">
        <v>6174</v>
      </c>
      <c r="D666" s="6" t="str">
        <f>_xlfn.XLOOKUP(B666,Indices!$A$2:$A$2676,Indices!$B$2:$B$2676,"")</f>
        <v/>
      </c>
    </row>
    <row r="667" spans="1:4" x14ac:dyDescent="0.25">
      <c r="A667" s="140">
        <v>45687.595138888886</v>
      </c>
      <c r="B667" t="s">
        <v>2360</v>
      </c>
      <c r="C667" t="s">
        <v>6178</v>
      </c>
      <c r="D667" s="6" t="str">
        <f>_xlfn.XLOOKUP(B667,Indices!$A$2:$A$2676,Indices!$B$2:$B$2676,"")</f>
        <v>S&amp;P Mid</v>
      </c>
    </row>
    <row r="668" spans="1:4" x14ac:dyDescent="0.25">
      <c r="A668" s="140">
        <v>45687.595138888886</v>
      </c>
      <c r="B668" t="s">
        <v>2430</v>
      </c>
      <c r="C668" t="s">
        <v>6178</v>
      </c>
      <c r="D668" s="6" t="str">
        <f>_xlfn.XLOOKUP(B668,Indices!$A$2:$A$2676,Indices!$B$2:$B$2676,"")</f>
        <v>S&amp;P Mid</v>
      </c>
    </row>
    <row r="669" spans="1:4" x14ac:dyDescent="0.25">
      <c r="A669" s="140">
        <v>45687.604166666664</v>
      </c>
      <c r="B669" t="s">
        <v>1275</v>
      </c>
      <c r="C669" t="s">
        <v>6179</v>
      </c>
      <c r="D669" s="6" t="str">
        <f>_xlfn.XLOOKUP(B669,Indices!$A$2:$A$2676,Indices!$B$2:$B$2676,"")</f>
        <v>SP500</v>
      </c>
    </row>
    <row r="670" spans="1:4" x14ac:dyDescent="0.25">
      <c r="A670" s="140">
        <v>45687.614583333336</v>
      </c>
      <c r="B670" t="s">
        <v>1932</v>
      </c>
      <c r="C670" t="s">
        <v>6180</v>
      </c>
      <c r="D670" s="6" t="str">
        <f>_xlfn.XLOOKUP(B670,Indices!$A$2:$A$2676,Indices!$B$2:$B$2676,"")</f>
        <v>IWM</v>
      </c>
    </row>
    <row r="671" spans="1:4" x14ac:dyDescent="0.25">
      <c r="A671" s="140">
        <v>45687.614583333336</v>
      </c>
      <c r="B671" t="s">
        <v>1916</v>
      </c>
      <c r="C671" t="s">
        <v>6180</v>
      </c>
      <c r="D671" s="6" t="str">
        <f>_xlfn.XLOOKUP(B671,Indices!$A$2:$A$2676,Indices!$B$2:$B$2676,"")</f>
        <v>IWM</v>
      </c>
    </row>
    <row r="672" spans="1:4" x14ac:dyDescent="0.25">
      <c r="A672" s="140">
        <v>45687.625</v>
      </c>
      <c r="B672" t="s">
        <v>1430</v>
      </c>
      <c r="C672" t="s">
        <v>6181</v>
      </c>
      <c r="D672" s="6" t="str">
        <f>_xlfn.XLOOKUP(B672,Indices!$A$2:$A$2676,Indices!$B$2:$B$2676,"")</f>
        <v>SP500</v>
      </c>
    </row>
    <row r="673" spans="1:4" x14ac:dyDescent="0.25">
      <c r="A673" s="140">
        <v>45687.625</v>
      </c>
      <c r="B673" t="s">
        <v>2230</v>
      </c>
      <c r="C673" t="s">
        <v>6181</v>
      </c>
      <c r="D673" s="6" t="str">
        <f>_xlfn.XLOOKUP(B673,Indices!$A$2:$A$2676,Indices!$B$2:$B$2676,"")</f>
        <v>IWM</v>
      </c>
    </row>
    <row r="674" spans="1:4" x14ac:dyDescent="0.25">
      <c r="A674" s="140">
        <v>45687.629861111112</v>
      </c>
      <c r="B674" t="s">
        <v>2174</v>
      </c>
      <c r="C674" t="s">
        <v>6182</v>
      </c>
      <c r="D674" s="6" t="str">
        <f>_xlfn.XLOOKUP(B674,Indices!$A$2:$A$2676,Indices!$B$2:$B$2676,"")</f>
        <v>IWM</v>
      </c>
    </row>
    <row r="675" spans="1:4" x14ac:dyDescent="0.25">
      <c r="A675" s="140">
        <v>45687.635416666664</v>
      </c>
      <c r="B675" t="s">
        <v>6183</v>
      </c>
      <c r="C675" t="s">
        <v>6184</v>
      </c>
      <c r="D675" s="6" t="str">
        <f>_xlfn.XLOOKUP(B675,Indices!$A$2:$A$2676,Indices!$B$2:$B$2676,"")</f>
        <v/>
      </c>
    </row>
    <row r="676" spans="1:4" x14ac:dyDescent="0.25">
      <c r="A676" s="140">
        <v>45687.645833333336</v>
      </c>
      <c r="B676" t="s">
        <v>6185</v>
      </c>
      <c r="C676" t="s">
        <v>6186</v>
      </c>
      <c r="D676" s="6" t="str">
        <f>_xlfn.XLOOKUP(B676,Indices!$A$2:$A$2676,Indices!$B$2:$B$2676,"")</f>
        <v/>
      </c>
    </row>
    <row r="677" spans="1:4" x14ac:dyDescent="0.25">
      <c r="A677" s="140">
        <v>45687.677083333336</v>
      </c>
      <c r="B677" t="s">
        <v>1486</v>
      </c>
      <c r="C677" t="s">
        <v>6187</v>
      </c>
      <c r="D677" s="6" t="str">
        <f>_xlfn.XLOOKUP(B677,Indices!$A$2:$A$2676,Indices!$B$2:$B$2676,"")</f>
        <v>SP500</v>
      </c>
    </row>
    <row r="678" spans="1:4" x14ac:dyDescent="0.25">
      <c r="A678" s="140">
        <v>45687.958333333336</v>
      </c>
      <c r="B678" t="s">
        <v>6188</v>
      </c>
      <c r="C678" t="s">
        <v>6189</v>
      </c>
      <c r="D678" s="6" t="str">
        <f>_xlfn.XLOOKUP(B678,Indices!$A$2:$A$2676,Indices!$B$2:$B$2676,"")</f>
        <v/>
      </c>
    </row>
    <row r="679" spans="1:4" x14ac:dyDescent="0.25">
      <c r="A679" s="140">
        <v>45687.958333333336</v>
      </c>
      <c r="B679" t="s">
        <v>6190</v>
      </c>
      <c r="C679" t="s">
        <v>6191</v>
      </c>
      <c r="D679" s="6" t="str">
        <f>_xlfn.XLOOKUP(B679,Indices!$A$2:$A$2676,Indices!$B$2:$B$2676,"")</f>
        <v/>
      </c>
    </row>
    <row r="680" spans="1:4" x14ac:dyDescent="0.25">
      <c r="A680" s="140">
        <v>45687.958333333336</v>
      </c>
      <c r="B680" t="s">
        <v>6192</v>
      </c>
      <c r="C680" t="s">
        <v>6189</v>
      </c>
      <c r="D680" s="6" t="str">
        <f>_xlfn.XLOOKUP(B680,Indices!$A$2:$A$2676,Indices!$B$2:$B$2676,"")</f>
        <v/>
      </c>
    </row>
    <row r="681" spans="1:4" x14ac:dyDescent="0.25">
      <c r="A681" s="140">
        <v>45687.958333333336</v>
      </c>
      <c r="B681" t="s">
        <v>6193</v>
      </c>
      <c r="C681" t="s">
        <v>6191</v>
      </c>
      <c r="D681" s="6" t="str">
        <f>_xlfn.XLOOKUP(B681,Indices!$A$2:$A$2676,Indices!$B$2:$B$2676,"")</f>
        <v/>
      </c>
    </row>
    <row r="682" spans="1:4" x14ac:dyDescent="0.25">
      <c r="A682" s="140">
        <v>45687.958333333336</v>
      </c>
      <c r="B682" t="s">
        <v>1903</v>
      </c>
      <c r="C682" t="s">
        <v>6189</v>
      </c>
      <c r="D682" s="6" t="str">
        <f>_xlfn.XLOOKUP(B682,Indices!$A$2:$A$2676,Indices!$B$2:$B$2676,"")</f>
        <v>IWM</v>
      </c>
    </row>
    <row r="683" spans="1:4" x14ac:dyDescent="0.25">
      <c r="A683" s="140">
        <v>45687.958333333336</v>
      </c>
      <c r="B683" t="s">
        <v>6194</v>
      </c>
      <c r="C683" t="s">
        <v>6191</v>
      </c>
      <c r="D683" s="6" t="str">
        <f>_xlfn.XLOOKUP(B683,Indices!$A$2:$A$2676,Indices!$B$2:$B$2676,"")</f>
        <v/>
      </c>
    </row>
    <row r="684" spans="1:4" x14ac:dyDescent="0.25">
      <c r="A684" s="140">
        <v>45687.958333333336</v>
      </c>
      <c r="B684" t="s">
        <v>6195</v>
      </c>
      <c r="C684" t="s">
        <v>6191</v>
      </c>
      <c r="D684" s="6" t="str">
        <f>_xlfn.XLOOKUP(B684,Indices!$A$2:$A$2676,Indices!$B$2:$B$2676,"")</f>
        <v/>
      </c>
    </row>
    <row r="685" spans="1:4" x14ac:dyDescent="0.25">
      <c r="A685" s="140">
        <v>45687.958333333336</v>
      </c>
      <c r="B685" t="s">
        <v>6196</v>
      </c>
      <c r="C685" t="s">
        <v>6189</v>
      </c>
      <c r="D685" s="6" t="str">
        <f>_xlfn.XLOOKUP(B685,Indices!$A$2:$A$2676,Indices!$B$2:$B$2676,"")</f>
        <v/>
      </c>
    </row>
    <row r="686" spans="1:4" x14ac:dyDescent="0.25">
      <c r="A686" s="140">
        <v>45688.166666666664</v>
      </c>
      <c r="B686" t="s">
        <v>2037</v>
      </c>
      <c r="C686" t="s">
        <v>6197</v>
      </c>
      <c r="D686" s="6" t="str">
        <f>_xlfn.XLOOKUP(B686,Indices!$A$2:$A$2676,Indices!$B$2:$B$2676,"")</f>
        <v>IWM</v>
      </c>
    </row>
    <row r="687" spans="1:4" x14ac:dyDescent="0.25">
      <c r="A687" s="140">
        <v>45688.166666666664</v>
      </c>
      <c r="B687" t="s">
        <v>6198</v>
      </c>
      <c r="C687" t="s">
        <v>6197</v>
      </c>
      <c r="D687" s="6" t="str">
        <f>_xlfn.XLOOKUP(B687,Indices!$A$2:$A$2676,Indices!$B$2:$B$2676,"")</f>
        <v/>
      </c>
    </row>
    <row r="688" spans="1:4" x14ac:dyDescent="0.25">
      <c r="A688" s="140">
        <v>45688.166666666664</v>
      </c>
      <c r="B688" t="s">
        <v>8</v>
      </c>
      <c r="C688" t="s">
        <v>6197</v>
      </c>
      <c r="D688" s="6" t="str">
        <f>_xlfn.XLOOKUP(B688,Indices!$A$2:$A$2676,Indices!$B$2:$B$2676,"")</f>
        <v>IWM</v>
      </c>
    </row>
    <row r="689" spans="1:4" x14ac:dyDescent="0.25">
      <c r="A689" s="140">
        <v>45688.166666666664</v>
      </c>
      <c r="B689" t="s">
        <v>36</v>
      </c>
      <c r="C689" t="s">
        <v>6197</v>
      </c>
      <c r="D689" s="6" t="str">
        <f>_xlfn.XLOOKUP(B689,Indices!$A$2:$A$2676,Indices!$B$2:$B$2676,"")</f>
        <v>SP500</v>
      </c>
    </row>
    <row r="690" spans="1:4" x14ac:dyDescent="0.25">
      <c r="A690" s="140">
        <v>45688.166666666664</v>
      </c>
      <c r="B690" t="s">
        <v>2454</v>
      </c>
      <c r="C690" t="s">
        <v>6197</v>
      </c>
      <c r="D690" s="6" t="str">
        <f>_xlfn.XLOOKUP(B690,Indices!$A$2:$A$2676,Indices!$B$2:$B$2676,"")</f>
        <v>S&amp;P Mid</v>
      </c>
    </row>
    <row r="691" spans="1:4" x14ac:dyDescent="0.25">
      <c r="A691" s="140">
        <v>45688.167361111111</v>
      </c>
      <c r="B691" t="s">
        <v>1373</v>
      </c>
      <c r="C691" t="s">
        <v>6199</v>
      </c>
      <c r="D691" s="6" t="str">
        <f>_xlfn.XLOOKUP(B691,Indices!$A$2:$A$2676,Indices!$B$2:$B$2676,"")</f>
        <v>SP500</v>
      </c>
    </row>
    <row r="692" spans="1:4" x14ac:dyDescent="0.25">
      <c r="A692" s="140">
        <v>45688.168749999997</v>
      </c>
      <c r="B692" t="s">
        <v>6200</v>
      </c>
      <c r="C692" t="s">
        <v>6201</v>
      </c>
      <c r="D692" s="6" t="str">
        <f>_xlfn.XLOOKUP(B692,Indices!$A$2:$A$2676,Indices!$B$2:$B$2676,"")</f>
        <v/>
      </c>
    </row>
    <row r="693" spans="1:4" x14ac:dyDescent="0.25">
      <c r="A693" s="140">
        <v>45688.177083333336</v>
      </c>
      <c r="B693" t="s">
        <v>9</v>
      </c>
      <c r="C693" t="s">
        <v>6202</v>
      </c>
      <c r="D693" s="6" t="str">
        <f>_xlfn.XLOOKUP(B693,Indices!$A$2:$A$2676,Indices!$B$2:$B$2676,"")</f>
        <v>SP500</v>
      </c>
    </row>
    <row r="694" spans="1:4" x14ac:dyDescent="0.25">
      <c r="A694" s="140">
        <v>45688.1875</v>
      </c>
      <c r="B694" t="s">
        <v>14</v>
      </c>
      <c r="C694" t="s">
        <v>6203</v>
      </c>
      <c r="D694" s="6" t="str">
        <f>_xlfn.XLOOKUP(B694,Indices!$A$2:$A$2676,Indices!$B$2:$B$2676,"")</f>
        <v>SP500</v>
      </c>
    </row>
    <row r="695" spans="1:4" x14ac:dyDescent="0.25">
      <c r="A695" s="140">
        <v>45688.1875</v>
      </c>
      <c r="B695" t="s">
        <v>6204</v>
      </c>
      <c r="C695" t="s">
        <v>6203</v>
      </c>
      <c r="D695" s="6" t="str">
        <f>_xlfn.XLOOKUP(B695,Indices!$A$2:$A$2676,Indices!$B$2:$B$2676,"")</f>
        <v/>
      </c>
    </row>
    <row r="696" spans="1:4" x14ac:dyDescent="0.25">
      <c r="A696" s="140">
        <v>45688.1875</v>
      </c>
      <c r="B696" t="s">
        <v>13</v>
      </c>
      <c r="C696" t="s">
        <v>6203</v>
      </c>
      <c r="D696" s="6" t="str">
        <f>_xlfn.XLOOKUP(B696,Indices!$A$2:$A$2676,Indices!$B$2:$B$2676,"")</f>
        <v>SP500</v>
      </c>
    </row>
    <row r="697" spans="1:4" x14ac:dyDescent="0.25">
      <c r="A697" s="140">
        <v>45688.1875</v>
      </c>
      <c r="B697" t="s">
        <v>1330</v>
      </c>
      <c r="C697" t="s">
        <v>6203</v>
      </c>
      <c r="D697" s="6" t="str">
        <f>_xlfn.XLOOKUP(B697,Indices!$A$2:$A$2676,Indices!$B$2:$B$2676,"")</f>
        <v>SP500</v>
      </c>
    </row>
    <row r="698" spans="1:4" x14ac:dyDescent="0.25">
      <c r="A698" s="140">
        <v>45688.197916666664</v>
      </c>
      <c r="B698" t="s">
        <v>6205</v>
      </c>
      <c r="C698" t="s">
        <v>6206</v>
      </c>
      <c r="D698" s="6" t="str">
        <f>_xlfn.XLOOKUP(B698,Indices!$A$2:$A$2676,Indices!$B$2:$B$2676,"")</f>
        <v/>
      </c>
    </row>
    <row r="699" spans="1:4" x14ac:dyDescent="0.25">
      <c r="A699" s="140">
        <v>45688.199305555558</v>
      </c>
      <c r="B699" t="s">
        <v>6207</v>
      </c>
      <c r="C699" t="s">
        <v>6208</v>
      </c>
      <c r="D699" s="6" t="str">
        <f>_xlfn.XLOOKUP(B699,Indices!$A$2:$A$2676,Indices!$B$2:$B$2676,"")</f>
        <v/>
      </c>
    </row>
    <row r="700" spans="1:4" x14ac:dyDescent="0.25">
      <c r="A700" s="140">
        <v>45688.204861111109</v>
      </c>
      <c r="B700" t="s">
        <v>18</v>
      </c>
      <c r="C700" t="s">
        <v>6209</v>
      </c>
      <c r="D700" s="6" t="str">
        <f>_xlfn.XLOOKUP(B700,Indices!$A$2:$A$2676,Indices!$B$2:$B$2676,"")</f>
        <v>SP500</v>
      </c>
    </row>
    <row r="701" spans="1:4" x14ac:dyDescent="0.25">
      <c r="A701" s="140">
        <v>45688.204861111109</v>
      </c>
      <c r="B701" t="s">
        <v>1379</v>
      </c>
      <c r="C701" t="s">
        <v>6209</v>
      </c>
      <c r="D701" s="6" t="str">
        <f>_xlfn.XLOOKUP(B701,Indices!$A$2:$A$2676,Indices!$B$2:$B$2676,"")</f>
        <v>SP500</v>
      </c>
    </row>
    <row r="702" spans="1:4" x14ac:dyDescent="0.25">
      <c r="A702" s="140">
        <v>45688.206944444442</v>
      </c>
      <c r="B702" t="s">
        <v>6210</v>
      </c>
      <c r="C702" t="s">
        <v>6211</v>
      </c>
      <c r="D702" s="6" t="str">
        <f>_xlfn.XLOOKUP(B702,Indices!$A$2:$A$2676,Indices!$B$2:$B$2676,"")</f>
        <v/>
      </c>
    </row>
    <row r="703" spans="1:4" x14ac:dyDescent="0.25">
      <c r="A703" s="140">
        <v>45688.206944444442</v>
      </c>
      <c r="B703" t="s">
        <v>6212</v>
      </c>
      <c r="C703" t="s">
        <v>6211</v>
      </c>
      <c r="D703" s="6" t="str">
        <f>_xlfn.XLOOKUP(B703,Indices!$A$2:$A$2676,Indices!$B$2:$B$2676,"")</f>
        <v/>
      </c>
    </row>
    <row r="704" spans="1:4" x14ac:dyDescent="0.25">
      <c r="A704" s="140">
        <v>45688.208333333336</v>
      </c>
      <c r="B704" t="s">
        <v>1410</v>
      </c>
      <c r="C704" t="s">
        <v>6213</v>
      </c>
      <c r="D704" s="6" t="str">
        <f>_xlfn.XLOOKUP(B704,Indices!$A$2:$A$2676,Indices!$B$2:$B$2676,"")</f>
        <v>SP500</v>
      </c>
    </row>
    <row r="705" spans="1:4" x14ac:dyDescent="0.25">
      <c r="A705" s="140">
        <v>45688.208333333336</v>
      </c>
      <c r="B705" t="s">
        <v>6214</v>
      </c>
      <c r="C705" t="s">
        <v>6213</v>
      </c>
      <c r="D705" s="6" t="str">
        <f>_xlfn.XLOOKUP(B705,Indices!$A$2:$A$2676,Indices!$B$2:$B$2676,"")</f>
        <v/>
      </c>
    </row>
    <row r="706" spans="1:4" x14ac:dyDescent="0.25">
      <c r="A706" s="140">
        <v>45688.208333333336</v>
      </c>
      <c r="B706" t="s">
        <v>1905</v>
      </c>
      <c r="C706" t="s">
        <v>6213</v>
      </c>
      <c r="D706" s="6" t="str">
        <f>_xlfn.XLOOKUP(B706,Indices!$A$2:$A$2676,Indices!$B$2:$B$2676,"")</f>
        <v>IWM</v>
      </c>
    </row>
    <row r="707" spans="1:4" x14ac:dyDescent="0.25">
      <c r="A707" s="140">
        <v>45688.208333333336</v>
      </c>
      <c r="B707" t="s">
        <v>197</v>
      </c>
      <c r="C707" t="s">
        <v>6213</v>
      </c>
      <c r="D707" s="6" t="str">
        <f>_xlfn.XLOOKUP(B707,Indices!$A$2:$A$2676,Indices!$B$2:$B$2676,"")</f>
        <v>SP500</v>
      </c>
    </row>
    <row r="708" spans="1:4" x14ac:dyDescent="0.25">
      <c r="A708" s="140">
        <v>45688.208333333336</v>
      </c>
      <c r="B708" t="s">
        <v>19</v>
      </c>
      <c r="C708" t="s">
        <v>6213</v>
      </c>
      <c r="D708" s="6" t="str">
        <f>_xlfn.XLOOKUP(B708,Indices!$A$2:$A$2676,Indices!$B$2:$B$2676,"")</f>
        <v>SP500</v>
      </c>
    </row>
    <row r="709" spans="1:4" x14ac:dyDescent="0.25">
      <c r="A709" s="140">
        <v>45688.223611111112</v>
      </c>
      <c r="B709" t="s">
        <v>2058</v>
      </c>
      <c r="C709" t="s">
        <v>6215</v>
      </c>
      <c r="D709" s="6" t="str">
        <f>_xlfn.XLOOKUP(B709,Indices!$A$2:$A$2676,Indices!$B$2:$B$2676,"")</f>
        <v>IWM</v>
      </c>
    </row>
    <row r="710" spans="1:4" x14ac:dyDescent="0.25">
      <c r="A710" s="140">
        <v>45688.229166666664</v>
      </c>
      <c r="B710" t="s">
        <v>2477</v>
      </c>
      <c r="C710" t="s">
        <v>6216</v>
      </c>
      <c r="D710" s="6" t="str">
        <f>_xlfn.XLOOKUP(B710,Indices!$A$2:$A$2676,Indices!$B$2:$B$2676,"")</f>
        <v>S&amp;P Mid</v>
      </c>
    </row>
    <row r="711" spans="1:4" x14ac:dyDescent="0.25">
      <c r="A711" s="140">
        <v>45688.23333333333</v>
      </c>
      <c r="B711" t="s">
        <v>1292</v>
      </c>
      <c r="C711" t="s">
        <v>6217</v>
      </c>
      <c r="D711" s="6" t="str">
        <f>_xlfn.XLOOKUP(B711,Indices!$A$2:$A$2676,Indices!$B$2:$B$2676,"")</f>
        <v>SP500</v>
      </c>
    </row>
    <row r="712" spans="1:4" x14ac:dyDescent="0.25">
      <c r="A712" s="140">
        <v>45688.246527777781</v>
      </c>
      <c r="B712" t="s">
        <v>6218</v>
      </c>
      <c r="C712" t="s">
        <v>6219</v>
      </c>
      <c r="D712" s="6" t="str">
        <f>_xlfn.XLOOKUP(B712,Indices!$A$2:$A$2676,Indices!$B$2:$B$2676,"")</f>
        <v/>
      </c>
    </row>
    <row r="713" spans="1:4" x14ac:dyDescent="0.25">
      <c r="A713" s="140">
        <v>45688.25</v>
      </c>
      <c r="B713" t="s">
        <v>1406</v>
      </c>
      <c r="C713" t="s">
        <v>6220</v>
      </c>
      <c r="D713" s="6" t="str">
        <f>_xlfn.XLOOKUP(B713,Indices!$A$2:$A$2676,Indices!$B$2:$B$2676,"")</f>
        <v>SP500</v>
      </c>
    </row>
    <row r="714" spans="1:4" x14ac:dyDescent="0.25">
      <c r="A714" s="140">
        <v>45688.25</v>
      </c>
      <c r="B714" t="s">
        <v>6221</v>
      </c>
      <c r="C714" t="s">
        <v>6220</v>
      </c>
      <c r="D714" s="6" t="str">
        <f>_xlfn.XLOOKUP(B714,Indices!$A$2:$A$2676,Indices!$B$2:$B$2676,"")</f>
        <v/>
      </c>
    </row>
    <row r="715" spans="1:4" x14ac:dyDescent="0.25">
      <c r="A715" s="140">
        <v>45688.25</v>
      </c>
      <c r="B715" t="s">
        <v>2463</v>
      </c>
      <c r="C715" t="s">
        <v>6220</v>
      </c>
      <c r="D715" s="6" t="str">
        <f>_xlfn.XLOOKUP(B715,Indices!$A$2:$A$2676,Indices!$B$2:$B$2676,"")</f>
        <v>S&amp;P Mid</v>
      </c>
    </row>
    <row r="716" spans="1:4" x14ac:dyDescent="0.25">
      <c r="A716" s="140">
        <v>45688.25</v>
      </c>
      <c r="B716" t="s">
        <v>29</v>
      </c>
      <c r="C716" t="s">
        <v>6220</v>
      </c>
      <c r="D716" s="6" t="str">
        <f>_xlfn.XLOOKUP(B716,Indices!$A$2:$A$2676,Indices!$B$2:$B$2676,"")</f>
        <v>S&amp;P Mid</v>
      </c>
    </row>
    <row r="717" spans="1:4" x14ac:dyDescent="0.25">
      <c r="A717" s="140">
        <v>45688.25</v>
      </c>
      <c r="B717" t="s">
        <v>6222</v>
      </c>
      <c r="C717" t="s">
        <v>6220</v>
      </c>
      <c r="D717" s="6" t="str">
        <f>_xlfn.XLOOKUP(B717,Indices!$A$2:$A$2676,Indices!$B$2:$B$2676,"")</f>
        <v/>
      </c>
    </row>
    <row r="718" spans="1:4" x14ac:dyDescent="0.25">
      <c r="A718" s="140">
        <v>45688.252083333333</v>
      </c>
      <c r="B718" t="s">
        <v>1656</v>
      </c>
      <c r="C718" t="s">
        <v>6223</v>
      </c>
      <c r="D718" s="6" t="str">
        <f>_xlfn.XLOOKUP(B718,Indices!$A$2:$A$2676,Indices!$B$2:$B$2676,"")</f>
        <v>IWM</v>
      </c>
    </row>
    <row r="719" spans="1:4" x14ac:dyDescent="0.25">
      <c r="A719" s="140">
        <v>45688.270833333336</v>
      </c>
      <c r="B719" t="s">
        <v>62</v>
      </c>
      <c r="C719" t="s">
        <v>6224</v>
      </c>
      <c r="D719" s="6" t="str">
        <f>_xlfn.XLOOKUP(B719,Indices!$A$2:$A$2676,Indices!$B$2:$B$2676,"")</f>
        <v>SP500</v>
      </c>
    </row>
    <row r="720" spans="1:4" x14ac:dyDescent="0.25">
      <c r="A720" s="140">
        <v>45688.270833333336</v>
      </c>
      <c r="B720" t="s">
        <v>1648</v>
      </c>
      <c r="C720" t="s">
        <v>6224</v>
      </c>
      <c r="D720" s="6" t="str">
        <f>_xlfn.XLOOKUP(B720,Indices!$A$2:$A$2676,Indices!$B$2:$B$2676,"")</f>
        <v>IWM</v>
      </c>
    </row>
    <row r="721" spans="1:4" x14ac:dyDescent="0.25">
      <c r="A721" s="140">
        <v>45688.291666666664</v>
      </c>
      <c r="B721" t="s">
        <v>2019</v>
      </c>
      <c r="C721" t="s">
        <v>6225</v>
      </c>
      <c r="D721" s="6" t="str">
        <f>_xlfn.XLOOKUP(B721,Indices!$A$2:$A$2676,Indices!$B$2:$B$2676,"")</f>
        <v>IWM</v>
      </c>
    </row>
    <row r="722" spans="1:4" x14ac:dyDescent="0.25">
      <c r="A722" s="140">
        <v>45688.416666666664</v>
      </c>
      <c r="B722" t="s">
        <v>6226</v>
      </c>
      <c r="C722" t="s">
        <v>6227</v>
      </c>
      <c r="D722" s="6" t="str">
        <f>_xlfn.XLOOKUP(B722,Indices!$A$2:$A$2676,Indices!$B$2:$B$2676,"")</f>
        <v/>
      </c>
    </row>
    <row r="723" spans="1:4" x14ac:dyDescent="0.25">
      <c r="A723" s="140">
        <v>45688.583333333336</v>
      </c>
      <c r="B723" t="s">
        <v>4777</v>
      </c>
      <c r="C723" t="s">
        <v>6228</v>
      </c>
      <c r="D723" s="6" t="str">
        <f>_xlfn.XLOOKUP(B723,Indices!$A$2:$A$2676,Indices!$B$2:$B$2676,"")</f>
        <v/>
      </c>
    </row>
    <row r="724" spans="1:4" x14ac:dyDescent="0.25">
      <c r="A724" s="140">
        <v>45688.586805555555</v>
      </c>
      <c r="B724" t="s">
        <v>1268</v>
      </c>
      <c r="C724" t="s">
        <v>6229</v>
      </c>
      <c r="D724" s="6" t="str">
        <f>_xlfn.XLOOKUP(B724,Indices!$A$2:$A$2676,Indices!$B$2:$B$2676,"")</f>
        <v/>
      </c>
    </row>
    <row r="725" spans="1:4" x14ac:dyDescent="0.25">
      <c r="A725" s="140">
        <v>45688.604166666664</v>
      </c>
      <c r="B725" t="s">
        <v>6230</v>
      </c>
      <c r="C725" t="s">
        <v>6231</v>
      </c>
      <c r="D725" s="6" t="str">
        <f>_xlfn.XLOOKUP(B725,Indices!$A$2:$A$2676,Indices!$B$2:$B$2676,"")</f>
        <v/>
      </c>
    </row>
    <row r="726" spans="1:4" x14ac:dyDescent="0.25">
      <c r="A726" s="140">
        <v>45690.958333333336</v>
      </c>
      <c r="B726" t="s">
        <v>4781</v>
      </c>
      <c r="C726" t="s">
        <v>4779</v>
      </c>
      <c r="D726" s="6" t="str">
        <f>_xlfn.XLOOKUP(B726,Indices!$A$2:$A$2676,Indices!$B$2:$B$2676,"")</f>
        <v/>
      </c>
    </row>
    <row r="727" spans="1:4" x14ac:dyDescent="0.25">
      <c r="A727" s="140">
        <v>45690.958333333336</v>
      </c>
      <c r="B727" t="s">
        <v>4778</v>
      </c>
      <c r="C727" t="s">
        <v>4779</v>
      </c>
      <c r="D727" s="6" t="str">
        <f>_xlfn.XLOOKUP(B727,Indices!$A$2:$A$2676,Indices!$B$2:$B$2676,"")</f>
        <v/>
      </c>
    </row>
    <row r="728" spans="1:4" x14ac:dyDescent="0.25">
      <c r="A728" s="140">
        <v>45690.958333333336</v>
      </c>
      <c r="B728" t="s">
        <v>4784</v>
      </c>
      <c r="C728" t="s">
        <v>4779</v>
      </c>
      <c r="D728" s="6" t="str">
        <f>_xlfn.XLOOKUP(B728,Indices!$A$2:$A$2676,Indices!$B$2:$B$2676,"")</f>
        <v/>
      </c>
    </row>
    <row r="729" spans="1:4" x14ac:dyDescent="0.25">
      <c r="A729" s="140">
        <v>45690.958333333336</v>
      </c>
      <c r="B729" t="s">
        <v>4782</v>
      </c>
      <c r="C729" t="s">
        <v>4779</v>
      </c>
      <c r="D729" s="6" t="str">
        <f>_xlfn.XLOOKUP(B729,Indices!$A$2:$A$2676,Indices!$B$2:$B$2676,"")</f>
        <v/>
      </c>
    </row>
    <row r="730" spans="1:4" x14ac:dyDescent="0.25">
      <c r="A730" s="140">
        <v>45690.958333333336</v>
      </c>
      <c r="B730" t="s">
        <v>4780</v>
      </c>
      <c r="C730" t="s">
        <v>4779</v>
      </c>
      <c r="D730" s="6" t="str">
        <f>_xlfn.XLOOKUP(B730,Indices!$A$2:$A$2676,Indices!$B$2:$B$2676,"")</f>
        <v/>
      </c>
    </row>
    <row r="731" spans="1:4" x14ac:dyDescent="0.25">
      <c r="A731" s="140">
        <v>45690.958333333336</v>
      </c>
      <c r="B731" t="s">
        <v>4783</v>
      </c>
      <c r="C731" t="s">
        <v>4779</v>
      </c>
      <c r="D731" s="6" t="str">
        <f>_xlfn.XLOOKUP(B731,Indices!$A$2:$A$2676,Indices!$B$2:$B$2676,"")</f>
        <v/>
      </c>
    </row>
    <row r="732" spans="1:4" x14ac:dyDescent="0.25">
      <c r="A732" s="140">
        <v>45691.166666666664</v>
      </c>
      <c r="B732" t="s">
        <v>2535</v>
      </c>
      <c r="C732" t="s">
        <v>4785</v>
      </c>
      <c r="D732" s="6" t="str">
        <f>_xlfn.XLOOKUP(B732,Indices!$A$2:$A$2676,Indices!$B$2:$B$2676,"")</f>
        <v/>
      </c>
    </row>
    <row r="733" spans="1:4" x14ac:dyDescent="0.25">
      <c r="A733" s="140">
        <v>45691.1875</v>
      </c>
      <c r="B733" t="s">
        <v>1463</v>
      </c>
      <c r="C733" t="s">
        <v>4786</v>
      </c>
      <c r="D733" s="6" t="str">
        <f>_xlfn.XLOOKUP(B733,Indices!$A$2:$A$2676,Indices!$B$2:$B$2676,"")</f>
        <v>SP500</v>
      </c>
    </row>
    <row r="734" spans="1:4" x14ac:dyDescent="0.25">
      <c r="A734" s="140">
        <v>45691.208333333336</v>
      </c>
      <c r="B734" t="s">
        <v>2521</v>
      </c>
      <c r="C734" t="s">
        <v>4787</v>
      </c>
      <c r="D734" s="6" t="str">
        <f>_xlfn.XLOOKUP(B734,Indices!$A$2:$A$2676,Indices!$B$2:$B$2676,"")</f>
        <v/>
      </c>
    </row>
    <row r="735" spans="1:4" x14ac:dyDescent="0.25">
      <c r="A735" s="140">
        <v>45691.208333333336</v>
      </c>
      <c r="B735" t="s">
        <v>44</v>
      </c>
      <c r="C735" t="s">
        <v>4787</v>
      </c>
      <c r="D735" s="6" t="str">
        <f>_xlfn.XLOOKUP(B735,Indices!$A$2:$A$2676,Indices!$B$2:$B$2676,"")</f>
        <v>IWM</v>
      </c>
    </row>
    <row r="736" spans="1:4" x14ac:dyDescent="0.25">
      <c r="A736" s="140">
        <v>45691.208333333336</v>
      </c>
      <c r="B736" t="s">
        <v>2543</v>
      </c>
      <c r="C736" t="s">
        <v>4787</v>
      </c>
      <c r="D736" s="6" t="str">
        <f>_xlfn.XLOOKUP(B736,Indices!$A$2:$A$2676,Indices!$B$2:$B$2676,"")</f>
        <v/>
      </c>
    </row>
    <row r="737" spans="1:4" x14ac:dyDescent="0.25">
      <c r="A737" s="140">
        <v>45691.220833333333</v>
      </c>
      <c r="B737" t="s">
        <v>1072</v>
      </c>
      <c r="C737" t="s">
        <v>4788</v>
      </c>
      <c r="D737" s="6" t="str">
        <f>_xlfn.XLOOKUP(B737,Indices!$A$2:$A$2676,Indices!$B$2:$B$2676,"")</f>
        <v>IWM</v>
      </c>
    </row>
    <row r="738" spans="1:4" x14ac:dyDescent="0.25">
      <c r="A738" s="140">
        <v>45691.229166666664</v>
      </c>
      <c r="B738" t="s">
        <v>928</v>
      </c>
      <c r="C738" t="s">
        <v>4789</v>
      </c>
      <c r="D738" s="6" t="str">
        <f>_xlfn.XLOOKUP(B738,Indices!$A$2:$A$2676,Indices!$B$2:$B$2676,"")</f>
        <v>SP500</v>
      </c>
    </row>
    <row r="739" spans="1:4" x14ac:dyDescent="0.25">
      <c r="A739" s="140">
        <v>45691.229166666664</v>
      </c>
      <c r="B739" t="s">
        <v>2382</v>
      </c>
      <c r="C739" t="s">
        <v>4789</v>
      </c>
      <c r="D739" s="6" t="str">
        <f>_xlfn.XLOOKUP(B739,Indices!$A$2:$A$2676,Indices!$B$2:$B$2676,"")</f>
        <v>S&amp;P Mid</v>
      </c>
    </row>
    <row r="740" spans="1:4" x14ac:dyDescent="0.25">
      <c r="A740" s="140">
        <v>45691.583333333336</v>
      </c>
      <c r="B740" t="s">
        <v>1145</v>
      </c>
      <c r="C740" t="s">
        <v>4790</v>
      </c>
      <c r="D740" s="6" t="str">
        <f>_xlfn.XLOOKUP(B740,Indices!$A$2:$A$2676,Indices!$B$2:$B$2676,"")</f>
        <v>S&amp;P Mid</v>
      </c>
    </row>
    <row r="741" spans="1:4" x14ac:dyDescent="0.25">
      <c r="A741" s="140">
        <v>45691.584027777775</v>
      </c>
      <c r="B741" t="s">
        <v>2546</v>
      </c>
      <c r="C741" t="s">
        <v>4791</v>
      </c>
      <c r="D741" s="6" t="str">
        <f>_xlfn.XLOOKUP(B741,Indices!$A$2:$A$2676,Indices!$B$2:$B$2676,"")</f>
        <v/>
      </c>
    </row>
    <row r="742" spans="1:4" x14ac:dyDescent="0.25">
      <c r="A742" s="140">
        <v>45691.585416666669</v>
      </c>
      <c r="B742" t="s">
        <v>2003</v>
      </c>
      <c r="C742" t="s">
        <v>4792</v>
      </c>
      <c r="D742" s="6" t="str">
        <f>_xlfn.XLOOKUP(B742,Indices!$A$2:$A$2676,Indices!$B$2:$B$2676,"")</f>
        <v>IWM</v>
      </c>
    </row>
    <row r="743" spans="1:4" x14ac:dyDescent="0.25">
      <c r="A743" s="140">
        <v>45691.586111111108</v>
      </c>
      <c r="B743" t="s">
        <v>2530</v>
      </c>
      <c r="C743" t="s">
        <v>4793</v>
      </c>
      <c r="D743" s="6" t="str">
        <f>_xlfn.XLOOKUP(B743,Indices!$A$2:$A$2676,Indices!$B$2:$B$2676,"")</f>
        <v/>
      </c>
    </row>
    <row r="744" spans="1:4" x14ac:dyDescent="0.25">
      <c r="A744" s="140">
        <v>45691.586805555555</v>
      </c>
      <c r="B744" t="s">
        <v>89</v>
      </c>
      <c r="C744" t="s">
        <v>4794</v>
      </c>
      <c r="D744" s="6" t="str">
        <f>_xlfn.XLOOKUP(B744,Indices!$A$2:$A$2676,Indices!$B$2:$B$2676,"")</f>
        <v>SP500</v>
      </c>
    </row>
    <row r="745" spans="1:4" x14ac:dyDescent="0.25">
      <c r="A745" s="140">
        <v>45691.586805555555</v>
      </c>
      <c r="B745" t="s">
        <v>1075</v>
      </c>
      <c r="C745" t="s">
        <v>4794</v>
      </c>
      <c r="D745" s="6" t="str">
        <f>_xlfn.XLOOKUP(B745,Indices!$A$2:$A$2676,Indices!$B$2:$B$2676,"")</f>
        <v>S&amp;P Mid</v>
      </c>
    </row>
    <row r="746" spans="1:4" x14ac:dyDescent="0.25">
      <c r="A746" s="140">
        <v>45691.586805555555</v>
      </c>
      <c r="B746" t="s">
        <v>101</v>
      </c>
      <c r="C746" t="s">
        <v>4794</v>
      </c>
      <c r="D746" s="6" t="str">
        <f>_xlfn.XLOOKUP(B746,Indices!$A$2:$A$2676,Indices!$B$2:$B$2676,"")</f>
        <v>S&amp;P Mid</v>
      </c>
    </row>
    <row r="747" spans="1:4" x14ac:dyDescent="0.25">
      <c r="A747" s="140">
        <v>45691.586805555555</v>
      </c>
      <c r="B747" t="s">
        <v>1664</v>
      </c>
      <c r="C747" t="s">
        <v>4794</v>
      </c>
      <c r="D747" s="6" t="str">
        <f>_xlfn.XLOOKUP(B747,Indices!$A$2:$A$2676,Indices!$B$2:$B$2676,"")</f>
        <v>IWM</v>
      </c>
    </row>
    <row r="748" spans="1:4" x14ac:dyDescent="0.25">
      <c r="A748" s="140">
        <v>45691.590277777781</v>
      </c>
      <c r="B748" t="s">
        <v>120</v>
      </c>
      <c r="C748" t="s">
        <v>4795</v>
      </c>
      <c r="D748" s="6" t="str">
        <f>_xlfn.XLOOKUP(B748,Indices!$A$2:$A$2676,Indices!$B$2:$B$2676,"")</f>
        <v>SP500</v>
      </c>
    </row>
    <row r="749" spans="1:4" x14ac:dyDescent="0.25">
      <c r="A749" s="140">
        <v>45691.590277777781</v>
      </c>
      <c r="B749" t="s">
        <v>1525</v>
      </c>
      <c r="C749" t="s">
        <v>4795</v>
      </c>
      <c r="D749" s="6" t="str">
        <f>_xlfn.XLOOKUP(B749,Indices!$A$2:$A$2676,Indices!$B$2:$B$2676,"")</f>
        <v>SP500</v>
      </c>
    </row>
    <row r="750" spans="1:4" x14ac:dyDescent="0.25">
      <c r="A750" s="140">
        <v>45691.590277777781</v>
      </c>
      <c r="B750" t="s">
        <v>2295</v>
      </c>
      <c r="C750" t="s">
        <v>4795</v>
      </c>
      <c r="D750" s="6" t="str">
        <f>_xlfn.XLOOKUP(B750,Indices!$A$2:$A$2676,Indices!$B$2:$B$2676,"")</f>
        <v>IWM</v>
      </c>
    </row>
    <row r="751" spans="1:4" x14ac:dyDescent="0.25">
      <c r="A751" s="140">
        <v>45691.59375</v>
      </c>
      <c r="B751" t="s">
        <v>1482</v>
      </c>
      <c r="C751" t="s">
        <v>4796</v>
      </c>
      <c r="D751" s="6" t="str">
        <f>_xlfn.XLOOKUP(B751,Indices!$A$2:$A$2676,Indices!$B$2:$B$2676,"")</f>
        <v>SP500</v>
      </c>
    </row>
    <row r="752" spans="1:4" x14ac:dyDescent="0.25">
      <c r="A752" s="140">
        <v>45691.59375</v>
      </c>
      <c r="B752" t="s">
        <v>138</v>
      </c>
      <c r="C752" t="s">
        <v>4796</v>
      </c>
      <c r="D752" s="6" t="str">
        <f>_xlfn.XLOOKUP(B752,Indices!$A$2:$A$2676,Indices!$B$2:$B$2676,"")</f>
        <v>IWM</v>
      </c>
    </row>
    <row r="753" spans="1:4" x14ac:dyDescent="0.25">
      <c r="A753" s="140">
        <v>45691.59375</v>
      </c>
      <c r="B753" t="s">
        <v>1563</v>
      </c>
      <c r="C753" t="s">
        <v>4796</v>
      </c>
      <c r="D753" s="6" t="str">
        <f>_xlfn.XLOOKUP(B753,Indices!$A$2:$A$2676,Indices!$B$2:$B$2676,"")</f>
        <v>SP500</v>
      </c>
    </row>
    <row r="754" spans="1:4" x14ac:dyDescent="0.25">
      <c r="A754" s="140">
        <v>45691.59375</v>
      </c>
      <c r="B754" t="s">
        <v>2114</v>
      </c>
      <c r="C754" t="s">
        <v>4796</v>
      </c>
      <c r="D754" s="6" t="str">
        <f>_xlfn.XLOOKUP(B754,Indices!$A$2:$A$2676,Indices!$B$2:$B$2676,"")</f>
        <v>IWM</v>
      </c>
    </row>
    <row r="755" spans="1:4" x14ac:dyDescent="0.25">
      <c r="A755" s="140">
        <v>45691.59375</v>
      </c>
      <c r="B755" t="s">
        <v>443</v>
      </c>
      <c r="C755" t="s">
        <v>4796</v>
      </c>
      <c r="D755" s="6" t="str">
        <f>_xlfn.XLOOKUP(B755,Indices!$A$2:$A$2676,Indices!$B$2:$B$2676,"")</f>
        <v>S&amp;P Mid</v>
      </c>
    </row>
    <row r="756" spans="1:4" x14ac:dyDescent="0.25">
      <c r="A756" s="140">
        <v>45691.59375</v>
      </c>
      <c r="B756" t="s">
        <v>1039</v>
      </c>
      <c r="C756" t="s">
        <v>4796</v>
      </c>
      <c r="D756" s="6" t="str">
        <f>_xlfn.XLOOKUP(B756,Indices!$A$2:$A$2676,Indices!$B$2:$B$2676,"")</f>
        <v>IWM</v>
      </c>
    </row>
    <row r="757" spans="1:4" x14ac:dyDescent="0.25">
      <c r="A757" s="140">
        <v>45691.59375</v>
      </c>
      <c r="B757" t="s">
        <v>1567</v>
      </c>
      <c r="C757" t="s">
        <v>4796</v>
      </c>
      <c r="D757" s="6" t="str">
        <f>_xlfn.XLOOKUP(B757,Indices!$A$2:$A$2676,Indices!$B$2:$B$2676,"")</f>
        <v>SP500</v>
      </c>
    </row>
    <row r="758" spans="1:4" x14ac:dyDescent="0.25">
      <c r="A758" s="140">
        <v>45691.604166666664</v>
      </c>
      <c r="B758" t="s">
        <v>1142</v>
      </c>
      <c r="C758" t="s">
        <v>4797</v>
      </c>
      <c r="D758" s="6" t="str">
        <f>_xlfn.XLOOKUP(B758,Indices!$A$2:$A$2676,Indices!$B$2:$B$2676,"")</f>
        <v>IWM</v>
      </c>
    </row>
    <row r="759" spans="1:4" x14ac:dyDescent="0.25">
      <c r="A759" s="140">
        <v>45691.604861111111</v>
      </c>
      <c r="B759" t="s">
        <v>1927</v>
      </c>
      <c r="C759" t="s">
        <v>4798</v>
      </c>
      <c r="D759" s="6" t="str">
        <f>_xlfn.XLOOKUP(B759,Indices!$A$2:$A$2676,Indices!$B$2:$B$2676,"")</f>
        <v>IWM</v>
      </c>
    </row>
    <row r="760" spans="1:4" x14ac:dyDescent="0.25">
      <c r="A760" s="140">
        <v>45691.604861111111</v>
      </c>
      <c r="B760" t="s">
        <v>156</v>
      </c>
      <c r="C760" t="s">
        <v>4798</v>
      </c>
      <c r="D760" s="6" t="str">
        <f>_xlfn.XLOOKUP(B760,Indices!$A$2:$A$2676,Indices!$B$2:$B$2676,"")</f>
        <v>IWM</v>
      </c>
    </row>
    <row r="761" spans="1:4" x14ac:dyDescent="0.25">
      <c r="A761" s="140">
        <v>45691.623611111114</v>
      </c>
      <c r="B761" t="s">
        <v>2185</v>
      </c>
      <c r="C761" t="s">
        <v>4799</v>
      </c>
      <c r="D761" s="6" t="str">
        <f>_xlfn.XLOOKUP(B761,Indices!$A$2:$A$2676,Indices!$B$2:$B$2676,"")</f>
        <v>IWM</v>
      </c>
    </row>
    <row r="762" spans="1:4" x14ac:dyDescent="0.25">
      <c r="A762" s="140">
        <v>45691.625</v>
      </c>
      <c r="B762" t="s">
        <v>1077</v>
      </c>
      <c r="C762" t="s">
        <v>4800</v>
      </c>
      <c r="D762" s="6" t="str">
        <f>_xlfn.XLOOKUP(B762,Indices!$A$2:$A$2676,Indices!$B$2:$B$2676,"")</f>
        <v>S&amp;P Mid</v>
      </c>
    </row>
    <row r="763" spans="1:4" x14ac:dyDescent="0.25">
      <c r="A763" s="140">
        <v>45691.625694444447</v>
      </c>
      <c r="B763" t="s">
        <v>2366</v>
      </c>
      <c r="C763" t="s">
        <v>4801</v>
      </c>
      <c r="D763" s="6" t="str">
        <f>_xlfn.XLOOKUP(B763,Indices!$A$2:$A$2676,Indices!$B$2:$B$2676,"")</f>
        <v>S&amp;P Mid</v>
      </c>
    </row>
    <row r="764" spans="1:4" x14ac:dyDescent="0.25">
      <c r="A764" s="140">
        <v>45691.947916666664</v>
      </c>
      <c r="B764" t="s">
        <v>2561</v>
      </c>
      <c r="C764" t="s">
        <v>4802</v>
      </c>
      <c r="D764" s="6" t="str">
        <f>_xlfn.XLOOKUP(B764,Indices!$A$2:$A$2676,Indices!$B$2:$B$2676,"")</f>
        <v/>
      </c>
    </row>
    <row r="765" spans="1:4" x14ac:dyDescent="0.25">
      <c r="A765" s="140">
        <v>45691.957638888889</v>
      </c>
      <c r="B765" t="s">
        <v>2551</v>
      </c>
      <c r="C765" t="s">
        <v>4803</v>
      </c>
      <c r="D765" s="6" t="str">
        <f>_xlfn.XLOOKUP(B765,Indices!$A$2:$A$2676,Indices!$B$2:$B$2676,"")</f>
        <v/>
      </c>
    </row>
    <row r="766" spans="1:4" x14ac:dyDescent="0.25">
      <c r="A766" s="140">
        <v>45691.958333333336</v>
      </c>
      <c r="B766" t="s">
        <v>2564</v>
      </c>
      <c r="C766" t="s">
        <v>4807</v>
      </c>
      <c r="D766" s="6" t="str">
        <f>_xlfn.XLOOKUP(B766,Indices!$A$2:$A$2676,Indices!$B$2:$B$2676,"")</f>
        <v/>
      </c>
    </row>
    <row r="767" spans="1:4" x14ac:dyDescent="0.25">
      <c r="A767" s="140">
        <v>45691.958333333336</v>
      </c>
      <c r="B767" t="s">
        <v>4808</v>
      </c>
      <c r="C767" t="s">
        <v>4805</v>
      </c>
      <c r="D767" s="6" t="str">
        <f>_xlfn.XLOOKUP(B767,Indices!$A$2:$A$2676,Indices!$B$2:$B$2676,"")</f>
        <v/>
      </c>
    </row>
    <row r="768" spans="1:4" x14ac:dyDescent="0.25">
      <c r="A768" s="140">
        <v>45691.958333333336</v>
      </c>
      <c r="B768" t="s">
        <v>2552</v>
      </c>
      <c r="C768" t="s">
        <v>4807</v>
      </c>
      <c r="D768" s="6" t="str">
        <f>_xlfn.XLOOKUP(B768,Indices!$A$2:$A$2676,Indices!$B$2:$B$2676,"")</f>
        <v/>
      </c>
    </row>
    <row r="769" spans="1:4" x14ac:dyDescent="0.25">
      <c r="A769" s="140">
        <v>45691.958333333336</v>
      </c>
      <c r="B769" t="s">
        <v>2548</v>
      </c>
      <c r="C769" t="s">
        <v>4807</v>
      </c>
      <c r="D769" s="6" t="str">
        <f>_xlfn.XLOOKUP(B769,Indices!$A$2:$A$2676,Indices!$B$2:$B$2676,"")</f>
        <v/>
      </c>
    </row>
    <row r="770" spans="1:4" x14ac:dyDescent="0.25">
      <c r="A770" s="140">
        <v>45691.958333333336</v>
      </c>
      <c r="B770" t="s">
        <v>4804</v>
      </c>
      <c r="C770" t="s">
        <v>4805</v>
      </c>
      <c r="D770" s="6" t="str">
        <f>_xlfn.XLOOKUP(B770,Indices!$A$2:$A$2676,Indices!$B$2:$B$2676,"")</f>
        <v/>
      </c>
    </row>
    <row r="771" spans="1:4" x14ac:dyDescent="0.25">
      <c r="A771" s="140">
        <v>45691.958333333336</v>
      </c>
      <c r="B771" t="s">
        <v>4806</v>
      </c>
      <c r="C771" t="s">
        <v>4805</v>
      </c>
      <c r="D771" s="6" t="str">
        <f>_xlfn.XLOOKUP(B771,Indices!$A$2:$A$2676,Indices!$B$2:$B$2676,"")</f>
        <v/>
      </c>
    </row>
    <row r="772" spans="1:4" x14ac:dyDescent="0.25">
      <c r="A772" s="140">
        <v>45691.958333333336</v>
      </c>
      <c r="B772" t="s">
        <v>1300</v>
      </c>
      <c r="C772" t="s">
        <v>4807</v>
      </c>
      <c r="D772" s="6" t="str">
        <f>_xlfn.XLOOKUP(B772,Indices!$A$2:$A$2676,Indices!$B$2:$B$2676,"")</f>
        <v>SP500</v>
      </c>
    </row>
    <row r="773" spans="1:4" x14ac:dyDescent="0.25">
      <c r="A773" s="140">
        <v>45691.958333333336</v>
      </c>
      <c r="B773" t="s">
        <v>63</v>
      </c>
      <c r="C773" t="s">
        <v>4809</v>
      </c>
      <c r="D773" s="6" t="str">
        <f>_xlfn.XLOOKUP(B773,Indices!$A$2:$A$2676,Indices!$B$2:$B$2676,"")</f>
        <v>S&amp;P Mid</v>
      </c>
    </row>
    <row r="774" spans="1:4" x14ac:dyDescent="0.25">
      <c r="A774" s="140">
        <v>45691.958333333336</v>
      </c>
      <c r="B774" t="s">
        <v>2575</v>
      </c>
      <c r="C774" t="s">
        <v>4809</v>
      </c>
      <c r="D774" s="6" t="str">
        <f>_xlfn.XLOOKUP(B774,Indices!$A$2:$A$2676,Indices!$B$2:$B$2676,"")</f>
        <v/>
      </c>
    </row>
    <row r="775" spans="1:4" x14ac:dyDescent="0.25">
      <c r="A775" s="140">
        <v>45691.958333333336</v>
      </c>
      <c r="B775" t="s">
        <v>4810</v>
      </c>
      <c r="C775" t="s">
        <v>4805</v>
      </c>
      <c r="D775" s="6" t="str">
        <f>_xlfn.XLOOKUP(B775,Indices!$A$2:$A$2676,Indices!$B$2:$B$2676,"")</f>
        <v/>
      </c>
    </row>
    <row r="776" spans="1:4" x14ac:dyDescent="0.25">
      <c r="A776" s="140">
        <v>45691.958333333336</v>
      </c>
      <c r="B776" t="s">
        <v>1333</v>
      </c>
      <c r="C776" t="s">
        <v>4807</v>
      </c>
      <c r="D776" s="6" t="str">
        <f>_xlfn.XLOOKUP(B776,Indices!$A$2:$A$2676,Indices!$B$2:$B$2676,"")</f>
        <v>SP500</v>
      </c>
    </row>
    <row r="777" spans="1:4" x14ac:dyDescent="0.25">
      <c r="A777" s="140">
        <v>45691.958333333336</v>
      </c>
      <c r="B777" t="s">
        <v>2560</v>
      </c>
      <c r="C777" t="s">
        <v>4807</v>
      </c>
      <c r="D777" s="6" t="str">
        <f>_xlfn.XLOOKUP(B777,Indices!$A$2:$A$2676,Indices!$B$2:$B$2676,"")</f>
        <v/>
      </c>
    </row>
    <row r="778" spans="1:4" x14ac:dyDescent="0.25">
      <c r="A778" s="140">
        <v>45691.97152777778</v>
      </c>
      <c r="B778" t="s">
        <v>880</v>
      </c>
      <c r="C778" t="s">
        <v>4811</v>
      </c>
      <c r="D778" s="6" t="str">
        <f>_xlfn.XLOOKUP(B778,Indices!$A$2:$A$2676,Indices!$B$2:$B$2676,"")</f>
        <v>IWM</v>
      </c>
    </row>
    <row r="779" spans="1:4" x14ac:dyDescent="0.25">
      <c r="A779" s="140">
        <v>45692</v>
      </c>
      <c r="B779" t="s">
        <v>2553</v>
      </c>
      <c r="C779" t="s">
        <v>4812</v>
      </c>
      <c r="D779" s="6" t="str">
        <f>_xlfn.XLOOKUP(B779,Indices!$A$2:$A$2676,Indices!$B$2:$B$2676,"")</f>
        <v/>
      </c>
    </row>
    <row r="780" spans="1:4" x14ac:dyDescent="0.25">
      <c r="A780" s="140">
        <v>45692.166666666664</v>
      </c>
      <c r="B780" t="s">
        <v>1116</v>
      </c>
      <c r="C780" t="s">
        <v>4813</v>
      </c>
      <c r="D780" s="6" t="str">
        <f>_xlfn.XLOOKUP(B780,Indices!$A$2:$A$2676,Indices!$B$2:$B$2676,"")</f>
        <v>IWM</v>
      </c>
    </row>
    <row r="781" spans="1:4" x14ac:dyDescent="0.25">
      <c r="A781" s="140">
        <v>45692.166666666664</v>
      </c>
      <c r="B781" t="s">
        <v>1511</v>
      </c>
      <c r="C781" t="s">
        <v>4813</v>
      </c>
      <c r="D781" s="6" t="str">
        <f>_xlfn.XLOOKUP(B781,Indices!$A$2:$A$2676,Indices!$B$2:$B$2676,"")</f>
        <v>SP500</v>
      </c>
    </row>
    <row r="782" spans="1:4" x14ac:dyDescent="0.25">
      <c r="A782" s="140">
        <v>45692.166666666664</v>
      </c>
      <c r="B782" t="s">
        <v>168</v>
      </c>
      <c r="C782" t="s">
        <v>4813</v>
      </c>
      <c r="D782" s="6" t="str">
        <f>_xlfn.XLOOKUP(B782,Indices!$A$2:$A$2676,Indices!$B$2:$B$2676,"")</f>
        <v>SP500</v>
      </c>
    </row>
    <row r="783" spans="1:4" x14ac:dyDescent="0.25">
      <c r="A783" s="140">
        <v>45692.166666666664</v>
      </c>
      <c r="B783" t="s">
        <v>1551</v>
      </c>
      <c r="C783" t="s">
        <v>4813</v>
      </c>
      <c r="D783" s="6" t="str">
        <f>_xlfn.XLOOKUP(B783,Indices!$A$2:$A$2676,Indices!$B$2:$B$2676,"")</f>
        <v>SP500</v>
      </c>
    </row>
    <row r="784" spans="1:4" x14ac:dyDescent="0.25">
      <c r="A784" s="140">
        <v>45692.166666666664</v>
      </c>
      <c r="B784" t="s">
        <v>2557</v>
      </c>
      <c r="C784" t="s">
        <v>4813</v>
      </c>
      <c r="D784" s="6" t="str">
        <f>_xlfn.XLOOKUP(B784,Indices!$A$2:$A$2676,Indices!$B$2:$B$2676,"")</f>
        <v/>
      </c>
    </row>
    <row r="785" spans="1:4" x14ac:dyDescent="0.25">
      <c r="A785" s="140">
        <v>45692.166666666664</v>
      </c>
      <c r="B785" t="s">
        <v>2141</v>
      </c>
      <c r="C785" t="s">
        <v>4813</v>
      </c>
      <c r="D785" s="6" t="str">
        <f>_xlfn.XLOOKUP(B785,Indices!$A$2:$A$2676,Indices!$B$2:$B$2676,"")</f>
        <v>IWM</v>
      </c>
    </row>
    <row r="786" spans="1:4" x14ac:dyDescent="0.25">
      <c r="A786" s="140">
        <v>45692.166666666664</v>
      </c>
      <c r="B786" t="s">
        <v>1477</v>
      </c>
      <c r="C786" t="s">
        <v>4813</v>
      </c>
      <c r="D786" s="6" t="str">
        <f>_xlfn.XLOOKUP(B786,Indices!$A$2:$A$2676,Indices!$B$2:$B$2676,"")</f>
        <v>SP500</v>
      </c>
    </row>
    <row r="787" spans="1:4" x14ac:dyDescent="0.25">
      <c r="A787" s="140">
        <v>45692.166666666664</v>
      </c>
      <c r="B787" t="s">
        <v>2432</v>
      </c>
      <c r="C787" t="s">
        <v>4813</v>
      </c>
      <c r="D787" s="6" t="str">
        <f>_xlfn.XLOOKUP(B787,Indices!$A$2:$A$2676,Indices!$B$2:$B$2676,"")</f>
        <v>S&amp;P Mid</v>
      </c>
    </row>
    <row r="788" spans="1:4" x14ac:dyDescent="0.25">
      <c r="A788" s="140">
        <v>45692.166666666664</v>
      </c>
      <c r="B788" t="s">
        <v>1570</v>
      </c>
      <c r="C788" t="s">
        <v>4813</v>
      </c>
      <c r="D788" s="6" t="str">
        <f>_xlfn.XLOOKUP(B788,Indices!$A$2:$A$2676,Indices!$B$2:$B$2676,"")</f>
        <v>SP500</v>
      </c>
    </row>
    <row r="789" spans="1:4" x14ac:dyDescent="0.25">
      <c r="A789" s="140">
        <v>45692.168749999997</v>
      </c>
      <c r="B789" t="s">
        <v>2555</v>
      </c>
      <c r="C789" t="s">
        <v>4814</v>
      </c>
      <c r="D789" s="6" t="str">
        <f>_xlfn.XLOOKUP(B789,Indices!$A$2:$A$2676,Indices!$B$2:$B$2676,"")</f>
        <v/>
      </c>
    </row>
    <row r="790" spans="1:4" x14ac:dyDescent="0.25">
      <c r="A790" s="140">
        <v>45692.170138888891</v>
      </c>
      <c r="B790" t="s">
        <v>1472</v>
      </c>
      <c r="C790" t="s">
        <v>4815</v>
      </c>
      <c r="D790" s="6" t="str">
        <f>_xlfn.XLOOKUP(B790,Indices!$A$2:$A$2676,Indices!$B$2:$B$2676,"")</f>
        <v>SP500</v>
      </c>
    </row>
    <row r="791" spans="1:4" x14ac:dyDescent="0.25">
      <c r="A791" s="140">
        <v>45692.170138888891</v>
      </c>
      <c r="B791" t="s">
        <v>169</v>
      </c>
      <c r="C791" t="s">
        <v>4815</v>
      </c>
      <c r="D791" s="6" t="str">
        <f>_xlfn.XLOOKUP(B791,Indices!$A$2:$A$2676,Indices!$B$2:$B$2676,"")</f>
        <v>S&amp;P Mid</v>
      </c>
    </row>
    <row r="792" spans="1:4" x14ac:dyDescent="0.25">
      <c r="A792" s="140">
        <v>45692.173611111109</v>
      </c>
      <c r="B792" t="s">
        <v>2563</v>
      </c>
      <c r="C792" t="s">
        <v>4816</v>
      </c>
      <c r="D792" s="6" t="str">
        <f>_xlfn.XLOOKUP(B792,Indices!$A$2:$A$2676,Indices!$B$2:$B$2676,"")</f>
        <v/>
      </c>
    </row>
    <row r="793" spans="1:4" x14ac:dyDescent="0.25">
      <c r="A793" s="140">
        <v>45692.177083333336</v>
      </c>
      <c r="B793" t="s">
        <v>170</v>
      </c>
      <c r="C793" t="s">
        <v>4817</v>
      </c>
      <c r="D793" s="6" t="str">
        <f>_xlfn.XLOOKUP(B793,Indices!$A$2:$A$2676,Indices!$B$2:$B$2676,"")</f>
        <v>IWM</v>
      </c>
    </row>
    <row r="794" spans="1:4" x14ac:dyDescent="0.25">
      <c r="A794" s="140">
        <v>45692.1875</v>
      </c>
      <c r="B794" t="s">
        <v>2433</v>
      </c>
      <c r="C794" t="s">
        <v>4818</v>
      </c>
      <c r="D794" s="6" t="str">
        <f>_xlfn.XLOOKUP(B794,Indices!$A$2:$A$2676,Indices!$B$2:$B$2676,"")</f>
        <v>S&amp;P Mid</v>
      </c>
    </row>
    <row r="795" spans="1:4" x14ac:dyDescent="0.25">
      <c r="A795" s="140">
        <v>45692.1875</v>
      </c>
      <c r="B795" t="s">
        <v>1295</v>
      </c>
      <c r="C795" t="s">
        <v>4818</v>
      </c>
      <c r="D795" s="6" t="str">
        <f>_xlfn.XLOOKUP(B795,Indices!$A$2:$A$2676,Indices!$B$2:$B$2676,"")</f>
        <v>SP500</v>
      </c>
    </row>
    <row r="796" spans="1:4" x14ac:dyDescent="0.25">
      <c r="A796" s="140">
        <v>45692.1875</v>
      </c>
      <c r="B796" t="s">
        <v>2559</v>
      </c>
      <c r="C796" t="s">
        <v>4818</v>
      </c>
      <c r="D796" s="6" t="str">
        <f>_xlfn.XLOOKUP(B796,Indices!$A$2:$A$2676,Indices!$B$2:$B$2676,"")</f>
        <v/>
      </c>
    </row>
    <row r="797" spans="1:4" x14ac:dyDescent="0.25">
      <c r="A797" s="140">
        <v>45692.1875</v>
      </c>
      <c r="B797" t="s">
        <v>868</v>
      </c>
      <c r="C797" t="s">
        <v>4818</v>
      </c>
      <c r="D797" s="6" t="str">
        <f>_xlfn.XLOOKUP(B797,Indices!$A$2:$A$2676,Indices!$B$2:$B$2676,"")</f>
        <v>S&amp;P Mid</v>
      </c>
    </row>
    <row r="798" spans="1:4" x14ac:dyDescent="0.25">
      <c r="A798" s="140">
        <v>45692.1875</v>
      </c>
      <c r="B798" t="s">
        <v>162</v>
      </c>
      <c r="C798" t="s">
        <v>4818</v>
      </c>
      <c r="D798" s="6" t="str">
        <f>_xlfn.XLOOKUP(B798,Indices!$A$2:$A$2676,Indices!$B$2:$B$2676,"")</f>
        <v>SP500</v>
      </c>
    </row>
    <row r="799" spans="1:4" x14ac:dyDescent="0.25">
      <c r="A799" s="140">
        <v>45692.1875</v>
      </c>
      <c r="B799" t="s">
        <v>1376</v>
      </c>
      <c r="C799" t="s">
        <v>4818</v>
      </c>
      <c r="D799" s="6" t="str">
        <f>_xlfn.XLOOKUP(B799,Indices!$A$2:$A$2676,Indices!$B$2:$B$2676,"")</f>
        <v>SP500</v>
      </c>
    </row>
    <row r="800" spans="1:4" x14ac:dyDescent="0.25">
      <c r="A800" s="140">
        <v>45692.1875</v>
      </c>
      <c r="B800" t="s">
        <v>813</v>
      </c>
      <c r="C800" t="s">
        <v>4818</v>
      </c>
      <c r="D800" s="6" t="str">
        <f>_xlfn.XLOOKUP(B800,Indices!$A$2:$A$2676,Indices!$B$2:$B$2676,"")</f>
        <v>S&amp;P Mid</v>
      </c>
    </row>
    <row r="801" spans="1:4" x14ac:dyDescent="0.25">
      <c r="A801" s="140">
        <v>45692.19027777778</v>
      </c>
      <c r="B801" t="s">
        <v>2556</v>
      </c>
      <c r="C801" t="s">
        <v>4819</v>
      </c>
      <c r="D801" s="6" t="str">
        <f>_xlfn.XLOOKUP(B801,Indices!$A$2:$A$2676,Indices!$B$2:$B$2676,"")</f>
        <v/>
      </c>
    </row>
    <row r="802" spans="1:4" x14ac:dyDescent="0.25">
      <c r="A802" s="140">
        <v>45692.190972222219</v>
      </c>
      <c r="B802" t="s">
        <v>2550</v>
      </c>
      <c r="C802" t="s">
        <v>4820</v>
      </c>
      <c r="D802" s="6" t="str">
        <f>_xlfn.XLOOKUP(B802,Indices!$A$2:$A$2676,Indices!$B$2:$B$2676,"")</f>
        <v/>
      </c>
    </row>
    <row r="803" spans="1:4" x14ac:dyDescent="0.25">
      <c r="A803" s="140">
        <v>45692.194444444445</v>
      </c>
      <c r="B803" t="s">
        <v>4821</v>
      </c>
      <c r="C803" t="s">
        <v>4822</v>
      </c>
      <c r="D803" s="6" t="str">
        <f>_xlfn.XLOOKUP(B803,Indices!$A$2:$A$2676,Indices!$B$2:$B$2676,"")</f>
        <v/>
      </c>
    </row>
    <row r="804" spans="1:4" x14ac:dyDescent="0.25">
      <c r="A804" s="140">
        <v>45692.197916666664</v>
      </c>
      <c r="B804" t="s">
        <v>1081</v>
      </c>
      <c r="C804" t="s">
        <v>4823</v>
      </c>
      <c r="D804" s="6" t="str">
        <f>_xlfn.XLOOKUP(B804,Indices!$A$2:$A$2676,Indices!$B$2:$B$2676,"")</f>
        <v>SP500</v>
      </c>
    </row>
    <row r="805" spans="1:4" x14ac:dyDescent="0.25">
      <c r="A805" s="140">
        <v>45692.197916666664</v>
      </c>
      <c r="B805" t="s">
        <v>1332</v>
      </c>
      <c r="C805" t="s">
        <v>4823</v>
      </c>
      <c r="D805" s="6" t="str">
        <f>_xlfn.XLOOKUP(B805,Indices!$A$2:$A$2676,Indices!$B$2:$B$2676,"")</f>
        <v>SP500</v>
      </c>
    </row>
    <row r="806" spans="1:4" x14ac:dyDescent="0.25">
      <c r="A806" s="140">
        <v>45692.201388888891</v>
      </c>
      <c r="B806" t="s">
        <v>1554</v>
      </c>
      <c r="C806" t="s">
        <v>4824</v>
      </c>
      <c r="D806" s="6" t="str">
        <f>_xlfn.XLOOKUP(B806,Indices!$A$2:$A$2676,Indices!$B$2:$B$2676,"")</f>
        <v>SP500</v>
      </c>
    </row>
    <row r="807" spans="1:4" x14ac:dyDescent="0.25">
      <c r="A807" s="140">
        <v>45692.201388888891</v>
      </c>
      <c r="B807" t="s">
        <v>1083</v>
      </c>
      <c r="C807" t="s">
        <v>4824</v>
      </c>
      <c r="D807" s="6" t="str">
        <f>_xlfn.XLOOKUP(B807,Indices!$A$2:$A$2676,Indices!$B$2:$B$2676,"")</f>
        <v>IWM</v>
      </c>
    </row>
    <row r="808" spans="1:4" x14ac:dyDescent="0.25">
      <c r="A808" s="140">
        <v>45692.201388888891</v>
      </c>
      <c r="B808" t="s">
        <v>1742</v>
      </c>
      <c r="C808" t="s">
        <v>4824</v>
      </c>
      <c r="D808" s="6" t="str">
        <f>_xlfn.XLOOKUP(B808,Indices!$A$2:$A$2676,Indices!$B$2:$B$2676,"")</f>
        <v>IWM</v>
      </c>
    </row>
    <row r="809" spans="1:4" x14ac:dyDescent="0.25">
      <c r="A809" s="140">
        <v>45692.204861111109</v>
      </c>
      <c r="B809" t="s">
        <v>1426</v>
      </c>
      <c r="C809" t="s">
        <v>4825</v>
      </c>
      <c r="D809" s="6" t="str">
        <f>_xlfn.XLOOKUP(B809,Indices!$A$2:$A$2676,Indices!$B$2:$B$2676,"")</f>
        <v>SP500</v>
      </c>
    </row>
    <row r="810" spans="1:4" x14ac:dyDescent="0.25">
      <c r="A810" s="140">
        <v>45692.204861111109</v>
      </c>
      <c r="B810" t="s">
        <v>1478</v>
      </c>
      <c r="C810" t="s">
        <v>4825</v>
      </c>
      <c r="D810" s="6" t="str">
        <f>_xlfn.XLOOKUP(B810,Indices!$A$2:$A$2676,Indices!$B$2:$B$2676,"")</f>
        <v>SP500</v>
      </c>
    </row>
    <row r="811" spans="1:4" x14ac:dyDescent="0.25">
      <c r="A811" s="140">
        <v>45692.208333333336</v>
      </c>
      <c r="B811" t="s">
        <v>293</v>
      </c>
      <c r="C811" t="s">
        <v>4826</v>
      </c>
      <c r="D811" s="6" t="str">
        <f>_xlfn.XLOOKUP(B811,Indices!$A$2:$A$2676,Indices!$B$2:$B$2676,"")</f>
        <v>IWM</v>
      </c>
    </row>
    <row r="812" spans="1:4" x14ac:dyDescent="0.25">
      <c r="A812" s="140">
        <v>45692.208333333336</v>
      </c>
      <c r="B812" t="s">
        <v>1469</v>
      </c>
      <c r="C812" t="s">
        <v>4826</v>
      </c>
      <c r="D812" s="6" t="str">
        <f>_xlfn.XLOOKUP(B812,Indices!$A$2:$A$2676,Indices!$B$2:$B$2676,"")</f>
        <v>SP500</v>
      </c>
    </row>
    <row r="813" spans="1:4" x14ac:dyDescent="0.25">
      <c r="A813" s="140">
        <v>45692.208333333336</v>
      </c>
      <c r="B813" t="s">
        <v>1946</v>
      </c>
      <c r="C813" t="s">
        <v>4826</v>
      </c>
      <c r="D813" s="6" t="str">
        <f>_xlfn.XLOOKUP(B813,Indices!$A$2:$A$2676,Indices!$B$2:$B$2676,"")</f>
        <v>IWM</v>
      </c>
    </row>
    <row r="814" spans="1:4" x14ac:dyDescent="0.25">
      <c r="A814" s="140">
        <v>45692.208333333336</v>
      </c>
      <c r="B814" t="s">
        <v>1628</v>
      </c>
      <c r="C814" t="s">
        <v>4826</v>
      </c>
      <c r="D814" s="6" t="str">
        <f>_xlfn.XLOOKUP(B814,Indices!$A$2:$A$2676,Indices!$B$2:$B$2676,"")</f>
        <v>IWM</v>
      </c>
    </row>
    <row r="815" spans="1:4" x14ac:dyDescent="0.25">
      <c r="A815" s="140">
        <v>45692.209027777775</v>
      </c>
      <c r="B815" t="s">
        <v>1368</v>
      </c>
      <c r="C815" t="s">
        <v>4827</v>
      </c>
      <c r="D815" s="6" t="str">
        <f>_xlfn.XLOOKUP(B815,Indices!$A$2:$A$2676,Indices!$B$2:$B$2676,"")</f>
        <v>SP500</v>
      </c>
    </row>
    <row r="816" spans="1:4" x14ac:dyDescent="0.25">
      <c r="A816" s="140">
        <v>45692.211805555555</v>
      </c>
      <c r="B816" t="s">
        <v>97</v>
      </c>
      <c r="C816" t="s">
        <v>4828</v>
      </c>
      <c r="D816" s="6" t="str">
        <f>_xlfn.XLOOKUP(B816,Indices!$A$2:$A$2676,Indices!$B$2:$B$2676,"")</f>
        <v>IWM</v>
      </c>
    </row>
    <row r="817" spans="1:4" x14ac:dyDescent="0.25">
      <c r="A817" s="140">
        <v>45692.21875</v>
      </c>
      <c r="B817" t="s">
        <v>613</v>
      </c>
      <c r="C817" t="s">
        <v>4829</v>
      </c>
      <c r="D817" s="6" t="str">
        <f>_xlfn.XLOOKUP(B817,Indices!$A$2:$A$2676,Indices!$B$2:$B$2676,"")</f>
        <v>SP500</v>
      </c>
    </row>
    <row r="818" spans="1:4" x14ac:dyDescent="0.25">
      <c r="A818" s="140">
        <v>45692.229166666664</v>
      </c>
      <c r="B818" t="s">
        <v>1076</v>
      </c>
      <c r="C818" t="s">
        <v>4830</v>
      </c>
      <c r="D818" s="6" t="str">
        <f>_xlfn.XLOOKUP(B818,Indices!$A$2:$A$2676,Indices!$B$2:$B$2676,"")</f>
        <v>SP500</v>
      </c>
    </row>
    <row r="819" spans="1:4" x14ac:dyDescent="0.25">
      <c r="A819" s="140">
        <v>45692.229166666664</v>
      </c>
      <c r="B819" t="s">
        <v>205</v>
      </c>
      <c r="C819" t="s">
        <v>4830</v>
      </c>
      <c r="D819" s="6" t="str">
        <f>_xlfn.XLOOKUP(B819,Indices!$A$2:$A$2676,Indices!$B$2:$B$2676,"")</f>
        <v>SP500</v>
      </c>
    </row>
    <row r="820" spans="1:4" x14ac:dyDescent="0.25">
      <c r="A820" s="140">
        <v>45692.229166666664</v>
      </c>
      <c r="B820" t="s">
        <v>2558</v>
      </c>
      <c r="C820" t="s">
        <v>4830</v>
      </c>
      <c r="D820" s="6" t="str">
        <f>_xlfn.XLOOKUP(B820,Indices!$A$2:$A$2676,Indices!$B$2:$B$2676,"")</f>
        <v/>
      </c>
    </row>
    <row r="821" spans="1:4" x14ac:dyDescent="0.25">
      <c r="A821" s="140">
        <v>45692.229166666664</v>
      </c>
      <c r="B821" t="s">
        <v>1506</v>
      </c>
      <c r="C821" t="s">
        <v>4830</v>
      </c>
      <c r="D821" s="6" t="str">
        <f>_xlfn.XLOOKUP(B821,Indices!$A$2:$A$2676,Indices!$B$2:$B$2676,"")</f>
        <v>SP500</v>
      </c>
    </row>
    <row r="822" spans="1:4" x14ac:dyDescent="0.25">
      <c r="A822" s="140">
        <v>45692.229166666664</v>
      </c>
      <c r="B822" t="s">
        <v>2554</v>
      </c>
      <c r="C822" t="s">
        <v>4830</v>
      </c>
      <c r="D822" s="6" t="str">
        <f>_xlfn.XLOOKUP(B822,Indices!$A$2:$A$2676,Indices!$B$2:$B$2676,"")</f>
        <v/>
      </c>
    </row>
    <row r="823" spans="1:4" x14ac:dyDescent="0.25">
      <c r="A823" s="140">
        <v>45692.229166666664</v>
      </c>
      <c r="B823" t="s">
        <v>1745</v>
      </c>
      <c r="C823" t="s">
        <v>4830</v>
      </c>
      <c r="D823" s="6" t="str">
        <f>_xlfn.XLOOKUP(B823,Indices!$A$2:$A$2676,Indices!$B$2:$B$2676,"")</f>
        <v>IWM</v>
      </c>
    </row>
    <row r="824" spans="1:4" x14ac:dyDescent="0.25">
      <c r="A824" s="140">
        <v>45692.239583333336</v>
      </c>
      <c r="B824" t="s">
        <v>1133</v>
      </c>
      <c r="C824" t="s">
        <v>4831</v>
      </c>
      <c r="D824" s="6" t="str">
        <f>_xlfn.XLOOKUP(B824,Indices!$A$2:$A$2676,Indices!$B$2:$B$2676,"")</f>
        <v>IWM</v>
      </c>
    </row>
    <row r="825" spans="1:4" x14ac:dyDescent="0.25">
      <c r="A825" s="140">
        <v>45692.25</v>
      </c>
      <c r="B825" t="s">
        <v>59</v>
      </c>
      <c r="C825" t="s">
        <v>4832</v>
      </c>
      <c r="D825" s="6" t="str">
        <f>_xlfn.XLOOKUP(B825,Indices!$A$2:$A$2676,Indices!$B$2:$B$2676,"")</f>
        <v>SP500</v>
      </c>
    </row>
    <row r="826" spans="1:4" x14ac:dyDescent="0.25">
      <c r="A826" s="140">
        <v>45692.25</v>
      </c>
      <c r="B826" t="s">
        <v>1923</v>
      </c>
      <c r="C826" t="s">
        <v>4832</v>
      </c>
      <c r="D826" s="6" t="str">
        <f>_xlfn.XLOOKUP(B826,Indices!$A$2:$A$2676,Indices!$B$2:$B$2676,"")</f>
        <v>IWM</v>
      </c>
    </row>
    <row r="827" spans="1:4" x14ac:dyDescent="0.25">
      <c r="A827" s="140">
        <v>45692.25</v>
      </c>
      <c r="B827" t="s">
        <v>58</v>
      </c>
      <c r="C827" t="s">
        <v>4832</v>
      </c>
      <c r="D827" s="6" t="str">
        <f>_xlfn.XLOOKUP(B827,Indices!$A$2:$A$2676,Indices!$B$2:$B$2676,"")</f>
        <v>SP500</v>
      </c>
    </row>
    <row r="828" spans="1:4" x14ac:dyDescent="0.25">
      <c r="A828" s="140">
        <v>45692.25</v>
      </c>
      <c r="B828" t="s">
        <v>638</v>
      </c>
      <c r="C828" t="s">
        <v>4832</v>
      </c>
      <c r="D828" s="6" t="str">
        <f>_xlfn.XLOOKUP(B828,Indices!$A$2:$A$2676,Indices!$B$2:$B$2676,"")</f>
        <v>IWM</v>
      </c>
    </row>
    <row r="829" spans="1:4" x14ac:dyDescent="0.25">
      <c r="A829" s="140">
        <v>45692.291666666664</v>
      </c>
      <c r="B829" t="s">
        <v>2657</v>
      </c>
      <c r="C829" t="s">
        <v>4833</v>
      </c>
      <c r="D829" s="6" t="str">
        <f>_xlfn.XLOOKUP(B829,Indices!$A$2:$A$2676,Indices!$B$2:$B$2676,"")</f>
        <v/>
      </c>
    </row>
    <row r="830" spans="1:4" x14ac:dyDescent="0.25">
      <c r="A830" s="140">
        <v>45692.291666666664</v>
      </c>
      <c r="B830" t="s">
        <v>2562</v>
      </c>
      <c r="C830" t="s">
        <v>2549</v>
      </c>
      <c r="D830" s="6" t="str">
        <f>_xlfn.XLOOKUP(B830,Indices!$A$2:$A$2676,Indices!$B$2:$B$2676,"")</f>
        <v/>
      </c>
    </row>
    <row r="831" spans="1:4" x14ac:dyDescent="0.25">
      <c r="A831" s="140">
        <v>45692.302083333336</v>
      </c>
      <c r="B831" t="s">
        <v>1080</v>
      </c>
      <c r="C831" t="s">
        <v>4834</v>
      </c>
      <c r="D831" s="6" t="str">
        <f>_xlfn.XLOOKUP(B831,Indices!$A$2:$A$2676,Indices!$B$2:$B$2676,"")</f>
        <v>S&amp;P Mid</v>
      </c>
    </row>
    <row r="832" spans="1:4" x14ac:dyDescent="0.25">
      <c r="A832" s="140">
        <v>45692.333333333336</v>
      </c>
      <c r="B832" t="s">
        <v>2112</v>
      </c>
      <c r="C832" t="s">
        <v>4835</v>
      </c>
      <c r="D832" s="6" t="str">
        <f>_xlfn.XLOOKUP(B832,Indices!$A$2:$A$2676,Indices!$B$2:$B$2676,"")</f>
        <v>IWM</v>
      </c>
    </row>
    <row r="833" spans="1:4" x14ac:dyDescent="0.25">
      <c r="A833" s="140">
        <v>45692.523611111108</v>
      </c>
      <c r="B833" t="s">
        <v>2571</v>
      </c>
      <c r="C833" t="s">
        <v>5250</v>
      </c>
      <c r="D833" s="6" t="str">
        <f>_xlfn.XLOOKUP(B833,Indices!$A$2:$A$2676,Indices!$B$2:$B$2676,"")</f>
        <v/>
      </c>
    </row>
    <row r="834" spans="1:4" x14ac:dyDescent="0.25">
      <c r="A834" s="140">
        <v>45692.583333333336</v>
      </c>
      <c r="B834" t="s">
        <v>1980</v>
      </c>
      <c r="C834" t="s">
        <v>4836</v>
      </c>
      <c r="D834" s="6" t="str">
        <f>_xlfn.XLOOKUP(B834,Indices!$A$2:$A$2676,Indices!$B$2:$B$2676,"")</f>
        <v>IWM</v>
      </c>
    </row>
    <row r="835" spans="1:4" x14ac:dyDescent="0.25">
      <c r="A835" s="140">
        <v>45692.584027777775</v>
      </c>
      <c r="B835" t="s">
        <v>2574</v>
      </c>
      <c r="C835" t="s">
        <v>4837</v>
      </c>
      <c r="D835" s="6" t="str">
        <f>_xlfn.XLOOKUP(B835,Indices!$A$2:$A$2676,Indices!$B$2:$B$2676,"")</f>
        <v/>
      </c>
    </row>
    <row r="836" spans="1:4" x14ac:dyDescent="0.25">
      <c r="A836" s="140">
        <v>45692.584027777775</v>
      </c>
      <c r="B836" t="s">
        <v>1324</v>
      </c>
      <c r="C836" t="s">
        <v>4837</v>
      </c>
      <c r="D836" s="6" t="str">
        <f>_xlfn.XLOOKUP(B836,Indices!$A$2:$A$2676,Indices!$B$2:$B$2676,"")</f>
        <v>SP500</v>
      </c>
    </row>
    <row r="837" spans="1:4" x14ac:dyDescent="0.25">
      <c r="A837" s="140">
        <v>45692.584027777775</v>
      </c>
      <c r="B837" t="s">
        <v>220</v>
      </c>
      <c r="C837" t="s">
        <v>4837</v>
      </c>
      <c r="D837" s="6" t="str">
        <f>_xlfn.XLOOKUP(B837,Indices!$A$2:$A$2676,Indices!$B$2:$B$2676,"")</f>
        <v>IWM</v>
      </c>
    </row>
    <row r="838" spans="1:4" x14ac:dyDescent="0.25">
      <c r="A838" s="140">
        <v>45692.584027777775</v>
      </c>
      <c r="B838" t="s">
        <v>1278</v>
      </c>
      <c r="C838" t="s">
        <v>4837</v>
      </c>
      <c r="D838" s="6" t="str">
        <f>_xlfn.XLOOKUP(B838,Indices!$A$2:$A$2676,Indices!$B$2:$B$2676,"")</f>
        <v>SP500</v>
      </c>
    </row>
    <row r="839" spans="1:4" x14ac:dyDescent="0.25">
      <c r="A839" s="140">
        <v>45692.584027777775</v>
      </c>
      <c r="B839" t="s">
        <v>219</v>
      </c>
      <c r="C839" t="s">
        <v>4837</v>
      </c>
      <c r="D839" s="6" t="str">
        <f>_xlfn.XLOOKUP(B839,Indices!$A$2:$A$2676,Indices!$B$2:$B$2676,"")</f>
        <v>IWM</v>
      </c>
    </row>
    <row r="840" spans="1:4" x14ac:dyDescent="0.25">
      <c r="A840" s="140">
        <v>45692.584027777775</v>
      </c>
      <c r="B840" t="s">
        <v>1277</v>
      </c>
      <c r="C840" t="s">
        <v>4837</v>
      </c>
      <c r="D840" s="6" t="str">
        <f>_xlfn.XLOOKUP(B840,Indices!$A$2:$A$2676,Indices!$B$2:$B$2676,"")</f>
        <v>SP500</v>
      </c>
    </row>
    <row r="841" spans="1:4" x14ac:dyDescent="0.25">
      <c r="A841" s="140">
        <v>45692.585416666669</v>
      </c>
      <c r="B841" t="s">
        <v>1538</v>
      </c>
      <c r="C841" t="s">
        <v>4838</v>
      </c>
      <c r="D841" s="6" t="str">
        <f>_xlfn.XLOOKUP(B841,Indices!$A$2:$A$2676,Indices!$B$2:$B$2676,"")</f>
        <v>SP500</v>
      </c>
    </row>
    <row r="842" spans="1:4" x14ac:dyDescent="0.25">
      <c r="A842" s="140">
        <v>45692.586805555555</v>
      </c>
      <c r="B842" t="s">
        <v>2339</v>
      </c>
      <c r="C842" t="s">
        <v>4839</v>
      </c>
      <c r="D842" s="6" t="str">
        <f>_xlfn.XLOOKUP(B842,Indices!$A$2:$A$2676,Indices!$B$2:$B$2676,"")</f>
        <v>S&amp;P Mid</v>
      </c>
    </row>
    <row r="843" spans="1:4" x14ac:dyDescent="0.25">
      <c r="A843" s="140">
        <v>45692.586805555555</v>
      </c>
      <c r="B843" t="s">
        <v>2568</v>
      </c>
      <c r="C843" t="s">
        <v>4839</v>
      </c>
      <c r="D843" s="6" t="str">
        <f>_xlfn.XLOOKUP(B843,Indices!$A$2:$A$2676,Indices!$B$2:$B$2676,"")</f>
        <v/>
      </c>
    </row>
    <row r="844" spans="1:4" x14ac:dyDescent="0.25">
      <c r="A844" s="140">
        <v>45692.586805555555</v>
      </c>
      <c r="B844" t="s">
        <v>1431</v>
      </c>
      <c r="C844" t="s">
        <v>4839</v>
      </c>
      <c r="D844" s="6" t="str">
        <f>_xlfn.XLOOKUP(B844,Indices!$A$2:$A$2676,Indices!$B$2:$B$2676,"")</f>
        <v>SP500</v>
      </c>
    </row>
    <row r="845" spans="1:4" x14ac:dyDescent="0.25">
      <c r="A845" s="140">
        <v>45692.586805555555</v>
      </c>
      <c r="B845" t="s">
        <v>2578</v>
      </c>
      <c r="C845" t="s">
        <v>4839</v>
      </c>
      <c r="D845" s="6" t="str">
        <f>_xlfn.XLOOKUP(B845,Indices!$A$2:$A$2676,Indices!$B$2:$B$2676,"")</f>
        <v/>
      </c>
    </row>
    <row r="846" spans="1:4" x14ac:dyDescent="0.25">
      <c r="A846" s="140">
        <v>45692.586805555555</v>
      </c>
      <c r="B846" t="s">
        <v>1605</v>
      </c>
      <c r="C846" t="s">
        <v>4839</v>
      </c>
      <c r="D846" s="6" t="str">
        <f>_xlfn.XLOOKUP(B846,Indices!$A$2:$A$2676,Indices!$B$2:$B$2676,"")</f>
        <v>SP500</v>
      </c>
    </row>
    <row r="847" spans="1:4" x14ac:dyDescent="0.25">
      <c r="A847" s="140">
        <v>45692.586805555555</v>
      </c>
      <c r="B847" t="s">
        <v>2613</v>
      </c>
      <c r="C847" t="s">
        <v>4839</v>
      </c>
      <c r="D847" s="6" t="str">
        <f>_xlfn.XLOOKUP(B847,Indices!$A$2:$A$2676,Indices!$B$2:$B$2676,"")</f>
        <v/>
      </c>
    </row>
    <row r="848" spans="1:4" x14ac:dyDescent="0.25">
      <c r="A848" s="140">
        <v>45692.586805555555</v>
      </c>
      <c r="B848" t="s">
        <v>84</v>
      </c>
      <c r="C848" t="s">
        <v>4839</v>
      </c>
      <c r="D848" s="6" t="str">
        <f>_xlfn.XLOOKUP(B848,Indices!$A$2:$A$2676,Indices!$B$2:$B$2676,"")</f>
        <v>IWM</v>
      </c>
    </row>
    <row r="849" spans="1:4" x14ac:dyDescent="0.25">
      <c r="A849" s="140">
        <v>45692.586805555555</v>
      </c>
      <c r="B849" t="s">
        <v>91</v>
      </c>
      <c r="C849" t="s">
        <v>4839</v>
      </c>
      <c r="D849" s="6" t="str">
        <f>_xlfn.XLOOKUP(B849,Indices!$A$2:$A$2676,Indices!$B$2:$B$2676,"")</f>
        <v>IWM</v>
      </c>
    </row>
    <row r="850" spans="1:4" x14ac:dyDescent="0.25">
      <c r="A850" s="140">
        <v>45692.586805555555</v>
      </c>
      <c r="B850" t="s">
        <v>1026</v>
      </c>
      <c r="C850" t="s">
        <v>4839</v>
      </c>
      <c r="D850" s="6" t="str">
        <f>_xlfn.XLOOKUP(B850,Indices!$A$2:$A$2676,Indices!$B$2:$B$2676,"")</f>
        <v>IWM</v>
      </c>
    </row>
    <row r="851" spans="1:4" x14ac:dyDescent="0.25">
      <c r="A851" s="140">
        <v>45692.586805555555</v>
      </c>
      <c r="B851" t="s">
        <v>242</v>
      </c>
      <c r="C851" t="s">
        <v>4839</v>
      </c>
      <c r="D851" s="6" t="str">
        <f>_xlfn.XLOOKUP(B851,Indices!$A$2:$A$2676,Indices!$B$2:$B$2676,"")</f>
        <v>SP500</v>
      </c>
    </row>
    <row r="852" spans="1:4" x14ac:dyDescent="0.25">
      <c r="A852" s="140">
        <v>45692.586805555555</v>
      </c>
      <c r="B852" t="s">
        <v>28</v>
      </c>
      <c r="C852" t="s">
        <v>4839</v>
      </c>
      <c r="D852" s="6" t="str">
        <f>_xlfn.XLOOKUP(B852,Indices!$A$2:$A$2676,Indices!$B$2:$B$2676,"")</f>
        <v>SP500</v>
      </c>
    </row>
    <row r="853" spans="1:4" x14ac:dyDescent="0.25">
      <c r="A853" s="140">
        <v>45692.586805555555</v>
      </c>
      <c r="B853" t="s">
        <v>110</v>
      </c>
      <c r="C853" t="s">
        <v>4839</v>
      </c>
      <c r="D853" s="6" t="str">
        <f>_xlfn.XLOOKUP(B853,Indices!$A$2:$A$2676,Indices!$B$2:$B$2676,"")</f>
        <v>IWM</v>
      </c>
    </row>
    <row r="854" spans="1:4" x14ac:dyDescent="0.25">
      <c r="A854" s="140">
        <v>45692.586805555555</v>
      </c>
      <c r="B854" t="s">
        <v>2470</v>
      </c>
      <c r="C854" t="s">
        <v>4839</v>
      </c>
      <c r="D854" s="6" t="str">
        <f>_xlfn.XLOOKUP(B854,Indices!$A$2:$A$2676,Indices!$B$2:$B$2676,"")</f>
        <v>S&amp;P Mid</v>
      </c>
    </row>
    <row r="855" spans="1:4" x14ac:dyDescent="0.25">
      <c r="A855" s="140">
        <v>45692.586805555555</v>
      </c>
      <c r="B855" t="s">
        <v>1611</v>
      </c>
      <c r="C855" t="s">
        <v>4839</v>
      </c>
      <c r="D855" s="6" t="str">
        <f>_xlfn.XLOOKUP(B855,Indices!$A$2:$A$2676,Indices!$B$2:$B$2676,"")</f>
        <v>SP500</v>
      </c>
    </row>
    <row r="856" spans="1:4" x14ac:dyDescent="0.25">
      <c r="A856" s="140">
        <v>45692.586805555555</v>
      </c>
      <c r="B856" t="s">
        <v>2570</v>
      </c>
      <c r="C856" t="s">
        <v>4839</v>
      </c>
      <c r="D856" s="6" t="str">
        <f>_xlfn.XLOOKUP(B856,Indices!$A$2:$A$2676,Indices!$B$2:$B$2676,"")</f>
        <v/>
      </c>
    </row>
    <row r="857" spans="1:4" x14ac:dyDescent="0.25">
      <c r="A857" s="140">
        <v>45692.586805555555</v>
      </c>
      <c r="B857" t="s">
        <v>722</v>
      </c>
      <c r="C857" t="s">
        <v>4839</v>
      </c>
      <c r="D857" s="6" t="str">
        <f>_xlfn.XLOOKUP(B857,Indices!$A$2:$A$2676,Indices!$B$2:$B$2676,"")</f>
        <v>S&amp;P Mid</v>
      </c>
    </row>
    <row r="858" spans="1:4" x14ac:dyDescent="0.25">
      <c r="A858" s="140">
        <v>45692.586805555555</v>
      </c>
      <c r="B858" t="s">
        <v>2511</v>
      </c>
      <c r="C858" t="s">
        <v>4839</v>
      </c>
      <c r="D858" s="6" t="str">
        <f>_xlfn.XLOOKUP(B858,Indices!$A$2:$A$2676,Indices!$B$2:$B$2676,"")</f>
        <v>S&amp;P Mid</v>
      </c>
    </row>
    <row r="859" spans="1:4" x14ac:dyDescent="0.25">
      <c r="A859" s="140">
        <v>45692.586805555555</v>
      </c>
      <c r="B859" t="s">
        <v>2503</v>
      </c>
      <c r="C859" t="s">
        <v>4839</v>
      </c>
      <c r="D859" s="6" t="str">
        <f>_xlfn.XLOOKUP(B859,Indices!$A$2:$A$2676,Indices!$B$2:$B$2676,"")</f>
        <v>S&amp;P Mid</v>
      </c>
    </row>
    <row r="860" spans="1:4" x14ac:dyDescent="0.25">
      <c r="A860" s="140">
        <v>45692.586805555555</v>
      </c>
      <c r="B860" t="s">
        <v>543</v>
      </c>
      <c r="C860" t="s">
        <v>4839</v>
      </c>
      <c r="D860" s="6" t="str">
        <f>_xlfn.XLOOKUP(B860,Indices!$A$2:$A$2676,Indices!$B$2:$B$2676,"")</f>
        <v>IWM</v>
      </c>
    </row>
    <row r="861" spans="1:4" x14ac:dyDescent="0.25">
      <c r="A861" s="140">
        <v>45692.586805555555</v>
      </c>
      <c r="B861" t="s">
        <v>1672</v>
      </c>
      <c r="C861" t="s">
        <v>4839</v>
      </c>
      <c r="D861" s="6" t="str">
        <f>_xlfn.XLOOKUP(B861,Indices!$A$2:$A$2676,Indices!$B$2:$B$2676,"")</f>
        <v>IWM</v>
      </c>
    </row>
    <row r="862" spans="1:4" x14ac:dyDescent="0.25">
      <c r="A862" s="140">
        <v>45692.586805555555</v>
      </c>
      <c r="B862" t="s">
        <v>117</v>
      </c>
      <c r="C862" t="s">
        <v>4839</v>
      </c>
      <c r="D862" s="6" t="str">
        <f>_xlfn.XLOOKUP(B862,Indices!$A$2:$A$2676,Indices!$B$2:$B$2676,"")</f>
        <v>S&amp;P Mid</v>
      </c>
    </row>
    <row r="863" spans="1:4" x14ac:dyDescent="0.25">
      <c r="A863" s="140">
        <v>45692.586805555555</v>
      </c>
      <c r="B863" t="s">
        <v>2520</v>
      </c>
      <c r="C863" t="s">
        <v>4839</v>
      </c>
      <c r="D863" s="6" t="str">
        <f>_xlfn.XLOOKUP(B863,Indices!$A$2:$A$2676,Indices!$B$2:$B$2676,"")</f>
        <v/>
      </c>
    </row>
    <row r="864" spans="1:4" x14ac:dyDescent="0.25">
      <c r="A864" s="140">
        <v>45692.587500000001</v>
      </c>
      <c r="B864" t="s">
        <v>770</v>
      </c>
      <c r="C864" t="s">
        <v>4840</v>
      </c>
      <c r="D864" s="6" t="str">
        <f>_xlfn.XLOOKUP(B864,Indices!$A$2:$A$2676,Indices!$B$2:$B$2676,"")</f>
        <v>IWM</v>
      </c>
    </row>
    <row r="865" spans="1:4" x14ac:dyDescent="0.25">
      <c r="A865" s="140">
        <v>45692.590277777781</v>
      </c>
      <c r="B865" t="s">
        <v>2476</v>
      </c>
      <c r="C865" t="s">
        <v>4841</v>
      </c>
      <c r="D865" s="6" t="str">
        <f>_xlfn.XLOOKUP(B865,Indices!$A$2:$A$2676,Indices!$B$2:$B$2676,"")</f>
        <v>S&amp;P Mid</v>
      </c>
    </row>
    <row r="866" spans="1:4" x14ac:dyDescent="0.25">
      <c r="A866" s="140">
        <v>45692.590277777781</v>
      </c>
      <c r="B866" t="s">
        <v>498</v>
      </c>
      <c r="C866" t="s">
        <v>4841</v>
      </c>
      <c r="D866" s="6" t="str">
        <f>_xlfn.XLOOKUP(B866,Indices!$A$2:$A$2676,Indices!$B$2:$B$2676,"")</f>
        <v>IWM</v>
      </c>
    </row>
    <row r="867" spans="1:4" x14ac:dyDescent="0.25">
      <c r="A867" s="140">
        <v>45692.590277777781</v>
      </c>
      <c r="B867" t="s">
        <v>1667</v>
      </c>
      <c r="C867" t="s">
        <v>4841</v>
      </c>
      <c r="D867" s="6" t="str">
        <f>_xlfn.XLOOKUP(B867,Indices!$A$2:$A$2676,Indices!$B$2:$B$2676,"")</f>
        <v>IWM</v>
      </c>
    </row>
    <row r="868" spans="1:4" x14ac:dyDescent="0.25">
      <c r="A868" s="140">
        <v>45692.590277777781</v>
      </c>
      <c r="B868" t="s">
        <v>1375</v>
      </c>
      <c r="C868" t="s">
        <v>4841</v>
      </c>
      <c r="D868" s="6" t="str">
        <f>_xlfn.XLOOKUP(B868,Indices!$A$2:$A$2676,Indices!$B$2:$B$2676,"")</f>
        <v>SP500</v>
      </c>
    </row>
    <row r="869" spans="1:4" x14ac:dyDescent="0.25">
      <c r="A869" s="140">
        <v>45692.590277777781</v>
      </c>
      <c r="B869" t="s">
        <v>1679</v>
      </c>
      <c r="C869" t="s">
        <v>4841</v>
      </c>
      <c r="D869" s="6" t="str">
        <f>_xlfn.XLOOKUP(B869,Indices!$A$2:$A$2676,Indices!$B$2:$B$2676,"")</f>
        <v>IWM</v>
      </c>
    </row>
    <row r="870" spans="1:4" x14ac:dyDescent="0.25">
      <c r="A870" s="140">
        <v>45692.590277777781</v>
      </c>
      <c r="B870" t="s">
        <v>2569</v>
      </c>
      <c r="C870" t="s">
        <v>4841</v>
      </c>
      <c r="D870" s="6" t="str">
        <f>_xlfn.XLOOKUP(B870,Indices!$A$2:$A$2676,Indices!$B$2:$B$2676,"")</f>
        <v/>
      </c>
    </row>
    <row r="871" spans="1:4" x14ac:dyDescent="0.25">
      <c r="A871" s="140">
        <v>45692.59097222222</v>
      </c>
      <c r="B871" t="s">
        <v>1364</v>
      </c>
      <c r="C871" t="s">
        <v>4842</v>
      </c>
      <c r="D871" s="6" t="str">
        <f>_xlfn.XLOOKUP(B871,Indices!$A$2:$A$2676,Indices!$B$2:$B$2676,"")</f>
        <v>SP500</v>
      </c>
    </row>
    <row r="872" spans="1:4" x14ac:dyDescent="0.25">
      <c r="A872" s="140">
        <v>45692.59375</v>
      </c>
      <c r="B872" t="s">
        <v>1299</v>
      </c>
      <c r="C872" t="s">
        <v>4843</v>
      </c>
      <c r="D872" s="6" t="str">
        <f>_xlfn.XLOOKUP(B872,Indices!$A$2:$A$2676,Indices!$B$2:$B$2676,"")</f>
        <v>SP500</v>
      </c>
    </row>
    <row r="873" spans="1:4" x14ac:dyDescent="0.25">
      <c r="A873" s="140">
        <v>45692.59375</v>
      </c>
      <c r="B873" t="s">
        <v>2577</v>
      </c>
      <c r="C873" t="s">
        <v>4843</v>
      </c>
      <c r="D873" s="6" t="str">
        <f>_xlfn.XLOOKUP(B873,Indices!$A$2:$A$2676,Indices!$B$2:$B$2676,"")</f>
        <v/>
      </c>
    </row>
    <row r="874" spans="1:4" x14ac:dyDescent="0.25">
      <c r="A874" s="140">
        <v>45692.59375</v>
      </c>
      <c r="B874" t="s">
        <v>1589</v>
      </c>
      <c r="C874" t="s">
        <v>4843</v>
      </c>
      <c r="D874" s="6" t="str">
        <f>_xlfn.XLOOKUP(B874,Indices!$A$2:$A$2676,Indices!$B$2:$B$2676,"")</f>
        <v>SP500</v>
      </c>
    </row>
    <row r="875" spans="1:4" x14ac:dyDescent="0.25">
      <c r="A875" s="140">
        <v>45692.59375</v>
      </c>
      <c r="B875" t="s">
        <v>436</v>
      </c>
      <c r="C875" t="s">
        <v>4843</v>
      </c>
      <c r="D875" s="6" t="str">
        <f>_xlfn.XLOOKUP(B875,Indices!$A$2:$A$2676,Indices!$B$2:$B$2676,"")</f>
        <v>SP500</v>
      </c>
    </row>
    <row r="876" spans="1:4" x14ac:dyDescent="0.25">
      <c r="A876" s="140">
        <v>45692.59375</v>
      </c>
      <c r="B876" t="s">
        <v>2392</v>
      </c>
      <c r="C876" t="s">
        <v>4843</v>
      </c>
      <c r="D876" s="6" t="str">
        <f>_xlfn.XLOOKUP(B876,Indices!$A$2:$A$2676,Indices!$B$2:$B$2676,"")</f>
        <v>S&amp;P Mid</v>
      </c>
    </row>
    <row r="877" spans="1:4" x14ac:dyDescent="0.25">
      <c r="A877" s="140">
        <v>45692.59375</v>
      </c>
      <c r="B877" t="s">
        <v>2573</v>
      </c>
      <c r="C877" t="s">
        <v>4843</v>
      </c>
      <c r="D877" s="6" t="str">
        <f>_xlfn.XLOOKUP(B877,Indices!$A$2:$A$2676,Indices!$B$2:$B$2676,"")</f>
        <v/>
      </c>
    </row>
    <row r="878" spans="1:4" x14ac:dyDescent="0.25">
      <c r="A878" s="140">
        <v>45692.59375</v>
      </c>
      <c r="B878" t="s">
        <v>1953</v>
      </c>
      <c r="C878" t="s">
        <v>4843</v>
      </c>
      <c r="D878" s="6" t="str">
        <f>_xlfn.XLOOKUP(B878,Indices!$A$2:$A$2676,Indices!$B$2:$B$2676,"")</f>
        <v>IWM</v>
      </c>
    </row>
    <row r="879" spans="1:4" x14ac:dyDescent="0.25">
      <c r="A879" s="140">
        <v>45692.59375</v>
      </c>
      <c r="B879" t="s">
        <v>136</v>
      </c>
      <c r="C879" t="s">
        <v>4843</v>
      </c>
      <c r="D879" s="6" t="str">
        <f>_xlfn.XLOOKUP(B879,Indices!$A$2:$A$2676,Indices!$B$2:$B$2676,"")</f>
        <v>S&amp;P Mid</v>
      </c>
    </row>
    <row r="880" spans="1:4" x14ac:dyDescent="0.25">
      <c r="A880" s="140">
        <v>45692.59375</v>
      </c>
      <c r="B880" t="s">
        <v>1636</v>
      </c>
      <c r="C880" t="s">
        <v>4843</v>
      </c>
      <c r="D880" s="6" t="str">
        <f>_xlfn.XLOOKUP(B880,Indices!$A$2:$A$2676,Indices!$B$2:$B$2676,"")</f>
        <v>IWM</v>
      </c>
    </row>
    <row r="881" spans="1:4" x14ac:dyDescent="0.25">
      <c r="A881" s="140">
        <v>45692.59375</v>
      </c>
      <c r="B881" t="s">
        <v>425</v>
      </c>
      <c r="C881" t="s">
        <v>4843</v>
      </c>
      <c r="D881" s="6" t="str">
        <f>_xlfn.XLOOKUP(B881,Indices!$A$2:$A$2676,Indices!$B$2:$B$2676,"")</f>
        <v>IWM</v>
      </c>
    </row>
    <row r="882" spans="1:4" x14ac:dyDescent="0.25">
      <c r="A882" s="140">
        <v>45692.594444444447</v>
      </c>
      <c r="B882" t="s">
        <v>1815</v>
      </c>
      <c r="C882" t="s">
        <v>4844</v>
      </c>
      <c r="D882" s="6" t="str">
        <f>_xlfn.XLOOKUP(B882,Indices!$A$2:$A$2676,Indices!$B$2:$B$2676,"")</f>
        <v>IWM</v>
      </c>
    </row>
    <row r="883" spans="1:4" x14ac:dyDescent="0.25">
      <c r="A883" s="140">
        <v>45692.595138888886</v>
      </c>
      <c r="B883" t="s">
        <v>1533</v>
      </c>
      <c r="C883" t="s">
        <v>4845</v>
      </c>
      <c r="D883" s="6" t="str">
        <f>_xlfn.XLOOKUP(B883,Indices!$A$2:$A$2676,Indices!$B$2:$B$2676,"")</f>
        <v>SP500</v>
      </c>
    </row>
    <row r="884" spans="1:4" x14ac:dyDescent="0.25">
      <c r="A884" s="140">
        <v>45692.595833333333</v>
      </c>
      <c r="B884" t="s">
        <v>1428</v>
      </c>
      <c r="C884" t="s">
        <v>4846</v>
      </c>
      <c r="D884" s="6" t="str">
        <f>_xlfn.XLOOKUP(B884,Indices!$A$2:$A$2676,Indices!$B$2:$B$2676,"")</f>
        <v>SP500</v>
      </c>
    </row>
    <row r="885" spans="1:4" x14ac:dyDescent="0.25">
      <c r="A885" s="140">
        <v>45692.597222222219</v>
      </c>
      <c r="B885" t="s">
        <v>1879</v>
      </c>
      <c r="C885" t="s">
        <v>4847</v>
      </c>
      <c r="D885" s="6" t="str">
        <f>_xlfn.XLOOKUP(B885,Indices!$A$2:$A$2676,Indices!$B$2:$B$2676,"")</f>
        <v>IWM</v>
      </c>
    </row>
    <row r="886" spans="1:4" x14ac:dyDescent="0.25">
      <c r="A886" s="140">
        <v>45692.602083333331</v>
      </c>
      <c r="B886" t="s">
        <v>1798</v>
      </c>
      <c r="C886" t="s">
        <v>4848</v>
      </c>
      <c r="D886" s="6" t="str">
        <f>_xlfn.XLOOKUP(B886,Indices!$A$2:$A$2676,Indices!$B$2:$B$2676,"")</f>
        <v>IWM</v>
      </c>
    </row>
    <row r="887" spans="1:4" x14ac:dyDescent="0.25">
      <c r="A887" s="140">
        <v>45692.604166666664</v>
      </c>
      <c r="B887" t="s">
        <v>159</v>
      </c>
      <c r="C887" t="s">
        <v>4849</v>
      </c>
      <c r="D887" s="6" t="str">
        <f>_xlfn.XLOOKUP(B887,Indices!$A$2:$A$2676,Indices!$B$2:$B$2676,"")</f>
        <v>IWM</v>
      </c>
    </row>
    <row r="888" spans="1:4" x14ac:dyDescent="0.25">
      <c r="A888" s="140">
        <v>45692.604166666664</v>
      </c>
      <c r="B888" t="s">
        <v>1556</v>
      </c>
      <c r="C888" t="s">
        <v>4849</v>
      </c>
      <c r="D888" s="6" t="str">
        <f>_xlfn.XLOOKUP(B888,Indices!$A$2:$A$2676,Indices!$B$2:$B$2676,"")</f>
        <v>SP500</v>
      </c>
    </row>
    <row r="889" spans="1:4" x14ac:dyDescent="0.25">
      <c r="A889" s="140">
        <v>45692.604166666664</v>
      </c>
      <c r="B889" t="s">
        <v>2566</v>
      </c>
      <c r="C889" t="s">
        <v>4849</v>
      </c>
      <c r="D889" s="6" t="str">
        <f>_xlfn.XLOOKUP(B889,Indices!$A$2:$A$2676,Indices!$B$2:$B$2676,"")</f>
        <v/>
      </c>
    </row>
    <row r="890" spans="1:4" x14ac:dyDescent="0.25">
      <c r="A890" s="140">
        <v>45692.604166666664</v>
      </c>
      <c r="B890" t="s">
        <v>1659</v>
      </c>
      <c r="C890" t="s">
        <v>4849</v>
      </c>
      <c r="D890" s="6" t="str">
        <f>_xlfn.XLOOKUP(B890,Indices!$A$2:$A$2676,Indices!$B$2:$B$2676,"")</f>
        <v>IWM</v>
      </c>
    </row>
    <row r="891" spans="1:4" x14ac:dyDescent="0.25">
      <c r="A891" s="140">
        <v>45692.604166666664</v>
      </c>
      <c r="B891" t="s">
        <v>1613</v>
      </c>
      <c r="C891" t="s">
        <v>4849</v>
      </c>
      <c r="D891" s="6" t="str">
        <f>_xlfn.XLOOKUP(B891,Indices!$A$2:$A$2676,Indices!$B$2:$B$2676,"")</f>
        <v>SP500</v>
      </c>
    </row>
    <row r="892" spans="1:4" x14ac:dyDescent="0.25">
      <c r="A892" s="140">
        <v>45692.604166666664</v>
      </c>
      <c r="B892" t="s">
        <v>1500</v>
      </c>
      <c r="C892" t="s">
        <v>4849</v>
      </c>
      <c r="D892" s="6" t="str">
        <f>_xlfn.XLOOKUP(B892,Indices!$A$2:$A$2676,Indices!$B$2:$B$2676,"")</f>
        <v>SP500</v>
      </c>
    </row>
    <row r="893" spans="1:4" x14ac:dyDescent="0.25">
      <c r="A893" s="140">
        <v>45692.604861111111</v>
      </c>
      <c r="B893" t="s">
        <v>495</v>
      </c>
      <c r="C893" t="s">
        <v>4850</v>
      </c>
      <c r="D893" s="6" t="str">
        <f>_xlfn.XLOOKUP(B893,Indices!$A$2:$A$2676,Indices!$B$2:$B$2676,"")</f>
        <v>SP500</v>
      </c>
    </row>
    <row r="894" spans="1:4" x14ac:dyDescent="0.25">
      <c r="A894" s="140">
        <v>45692.615277777775</v>
      </c>
      <c r="B894" t="s">
        <v>423</v>
      </c>
      <c r="C894" t="s">
        <v>4851</v>
      </c>
      <c r="D894" s="6" t="str">
        <f>_xlfn.XLOOKUP(B894,Indices!$A$2:$A$2676,Indices!$B$2:$B$2676,"")</f>
        <v>SP500</v>
      </c>
    </row>
    <row r="895" spans="1:4" x14ac:dyDescent="0.25">
      <c r="A895" s="140">
        <v>45692.62222222222</v>
      </c>
      <c r="B895" t="s">
        <v>153</v>
      </c>
      <c r="C895" t="s">
        <v>4852</v>
      </c>
      <c r="D895" s="6" t="str">
        <f>_xlfn.XLOOKUP(B895,Indices!$A$2:$A$2676,Indices!$B$2:$B$2676,"")</f>
        <v>IWM</v>
      </c>
    </row>
    <row r="896" spans="1:4" x14ac:dyDescent="0.25">
      <c r="A896" s="140">
        <v>45692.625</v>
      </c>
      <c r="B896" t="s">
        <v>2572</v>
      </c>
      <c r="C896" t="s">
        <v>2567</v>
      </c>
      <c r="D896" s="6" t="str">
        <f>_xlfn.XLOOKUP(B896,Indices!$A$2:$A$2676,Indices!$B$2:$B$2676,"")</f>
        <v/>
      </c>
    </row>
    <row r="897" spans="1:4" x14ac:dyDescent="0.25">
      <c r="A897" s="140">
        <v>45692.625</v>
      </c>
      <c r="B897" t="s">
        <v>2579</v>
      </c>
      <c r="C897" t="s">
        <v>2567</v>
      </c>
      <c r="D897" s="6" t="str">
        <f>_xlfn.XLOOKUP(B897,Indices!$A$2:$A$2676,Indices!$B$2:$B$2676,"")</f>
        <v/>
      </c>
    </row>
    <row r="898" spans="1:4" x14ac:dyDescent="0.25">
      <c r="A898" s="140">
        <v>45692.625</v>
      </c>
      <c r="B898" t="s">
        <v>262</v>
      </c>
      <c r="C898" t="s">
        <v>4853</v>
      </c>
      <c r="D898" s="6" t="str">
        <f>_xlfn.XLOOKUP(B898,Indices!$A$2:$A$2676,Indices!$B$2:$B$2676,"")</f>
        <v>S&amp;P Mid</v>
      </c>
    </row>
    <row r="899" spans="1:4" x14ac:dyDescent="0.25">
      <c r="A899" s="140">
        <v>45692.626388888886</v>
      </c>
      <c r="B899" t="s">
        <v>2044</v>
      </c>
      <c r="C899" t="s">
        <v>4854</v>
      </c>
      <c r="D899" s="6" t="str">
        <f>_xlfn.XLOOKUP(B899,Indices!$A$2:$A$2676,Indices!$B$2:$B$2676,"")</f>
        <v>IWM</v>
      </c>
    </row>
    <row r="900" spans="1:4" x14ac:dyDescent="0.25">
      <c r="A900" s="140">
        <v>45692.65625</v>
      </c>
      <c r="B900" t="s">
        <v>2468</v>
      </c>
      <c r="C900" t="s">
        <v>4855</v>
      </c>
      <c r="D900" s="6" t="str">
        <f>_xlfn.XLOOKUP(B900,Indices!$A$2:$A$2676,Indices!$B$2:$B$2676,"")</f>
        <v>S&amp;P Mid</v>
      </c>
    </row>
    <row r="901" spans="1:4" x14ac:dyDescent="0.25">
      <c r="A901" s="140">
        <v>45692.708333333336</v>
      </c>
      <c r="B901" t="s">
        <v>2525</v>
      </c>
      <c r="C901" t="s">
        <v>4856</v>
      </c>
      <c r="D901" s="6" t="str">
        <f>_xlfn.XLOOKUP(B901,Indices!$A$2:$A$2676,Indices!$B$2:$B$2676,"")</f>
        <v/>
      </c>
    </row>
    <row r="902" spans="1:4" x14ac:dyDescent="0.25">
      <c r="A902" s="140">
        <v>45692.947916666664</v>
      </c>
      <c r="B902" t="s">
        <v>2607</v>
      </c>
      <c r="C902" t="s">
        <v>4857</v>
      </c>
      <c r="D902" s="6" t="str">
        <f>_xlfn.XLOOKUP(B902,Indices!$A$2:$A$2676,Indices!$B$2:$B$2676,"")</f>
        <v/>
      </c>
    </row>
    <row r="903" spans="1:4" x14ac:dyDescent="0.25">
      <c r="A903" s="140">
        <v>45692.958333333336</v>
      </c>
      <c r="B903" t="s">
        <v>2586</v>
      </c>
      <c r="C903" t="s">
        <v>4858</v>
      </c>
      <c r="D903" s="6" t="str">
        <f>_xlfn.XLOOKUP(B903,Indices!$A$2:$A$2676,Indices!$B$2:$B$2676,"")</f>
        <v/>
      </c>
    </row>
    <row r="904" spans="1:4" x14ac:dyDescent="0.25">
      <c r="A904" s="140">
        <v>45692.958333333336</v>
      </c>
      <c r="B904" t="s">
        <v>2591</v>
      </c>
      <c r="C904" t="s">
        <v>4858</v>
      </c>
      <c r="D904" s="6" t="str">
        <f>_xlfn.XLOOKUP(B904,Indices!$A$2:$A$2676,Indices!$B$2:$B$2676,"")</f>
        <v/>
      </c>
    </row>
    <row r="905" spans="1:4" x14ac:dyDescent="0.25">
      <c r="A905" s="140">
        <v>45692.958333333336</v>
      </c>
      <c r="B905" t="s">
        <v>2606</v>
      </c>
      <c r="C905" t="s">
        <v>4858</v>
      </c>
      <c r="D905" s="6" t="str">
        <f>_xlfn.XLOOKUP(B905,Indices!$A$2:$A$2676,Indices!$B$2:$B$2676,"")</f>
        <v/>
      </c>
    </row>
    <row r="906" spans="1:4" x14ac:dyDescent="0.25">
      <c r="A906" s="140">
        <v>45692.958333333336</v>
      </c>
      <c r="B906" t="s">
        <v>2583</v>
      </c>
      <c r="C906" t="s">
        <v>4858</v>
      </c>
      <c r="D906" s="6" t="str">
        <f>_xlfn.XLOOKUP(B906,Indices!$A$2:$A$2676,Indices!$B$2:$B$2676,"")</f>
        <v/>
      </c>
    </row>
    <row r="907" spans="1:4" x14ac:dyDescent="0.25">
      <c r="A907" s="140">
        <v>45692.958333333336</v>
      </c>
      <c r="B907" t="s">
        <v>4863</v>
      </c>
      <c r="C907" t="s">
        <v>4858</v>
      </c>
      <c r="D907" s="6" t="str">
        <f>_xlfn.XLOOKUP(B907,Indices!$A$2:$A$2676,Indices!$B$2:$B$2676,"")</f>
        <v/>
      </c>
    </row>
    <row r="908" spans="1:4" x14ac:dyDescent="0.25">
      <c r="A908" s="140">
        <v>45692.958333333336</v>
      </c>
      <c r="B908" t="s">
        <v>4861</v>
      </c>
      <c r="C908" t="s">
        <v>4860</v>
      </c>
      <c r="D908" s="6" t="str">
        <f>_xlfn.XLOOKUP(B908,Indices!$A$2:$A$2676,Indices!$B$2:$B$2676,"")</f>
        <v/>
      </c>
    </row>
    <row r="909" spans="1:4" x14ac:dyDescent="0.25">
      <c r="A909" s="140">
        <v>45692.958333333336</v>
      </c>
      <c r="B909" t="s">
        <v>33</v>
      </c>
      <c r="C909" t="s">
        <v>4858</v>
      </c>
      <c r="D909" s="6" t="str">
        <f>_xlfn.XLOOKUP(B909,Indices!$A$2:$A$2676,Indices!$B$2:$B$2676,"")</f>
        <v>S&amp;P Mid</v>
      </c>
    </row>
    <row r="910" spans="1:4" x14ac:dyDescent="0.25">
      <c r="A910" s="140">
        <v>45692.958333333336</v>
      </c>
      <c r="B910" t="s">
        <v>2587</v>
      </c>
      <c r="C910" t="s">
        <v>4858</v>
      </c>
      <c r="D910" s="6" t="str">
        <f>_xlfn.XLOOKUP(B910,Indices!$A$2:$A$2676,Indices!$B$2:$B$2676,"")</f>
        <v/>
      </c>
    </row>
    <row r="911" spans="1:4" x14ac:dyDescent="0.25">
      <c r="A911" s="140">
        <v>45692.958333333336</v>
      </c>
      <c r="B911" t="s">
        <v>4864</v>
      </c>
      <c r="C911" t="s">
        <v>4860</v>
      </c>
      <c r="D911" s="6" t="str">
        <f>_xlfn.XLOOKUP(B911,Indices!$A$2:$A$2676,Indices!$B$2:$B$2676,"")</f>
        <v/>
      </c>
    </row>
    <row r="912" spans="1:4" x14ac:dyDescent="0.25">
      <c r="A912" s="140">
        <v>45692.958333333336</v>
      </c>
      <c r="B912" t="s">
        <v>2592</v>
      </c>
      <c r="C912" t="s">
        <v>4858</v>
      </c>
      <c r="D912" s="6" t="str">
        <f>_xlfn.XLOOKUP(B912,Indices!$A$2:$A$2676,Indices!$B$2:$B$2676,"")</f>
        <v/>
      </c>
    </row>
    <row r="913" spans="1:4" x14ac:dyDescent="0.25">
      <c r="A913" s="140">
        <v>45692.958333333336</v>
      </c>
      <c r="B913" t="s">
        <v>2596</v>
      </c>
      <c r="C913" t="s">
        <v>4858</v>
      </c>
      <c r="D913" s="6" t="str">
        <f>_xlfn.XLOOKUP(B913,Indices!$A$2:$A$2676,Indices!$B$2:$B$2676,"")</f>
        <v/>
      </c>
    </row>
    <row r="914" spans="1:4" x14ac:dyDescent="0.25">
      <c r="A914" s="140">
        <v>45692.958333333336</v>
      </c>
      <c r="B914" t="s">
        <v>1499</v>
      </c>
      <c r="C914" t="s">
        <v>4858</v>
      </c>
      <c r="D914" s="6" t="str">
        <f>_xlfn.XLOOKUP(B914,Indices!$A$2:$A$2676,Indices!$B$2:$B$2676,"")</f>
        <v>SP500</v>
      </c>
    </row>
    <row r="915" spans="1:4" x14ac:dyDescent="0.25">
      <c r="A915" s="140">
        <v>45692.958333333336</v>
      </c>
      <c r="B915" t="s">
        <v>4862</v>
      </c>
      <c r="C915" t="s">
        <v>4860</v>
      </c>
      <c r="D915" s="6" t="str">
        <f>_xlfn.XLOOKUP(B915,Indices!$A$2:$A$2676,Indices!$B$2:$B$2676,"")</f>
        <v/>
      </c>
    </row>
    <row r="916" spans="1:4" x14ac:dyDescent="0.25">
      <c r="A916" s="140">
        <v>45692.958333333336</v>
      </c>
      <c r="B916" t="s">
        <v>4859</v>
      </c>
      <c r="C916" t="s">
        <v>4860</v>
      </c>
      <c r="D916" s="6" t="str">
        <f>_xlfn.XLOOKUP(B916,Indices!$A$2:$A$2676,Indices!$B$2:$B$2676,"")</f>
        <v/>
      </c>
    </row>
    <row r="917" spans="1:4" x14ac:dyDescent="0.25">
      <c r="A917" s="140">
        <v>45692.958333333336</v>
      </c>
      <c r="B917" t="s">
        <v>2589</v>
      </c>
      <c r="C917" t="s">
        <v>4858</v>
      </c>
      <c r="D917" s="6" t="str">
        <f>_xlfn.XLOOKUP(B917,Indices!$A$2:$A$2676,Indices!$B$2:$B$2676,"")</f>
        <v/>
      </c>
    </row>
    <row r="918" spans="1:4" x14ac:dyDescent="0.25">
      <c r="A918" s="140">
        <v>45692.958333333336</v>
      </c>
      <c r="B918" t="s">
        <v>2588</v>
      </c>
      <c r="C918" t="s">
        <v>4858</v>
      </c>
      <c r="D918" s="6" t="str">
        <f>_xlfn.XLOOKUP(B918,Indices!$A$2:$A$2676,Indices!$B$2:$B$2676,"")</f>
        <v/>
      </c>
    </row>
    <row r="919" spans="1:4" x14ac:dyDescent="0.25">
      <c r="A919" s="140">
        <v>45692.986805555556</v>
      </c>
      <c r="B919" t="s">
        <v>4865</v>
      </c>
      <c r="C919" t="s">
        <v>4866</v>
      </c>
      <c r="D919" s="6" t="str">
        <f>_xlfn.XLOOKUP(B919,Indices!$A$2:$A$2676,Indices!$B$2:$B$2676,"")</f>
        <v/>
      </c>
    </row>
    <row r="920" spans="1:4" x14ac:dyDescent="0.25">
      <c r="A920" s="140">
        <v>45693</v>
      </c>
      <c r="B920" t="s">
        <v>2604</v>
      </c>
      <c r="C920" t="s">
        <v>4867</v>
      </c>
      <c r="D920" s="6" t="str">
        <f>_xlfn.XLOOKUP(B920,Indices!$A$2:$A$2676,Indices!$B$2:$B$2676,"")</f>
        <v/>
      </c>
    </row>
    <row r="921" spans="1:4" x14ac:dyDescent="0.25">
      <c r="A921" s="140">
        <v>45693.010416666664</v>
      </c>
      <c r="B921" t="s">
        <v>2590</v>
      </c>
      <c r="C921" t="s">
        <v>4868</v>
      </c>
      <c r="D921" s="6" t="str">
        <f>_xlfn.XLOOKUP(B921,Indices!$A$2:$A$2676,Indices!$B$2:$B$2676,"")</f>
        <v/>
      </c>
    </row>
    <row r="922" spans="1:4" x14ac:dyDescent="0.25">
      <c r="A922" s="140">
        <v>45693.165972222225</v>
      </c>
      <c r="B922" t="s">
        <v>21</v>
      </c>
      <c r="C922" t="s">
        <v>4869</v>
      </c>
      <c r="D922" s="6" t="str">
        <f>_xlfn.XLOOKUP(B922,Indices!$A$2:$A$2676,Indices!$B$2:$B$2676,"")</f>
        <v>IWM</v>
      </c>
    </row>
    <row r="923" spans="1:4" x14ac:dyDescent="0.25">
      <c r="A923" s="140">
        <v>45693.166666666664</v>
      </c>
      <c r="B923" t="s">
        <v>1584</v>
      </c>
      <c r="C923" t="s">
        <v>4870</v>
      </c>
      <c r="D923" s="6" t="str">
        <f>_xlfn.XLOOKUP(B923,Indices!$A$2:$A$2676,Indices!$B$2:$B$2676,"")</f>
        <v>SP500</v>
      </c>
    </row>
    <row r="924" spans="1:4" x14ac:dyDescent="0.25">
      <c r="A924" s="140">
        <v>45693.166666666664</v>
      </c>
      <c r="B924" t="s">
        <v>1578</v>
      </c>
      <c r="C924" t="s">
        <v>4870</v>
      </c>
      <c r="D924" s="6" t="str">
        <f>_xlfn.XLOOKUP(B924,Indices!$A$2:$A$2676,Indices!$B$2:$B$2676,"")</f>
        <v>SP500</v>
      </c>
    </row>
    <row r="925" spans="1:4" x14ac:dyDescent="0.25">
      <c r="A925" s="140">
        <v>45693.170138888891</v>
      </c>
      <c r="B925" t="s">
        <v>2593</v>
      </c>
      <c r="C925" t="s">
        <v>4871</v>
      </c>
      <c r="D925" s="6" t="str">
        <f>_xlfn.XLOOKUP(B925,Indices!$A$2:$A$2676,Indices!$B$2:$B$2676,"")</f>
        <v/>
      </c>
    </row>
    <row r="926" spans="1:4" x14ac:dyDescent="0.25">
      <c r="A926" s="140">
        <v>45693.170138888891</v>
      </c>
      <c r="B926" t="s">
        <v>2600</v>
      </c>
      <c r="C926" t="s">
        <v>4871</v>
      </c>
      <c r="D926" s="6" t="str">
        <f>_xlfn.XLOOKUP(B926,Indices!$A$2:$A$2676,Indices!$B$2:$B$2676,"")</f>
        <v/>
      </c>
    </row>
    <row r="927" spans="1:4" x14ac:dyDescent="0.25">
      <c r="A927" s="140">
        <v>45693.1875</v>
      </c>
      <c r="B927" t="s">
        <v>278</v>
      </c>
      <c r="C927" t="s">
        <v>4872</v>
      </c>
      <c r="D927" s="6" t="str">
        <f>_xlfn.XLOOKUP(B927,Indices!$A$2:$A$2676,Indices!$B$2:$B$2676,"")</f>
        <v>IWM</v>
      </c>
    </row>
    <row r="928" spans="1:4" x14ac:dyDescent="0.25">
      <c r="A928" s="140">
        <v>45693.1875</v>
      </c>
      <c r="B928" t="s">
        <v>1593</v>
      </c>
      <c r="C928" t="s">
        <v>4872</v>
      </c>
      <c r="D928" s="6" t="str">
        <f>_xlfn.XLOOKUP(B928,Indices!$A$2:$A$2676,Indices!$B$2:$B$2676,"")</f>
        <v>SP500</v>
      </c>
    </row>
    <row r="929" spans="1:4" x14ac:dyDescent="0.25">
      <c r="A929" s="140">
        <v>45693.1875</v>
      </c>
      <c r="B929" t="s">
        <v>529</v>
      </c>
      <c r="C929" t="s">
        <v>4872</v>
      </c>
      <c r="D929" s="6" t="str">
        <f>_xlfn.XLOOKUP(B929,Indices!$A$2:$A$2676,Indices!$B$2:$B$2676,"")</f>
        <v>IWM</v>
      </c>
    </row>
    <row r="930" spans="1:4" x14ac:dyDescent="0.25">
      <c r="A930" s="140">
        <v>45693.1875</v>
      </c>
      <c r="B930" t="s">
        <v>282</v>
      </c>
      <c r="C930" t="s">
        <v>4872</v>
      </c>
      <c r="D930" s="6" t="str">
        <f>_xlfn.XLOOKUP(B930,Indices!$A$2:$A$2676,Indices!$B$2:$B$2676,"")</f>
        <v>SP500</v>
      </c>
    </row>
    <row r="931" spans="1:4" x14ac:dyDescent="0.25">
      <c r="A931" s="140">
        <v>45693.192361111112</v>
      </c>
      <c r="B931" t="s">
        <v>1334</v>
      </c>
      <c r="C931" t="s">
        <v>4873</v>
      </c>
      <c r="D931" s="6" t="str">
        <f>_xlfn.XLOOKUP(B931,Indices!$A$2:$A$2676,Indices!$B$2:$B$2676,"")</f>
        <v>SP500</v>
      </c>
    </row>
    <row r="932" spans="1:4" x14ac:dyDescent="0.25">
      <c r="A932" s="140">
        <v>45693.194444444445</v>
      </c>
      <c r="B932" t="s">
        <v>1048</v>
      </c>
      <c r="C932" t="s">
        <v>4874</v>
      </c>
      <c r="D932" s="6" t="str">
        <f>_xlfn.XLOOKUP(B932,Indices!$A$2:$A$2676,Indices!$B$2:$B$2676,"")</f>
        <v>SP500</v>
      </c>
    </row>
    <row r="933" spans="1:4" x14ac:dyDescent="0.25">
      <c r="A933" s="140">
        <v>45693.197916666664</v>
      </c>
      <c r="B933" t="s">
        <v>726</v>
      </c>
      <c r="C933" t="s">
        <v>4875</v>
      </c>
      <c r="D933" s="6" t="str">
        <f>_xlfn.XLOOKUP(B933,Indices!$A$2:$A$2676,Indices!$B$2:$B$2676,"")</f>
        <v>S&amp;P Mid</v>
      </c>
    </row>
    <row r="934" spans="1:4" x14ac:dyDescent="0.25">
      <c r="A934" s="140">
        <v>45693.197916666664</v>
      </c>
      <c r="B934" t="s">
        <v>2400</v>
      </c>
      <c r="C934" t="s">
        <v>4875</v>
      </c>
      <c r="D934" s="6" t="str">
        <f>_xlfn.XLOOKUP(B934,Indices!$A$2:$A$2676,Indices!$B$2:$B$2676,"")</f>
        <v>S&amp;P Mid</v>
      </c>
    </row>
    <row r="935" spans="1:4" x14ac:dyDescent="0.25">
      <c r="A935" s="140">
        <v>45693.20208333333</v>
      </c>
      <c r="B935" t="s">
        <v>182</v>
      </c>
      <c r="C935" t="s">
        <v>4876</v>
      </c>
      <c r="D935" s="6" t="str">
        <f>_xlfn.XLOOKUP(B935,Indices!$A$2:$A$2676,Indices!$B$2:$B$2676,"")</f>
        <v>S&amp;P Mid</v>
      </c>
    </row>
    <row r="936" spans="1:4" x14ac:dyDescent="0.25">
      <c r="A936" s="140">
        <v>45693.204861111109</v>
      </c>
      <c r="B936" t="s">
        <v>1329</v>
      </c>
      <c r="C936" t="s">
        <v>4877</v>
      </c>
      <c r="D936" s="6" t="str">
        <f>_xlfn.XLOOKUP(B936,Indices!$A$2:$A$2676,Indices!$B$2:$B$2676,"")</f>
        <v>SP500</v>
      </c>
    </row>
    <row r="937" spans="1:4" x14ac:dyDescent="0.25">
      <c r="A937" s="140">
        <v>45693.204861111109</v>
      </c>
      <c r="B937" t="s">
        <v>176</v>
      </c>
      <c r="C937" t="s">
        <v>4877</v>
      </c>
      <c r="D937" s="6" t="str">
        <f>_xlfn.XLOOKUP(B937,Indices!$A$2:$A$2676,Indices!$B$2:$B$2676,"")</f>
        <v>SP500</v>
      </c>
    </row>
    <row r="938" spans="1:4" x14ac:dyDescent="0.25">
      <c r="A938" s="140">
        <v>45693.204861111109</v>
      </c>
      <c r="B938" t="s">
        <v>289</v>
      </c>
      <c r="C938" t="s">
        <v>4877</v>
      </c>
      <c r="D938" s="6" t="str">
        <f>_xlfn.XLOOKUP(B938,Indices!$A$2:$A$2676,Indices!$B$2:$B$2676,"")</f>
        <v>SP500</v>
      </c>
    </row>
    <row r="939" spans="1:4" x14ac:dyDescent="0.25">
      <c r="A939" s="140">
        <v>45693.208333333336</v>
      </c>
      <c r="B939" t="s">
        <v>1422</v>
      </c>
      <c r="C939" t="s">
        <v>4878</v>
      </c>
      <c r="D939" s="6" t="str">
        <f>_xlfn.XLOOKUP(B939,Indices!$A$2:$A$2676,Indices!$B$2:$B$2676,"")</f>
        <v>SP500</v>
      </c>
    </row>
    <row r="940" spans="1:4" x14ac:dyDescent="0.25">
      <c r="A940" s="140">
        <v>45693.208333333336</v>
      </c>
      <c r="B940" t="s">
        <v>2599</v>
      </c>
      <c r="C940" t="s">
        <v>4878</v>
      </c>
      <c r="D940" s="6" t="str">
        <f>_xlfn.XLOOKUP(B940,Indices!$A$2:$A$2676,Indices!$B$2:$B$2676,"")</f>
        <v/>
      </c>
    </row>
    <row r="941" spans="1:4" x14ac:dyDescent="0.25">
      <c r="A941" s="140">
        <v>45693.208333333336</v>
      </c>
      <c r="B941" t="s">
        <v>2582</v>
      </c>
      <c r="C941" t="s">
        <v>4878</v>
      </c>
      <c r="D941" s="6" t="str">
        <f>_xlfn.XLOOKUP(B941,Indices!$A$2:$A$2676,Indices!$B$2:$B$2676,"")</f>
        <v/>
      </c>
    </row>
    <row r="942" spans="1:4" x14ac:dyDescent="0.25">
      <c r="A942" s="140">
        <v>45693.208333333336</v>
      </c>
      <c r="B942" t="s">
        <v>1103</v>
      </c>
      <c r="C942" t="s">
        <v>4878</v>
      </c>
      <c r="D942" s="6" t="str">
        <f>_xlfn.XLOOKUP(B942,Indices!$A$2:$A$2676,Indices!$B$2:$B$2676,"")</f>
        <v>IWM</v>
      </c>
    </row>
    <row r="943" spans="1:4" x14ac:dyDescent="0.25">
      <c r="A943" s="140">
        <v>45693.208333333336</v>
      </c>
      <c r="B943" t="s">
        <v>2601</v>
      </c>
      <c r="C943" t="s">
        <v>4878</v>
      </c>
      <c r="D943" s="6" t="str">
        <f>_xlfn.XLOOKUP(B943,Indices!$A$2:$A$2676,Indices!$B$2:$B$2676,"")</f>
        <v/>
      </c>
    </row>
    <row r="944" spans="1:4" x14ac:dyDescent="0.25">
      <c r="A944" s="140">
        <v>45693.208333333336</v>
      </c>
      <c r="B944" t="s">
        <v>1512</v>
      </c>
      <c r="C944" t="s">
        <v>4878</v>
      </c>
      <c r="D944" s="6" t="str">
        <f>_xlfn.XLOOKUP(B944,Indices!$A$2:$A$2676,Indices!$B$2:$B$2676,"")</f>
        <v>SP500</v>
      </c>
    </row>
    <row r="945" spans="1:4" x14ac:dyDescent="0.25">
      <c r="A945" s="140">
        <v>45693.208333333336</v>
      </c>
      <c r="B945" t="s">
        <v>2598</v>
      </c>
      <c r="C945" t="s">
        <v>4878</v>
      </c>
      <c r="D945" s="6" t="str">
        <f>_xlfn.XLOOKUP(B945,Indices!$A$2:$A$2676,Indices!$B$2:$B$2676,"")</f>
        <v/>
      </c>
    </row>
    <row r="946" spans="1:4" x14ac:dyDescent="0.25">
      <c r="A946" s="140">
        <v>45693.208333333336</v>
      </c>
      <c r="B946" t="s">
        <v>296</v>
      </c>
      <c r="C946" t="s">
        <v>4878</v>
      </c>
      <c r="D946" s="6" t="str">
        <f>_xlfn.XLOOKUP(B946,Indices!$A$2:$A$2676,Indices!$B$2:$B$2676,"")</f>
        <v>S&amp;P Mid</v>
      </c>
    </row>
    <row r="947" spans="1:4" x14ac:dyDescent="0.25">
      <c r="A947" s="140">
        <v>45693.208333333336</v>
      </c>
      <c r="B947" t="s">
        <v>1587</v>
      </c>
      <c r="C947" t="s">
        <v>4878</v>
      </c>
      <c r="D947" s="6" t="str">
        <f>_xlfn.XLOOKUP(B947,Indices!$A$2:$A$2676,Indices!$B$2:$B$2676,"")</f>
        <v>SP500</v>
      </c>
    </row>
    <row r="948" spans="1:4" x14ac:dyDescent="0.25">
      <c r="A948" s="140">
        <v>45693.208333333336</v>
      </c>
      <c r="B948" t="s">
        <v>2496</v>
      </c>
      <c r="C948" t="s">
        <v>4878</v>
      </c>
      <c r="D948" s="6" t="str">
        <f>_xlfn.XLOOKUP(B948,Indices!$A$2:$A$2676,Indices!$B$2:$B$2676,"")</f>
        <v>S&amp;P Mid</v>
      </c>
    </row>
    <row r="949" spans="1:4" x14ac:dyDescent="0.25">
      <c r="A949" s="140">
        <v>45693.208333333336</v>
      </c>
      <c r="B949" t="s">
        <v>981</v>
      </c>
      <c r="C949" t="s">
        <v>4878</v>
      </c>
      <c r="D949" s="6" t="str">
        <f>_xlfn.XLOOKUP(B949,Indices!$A$2:$A$2676,Indices!$B$2:$B$2676,"")</f>
        <v>S&amp;P Mid</v>
      </c>
    </row>
    <row r="950" spans="1:4" x14ac:dyDescent="0.25">
      <c r="A950" s="140">
        <v>45693.209027777775</v>
      </c>
      <c r="B950" t="s">
        <v>1338</v>
      </c>
      <c r="C950" t="s">
        <v>4879</v>
      </c>
      <c r="D950" s="6" t="str">
        <f>_xlfn.XLOOKUP(B950,Indices!$A$2:$A$2676,Indices!$B$2:$B$2676,"")</f>
        <v>SP500</v>
      </c>
    </row>
    <row r="951" spans="1:4" x14ac:dyDescent="0.25">
      <c r="A951" s="140">
        <v>45693.214583333334</v>
      </c>
      <c r="B951" t="s">
        <v>2608</v>
      </c>
      <c r="C951" t="s">
        <v>4880</v>
      </c>
      <c r="D951" s="6" t="str">
        <f>_xlfn.XLOOKUP(B951,Indices!$A$2:$A$2676,Indices!$B$2:$B$2676,"")</f>
        <v/>
      </c>
    </row>
    <row r="952" spans="1:4" x14ac:dyDescent="0.25">
      <c r="A952" s="140">
        <v>45693.21875</v>
      </c>
      <c r="B952" t="s">
        <v>307</v>
      </c>
      <c r="C952" t="s">
        <v>4881</v>
      </c>
      <c r="D952" s="6" t="str">
        <f>_xlfn.XLOOKUP(B952,Indices!$A$2:$A$2676,Indices!$B$2:$B$2676,"")</f>
        <v>IWM</v>
      </c>
    </row>
    <row r="953" spans="1:4" x14ac:dyDescent="0.25">
      <c r="A953" s="140">
        <v>45693.229166666664</v>
      </c>
      <c r="B953" t="s">
        <v>2602</v>
      </c>
      <c r="C953" t="s">
        <v>4882</v>
      </c>
      <c r="D953" s="6" t="str">
        <f>_xlfn.XLOOKUP(B953,Indices!$A$2:$A$2676,Indices!$B$2:$B$2676,"")</f>
        <v/>
      </c>
    </row>
    <row r="954" spans="1:4" x14ac:dyDescent="0.25">
      <c r="A954" s="140">
        <v>45693.229166666664</v>
      </c>
      <c r="B954" t="s">
        <v>2585</v>
      </c>
      <c r="C954" t="s">
        <v>4882</v>
      </c>
      <c r="D954" s="6" t="str">
        <f>_xlfn.XLOOKUP(B954,Indices!$A$2:$A$2676,Indices!$B$2:$B$2676,"")</f>
        <v/>
      </c>
    </row>
    <row r="955" spans="1:4" x14ac:dyDescent="0.25">
      <c r="A955" s="140">
        <v>45693.230555555558</v>
      </c>
      <c r="B955" t="s">
        <v>1016</v>
      </c>
      <c r="C955" t="s">
        <v>4883</v>
      </c>
      <c r="D955" s="6" t="str">
        <f>_xlfn.XLOOKUP(B955,Indices!$A$2:$A$2676,Indices!$B$2:$B$2676,"")</f>
        <v>IWM</v>
      </c>
    </row>
    <row r="956" spans="1:4" x14ac:dyDescent="0.25">
      <c r="A956" s="140">
        <v>45693.25</v>
      </c>
      <c r="B956" t="s">
        <v>2605</v>
      </c>
      <c r="C956" t="s">
        <v>4884</v>
      </c>
      <c r="D956" s="6" t="str">
        <f>_xlfn.XLOOKUP(B956,Indices!$A$2:$A$2676,Indices!$B$2:$B$2676,"")</f>
        <v/>
      </c>
    </row>
    <row r="957" spans="1:4" x14ac:dyDescent="0.25">
      <c r="A957" s="140">
        <v>45693.25</v>
      </c>
      <c r="B957" t="s">
        <v>1378</v>
      </c>
      <c r="C957" t="s">
        <v>4884</v>
      </c>
      <c r="D957" s="6" t="str">
        <f>_xlfn.XLOOKUP(B957,Indices!$A$2:$A$2676,Indices!$B$2:$B$2676,"")</f>
        <v>SP500</v>
      </c>
    </row>
    <row r="958" spans="1:4" x14ac:dyDescent="0.25">
      <c r="A958" s="140">
        <v>45693.270833333336</v>
      </c>
      <c r="B958" t="s">
        <v>3785</v>
      </c>
      <c r="C958" t="s">
        <v>4885</v>
      </c>
      <c r="D958" s="6" t="str">
        <f>_xlfn.XLOOKUP(B958,Indices!$A$2:$A$2676,Indices!$B$2:$B$2676,"")</f>
        <v/>
      </c>
    </row>
    <row r="959" spans="1:4" x14ac:dyDescent="0.25">
      <c r="A959" s="140">
        <v>45693.291666666664</v>
      </c>
      <c r="B959" t="s">
        <v>2594</v>
      </c>
      <c r="C959" t="s">
        <v>2584</v>
      </c>
      <c r="D959" s="6" t="str">
        <f>_xlfn.XLOOKUP(B959,Indices!$A$2:$A$2676,Indices!$B$2:$B$2676,"")</f>
        <v/>
      </c>
    </row>
    <row r="960" spans="1:4" x14ac:dyDescent="0.25">
      <c r="A960" s="140">
        <v>45693.291666666664</v>
      </c>
      <c r="B960" t="s">
        <v>2603</v>
      </c>
      <c r="C960" t="s">
        <v>4886</v>
      </c>
      <c r="D960" s="6" t="str">
        <f>_xlfn.XLOOKUP(B960,Indices!$A$2:$A$2676,Indices!$B$2:$B$2676,"")</f>
        <v/>
      </c>
    </row>
    <row r="961" spans="1:4" x14ac:dyDescent="0.25">
      <c r="A961" s="140">
        <v>45693.583333333336</v>
      </c>
      <c r="B961" t="s">
        <v>352</v>
      </c>
      <c r="C961" t="s">
        <v>4887</v>
      </c>
      <c r="D961" s="6" t="str">
        <f>_xlfn.XLOOKUP(B961,Indices!$A$2:$A$2676,Indices!$B$2:$B$2676,"")</f>
        <v>NQ100</v>
      </c>
    </row>
    <row r="962" spans="1:4" x14ac:dyDescent="0.25">
      <c r="A962" s="140">
        <v>45693.583333333336</v>
      </c>
      <c r="B962" t="s">
        <v>997</v>
      </c>
      <c r="C962" t="s">
        <v>4887</v>
      </c>
      <c r="D962" s="6" t="str">
        <f>_xlfn.XLOOKUP(B962,Indices!$A$2:$A$2676,Indices!$B$2:$B$2676,"")</f>
        <v>IWM</v>
      </c>
    </row>
    <row r="963" spans="1:4" x14ac:dyDescent="0.25">
      <c r="A963" s="140">
        <v>45693.583333333336</v>
      </c>
      <c r="B963" t="s">
        <v>342</v>
      </c>
      <c r="C963" t="s">
        <v>4887</v>
      </c>
      <c r="D963" s="6" t="str">
        <f>_xlfn.XLOOKUP(B963,Indices!$A$2:$A$2676,Indices!$B$2:$B$2676,"")</f>
        <v>IWM</v>
      </c>
    </row>
    <row r="964" spans="1:4" x14ac:dyDescent="0.25">
      <c r="A964" s="140">
        <v>45693.583333333336</v>
      </c>
      <c r="B964" t="s">
        <v>2622</v>
      </c>
      <c r="C964" t="s">
        <v>4887</v>
      </c>
      <c r="D964" s="6" t="str">
        <f>_xlfn.XLOOKUP(B964,Indices!$A$2:$A$2676,Indices!$B$2:$B$2676,"")</f>
        <v/>
      </c>
    </row>
    <row r="965" spans="1:4" x14ac:dyDescent="0.25">
      <c r="A965" s="140">
        <v>45693.583333333336</v>
      </c>
      <c r="B965" t="s">
        <v>333</v>
      </c>
      <c r="C965" t="s">
        <v>4887</v>
      </c>
      <c r="D965" s="6" t="str">
        <f>_xlfn.XLOOKUP(B965,Indices!$A$2:$A$2676,Indices!$B$2:$B$2676,"")</f>
        <v>SP500</v>
      </c>
    </row>
    <row r="966" spans="1:4" x14ac:dyDescent="0.25">
      <c r="A966" s="140">
        <v>45693.584027777775</v>
      </c>
      <c r="B966" t="s">
        <v>69</v>
      </c>
      <c r="C966" t="s">
        <v>4888</v>
      </c>
      <c r="D966" s="6" t="str">
        <f>_xlfn.XLOOKUP(B966,Indices!$A$2:$A$2676,Indices!$B$2:$B$2676,"")</f>
        <v>SP500</v>
      </c>
    </row>
    <row r="967" spans="1:4" x14ac:dyDescent="0.25">
      <c r="A967" s="140">
        <v>45693.584027777775</v>
      </c>
      <c r="B967" t="s">
        <v>948</v>
      </c>
      <c r="C967" t="s">
        <v>4888</v>
      </c>
      <c r="D967" s="6" t="str">
        <f>_xlfn.XLOOKUP(B967,Indices!$A$2:$A$2676,Indices!$B$2:$B$2676,"")</f>
        <v>SP500</v>
      </c>
    </row>
    <row r="968" spans="1:4" x14ac:dyDescent="0.25">
      <c r="A968" s="140">
        <v>45693.584027777775</v>
      </c>
      <c r="B968" t="s">
        <v>73</v>
      </c>
      <c r="C968" t="s">
        <v>4888</v>
      </c>
      <c r="D968" s="6" t="str">
        <f>_xlfn.XLOOKUP(B968,Indices!$A$2:$A$2676,Indices!$B$2:$B$2676,"")</f>
        <v>IWM</v>
      </c>
    </row>
    <row r="969" spans="1:4" x14ac:dyDescent="0.25">
      <c r="A969" s="140">
        <v>45693.584027777775</v>
      </c>
      <c r="B969" t="s">
        <v>1779</v>
      </c>
      <c r="C969" t="s">
        <v>4888</v>
      </c>
      <c r="D969" s="6" t="str">
        <f>_xlfn.XLOOKUP(B969,Indices!$A$2:$A$2676,Indices!$B$2:$B$2676,"")</f>
        <v>IWM</v>
      </c>
    </row>
    <row r="970" spans="1:4" x14ac:dyDescent="0.25">
      <c r="A970" s="140">
        <v>45693.584027777775</v>
      </c>
      <c r="B970" t="s">
        <v>345</v>
      </c>
      <c r="C970" t="s">
        <v>4888</v>
      </c>
      <c r="D970" s="6" t="str">
        <f>_xlfn.XLOOKUP(B970,Indices!$A$2:$A$2676,Indices!$B$2:$B$2676,"")</f>
        <v>SP500</v>
      </c>
    </row>
    <row r="971" spans="1:4" x14ac:dyDescent="0.25">
      <c r="A971" s="140">
        <v>45693.584027777775</v>
      </c>
      <c r="B971" t="s">
        <v>331</v>
      </c>
      <c r="C971" t="s">
        <v>4888</v>
      </c>
      <c r="D971" s="6" t="str">
        <f>_xlfn.XLOOKUP(B971,Indices!$A$2:$A$2676,Indices!$B$2:$B$2676,"")</f>
        <v>IWM</v>
      </c>
    </row>
    <row r="972" spans="1:4" x14ac:dyDescent="0.25">
      <c r="A972" s="140">
        <v>45693.584027777775</v>
      </c>
      <c r="B972" t="s">
        <v>1139</v>
      </c>
      <c r="C972" t="s">
        <v>4888</v>
      </c>
      <c r="D972" s="6" t="str">
        <f>_xlfn.XLOOKUP(B972,Indices!$A$2:$A$2676,Indices!$B$2:$B$2676,"")</f>
        <v>IWM</v>
      </c>
    </row>
    <row r="973" spans="1:4" x14ac:dyDescent="0.25">
      <c r="A973" s="140">
        <v>45693.584027777775</v>
      </c>
      <c r="B973" t="s">
        <v>1447</v>
      </c>
      <c r="C973" t="s">
        <v>4888</v>
      </c>
      <c r="D973" s="6" t="str">
        <f>_xlfn.XLOOKUP(B973,Indices!$A$2:$A$2676,Indices!$B$2:$B$2676,"")</f>
        <v>SP500</v>
      </c>
    </row>
    <row r="974" spans="1:4" x14ac:dyDescent="0.25">
      <c r="A974" s="140">
        <v>45693.584722222222</v>
      </c>
      <c r="B974" t="s">
        <v>1138</v>
      </c>
      <c r="C974" t="s">
        <v>4889</v>
      </c>
      <c r="D974" s="6" t="str">
        <f>_xlfn.XLOOKUP(B974,Indices!$A$2:$A$2676,Indices!$B$2:$B$2676,"")</f>
        <v>IWM</v>
      </c>
    </row>
    <row r="975" spans="1:4" x14ac:dyDescent="0.25">
      <c r="A975" s="140">
        <v>45693.584722222222</v>
      </c>
      <c r="B975" t="s">
        <v>1144</v>
      </c>
      <c r="C975" t="s">
        <v>4889</v>
      </c>
      <c r="D975" s="6" t="str">
        <f>_xlfn.XLOOKUP(B975,Indices!$A$2:$A$2676,Indices!$B$2:$B$2676,"")</f>
        <v>IWM</v>
      </c>
    </row>
    <row r="976" spans="1:4" x14ac:dyDescent="0.25">
      <c r="A976" s="140">
        <v>45693.585416666669</v>
      </c>
      <c r="B976" t="s">
        <v>2614</v>
      </c>
      <c r="C976" t="s">
        <v>4890</v>
      </c>
      <c r="D976" s="6" t="str">
        <f>_xlfn.XLOOKUP(B976,Indices!$A$2:$A$2676,Indices!$B$2:$B$2676,"")</f>
        <v/>
      </c>
    </row>
    <row r="977" spans="1:4" x14ac:dyDescent="0.25">
      <c r="A977" s="140">
        <v>45693.586805555555</v>
      </c>
      <c r="B977" t="s">
        <v>2001</v>
      </c>
      <c r="C977" t="s">
        <v>4891</v>
      </c>
      <c r="D977" s="6" t="str">
        <f>_xlfn.XLOOKUP(B977,Indices!$A$2:$A$2676,Indices!$B$2:$B$2676,"")</f>
        <v>IWM</v>
      </c>
    </row>
    <row r="978" spans="1:4" x14ac:dyDescent="0.25">
      <c r="A978" s="140">
        <v>45693.586805555555</v>
      </c>
      <c r="B978" t="s">
        <v>1113</v>
      </c>
      <c r="C978" t="s">
        <v>4891</v>
      </c>
      <c r="D978" s="6" t="str">
        <f>_xlfn.XLOOKUP(B978,Indices!$A$2:$A$2676,Indices!$B$2:$B$2676,"")</f>
        <v>IWM</v>
      </c>
    </row>
    <row r="979" spans="1:4" x14ac:dyDescent="0.25">
      <c r="A979" s="140">
        <v>45693.586805555555</v>
      </c>
      <c r="B979" t="s">
        <v>1560</v>
      </c>
      <c r="C979" t="s">
        <v>4891</v>
      </c>
      <c r="D979" s="6" t="str">
        <f>_xlfn.XLOOKUP(B979,Indices!$A$2:$A$2676,Indices!$B$2:$B$2676,"")</f>
        <v>SP500</v>
      </c>
    </row>
    <row r="980" spans="1:4" x14ac:dyDescent="0.25">
      <c r="A980" s="140">
        <v>45693.586805555555</v>
      </c>
      <c r="B980" t="s">
        <v>703</v>
      </c>
      <c r="C980" t="s">
        <v>4891</v>
      </c>
      <c r="D980" s="6" t="str">
        <f>_xlfn.XLOOKUP(B980,Indices!$A$2:$A$2676,Indices!$B$2:$B$2676,"")</f>
        <v>SP500</v>
      </c>
    </row>
    <row r="981" spans="1:4" x14ac:dyDescent="0.25">
      <c r="A981" s="140">
        <v>45693.586805555555</v>
      </c>
      <c r="B981" t="s">
        <v>2625</v>
      </c>
      <c r="C981" t="s">
        <v>4891</v>
      </c>
      <c r="D981" s="6" t="str">
        <f>_xlfn.XLOOKUP(B981,Indices!$A$2:$A$2676,Indices!$B$2:$B$2676,"")</f>
        <v/>
      </c>
    </row>
    <row r="982" spans="1:4" x14ac:dyDescent="0.25">
      <c r="A982" s="140">
        <v>45693.586805555555</v>
      </c>
      <c r="B982" t="s">
        <v>1848</v>
      </c>
      <c r="C982" t="s">
        <v>4891</v>
      </c>
      <c r="D982" s="6" t="str">
        <f>_xlfn.XLOOKUP(B982,Indices!$A$2:$A$2676,Indices!$B$2:$B$2676,"")</f>
        <v>IWM</v>
      </c>
    </row>
    <row r="983" spans="1:4" x14ac:dyDescent="0.25">
      <c r="A983" s="140">
        <v>45693.586805555555</v>
      </c>
      <c r="B983" t="s">
        <v>1435</v>
      </c>
      <c r="C983" t="s">
        <v>4891</v>
      </c>
      <c r="D983" s="6" t="str">
        <f>_xlfn.XLOOKUP(B983,Indices!$A$2:$A$2676,Indices!$B$2:$B$2676,"")</f>
        <v>SP500</v>
      </c>
    </row>
    <row r="984" spans="1:4" x14ac:dyDescent="0.25">
      <c r="A984" s="140">
        <v>45693.586805555555</v>
      </c>
      <c r="B984" t="s">
        <v>1731</v>
      </c>
      <c r="C984" t="s">
        <v>4891</v>
      </c>
      <c r="D984" s="6" t="str">
        <f>_xlfn.XLOOKUP(B984,Indices!$A$2:$A$2676,Indices!$B$2:$B$2676,"")</f>
        <v>IWM</v>
      </c>
    </row>
    <row r="985" spans="1:4" x14ac:dyDescent="0.25">
      <c r="A985" s="140">
        <v>45693.586805555555</v>
      </c>
      <c r="B985" t="s">
        <v>709</v>
      </c>
      <c r="C985" t="s">
        <v>4891</v>
      </c>
      <c r="D985" s="6" t="str">
        <f>_xlfn.XLOOKUP(B985,Indices!$A$2:$A$2676,Indices!$B$2:$B$2676,"")</f>
        <v>IWM</v>
      </c>
    </row>
    <row r="986" spans="1:4" x14ac:dyDescent="0.25">
      <c r="A986" s="140">
        <v>45693.586805555555</v>
      </c>
      <c r="B986" t="s">
        <v>2066</v>
      </c>
      <c r="C986" t="s">
        <v>4891</v>
      </c>
      <c r="D986" s="6" t="str">
        <f>_xlfn.XLOOKUP(B986,Indices!$A$2:$A$2676,Indices!$B$2:$B$2676,"")</f>
        <v>IWM</v>
      </c>
    </row>
    <row r="987" spans="1:4" x14ac:dyDescent="0.25">
      <c r="A987" s="140">
        <v>45693.586805555555</v>
      </c>
      <c r="B987" t="s">
        <v>2523</v>
      </c>
      <c r="C987" t="s">
        <v>4891</v>
      </c>
      <c r="D987" s="6" t="str">
        <f>_xlfn.XLOOKUP(B987,Indices!$A$2:$A$2676,Indices!$B$2:$B$2676,"")</f>
        <v/>
      </c>
    </row>
    <row r="988" spans="1:4" x14ac:dyDescent="0.25">
      <c r="A988" s="140">
        <v>45693.586805555555</v>
      </c>
      <c r="B988" t="s">
        <v>1837</v>
      </c>
      <c r="C988" t="s">
        <v>4891</v>
      </c>
      <c r="D988" s="6" t="str">
        <f>_xlfn.XLOOKUP(B988,Indices!$A$2:$A$2676,Indices!$B$2:$B$2676,"")</f>
        <v>IWM</v>
      </c>
    </row>
    <row r="989" spans="1:4" x14ac:dyDescent="0.25">
      <c r="A989" s="140">
        <v>45693.586805555555</v>
      </c>
      <c r="B989" t="s">
        <v>391</v>
      </c>
      <c r="C989" t="s">
        <v>4891</v>
      </c>
      <c r="D989" s="6" t="str">
        <f>_xlfn.XLOOKUP(B989,Indices!$A$2:$A$2676,Indices!$B$2:$B$2676,"")</f>
        <v>IWM</v>
      </c>
    </row>
    <row r="990" spans="1:4" x14ac:dyDescent="0.25">
      <c r="A990" s="140">
        <v>45693.586805555555</v>
      </c>
      <c r="B990" t="s">
        <v>1692</v>
      </c>
      <c r="C990" t="s">
        <v>4891</v>
      </c>
      <c r="D990" s="6" t="str">
        <f>_xlfn.XLOOKUP(B990,Indices!$A$2:$A$2676,Indices!$B$2:$B$2676,"")</f>
        <v>IWM</v>
      </c>
    </row>
    <row r="991" spans="1:4" x14ac:dyDescent="0.25">
      <c r="A991" s="140">
        <v>45693.586805555555</v>
      </c>
      <c r="B991" t="s">
        <v>1397</v>
      </c>
      <c r="C991" t="s">
        <v>4891</v>
      </c>
      <c r="D991" s="6" t="str">
        <f>_xlfn.XLOOKUP(B991,Indices!$A$2:$A$2676,Indices!$B$2:$B$2676,"")</f>
        <v>SP500</v>
      </c>
    </row>
    <row r="992" spans="1:4" x14ac:dyDescent="0.25">
      <c r="A992" s="140">
        <v>45693.586805555555</v>
      </c>
      <c r="B992" t="s">
        <v>1996</v>
      </c>
      <c r="C992" t="s">
        <v>4891</v>
      </c>
      <c r="D992" s="6" t="str">
        <f>_xlfn.XLOOKUP(B992,Indices!$A$2:$A$2676,Indices!$B$2:$B$2676,"")</f>
        <v>IWM</v>
      </c>
    </row>
    <row r="993" spans="1:4" x14ac:dyDescent="0.25">
      <c r="A993" s="140">
        <v>45693.586805555555</v>
      </c>
      <c r="B993" t="s">
        <v>2498</v>
      </c>
      <c r="C993" t="s">
        <v>4891</v>
      </c>
      <c r="D993" s="6" t="str">
        <f>_xlfn.XLOOKUP(B993,Indices!$A$2:$A$2676,Indices!$B$2:$B$2676,"")</f>
        <v>S&amp;P Mid</v>
      </c>
    </row>
    <row r="994" spans="1:4" x14ac:dyDescent="0.25">
      <c r="A994" s="140">
        <v>45693.586805555555</v>
      </c>
      <c r="B994" t="s">
        <v>2401</v>
      </c>
      <c r="C994" t="s">
        <v>4891</v>
      </c>
      <c r="D994" s="6" t="str">
        <f>_xlfn.XLOOKUP(B994,Indices!$A$2:$A$2676,Indices!$B$2:$B$2676,"")</f>
        <v>S&amp;P Mid</v>
      </c>
    </row>
    <row r="995" spans="1:4" x14ac:dyDescent="0.25">
      <c r="A995" s="140">
        <v>45693.586805555555</v>
      </c>
      <c r="B995" t="s">
        <v>2527</v>
      </c>
      <c r="C995" t="s">
        <v>4891</v>
      </c>
      <c r="D995" s="6" t="str">
        <f>_xlfn.XLOOKUP(B995,Indices!$A$2:$A$2676,Indices!$B$2:$B$2676,"")</f>
        <v/>
      </c>
    </row>
    <row r="996" spans="1:4" x14ac:dyDescent="0.25">
      <c r="A996" s="140">
        <v>45693.586805555555</v>
      </c>
      <c r="B996" t="s">
        <v>2102</v>
      </c>
      <c r="C996" t="s">
        <v>4891</v>
      </c>
      <c r="D996" s="6" t="str">
        <f>_xlfn.XLOOKUP(B996,Indices!$A$2:$A$2676,Indices!$B$2:$B$2676,"")</f>
        <v>IWM</v>
      </c>
    </row>
    <row r="997" spans="1:4" x14ac:dyDescent="0.25">
      <c r="A997" s="140">
        <v>45693.586805555555</v>
      </c>
      <c r="B997" t="s">
        <v>376</v>
      </c>
      <c r="C997" t="s">
        <v>4891</v>
      </c>
      <c r="D997" s="6" t="str">
        <f>_xlfn.XLOOKUP(B997,Indices!$A$2:$A$2676,Indices!$B$2:$B$2676,"")</f>
        <v>IWM</v>
      </c>
    </row>
    <row r="998" spans="1:4" x14ac:dyDescent="0.25">
      <c r="A998" s="140">
        <v>45693.586805555555</v>
      </c>
      <c r="B998" t="s">
        <v>2611</v>
      </c>
      <c r="C998" t="s">
        <v>4891</v>
      </c>
      <c r="D998" s="6" t="str">
        <f>_xlfn.XLOOKUP(B998,Indices!$A$2:$A$2676,Indices!$B$2:$B$2676,"")</f>
        <v/>
      </c>
    </row>
    <row r="999" spans="1:4" x14ac:dyDescent="0.25">
      <c r="A999" s="140">
        <v>45693.586805555555</v>
      </c>
      <c r="B999" t="s">
        <v>2626</v>
      </c>
      <c r="C999" t="s">
        <v>4891</v>
      </c>
      <c r="D999" s="6" t="str">
        <f>_xlfn.XLOOKUP(B999,Indices!$A$2:$A$2676,Indices!$B$2:$B$2676,"")</f>
        <v/>
      </c>
    </row>
    <row r="1000" spans="1:4" x14ac:dyDescent="0.25">
      <c r="A1000" s="140">
        <v>45693.586805555555</v>
      </c>
      <c r="B1000" t="s">
        <v>137</v>
      </c>
      <c r="C1000" t="s">
        <v>4891</v>
      </c>
      <c r="D1000" s="6" t="str">
        <f>_xlfn.XLOOKUP(B1000,Indices!$A$2:$A$2676,Indices!$B$2:$B$2676,"")</f>
        <v>S&amp;P Mid</v>
      </c>
    </row>
    <row r="1001" spans="1:4" x14ac:dyDescent="0.25">
      <c r="A1001" s="140">
        <v>45693.586805555555</v>
      </c>
      <c r="B1001" t="s">
        <v>964</v>
      </c>
      <c r="C1001" t="s">
        <v>4891</v>
      </c>
      <c r="D1001" s="6" t="str">
        <f>_xlfn.XLOOKUP(B1001,Indices!$A$2:$A$2676,Indices!$B$2:$B$2676,"")</f>
        <v>IWM</v>
      </c>
    </row>
    <row r="1002" spans="1:4" x14ac:dyDescent="0.25">
      <c r="A1002" s="140">
        <v>45693.586805555555</v>
      </c>
      <c r="B1002" t="s">
        <v>2493</v>
      </c>
      <c r="C1002" t="s">
        <v>4891</v>
      </c>
      <c r="D1002" s="6" t="str">
        <f>_xlfn.XLOOKUP(B1002,Indices!$A$2:$A$2676,Indices!$B$2:$B$2676,"")</f>
        <v>S&amp;P Mid</v>
      </c>
    </row>
    <row r="1003" spans="1:4" x14ac:dyDescent="0.25">
      <c r="A1003" s="140">
        <v>45693.586805555555</v>
      </c>
      <c r="B1003" t="s">
        <v>2620</v>
      </c>
      <c r="C1003" t="s">
        <v>4891</v>
      </c>
      <c r="D1003" s="6" t="str">
        <f>_xlfn.XLOOKUP(B1003,Indices!$A$2:$A$2676,Indices!$B$2:$B$2676,"")</f>
        <v/>
      </c>
    </row>
    <row r="1004" spans="1:4" x14ac:dyDescent="0.25">
      <c r="A1004" s="140">
        <v>45693.586805555555</v>
      </c>
      <c r="B1004" t="s">
        <v>2633</v>
      </c>
      <c r="C1004" t="s">
        <v>4891</v>
      </c>
      <c r="D1004" s="6" t="str">
        <f>_xlfn.XLOOKUP(B1004,Indices!$A$2:$A$2676,Indices!$B$2:$B$2676,"")</f>
        <v/>
      </c>
    </row>
    <row r="1005" spans="1:4" x14ac:dyDescent="0.25">
      <c r="A1005" s="140">
        <v>45693.586805555555</v>
      </c>
      <c r="B1005" t="s">
        <v>2612</v>
      </c>
      <c r="C1005" t="s">
        <v>4891</v>
      </c>
      <c r="D1005" s="6" t="str">
        <f>_xlfn.XLOOKUP(B1005,Indices!$A$2:$A$2676,Indices!$B$2:$B$2676,"")</f>
        <v/>
      </c>
    </row>
    <row r="1006" spans="1:4" x14ac:dyDescent="0.25">
      <c r="A1006" s="140">
        <v>45693.586805555555</v>
      </c>
      <c r="B1006" t="s">
        <v>2617</v>
      </c>
      <c r="C1006" t="s">
        <v>4891</v>
      </c>
      <c r="D1006" s="6" t="str">
        <f>_xlfn.XLOOKUP(B1006,Indices!$A$2:$A$2676,Indices!$B$2:$B$2676,"")</f>
        <v/>
      </c>
    </row>
    <row r="1007" spans="1:4" x14ac:dyDescent="0.25">
      <c r="A1007" s="140">
        <v>45693.586805555555</v>
      </c>
      <c r="B1007" t="s">
        <v>1025</v>
      </c>
      <c r="C1007" t="s">
        <v>4891</v>
      </c>
      <c r="D1007" s="6" t="str">
        <f>_xlfn.XLOOKUP(B1007,Indices!$A$2:$A$2676,Indices!$B$2:$B$2676,"")</f>
        <v>IWM</v>
      </c>
    </row>
    <row r="1008" spans="1:4" x14ac:dyDescent="0.25">
      <c r="A1008" s="140">
        <v>45693.587500000001</v>
      </c>
      <c r="B1008" t="s">
        <v>1631</v>
      </c>
      <c r="C1008" t="s">
        <v>4892</v>
      </c>
      <c r="D1008" s="6" t="str">
        <f>_xlfn.XLOOKUP(B1008,Indices!$A$2:$A$2676,Indices!$B$2:$B$2676,"")</f>
        <v>IWM</v>
      </c>
    </row>
    <row r="1009" spans="1:4" x14ac:dyDescent="0.25">
      <c r="A1009" s="140">
        <v>45693.588888888888</v>
      </c>
      <c r="B1009" t="s">
        <v>2417</v>
      </c>
      <c r="C1009" t="s">
        <v>4893</v>
      </c>
      <c r="D1009" s="6" t="str">
        <f>_xlfn.XLOOKUP(B1009,Indices!$A$2:$A$2676,Indices!$B$2:$B$2676,"")</f>
        <v>S&amp;P Mid</v>
      </c>
    </row>
    <row r="1010" spans="1:4" x14ac:dyDescent="0.25">
      <c r="A1010" s="140">
        <v>45693.590277777781</v>
      </c>
      <c r="B1010" t="s">
        <v>2258</v>
      </c>
      <c r="C1010" t="s">
        <v>4894</v>
      </c>
      <c r="D1010" s="6" t="str">
        <f>_xlfn.XLOOKUP(B1010,Indices!$A$2:$A$2676,Indices!$B$2:$B$2676,"")</f>
        <v>IWM</v>
      </c>
    </row>
    <row r="1011" spans="1:4" x14ac:dyDescent="0.25">
      <c r="A1011" s="140">
        <v>45693.590277777781</v>
      </c>
      <c r="B1011" t="s">
        <v>2544</v>
      </c>
      <c r="C1011" t="s">
        <v>4894</v>
      </c>
      <c r="D1011" s="6" t="str">
        <f>_xlfn.XLOOKUP(B1011,Indices!$A$2:$A$2676,Indices!$B$2:$B$2676,"")</f>
        <v/>
      </c>
    </row>
    <row r="1012" spans="1:4" x14ac:dyDescent="0.25">
      <c r="A1012" s="140">
        <v>45693.590277777781</v>
      </c>
      <c r="B1012" t="s">
        <v>1601</v>
      </c>
      <c r="C1012" t="s">
        <v>4894</v>
      </c>
      <c r="D1012" s="6" t="str">
        <f>_xlfn.XLOOKUP(B1012,Indices!$A$2:$A$2676,Indices!$B$2:$B$2676,"")</f>
        <v>SP500</v>
      </c>
    </row>
    <row r="1013" spans="1:4" x14ac:dyDescent="0.25">
      <c r="A1013" s="140">
        <v>45693.590277777781</v>
      </c>
      <c r="B1013" t="s">
        <v>1038</v>
      </c>
      <c r="C1013" t="s">
        <v>4894</v>
      </c>
      <c r="D1013" s="6" t="str">
        <f>_xlfn.XLOOKUP(B1013,Indices!$A$2:$A$2676,Indices!$B$2:$B$2676,"")</f>
        <v>IWM</v>
      </c>
    </row>
    <row r="1014" spans="1:4" x14ac:dyDescent="0.25">
      <c r="A1014" s="140">
        <v>45693.590277777781</v>
      </c>
      <c r="B1014" t="s">
        <v>416</v>
      </c>
      <c r="C1014" t="s">
        <v>4894</v>
      </c>
      <c r="D1014" s="6" t="str">
        <f>_xlfn.XLOOKUP(B1014,Indices!$A$2:$A$2676,Indices!$B$2:$B$2676,"")</f>
        <v>SP500</v>
      </c>
    </row>
    <row r="1015" spans="1:4" x14ac:dyDescent="0.25">
      <c r="A1015" s="140">
        <v>45693.590277777781</v>
      </c>
      <c r="B1015" t="s">
        <v>2632</v>
      </c>
      <c r="C1015" t="s">
        <v>4894</v>
      </c>
      <c r="D1015" s="6" t="str">
        <f>_xlfn.XLOOKUP(B1015,Indices!$A$2:$A$2676,Indices!$B$2:$B$2676,"")</f>
        <v/>
      </c>
    </row>
    <row r="1016" spans="1:4" x14ac:dyDescent="0.25">
      <c r="A1016" s="140">
        <v>45693.590277777781</v>
      </c>
      <c r="B1016" t="s">
        <v>2621</v>
      </c>
      <c r="C1016" t="s">
        <v>4894</v>
      </c>
      <c r="D1016" s="6" t="str">
        <f>_xlfn.XLOOKUP(B1016,Indices!$A$2:$A$2676,Indices!$B$2:$B$2676,"")</f>
        <v/>
      </c>
    </row>
    <row r="1017" spans="1:4" x14ac:dyDescent="0.25">
      <c r="A1017" s="140">
        <v>45693.59097222222</v>
      </c>
      <c r="B1017" t="s">
        <v>377</v>
      </c>
      <c r="C1017" t="s">
        <v>4895</v>
      </c>
      <c r="D1017" s="6" t="str">
        <f>_xlfn.XLOOKUP(B1017,Indices!$A$2:$A$2676,Indices!$B$2:$B$2676,"")</f>
        <v>IWM</v>
      </c>
    </row>
    <row r="1018" spans="1:4" x14ac:dyDescent="0.25">
      <c r="A1018" s="140">
        <v>45693.593055555553</v>
      </c>
      <c r="B1018" t="s">
        <v>470</v>
      </c>
      <c r="C1018" t="s">
        <v>4896</v>
      </c>
      <c r="D1018" s="6" t="str">
        <f>_xlfn.XLOOKUP(B1018,Indices!$A$2:$A$2676,Indices!$B$2:$B$2676,"")</f>
        <v>S&amp;P Mid</v>
      </c>
    </row>
    <row r="1019" spans="1:4" x14ac:dyDescent="0.25">
      <c r="A1019" s="140">
        <v>45693.59375</v>
      </c>
      <c r="B1019" t="s">
        <v>1726</v>
      </c>
      <c r="C1019" t="s">
        <v>4897</v>
      </c>
      <c r="D1019" s="6" t="str">
        <f>_xlfn.XLOOKUP(B1019,Indices!$A$2:$A$2676,Indices!$B$2:$B$2676,"")</f>
        <v>IWM</v>
      </c>
    </row>
    <row r="1020" spans="1:4" x14ac:dyDescent="0.25">
      <c r="A1020" s="140">
        <v>45693.59375</v>
      </c>
      <c r="B1020" t="s">
        <v>798</v>
      </c>
      <c r="C1020" t="s">
        <v>4897</v>
      </c>
      <c r="D1020" s="6" t="str">
        <f>_xlfn.XLOOKUP(B1020,Indices!$A$2:$A$2676,Indices!$B$2:$B$2676,"")</f>
        <v>SP500</v>
      </c>
    </row>
    <row r="1021" spans="1:4" x14ac:dyDescent="0.25">
      <c r="A1021" s="140">
        <v>45693.59375</v>
      </c>
      <c r="B1021" t="s">
        <v>1717</v>
      </c>
      <c r="C1021" t="s">
        <v>4897</v>
      </c>
      <c r="D1021" s="6" t="str">
        <f>_xlfn.XLOOKUP(B1021,Indices!$A$2:$A$2676,Indices!$B$2:$B$2676,"")</f>
        <v>IWM</v>
      </c>
    </row>
    <row r="1022" spans="1:4" x14ac:dyDescent="0.25">
      <c r="A1022" s="140">
        <v>45693.59375</v>
      </c>
      <c r="B1022" t="s">
        <v>1094</v>
      </c>
      <c r="C1022" t="s">
        <v>4897</v>
      </c>
      <c r="D1022" s="6" t="str">
        <f>_xlfn.XLOOKUP(B1022,Indices!$A$2:$A$2676,Indices!$B$2:$B$2676,"")</f>
        <v>IWM</v>
      </c>
    </row>
    <row r="1023" spans="1:4" x14ac:dyDescent="0.25">
      <c r="A1023" s="140">
        <v>45693.59375</v>
      </c>
      <c r="B1023" t="s">
        <v>2403</v>
      </c>
      <c r="C1023" t="s">
        <v>4897</v>
      </c>
      <c r="D1023" s="6" t="str">
        <f>_xlfn.XLOOKUP(B1023,Indices!$A$2:$A$2676,Indices!$B$2:$B$2676,"")</f>
        <v>S&amp;P Mid</v>
      </c>
    </row>
    <row r="1024" spans="1:4" x14ac:dyDescent="0.25">
      <c r="A1024" s="140">
        <v>45693.59375</v>
      </c>
      <c r="B1024" t="s">
        <v>1559</v>
      </c>
      <c r="C1024" t="s">
        <v>4897</v>
      </c>
      <c r="D1024" s="6" t="str">
        <f>_xlfn.XLOOKUP(B1024,Indices!$A$2:$A$2676,Indices!$B$2:$B$2676,"")</f>
        <v>SP500</v>
      </c>
    </row>
    <row r="1025" spans="1:4" x14ac:dyDescent="0.25">
      <c r="A1025" s="140">
        <v>45693.59375</v>
      </c>
      <c r="B1025" t="s">
        <v>130</v>
      </c>
      <c r="C1025" t="s">
        <v>4897</v>
      </c>
      <c r="D1025" s="6" t="str">
        <f>_xlfn.XLOOKUP(B1025,Indices!$A$2:$A$2676,Indices!$B$2:$B$2676,"")</f>
        <v>SP500</v>
      </c>
    </row>
    <row r="1026" spans="1:4" x14ac:dyDescent="0.25">
      <c r="A1026" s="140">
        <v>45693.59375</v>
      </c>
      <c r="B1026" t="s">
        <v>1041</v>
      </c>
      <c r="C1026" t="s">
        <v>4897</v>
      </c>
      <c r="D1026" s="6" t="str">
        <f>_xlfn.XLOOKUP(B1026,Indices!$A$2:$A$2676,Indices!$B$2:$B$2676,"")</f>
        <v>IWM</v>
      </c>
    </row>
    <row r="1027" spans="1:4" x14ac:dyDescent="0.25">
      <c r="A1027" s="140">
        <v>45693.59375</v>
      </c>
      <c r="B1027" t="s">
        <v>791</v>
      </c>
      <c r="C1027" t="s">
        <v>4897</v>
      </c>
      <c r="D1027" s="6" t="str">
        <f>_xlfn.XLOOKUP(B1027,Indices!$A$2:$A$2676,Indices!$B$2:$B$2676,"")</f>
        <v>SP500</v>
      </c>
    </row>
    <row r="1028" spans="1:4" x14ac:dyDescent="0.25">
      <c r="A1028" s="140">
        <v>45693.59375</v>
      </c>
      <c r="B1028" t="s">
        <v>3005</v>
      </c>
      <c r="C1028" t="s">
        <v>4897</v>
      </c>
      <c r="D1028" s="6" t="str">
        <f>_xlfn.XLOOKUP(B1028,Indices!$A$2:$A$2676,Indices!$B$2:$B$2676,"")</f>
        <v/>
      </c>
    </row>
    <row r="1029" spans="1:4" x14ac:dyDescent="0.25">
      <c r="A1029" s="140">
        <v>45693.59375</v>
      </c>
      <c r="B1029" t="s">
        <v>450</v>
      </c>
      <c r="C1029" t="s">
        <v>4897</v>
      </c>
      <c r="D1029" s="6" t="str">
        <f>_xlfn.XLOOKUP(B1029,Indices!$A$2:$A$2676,Indices!$B$2:$B$2676,"")</f>
        <v>IWM</v>
      </c>
    </row>
    <row r="1030" spans="1:4" x14ac:dyDescent="0.25">
      <c r="A1030" s="140">
        <v>45693.59375</v>
      </c>
      <c r="B1030" t="s">
        <v>2528</v>
      </c>
      <c r="C1030" t="s">
        <v>4897</v>
      </c>
      <c r="D1030" s="6" t="str">
        <f>_xlfn.XLOOKUP(B1030,Indices!$A$2:$A$2676,Indices!$B$2:$B$2676,"")</f>
        <v/>
      </c>
    </row>
    <row r="1031" spans="1:4" x14ac:dyDescent="0.25">
      <c r="A1031" s="140">
        <v>45693.59375</v>
      </c>
      <c r="B1031" t="s">
        <v>430</v>
      </c>
      <c r="C1031" t="s">
        <v>4897</v>
      </c>
      <c r="D1031" s="6" t="str">
        <f>_xlfn.XLOOKUP(B1031,Indices!$A$2:$A$2676,Indices!$B$2:$B$2676,"")</f>
        <v>IWM</v>
      </c>
    </row>
    <row r="1032" spans="1:4" x14ac:dyDescent="0.25">
      <c r="A1032" s="140">
        <v>45693.59375</v>
      </c>
      <c r="B1032" t="s">
        <v>126</v>
      </c>
      <c r="C1032" t="s">
        <v>4897</v>
      </c>
      <c r="D1032" s="6" t="str">
        <f>_xlfn.XLOOKUP(B1032,Indices!$A$2:$A$2676,Indices!$B$2:$B$2676,"")</f>
        <v>S&amp;P Mid</v>
      </c>
    </row>
    <row r="1033" spans="1:4" x14ac:dyDescent="0.25">
      <c r="A1033" s="140">
        <v>45693.59375</v>
      </c>
      <c r="B1033" t="s">
        <v>1898</v>
      </c>
      <c r="C1033" t="s">
        <v>4897</v>
      </c>
      <c r="D1033" s="6" t="str">
        <f>_xlfn.XLOOKUP(B1033,Indices!$A$2:$A$2676,Indices!$B$2:$B$2676,"")</f>
        <v>IWM</v>
      </c>
    </row>
    <row r="1034" spans="1:4" x14ac:dyDescent="0.25">
      <c r="A1034" s="140">
        <v>45693.59375</v>
      </c>
      <c r="B1034" t="s">
        <v>2616</v>
      </c>
      <c r="C1034" t="s">
        <v>4897</v>
      </c>
      <c r="D1034" s="6" t="str">
        <f>_xlfn.XLOOKUP(B1034,Indices!$A$2:$A$2676,Indices!$B$2:$B$2676,"")</f>
        <v/>
      </c>
    </row>
    <row r="1035" spans="1:4" x14ac:dyDescent="0.25">
      <c r="A1035" s="140">
        <v>45693.59375</v>
      </c>
      <c r="B1035" t="s">
        <v>131</v>
      </c>
      <c r="C1035" t="s">
        <v>4897</v>
      </c>
      <c r="D1035" s="6" t="str">
        <f>_xlfn.XLOOKUP(B1035,Indices!$A$2:$A$2676,Indices!$B$2:$B$2676,"")</f>
        <v>IWM</v>
      </c>
    </row>
    <row r="1036" spans="1:4" x14ac:dyDescent="0.25">
      <c r="A1036" s="140">
        <v>45693.59375</v>
      </c>
      <c r="B1036" t="s">
        <v>2629</v>
      </c>
      <c r="C1036" t="s">
        <v>4897</v>
      </c>
      <c r="D1036" s="6" t="str">
        <f>_xlfn.XLOOKUP(B1036,Indices!$A$2:$A$2676,Indices!$B$2:$B$2676,"")</f>
        <v/>
      </c>
    </row>
    <row r="1037" spans="1:4" x14ac:dyDescent="0.25">
      <c r="A1037" s="140">
        <v>45693.59375</v>
      </c>
      <c r="B1037" t="s">
        <v>461</v>
      </c>
      <c r="C1037" t="s">
        <v>4897</v>
      </c>
      <c r="D1037" s="6" t="str">
        <f>_xlfn.XLOOKUP(B1037,Indices!$A$2:$A$2676,Indices!$B$2:$B$2676,"")</f>
        <v>IWM</v>
      </c>
    </row>
    <row r="1038" spans="1:4" x14ac:dyDescent="0.25">
      <c r="A1038" s="140">
        <v>45693.59375</v>
      </c>
      <c r="B1038" t="s">
        <v>1543</v>
      </c>
      <c r="C1038" t="s">
        <v>4897</v>
      </c>
      <c r="D1038" s="6" t="str">
        <f>_xlfn.XLOOKUP(B1038,Indices!$A$2:$A$2676,Indices!$B$2:$B$2676,"")</f>
        <v>SP500</v>
      </c>
    </row>
    <row r="1039" spans="1:4" x14ac:dyDescent="0.25">
      <c r="A1039" s="140">
        <v>45693.59375</v>
      </c>
      <c r="B1039" t="s">
        <v>2531</v>
      </c>
      <c r="C1039" t="s">
        <v>4897</v>
      </c>
      <c r="D1039" s="6" t="str">
        <f>_xlfn.XLOOKUP(B1039,Indices!$A$2:$A$2676,Indices!$B$2:$B$2676,"")</f>
        <v/>
      </c>
    </row>
    <row r="1040" spans="1:4" x14ac:dyDescent="0.25">
      <c r="A1040" s="140">
        <v>45693.594444444447</v>
      </c>
      <c r="B1040" t="s">
        <v>1562</v>
      </c>
      <c r="C1040" t="s">
        <v>4898</v>
      </c>
      <c r="D1040" s="6" t="str">
        <f>_xlfn.XLOOKUP(B1040,Indices!$A$2:$A$2676,Indices!$B$2:$B$2676,"")</f>
        <v>SP500</v>
      </c>
    </row>
    <row r="1041" spans="1:4" x14ac:dyDescent="0.25">
      <c r="A1041" s="140">
        <v>45693.594444444447</v>
      </c>
      <c r="B1041" t="s">
        <v>459</v>
      </c>
      <c r="C1041" t="s">
        <v>4898</v>
      </c>
      <c r="D1041" s="6" t="str">
        <f>_xlfn.XLOOKUP(B1041,Indices!$A$2:$A$2676,Indices!$B$2:$B$2676,"")</f>
        <v>IWM</v>
      </c>
    </row>
    <row r="1042" spans="1:4" x14ac:dyDescent="0.25">
      <c r="A1042" s="140">
        <v>45693.595138888886</v>
      </c>
      <c r="B1042" t="s">
        <v>1042</v>
      </c>
      <c r="C1042" t="s">
        <v>4899</v>
      </c>
      <c r="D1042" s="6" t="str">
        <f>_xlfn.XLOOKUP(B1042,Indices!$A$2:$A$2676,Indices!$B$2:$B$2676,"")</f>
        <v>IWM</v>
      </c>
    </row>
    <row r="1043" spans="1:4" x14ac:dyDescent="0.25">
      <c r="A1043" s="140">
        <v>45693.595833333333</v>
      </c>
      <c r="B1043" t="s">
        <v>875</v>
      </c>
      <c r="C1043" t="s">
        <v>4900</v>
      </c>
      <c r="D1043" s="6" t="str">
        <f>_xlfn.XLOOKUP(B1043,Indices!$A$2:$A$2676,Indices!$B$2:$B$2676,"")</f>
        <v>IWM</v>
      </c>
    </row>
    <row r="1044" spans="1:4" x14ac:dyDescent="0.25">
      <c r="A1044" s="140">
        <v>45693.597222222219</v>
      </c>
      <c r="B1044" t="s">
        <v>422</v>
      </c>
      <c r="C1044" t="s">
        <v>4901</v>
      </c>
      <c r="D1044" s="6" t="str">
        <f>_xlfn.XLOOKUP(B1044,Indices!$A$2:$A$2676,Indices!$B$2:$B$2676,"")</f>
        <v>S&amp;P Mid</v>
      </c>
    </row>
    <row r="1045" spans="1:4" x14ac:dyDescent="0.25">
      <c r="A1045" s="140">
        <v>45693.602777777778</v>
      </c>
      <c r="B1045" t="s">
        <v>2453</v>
      </c>
      <c r="C1045" t="s">
        <v>4902</v>
      </c>
      <c r="D1045" s="6" t="str">
        <f>_xlfn.XLOOKUP(B1045,Indices!$A$2:$A$2676,Indices!$B$2:$B$2676,"")</f>
        <v>S&amp;P Mid</v>
      </c>
    </row>
    <row r="1046" spans="1:4" x14ac:dyDescent="0.25">
      <c r="A1046" s="140">
        <v>45693.604166666664</v>
      </c>
      <c r="B1046" t="s">
        <v>482</v>
      </c>
      <c r="C1046" t="s">
        <v>4903</v>
      </c>
      <c r="D1046" s="6" t="str">
        <f>_xlfn.XLOOKUP(B1046,Indices!$A$2:$A$2676,Indices!$B$2:$B$2676,"")</f>
        <v>SP500</v>
      </c>
    </row>
    <row r="1047" spans="1:4" x14ac:dyDescent="0.25">
      <c r="A1047" s="140">
        <v>45693.604166666664</v>
      </c>
      <c r="B1047" t="s">
        <v>2619</v>
      </c>
      <c r="C1047" t="s">
        <v>4903</v>
      </c>
      <c r="D1047" s="6" t="str">
        <f>_xlfn.XLOOKUP(B1047,Indices!$A$2:$A$2676,Indices!$B$2:$B$2676,"")</f>
        <v/>
      </c>
    </row>
    <row r="1048" spans="1:4" x14ac:dyDescent="0.25">
      <c r="A1048" s="140">
        <v>45693.604166666664</v>
      </c>
      <c r="B1048" t="s">
        <v>1125</v>
      </c>
      <c r="C1048" t="s">
        <v>4903</v>
      </c>
      <c r="D1048" s="6" t="str">
        <f>_xlfn.XLOOKUP(B1048,Indices!$A$2:$A$2676,Indices!$B$2:$B$2676,"")</f>
        <v>S&amp;P Mid</v>
      </c>
    </row>
    <row r="1049" spans="1:4" x14ac:dyDescent="0.25">
      <c r="A1049" s="140">
        <v>45693.604166666664</v>
      </c>
      <c r="B1049" t="s">
        <v>494</v>
      </c>
      <c r="C1049" t="s">
        <v>4903</v>
      </c>
      <c r="D1049" s="6" t="str">
        <f>_xlfn.XLOOKUP(B1049,Indices!$A$2:$A$2676,Indices!$B$2:$B$2676,"")</f>
        <v>IWM</v>
      </c>
    </row>
    <row r="1050" spans="1:4" x14ac:dyDescent="0.25">
      <c r="A1050" s="140">
        <v>45693.604166666664</v>
      </c>
      <c r="B1050" t="s">
        <v>2370</v>
      </c>
      <c r="C1050" t="s">
        <v>4903</v>
      </c>
      <c r="D1050" s="6" t="str">
        <f>_xlfn.XLOOKUP(B1050,Indices!$A$2:$A$2676,Indices!$B$2:$B$2676,"")</f>
        <v>S&amp;P Mid</v>
      </c>
    </row>
    <row r="1051" spans="1:4" x14ac:dyDescent="0.25">
      <c r="A1051" s="140">
        <v>45693.604166666664</v>
      </c>
      <c r="B1051" t="s">
        <v>1385</v>
      </c>
      <c r="C1051" t="s">
        <v>4903</v>
      </c>
      <c r="D1051" s="6" t="str">
        <f>_xlfn.XLOOKUP(B1051,Indices!$A$2:$A$2676,Indices!$B$2:$B$2676,"")</f>
        <v>SP500</v>
      </c>
    </row>
    <row r="1052" spans="1:4" x14ac:dyDescent="0.25">
      <c r="A1052" s="140">
        <v>45693.604166666664</v>
      </c>
      <c r="B1052" t="s">
        <v>483</v>
      </c>
      <c r="C1052" t="s">
        <v>4903</v>
      </c>
      <c r="D1052" s="6" t="str">
        <f>_xlfn.XLOOKUP(B1052,Indices!$A$2:$A$2676,Indices!$B$2:$B$2676,"")</f>
        <v>IWM</v>
      </c>
    </row>
    <row r="1053" spans="1:4" x14ac:dyDescent="0.25">
      <c r="A1053" s="140">
        <v>45693.604166666664</v>
      </c>
      <c r="B1053" t="s">
        <v>556</v>
      </c>
      <c r="C1053" t="s">
        <v>4904</v>
      </c>
      <c r="D1053" s="6" t="str">
        <f>_xlfn.XLOOKUP(B1053,Indices!$A$2:$A$2676,Indices!$B$2:$B$2676,"")</f>
        <v>SP500</v>
      </c>
    </row>
    <row r="1054" spans="1:4" x14ac:dyDescent="0.25">
      <c r="A1054" s="140">
        <v>45693.604861111111</v>
      </c>
      <c r="B1054" t="s">
        <v>2352</v>
      </c>
      <c r="C1054" t="s">
        <v>4905</v>
      </c>
      <c r="D1054" s="6" t="str">
        <f>_xlfn.XLOOKUP(B1054,Indices!$A$2:$A$2676,Indices!$B$2:$B$2676,"")</f>
        <v>S&amp;P Mid</v>
      </c>
    </row>
    <row r="1055" spans="1:4" x14ac:dyDescent="0.25">
      <c r="A1055" s="140">
        <v>45693.605555555558</v>
      </c>
      <c r="B1055" t="s">
        <v>1407</v>
      </c>
      <c r="C1055" t="s">
        <v>4906</v>
      </c>
      <c r="D1055" s="6" t="str">
        <f>_xlfn.XLOOKUP(B1055,Indices!$A$2:$A$2676,Indices!$B$2:$B$2676,"")</f>
        <v>SP500</v>
      </c>
    </row>
    <row r="1056" spans="1:4" x14ac:dyDescent="0.25">
      <c r="A1056" s="140">
        <v>45693.606249999997</v>
      </c>
      <c r="B1056" t="s">
        <v>2628</v>
      </c>
      <c r="C1056" t="s">
        <v>4907</v>
      </c>
      <c r="D1056" s="6" t="str">
        <f>_xlfn.XLOOKUP(B1056,Indices!$A$2:$A$2676,Indices!$B$2:$B$2676,"")</f>
        <v/>
      </c>
    </row>
    <row r="1057" spans="1:4" x14ac:dyDescent="0.25">
      <c r="A1057" s="140">
        <v>45693.607638888891</v>
      </c>
      <c r="B1057" t="s">
        <v>2610</v>
      </c>
      <c r="C1057" t="s">
        <v>4908</v>
      </c>
      <c r="D1057" s="6" t="str">
        <f>_xlfn.XLOOKUP(B1057,Indices!$A$2:$A$2676,Indices!$B$2:$B$2676,"")</f>
        <v/>
      </c>
    </row>
    <row r="1058" spans="1:4" x14ac:dyDescent="0.25">
      <c r="A1058" s="140">
        <v>45693.615972222222</v>
      </c>
      <c r="B1058" t="s">
        <v>2526</v>
      </c>
      <c r="C1058" t="s">
        <v>4909</v>
      </c>
      <c r="D1058" s="6" t="str">
        <f>_xlfn.XLOOKUP(B1058,Indices!$A$2:$A$2676,Indices!$B$2:$B$2676,"")</f>
        <v/>
      </c>
    </row>
    <row r="1059" spans="1:4" x14ac:dyDescent="0.25">
      <c r="A1059" s="140">
        <v>45693.625</v>
      </c>
      <c r="B1059" t="s">
        <v>2624</v>
      </c>
      <c r="C1059" t="s">
        <v>4910</v>
      </c>
      <c r="D1059" s="6" t="str">
        <f>_xlfn.XLOOKUP(B1059,Indices!$A$2:$A$2676,Indices!$B$2:$B$2676,"")</f>
        <v/>
      </c>
    </row>
    <row r="1060" spans="1:4" x14ac:dyDescent="0.25">
      <c r="A1060" s="140">
        <v>45693.625</v>
      </c>
      <c r="B1060" t="s">
        <v>455</v>
      </c>
      <c r="C1060" t="s">
        <v>4910</v>
      </c>
      <c r="D1060" s="6" t="str">
        <f>_xlfn.XLOOKUP(B1060,Indices!$A$2:$A$2676,Indices!$B$2:$B$2676,"")</f>
        <v>SP500</v>
      </c>
    </row>
    <row r="1061" spans="1:4" x14ac:dyDescent="0.25">
      <c r="A1061" s="140">
        <v>45693.625</v>
      </c>
      <c r="B1061" t="s">
        <v>481</v>
      </c>
      <c r="C1061" t="s">
        <v>2609</v>
      </c>
      <c r="D1061" s="6" t="str">
        <f>_xlfn.XLOOKUP(B1061,Indices!$A$2:$A$2676,Indices!$B$2:$B$2676,"")</f>
        <v>IWM</v>
      </c>
    </row>
    <row r="1062" spans="1:4" x14ac:dyDescent="0.25">
      <c r="A1062" s="140">
        <v>45693.625</v>
      </c>
      <c r="B1062" t="s">
        <v>2623</v>
      </c>
      <c r="C1062" t="s">
        <v>2609</v>
      </c>
      <c r="D1062" s="6" t="str">
        <f>_xlfn.XLOOKUP(B1062,Indices!$A$2:$A$2676,Indices!$B$2:$B$2676,"")</f>
        <v/>
      </c>
    </row>
    <row r="1063" spans="1:4" x14ac:dyDescent="0.25">
      <c r="A1063" s="140">
        <v>45693.625</v>
      </c>
      <c r="B1063" t="s">
        <v>2449</v>
      </c>
      <c r="C1063" t="s">
        <v>4910</v>
      </c>
      <c r="D1063" s="6" t="str">
        <f>_xlfn.XLOOKUP(B1063,Indices!$A$2:$A$2676,Indices!$B$2:$B$2676,"")</f>
        <v>S&amp;P Mid</v>
      </c>
    </row>
    <row r="1064" spans="1:4" x14ac:dyDescent="0.25">
      <c r="A1064" s="140">
        <v>45693.628472222219</v>
      </c>
      <c r="B1064" t="s">
        <v>2580</v>
      </c>
      <c r="C1064" t="s">
        <v>4911</v>
      </c>
      <c r="D1064" s="6" t="str">
        <f>_xlfn.XLOOKUP(B1064,Indices!$A$2:$A$2676,Indices!$B$2:$B$2676,"")</f>
        <v/>
      </c>
    </row>
    <row r="1065" spans="1:4" x14ac:dyDescent="0.25">
      <c r="A1065" s="140">
        <v>45693.643750000003</v>
      </c>
      <c r="B1065" t="s">
        <v>2631</v>
      </c>
      <c r="C1065" t="s">
        <v>4912</v>
      </c>
      <c r="D1065" s="6" t="str">
        <f>_xlfn.XLOOKUP(B1065,Indices!$A$2:$A$2676,Indices!$B$2:$B$2676,"")</f>
        <v/>
      </c>
    </row>
    <row r="1066" spans="1:4" x14ac:dyDescent="0.25">
      <c r="A1066" s="140">
        <v>45693.666666666664</v>
      </c>
      <c r="B1066" t="s">
        <v>2618</v>
      </c>
      <c r="C1066" t="s">
        <v>4913</v>
      </c>
      <c r="D1066" s="6" t="str">
        <f>_xlfn.XLOOKUP(B1066,Indices!$A$2:$A$2676,Indices!$B$2:$B$2676,"")</f>
        <v/>
      </c>
    </row>
    <row r="1067" spans="1:4" x14ac:dyDescent="0.25">
      <c r="A1067" s="140">
        <v>45693.672222222223</v>
      </c>
      <c r="B1067" t="s">
        <v>1413</v>
      </c>
      <c r="C1067" t="s">
        <v>4914</v>
      </c>
      <c r="D1067" s="6" t="str">
        <f>_xlfn.XLOOKUP(B1067,Indices!$A$2:$A$2676,Indices!$B$2:$B$2676,"")</f>
        <v>SP500</v>
      </c>
    </row>
    <row r="1068" spans="1:4" x14ac:dyDescent="0.25">
      <c r="A1068" s="140">
        <v>45693.690972222219</v>
      </c>
      <c r="B1068" t="s">
        <v>1767</v>
      </c>
      <c r="C1068" t="s">
        <v>4915</v>
      </c>
      <c r="D1068" s="6" t="str">
        <f>_xlfn.XLOOKUP(B1068,Indices!$A$2:$A$2676,Indices!$B$2:$B$2676,"")</f>
        <v>IWM</v>
      </c>
    </row>
    <row r="1069" spans="1:4" x14ac:dyDescent="0.25">
      <c r="A1069" s="140">
        <v>45693.957638888889</v>
      </c>
      <c r="B1069" t="s">
        <v>2666</v>
      </c>
      <c r="C1069" t="s">
        <v>4916</v>
      </c>
      <c r="D1069" s="6" t="str">
        <f>_xlfn.XLOOKUP(B1069,Indices!$A$2:$A$2676,Indices!$B$2:$B$2676,"")</f>
        <v/>
      </c>
    </row>
    <row r="1070" spans="1:4" x14ac:dyDescent="0.25">
      <c r="A1070" s="140">
        <v>45693.958333333336</v>
      </c>
      <c r="B1070" t="s">
        <v>2665</v>
      </c>
      <c r="C1070" t="s">
        <v>4918</v>
      </c>
      <c r="D1070" s="6" t="str">
        <f>_xlfn.XLOOKUP(B1070,Indices!$A$2:$A$2676,Indices!$B$2:$B$2676,"")</f>
        <v/>
      </c>
    </row>
    <row r="1071" spans="1:4" x14ac:dyDescent="0.25">
      <c r="A1071" s="140">
        <v>45693.958333333336</v>
      </c>
      <c r="B1071" t="s">
        <v>2653</v>
      </c>
      <c r="C1071" t="s">
        <v>4917</v>
      </c>
      <c r="D1071" s="6" t="str">
        <f>_xlfn.XLOOKUP(B1071,Indices!$A$2:$A$2676,Indices!$B$2:$B$2676,"")</f>
        <v/>
      </c>
    </row>
    <row r="1072" spans="1:4" x14ac:dyDescent="0.25">
      <c r="A1072" s="140">
        <v>45693.958333333336</v>
      </c>
      <c r="B1072" t="s">
        <v>2638</v>
      </c>
      <c r="C1072" t="s">
        <v>4917</v>
      </c>
      <c r="D1072" s="6" t="str">
        <f>_xlfn.XLOOKUP(B1072,Indices!$A$2:$A$2676,Indices!$B$2:$B$2676,"")</f>
        <v/>
      </c>
    </row>
    <row r="1073" spans="1:4" x14ac:dyDescent="0.25">
      <c r="A1073" s="140">
        <v>45693.958333333336</v>
      </c>
      <c r="B1073" t="s">
        <v>2677</v>
      </c>
      <c r="C1073" t="s">
        <v>4917</v>
      </c>
      <c r="D1073" s="6" t="str">
        <f>_xlfn.XLOOKUP(B1073,Indices!$A$2:$A$2676,Indices!$B$2:$B$2676,"")</f>
        <v/>
      </c>
    </row>
    <row r="1074" spans="1:4" x14ac:dyDescent="0.25">
      <c r="A1074" s="140">
        <v>45693.958333333336</v>
      </c>
      <c r="B1074" t="s">
        <v>2683</v>
      </c>
      <c r="C1074" t="s">
        <v>4917</v>
      </c>
      <c r="D1074" s="6" t="str">
        <f>_xlfn.XLOOKUP(B1074,Indices!$A$2:$A$2676,Indices!$B$2:$B$2676,"")</f>
        <v/>
      </c>
    </row>
    <row r="1075" spans="1:4" x14ac:dyDescent="0.25">
      <c r="A1075" s="140">
        <v>45693.958333333336</v>
      </c>
      <c r="B1075" t="s">
        <v>2678</v>
      </c>
      <c r="C1075" t="s">
        <v>4917</v>
      </c>
      <c r="D1075" s="6" t="str">
        <f>_xlfn.XLOOKUP(B1075,Indices!$A$2:$A$2676,Indices!$B$2:$B$2676,"")</f>
        <v/>
      </c>
    </row>
    <row r="1076" spans="1:4" x14ac:dyDescent="0.25">
      <c r="A1076" s="140">
        <v>45693.958333333336</v>
      </c>
      <c r="B1076" t="s">
        <v>2686</v>
      </c>
      <c r="C1076" t="s">
        <v>4918</v>
      </c>
      <c r="D1076" s="6" t="str">
        <f>_xlfn.XLOOKUP(B1076,Indices!$A$2:$A$2676,Indices!$B$2:$B$2676,"")</f>
        <v/>
      </c>
    </row>
    <row r="1077" spans="1:4" x14ac:dyDescent="0.25">
      <c r="A1077" s="140">
        <v>45693.958333333336</v>
      </c>
      <c r="B1077" t="s">
        <v>2689</v>
      </c>
      <c r="C1077" t="s">
        <v>4917</v>
      </c>
      <c r="D1077" s="6" t="str">
        <f>_xlfn.XLOOKUP(B1077,Indices!$A$2:$A$2676,Indices!$B$2:$B$2676,"")</f>
        <v/>
      </c>
    </row>
    <row r="1078" spans="1:4" x14ac:dyDescent="0.25">
      <c r="A1078" s="140">
        <v>45693.958333333336</v>
      </c>
      <c r="B1078" t="s">
        <v>522</v>
      </c>
      <c r="C1078" t="s">
        <v>4918</v>
      </c>
      <c r="D1078" s="6" t="str">
        <f>_xlfn.XLOOKUP(B1078,Indices!$A$2:$A$2676,Indices!$B$2:$B$2676,"")</f>
        <v>IWM</v>
      </c>
    </row>
    <row r="1079" spans="1:4" x14ac:dyDescent="0.25">
      <c r="A1079" s="140">
        <v>45693.958333333336</v>
      </c>
      <c r="B1079" t="s">
        <v>2656</v>
      </c>
      <c r="C1079" t="s">
        <v>4918</v>
      </c>
      <c r="D1079" s="6" t="str">
        <f>_xlfn.XLOOKUP(B1079,Indices!$A$2:$A$2676,Indices!$B$2:$B$2676,"")</f>
        <v/>
      </c>
    </row>
    <row r="1080" spans="1:4" x14ac:dyDescent="0.25">
      <c r="A1080" s="140">
        <v>45693.958333333336</v>
      </c>
      <c r="B1080" t="s">
        <v>2663</v>
      </c>
      <c r="C1080" t="s">
        <v>4918</v>
      </c>
      <c r="D1080" s="6" t="str">
        <f>_xlfn.XLOOKUP(B1080,Indices!$A$2:$A$2676,Indices!$B$2:$B$2676,"")</f>
        <v/>
      </c>
    </row>
    <row r="1081" spans="1:4" x14ac:dyDescent="0.25">
      <c r="A1081" s="140">
        <v>45693.958333333336</v>
      </c>
      <c r="B1081" t="s">
        <v>2652</v>
      </c>
      <c r="C1081" t="s">
        <v>4917</v>
      </c>
      <c r="D1081" s="6" t="str">
        <f>_xlfn.XLOOKUP(B1081,Indices!$A$2:$A$2676,Indices!$B$2:$B$2676,"")</f>
        <v/>
      </c>
    </row>
    <row r="1082" spans="1:4" x14ac:dyDescent="0.25">
      <c r="A1082" s="140">
        <v>45693.958333333336</v>
      </c>
      <c r="B1082" t="s">
        <v>2682</v>
      </c>
      <c r="C1082" t="s">
        <v>4918</v>
      </c>
      <c r="D1082" s="6" t="str">
        <f>_xlfn.XLOOKUP(B1082,Indices!$A$2:$A$2676,Indices!$B$2:$B$2676,"")</f>
        <v/>
      </c>
    </row>
    <row r="1083" spans="1:4" x14ac:dyDescent="0.25">
      <c r="A1083" s="140">
        <v>45693.958333333336</v>
      </c>
      <c r="B1083" t="s">
        <v>2680</v>
      </c>
      <c r="C1083" t="s">
        <v>4918</v>
      </c>
      <c r="D1083" s="6" t="str">
        <f>_xlfn.XLOOKUP(B1083,Indices!$A$2:$A$2676,Indices!$B$2:$B$2676,"")</f>
        <v/>
      </c>
    </row>
    <row r="1084" spans="1:4" x14ac:dyDescent="0.25">
      <c r="A1084" s="140">
        <v>45693.958333333336</v>
      </c>
      <c r="B1084" t="s">
        <v>1802</v>
      </c>
      <c r="C1084" t="s">
        <v>4918</v>
      </c>
      <c r="D1084" s="6" t="str">
        <f>_xlfn.XLOOKUP(B1084,Indices!$A$2:$A$2676,Indices!$B$2:$B$2676,"")</f>
        <v>IWM</v>
      </c>
    </row>
    <row r="1085" spans="1:4" x14ac:dyDescent="0.25">
      <c r="A1085" s="140">
        <v>45693.958333333336</v>
      </c>
      <c r="B1085" t="s">
        <v>1489</v>
      </c>
      <c r="C1085" t="s">
        <v>4918</v>
      </c>
      <c r="D1085" s="6" t="str">
        <f>_xlfn.XLOOKUP(B1085,Indices!$A$2:$A$2676,Indices!$B$2:$B$2676,"")</f>
        <v>SP500</v>
      </c>
    </row>
    <row r="1086" spans="1:4" x14ac:dyDescent="0.25">
      <c r="A1086" s="140">
        <v>45693.958333333336</v>
      </c>
      <c r="B1086" t="s">
        <v>2669</v>
      </c>
      <c r="C1086" t="s">
        <v>4917</v>
      </c>
      <c r="D1086" s="6" t="str">
        <f>_xlfn.XLOOKUP(B1086,Indices!$A$2:$A$2676,Indices!$B$2:$B$2676,"")</f>
        <v/>
      </c>
    </row>
    <row r="1087" spans="1:4" x14ac:dyDescent="0.25">
      <c r="A1087" s="140">
        <v>45693.979166666664</v>
      </c>
      <c r="B1087" t="s">
        <v>2646</v>
      </c>
      <c r="C1087" t="s">
        <v>4919</v>
      </c>
      <c r="D1087" s="6" t="str">
        <f>_xlfn.XLOOKUP(B1087,Indices!$A$2:$A$2676,Indices!$B$2:$B$2676,"")</f>
        <v/>
      </c>
    </row>
    <row r="1088" spans="1:4" x14ac:dyDescent="0.25">
      <c r="A1088" s="140">
        <v>45694.125</v>
      </c>
      <c r="B1088" t="s">
        <v>2672</v>
      </c>
      <c r="C1088" t="s">
        <v>4920</v>
      </c>
      <c r="D1088" s="6" t="str">
        <f>_xlfn.XLOOKUP(B1088,Indices!$A$2:$A$2676,Indices!$B$2:$B$2676,"")</f>
        <v/>
      </c>
    </row>
    <row r="1089" spans="1:4" x14ac:dyDescent="0.25">
      <c r="A1089" s="140">
        <v>45694.166666666664</v>
      </c>
      <c r="B1089" t="s">
        <v>541</v>
      </c>
      <c r="C1089" t="s">
        <v>4921</v>
      </c>
      <c r="D1089" s="6" t="str">
        <f>_xlfn.XLOOKUP(B1089,Indices!$A$2:$A$2676,Indices!$B$2:$B$2676,"")</f>
        <v>IWM</v>
      </c>
    </row>
    <row r="1090" spans="1:4" x14ac:dyDescent="0.25">
      <c r="A1090" s="140">
        <v>45694.166666666664</v>
      </c>
      <c r="B1090" t="s">
        <v>2675</v>
      </c>
      <c r="C1090" t="s">
        <v>4921</v>
      </c>
      <c r="D1090" s="6" t="str">
        <f>_xlfn.XLOOKUP(B1090,Indices!$A$2:$A$2676,Indices!$B$2:$B$2676,"")</f>
        <v/>
      </c>
    </row>
    <row r="1091" spans="1:4" x14ac:dyDescent="0.25">
      <c r="A1091" s="140">
        <v>45694.166666666664</v>
      </c>
      <c r="B1091" t="s">
        <v>1399</v>
      </c>
      <c r="C1091" t="s">
        <v>4921</v>
      </c>
      <c r="D1091" s="6" t="str">
        <f>_xlfn.XLOOKUP(B1091,Indices!$A$2:$A$2676,Indices!$B$2:$B$2676,"")</f>
        <v>SP500</v>
      </c>
    </row>
    <row r="1092" spans="1:4" x14ac:dyDescent="0.25">
      <c r="A1092" s="140">
        <v>45694.166666666664</v>
      </c>
      <c r="B1092" t="s">
        <v>2687</v>
      </c>
      <c r="C1092" t="s">
        <v>4921</v>
      </c>
      <c r="D1092" s="6" t="str">
        <f>_xlfn.XLOOKUP(B1092,Indices!$A$2:$A$2676,Indices!$B$2:$B$2676,"")</f>
        <v/>
      </c>
    </row>
    <row r="1093" spans="1:4" x14ac:dyDescent="0.25">
      <c r="A1093" s="140">
        <v>45694.166666666664</v>
      </c>
      <c r="B1093" t="s">
        <v>542</v>
      </c>
      <c r="C1093" t="s">
        <v>4921</v>
      </c>
      <c r="D1093" s="6" t="str">
        <f>_xlfn.XLOOKUP(B1093,Indices!$A$2:$A$2676,Indices!$B$2:$B$2676,"")</f>
        <v>SP500</v>
      </c>
    </row>
    <row r="1094" spans="1:4" x14ac:dyDescent="0.25">
      <c r="A1094" s="140">
        <v>45694.166666666664</v>
      </c>
      <c r="B1094" t="s">
        <v>1326</v>
      </c>
      <c r="C1094" t="s">
        <v>4921</v>
      </c>
      <c r="D1094" s="6" t="str">
        <f>_xlfn.XLOOKUP(B1094,Indices!$A$2:$A$2676,Indices!$B$2:$B$2676,"")</f>
        <v>SP500</v>
      </c>
    </row>
    <row r="1095" spans="1:4" x14ac:dyDescent="0.25">
      <c r="A1095" s="140">
        <v>45694.170138888891</v>
      </c>
      <c r="B1095" t="s">
        <v>2676</v>
      </c>
      <c r="C1095" t="s">
        <v>4922</v>
      </c>
      <c r="D1095" s="6" t="str">
        <f>_xlfn.XLOOKUP(B1095,Indices!$A$2:$A$2676,Indices!$B$2:$B$2676,"")</f>
        <v/>
      </c>
    </row>
    <row r="1096" spans="1:4" x14ac:dyDescent="0.25">
      <c r="A1096" s="140">
        <v>45694.170138888891</v>
      </c>
      <c r="B1096" t="s">
        <v>1440</v>
      </c>
      <c r="C1096" t="s">
        <v>4922</v>
      </c>
      <c r="D1096" s="6" t="str">
        <f>_xlfn.XLOOKUP(B1096,Indices!$A$2:$A$2676,Indices!$B$2:$B$2676,"")</f>
        <v>SP500</v>
      </c>
    </row>
    <row r="1097" spans="1:4" x14ac:dyDescent="0.25">
      <c r="A1097" s="140">
        <v>45694.173611111109</v>
      </c>
      <c r="B1097" t="s">
        <v>1301</v>
      </c>
      <c r="C1097" t="s">
        <v>4923</v>
      </c>
      <c r="D1097" s="6" t="str">
        <f>_xlfn.XLOOKUP(B1097,Indices!$A$2:$A$2676,Indices!$B$2:$B$2676,"")</f>
        <v>SP500</v>
      </c>
    </row>
    <row r="1098" spans="1:4" x14ac:dyDescent="0.25">
      <c r="A1098" s="140">
        <v>45694.180555555555</v>
      </c>
      <c r="B1098" t="s">
        <v>2690</v>
      </c>
      <c r="C1098" t="s">
        <v>4924</v>
      </c>
      <c r="D1098" s="6" t="str">
        <f>_xlfn.XLOOKUP(B1098,Indices!$A$2:$A$2676,Indices!$B$2:$B$2676,"")</f>
        <v/>
      </c>
    </row>
    <row r="1099" spans="1:4" x14ac:dyDescent="0.25">
      <c r="A1099" s="140">
        <v>45694.1875</v>
      </c>
      <c r="B1099" t="s">
        <v>280</v>
      </c>
      <c r="C1099" t="s">
        <v>4925</v>
      </c>
      <c r="D1099" s="6" t="str">
        <f>_xlfn.XLOOKUP(B1099,Indices!$A$2:$A$2676,Indices!$B$2:$B$2676,"")</f>
        <v>SP500</v>
      </c>
    </row>
    <row r="1100" spans="1:4" x14ac:dyDescent="0.25">
      <c r="A1100" s="140">
        <v>45694.1875</v>
      </c>
      <c r="B1100" t="s">
        <v>1476</v>
      </c>
      <c r="C1100" t="s">
        <v>4925</v>
      </c>
      <c r="D1100" s="6" t="str">
        <f>_xlfn.XLOOKUP(B1100,Indices!$A$2:$A$2676,Indices!$B$2:$B$2676,"")</f>
        <v>SP500</v>
      </c>
    </row>
    <row r="1101" spans="1:4" x14ac:dyDescent="0.25">
      <c r="A1101" s="140">
        <v>45694.1875</v>
      </c>
      <c r="B1101" t="s">
        <v>2639</v>
      </c>
      <c r="C1101" t="s">
        <v>4925</v>
      </c>
      <c r="D1101" s="6" t="str">
        <f>_xlfn.XLOOKUP(B1101,Indices!$A$2:$A$2676,Indices!$B$2:$B$2676,"")</f>
        <v/>
      </c>
    </row>
    <row r="1102" spans="1:4" x14ac:dyDescent="0.25">
      <c r="A1102" s="140">
        <v>45694.1875</v>
      </c>
      <c r="B1102" t="s">
        <v>1609</v>
      </c>
      <c r="C1102" t="s">
        <v>4925</v>
      </c>
      <c r="D1102" s="6" t="str">
        <f>_xlfn.XLOOKUP(B1102,Indices!$A$2:$A$2676,Indices!$B$2:$B$2676,"")</f>
        <v>SP500</v>
      </c>
    </row>
    <row r="1103" spans="1:4" x14ac:dyDescent="0.25">
      <c r="A1103" s="140">
        <v>45694.1875</v>
      </c>
      <c r="B1103" t="s">
        <v>3186</v>
      </c>
      <c r="C1103" t="s">
        <v>4925</v>
      </c>
      <c r="D1103" s="6" t="str">
        <f>_xlfn.XLOOKUP(B1103,Indices!$A$2:$A$2676,Indices!$B$2:$B$2676,"")</f>
        <v/>
      </c>
    </row>
    <row r="1104" spans="1:4" x14ac:dyDescent="0.25">
      <c r="A1104" s="140">
        <v>45694.1875</v>
      </c>
      <c r="B1104" t="s">
        <v>1545</v>
      </c>
      <c r="C1104" t="s">
        <v>4925</v>
      </c>
      <c r="D1104" s="6" t="str">
        <f>_xlfn.XLOOKUP(B1104,Indices!$A$2:$A$2676,Indices!$B$2:$B$2676,"")</f>
        <v>SP500</v>
      </c>
    </row>
    <row r="1105" spans="1:4" x14ac:dyDescent="0.25">
      <c r="A1105" s="140">
        <v>45694.1875</v>
      </c>
      <c r="B1105" t="s">
        <v>2684</v>
      </c>
      <c r="C1105" t="s">
        <v>4925</v>
      </c>
      <c r="D1105" s="6" t="str">
        <f>_xlfn.XLOOKUP(B1105,Indices!$A$2:$A$2676,Indices!$B$2:$B$2676,"")</f>
        <v/>
      </c>
    </row>
    <row r="1106" spans="1:4" x14ac:dyDescent="0.25">
      <c r="A1106" s="140">
        <v>45694.1875</v>
      </c>
      <c r="B1106" t="s">
        <v>1874</v>
      </c>
      <c r="C1106" t="s">
        <v>4925</v>
      </c>
      <c r="D1106" s="6" t="str">
        <f>_xlfn.XLOOKUP(B1106,Indices!$A$2:$A$2676,Indices!$B$2:$B$2676,"")</f>
        <v>IWM</v>
      </c>
    </row>
    <row r="1107" spans="1:4" x14ac:dyDescent="0.25">
      <c r="A1107" s="140">
        <v>45694.1875</v>
      </c>
      <c r="B1107" t="s">
        <v>1155</v>
      </c>
      <c r="C1107" t="s">
        <v>4925</v>
      </c>
      <c r="D1107" s="6" t="str">
        <f>_xlfn.XLOOKUP(B1107,Indices!$A$2:$A$2676,Indices!$B$2:$B$2676,"")</f>
        <v>IWM</v>
      </c>
    </row>
    <row r="1108" spans="1:4" x14ac:dyDescent="0.25">
      <c r="A1108" s="140">
        <v>45694.1875</v>
      </c>
      <c r="B1108" t="s">
        <v>1530</v>
      </c>
      <c r="C1108" t="s">
        <v>4925</v>
      </c>
      <c r="D1108" s="6" t="str">
        <f>_xlfn.XLOOKUP(B1108,Indices!$A$2:$A$2676,Indices!$B$2:$B$2676,"")</f>
        <v>SP500</v>
      </c>
    </row>
    <row r="1109" spans="1:4" x14ac:dyDescent="0.25">
      <c r="A1109" s="140">
        <v>45694.1875</v>
      </c>
      <c r="B1109" t="s">
        <v>2668</v>
      </c>
      <c r="C1109" t="s">
        <v>4925</v>
      </c>
      <c r="D1109" s="6" t="str">
        <f>_xlfn.XLOOKUP(B1109,Indices!$A$2:$A$2676,Indices!$B$2:$B$2676,"")</f>
        <v/>
      </c>
    </row>
    <row r="1110" spans="1:4" x14ac:dyDescent="0.25">
      <c r="A1110" s="140">
        <v>45694.1875</v>
      </c>
      <c r="B1110" t="s">
        <v>547</v>
      </c>
      <c r="C1110" t="s">
        <v>4925</v>
      </c>
      <c r="D1110" s="6" t="str">
        <f>_xlfn.XLOOKUP(B1110,Indices!$A$2:$A$2676,Indices!$B$2:$B$2676,"")</f>
        <v>IWM</v>
      </c>
    </row>
    <row r="1111" spans="1:4" x14ac:dyDescent="0.25">
      <c r="A1111" s="140">
        <v>45694.1875</v>
      </c>
      <c r="B1111" t="s">
        <v>1521</v>
      </c>
      <c r="C1111" t="s">
        <v>4925</v>
      </c>
      <c r="D1111" s="6" t="str">
        <f>_xlfn.XLOOKUP(B1111,Indices!$A$2:$A$2676,Indices!$B$2:$B$2676,"")</f>
        <v>SP500</v>
      </c>
    </row>
    <row r="1112" spans="1:4" x14ac:dyDescent="0.25">
      <c r="A1112" s="140">
        <v>45694.1875</v>
      </c>
      <c r="B1112" t="s">
        <v>2641</v>
      </c>
      <c r="C1112" t="s">
        <v>4925</v>
      </c>
      <c r="D1112" s="6" t="str">
        <f>_xlfn.XLOOKUP(B1112,Indices!$A$2:$A$2676,Indices!$B$2:$B$2676,"")</f>
        <v/>
      </c>
    </row>
    <row r="1113" spans="1:4" x14ac:dyDescent="0.25">
      <c r="A1113" s="140">
        <v>45694.1875</v>
      </c>
      <c r="B1113" t="s">
        <v>1112</v>
      </c>
      <c r="C1113" t="s">
        <v>4925</v>
      </c>
      <c r="D1113" s="6" t="str">
        <f>_xlfn.XLOOKUP(B1113,Indices!$A$2:$A$2676,Indices!$B$2:$B$2676,"")</f>
        <v>IWM</v>
      </c>
    </row>
    <row r="1114" spans="1:4" x14ac:dyDescent="0.25">
      <c r="A1114" s="140">
        <v>45694.1875</v>
      </c>
      <c r="B1114" t="s">
        <v>2480</v>
      </c>
      <c r="C1114" t="s">
        <v>4925</v>
      </c>
      <c r="D1114" s="6" t="str">
        <f>_xlfn.XLOOKUP(B1114,Indices!$A$2:$A$2676,Indices!$B$2:$B$2676,"")</f>
        <v>S&amp;P Mid</v>
      </c>
    </row>
    <row r="1115" spans="1:4" x14ac:dyDescent="0.25">
      <c r="A1115" s="140">
        <v>45694.1875</v>
      </c>
      <c r="B1115" t="s">
        <v>2388</v>
      </c>
      <c r="C1115" t="s">
        <v>4925</v>
      </c>
      <c r="D1115" s="6" t="str">
        <f>_xlfn.XLOOKUP(B1115,Indices!$A$2:$A$2676,Indices!$B$2:$B$2676,"")</f>
        <v>S&amp;P Mid</v>
      </c>
    </row>
    <row r="1116" spans="1:4" x14ac:dyDescent="0.25">
      <c r="A1116" s="140">
        <v>45694.189583333333</v>
      </c>
      <c r="B1116" t="s">
        <v>2681</v>
      </c>
      <c r="C1116" t="s">
        <v>4926</v>
      </c>
      <c r="D1116" s="6" t="str">
        <f>_xlfn.XLOOKUP(B1116,Indices!$A$2:$A$2676,Indices!$B$2:$B$2676,"")</f>
        <v/>
      </c>
    </row>
    <row r="1117" spans="1:4" x14ac:dyDescent="0.25">
      <c r="A1117" s="140">
        <v>45694.193055555559</v>
      </c>
      <c r="B1117" t="s">
        <v>17</v>
      </c>
      <c r="C1117" t="s">
        <v>4927</v>
      </c>
      <c r="D1117" s="6" t="str">
        <f>_xlfn.XLOOKUP(B1117,Indices!$A$2:$A$2676,Indices!$B$2:$B$2676,"")</f>
        <v>S&amp;P Mid</v>
      </c>
    </row>
    <row r="1118" spans="1:4" x14ac:dyDescent="0.25">
      <c r="A1118" s="140">
        <v>45694.194444444445</v>
      </c>
      <c r="B1118" t="s">
        <v>838</v>
      </c>
      <c r="C1118" t="s">
        <v>4928</v>
      </c>
      <c r="D1118" s="6" t="str">
        <f>_xlfn.XLOOKUP(B1118,Indices!$A$2:$A$2676,Indices!$B$2:$B$2676,"")</f>
        <v>S&amp;P Mid</v>
      </c>
    </row>
    <row r="1119" spans="1:4" x14ac:dyDescent="0.25">
      <c r="A1119" s="140">
        <v>45694.197916666664</v>
      </c>
      <c r="B1119" t="s">
        <v>2464</v>
      </c>
      <c r="C1119" t="s">
        <v>4929</v>
      </c>
      <c r="D1119" s="6" t="str">
        <f>_xlfn.XLOOKUP(B1119,Indices!$A$2:$A$2676,Indices!$B$2:$B$2676,"")</f>
        <v>S&amp;P Mid</v>
      </c>
    </row>
    <row r="1120" spans="1:4" x14ac:dyDescent="0.25">
      <c r="A1120" s="140">
        <v>45694.197916666664</v>
      </c>
      <c r="B1120" t="s">
        <v>570</v>
      </c>
      <c r="C1120" t="s">
        <v>4929</v>
      </c>
      <c r="D1120" s="6" t="str">
        <f>_xlfn.XLOOKUP(B1120,Indices!$A$2:$A$2676,Indices!$B$2:$B$2676,"")</f>
        <v>SP500</v>
      </c>
    </row>
    <row r="1121" spans="1:4" x14ac:dyDescent="0.25">
      <c r="A1121" s="140">
        <v>45694.197916666664</v>
      </c>
      <c r="B1121" t="s">
        <v>1284</v>
      </c>
      <c r="C1121" t="s">
        <v>4929</v>
      </c>
      <c r="D1121" s="6" t="str">
        <f>_xlfn.XLOOKUP(B1121,Indices!$A$2:$A$2676,Indices!$B$2:$B$2676,"")</f>
        <v>SP500</v>
      </c>
    </row>
    <row r="1122" spans="1:4" x14ac:dyDescent="0.25">
      <c r="A1122" s="140">
        <v>45694.197916666664</v>
      </c>
      <c r="B1122" t="s">
        <v>566</v>
      </c>
      <c r="C1122" t="s">
        <v>4929</v>
      </c>
      <c r="D1122" s="6" t="str">
        <f>_xlfn.XLOOKUP(B1122,Indices!$A$2:$A$2676,Indices!$B$2:$B$2676,"")</f>
        <v>SP500</v>
      </c>
    </row>
    <row r="1123" spans="1:4" x14ac:dyDescent="0.25">
      <c r="A1123" s="140">
        <v>45694.197916666664</v>
      </c>
      <c r="B1123" t="s">
        <v>2658</v>
      </c>
      <c r="C1123" t="s">
        <v>4929</v>
      </c>
      <c r="D1123" s="6" t="str">
        <f>_xlfn.XLOOKUP(B1123,Indices!$A$2:$A$2676,Indices!$B$2:$B$2676,"")</f>
        <v/>
      </c>
    </row>
    <row r="1124" spans="1:4" x14ac:dyDescent="0.25">
      <c r="A1124" s="140">
        <v>45694.197916666664</v>
      </c>
      <c r="B1124" t="s">
        <v>2377</v>
      </c>
      <c r="C1124" t="s">
        <v>4929</v>
      </c>
      <c r="D1124" s="6" t="str">
        <f>_xlfn.XLOOKUP(B1124,Indices!$A$2:$A$2676,Indices!$B$2:$B$2676,"")</f>
        <v>S&amp;P Mid</v>
      </c>
    </row>
    <row r="1125" spans="1:4" x14ac:dyDescent="0.25">
      <c r="A1125" s="140">
        <v>45694.197916666664</v>
      </c>
      <c r="B1125" t="s">
        <v>1583</v>
      </c>
      <c r="C1125" t="s">
        <v>4929</v>
      </c>
      <c r="D1125" s="6" t="str">
        <f>_xlfn.XLOOKUP(B1125,Indices!$A$2:$A$2676,Indices!$B$2:$B$2676,"")</f>
        <v>SP500</v>
      </c>
    </row>
    <row r="1126" spans="1:4" x14ac:dyDescent="0.25">
      <c r="A1126" s="140">
        <v>45694.197916666664</v>
      </c>
      <c r="B1126" t="s">
        <v>573</v>
      </c>
      <c r="C1126" t="s">
        <v>4929</v>
      </c>
      <c r="D1126" s="6" t="str">
        <f>_xlfn.XLOOKUP(B1126,Indices!$A$2:$A$2676,Indices!$B$2:$B$2676,"")</f>
        <v>SP500</v>
      </c>
    </row>
    <row r="1127" spans="1:4" x14ac:dyDescent="0.25">
      <c r="A1127" s="140">
        <v>45694.2</v>
      </c>
      <c r="B1127" t="s">
        <v>2643</v>
      </c>
      <c r="C1127" t="s">
        <v>4930</v>
      </c>
      <c r="D1127" s="6" t="str">
        <f>_xlfn.XLOOKUP(B1127,Indices!$A$2:$A$2676,Indices!$B$2:$B$2676,"")</f>
        <v/>
      </c>
    </row>
    <row r="1128" spans="1:4" x14ac:dyDescent="0.25">
      <c r="A1128" s="140">
        <v>45694.201388888891</v>
      </c>
      <c r="B1128" t="s">
        <v>46</v>
      </c>
      <c r="C1128" t="s">
        <v>4931</v>
      </c>
      <c r="D1128" s="6" t="str">
        <f>_xlfn.XLOOKUP(B1128,Indices!$A$2:$A$2676,Indices!$B$2:$B$2676,"")</f>
        <v>S&amp;P Mid</v>
      </c>
    </row>
    <row r="1129" spans="1:4" x14ac:dyDescent="0.25">
      <c r="A1129" s="140">
        <v>45694.201388888891</v>
      </c>
      <c r="B1129" t="s">
        <v>1534</v>
      </c>
      <c r="C1129" t="s">
        <v>4931</v>
      </c>
      <c r="D1129" s="6" t="str">
        <f>_xlfn.XLOOKUP(B1129,Indices!$A$2:$A$2676,Indices!$B$2:$B$2676,"")</f>
        <v>SP500</v>
      </c>
    </row>
    <row r="1130" spans="1:4" x14ac:dyDescent="0.25">
      <c r="A1130" s="140">
        <v>45694.204861111109</v>
      </c>
      <c r="B1130" t="s">
        <v>576</v>
      </c>
      <c r="C1130" t="s">
        <v>4932</v>
      </c>
      <c r="D1130" s="6" t="str">
        <f>_xlfn.XLOOKUP(B1130,Indices!$A$2:$A$2676,Indices!$B$2:$B$2676,"")</f>
        <v>S&amp;P Mid</v>
      </c>
    </row>
    <row r="1131" spans="1:4" x14ac:dyDescent="0.25">
      <c r="A1131" s="140">
        <v>45694.204861111109</v>
      </c>
      <c r="B1131" t="s">
        <v>577</v>
      </c>
      <c r="C1131" t="s">
        <v>4932</v>
      </c>
      <c r="D1131" s="6" t="str">
        <f>_xlfn.XLOOKUP(B1131,Indices!$A$2:$A$2676,Indices!$B$2:$B$2676,"")</f>
        <v>S&amp;P Mid</v>
      </c>
    </row>
    <row r="1132" spans="1:4" x14ac:dyDescent="0.25">
      <c r="A1132" s="140">
        <v>45694.204861111109</v>
      </c>
      <c r="B1132" t="s">
        <v>1265</v>
      </c>
      <c r="C1132" t="s">
        <v>4932</v>
      </c>
      <c r="D1132" s="6" t="str">
        <f>_xlfn.XLOOKUP(B1132,Indices!$A$2:$A$2676,Indices!$B$2:$B$2676,"")</f>
        <v>IWM</v>
      </c>
    </row>
    <row r="1133" spans="1:4" x14ac:dyDescent="0.25">
      <c r="A1133" s="140">
        <v>45694.207638888889</v>
      </c>
      <c r="B1133" t="s">
        <v>1305</v>
      </c>
      <c r="C1133" t="s">
        <v>4933</v>
      </c>
      <c r="D1133" s="6" t="str">
        <f>_xlfn.XLOOKUP(B1133,Indices!$A$2:$A$2676,Indices!$B$2:$B$2676,"")</f>
        <v>SP500</v>
      </c>
    </row>
    <row r="1134" spans="1:4" x14ac:dyDescent="0.25">
      <c r="A1134" s="140">
        <v>45694.207638888889</v>
      </c>
      <c r="B1134" t="s">
        <v>1340</v>
      </c>
      <c r="C1134" t="s">
        <v>4933</v>
      </c>
      <c r="D1134" s="6" t="str">
        <f>_xlfn.XLOOKUP(B1134,Indices!$A$2:$A$2676,Indices!$B$2:$B$2676,"")</f>
        <v>SP500</v>
      </c>
    </row>
    <row r="1135" spans="1:4" x14ac:dyDescent="0.25">
      <c r="A1135" s="140">
        <v>45694.208333333336</v>
      </c>
      <c r="B1135" t="s">
        <v>185</v>
      </c>
      <c r="C1135" t="s">
        <v>4934</v>
      </c>
      <c r="D1135" s="6" t="str">
        <f>_xlfn.XLOOKUP(B1135,Indices!$A$2:$A$2676,Indices!$B$2:$B$2676,"")</f>
        <v>SP500</v>
      </c>
    </row>
    <row r="1136" spans="1:4" x14ac:dyDescent="0.25">
      <c r="A1136" s="140">
        <v>45694.208333333336</v>
      </c>
      <c r="B1136" t="s">
        <v>900</v>
      </c>
      <c r="C1136" t="s">
        <v>4934</v>
      </c>
      <c r="D1136" s="6" t="str">
        <f>_xlfn.XLOOKUP(B1136,Indices!$A$2:$A$2676,Indices!$B$2:$B$2676,"")</f>
        <v>NQ100</v>
      </c>
    </row>
    <row r="1137" spans="1:4" x14ac:dyDescent="0.25">
      <c r="A1137" s="140">
        <v>45694.208333333336</v>
      </c>
      <c r="B1137" t="s">
        <v>1335</v>
      </c>
      <c r="C1137" t="s">
        <v>4934</v>
      </c>
      <c r="D1137" s="6" t="str">
        <f>_xlfn.XLOOKUP(B1137,Indices!$A$2:$A$2676,Indices!$B$2:$B$2676,"")</f>
        <v>SP500</v>
      </c>
    </row>
    <row r="1138" spans="1:4" x14ac:dyDescent="0.25">
      <c r="A1138" s="140">
        <v>45694.208333333336</v>
      </c>
      <c r="B1138" t="s">
        <v>600</v>
      </c>
      <c r="C1138" t="s">
        <v>4934</v>
      </c>
      <c r="D1138" s="6" t="str">
        <f>_xlfn.XLOOKUP(B1138,Indices!$A$2:$A$2676,Indices!$B$2:$B$2676,"")</f>
        <v>IWM</v>
      </c>
    </row>
    <row r="1139" spans="1:4" x14ac:dyDescent="0.25">
      <c r="A1139" s="140">
        <v>45694.208333333336</v>
      </c>
      <c r="B1139" t="s">
        <v>2664</v>
      </c>
      <c r="C1139" t="s">
        <v>4934</v>
      </c>
      <c r="D1139" s="6" t="str">
        <f>_xlfn.XLOOKUP(B1139,Indices!$A$2:$A$2676,Indices!$B$2:$B$2676,"")</f>
        <v/>
      </c>
    </row>
    <row r="1140" spans="1:4" x14ac:dyDescent="0.25">
      <c r="A1140" s="140">
        <v>45694.208333333336</v>
      </c>
      <c r="B1140" t="s">
        <v>1458</v>
      </c>
      <c r="C1140" t="s">
        <v>4934</v>
      </c>
      <c r="D1140" s="6" t="str">
        <f>_xlfn.XLOOKUP(B1140,Indices!$A$2:$A$2676,Indices!$B$2:$B$2676,"")</f>
        <v>SP500</v>
      </c>
    </row>
    <row r="1141" spans="1:4" x14ac:dyDescent="0.25">
      <c r="A1141" s="140">
        <v>45694.208333333336</v>
      </c>
      <c r="B1141" t="s">
        <v>621</v>
      </c>
      <c r="C1141" t="s">
        <v>4934</v>
      </c>
      <c r="D1141" s="6" t="str">
        <f>_xlfn.XLOOKUP(B1141,Indices!$A$2:$A$2676,Indices!$B$2:$B$2676,"")</f>
        <v>S&amp;P Mid</v>
      </c>
    </row>
    <row r="1142" spans="1:4" x14ac:dyDescent="0.25">
      <c r="A1142" s="140">
        <v>45694.208333333336</v>
      </c>
      <c r="B1142" t="s">
        <v>1084</v>
      </c>
      <c r="C1142" t="s">
        <v>4934</v>
      </c>
      <c r="D1142" s="6" t="str">
        <f>_xlfn.XLOOKUP(B1142,Indices!$A$2:$A$2676,Indices!$B$2:$B$2676,"")</f>
        <v>S&amp;P Mid</v>
      </c>
    </row>
    <row r="1143" spans="1:4" x14ac:dyDescent="0.25">
      <c r="A1143" s="140">
        <v>45694.209027777775</v>
      </c>
      <c r="B1143" t="s">
        <v>2655</v>
      </c>
      <c r="C1143" t="s">
        <v>4935</v>
      </c>
      <c r="D1143" s="6" t="str">
        <f>_xlfn.XLOOKUP(B1143,Indices!$A$2:$A$2676,Indices!$B$2:$B$2676,"")</f>
        <v/>
      </c>
    </row>
    <row r="1144" spans="1:4" x14ac:dyDescent="0.25">
      <c r="A1144" s="140">
        <v>45694.209027777775</v>
      </c>
      <c r="B1144" t="s">
        <v>2645</v>
      </c>
      <c r="C1144" t="s">
        <v>4935</v>
      </c>
      <c r="D1144" s="6" t="str">
        <f>_xlfn.XLOOKUP(B1144,Indices!$A$2:$A$2676,Indices!$B$2:$B$2676,"")</f>
        <v/>
      </c>
    </row>
    <row r="1145" spans="1:4" x14ac:dyDescent="0.25">
      <c r="A1145" s="140">
        <v>45694.211805555555</v>
      </c>
      <c r="B1145" t="s">
        <v>1752</v>
      </c>
      <c r="C1145" t="s">
        <v>4936</v>
      </c>
      <c r="D1145" s="6" t="str">
        <f>_xlfn.XLOOKUP(B1145,Indices!$A$2:$A$2676,Indices!$B$2:$B$2676,"")</f>
        <v>IWM</v>
      </c>
    </row>
    <row r="1146" spans="1:4" x14ac:dyDescent="0.25">
      <c r="A1146" s="140">
        <v>45694.211805555555</v>
      </c>
      <c r="B1146" t="s">
        <v>2649</v>
      </c>
      <c r="C1146" t="s">
        <v>4936</v>
      </c>
      <c r="D1146" s="6" t="str">
        <f>_xlfn.XLOOKUP(B1146,Indices!$A$2:$A$2676,Indices!$B$2:$B$2676,"")</f>
        <v/>
      </c>
    </row>
    <row r="1147" spans="1:4" x14ac:dyDescent="0.25">
      <c r="A1147" s="140">
        <v>45694.21875</v>
      </c>
      <c r="B1147" t="s">
        <v>1608</v>
      </c>
      <c r="C1147" t="s">
        <v>4937</v>
      </c>
      <c r="D1147" s="6" t="str">
        <f>_xlfn.XLOOKUP(B1147,Indices!$A$2:$A$2676,Indices!$B$2:$B$2676,"")</f>
        <v>SP500</v>
      </c>
    </row>
    <row r="1148" spans="1:4" x14ac:dyDescent="0.25">
      <c r="A1148" s="140">
        <v>45694.229166666664</v>
      </c>
      <c r="B1148" t="s">
        <v>1121</v>
      </c>
      <c r="C1148" t="s">
        <v>4938</v>
      </c>
      <c r="D1148" s="6" t="str">
        <f>_xlfn.XLOOKUP(B1148,Indices!$A$2:$A$2676,Indices!$B$2:$B$2676,"")</f>
        <v>S&amp;P Mid</v>
      </c>
    </row>
    <row r="1149" spans="1:4" x14ac:dyDescent="0.25">
      <c r="A1149" s="140">
        <v>45694.229166666664</v>
      </c>
      <c r="B1149" t="s">
        <v>2644</v>
      </c>
      <c r="C1149" t="s">
        <v>4938</v>
      </c>
      <c r="D1149" s="6" t="str">
        <f>_xlfn.XLOOKUP(B1149,Indices!$A$2:$A$2676,Indices!$B$2:$B$2676,"")</f>
        <v/>
      </c>
    </row>
    <row r="1150" spans="1:4" x14ac:dyDescent="0.25">
      <c r="A1150" s="140">
        <v>45694.229166666664</v>
      </c>
      <c r="B1150" t="s">
        <v>1694</v>
      </c>
      <c r="C1150" t="s">
        <v>4938</v>
      </c>
      <c r="D1150" s="6" t="str">
        <f>_xlfn.XLOOKUP(B1150,Indices!$A$2:$A$2676,Indices!$B$2:$B$2676,"")</f>
        <v>IWM</v>
      </c>
    </row>
    <row r="1151" spans="1:4" x14ac:dyDescent="0.25">
      <c r="A1151" s="140">
        <v>45694.229166666664</v>
      </c>
      <c r="B1151" t="s">
        <v>1171</v>
      </c>
      <c r="C1151" t="s">
        <v>4938</v>
      </c>
      <c r="D1151" s="6" t="str">
        <f>_xlfn.XLOOKUP(B1151,Indices!$A$2:$A$2676,Indices!$B$2:$B$2676,"")</f>
        <v>IWM</v>
      </c>
    </row>
    <row r="1152" spans="1:4" x14ac:dyDescent="0.25">
      <c r="A1152" s="140">
        <v>45694.229166666664</v>
      </c>
      <c r="B1152" t="s">
        <v>843</v>
      </c>
      <c r="C1152" t="s">
        <v>4938</v>
      </c>
      <c r="D1152" s="6" t="str">
        <f>_xlfn.XLOOKUP(B1152,Indices!$A$2:$A$2676,Indices!$B$2:$B$2676,"")</f>
        <v>IWM</v>
      </c>
    </row>
    <row r="1153" spans="1:4" x14ac:dyDescent="0.25">
      <c r="A1153" s="140">
        <v>45694.229166666664</v>
      </c>
      <c r="B1153" t="s">
        <v>204</v>
      </c>
      <c r="C1153" t="s">
        <v>4938</v>
      </c>
      <c r="D1153" s="6" t="str">
        <f>_xlfn.XLOOKUP(B1153,Indices!$A$2:$A$2676,Indices!$B$2:$B$2676,"")</f>
        <v>S&amp;P Mid</v>
      </c>
    </row>
    <row r="1154" spans="1:4" x14ac:dyDescent="0.25">
      <c r="A1154" s="140">
        <v>45694.229166666664</v>
      </c>
      <c r="B1154" t="s">
        <v>314</v>
      </c>
      <c r="C1154" t="s">
        <v>4938</v>
      </c>
      <c r="D1154" s="6" t="str">
        <f>_xlfn.XLOOKUP(B1154,Indices!$A$2:$A$2676,Indices!$B$2:$B$2676,"")</f>
        <v>IWM</v>
      </c>
    </row>
    <row r="1155" spans="1:4" x14ac:dyDescent="0.25">
      <c r="A1155" s="140">
        <v>45694.229166666664</v>
      </c>
      <c r="B1155" t="s">
        <v>2533</v>
      </c>
      <c r="C1155" t="s">
        <v>4938</v>
      </c>
      <c r="D1155" s="6" t="str">
        <f>_xlfn.XLOOKUP(B1155,Indices!$A$2:$A$2676,Indices!$B$2:$B$2676,"")</f>
        <v/>
      </c>
    </row>
    <row r="1156" spans="1:4" x14ac:dyDescent="0.25">
      <c r="A1156" s="140">
        <v>45694.229166666664</v>
      </c>
      <c r="B1156" t="s">
        <v>1359</v>
      </c>
      <c r="C1156" t="s">
        <v>4938</v>
      </c>
      <c r="D1156" s="6" t="str">
        <f>_xlfn.XLOOKUP(B1156,Indices!$A$2:$A$2676,Indices!$B$2:$B$2676,"")</f>
        <v>SP500</v>
      </c>
    </row>
    <row r="1157" spans="1:4" x14ac:dyDescent="0.25">
      <c r="A1157" s="140">
        <v>45694.229166666664</v>
      </c>
      <c r="B1157" t="s">
        <v>2534</v>
      </c>
      <c r="C1157" t="s">
        <v>4938</v>
      </c>
      <c r="D1157" s="6" t="str">
        <f>_xlfn.XLOOKUP(B1157,Indices!$A$2:$A$2676,Indices!$B$2:$B$2676,"")</f>
        <v/>
      </c>
    </row>
    <row r="1158" spans="1:4" x14ac:dyDescent="0.25">
      <c r="A1158" s="140">
        <v>45694.239583333336</v>
      </c>
      <c r="B1158" t="s">
        <v>1753</v>
      </c>
      <c r="C1158" t="s">
        <v>4939</v>
      </c>
      <c r="D1158" s="6" t="str">
        <f>_xlfn.XLOOKUP(B1158,Indices!$A$2:$A$2676,Indices!$B$2:$B$2676,"")</f>
        <v>IWM</v>
      </c>
    </row>
    <row r="1159" spans="1:4" x14ac:dyDescent="0.25">
      <c r="A1159" s="140">
        <v>45694.25</v>
      </c>
      <c r="B1159" t="s">
        <v>1715</v>
      </c>
      <c r="C1159" t="s">
        <v>4940</v>
      </c>
      <c r="D1159" s="6" t="str">
        <f>_xlfn.XLOOKUP(B1159,Indices!$A$2:$A$2676,Indices!$B$2:$B$2676,"")</f>
        <v>IWM</v>
      </c>
    </row>
    <row r="1160" spans="1:4" x14ac:dyDescent="0.25">
      <c r="A1160" s="140">
        <v>45694.25</v>
      </c>
      <c r="B1160" t="s">
        <v>1791</v>
      </c>
      <c r="C1160" t="s">
        <v>4940</v>
      </c>
      <c r="D1160" s="6" t="str">
        <f>_xlfn.XLOOKUP(B1160,Indices!$A$2:$A$2676,Indices!$B$2:$B$2676,"")</f>
        <v>IWM</v>
      </c>
    </row>
    <row r="1161" spans="1:4" x14ac:dyDescent="0.25">
      <c r="A1161" s="140">
        <v>45694.25</v>
      </c>
      <c r="B1161" t="s">
        <v>2473</v>
      </c>
      <c r="C1161" t="s">
        <v>4940</v>
      </c>
      <c r="D1161" s="6" t="str">
        <f>_xlfn.XLOOKUP(B1161,Indices!$A$2:$A$2676,Indices!$B$2:$B$2676,"")</f>
        <v>S&amp;P Mid</v>
      </c>
    </row>
    <row r="1162" spans="1:4" x14ac:dyDescent="0.25">
      <c r="A1162" s="140">
        <v>45694.25</v>
      </c>
      <c r="B1162" t="s">
        <v>2650</v>
      </c>
      <c r="C1162" t="s">
        <v>4940</v>
      </c>
      <c r="D1162" s="6" t="str">
        <f>_xlfn.XLOOKUP(B1162,Indices!$A$2:$A$2676,Indices!$B$2:$B$2676,"")</f>
        <v/>
      </c>
    </row>
    <row r="1163" spans="1:4" x14ac:dyDescent="0.25">
      <c r="A1163" s="140">
        <v>45694.25</v>
      </c>
      <c r="B1163" t="s">
        <v>2670</v>
      </c>
      <c r="C1163" t="s">
        <v>4940</v>
      </c>
      <c r="D1163" s="6" t="str">
        <f>_xlfn.XLOOKUP(B1163,Indices!$A$2:$A$2676,Indices!$B$2:$B$2676,"")</f>
        <v/>
      </c>
    </row>
    <row r="1164" spans="1:4" x14ac:dyDescent="0.25">
      <c r="A1164" s="140">
        <v>45694.250694444447</v>
      </c>
      <c r="B1164" t="s">
        <v>640</v>
      </c>
      <c r="C1164" t="s">
        <v>4941</v>
      </c>
      <c r="D1164" s="6" t="str">
        <f>_xlfn.XLOOKUP(B1164,Indices!$A$2:$A$2676,Indices!$B$2:$B$2676,"")</f>
        <v>SP500</v>
      </c>
    </row>
    <row r="1165" spans="1:4" x14ac:dyDescent="0.25">
      <c r="A1165" s="140">
        <v>45694.270833333336</v>
      </c>
      <c r="B1165" t="s">
        <v>1700</v>
      </c>
      <c r="C1165" t="s">
        <v>4942</v>
      </c>
      <c r="D1165" s="6" t="str">
        <f>_xlfn.XLOOKUP(B1165,Indices!$A$2:$A$2676,Indices!$B$2:$B$2676,"")</f>
        <v>IWM</v>
      </c>
    </row>
    <row r="1166" spans="1:4" x14ac:dyDescent="0.25">
      <c r="A1166" s="140">
        <v>45694.270833333336</v>
      </c>
      <c r="B1166" t="s">
        <v>2654</v>
      </c>
      <c r="C1166" t="s">
        <v>4942</v>
      </c>
      <c r="D1166" s="6" t="str">
        <f>_xlfn.XLOOKUP(B1166,Indices!$A$2:$A$2676,Indices!$B$2:$B$2676,"")</f>
        <v/>
      </c>
    </row>
    <row r="1167" spans="1:4" x14ac:dyDescent="0.25">
      <c r="A1167" s="140">
        <v>45694.270833333336</v>
      </c>
      <c r="B1167" t="s">
        <v>1029</v>
      </c>
      <c r="C1167" t="s">
        <v>4942</v>
      </c>
      <c r="D1167" s="6" t="str">
        <f>_xlfn.XLOOKUP(B1167,Indices!$A$2:$A$2676,Indices!$B$2:$B$2676,"")</f>
        <v>IWM</v>
      </c>
    </row>
    <row r="1168" spans="1:4" x14ac:dyDescent="0.25">
      <c r="A1168" s="140">
        <v>45694.270833333336</v>
      </c>
      <c r="B1168" t="s">
        <v>1942</v>
      </c>
      <c r="C1168" t="s">
        <v>4942</v>
      </c>
      <c r="D1168" s="6" t="str">
        <f>_xlfn.XLOOKUP(B1168,Indices!$A$2:$A$2676,Indices!$B$2:$B$2676,"")</f>
        <v>IWM</v>
      </c>
    </row>
    <row r="1169" spans="1:4" x14ac:dyDescent="0.25">
      <c r="A1169" s="140">
        <v>45694.270833333336</v>
      </c>
      <c r="B1169" t="s">
        <v>2667</v>
      </c>
      <c r="C1169" t="s">
        <v>4942</v>
      </c>
      <c r="D1169" s="6" t="str">
        <f>_xlfn.XLOOKUP(B1169,Indices!$A$2:$A$2676,Indices!$B$2:$B$2676,"")</f>
        <v/>
      </c>
    </row>
    <row r="1170" spans="1:4" x14ac:dyDescent="0.25">
      <c r="A1170" s="140">
        <v>45694.291666666664</v>
      </c>
      <c r="B1170" t="s">
        <v>2661</v>
      </c>
      <c r="C1170" t="s">
        <v>2636</v>
      </c>
      <c r="D1170" s="6" t="str">
        <f>_xlfn.XLOOKUP(B1170,Indices!$A$2:$A$2676,Indices!$B$2:$B$2676,"")</f>
        <v/>
      </c>
    </row>
    <row r="1171" spans="1:4" x14ac:dyDescent="0.25">
      <c r="A1171" s="140">
        <v>45694.291666666664</v>
      </c>
      <c r="B1171" t="s">
        <v>2679</v>
      </c>
      <c r="C1171" t="s">
        <v>2634</v>
      </c>
      <c r="D1171" s="6" t="str">
        <f>_xlfn.XLOOKUP(B1171,Indices!$A$2:$A$2676,Indices!$B$2:$B$2676,"")</f>
        <v/>
      </c>
    </row>
    <row r="1172" spans="1:4" x14ac:dyDescent="0.25">
      <c r="A1172" s="140">
        <v>45694.291666666664</v>
      </c>
      <c r="B1172" t="s">
        <v>188</v>
      </c>
      <c r="C1172" t="s">
        <v>2634</v>
      </c>
      <c r="D1172" s="6" t="str">
        <f>_xlfn.XLOOKUP(B1172,Indices!$A$2:$A$2676,Indices!$B$2:$B$2676,"")</f>
        <v>SP500</v>
      </c>
    </row>
    <row r="1173" spans="1:4" x14ac:dyDescent="0.25">
      <c r="A1173" s="140">
        <v>45694.458333333336</v>
      </c>
      <c r="B1173" t="s">
        <v>2693</v>
      </c>
      <c r="C1173" t="s">
        <v>2692</v>
      </c>
      <c r="D1173" s="6" t="str">
        <f>_xlfn.XLOOKUP(B1173,Indices!$A$2:$A$2676,Indices!$B$2:$B$2676,"")</f>
        <v/>
      </c>
    </row>
    <row r="1174" spans="1:4" x14ac:dyDescent="0.25">
      <c r="A1174" s="140">
        <v>45694.584027777775</v>
      </c>
      <c r="B1174" t="s">
        <v>2391</v>
      </c>
      <c r="C1174" t="s">
        <v>5251</v>
      </c>
      <c r="D1174" s="6" t="str">
        <f>_xlfn.XLOOKUP(B1174,Indices!$A$2:$A$2676,Indices!$B$2:$B$2676,"")</f>
        <v>S&amp;P Mid</v>
      </c>
    </row>
    <row r="1175" spans="1:4" x14ac:dyDescent="0.25">
      <c r="A1175" s="140">
        <v>45694.584027777775</v>
      </c>
      <c r="B1175" t="s">
        <v>2695</v>
      </c>
      <c r="C1175" t="s">
        <v>5251</v>
      </c>
      <c r="D1175" s="6" t="str">
        <f>_xlfn.XLOOKUP(B1175,Indices!$A$2:$A$2676,Indices!$B$2:$B$2676,"")</f>
        <v/>
      </c>
    </row>
    <row r="1176" spans="1:4" x14ac:dyDescent="0.25">
      <c r="A1176" s="140">
        <v>45694.584027777775</v>
      </c>
      <c r="B1176" t="s">
        <v>658</v>
      </c>
      <c r="C1176" t="s">
        <v>5251</v>
      </c>
      <c r="D1176" s="6" t="str">
        <f>_xlfn.XLOOKUP(B1176,Indices!$A$2:$A$2676,Indices!$B$2:$B$2676,"")</f>
        <v>SP500</v>
      </c>
    </row>
    <row r="1177" spans="1:4" x14ac:dyDescent="0.25">
      <c r="A1177" s="140">
        <v>45694.584027777775</v>
      </c>
      <c r="B1177" t="s">
        <v>1493</v>
      </c>
      <c r="C1177" t="s">
        <v>5251</v>
      </c>
      <c r="D1177" s="6" t="str">
        <f>_xlfn.XLOOKUP(B1177,Indices!$A$2:$A$2676,Indices!$B$2:$B$2676,"")</f>
        <v>SP500</v>
      </c>
    </row>
    <row r="1178" spans="1:4" x14ac:dyDescent="0.25">
      <c r="A1178" s="140">
        <v>45694.584027777775</v>
      </c>
      <c r="B1178" t="s">
        <v>1279</v>
      </c>
      <c r="C1178" t="s">
        <v>5251</v>
      </c>
      <c r="D1178" s="6" t="str">
        <f>_xlfn.XLOOKUP(B1178,Indices!$A$2:$A$2676,Indices!$B$2:$B$2676,"")</f>
        <v>SP500</v>
      </c>
    </row>
    <row r="1179" spans="1:4" x14ac:dyDescent="0.25">
      <c r="A1179" s="140">
        <v>45694.584027777775</v>
      </c>
      <c r="B1179" t="s">
        <v>338</v>
      </c>
      <c r="C1179" t="s">
        <v>5251</v>
      </c>
      <c r="D1179" s="6" t="str">
        <f>_xlfn.XLOOKUP(B1179,Indices!$A$2:$A$2676,Indices!$B$2:$B$2676,"")</f>
        <v>IWM</v>
      </c>
    </row>
    <row r="1180" spans="1:4" x14ac:dyDescent="0.25">
      <c r="A1180" s="140">
        <v>45694.584027777775</v>
      </c>
      <c r="B1180" t="s">
        <v>670</v>
      </c>
      <c r="C1180" t="s">
        <v>5251</v>
      </c>
      <c r="D1180" s="6" t="str">
        <f>_xlfn.XLOOKUP(B1180,Indices!$A$2:$A$2676,Indices!$B$2:$B$2676,"")</f>
        <v>S&amp;P Mid</v>
      </c>
    </row>
    <row r="1181" spans="1:4" x14ac:dyDescent="0.25">
      <c r="A1181" s="140">
        <v>45694.584027777775</v>
      </c>
      <c r="B1181" t="s">
        <v>346</v>
      </c>
      <c r="C1181" t="s">
        <v>5251</v>
      </c>
      <c r="D1181" s="6" t="str">
        <f>_xlfn.XLOOKUP(B1181,Indices!$A$2:$A$2676,Indices!$B$2:$B$2676,"")</f>
        <v>IWM</v>
      </c>
    </row>
    <row r="1182" spans="1:4" x14ac:dyDescent="0.25">
      <c r="A1182" s="140">
        <v>45694.585416666669</v>
      </c>
      <c r="B1182" t="s">
        <v>1773</v>
      </c>
      <c r="C1182" t="s">
        <v>5252</v>
      </c>
      <c r="D1182" s="6" t="str">
        <f>_xlfn.XLOOKUP(B1182,Indices!$A$2:$A$2676,Indices!$B$2:$B$2676,"")</f>
        <v>IWM</v>
      </c>
    </row>
    <row r="1183" spans="1:4" x14ac:dyDescent="0.25">
      <c r="A1183" s="140">
        <v>45694.585416666669</v>
      </c>
      <c r="B1183" t="s">
        <v>682</v>
      </c>
      <c r="C1183" t="s">
        <v>5252</v>
      </c>
      <c r="D1183" s="6" t="str">
        <f>_xlfn.XLOOKUP(B1183,Indices!$A$2:$A$2676,Indices!$B$2:$B$2676,"")</f>
        <v>S&amp;P Mid</v>
      </c>
    </row>
    <row r="1184" spans="1:4" x14ac:dyDescent="0.25">
      <c r="A1184" s="140">
        <v>45694.586805555555</v>
      </c>
      <c r="B1184" t="s">
        <v>721</v>
      </c>
      <c r="C1184" t="s">
        <v>5253</v>
      </c>
      <c r="D1184" s="6" t="str">
        <f>_xlfn.XLOOKUP(B1184,Indices!$A$2:$A$2676,Indices!$B$2:$B$2676,"")</f>
        <v>IWM</v>
      </c>
    </row>
    <row r="1185" spans="1:4" x14ac:dyDescent="0.25">
      <c r="A1185" s="140">
        <v>45694.586805555555</v>
      </c>
      <c r="B1185" t="s">
        <v>112</v>
      </c>
      <c r="C1185" t="s">
        <v>5253</v>
      </c>
      <c r="D1185" s="6" t="str">
        <f>_xlfn.XLOOKUP(B1185,Indices!$A$2:$A$2676,Indices!$B$2:$B$2676,"")</f>
        <v>IWM</v>
      </c>
    </row>
    <row r="1186" spans="1:4" x14ac:dyDescent="0.25">
      <c r="A1186" s="140">
        <v>45694.586805555555</v>
      </c>
      <c r="B1186" t="s">
        <v>2694</v>
      </c>
      <c r="C1186" t="s">
        <v>5253</v>
      </c>
      <c r="D1186" s="6" t="str">
        <f>_xlfn.XLOOKUP(B1186,Indices!$A$2:$A$2676,Indices!$B$2:$B$2676,"")</f>
        <v/>
      </c>
    </row>
    <row r="1187" spans="1:4" x14ac:dyDescent="0.25">
      <c r="A1187" s="140">
        <v>45694.586805555555</v>
      </c>
      <c r="B1187" t="s">
        <v>1696</v>
      </c>
      <c r="C1187" t="s">
        <v>5253</v>
      </c>
      <c r="D1187" s="6" t="str">
        <f>_xlfn.XLOOKUP(B1187,Indices!$A$2:$A$2676,Indices!$B$2:$B$2676,"")</f>
        <v>IWM</v>
      </c>
    </row>
    <row r="1188" spans="1:4" x14ac:dyDescent="0.25">
      <c r="A1188" s="140">
        <v>45694.586805555555</v>
      </c>
      <c r="B1188" t="s">
        <v>402</v>
      </c>
      <c r="C1188" t="s">
        <v>5253</v>
      </c>
      <c r="D1188" s="6" t="str">
        <f>_xlfn.XLOOKUP(B1188,Indices!$A$2:$A$2676,Indices!$B$2:$B$2676,"")</f>
        <v>S&amp;P Mid</v>
      </c>
    </row>
    <row r="1189" spans="1:4" x14ac:dyDescent="0.25">
      <c r="A1189" s="140">
        <v>45694.586805555555</v>
      </c>
      <c r="B1189" t="s">
        <v>729</v>
      </c>
      <c r="C1189" t="s">
        <v>5253</v>
      </c>
      <c r="D1189" s="6" t="str">
        <f>_xlfn.XLOOKUP(B1189,Indices!$A$2:$A$2676,Indices!$B$2:$B$2676,"")</f>
        <v>S&amp;P Mid</v>
      </c>
    </row>
    <row r="1190" spans="1:4" x14ac:dyDescent="0.25">
      <c r="A1190" s="140">
        <v>45694.586805555555</v>
      </c>
      <c r="B1190" t="s">
        <v>2711</v>
      </c>
      <c r="C1190" t="s">
        <v>5253</v>
      </c>
      <c r="D1190" s="6" t="str">
        <f>_xlfn.XLOOKUP(B1190,Indices!$A$2:$A$2676,Indices!$B$2:$B$2676,"")</f>
        <v/>
      </c>
    </row>
    <row r="1191" spans="1:4" x14ac:dyDescent="0.25">
      <c r="A1191" s="140">
        <v>45694.586805555555</v>
      </c>
      <c r="B1191" t="s">
        <v>378</v>
      </c>
      <c r="C1191" t="s">
        <v>5253</v>
      </c>
      <c r="D1191" s="6" t="str">
        <f>_xlfn.XLOOKUP(B1191,Indices!$A$2:$A$2676,Indices!$B$2:$B$2676,"")</f>
        <v>SP500</v>
      </c>
    </row>
    <row r="1192" spans="1:4" x14ac:dyDescent="0.25">
      <c r="A1192" s="140">
        <v>45694.586805555555</v>
      </c>
      <c r="B1192" t="s">
        <v>737</v>
      </c>
      <c r="C1192" t="s">
        <v>5253</v>
      </c>
      <c r="D1192" s="6" t="str">
        <f>_xlfn.XLOOKUP(B1192,Indices!$A$2:$A$2676,Indices!$B$2:$B$2676,"")</f>
        <v>IWM</v>
      </c>
    </row>
    <row r="1193" spans="1:4" x14ac:dyDescent="0.25">
      <c r="A1193" s="140">
        <v>45694.586805555555</v>
      </c>
      <c r="B1193" t="s">
        <v>1553</v>
      </c>
      <c r="C1193" t="s">
        <v>5253</v>
      </c>
      <c r="D1193" s="6" t="str">
        <f>_xlfn.XLOOKUP(B1193,Indices!$A$2:$A$2676,Indices!$B$2:$B$2676,"")</f>
        <v>SP500</v>
      </c>
    </row>
    <row r="1194" spans="1:4" x14ac:dyDescent="0.25">
      <c r="A1194" s="140">
        <v>45694.586805555555</v>
      </c>
      <c r="B1194" t="s">
        <v>2439</v>
      </c>
      <c r="C1194" t="s">
        <v>5253</v>
      </c>
      <c r="D1194" s="6" t="str">
        <f>_xlfn.XLOOKUP(B1194,Indices!$A$2:$A$2676,Indices!$B$2:$B$2676,"")</f>
        <v>S&amp;P Mid</v>
      </c>
    </row>
    <row r="1195" spans="1:4" x14ac:dyDescent="0.25">
      <c r="A1195" s="140">
        <v>45694.586805555555</v>
      </c>
      <c r="B1195" t="s">
        <v>2713</v>
      </c>
      <c r="C1195" t="s">
        <v>5253</v>
      </c>
      <c r="D1195" s="6" t="str">
        <f>_xlfn.XLOOKUP(B1195,Indices!$A$2:$A$2676,Indices!$B$2:$B$2676,"")</f>
        <v/>
      </c>
    </row>
    <row r="1196" spans="1:4" x14ac:dyDescent="0.25">
      <c r="A1196" s="140">
        <v>45694.586805555555</v>
      </c>
      <c r="B1196" t="s">
        <v>2716</v>
      </c>
      <c r="C1196" t="s">
        <v>5253</v>
      </c>
      <c r="D1196" s="6" t="str">
        <f>_xlfn.XLOOKUP(B1196,Indices!$A$2:$A$2676,Indices!$B$2:$B$2676,"")</f>
        <v/>
      </c>
    </row>
    <row r="1197" spans="1:4" x14ac:dyDescent="0.25">
      <c r="A1197" s="140">
        <v>45694.586805555555</v>
      </c>
      <c r="B1197" t="s">
        <v>2484</v>
      </c>
      <c r="C1197" t="s">
        <v>5253</v>
      </c>
      <c r="D1197" s="6" t="str">
        <f>_xlfn.XLOOKUP(B1197,Indices!$A$2:$A$2676,Indices!$B$2:$B$2676,"")</f>
        <v>S&amp;P Mid</v>
      </c>
    </row>
    <row r="1198" spans="1:4" x14ac:dyDescent="0.25">
      <c r="A1198" s="140">
        <v>45694.586805555555</v>
      </c>
      <c r="B1198" t="s">
        <v>380</v>
      </c>
      <c r="C1198" t="s">
        <v>5253</v>
      </c>
      <c r="D1198" s="6" t="str">
        <f>_xlfn.XLOOKUP(B1198,Indices!$A$2:$A$2676,Indices!$B$2:$B$2676,"")</f>
        <v>IWM</v>
      </c>
    </row>
    <row r="1199" spans="1:4" x14ac:dyDescent="0.25">
      <c r="A1199" s="140">
        <v>45694.586805555555</v>
      </c>
      <c r="B1199" t="s">
        <v>757</v>
      </c>
      <c r="C1199" t="s">
        <v>5253</v>
      </c>
      <c r="D1199" s="6" t="str">
        <f>_xlfn.XLOOKUP(B1199,Indices!$A$2:$A$2676,Indices!$B$2:$B$2676,"")</f>
        <v>IWM</v>
      </c>
    </row>
    <row r="1200" spans="1:4" x14ac:dyDescent="0.25">
      <c r="A1200" s="140">
        <v>45694.586805555555</v>
      </c>
      <c r="B1200" t="s">
        <v>731</v>
      </c>
      <c r="C1200" t="s">
        <v>5253</v>
      </c>
      <c r="D1200" s="6" t="str">
        <f>_xlfn.XLOOKUP(B1200,Indices!$A$2:$A$2676,Indices!$B$2:$B$2676,"")</f>
        <v>IWM</v>
      </c>
    </row>
    <row r="1201" spans="1:4" x14ac:dyDescent="0.25">
      <c r="A1201" s="140">
        <v>45694.586805555555</v>
      </c>
      <c r="B1201" t="s">
        <v>2701</v>
      </c>
      <c r="C1201" t="s">
        <v>5253</v>
      </c>
      <c r="D1201" s="6" t="str">
        <f>_xlfn.XLOOKUP(B1201,Indices!$A$2:$A$2676,Indices!$B$2:$B$2676,"")</f>
        <v/>
      </c>
    </row>
    <row r="1202" spans="1:4" x14ac:dyDescent="0.25">
      <c r="A1202" s="140">
        <v>45694.586805555555</v>
      </c>
      <c r="B1202" t="s">
        <v>2347</v>
      </c>
      <c r="C1202" t="s">
        <v>5253</v>
      </c>
      <c r="D1202" s="6" t="str">
        <f>_xlfn.XLOOKUP(B1202,Indices!$A$2:$A$2676,Indices!$B$2:$B$2676,"")</f>
        <v>S&amp;P Mid</v>
      </c>
    </row>
    <row r="1203" spans="1:4" x14ac:dyDescent="0.25">
      <c r="A1203" s="140">
        <v>45694.586805555555</v>
      </c>
      <c r="B1203" t="s">
        <v>2700</v>
      </c>
      <c r="C1203" t="s">
        <v>5253</v>
      </c>
      <c r="D1203" s="6" t="str">
        <f>_xlfn.XLOOKUP(B1203,Indices!$A$2:$A$2676,Indices!$B$2:$B$2676,"")</f>
        <v/>
      </c>
    </row>
    <row r="1204" spans="1:4" x14ac:dyDescent="0.25">
      <c r="A1204" s="140">
        <v>45694.586805555555</v>
      </c>
      <c r="B1204" t="s">
        <v>1143</v>
      </c>
      <c r="C1204" t="s">
        <v>5253</v>
      </c>
      <c r="D1204" s="6" t="str">
        <f>_xlfn.XLOOKUP(B1204,Indices!$A$2:$A$2676,Indices!$B$2:$B$2676,"")</f>
        <v>IWM</v>
      </c>
    </row>
    <row r="1205" spans="1:4" x14ac:dyDescent="0.25">
      <c r="A1205" s="140">
        <v>45694.586805555555</v>
      </c>
      <c r="B1205" t="s">
        <v>2313</v>
      </c>
      <c r="C1205" t="s">
        <v>5253</v>
      </c>
      <c r="D1205" s="6" t="str">
        <f>_xlfn.XLOOKUP(B1205,Indices!$A$2:$A$2676,Indices!$B$2:$B$2676,"")</f>
        <v>IWM</v>
      </c>
    </row>
    <row r="1206" spans="1:4" x14ac:dyDescent="0.25">
      <c r="A1206" s="140">
        <v>45694.586805555555</v>
      </c>
      <c r="B1206" t="s">
        <v>113</v>
      </c>
      <c r="C1206" t="s">
        <v>5253</v>
      </c>
      <c r="D1206" s="6" t="str">
        <f>_xlfn.XLOOKUP(B1206,Indices!$A$2:$A$2676,Indices!$B$2:$B$2676,"")</f>
        <v>NQ100</v>
      </c>
    </row>
    <row r="1207" spans="1:4" x14ac:dyDescent="0.25">
      <c r="A1207" s="140">
        <v>45694.586805555555</v>
      </c>
      <c r="B1207" t="s">
        <v>1088</v>
      </c>
      <c r="C1207" t="s">
        <v>5253</v>
      </c>
      <c r="D1207" s="6" t="str">
        <f>_xlfn.XLOOKUP(B1207,Indices!$A$2:$A$2676,Indices!$B$2:$B$2676,"")</f>
        <v>IWM</v>
      </c>
    </row>
    <row r="1208" spans="1:4" x14ac:dyDescent="0.25">
      <c r="A1208" s="140">
        <v>45694.586805555555</v>
      </c>
      <c r="B1208" t="s">
        <v>2438</v>
      </c>
      <c r="C1208" t="s">
        <v>5253</v>
      </c>
      <c r="D1208" s="6" t="str">
        <f>_xlfn.XLOOKUP(B1208,Indices!$A$2:$A$2676,Indices!$B$2:$B$2676,"")</f>
        <v>S&amp;P Mid</v>
      </c>
    </row>
    <row r="1209" spans="1:4" x14ac:dyDescent="0.25">
      <c r="A1209" s="140">
        <v>45694.586805555555</v>
      </c>
      <c r="B1209" t="s">
        <v>2703</v>
      </c>
      <c r="C1209" t="s">
        <v>5253</v>
      </c>
      <c r="D1209" s="6" t="str">
        <f>_xlfn.XLOOKUP(B1209,Indices!$A$2:$A$2676,Indices!$B$2:$B$2676,"")</f>
        <v/>
      </c>
    </row>
    <row r="1210" spans="1:4" x14ac:dyDescent="0.25">
      <c r="A1210" s="140">
        <v>45694.586805555555</v>
      </c>
      <c r="B1210" t="s">
        <v>2706</v>
      </c>
      <c r="C1210" t="s">
        <v>5253</v>
      </c>
      <c r="D1210" s="6" t="str">
        <f>_xlfn.XLOOKUP(B1210,Indices!$A$2:$A$2676,Indices!$B$2:$B$2676,"")</f>
        <v/>
      </c>
    </row>
    <row r="1211" spans="1:4" x14ac:dyDescent="0.25">
      <c r="A1211" s="140">
        <v>45694.586805555555</v>
      </c>
      <c r="B1211" t="s">
        <v>1829</v>
      </c>
      <c r="C1211" t="s">
        <v>5253</v>
      </c>
      <c r="D1211" s="6" t="str">
        <f>_xlfn.XLOOKUP(B1211,Indices!$A$2:$A$2676,Indices!$B$2:$B$2676,"")</f>
        <v>IWM</v>
      </c>
    </row>
    <row r="1212" spans="1:4" x14ac:dyDescent="0.25">
      <c r="A1212" s="140">
        <v>45694.586805555555</v>
      </c>
      <c r="B1212" t="s">
        <v>2709</v>
      </c>
      <c r="C1212" t="s">
        <v>5253</v>
      </c>
      <c r="D1212" s="6" t="str">
        <f>_xlfn.XLOOKUP(B1212,Indices!$A$2:$A$2676,Indices!$B$2:$B$2676,"")</f>
        <v/>
      </c>
    </row>
    <row r="1213" spans="1:4" x14ac:dyDescent="0.25">
      <c r="A1213" s="140">
        <v>45694.586805555555</v>
      </c>
      <c r="B1213" t="s">
        <v>2434</v>
      </c>
      <c r="C1213" t="s">
        <v>5253</v>
      </c>
      <c r="D1213" s="6" t="str">
        <f>_xlfn.XLOOKUP(B1213,Indices!$A$2:$A$2676,Indices!$B$2:$B$2676,"")</f>
        <v>S&amp;P Mid</v>
      </c>
    </row>
    <row r="1214" spans="1:4" x14ac:dyDescent="0.25">
      <c r="A1214" s="140">
        <v>45694.586805555555</v>
      </c>
      <c r="B1214" t="s">
        <v>883</v>
      </c>
      <c r="C1214" t="s">
        <v>5253</v>
      </c>
      <c r="D1214" s="6" t="str">
        <f>_xlfn.XLOOKUP(B1214,Indices!$A$2:$A$2676,Indices!$B$2:$B$2676,"")</f>
        <v>IWM</v>
      </c>
    </row>
    <row r="1215" spans="1:4" x14ac:dyDescent="0.25">
      <c r="A1215" s="140">
        <v>45694.586805555555</v>
      </c>
      <c r="B1215" t="s">
        <v>233</v>
      </c>
      <c r="C1215" t="s">
        <v>5253</v>
      </c>
      <c r="D1215" s="6" t="str">
        <f>_xlfn.XLOOKUP(B1215,Indices!$A$2:$A$2676,Indices!$B$2:$B$2676,"")</f>
        <v>IWM</v>
      </c>
    </row>
    <row r="1216" spans="1:4" x14ac:dyDescent="0.25">
      <c r="A1216" s="140">
        <v>45694.586805555555</v>
      </c>
      <c r="B1216" t="s">
        <v>1691</v>
      </c>
      <c r="C1216" t="s">
        <v>5253</v>
      </c>
      <c r="D1216" s="6" t="str">
        <f>_xlfn.XLOOKUP(B1216,Indices!$A$2:$A$2676,Indices!$B$2:$B$2676,"")</f>
        <v>IWM</v>
      </c>
    </row>
    <row r="1217" spans="1:4" x14ac:dyDescent="0.25">
      <c r="A1217" s="140">
        <v>45694.586805555555</v>
      </c>
      <c r="B1217" t="s">
        <v>2720</v>
      </c>
      <c r="C1217" t="s">
        <v>5253</v>
      </c>
      <c r="D1217" s="6" t="str">
        <f>_xlfn.XLOOKUP(B1217,Indices!$A$2:$A$2676,Indices!$B$2:$B$2676,"")</f>
        <v/>
      </c>
    </row>
    <row r="1218" spans="1:4" x14ac:dyDescent="0.25">
      <c r="A1218" s="140">
        <v>45694.586805555555</v>
      </c>
      <c r="B1218" t="s">
        <v>370</v>
      </c>
      <c r="C1218" t="s">
        <v>5253</v>
      </c>
      <c r="D1218" s="6" t="str">
        <f>_xlfn.XLOOKUP(B1218,Indices!$A$2:$A$2676,Indices!$B$2:$B$2676,"")</f>
        <v>S&amp;P Mid</v>
      </c>
    </row>
    <row r="1219" spans="1:4" x14ac:dyDescent="0.25">
      <c r="A1219" s="140">
        <v>45694.586805555555</v>
      </c>
      <c r="B1219" t="s">
        <v>725</v>
      </c>
      <c r="C1219" t="s">
        <v>5253</v>
      </c>
      <c r="D1219" s="6" t="str">
        <f>_xlfn.XLOOKUP(B1219,Indices!$A$2:$A$2676,Indices!$B$2:$B$2676,"")</f>
        <v>IWM</v>
      </c>
    </row>
    <row r="1220" spans="1:4" x14ac:dyDescent="0.25">
      <c r="A1220" s="140">
        <v>45694.586805555555</v>
      </c>
      <c r="B1220" t="s">
        <v>712</v>
      </c>
      <c r="C1220" t="s">
        <v>5253</v>
      </c>
      <c r="D1220" s="6" t="str">
        <f>_xlfn.XLOOKUP(B1220,Indices!$A$2:$A$2676,Indices!$B$2:$B$2676,"")</f>
        <v>SP500</v>
      </c>
    </row>
    <row r="1221" spans="1:4" x14ac:dyDescent="0.25">
      <c r="A1221" s="140">
        <v>45694.587500000001</v>
      </c>
      <c r="B1221" t="s">
        <v>2699</v>
      </c>
      <c r="C1221" t="s">
        <v>5254</v>
      </c>
      <c r="D1221" s="6" t="str">
        <f>_xlfn.XLOOKUP(B1221,Indices!$A$2:$A$2676,Indices!$B$2:$B$2676,"")</f>
        <v/>
      </c>
    </row>
    <row r="1222" spans="1:4" x14ac:dyDescent="0.25">
      <c r="A1222" s="140">
        <v>45694.590277777781</v>
      </c>
      <c r="B1222" t="s">
        <v>1129</v>
      </c>
      <c r="C1222" t="s">
        <v>5255</v>
      </c>
      <c r="D1222" s="6" t="str">
        <f>_xlfn.XLOOKUP(B1222,Indices!$A$2:$A$2676,Indices!$B$2:$B$2676,"")</f>
        <v>IWM</v>
      </c>
    </row>
    <row r="1223" spans="1:4" x14ac:dyDescent="0.25">
      <c r="A1223" s="140">
        <v>45694.590277777781</v>
      </c>
      <c r="B1223" t="s">
        <v>1604</v>
      </c>
      <c r="C1223" t="s">
        <v>5255</v>
      </c>
      <c r="D1223" s="6" t="str">
        <f>_xlfn.XLOOKUP(B1223,Indices!$A$2:$A$2676,Indices!$B$2:$B$2676,"")</f>
        <v>SP500</v>
      </c>
    </row>
    <row r="1224" spans="1:4" x14ac:dyDescent="0.25">
      <c r="A1224" s="140">
        <v>45694.590277777781</v>
      </c>
      <c r="B1224" t="s">
        <v>1539</v>
      </c>
      <c r="C1224" t="s">
        <v>5255</v>
      </c>
      <c r="D1224" s="6" t="str">
        <f>_xlfn.XLOOKUP(B1224,Indices!$A$2:$A$2676,Indices!$B$2:$B$2676,"")</f>
        <v>SP500</v>
      </c>
    </row>
    <row r="1225" spans="1:4" x14ac:dyDescent="0.25">
      <c r="A1225" s="140">
        <v>45694.59375</v>
      </c>
      <c r="B1225" t="s">
        <v>2697</v>
      </c>
      <c r="C1225" t="s">
        <v>5256</v>
      </c>
      <c r="D1225" s="6" t="str">
        <f>_xlfn.XLOOKUP(B1225,Indices!$A$2:$A$2676,Indices!$B$2:$B$2676,"")</f>
        <v/>
      </c>
    </row>
    <row r="1226" spans="1:4" x14ac:dyDescent="0.25">
      <c r="A1226" s="140">
        <v>45694.59375</v>
      </c>
      <c r="B1226" t="s">
        <v>1065</v>
      </c>
      <c r="C1226" t="s">
        <v>5256</v>
      </c>
      <c r="D1226" s="6" t="str">
        <f>_xlfn.XLOOKUP(B1226,Indices!$A$2:$A$2676,Indices!$B$2:$B$2676,"")</f>
        <v>IWM</v>
      </c>
    </row>
    <row r="1227" spans="1:4" x14ac:dyDescent="0.25">
      <c r="A1227" s="140">
        <v>45694.59375</v>
      </c>
      <c r="B1227" t="s">
        <v>1087</v>
      </c>
      <c r="C1227" t="s">
        <v>5256</v>
      </c>
      <c r="D1227" s="6" t="str">
        <f>_xlfn.XLOOKUP(B1227,Indices!$A$2:$A$2676,Indices!$B$2:$B$2676,"")</f>
        <v>IWM</v>
      </c>
    </row>
    <row r="1228" spans="1:4" x14ac:dyDescent="0.25">
      <c r="A1228" s="140">
        <v>45694.59375</v>
      </c>
      <c r="B1228" t="s">
        <v>458</v>
      </c>
      <c r="C1228" t="s">
        <v>5256</v>
      </c>
      <c r="D1228" s="6" t="str">
        <f>_xlfn.XLOOKUP(B1228,Indices!$A$2:$A$2676,Indices!$B$2:$B$2676,"")</f>
        <v>IWM</v>
      </c>
    </row>
    <row r="1229" spans="1:4" x14ac:dyDescent="0.25">
      <c r="A1229" s="140">
        <v>45694.59375</v>
      </c>
      <c r="B1229" t="s">
        <v>1576</v>
      </c>
      <c r="C1229" t="s">
        <v>5256</v>
      </c>
      <c r="D1229" s="6" t="str">
        <f>_xlfn.XLOOKUP(B1229,Indices!$A$2:$A$2676,Indices!$B$2:$B$2676,"")</f>
        <v>SP500</v>
      </c>
    </row>
    <row r="1230" spans="1:4" x14ac:dyDescent="0.25">
      <c r="A1230" s="140">
        <v>45694.59375</v>
      </c>
      <c r="B1230" t="s">
        <v>2252</v>
      </c>
      <c r="C1230" t="s">
        <v>5256</v>
      </c>
      <c r="D1230" s="6" t="str">
        <f>_xlfn.XLOOKUP(B1230,Indices!$A$2:$A$2676,Indices!$B$2:$B$2676,"")</f>
        <v>IWM</v>
      </c>
    </row>
    <row r="1231" spans="1:4" x14ac:dyDescent="0.25">
      <c r="A1231" s="140">
        <v>45694.59375</v>
      </c>
      <c r="B1231" t="s">
        <v>245</v>
      </c>
      <c r="C1231" t="s">
        <v>5256</v>
      </c>
      <c r="D1231" s="6" t="str">
        <f>_xlfn.XLOOKUP(B1231,Indices!$A$2:$A$2676,Indices!$B$2:$B$2676,"")</f>
        <v>SP500</v>
      </c>
    </row>
    <row r="1232" spans="1:4" x14ac:dyDescent="0.25">
      <c r="A1232" s="140">
        <v>45694.59375</v>
      </c>
      <c r="B1232" t="s">
        <v>1716</v>
      </c>
      <c r="C1232" t="s">
        <v>5256</v>
      </c>
      <c r="D1232" s="6" t="str">
        <f>_xlfn.XLOOKUP(B1232,Indices!$A$2:$A$2676,Indices!$B$2:$B$2676,"")</f>
        <v>IWM</v>
      </c>
    </row>
    <row r="1233" spans="1:4" x14ac:dyDescent="0.25">
      <c r="A1233" s="140">
        <v>45694.59375</v>
      </c>
      <c r="B1233" t="s">
        <v>2016</v>
      </c>
      <c r="C1233" t="s">
        <v>5256</v>
      </c>
      <c r="D1233" s="6" t="str">
        <f>_xlfn.XLOOKUP(B1233,Indices!$A$2:$A$2676,Indices!$B$2:$B$2676,"")</f>
        <v>IWM</v>
      </c>
    </row>
    <row r="1234" spans="1:4" x14ac:dyDescent="0.25">
      <c r="A1234" s="140">
        <v>45694.59375</v>
      </c>
      <c r="B1234" t="s">
        <v>1579</v>
      </c>
      <c r="C1234" t="s">
        <v>5256</v>
      </c>
      <c r="D1234" s="6" t="str">
        <f>_xlfn.XLOOKUP(B1234,Indices!$A$2:$A$2676,Indices!$B$2:$B$2676,"")</f>
        <v>SP500</v>
      </c>
    </row>
    <row r="1235" spans="1:4" x14ac:dyDescent="0.25">
      <c r="A1235" s="140">
        <v>45694.59375</v>
      </c>
      <c r="B1235" t="s">
        <v>2379</v>
      </c>
      <c r="C1235" t="s">
        <v>5256</v>
      </c>
      <c r="D1235" s="6" t="str">
        <f>_xlfn.XLOOKUP(B1235,Indices!$A$2:$A$2676,Indices!$B$2:$B$2676,"")</f>
        <v>S&amp;P Mid</v>
      </c>
    </row>
    <row r="1236" spans="1:4" x14ac:dyDescent="0.25">
      <c r="A1236" s="140">
        <v>45694.59375</v>
      </c>
      <c r="B1236" t="s">
        <v>2718</v>
      </c>
      <c r="C1236" t="s">
        <v>5256</v>
      </c>
      <c r="D1236" s="6" t="str">
        <f>_xlfn.XLOOKUP(B1236,Indices!$A$2:$A$2676,Indices!$B$2:$B$2676,"")</f>
        <v/>
      </c>
    </row>
    <row r="1237" spans="1:4" x14ac:dyDescent="0.25">
      <c r="A1237" s="140">
        <v>45694.594444444447</v>
      </c>
      <c r="B1237" t="s">
        <v>1749</v>
      </c>
      <c r="C1237" t="s">
        <v>5257</v>
      </c>
      <c r="D1237" s="6" t="str">
        <f>_xlfn.XLOOKUP(B1237,Indices!$A$2:$A$2676,Indices!$B$2:$B$2676,"")</f>
        <v>IWM</v>
      </c>
    </row>
    <row r="1238" spans="1:4" x14ac:dyDescent="0.25">
      <c r="A1238" s="140">
        <v>45694.59652777778</v>
      </c>
      <c r="B1238" t="s">
        <v>2082</v>
      </c>
      <c r="C1238" t="s">
        <v>5258</v>
      </c>
      <c r="D1238" s="6" t="str">
        <f>_xlfn.XLOOKUP(B1238,Indices!$A$2:$A$2676,Indices!$B$2:$B$2676,"")</f>
        <v>IWM</v>
      </c>
    </row>
    <row r="1239" spans="1:4" x14ac:dyDescent="0.25">
      <c r="A1239" s="140">
        <v>45694.597222222219</v>
      </c>
      <c r="B1239" t="s">
        <v>2407</v>
      </c>
      <c r="C1239" t="s">
        <v>5259</v>
      </c>
      <c r="D1239" s="6" t="str">
        <f>_xlfn.XLOOKUP(B1239,Indices!$A$2:$A$2676,Indices!$B$2:$B$2676,"")</f>
        <v>S&amp;P Mid</v>
      </c>
    </row>
    <row r="1240" spans="1:4" x14ac:dyDescent="0.25">
      <c r="A1240" s="140">
        <v>45694.598611111112</v>
      </c>
      <c r="B1240" t="s">
        <v>2488</v>
      </c>
      <c r="C1240" t="s">
        <v>5260</v>
      </c>
      <c r="D1240" s="6" t="str">
        <f>_xlfn.XLOOKUP(B1240,Indices!$A$2:$A$2676,Indices!$B$2:$B$2676,"")</f>
        <v>S&amp;P Mid</v>
      </c>
    </row>
    <row r="1241" spans="1:4" x14ac:dyDescent="0.25">
      <c r="A1241" s="140">
        <v>45694.604166666664</v>
      </c>
      <c r="B1241" t="s">
        <v>808</v>
      </c>
      <c r="C1241" t="s">
        <v>5261</v>
      </c>
      <c r="D1241" s="6" t="str">
        <f>_xlfn.XLOOKUP(B1241,Indices!$A$2:$A$2676,Indices!$B$2:$B$2676,"")</f>
        <v>IWM</v>
      </c>
    </row>
    <row r="1242" spans="1:4" x14ac:dyDescent="0.25">
      <c r="A1242" s="140">
        <v>45694.604166666664</v>
      </c>
      <c r="B1242" t="s">
        <v>2705</v>
      </c>
      <c r="C1242" t="s">
        <v>5261</v>
      </c>
      <c r="D1242" s="6" t="str">
        <f>_xlfn.XLOOKUP(B1242,Indices!$A$2:$A$2676,Indices!$B$2:$B$2676,"")</f>
        <v/>
      </c>
    </row>
    <row r="1243" spans="1:4" x14ac:dyDescent="0.25">
      <c r="A1243" s="140">
        <v>45694.604166666664</v>
      </c>
      <c r="B1243" t="s">
        <v>810</v>
      </c>
      <c r="C1243" t="s">
        <v>5261</v>
      </c>
      <c r="D1243" s="6" t="str">
        <f>_xlfn.XLOOKUP(B1243,Indices!$A$2:$A$2676,Indices!$B$2:$B$2676,"")</f>
        <v>SP500</v>
      </c>
    </row>
    <row r="1244" spans="1:4" x14ac:dyDescent="0.25">
      <c r="A1244" s="140">
        <v>45694.605555555558</v>
      </c>
      <c r="B1244" t="s">
        <v>419</v>
      </c>
      <c r="C1244" t="s">
        <v>5262</v>
      </c>
      <c r="D1244" s="6" t="str">
        <f>_xlfn.XLOOKUP(B1244,Indices!$A$2:$A$2676,Indices!$B$2:$B$2676,"")</f>
        <v>IWM</v>
      </c>
    </row>
    <row r="1245" spans="1:4" x14ac:dyDescent="0.25">
      <c r="A1245" s="140">
        <v>45694.614583333336</v>
      </c>
      <c r="B1245" t="s">
        <v>1078</v>
      </c>
      <c r="C1245" t="s">
        <v>5263</v>
      </c>
      <c r="D1245" s="6" t="str">
        <f>_xlfn.XLOOKUP(B1245,Indices!$A$2:$A$2676,Indices!$B$2:$B$2676,"")</f>
        <v>IWM</v>
      </c>
    </row>
    <row r="1246" spans="1:4" x14ac:dyDescent="0.25">
      <c r="A1246" s="140">
        <v>45694.625</v>
      </c>
      <c r="B1246" t="s">
        <v>1069</v>
      </c>
      <c r="C1246" t="s">
        <v>5264</v>
      </c>
      <c r="D1246" s="6" t="str">
        <f>_xlfn.XLOOKUP(B1246,Indices!$A$2:$A$2676,Indices!$B$2:$B$2676,"")</f>
        <v>S&amp;P Mid</v>
      </c>
    </row>
    <row r="1247" spans="1:4" x14ac:dyDescent="0.25">
      <c r="A1247" s="140">
        <v>45694.625</v>
      </c>
      <c r="B1247" t="s">
        <v>2032</v>
      </c>
      <c r="C1247" t="s">
        <v>5264</v>
      </c>
      <c r="D1247" s="6" t="str">
        <f>_xlfn.XLOOKUP(B1247,Indices!$A$2:$A$2676,Indices!$B$2:$B$2676,"")</f>
        <v>IWM</v>
      </c>
    </row>
    <row r="1248" spans="1:4" x14ac:dyDescent="0.25">
      <c r="A1248" s="140">
        <v>45694.625694444447</v>
      </c>
      <c r="B1248" t="s">
        <v>1818</v>
      </c>
      <c r="C1248" t="s">
        <v>5265</v>
      </c>
      <c r="D1248" s="6" t="str">
        <f>_xlfn.XLOOKUP(B1248,Indices!$A$2:$A$2676,Indices!$B$2:$B$2676,"")</f>
        <v>IWM</v>
      </c>
    </row>
    <row r="1249" spans="1:4" x14ac:dyDescent="0.25">
      <c r="A1249" s="140">
        <v>45694.636805555558</v>
      </c>
      <c r="B1249" t="s">
        <v>2397</v>
      </c>
      <c r="C1249" t="s">
        <v>5266</v>
      </c>
      <c r="D1249" s="6" t="str">
        <f>_xlfn.XLOOKUP(B1249,Indices!$A$2:$A$2676,Indices!$B$2:$B$2676,"")</f>
        <v>S&amp;P Mid</v>
      </c>
    </row>
    <row r="1250" spans="1:4" x14ac:dyDescent="0.25">
      <c r="A1250" s="140">
        <v>45694.678472222222</v>
      </c>
      <c r="B1250" t="s">
        <v>266</v>
      </c>
      <c r="C1250" t="s">
        <v>5267</v>
      </c>
      <c r="D1250" s="6" t="str">
        <f>_xlfn.XLOOKUP(B1250,Indices!$A$2:$A$2676,Indices!$B$2:$B$2676,"")</f>
        <v>IWM</v>
      </c>
    </row>
    <row r="1251" spans="1:4" x14ac:dyDescent="0.25">
      <c r="A1251" s="140">
        <v>45694.6875</v>
      </c>
      <c r="B1251" t="s">
        <v>1132</v>
      </c>
      <c r="C1251" t="s">
        <v>5268</v>
      </c>
      <c r="D1251" s="6" t="str">
        <f>_xlfn.XLOOKUP(B1251,Indices!$A$2:$A$2676,Indices!$B$2:$B$2676,"")</f>
        <v>IWM</v>
      </c>
    </row>
    <row r="1252" spans="1:4" x14ac:dyDescent="0.25">
      <c r="A1252" s="140">
        <v>45694.958333333336</v>
      </c>
      <c r="B1252" t="s">
        <v>2804</v>
      </c>
      <c r="C1252" t="s">
        <v>5269</v>
      </c>
      <c r="D1252" s="6" t="str">
        <f>_xlfn.XLOOKUP(B1252,Indices!$A$2:$A$2676,Indices!$B$2:$B$2676,"")</f>
        <v/>
      </c>
    </row>
    <row r="1253" spans="1:4" x14ac:dyDescent="0.25">
      <c r="A1253" s="140">
        <v>45694.958333333336</v>
      </c>
      <c r="B1253" t="s">
        <v>2725</v>
      </c>
      <c r="C1253" t="s">
        <v>5270</v>
      </c>
      <c r="D1253" s="6" t="str">
        <f>_xlfn.XLOOKUP(B1253,Indices!$A$2:$A$2676,Indices!$B$2:$B$2676,"")</f>
        <v/>
      </c>
    </row>
    <row r="1254" spans="1:4" x14ac:dyDescent="0.25">
      <c r="A1254" s="140">
        <v>45694.958333333336</v>
      </c>
      <c r="B1254" t="s">
        <v>2803</v>
      </c>
      <c r="C1254" t="s">
        <v>5269</v>
      </c>
      <c r="D1254" s="6" t="str">
        <f>_xlfn.XLOOKUP(B1254,Indices!$A$2:$A$2676,Indices!$B$2:$B$2676,"")</f>
        <v/>
      </c>
    </row>
    <row r="1255" spans="1:4" x14ac:dyDescent="0.25">
      <c r="A1255" s="140">
        <v>45694.958333333336</v>
      </c>
      <c r="B1255" t="s">
        <v>2724</v>
      </c>
      <c r="C1255" t="s">
        <v>5269</v>
      </c>
      <c r="D1255" s="6" t="str">
        <f>_xlfn.XLOOKUP(B1255,Indices!$A$2:$A$2676,Indices!$B$2:$B$2676,"")</f>
        <v/>
      </c>
    </row>
    <row r="1256" spans="1:4" x14ac:dyDescent="0.25">
      <c r="A1256" s="140">
        <v>45694.958333333336</v>
      </c>
      <c r="B1256" t="s">
        <v>2727</v>
      </c>
      <c r="C1256" t="s">
        <v>5269</v>
      </c>
      <c r="D1256" s="6" t="str">
        <f>_xlfn.XLOOKUP(B1256,Indices!$A$2:$A$2676,Indices!$B$2:$B$2676,"")</f>
        <v/>
      </c>
    </row>
    <row r="1257" spans="1:4" x14ac:dyDescent="0.25">
      <c r="A1257" s="140">
        <v>45695.166666666664</v>
      </c>
      <c r="B1257" t="s">
        <v>4</v>
      </c>
      <c r="C1257" t="s">
        <v>5271</v>
      </c>
      <c r="D1257" s="6" t="str">
        <f>_xlfn.XLOOKUP(B1257,Indices!$A$2:$A$2676,Indices!$B$2:$B$2676,"")</f>
        <v>IWM</v>
      </c>
    </row>
    <row r="1258" spans="1:4" x14ac:dyDescent="0.25">
      <c r="A1258" s="140">
        <v>45695.170138888891</v>
      </c>
      <c r="B1258" t="s">
        <v>2383</v>
      </c>
      <c r="C1258" t="s">
        <v>5272</v>
      </c>
      <c r="D1258" s="6" t="str">
        <f>_xlfn.XLOOKUP(B1258,Indices!$A$2:$A$2676,Indices!$B$2:$B$2676,"")</f>
        <v>S&amp;P Mid</v>
      </c>
    </row>
    <row r="1259" spans="1:4" x14ac:dyDescent="0.25">
      <c r="A1259" s="140">
        <v>45695.180555555555</v>
      </c>
      <c r="B1259" t="s">
        <v>2710</v>
      </c>
      <c r="C1259" t="s">
        <v>5273</v>
      </c>
      <c r="D1259" s="6" t="str">
        <f>_xlfn.XLOOKUP(B1259,Indices!$A$2:$A$2676,Indices!$B$2:$B$2676,"")</f>
        <v/>
      </c>
    </row>
    <row r="1260" spans="1:4" x14ac:dyDescent="0.25">
      <c r="A1260" s="140">
        <v>45695.1875</v>
      </c>
      <c r="B1260" t="s">
        <v>835</v>
      </c>
      <c r="C1260" t="s">
        <v>5274</v>
      </c>
      <c r="D1260" s="6" t="str">
        <f>_xlfn.XLOOKUP(B1260,Indices!$A$2:$A$2676,Indices!$B$2:$B$2676,"")</f>
        <v>IWM</v>
      </c>
    </row>
    <row r="1261" spans="1:4" x14ac:dyDescent="0.25">
      <c r="A1261" s="140">
        <v>45695.1875</v>
      </c>
      <c r="B1261" t="s">
        <v>2061</v>
      </c>
      <c r="C1261" t="s">
        <v>5274</v>
      </c>
      <c r="D1261" s="6" t="str">
        <f>_xlfn.XLOOKUP(B1261,Indices!$A$2:$A$2676,Indices!$B$2:$B$2676,"")</f>
        <v>IWM</v>
      </c>
    </row>
    <row r="1262" spans="1:4" x14ac:dyDescent="0.25">
      <c r="A1262" s="140">
        <v>45695.194444444445</v>
      </c>
      <c r="B1262" t="s">
        <v>892</v>
      </c>
      <c r="C1262" t="s">
        <v>5275</v>
      </c>
      <c r="D1262" s="6" t="str">
        <f>_xlfn.XLOOKUP(B1262,Indices!$A$2:$A$2676,Indices!$B$2:$B$2676,"")</f>
        <v>IWM</v>
      </c>
    </row>
    <row r="1263" spans="1:4" x14ac:dyDescent="0.25">
      <c r="A1263" s="140">
        <v>45695.201388888891</v>
      </c>
      <c r="B1263" t="s">
        <v>1555</v>
      </c>
      <c r="C1263" t="s">
        <v>5276</v>
      </c>
      <c r="D1263" s="6" t="str">
        <f>_xlfn.XLOOKUP(B1263,Indices!$A$2:$A$2676,Indices!$B$2:$B$2676,"")</f>
        <v>SP500</v>
      </c>
    </row>
    <row r="1264" spans="1:4" x14ac:dyDescent="0.25">
      <c r="A1264" s="140">
        <v>45695.204861111109</v>
      </c>
      <c r="B1264" t="s">
        <v>2123</v>
      </c>
      <c r="C1264" t="s">
        <v>5277</v>
      </c>
      <c r="D1264" s="6" t="str">
        <f>_xlfn.XLOOKUP(B1264,Indices!$A$2:$A$2676,Indices!$B$2:$B$2676,"")</f>
        <v>IWM</v>
      </c>
    </row>
    <row r="1265" spans="1:4" x14ac:dyDescent="0.25">
      <c r="A1265" s="140">
        <v>45695.206944444442</v>
      </c>
      <c r="B1265" t="s">
        <v>842</v>
      </c>
      <c r="C1265" t="s">
        <v>5278</v>
      </c>
      <c r="D1265" s="6" t="str">
        <f>_xlfn.XLOOKUP(B1265,Indices!$A$2:$A$2676,Indices!$B$2:$B$2676,"")</f>
        <v>IWM</v>
      </c>
    </row>
    <row r="1266" spans="1:4" x14ac:dyDescent="0.25">
      <c r="A1266" s="140">
        <v>45695.208333333336</v>
      </c>
      <c r="B1266" t="s">
        <v>2729</v>
      </c>
      <c r="C1266" t="s">
        <v>5279</v>
      </c>
      <c r="D1266" s="6" t="str">
        <f>_xlfn.XLOOKUP(B1266,Indices!$A$2:$A$2676,Indices!$B$2:$B$2676,"")</f>
        <v/>
      </c>
    </row>
    <row r="1267" spans="1:4" x14ac:dyDescent="0.25">
      <c r="A1267" s="140">
        <v>45695.208333333336</v>
      </c>
      <c r="B1267" t="s">
        <v>2723</v>
      </c>
      <c r="C1267" t="s">
        <v>5279</v>
      </c>
      <c r="D1267" s="6" t="str">
        <f>_xlfn.XLOOKUP(B1267,Indices!$A$2:$A$2676,Indices!$B$2:$B$2676,"")</f>
        <v/>
      </c>
    </row>
    <row r="1268" spans="1:4" x14ac:dyDescent="0.25">
      <c r="A1268" s="140">
        <v>45695.208333333336</v>
      </c>
      <c r="B1268" t="s">
        <v>4437</v>
      </c>
      <c r="C1268" t="s">
        <v>5279</v>
      </c>
      <c r="D1268" s="6" t="str">
        <f>_xlfn.XLOOKUP(B1268,Indices!$A$2:$A$2676,Indices!$B$2:$B$2676,"")</f>
        <v/>
      </c>
    </row>
    <row r="1269" spans="1:4" x14ac:dyDescent="0.25">
      <c r="A1269" s="140">
        <v>45695.208333333336</v>
      </c>
      <c r="B1269" t="s">
        <v>1115</v>
      </c>
      <c r="C1269" t="s">
        <v>5279</v>
      </c>
      <c r="D1269" s="6" t="str">
        <f>_xlfn.XLOOKUP(B1269,Indices!$A$2:$A$2676,Indices!$B$2:$B$2676,"")</f>
        <v>IWM</v>
      </c>
    </row>
    <row r="1270" spans="1:4" x14ac:dyDescent="0.25">
      <c r="A1270" s="140">
        <v>45695.208333333336</v>
      </c>
      <c r="B1270" t="s">
        <v>828</v>
      </c>
      <c r="C1270" t="s">
        <v>5279</v>
      </c>
      <c r="D1270" s="6" t="str">
        <f>_xlfn.XLOOKUP(B1270,Indices!$A$2:$A$2676,Indices!$B$2:$B$2676,"")</f>
        <v>S&amp;P Mid</v>
      </c>
    </row>
    <row r="1271" spans="1:4" x14ac:dyDescent="0.25">
      <c r="A1271" s="140">
        <v>45695.210416666669</v>
      </c>
      <c r="B1271" t="s">
        <v>2721</v>
      </c>
      <c r="C1271" t="s">
        <v>5280</v>
      </c>
      <c r="D1271" s="6" t="str">
        <f>_xlfn.XLOOKUP(B1271,Indices!$A$2:$A$2676,Indices!$B$2:$B$2676,"")</f>
        <v/>
      </c>
    </row>
    <row r="1272" spans="1:4" x14ac:dyDescent="0.25">
      <c r="A1272" s="140">
        <v>45695.210416666669</v>
      </c>
      <c r="B1272" t="s">
        <v>2722</v>
      </c>
      <c r="C1272" t="s">
        <v>5280</v>
      </c>
      <c r="D1272" s="6" t="str">
        <f>_xlfn.XLOOKUP(B1272,Indices!$A$2:$A$2676,Indices!$B$2:$B$2676,"")</f>
        <v/>
      </c>
    </row>
    <row r="1273" spans="1:4" x14ac:dyDescent="0.25">
      <c r="A1273" s="140">
        <v>45695.211805555555</v>
      </c>
      <c r="B1273" t="s">
        <v>2731</v>
      </c>
      <c r="C1273" t="s">
        <v>5281</v>
      </c>
      <c r="D1273" s="6" t="str">
        <f>_xlfn.XLOOKUP(B1273,Indices!$A$2:$A$2676,Indices!$B$2:$B$2676,"")</f>
        <v/>
      </c>
    </row>
    <row r="1274" spans="1:4" x14ac:dyDescent="0.25">
      <c r="A1274" s="140">
        <v>45695.21597222222</v>
      </c>
      <c r="B1274" t="s">
        <v>2691</v>
      </c>
      <c r="C1274" t="s">
        <v>5282</v>
      </c>
      <c r="D1274" s="6" t="str">
        <f>_xlfn.XLOOKUP(B1274,Indices!$A$2:$A$2676,Indices!$B$2:$B$2676,"")</f>
        <v/>
      </c>
    </row>
    <row r="1275" spans="1:4" x14ac:dyDescent="0.25">
      <c r="A1275" s="140">
        <v>45695.229166666664</v>
      </c>
      <c r="B1275" t="s">
        <v>1498</v>
      </c>
      <c r="C1275" t="s">
        <v>5283</v>
      </c>
      <c r="D1275" s="6" t="str">
        <f>_xlfn.XLOOKUP(B1275,Indices!$A$2:$A$2676,Indices!$B$2:$B$2676,"")</f>
        <v>SP500</v>
      </c>
    </row>
    <row r="1276" spans="1:4" x14ac:dyDescent="0.25">
      <c r="A1276" s="140">
        <v>45695.229166666664</v>
      </c>
      <c r="B1276" t="s">
        <v>22</v>
      </c>
      <c r="C1276" t="s">
        <v>5283</v>
      </c>
      <c r="D1276" s="6" t="str">
        <f>_xlfn.XLOOKUP(B1276,Indices!$A$2:$A$2676,Indices!$B$2:$B$2676,"")</f>
        <v>SP500</v>
      </c>
    </row>
    <row r="1277" spans="1:4" x14ac:dyDescent="0.25">
      <c r="A1277" s="140">
        <v>45695.25</v>
      </c>
      <c r="B1277" t="s">
        <v>2303</v>
      </c>
      <c r="C1277" t="s">
        <v>5284</v>
      </c>
      <c r="D1277" s="6" t="str">
        <f>_xlfn.XLOOKUP(B1277,Indices!$A$2:$A$2676,Indices!$B$2:$B$2676,"")</f>
        <v>IWM</v>
      </c>
    </row>
    <row r="1278" spans="1:4" x14ac:dyDescent="0.25">
      <c r="A1278" s="140">
        <v>45695.25</v>
      </c>
      <c r="B1278" t="s">
        <v>2239</v>
      </c>
      <c r="C1278" t="s">
        <v>5284</v>
      </c>
      <c r="D1278" s="6" t="str">
        <f>_xlfn.XLOOKUP(B1278,Indices!$A$2:$A$2676,Indices!$B$2:$B$2676,"")</f>
        <v>IWM</v>
      </c>
    </row>
    <row r="1279" spans="1:4" x14ac:dyDescent="0.25">
      <c r="A1279" s="140">
        <v>45695.25</v>
      </c>
      <c r="B1279" t="s">
        <v>2647</v>
      </c>
      <c r="C1279" t="s">
        <v>5284</v>
      </c>
      <c r="D1279" s="6" t="str">
        <f>_xlfn.XLOOKUP(B1279,Indices!$A$2:$A$2676,Indices!$B$2:$B$2676,"")</f>
        <v/>
      </c>
    </row>
    <row r="1280" spans="1:4" x14ac:dyDescent="0.25">
      <c r="A1280" s="140">
        <v>45695.275000000001</v>
      </c>
      <c r="B1280" t="s">
        <v>2730</v>
      </c>
      <c r="C1280" t="s">
        <v>5285</v>
      </c>
      <c r="D1280" s="6" t="str">
        <f>_xlfn.XLOOKUP(B1280,Indices!$A$2:$A$2676,Indices!$B$2:$B$2676,"")</f>
        <v/>
      </c>
    </row>
    <row r="1281" spans="1:4" x14ac:dyDescent="0.25">
      <c r="A1281" s="140">
        <v>45695.379861111112</v>
      </c>
      <c r="B1281" t="s">
        <v>2999</v>
      </c>
      <c r="C1281" t="s">
        <v>5286</v>
      </c>
      <c r="D1281" s="6" t="str">
        <f>_xlfn.XLOOKUP(B1281,Indices!$A$2:$A$2676,Indices!$B$2:$B$2676,"")</f>
        <v/>
      </c>
    </row>
    <row r="1282" spans="1:4" x14ac:dyDescent="0.25">
      <c r="A1282" s="140">
        <v>45695.586805555555</v>
      </c>
      <c r="B1282" t="s">
        <v>2518</v>
      </c>
      <c r="C1282" t="s">
        <v>5287</v>
      </c>
      <c r="D1282" s="6" t="str">
        <f>_xlfn.XLOOKUP(B1282,Indices!$A$2:$A$2676,Indices!$B$2:$B$2676,"")</f>
        <v/>
      </c>
    </row>
    <row r="1283" spans="1:4" x14ac:dyDescent="0.25">
      <c r="A1283" s="140">
        <v>45697.958333333336</v>
      </c>
      <c r="B1283" t="s">
        <v>2807</v>
      </c>
      <c r="C1283" t="s">
        <v>5288</v>
      </c>
      <c r="D1283" s="6" t="str">
        <f>_xlfn.XLOOKUP(B1283,Indices!$A$2:$A$2676,Indices!$B$2:$B$2676,"")</f>
        <v/>
      </c>
    </row>
    <row r="1284" spans="1:4" x14ac:dyDescent="0.25">
      <c r="A1284" s="140">
        <v>45697.958333333336</v>
      </c>
      <c r="B1284" t="s">
        <v>2811</v>
      </c>
      <c r="C1284" t="s">
        <v>5288</v>
      </c>
      <c r="D1284" s="6" t="str">
        <f>_xlfn.XLOOKUP(B1284,Indices!$A$2:$A$2676,Indices!$B$2:$B$2676,"")</f>
        <v/>
      </c>
    </row>
    <row r="1285" spans="1:4" x14ac:dyDescent="0.25">
      <c r="A1285" s="140">
        <v>45697.958333333336</v>
      </c>
      <c r="B1285" t="s">
        <v>2812</v>
      </c>
      <c r="C1285" t="s">
        <v>5288</v>
      </c>
      <c r="D1285" s="6" t="str">
        <f>_xlfn.XLOOKUP(B1285,Indices!$A$2:$A$2676,Indices!$B$2:$B$2676,"")</f>
        <v/>
      </c>
    </row>
    <row r="1286" spans="1:4" x14ac:dyDescent="0.25">
      <c r="A1286" s="140">
        <v>45697.958333333336</v>
      </c>
      <c r="B1286" t="s">
        <v>2830</v>
      </c>
      <c r="C1286" t="s">
        <v>5288</v>
      </c>
      <c r="D1286" s="6" t="str">
        <f>_xlfn.XLOOKUP(B1286,Indices!$A$2:$A$2676,Indices!$B$2:$B$2676,"")</f>
        <v/>
      </c>
    </row>
    <row r="1287" spans="1:4" x14ac:dyDescent="0.25">
      <c r="A1287" s="140">
        <v>45697.958333333336</v>
      </c>
      <c r="B1287" t="s">
        <v>2810</v>
      </c>
      <c r="C1287" t="s">
        <v>5288</v>
      </c>
      <c r="D1287" s="6" t="str">
        <f>_xlfn.XLOOKUP(B1287,Indices!$A$2:$A$2676,Indices!$B$2:$B$2676,"")</f>
        <v/>
      </c>
    </row>
    <row r="1288" spans="1:4" x14ac:dyDescent="0.25">
      <c r="A1288" s="140">
        <v>45698.166666666664</v>
      </c>
      <c r="B1288" t="s">
        <v>38</v>
      </c>
      <c r="C1288" t="s">
        <v>5289</v>
      </c>
      <c r="D1288" s="6" t="str">
        <f>_xlfn.XLOOKUP(B1288,Indices!$A$2:$A$2676,Indices!$B$2:$B$2676,"")</f>
        <v>SP500</v>
      </c>
    </row>
    <row r="1289" spans="1:4" x14ac:dyDescent="0.25">
      <c r="A1289" s="140">
        <v>45698.166666666664</v>
      </c>
      <c r="B1289" t="s">
        <v>530</v>
      </c>
      <c r="C1289" t="s">
        <v>5289</v>
      </c>
      <c r="D1289" s="6" t="str">
        <f>_xlfn.XLOOKUP(B1289,Indices!$A$2:$A$2676,Indices!$B$2:$B$2676,"")</f>
        <v>IWM</v>
      </c>
    </row>
    <row r="1290" spans="1:4" x14ac:dyDescent="0.25">
      <c r="A1290" s="140">
        <v>45698.166666666664</v>
      </c>
      <c r="B1290" t="s">
        <v>2806</v>
      </c>
      <c r="C1290" t="s">
        <v>5289</v>
      </c>
      <c r="D1290" s="6" t="str">
        <f>_xlfn.XLOOKUP(B1290,Indices!$A$2:$A$2676,Indices!$B$2:$B$2676,"")</f>
        <v/>
      </c>
    </row>
    <row r="1291" spans="1:4" x14ac:dyDescent="0.25">
      <c r="A1291" s="140">
        <v>45698.208333333336</v>
      </c>
      <c r="B1291" t="s">
        <v>605</v>
      </c>
      <c r="C1291" t="s">
        <v>5290</v>
      </c>
      <c r="D1291" s="6" t="str">
        <f>_xlfn.XLOOKUP(B1291,Indices!$A$2:$A$2676,Indices!$B$2:$B$2676,"")</f>
        <v>SP500</v>
      </c>
    </row>
    <row r="1292" spans="1:4" x14ac:dyDescent="0.25">
      <c r="A1292" s="140">
        <v>45698.208333333336</v>
      </c>
      <c r="B1292" t="s">
        <v>2814</v>
      </c>
      <c r="C1292" t="s">
        <v>5290</v>
      </c>
      <c r="D1292" s="6" t="str">
        <f>_xlfn.XLOOKUP(B1292,Indices!$A$2:$A$2676,Indices!$B$2:$B$2676,"")</f>
        <v/>
      </c>
    </row>
    <row r="1293" spans="1:4" x14ac:dyDescent="0.25">
      <c r="A1293" s="140">
        <v>45698.208333333336</v>
      </c>
      <c r="B1293" t="s">
        <v>902</v>
      </c>
      <c r="C1293" t="s">
        <v>5290</v>
      </c>
      <c r="D1293" s="6" t="str">
        <f>_xlfn.XLOOKUP(B1293,Indices!$A$2:$A$2676,Indices!$B$2:$B$2676,"")</f>
        <v>IWM</v>
      </c>
    </row>
    <row r="1294" spans="1:4" x14ac:dyDescent="0.25">
      <c r="A1294" s="140">
        <v>45698.208333333336</v>
      </c>
      <c r="B1294" t="s">
        <v>1304</v>
      </c>
      <c r="C1294" t="s">
        <v>5290</v>
      </c>
      <c r="D1294" s="6" t="str">
        <f>_xlfn.XLOOKUP(B1294,Indices!$A$2:$A$2676,Indices!$B$2:$B$2676,"")</f>
        <v>SP500</v>
      </c>
    </row>
    <row r="1295" spans="1:4" x14ac:dyDescent="0.25">
      <c r="A1295" s="140">
        <v>45698.208333333336</v>
      </c>
      <c r="B1295" t="s">
        <v>2813</v>
      </c>
      <c r="C1295" t="s">
        <v>5290</v>
      </c>
      <c r="D1295" s="6" t="str">
        <f>_xlfn.XLOOKUP(B1295,Indices!$A$2:$A$2676,Indices!$B$2:$B$2676,"")</f>
        <v/>
      </c>
    </row>
    <row r="1296" spans="1:4" x14ac:dyDescent="0.25">
      <c r="A1296" s="140">
        <v>45698.208333333336</v>
      </c>
      <c r="B1296" t="s">
        <v>1574</v>
      </c>
      <c r="C1296" t="s">
        <v>5290</v>
      </c>
      <c r="D1296" s="6" t="str">
        <f>_xlfn.XLOOKUP(B1296,Indices!$A$2:$A$2676,Indices!$B$2:$B$2676,"")</f>
        <v>SP500</v>
      </c>
    </row>
    <row r="1297" spans="1:4" x14ac:dyDescent="0.25">
      <c r="A1297" s="140">
        <v>45698.208333333336</v>
      </c>
      <c r="B1297" t="s">
        <v>906</v>
      </c>
      <c r="C1297" t="s">
        <v>5290</v>
      </c>
      <c r="D1297" s="6" t="str">
        <f>_xlfn.XLOOKUP(B1297,Indices!$A$2:$A$2676,Indices!$B$2:$B$2676,"")</f>
        <v>S&amp;P Mid</v>
      </c>
    </row>
    <row r="1298" spans="1:4" x14ac:dyDescent="0.25">
      <c r="A1298" s="140">
        <v>45698.208333333336</v>
      </c>
      <c r="B1298" t="s">
        <v>2817</v>
      </c>
      <c r="C1298" t="s">
        <v>5290</v>
      </c>
      <c r="D1298" s="6" t="str">
        <f>_xlfn.XLOOKUP(B1298,Indices!$A$2:$A$2676,Indices!$B$2:$B$2676,"")</f>
        <v/>
      </c>
    </row>
    <row r="1299" spans="1:4" x14ac:dyDescent="0.25">
      <c r="A1299" s="140">
        <v>45698.208333333336</v>
      </c>
      <c r="B1299" t="s">
        <v>603</v>
      </c>
      <c r="C1299" t="s">
        <v>5290</v>
      </c>
      <c r="D1299" s="6" t="str">
        <f>_xlfn.XLOOKUP(B1299,Indices!$A$2:$A$2676,Indices!$B$2:$B$2676,"")</f>
        <v>IWM</v>
      </c>
    </row>
    <row r="1300" spans="1:4" x14ac:dyDescent="0.25">
      <c r="A1300" s="140">
        <v>45698.229166666664</v>
      </c>
      <c r="B1300" t="s">
        <v>1485</v>
      </c>
      <c r="C1300" t="s">
        <v>5291</v>
      </c>
      <c r="D1300" s="6" t="str">
        <f>_xlfn.XLOOKUP(B1300,Indices!$A$2:$A$2676,Indices!$B$2:$B$2676,"")</f>
        <v>SP500</v>
      </c>
    </row>
    <row r="1301" spans="1:4" x14ac:dyDescent="0.25">
      <c r="A1301" s="140">
        <v>45698.25</v>
      </c>
      <c r="B1301" t="s">
        <v>2688</v>
      </c>
      <c r="C1301" t="s">
        <v>5292</v>
      </c>
      <c r="D1301" s="6" t="str">
        <f>_xlfn.XLOOKUP(B1301,Indices!$A$2:$A$2676,Indices!$B$2:$B$2676,"")</f>
        <v/>
      </c>
    </row>
    <row r="1302" spans="1:4" x14ac:dyDescent="0.25">
      <c r="A1302" s="140">
        <v>45698.25</v>
      </c>
      <c r="B1302" t="s">
        <v>1812</v>
      </c>
      <c r="C1302" t="s">
        <v>5292</v>
      </c>
      <c r="D1302" s="6" t="str">
        <f>_xlfn.XLOOKUP(B1302,Indices!$A$2:$A$2676,Indices!$B$2:$B$2676,"")</f>
        <v>IWM</v>
      </c>
    </row>
    <row r="1303" spans="1:4" x14ac:dyDescent="0.25">
      <c r="A1303" s="140">
        <v>45698.251388888886</v>
      </c>
      <c r="B1303" t="s">
        <v>861</v>
      </c>
      <c r="C1303" t="s">
        <v>5293</v>
      </c>
      <c r="D1303" s="6" t="str">
        <f>_xlfn.XLOOKUP(B1303,Indices!$A$2:$A$2676,Indices!$B$2:$B$2676,"")</f>
        <v>IWM</v>
      </c>
    </row>
    <row r="1304" spans="1:4" x14ac:dyDescent="0.25">
      <c r="A1304" s="140">
        <v>45698.270833333336</v>
      </c>
      <c r="B1304" t="s">
        <v>2874</v>
      </c>
      <c r="C1304" t="s">
        <v>5294</v>
      </c>
      <c r="D1304" s="6" t="str">
        <f>_xlfn.XLOOKUP(B1304,Indices!$A$2:$A$2676,Indices!$B$2:$B$2676,"")</f>
        <v/>
      </c>
    </row>
    <row r="1305" spans="1:4" x14ac:dyDescent="0.25">
      <c r="A1305" s="140">
        <v>45698.291666666664</v>
      </c>
      <c r="B1305" t="s">
        <v>4943</v>
      </c>
      <c r="C1305" t="s">
        <v>2805</v>
      </c>
      <c r="D1305" s="6" t="str">
        <f>_xlfn.XLOOKUP(B1305,Indices!$A$2:$A$2676,Indices!$B$2:$B$2676,"")</f>
        <v/>
      </c>
    </row>
    <row r="1306" spans="1:4" x14ac:dyDescent="0.25">
      <c r="A1306" s="140">
        <v>45698.291666666664</v>
      </c>
      <c r="B1306" t="s">
        <v>2809</v>
      </c>
      <c r="C1306" t="s">
        <v>2808</v>
      </c>
      <c r="D1306" s="6" t="str">
        <f>_xlfn.XLOOKUP(B1306,Indices!$A$2:$A$2676,Indices!$B$2:$B$2676,"")</f>
        <v/>
      </c>
    </row>
    <row r="1307" spans="1:4" x14ac:dyDescent="0.25">
      <c r="A1307" s="140">
        <v>45698.302083333336</v>
      </c>
      <c r="B1307" t="s">
        <v>31</v>
      </c>
      <c r="C1307" t="s">
        <v>5295</v>
      </c>
      <c r="D1307" s="6" t="str">
        <f>_xlfn.XLOOKUP(B1307,Indices!$A$2:$A$2676,Indices!$B$2:$B$2676,"")</f>
        <v>IWM</v>
      </c>
    </row>
    <row r="1308" spans="1:4" x14ac:dyDescent="0.25">
      <c r="A1308" s="140">
        <v>45698.584027777775</v>
      </c>
      <c r="B1308" t="s">
        <v>336</v>
      </c>
      <c r="C1308" t="s">
        <v>5296</v>
      </c>
      <c r="D1308" s="6" t="str">
        <f>_xlfn.XLOOKUP(B1308,Indices!$A$2:$A$2676,Indices!$B$2:$B$2676,"")</f>
        <v>IWM</v>
      </c>
    </row>
    <row r="1309" spans="1:4" x14ac:dyDescent="0.25">
      <c r="A1309" s="140">
        <v>45698.584027777775</v>
      </c>
      <c r="B1309" t="s">
        <v>2640</v>
      </c>
      <c r="C1309" t="s">
        <v>5296</v>
      </c>
      <c r="D1309" s="6" t="str">
        <f>_xlfn.XLOOKUP(B1309,Indices!$A$2:$A$2676,Indices!$B$2:$B$2676,"")</f>
        <v/>
      </c>
    </row>
    <row r="1310" spans="1:4" x14ac:dyDescent="0.25">
      <c r="A1310" s="140">
        <v>45698.584027777775</v>
      </c>
      <c r="B1310" t="s">
        <v>64</v>
      </c>
      <c r="C1310" t="s">
        <v>5296</v>
      </c>
      <c r="D1310" s="6" t="str">
        <f>_xlfn.XLOOKUP(B1310,Indices!$A$2:$A$2676,Indices!$B$2:$B$2676,"")</f>
        <v>S&amp;P Mid</v>
      </c>
    </row>
    <row r="1311" spans="1:4" x14ac:dyDescent="0.25">
      <c r="A1311" s="140">
        <v>45698.584027777775</v>
      </c>
      <c r="B1311" t="s">
        <v>66</v>
      </c>
      <c r="C1311" t="s">
        <v>5296</v>
      </c>
      <c r="D1311" s="6" t="str">
        <f>_xlfn.XLOOKUP(B1311,Indices!$A$2:$A$2676,Indices!$B$2:$B$2676,"")</f>
        <v>SP500</v>
      </c>
    </row>
    <row r="1312" spans="1:4" x14ac:dyDescent="0.25">
      <c r="A1312" s="140">
        <v>45698.584027777775</v>
      </c>
      <c r="B1312" t="s">
        <v>1146</v>
      </c>
      <c r="C1312" t="s">
        <v>5296</v>
      </c>
      <c r="D1312" s="6" t="str">
        <f>_xlfn.XLOOKUP(B1312,Indices!$A$2:$A$2676,Indices!$B$2:$B$2676,"")</f>
        <v>IWM</v>
      </c>
    </row>
    <row r="1313" spans="1:4" x14ac:dyDescent="0.25">
      <c r="A1313" s="140">
        <v>45698.584027777775</v>
      </c>
      <c r="B1313" t="s">
        <v>1162</v>
      </c>
      <c r="C1313" t="s">
        <v>5296</v>
      </c>
      <c r="D1313" s="6" t="str">
        <f>_xlfn.XLOOKUP(B1313,Indices!$A$2:$A$2676,Indices!$B$2:$B$2676,"")</f>
        <v>IWM</v>
      </c>
    </row>
    <row r="1314" spans="1:4" x14ac:dyDescent="0.25">
      <c r="A1314" s="140">
        <v>45698.584722222222</v>
      </c>
      <c r="B1314" t="s">
        <v>2819</v>
      </c>
      <c r="C1314" t="s">
        <v>5297</v>
      </c>
      <c r="D1314" s="6" t="str">
        <f>_xlfn.XLOOKUP(B1314,Indices!$A$2:$A$2676,Indices!$B$2:$B$2676,"")</f>
        <v/>
      </c>
    </row>
    <row r="1315" spans="1:4" x14ac:dyDescent="0.25">
      <c r="A1315" s="140">
        <v>45698.585416666669</v>
      </c>
      <c r="B1315" t="s">
        <v>2424</v>
      </c>
      <c r="C1315" t="s">
        <v>5298</v>
      </c>
      <c r="D1315" s="6" t="str">
        <f>_xlfn.XLOOKUP(B1315,Indices!$A$2:$A$2676,Indices!$B$2:$B$2676,"")</f>
        <v>S&amp;P Mid</v>
      </c>
    </row>
    <row r="1316" spans="1:4" x14ac:dyDescent="0.25">
      <c r="A1316" s="140">
        <v>45698.586111111108</v>
      </c>
      <c r="B1316" t="s">
        <v>2509</v>
      </c>
      <c r="C1316" t="s">
        <v>5299</v>
      </c>
      <c r="D1316" s="6" t="str">
        <f>_xlfn.XLOOKUP(B1316,Indices!$A$2:$A$2676,Indices!$B$2:$B$2676,"")</f>
        <v>S&amp;P Mid</v>
      </c>
    </row>
    <row r="1317" spans="1:4" x14ac:dyDescent="0.25">
      <c r="A1317" s="140">
        <v>45698.586805555555</v>
      </c>
      <c r="B1317" t="s">
        <v>2824</v>
      </c>
      <c r="C1317" t="s">
        <v>5300</v>
      </c>
      <c r="D1317" s="6" t="str">
        <f>_xlfn.XLOOKUP(B1317,Indices!$A$2:$A$2676,Indices!$B$2:$B$2676,"")</f>
        <v/>
      </c>
    </row>
    <row r="1318" spans="1:4" x14ac:dyDescent="0.25">
      <c r="A1318" s="140">
        <v>45698.586805555555</v>
      </c>
      <c r="B1318" t="s">
        <v>1509</v>
      </c>
      <c r="C1318" t="s">
        <v>5300</v>
      </c>
      <c r="D1318" s="6" t="str">
        <f>_xlfn.XLOOKUP(B1318,Indices!$A$2:$A$2676,Indices!$B$2:$B$2676,"")</f>
        <v>SP500</v>
      </c>
    </row>
    <row r="1319" spans="1:4" x14ac:dyDescent="0.25">
      <c r="A1319" s="140">
        <v>45698.586805555555</v>
      </c>
      <c r="B1319" t="s">
        <v>2219</v>
      </c>
      <c r="C1319" t="s">
        <v>5300</v>
      </c>
      <c r="D1319" s="6" t="str">
        <f>_xlfn.XLOOKUP(B1319,Indices!$A$2:$A$2676,Indices!$B$2:$B$2676,"")</f>
        <v>IWM</v>
      </c>
    </row>
    <row r="1320" spans="1:4" x14ac:dyDescent="0.25">
      <c r="A1320" s="140">
        <v>45698.586805555555</v>
      </c>
      <c r="B1320" t="s">
        <v>2020</v>
      </c>
      <c r="C1320" t="s">
        <v>5300</v>
      </c>
      <c r="D1320" s="6" t="str">
        <f>_xlfn.XLOOKUP(B1320,Indices!$A$2:$A$2676,Indices!$B$2:$B$2676,"")</f>
        <v>IWM</v>
      </c>
    </row>
    <row r="1321" spans="1:4" x14ac:dyDescent="0.25">
      <c r="A1321" s="140">
        <v>45698.586805555555</v>
      </c>
      <c r="B1321" t="s">
        <v>56</v>
      </c>
      <c r="C1321" t="s">
        <v>5300</v>
      </c>
      <c r="D1321" s="6" t="str">
        <f>_xlfn.XLOOKUP(B1321,Indices!$A$2:$A$2676,Indices!$B$2:$B$2676,"")</f>
        <v>IWM</v>
      </c>
    </row>
    <row r="1322" spans="1:4" x14ac:dyDescent="0.25">
      <c r="A1322" s="140">
        <v>45698.586805555555</v>
      </c>
      <c r="B1322" t="s">
        <v>1271</v>
      </c>
      <c r="C1322" t="s">
        <v>5300</v>
      </c>
      <c r="D1322" s="6" t="str">
        <f>_xlfn.XLOOKUP(B1322,Indices!$A$2:$A$2676,Indices!$B$2:$B$2676,"")</f>
        <v>IWM</v>
      </c>
    </row>
    <row r="1323" spans="1:4" x14ac:dyDescent="0.25">
      <c r="A1323" s="140">
        <v>45698.586805555555</v>
      </c>
      <c r="B1323" t="s">
        <v>1453</v>
      </c>
      <c r="C1323" t="s">
        <v>5300</v>
      </c>
      <c r="D1323" s="6" t="str">
        <f>_xlfn.XLOOKUP(B1323,Indices!$A$2:$A$2676,Indices!$B$2:$B$2676,"")</f>
        <v>SP500</v>
      </c>
    </row>
    <row r="1324" spans="1:4" x14ac:dyDescent="0.25">
      <c r="A1324" s="140">
        <v>45698.586805555555</v>
      </c>
      <c r="B1324" t="s">
        <v>475</v>
      </c>
      <c r="C1324" t="s">
        <v>5300</v>
      </c>
      <c r="D1324" s="6" t="str">
        <f>_xlfn.XLOOKUP(B1324,Indices!$A$2:$A$2676,Indices!$B$2:$B$2676,"")</f>
        <v>S&amp;P Mid</v>
      </c>
    </row>
    <row r="1325" spans="1:4" x14ac:dyDescent="0.25">
      <c r="A1325" s="140">
        <v>45698.586805555555</v>
      </c>
      <c r="B1325" t="s">
        <v>1148</v>
      </c>
      <c r="C1325" t="s">
        <v>5300</v>
      </c>
      <c r="D1325" s="6" t="str">
        <f>_xlfn.XLOOKUP(B1325,Indices!$A$2:$A$2676,Indices!$B$2:$B$2676,"")</f>
        <v>IWM</v>
      </c>
    </row>
    <row r="1326" spans="1:4" x14ac:dyDescent="0.25">
      <c r="A1326" s="140">
        <v>45698.586805555555</v>
      </c>
      <c r="B1326" t="s">
        <v>1958</v>
      </c>
      <c r="C1326" t="s">
        <v>5300</v>
      </c>
      <c r="D1326" s="6" t="str">
        <f>_xlfn.XLOOKUP(B1326,Indices!$A$2:$A$2676,Indices!$B$2:$B$2676,"")</f>
        <v>IWM</v>
      </c>
    </row>
    <row r="1327" spans="1:4" x14ac:dyDescent="0.25">
      <c r="A1327" s="140">
        <v>45698.586805555555</v>
      </c>
      <c r="B1327" t="s">
        <v>2820</v>
      </c>
      <c r="C1327" t="s">
        <v>5300</v>
      </c>
      <c r="D1327" s="6" t="str">
        <f>_xlfn.XLOOKUP(B1327,Indices!$A$2:$A$2676,Indices!$B$2:$B$2676,"")</f>
        <v/>
      </c>
    </row>
    <row r="1328" spans="1:4" x14ac:dyDescent="0.25">
      <c r="A1328" s="140">
        <v>45698.586805555555</v>
      </c>
      <c r="B1328" t="s">
        <v>954</v>
      </c>
      <c r="C1328" t="s">
        <v>5300</v>
      </c>
      <c r="D1328" s="6" t="str">
        <f>_xlfn.XLOOKUP(B1328,Indices!$A$2:$A$2676,Indices!$B$2:$B$2676,"")</f>
        <v>IWM</v>
      </c>
    </row>
    <row r="1329" spans="1:4" x14ac:dyDescent="0.25">
      <c r="A1329" s="140">
        <v>45698.586805555555</v>
      </c>
      <c r="B1329" t="s">
        <v>1643</v>
      </c>
      <c r="C1329" t="s">
        <v>5300</v>
      </c>
      <c r="D1329" s="6" t="str">
        <f>_xlfn.XLOOKUP(B1329,Indices!$A$2:$A$2676,Indices!$B$2:$B$2676,"")</f>
        <v>IWM</v>
      </c>
    </row>
    <row r="1330" spans="1:4" x14ac:dyDescent="0.25">
      <c r="A1330" s="140">
        <v>45698.586805555555</v>
      </c>
      <c r="B1330" t="s">
        <v>2827</v>
      </c>
      <c r="C1330" t="s">
        <v>5300</v>
      </c>
      <c r="D1330" s="6" t="str">
        <f>_xlfn.XLOOKUP(B1330,Indices!$A$2:$A$2676,Indices!$B$2:$B$2676,"")</f>
        <v/>
      </c>
    </row>
    <row r="1331" spans="1:4" x14ac:dyDescent="0.25">
      <c r="A1331" s="140">
        <v>45698.586805555555</v>
      </c>
      <c r="B1331" t="s">
        <v>2912</v>
      </c>
      <c r="C1331" t="s">
        <v>5300</v>
      </c>
      <c r="D1331" s="6" t="str">
        <f>_xlfn.XLOOKUP(B1331,Indices!$A$2:$A$2676,Indices!$B$2:$B$2676,"")</f>
        <v/>
      </c>
    </row>
    <row r="1332" spans="1:4" x14ac:dyDescent="0.25">
      <c r="A1332" s="140">
        <v>45698.586805555555</v>
      </c>
      <c r="B1332" t="s">
        <v>2545</v>
      </c>
      <c r="C1332" t="s">
        <v>5300</v>
      </c>
      <c r="D1332" s="6" t="str">
        <f>_xlfn.XLOOKUP(B1332,Indices!$A$2:$A$2676,Indices!$B$2:$B$2676,"")</f>
        <v/>
      </c>
    </row>
    <row r="1333" spans="1:4" x14ac:dyDescent="0.25">
      <c r="A1333" s="140">
        <v>45698.59375</v>
      </c>
      <c r="B1333" t="s">
        <v>2349</v>
      </c>
      <c r="C1333" t="s">
        <v>5301</v>
      </c>
      <c r="D1333" s="6" t="str">
        <f>_xlfn.XLOOKUP(B1333,Indices!$A$2:$A$2676,Indices!$B$2:$B$2676,"")</f>
        <v>S&amp;P Mid</v>
      </c>
    </row>
    <row r="1334" spans="1:4" x14ac:dyDescent="0.25">
      <c r="A1334" s="140">
        <v>45698.59375</v>
      </c>
      <c r="B1334" t="s">
        <v>1961</v>
      </c>
      <c r="C1334" t="s">
        <v>5301</v>
      </c>
      <c r="D1334" s="6" t="str">
        <f>_xlfn.XLOOKUP(B1334,Indices!$A$2:$A$2676,Indices!$B$2:$B$2676,"")</f>
        <v>IWM</v>
      </c>
    </row>
    <row r="1335" spans="1:4" x14ac:dyDescent="0.25">
      <c r="A1335" s="140">
        <v>45698.59375</v>
      </c>
      <c r="B1335" t="s">
        <v>454</v>
      </c>
      <c r="C1335" t="s">
        <v>5301</v>
      </c>
      <c r="D1335" s="6" t="str">
        <f>_xlfn.XLOOKUP(B1335,Indices!$A$2:$A$2676,Indices!$B$2:$B$2676,"")</f>
        <v>IWM</v>
      </c>
    </row>
    <row r="1336" spans="1:4" x14ac:dyDescent="0.25">
      <c r="A1336" s="140">
        <v>45698.59375</v>
      </c>
      <c r="B1336" t="s">
        <v>935</v>
      </c>
      <c r="C1336" t="s">
        <v>5301</v>
      </c>
      <c r="D1336" s="6" t="str">
        <f>_xlfn.XLOOKUP(B1336,Indices!$A$2:$A$2676,Indices!$B$2:$B$2676,"")</f>
        <v>IWM</v>
      </c>
    </row>
    <row r="1337" spans="1:4" x14ac:dyDescent="0.25">
      <c r="A1337" s="140">
        <v>45698.59375</v>
      </c>
      <c r="B1337" t="s">
        <v>2829</v>
      </c>
      <c r="C1337" t="s">
        <v>5301</v>
      </c>
      <c r="D1337" s="6" t="str">
        <f>_xlfn.XLOOKUP(B1337,Indices!$A$2:$A$2676,Indices!$B$2:$B$2676,"")</f>
        <v/>
      </c>
    </row>
    <row r="1338" spans="1:4" x14ac:dyDescent="0.25">
      <c r="A1338" s="140">
        <v>45698.59375</v>
      </c>
      <c r="B1338" t="s">
        <v>2362</v>
      </c>
      <c r="C1338" t="s">
        <v>5301</v>
      </c>
      <c r="D1338" s="6" t="str">
        <f>_xlfn.XLOOKUP(B1338,Indices!$A$2:$A$2676,Indices!$B$2:$B$2676,"")</f>
        <v>S&amp;P Mid</v>
      </c>
    </row>
    <row r="1339" spans="1:4" x14ac:dyDescent="0.25">
      <c r="A1339" s="140">
        <v>45698.604166666664</v>
      </c>
      <c r="B1339" t="s">
        <v>143</v>
      </c>
      <c r="C1339" t="s">
        <v>5302</v>
      </c>
      <c r="D1339" s="6" t="str">
        <f>_xlfn.XLOOKUP(B1339,Indices!$A$2:$A$2676,Indices!$B$2:$B$2676,"")</f>
        <v>S&amp;P Mid</v>
      </c>
    </row>
    <row r="1340" spans="1:4" x14ac:dyDescent="0.25">
      <c r="A1340" s="140">
        <v>45698.604166666664</v>
      </c>
      <c r="B1340" t="s">
        <v>1880</v>
      </c>
      <c r="C1340" t="s">
        <v>5302</v>
      </c>
      <c r="D1340" s="6" t="str">
        <f>_xlfn.XLOOKUP(B1340,Indices!$A$2:$A$2676,Indices!$B$2:$B$2676,"")</f>
        <v>IWM</v>
      </c>
    </row>
    <row r="1341" spans="1:4" x14ac:dyDescent="0.25">
      <c r="A1341" s="140">
        <v>45698.604166666664</v>
      </c>
      <c r="B1341" t="s">
        <v>2627</v>
      </c>
      <c r="C1341" t="s">
        <v>5302</v>
      </c>
      <c r="D1341" s="6" t="str">
        <f>_xlfn.XLOOKUP(B1341,Indices!$A$2:$A$2676,Indices!$B$2:$B$2676,"")</f>
        <v/>
      </c>
    </row>
    <row r="1342" spans="1:4" x14ac:dyDescent="0.25">
      <c r="A1342" s="140">
        <v>45698.604166666664</v>
      </c>
      <c r="B1342" t="s">
        <v>148</v>
      </c>
      <c r="C1342" t="s">
        <v>5302</v>
      </c>
      <c r="D1342" s="6" t="str">
        <f>_xlfn.XLOOKUP(B1342,Indices!$A$2:$A$2676,Indices!$B$2:$B$2676,"")</f>
        <v>IWM</v>
      </c>
    </row>
    <row r="1343" spans="1:4" x14ac:dyDescent="0.25">
      <c r="A1343" s="140">
        <v>45698.607638888891</v>
      </c>
      <c r="B1343" t="s">
        <v>1665</v>
      </c>
      <c r="C1343" t="s">
        <v>5303</v>
      </c>
      <c r="D1343" s="6" t="str">
        <f>_xlfn.XLOOKUP(B1343,Indices!$A$2:$A$2676,Indices!$B$2:$B$2676,"")</f>
        <v>IWM</v>
      </c>
    </row>
    <row r="1344" spans="1:4" x14ac:dyDescent="0.25">
      <c r="A1344" s="140">
        <v>45698.609722222223</v>
      </c>
      <c r="B1344" t="s">
        <v>2831</v>
      </c>
      <c r="C1344" t="s">
        <v>5304</v>
      </c>
      <c r="D1344" s="6" t="str">
        <f>_xlfn.XLOOKUP(B1344,Indices!$A$2:$A$2676,Indices!$B$2:$B$2676,"")</f>
        <v/>
      </c>
    </row>
    <row r="1345" spans="1:4" x14ac:dyDescent="0.25">
      <c r="A1345" s="140">
        <v>45698.617361111108</v>
      </c>
      <c r="B1345" t="s">
        <v>2495</v>
      </c>
      <c r="C1345" t="s">
        <v>5305</v>
      </c>
      <c r="D1345" s="6" t="str">
        <f>_xlfn.XLOOKUP(B1345,Indices!$A$2:$A$2676,Indices!$B$2:$B$2676,"")</f>
        <v>S&amp;P Mid</v>
      </c>
    </row>
    <row r="1346" spans="1:4" x14ac:dyDescent="0.25">
      <c r="A1346" s="140">
        <v>45698.625</v>
      </c>
      <c r="B1346" t="s">
        <v>1074</v>
      </c>
      <c r="C1346" t="s">
        <v>2818</v>
      </c>
      <c r="D1346" s="6" t="str">
        <f>_xlfn.XLOOKUP(B1346,Indices!$A$2:$A$2676,Indices!$B$2:$B$2676,"")</f>
        <v>IWM</v>
      </c>
    </row>
    <row r="1347" spans="1:4" x14ac:dyDescent="0.25">
      <c r="A1347" s="140">
        <v>45698.625</v>
      </c>
      <c r="B1347" t="s">
        <v>1110</v>
      </c>
      <c r="C1347" t="s">
        <v>2818</v>
      </c>
      <c r="D1347" s="6" t="str">
        <f>_xlfn.XLOOKUP(B1347,Indices!$A$2:$A$2676,Indices!$B$2:$B$2676,"")</f>
        <v>SP500</v>
      </c>
    </row>
    <row r="1348" spans="1:4" x14ac:dyDescent="0.25">
      <c r="A1348" s="140">
        <v>45698.634722222225</v>
      </c>
      <c r="B1348" t="s">
        <v>2728</v>
      </c>
      <c r="C1348" t="s">
        <v>5306</v>
      </c>
      <c r="D1348" s="6" t="str">
        <f>_xlfn.XLOOKUP(B1348,Indices!$A$2:$A$2676,Indices!$B$2:$B$2676,"")</f>
        <v/>
      </c>
    </row>
    <row r="1349" spans="1:4" x14ac:dyDescent="0.25">
      <c r="A1349" s="140">
        <v>45698.63958333333</v>
      </c>
      <c r="B1349" t="s">
        <v>1123</v>
      </c>
      <c r="C1349" t="s">
        <v>5307</v>
      </c>
      <c r="D1349" s="6" t="str">
        <f>_xlfn.XLOOKUP(B1349,Indices!$A$2:$A$2676,Indices!$B$2:$B$2676,"")</f>
        <v>IWM</v>
      </c>
    </row>
    <row r="1350" spans="1:4" x14ac:dyDescent="0.25">
      <c r="A1350" s="140">
        <v>45698.652083333334</v>
      </c>
      <c r="B1350" t="s">
        <v>519</v>
      </c>
      <c r="C1350" t="s">
        <v>5308</v>
      </c>
      <c r="D1350" s="6" t="str">
        <f>_xlfn.XLOOKUP(B1350,Indices!$A$2:$A$2676,Indices!$B$2:$B$2676,"")</f>
        <v>S&amp;P Mid</v>
      </c>
    </row>
    <row r="1351" spans="1:4" x14ac:dyDescent="0.25">
      <c r="A1351" s="140">
        <v>45698.678472222222</v>
      </c>
      <c r="B1351" t="s">
        <v>2826</v>
      </c>
      <c r="C1351" t="s">
        <v>5309</v>
      </c>
      <c r="D1351" s="6" t="str">
        <f>_xlfn.XLOOKUP(B1351,Indices!$A$2:$A$2676,Indices!$B$2:$B$2676,"")</f>
        <v/>
      </c>
    </row>
    <row r="1352" spans="1:4" x14ac:dyDescent="0.25">
      <c r="A1352" s="140">
        <v>45698.800694444442</v>
      </c>
      <c r="B1352" t="s">
        <v>2816</v>
      </c>
      <c r="C1352" t="s">
        <v>5310</v>
      </c>
      <c r="D1352" s="6" t="str">
        <f>_xlfn.XLOOKUP(B1352,Indices!$A$2:$A$2676,Indices!$B$2:$B$2676,"")</f>
        <v/>
      </c>
    </row>
    <row r="1353" spans="1:4" x14ac:dyDescent="0.25">
      <c r="A1353" s="140">
        <v>45698.824999999997</v>
      </c>
      <c r="B1353" t="s">
        <v>2892</v>
      </c>
      <c r="C1353" t="s">
        <v>5311</v>
      </c>
      <c r="D1353" s="6" t="str">
        <f>_xlfn.XLOOKUP(B1353,Indices!$A$2:$A$2676,Indices!$B$2:$B$2676,"")</f>
        <v/>
      </c>
    </row>
    <row r="1354" spans="1:4" x14ac:dyDescent="0.25">
      <c r="A1354" s="140">
        <v>45698.958333333336</v>
      </c>
      <c r="B1354" t="s">
        <v>2847</v>
      </c>
      <c r="C1354" t="s">
        <v>5314</v>
      </c>
      <c r="D1354" s="6" t="str">
        <f>_xlfn.XLOOKUP(B1354,Indices!$A$2:$A$2676,Indices!$B$2:$B$2676,"")</f>
        <v/>
      </c>
    </row>
    <row r="1355" spans="1:4" x14ac:dyDescent="0.25">
      <c r="A1355" s="140">
        <v>45698.958333333336</v>
      </c>
      <c r="B1355" t="s">
        <v>1323</v>
      </c>
      <c r="C1355" t="s">
        <v>5312</v>
      </c>
      <c r="D1355" s="6" t="str">
        <f>_xlfn.XLOOKUP(B1355,Indices!$A$2:$A$2676,Indices!$B$2:$B$2676,"")</f>
        <v>SP500</v>
      </c>
    </row>
    <row r="1356" spans="1:4" x14ac:dyDescent="0.25">
      <c r="A1356" s="140">
        <v>45698.958333333336</v>
      </c>
      <c r="B1356" t="s">
        <v>2867</v>
      </c>
      <c r="C1356" t="s">
        <v>5313</v>
      </c>
      <c r="D1356" s="6" t="str">
        <f>_xlfn.XLOOKUP(B1356,Indices!$A$2:$A$2676,Indices!$B$2:$B$2676,"")</f>
        <v/>
      </c>
    </row>
    <row r="1357" spans="1:4" x14ac:dyDescent="0.25">
      <c r="A1357" s="140">
        <v>45698.958333333336</v>
      </c>
      <c r="B1357" t="s">
        <v>2840</v>
      </c>
      <c r="C1357" t="s">
        <v>5312</v>
      </c>
      <c r="D1357" s="6" t="str">
        <f>_xlfn.XLOOKUP(B1357,Indices!$A$2:$A$2676,Indices!$B$2:$B$2676,"")</f>
        <v/>
      </c>
    </row>
    <row r="1358" spans="1:4" x14ac:dyDescent="0.25">
      <c r="A1358" s="140">
        <v>45698.958333333336</v>
      </c>
      <c r="B1358" t="s">
        <v>2845</v>
      </c>
      <c r="C1358" t="s">
        <v>5312</v>
      </c>
      <c r="D1358" s="6" t="str">
        <f>_xlfn.XLOOKUP(B1358,Indices!$A$2:$A$2676,Indices!$B$2:$B$2676,"")</f>
        <v/>
      </c>
    </row>
    <row r="1359" spans="1:4" x14ac:dyDescent="0.25">
      <c r="A1359" s="140">
        <v>45698.979166666664</v>
      </c>
      <c r="B1359" t="s">
        <v>2832</v>
      </c>
      <c r="C1359" t="s">
        <v>5315</v>
      </c>
      <c r="D1359" s="6" t="str">
        <f>_xlfn.XLOOKUP(B1359,Indices!$A$2:$A$2676,Indices!$B$2:$B$2676,"")</f>
        <v/>
      </c>
    </row>
    <row r="1360" spans="1:4" x14ac:dyDescent="0.25">
      <c r="A1360" s="140">
        <v>45699.037499999999</v>
      </c>
      <c r="B1360" t="s">
        <v>2846</v>
      </c>
      <c r="C1360" t="s">
        <v>5316</v>
      </c>
      <c r="D1360" s="6" t="str">
        <f>_xlfn.XLOOKUP(B1360,Indices!$A$2:$A$2676,Indices!$B$2:$B$2676,"")</f>
        <v/>
      </c>
    </row>
    <row r="1361" spans="1:4" x14ac:dyDescent="0.25">
      <c r="A1361" s="140">
        <v>45699.166666666664</v>
      </c>
      <c r="B1361" t="s">
        <v>2859</v>
      </c>
      <c r="C1361" t="s">
        <v>5317</v>
      </c>
      <c r="D1361" s="6" t="str">
        <f>_xlfn.XLOOKUP(B1361,Indices!$A$2:$A$2676,Indices!$B$2:$B$2676,"")</f>
        <v/>
      </c>
    </row>
    <row r="1362" spans="1:4" x14ac:dyDescent="0.25">
      <c r="A1362" s="140">
        <v>45699.166666666664</v>
      </c>
      <c r="B1362" t="s">
        <v>2841</v>
      </c>
      <c r="C1362" t="s">
        <v>5317</v>
      </c>
      <c r="D1362" s="6" t="str">
        <f>_xlfn.XLOOKUP(B1362,Indices!$A$2:$A$2676,Indices!$B$2:$B$2676,"")</f>
        <v/>
      </c>
    </row>
    <row r="1363" spans="1:4" x14ac:dyDescent="0.25">
      <c r="A1363" s="140">
        <v>45699.166666666664</v>
      </c>
      <c r="B1363" t="s">
        <v>2421</v>
      </c>
      <c r="C1363" t="s">
        <v>5317</v>
      </c>
      <c r="D1363" s="6" t="str">
        <f>_xlfn.XLOOKUP(B1363,Indices!$A$2:$A$2676,Indices!$B$2:$B$2676,"")</f>
        <v>S&amp;P Mid</v>
      </c>
    </row>
    <row r="1364" spans="1:4" x14ac:dyDescent="0.25">
      <c r="A1364" s="140">
        <v>45699.166666666664</v>
      </c>
      <c r="B1364" t="s">
        <v>167</v>
      </c>
      <c r="C1364" t="s">
        <v>5317</v>
      </c>
      <c r="D1364" s="6" t="str">
        <f>_xlfn.XLOOKUP(B1364,Indices!$A$2:$A$2676,Indices!$B$2:$B$2676,"")</f>
        <v>SP500</v>
      </c>
    </row>
    <row r="1365" spans="1:4" x14ac:dyDescent="0.25">
      <c r="A1365" s="140">
        <v>45699.166666666664</v>
      </c>
      <c r="B1365" t="s">
        <v>1523</v>
      </c>
      <c r="C1365" t="s">
        <v>5317</v>
      </c>
      <c r="D1365" s="6" t="str">
        <f>_xlfn.XLOOKUP(B1365,Indices!$A$2:$A$2676,Indices!$B$2:$B$2676,"")</f>
        <v>SP500</v>
      </c>
    </row>
    <row r="1366" spans="1:4" x14ac:dyDescent="0.25">
      <c r="A1366" s="140">
        <v>45699.1875</v>
      </c>
      <c r="B1366" t="s">
        <v>1459</v>
      </c>
      <c r="C1366" t="s">
        <v>5318</v>
      </c>
      <c r="D1366" s="6" t="str">
        <f>_xlfn.XLOOKUP(B1366,Indices!$A$2:$A$2676,Indices!$B$2:$B$2676,"")</f>
        <v>SP500</v>
      </c>
    </row>
    <row r="1367" spans="1:4" x14ac:dyDescent="0.25">
      <c r="A1367" s="140">
        <v>45699.1875</v>
      </c>
      <c r="B1367" t="s">
        <v>1388</v>
      </c>
      <c r="C1367" t="s">
        <v>5318</v>
      </c>
      <c r="D1367" s="6" t="str">
        <f>_xlfn.XLOOKUP(B1367,Indices!$A$2:$A$2676,Indices!$B$2:$B$2676,"")</f>
        <v>SP500</v>
      </c>
    </row>
    <row r="1368" spans="1:4" x14ac:dyDescent="0.25">
      <c r="A1368" s="140">
        <v>45699.1875</v>
      </c>
      <c r="B1368" t="s">
        <v>1833</v>
      </c>
      <c r="C1368" t="s">
        <v>5318</v>
      </c>
      <c r="D1368" s="6" t="str">
        <f>_xlfn.XLOOKUP(B1368,Indices!$A$2:$A$2676,Indices!$B$2:$B$2676,"")</f>
        <v>IWM</v>
      </c>
    </row>
    <row r="1369" spans="1:4" x14ac:dyDescent="0.25">
      <c r="A1369" s="140">
        <v>45699.204861111109</v>
      </c>
      <c r="B1369" t="s">
        <v>1294</v>
      </c>
      <c r="C1369" t="s">
        <v>5319</v>
      </c>
      <c r="D1369" s="6" t="str">
        <f>_xlfn.XLOOKUP(B1369,Indices!$A$2:$A$2676,Indices!$B$2:$B$2676,"")</f>
        <v>SP500</v>
      </c>
    </row>
    <row r="1370" spans="1:4" x14ac:dyDescent="0.25">
      <c r="A1370" s="140">
        <v>45699.204861111109</v>
      </c>
      <c r="B1370" t="s">
        <v>2839</v>
      </c>
      <c r="C1370" t="s">
        <v>5319</v>
      </c>
      <c r="D1370" s="6" t="str">
        <f>_xlfn.XLOOKUP(B1370,Indices!$A$2:$A$2676,Indices!$B$2:$B$2676,"")</f>
        <v/>
      </c>
    </row>
    <row r="1371" spans="1:4" x14ac:dyDescent="0.25">
      <c r="A1371" s="140">
        <v>45699.207638888889</v>
      </c>
      <c r="B1371" t="s">
        <v>2492</v>
      </c>
      <c r="C1371" t="s">
        <v>5320</v>
      </c>
      <c r="D1371" s="6" t="str">
        <f>_xlfn.XLOOKUP(B1371,Indices!$A$2:$A$2676,Indices!$B$2:$B$2676,"")</f>
        <v>S&amp;P Mid</v>
      </c>
    </row>
    <row r="1372" spans="1:4" x14ac:dyDescent="0.25">
      <c r="A1372" s="140">
        <v>45699.208333333336</v>
      </c>
      <c r="B1372" t="s">
        <v>2844</v>
      </c>
      <c r="C1372" t="s">
        <v>5321</v>
      </c>
      <c r="D1372" s="6" t="str">
        <f>_xlfn.XLOOKUP(B1372,Indices!$A$2:$A$2676,Indices!$B$2:$B$2676,"")</f>
        <v/>
      </c>
    </row>
    <row r="1373" spans="1:4" x14ac:dyDescent="0.25">
      <c r="A1373" s="140">
        <v>45699.208333333336</v>
      </c>
      <c r="B1373" t="s">
        <v>190</v>
      </c>
      <c r="C1373" t="s">
        <v>5321</v>
      </c>
      <c r="D1373" s="6" t="str">
        <f>_xlfn.XLOOKUP(B1373,Indices!$A$2:$A$2676,Indices!$B$2:$B$2676,"")</f>
        <v>NQ100</v>
      </c>
    </row>
    <row r="1374" spans="1:4" x14ac:dyDescent="0.25">
      <c r="A1374" s="140">
        <v>45699.208333333336</v>
      </c>
      <c r="B1374" t="s">
        <v>2849</v>
      </c>
      <c r="C1374" t="s">
        <v>5321</v>
      </c>
      <c r="D1374" s="6" t="str">
        <f>_xlfn.XLOOKUP(B1374,Indices!$A$2:$A$2676,Indices!$B$2:$B$2676,"")</f>
        <v/>
      </c>
    </row>
    <row r="1375" spans="1:4" x14ac:dyDescent="0.25">
      <c r="A1375" s="140">
        <v>45699.208333333336</v>
      </c>
      <c r="B1375" t="s">
        <v>47</v>
      </c>
      <c r="C1375" t="s">
        <v>5321</v>
      </c>
      <c r="D1375" s="6" t="str">
        <f>_xlfn.XLOOKUP(B1375,Indices!$A$2:$A$2676,Indices!$B$2:$B$2676,"")</f>
        <v>SP500</v>
      </c>
    </row>
    <row r="1376" spans="1:4" x14ac:dyDescent="0.25">
      <c r="A1376" s="140">
        <v>45699.208333333336</v>
      </c>
      <c r="B1376" t="s">
        <v>1561</v>
      </c>
      <c r="C1376" t="s">
        <v>5321</v>
      </c>
      <c r="D1376" s="6" t="str">
        <f>_xlfn.XLOOKUP(B1376,Indices!$A$2:$A$2676,Indices!$B$2:$B$2676,"")</f>
        <v>SP500</v>
      </c>
    </row>
    <row r="1377" spans="1:4" x14ac:dyDescent="0.25">
      <c r="A1377" s="140">
        <v>45699.208333333336</v>
      </c>
      <c r="B1377" t="s">
        <v>48</v>
      </c>
      <c r="C1377" t="s">
        <v>5321</v>
      </c>
      <c r="D1377" s="6" t="str">
        <f>_xlfn.XLOOKUP(B1377,Indices!$A$2:$A$2676,Indices!$B$2:$B$2676,"")</f>
        <v>SP500</v>
      </c>
    </row>
    <row r="1378" spans="1:4" x14ac:dyDescent="0.25">
      <c r="A1378" s="140">
        <v>45699.208333333336</v>
      </c>
      <c r="B1378" t="s">
        <v>2837</v>
      </c>
      <c r="C1378" t="s">
        <v>5321</v>
      </c>
      <c r="D1378" s="6" t="str">
        <f>_xlfn.XLOOKUP(B1378,Indices!$A$2:$A$2676,Indices!$B$2:$B$2676,"")</f>
        <v/>
      </c>
    </row>
    <row r="1379" spans="1:4" x14ac:dyDescent="0.25">
      <c r="A1379" s="140">
        <v>45699.208333333336</v>
      </c>
      <c r="B1379" t="s">
        <v>581</v>
      </c>
      <c r="C1379" t="s">
        <v>5321</v>
      </c>
      <c r="D1379" s="6" t="str">
        <f>_xlfn.XLOOKUP(B1379,Indices!$A$2:$A$2676,Indices!$B$2:$B$2676,"")</f>
        <v>IWM</v>
      </c>
    </row>
    <row r="1380" spans="1:4" x14ac:dyDescent="0.25">
      <c r="A1380" s="140">
        <v>45699.208333333336</v>
      </c>
      <c r="B1380" t="s">
        <v>3043</v>
      </c>
      <c r="C1380" t="s">
        <v>5321</v>
      </c>
      <c r="D1380" s="6" t="str">
        <f>_xlfn.XLOOKUP(B1380,Indices!$A$2:$A$2676,Indices!$B$2:$B$2676,"")</f>
        <v/>
      </c>
    </row>
    <row r="1381" spans="1:4" x14ac:dyDescent="0.25">
      <c r="A1381" s="140">
        <v>45699.208333333336</v>
      </c>
      <c r="B1381" t="s">
        <v>1948</v>
      </c>
      <c r="C1381" t="s">
        <v>5321</v>
      </c>
      <c r="D1381" s="6" t="str">
        <f>_xlfn.XLOOKUP(B1381,Indices!$A$2:$A$2676,Indices!$B$2:$B$2676,"")</f>
        <v>IWM</v>
      </c>
    </row>
    <row r="1382" spans="1:4" x14ac:dyDescent="0.25">
      <c r="A1382" s="140">
        <v>45699.21875</v>
      </c>
      <c r="B1382" t="s">
        <v>2951</v>
      </c>
      <c r="C1382" t="s">
        <v>5322</v>
      </c>
      <c r="D1382" s="6" t="str">
        <f>_xlfn.XLOOKUP(B1382,Indices!$A$2:$A$2676,Indices!$B$2:$B$2676,"")</f>
        <v/>
      </c>
    </row>
    <row r="1383" spans="1:4" x14ac:dyDescent="0.25">
      <c r="A1383" s="140">
        <v>45699.227083333331</v>
      </c>
      <c r="B1383" t="s">
        <v>2642</v>
      </c>
      <c r="C1383" t="s">
        <v>5323</v>
      </c>
      <c r="D1383" s="6" t="str">
        <f>_xlfn.XLOOKUP(B1383,Indices!$A$2:$A$2676,Indices!$B$2:$B$2676,"")</f>
        <v/>
      </c>
    </row>
    <row r="1384" spans="1:4" x14ac:dyDescent="0.25">
      <c r="A1384" s="140">
        <v>45699.229166666664</v>
      </c>
      <c r="B1384" t="s">
        <v>2933</v>
      </c>
      <c r="C1384" t="s">
        <v>5324</v>
      </c>
      <c r="D1384" s="6" t="str">
        <f>_xlfn.XLOOKUP(B1384,Indices!$A$2:$A$2676,Indices!$B$2:$B$2676,"")</f>
        <v/>
      </c>
    </row>
    <row r="1385" spans="1:4" x14ac:dyDescent="0.25">
      <c r="A1385" s="140">
        <v>45699.239583333336</v>
      </c>
      <c r="B1385" t="s">
        <v>632</v>
      </c>
      <c r="C1385" t="s">
        <v>5325</v>
      </c>
      <c r="D1385" s="6" t="str">
        <f>_xlfn.XLOOKUP(B1385,Indices!$A$2:$A$2676,Indices!$B$2:$B$2676,"")</f>
        <v>IWM</v>
      </c>
    </row>
    <row r="1386" spans="1:4" x14ac:dyDescent="0.25">
      <c r="A1386" s="140">
        <v>45699.25</v>
      </c>
      <c r="B1386" t="s">
        <v>1386</v>
      </c>
      <c r="C1386" t="s">
        <v>5326</v>
      </c>
      <c r="D1386" s="6" t="str">
        <f>_xlfn.XLOOKUP(B1386,Indices!$A$2:$A$2676,Indices!$B$2:$B$2676,"")</f>
        <v>SP500</v>
      </c>
    </row>
    <row r="1387" spans="1:4" x14ac:dyDescent="0.25">
      <c r="A1387" s="140">
        <v>45699.25</v>
      </c>
      <c r="B1387" t="s">
        <v>2513</v>
      </c>
      <c r="C1387" t="s">
        <v>5326</v>
      </c>
      <c r="D1387" s="6" t="str">
        <f>_xlfn.XLOOKUP(B1387,Indices!$A$2:$A$2676,Indices!$B$2:$B$2676,"")</f>
        <v>S&amp;P Mid</v>
      </c>
    </row>
    <row r="1388" spans="1:4" x14ac:dyDescent="0.25">
      <c r="A1388" s="140">
        <v>45699.25</v>
      </c>
      <c r="B1388" t="s">
        <v>2662</v>
      </c>
      <c r="C1388" t="s">
        <v>5326</v>
      </c>
      <c r="D1388" s="6" t="str">
        <f>_xlfn.XLOOKUP(B1388,Indices!$A$2:$A$2676,Indices!$B$2:$B$2676,"")</f>
        <v/>
      </c>
    </row>
    <row r="1389" spans="1:4" x14ac:dyDescent="0.25">
      <c r="A1389" s="140">
        <v>45699.270833333336</v>
      </c>
      <c r="B1389" t="s">
        <v>2440</v>
      </c>
      <c r="C1389" t="s">
        <v>5327</v>
      </c>
      <c r="D1389" s="6" t="str">
        <f>_xlfn.XLOOKUP(B1389,Indices!$A$2:$A$2676,Indices!$B$2:$B$2676,"")</f>
        <v>S&amp;P Mid</v>
      </c>
    </row>
    <row r="1390" spans="1:4" x14ac:dyDescent="0.25">
      <c r="A1390" s="140">
        <v>45699.291666666664</v>
      </c>
      <c r="B1390" t="s">
        <v>179</v>
      </c>
      <c r="C1390" t="s">
        <v>2833</v>
      </c>
      <c r="D1390" s="6" t="str">
        <f>_xlfn.XLOOKUP(B1390,Indices!$A$2:$A$2676,Indices!$B$2:$B$2676,"")</f>
        <v>IWM</v>
      </c>
    </row>
    <row r="1391" spans="1:4" x14ac:dyDescent="0.25">
      <c r="A1391" s="140">
        <v>45699.291666666664</v>
      </c>
      <c r="B1391" t="s">
        <v>2838</v>
      </c>
      <c r="C1391" t="s">
        <v>2833</v>
      </c>
      <c r="D1391" s="6" t="str">
        <f>_xlfn.XLOOKUP(B1391,Indices!$A$2:$A$2676,Indices!$B$2:$B$2676,"")</f>
        <v/>
      </c>
    </row>
    <row r="1392" spans="1:4" x14ac:dyDescent="0.25">
      <c r="A1392" s="140">
        <v>45699.291666666664</v>
      </c>
      <c r="B1392" t="s">
        <v>2842</v>
      </c>
      <c r="C1392" t="s">
        <v>2843</v>
      </c>
      <c r="D1392" s="6" t="str">
        <f>_xlfn.XLOOKUP(B1392,Indices!$A$2:$A$2676,Indices!$B$2:$B$2676,"")</f>
        <v/>
      </c>
    </row>
    <row r="1393" spans="1:4" x14ac:dyDescent="0.25">
      <c r="A1393" s="140">
        <v>45699.584027777775</v>
      </c>
      <c r="B1393" t="s">
        <v>216</v>
      </c>
      <c r="C1393" t="s">
        <v>5328</v>
      </c>
      <c r="D1393" s="6" t="str">
        <f>_xlfn.XLOOKUP(B1393,Indices!$A$2:$A$2676,Indices!$B$2:$B$2676,"")</f>
        <v>IWM</v>
      </c>
    </row>
    <row r="1394" spans="1:4" x14ac:dyDescent="0.25">
      <c r="A1394" s="140">
        <v>45699.584027777775</v>
      </c>
      <c r="B1394" t="s">
        <v>1966</v>
      </c>
      <c r="C1394" t="s">
        <v>5328</v>
      </c>
      <c r="D1394" s="6" t="str">
        <f>_xlfn.XLOOKUP(B1394,Indices!$A$2:$A$2676,Indices!$B$2:$B$2676,"")</f>
        <v>IWM</v>
      </c>
    </row>
    <row r="1395" spans="1:4" x14ac:dyDescent="0.25">
      <c r="A1395" s="140">
        <v>45699.584027777775</v>
      </c>
      <c r="B1395" t="s">
        <v>824</v>
      </c>
      <c r="C1395" t="s">
        <v>5328</v>
      </c>
      <c r="D1395" s="6" t="str">
        <f>_xlfn.XLOOKUP(B1395,Indices!$A$2:$A$2676,Indices!$B$2:$B$2676,"")</f>
        <v>IWM</v>
      </c>
    </row>
    <row r="1396" spans="1:4" x14ac:dyDescent="0.25">
      <c r="A1396" s="140">
        <v>45699.584027777775</v>
      </c>
      <c r="B1396" t="s">
        <v>3127</v>
      </c>
      <c r="C1396" t="s">
        <v>5328</v>
      </c>
      <c r="D1396" s="6" t="str">
        <f>_xlfn.XLOOKUP(B1396,Indices!$A$2:$A$2676,Indices!$B$2:$B$2676,"")</f>
        <v/>
      </c>
    </row>
    <row r="1397" spans="1:4" x14ac:dyDescent="0.25">
      <c r="A1397" s="140">
        <v>45699.584722222222</v>
      </c>
      <c r="B1397" t="s">
        <v>76</v>
      </c>
      <c r="C1397" t="s">
        <v>5329</v>
      </c>
      <c r="D1397" s="6" t="str">
        <f>_xlfn.XLOOKUP(B1397,Indices!$A$2:$A$2676,Indices!$B$2:$B$2676,"")</f>
        <v>S&amp;P Mid</v>
      </c>
    </row>
    <row r="1398" spans="1:4" x14ac:dyDescent="0.25">
      <c r="A1398" s="140">
        <v>45699.584722222222</v>
      </c>
      <c r="B1398" t="s">
        <v>350</v>
      </c>
      <c r="C1398" t="s">
        <v>5329</v>
      </c>
      <c r="D1398" s="6" t="str">
        <f>_xlfn.XLOOKUP(B1398,Indices!$A$2:$A$2676,Indices!$B$2:$B$2676,"")</f>
        <v>SP500</v>
      </c>
    </row>
    <row r="1399" spans="1:4" x14ac:dyDescent="0.25">
      <c r="A1399" s="140">
        <v>45699.584722222222</v>
      </c>
      <c r="B1399" t="s">
        <v>2515</v>
      </c>
      <c r="C1399" t="s">
        <v>5329</v>
      </c>
      <c r="D1399" s="6" t="str">
        <f>_xlfn.XLOOKUP(B1399,Indices!$A$2:$A$2676,Indices!$B$2:$B$2676,"")</f>
        <v>S&amp;P Mid</v>
      </c>
    </row>
    <row r="1400" spans="1:4" x14ac:dyDescent="0.25">
      <c r="A1400" s="140">
        <v>45699.584722222222</v>
      </c>
      <c r="B1400" t="s">
        <v>2854</v>
      </c>
      <c r="C1400" t="s">
        <v>5329</v>
      </c>
      <c r="D1400" s="6" t="str">
        <f>_xlfn.XLOOKUP(B1400,Indices!$A$2:$A$2676,Indices!$B$2:$B$2676,"")</f>
        <v/>
      </c>
    </row>
    <row r="1401" spans="1:4" x14ac:dyDescent="0.25">
      <c r="A1401" s="140">
        <v>45699.585416666669</v>
      </c>
      <c r="B1401" t="s">
        <v>2863</v>
      </c>
      <c r="C1401" t="s">
        <v>5330</v>
      </c>
      <c r="D1401" s="6" t="str">
        <f>_xlfn.XLOOKUP(B1401,Indices!$A$2:$A$2676,Indices!$B$2:$B$2676,"")</f>
        <v/>
      </c>
    </row>
    <row r="1402" spans="1:4" x14ac:dyDescent="0.25">
      <c r="A1402" s="140">
        <v>45699.586111111108</v>
      </c>
      <c r="B1402" t="s">
        <v>2007</v>
      </c>
      <c r="C1402" t="s">
        <v>5331</v>
      </c>
      <c r="D1402" s="6" t="str">
        <f>_xlfn.XLOOKUP(B1402,Indices!$A$2:$A$2676,Indices!$B$2:$B$2676,"")</f>
        <v>IWM</v>
      </c>
    </row>
    <row r="1403" spans="1:4" x14ac:dyDescent="0.25">
      <c r="A1403" s="140">
        <v>45699.586805555555</v>
      </c>
      <c r="B1403" t="s">
        <v>240</v>
      </c>
      <c r="C1403" t="s">
        <v>5332</v>
      </c>
      <c r="D1403" s="6" t="str">
        <f>_xlfn.XLOOKUP(B1403,Indices!$A$2:$A$2676,Indices!$B$2:$B$2676,"")</f>
        <v>IWM</v>
      </c>
    </row>
    <row r="1404" spans="1:4" x14ac:dyDescent="0.25">
      <c r="A1404" s="140">
        <v>45699.586805555555</v>
      </c>
      <c r="B1404" t="s">
        <v>1760</v>
      </c>
      <c r="C1404" t="s">
        <v>5332</v>
      </c>
      <c r="D1404" s="6" t="str">
        <f>_xlfn.XLOOKUP(B1404,Indices!$A$2:$A$2676,Indices!$B$2:$B$2676,"")</f>
        <v>IWM</v>
      </c>
    </row>
    <row r="1405" spans="1:4" x14ac:dyDescent="0.25">
      <c r="A1405" s="140">
        <v>45699.586805555555</v>
      </c>
      <c r="B1405" t="s">
        <v>1366</v>
      </c>
      <c r="C1405" t="s">
        <v>5332</v>
      </c>
      <c r="D1405" s="6" t="str">
        <f>_xlfn.XLOOKUP(B1405,Indices!$A$2:$A$2676,Indices!$B$2:$B$2676,"")</f>
        <v>SP500</v>
      </c>
    </row>
    <row r="1406" spans="1:4" x14ac:dyDescent="0.25">
      <c r="A1406" s="140">
        <v>45699.586805555555</v>
      </c>
      <c r="B1406" t="s">
        <v>716</v>
      </c>
      <c r="C1406" t="s">
        <v>5332</v>
      </c>
      <c r="D1406" s="6" t="str">
        <f>_xlfn.XLOOKUP(B1406,Indices!$A$2:$A$2676,Indices!$B$2:$B$2676,"")</f>
        <v>IWM</v>
      </c>
    </row>
    <row r="1407" spans="1:4" x14ac:dyDescent="0.25">
      <c r="A1407" s="140">
        <v>45699.586805555555</v>
      </c>
      <c r="B1407" t="s">
        <v>1031</v>
      </c>
      <c r="C1407" t="s">
        <v>5332</v>
      </c>
      <c r="D1407" s="6" t="str">
        <f>_xlfn.XLOOKUP(B1407,Indices!$A$2:$A$2676,Indices!$B$2:$B$2676,"")</f>
        <v>IWM</v>
      </c>
    </row>
    <row r="1408" spans="1:4" x14ac:dyDescent="0.25">
      <c r="A1408" s="140">
        <v>45699.586805555555</v>
      </c>
      <c r="B1408" t="s">
        <v>2869</v>
      </c>
      <c r="C1408" t="s">
        <v>5332</v>
      </c>
      <c r="D1408" s="6" t="str">
        <f>_xlfn.XLOOKUP(B1408,Indices!$A$2:$A$2676,Indices!$B$2:$B$2676,"")</f>
        <v/>
      </c>
    </row>
    <row r="1409" spans="1:4" x14ac:dyDescent="0.25">
      <c r="A1409" s="140">
        <v>45699.586805555555</v>
      </c>
      <c r="B1409" t="s">
        <v>2290</v>
      </c>
      <c r="C1409" t="s">
        <v>5332</v>
      </c>
      <c r="D1409" s="6" t="str">
        <f>_xlfn.XLOOKUP(B1409,Indices!$A$2:$A$2676,Indices!$B$2:$B$2676,"")</f>
        <v>IWM</v>
      </c>
    </row>
    <row r="1410" spans="1:4" x14ac:dyDescent="0.25">
      <c r="A1410" s="140">
        <v>45699.586805555555</v>
      </c>
      <c r="B1410" t="s">
        <v>2868</v>
      </c>
      <c r="C1410" t="s">
        <v>5332</v>
      </c>
      <c r="D1410" s="6" t="str">
        <f>_xlfn.XLOOKUP(B1410,Indices!$A$2:$A$2676,Indices!$B$2:$B$2676,"")</f>
        <v/>
      </c>
    </row>
    <row r="1411" spans="1:4" x14ac:dyDescent="0.25">
      <c r="A1411" s="140">
        <v>45699.586805555555</v>
      </c>
      <c r="B1411" t="s">
        <v>2444</v>
      </c>
      <c r="C1411" t="s">
        <v>5332</v>
      </c>
      <c r="D1411" s="6" t="str">
        <f>_xlfn.XLOOKUP(B1411,Indices!$A$2:$A$2676,Indices!$B$2:$B$2676,"")</f>
        <v>S&amp;P Mid</v>
      </c>
    </row>
    <row r="1412" spans="1:4" x14ac:dyDescent="0.25">
      <c r="A1412" s="140">
        <v>45699.586805555555</v>
      </c>
      <c r="B1412" t="s">
        <v>1110</v>
      </c>
      <c r="C1412" t="s">
        <v>5332</v>
      </c>
      <c r="D1412" s="6" t="str">
        <f>_xlfn.XLOOKUP(B1412,Indices!$A$2:$A$2676,Indices!$B$2:$B$2676,"")</f>
        <v>SP500</v>
      </c>
    </row>
    <row r="1413" spans="1:4" x14ac:dyDescent="0.25">
      <c r="A1413" s="140">
        <v>45699.586805555555</v>
      </c>
      <c r="B1413" t="s">
        <v>1865</v>
      </c>
      <c r="C1413" t="s">
        <v>5332</v>
      </c>
      <c r="D1413" s="6" t="str">
        <f>_xlfn.XLOOKUP(B1413,Indices!$A$2:$A$2676,Indices!$B$2:$B$2676,"")</f>
        <v>IWM</v>
      </c>
    </row>
    <row r="1414" spans="1:4" x14ac:dyDescent="0.25">
      <c r="A1414" s="140">
        <v>45699.586805555555</v>
      </c>
      <c r="B1414" t="s">
        <v>2389</v>
      </c>
      <c r="C1414" t="s">
        <v>5332</v>
      </c>
      <c r="D1414" s="6" t="str">
        <f>_xlfn.XLOOKUP(B1414,Indices!$A$2:$A$2676,Indices!$B$2:$B$2676,"")</f>
        <v>S&amp;P Mid</v>
      </c>
    </row>
    <row r="1415" spans="1:4" x14ac:dyDescent="0.25">
      <c r="A1415" s="140">
        <v>45699.586805555555</v>
      </c>
      <c r="B1415" t="s">
        <v>767</v>
      </c>
      <c r="C1415" t="s">
        <v>5332</v>
      </c>
      <c r="D1415" s="6" t="str">
        <f>_xlfn.XLOOKUP(B1415,Indices!$A$2:$A$2676,Indices!$B$2:$B$2676,"")</f>
        <v>IWM</v>
      </c>
    </row>
    <row r="1416" spans="1:4" x14ac:dyDescent="0.25">
      <c r="A1416" s="140">
        <v>45699.586805555555</v>
      </c>
      <c r="B1416" t="s">
        <v>2861</v>
      </c>
      <c r="C1416" t="s">
        <v>5332</v>
      </c>
      <c r="D1416" s="6" t="str">
        <f>_xlfn.XLOOKUP(B1416,Indices!$A$2:$A$2676,Indices!$B$2:$B$2676,"")</f>
        <v/>
      </c>
    </row>
    <row r="1417" spans="1:4" x14ac:dyDescent="0.25">
      <c r="A1417" s="140">
        <v>45699.586805555555</v>
      </c>
      <c r="B1417" t="s">
        <v>3060</v>
      </c>
      <c r="C1417" t="s">
        <v>5332</v>
      </c>
      <c r="D1417" s="6" t="str">
        <f>_xlfn.XLOOKUP(B1417,Indices!$A$2:$A$2676,Indices!$B$2:$B$2676,"")</f>
        <v/>
      </c>
    </row>
    <row r="1418" spans="1:4" x14ac:dyDescent="0.25">
      <c r="A1418" s="140">
        <v>45699.586805555555</v>
      </c>
      <c r="B1418" t="s">
        <v>3027</v>
      </c>
      <c r="C1418" t="s">
        <v>5332</v>
      </c>
      <c r="D1418" s="6" t="str">
        <f>_xlfn.XLOOKUP(B1418,Indices!$A$2:$A$2676,Indices!$B$2:$B$2676,"")</f>
        <v/>
      </c>
    </row>
    <row r="1419" spans="1:4" x14ac:dyDescent="0.25">
      <c r="A1419" s="140">
        <v>45699.586805555555</v>
      </c>
      <c r="B1419" t="s">
        <v>730</v>
      </c>
      <c r="C1419" t="s">
        <v>5332</v>
      </c>
      <c r="D1419" s="6" t="str">
        <f>_xlfn.XLOOKUP(B1419,Indices!$A$2:$A$2676,Indices!$B$2:$B$2676,"")</f>
        <v>IWM</v>
      </c>
    </row>
    <row r="1420" spans="1:4" x14ac:dyDescent="0.25">
      <c r="A1420" s="140">
        <v>45699.586805555555</v>
      </c>
      <c r="B1420" t="s">
        <v>1618</v>
      </c>
      <c r="C1420" t="s">
        <v>5332</v>
      </c>
      <c r="D1420" s="6" t="str">
        <f>_xlfn.XLOOKUP(B1420,Indices!$A$2:$A$2676,Indices!$B$2:$B$2676,"")</f>
        <v>NQ100</v>
      </c>
    </row>
    <row r="1421" spans="1:4" x14ac:dyDescent="0.25">
      <c r="A1421" s="140">
        <v>45699.586805555555</v>
      </c>
      <c r="B1421" t="s">
        <v>2870</v>
      </c>
      <c r="C1421" t="s">
        <v>5332</v>
      </c>
      <c r="D1421" s="6" t="str">
        <f>_xlfn.XLOOKUP(B1421,Indices!$A$2:$A$2676,Indices!$B$2:$B$2676,"")</f>
        <v/>
      </c>
    </row>
    <row r="1422" spans="1:4" x14ac:dyDescent="0.25">
      <c r="A1422" s="140">
        <v>45699.586805555555</v>
      </c>
      <c r="B1422" t="s">
        <v>753</v>
      </c>
      <c r="C1422" t="s">
        <v>5332</v>
      </c>
      <c r="D1422" s="6" t="str">
        <f>_xlfn.XLOOKUP(B1422,Indices!$A$2:$A$2676,Indices!$B$2:$B$2676,"")</f>
        <v>IWM</v>
      </c>
    </row>
    <row r="1423" spans="1:4" x14ac:dyDescent="0.25">
      <c r="A1423" s="140">
        <v>45699.586805555555</v>
      </c>
      <c r="B1423" t="s">
        <v>111</v>
      </c>
      <c r="C1423" t="s">
        <v>5332</v>
      </c>
      <c r="D1423" s="6" t="str">
        <f>_xlfn.XLOOKUP(B1423,Indices!$A$2:$A$2676,Indices!$B$2:$B$2676,"")</f>
        <v>S&amp;P Mid</v>
      </c>
    </row>
    <row r="1424" spans="1:4" x14ac:dyDescent="0.25">
      <c r="A1424" s="140">
        <v>45699.586805555555</v>
      </c>
      <c r="B1424" t="s">
        <v>2856</v>
      </c>
      <c r="C1424" t="s">
        <v>5332</v>
      </c>
      <c r="D1424" s="6" t="str">
        <f>_xlfn.XLOOKUP(B1424,Indices!$A$2:$A$2676,Indices!$B$2:$B$2676,"")</f>
        <v/>
      </c>
    </row>
    <row r="1425" spans="1:4" x14ac:dyDescent="0.25">
      <c r="A1425" s="140">
        <v>45699.588888888888</v>
      </c>
      <c r="B1425" t="s">
        <v>2413</v>
      </c>
      <c r="C1425" t="s">
        <v>5333</v>
      </c>
      <c r="D1425" s="6" t="str">
        <f>_xlfn.XLOOKUP(B1425,Indices!$A$2:$A$2676,Indices!$B$2:$B$2676,"")</f>
        <v>S&amp;P Mid</v>
      </c>
    </row>
    <row r="1426" spans="1:4" x14ac:dyDescent="0.25">
      <c r="A1426" s="140">
        <v>45699.589583333334</v>
      </c>
      <c r="B1426" t="s">
        <v>2853</v>
      </c>
      <c r="C1426" t="s">
        <v>5334</v>
      </c>
      <c r="D1426" s="6" t="str">
        <f>_xlfn.XLOOKUP(B1426,Indices!$A$2:$A$2676,Indices!$B$2:$B$2676,"")</f>
        <v/>
      </c>
    </row>
    <row r="1427" spans="1:4" x14ac:dyDescent="0.25">
      <c r="A1427" s="140">
        <v>45699.590277777781</v>
      </c>
      <c r="B1427" t="s">
        <v>2865</v>
      </c>
      <c r="C1427" t="s">
        <v>5335</v>
      </c>
      <c r="D1427" s="6" t="str">
        <f>_xlfn.XLOOKUP(B1427,Indices!$A$2:$A$2676,Indices!$B$2:$B$2676,"")</f>
        <v/>
      </c>
    </row>
    <row r="1428" spans="1:4" x14ac:dyDescent="0.25">
      <c r="A1428" s="140">
        <v>45699.590277777781</v>
      </c>
      <c r="B1428" t="s">
        <v>428</v>
      </c>
      <c r="C1428" t="s">
        <v>5335</v>
      </c>
      <c r="D1428" s="6" t="str">
        <f>_xlfn.XLOOKUP(B1428,Indices!$A$2:$A$2676,Indices!$B$2:$B$2676,"")</f>
        <v>IWM</v>
      </c>
    </row>
    <row r="1429" spans="1:4" x14ac:dyDescent="0.25">
      <c r="A1429" s="140">
        <v>45699.590277777781</v>
      </c>
      <c r="B1429" t="s">
        <v>2850</v>
      </c>
      <c r="C1429" t="s">
        <v>5335</v>
      </c>
      <c r="D1429" s="6" t="str">
        <f>_xlfn.XLOOKUP(B1429,Indices!$A$2:$A$2676,Indices!$B$2:$B$2676,"")</f>
        <v/>
      </c>
    </row>
    <row r="1430" spans="1:4" x14ac:dyDescent="0.25">
      <c r="A1430" s="140">
        <v>45699.590277777781</v>
      </c>
      <c r="B1430" t="s">
        <v>2852</v>
      </c>
      <c r="C1430" t="s">
        <v>5335</v>
      </c>
      <c r="D1430" s="6" t="str">
        <f>_xlfn.XLOOKUP(B1430,Indices!$A$2:$A$2676,Indices!$B$2:$B$2676,"")</f>
        <v/>
      </c>
    </row>
    <row r="1431" spans="1:4" x14ac:dyDescent="0.25">
      <c r="A1431" s="140">
        <v>45699.590277777781</v>
      </c>
      <c r="B1431" t="s">
        <v>2871</v>
      </c>
      <c r="C1431" t="s">
        <v>5335</v>
      </c>
      <c r="D1431" s="6" t="str">
        <f>_xlfn.XLOOKUP(B1431,Indices!$A$2:$A$2676,Indices!$B$2:$B$2676,"")</f>
        <v/>
      </c>
    </row>
    <row r="1432" spans="1:4" x14ac:dyDescent="0.25">
      <c r="A1432" s="140">
        <v>45699.59375</v>
      </c>
      <c r="B1432" t="s">
        <v>248</v>
      </c>
      <c r="C1432" t="s">
        <v>5336</v>
      </c>
      <c r="D1432" s="6" t="str">
        <f>_xlfn.XLOOKUP(B1432,Indices!$A$2:$A$2676,Indices!$B$2:$B$2676,"")</f>
        <v>SP500</v>
      </c>
    </row>
    <row r="1433" spans="1:4" x14ac:dyDescent="0.25">
      <c r="A1433" s="140">
        <v>45699.59375</v>
      </c>
      <c r="B1433" t="s">
        <v>2855</v>
      </c>
      <c r="C1433" t="s">
        <v>5336</v>
      </c>
      <c r="D1433" s="6" t="str">
        <f>_xlfn.XLOOKUP(B1433,Indices!$A$2:$A$2676,Indices!$B$2:$B$2676,"")</f>
        <v/>
      </c>
    </row>
    <row r="1434" spans="1:4" x14ac:dyDescent="0.25">
      <c r="A1434" s="140">
        <v>45699.59375</v>
      </c>
      <c r="B1434" t="s">
        <v>792</v>
      </c>
      <c r="C1434" t="s">
        <v>5336</v>
      </c>
      <c r="D1434" s="6" t="str">
        <f>_xlfn.XLOOKUP(B1434,Indices!$A$2:$A$2676,Indices!$B$2:$B$2676,"")</f>
        <v>S&amp;P Mid</v>
      </c>
    </row>
    <row r="1435" spans="1:4" x14ac:dyDescent="0.25">
      <c r="A1435" s="140">
        <v>45699.59375</v>
      </c>
      <c r="B1435" t="s">
        <v>2860</v>
      </c>
      <c r="C1435" t="s">
        <v>5336</v>
      </c>
      <c r="D1435" s="6" t="str">
        <f>_xlfn.XLOOKUP(B1435,Indices!$A$2:$A$2676,Indices!$B$2:$B$2676,"")</f>
        <v/>
      </c>
    </row>
    <row r="1436" spans="1:4" x14ac:dyDescent="0.25">
      <c r="A1436" s="140">
        <v>45699.59375</v>
      </c>
      <c r="B1436" t="s">
        <v>1653</v>
      </c>
      <c r="C1436" t="s">
        <v>5336</v>
      </c>
      <c r="D1436" s="6" t="str">
        <f>_xlfn.XLOOKUP(B1436,Indices!$A$2:$A$2676,Indices!$B$2:$B$2676,"")</f>
        <v>IWM</v>
      </c>
    </row>
    <row r="1437" spans="1:4" x14ac:dyDescent="0.25">
      <c r="A1437" s="140">
        <v>45699.59375</v>
      </c>
      <c r="B1437" t="s">
        <v>434</v>
      </c>
      <c r="C1437" t="s">
        <v>5336</v>
      </c>
      <c r="D1437" s="6" t="str">
        <f>_xlfn.XLOOKUP(B1437,Indices!$A$2:$A$2676,Indices!$B$2:$B$2676,"")</f>
        <v>S&amp;P Mid</v>
      </c>
    </row>
    <row r="1438" spans="1:4" x14ac:dyDescent="0.25">
      <c r="A1438" s="140">
        <v>45699.59375</v>
      </c>
      <c r="B1438" t="s">
        <v>2825</v>
      </c>
      <c r="C1438" t="s">
        <v>5336</v>
      </c>
      <c r="D1438" s="6" t="str">
        <f>_xlfn.XLOOKUP(B1438,Indices!$A$2:$A$2676,Indices!$B$2:$B$2676,"")</f>
        <v/>
      </c>
    </row>
    <row r="1439" spans="1:4" x14ac:dyDescent="0.25">
      <c r="A1439" s="140">
        <v>45699.59375</v>
      </c>
      <c r="B1439" t="s">
        <v>2851</v>
      </c>
      <c r="C1439" t="s">
        <v>5336</v>
      </c>
      <c r="D1439" s="6" t="str">
        <f>_xlfn.XLOOKUP(B1439,Indices!$A$2:$A$2676,Indices!$B$2:$B$2676,"")</f>
        <v/>
      </c>
    </row>
    <row r="1440" spans="1:4" x14ac:dyDescent="0.25">
      <c r="A1440" s="140">
        <v>45699.59375</v>
      </c>
      <c r="B1440" t="s">
        <v>135</v>
      </c>
      <c r="C1440" t="s">
        <v>5336</v>
      </c>
      <c r="D1440" s="6" t="str">
        <f>_xlfn.XLOOKUP(B1440,Indices!$A$2:$A$2676,Indices!$B$2:$B$2676,"")</f>
        <v>SP500</v>
      </c>
    </row>
    <row r="1441" spans="1:4" x14ac:dyDescent="0.25">
      <c r="A1441" s="140">
        <v>45699.59375</v>
      </c>
      <c r="B1441" t="s">
        <v>1437</v>
      </c>
      <c r="C1441" t="s">
        <v>5336</v>
      </c>
      <c r="D1441" s="6" t="str">
        <f>_xlfn.XLOOKUP(B1441,Indices!$A$2:$A$2676,Indices!$B$2:$B$2676,"")</f>
        <v>SP500</v>
      </c>
    </row>
    <row r="1442" spans="1:4" x14ac:dyDescent="0.25">
      <c r="A1442" s="140">
        <v>45699.594444444447</v>
      </c>
      <c r="B1442" t="s">
        <v>141</v>
      </c>
      <c r="C1442" t="s">
        <v>5337</v>
      </c>
      <c r="D1442" s="6" t="str">
        <f>_xlfn.XLOOKUP(B1442,Indices!$A$2:$A$2676,Indices!$B$2:$B$2676,"")</f>
        <v>SP500</v>
      </c>
    </row>
    <row r="1443" spans="1:4" x14ac:dyDescent="0.25">
      <c r="A1443" s="140">
        <v>45699.594444444447</v>
      </c>
      <c r="B1443" t="s">
        <v>710</v>
      </c>
      <c r="C1443" t="s">
        <v>5337</v>
      </c>
      <c r="D1443" s="6" t="str">
        <f>_xlfn.XLOOKUP(B1443,Indices!$A$2:$A$2676,Indices!$B$2:$B$2676,"")</f>
        <v>IWM</v>
      </c>
    </row>
    <row r="1444" spans="1:4" x14ac:dyDescent="0.25">
      <c r="A1444" s="140">
        <v>45699.597222222219</v>
      </c>
      <c r="B1444" t="s">
        <v>1857</v>
      </c>
      <c r="C1444" t="s">
        <v>5338</v>
      </c>
      <c r="D1444" s="6" t="str">
        <f>_xlfn.XLOOKUP(B1444,Indices!$A$2:$A$2676,Indices!$B$2:$B$2676,"")</f>
        <v>IWM</v>
      </c>
    </row>
    <row r="1445" spans="1:4" x14ac:dyDescent="0.25">
      <c r="A1445" s="140">
        <v>45699.603472222225</v>
      </c>
      <c r="B1445" t="s">
        <v>3275</v>
      </c>
      <c r="C1445" t="s">
        <v>5339</v>
      </c>
      <c r="D1445" s="6" t="str">
        <f>_xlfn.XLOOKUP(B1445,Indices!$A$2:$A$2676,Indices!$B$2:$B$2676,"")</f>
        <v/>
      </c>
    </row>
    <row r="1446" spans="1:4" x14ac:dyDescent="0.25">
      <c r="A1446" s="140">
        <v>45699.604166666664</v>
      </c>
      <c r="B1446" t="s">
        <v>1807</v>
      </c>
      <c r="C1446" t="s">
        <v>5340</v>
      </c>
      <c r="D1446" s="6" t="str">
        <f>_xlfn.XLOOKUP(B1446,Indices!$A$2:$A$2676,Indices!$B$2:$B$2676,"")</f>
        <v>IWM</v>
      </c>
    </row>
    <row r="1447" spans="1:4" x14ac:dyDescent="0.25">
      <c r="A1447" s="140">
        <v>45699.612500000003</v>
      </c>
      <c r="B1447" t="s">
        <v>2532</v>
      </c>
      <c r="C1447" t="s">
        <v>5341</v>
      </c>
      <c r="D1447" s="6" t="str">
        <f>_xlfn.XLOOKUP(B1447,Indices!$A$2:$A$2676,Indices!$B$2:$B$2676,"")</f>
        <v/>
      </c>
    </row>
    <row r="1448" spans="1:4" x14ac:dyDescent="0.25">
      <c r="A1448" s="140">
        <v>45699.625</v>
      </c>
      <c r="B1448" t="s">
        <v>3071</v>
      </c>
      <c r="C1448" t="s">
        <v>5342</v>
      </c>
      <c r="D1448" s="6" t="str">
        <f>_xlfn.XLOOKUP(B1448,Indices!$A$2:$A$2676,Indices!$B$2:$B$2676,"")</f>
        <v/>
      </c>
    </row>
    <row r="1449" spans="1:4" x14ac:dyDescent="0.25">
      <c r="A1449" s="140">
        <v>45699.679166666669</v>
      </c>
      <c r="B1449" t="s">
        <v>2712</v>
      </c>
      <c r="C1449" t="s">
        <v>5343</v>
      </c>
      <c r="D1449" s="6" t="str">
        <f>_xlfn.XLOOKUP(B1449,Indices!$A$2:$A$2676,Indices!$B$2:$B$2676,"")</f>
        <v/>
      </c>
    </row>
    <row r="1450" spans="1:4" x14ac:dyDescent="0.25">
      <c r="A1450" s="140">
        <v>45699.958333333336</v>
      </c>
      <c r="B1450" t="s">
        <v>2540</v>
      </c>
      <c r="C1450" t="s">
        <v>5345</v>
      </c>
      <c r="D1450" s="6" t="str">
        <f>_xlfn.XLOOKUP(B1450,Indices!$A$2:$A$2676,Indices!$B$2:$B$2676,"")</f>
        <v/>
      </c>
    </row>
    <row r="1451" spans="1:4" x14ac:dyDescent="0.25">
      <c r="A1451" s="140">
        <v>45699.958333333336</v>
      </c>
      <c r="B1451" t="s">
        <v>2896</v>
      </c>
      <c r="C1451" t="s">
        <v>5345</v>
      </c>
      <c r="D1451" s="6" t="str">
        <f>_xlfn.XLOOKUP(B1451,Indices!$A$2:$A$2676,Indices!$B$2:$B$2676,"")</f>
        <v/>
      </c>
    </row>
    <row r="1452" spans="1:4" x14ac:dyDescent="0.25">
      <c r="A1452" s="140">
        <v>45699.958333333336</v>
      </c>
      <c r="B1452" t="s">
        <v>2901</v>
      </c>
      <c r="C1452" t="s">
        <v>5344</v>
      </c>
      <c r="D1452" s="6" t="str">
        <f>_xlfn.XLOOKUP(B1452,Indices!$A$2:$A$2676,Indices!$B$2:$B$2676,"")</f>
        <v/>
      </c>
    </row>
    <row r="1453" spans="1:4" x14ac:dyDescent="0.25">
      <c r="A1453" s="140">
        <v>45699.958333333336</v>
      </c>
      <c r="B1453" t="s">
        <v>2885</v>
      </c>
      <c r="C1453" t="s">
        <v>5344</v>
      </c>
      <c r="D1453" s="6" t="str">
        <f>_xlfn.XLOOKUP(B1453,Indices!$A$2:$A$2676,Indices!$B$2:$B$2676,"")</f>
        <v/>
      </c>
    </row>
    <row r="1454" spans="1:4" x14ac:dyDescent="0.25">
      <c r="A1454" s="140">
        <v>45699.958333333336</v>
      </c>
      <c r="B1454" t="s">
        <v>2539</v>
      </c>
      <c r="C1454" t="s">
        <v>5345</v>
      </c>
      <c r="D1454" s="6" t="str">
        <f>_xlfn.XLOOKUP(B1454,Indices!$A$2:$A$2676,Indices!$B$2:$B$2676,"")</f>
        <v/>
      </c>
    </row>
    <row r="1455" spans="1:4" x14ac:dyDescent="0.25">
      <c r="A1455" s="140">
        <v>45699.958333333336</v>
      </c>
      <c r="B1455" t="s">
        <v>2894</v>
      </c>
      <c r="C1455" t="s">
        <v>5345</v>
      </c>
      <c r="D1455" s="6" t="str">
        <f>_xlfn.XLOOKUP(B1455,Indices!$A$2:$A$2676,Indices!$B$2:$B$2676,"")</f>
        <v/>
      </c>
    </row>
    <row r="1456" spans="1:4" x14ac:dyDescent="0.25">
      <c r="A1456" s="140">
        <v>45699.958333333336</v>
      </c>
      <c r="B1456" t="s">
        <v>2246</v>
      </c>
      <c r="C1456" t="s">
        <v>5345</v>
      </c>
      <c r="D1456" s="6" t="str">
        <f>_xlfn.XLOOKUP(B1456,Indices!$A$2:$A$2676,Indices!$B$2:$B$2676,"")</f>
        <v>IWM</v>
      </c>
    </row>
    <row r="1457" spans="1:4" x14ac:dyDescent="0.25">
      <c r="A1457" s="140">
        <v>45699.958333333336</v>
      </c>
      <c r="B1457" t="s">
        <v>2889</v>
      </c>
      <c r="C1457" t="s">
        <v>5344</v>
      </c>
      <c r="D1457" s="6" t="str">
        <f>_xlfn.XLOOKUP(B1457,Indices!$A$2:$A$2676,Indices!$B$2:$B$2676,"")</f>
        <v/>
      </c>
    </row>
    <row r="1458" spans="1:4" x14ac:dyDescent="0.25">
      <c r="A1458" s="140">
        <v>45699.958333333336</v>
      </c>
      <c r="B1458" t="s">
        <v>2899</v>
      </c>
      <c r="C1458" t="s">
        <v>5345</v>
      </c>
      <c r="D1458" s="6" t="str">
        <f>_xlfn.XLOOKUP(B1458,Indices!$A$2:$A$2676,Indices!$B$2:$B$2676,"")</f>
        <v/>
      </c>
    </row>
    <row r="1459" spans="1:4" x14ac:dyDescent="0.25">
      <c r="A1459" s="140">
        <v>45699.958333333336</v>
      </c>
      <c r="B1459" t="s">
        <v>2542</v>
      </c>
      <c r="C1459" t="s">
        <v>5345</v>
      </c>
      <c r="D1459" s="6" t="str">
        <f>_xlfn.XLOOKUP(B1459,Indices!$A$2:$A$2676,Indices!$B$2:$B$2676,"")</f>
        <v/>
      </c>
    </row>
    <row r="1460" spans="1:4" x14ac:dyDescent="0.25">
      <c r="A1460" s="140">
        <v>45699.958333333336</v>
      </c>
      <c r="B1460" t="s">
        <v>2884</v>
      </c>
      <c r="C1460" t="s">
        <v>5344</v>
      </c>
      <c r="D1460" s="6" t="str">
        <f>_xlfn.XLOOKUP(B1460,Indices!$A$2:$A$2676,Indices!$B$2:$B$2676,"")</f>
        <v/>
      </c>
    </row>
    <row r="1461" spans="1:4" x14ac:dyDescent="0.25">
      <c r="A1461" s="140">
        <v>45699.958333333336</v>
      </c>
      <c r="B1461" t="s">
        <v>2882</v>
      </c>
      <c r="C1461" t="s">
        <v>5345</v>
      </c>
      <c r="D1461" s="6" t="str">
        <f>_xlfn.XLOOKUP(B1461,Indices!$A$2:$A$2676,Indices!$B$2:$B$2676,"")</f>
        <v/>
      </c>
    </row>
    <row r="1462" spans="1:4" x14ac:dyDescent="0.25">
      <c r="A1462" s="140">
        <v>45699.958333333336</v>
      </c>
      <c r="B1462" t="s">
        <v>1514</v>
      </c>
      <c r="C1462" t="s">
        <v>5344</v>
      </c>
      <c r="D1462" s="6" t="str">
        <f>_xlfn.XLOOKUP(B1462,Indices!$A$2:$A$2676,Indices!$B$2:$B$2676,"")</f>
        <v>SP500</v>
      </c>
    </row>
    <row r="1463" spans="1:4" x14ac:dyDescent="0.25">
      <c r="A1463" s="140">
        <v>45700.138888888891</v>
      </c>
      <c r="B1463" t="s">
        <v>2409</v>
      </c>
      <c r="C1463" t="s">
        <v>5346</v>
      </c>
      <c r="D1463" s="6" t="str">
        <f>_xlfn.XLOOKUP(B1463,Indices!$A$2:$A$2676,Indices!$B$2:$B$2676,"")</f>
        <v>S&amp;P Mid</v>
      </c>
    </row>
    <row r="1464" spans="1:4" x14ac:dyDescent="0.25">
      <c r="A1464" s="140">
        <v>45700.163194444445</v>
      </c>
      <c r="B1464" t="s">
        <v>2878</v>
      </c>
      <c r="C1464" t="s">
        <v>5347</v>
      </c>
      <c r="D1464" s="6" t="str">
        <f>_xlfn.XLOOKUP(B1464,Indices!$A$2:$A$2676,Indices!$B$2:$B$2676,"")</f>
        <v/>
      </c>
    </row>
    <row r="1465" spans="1:4" x14ac:dyDescent="0.25">
      <c r="A1465" s="140">
        <v>45700.166666666664</v>
      </c>
      <c r="B1465" t="s">
        <v>1595</v>
      </c>
      <c r="C1465" t="s">
        <v>5348</v>
      </c>
      <c r="D1465" s="6" t="str">
        <f>_xlfn.XLOOKUP(B1465,Indices!$A$2:$A$2676,Indices!$B$2:$B$2676,"")</f>
        <v>SP500</v>
      </c>
    </row>
    <row r="1466" spans="1:4" x14ac:dyDescent="0.25">
      <c r="A1466" s="140">
        <v>45700.166666666664</v>
      </c>
      <c r="B1466" t="s">
        <v>2597</v>
      </c>
      <c r="C1466" t="s">
        <v>5348</v>
      </c>
      <c r="D1466" s="6" t="str">
        <f>_xlfn.XLOOKUP(B1466,Indices!$A$2:$A$2676,Indices!$B$2:$B$2676,"")</f>
        <v/>
      </c>
    </row>
    <row r="1467" spans="1:4" x14ac:dyDescent="0.25">
      <c r="A1467" s="140">
        <v>45700.166666666664</v>
      </c>
      <c r="B1467" t="s">
        <v>2873</v>
      </c>
      <c r="C1467" t="s">
        <v>5348</v>
      </c>
      <c r="D1467" s="6" t="str">
        <f>_xlfn.XLOOKUP(B1467,Indices!$A$2:$A$2676,Indices!$B$2:$B$2676,"")</f>
        <v/>
      </c>
    </row>
    <row r="1468" spans="1:4" x14ac:dyDescent="0.25">
      <c r="A1468" s="140">
        <v>45700.166666666664</v>
      </c>
      <c r="B1468" t="s">
        <v>2879</v>
      </c>
      <c r="C1468" t="s">
        <v>5348</v>
      </c>
      <c r="D1468" s="6" t="str">
        <f>_xlfn.XLOOKUP(B1468,Indices!$A$2:$A$2676,Indices!$B$2:$B$2676,"")</f>
        <v/>
      </c>
    </row>
    <row r="1469" spans="1:4" x14ac:dyDescent="0.25">
      <c r="A1469" s="140">
        <v>45700.166666666664</v>
      </c>
      <c r="B1469" t="s">
        <v>540</v>
      </c>
      <c r="C1469" t="s">
        <v>5348</v>
      </c>
      <c r="D1469" s="6" t="str">
        <f>_xlfn.XLOOKUP(B1469,Indices!$A$2:$A$2676,Indices!$B$2:$B$2676,"")</f>
        <v>IWM</v>
      </c>
    </row>
    <row r="1470" spans="1:4" x14ac:dyDescent="0.25">
      <c r="A1470" s="140">
        <v>45700.166666666664</v>
      </c>
      <c r="B1470" t="s">
        <v>7</v>
      </c>
      <c r="C1470" t="s">
        <v>5348</v>
      </c>
      <c r="D1470" s="6" t="str">
        <f>_xlfn.XLOOKUP(B1470,Indices!$A$2:$A$2676,Indices!$B$2:$B$2676,"")</f>
        <v>SP500</v>
      </c>
    </row>
    <row r="1471" spans="1:4" x14ac:dyDescent="0.25">
      <c r="A1471" s="140">
        <v>45700.166666666664</v>
      </c>
      <c r="B1471" t="s">
        <v>2877</v>
      </c>
      <c r="C1471" t="s">
        <v>5348</v>
      </c>
      <c r="D1471" s="6" t="str">
        <f>_xlfn.XLOOKUP(B1471,Indices!$A$2:$A$2676,Indices!$B$2:$B$2676,"")</f>
        <v/>
      </c>
    </row>
    <row r="1472" spans="1:4" x14ac:dyDescent="0.25">
      <c r="A1472" s="140">
        <v>45700.166666666664</v>
      </c>
      <c r="B1472" t="s">
        <v>166</v>
      </c>
      <c r="C1472" t="s">
        <v>5348</v>
      </c>
      <c r="D1472" s="6" t="str">
        <f>_xlfn.XLOOKUP(B1472,Indices!$A$2:$A$2676,Indices!$B$2:$B$2676,"")</f>
        <v>IWM</v>
      </c>
    </row>
    <row r="1473" spans="1:4" x14ac:dyDescent="0.25">
      <c r="A1473" s="140">
        <v>45700.170138888891</v>
      </c>
      <c r="B1473" t="s">
        <v>279</v>
      </c>
      <c r="C1473" t="s">
        <v>5349</v>
      </c>
      <c r="D1473" s="6" t="str">
        <f>_xlfn.XLOOKUP(B1473,Indices!$A$2:$A$2676,Indices!$B$2:$B$2676,"")</f>
        <v>IWM</v>
      </c>
    </row>
    <row r="1474" spans="1:4" x14ac:dyDescent="0.25">
      <c r="A1474" s="140">
        <v>45700.177083333336</v>
      </c>
      <c r="B1474" t="s">
        <v>1635</v>
      </c>
      <c r="C1474" t="s">
        <v>5350</v>
      </c>
      <c r="D1474" s="6" t="str">
        <f>_xlfn.XLOOKUP(B1474,Indices!$A$2:$A$2676,Indices!$B$2:$B$2676,"")</f>
        <v>IWM</v>
      </c>
    </row>
    <row r="1475" spans="1:4" x14ac:dyDescent="0.25">
      <c r="A1475" s="140">
        <v>45700.1875</v>
      </c>
      <c r="B1475" t="s">
        <v>277</v>
      </c>
      <c r="C1475" t="s">
        <v>5351</v>
      </c>
      <c r="D1475" s="6" t="str">
        <f>_xlfn.XLOOKUP(B1475,Indices!$A$2:$A$2676,Indices!$B$2:$B$2676,"")</f>
        <v>SP500</v>
      </c>
    </row>
    <row r="1476" spans="1:4" x14ac:dyDescent="0.25">
      <c r="A1476" s="140">
        <v>45700.1875</v>
      </c>
      <c r="B1476" t="s">
        <v>1484</v>
      </c>
      <c r="C1476" t="s">
        <v>5351</v>
      </c>
      <c r="D1476" s="6" t="str">
        <f>_xlfn.XLOOKUP(B1476,Indices!$A$2:$A$2676,Indices!$B$2:$B$2676,"")</f>
        <v>SP500</v>
      </c>
    </row>
    <row r="1477" spans="1:4" x14ac:dyDescent="0.25">
      <c r="A1477" s="140">
        <v>45700.1875</v>
      </c>
      <c r="B1477" t="s">
        <v>1462</v>
      </c>
      <c r="C1477" t="s">
        <v>5351</v>
      </c>
      <c r="D1477" s="6" t="str">
        <f>_xlfn.XLOOKUP(B1477,Indices!$A$2:$A$2676,Indices!$B$2:$B$2676,"")</f>
        <v>SP500</v>
      </c>
    </row>
    <row r="1478" spans="1:4" x14ac:dyDescent="0.25">
      <c r="A1478" s="140">
        <v>45700.1875</v>
      </c>
      <c r="B1478" t="s">
        <v>1552</v>
      </c>
      <c r="C1478" t="s">
        <v>5351</v>
      </c>
      <c r="D1478" s="6" t="str">
        <f>_xlfn.XLOOKUP(B1478,Indices!$A$2:$A$2676,Indices!$B$2:$B$2676,"")</f>
        <v>SP500</v>
      </c>
    </row>
    <row r="1479" spans="1:4" x14ac:dyDescent="0.25">
      <c r="A1479" s="140">
        <v>45700.1875</v>
      </c>
      <c r="B1479" t="s">
        <v>171</v>
      </c>
      <c r="C1479" t="s">
        <v>5351</v>
      </c>
      <c r="D1479" s="6" t="str">
        <f>_xlfn.XLOOKUP(B1479,Indices!$A$2:$A$2676,Indices!$B$2:$B$2676,"")</f>
        <v>IWM</v>
      </c>
    </row>
    <row r="1480" spans="1:4" x14ac:dyDescent="0.25">
      <c r="A1480" s="140">
        <v>45700.197916666664</v>
      </c>
      <c r="B1480" t="s">
        <v>283</v>
      </c>
      <c r="C1480" t="s">
        <v>5352</v>
      </c>
      <c r="D1480" s="6" t="str">
        <f>_xlfn.XLOOKUP(B1480,Indices!$A$2:$A$2676,Indices!$B$2:$B$2676,"")</f>
        <v>IWM</v>
      </c>
    </row>
    <row r="1481" spans="1:4" x14ac:dyDescent="0.25">
      <c r="A1481" s="140">
        <v>45700.197916666664</v>
      </c>
      <c r="B1481" t="s">
        <v>2361</v>
      </c>
      <c r="C1481" t="s">
        <v>5352</v>
      </c>
      <c r="D1481" s="6" t="str">
        <f>_xlfn.XLOOKUP(B1481,Indices!$A$2:$A$2676,Indices!$B$2:$B$2676,"")</f>
        <v>S&amp;P Mid</v>
      </c>
    </row>
    <row r="1482" spans="1:4" x14ac:dyDescent="0.25">
      <c r="A1482" s="140">
        <v>45700.197916666664</v>
      </c>
      <c r="B1482" t="s">
        <v>2898</v>
      </c>
      <c r="C1482" t="s">
        <v>5352</v>
      </c>
      <c r="D1482" s="6" t="str">
        <f>_xlfn.XLOOKUP(B1482,Indices!$A$2:$A$2676,Indices!$B$2:$B$2676,"")</f>
        <v/>
      </c>
    </row>
    <row r="1483" spans="1:4" x14ac:dyDescent="0.25">
      <c r="A1483" s="140">
        <v>45700.197916666664</v>
      </c>
      <c r="B1483" t="s">
        <v>2043</v>
      </c>
      <c r="C1483" t="s">
        <v>5352</v>
      </c>
      <c r="D1483" s="6" t="str">
        <f>_xlfn.XLOOKUP(B1483,Indices!$A$2:$A$2676,Indices!$B$2:$B$2676,"")</f>
        <v>IWM</v>
      </c>
    </row>
    <row r="1484" spans="1:4" x14ac:dyDescent="0.25">
      <c r="A1484" s="140">
        <v>45700.201388888891</v>
      </c>
      <c r="B1484" t="s">
        <v>1445</v>
      </c>
      <c r="C1484" t="s">
        <v>5353</v>
      </c>
      <c r="D1484" s="6" t="str">
        <f>_xlfn.XLOOKUP(B1484,Indices!$A$2:$A$2676,Indices!$B$2:$B$2676,"")</f>
        <v>SP500</v>
      </c>
    </row>
    <row r="1485" spans="1:4" x14ac:dyDescent="0.25">
      <c r="A1485" s="140">
        <v>45700.204861111109</v>
      </c>
      <c r="B1485" t="s">
        <v>1454</v>
      </c>
      <c r="C1485" t="s">
        <v>5354</v>
      </c>
      <c r="D1485" s="6" t="str">
        <f>_xlfn.XLOOKUP(B1485,Indices!$A$2:$A$2676,Indices!$B$2:$B$2676,"")</f>
        <v>SP500</v>
      </c>
    </row>
    <row r="1486" spans="1:4" x14ac:dyDescent="0.25">
      <c r="A1486" s="140">
        <v>45700.204861111109</v>
      </c>
      <c r="B1486" t="s">
        <v>2456</v>
      </c>
      <c r="C1486" t="s">
        <v>5354</v>
      </c>
      <c r="D1486" s="6" t="str">
        <f>_xlfn.XLOOKUP(B1486,Indices!$A$2:$A$2676,Indices!$B$2:$B$2676,"")</f>
        <v>S&amp;P Mid</v>
      </c>
    </row>
    <row r="1487" spans="1:4" x14ac:dyDescent="0.25">
      <c r="A1487" s="140">
        <v>45700.205555555556</v>
      </c>
      <c r="B1487" t="s">
        <v>2888</v>
      </c>
      <c r="C1487" t="s">
        <v>5355</v>
      </c>
      <c r="D1487" s="6" t="str">
        <f>_xlfn.XLOOKUP(B1487,Indices!$A$2:$A$2676,Indices!$B$2:$B$2676,"")</f>
        <v/>
      </c>
    </row>
    <row r="1488" spans="1:4" x14ac:dyDescent="0.25">
      <c r="A1488" s="140">
        <v>45700.208333333336</v>
      </c>
      <c r="B1488" t="s">
        <v>2266</v>
      </c>
      <c r="C1488" t="s">
        <v>5356</v>
      </c>
      <c r="D1488" s="6" t="str">
        <f>_xlfn.XLOOKUP(B1488,Indices!$A$2:$A$2676,Indices!$B$2:$B$2676,"")</f>
        <v>IWM</v>
      </c>
    </row>
    <row r="1489" spans="1:4" x14ac:dyDescent="0.25">
      <c r="A1489" s="140">
        <v>45700.208333333336</v>
      </c>
      <c r="B1489" t="s">
        <v>596</v>
      </c>
      <c r="C1489" t="s">
        <v>5356</v>
      </c>
      <c r="D1489" s="6" t="str">
        <f>_xlfn.XLOOKUP(B1489,Indices!$A$2:$A$2676,Indices!$B$2:$B$2676,"")</f>
        <v>IWM</v>
      </c>
    </row>
    <row r="1490" spans="1:4" x14ac:dyDescent="0.25">
      <c r="A1490" s="140">
        <v>45700.208333333336</v>
      </c>
      <c r="B1490" t="s">
        <v>907</v>
      </c>
      <c r="C1490" t="s">
        <v>5356</v>
      </c>
      <c r="D1490" s="6" t="str">
        <f>_xlfn.XLOOKUP(B1490,Indices!$A$2:$A$2676,Indices!$B$2:$B$2676,"")</f>
        <v>IWM</v>
      </c>
    </row>
    <row r="1491" spans="1:4" x14ac:dyDescent="0.25">
      <c r="A1491" s="140">
        <v>45700.208333333336</v>
      </c>
      <c r="B1491" t="s">
        <v>1646</v>
      </c>
      <c r="C1491" t="s">
        <v>5356</v>
      </c>
      <c r="D1491" s="6" t="str">
        <f>_xlfn.XLOOKUP(B1491,Indices!$A$2:$A$2676,Indices!$B$2:$B$2676,"")</f>
        <v>IWM</v>
      </c>
    </row>
    <row r="1492" spans="1:4" x14ac:dyDescent="0.25">
      <c r="A1492" s="140">
        <v>45700.208333333336</v>
      </c>
      <c r="B1492" t="s">
        <v>2876</v>
      </c>
      <c r="C1492" t="s">
        <v>5356</v>
      </c>
      <c r="D1492" s="6" t="str">
        <f>_xlfn.XLOOKUP(B1492,Indices!$A$2:$A$2676,Indices!$B$2:$B$2676,"")</f>
        <v/>
      </c>
    </row>
    <row r="1493" spans="1:4" x14ac:dyDescent="0.25">
      <c r="A1493" s="140">
        <v>45700.208333333336</v>
      </c>
      <c r="B1493" t="s">
        <v>2063</v>
      </c>
      <c r="C1493" t="s">
        <v>5356</v>
      </c>
      <c r="D1493" s="6" t="str">
        <f>_xlfn.XLOOKUP(B1493,Indices!$A$2:$A$2676,Indices!$B$2:$B$2676,"")</f>
        <v>IWM</v>
      </c>
    </row>
    <row r="1494" spans="1:4" x14ac:dyDescent="0.25">
      <c r="A1494" s="140">
        <v>45700.208333333336</v>
      </c>
      <c r="B1494" t="s">
        <v>518</v>
      </c>
      <c r="C1494" t="s">
        <v>5356</v>
      </c>
      <c r="D1494" s="6" t="str">
        <f>_xlfn.XLOOKUP(B1494,Indices!$A$2:$A$2676,Indices!$B$2:$B$2676,"")</f>
        <v>IWM</v>
      </c>
    </row>
    <row r="1495" spans="1:4" x14ac:dyDescent="0.25">
      <c r="A1495" s="140">
        <v>45700.208333333336</v>
      </c>
      <c r="B1495" t="s">
        <v>1755</v>
      </c>
      <c r="C1495" t="s">
        <v>5356</v>
      </c>
      <c r="D1495" s="6" t="str">
        <f>_xlfn.XLOOKUP(B1495,Indices!$A$2:$A$2676,Indices!$B$2:$B$2676,"")</f>
        <v>IWM</v>
      </c>
    </row>
    <row r="1496" spans="1:4" x14ac:dyDescent="0.25">
      <c r="A1496" s="140">
        <v>45700.208333333336</v>
      </c>
      <c r="B1496" t="s">
        <v>871</v>
      </c>
      <c r="C1496" t="s">
        <v>5356</v>
      </c>
      <c r="D1496" s="6" t="str">
        <f>_xlfn.XLOOKUP(B1496,Indices!$A$2:$A$2676,Indices!$B$2:$B$2676,"")</f>
        <v>IWM</v>
      </c>
    </row>
    <row r="1497" spans="1:4" x14ac:dyDescent="0.25">
      <c r="A1497" s="140">
        <v>45700.208333333336</v>
      </c>
      <c r="B1497" t="s">
        <v>2900</v>
      </c>
      <c r="C1497" t="s">
        <v>5356</v>
      </c>
      <c r="D1497" s="6" t="str">
        <f>_xlfn.XLOOKUP(B1497,Indices!$A$2:$A$2676,Indices!$B$2:$B$2676,"")</f>
        <v/>
      </c>
    </row>
    <row r="1498" spans="1:4" x14ac:dyDescent="0.25">
      <c r="A1498" s="140">
        <v>45700.208333333336</v>
      </c>
      <c r="B1498" t="s">
        <v>1596</v>
      </c>
      <c r="C1498" t="s">
        <v>5356</v>
      </c>
      <c r="D1498" s="6" t="str">
        <f>_xlfn.XLOOKUP(B1498,Indices!$A$2:$A$2676,Indices!$B$2:$B$2676,"")</f>
        <v>SP500</v>
      </c>
    </row>
    <row r="1499" spans="1:4" x14ac:dyDescent="0.25">
      <c r="A1499" s="140">
        <v>45700.208333333336</v>
      </c>
      <c r="B1499" t="s">
        <v>1448</v>
      </c>
      <c r="C1499" t="s">
        <v>5356</v>
      </c>
      <c r="D1499" s="6" t="str">
        <f>_xlfn.XLOOKUP(B1499,Indices!$A$2:$A$2676,Indices!$B$2:$B$2676,"")</f>
        <v>SP500</v>
      </c>
    </row>
    <row r="1500" spans="1:4" x14ac:dyDescent="0.25">
      <c r="A1500" s="140">
        <v>45700.208333333336</v>
      </c>
      <c r="B1500" t="s">
        <v>1704</v>
      </c>
      <c r="C1500" t="s">
        <v>5356</v>
      </c>
      <c r="D1500" s="6" t="str">
        <f>_xlfn.XLOOKUP(B1500,Indices!$A$2:$A$2676,Indices!$B$2:$B$2676,"")</f>
        <v>IWM</v>
      </c>
    </row>
    <row r="1501" spans="1:4" x14ac:dyDescent="0.25">
      <c r="A1501" s="140">
        <v>45700.208333333336</v>
      </c>
      <c r="B1501" t="s">
        <v>1372</v>
      </c>
      <c r="C1501" t="s">
        <v>5356</v>
      </c>
      <c r="D1501" s="6" t="str">
        <f>_xlfn.XLOOKUP(B1501,Indices!$A$2:$A$2676,Indices!$B$2:$B$2676,"")</f>
        <v>SP500</v>
      </c>
    </row>
    <row r="1502" spans="1:4" x14ac:dyDescent="0.25">
      <c r="A1502" s="140">
        <v>45700.208333333336</v>
      </c>
      <c r="B1502" t="s">
        <v>1939</v>
      </c>
      <c r="C1502" t="s">
        <v>5356</v>
      </c>
      <c r="D1502" s="6" t="str">
        <f>_xlfn.XLOOKUP(B1502,Indices!$A$2:$A$2676,Indices!$B$2:$B$2676,"")</f>
        <v>IWM</v>
      </c>
    </row>
    <row r="1503" spans="1:4" x14ac:dyDescent="0.25">
      <c r="A1503" s="140">
        <v>45700.208333333336</v>
      </c>
      <c r="B1503" t="s">
        <v>1780</v>
      </c>
      <c r="C1503" t="s">
        <v>5356</v>
      </c>
      <c r="D1503" s="6" t="str">
        <f>_xlfn.XLOOKUP(B1503,Indices!$A$2:$A$2676,Indices!$B$2:$B$2676,"")</f>
        <v>IWM</v>
      </c>
    </row>
    <row r="1504" spans="1:4" x14ac:dyDescent="0.25">
      <c r="A1504" s="140">
        <v>45700.211805555555</v>
      </c>
      <c r="B1504" t="s">
        <v>2956</v>
      </c>
      <c r="C1504" t="s">
        <v>5357</v>
      </c>
      <c r="D1504" s="6" t="str">
        <f>_xlfn.XLOOKUP(B1504,Indices!$A$2:$A$2676,Indices!$B$2:$B$2676,"")</f>
        <v/>
      </c>
    </row>
    <row r="1505" spans="1:4" x14ac:dyDescent="0.25">
      <c r="A1505" s="140">
        <v>45700.213194444441</v>
      </c>
      <c r="B1505" t="s">
        <v>2872</v>
      </c>
      <c r="C1505" t="s">
        <v>5358</v>
      </c>
      <c r="D1505" s="6" t="str">
        <f>_xlfn.XLOOKUP(B1505,Indices!$A$2:$A$2676,Indices!$B$2:$B$2676,"")</f>
        <v/>
      </c>
    </row>
    <row r="1506" spans="1:4" x14ac:dyDescent="0.25">
      <c r="A1506" s="140">
        <v>45700.215277777781</v>
      </c>
      <c r="B1506" t="s">
        <v>3087</v>
      </c>
      <c r="C1506" t="s">
        <v>5359</v>
      </c>
      <c r="D1506" s="6" t="str">
        <f>_xlfn.XLOOKUP(B1506,Indices!$A$2:$A$2676,Indices!$B$2:$B$2676,"")</f>
        <v/>
      </c>
    </row>
    <row r="1507" spans="1:4" x14ac:dyDescent="0.25">
      <c r="A1507" s="140">
        <v>45700.21875</v>
      </c>
      <c r="B1507" t="s">
        <v>2893</v>
      </c>
      <c r="C1507" t="s">
        <v>5360</v>
      </c>
      <c r="D1507" s="6" t="str">
        <f>_xlfn.XLOOKUP(B1507,Indices!$A$2:$A$2676,Indices!$B$2:$B$2676,"")</f>
        <v/>
      </c>
    </row>
    <row r="1508" spans="1:4" x14ac:dyDescent="0.25">
      <c r="A1508" s="140">
        <v>45700.219444444447</v>
      </c>
      <c r="B1508" t="s">
        <v>2902</v>
      </c>
      <c r="C1508" t="s">
        <v>5361</v>
      </c>
      <c r="D1508" s="6" t="str">
        <f>_xlfn.XLOOKUP(B1508,Indices!$A$2:$A$2676,Indices!$B$2:$B$2676,"")</f>
        <v/>
      </c>
    </row>
    <row r="1509" spans="1:4" x14ac:dyDescent="0.25">
      <c r="A1509" s="140">
        <v>45700.229166666664</v>
      </c>
      <c r="B1509" t="s">
        <v>23</v>
      </c>
      <c r="C1509" t="s">
        <v>5362</v>
      </c>
      <c r="D1509" s="6" t="str">
        <f>_xlfn.XLOOKUP(B1509,Indices!$A$2:$A$2676,Indices!$B$2:$B$2676,"")</f>
        <v>SP500</v>
      </c>
    </row>
    <row r="1510" spans="1:4" x14ac:dyDescent="0.25">
      <c r="A1510" s="140">
        <v>45700.229166666664</v>
      </c>
      <c r="B1510" t="s">
        <v>1136</v>
      </c>
      <c r="C1510" t="s">
        <v>5362</v>
      </c>
      <c r="D1510" s="6" t="str">
        <f>_xlfn.XLOOKUP(B1510,Indices!$A$2:$A$2676,Indices!$B$2:$B$2676,"")</f>
        <v>IWM</v>
      </c>
    </row>
    <row r="1511" spans="1:4" x14ac:dyDescent="0.25">
      <c r="A1511" s="140">
        <v>45700.229166666664</v>
      </c>
      <c r="B1511" t="s">
        <v>763</v>
      </c>
      <c r="C1511" t="s">
        <v>5362</v>
      </c>
      <c r="D1511" s="6" t="str">
        <f>_xlfn.XLOOKUP(B1511,Indices!$A$2:$A$2676,Indices!$B$2:$B$2676,"")</f>
        <v>IWM</v>
      </c>
    </row>
    <row r="1512" spans="1:4" x14ac:dyDescent="0.25">
      <c r="A1512" s="140">
        <v>45700.25</v>
      </c>
      <c r="B1512" t="s">
        <v>4944</v>
      </c>
      <c r="C1512" t="s">
        <v>5363</v>
      </c>
      <c r="D1512" s="6" t="str">
        <f>_xlfn.XLOOKUP(B1512,Indices!$A$2:$A$2676,Indices!$B$2:$B$2676,"")</f>
        <v/>
      </c>
    </row>
    <row r="1513" spans="1:4" x14ac:dyDescent="0.25">
      <c r="A1513" s="140">
        <v>45700.25</v>
      </c>
      <c r="B1513" t="s">
        <v>321</v>
      </c>
      <c r="C1513" t="s">
        <v>5363</v>
      </c>
      <c r="D1513" s="6" t="str">
        <f>_xlfn.XLOOKUP(B1513,Indices!$A$2:$A$2676,Indices!$B$2:$B$2676,"")</f>
        <v>IWM</v>
      </c>
    </row>
    <row r="1514" spans="1:4" x14ac:dyDescent="0.25">
      <c r="A1514" s="140">
        <v>45700.25</v>
      </c>
      <c r="B1514" t="s">
        <v>930</v>
      </c>
      <c r="C1514" t="s">
        <v>5363</v>
      </c>
      <c r="D1514" s="6" t="str">
        <f>_xlfn.XLOOKUP(B1514,Indices!$A$2:$A$2676,Indices!$B$2:$B$2676,"")</f>
        <v>IWM</v>
      </c>
    </row>
    <row r="1515" spans="1:4" x14ac:dyDescent="0.25">
      <c r="A1515" s="140">
        <v>45700.25</v>
      </c>
      <c r="B1515" t="s">
        <v>2986</v>
      </c>
      <c r="C1515" t="s">
        <v>5363</v>
      </c>
      <c r="D1515" s="6" t="str">
        <f>_xlfn.XLOOKUP(B1515,Indices!$A$2:$A$2676,Indices!$B$2:$B$2676,"")</f>
        <v/>
      </c>
    </row>
    <row r="1516" spans="1:4" x14ac:dyDescent="0.25">
      <c r="A1516" s="140">
        <v>45700.270833333336</v>
      </c>
      <c r="B1516" t="s">
        <v>2660</v>
      </c>
      <c r="C1516" t="s">
        <v>5364</v>
      </c>
      <c r="D1516" s="6" t="str">
        <f>_xlfn.XLOOKUP(B1516,Indices!$A$2:$A$2676,Indices!$B$2:$B$2676,"")</f>
        <v/>
      </c>
    </row>
    <row r="1517" spans="1:4" x14ac:dyDescent="0.25">
      <c r="A1517" s="140">
        <v>45700.291666666664</v>
      </c>
      <c r="B1517" t="s">
        <v>2926</v>
      </c>
      <c r="C1517" t="s">
        <v>2883</v>
      </c>
      <c r="D1517" s="6" t="str">
        <f>_xlfn.XLOOKUP(B1517,Indices!$A$2:$A$2676,Indices!$B$2:$B$2676,"")</f>
        <v/>
      </c>
    </row>
    <row r="1518" spans="1:4" x14ac:dyDescent="0.25">
      <c r="A1518" s="140">
        <v>45700.30972222222</v>
      </c>
      <c r="B1518" t="s">
        <v>2802</v>
      </c>
      <c r="C1518" t="s">
        <v>5365</v>
      </c>
      <c r="D1518" s="6" t="str">
        <f>_xlfn.XLOOKUP(B1518,Indices!$A$2:$A$2676,Indices!$B$2:$B$2676,"")</f>
        <v/>
      </c>
    </row>
    <row r="1519" spans="1:4" x14ac:dyDescent="0.25">
      <c r="A1519" s="140">
        <v>45700.583333333336</v>
      </c>
      <c r="B1519" t="s">
        <v>329</v>
      </c>
      <c r="C1519" t="s">
        <v>5366</v>
      </c>
      <c r="D1519" s="6" t="str">
        <f>_xlfn.XLOOKUP(B1519,Indices!$A$2:$A$2676,Indices!$B$2:$B$2676,"")</f>
        <v>IWM</v>
      </c>
    </row>
    <row r="1520" spans="1:4" x14ac:dyDescent="0.25">
      <c r="A1520" s="140">
        <v>45700.584027777775</v>
      </c>
      <c r="B1520" t="s">
        <v>2919</v>
      </c>
      <c r="C1520" t="s">
        <v>5367</v>
      </c>
      <c r="D1520" s="6" t="str">
        <f>_xlfn.XLOOKUP(B1520,Indices!$A$2:$A$2676,Indices!$B$2:$B$2676,"")</f>
        <v/>
      </c>
    </row>
    <row r="1521" spans="1:4" x14ac:dyDescent="0.25">
      <c r="A1521" s="140">
        <v>45700.584027777775</v>
      </c>
      <c r="B1521" t="s">
        <v>2242</v>
      </c>
      <c r="C1521" t="s">
        <v>5367</v>
      </c>
      <c r="D1521" s="6" t="str">
        <f>_xlfn.XLOOKUP(B1521,Indices!$A$2:$A$2676,Indices!$B$2:$B$2676,"")</f>
        <v>IWM</v>
      </c>
    </row>
    <row r="1522" spans="1:4" x14ac:dyDescent="0.25">
      <c r="A1522" s="140">
        <v>45700.584027777775</v>
      </c>
      <c r="B1522" t="s">
        <v>1901</v>
      </c>
      <c r="C1522" t="s">
        <v>5367</v>
      </c>
      <c r="D1522" s="6" t="str">
        <f>_xlfn.XLOOKUP(B1522,Indices!$A$2:$A$2676,Indices!$B$2:$B$2676,"")</f>
        <v>IWM</v>
      </c>
    </row>
    <row r="1523" spans="1:4" x14ac:dyDescent="0.25">
      <c r="A1523" s="140">
        <v>45700.584027777775</v>
      </c>
      <c r="B1523" t="s">
        <v>671</v>
      </c>
      <c r="C1523" t="s">
        <v>5367</v>
      </c>
      <c r="D1523" s="6" t="str">
        <f>_xlfn.XLOOKUP(B1523,Indices!$A$2:$A$2676,Indices!$B$2:$B$2676,"")</f>
        <v>NQ100</v>
      </c>
    </row>
    <row r="1524" spans="1:4" x14ac:dyDescent="0.25">
      <c r="A1524" s="140">
        <v>45700.584027777775</v>
      </c>
      <c r="B1524" t="s">
        <v>3032</v>
      </c>
      <c r="C1524" t="s">
        <v>5367</v>
      </c>
      <c r="D1524" s="6" t="str">
        <f>_xlfn.XLOOKUP(B1524,Indices!$A$2:$A$2676,Indices!$B$2:$B$2676,"")</f>
        <v/>
      </c>
    </row>
    <row r="1525" spans="1:4" x14ac:dyDescent="0.25">
      <c r="A1525" s="140">
        <v>45700.584027777775</v>
      </c>
      <c r="B1525" t="s">
        <v>1718</v>
      </c>
      <c r="C1525" t="s">
        <v>5367</v>
      </c>
      <c r="D1525" s="6" t="str">
        <f>_xlfn.XLOOKUP(B1525,Indices!$A$2:$A$2676,Indices!$B$2:$B$2676,"")</f>
        <v>IWM</v>
      </c>
    </row>
    <row r="1526" spans="1:4" x14ac:dyDescent="0.25">
      <c r="A1526" s="140">
        <v>45700.584722222222</v>
      </c>
      <c r="B1526" t="s">
        <v>2918</v>
      </c>
      <c r="C1526" t="s">
        <v>5368</v>
      </c>
      <c r="D1526" s="6" t="str">
        <f>_xlfn.XLOOKUP(B1526,Indices!$A$2:$A$2676,Indices!$B$2:$B$2676,"")</f>
        <v/>
      </c>
    </row>
    <row r="1527" spans="1:4" x14ac:dyDescent="0.25">
      <c r="A1527" s="140">
        <v>45700.585416666669</v>
      </c>
      <c r="B1527" t="s">
        <v>2240</v>
      </c>
      <c r="C1527" t="s">
        <v>5369</v>
      </c>
      <c r="D1527" s="6" t="str">
        <f>_xlfn.XLOOKUP(B1527,Indices!$A$2:$A$2676,Indices!$B$2:$B$2676,"")</f>
        <v>IWM</v>
      </c>
    </row>
    <row r="1528" spans="1:4" x14ac:dyDescent="0.25">
      <c r="A1528" s="140">
        <v>45700.586805555555</v>
      </c>
      <c r="B1528" t="s">
        <v>1592</v>
      </c>
      <c r="C1528" t="s">
        <v>5370</v>
      </c>
      <c r="D1528" s="6" t="str">
        <f>_xlfn.XLOOKUP(B1528,Indices!$A$2:$A$2676,Indices!$B$2:$B$2676,"")</f>
        <v>SP500</v>
      </c>
    </row>
    <row r="1529" spans="1:4" x14ac:dyDescent="0.25">
      <c r="A1529" s="140">
        <v>45700.586805555555</v>
      </c>
      <c r="B1529" t="s">
        <v>2924</v>
      </c>
      <c r="C1529" t="s">
        <v>5370</v>
      </c>
      <c r="D1529" s="6" t="str">
        <f>_xlfn.XLOOKUP(B1529,Indices!$A$2:$A$2676,Indices!$B$2:$B$2676,"")</f>
        <v/>
      </c>
    </row>
    <row r="1530" spans="1:4" x14ac:dyDescent="0.25">
      <c r="A1530" s="140">
        <v>45700.586805555555</v>
      </c>
      <c r="B1530" t="s">
        <v>1064</v>
      </c>
      <c r="C1530" t="s">
        <v>5370</v>
      </c>
      <c r="D1530" s="6" t="str">
        <f>_xlfn.XLOOKUP(B1530,Indices!$A$2:$A$2676,Indices!$B$2:$B$2676,"")</f>
        <v>IWM</v>
      </c>
    </row>
    <row r="1531" spans="1:4" x14ac:dyDescent="0.25">
      <c r="A1531" s="140">
        <v>45700.586805555555</v>
      </c>
      <c r="B1531" t="s">
        <v>1508</v>
      </c>
      <c r="C1531" t="s">
        <v>5370</v>
      </c>
      <c r="D1531" s="6" t="str">
        <f>_xlfn.XLOOKUP(B1531,Indices!$A$2:$A$2676,Indices!$B$2:$B$2676,"")</f>
        <v>SP500</v>
      </c>
    </row>
    <row r="1532" spans="1:4" x14ac:dyDescent="0.25">
      <c r="A1532" s="140">
        <v>45700.586805555555</v>
      </c>
      <c r="B1532" t="s">
        <v>1913</v>
      </c>
      <c r="C1532" t="s">
        <v>5370</v>
      </c>
      <c r="D1532" s="6" t="str">
        <f>_xlfn.XLOOKUP(B1532,Indices!$A$2:$A$2676,Indices!$B$2:$B$2676,"")</f>
        <v>IWM</v>
      </c>
    </row>
    <row r="1533" spans="1:4" x14ac:dyDescent="0.25">
      <c r="A1533" s="140">
        <v>45700.586805555555</v>
      </c>
      <c r="B1533" t="s">
        <v>2931</v>
      </c>
      <c r="C1533" t="s">
        <v>5370</v>
      </c>
      <c r="D1533" s="6" t="str">
        <f>_xlfn.XLOOKUP(B1533,Indices!$A$2:$A$2676,Indices!$B$2:$B$2676,"")</f>
        <v/>
      </c>
    </row>
    <row r="1534" spans="1:4" x14ac:dyDescent="0.25">
      <c r="A1534" s="140">
        <v>45700.586805555555</v>
      </c>
      <c r="B1534" t="s">
        <v>1032</v>
      </c>
      <c r="C1534" t="s">
        <v>5370</v>
      </c>
      <c r="D1534" s="6" t="str">
        <f>_xlfn.XLOOKUP(B1534,Indices!$A$2:$A$2676,Indices!$B$2:$B$2676,"")</f>
        <v>SP500</v>
      </c>
    </row>
    <row r="1535" spans="1:4" x14ac:dyDescent="0.25">
      <c r="A1535" s="140">
        <v>45700.586805555555</v>
      </c>
      <c r="B1535" t="s">
        <v>3141</v>
      </c>
      <c r="C1535" t="s">
        <v>5370</v>
      </c>
      <c r="D1535" s="6" t="str">
        <f>_xlfn.XLOOKUP(B1535,Indices!$A$2:$A$2676,Indices!$B$2:$B$2676,"")</f>
        <v/>
      </c>
    </row>
    <row r="1536" spans="1:4" x14ac:dyDescent="0.25">
      <c r="A1536" s="140">
        <v>45700.586805555555</v>
      </c>
      <c r="B1536" t="s">
        <v>2630</v>
      </c>
      <c r="C1536" t="s">
        <v>5370</v>
      </c>
      <c r="D1536" s="6" t="str">
        <f>_xlfn.XLOOKUP(B1536,Indices!$A$2:$A$2676,Indices!$B$2:$B$2676,"")</f>
        <v/>
      </c>
    </row>
    <row r="1537" spans="1:4" x14ac:dyDescent="0.25">
      <c r="A1537" s="140">
        <v>45700.586805555555</v>
      </c>
      <c r="B1537" t="s">
        <v>396</v>
      </c>
      <c r="C1537" t="s">
        <v>5370</v>
      </c>
      <c r="D1537" s="6" t="str">
        <f>_xlfn.XLOOKUP(B1537,Indices!$A$2:$A$2676,Indices!$B$2:$B$2676,"")</f>
        <v>IWM</v>
      </c>
    </row>
    <row r="1538" spans="1:4" x14ac:dyDescent="0.25">
      <c r="A1538" s="140">
        <v>45700.586805555555</v>
      </c>
      <c r="B1538" t="s">
        <v>404</v>
      </c>
      <c r="C1538" t="s">
        <v>5370</v>
      </c>
      <c r="D1538" s="6" t="str">
        <f>_xlfn.XLOOKUP(B1538,Indices!$A$2:$A$2676,Indices!$B$2:$B$2676,"")</f>
        <v>IWM</v>
      </c>
    </row>
    <row r="1539" spans="1:4" x14ac:dyDescent="0.25">
      <c r="A1539" s="140">
        <v>45700.586805555555</v>
      </c>
      <c r="B1539" t="s">
        <v>2923</v>
      </c>
      <c r="C1539" t="s">
        <v>5370</v>
      </c>
      <c r="D1539" s="6" t="str">
        <f>_xlfn.XLOOKUP(B1539,Indices!$A$2:$A$2676,Indices!$B$2:$B$2676,"")</f>
        <v/>
      </c>
    </row>
    <row r="1540" spans="1:4" x14ac:dyDescent="0.25">
      <c r="A1540" s="140">
        <v>45700.586805555555</v>
      </c>
      <c r="B1540" t="s">
        <v>1690</v>
      </c>
      <c r="C1540" t="s">
        <v>5370</v>
      </c>
      <c r="D1540" s="6" t="str">
        <f>_xlfn.XLOOKUP(B1540,Indices!$A$2:$A$2676,Indices!$B$2:$B$2676,"")</f>
        <v>IWM</v>
      </c>
    </row>
    <row r="1541" spans="1:4" x14ac:dyDescent="0.25">
      <c r="A1541" s="140">
        <v>45700.586805555555</v>
      </c>
      <c r="B1541" t="s">
        <v>1649</v>
      </c>
      <c r="C1541" t="s">
        <v>5370</v>
      </c>
      <c r="D1541" s="6" t="str">
        <f>_xlfn.XLOOKUP(B1541,Indices!$A$2:$A$2676,Indices!$B$2:$B$2676,"")</f>
        <v>IWM</v>
      </c>
    </row>
    <row r="1542" spans="1:4" x14ac:dyDescent="0.25">
      <c r="A1542" s="140">
        <v>45700.586805555555</v>
      </c>
      <c r="B1542" t="s">
        <v>3059</v>
      </c>
      <c r="C1542" t="s">
        <v>5370</v>
      </c>
      <c r="D1542" s="6" t="str">
        <f>_xlfn.XLOOKUP(B1542,Indices!$A$2:$A$2676,Indices!$B$2:$B$2676,"")</f>
        <v/>
      </c>
    </row>
    <row r="1543" spans="1:4" x14ac:dyDescent="0.25">
      <c r="A1543" s="140">
        <v>45700.586805555555</v>
      </c>
      <c r="B1543" t="s">
        <v>2708</v>
      </c>
      <c r="C1543" t="s">
        <v>5370</v>
      </c>
      <c r="D1543" s="6" t="str">
        <f>_xlfn.XLOOKUP(B1543,Indices!$A$2:$A$2676,Indices!$B$2:$B$2676,"")</f>
        <v/>
      </c>
    </row>
    <row r="1544" spans="1:4" x14ac:dyDescent="0.25">
      <c r="A1544" s="140">
        <v>45700.586805555555</v>
      </c>
      <c r="B1544" t="s">
        <v>368</v>
      </c>
      <c r="C1544" t="s">
        <v>5370</v>
      </c>
      <c r="D1544" s="6" t="str">
        <f>_xlfn.XLOOKUP(B1544,Indices!$A$2:$A$2676,Indices!$B$2:$B$2676,"")</f>
        <v>IWM</v>
      </c>
    </row>
    <row r="1545" spans="1:4" x14ac:dyDescent="0.25">
      <c r="A1545" s="140">
        <v>45700.586805555555</v>
      </c>
      <c r="B1545" t="s">
        <v>3170</v>
      </c>
      <c r="C1545" t="s">
        <v>5370</v>
      </c>
      <c r="D1545" s="6" t="str">
        <f>_xlfn.XLOOKUP(B1545,Indices!$A$2:$A$2676,Indices!$B$2:$B$2676,"")</f>
        <v/>
      </c>
    </row>
    <row r="1546" spans="1:4" x14ac:dyDescent="0.25">
      <c r="A1546" s="140">
        <v>45700.586805555555</v>
      </c>
      <c r="B1546" t="s">
        <v>1361</v>
      </c>
      <c r="C1546" t="s">
        <v>5370</v>
      </c>
      <c r="D1546" s="6" t="str">
        <f>_xlfn.XLOOKUP(B1546,Indices!$A$2:$A$2676,Indices!$B$2:$B$2676,"")</f>
        <v>SP500</v>
      </c>
    </row>
    <row r="1547" spans="1:4" x14ac:dyDescent="0.25">
      <c r="A1547" s="140">
        <v>45700.586805555555</v>
      </c>
      <c r="B1547" t="s">
        <v>3064</v>
      </c>
      <c r="C1547" t="s">
        <v>5370</v>
      </c>
      <c r="D1547" s="6" t="str">
        <f>_xlfn.XLOOKUP(B1547,Indices!$A$2:$A$2676,Indices!$B$2:$B$2676,"")</f>
        <v/>
      </c>
    </row>
    <row r="1548" spans="1:4" x14ac:dyDescent="0.25">
      <c r="A1548" s="140">
        <v>45700.586805555555</v>
      </c>
      <c r="B1548" t="s">
        <v>2823</v>
      </c>
      <c r="C1548" t="s">
        <v>5370</v>
      </c>
      <c r="D1548" s="6" t="str">
        <f>_xlfn.XLOOKUP(B1548,Indices!$A$2:$A$2676,Indices!$B$2:$B$2676,"")</f>
        <v/>
      </c>
    </row>
    <row r="1549" spans="1:4" x14ac:dyDescent="0.25">
      <c r="A1549" s="140">
        <v>45700.586805555555</v>
      </c>
      <c r="B1549" t="s">
        <v>2909</v>
      </c>
      <c r="C1549" t="s">
        <v>5370</v>
      </c>
      <c r="D1549" s="6" t="str">
        <f>_xlfn.XLOOKUP(B1549,Indices!$A$2:$A$2676,Indices!$B$2:$B$2676,"")</f>
        <v/>
      </c>
    </row>
    <row r="1550" spans="1:4" x14ac:dyDescent="0.25">
      <c r="A1550" s="140">
        <v>45700.586805555555</v>
      </c>
      <c r="B1550" t="s">
        <v>1585</v>
      </c>
      <c r="C1550" t="s">
        <v>5370</v>
      </c>
      <c r="D1550" s="6" t="str">
        <f>_xlfn.XLOOKUP(B1550,Indices!$A$2:$A$2676,Indices!$B$2:$B$2676,"")</f>
        <v>SP500</v>
      </c>
    </row>
    <row r="1551" spans="1:4" x14ac:dyDescent="0.25">
      <c r="A1551" s="140">
        <v>45700.586805555555</v>
      </c>
      <c r="B1551" t="s">
        <v>3014</v>
      </c>
      <c r="C1551" t="s">
        <v>5370</v>
      </c>
      <c r="D1551" s="6" t="str">
        <f>_xlfn.XLOOKUP(B1551,Indices!$A$2:$A$2676,Indices!$B$2:$B$2676,"")</f>
        <v/>
      </c>
    </row>
    <row r="1552" spans="1:4" x14ac:dyDescent="0.25">
      <c r="A1552" s="140">
        <v>45700.587500000001</v>
      </c>
      <c r="B1552" t="s">
        <v>2465</v>
      </c>
      <c r="C1552" t="s">
        <v>5371</v>
      </c>
      <c r="D1552" s="6" t="str">
        <f>_xlfn.XLOOKUP(B1552,Indices!$A$2:$A$2676,Indices!$B$2:$B$2676,"")</f>
        <v>S&amp;P Mid</v>
      </c>
    </row>
    <row r="1553" spans="1:4" x14ac:dyDescent="0.25">
      <c r="A1553" s="140">
        <v>45700.587500000001</v>
      </c>
      <c r="B1553" t="s">
        <v>354</v>
      </c>
      <c r="C1553" t="s">
        <v>5371</v>
      </c>
      <c r="D1553" s="6" t="str">
        <f>_xlfn.XLOOKUP(B1553,Indices!$A$2:$A$2676,Indices!$B$2:$B$2676,"")</f>
        <v>IWM</v>
      </c>
    </row>
    <row r="1554" spans="1:4" x14ac:dyDescent="0.25">
      <c r="A1554" s="140">
        <v>45700.588194444441</v>
      </c>
      <c r="B1554" t="s">
        <v>3011</v>
      </c>
      <c r="C1554" t="s">
        <v>5372</v>
      </c>
      <c r="D1554" s="6" t="str">
        <f>_xlfn.XLOOKUP(B1554,Indices!$A$2:$A$2676,Indices!$B$2:$B$2676,"")</f>
        <v/>
      </c>
    </row>
    <row r="1555" spans="1:4" x14ac:dyDescent="0.25">
      <c r="A1555" s="140">
        <v>45700.588194444441</v>
      </c>
      <c r="B1555" t="s">
        <v>1641</v>
      </c>
      <c r="C1555" t="s">
        <v>5372</v>
      </c>
      <c r="D1555" s="6" t="str">
        <f>_xlfn.XLOOKUP(B1555,Indices!$A$2:$A$2676,Indices!$B$2:$B$2676,"")</f>
        <v>IWM</v>
      </c>
    </row>
    <row r="1556" spans="1:4" x14ac:dyDescent="0.25">
      <c r="A1556" s="140">
        <v>45700.588888888888</v>
      </c>
      <c r="B1556" t="s">
        <v>2922</v>
      </c>
      <c r="C1556" t="s">
        <v>5373</v>
      </c>
      <c r="D1556" s="6" t="str">
        <f>_xlfn.XLOOKUP(B1556,Indices!$A$2:$A$2676,Indices!$B$2:$B$2676,"")</f>
        <v/>
      </c>
    </row>
    <row r="1557" spans="1:4" x14ac:dyDescent="0.25">
      <c r="A1557" s="140">
        <v>45700.590277777781</v>
      </c>
      <c r="B1557" t="s">
        <v>123</v>
      </c>
      <c r="C1557" t="s">
        <v>5374</v>
      </c>
      <c r="D1557" s="6" t="str">
        <f>_xlfn.XLOOKUP(B1557,Indices!$A$2:$A$2676,Indices!$B$2:$B$2676,"")</f>
        <v>IWM</v>
      </c>
    </row>
    <row r="1558" spans="1:4" x14ac:dyDescent="0.25">
      <c r="A1558" s="140">
        <v>45700.590277777781</v>
      </c>
      <c r="B1558" t="s">
        <v>2671</v>
      </c>
      <c r="C1558" t="s">
        <v>5374</v>
      </c>
      <c r="D1558" s="6" t="str">
        <f>_xlfn.XLOOKUP(B1558,Indices!$A$2:$A$2676,Indices!$B$2:$B$2676,"")</f>
        <v/>
      </c>
    </row>
    <row r="1559" spans="1:4" x14ac:dyDescent="0.25">
      <c r="A1559" s="140">
        <v>45700.590277777781</v>
      </c>
      <c r="B1559" t="s">
        <v>1492</v>
      </c>
      <c r="C1559" t="s">
        <v>5374</v>
      </c>
      <c r="D1559" s="6" t="str">
        <f>_xlfn.XLOOKUP(B1559,Indices!$A$2:$A$2676,Indices!$B$2:$B$2676,"")</f>
        <v>SP500</v>
      </c>
    </row>
    <row r="1560" spans="1:4" x14ac:dyDescent="0.25">
      <c r="A1560" s="140">
        <v>45700.590277777781</v>
      </c>
      <c r="B1560" t="s">
        <v>2929</v>
      </c>
      <c r="C1560" t="s">
        <v>5374</v>
      </c>
      <c r="D1560" s="6" t="str">
        <f>_xlfn.XLOOKUP(B1560,Indices!$A$2:$A$2676,Indices!$B$2:$B$2676,"")</f>
        <v/>
      </c>
    </row>
    <row r="1561" spans="1:4" x14ac:dyDescent="0.25">
      <c r="A1561" s="140">
        <v>45700.590277777781</v>
      </c>
      <c r="B1561" t="s">
        <v>1689</v>
      </c>
      <c r="C1561" t="s">
        <v>5374</v>
      </c>
      <c r="D1561" s="6" t="str">
        <f>_xlfn.XLOOKUP(B1561,Indices!$A$2:$A$2676,Indices!$B$2:$B$2676,"")</f>
        <v>IWM</v>
      </c>
    </row>
    <row r="1562" spans="1:4" x14ac:dyDescent="0.25">
      <c r="A1562" s="140">
        <v>45700.591666666667</v>
      </c>
      <c r="B1562" t="s">
        <v>3070</v>
      </c>
      <c r="C1562" t="s">
        <v>5375</v>
      </c>
      <c r="D1562" s="6" t="str">
        <f>_xlfn.XLOOKUP(B1562,Indices!$A$2:$A$2676,Indices!$B$2:$B$2676,"")</f>
        <v/>
      </c>
    </row>
    <row r="1563" spans="1:4" x14ac:dyDescent="0.25">
      <c r="A1563" s="140">
        <v>45700.593055555553</v>
      </c>
      <c r="B1563" t="s">
        <v>3063</v>
      </c>
      <c r="C1563" t="s">
        <v>5376</v>
      </c>
      <c r="D1563" s="6" t="str">
        <f>_xlfn.XLOOKUP(B1563,Indices!$A$2:$A$2676,Indices!$B$2:$B$2676,"")</f>
        <v/>
      </c>
    </row>
    <row r="1564" spans="1:4" x14ac:dyDescent="0.25">
      <c r="A1564" s="140">
        <v>45700.59375</v>
      </c>
      <c r="B1564" t="s">
        <v>437</v>
      </c>
      <c r="C1564" t="s">
        <v>5377</v>
      </c>
      <c r="D1564" s="6" t="str">
        <f>_xlfn.XLOOKUP(B1564,Indices!$A$2:$A$2676,Indices!$B$2:$B$2676,"")</f>
        <v>SP500</v>
      </c>
    </row>
    <row r="1565" spans="1:4" x14ac:dyDescent="0.25">
      <c r="A1565" s="140">
        <v>45700.59375</v>
      </c>
      <c r="B1565" t="s">
        <v>2916</v>
      </c>
      <c r="C1565" t="s">
        <v>5377</v>
      </c>
      <c r="D1565" s="6" t="str">
        <f>_xlfn.XLOOKUP(B1565,Indices!$A$2:$A$2676,Indices!$B$2:$B$2676,"")</f>
        <v/>
      </c>
    </row>
    <row r="1566" spans="1:4" x14ac:dyDescent="0.25">
      <c r="A1566" s="140">
        <v>45700.59375</v>
      </c>
      <c r="B1566" t="s">
        <v>3002</v>
      </c>
      <c r="C1566" t="s">
        <v>5377</v>
      </c>
      <c r="D1566" s="6" t="str">
        <f>_xlfn.XLOOKUP(B1566,Indices!$A$2:$A$2676,Indices!$B$2:$B$2676,"")</f>
        <v/>
      </c>
    </row>
    <row r="1567" spans="1:4" x14ac:dyDescent="0.25">
      <c r="A1567" s="140">
        <v>45700.59375</v>
      </c>
      <c r="B1567" t="s">
        <v>2042</v>
      </c>
      <c r="C1567" t="s">
        <v>5377</v>
      </c>
      <c r="D1567" s="6" t="str">
        <f>_xlfn.XLOOKUP(B1567,Indices!$A$2:$A$2676,Indices!$B$2:$B$2676,"")</f>
        <v>IWM</v>
      </c>
    </row>
    <row r="1568" spans="1:4" x14ac:dyDescent="0.25">
      <c r="A1568" s="140">
        <v>45700.59375</v>
      </c>
      <c r="B1568" t="s">
        <v>2928</v>
      </c>
      <c r="C1568" t="s">
        <v>5377</v>
      </c>
      <c r="D1568" s="6" t="str">
        <f>_xlfn.XLOOKUP(B1568,Indices!$A$2:$A$2676,Indices!$B$2:$B$2676,"")</f>
        <v/>
      </c>
    </row>
    <row r="1569" spans="1:4" x14ac:dyDescent="0.25">
      <c r="A1569" s="140">
        <v>45700.59375</v>
      </c>
      <c r="B1569" t="s">
        <v>479</v>
      </c>
      <c r="C1569" t="s">
        <v>5377</v>
      </c>
      <c r="D1569" s="6" t="str">
        <f>_xlfn.XLOOKUP(B1569,Indices!$A$2:$A$2676,Indices!$B$2:$B$2676,"")</f>
        <v>IWM</v>
      </c>
    </row>
    <row r="1570" spans="1:4" x14ac:dyDescent="0.25">
      <c r="A1570" s="140">
        <v>45700.59375</v>
      </c>
      <c r="B1570" t="s">
        <v>369</v>
      </c>
      <c r="C1570" t="s">
        <v>5377</v>
      </c>
      <c r="D1570" s="6" t="str">
        <f>_xlfn.XLOOKUP(B1570,Indices!$A$2:$A$2676,Indices!$B$2:$B$2676,"")</f>
        <v>S&amp;P Mid</v>
      </c>
    </row>
    <row r="1571" spans="1:4" x14ac:dyDescent="0.25">
      <c r="A1571" s="140">
        <v>45700.59375</v>
      </c>
      <c r="B1571" t="s">
        <v>2460</v>
      </c>
      <c r="C1571" t="s">
        <v>5377</v>
      </c>
      <c r="D1571" s="6" t="str">
        <f>_xlfn.XLOOKUP(B1571,Indices!$A$2:$A$2676,Indices!$B$2:$B$2676,"")</f>
        <v>S&amp;P Mid</v>
      </c>
    </row>
    <row r="1572" spans="1:4" x14ac:dyDescent="0.25">
      <c r="A1572" s="140">
        <v>45700.59375</v>
      </c>
      <c r="B1572" t="s">
        <v>399</v>
      </c>
      <c r="C1572" t="s">
        <v>5377</v>
      </c>
      <c r="D1572" s="6" t="str">
        <f>_xlfn.XLOOKUP(B1572,Indices!$A$2:$A$2676,Indices!$B$2:$B$2676,"")</f>
        <v>S&amp;P Mid</v>
      </c>
    </row>
    <row r="1573" spans="1:4" x14ac:dyDescent="0.25">
      <c r="A1573" s="140">
        <v>45700.59375</v>
      </c>
      <c r="B1573" t="s">
        <v>1949</v>
      </c>
      <c r="C1573" t="s">
        <v>5377</v>
      </c>
      <c r="D1573" s="6" t="str">
        <f>_xlfn.XLOOKUP(B1573,Indices!$A$2:$A$2676,Indices!$B$2:$B$2676,"")</f>
        <v>IWM</v>
      </c>
    </row>
    <row r="1574" spans="1:4" x14ac:dyDescent="0.25">
      <c r="A1574" s="140">
        <v>45700.59375</v>
      </c>
      <c r="B1574" t="s">
        <v>2419</v>
      </c>
      <c r="C1574" t="s">
        <v>5377</v>
      </c>
      <c r="D1574" s="6" t="str">
        <f>_xlfn.XLOOKUP(B1574,Indices!$A$2:$A$2676,Indices!$B$2:$B$2676,"")</f>
        <v>S&amp;P Mid</v>
      </c>
    </row>
    <row r="1575" spans="1:4" x14ac:dyDescent="0.25">
      <c r="A1575" s="140">
        <v>45700.59375</v>
      </c>
      <c r="B1575" t="s">
        <v>2907</v>
      </c>
      <c r="C1575" t="s">
        <v>5377</v>
      </c>
      <c r="D1575" s="6" t="str">
        <f>_xlfn.XLOOKUP(B1575,Indices!$A$2:$A$2676,Indices!$B$2:$B$2676,"")</f>
        <v/>
      </c>
    </row>
    <row r="1576" spans="1:4" x14ac:dyDescent="0.25">
      <c r="A1576" s="140">
        <v>45700.59375</v>
      </c>
      <c r="B1576" t="s">
        <v>2481</v>
      </c>
      <c r="C1576" t="s">
        <v>5377</v>
      </c>
      <c r="D1576" s="6" t="str">
        <f>_xlfn.XLOOKUP(B1576,Indices!$A$2:$A$2676,Indices!$B$2:$B$2676,"")</f>
        <v>S&amp;P Mid</v>
      </c>
    </row>
    <row r="1577" spans="1:4" x14ac:dyDescent="0.25">
      <c r="A1577" s="140">
        <v>45700.59375</v>
      </c>
      <c r="B1577" t="s">
        <v>2387</v>
      </c>
      <c r="C1577" t="s">
        <v>5377</v>
      </c>
      <c r="D1577" s="6" t="str">
        <f>_xlfn.XLOOKUP(B1577,Indices!$A$2:$A$2676,Indices!$B$2:$B$2676,"")</f>
        <v>S&amp;P Mid</v>
      </c>
    </row>
    <row r="1578" spans="1:4" x14ac:dyDescent="0.25">
      <c r="A1578" s="140">
        <v>45700.594444444447</v>
      </c>
      <c r="B1578" t="s">
        <v>3050</v>
      </c>
      <c r="C1578" t="s">
        <v>5378</v>
      </c>
      <c r="D1578" s="6" t="str">
        <f>_xlfn.XLOOKUP(B1578,Indices!$A$2:$A$2676,Indices!$B$2:$B$2676,"")</f>
        <v/>
      </c>
    </row>
    <row r="1579" spans="1:4" x14ac:dyDescent="0.25">
      <c r="A1579" s="140">
        <v>45700.595138888886</v>
      </c>
      <c r="B1579" t="s">
        <v>431</v>
      </c>
      <c r="C1579" t="s">
        <v>5379</v>
      </c>
      <c r="D1579" s="6" t="str">
        <f>_xlfn.XLOOKUP(B1579,Indices!$A$2:$A$2676,Indices!$B$2:$B$2676,"")</f>
        <v>SP500</v>
      </c>
    </row>
    <row r="1580" spans="1:4" x14ac:dyDescent="0.25">
      <c r="A1580" s="140">
        <v>45700.595833333333</v>
      </c>
      <c r="B1580" t="s">
        <v>2905</v>
      </c>
      <c r="C1580" t="s">
        <v>5380</v>
      </c>
      <c r="D1580" s="6" t="str">
        <f>_xlfn.XLOOKUP(B1580,Indices!$A$2:$A$2676,Indices!$B$2:$B$2676,"")</f>
        <v/>
      </c>
    </row>
    <row r="1581" spans="1:4" x14ac:dyDescent="0.25">
      <c r="A1581" s="140">
        <v>45700.59652777778</v>
      </c>
      <c r="B1581" t="s">
        <v>1661</v>
      </c>
      <c r="C1581" t="s">
        <v>5381</v>
      </c>
      <c r="D1581" s="6" t="str">
        <f>_xlfn.XLOOKUP(B1581,Indices!$A$2:$A$2676,Indices!$B$2:$B$2676,"")</f>
        <v>IWM</v>
      </c>
    </row>
    <row r="1582" spans="1:4" x14ac:dyDescent="0.25">
      <c r="A1582" s="140">
        <v>45700.597222222219</v>
      </c>
      <c r="B1582" t="s">
        <v>1804</v>
      </c>
      <c r="C1582" t="s">
        <v>5382</v>
      </c>
      <c r="D1582" s="6" t="str">
        <f>_xlfn.XLOOKUP(B1582,Indices!$A$2:$A$2676,Indices!$B$2:$B$2676,"")</f>
        <v>IWM</v>
      </c>
    </row>
    <row r="1583" spans="1:4" x14ac:dyDescent="0.25">
      <c r="A1583" s="140">
        <v>45700.600694444445</v>
      </c>
      <c r="B1583" t="s">
        <v>2914</v>
      </c>
      <c r="C1583" t="s">
        <v>5383</v>
      </c>
      <c r="D1583" s="6" t="str">
        <f>_xlfn.XLOOKUP(B1583,Indices!$A$2:$A$2676,Indices!$B$2:$B$2676,"")</f>
        <v/>
      </c>
    </row>
    <row r="1584" spans="1:4" x14ac:dyDescent="0.25">
      <c r="A1584" s="140">
        <v>45700.603472222225</v>
      </c>
      <c r="B1584" t="s">
        <v>2906</v>
      </c>
      <c r="C1584" t="s">
        <v>5384</v>
      </c>
      <c r="D1584" s="6" t="str">
        <f>_xlfn.XLOOKUP(B1584,Indices!$A$2:$A$2676,Indices!$B$2:$B$2676,"")</f>
        <v/>
      </c>
    </row>
    <row r="1585" spans="1:4" x14ac:dyDescent="0.25">
      <c r="A1585" s="140">
        <v>45700.604166666664</v>
      </c>
      <c r="B1585" t="s">
        <v>2208</v>
      </c>
      <c r="C1585" t="s">
        <v>5385</v>
      </c>
      <c r="D1585" s="6" t="str">
        <f>_xlfn.XLOOKUP(B1585,Indices!$A$2:$A$2676,Indices!$B$2:$B$2676,"")</f>
        <v>IWM</v>
      </c>
    </row>
    <row r="1586" spans="1:4" x14ac:dyDescent="0.25">
      <c r="A1586" s="140">
        <v>45700.604166666664</v>
      </c>
      <c r="B1586" t="s">
        <v>489</v>
      </c>
      <c r="C1586" t="s">
        <v>5385</v>
      </c>
      <c r="D1586" s="6" t="str">
        <f>_xlfn.XLOOKUP(B1586,Indices!$A$2:$A$2676,Indices!$B$2:$B$2676,"")</f>
        <v>S&amp;P Mid</v>
      </c>
    </row>
    <row r="1587" spans="1:4" x14ac:dyDescent="0.25">
      <c r="A1587" s="140">
        <v>45700.604166666664</v>
      </c>
      <c r="B1587" t="s">
        <v>2461</v>
      </c>
      <c r="C1587" t="s">
        <v>5385</v>
      </c>
      <c r="D1587" s="6" t="str">
        <f>_xlfn.XLOOKUP(B1587,Indices!$A$2:$A$2676,Indices!$B$2:$B$2676,"")</f>
        <v>S&amp;P Mid</v>
      </c>
    </row>
    <row r="1588" spans="1:4" x14ac:dyDescent="0.25">
      <c r="A1588" s="140">
        <v>45700.604166666664</v>
      </c>
      <c r="B1588" t="s">
        <v>2343</v>
      </c>
      <c r="C1588" t="s">
        <v>5385</v>
      </c>
      <c r="D1588" s="6" t="str">
        <f>_xlfn.XLOOKUP(B1588,Indices!$A$2:$A$2676,Indices!$B$2:$B$2676,"")</f>
        <v>S&amp;P Mid</v>
      </c>
    </row>
    <row r="1589" spans="1:4" x14ac:dyDescent="0.25">
      <c r="A1589" s="140">
        <v>45700.604166666664</v>
      </c>
      <c r="B1589" t="s">
        <v>2512</v>
      </c>
      <c r="C1589" t="s">
        <v>5385</v>
      </c>
      <c r="D1589" s="6" t="str">
        <f>_xlfn.XLOOKUP(B1589,Indices!$A$2:$A$2676,Indices!$B$2:$B$2676,"")</f>
        <v>S&amp;P Mid</v>
      </c>
    </row>
    <row r="1590" spans="1:4" x14ac:dyDescent="0.25">
      <c r="A1590" s="140">
        <v>45700.604166666664</v>
      </c>
      <c r="B1590" t="s">
        <v>472</v>
      </c>
      <c r="C1590" t="s">
        <v>5385</v>
      </c>
      <c r="D1590" s="6" t="str">
        <f>_xlfn.XLOOKUP(B1590,Indices!$A$2:$A$2676,Indices!$B$2:$B$2676,"")</f>
        <v>IWM</v>
      </c>
    </row>
    <row r="1591" spans="1:4" x14ac:dyDescent="0.25">
      <c r="A1591" s="140">
        <v>45700.604166666664</v>
      </c>
      <c r="B1591" t="s">
        <v>2350</v>
      </c>
      <c r="C1591" t="s">
        <v>5385</v>
      </c>
      <c r="D1591" s="6" t="str">
        <f>_xlfn.XLOOKUP(B1591,Indices!$A$2:$A$2676,Indices!$B$2:$B$2676,"")</f>
        <v>S&amp;P Mid</v>
      </c>
    </row>
    <row r="1592" spans="1:4" x14ac:dyDescent="0.25">
      <c r="A1592" s="140">
        <v>45700.604166666664</v>
      </c>
      <c r="B1592" t="s">
        <v>2446</v>
      </c>
      <c r="C1592" t="s">
        <v>5385</v>
      </c>
      <c r="D1592" s="6" t="str">
        <f>_xlfn.XLOOKUP(B1592,Indices!$A$2:$A$2676,Indices!$B$2:$B$2676,"")</f>
        <v>S&amp;P Mid</v>
      </c>
    </row>
    <row r="1593" spans="1:4" x14ac:dyDescent="0.25">
      <c r="A1593" s="140">
        <v>45700.604166666664</v>
      </c>
      <c r="B1593" t="s">
        <v>151</v>
      </c>
      <c r="C1593" t="s">
        <v>5385</v>
      </c>
      <c r="D1593" s="6" t="str">
        <f>_xlfn.XLOOKUP(B1593,Indices!$A$2:$A$2676,Indices!$B$2:$B$2676,"")</f>
        <v>S&amp;P Mid</v>
      </c>
    </row>
    <row r="1594" spans="1:4" x14ac:dyDescent="0.25">
      <c r="A1594" s="140">
        <v>45700.609027777777</v>
      </c>
      <c r="B1594" t="s">
        <v>1501</v>
      </c>
      <c r="C1594" t="s">
        <v>5386</v>
      </c>
      <c r="D1594" s="6" t="str">
        <f>_xlfn.XLOOKUP(B1594,Indices!$A$2:$A$2676,Indices!$B$2:$B$2676,"")</f>
        <v>SP500</v>
      </c>
    </row>
    <row r="1595" spans="1:4" x14ac:dyDescent="0.25">
      <c r="A1595" s="140">
        <v>45700.609027777777</v>
      </c>
      <c r="B1595" t="s">
        <v>2903</v>
      </c>
      <c r="C1595" t="s">
        <v>5386</v>
      </c>
      <c r="D1595" s="6" t="str">
        <f>_xlfn.XLOOKUP(B1595,Indices!$A$2:$A$2676,Indices!$B$2:$B$2676,"")</f>
        <v/>
      </c>
    </row>
    <row r="1596" spans="1:4" x14ac:dyDescent="0.25">
      <c r="A1596" s="140">
        <v>45700.613194444442</v>
      </c>
      <c r="B1596" t="s">
        <v>1701</v>
      </c>
      <c r="C1596" t="s">
        <v>5387</v>
      </c>
      <c r="D1596" s="6" t="str">
        <f>_xlfn.XLOOKUP(B1596,Indices!$A$2:$A$2676,Indices!$B$2:$B$2676,"")</f>
        <v>IWM</v>
      </c>
    </row>
    <row r="1597" spans="1:4" x14ac:dyDescent="0.25">
      <c r="A1597" s="140">
        <v>45700.617361111108</v>
      </c>
      <c r="B1597" t="s">
        <v>3934</v>
      </c>
      <c r="C1597" t="s">
        <v>5388</v>
      </c>
      <c r="D1597" s="6" t="str">
        <f>_xlfn.XLOOKUP(B1597,Indices!$A$2:$A$2676,Indices!$B$2:$B$2676,"")</f>
        <v/>
      </c>
    </row>
    <row r="1598" spans="1:4" x14ac:dyDescent="0.25">
      <c r="A1598" s="140">
        <v>45700.625</v>
      </c>
      <c r="B1598" t="s">
        <v>1810</v>
      </c>
      <c r="C1598" t="s">
        <v>5389</v>
      </c>
      <c r="D1598" s="6" t="str">
        <f>_xlfn.XLOOKUP(B1598,Indices!$A$2:$A$2676,Indices!$B$2:$B$2676,"")</f>
        <v>IWM</v>
      </c>
    </row>
    <row r="1599" spans="1:4" x14ac:dyDescent="0.25">
      <c r="A1599" s="140">
        <v>45700.625</v>
      </c>
      <c r="B1599" t="s">
        <v>477</v>
      </c>
      <c r="C1599" t="s">
        <v>2904</v>
      </c>
      <c r="D1599" s="6" t="str">
        <f>_xlfn.XLOOKUP(B1599,Indices!$A$2:$A$2676,Indices!$B$2:$B$2676,"")</f>
        <v>SP500</v>
      </c>
    </row>
    <row r="1600" spans="1:4" x14ac:dyDescent="0.25">
      <c r="A1600" s="140">
        <v>45700.625</v>
      </c>
      <c r="B1600" t="s">
        <v>1658</v>
      </c>
      <c r="C1600" t="s">
        <v>2904</v>
      </c>
      <c r="D1600" s="6" t="str">
        <f>_xlfn.XLOOKUP(B1600,Indices!$A$2:$A$2676,Indices!$B$2:$B$2676,"")</f>
        <v>IWM</v>
      </c>
    </row>
    <row r="1601" spans="1:4" x14ac:dyDescent="0.25">
      <c r="A1601" s="140">
        <v>45700.625</v>
      </c>
      <c r="B1601" t="s">
        <v>2095</v>
      </c>
      <c r="C1601" t="s">
        <v>5389</v>
      </c>
      <c r="D1601" s="6" t="str">
        <f>_xlfn.XLOOKUP(B1601,Indices!$A$2:$A$2676,Indices!$B$2:$B$2676,"")</f>
        <v>IWM</v>
      </c>
    </row>
    <row r="1602" spans="1:4" x14ac:dyDescent="0.25">
      <c r="A1602" s="140">
        <v>45700.625</v>
      </c>
      <c r="B1602" t="s">
        <v>2910</v>
      </c>
      <c r="C1602" t="s">
        <v>5389</v>
      </c>
      <c r="D1602" s="6" t="str">
        <f>_xlfn.XLOOKUP(B1602,Indices!$A$2:$A$2676,Indices!$B$2:$B$2676,"")</f>
        <v/>
      </c>
    </row>
    <row r="1603" spans="1:4" x14ac:dyDescent="0.25">
      <c r="A1603" s="140">
        <v>45700.625694444447</v>
      </c>
      <c r="B1603" t="s">
        <v>2921</v>
      </c>
      <c r="C1603" t="s">
        <v>5390</v>
      </c>
      <c r="D1603" s="6" t="str">
        <f>_xlfn.XLOOKUP(B1603,Indices!$A$2:$A$2676,Indices!$B$2:$B$2676,"")</f>
        <v/>
      </c>
    </row>
    <row r="1604" spans="1:4" x14ac:dyDescent="0.25">
      <c r="A1604" s="140">
        <v>45700.644444444442</v>
      </c>
      <c r="B1604" t="s">
        <v>2908</v>
      </c>
      <c r="C1604" t="s">
        <v>5391</v>
      </c>
      <c r="D1604" s="6" t="str">
        <f>_xlfn.XLOOKUP(B1604,Indices!$A$2:$A$2676,Indices!$B$2:$B$2676,"")</f>
        <v/>
      </c>
    </row>
    <row r="1605" spans="1:4" x14ac:dyDescent="0.25">
      <c r="A1605" s="140">
        <v>45700.678472222222</v>
      </c>
      <c r="B1605" t="s">
        <v>2113</v>
      </c>
      <c r="C1605" t="s">
        <v>5392</v>
      </c>
      <c r="D1605" s="6" t="str">
        <f>_xlfn.XLOOKUP(B1605,Indices!$A$2:$A$2676,Indices!$B$2:$B$2676,"")</f>
        <v>IWM</v>
      </c>
    </row>
    <row r="1606" spans="1:4" x14ac:dyDescent="0.25">
      <c r="A1606" s="140">
        <v>45700.694444444445</v>
      </c>
      <c r="B1606" t="s">
        <v>2917</v>
      </c>
      <c r="C1606" t="s">
        <v>5393</v>
      </c>
      <c r="D1606" s="6" t="str">
        <f>_xlfn.XLOOKUP(B1606,Indices!$A$2:$A$2676,Indices!$B$2:$B$2676,"")</f>
        <v/>
      </c>
    </row>
    <row r="1607" spans="1:4" x14ac:dyDescent="0.25">
      <c r="A1607" s="140">
        <v>45700.697916666664</v>
      </c>
      <c r="B1607" t="s">
        <v>2913</v>
      </c>
      <c r="C1607" t="s">
        <v>5394</v>
      </c>
      <c r="D1607" s="6" t="str">
        <f>_xlfn.XLOOKUP(B1607,Indices!$A$2:$A$2676,Indices!$B$2:$B$2676,"")</f>
        <v/>
      </c>
    </row>
    <row r="1608" spans="1:4" x14ac:dyDescent="0.25">
      <c r="A1608" s="140">
        <v>45700.708333333336</v>
      </c>
      <c r="B1608" t="s">
        <v>1751</v>
      </c>
      <c r="C1608" t="s">
        <v>5395</v>
      </c>
      <c r="D1608" s="6" t="str">
        <f>_xlfn.XLOOKUP(B1608,Indices!$A$2:$A$2676,Indices!$B$2:$B$2676,"")</f>
        <v>IWM</v>
      </c>
    </row>
    <row r="1609" spans="1:4" x14ac:dyDescent="0.25">
      <c r="A1609" s="140">
        <v>45700.864583333336</v>
      </c>
      <c r="B1609" t="s">
        <v>2494</v>
      </c>
      <c r="C1609" t="s">
        <v>5396</v>
      </c>
      <c r="D1609" s="6" t="str">
        <f>_xlfn.XLOOKUP(B1609,Indices!$A$2:$A$2676,Indices!$B$2:$B$2676,"")</f>
        <v>S&amp;P Mid</v>
      </c>
    </row>
    <row r="1610" spans="1:4" x14ac:dyDescent="0.25">
      <c r="A1610" s="140">
        <v>45700.958333333336</v>
      </c>
      <c r="B1610" t="s">
        <v>520</v>
      </c>
      <c r="C1610" t="s">
        <v>5397</v>
      </c>
      <c r="D1610" s="6" t="str">
        <f>_xlfn.XLOOKUP(B1610,Indices!$A$2:$A$2676,Indices!$B$2:$B$2676,"")</f>
        <v>SP500</v>
      </c>
    </row>
    <row r="1611" spans="1:4" x14ac:dyDescent="0.25">
      <c r="A1611" s="140">
        <v>45700.958333333336</v>
      </c>
      <c r="B1611" t="s">
        <v>2950</v>
      </c>
      <c r="C1611" t="s">
        <v>5398</v>
      </c>
      <c r="D1611" s="6" t="str">
        <f>_xlfn.XLOOKUP(B1611,Indices!$A$2:$A$2676,Indices!$B$2:$B$2676,"")</f>
        <v/>
      </c>
    </row>
    <row r="1612" spans="1:4" x14ac:dyDescent="0.25">
      <c r="A1612" s="140">
        <v>45700.958333333336</v>
      </c>
      <c r="B1612" t="s">
        <v>2959</v>
      </c>
      <c r="C1612" t="s">
        <v>5398</v>
      </c>
      <c r="D1612" s="6" t="str">
        <f>_xlfn.XLOOKUP(B1612,Indices!$A$2:$A$2676,Indices!$B$2:$B$2676,"")</f>
        <v/>
      </c>
    </row>
    <row r="1613" spans="1:4" x14ac:dyDescent="0.25">
      <c r="A1613" s="140">
        <v>45700.958333333336</v>
      </c>
      <c r="B1613" t="s">
        <v>2977</v>
      </c>
      <c r="C1613" t="s">
        <v>5398</v>
      </c>
      <c r="D1613" s="6" t="str">
        <f>_xlfn.XLOOKUP(B1613,Indices!$A$2:$A$2676,Indices!$B$2:$B$2676,"")</f>
        <v/>
      </c>
    </row>
    <row r="1614" spans="1:4" x14ac:dyDescent="0.25">
      <c r="A1614" s="140">
        <v>45700.958333333336</v>
      </c>
      <c r="B1614" t="s">
        <v>2978</v>
      </c>
      <c r="C1614" t="s">
        <v>5397</v>
      </c>
      <c r="D1614" s="6" t="str">
        <f>_xlfn.XLOOKUP(B1614,Indices!$A$2:$A$2676,Indices!$B$2:$B$2676,"")</f>
        <v/>
      </c>
    </row>
    <row r="1615" spans="1:4" x14ac:dyDescent="0.25">
      <c r="A1615" s="140">
        <v>45700.958333333336</v>
      </c>
      <c r="B1615" t="s">
        <v>2648</v>
      </c>
      <c r="C1615" t="s">
        <v>5398</v>
      </c>
      <c r="D1615" s="6" t="str">
        <f>_xlfn.XLOOKUP(B1615,Indices!$A$2:$A$2676,Indices!$B$2:$B$2676,"")</f>
        <v/>
      </c>
    </row>
    <row r="1616" spans="1:4" x14ac:dyDescent="0.25">
      <c r="A1616" s="140">
        <v>45700.958333333336</v>
      </c>
      <c r="B1616" t="s">
        <v>4946</v>
      </c>
      <c r="C1616" t="s">
        <v>5398</v>
      </c>
      <c r="D1616" s="6" t="str">
        <f>_xlfn.XLOOKUP(B1616,Indices!$A$2:$A$2676,Indices!$B$2:$B$2676,"")</f>
        <v/>
      </c>
    </row>
    <row r="1617" spans="1:4" x14ac:dyDescent="0.25">
      <c r="A1617" s="140">
        <v>45700.958333333336</v>
      </c>
      <c r="B1617" t="s">
        <v>2886</v>
      </c>
      <c r="C1617" t="s">
        <v>5398</v>
      </c>
      <c r="D1617" s="6" t="str">
        <f>_xlfn.XLOOKUP(B1617,Indices!$A$2:$A$2676,Indices!$B$2:$B$2676,"")</f>
        <v/>
      </c>
    </row>
    <row r="1618" spans="1:4" x14ac:dyDescent="0.25">
      <c r="A1618" s="140">
        <v>45700.958333333336</v>
      </c>
      <c r="B1618" t="s">
        <v>2945</v>
      </c>
      <c r="C1618" t="s">
        <v>5397</v>
      </c>
      <c r="D1618" s="6" t="str">
        <f>_xlfn.XLOOKUP(B1618,Indices!$A$2:$A$2676,Indices!$B$2:$B$2676,"")</f>
        <v/>
      </c>
    </row>
    <row r="1619" spans="1:4" x14ac:dyDescent="0.25">
      <c r="A1619" s="140">
        <v>45700.958333333336</v>
      </c>
      <c r="B1619" t="s">
        <v>2976</v>
      </c>
      <c r="C1619" t="s">
        <v>5398</v>
      </c>
      <c r="D1619" s="6" t="str">
        <f>_xlfn.XLOOKUP(B1619,Indices!$A$2:$A$2676,Indices!$B$2:$B$2676,"")</f>
        <v/>
      </c>
    </row>
    <row r="1620" spans="1:4" x14ac:dyDescent="0.25">
      <c r="A1620" s="140">
        <v>45700.958333333336</v>
      </c>
      <c r="B1620" t="s">
        <v>2988</v>
      </c>
      <c r="C1620" t="s">
        <v>5397</v>
      </c>
      <c r="D1620" s="6" t="str">
        <f>_xlfn.XLOOKUP(B1620,Indices!$A$2:$A$2676,Indices!$B$2:$B$2676,"")</f>
        <v/>
      </c>
    </row>
    <row r="1621" spans="1:4" x14ac:dyDescent="0.25">
      <c r="A1621" s="140">
        <v>45700.958333333336</v>
      </c>
      <c r="B1621" t="s">
        <v>2969</v>
      </c>
      <c r="C1621" t="s">
        <v>5397</v>
      </c>
      <c r="D1621" s="6" t="str">
        <f>_xlfn.XLOOKUP(B1621,Indices!$A$2:$A$2676,Indices!$B$2:$B$2676,"")</f>
        <v/>
      </c>
    </row>
    <row r="1622" spans="1:4" x14ac:dyDescent="0.25">
      <c r="A1622" s="140">
        <v>45700.958333333336</v>
      </c>
      <c r="B1622" t="s">
        <v>2957</v>
      </c>
      <c r="C1622" t="s">
        <v>5398</v>
      </c>
      <c r="D1622" s="6" t="str">
        <f>_xlfn.XLOOKUP(B1622,Indices!$A$2:$A$2676,Indices!$B$2:$B$2676,"")</f>
        <v/>
      </c>
    </row>
    <row r="1623" spans="1:4" x14ac:dyDescent="0.25">
      <c r="A1623" s="140">
        <v>45700.958333333336</v>
      </c>
      <c r="B1623" t="s">
        <v>2973</v>
      </c>
      <c r="C1623" t="s">
        <v>5398</v>
      </c>
      <c r="D1623" s="6" t="str">
        <f>_xlfn.XLOOKUP(B1623,Indices!$A$2:$A$2676,Indices!$B$2:$B$2676,"")</f>
        <v/>
      </c>
    </row>
    <row r="1624" spans="1:4" x14ac:dyDescent="0.25">
      <c r="A1624" s="140">
        <v>45700.958333333336</v>
      </c>
      <c r="B1624" t="s">
        <v>2971</v>
      </c>
      <c r="C1624" t="s">
        <v>5398</v>
      </c>
      <c r="D1624" s="6" t="str">
        <f>_xlfn.XLOOKUP(B1624,Indices!$A$2:$A$2676,Indices!$B$2:$B$2676,"")</f>
        <v/>
      </c>
    </row>
    <row r="1625" spans="1:4" x14ac:dyDescent="0.25">
      <c r="A1625" s="140">
        <v>45700.958333333336</v>
      </c>
      <c r="B1625" t="s">
        <v>2941</v>
      </c>
      <c r="C1625" t="s">
        <v>5398</v>
      </c>
      <c r="D1625" s="6" t="str">
        <f>_xlfn.XLOOKUP(B1625,Indices!$A$2:$A$2676,Indices!$B$2:$B$2676,"")</f>
        <v/>
      </c>
    </row>
    <row r="1626" spans="1:4" x14ac:dyDescent="0.25">
      <c r="A1626" s="140">
        <v>45700.958333333336</v>
      </c>
      <c r="B1626" t="s">
        <v>2940</v>
      </c>
      <c r="C1626" t="s">
        <v>5397</v>
      </c>
      <c r="D1626" s="6" t="str">
        <f>_xlfn.XLOOKUP(B1626,Indices!$A$2:$A$2676,Indices!$B$2:$B$2676,"")</f>
        <v/>
      </c>
    </row>
    <row r="1627" spans="1:4" x14ac:dyDescent="0.25">
      <c r="A1627" s="140">
        <v>45700.981249999997</v>
      </c>
      <c r="B1627" t="s">
        <v>2980</v>
      </c>
      <c r="C1627" t="s">
        <v>5399</v>
      </c>
      <c r="D1627" s="6" t="str">
        <f>_xlfn.XLOOKUP(B1627,Indices!$A$2:$A$2676,Indices!$B$2:$B$2676,"")</f>
        <v/>
      </c>
    </row>
    <row r="1628" spans="1:4" x14ac:dyDescent="0.25">
      <c r="A1628" s="140">
        <v>45700.989583333336</v>
      </c>
      <c r="B1628" t="s">
        <v>2985</v>
      </c>
      <c r="C1628" t="s">
        <v>5400</v>
      </c>
      <c r="D1628" s="6" t="str">
        <f>_xlfn.XLOOKUP(B1628,Indices!$A$2:$A$2676,Indices!$B$2:$B$2676,"")</f>
        <v/>
      </c>
    </row>
    <row r="1629" spans="1:4" x14ac:dyDescent="0.25">
      <c r="A1629" s="140">
        <v>45701.131944444445</v>
      </c>
      <c r="B1629" t="s">
        <v>2966</v>
      </c>
      <c r="C1629" t="s">
        <v>5401</v>
      </c>
      <c r="D1629" s="6" t="str">
        <f>_xlfn.XLOOKUP(B1629,Indices!$A$2:$A$2676,Indices!$B$2:$B$2676,"")</f>
        <v/>
      </c>
    </row>
    <row r="1630" spans="1:4" x14ac:dyDescent="0.25">
      <c r="A1630" s="140">
        <v>45701.166666666664</v>
      </c>
      <c r="B1630" t="s">
        <v>2997</v>
      </c>
      <c r="C1630" t="s">
        <v>5402</v>
      </c>
      <c r="D1630" s="6" t="str">
        <f>_xlfn.XLOOKUP(B1630,Indices!$A$2:$A$2676,Indices!$B$2:$B$2676,"")</f>
        <v/>
      </c>
    </row>
    <row r="1631" spans="1:4" x14ac:dyDescent="0.25">
      <c r="A1631" s="140">
        <v>45701.166666666664</v>
      </c>
      <c r="B1631" t="s">
        <v>1515</v>
      </c>
      <c r="C1631" t="s">
        <v>5402</v>
      </c>
      <c r="D1631" s="6" t="str">
        <f>_xlfn.XLOOKUP(B1631,Indices!$A$2:$A$2676,Indices!$B$2:$B$2676,"")</f>
        <v>SP500</v>
      </c>
    </row>
    <row r="1632" spans="1:4" x14ac:dyDescent="0.25">
      <c r="A1632" s="140">
        <v>45701.166666666664</v>
      </c>
      <c r="B1632" t="s">
        <v>533</v>
      </c>
      <c r="C1632" t="s">
        <v>5402</v>
      </c>
      <c r="D1632" s="6" t="str">
        <f>_xlfn.XLOOKUP(B1632,Indices!$A$2:$A$2676,Indices!$B$2:$B$2676,"")</f>
        <v>IWM</v>
      </c>
    </row>
    <row r="1633" spans="1:4" x14ac:dyDescent="0.25">
      <c r="A1633" s="140">
        <v>45701.166666666664</v>
      </c>
      <c r="B1633" t="s">
        <v>2995</v>
      </c>
      <c r="C1633" t="s">
        <v>5402</v>
      </c>
      <c r="D1633" s="6" t="str">
        <f>_xlfn.XLOOKUP(B1633,Indices!$A$2:$A$2676,Indices!$B$2:$B$2676,"")</f>
        <v/>
      </c>
    </row>
    <row r="1634" spans="1:4" x14ac:dyDescent="0.25">
      <c r="A1634" s="140">
        <v>45701.166666666664</v>
      </c>
      <c r="B1634" t="s">
        <v>537</v>
      </c>
      <c r="C1634" t="s">
        <v>5402</v>
      </c>
      <c r="D1634" s="6" t="str">
        <f>_xlfn.XLOOKUP(B1634,Indices!$A$2:$A$2676,Indices!$B$2:$B$2676,"")</f>
        <v>S&amp;P Mid</v>
      </c>
    </row>
    <row r="1635" spans="1:4" x14ac:dyDescent="0.25">
      <c r="A1635" s="140">
        <v>45701.166666666664</v>
      </c>
      <c r="B1635" t="s">
        <v>273</v>
      </c>
      <c r="C1635" t="s">
        <v>5402</v>
      </c>
      <c r="D1635" s="6" t="str">
        <f>_xlfn.XLOOKUP(B1635,Indices!$A$2:$A$2676,Indices!$B$2:$B$2676,"")</f>
        <v>IWM</v>
      </c>
    </row>
    <row r="1636" spans="1:4" x14ac:dyDescent="0.25">
      <c r="A1636" s="140">
        <v>45701.170138888891</v>
      </c>
      <c r="B1636" t="s">
        <v>546</v>
      </c>
      <c r="C1636" t="s">
        <v>5403</v>
      </c>
      <c r="D1636" s="6" t="str">
        <f>_xlfn.XLOOKUP(B1636,Indices!$A$2:$A$2676,Indices!$B$2:$B$2676,"")</f>
        <v>SP500</v>
      </c>
    </row>
    <row r="1637" spans="1:4" x14ac:dyDescent="0.25">
      <c r="A1637" s="140">
        <v>45701.170138888891</v>
      </c>
      <c r="B1637" t="s">
        <v>39</v>
      </c>
      <c r="C1637" t="s">
        <v>5403</v>
      </c>
      <c r="D1637" s="6" t="str">
        <f>_xlfn.XLOOKUP(B1637,Indices!$A$2:$A$2676,Indices!$B$2:$B$2676,"")</f>
        <v>IWM</v>
      </c>
    </row>
    <row r="1638" spans="1:4" x14ac:dyDescent="0.25">
      <c r="A1638" s="140">
        <v>45701.174305555556</v>
      </c>
      <c r="B1638" t="s">
        <v>2857</v>
      </c>
      <c r="C1638" t="s">
        <v>5404</v>
      </c>
      <c r="D1638" s="6" t="str">
        <f>_xlfn.XLOOKUP(B1638,Indices!$A$2:$A$2676,Indices!$B$2:$B$2676,"")</f>
        <v/>
      </c>
    </row>
    <row r="1639" spans="1:4" x14ac:dyDescent="0.25">
      <c r="A1639" s="140">
        <v>45701.177083333336</v>
      </c>
      <c r="B1639" t="s">
        <v>1702</v>
      </c>
      <c r="C1639" t="s">
        <v>5405</v>
      </c>
      <c r="D1639" s="6" t="str">
        <f>_xlfn.XLOOKUP(B1639,Indices!$A$2:$A$2676,Indices!$B$2:$B$2676,"")</f>
        <v>IWM</v>
      </c>
    </row>
    <row r="1640" spans="1:4" x14ac:dyDescent="0.25">
      <c r="A1640" s="140">
        <v>45701.178472222222</v>
      </c>
      <c r="B1640" t="s">
        <v>2992</v>
      </c>
      <c r="C1640" t="s">
        <v>5406</v>
      </c>
      <c r="D1640" s="6" t="str">
        <f>_xlfn.XLOOKUP(B1640,Indices!$A$2:$A$2676,Indices!$B$2:$B$2676,"")</f>
        <v/>
      </c>
    </row>
    <row r="1641" spans="1:4" x14ac:dyDescent="0.25">
      <c r="A1641" s="140">
        <v>45701.180555555555</v>
      </c>
      <c r="B1641" t="s">
        <v>1120</v>
      </c>
      <c r="C1641" t="s">
        <v>5407</v>
      </c>
      <c r="D1641" s="6" t="str">
        <f>_xlfn.XLOOKUP(B1641,Indices!$A$2:$A$2676,Indices!$B$2:$B$2676,"")</f>
        <v>SP500</v>
      </c>
    </row>
    <row r="1642" spans="1:4" x14ac:dyDescent="0.25">
      <c r="A1642" s="140">
        <v>45701.180555555555</v>
      </c>
      <c r="B1642" t="s">
        <v>1446</v>
      </c>
      <c r="C1642" t="s">
        <v>5407</v>
      </c>
      <c r="D1642" s="6" t="str">
        <f>_xlfn.XLOOKUP(B1642,Indices!$A$2:$A$2676,Indices!$B$2:$B$2676,"")</f>
        <v>SP500</v>
      </c>
    </row>
    <row r="1643" spans="1:4" x14ac:dyDescent="0.25">
      <c r="A1643" s="140">
        <v>45701.1875</v>
      </c>
      <c r="B1643" t="s">
        <v>1650</v>
      </c>
      <c r="C1643" t="s">
        <v>5408</v>
      </c>
      <c r="D1643" s="6" t="str">
        <f>_xlfn.XLOOKUP(B1643,Indices!$A$2:$A$2676,Indices!$B$2:$B$2676,"")</f>
        <v>IWM</v>
      </c>
    </row>
    <row r="1644" spans="1:4" x14ac:dyDescent="0.25">
      <c r="A1644" s="140">
        <v>45701.1875</v>
      </c>
      <c r="B1644" t="s">
        <v>2635</v>
      </c>
      <c r="C1644" t="s">
        <v>5408</v>
      </c>
      <c r="D1644" s="6" t="str">
        <f>_xlfn.XLOOKUP(B1644,Indices!$A$2:$A$2676,Indices!$B$2:$B$2676,"")</f>
        <v/>
      </c>
    </row>
    <row r="1645" spans="1:4" x14ac:dyDescent="0.25">
      <c r="A1645" s="140">
        <v>45701.1875</v>
      </c>
      <c r="B1645" t="s">
        <v>1735</v>
      </c>
      <c r="C1645" t="s">
        <v>5408</v>
      </c>
      <c r="D1645" s="6" t="str">
        <f>_xlfn.XLOOKUP(B1645,Indices!$A$2:$A$2676,Indices!$B$2:$B$2676,"")</f>
        <v>IWM</v>
      </c>
    </row>
    <row r="1646" spans="1:4" x14ac:dyDescent="0.25">
      <c r="A1646" s="140">
        <v>45701.1875</v>
      </c>
      <c r="B1646" t="s">
        <v>1758</v>
      </c>
      <c r="C1646" t="s">
        <v>5408</v>
      </c>
      <c r="D1646" s="6" t="str">
        <f>_xlfn.XLOOKUP(B1646,Indices!$A$2:$A$2676,Indices!$B$2:$B$2676,"")</f>
        <v>IWM</v>
      </c>
    </row>
    <row r="1647" spans="1:4" x14ac:dyDescent="0.25">
      <c r="A1647" s="140">
        <v>45701.1875</v>
      </c>
      <c r="B1647" t="s">
        <v>560</v>
      </c>
      <c r="C1647" t="s">
        <v>5408</v>
      </c>
      <c r="D1647" s="6" t="str">
        <f>_xlfn.XLOOKUP(B1647,Indices!$A$2:$A$2676,Indices!$B$2:$B$2676,"")</f>
        <v>SP500</v>
      </c>
    </row>
    <row r="1648" spans="1:4" x14ac:dyDescent="0.25">
      <c r="A1648" s="140">
        <v>45701.1875</v>
      </c>
      <c r="B1648" t="s">
        <v>1535</v>
      </c>
      <c r="C1648" t="s">
        <v>5408</v>
      </c>
      <c r="D1648" s="6" t="str">
        <f>_xlfn.XLOOKUP(B1648,Indices!$A$2:$A$2676,Indices!$B$2:$B$2676,"")</f>
        <v>SP500</v>
      </c>
    </row>
    <row r="1649" spans="1:4" x14ac:dyDescent="0.25">
      <c r="A1649" s="140">
        <v>45701.1875</v>
      </c>
      <c r="B1649" t="s">
        <v>2356</v>
      </c>
      <c r="C1649" t="s">
        <v>5408</v>
      </c>
      <c r="D1649" s="6" t="str">
        <f>_xlfn.XLOOKUP(B1649,Indices!$A$2:$A$2676,Indices!$B$2:$B$2676,"")</f>
        <v>S&amp;P Mid</v>
      </c>
    </row>
    <row r="1650" spans="1:4" x14ac:dyDescent="0.25">
      <c r="A1650" s="140">
        <v>45701.188194444447</v>
      </c>
      <c r="B1650" t="s">
        <v>1769</v>
      </c>
      <c r="C1650" t="s">
        <v>5409</v>
      </c>
      <c r="D1650" s="6" t="str">
        <f>_xlfn.XLOOKUP(B1650,Indices!$A$2:$A$2676,Indices!$B$2:$B$2676,"")</f>
        <v>IWM</v>
      </c>
    </row>
    <row r="1651" spans="1:4" x14ac:dyDescent="0.25">
      <c r="A1651" s="140">
        <v>45701.197916666664</v>
      </c>
      <c r="B1651" t="s">
        <v>2960</v>
      </c>
      <c r="C1651" t="s">
        <v>5410</v>
      </c>
      <c r="D1651" s="6" t="str">
        <f>_xlfn.XLOOKUP(B1651,Indices!$A$2:$A$2676,Indices!$B$2:$B$2676,"")</f>
        <v/>
      </c>
    </row>
    <row r="1652" spans="1:4" x14ac:dyDescent="0.25">
      <c r="A1652" s="140">
        <v>45701.197916666664</v>
      </c>
      <c r="B1652" t="s">
        <v>181</v>
      </c>
      <c r="C1652" t="s">
        <v>5410</v>
      </c>
      <c r="D1652" s="6" t="str">
        <f>_xlfn.XLOOKUP(B1652,Indices!$A$2:$A$2676,Indices!$B$2:$B$2676,"")</f>
        <v>IWM</v>
      </c>
    </row>
    <row r="1653" spans="1:4" x14ac:dyDescent="0.25">
      <c r="A1653" s="140">
        <v>45701.197916666664</v>
      </c>
      <c r="B1653" t="s">
        <v>568</v>
      </c>
      <c r="C1653" t="s">
        <v>5410</v>
      </c>
      <c r="D1653" s="6" t="str">
        <f>_xlfn.XLOOKUP(B1653,Indices!$A$2:$A$2676,Indices!$B$2:$B$2676,"")</f>
        <v>IWM</v>
      </c>
    </row>
    <row r="1654" spans="1:4" x14ac:dyDescent="0.25">
      <c r="A1654" s="140">
        <v>45701.197916666664</v>
      </c>
      <c r="B1654" t="s">
        <v>574</v>
      </c>
      <c r="C1654" t="s">
        <v>5410</v>
      </c>
      <c r="D1654" s="6" t="str">
        <f>_xlfn.XLOOKUP(B1654,Indices!$A$2:$A$2676,Indices!$B$2:$B$2676,"")</f>
        <v>S&amp;P Mid</v>
      </c>
    </row>
    <row r="1655" spans="1:4" x14ac:dyDescent="0.25">
      <c r="A1655" s="140">
        <v>45701.197916666664</v>
      </c>
      <c r="B1655" t="s">
        <v>2963</v>
      </c>
      <c r="C1655" t="s">
        <v>5410</v>
      </c>
      <c r="D1655" s="6" t="str">
        <f>_xlfn.XLOOKUP(B1655,Indices!$A$2:$A$2676,Indices!$B$2:$B$2676,"")</f>
        <v/>
      </c>
    </row>
    <row r="1656" spans="1:4" x14ac:dyDescent="0.25">
      <c r="A1656" s="140">
        <v>45701.197916666664</v>
      </c>
      <c r="B1656" t="s">
        <v>1049</v>
      </c>
      <c r="C1656" t="s">
        <v>5410</v>
      </c>
      <c r="D1656" s="6" t="str">
        <f>_xlfn.XLOOKUP(B1656,Indices!$A$2:$A$2676,Indices!$B$2:$B$2676,"")</f>
        <v>IWM</v>
      </c>
    </row>
    <row r="1657" spans="1:4" x14ac:dyDescent="0.25">
      <c r="A1657" s="140">
        <v>45701.197916666664</v>
      </c>
      <c r="B1657" t="s">
        <v>285</v>
      </c>
      <c r="C1657" t="s">
        <v>5410</v>
      </c>
      <c r="D1657" s="6" t="str">
        <f>_xlfn.XLOOKUP(B1657,Indices!$A$2:$A$2676,Indices!$B$2:$B$2676,"")</f>
        <v>SP500</v>
      </c>
    </row>
    <row r="1658" spans="1:4" x14ac:dyDescent="0.25">
      <c r="A1658" s="140">
        <v>45701.197916666664</v>
      </c>
      <c r="B1658" t="s">
        <v>1712</v>
      </c>
      <c r="C1658" t="s">
        <v>5410</v>
      </c>
      <c r="D1658" s="6" t="str">
        <f>_xlfn.XLOOKUP(B1658,Indices!$A$2:$A$2676,Indices!$B$2:$B$2676,"")</f>
        <v>IWM</v>
      </c>
    </row>
    <row r="1659" spans="1:4" x14ac:dyDescent="0.25">
      <c r="A1659" s="140">
        <v>45701.197916666664</v>
      </c>
      <c r="B1659" t="s">
        <v>2954</v>
      </c>
      <c r="C1659" t="s">
        <v>5410</v>
      </c>
      <c r="D1659" s="6" t="str">
        <f>_xlfn.XLOOKUP(B1659,Indices!$A$2:$A$2676,Indices!$B$2:$B$2676,"")</f>
        <v/>
      </c>
    </row>
    <row r="1660" spans="1:4" x14ac:dyDescent="0.25">
      <c r="A1660" s="140">
        <v>45701.204861111109</v>
      </c>
      <c r="B1660" t="s">
        <v>2458</v>
      </c>
      <c r="C1660" t="s">
        <v>5411</v>
      </c>
      <c r="D1660" s="6" t="str">
        <f>_xlfn.XLOOKUP(B1660,Indices!$A$2:$A$2676,Indices!$B$2:$B$2676,"")</f>
        <v>S&amp;P Mid</v>
      </c>
    </row>
    <row r="1661" spans="1:4" x14ac:dyDescent="0.25">
      <c r="A1661" s="140">
        <v>45701.204861111109</v>
      </c>
      <c r="B1661" t="s">
        <v>1480</v>
      </c>
      <c r="C1661" t="s">
        <v>5411</v>
      </c>
      <c r="D1661" s="6" t="str">
        <f>_xlfn.XLOOKUP(B1661,Indices!$A$2:$A$2676,Indices!$B$2:$B$2676,"")</f>
        <v>SP500</v>
      </c>
    </row>
    <row r="1662" spans="1:4" x14ac:dyDescent="0.25">
      <c r="A1662" s="140">
        <v>45701.204861111109</v>
      </c>
      <c r="B1662" t="s">
        <v>1444</v>
      </c>
      <c r="C1662" t="s">
        <v>5411</v>
      </c>
      <c r="D1662" s="6" t="str">
        <f>_xlfn.XLOOKUP(B1662,Indices!$A$2:$A$2676,Indices!$B$2:$B$2676,"")</f>
        <v>SP500</v>
      </c>
    </row>
    <row r="1663" spans="1:4" x14ac:dyDescent="0.25">
      <c r="A1663" s="140">
        <v>45701.204861111109</v>
      </c>
      <c r="B1663" t="s">
        <v>2994</v>
      </c>
      <c r="C1663" t="s">
        <v>5411</v>
      </c>
      <c r="D1663" s="6" t="str">
        <f>_xlfn.XLOOKUP(B1663,Indices!$A$2:$A$2676,Indices!$B$2:$B$2676,"")</f>
        <v/>
      </c>
    </row>
    <row r="1664" spans="1:4" x14ac:dyDescent="0.25">
      <c r="A1664" s="140">
        <v>45701.206250000003</v>
      </c>
      <c r="B1664" t="s">
        <v>290</v>
      </c>
      <c r="C1664" t="s">
        <v>5412</v>
      </c>
      <c r="D1664" s="6" t="str">
        <f>_xlfn.XLOOKUP(B1664,Indices!$A$2:$A$2676,Indices!$B$2:$B$2676,"")</f>
        <v>SP500</v>
      </c>
    </row>
    <row r="1665" spans="1:4" x14ac:dyDescent="0.25">
      <c r="A1665" s="140">
        <v>45701.206250000003</v>
      </c>
      <c r="B1665" t="s">
        <v>2508</v>
      </c>
      <c r="C1665" t="s">
        <v>5412</v>
      </c>
      <c r="D1665" s="6" t="str">
        <f>_xlfn.XLOOKUP(B1665,Indices!$A$2:$A$2676,Indices!$B$2:$B$2676,"")</f>
        <v>S&amp;P Mid</v>
      </c>
    </row>
    <row r="1666" spans="1:4" x14ac:dyDescent="0.25">
      <c r="A1666" s="140">
        <v>45701.206250000003</v>
      </c>
      <c r="B1666" t="s">
        <v>1365</v>
      </c>
      <c r="C1666" t="s">
        <v>5412</v>
      </c>
      <c r="D1666" s="6" t="str">
        <f>_xlfn.XLOOKUP(B1666,Indices!$A$2:$A$2676,Indices!$B$2:$B$2676,"")</f>
        <v>SP500</v>
      </c>
    </row>
    <row r="1667" spans="1:4" x14ac:dyDescent="0.25">
      <c r="A1667" s="140">
        <v>45701.208333333336</v>
      </c>
      <c r="B1667" t="s">
        <v>2505</v>
      </c>
      <c r="C1667" t="s">
        <v>5413</v>
      </c>
      <c r="D1667" s="6" t="str">
        <f>_xlfn.XLOOKUP(B1667,Indices!$A$2:$A$2676,Indices!$B$2:$B$2676,"")</f>
        <v>S&amp;P Mid</v>
      </c>
    </row>
    <row r="1668" spans="1:4" x14ac:dyDescent="0.25">
      <c r="A1668" s="140">
        <v>45701.208333333336</v>
      </c>
      <c r="B1668" t="s">
        <v>2353</v>
      </c>
      <c r="C1668" t="s">
        <v>5413</v>
      </c>
      <c r="D1668" s="6" t="str">
        <f>_xlfn.XLOOKUP(B1668,Indices!$A$2:$A$2676,Indices!$B$2:$B$2676,"")</f>
        <v>S&amp;P Mid</v>
      </c>
    </row>
    <row r="1669" spans="1:4" x14ac:dyDescent="0.25">
      <c r="A1669" s="140">
        <v>45701.208333333336</v>
      </c>
      <c r="B1669" t="s">
        <v>2961</v>
      </c>
      <c r="C1669" t="s">
        <v>5413</v>
      </c>
      <c r="D1669" s="6" t="str">
        <f>_xlfn.XLOOKUP(B1669,Indices!$A$2:$A$2676,Indices!$B$2:$B$2676,"")</f>
        <v/>
      </c>
    </row>
    <row r="1670" spans="1:4" x14ac:dyDescent="0.25">
      <c r="A1670" s="140">
        <v>45701.208333333336</v>
      </c>
      <c r="B1670" t="s">
        <v>1503</v>
      </c>
      <c r="C1670" t="s">
        <v>5413</v>
      </c>
      <c r="D1670" s="6" t="str">
        <f>_xlfn.XLOOKUP(B1670,Indices!$A$2:$A$2676,Indices!$B$2:$B$2676,"")</f>
        <v>SP500</v>
      </c>
    </row>
    <row r="1671" spans="1:4" x14ac:dyDescent="0.25">
      <c r="A1671" s="140">
        <v>45701.208333333336</v>
      </c>
      <c r="B1671" t="s">
        <v>49</v>
      </c>
      <c r="C1671" t="s">
        <v>5413</v>
      </c>
      <c r="D1671" s="6" t="str">
        <f>_xlfn.XLOOKUP(B1671,Indices!$A$2:$A$2676,Indices!$B$2:$B$2676,"")</f>
        <v>IWM</v>
      </c>
    </row>
    <row r="1672" spans="1:4" x14ac:dyDescent="0.25">
      <c r="A1672" s="140">
        <v>45701.208333333336</v>
      </c>
      <c r="B1672" t="s">
        <v>2947</v>
      </c>
      <c r="C1672" t="s">
        <v>5413</v>
      </c>
      <c r="D1672" s="6" t="str">
        <f>_xlfn.XLOOKUP(B1672,Indices!$A$2:$A$2676,Indices!$B$2:$B$2676,"")</f>
        <v/>
      </c>
    </row>
    <row r="1673" spans="1:4" x14ac:dyDescent="0.25">
      <c r="A1673" s="140">
        <v>45701.208333333336</v>
      </c>
      <c r="B1673" t="s">
        <v>1657</v>
      </c>
      <c r="C1673" t="s">
        <v>5413</v>
      </c>
      <c r="D1673" s="6" t="str">
        <f>_xlfn.XLOOKUP(B1673,Indices!$A$2:$A$2676,Indices!$B$2:$B$2676,"")</f>
        <v>IWM</v>
      </c>
    </row>
    <row r="1674" spans="1:4" x14ac:dyDescent="0.25">
      <c r="A1674" s="140">
        <v>45701.208333333336</v>
      </c>
      <c r="B1674" t="s">
        <v>187</v>
      </c>
      <c r="C1674" t="s">
        <v>5413</v>
      </c>
      <c r="D1674" s="6" t="str">
        <f>_xlfn.XLOOKUP(B1674,Indices!$A$2:$A$2676,Indices!$B$2:$B$2676,"")</f>
        <v>S&amp;P Mid</v>
      </c>
    </row>
    <row r="1675" spans="1:4" x14ac:dyDescent="0.25">
      <c r="A1675" s="140">
        <v>45701.208333333336</v>
      </c>
      <c r="B1675" t="s">
        <v>606</v>
      </c>
      <c r="C1675" t="s">
        <v>5413</v>
      </c>
      <c r="D1675" s="6" t="str">
        <f>_xlfn.XLOOKUP(B1675,Indices!$A$2:$A$2676,Indices!$B$2:$B$2676,"")</f>
        <v>NQ100</v>
      </c>
    </row>
    <row r="1676" spans="1:4" x14ac:dyDescent="0.25">
      <c r="A1676" s="140">
        <v>45701.208333333336</v>
      </c>
      <c r="B1676" t="s">
        <v>298</v>
      </c>
      <c r="C1676" t="s">
        <v>5413</v>
      </c>
      <c r="D1676" s="6" t="str">
        <f>_xlfn.XLOOKUP(B1676,Indices!$A$2:$A$2676,Indices!$B$2:$B$2676,"")</f>
        <v>SP500</v>
      </c>
    </row>
    <row r="1677" spans="1:4" x14ac:dyDescent="0.25">
      <c r="A1677" s="140">
        <v>45701.208333333336</v>
      </c>
      <c r="B1677" t="s">
        <v>525</v>
      </c>
      <c r="C1677" t="s">
        <v>5413</v>
      </c>
      <c r="D1677" s="6" t="str">
        <f>_xlfn.XLOOKUP(B1677,Indices!$A$2:$A$2676,Indices!$B$2:$B$2676,"")</f>
        <v>IWM</v>
      </c>
    </row>
    <row r="1678" spans="1:4" x14ac:dyDescent="0.25">
      <c r="A1678" s="140">
        <v>45701.208333333336</v>
      </c>
      <c r="B1678" t="s">
        <v>2989</v>
      </c>
      <c r="C1678" t="s">
        <v>5413</v>
      </c>
      <c r="D1678" s="6" t="str">
        <f>_xlfn.XLOOKUP(B1678,Indices!$A$2:$A$2676,Indices!$B$2:$B$2676,"")</f>
        <v/>
      </c>
    </row>
    <row r="1679" spans="1:4" x14ac:dyDescent="0.25">
      <c r="A1679" s="140">
        <v>45701.208333333336</v>
      </c>
      <c r="B1679" t="s">
        <v>2983</v>
      </c>
      <c r="C1679" t="s">
        <v>5413</v>
      </c>
      <c r="D1679" s="6" t="str">
        <f>_xlfn.XLOOKUP(B1679,Indices!$A$2:$A$2676,Indices!$B$2:$B$2676,"")</f>
        <v/>
      </c>
    </row>
    <row r="1680" spans="1:4" x14ac:dyDescent="0.25">
      <c r="A1680" s="140">
        <v>45701.208333333336</v>
      </c>
      <c r="B1680" t="s">
        <v>2881</v>
      </c>
      <c r="C1680" t="s">
        <v>5413</v>
      </c>
      <c r="D1680" s="6" t="str">
        <f>_xlfn.XLOOKUP(B1680,Indices!$A$2:$A$2676,Indices!$B$2:$B$2676,"")</f>
        <v/>
      </c>
    </row>
    <row r="1681" spans="1:4" x14ac:dyDescent="0.25">
      <c r="A1681" s="140">
        <v>45701.208333333336</v>
      </c>
      <c r="B1681" t="s">
        <v>51</v>
      </c>
      <c r="C1681" t="s">
        <v>5413</v>
      </c>
      <c r="D1681" s="6" t="str">
        <f>_xlfn.XLOOKUP(B1681,Indices!$A$2:$A$2676,Indices!$B$2:$B$2676,"")</f>
        <v>SP500</v>
      </c>
    </row>
    <row r="1682" spans="1:4" x14ac:dyDescent="0.25">
      <c r="A1682" s="140">
        <v>45701.209027777775</v>
      </c>
      <c r="B1682" t="s">
        <v>2502</v>
      </c>
      <c r="C1682" t="s">
        <v>5414</v>
      </c>
      <c r="D1682" s="6" t="str">
        <f>_xlfn.XLOOKUP(B1682,Indices!$A$2:$A$2676,Indices!$B$2:$B$2676,"")</f>
        <v>S&amp;P Mid</v>
      </c>
    </row>
    <row r="1683" spans="1:4" x14ac:dyDescent="0.25">
      <c r="A1683" s="140">
        <v>45701.209027777775</v>
      </c>
      <c r="B1683" t="s">
        <v>2835</v>
      </c>
      <c r="C1683" t="s">
        <v>5414</v>
      </c>
      <c r="D1683" s="6" t="str">
        <f>_xlfn.XLOOKUP(B1683,Indices!$A$2:$A$2676,Indices!$B$2:$B$2676,"")</f>
        <v/>
      </c>
    </row>
    <row r="1684" spans="1:4" x14ac:dyDescent="0.25">
      <c r="A1684" s="140">
        <v>45701.209027777775</v>
      </c>
      <c r="B1684" t="s">
        <v>575</v>
      </c>
      <c r="C1684" t="s">
        <v>5414</v>
      </c>
      <c r="D1684" s="6" t="str">
        <f>_xlfn.XLOOKUP(B1684,Indices!$A$2:$A$2676,Indices!$B$2:$B$2676,"")</f>
        <v>IWM</v>
      </c>
    </row>
    <row r="1685" spans="1:4" x14ac:dyDescent="0.25">
      <c r="A1685" s="140">
        <v>45701.211805555555</v>
      </c>
      <c r="B1685" t="s">
        <v>916</v>
      </c>
      <c r="C1685" t="s">
        <v>5415</v>
      </c>
      <c r="D1685" s="6" t="str">
        <f>_xlfn.XLOOKUP(B1685,Indices!$A$2:$A$2676,Indices!$B$2:$B$2676,"")</f>
        <v>IWM</v>
      </c>
    </row>
    <row r="1686" spans="1:4" x14ac:dyDescent="0.25">
      <c r="A1686" s="140">
        <v>45701.226388888892</v>
      </c>
      <c r="B1686" t="s">
        <v>2943</v>
      </c>
      <c r="C1686" t="s">
        <v>5416</v>
      </c>
      <c r="D1686" s="6" t="str">
        <f>_xlfn.XLOOKUP(B1686,Indices!$A$2:$A$2676,Indices!$B$2:$B$2676,"")</f>
        <v/>
      </c>
    </row>
    <row r="1687" spans="1:4" x14ac:dyDescent="0.25">
      <c r="A1687" s="140">
        <v>45701.229166666664</v>
      </c>
      <c r="B1687" t="s">
        <v>622</v>
      </c>
      <c r="C1687" t="s">
        <v>5417</v>
      </c>
      <c r="D1687" s="6" t="str">
        <f>_xlfn.XLOOKUP(B1687,Indices!$A$2:$A$2676,Indices!$B$2:$B$2676,"")</f>
        <v>IWM</v>
      </c>
    </row>
    <row r="1688" spans="1:4" x14ac:dyDescent="0.25">
      <c r="A1688" s="140">
        <v>45701.229166666664</v>
      </c>
      <c r="B1688" t="s">
        <v>2990</v>
      </c>
      <c r="C1688" t="s">
        <v>5417</v>
      </c>
      <c r="D1688" s="6" t="str">
        <f>_xlfn.XLOOKUP(B1688,Indices!$A$2:$A$2676,Indices!$B$2:$B$2676,"")</f>
        <v/>
      </c>
    </row>
    <row r="1689" spans="1:4" x14ac:dyDescent="0.25">
      <c r="A1689" s="140">
        <v>45701.229166666664</v>
      </c>
      <c r="B1689" t="s">
        <v>25</v>
      </c>
      <c r="C1689" t="s">
        <v>5417</v>
      </c>
      <c r="D1689" s="6" t="str">
        <f>_xlfn.XLOOKUP(B1689,Indices!$A$2:$A$2676,Indices!$B$2:$B$2676,"")</f>
        <v>SP500</v>
      </c>
    </row>
    <row r="1690" spans="1:4" x14ac:dyDescent="0.25">
      <c r="A1690" s="140">
        <v>45701.229166666664</v>
      </c>
      <c r="B1690" t="s">
        <v>2341</v>
      </c>
      <c r="C1690" t="s">
        <v>5417</v>
      </c>
      <c r="D1690" s="6" t="str">
        <f>_xlfn.XLOOKUP(B1690,Indices!$A$2:$A$2676,Indices!$B$2:$B$2676,"")</f>
        <v>S&amp;P Mid</v>
      </c>
    </row>
    <row r="1691" spans="1:4" x14ac:dyDescent="0.25">
      <c r="A1691" s="140">
        <v>45701.229166666664</v>
      </c>
      <c r="B1691" t="s">
        <v>1838</v>
      </c>
      <c r="C1691" t="s">
        <v>5417</v>
      </c>
      <c r="D1691" s="6" t="str">
        <f>_xlfn.XLOOKUP(B1691,Indices!$A$2:$A$2676,Indices!$B$2:$B$2676,"")</f>
        <v>IWM</v>
      </c>
    </row>
    <row r="1692" spans="1:4" x14ac:dyDescent="0.25">
      <c r="A1692" s="140">
        <v>45701.229166666664</v>
      </c>
      <c r="B1692" t="s">
        <v>619</v>
      </c>
      <c r="C1692" t="s">
        <v>5417</v>
      </c>
      <c r="D1692" s="6" t="str">
        <f>_xlfn.XLOOKUP(B1692,Indices!$A$2:$A$2676,Indices!$B$2:$B$2676,"")</f>
        <v>IWM</v>
      </c>
    </row>
    <row r="1693" spans="1:4" x14ac:dyDescent="0.25">
      <c r="A1693" s="140">
        <v>45701.229166666664</v>
      </c>
      <c r="B1693" t="s">
        <v>2970</v>
      </c>
      <c r="C1693" t="s">
        <v>5417</v>
      </c>
      <c r="D1693" s="6" t="str">
        <f>_xlfn.XLOOKUP(B1693,Indices!$A$2:$A$2676,Indices!$B$2:$B$2676,"")</f>
        <v/>
      </c>
    </row>
    <row r="1694" spans="1:4" x14ac:dyDescent="0.25">
      <c r="A1694" s="140">
        <v>45701.229166666664</v>
      </c>
      <c r="B1694" t="s">
        <v>2952</v>
      </c>
      <c r="C1694" t="s">
        <v>5417</v>
      </c>
      <c r="D1694" s="6" t="str">
        <f>_xlfn.XLOOKUP(B1694,Indices!$A$2:$A$2676,Indices!$B$2:$B$2676,"")</f>
        <v/>
      </c>
    </row>
    <row r="1695" spans="1:4" x14ac:dyDescent="0.25">
      <c r="A1695" s="140">
        <v>45701.229166666664</v>
      </c>
      <c r="B1695" t="s">
        <v>2936</v>
      </c>
      <c r="C1695" t="s">
        <v>5417</v>
      </c>
      <c r="D1695" s="6" t="str">
        <f>_xlfn.XLOOKUP(B1695,Indices!$A$2:$A$2676,Indices!$B$2:$B$2676,"")</f>
        <v/>
      </c>
    </row>
    <row r="1696" spans="1:4" x14ac:dyDescent="0.25">
      <c r="A1696" s="140">
        <v>45701.25</v>
      </c>
      <c r="B1696" t="s">
        <v>2674</v>
      </c>
      <c r="C1696" t="s">
        <v>5418</v>
      </c>
      <c r="D1696" s="6" t="str">
        <f>_xlfn.XLOOKUP(B1696,Indices!$A$2:$A$2676,Indices!$B$2:$B$2676,"")</f>
        <v/>
      </c>
    </row>
    <row r="1697" spans="1:4" x14ac:dyDescent="0.25">
      <c r="A1697" s="140">
        <v>45701.25</v>
      </c>
      <c r="B1697" t="s">
        <v>1787</v>
      </c>
      <c r="C1697" t="s">
        <v>5418</v>
      </c>
      <c r="D1697" s="6" t="str">
        <f>_xlfn.XLOOKUP(B1697,Indices!$A$2:$A$2676,Indices!$B$2:$B$2676,"")</f>
        <v>IWM</v>
      </c>
    </row>
    <row r="1698" spans="1:4" x14ac:dyDescent="0.25">
      <c r="A1698" s="140">
        <v>45701.25</v>
      </c>
      <c r="B1698" t="s">
        <v>2938</v>
      </c>
      <c r="C1698" t="s">
        <v>5418</v>
      </c>
      <c r="D1698" s="6" t="str">
        <f>_xlfn.XLOOKUP(B1698,Indices!$A$2:$A$2676,Indices!$B$2:$B$2676,"")</f>
        <v/>
      </c>
    </row>
    <row r="1699" spans="1:4" x14ac:dyDescent="0.25">
      <c r="A1699" s="140">
        <v>45701.25</v>
      </c>
      <c r="B1699" t="s">
        <v>2815</v>
      </c>
      <c r="C1699" t="s">
        <v>5418</v>
      </c>
      <c r="D1699" s="6" t="str">
        <f>_xlfn.XLOOKUP(B1699,Indices!$A$2:$A$2676,Indices!$B$2:$B$2676,"")</f>
        <v/>
      </c>
    </row>
    <row r="1700" spans="1:4" x14ac:dyDescent="0.25">
      <c r="A1700" s="140">
        <v>45701.25</v>
      </c>
      <c r="B1700" t="s">
        <v>933</v>
      </c>
      <c r="C1700" t="s">
        <v>5418</v>
      </c>
      <c r="D1700" s="6" t="str">
        <f>_xlfn.XLOOKUP(B1700,Indices!$A$2:$A$2676,Indices!$B$2:$B$2676,"")</f>
        <v>IWM</v>
      </c>
    </row>
    <row r="1701" spans="1:4" x14ac:dyDescent="0.25">
      <c r="A1701" s="140">
        <v>45701.25</v>
      </c>
      <c r="B1701" t="s">
        <v>2939</v>
      </c>
      <c r="C1701" t="s">
        <v>5418</v>
      </c>
      <c r="D1701" s="6" t="str">
        <f>_xlfn.XLOOKUP(B1701,Indices!$A$2:$A$2676,Indices!$B$2:$B$2676,"")</f>
        <v/>
      </c>
    </row>
    <row r="1702" spans="1:4" x14ac:dyDescent="0.25">
      <c r="A1702" s="140">
        <v>45701.25</v>
      </c>
      <c r="B1702" t="s">
        <v>323</v>
      </c>
      <c r="C1702" t="s">
        <v>5418</v>
      </c>
      <c r="D1702" s="6" t="str">
        <f>_xlfn.XLOOKUP(B1702,Indices!$A$2:$A$2676,Indices!$B$2:$B$2676,"")</f>
        <v>IWM</v>
      </c>
    </row>
    <row r="1703" spans="1:4" x14ac:dyDescent="0.25">
      <c r="A1703" s="140">
        <v>45701.250694444447</v>
      </c>
      <c r="B1703" t="s">
        <v>2895</v>
      </c>
      <c r="C1703" t="s">
        <v>5419</v>
      </c>
      <c r="D1703" s="6" t="str">
        <f>_xlfn.XLOOKUP(B1703,Indices!$A$2:$A$2676,Indices!$B$2:$B$2676,"")</f>
        <v/>
      </c>
    </row>
    <row r="1704" spans="1:4" x14ac:dyDescent="0.25">
      <c r="A1704" s="140">
        <v>45701.253472222219</v>
      </c>
      <c r="B1704" t="s">
        <v>2717</v>
      </c>
      <c r="C1704" t="s">
        <v>5420</v>
      </c>
      <c r="D1704" s="6" t="str">
        <f>_xlfn.XLOOKUP(B1704,Indices!$A$2:$A$2676,Indices!$B$2:$B$2676,"")</f>
        <v/>
      </c>
    </row>
    <row r="1705" spans="1:4" x14ac:dyDescent="0.25">
      <c r="A1705" s="140">
        <v>45701.260416666664</v>
      </c>
      <c r="B1705" t="s">
        <v>3031</v>
      </c>
      <c r="C1705" t="s">
        <v>5421</v>
      </c>
      <c r="D1705" s="6" t="str">
        <f>_xlfn.XLOOKUP(B1705,Indices!$A$2:$A$2676,Indices!$B$2:$B$2676,"")</f>
        <v/>
      </c>
    </row>
    <row r="1706" spans="1:4" x14ac:dyDescent="0.25">
      <c r="A1706" s="140">
        <v>45701.270138888889</v>
      </c>
      <c r="B1706" t="s">
        <v>213</v>
      </c>
      <c r="C1706" t="s">
        <v>5422</v>
      </c>
      <c r="D1706" s="6" t="str">
        <f>_xlfn.XLOOKUP(B1706,Indices!$A$2:$A$2676,Indices!$B$2:$B$2676,"")</f>
        <v>IWM</v>
      </c>
    </row>
    <row r="1707" spans="1:4" x14ac:dyDescent="0.25">
      <c r="A1707" s="140">
        <v>45701.270833333336</v>
      </c>
      <c r="B1707" t="s">
        <v>2993</v>
      </c>
      <c r="C1707" t="s">
        <v>5423</v>
      </c>
      <c r="D1707" s="6" t="str">
        <f>_xlfn.XLOOKUP(B1707,Indices!$A$2:$A$2676,Indices!$B$2:$B$2676,"")</f>
        <v/>
      </c>
    </row>
    <row r="1708" spans="1:4" x14ac:dyDescent="0.25">
      <c r="A1708" s="140">
        <v>45701.291666666664</v>
      </c>
      <c r="B1708" t="s">
        <v>2981</v>
      </c>
      <c r="C1708" t="s">
        <v>2934</v>
      </c>
      <c r="D1708" s="6" t="str">
        <f>_xlfn.XLOOKUP(B1708,Indices!$A$2:$A$2676,Indices!$B$2:$B$2676,"")</f>
        <v/>
      </c>
    </row>
    <row r="1709" spans="1:4" x14ac:dyDescent="0.25">
      <c r="A1709" s="140">
        <v>45701.291666666664</v>
      </c>
      <c r="B1709" t="s">
        <v>2946</v>
      </c>
      <c r="C1709" t="s">
        <v>2932</v>
      </c>
      <c r="D1709" s="6" t="str">
        <f>_xlfn.XLOOKUP(B1709,Indices!$A$2:$A$2676,Indices!$B$2:$B$2676,"")</f>
        <v/>
      </c>
    </row>
    <row r="1710" spans="1:4" x14ac:dyDescent="0.25">
      <c r="A1710" s="140">
        <v>45701.291666666664</v>
      </c>
      <c r="B1710" t="s">
        <v>183</v>
      </c>
      <c r="C1710" t="s">
        <v>2932</v>
      </c>
      <c r="D1710" s="6" t="str">
        <f>_xlfn.XLOOKUP(B1710,Indices!$A$2:$A$2676,Indices!$B$2:$B$2676,"")</f>
        <v>IWM</v>
      </c>
    </row>
    <row r="1711" spans="1:4" x14ac:dyDescent="0.25">
      <c r="A1711" s="140">
        <v>45701.291666666664</v>
      </c>
      <c r="B1711" t="s">
        <v>2958</v>
      </c>
      <c r="C1711" t="s">
        <v>2932</v>
      </c>
      <c r="D1711" s="6" t="str">
        <f>_xlfn.XLOOKUP(B1711,Indices!$A$2:$A$2676,Indices!$B$2:$B$2676,"")</f>
        <v/>
      </c>
    </row>
    <row r="1712" spans="1:4" x14ac:dyDescent="0.25">
      <c r="A1712" s="140">
        <v>45701.291666666664</v>
      </c>
      <c r="B1712" t="s">
        <v>2962</v>
      </c>
      <c r="C1712" t="s">
        <v>2932</v>
      </c>
      <c r="D1712" s="6" t="str">
        <f>_xlfn.XLOOKUP(B1712,Indices!$A$2:$A$2676,Indices!$B$2:$B$2676,"")</f>
        <v/>
      </c>
    </row>
    <row r="1713" spans="1:4" x14ac:dyDescent="0.25">
      <c r="A1713" s="140">
        <v>45701.291666666664</v>
      </c>
      <c r="B1713" t="s">
        <v>2979</v>
      </c>
      <c r="C1713" t="s">
        <v>2934</v>
      </c>
      <c r="D1713" s="6" t="str">
        <f>_xlfn.XLOOKUP(B1713,Indices!$A$2:$A$2676,Indices!$B$2:$B$2676,"")</f>
        <v/>
      </c>
    </row>
    <row r="1714" spans="1:4" x14ac:dyDescent="0.25">
      <c r="A1714" s="140">
        <v>45701.291666666664</v>
      </c>
      <c r="B1714" t="s">
        <v>2944</v>
      </c>
      <c r="C1714" t="s">
        <v>2932</v>
      </c>
      <c r="D1714" s="6" t="str">
        <f>_xlfn.XLOOKUP(B1714,Indices!$A$2:$A$2676,Indices!$B$2:$B$2676,"")</f>
        <v/>
      </c>
    </row>
    <row r="1715" spans="1:4" x14ac:dyDescent="0.25">
      <c r="A1715" s="140">
        <v>45701.291666666664</v>
      </c>
      <c r="B1715" t="s">
        <v>2964</v>
      </c>
      <c r="C1715" t="s">
        <v>2932</v>
      </c>
      <c r="D1715" s="6" t="str">
        <f>_xlfn.XLOOKUP(B1715,Indices!$A$2:$A$2676,Indices!$B$2:$B$2676,"")</f>
        <v/>
      </c>
    </row>
    <row r="1716" spans="1:4" x14ac:dyDescent="0.25">
      <c r="A1716" s="140">
        <v>45701.305555555555</v>
      </c>
      <c r="B1716" t="s">
        <v>2955</v>
      </c>
      <c r="C1716" t="s">
        <v>5424</v>
      </c>
      <c r="D1716" s="6" t="str">
        <f>_xlfn.XLOOKUP(B1716,Indices!$A$2:$A$2676,Indices!$B$2:$B$2676,"")</f>
        <v/>
      </c>
    </row>
    <row r="1717" spans="1:4" x14ac:dyDescent="0.25">
      <c r="A1717" s="140">
        <v>45701.583333333336</v>
      </c>
      <c r="B1717" t="s">
        <v>3009</v>
      </c>
      <c r="C1717" t="s">
        <v>5425</v>
      </c>
      <c r="D1717" s="6" t="str">
        <f>_xlfn.XLOOKUP(B1717,Indices!$A$2:$A$2676,Indices!$B$2:$B$2676,"")</f>
        <v/>
      </c>
    </row>
    <row r="1718" spans="1:4" x14ac:dyDescent="0.25">
      <c r="A1718" s="140">
        <v>45701.583333333336</v>
      </c>
      <c r="B1718" t="s">
        <v>3015</v>
      </c>
      <c r="C1718" t="s">
        <v>5425</v>
      </c>
      <c r="D1718" s="6" t="str">
        <f>_xlfn.XLOOKUP(B1718,Indices!$A$2:$A$2676,Indices!$B$2:$B$2676,"")</f>
        <v/>
      </c>
    </row>
    <row r="1719" spans="1:4" x14ac:dyDescent="0.25">
      <c r="A1719" s="140">
        <v>45701.584027777775</v>
      </c>
      <c r="B1719" t="s">
        <v>681</v>
      </c>
      <c r="C1719" t="s">
        <v>5426</v>
      </c>
      <c r="D1719" s="6" t="str">
        <f>_xlfn.XLOOKUP(B1719,Indices!$A$2:$A$2676,Indices!$B$2:$B$2676,"")</f>
        <v>IWM</v>
      </c>
    </row>
    <row r="1720" spans="1:4" x14ac:dyDescent="0.25">
      <c r="A1720" s="140">
        <v>45701.584027777775</v>
      </c>
      <c r="B1720" t="s">
        <v>4947</v>
      </c>
      <c r="C1720" t="s">
        <v>5426</v>
      </c>
      <c r="D1720" s="6" t="str">
        <f>_xlfn.XLOOKUP(B1720,Indices!$A$2:$A$2676,Indices!$B$2:$B$2676,"")</f>
        <v/>
      </c>
    </row>
    <row r="1721" spans="1:4" x14ac:dyDescent="0.25">
      <c r="A1721" s="140">
        <v>45701.584027777775</v>
      </c>
      <c r="B1721" t="s">
        <v>2911</v>
      </c>
      <c r="C1721" t="s">
        <v>5426</v>
      </c>
      <c r="D1721" s="6" t="str">
        <f>_xlfn.XLOOKUP(B1721,Indices!$A$2:$A$2676,Indices!$B$2:$B$2676,"")</f>
        <v/>
      </c>
    </row>
    <row r="1722" spans="1:4" x14ac:dyDescent="0.25">
      <c r="A1722" s="140">
        <v>45701.584027777775</v>
      </c>
      <c r="B1722" t="s">
        <v>2715</v>
      </c>
      <c r="C1722" t="s">
        <v>5426</v>
      </c>
      <c r="D1722" s="6" t="str">
        <f>_xlfn.XLOOKUP(B1722,Indices!$A$2:$A$2676,Indices!$B$2:$B$2676,"")</f>
        <v/>
      </c>
    </row>
    <row r="1723" spans="1:4" x14ac:dyDescent="0.25">
      <c r="A1723" s="140">
        <v>45701.584027777775</v>
      </c>
      <c r="B1723" t="s">
        <v>348</v>
      </c>
      <c r="C1723" t="s">
        <v>5426</v>
      </c>
      <c r="D1723" s="6" t="str">
        <f>_xlfn.XLOOKUP(B1723,Indices!$A$2:$A$2676,Indices!$B$2:$B$2676,"")</f>
        <v>IWM</v>
      </c>
    </row>
    <row r="1724" spans="1:4" x14ac:dyDescent="0.25">
      <c r="A1724" s="140">
        <v>45701.584027777775</v>
      </c>
      <c r="B1724" t="s">
        <v>2637</v>
      </c>
      <c r="C1724" t="s">
        <v>5426</v>
      </c>
      <c r="D1724" s="6" t="str">
        <f>_xlfn.XLOOKUP(B1724,Indices!$A$2:$A$2676,Indices!$B$2:$B$2676,"")</f>
        <v/>
      </c>
    </row>
    <row r="1725" spans="1:4" x14ac:dyDescent="0.25">
      <c r="A1725" s="140">
        <v>45701.584027777775</v>
      </c>
      <c r="B1725" t="s">
        <v>3006</v>
      </c>
      <c r="C1725" t="s">
        <v>5426</v>
      </c>
      <c r="D1725" s="6" t="str">
        <f>_xlfn.XLOOKUP(B1725,Indices!$A$2:$A$2676,Indices!$B$2:$B$2676,"")</f>
        <v/>
      </c>
    </row>
    <row r="1726" spans="1:4" x14ac:dyDescent="0.25">
      <c r="A1726" s="140">
        <v>45701.584027777775</v>
      </c>
      <c r="B1726" t="s">
        <v>1059</v>
      </c>
      <c r="C1726" t="s">
        <v>5426</v>
      </c>
      <c r="D1726" s="6" t="str">
        <f>_xlfn.XLOOKUP(B1726,Indices!$A$2:$A$2676,Indices!$B$2:$B$2676,"")</f>
        <v>SP500</v>
      </c>
    </row>
    <row r="1727" spans="1:4" x14ac:dyDescent="0.25">
      <c r="A1727" s="140">
        <v>45701.584722222222</v>
      </c>
      <c r="B1727" t="s">
        <v>652</v>
      </c>
      <c r="C1727" t="s">
        <v>5427</v>
      </c>
      <c r="D1727" s="6" t="str">
        <f>_xlfn.XLOOKUP(B1727,Indices!$A$2:$A$2676,Indices!$B$2:$B$2676,"")</f>
        <v>SP500</v>
      </c>
    </row>
    <row r="1728" spans="1:4" x14ac:dyDescent="0.25">
      <c r="A1728" s="140">
        <v>45701.584722222222</v>
      </c>
      <c r="B1728" t="s">
        <v>1479</v>
      </c>
      <c r="C1728" t="s">
        <v>5427</v>
      </c>
      <c r="D1728" s="6" t="str">
        <f>_xlfn.XLOOKUP(B1728,Indices!$A$2:$A$2676,Indices!$B$2:$B$2676,"")</f>
        <v>SP500</v>
      </c>
    </row>
    <row r="1729" spans="1:4" x14ac:dyDescent="0.25">
      <c r="A1729" s="140">
        <v>45701.584722222222</v>
      </c>
      <c r="B1729" t="s">
        <v>78</v>
      </c>
      <c r="C1729" t="s">
        <v>5427</v>
      </c>
      <c r="D1729" s="6" t="str">
        <f>_xlfn.XLOOKUP(B1729,Indices!$A$2:$A$2676,Indices!$B$2:$B$2676,"")</f>
        <v>SP500</v>
      </c>
    </row>
    <row r="1730" spans="1:4" x14ac:dyDescent="0.25">
      <c r="A1730" s="140">
        <v>45701.585416666669</v>
      </c>
      <c r="B1730" t="s">
        <v>3016</v>
      </c>
      <c r="C1730" t="s">
        <v>5428</v>
      </c>
      <c r="D1730" s="6" t="str">
        <f>_xlfn.XLOOKUP(B1730,Indices!$A$2:$A$2676,Indices!$B$2:$B$2676,"")</f>
        <v/>
      </c>
    </row>
    <row r="1731" spans="1:4" x14ac:dyDescent="0.25">
      <c r="A1731" s="140">
        <v>45701.585416666669</v>
      </c>
      <c r="B1731" t="s">
        <v>2702</v>
      </c>
      <c r="C1731" t="s">
        <v>5428</v>
      </c>
      <c r="D1731" s="6" t="str">
        <f>_xlfn.XLOOKUP(B1731,Indices!$A$2:$A$2676,Indices!$B$2:$B$2676,"")</f>
        <v/>
      </c>
    </row>
    <row r="1732" spans="1:4" x14ac:dyDescent="0.25">
      <c r="A1732" s="140">
        <v>45701.586805555555</v>
      </c>
      <c r="B1732" t="s">
        <v>2696</v>
      </c>
      <c r="C1732" t="s">
        <v>5429</v>
      </c>
      <c r="D1732" s="6" t="str">
        <f>_xlfn.XLOOKUP(B1732,Indices!$A$2:$A$2676,Indices!$B$2:$B$2676,"")</f>
        <v/>
      </c>
    </row>
    <row r="1733" spans="1:4" x14ac:dyDescent="0.25">
      <c r="A1733" s="140">
        <v>45701.586805555555</v>
      </c>
      <c r="B1733" t="s">
        <v>1394</v>
      </c>
      <c r="C1733" t="s">
        <v>5429</v>
      </c>
      <c r="D1733" s="6" t="str">
        <f>_xlfn.XLOOKUP(B1733,Indices!$A$2:$A$2676,Indices!$B$2:$B$2676,"")</f>
        <v>SP500</v>
      </c>
    </row>
    <row r="1734" spans="1:4" x14ac:dyDescent="0.25">
      <c r="A1734" s="140">
        <v>45701.586805555555</v>
      </c>
      <c r="B1734" t="s">
        <v>1987</v>
      </c>
      <c r="C1734" t="s">
        <v>5429</v>
      </c>
      <c r="D1734" s="6" t="str">
        <f>_xlfn.XLOOKUP(B1734,Indices!$A$2:$A$2676,Indices!$B$2:$B$2676,"")</f>
        <v>IWM</v>
      </c>
    </row>
    <row r="1735" spans="1:4" x14ac:dyDescent="0.25">
      <c r="A1735" s="140">
        <v>45701.586805555555</v>
      </c>
      <c r="B1735" t="s">
        <v>3024</v>
      </c>
      <c r="C1735" t="s">
        <v>5429</v>
      </c>
      <c r="D1735" s="6" t="str">
        <f>_xlfn.XLOOKUP(B1735,Indices!$A$2:$A$2676,Indices!$B$2:$B$2676,"")</f>
        <v/>
      </c>
    </row>
    <row r="1736" spans="1:4" x14ac:dyDescent="0.25">
      <c r="A1736" s="140">
        <v>45701.586805555555</v>
      </c>
      <c r="B1736" t="s">
        <v>125</v>
      </c>
      <c r="C1736" t="s">
        <v>5429</v>
      </c>
      <c r="D1736" s="6" t="str">
        <f>_xlfn.XLOOKUP(B1736,Indices!$A$2:$A$2676,Indices!$B$2:$B$2676,"")</f>
        <v>IWM</v>
      </c>
    </row>
    <row r="1737" spans="1:4" x14ac:dyDescent="0.25">
      <c r="A1737" s="140">
        <v>45701.586805555555</v>
      </c>
      <c r="B1737" t="s">
        <v>3035</v>
      </c>
      <c r="C1737" t="s">
        <v>5429</v>
      </c>
      <c r="D1737" s="6" t="str">
        <f>_xlfn.XLOOKUP(B1737,Indices!$A$2:$A$2676,Indices!$B$2:$B$2676,"")</f>
        <v/>
      </c>
    </row>
    <row r="1738" spans="1:4" x14ac:dyDescent="0.25">
      <c r="A1738" s="140">
        <v>45701.586805555555</v>
      </c>
      <c r="B1738" t="s">
        <v>1744</v>
      </c>
      <c r="C1738" t="s">
        <v>5429</v>
      </c>
      <c r="D1738" s="6" t="str">
        <f>_xlfn.XLOOKUP(B1738,Indices!$A$2:$A$2676,Indices!$B$2:$B$2676,"")</f>
        <v>IWM</v>
      </c>
    </row>
    <row r="1739" spans="1:4" x14ac:dyDescent="0.25">
      <c r="A1739" s="140">
        <v>45701.586805555555</v>
      </c>
      <c r="B1739" t="s">
        <v>3025</v>
      </c>
      <c r="C1739" t="s">
        <v>5429</v>
      </c>
      <c r="D1739" s="6" t="str">
        <f>_xlfn.XLOOKUP(B1739,Indices!$A$2:$A$2676,Indices!$B$2:$B$2676,"")</f>
        <v/>
      </c>
    </row>
    <row r="1740" spans="1:4" x14ac:dyDescent="0.25">
      <c r="A1740" s="140">
        <v>45701.586805555555</v>
      </c>
      <c r="B1740" t="s">
        <v>2094</v>
      </c>
      <c r="C1740" t="s">
        <v>5429</v>
      </c>
      <c r="D1740" s="6" t="str">
        <f>_xlfn.XLOOKUP(B1740,Indices!$A$2:$A$2676,Indices!$B$2:$B$2676,"")</f>
        <v>IWM</v>
      </c>
    </row>
    <row r="1741" spans="1:4" x14ac:dyDescent="0.25">
      <c r="A1741" s="140">
        <v>45701.586805555555</v>
      </c>
      <c r="B1741" t="s">
        <v>1496</v>
      </c>
      <c r="C1741" t="s">
        <v>5429</v>
      </c>
      <c r="D1741" s="6" t="str">
        <f>_xlfn.XLOOKUP(B1741,Indices!$A$2:$A$2676,Indices!$B$2:$B$2676,"")</f>
        <v>SP500</v>
      </c>
    </row>
    <row r="1742" spans="1:4" x14ac:dyDescent="0.25">
      <c r="A1742" s="140">
        <v>45701.586805555555</v>
      </c>
      <c r="B1742" t="s">
        <v>1599</v>
      </c>
      <c r="C1742" t="s">
        <v>5429</v>
      </c>
      <c r="D1742" s="6" t="str">
        <f>_xlfn.XLOOKUP(B1742,Indices!$A$2:$A$2676,Indices!$B$2:$B$2676,"")</f>
        <v>SP500</v>
      </c>
    </row>
    <row r="1743" spans="1:4" x14ac:dyDescent="0.25">
      <c r="A1743" s="140">
        <v>45701.586805555555</v>
      </c>
      <c r="B1743" t="s">
        <v>3007</v>
      </c>
      <c r="C1743" t="s">
        <v>5429</v>
      </c>
      <c r="D1743" s="6" t="str">
        <f>_xlfn.XLOOKUP(B1743,Indices!$A$2:$A$2676,Indices!$B$2:$B$2676,"")</f>
        <v/>
      </c>
    </row>
    <row r="1744" spans="1:4" x14ac:dyDescent="0.25">
      <c r="A1744" s="140">
        <v>45701.586805555555</v>
      </c>
      <c r="B1744" t="s">
        <v>1107</v>
      </c>
      <c r="C1744" t="s">
        <v>5429</v>
      </c>
      <c r="D1744" s="6" t="str">
        <f>_xlfn.XLOOKUP(B1744,Indices!$A$2:$A$2676,Indices!$B$2:$B$2676,"")</f>
        <v>SP500</v>
      </c>
    </row>
    <row r="1745" spans="1:4" x14ac:dyDescent="0.25">
      <c r="A1745" s="140">
        <v>45701.586805555555</v>
      </c>
      <c r="B1745" t="s">
        <v>3029</v>
      </c>
      <c r="C1745" t="s">
        <v>5429</v>
      </c>
      <c r="D1745" s="6" t="str">
        <f>_xlfn.XLOOKUP(B1745,Indices!$A$2:$A$2676,Indices!$B$2:$B$2676,"")</f>
        <v/>
      </c>
    </row>
    <row r="1746" spans="1:4" x14ac:dyDescent="0.25">
      <c r="A1746" s="140">
        <v>45701.586805555555</v>
      </c>
      <c r="B1746" t="s">
        <v>1915</v>
      </c>
      <c r="C1746" t="s">
        <v>5429</v>
      </c>
      <c r="D1746" s="6" t="str">
        <f>_xlfn.XLOOKUP(B1746,Indices!$A$2:$A$2676,Indices!$B$2:$B$2676,"")</f>
        <v>IWM</v>
      </c>
    </row>
    <row r="1747" spans="1:4" x14ac:dyDescent="0.25">
      <c r="A1747" s="140">
        <v>45701.586805555555</v>
      </c>
      <c r="B1747" t="s">
        <v>3003</v>
      </c>
      <c r="C1747" t="s">
        <v>5429</v>
      </c>
      <c r="D1747" s="6" t="str">
        <f>_xlfn.XLOOKUP(B1747,Indices!$A$2:$A$2676,Indices!$B$2:$B$2676,"")</f>
        <v/>
      </c>
    </row>
    <row r="1748" spans="1:4" x14ac:dyDescent="0.25">
      <c r="A1748" s="140">
        <v>45701.586805555555</v>
      </c>
      <c r="B1748" t="s">
        <v>756</v>
      </c>
      <c r="C1748" t="s">
        <v>5429</v>
      </c>
      <c r="D1748" s="6" t="str">
        <f>_xlfn.XLOOKUP(B1748,Indices!$A$2:$A$2676,Indices!$B$2:$B$2676,"")</f>
        <v>IWM</v>
      </c>
    </row>
    <row r="1749" spans="1:4" x14ac:dyDescent="0.25">
      <c r="A1749" s="140">
        <v>45701.586805555555</v>
      </c>
      <c r="B1749" t="s">
        <v>3069</v>
      </c>
      <c r="C1749" t="s">
        <v>5429</v>
      </c>
      <c r="D1749" s="6" t="str">
        <f>_xlfn.XLOOKUP(B1749,Indices!$A$2:$A$2676,Indices!$B$2:$B$2676,"")</f>
        <v/>
      </c>
    </row>
    <row r="1750" spans="1:4" x14ac:dyDescent="0.25">
      <c r="A1750" s="140">
        <v>45701.586805555555</v>
      </c>
      <c r="B1750" t="s">
        <v>3020</v>
      </c>
      <c r="C1750" t="s">
        <v>5429</v>
      </c>
      <c r="D1750" s="6" t="str">
        <f>_xlfn.XLOOKUP(B1750,Indices!$A$2:$A$2676,Indices!$B$2:$B$2676,"")</f>
        <v/>
      </c>
    </row>
    <row r="1751" spans="1:4" x14ac:dyDescent="0.25">
      <c r="A1751" s="140">
        <v>45701.586805555555</v>
      </c>
      <c r="B1751" t="s">
        <v>3022</v>
      </c>
      <c r="C1751" t="s">
        <v>5429</v>
      </c>
      <c r="D1751" s="6" t="str">
        <f>_xlfn.XLOOKUP(B1751,Indices!$A$2:$A$2676,Indices!$B$2:$B$2676,"")</f>
        <v/>
      </c>
    </row>
    <row r="1752" spans="1:4" x14ac:dyDescent="0.25">
      <c r="A1752" s="140">
        <v>45701.586805555555</v>
      </c>
      <c r="B1752" t="s">
        <v>1577</v>
      </c>
      <c r="C1752" t="s">
        <v>5429</v>
      </c>
      <c r="D1752" s="6" t="str">
        <f>_xlfn.XLOOKUP(B1752,Indices!$A$2:$A$2676,Indices!$B$2:$B$2676,"")</f>
        <v>SP500</v>
      </c>
    </row>
    <row r="1753" spans="1:4" x14ac:dyDescent="0.25">
      <c r="A1753" s="140">
        <v>45701.586805555555</v>
      </c>
      <c r="B1753" t="s">
        <v>3012</v>
      </c>
      <c r="C1753" t="s">
        <v>5429</v>
      </c>
      <c r="D1753" s="6" t="str">
        <f>_xlfn.XLOOKUP(B1753,Indices!$A$2:$A$2676,Indices!$B$2:$B$2676,"")</f>
        <v/>
      </c>
    </row>
    <row r="1754" spans="1:4" x14ac:dyDescent="0.25">
      <c r="A1754" s="140">
        <v>45701.586805555555</v>
      </c>
      <c r="B1754" t="s">
        <v>749</v>
      </c>
      <c r="C1754" t="s">
        <v>5429</v>
      </c>
      <c r="D1754" s="6" t="str">
        <f>_xlfn.XLOOKUP(B1754,Indices!$A$2:$A$2676,Indices!$B$2:$B$2676,"")</f>
        <v>IWM</v>
      </c>
    </row>
    <row r="1755" spans="1:4" x14ac:dyDescent="0.25">
      <c r="A1755" s="140">
        <v>45701.587500000001</v>
      </c>
      <c r="B1755" t="s">
        <v>768</v>
      </c>
      <c r="C1755" t="s">
        <v>5430</v>
      </c>
      <c r="D1755" s="6" t="str">
        <f>_xlfn.XLOOKUP(B1755,Indices!$A$2:$A$2676,Indices!$B$2:$B$2676,"")</f>
        <v>IWM</v>
      </c>
    </row>
    <row r="1756" spans="1:4" x14ac:dyDescent="0.25">
      <c r="A1756" s="140">
        <v>45701.589583333334</v>
      </c>
      <c r="B1756" t="s">
        <v>3004</v>
      </c>
      <c r="C1756" t="s">
        <v>5431</v>
      </c>
      <c r="D1756" s="6" t="str">
        <f>_xlfn.XLOOKUP(B1756,Indices!$A$2:$A$2676,Indices!$B$2:$B$2676,"")</f>
        <v/>
      </c>
    </row>
    <row r="1757" spans="1:4" x14ac:dyDescent="0.25">
      <c r="A1757" s="140">
        <v>45701.590277777781</v>
      </c>
      <c r="B1757" t="s">
        <v>2357</v>
      </c>
      <c r="C1757" t="s">
        <v>5432</v>
      </c>
      <c r="D1757" s="6" t="str">
        <f>_xlfn.XLOOKUP(B1757,Indices!$A$2:$A$2676,Indices!$B$2:$B$2676,"")</f>
        <v>S&amp;P Mid</v>
      </c>
    </row>
    <row r="1758" spans="1:4" x14ac:dyDescent="0.25">
      <c r="A1758" s="140">
        <v>45701.590277777781</v>
      </c>
      <c r="B1758" t="s">
        <v>776</v>
      </c>
      <c r="C1758" t="s">
        <v>5432</v>
      </c>
      <c r="D1758" s="6" t="str">
        <f>_xlfn.XLOOKUP(B1758,Indices!$A$2:$A$2676,Indices!$B$2:$B$2676,"")</f>
        <v>SP500</v>
      </c>
    </row>
    <row r="1759" spans="1:4" x14ac:dyDescent="0.25">
      <c r="A1759" s="140">
        <v>45701.590277777781</v>
      </c>
      <c r="B1759" t="s">
        <v>3008</v>
      </c>
      <c r="C1759" t="s">
        <v>5432</v>
      </c>
      <c r="D1759" s="6" t="str">
        <f>_xlfn.XLOOKUP(B1759,Indices!$A$2:$A$2676,Indices!$B$2:$B$2676,"")</f>
        <v/>
      </c>
    </row>
    <row r="1760" spans="1:4" x14ac:dyDescent="0.25">
      <c r="A1760" s="140">
        <v>45701.590277777781</v>
      </c>
      <c r="B1760" t="s">
        <v>2704</v>
      </c>
      <c r="C1760" t="s">
        <v>5432</v>
      </c>
      <c r="D1760" s="6" t="str">
        <f>_xlfn.XLOOKUP(B1760,Indices!$A$2:$A$2676,Indices!$B$2:$B$2676,"")</f>
        <v/>
      </c>
    </row>
    <row r="1761" spans="1:4" x14ac:dyDescent="0.25">
      <c r="A1761" s="140">
        <v>45701.592361111114</v>
      </c>
      <c r="B1761" t="s">
        <v>2862</v>
      </c>
      <c r="C1761" t="s">
        <v>5433</v>
      </c>
      <c r="D1761" s="6" t="str">
        <f>_xlfn.XLOOKUP(B1761,Indices!$A$2:$A$2676,Indices!$B$2:$B$2676,"")</f>
        <v/>
      </c>
    </row>
    <row r="1762" spans="1:4" x14ac:dyDescent="0.25">
      <c r="A1762" s="140">
        <v>45701.593055555553</v>
      </c>
      <c r="B1762" t="s">
        <v>2858</v>
      </c>
      <c r="C1762" t="s">
        <v>5434</v>
      </c>
      <c r="D1762" s="6" t="str">
        <f>_xlfn.XLOOKUP(B1762,Indices!$A$2:$A$2676,Indices!$B$2:$B$2676,"")</f>
        <v/>
      </c>
    </row>
    <row r="1763" spans="1:4" x14ac:dyDescent="0.25">
      <c r="A1763" s="140">
        <v>45701.59375</v>
      </c>
      <c r="B1763" t="s">
        <v>127</v>
      </c>
      <c r="C1763" t="s">
        <v>5435</v>
      </c>
      <c r="D1763" s="6" t="str">
        <f>_xlfn.XLOOKUP(B1763,Indices!$A$2:$A$2676,Indices!$B$2:$B$2676,"")</f>
        <v>IWM</v>
      </c>
    </row>
    <row r="1764" spans="1:4" x14ac:dyDescent="0.25">
      <c r="A1764" s="140">
        <v>45701.59375</v>
      </c>
      <c r="B1764" t="s">
        <v>3017</v>
      </c>
      <c r="C1764" t="s">
        <v>5435</v>
      </c>
      <c r="D1764" s="6" t="str">
        <f>_xlfn.XLOOKUP(B1764,Indices!$A$2:$A$2676,Indices!$B$2:$B$2676,"")</f>
        <v/>
      </c>
    </row>
    <row r="1765" spans="1:4" x14ac:dyDescent="0.25">
      <c r="A1765" s="140">
        <v>45701.59375</v>
      </c>
      <c r="B1765" t="s">
        <v>1984</v>
      </c>
      <c r="C1765" t="s">
        <v>5435</v>
      </c>
      <c r="D1765" s="6" t="str">
        <f>_xlfn.XLOOKUP(B1765,Indices!$A$2:$A$2676,Indices!$B$2:$B$2676,"")</f>
        <v>IWM</v>
      </c>
    </row>
    <row r="1766" spans="1:4" x14ac:dyDescent="0.25">
      <c r="A1766" s="140">
        <v>45701.59375</v>
      </c>
      <c r="B1766" t="s">
        <v>2029</v>
      </c>
      <c r="C1766" t="s">
        <v>5435</v>
      </c>
      <c r="D1766" s="6" t="str">
        <f>_xlfn.XLOOKUP(B1766,Indices!$A$2:$A$2676,Indices!$B$2:$B$2676,"")</f>
        <v>IWM</v>
      </c>
    </row>
    <row r="1767" spans="1:4" x14ac:dyDescent="0.25">
      <c r="A1767" s="140">
        <v>45701.59375</v>
      </c>
      <c r="B1767" t="s">
        <v>134</v>
      </c>
      <c r="C1767" t="s">
        <v>5435</v>
      </c>
      <c r="D1767" s="6" t="str">
        <f>_xlfn.XLOOKUP(B1767,Indices!$A$2:$A$2676,Indices!$B$2:$B$2676,"")</f>
        <v>IWM</v>
      </c>
    </row>
    <row r="1768" spans="1:4" x14ac:dyDescent="0.25">
      <c r="A1768" s="140">
        <v>45701.59375</v>
      </c>
      <c r="B1768" t="s">
        <v>3030</v>
      </c>
      <c r="C1768" t="s">
        <v>5435</v>
      </c>
      <c r="D1768" s="6" t="str">
        <f>_xlfn.XLOOKUP(B1768,Indices!$A$2:$A$2676,Indices!$B$2:$B$2676,"")</f>
        <v/>
      </c>
    </row>
    <row r="1769" spans="1:4" x14ac:dyDescent="0.25">
      <c r="A1769" s="140">
        <v>45701.59652777778</v>
      </c>
      <c r="B1769" t="s">
        <v>686</v>
      </c>
      <c r="C1769" t="s">
        <v>5436</v>
      </c>
      <c r="D1769" s="6" t="str">
        <f>_xlfn.XLOOKUP(B1769,Indices!$A$2:$A$2676,Indices!$B$2:$B$2676,"")</f>
        <v>IWM</v>
      </c>
    </row>
    <row r="1770" spans="1:4" x14ac:dyDescent="0.25">
      <c r="A1770" s="140">
        <v>45701.597222222219</v>
      </c>
      <c r="B1770" t="s">
        <v>2471</v>
      </c>
      <c r="C1770" t="s">
        <v>5437</v>
      </c>
      <c r="D1770" s="6" t="str">
        <f>_xlfn.XLOOKUP(B1770,Indices!$A$2:$A$2676,Indices!$B$2:$B$2676,"")</f>
        <v>S&amp;P Mid</v>
      </c>
    </row>
    <row r="1771" spans="1:4" x14ac:dyDescent="0.25">
      <c r="A1771" s="140">
        <v>45701.598611111112</v>
      </c>
      <c r="B1771" t="s">
        <v>3023</v>
      </c>
      <c r="C1771" t="s">
        <v>5438</v>
      </c>
      <c r="D1771" s="6" t="str">
        <f>_xlfn.XLOOKUP(B1771,Indices!$A$2:$A$2676,Indices!$B$2:$B$2676,"")</f>
        <v/>
      </c>
    </row>
    <row r="1772" spans="1:4" x14ac:dyDescent="0.25">
      <c r="A1772" s="140">
        <v>45701.604166666664</v>
      </c>
      <c r="B1772" t="s">
        <v>513</v>
      </c>
      <c r="C1772" t="s">
        <v>5439</v>
      </c>
      <c r="D1772" s="6" t="str">
        <f>_xlfn.XLOOKUP(B1772,Indices!$A$2:$A$2676,Indices!$B$2:$B$2676,"")</f>
        <v>IWM</v>
      </c>
    </row>
    <row r="1773" spans="1:4" x14ac:dyDescent="0.25">
      <c r="A1773" s="140">
        <v>45701.604166666664</v>
      </c>
      <c r="B1773" t="s">
        <v>488</v>
      </c>
      <c r="C1773" t="s">
        <v>5439</v>
      </c>
      <c r="D1773" s="6" t="str">
        <f>_xlfn.XLOOKUP(B1773,Indices!$A$2:$A$2676,Indices!$B$2:$B$2676,"")</f>
        <v>SP500</v>
      </c>
    </row>
    <row r="1774" spans="1:4" x14ac:dyDescent="0.25">
      <c r="A1774" s="140">
        <v>45701.604166666664</v>
      </c>
      <c r="B1774" t="s">
        <v>1436</v>
      </c>
      <c r="C1774" t="s">
        <v>5439</v>
      </c>
      <c r="D1774" s="6" t="str">
        <f>_xlfn.XLOOKUP(B1774,Indices!$A$2:$A$2676,Indices!$B$2:$B$2676,"")</f>
        <v>SP500</v>
      </c>
    </row>
    <row r="1775" spans="1:4" x14ac:dyDescent="0.25">
      <c r="A1775" s="140">
        <v>45701.604166666664</v>
      </c>
      <c r="B1775" t="s">
        <v>2310</v>
      </c>
      <c r="C1775" t="s">
        <v>5439</v>
      </c>
      <c r="D1775" s="6" t="str">
        <f>_xlfn.XLOOKUP(B1775,Indices!$A$2:$A$2676,Indices!$B$2:$B$2676,"")</f>
        <v>IWM</v>
      </c>
    </row>
    <row r="1776" spans="1:4" x14ac:dyDescent="0.25">
      <c r="A1776" s="140">
        <v>45701.604166666664</v>
      </c>
      <c r="B1776" t="s">
        <v>3013</v>
      </c>
      <c r="C1776" t="s">
        <v>5439</v>
      </c>
      <c r="D1776" s="6" t="str">
        <f>_xlfn.XLOOKUP(B1776,Indices!$A$2:$A$2676,Indices!$B$2:$B$2676,"")</f>
        <v/>
      </c>
    </row>
    <row r="1777" spans="1:4" x14ac:dyDescent="0.25">
      <c r="A1777" s="140">
        <v>45701.604166666664</v>
      </c>
      <c r="B1777" t="s">
        <v>3068</v>
      </c>
      <c r="C1777" t="s">
        <v>5439</v>
      </c>
      <c r="D1777" s="6" t="str">
        <f>_xlfn.XLOOKUP(B1777,Indices!$A$2:$A$2676,Indices!$B$2:$B$2676,"")</f>
        <v/>
      </c>
    </row>
    <row r="1778" spans="1:4" x14ac:dyDescent="0.25">
      <c r="A1778" s="140">
        <v>45701.604166666664</v>
      </c>
      <c r="B1778" t="s">
        <v>2297</v>
      </c>
      <c r="C1778" t="s">
        <v>5439</v>
      </c>
      <c r="D1778" s="6" t="str">
        <f>_xlfn.XLOOKUP(B1778,Indices!$A$2:$A$2676,Indices!$B$2:$B$2676,"")</f>
        <v>IWM</v>
      </c>
    </row>
    <row r="1779" spans="1:4" x14ac:dyDescent="0.25">
      <c r="A1779" s="140">
        <v>45701.604166666664</v>
      </c>
      <c r="B1779" t="s">
        <v>2866</v>
      </c>
      <c r="C1779" t="s">
        <v>5439</v>
      </c>
      <c r="D1779" s="6" t="str">
        <f>_xlfn.XLOOKUP(B1779,Indices!$A$2:$A$2676,Indices!$B$2:$B$2676,"")</f>
        <v/>
      </c>
    </row>
    <row r="1780" spans="1:4" x14ac:dyDescent="0.25">
      <c r="A1780" s="140">
        <v>45701.604166666664</v>
      </c>
      <c r="B1780" t="s">
        <v>511</v>
      </c>
      <c r="C1780" t="s">
        <v>5439</v>
      </c>
      <c r="D1780" s="6" t="str">
        <f>_xlfn.XLOOKUP(B1780,Indices!$A$2:$A$2676,Indices!$B$2:$B$2676,"")</f>
        <v>IWM</v>
      </c>
    </row>
    <row r="1781" spans="1:4" x14ac:dyDescent="0.25">
      <c r="A1781" s="140">
        <v>45701.609722222223</v>
      </c>
      <c r="B1781" t="s">
        <v>1389</v>
      </c>
      <c r="C1781" t="s">
        <v>5440</v>
      </c>
      <c r="D1781" s="6" t="str">
        <f>_xlfn.XLOOKUP(B1781,Indices!$A$2:$A$2676,Indices!$B$2:$B$2676,"")</f>
        <v>SP500</v>
      </c>
    </row>
    <row r="1782" spans="1:4" x14ac:dyDescent="0.25">
      <c r="A1782" s="140">
        <v>45701.618055555555</v>
      </c>
      <c r="B1782" t="s">
        <v>3026</v>
      </c>
      <c r="C1782" t="s">
        <v>5441</v>
      </c>
      <c r="D1782" s="6" t="str">
        <f>_xlfn.XLOOKUP(B1782,Indices!$A$2:$A$2676,Indices!$B$2:$B$2676,"")</f>
        <v/>
      </c>
    </row>
    <row r="1783" spans="1:4" x14ac:dyDescent="0.25">
      <c r="A1783" s="140">
        <v>45701.625</v>
      </c>
      <c r="B1783" t="s">
        <v>774</v>
      </c>
      <c r="C1783" t="s">
        <v>3001</v>
      </c>
      <c r="D1783" s="6" t="str">
        <f>_xlfn.XLOOKUP(B1783,Indices!$A$2:$A$2676,Indices!$B$2:$B$2676,"")</f>
        <v>IWM</v>
      </c>
    </row>
    <row r="1784" spans="1:4" x14ac:dyDescent="0.25">
      <c r="A1784" s="140">
        <v>45701.627083333333</v>
      </c>
      <c r="B1784" t="s">
        <v>2880</v>
      </c>
      <c r="C1784" t="s">
        <v>5442</v>
      </c>
      <c r="D1784" s="6" t="str">
        <f>_xlfn.XLOOKUP(B1784,Indices!$A$2:$A$2676,Indices!$B$2:$B$2676,"")</f>
        <v/>
      </c>
    </row>
    <row r="1785" spans="1:4" x14ac:dyDescent="0.25">
      <c r="A1785" s="140">
        <v>45701.628472222219</v>
      </c>
      <c r="B1785" t="s">
        <v>3554</v>
      </c>
      <c r="C1785" t="s">
        <v>5443</v>
      </c>
      <c r="D1785" s="6" t="str">
        <f>_xlfn.XLOOKUP(B1785,Indices!$A$2:$A$2676,Indices!$B$2:$B$2676,"")</f>
        <v/>
      </c>
    </row>
    <row r="1786" spans="1:4" x14ac:dyDescent="0.25">
      <c r="A1786" s="140">
        <v>45701.636805555558</v>
      </c>
      <c r="B1786" t="s">
        <v>782</v>
      </c>
      <c r="C1786" t="s">
        <v>5444</v>
      </c>
      <c r="D1786" s="6" t="str">
        <f>_xlfn.XLOOKUP(B1786,Indices!$A$2:$A$2676,Indices!$B$2:$B$2676,"")</f>
        <v>IWM</v>
      </c>
    </row>
    <row r="1787" spans="1:4" x14ac:dyDescent="0.25">
      <c r="A1787" s="140">
        <v>45701.637499999997</v>
      </c>
      <c r="B1787" t="s">
        <v>157</v>
      </c>
      <c r="C1787" t="s">
        <v>5445</v>
      </c>
      <c r="D1787" s="6" t="str">
        <f>_xlfn.XLOOKUP(B1787,Indices!$A$2:$A$2676,Indices!$B$2:$B$2676,"")</f>
        <v>IWM</v>
      </c>
    </row>
    <row r="1788" spans="1:4" x14ac:dyDescent="0.25">
      <c r="A1788" s="140">
        <v>45701.645833333336</v>
      </c>
      <c r="B1788" t="s">
        <v>3019</v>
      </c>
      <c r="C1788" t="s">
        <v>5446</v>
      </c>
      <c r="D1788" s="6" t="str">
        <f>_xlfn.XLOOKUP(B1788,Indices!$A$2:$A$2676,Indices!$B$2:$B$2676,"")</f>
        <v/>
      </c>
    </row>
    <row r="1789" spans="1:4" x14ac:dyDescent="0.25">
      <c r="A1789" s="140">
        <v>45701.736111111109</v>
      </c>
      <c r="B1789" t="s">
        <v>2987</v>
      </c>
      <c r="C1789" t="s">
        <v>5447</v>
      </c>
      <c r="D1789" s="6" t="str">
        <f>_xlfn.XLOOKUP(B1789,Indices!$A$2:$A$2676,Indices!$B$2:$B$2676,"")</f>
        <v/>
      </c>
    </row>
    <row r="1790" spans="1:4" x14ac:dyDescent="0.25">
      <c r="A1790" s="140">
        <v>45701.958333333336</v>
      </c>
      <c r="B1790" t="s">
        <v>3055</v>
      </c>
      <c r="C1790" t="s">
        <v>5449</v>
      </c>
      <c r="D1790" s="6" t="str">
        <f>_xlfn.XLOOKUP(B1790,Indices!$A$2:$A$2676,Indices!$B$2:$B$2676,"")</f>
        <v/>
      </c>
    </row>
    <row r="1791" spans="1:4" x14ac:dyDescent="0.25">
      <c r="A1791" s="140">
        <v>45701.958333333336</v>
      </c>
      <c r="B1791" t="s">
        <v>161</v>
      </c>
      <c r="C1791" t="s">
        <v>5448</v>
      </c>
      <c r="D1791" s="6" t="str">
        <f>_xlfn.XLOOKUP(B1791,Indices!$A$2:$A$2676,Indices!$B$2:$B$2676,"")</f>
        <v>IWM</v>
      </c>
    </row>
    <row r="1792" spans="1:4" x14ac:dyDescent="0.25">
      <c r="A1792" s="140">
        <v>45701.958333333336</v>
      </c>
      <c r="B1792" t="s">
        <v>2942</v>
      </c>
      <c r="C1792" t="s">
        <v>5448</v>
      </c>
      <c r="D1792" s="6" t="str">
        <f>_xlfn.XLOOKUP(B1792,Indices!$A$2:$A$2676,Indices!$B$2:$B$2676,"")</f>
        <v/>
      </c>
    </row>
    <row r="1793" spans="1:4" x14ac:dyDescent="0.25">
      <c r="A1793" s="140">
        <v>45701.958333333336</v>
      </c>
      <c r="B1793" t="s">
        <v>3041</v>
      </c>
      <c r="C1793" t="s">
        <v>5449</v>
      </c>
      <c r="D1793" s="6" t="str">
        <f>_xlfn.XLOOKUP(B1793,Indices!$A$2:$A$2676,Indices!$B$2:$B$2676,"")</f>
        <v/>
      </c>
    </row>
    <row r="1794" spans="1:4" x14ac:dyDescent="0.25">
      <c r="A1794" s="140">
        <v>45701.958333333336</v>
      </c>
      <c r="B1794" t="s">
        <v>3049</v>
      </c>
      <c r="C1794" t="s">
        <v>5448</v>
      </c>
      <c r="D1794" s="6" t="str">
        <f>_xlfn.XLOOKUP(B1794,Indices!$A$2:$A$2676,Indices!$B$2:$B$2676,"")</f>
        <v/>
      </c>
    </row>
    <row r="1795" spans="1:4" x14ac:dyDescent="0.25">
      <c r="A1795" s="140">
        <v>45701.958333333336</v>
      </c>
      <c r="B1795" t="s">
        <v>3051</v>
      </c>
      <c r="C1795" t="s">
        <v>5448</v>
      </c>
      <c r="D1795" s="6" t="str">
        <f>_xlfn.XLOOKUP(B1795,Indices!$A$2:$A$2676,Indices!$B$2:$B$2676,"")</f>
        <v/>
      </c>
    </row>
    <row r="1796" spans="1:4" x14ac:dyDescent="0.25">
      <c r="A1796" s="140">
        <v>45701.958333333336</v>
      </c>
      <c r="B1796" t="s">
        <v>3047</v>
      </c>
      <c r="C1796" t="s">
        <v>5449</v>
      </c>
      <c r="D1796" s="6" t="str">
        <f>_xlfn.XLOOKUP(B1796,Indices!$A$2:$A$2676,Indices!$B$2:$B$2676,"")</f>
        <v/>
      </c>
    </row>
    <row r="1797" spans="1:4" x14ac:dyDescent="0.25">
      <c r="A1797" s="140">
        <v>45702.125</v>
      </c>
      <c r="B1797" t="s">
        <v>1695</v>
      </c>
      <c r="C1797" t="s">
        <v>5450</v>
      </c>
      <c r="D1797" s="6" t="str">
        <f>_xlfn.XLOOKUP(B1797,Indices!$A$2:$A$2676,Indices!$B$2:$B$2676,"")</f>
        <v>IWM</v>
      </c>
    </row>
    <row r="1798" spans="1:4" x14ac:dyDescent="0.25">
      <c r="A1798" s="140">
        <v>45702.125</v>
      </c>
      <c r="B1798" t="s">
        <v>3042</v>
      </c>
      <c r="C1798" t="s">
        <v>5450</v>
      </c>
      <c r="D1798" s="6" t="str">
        <f>_xlfn.XLOOKUP(B1798,Indices!$A$2:$A$2676,Indices!$B$2:$B$2676,"")</f>
        <v/>
      </c>
    </row>
    <row r="1799" spans="1:4" x14ac:dyDescent="0.25">
      <c r="A1799" s="140">
        <v>45702.166666666664</v>
      </c>
      <c r="B1799" t="s">
        <v>3037</v>
      </c>
      <c r="C1799" t="s">
        <v>5451</v>
      </c>
      <c r="D1799" s="6" t="str">
        <f>_xlfn.XLOOKUP(B1799,Indices!$A$2:$A$2676,Indices!$B$2:$B$2676,"")</f>
        <v/>
      </c>
    </row>
    <row r="1800" spans="1:4" x14ac:dyDescent="0.25">
      <c r="A1800" s="140">
        <v>45702.177083333336</v>
      </c>
      <c r="B1800" t="s">
        <v>3048</v>
      </c>
      <c r="C1800" t="s">
        <v>5452</v>
      </c>
      <c r="D1800" s="6" t="str">
        <f>_xlfn.XLOOKUP(B1800,Indices!$A$2:$A$2676,Indices!$B$2:$B$2676,"")</f>
        <v/>
      </c>
    </row>
    <row r="1801" spans="1:4" x14ac:dyDescent="0.25">
      <c r="A1801" s="140">
        <v>45702.177083333336</v>
      </c>
      <c r="B1801" t="s">
        <v>2996</v>
      </c>
      <c r="C1801" t="s">
        <v>5452</v>
      </c>
      <c r="D1801" s="6" t="str">
        <f>_xlfn.XLOOKUP(B1801,Indices!$A$2:$A$2676,Indices!$B$2:$B$2676,"")</f>
        <v/>
      </c>
    </row>
    <row r="1802" spans="1:4" x14ac:dyDescent="0.25">
      <c r="A1802" s="140">
        <v>45702.186111111114</v>
      </c>
      <c r="B1802" t="s">
        <v>552</v>
      </c>
      <c r="C1802" t="s">
        <v>5453</v>
      </c>
      <c r="D1802" s="6" t="str">
        <f>_xlfn.XLOOKUP(B1802,Indices!$A$2:$A$2676,Indices!$B$2:$B$2676,"")</f>
        <v>SP500</v>
      </c>
    </row>
    <row r="1803" spans="1:4" x14ac:dyDescent="0.25">
      <c r="A1803" s="140">
        <v>45702.1875</v>
      </c>
      <c r="B1803" t="s">
        <v>2726</v>
      </c>
      <c r="C1803" t="s">
        <v>5454</v>
      </c>
      <c r="D1803" s="6" t="str">
        <f>_xlfn.XLOOKUP(B1803,Indices!$A$2:$A$2676,Indices!$B$2:$B$2676,"")</f>
        <v/>
      </c>
    </row>
    <row r="1804" spans="1:4" x14ac:dyDescent="0.25">
      <c r="A1804" s="140">
        <v>45702.1875</v>
      </c>
      <c r="B1804" t="s">
        <v>15</v>
      </c>
      <c r="C1804" t="s">
        <v>5454</v>
      </c>
      <c r="D1804" s="6" t="str">
        <f>_xlfn.XLOOKUP(B1804,Indices!$A$2:$A$2676,Indices!$B$2:$B$2676,"")</f>
        <v>IWM</v>
      </c>
    </row>
    <row r="1805" spans="1:4" x14ac:dyDescent="0.25">
      <c r="A1805" s="140">
        <v>45702.1875</v>
      </c>
      <c r="B1805" t="s">
        <v>3044</v>
      </c>
      <c r="C1805" t="s">
        <v>5454</v>
      </c>
      <c r="D1805" s="6" t="str">
        <f>_xlfn.XLOOKUP(B1805,Indices!$A$2:$A$2676,Indices!$B$2:$B$2676,"")</f>
        <v/>
      </c>
    </row>
    <row r="1806" spans="1:4" x14ac:dyDescent="0.25">
      <c r="A1806" s="140">
        <v>45702.204861111109</v>
      </c>
      <c r="B1806" t="s">
        <v>1764</v>
      </c>
      <c r="C1806" t="s">
        <v>5455</v>
      </c>
      <c r="D1806" s="6" t="str">
        <f>_xlfn.XLOOKUP(B1806,Indices!$A$2:$A$2676,Indices!$B$2:$B$2676,"")</f>
        <v>IWM</v>
      </c>
    </row>
    <row r="1807" spans="1:4" x14ac:dyDescent="0.25">
      <c r="A1807" s="140">
        <v>45702.204861111109</v>
      </c>
      <c r="B1807" t="s">
        <v>896</v>
      </c>
      <c r="C1807" t="s">
        <v>5455</v>
      </c>
      <c r="D1807" s="6" t="str">
        <f>_xlfn.XLOOKUP(B1807,Indices!$A$2:$A$2676,Indices!$B$2:$B$2676,"")</f>
        <v>IWM</v>
      </c>
    </row>
    <row r="1808" spans="1:4" x14ac:dyDescent="0.25">
      <c r="A1808" s="140">
        <v>45702.208333333336</v>
      </c>
      <c r="B1808" t="s">
        <v>860</v>
      </c>
      <c r="C1808" t="s">
        <v>5456</v>
      </c>
      <c r="D1808" s="6" t="str">
        <f>_xlfn.XLOOKUP(B1808,Indices!$A$2:$A$2676,Indices!$B$2:$B$2676,"")</f>
        <v>IWM</v>
      </c>
    </row>
    <row r="1809" spans="1:4" x14ac:dyDescent="0.25">
      <c r="A1809" s="140">
        <v>45702.208333333336</v>
      </c>
      <c r="B1809" t="s">
        <v>3053</v>
      </c>
      <c r="C1809" t="s">
        <v>5456</v>
      </c>
      <c r="D1809" s="6" t="str">
        <f>_xlfn.XLOOKUP(B1809,Indices!$A$2:$A$2676,Indices!$B$2:$B$2676,"")</f>
        <v/>
      </c>
    </row>
    <row r="1810" spans="1:4" x14ac:dyDescent="0.25">
      <c r="A1810" s="140">
        <v>45702.25</v>
      </c>
      <c r="B1810" t="s">
        <v>870</v>
      </c>
      <c r="C1810" t="s">
        <v>5457</v>
      </c>
      <c r="D1810" s="6" t="str">
        <f>_xlfn.XLOOKUP(B1810,Indices!$A$2:$A$2676,Indices!$B$2:$B$2676,"")</f>
        <v>IWM</v>
      </c>
    </row>
    <row r="1811" spans="1:4" x14ac:dyDescent="0.25">
      <c r="A1811" s="140">
        <v>45702.25</v>
      </c>
      <c r="B1811" t="s">
        <v>856</v>
      </c>
      <c r="C1811" t="s">
        <v>5457</v>
      </c>
      <c r="D1811" s="6" t="str">
        <f>_xlfn.XLOOKUP(B1811,Indices!$A$2:$A$2676,Indices!$B$2:$B$2676,"")</f>
        <v>IWM</v>
      </c>
    </row>
    <row r="1812" spans="1:4" x14ac:dyDescent="0.25">
      <c r="A1812" s="140">
        <v>45702.25</v>
      </c>
      <c r="B1812" t="s">
        <v>854</v>
      </c>
      <c r="C1812" t="s">
        <v>5457</v>
      </c>
      <c r="D1812" s="6" t="str">
        <f>_xlfn.XLOOKUP(B1812,Indices!$A$2:$A$2676,Indices!$B$2:$B$2676,"")</f>
        <v>IWM</v>
      </c>
    </row>
    <row r="1813" spans="1:4" x14ac:dyDescent="0.25">
      <c r="A1813" s="140">
        <v>45702.253472222219</v>
      </c>
      <c r="B1813" t="s">
        <v>2998</v>
      </c>
      <c r="C1813" t="s">
        <v>5458</v>
      </c>
      <c r="D1813" s="6" t="str">
        <f>_xlfn.XLOOKUP(B1813,Indices!$A$2:$A$2676,Indices!$B$2:$B$2676,"")</f>
        <v/>
      </c>
    </row>
    <row r="1814" spans="1:4" x14ac:dyDescent="0.25">
      <c r="A1814" s="140">
        <v>45702.254861111112</v>
      </c>
      <c r="B1814" t="s">
        <v>1765</v>
      </c>
      <c r="C1814" t="s">
        <v>5459</v>
      </c>
      <c r="D1814" s="6" t="str">
        <f>_xlfn.XLOOKUP(B1814,Indices!$A$2:$A$2676,Indices!$B$2:$B$2676,"")</f>
        <v>IWM</v>
      </c>
    </row>
    <row r="1815" spans="1:4" x14ac:dyDescent="0.25">
      <c r="A1815" s="140">
        <v>45702.270833333336</v>
      </c>
      <c r="B1815" t="s">
        <v>2965</v>
      </c>
      <c r="C1815" t="s">
        <v>5460</v>
      </c>
      <c r="D1815" s="6" t="str">
        <f>_xlfn.XLOOKUP(B1815,Indices!$A$2:$A$2676,Indices!$B$2:$B$2676,"")</f>
        <v/>
      </c>
    </row>
    <row r="1816" spans="1:4" x14ac:dyDescent="0.25">
      <c r="A1816" s="140">
        <v>45702.291666666664</v>
      </c>
      <c r="B1816" t="s">
        <v>1852</v>
      </c>
      <c r="C1816" t="s">
        <v>3036</v>
      </c>
      <c r="D1816" s="6" t="str">
        <f>_xlfn.XLOOKUP(B1816,Indices!$A$2:$A$2676,Indices!$B$2:$B$2676,"")</f>
        <v>IWM</v>
      </c>
    </row>
    <row r="1817" spans="1:4" x14ac:dyDescent="0.25">
      <c r="A1817" s="140">
        <v>45702.291666666664</v>
      </c>
      <c r="B1817" t="s">
        <v>1620</v>
      </c>
      <c r="C1817" t="s">
        <v>3036</v>
      </c>
      <c r="D1817" s="6" t="str">
        <f>_xlfn.XLOOKUP(B1817,Indices!$A$2:$A$2676,Indices!$B$2:$B$2676,"")</f>
        <v>NQ100</v>
      </c>
    </row>
    <row r="1818" spans="1:4" x14ac:dyDescent="0.25">
      <c r="A1818" s="140">
        <v>45702.291666666664</v>
      </c>
      <c r="B1818" t="s">
        <v>3038</v>
      </c>
      <c r="C1818" t="s">
        <v>3039</v>
      </c>
      <c r="D1818" s="6" t="str">
        <f>_xlfn.XLOOKUP(B1818,Indices!$A$2:$A$2676,Indices!$B$2:$B$2676,"")</f>
        <v/>
      </c>
    </row>
    <row r="1819" spans="1:4" x14ac:dyDescent="0.25">
      <c r="A1819" s="140">
        <v>45702.291666666664</v>
      </c>
      <c r="B1819" t="s">
        <v>3040</v>
      </c>
      <c r="C1819" t="s">
        <v>3039</v>
      </c>
      <c r="D1819" s="6" t="str">
        <f>_xlfn.XLOOKUP(B1819,Indices!$A$2:$A$2676,Indices!$B$2:$B$2676,"")</f>
        <v/>
      </c>
    </row>
    <row r="1820" spans="1:4" x14ac:dyDescent="0.25">
      <c r="A1820" s="140">
        <v>45702.436111111114</v>
      </c>
      <c r="B1820" t="s">
        <v>2897</v>
      </c>
      <c r="C1820" t="s">
        <v>5461</v>
      </c>
      <c r="D1820" s="6" t="str">
        <f>_xlfn.XLOOKUP(B1820,Indices!$A$2:$A$2676,Indices!$B$2:$B$2676,"")</f>
        <v/>
      </c>
    </row>
    <row r="1821" spans="1:4" x14ac:dyDescent="0.25">
      <c r="A1821" s="140">
        <v>45702.458333333336</v>
      </c>
      <c r="B1821" t="s">
        <v>3056</v>
      </c>
      <c r="C1821" t="s">
        <v>3057</v>
      </c>
      <c r="D1821" s="6" t="str">
        <f>_xlfn.XLOOKUP(B1821,Indices!$A$2:$A$2676,Indices!$B$2:$B$2676,"")</f>
        <v/>
      </c>
    </row>
    <row r="1822" spans="1:4" x14ac:dyDescent="0.25">
      <c r="A1822" s="140">
        <v>45702.53125</v>
      </c>
      <c r="B1822" t="s">
        <v>2828</v>
      </c>
      <c r="C1822" t="s">
        <v>5462</v>
      </c>
      <c r="D1822" s="6" t="str">
        <f>_xlfn.XLOOKUP(B1822,Indices!$A$2:$A$2676,Indices!$B$2:$B$2676,"")</f>
        <v/>
      </c>
    </row>
    <row r="1823" spans="1:4" x14ac:dyDescent="0.25">
      <c r="A1823" s="140">
        <v>45702.583333333336</v>
      </c>
      <c r="B1823" t="s">
        <v>3010</v>
      </c>
      <c r="C1823" t="s">
        <v>5463</v>
      </c>
      <c r="D1823" s="6" t="str">
        <f>_xlfn.XLOOKUP(B1823,Indices!$A$2:$A$2676,Indices!$B$2:$B$2676,"")</f>
        <v/>
      </c>
    </row>
    <row r="1824" spans="1:4" x14ac:dyDescent="0.25">
      <c r="A1824" s="140">
        <v>45702.583333333336</v>
      </c>
      <c r="B1824" t="s">
        <v>3033</v>
      </c>
      <c r="C1824" t="s">
        <v>5463</v>
      </c>
      <c r="D1824" s="6" t="str">
        <f>_xlfn.XLOOKUP(B1824,Indices!$A$2:$A$2676,Indices!$B$2:$B$2676,"")</f>
        <v/>
      </c>
    </row>
    <row r="1825" spans="1:4" x14ac:dyDescent="0.25">
      <c r="A1825" s="140">
        <v>45702.584027777775</v>
      </c>
      <c r="B1825" t="s">
        <v>4063</v>
      </c>
      <c r="C1825" t="s">
        <v>5464</v>
      </c>
      <c r="D1825" s="6" t="str">
        <f>_xlfn.XLOOKUP(B1825,Indices!$A$2:$A$2676,Indices!$B$2:$B$2676,"")</f>
        <v/>
      </c>
    </row>
    <row r="1826" spans="1:4" x14ac:dyDescent="0.25">
      <c r="A1826" s="140">
        <v>45702.586805555555</v>
      </c>
      <c r="B1826" t="s">
        <v>2864</v>
      </c>
      <c r="C1826" t="s">
        <v>5465</v>
      </c>
      <c r="D1826" s="6" t="str">
        <f>_xlfn.XLOOKUP(B1826,Indices!$A$2:$A$2676,Indices!$B$2:$B$2676,"")</f>
        <v/>
      </c>
    </row>
    <row r="1827" spans="1:4" x14ac:dyDescent="0.25">
      <c r="A1827" s="140">
        <v>45702.586805555555</v>
      </c>
      <c r="B1827" t="s">
        <v>4945</v>
      </c>
      <c r="C1827" t="s">
        <v>5465</v>
      </c>
      <c r="D1827" s="6" t="str">
        <f>_xlfn.XLOOKUP(B1827,Indices!$A$2:$A$2676,Indices!$B$2:$B$2676,"")</f>
        <v/>
      </c>
    </row>
    <row r="1828" spans="1:4" x14ac:dyDescent="0.25">
      <c r="A1828" s="140">
        <v>45702.587500000001</v>
      </c>
      <c r="B1828" t="s">
        <v>2547</v>
      </c>
      <c r="C1828" t="s">
        <v>6232</v>
      </c>
      <c r="D1828" s="6" t="str">
        <f>_xlfn.XLOOKUP(B1828,Indices!$A$2:$A$2676,Indices!$B$2:$B$2676,"")</f>
        <v/>
      </c>
    </row>
    <row r="1829" spans="1:4" x14ac:dyDescent="0.25">
      <c r="A1829" s="140">
        <v>45702.600694444445</v>
      </c>
      <c r="B1829" t="s">
        <v>3018</v>
      </c>
      <c r="C1829" t="s">
        <v>5466</v>
      </c>
      <c r="D1829" s="6" t="str">
        <f>_xlfn.XLOOKUP(B1829,Indices!$A$2:$A$2676,Indices!$B$2:$B$2676,"")</f>
        <v/>
      </c>
    </row>
    <row r="1830" spans="1:4" x14ac:dyDescent="0.25">
      <c r="A1830" s="140">
        <v>45702.604166666664</v>
      </c>
      <c r="B1830" t="s">
        <v>3062</v>
      </c>
      <c r="C1830" t="s">
        <v>5467</v>
      </c>
      <c r="D1830" s="6" t="str">
        <f>_xlfn.XLOOKUP(B1830,Indices!$A$2:$A$2676,Indices!$B$2:$B$2676,"")</f>
        <v/>
      </c>
    </row>
    <row r="1831" spans="1:4" x14ac:dyDescent="0.25">
      <c r="A1831" s="140">
        <v>45702.604166666664</v>
      </c>
      <c r="B1831" t="s">
        <v>2920</v>
      </c>
      <c r="C1831" t="s">
        <v>5467</v>
      </c>
      <c r="D1831" s="6" t="str">
        <f>_xlfn.XLOOKUP(B1831,Indices!$A$2:$A$2676,Indices!$B$2:$B$2676,"")</f>
        <v/>
      </c>
    </row>
    <row r="1832" spans="1:4" x14ac:dyDescent="0.25">
      <c r="A1832" s="140">
        <v>45702.70416666667</v>
      </c>
      <c r="B1832" t="s">
        <v>2821</v>
      </c>
      <c r="C1832" t="s">
        <v>5468</v>
      </c>
      <c r="D1832" s="6" t="str">
        <f>_xlfn.XLOOKUP(B1832,Indices!$A$2:$A$2676,Indices!$B$2:$B$2676,"")</f>
        <v/>
      </c>
    </row>
    <row r="1833" spans="1:4" x14ac:dyDescent="0.25">
      <c r="A1833" s="140">
        <v>45704.958333333336</v>
      </c>
      <c r="B1833" t="s">
        <v>3074</v>
      </c>
      <c r="C1833" t="s">
        <v>5469</v>
      </c>
      <c r="D1833" s="6" t="str">
        <f>_xlfn.XLOOKUP(B1833,Indices!$A$2:$A$2676,Indices!$B$2:$B$2676,"")</f>
        <v/>
      </c>
    </row>
    <row r="1834" spans="1:4" x14ac:dyDescent="0.25">
      <c r="A1834" s="140">
        <v>45705.291666666664</v>
      </c>
      <c r="B1834" t="s">
        <v>3078</v>
      </c>
      <c r="C1834" t="s">
        <v>3075</v>
      </c>
      <c r="D1834" s="6" t="str">
        <f>_xlfn.XLOOKUP(B1834,Indices!$A$2:$A$2676,Indices!$B$2:$B$2676,"")</f>
        <v/>
      </c>
    </row>
    <row r="1835" spans="1:4" x14ac:dyDescent="0.25">
      <c r="A1835" s="140">
        <v>45705.291666666664</v>
      </c>
      <c r="B1835" t="s">
        <v>3072</v>
      </c>
      <c r="C1835" t="s">
        <v>3073</v>
      </c>
      <c r="D1835" s="6" t="str">
        <f>_xlfn.XLOOKUP(B1835,Indices!$A$2:$A$2676,Indices!$B$2:$B$2676,"")</f>
        <v/>
      </c>
    </row>
    <row r="1836" spans="1:4" x14ac:dyDescent="0.25">
      <c r="A1836" s="140">
        <v>45705.572916666664</v>
      </c>
      <c r="B1836" t="s">
        <v>264</v>
      </c>
      <c r="C1836" t="s">
        <v>5470</v>
      </c>
      <c r="D1836" s="6" t="str">
        <f>_xlfn.XLOOKUP(B1836,Indices!$A$2:$A$2676,Indices!$B$2:$B$2676,"")</f>
        <v>IWM</v>
      </c>
    </row>
    <row r="1837" spans="1:4" x14ac:dyDescent="0.25">
      <c r="A1837" s="140">
        <v>45705.586805555555</v>
      </c>
      <c r="B1837" t="s">
        <v>1632</v>
      </c>
      <c r="C1837" t="s">
        <v>5471</v>
      </c>
      <c r="D1837" s="6" t="str">
        <f>_xlfn.XLOOKUP(B1837,Indices!$A$2:$A$2676,Indices!$B$2:$B$2676,"")</f>
        <v>IWM</v>
      </c>
    </row>
    <row r="1838" spans="1:4" x14ac:dyDescent="0.25">
      <c r="A1838" s="140">
        <v>45705.59375</v>
      </c>
      <c r="B1838" t="s">
        <v>1914</v>
      </c>
      <c r="C1838" t="s">
        <v>5472</v>
      </c>
      <c r="D1838" s="6" t="str">
        <f>_xlfn.XLOOKUP(B1838,Indices!$A$2:$A$2676,Indices!$B$2:$B$2676,"")</f>
        <v>IWM</v>
      </c>
    </row>
    <row r="1839" spans="1:4" x14ac:dyDescent="0.25">
      <c r="A1839" s="140">
        <v>45705.604166666664</v>
      </c>
      <c r="B1839" t="s">
        <v>146</v>
      </c>
      <c r="C1839" t="s">
        <v>5473</v>
      </c>
      <c r="D1839" s="6" t="str">
        <f>_xlfn.XLOOKUP(B1839,Indices!$A$2:$A$2676,Indices!$B$2:$B$2676,"")</f>
        <v>IWM</v>
      </c>
    </row>
    <row r="1840" spans="1:4" x14ac:dyDescent="0.25">
      <c r="A1840" s="140">
        <v>45705.606944444444</v>
      </c>
      <c r="B1840" t="s">
        <v>3076</v>
      </c>
      <c r="C1840" t="s">
        <v>5474</v>
      </c>
      <c r="D1840" s="6" t="str">
        <f>_xlfn.XLOOKUP(B1840,Indices!$A$2:$A$2676,Indices!$B$2:$B$2676,"")</f>
        <v/>
      </c>
    </row>
    <row r="1841" spans="1:4" x14ac:dyDescent="0.25">
      <c r="A1841" s="140">
        <v>45705.613194444442</v>
      </c>
      <c r="B1841" t="s">
        <v>1771</v>
      </c>
      <c r="C1841" t="s">
        <v>5475</v>
      </c>
      <c r="D1841" s="6" t="str">
        <f>_xlfn.XLOOKUP(B1841,Indices!$A$2:$A$2676,Indices!$B$2:$B$2676,"")</f>
        <v>IWM</v>
      </c>
    </row>
    <row r="1842" spans="1:4" x14ac:dyDescent="0.25">
      <c r="A1842" s="140">
        <v>45705.625</v>
      </c>
      <c r="B1842" t="s">
        <v>1853</v>
      </c>
      <c r="C1842" t="s">
        <v>3077</v>
      </c>
      <c r="D1842" s="6" t="str">
        <f>_xlfn.XLOOKUP(B1842,Indices!$A$2:$A$2676,Indices!$B$2:$B$2676,"")</f>
        <v>IWM</v>
      </c>
    </row>
    <row r="1843" spans="1:4" x14ac:dyDescent="0.25">
      <c r="A1843" s="140">
        <v>45705.666666666664</v>
      </c>
      <c r="B1843" t="s">
        <v>160</v>
      </c>
      <c r="C1843" t="s">
        <v>5476</v>
      </c>
      <c r="D1843" s="6" t="str">
        <f>_xlfn.XLOOKUP(B1843,Indices!$A$2:$A$2676,Indices!$B$2:$B$2676,"")</f>
        <v>IWM</v>
      </c>
    </row>
    <row r="1844" spans="1:4" x14ac:dyDescent="0.25">
      <c r="A1844" s="140">
        <v>45705.958333333336</v>
      </c>
      <c r="B1844" t="s">
        <v>3855</v>
      </c>
      <c r="C1844" t="s">
        <v>5478</v>
      </c>
      <c r="D1844" s="6" t="str">
        <f>_xlfn.XLOOKUP(B1844,Indices!$A$2:$A$2676,Indices!$B$2:$B$2676,"")</f>
        <v/>
      </c>
    </row>
    <row r="1845" spans="1:4" x14ac:dyDescent="0.25">
      <c r="A1845" s="140">
        <v>45705.958333333336</v>
      </c>
      <c r="B1845" t="s">
        <v>3600</v>
      </c>
      <c r="C1845" t="s">
        <v>5477</v>
      </c>
      <c r="D1845" s="6" t="str">
        <f>_xlfn.XLOOKUP(B1845,Indices!$A$2:$A$2676,Indices!$B$2:$B$2676,"")</f>
        <v/>
      </c>
    </row>
    <row r="1846" spans="1:4" x14ac:dyDescent="0.25">
      <c r="A1846" s="140">
        <v>45705.958333333336</v>
      </c>
      <c r="B1846" t="s">
        <v>3080</v>
      </c>
      <c r="C1846" t="s">
        <v>5477</v>
      </c>
      <c r="D1846" s="6" t="str">
        <f>_xlfn.XLOOKUP(B1846,Indices!$A$2:$A$2676,Indices!$B$2:$B$2676,"")</f>
        <v/>
      </c>
    </row>
    <row r="1847" spans="1:4" x14ac:dyDescent="0.25">
      <c r="A1847" s="140">
        <v>45706</v>
      </c>
      <c r="B1847" t="s">
        <v>3083</v>
      </c>
      <c r="C1847" t="s">
        <v>5479</v>
      </c>
      <c r="D1847" s="6" t="str">
        <f>_xlfn.XLOOKUP(B1847,Indices!$A$2:$A$2676,Indices!$B$2:$B$2676,"")</f>
        <v/>
      </c>
    </row>
    <row r="1848" spans="1:4" x14ac:dyDescent="0.25">
      <c r="A1848" s="140">
        <v>45706.083333333336</v>
      </c>
      <c r="B1848" t="s">
        <v>3084</v>
      </c>
      <c r="C1848" t="s">
        <v>5480</v>
      </c>
      <c r="D1848" s="6" t="str">
        <f>_xlfn.XLOOKUP(B1848,Indices!$A$2:$A$2676,Indices!$B$2:$B$2676,"")</f>
        <v/>
      </c>
    </row>
    <row r="1849" spans="1:4" x14ac:dyDescent="0.25">
      <c r="A1849" s="140">
        <v>45706.083333333336</v>
      </c>
      <c r="B1849" t="s">
        <v>3085</v>
      </c>
      <c r="C1849" t="s">
        <v>5480</v>
      </c>
      <c r="D1849" s="6" t="str">
        <f>_xlfn.XLOOKUP(B1849,Indices!$A$2:$A$2676,Indices!$B$2:$B$2676,"")</f>
        <v/>
      </c>
    </row>
    <row r="1850" spans="1:4" x14ac:dyDescent="0.25">
      <c r="A1850" s="140">
        <v>45706.125</v>
      </c>
      <c r="B1850" t="s">
        <v>3090</v>
      </c>
      <c r="C1850" t="s">
        <v>5481</v>
      </c>
      <c r="D1850" s="6" t="str">
        <f>_xlfn.XLOOKUP(B1850,Indices!$A$2:$A$2676,Indices!$B$2:$B$2676,"")</f>
        <v/>
      </c>
    </row>
    <row r="1851" spans="1:4" x14ac:dyDescent="0.25">
      <c r="A1851" s="140">
        <v>45706.160416666666</v>
      </c>
      <c r="B1851" t="s">
        <v>867</v>
      </c>
      <c r="C1851" t="s">
        <v>5482</v>
      </c>
      <c r="D1851" s="6" t="str">
        <f>_xlfn.XLOOKUP(B1851,Indices!$A$2:$A$2676,Indices!$B$2:$B$2676,"")</f>
        <v>IWM</v>
      </c>
    </row>
    <row r="1852" spans="1:4" x14ac:dyDescent="0.25">
      <c r="A1852" s="140">
        <v>45706.166666666664</v>
      </c>
      <c r="B1852" t="s">
        <v>2048</v>
      </c>
      <c r="C1852" t="s">
        <v>5483</v>
      </c>
      <c r="D1852" s="6" t="str">
        <f>_xlfn.XLOOKUP(B1852,Indices!$A$2:$A$2676,Indices!$B$2:$B$2676,"")</f>
        <v>IWM</v>
      </c>
    </row>
    <row r="1853" spans="1:4" x14ac:dyDescent="0.25">
      <c r="A1853" s="140">
        <v>45706.166666666664</v>
      </c>
      <c r="B1853" t="s">
        <v>35</v>
      </c>
      <c r="C1853" t="s">
        <v>5483</v>
      </c>
      <c r="D1853" s="6" t="str">
        <f>_xlfn.XLOOKUP(B1853,Indices!$A$2:$A$2676,Indices!$B$2:$B$2676,"")</f>
        <v>S&amp;P Mid</v>
      </c>
    </row>
    <row r="1854" spans="1:4" x14ac:dyDescent="0.25">
      <c r="A1854" s="140">
        <v>45706.166666666664</v>
      </c>
      <c r="B1854" t="s">
        <v>1586</v>
      </c>
      <c r="C1854" t="s">
        <v>5483</v>
      </c>
      <c r="D1854" s="6" t="str">
        <f>_xlfn.XLOOKUP(B1854,Indices!$A$2:$A$2676,Indices!$B$2:$B$2676,"")</f>
        <v>SP500</v>
      </c>
    </row>
    <row r="1855" spans="1:4" x14ac:dyDescent="0.25">
      <c r="A1855" s="140">
        <v>45706.166666666664</v>
      </c>
      <c r="B1855" t="s">
        <v>1733</v>
      </c>
      <c r="C1855" t="s">
        <v>5483</v>
      </c>
      <c r="D1855" s="6" t="str">
        <f>_xlfn.XLOOKUP(B1855,Indices!$A$2:$A$2676,Indices!$B$2:$B$2676,"")</f>
        <v>IWM</v>
      </c>
    </row>
    <row r="1856" spans="1:4" x14ac:dyDescent="0.25">
      <c r="A1856" s="140">
        <v>45706.1875</v>
      </c>
      <c r="B1856" t="s">
        <v>1467</v>
      </c>
      <c r="C1856" t="s">
        <v>5484</v>
      </c>
      <c r="D1856" s="6" t="str">
        <f>_xlfn.XLOOKUP(B1856,Indices!$A$2:$A$2676,Indices!$B$2:$B$2676,"")</f>
        <v>SP500</v>
      </c>
    </row>
    <row r="1857" spans="1:4" x14ac:dyDescent="0.25">
      <c r="A1857" s="140">
        <v>45706.197916666664</v>
      </c>
      <c r="B1857" t="s">
        <v>1082</v>
      </c>
      <c r="C1857" t="s">
        <v>5485</v>
      </c>
      <c r="D1857" s="6" t="str">
        <f>_xlfn.XLOOKUP(B1857,Indices!$A$2:$A$2676,Indices!$B$2:$B$2676,"")</f>
        <v>SP500</v>
      </c>
    </row>
    <row r="1858" spans="1:4" x14ac:dyDescent="0.25">
      <c r="A1858" s="140">
        <v>45706.201388888891</v>
      </c>
      <c r="B1858" t="s">
        <v>830</v>
      </c>
      <c r="C1858" t="s">
        <v>5486</v>
      </c>
      <c r="D1858" s="6" t="str">
        <f>_xlfn.XLOOKUP(B1858,Indices!$A$2:$A$2676,Indices!$B$2:$B$2676,"")</f>
        <v>IWM</v>
      </c>
    </row>
    <row r="1859" spans="1:4" x14ac:dyDescent="0.25">
      <c r="A1859" s="140">
        <v>45706.20416666667</v>
      </c>
      <c r="B1859" t="s">
        <v>43</v>
      </c>
      <c r="C1859" t="s">
        <v>5487</v>
      </c>
      <c r="D1859" s="6" t="str">
        <f>_xlfn.XLOOKUP(B1859,Indices!$A$2:$A$2676,Indices!$B$2:$B$2676,"")</f>
        <v>SP500</v>
      </c>
    </row>
    <row r="1860" spans="1:4" x14ac:dyDescent="0.25">
      <c r="A1860" s="140">
        <v>45706.204861111109</v>
      </c>
      <c r="B1860" t="s">
        <v>1558</v>
      </c>
      <c r="C1860" t="s">
        <v>5488</v>
      </c>
      <c r="D1860" s="6" t="str">
        <f>_xlfn.XLOOKUP(B1860,Indices!$A$2:$A$2676,Indices!$B$2:$B$2676,"")</f>
        <v>SP500</v>
      </c>
    </row>
    <row r="1861" spans="1:4" x14ac:dyDescent="0.25">
      <c r="A1861" s="140">
        <v>45706.204861111109</v>
      </c>
      <c r="B1861" t="s">
        <v>1834</v>
      </c>
      <c r="C1861" t="s">
        <v>5488</v>
      </c>
      <c r="D1861" s="6" t="str">
        <f>_xlfn.XLOOKUP(B1861,Indices!$A$2:$A$2676,Indices!$B$2:$B$2676,"")</f>
        <v>IWM</v>
      </c>
    </row>
    <row r="1862" spans="1:4" x14ac:dyDescent="0.25">
      <c r="A1862" s="140">
        <v>45706.207638888889</v>
      </c>
      <c r="B1862" t="s">
        <v>2459</v>
      </c>
      <c r="C1862" t="s">
        <v>5489</v>
      </c>
      <c r="D1862" s="6" t="str">
        <f>_xlfn.XLOOKUP(B1862,Indices!$A$2:$A$2676,Indices!$B$2:$B$2676,"")</f>
        <v>S&amp;P Mid</v>
      </c>
    </row>
    <row r="1863" spans="1:4" x14ac:dyDescent="0.25">
      <c r="A1863" s="140">
        <v>45706.208333333336</v>
      </c>
      <c r="B1863" t="s">
        <v>1750</v>
      </c>
      <c r="C1863" t="s">
        <v>5490</v>
      </c>
      <c r="D1863" s="6" t="str">
        <f>_xlfn.XLOOKUP(B1863,Indices!$A$2:$A$2676,Indices!$B$2:$B$2676,"")</f>
        <v>IWM</v>
      </c>
    </row>
    <row r="1864" spans="1:4" x14ac:dyDescent="0.25">
      <c r="A1864" s="140">
        <v>45706.208333333336</v>
      </c>
      <c r="B1864" t="s">
        <v>381</v>
      </c>
      <c r="C1864" t="s">
        <v>5490</v>
      </c>
      <c r="D1864" s="6" t="str">
        <f>_xlfn.XLOOKUP(B1864,Indices!$A$2:$A$2676,Indices!$B$2:$B$2676,"")</f>
        <v>IWM</v>
      </c>
    </row>
    <row r="1865" spans="1:4" x14ac:dyDescent="0.25">
      <c r="A1865" s="140">
        <v>45706.208333333336</v>
      </c>
      <c r="B1865" t="s">
        <v>910</v>
      </c>
      <c r="C1865" t="s">
        <v>5490</v>
      </c>
      <c r="D1865" s="6" t="str">
        <f>_xlfn.XLOOKUP(B1865,Indices!$A$2:$A$2676,Indices!$B$2:$B$2676,"")</f>
        <v>IWM</v>
      </c>
    </row>
    <row r="1866" spans="1:4" x14ac:dyDescent="0.25">
      <c r="A1866" s="140">
        <v>45706.208333333336</v>
      </c>
      <c r="B1866" t="s">
        <v>1924</v>
      </c>
      <c r="C1866" t="s">
        <v>5490</v>
      </c>
      <c r="D1866" s="6" t="str">
        <f>_xlfn.XLOOKUP(B1866,Indices!$A$2:$A$2676,Indices!$B$2:$B$2676,"")</f>
        <v>IWM</v>
      </c>
    </row>
    <row r="1867" spans="1:4" x14ac:dyDescent="0.25">
      <c r="A1867" s="140">
        <v>45706.211805555555</v>
      </c>
      <c r="B1867" t="s">
        <v>199</v>
      </c>
      <c r="C1867" t="s">
        <v>5491</v>
      </c>
      <c r="D1867" s="6" t="str">
        <f>_xlfn.XLOOKUP(B1867,Indices!$A$2:$A$2676,Indices!$B$2:$B$2676,"")</f>
        <v>IWM</v>
      </c>
    </row>
    <row r="1868" spans="1:4" x14ac:dyDescent="0.25">
      <c r="A1868" s="140">
        <v>45706.229166666664</v>
      </c>
      <c r="B1868" t="s">
        <v>207</v>
      </c>
      <c r="C1868" t="s">
        <v>5492</v>
      </c>
      <c r="D1868" s="6" t="str">
        <f>_xlfn.XLOOKUP(B1868,Indices!$A$2:$A$2676,Indices!$B$2:$B$2676,"")</f>
        <v>IWM</v>
      </c>
    </row>
    <row r="1869" spans="1:4" x14ac:dyDescent="0.25">
      <c r="A1869" s="140">
        <v>45706.229166666664</v>
      </c>
      <c r="B1869" t="s">
        <v>1449</v>
      </c>
      <c r="C1869" t="s">
        <v>5492</v>
      </c>
      <c r="D1869" s="6" t="str">
        <f>_xlfn.XLOOKUP(B1869,Indices!$A$2:$A$2676,Indices!$B$2:$B$2676,"")</f>
        <v>SP500</v>
      </c>
    </row>
    <row r="1870" spans="1:4" x14ac:dyDescent="0.25">
      <c r="A1870" s="140">
        <v>45706.229166666664</v>
      </c>
      <c r="B1870" t="s">
        <v>2375</v>
      </c>
      <c r="C1870" t="s">
        <v>5492</v>
      </c>
      <c r="D1870" s="6" t="str">
        <f>_xlfn.XLOOKUP(B1870,Indices!$A$2:$A$2676,Indices!$B$2:$B$2676,"")</f>
        <v>S&amp;P Mid</v>
      </c>
    </row>
    <row r="1871" spans="1:4" x14ac:dyDescent="0.25">
      <c r="A1871" s="140">
        <v>45706.234027777777</v>
      </c>
      <c r="B1871" t="s">
        <v>2937</v>
      </c>
      <c r="C1871" t="s">
        <v>5493</v>
      </c>
      <c r="D1871" s="6" t="str">
        <f>_xlfn.XLOOKUP(B1871,Indices!$A$2:$A$2676,Indices!$B$2:$B$2676,"")</f>
        <v/>
      </c>
    </row>
    <row r="1872" spans="1:4" x14ac:dyDescent="0.25">
      <c r="A1872" s="140">
        <v>45706.25</v>
      </c>
      <c r="B1872" t="s">
        <v>211</v>
      </c>
      <c r="C1872" t="s">
        <v>5494</v>
      </c>
      <c r="D1872" s="6" t="str">
        <f>_xlfn.XLOOKUP(B1872,Indices!$A$2:$A$2676,Indices!$B$2:$B$2676,"")</f>
        <v>IWM</v>
      </c>
    </row>
    <row r="1873" spans="1:4" x14ac:dyDescent="0.25">
      <c r="A1873" s="140">
        <v>45706.25</v>
      </c>
      <c r="B1873" t="s">
        <v>1698</v>
      </c>
      <c r="C1873" t="s">
        <v>5494</v>
      </c>
      <c r="D1873" s="6" t="str">
        <f>_xlfn.XLOOKUP(B1873,Indices!$A$2:$A$2676,Indices!$B$2:$B$2676,"")</f>
        <v>IWM</v>
      </c>
    </row>
    <row r="1874" spans="1:4" x14ac:dyDescent="0.25">
      <c r="A1874" s="140">
        <v>45706.270833333336</v>
      </c>
      <c r="B1874" t="s">
        <v>214</v>
      </c>
      <c r="C1874" t="s">
        <v>5495</v>
      </c>
      <c r="D1874" s="6" t="str">
        <f>_xlfn.XLOOKUP(B1874,Indices!$A$2:$A$2676,Indices!$B$2:$B$2676,"")</f>
        <v>SP500</v>
      </c>
    </row>
    <row r="1875" spans="1:4" x14ac:dyDescent="0.25">
      <c r="A1875" s="140">
        <v>45706.270833333336</v>
      </c>
      <c r="B1875" t="s">
        <v>2793</v>
      </c>
      <c r="C1875" t="s">
        <v>5495</v>
      </c>
      <c r="D1875" s="6" t="str">
        <f>_xlfn.XLOOKUP(B1875,Indices!$A$2:$A$2676,Indices!$B$2:$B$2676,"")</f>
        <v/>
      </c>
    </row>
    <row r="1876" spans="1:4" x14ac:dyDescent="0.25">
      <c r="A1876" s="140">
        <v>45706.291666666664</v>
      </c>
      <c r="B1876" t="s">
        <v>3092</v>
      </c>
      <c r="C1876" t="s">
        <v>3081</v>
      </c>
      <c r="D1876" s="6" t="str">
        <f>_xlfn.XLOOKUP(B1876,Indices!$A$2:$A$2676,Indices!$B$2:$B$2676,"")</f>
        <v/>
      </c>
    </row>
    <row r="1877" spans="1:4" x14ac:dyDescent="0.25">
      <c r="A1877" s="140">
        <v>45706.291666666664</v>
      </c>
      <c r="B1877" t="s">
        <v>3089</v>
      </c>
      <c r="C1877" t="s">
        <v>3079</v>
      </c>
      <c r="D1877" s="6" t="str">
        <f>_xlfn.XLOOKUP(B1877,Indices!$A$2:$A$2676,Indices!$B$2:$B$2676,"")</f>
        <v/>
      </c>
    </row>
    <row r="1878" spans="1:4" x14ac:dyDescent="0.25">
      <c r="A1878" s="140">
        <v>45706.583333333336</v>
      </c>
      <c r="B1878" t="s">
        <v>903</v>
      </c>
      <c r="C1878" t="s">
        <v>5496</v>
      </c>
      <c r="D1878" s="6" t="str">
        <f>_xlfn.XLOOKUP(B1878,Indices!$A$2:$A$2676,Indices!$B$2:$B$2676,"")</f>
        <v>S&amp;P Mid</v>
      </c>
    </row>
    <row r="1879" spans="1:4" x14ac:dyDescent="0.25">
      <c r="A1879" s="140">
        <v>45706.584027777775</v>
      </c>
      <c r="B1879" t="s">
        <v>67</v>
      </c>
      <c r="C1879" t="s">
        <v>5497</v>
      </c>
      <c r="D1879" s="6" t="str">
        <f>_xlfn.XLOOKUP(B1879,Indices!$A$2:$A$2676,Indices!$B$2:$B$2676,"")</f>
        <v>IWM</v>
      </c>
    </row>
    <row r="1880" spans="1:4" x14ac:dyDescent="0.25">
      <c r="A1880" s="140">
        <v>45706.584027777775</v>
      </c>
      <c r="B1880" t="s">
        <v>3107</v>
      </c>
      <c r="C1880" t="s">
        <v>5497</v>
      </c>
      <c r="D1880" s="6" t="str">
        <f>_xlfn.XLOOKUP(B1880,Indices!$A$2:$A$2676,Indices!$B$2:$B$2676,"")</f>
        <v/>
      </c>
    </row>
    <row r="1881" spans="1:4" x14ac:dyDescent="0.25">
      <c r="A1881" s="140">
        <v>45706.584027777775</v>
      </c>
      <c r="B1881" t="s">
        <v>3105</v>
      </c>
      <c r="C1881" t="s">
        <v>5497</v>
      </c>
      <c r="D1881" s="6" t="str">
        <f>_xlfn.XLOOKUP(B1881,Indices!$A$2:$A$2676,Indices!$B$2:$B$2676,"")</f>
        <v/>
      </c>
    </row>
    <row r="1882" spans="1:4" x14ac:dyDescent="0.25">
      <c r="A1882" s="140">
        <v>45706.584027777775</v>
      </c>
      <c r="B1882" t="s">
        <v>3100</v>
      </c>
      <c r="C1882" t="s">
        <v>5497</v>
      </c>
      <c r="D1882" s="6" t="str">
        <f>_xlfn.XLOOKUP(B1882,Indices!$A$2:$A$2676,Indices!$B$2:$B$2676,"")</f>
        <v/>
      </c>
    </row>
    <row r="1883" spans="1:4" x14ac:dyDescent="0.25">
      <c r="A1883" s="140">
        <v>45706.584027777775</v>
      </c>
      <c r="B1883" t="s">
        <v>1668</v>
      </c>
      <c r="C1883" t="s">
        <v>5497</v>
      </c>
      <c r="D1883" s="6" t="str">
        <f>_xlfn.XLOOKUP(B1883,Indices!$A$2:$A$2676,Indices!$B$2:$B$2676,"")</f>
        <v>IWM</v>
      </c>
    </row>
    <row r="1884" spans="1:4" x14ac:dyDescent="0.25">
      <c r="A1884" s="140">
        <v>45706.584027777775</v>
      </c>
      <c r="B1884" t="s">
        <v>1699</v>
      </c>
      <c r="C1884" t="s">
        <v>5497</v>
      </c>
      <c r="D1884" s="6" t="str">
        <f>_xlfn.XLOOKUP(B1884,Indices!$A$2:$A$2676,Indices!$B$2:$B$2676,"")</f>
        <v>IWM</v>
      </c>
    </row>
    <row r="1885" spans="1:4" x14ac:dyDescent="0.25">
      <c r="A1885" s="140">
        <v>45706.584722222222</v>
      </c>
      <c r="B1885" t="s">
        <v>1370</v>
      </c>
      <c r="C1885" t="s">
        <v>5498</v>
      </c>
      <c r="D1885" s="6" t="str">
        <f>_xlfn.XLOOKUP(B1885,Indices!$A$2:$A$2676,Indices!$B$2:$B$2676,"")</f>
        <v>SP500</v>
      </c>
    </row>
    <row r="1886" spans="1:4" x14ac:dyDescent="0.25">
      <c r="A1886" s="140">
        <v>45706.586805555555</v>
      </c>
      <c r="B1886" t="s">
        <v>851</v>
      </c>
      <c r="C1886" t="s">
        <v>5499</v>
      </c>
      <c r="D1886" s="6" t="str">
        <f>_xlfn.XLOOKUP(B1886,Indices!$A$2:$A$2676,Indices!$B$2:$B$2676,"")</f>
        <v>S&amp;P Mid</v>
      </c>
    </row>
    <row r="1887" spans="1:4" x14ac:dyDescent="0.25">
      <c r="A1887" s="140">
        <v>45706.586805555555</v>
      </c>
      <c r="B1887" t="s">
        <v>961</v>
      </c>
      <c r="C1887" t="s">
        <v>5499</v>
      </c>
      <c r="D1887" s="6" t="str">
        <f>_xlfn.XLOOKUP(B1887,Indices!$A$2:$A$2676,Indices!$B$2:$B$2676,"")</f>
        <v>IWM</v>
      </c>
    </row>
    <row r="1888" spans="1:4" x14ac:dyDescent="0.25">
      <c r="A1888" s="140">
        <v>45706.586805555555</v>
      </c>
      <c r="B1888" t="s">
        <v>235</v>
      </c>
      <c r="C1888" t="s">
        <v>5499</v>
      </c>
      <c r="D1888" s="6" t="str">
        <f>_xlfn.XLOOKUP(B1888,Indices!$A$2:$A$2676,Indices!$B$2:$B$2676,"")</f>
        <v>IWM</v>
      </c>
    </row>
    <row r="1889" spans="1:4" x14ac:dyDescent="0.25">
      <c r="A1889" s="140">
        <v>45706.586805555555</v>
      </c>
      <c r="B1889" t="s">
        <v>2015</v>
      </c>
      <c r="C1889" t="s">
        <v>5499</v>
      </c>
      <c r="D1889" s="6" t="str">
        <f>_xlfn.XLOOKUP(B1889,Indices!$A$2:$A$2676,Indices!$B$2:$B$2676,"")</f>
        <v>IWM</v>
      </c>
    </row>
    <row r="1890" spans="1:4" x14ac:dyDescent="0.25">
      <c r="A1890" s="140">
        <v>45706.586805555555</v>
      </c>
      <c r="B1890" t="s">
        <v>392</v>
      </c>
      <c r="C1890" t="s">
        <v>5499</v>
      </c>
      <c r="D1890" s="6" t="str">
        <f>_xlfn.XLOOKUP(B1890,Indices!$A$2:$A$2676,Indices!$B$2:$B$2676,"")</f>
        <v>IWM</v>
      </c>
    </row>
    <row r="1891" spans="1:4" x14ac:dyDescent="0.25">
      <c r="A1891" s="140">
        <v>45706.586805555555</v>
      </c>
      <c r="B1891" t="s">
        <v>2420</v>
      </c>
      <c r="C1891" t="s">
        <v>5499</v>
      </c>
      <c r="D1891" s="6" t="str">
        <f>_xlfn.XLOOKUP(B1891,Indices!$A$2:$A$2676,Indices!$B$2:$B$2676,"")</f>
        <v>S&amp;P Mid</v>
      </c>
    </row>
    <row r="1892" spans="1:4" x14ac:dyDescent="0.25">
      <c r="A1892" s="140">
        <v>45706.586805555555</v>
      </c>
      <c r="B1892" t="s">
        <v>3242</v>
      </c>
      <c r="C1892" t="s">
        <v>5499</v>
      </c>
      <c r="D1892" s="6" t="str">
        <f>_xlfn.XLOOKUP(B1892,Indices!$A$2:$A$2676,Indices!$B$2:$B$2676,"")</f>
        <v/>
      </c>
    </row>
    <row r="1893" spans="1:4" x14ac:dyDescent="0.25">
      <c r="A1893" s="140">
        <v>45706.586805555555</v>
      </c>
      <c r="B1893" t="s">
        <v>236</v>
      </c>
      <c r="C1893" t="s">
        <v>5499</v>
      </c>
      <c r="D1893" s="6" t="str">
        <f>_xlfn.XLOOKUP(B1893,Indices!$A$2:$A$2676,Indices!$B$2:$B$2676,"")</f>
        <v>IWM</v>
      </c>
    </row>
    <row r="1894" spans="1:4" x14ac:dyDescent="0.25">
      <c r="A1894" s="140">
        <v>45706.586805555555</v>
      </c>
      <c r="B1894" t="s">
        <v>139</v>
      </c>
      <c r="C1894" t="s">
        <v>5499</v>
      </c>
      <c r="D1894" s="6" t="str">
        <f>_xlfn.XLOOKUP(B1894,Indices!$A$2:$A$2676,Indices!$B$2:$B$2676,"")</f>
        <v>IWM</v>
      </c>
    </row>
    <row r="1895" spans="1:4" x14ac:dyDescent="0.25">
      <c r="A1895" s="140">
        <v>45706.586805555555</v>
      </c>
      <c r="B1895" t="s">
        <v>115</v>
      </c>
      <c r="C1895" t="s">
        <v>5499</v>
      </c>
      <c r="D1895" s="6" t="str">
        <f>_xlfn.XLOOKUP(B1895,Indices!$A$2:$A$2676,Indices!$B$2:$B$2676,"")</f>
        <v>IWM</v>
      </c>
    </row>
    <row r="1896" spans="1:4" x14ac:dyDescent="0.25">
      <c r="A1896" s="140">
        <v>45706.586805555555</v>
      </c>
      <c r="B1896" t="s">
        <v>1027</v>
      </c>
      <c r="C1896" t="s">
        <v>5499</v>
      </c>
      <c r="D1896" s="6" t="str">
        <f>_xlfn.XLOOKUP(B1896,Indices!$A$2:$A$2676,Indices!$B$2:$B$2676,"")</f>
        <v>IWM</v>
      </c>
    </row>
    <row r="1897" spans="1:4" x14ac:dyDescent="0.25">
      <c r="A1897" s="140">
        <v>45706.586805555555</v>
      </c>
      <c r="B1897" t="s">
        <v>2442</v>
      </c>
      <c r="C1897" t="s">
        <v>5499</v>
      </c>
      <c r="D1897" s="6" t="str">
        <f>_xlfn.XLOOKUP(B1897,Indices!$A$2:$A$2676,Indices!$B$2:$B$2676,"")</f>
        <v>S&amp;P Mid</v>
      </c>
    </row>
    <row r="1898" spans="1:4" x14ac:dyDescent="0.25">
      <c r="A1898" s="140">
        <v>45706.586805555555</v>
      </c>
      <c r="B1898" t="s">
        <v>944</v>
      </c>
      <c r="C1898" t="s">
        <v>5499</v>
      </c>
      <c r="D1898" s="6" t="str">
        <f>_xlfn.XLOOKUP(B1898,Indices!$A$2:$A$2676,Indices!$B$2:$B$2676,"")</f>
        <v>IWM</v>
      </c>
    </row>
    <row r="1899" spans="1:4" x14ac:dyDescent="0.25">
      <c r="A1899" s="140">
        <v>45706.586805555555</v>
      </c>
      <c r="B1899" t="s">
        <v>1830</v>
      </c>
      <c r="C1899" t="s">
        <v>5499</v>
      </c>
      <c r="D1899" s="6" t="str">
        <f>_xlfn.XLOOKUP(B1899,Indices!$A$2:$A$2676,Indices!$B$2:$B$2676,"")</f>
        <v>IWM</v>
      </c>
    </row>
    <row r="1900" spans="1:4" x14ac:dyDescent="0.25">
      <c r="A1900" s="140">
        <v>45706.586805555555</v>
      </c>
      <c r="B1900" t="s">
        <v>105</v>
      </c>
      <c r="C1900" t="s">
        <v>5499</v>
      </c>
      <c r="D1900" s="6" t="str">
        <f>_xlfn.XLOOKUP(B1900,Indices!$A$2:$A$2676,Indices!$B$2:$B$2676,"")</f>
        <v>IWM</v>
      </c>
    </row>
    <row r="1901" spans="1:4" x14ac:dyDescent="0.25">
      <c r="A1901" s="140">
        <v>45706.586805555555</v>
      </c>
      <c r="B1901" t="s">
        <v>1741</v>
      </c>
      <c r="C1901" t="s">
        <v>5499</v>
      </c>
      <c r="D1901" s="6" t="str">
        <f>_xlfn.XLOOKUP(B1901,Indices!$A$2:$A$2676,Indices!$B$2:$B$2676,"")</f>
        <v>IWM</v>
      </c>
    </row>
    <row r="1902" spans="1:4" x14ac:dyDescent="0.25">
      <c r="A1902" s="140">
        <v>45706.586805555555</v>
      </c>
      <c r="B1902" t="s">
        <v>2191</v>
      </c>
      <c r="C1902" t="s">
        <v>5499</v>
      </c>
      <c r="D1902" s="6" t="str">
        <f>_xlfn.XLOOKUP(B1902,Indices!$A$2:$A$2676,Indices!$B$2:$B$2676,"")</f>
        <v>IWM</v>
      </c>
    </row>
    <row r="1903" spans="1:4" x14ac:dyDescent="0.25">
      <c r="A1903" s="140">
        <v>45706.586805555555</v>
      </c>
      <c r="B1903" t="s">
        <v>92</v>
      </c>
      <c r="C1903" t="s">
        <v>5499</v>
      </c>
      <c r="D1903" s="6" t="str">
        <f>_xlfn.XLOOKUP(B1903,Indices!$A$2:$A$2676,Indices!$B$2:$B$2676,"")</f>
        <v>IWM</v>
      </c>
    </row>
    <row r="1904" spans="1:4" x14ac:dyDescent="0.25">
      <c r="A1904" s="140">
        <v>45706.586805555555</v>
      </c>
      <c r="B1904" t="s">
        <v>779</v>
      </c>
      <c r="C1904" t="s">
        <v>5499</v>
      </c>
      <c r="D1904" s="6" t="str">
        <f>_xlfn.XLOOKUP(B1904,Indices!$A$2:$A$2676,Indices!$B$2:$B$2676,"")</f>
        <v>IWM</v>
      </c>
    </row>
    <row r="1905" spans="1:4" x14ac:dyDescent="0.25">
      <c r="A1905" s="140">
        <v>45706.586805555555</v>
      </c>
      <c r="B1905" t="s">
        <v>2053</v>
      </c>
      <c r="C1905" t="s">
        <v>5499</v>
      </c>
      <c r="D1905" s="6" t="str">
        <f>_xlfn.XLOOKUP(B1905,Indices!$A$2:$A$2676,Indices!$B$2:$B$2676,"")</f>
        <v>IWM</v>
      </c>
    </row>
    <row r="1906" spans="1:4" x14ac:dyDescent="0.25">
      <c r="A1906" s="140">
        <v>45706.586805555555</v>
      </c>
      <c r="B1906" t="s">
        <v>1473</v>
      </c>
      <c r="C1906" t="s">
        <v>5499</v>
      </c>
      <c r="D1906" s="6" t="str">
        <f>_xlfn.XLOOKUP(B1906,Indices!$A$2:$A$2676,Indices!$B$2:$B$2676,"")</f>
        <v>SP500</v>
      </c>
    </row>
    <row r="1907" spans="1:4" x14ac:dyDescent="0.25">
      <c r="A1907" s="140">
        <v>45706.586805555555</v>
      </c>
      <c r="B1907" t="s">
        <v>743</v>
      </c>
      <c r="C1907" t="s">
        <v>5499</v>
      </c>
      <c r="D1907" s="6" t="str">
        <f>_xlfn.XLOOKUP(B1907,Indices!$A$2:$A$2676,Indices!$B$2:$B$2676,"")</f>
        <v>SP500</v>
      </c>
    </row>
    <row r="1908" spans="1:4" x14ac:dyDescent="0.25">
      <c r="A1908" s="140">
        <v>45706.590277777781</v>
      </c>
      <c r="B1908" t="s">
        <v>413</v>
      </c>
      <c r="C1908" t="s">
        <v>5500</v>
      </c>
      <c r="D1908" s="6" t="str">
        <f>_xlfn.XLOOKUP(B1908,Indices!$A$2:$A$2676,Indices!$B$2:$B$2676,"")</f>
        <v>IWM</v>
      </c>
    </row>
    <row r="1909" spans="1:4" x14ac:dyDescent="0.25">
      <c r="A1909" s="140">
        <v>45706.590277777781</v>
      </c>
      <c r="B1909" t="s">
        <v>121</v>
      </c>
      <c r="C1909" t="s">
        <v>5500</v>
      </c>
      <c r="D1909" s="6" t="str">
        <f>_xlfn.XLOOKUP(B1909,Indices!$A$2:$A$2676,Indices!$B$2:$B$2676,"")</f>
        <v>IWM</v>
      </c>
    </row>
    <row r="1910" spans="1:4" x14ac:dyDescent="0.25">
      <c r="A1910" s="140">
        <v>45706.590277777781</v>
      </c>
      <c r="B1910" t="s">
        <v>1918</v>
      </c>
      <c r="C1910" t="s">
        <v>5500</v>
      </c>
      <c r="D1910" s="6" t="str">
        <f>_xlfn.XLOOKUP(B1910,Indices!$A$2:$A$2676,Indices!$B$2:$B$2676,"")</f>
        <v>IWM</v>
      </c>
    </row>
    <row r="1911" spans="1:4" x14ac:dyDescent="0.25">
      <c r="A1911" s="140">
        <v>45706.59375</v>
      </c>
      <c r="B1911" t="s">
        <v>1097</v>
      </c>
      <c r="C1911" t="s">
        <v>5501</v>
      </c>
      <c r="D1911" s="6" t="str">
        <f>_xlfn.XLOOKUP(B1911,Indices!$A$2:$A$2676,Indices!$B$2:$B$2676,"")</f>
        <v>IWM</v>
      </c>
    </row>
    <row r="1912" spans="1:4" x14ac:dyDescent="0.25">
      <c r="A1912" s="140">
        <v>45706.59375</v>
      </c>
      <c r="B1912" t="s">
        <v>3104</v>
      </c>
      <c r="C1912" t="s">
        <v>5501</v>
      </c>
      <c r="D1912" s="6" t="str">
        <f>_xlfn.XLOOKUP(B1912,Indices!$A$2:$A$2676,Indices!$B$2:$B$2676,"")</f>
        <v/>
      </c>
    </row>
    <row r="1913" spans="1:4" x14ac:dyDescent="0.25">
      <c r="A1913" s="140">
        <v>45706.59375</v>
      </c>
      <c r="B1913" t="s">
        <v>231</v>
      </c>
      <c r="C1913" t="s">
        <v>5501</v>
      </c>
      <c r="D1913" s="6" t="str">
        <f>_xlfn.XLOOKUP(B1913,Indices!$A$2:$A$2676,Indices!$B$2:$B$2676,"")</f>
        <v>SP500</v>
      </c>
    </row>
    <row r="1914" spans="1:4" x14ac:dyDescent="0.25">
      <c r="A1914" s="140">
        <v>45706.59375</v>
      </c>
      <c r="B1914" t="s">
        <v>250</v>
      </c>
      <c r="C1914" t="s">
        <v>5501</v>
      </c>
      <c r="D1914" s="6" t="str">
        <f>_xlfn.XLOOKUP(B1914,Indices!$A$2:$A$2676,Indices!$B$2:$B$2676,"")</f>
        <v>SP500</v>
      </c>
    </row>
    <row r="1915" spans="1:4" x14ac:dyDescent="0.25">
      <c r="A1915" s="140">
        <v>45706.59375</v>
      </c>
      <c r="B1915" t="s">
        <v>3109</v>
      </c>
      <c r="C1915" t="s">
        <v>5501</v>
      </c>
      <c r="D1915" s="6" t="str">
        <f>_xlfn.XLOOKUP(B1915,Indices!$A$2:$A$2676,Indices!$B$2:$B$2676,"")</f>
        <v/>
      </c>
    </row>
    <row r="1916" spans="1:4" x14ac:dyDescent="0.25">
      <c r="A1916" s="140">
        <v>45706.59375</v>
      </c>
      <c r="B1916" t="s">
        <v>1963</v>
      </c>
      <c r="C1916" t="s">
        <v>5501</v>
      </c>
      <c r="D1916" s="6" t="str">
        <f>_xlfn.XLOOKUP(B1916,Indices!$A$2:$A$2676,Indices!$B$2:$B$2676,"")</f>
        <v>IWM</v>
      </c>
    </row>
    <row r="1917" spans="1:4" x14ac:dyDescent="0.25">
      <c r="A1917" s="140">
        <v>45706.59375</v>
      </c>
      <c r="B1917" t="s">
        <v>1902</v>
      </c>
      <c r="C1917" t="s">
        <v>5501</v>
      </c>
      <c r="D1917" s="6" t="str">
        <f>_xlfn.XLOOKUP(B1917,Indices!$A$2:$A$2676,Indices!$B$2:$B$2676,"")</f>
        <v>IWM</v>
      </c>
    </row>
    <row r="1918" spans="1:4" x14ac:dyDescent="0.25">
      <c r="A1918" s="140">
        <v>45706.59375</v>
      </c>
      <c r="B1918" t="s">
        <v>2076</v>
      </c>
      <c r="C1918" t="s">
        <v>5501</v>
      </c>
      <c r="D1918" s="6" t="str">
        <f>_xlfn.XLOOKUP(B1918,Indices!$A$2:$A$2676,Indices!$B$2:$B$2676,"")</f>
        <v>IWM</v>
      </c>
    </row>
    <row r="1919" spans="1:4" x14ac:dyDescent="0.25">
      <c r="A1919" s="140">
        <v>45706.59375</v>
      </c>
      <c r="B1919" t="s">
        <v>514</v>
      </c>
      <c r="C1919" t="s">
        <v>5501</v>
      </c>
      <c r="D1919" s="6" t="str">
        <f>_xlfn.XLOOKUP(B1919,Indices!$A$2:$A$2676,Indices!$B$2:$B$2676,"")</f>
        <v>IWM</v>
      </c>
    </row>
    <row r="1920" spans="1:4" x14ac:dyDescent="0.25">
      <c r="A1920" s="140">
        <v>45706.59375</v>
      </c>
      <c r="B1920" t="s">
        <v>3169</v>
      </c>
      <c r="C1920" t="s">
        <v>5501</v>
      </c>
      <c r="D1920" s="6" t="str">
        <f>_xlfn.XLOOKUP(B1920,Indices!$A$2:$A$2676,Indices!$B$2:$B$2676,"")</f>
        <v/>
      </c>
    </row>
    <row r="1921" spans="1:4" x14ac:dyDescent="0.25">
      <c r="A1921" s="140">
        <v>45706.59375</v>
      </c>
      <c r="B1921" t="s">
        <v>1971</v>
      </c>
      <c r="C1921" t="s">
        <v>5501</v>
      </c>
      <c r="D1921" s="6" t="str">
        <f>_xlfn.XLOOKUP(B1921,Indices!$A$2:$A$2676,Indices!$B$2:$B$2676,"")</f>
        <v>IWM</v>
      </c>
    </row>
    <row r="1922" spans="1:4" x14ac:dyDescent="0.25">
      <c r="A1922" s="140">
        <v>45706.59375</v>
      </c>
      <c r="B1922" t="s">
        <v>2190</v>
      </c>
      <c r="C1922" t="s">
        <v>5501</v>
      </c>
      <c r="D1922" s="6" t="str">
        <f>_xlfn.XLOOKUP(B1922,Indices!$A$2:$A$2676,Indices!$B$2:$B$2676,"")</f>
        <v>IWM</v>
      </c>
    </row>
    <row r="1923" spans="1:4" x14ac:dyDescent="0.25">
      <c r="A1923" s="140">
        <v>45706.59375</v>
      </c>
      <c r="B1923" t="s">
        <v>449</v>
      </c>
      <c r="C1923" t="s">
        <v>5501</v>
      </c>
      <c r="D1923" s="6" t="str">
        <f>_xlfn.XLOOKUP(B1923,Indices!$A$2:$A$2676,Indices!$B$2:$B$2676,"")</f>
        <v>IWM</v>
      </c>
    </row>
    <row r="1924" spans="1:4" x14ac:dyDescent="0.25">
      <c r="A1924" s="140">
        <v>45706.59375</v>
      </c>
      <c r="B1924" t="s">
        <v>3098</v>
      </c>
      <c r="C1924" t="s">
        <v>5501</v>
      </c>
      <c r="D1924" s="6" t="str">
        <f>_xlfn.XLOOKUP(B1924,Indices!$A$2:$A$2676,Indices!$B$2:$B$2676,"")</f>
        <v/>
      </c>
    </row>
    <row r="1925" spans="1:4" x14ac:dyDescent="0.25">
      <c r="A1925" s="140">
        <v>45706.595833333333</v>
      </c>
      <c r="B1925" t="b">
        <v>1</v>
      </c>
      <c r="C1925" t="s">
        <v>5502</v>
      </c>
      <c r="D1925" s="6" t="str">
        <f>_xlfn.XLOOKUP(B1925,Indices!$A$2:$A$2676,Indices!$B$2:$B$2676,"")</f>
        <v/>
      </c>
    </row>
    <row r="1926" spans="1:4" x14ac:dyDescent="0.25">
      <c r="A1926" s="140">
        <v>45706.597222222219</v>
      </c>
      <c r="B1926" t="s">
        <v>124</v>
      </c>
      <c r="C1926" t="s">
        <v>5503</v>
      </c>
      <c r="D1926" s="6" t="str">
        <f>_xlfn.XLOOKUP(B1926,Indices!$A$2:$A$2676,Indices!$B$2:$B$2676,"")</f>
        <v>SP500</v>
      </c>
    </row>
    <row r="1927" spans="1:4" x14ac:dyDescent="0.25">
      <c r="A1927" s="140">
        <v>45706.598611111112</v>
      </c>
      <c r="B1927" t="s">
        <v>990</v>
      </c>
      <c r="C1927" t="s">
        <v>5504</v>
      </c>
      <c r="D1927" s="6" t="str">
        <f>_xlfn.XLOOKUP(B1927,Indices!$A$2:$A$2676,Indices!$B$2:$B$2676,"")</f>
        <v>SP500</v>
      </c>
    </row>
    <row r="1928" spans="1:4" x14ac:dyDescent="0.25">
      <c r="A1928" s="140">
        <v>45706.598611111112</v>
      </c>
      <c r="B1928" t="s">
        <v>3541</v>
      </c>
      <c r="C1928" t="s">
        <v>5504</v>
      </c>
      <c r="D1928" s="6" t="str">
        <f>_xlfn.XLOOKUP(B1928,Indices!$A$2:$A$2676,Indices!$B$2:$B$2676,"")</f>
        <v/>
      </c>
    </row>
    <row r="1929" spans="1:4" x14ac:dyDescent="0.25">
      <c r="A1929" s="140">
        <v>45706.599305555559</v>
      </c>
      <c r="B1929" t="s">
        <v>2462</v>
      </c>
      <c r="C1929" t="s">
        <v>5505</v>
      </c>
      <c r="D1929" s="6" t="str">
        <f>_xlfn.XLOOKUP(B1929,Indices!$A$2:$A$2676,Indices!$B$2:$B$2676,"")</f>
        <v>S&amp;P Mid</v>
      </c>
    </row>
    <row r="1930" spans="1:4" x14ac:dyDescent="0.25">
      <c r="A1930" s="140">
        <v>45706.600694444445</v>
      </c>
      <c r="B1930" t="s">
        <v>3099</v>
      </c>
      <c r="C1930" t="s">
        <v>5506</v>
      </c>
      <c r="D1930" s="6" t="str">
        <f>_xlfn.XLOOKUP(B1930,Indices!$A$2:$A$2676,Indices!$B$2:$B$2676,"")</f>
        <v/>
      </c>
    </row>
    <row r="1931" spans="1:4" x14ac:dyDescent="0.25">
      <c r="A1931" s="140">
        <v>45706.604166666664</v>
      </c>
      <c r="B1931" t="s">
        <v>2183</v>
      </c>
      <c r="C1931" t="s">
        <v>5507</v>
      </c>
      <c r="D1931" s="6" t="str">
        <f>_xlfn.XLOOKUP(B1931,Indices!$A$2:$A$2676,Indices!$B$2:$B$2676,"")</f>
        <v>IWM</v>
      </c>
    </row>
    <row r="1932" spans="1:4" x14ac:dyDescent="0.25">
      <c r="A1932" s="140">
        <v>45706.604166666664</v>
      </c>
      <c r="B1932" t="s">
        <v>1487</v>
      </c>
      <c r="C1932" t="s">
        <v>5507</v>
      </c>
      <c r="D1932" s="6" t="str">
        <f>_xlfn.XLOOKUP(B1932,Indices!$A$2:$A$2676,Indices!$B$2:$B$2676,"")</f>
        <v>SP500</v>
      </c>
    </row>
    <row r="1933" spans="1:4" x14ac:dyDescent="0.25">
      <c r="A1933" s="140">
        <v>45706.604166666664</v>
      </c>
      <c r="B1933" t="s">
        <v>2178</v>
      </c>
      <c r="C1933" t="s">
        <v>5507</v>
      </c>
      <c r="D1933" s="6" t="str">
        <f>_xlfn.XLOOKUP(B1933,Indices!$A$2:$A$2676,Indices!$B$2:$B$2676,"")</f>
        <v>IWM</v>
      </c>
    </row>
    <row r="1934" spans="1:4" x14ac:dyDescent="0.25">
      <c r="A1934" s="140">
        <v>45706.604166666664</v>
      </c>
      <c r="B1934" t="s">
        <v>1993</v>
      </c>
      <c r="C1934" t="s">
        <v>5507</v>
      </c>
      <c r="D1934" s="6" t="str">
        <f>_xlfn.XLOOKUP(B1934,Indices!$A$2:$A$2676,Indices!$B$2:$B$2676,"")</f>
        <v>IWM</v>
      </c>
    </row>
    <row r="1935" spans="1:4" x14ac:dyDescent="0.25">
      <c r="A1935" s="140">
        <v>45706.604166666664</v>
      </c>
      <c r="B1935" t="s">
        <v>2485</v>
      </c>
      <c r="C1935" t="s">
        <v>5507</v>
      </c>
      <c r="D1935" s="6" t="str">
        <f>_xlfn.XLOOKUP(B1935,Indices!$A$2:$A$2676,Indices!$B$2:$B$2676,"")</f>
        <v>S&amp;P Mid</v>
      </c>
    </row>
    <row r="1936" spans="1:4" x14ac:dyDescent="0.25">
      <c r="A1936" s="140">
        <v>45706.604166666664</v>
      </c>
      <c r="B1936" t="s">
        <v>1251</v>
      </c>
      <c r="C1936" t="s">
        <v>5507</v>
      </c>
      <c r="D1936" s="6" t="str">
        <f>_xlfn.XLOOKUP(B1936,Indices!$A$2:$A$2676,Indices!$B$2:$B$2676,"")</f>
        <v>S&amp;P Mid</v>
      </c>
    </row>
    <row r="1937" spans="1:4" x14ac:dyDescent="0.25">
      <c r="A1937" s="140">
        <v>45706.609027777777</v>
      </c>
      <c r="B1937" t="s">
        <v>3336</v>
      </c>
      <c r="C1937" t="s">
        <v>5508</v>
      </c>
      <c r="D1937" s="6" t="str">
        <f>_xlfn.XLOOKUP(B1937,Indices!$A$2:$A$2676,Indices!$B$2:$B$2676,"")</f>
        <v/>
      </c>
    </row>
    <row r="1938" spans="1:4" x14ac:dyDescent="0.25">
      <c r="A1938" s="140">
        <v>45706.614583333336</v>
      </c>
      <c r="B1938" t="s">
        <v>260</v>
      </c>
      <c r="C1938" t="s">
        <v>5509</v>
      </c>
      <c r="D1938" s="6" t="str">
        <f>_xlfn.XLOOKUP(B1938,Indices!$A$2:$A$2676,Indices!$B$2:$B$2676,"")</f>
        <v>IWM</v>
      </c>
    </row>
    <row r="1939" spans="1:4" x14ac:dyDescent="0.25">
      <c r="A1939" s="140">
        <v>45706.623611111114</v>
      </c>
      <c r="B1939" t="s">
        <v>3240</v>
      </c>
      <c r="C1939" t="s">
        <v>5510</v>
      </c>
      <c r="D1939" s="6" t="str">
        <f>_xlfn.XLOOKUP(B1939,Indices!$A$2:$A$2676,Indices!$B$2:$B$2676,"")</f>
        <v/>
      </c>
    </row>
    <row r="1940" spans="1:4" x14ac:dyDescent="0.25">
      <c r="A1940" s="140">
        <v>45706.624305555553</v>
      </c>
      <c r="B1940" t="s">
        <v>2115</v>
      </c>
      <c r="C1940" t="s">
        <v>5511</v>
      </c>
      <c r="D1940" s="6" t="str">
        <f>_xlfn.XLOOKUP(B1940,Indices!$A$2:$A$2676,Indices!$B$2:$B$2676,"")</f>
        <v>IWM</v>
      </c>
    </row>
    <row r="1941" spans="1:4" x14ac:dyDescent="0.25">
      <c r="A1941" s="140">
        <v>45706.624305555553</v>
      </c>
      <c r="B1941" t="s">
        <v>3101</v>
      </c>
      <c r="C1941" t="s">
        <v>5511</v>
      </c>
      <c r="D1941" s="6" t="str">
        <f>_xlfn.XLOOKUP(B1941,Indices!$A$2:$A$2676,Indices!$B$2:$B$2676,"")</f>
        <v/>
      </c>
    </row>
    <row r="1942" spans="1:4" x14ac:dyDescent="0.25">
      <c r="A1942" s="140">
        <v>45706.625</v>
      </c>
      <c r="B1942" t="s">
        <v>3106</v>
      </c>
      <c r="C1942" t="s">
        <v>5512</v>
      </c>
      <c r="D1942" s="6" t="str">
        <f>_xlfn.XLOOKUP(B1942,Indices!$A$2:$A$2676,Indices!$B$2:$B$2676,"")</f>
        <v/>
      </c>
    </row>
    <row r="1943" spans="1:4" x14ac:dyDescent="0.25">
      <c r="A1943" s="140">
        <v>45706.625</v>
      </c>
      <c r="B1943" t="s">
        <v>1736</v>
      </c>
      <c r="C1943" t="s">
        <v>3093</v>
      </c>
      <c r="D1943" s="6" t="str">
        <f>_xlfn.XLOOKUP(B1943,Indices!$A$2:$A$2676,Indices!$B$2:$B$2676,"")</f>
        <v>IWM</v>
      </c>
    </row>
    <row r="1944" spans="1:4" x14ac:dyDescent="0.25">
      <c r="A1944" s="140">
        <v>45706.625</v>
      </c>
      <c r="B1944" t="s">
        <v>2320</v>
      </c>
      <c r="C1944" t="s">
        <v>5512</v>
      </c>
      <c r="D1944" s="6" t="str">
        <f>_xlfn.XLOOKUP(B1944,Indices!$A$2:$A$2676,Indices!$B$2:$B$2676,"")</f>
        <v>IWM</v>
      </c>
    </row>
    <row r="1945" spans="1:4" x14ac:dyDescent="0.25">
      <c r="A1945" s="140">
        <v>45706.625</v>
      </c>
      <c r="B1945" t="s">
        <v>3097</v>
      </c>
      <c r="C1945" t="s">
        <v>3093</v>
      </c>
      <c r="D1945" s="6" t="str">
        <f>_xlfn.XLOOKUP(B1945,Indices!$A$2:$A$2676,Indices!$B$2:$B$2676,"")</f>
        <v/>
      </c>
    </row>
    <row r="1946" spans="1:4" x14ac:dyDescent="0.25">
      <c r="A1946" s="140">
        <v>45706.625</v>
      </c>
      <c r="B1946" t="s">
        <v>3095</v>
      </c>
      <c r="C1946" t="s">
        <v>3093</v>
      </c>
      <c r="D1946" s="6" t="str">
        <f>_xlfn.XLOOKUP(B1946,Indices!$A$2:$A$2676,Indices!$B$2:$B$2676,"")</f>
        <v/>
      </c>
    </row>
    <row r="1947" spans="1:4" x14ac:dyDescent="0.25">
      <c r="A1947" s="140">
        <v>45706.626388888886</v>
      </c>
      <c r="B1947" t="s">
        <v>3094</v>
      </c>
      <c r="C1947" t="s">
        <v>5513</v>
      </c>
      <c r="D1947" s="6" t="str">
        <f>_xlfn.XLOOKUP(B1947,Indices!$A$2:$A$2676,Indices!$B$2:$B$2676,"")</f>
        <v/>
      </c>
    </row>
    <row r="1948" spans="1:4" x14ac:dyDescent="0.25">
      <c r="A1948" s="140">
        <v>45706.628472222219</v>
      </c>
      <c r="B1948" t="s">
        <v>2157</v>
      </c>
      <c r="C1948" t="s">
        <v>5514</v>
      </c>
      <c r="D1948" s="6" t="str">
        <f>_xlfn.XLOOKUP(B1948,Indices!$A$2:$A$2676,Indices!$B$2:$B$2676,"")</f>
        <v>IWM</v>
      </c>
    </row>
    <row r="1949" spans="1:4" x14ac:dyDescent="0.25">
      <c r="A1949" s="140">
        <v>45706.632638888892</v>
      </c>
      <c r="B1949" t="s">
        <v>251</v>
      </c>
      <c r="C1949" t="s">
        <v>5515</v>
      </c>
      <c r="D1949" s="6" t="str">
        <f>_xlfn.XLOOKUP(B1949,Indices!$A$2:$A$2676,Indices!$B$2:$B$2676,"")</f>
        <v>IWM</v>
      </c>
    </row>
    <row r="1950" spans="1:4" x14ac:dyDescent="0.25">
      <c r="A1950" s="140">
        <v>45706.643750000003</v>
      </c>
      <c r="B1950" t="s">
        <v>5516</v>
      </c>
      <c r="C1950" t="s">
        <v>5517</v>
      </c>
      <c r="D1950" s="6" t="str">
        <f>_xlfn.XLOOKUP(B1950,Indices!$A$2:$A$2676,Indices!$B$2:$B$2676,"")</f>
        <v/>
      </c>
    </row>
    <row r="1951" spans="1:4" x14ac:dyDescent="0.25">
      <c r="A1951" s="140">
        <v>45706.645138888889</v>
      </c>
      <c r="B1951" t="s">
        <v>2301</v>
      </c>
      <c r="C1951" t="s">
        <v>5518</v>
      </c>
      <c r="D1951" s="6" t="str">
        <f>_xlfn.XLOOKUP(B1951,Indices!$A$2:$A$2676,Indices!$B$2:$B$2676,"")</f>
        <v>IWM</v>
      </c>
    </row>
    <row r="1952" spans="1:4" x14ac:dyDescent="0.25">
      <c r="A1952" s="140">
        <v>45706.793055555558</v>
      </c>
      <c r="B1952" t="s">
        <v>2089</v>
      </c>
      <c r="C1952" t="s">
        <v>5519</v>
      </c>
      <c r="D1952" s="6" t="str">
        <f>_xlfn.XLOOKUP(B1952,Indices!$A$2:$A$2676,Indices!$B$2:$B$2676,"")</f>
        <v>IWM</v>
      </c>
    </row>
    <row r="1953" spans="1:4" x14ac:dyDescent="0.25">
      <c r="A1953" s="140">
        <v>45706.958333333336</v>
      </c>
      <c r="B1953" t="s">
        <v>3130</v>
      </c>
      <c r="C1953" t="s">
        <v>5521</v>
      </c>
      <c r="D1953" s="6" t="str">
        <f>_xlfn.XLOOKUP(B1953,Indices!$A$2:$A$2676,Indices!$B$2:$B$2676,"")</f>
        <v/>
      </c>
    </row>
    <row r="1954" spans="1:4" x14ac:dyDescent="0.25">
      <c r="A1954" s="140">
        <v>45706.958333333336</v>
      </c>
      <c r="B1954" t="s">
        <v>3126</v>
      </c>
      <c r="C1954" t="s">
        <v>5520</v>
      </c>
      <c r="D1954" s="6" t="str">
        <f>_xlfn.XLOOKUP(B1954,Indices!$A$2:$A$2676,Indices!$B$2:$B$2676,"")</f>
        <v/>
      </c>
    </row>
    <row r="1955" spans="1:4" x14ac:dyDescent="0.25">
      <c r="A1955" s="140">
        <v>45706.958333333336</v>
      </c>
      <c r="B1955" t="s">
        <v>3134</v>
      </c>
      <c r="C1955" t="s">
        <v>5520</v>
      </c>
      <c r="D1955" s="6" t="str">
        <f>_xlfn.XLOOKUP(B1955,Indices!$A$2:$A$2676,Indices!$B$2:$B$2676,"")</f>
        <v/>
      </c>
    </row>
    <row r="1956" spans="1:4" x14ac:dyDescent="0.25">
      <c r="A1956" s="140">
        <v>45706.958333333336</v>
      </c>
      <c r="B1956" t="s">
        <v>3193</v>
      </c>
      <c r="C1956" t="s">
        <v>5521</v>
      </c>
      <c r="D1956" s="6" t="str">
        <f>_xlfn.XLOOKUP(B1956,Indices!$A$2:$A$2676,Indices!$B$2:$B$2676,"")</f>
        <v/>
      </c>
    </row>
    <row r="1957" spans="1:4" x14ac:dyDescent="0.25">
      <c r="A1957" s="140">
        <v>45706.958333333336</v>
      </c>
      <c r="B1957" t="s">
        <v>3132</v>
      </c>
      <c r="C1957" t="s">
        <v>5521</v>
      </c>
      <c r="D1957" s="6" t="str">
        <f>_xlfn.XLOOKUP(B1957,Indices!$A$2:$A$2676,Indices!$B$2:$B$2676,"")</f>
        <v/>
      </c>
    </row>
    <row r="1958" spans="1:4" x14ac:dyDescent="0.25">
      <c r="A1958" s="140">
        <v>45706.958333333336</v>
      </c>
      <c r="B1958" t="s">
        <v>3096</v>
      </c>
      <c r="C1958" t="s">
        <v>5522</v>
      </c>
      <c r="D1958" s="6" t="str">
        <f>_xlfn.XLOOKUP(B1958,Indices!$A$2:$A$2676,Indices!$B$2:$B$2676,"")</f>
        <v/>
      </c>
    </row>
    <row r="1959" spans="1:4" x14ac:dyDescent="0.25">
      <c r="A1959" s="140">
        <v>45706.958333333336</v>
      </c>
      <c r="B1959" t="s">
        <v>3131</v>
      </c>
      <c r="C1959" t="s">
        <v>5521</v>
      </c>
      <c r="D1959" s="6" t="str">
        <f>_xlfn.XLOOKUP(B1959,Indices!$A$2:$A$2676,Indices!$B$2:$B$2676,"")</f>
        <v/>
      </c>
    </row>
    <row r="1960" spans="1:4" x14ac:dyDescent="0.25">
      <c r="A1960" s="140">
        <v>45706.958333333336</v>
      </c>
      <c r="B1960" t="s">
        <v>3121</v>
      </c>
      <c r="C1960" t="s">
        <v>5520</v>
      </c>
      <c r="D1960" s="6" t="str">
        <f>_xlfn.XLOOKUP(B1960,Indices!$A$2:$A$2676,Indices!$B$2:$B$2676,"")</f>
        <v/>
      </c>
    </row>
    <row r="1961" spans="1:4" x14ac:dyDescent="0.25">
      <c r="A1961" s="140">
        <v>45706.958333333336</v>
      </c>
      <c r="B1961" t="s">
        <v>3189</v>
      </c>
      <c r="C1961" t="s">
        <v>5520</v>
      </c>
      <c r="D1961" s="6" t="str">
        <f>_xlfn.XLOOKUP(B1961,Indices!$A$2:$A$2676,Indices!$B$2:$B$2676,"")</f>
        <v/>
      </c>
    </row>
    <row r="1962" spans="1:4" x14ac:dyDescent="0.25">
      <c r="A1962" s="140">
        <v>45707.166666666664</v>
      </c>
      <c r="B1962" t="s">
        <v>3115</v>
      </c>
      <c r="C1962" t="s">
        <v>5523</v>
      </c>
      <c r="D1962" s="6" t="str">
        <f>_xlfn.XLOOKUP(B1962,Indices!$A$2:$A$2676,Indices!$B$2:$B$2676,"")</f>
        <v/>
      </c>
    </row>
    <row r="1963" spans="1:4" x14ac:dyDescent="0.25">
      <c r="A1963" s="140">
        <v>45707.166666666664</v>
      </c>
      <c r="B1963" t="s">
        <v>3133</v>
      </c>
      <c r="C1963" t="s">
        <v>5523</v>
      </c>
      <c r="D1963" s="6" t="str">
        <f>_xlfn.XLOOKUP(B1963,Indices!$A$2:$A$2676,Indices!$B$2:$B$2676,"")</f>
        <v/>
      </c>
    </row>
    <row r="1964" spans="1:4" x14ac:dyDescent="0.25">
      <c r="A1964" s="140">
        <v>45707.166666666664</v>
      </c>
      <c r="B1964" t="s">
        <v>1965</v>
      </c>
      <c r="C1964" t="s">
        <v>5523</v>
      </c>
      <c r="D1964" s="6" t="str">
        <f>_xlfn.XLOOKUP(B1964,Indices!$A$2:$A$2676,Indices!$B$2:$B$2676,"")</f>
        <v>IWM</v>
      </c>
    </row>
    <row r="1965" spans="1:4" x14ac:dyDescent="0.25">
      <c r="A1965" s="140">
        <v>45707.166666666664</v>
      </c>
      <c r="B1965" t="s">
        <v>165</v>
      </c>
      <c r="C1965" t="s">
        <v>5523</v>
      </c>
      <c r="D1965" s="6" t="str">
        <f>_xlfn.XLOOKUP(B1965,Indices!$A$2:$A$2676,Indices!$B$2:$B$2676,"")</f>
        <v>S&amp;P Mid</v>
      </c>
    </row>
    <row r="1966" spans="1:4" x14ac:dyDescent="0.25">
      <c r="A1966" s="140">
        <v>45707.167361111111</v>
      </c>
      <c r="B1966" t="s">
        <v>3263</v>
      </c>
      <c r="C1966" t="s">
        <v>5524</v>
      </c>
      <c r="D1966" s="6" t="str">
        <f>_xlfn.XLOOKUP(B1966,Indices!$A$2:$A$2676,Indices!$B$2:$B$2676,"")</f>
        <v/>
      </c>
    </row>
    <row r="1967" spans="1:4" x14ac:dyDescent="0.25">
      <c r="A1967" s="140">
        <v>45707.1875</v>
      </c>
      <c r="B1967" t="s">
        <v>555</v>
      </c>
      <c r="C1967" t="s">
        <v>5525</v>
      </c>
      <c r="D1967" s="6" t="str">
        <f>_xlfn.XLOOKUP(B1967,Indices!$A$2:$A$2676,Indices!$B$2:$B$2676,"")</f>
        <v>IWM</v>
      </c>
    </row>
    <row r="1968" spans="1:4" x14ac:dyDescent="0.25">
      <c r="A1968" s="140">
        <v>45707.1875</v>
      </c>
      <c r="B1968" t="s">
        <v>2490</v>
      </c>
      <c r="C1968" t="s">
        <v>5525</v>
      </c>
      <c r="D1968" s="6" t="str">
        <f>_xlfn.XLOOKUP(B1968,Indices!$A$2:$A$2676,Indices!$B$2:$B$2676,"")</f>
        <v>S&amp;P Mid</v>
      </c>
    </row>
    <row r="1969" spans="1:4" x14ac:dyDescent="0.25">
      <c r="A1969" s="140">
        <v>45707.1875</v>
      </c>
      <c r="B1969" t="s">
        <v>1738</v>
      </c>
      <c r="C1969" t="s">
        <v>5525</v>
      </c>
      <c r="D1969" s="6" t="str">
        <f>_xlfn.XLOOKUP(B1969,Indices!$A$2:$A$2676,Indices!$B$2:$B$2676,"")</f>
        <v>IWM</v>
      </c>
    </row>
    <row r="1970" spans="1:4" x14ac:dyDescent="0.25">
      <c r="A1970" s="140">
        <v>45707.1875</v>
      </c>
      <c r="B1970" t="s">
        <v>2497</v>
      </c>
      <c r="C1970" t="s">
        <v>5525</v>
      </c>
      <c r="D1970" s="6" t="str">
        <f>_xlfn.XLOOKUP(B1970,Indices!$A$2:$A$2676,Indices!$B$2:$B$2676,"")</f>
        <v>S&amp;P Mid</v>
      </c>
    </row>
    <row r="1971" spans="1:4" x14ac:dyDescent="0.25">
      <c r="A1971" s="140">
        <v>45707.1875</v>
      </c>
      <c r="B1971" t="s">
        <v>178</v>
      </c>
      <c r="C1971" t="s">
        <v>5525</v>
      </c>
      <c r="D1971" s="6" t="str">
        <f>_xlfn.XLOOKUP(B1971,Indices!$A$2:$A$2676,Indices!$B$2:$B$2676,"")</f>
        <v>IWM</v>
      </c>
    </row>
    <row r="1972" spans="1:4" x14ac:dyDescent="0.25">
      <c r="A1972" s="140">
        <v>45707.197916666664</v>
      </c>
      <c r="B1972" t="s">
        <v>2466</v>
      </c>
      <c r="C1972" t="s">
        <v>5526</v>
      </c>
      <c r="D1972" s="6" t="str">
        <f>_xlfn.XLOOKUP(B1972,Indices!$A$2:$A$2676,Indices!$B$2:$B$2676,"")</f>
        <v>S&amp;P Mid</v>
      </c>
    </row>
    <row r="1973" spans="1:4" x14ac:dyDescent="0.25">
      <c r="A1973" s="140">
        <v>45707.197916666664</v>
      </c>
      <c r="B1973" t="s">
        <v>1875</v>
      </c>
      <c r="C1973" t="s">
        <v>5526</v>
      </c>
      <c r="D1973" s="6" t="str">
        <f>_xlfn.XLOOKUP(B1973,Indices!$A$2:$A$2676,Indices!$B$2:$B$2676,"")</f>
        <v>IWM</v>
      </c>
    </row>
    <row r="1974" spans="1:4" x14ac:dyDescent="0.25">
      <c r="A1974" s="140">
        <v>45707.199305555558</v>
      </c>
      <c r="B1974" t="s">
        <v>3116</v>
      </c>
      <c r="C1974" t="s">
        <v>5527</v>
      </c>
      <c r="D1974" s="6" t="str">
        <f>_xlfn.XLOOKUP(B1974,Indices!$A$2:$A$2676,Indices!$B$2:$B$2676,"")</f>
        <v/>
      </c>
    </row>
    <row r="1975" spans="1:4" x14ac:dyDescent="0.25">
      <c r="A1975" s="140">
        <v>45707.199305555558</v>
      </c>
      <c r="B1975" t="s">
        <v>1840</v>
      </c>
      <c r="C1975" t="s">
        <v>5527</v>
      </c>
      <c r="D1975" s="6" t="str">
        <f>_xlfn.XLOOKUP(B1975,Indices!$A$2:$A$2676,Indices!$B$2:$B$2676,"")</f>
        <v>IWM</v>
      </c>
    </row>
    <row r="1976" spans="1:4" x14ac:dyDescent="0.25">
      <c r="A1976" s="140">
        <v>45707.204861111109</v>
      </c>
      <c r="B1976" t="s">
        <v>288</v>
      </c>
      <c r="C1976" t="s">
        <v>5528</v>
      </c>
      <c r="D1976" s="6" t="str">
        <f>_xlfn.XLOOKUP(B1976,Indices!$A$2:$A$2676,Indices!$B$2:$B$2676,"")</f>
        <v>SP500</v>
      </c>
    </row>
    <row r="1977" spans="1:4" x14ac:dyDescent="0.25">
      <c r="A1977" s="140">
        <v>45707.206944444442</v>
      </c>
      <c r="B1977" t="s">
        <v>3120</v>
      </c>
      <c r="C1977" t="s">
        <v>5529</v>
      </c>
      <c r="D1977" s="6" t="str">
        <f>_xlfn.XLOOKUP(B1977,Indices!$A$2:$A$2676,Indices!$B$2:$B$2676,"")</f>
        <v/>
      </c>
    </row>
    <row r="1978" spans="1:4" x14ac:dyDescent="0.25">
      <c r="A1978" s="140">
        <v>45707.208333333336</v>
      </c>
      <c r="B1978" t="s">
        <v>3102</v>
      </c>
      <c r="C1978" t="s">
        <v>5530</v>
      </c>
      <c r="D1978" s="6" t="str">
        <f>_xlfn.XLOOKUP(B1978,Indices!$A$2:$A$2676,Indices!$B$2:$B$2676,"")</f>
        <v/>
      </c>
    </row>
    <row r="1979" spans="1:4" x14ac:dyDescent="0.25">
      <c r="A1979" s="140">
        <v>45707.208333333336</v>
      </c>
      <c r="B1979" t="s">
        <v>1053</v>
      </c>
      <c r="C1979" t="s">
        <v>5530</v>
      </c>
      <c r="D1979" s="6" t="str">
        <f>_xlfn.XLOOKUP(B1979,Indices!$A$2:$A$2676,Indices!$B$2:$B$2676,"")</f>
        <v>IWM</v>
      </c>
    </row>
    <row r="1980" spans="1:4" x14ac:dyDescent="0.25">
      <c r="A1980" s="140">
        <v>45707.208333333336</v>
      </c>
      <c r="B1980" t="s">
        <v>300</v>
      </c>
      <c r="C1980" t="s">
        <v>5530</v>
      </c>
      <c r="D1980" s="6" t="str">
        <f>_xlfn.XLOOKUP(B1980,Indices!$A$2:$A$2676,Indices!$B$2:$B$2676,"")</f>
        <v>SP500</v>
      </c>
    </row>
    <row r="1981" spans="1:4" x14ac:dyDescent="0.25">
      <c r="A1981" s="140">
        <v>45707.208333333336</v>
      </c>
      <c r="B1981" t="s">
        <v>192</v>
      </c>
      <c r="C1981" t="s">
        <v>5530</v>
      </c>
      <c r="D1981" s="6" t="str">
        <f>_xlfn.XLOOKUP(B1981,Indices!$A$2:$A$2676,Indices!$B$2:$B$2676,"")</f>
        <v>S&amp;P Mid</v>
      </c>
    </row>
    <row r="1982" spans="1:4" x14ac:dyDescent="0.25">
      <c r="A1982" s="140">
        <v>45707.208333333336</v>
      </c>
      <c r="B1982" t="s">
        <v>301</v>
      </c>
      <c r="C1982" t="s">
        <v>5530</v>
      </c>
      <c r="D1982" s="6" t="str">
        <f>_xlfn.XLOOKUP(B1982,Indices!$A$2:$A$2676,Indices!$B$2:$B$2676,"")</f>
        <v>IWM</v>
      </c>
    </row>
    <row r="1983" spans="1:4" x14ac:dyDescent="0.25">
      <c r="A1983" s="140">
        <v>45707.208333333336</v>
      </c>
      <c r="B1983" t="s">
        <v>2595</v>
      </c>
      <c r="C1983" t="s">
        <v>5530</v>
      </c>
      <c r="D1983" s="6" t="str">
        <f>_xlfn.XLOOKUP(B1983,Indices!$A$2:$A$2676,Indices!$B$2:$B$2676,"")</f>
        <v/>
      </c>
    </row>
    <row r="1984" spans="1:4" x14ac:dyDescent="0.25">
      <c r="A1984" s="140">
        <v>45707.208333333336</v>
      </c>
      <c r="B1984" t="s">
        <v>3122</v>
      </c>
      <c r="C1984" t="s">
        <v>5530</v>
      </c>
      <c r="D1984" s="6" t="str">
        <f>_xlfn.XLOOKUP(B1984,Indices!$A$2:$A$2676,Indices!$B$2:$B$2676,"")</f>
        <v/>
      </c>
    </row>
    <row r="1985" spans="1:4" x14ac:dyDescent="0.25">
      <c r="A1985" s="140">
        <v>45707.208333333336</v>
      </c>
      <c r="B1985" t="s">
        <v>1917</v>
      </c>
      <c r="C1985" t="s">
        <v>5530</v>
      </c>
      <c r="D1985" s="6" t="str">
        <f>_xlfn.XLOOKUP(B1985,Indices!$A$2:$A$2676,Indices!$B$2:$B$2676,"")</f>
        <v>IWM</v>
      </c>
    </row>
    <row r="1986" spans="1:4" x14ac:dyDescent="0.25">
      <c r="A1986" s="140">
        <v>45707.208333333336</v>
      </c>
      <c r="B1986" t="s">
        <v>3948</v>
      </c>
      <c r="C1986" t="s">
        <v>5530</v>
      </c>
      <c r="D1986" s="6" t="str">
        <f>_xlfn.XLOOKUP(B1986,Indices!$A$2:$A$2676,Indices!$B$2:$B$2676,"")</f>
        <v/>
      </c>
    </row>
    <row r="1987" spans="1:4" x14ac:dyDescent="0.25">
      <c r="A1987" s="140">
        <v>45707.208333333336</v>
      </c>
      <c r="B1987" t="s">
        <v>1443</v>
      </c>
      <c r="C1987" t="s">
        <v>5530</v>
      </c>
      <c r="D1987" s="6" t="str">
        <f>_xlfn.XLOOKUP(B1987,Indices!$A$2:$A$2676,Indices!$B$2:$B$2676,"")</f>
        <v>SP500</v>
      </c>
    </row>
    <row r="1988" spans="1:4" x14ac:dyDescent="0.25">
      <c r="A1988" s="140">
        <v>45707.208333333336</v>
      </c>
      <c r="B1988" t="s">
        <v>3347</v>
      </c>
      <c r="C1988" t="s">
        <v>5530</v>
      </c>
      <c r="D1988" s="6" t="str">
        <f>_xlfn.XLOOKUP(B1988,Indices!$A$2:$A$2676,Indices!$B$2:$B$2676,"")</f>
        <v/>
      </c>
    </row>
    <row r="1989" spans="1:4" x14ac:dyDescent="0.25">
      <c r="A1989" s="140">
        <v>45707.208333333336</v>
      </c>
      <c r="B1989" t="s">
        <v>2107</v>
      </c>
      <c r="C1989" t="s">
        <v>5530</v>
      </c>
      <c r="D1989" s="6" t="str">
        <f>_xlfn.XLOOKUP(B1989,Indices!$A$2:$A$2676,Indices!$B$2:$B$2676,"")</f>
        <v>IWM</v>
      </c>
    </row>
    <row r="1990" spans="1:4" x14ac:dyDescent="0.25">
      <c r="A1990" s="140">
        <v>45707.208333333336</v>
      </c>
      <c r="B1990" t="s">
        <v>3148</v>
      </c>
      <c r="C1990" t="s">
        <v>5530</v>
      </c>
      <c r="D1990" s="6" t="str">
        <f>_xlfn.XLOOKUP(B1990,Indices!$A$2:$A$2676,Indices!$B$2:$B$2676,"")</f>
        <v/>
      </c>
    </row>
    <row r="1991" spans="1:4" x14ac:dyDescent="0.25">
      <c r="A1991" s="140">
        <v>45707.208333333336</v>
      </c>
      <c r="B1991" t="s">
        <v>61</v>
      </c>
      <c r="C1991" t="s">
        <v>5530</v>
      </c>
      <c r="D1991" s="6" t="str">
        <f>_xlfn.XLOOKUP(B1991,Indices!$A$2:$A$2676,Indices!$B$2:$B$2676,"")</f>
        <v>IWM</v>
      </c>
    </row>
    <row r="1992" spans="1:4" x14ac:dyDescent="0.25">
      <c r="A1992" s="140">
        <v>45707.209027777775</v>
      </c>
      <c r="B1992" t="s">
        <v>1151</v>
      </c>
      <c r="C1992" t="s">
        <v>5531</v>
      </c>
      <c r="D1992" s="6" t="str">
        <f>_xlfn.XLOOKUP(B1992,Indices!$A$2:$A$2676,Indices!$B$2:$B$2676,"")</f>
        <v>SP500</v>
      </c>
    </row>
    <row r="1993" spans="1:4" x14ac:dyDescent="0.25">
      <c r="A1993" s="140">
        <v>45707.211805555555</v>
      </c>
      <c r="B1993" t="s">
        <v>612</v>
      </c>
      <c r="C1993" t="s">
        <v>5532</v>
      </c>
      <c r="D1993" s="6" t="str">
        <f>_xlfn.XLOOKUP(B1993,Indices!$A$2:$A$2676,Indices!$B$2:$B$2676,"")</f>
        <v>IWM</v>
      </c>
    </row>
    <row r="1994" spans="1:4" x14ac:dyDescent="0.25">
      <c r="A1994" s="140">
        <v>45707.211805555555</v>
      </c>
      <c r="B1994" t="s">
        <v>3111</v>
      </c>
      <c r="C1994" t="s">
        <v>5532</v>
      </c>
      <c r="D1994" s="6" t="str">
        <f>_xlfn.XLOOKUP(B1994,Indices!$A$2:$A$2676,Indices!$B$2:$B$2676,"")</f>
        <v/>
      </c>
    </row>
    <row r="1995" spans="1:4" x14ac:dyDescent="0.25">
      <c r="A1995" s="140">
        <v>45707.229166666664</v>
      </c>
      <c r="B1995" t="s">
        <v>309</v>
      </c>
      <c r="C1995" t="s">
        <v>5533</v>
      </c>
      <c r="D1995" s="6" t="str">
        <f>_xlfn.XLOOKUP(B1995,Indices!$A$2:$A$2676,Indices!$B$2:$B$2676,"")</f>
        <v>S&amp;P Mid</v>
      </c>
    </row>
    <row r="1996" spans="1:4" x14ac:dyDescent="0.25">
      <c r="A1996" s="140">
        <v>45707.229166666664</v>
      </c>
      <c r="B1996" t="s">
        <v>1860</v>
      </c>
      <c r="C1996" t="s">
        <v>5533</v>
      </c>
      <c r="D1996" s="6" t="str">
        <f>_xlfn.XLOOKUP(B1996,Indices!$A$2:$A$2676,Indices!$B$2:$B$2676,"")</f>
        <v>IWM</v>
      </c>
    </row>
    <row r="1997" spans="1:4" x14ac:dyDescent="0.25">
      <c r="A1997" s="140">
        <v>45707.229166666664</v>
      </c>
      <c r="B1997" t="s">
        <v>2386</v>
      </c>
      <c r="C1997" t="s">
        <v>5533</v>
      </c>
      <c r="D1997" s="6" t="str">
        <f>_xlfn.XLOOKUP(B1997,Indices!$A$2:$A$2676,Indices!$B$2:$B$2676,"")</f>
        <v>S&amp;P Mid</v>
      </c>
    </row>
    <row r="1998" spans="1:4" x14ac:dyDescent="0.25">
      <c r="A1998" s="140">
        <v>45707.229166666664</v>
      </c>
      <c r="B1998" t="s">
        <v>3451</v>
      </c>
      <c r="C1998" t="s">
        <v>5533</v>
      </c>
      <c r="D1998" s="6" t="str">
        <f>_xlfn.XLOOKUP(B1998,Indices!$A$2:$A$2676,Indices!$B$2:$B$2676,"")</f>
        <v/>
      </c>
    </row>
    <row r="1999" spans="1:4" x14ac:dyDescent="0.25">
      <c r="A1999" s="140">
        <v>45707.229166666664</v>
      </c>
      <c r="B1999" t="s">
        <v>1871</v>
      </c>
      <c r="C1999" t="s">
        <v>5533</v>
      </c>
      <c r="D1999" s="6" t="str">
        <f>_xlfn.XLOOKUP(B1999,Indices!$A$2:$A$2676,Indices!$B$2:$B$2676,"")</f>
        <v>IWM</v>
      </c>
    </row>
    <row r="2000" spans="1:4" x14ac:dyDescent="0.25">
      <c r="A2000" s="140">
        <v>45707.25</v>
      </c>
      <c r="B2000" t="s">
        <v>2411</v>
      </c>
      <c r="C2000" t="s">
        <v>5534</v>
      </c>
      <c r="D2000" s="6" t="str">
        <f>_xlfn.XLOOKUP(B2000,Indices!$A$2:$A$2676,Indices!$B$2:$B$2676,"")</f>
        <v>S&amp;P Mid</v>
      </c>
    </row>
    <row r="2001" spans="1:4" x14ac:dyDescent="0.25">
      <c r="A2001" s="140">
        <v>45707.270833333336</v>
      </c>
      <c r="B2001" t="s">
        <v>324</v>
      </c>
      <c r="C2001" t="s">
        <v>5535</v>
      </c>
      <c r="D2001" s="6" t="str">
        <f>_xlfn.XLOOKUP(B2001,Indices!$A$2:$A$2676,Indices!$B$2:$B$2676,"")</f>
        <v>IWM</v>
      </c>
    </row>
    <row r="2002" spans="1:4" x14ac:dyDescent="0.25">
      <c r="A2002" s="140">
        <v>45707.291666666664</v>
      </c>
      <c r="B2002" t="s">
        <v>3257</v>
      </c>
      <c r="C2002" t="s">
        <v>3110</v>
      </c>
      <c r="D2002" s="6" t="str">
        <f>_xlfn.XLOOKUP(B2002,Indices!$A$2:$A$2676,Indices!$B$2:$B$2676,"")</f>
        <v/>
      </c>
    </row>
    <row r="2003" spans="1:4" x14ac:dyDescent="0.25">
      <c r="A2003" s="140">
        <v>45707.291666666664</v>
      </c>
      <c r="B2003" t="s">
        <v>2801</v>
      </c>
      <c r="C2003" t="s">
        <v>5536</v>
      </c>
      <c r="D2003" s="6" t="str">
        <f>_xlfn.XLOOKUP(B2003,Indices!$A$2:$A$2676,Indices!$B$2:$B$2676,"")</f>
        <v/>
      </c>
    </row>
    <row r="2004" spans="1:4" x14ac:dyDescent="0.25">
      <c r="A2004" s="140">
        <v>45707.291666666664</v>
      </c>
      <c r="B2004" t="s">
        <v>3114</v>
      </c>
      <c r="C2004" t="s">
        <v>3113</v>
      </c>
      <c r="D2004" s="6" t="str">
        <f>_xlfn.XLOOKUP(B2004,Indices!$A$2:$A$2676,Indices!$B$2:$B$2676,"")</f>
        <v/>
      </c>
    </row>
    <row r="2005" spans="1:4" x14ac:dyDescent="0.25">
      <c r="A2005" s="140">
        <v>45707.291666666664</v>
      </c>
      <c r="B2005" t="s">
        <v>3128</v>
      </c>
      <c r="C2005" t="s">
        <v>3113</v>
      </c>
      <c r="D2005" s="6" t="str">
        <f>_xlfn.XLOOKUP(B2005,Indices!$A$2:$A$2676,Indices!$B$2:$B$2676,"")</f>
        <v/>
      </c>
    </row>
    <row r="2006" spans="1:4" x14ac:dyDescent="0.25">
      <c r="A2006" s="140">
        <v>45707.291666666664</v>
      </c>
      <c r="B2006" t="s">
        <v>2225</v>
      </c>
      <c r="C2006" t="s">
        <v>3110</v>
      </c>
      <c r="D2006" s="6" t="str">
        <f>_xlfn.XLOOKUP(B2006,Indices!$A$2:$A$2676,Indices!$B$2:$B$2676,"")</f>
        <v>IWM</v>
      </c>
    </row>
    <row r="2007" spans="1:4" x14ac:dyDescent="0.25">
      <c r="A2007" s="140">
        <v>45707.291666666664</v>
      </c>
      <c r="B2007" t="s">
        <v>3129</v>
      </c>
      <c r="C2007" t="s">
        <v>3113</v>
      </c>
      <c r="D2007" s="6" t="str">
        <f>_xlfn.XLOOKUP(B2007,Indices!$A$2:$A$2676,Indices!$B$2:$B$2676,"")</f>
        <v/>
      </c>
    </row>
    <row r="2008" spans="1:4" x14ac:dyDescent="0.25">
      <c r="A2008" s="140">
        <v>45707.291666666664</v>
      </c>
      <c r="B2008" t="s">
        <v>3112</v>
      </c>
      <c r="C2008" t="s">
        <v>3113</v>
      </c>
      <c r="D2008" s="6" t="str">
        <f>_xlfn.XLOOKUP(B2008,Indices!$A$2:$A$2676,Indices!$B$2:$B$2676,"")</f>
        <v/>
      </c>
    </row>
    <row r="2009" spans="1:4" x14ac:dyDescent="0.25">
      <c r="A2009" s="140">
        <v>45707.291666666664</v>
      </c>
      <c r="B2009" t="s">
        <v>3117</v>
      </c>
      <c r="C2009" t="s">
        <v>3113</v>
      </c>
      <c r="D2009" s="6" t="str">
        <f>_xlfn.XLOOKUP(B2009,Indices!$A$2:$A$2676,Indices!$B$2:$B$2676,"")</f>
        <v/>
      </c>
    </row>
    <row r="2010" spans="1:4" x14ac:dyDescent="0.25">
      <c r="A2010" s="140">
        <v>45707.355555555558</v>
      </c>
      <c r="B2010" t="s">
        <v>1991</v>
      </c>
      <c r="C2010" t="s">
        <v>5537</v>
      </c>
      <c r="D2010" s="6" t="str">
        <f>_xlfn.XLOOKUP(B2010,Indices!$A$2:$A$2676,Indices!$B$2:$B$2676,"")</f>
        <v>IWM</v>
      </c>
    </row>
    <row r="2011" spans="1:4" x14ac:dyDescent="0.25">
      <c r="A2011" s="140">
        <v>45707.458333333336</v>
      </c>
      <c r="B2011" t="s">
        <v>3119</v>
      </c>
      <c r="C2011" t="s">
        <v>3137</v>
      </c>
      <c r="D2011" s="6" t="str">
        <f>_xlfn.XLOOKUP(B2011,Indices!$A$2:$A$2676,Indices!$B$2:$B$2676,"")</f>
        <v/>
      </c>
    </row>
    <row r="2012" spans="1:4" x14ac:dyDescent="0.25">
      <c r="A2012" s="140">
        <v>45707.583333333336</v>
      </c>
      <c r="B2012" t="s">
        <v>655</v>
      </c>
      <c r="C2012" t="s">
        <v>5538</v>
      </c>
      <c r="D2012" s="6" t="str">
        <f>_xlfn.XLOOKUP(B2012,Indices!$A$2:$A$2676,Indices!$B$2:$B$2676,"")</f>
        <v>IWM</v>
      </c>
    </row>
    <row r="2013" spans="1:4" x14ac:dyDescent="0.25">
      <c r="A2013" s="140">
        <v>45707.584027777775</v>
      </c>
      <c r="B2013" t="s">
        <v>2405</v>
      </c>
      <c r="C2013" t="s">
        <v>5539</v>
      </c>
      <c r="D2013" s="6" t="str">
        <f>_xlfn.XLOOKUP(B2013,Indices!$A$2:$A$2676,Indices!$B$2:$B$2676,"")</f>
        <v>S&amp;P Mid</v>
      </c>
    </row>
    <row r="2014" spans="1:4" x14ac:dyDescent="0.25">
      <c r="A2014" s="140">
        <v>45707.584027777775</v>
      </c>
      <c r="B2014" t="s">
        <v>1786</v>
      </c>
      <c r="C2014" t="s">
        <v>5539</v>
      </c>
      <c r="D2014" s="6" t="str">
        <f>_xlfn.XLOOKUP(B2014,Indices!$A$2:$A$2676,Indices!$B$2:$B$2676,"")</f>
        <v>IWM</v>
      </c>
    </row>
    <row r="2015" spans="1:4" x14ac:dyDescent="0.25">
      <c r="A2015" s="140">
        <v>45707.585416666669</v>
      </c>
      <c r="B2015" t="s">
        <v>3168</v>
      </c>
      <c r="C2015" t="s">
        <v>5540</v>
      </c>
      <c r="D2015" s="6" t="str">
        <f>_xlfn.XLOOKUP(B2015,Indices!$A$2:$A$2676,Indices!$B$2:$B$2676,"")</f>
        <v/>
      </c>
    </row>
    <row r="2016" spans="1:4" x14ac:dyDescent="0.25">
      <c r="A2016" s="140">
        <v>45707.586111111108</v>
      </c>
      <c r="B2016" t="s">
        <v>81</v>
      </c>
      <c r="C2016" t="s">
        <v>5541</v>
      </c>
      <c r="D2016" s="6" t="str">
        <f>_xlfn.XLOOKUP(B2016,Indices!$A$2:$A$2676,Indices!$B$2:$B$2676,"")</f>
        <v>IWM</v>
      </c>
    </row>
    <row r="2017" spans="1:4" x14ac:dyDescent="0.25">
      <c r="A2017" s="140">
        <v>45707.586805555555</v>
      </c>
      <c r="B2017" t="s">
        <v>3158</v>
      </c>
      <c r="C2017" t="s">
        <v>5542</v>
      </c>
      <c r="D2017" s="6" t="str">
        <f>_xlfn.XLOOKUP(B2017,Indices!$A$2:$A$2676,Indices!$B$2:$B$2676,"")</f>
        <v/>
      </c>
    </row>
    <row r="2018" spans="1:4" x14ac:dyDescent="0.25">
      <c r="A2018" s="140">
        <v>45707.586805555555</v>
      </c>
      <c r="B2018" t="s">
        <v>2364</v>
      </c>
      <c r="C2018" t="s">
        <v>5543</v>
      </c>
      <c r="D2018" s="6" t="str">
        <f>_xlfn.XLOOKUP(B2018,Indices!$A$2:$A$2676,Indices!$B$2:$B$2676,"")</f>
        <v>S&amp;P Mid</v>
      </c>
    </row>
    <row r="2019" spans="1:4" x14ac:dyDescent="0.25">
      <c r="A2019" s="140">
        <v>45707.586805555555</v>
      </c>
      <c r="B2019" t="s">
        <v>1878</v>
      </c>
      <c r="C2019" t="s">
        <v>5542</v>
      </c>
      <c r="D2019" s="6" t="str">
        <f>_xlfn.XLOOKUP(B2019,Indices!$A$2:$A$2676,Indices!$B$2:$B$2676,"")</f>
        <v>IWM</v>
      </c>
    </row>
    <row r="2020" spans="1:4" x14ac:dyDescent="0.25">
      <c r="A2020" s="140">
        <v>45707.586805555555</v>
      </c>
      <c r="B2020" t="s">
        <v>359</v>
      </c>
      <c r="C2020" t="s">
        <v>5542</v>
      </c>
      <c r="D2020" s="6" t="str">
        <f>_xlfn.XLOOKUP(B2020,Indices!$A$2:$A$2676,Indices!$B$2:$B$2676,"")</f>
        <v>S&amp;P Mid</v>
      </c>
    </row>
    <row r="2021" spans="1:4" x14ac:dyDescent="0.25">
      <c r="A2021" s="140">
        <v>45707.586805555555</v>
      </c>
      <c r="B2021" t="s">
        <v>1710</v>
      </c>
      <c r="C2021" t="s">
        <v>5542</v>
      </c>
      <c r="D2021" s="6" t="str">
        <f>_xlfn.XLOOKUP(B2021,Indices!$A$2:$A$2676,Indices!$B$2:$B$2676,"")</f>
        <v>IWM</v>
      </c>
    </row>
    <row r="2022" spans="1:4" x14ac:dyDescent="0.25">
      <c r="A2022" s="140">
        <v>45707.586805555555</v>
      </c>
      <c r="B2022" t="s">
        <v>358</v>
      </c>
      <c r="C2022" t="s">
        <v>5542</v>
      </c>
      <c r="D2022" s="6" t="str">
        <f>_xlfn.XLOOKUP(B2022,Indices!$A$2:$A$2676,Indices!$B$2:$B$2676,"")</f>
        <v>IWM</v>
      </c>
    </row>
    <row r="2023" spans="1:4" x14ac:dyDescent="0.25">
      <c r="A2023" s="140">
        <v>45707.586805555555</v>
      </c>
      <c r="B2023" t="s">
        <v>2394</v>
      </c>
      <c r="C2023" t="s">
        <v>5542</v>
      </c>
      <c r="D2023" s="6" t="str">
        <f>_xlfn.XLOOKUP(B2023,Indices!$A$2:$A$2676,Indices!$B$2:$B$2676,"")</f>
        <v>S&amp;P Mid</v>
      </c>
    </row>
    <row r="2024" spans="1:4" x14ac:dyDescent="0.25">
      <c r="A2024" s="140">
        <v>45707.586805555555</v>
      </c>
      <c r="B2024" t="s">
        <v>3157</v>
      </c>
      <c r="C2024" t="s">
        <v>5542</v>
      </c>
      <c r="D2024" s="6" t="str">
        <f>_xlfn.XLOOKUP(B2024,Indices!$A$2:$A$2676,Indices!$B$2:$B$2676,"")</f>
        <v/>
      </c>
    </row>
    <row r="2025" spans="1:4" x14ac:dyDescent="0.25">
      <c r="A2025" s="140">
        <v>45707.586805555555</v>
      </c>
      <c r="B2025" t="s">
        <v>2167</v>
      </c>
      <c r="C2025" t="s">
        <v>5542</v>
      </c>
      <c r="D2025" s="6" t="str">
        <f>_xlfn.XLOOKUP(B2025,Indices!$A$2:$A$2676,Indices!$B$2:$B$2676,"")</f>
        <v>IWM</v>
      </c>
    </row>
    <row r="2026" spans="1:4" x14ac:dyDescent="0.25">
      <c r="A2026" s="140">
        <v>45707.586805555555</v>
      </c>
      <c r="B2026" t="s">
        <v>746</v>
      </c>
      <c r="C2026" t="s">
        <v>5542</v>
      </c>
      <c r="D2026" s="6" t="str">
        <f>_xlfn.XLOOKUP(B2026,Indices!$A$2:$A$2676,Indices!$B$2:$B$2676,"")</f>
        <v>IWM</v>
      </c>
    </row>
    <row r="2027" spans="1:4" x14ac:dyDescent="0.25">
      <c r="A2027" s="140">
        <v>45707.586805555555</v>
      </c>
      <c r="B2027" t="s">
        <v>1887</v>
      </c>
      <c r="C2027" t="s">
        <v>5542</v>
      </c>
      <c r="D2027" s="6" t="str">
        <f>_xlfn.XLOOKUP(B2027,Indices!$A$2:$A$2676,Indices!$B$2:$B$2676,"")</f>
        <v>IWM</v>
      </c>
    </row>
    <row r="2028" spans="1:4" x14ac:dyDescent="0.25">
      <c r="A2028" s="140">
        <v>45707.586805555555</v>
      </c>
      <c r="B2028" t="s">
        <v>2159</v>
      </c>
      <c r="C2028" t="s">
        <v>5542</v>
      </c>
      <c r="D2028" s="6" t="str">
        <f>_xlfn.XLOOKUP(B2028,Indices!$A$2:$A$2676,Indices!$B$2:$B$2676,"")</f>
        <v>IWM</v>
      </c>
    </row>
    <row r="2029" spans="1:4" x14ac:dyDescent="0.25">
      <c r="A2029" s="140">
        <v>45707.586805555555</v>
      </c>
      <c r="B2029" t="s">
        <v>3150</v>
      </c>
      <c r="C2029" t="s">
        <v>5542</v>
      </c>
      <c r="D2029" s="6" t="str">
        <f>_xlfn.XLOOKUP(B2029,Indices!$A$2:$A$2676,Indices!$B$2:$B$2676,"")</f>
        <v/>
      </c>
    </row>
    <row r="2030" spans="1:4" x14ac:dyDescent="0.25">
      <c r="A2030" s="140">
        <v>45707.586805555555</v>
      </c>
      <c r="B2030" t="s">
        <v>3165</v>
      </c>
      <c r="C2030" t="s">
        <v>5542</v>
      </c>
      <c r="D2030" s="6" t="str">
        <f>_xlfn.XLOOKUP(B2030,Indices!$A$2:$A$2676,Indices!$B$2:$B$2676,"")</f>
        <v/>
      </c>
    </row>
    <row r="2031" spans="1:4" x14ac:dyDescent="0.25">
      <c r="A2031" s="140">
        <v>45707.586805555555</v>
      </c>
      <c r="B2031" t="s">
        <v>3156</v>
      </c>
      <c r="C2031" t="s">
        <v>5542</v>
      </c>
      <c r="D2031" s="6" t="str">
        <f>_xlfn.XLOOKUP(B2031,Indices!$A$2:$A$2676,Indices!$B$2:$B$2676,"")</f>
        <v/>
      </c>
    </row>
    <row r="2032" spans="1:4" x14ac:dyDescent="0.25">
      <c r="A2032" s="140">
        <v>45707.586805555555</v>
      </c>
      <c r="B2032" t="s">
        <v>2096</v>
      </c>
      <c r="C2032" t="s">
        <v>5542</v>
      </c>
      <c r="D2032" s="6" t="str">
        <f>_xlfn.XLOOKUP(B2032,Indices!$A$2:$A$2676,Indices!$B$2:$B$2676,"")</f>
        <v>IWM</v>
      </c>
    </row>
    <row r="2033" spans="1:4" x14ac:dyDescent="0.25">
      <c r="A2033" s="140">
        <v>45707.586805555555</v>
      </c>
      <c r="B2033" t="s">
        <v>104</v>
      </c>
      <c r="C2033" t="s">
        <v>5542</v>
      </c>
      <c r="D2033" s="6" t="str">
        <f>_xlfn.XLOOKUP(B2033,Indices!$A$2:$A$2676,Indices!$B$2:$B$2676,"")</f>
        <v>IWM</v>
      </c>
    </row>
    <row r="2034" spans="1:4" x14ac:dyDescent="0.25">
      <c r="A2034" s="140">
        <v>45707.586805555555</v>
      </c>
      <c r="B2034" t="s">
        <v>3164</v>
      </c>
      <c r="C2034" t="s">
        <v>5542</v>
      </c>
      <c r="D2034" s="6" t="str">
        <f>_xlfn.XLOOKUP(B2034,Indices!$A$2:$A$2676,Indices!$B$2:$B$2676,"")</f>
        <v/>
      </c>
    </row>
    <row r="2035" spans="1:4" x14ac:dyDescent="0.25">
      <c r="A2035" s="140">
        <v>45707.586805555555</v>
      </c>
      <c r="B2035" t="s">
        <v>83</v>
      </c>
      <c r="C2035" t="s">
        <v>5542</v>
      </c>
      <c r="D2035" s="6" t="str">
        <f>_xlfn.XLOOKUP(B2035,Indices!$A$2:$A$2676,Indices!$B$2:$B$2676,"")</f>
        <v>IWM</v>
      </c>
    </row>
    <row r="2036" spans="1:4" x14ac:dyDescent="0.25">
      <c r="A2036" s="140">
        <v>45707.586805555555</v>
      </c>
      <c r="B2036" t="s">
        <v>93</v>
      </c>
      <c r="C2036" t="s">
        <v>5542</v>
      </c>
      <c r="D2036" s="6" t="str">
        <f>_xlfn.XLOOKUP(B2036,Indices!$A$2:$A$2676,Indices!$B$2:$B$2676,"")</f>
        <v>IWM</v>
      </c>
    </row>
    <row r="2037" spans="1:4" x14ac:dyDescent="0.25">
      <c r="A2037" s="140">
        <v>45707.586805555555</v>
      </c>
      <c r="B2037" t="s">
        <v>257</v>
      </c>
      <c r="C2037" t="s">
        <v>5542</v>
      </c>
      <c r="D2037" s="6" t="str">
        <f>_xlfn.XLOOKUP(B2037,Indices!$A$2:$A$2676,Indices!$B$2:$B$2676,"")</f>
        <v>IWM</v>
      </c>
    </row>
    <row r="2038" spans="1:4" x14ac:dyDescent="0.25">
      <c r="A2038" s="140">
        <v>45707.586805555555</v>
      </c>
      <c r="B2038" t="s">
        <v>2309</v>
      </c>
      <c r="C2038" t="s">
        <v>5542</v>
      </c>
      <c r="D2038" s="6" t="str">
        <f>_xlfn.XLOOKUP(B2038,Indices!$A$2:$A$2676,Indices!$B$2:$B$2676,"")</f>
        <v>IWM</v>
      </c>
    </row>
    <row r="2039" spans="1:4" x14ac:dyDescent="0.25">
      <c r="A2039" s="140">
        <v>45707.586805555555</v>
      </c>
      <c r="B2039" t="s">
        <v>2160</v>
      </c>
      <c r="C2039" t="s">
        <v>5542</v>
      </c>
      <c r="D2039" s="6" t="str">
        <f>_xlfn.XLOOKUP(B2039,Indices!$A$2:$A$2676,Indices!$B$2:$B$2676,"")</f>
        <v>IWM</v>
      </c>
    </row>
    <row r="2040" spans="1:4" x14ac:dyDescent="0.25">
      <c r="A2040" s="140">
        <v>45707.586805555555</v>
      </c>
      <c r="B2040" t="s">
        <v>2005</v>
      </c>
      <c r="C2040" t="s">
        <v>5542</v>
      </c>
      <c r="D2040" s="6" t="str">
        <f>_xlfn.XLOOKUP(B2040,Indices!$A$2:$A$2676,Indices!$B$2:$B$2676,"")</f>
        <v>IWM</v>
      </c>
    </row>
    <row r="2041" spans="1:4" x14ac:dyDescent="0.25">
      <c r="A2041" s="140">
        <v>45707.586805555555</v>
      </c>
      <c r="B2041" t="s">
        <v>758</v>
      </c>
      <c r="C2041" t="s">
        <v>5542</v>
      </c>
      <c r="D2041" s="6" t="str">
        <f>_xlfn.XLOOKUP(B2041,Indices!$A$2:$A$2676,Indices!$B$2:$B$2676,"")</f>
        <v>IWM</v>
      </c>
    </row>
    <row r="2042" spans="1:4" x14ac:dyDescent="0.25">
      <c r="A2042" s="140">
        <v>45707.586805555555</v>
      </c>
      <c r="B2042" t="s">
        <v>1774</v>
      </c>
      <c r="C2042" t="s">
        <v>5542</v>
      </c>
      <c r="D2042" s="6" t="str">
        <f>_xlfn.XLOOKUP(B2042,Indices!$A$2:$A$2676,Indices!$B$2:$B$2676,"")</f>
        <v>IWM</v>
      </c>
    </row>
    <row r="2043" spans="1:4" x14ac:dyDescent="0.25">
      <c r="A2043" s="140">
        <v>45707.588888888888</v>
      </c>
      <c r="B2043" t="s">
        <v>1952</v>
      </c>
      <c r="C2043" t="s">
        <v>5544</v>
      </c>
      <c r="D2043" s="6" t="str">
        <f>_xlfn.XLOOKUP(B2043,Indices!$A$2:$A$2676,Indices!$B$2:$B$2676,"")</f>
        <v>IWM</v>
      </c>
    </row>
    <row r="2044" spans="1:4" x14ac:dyDescent="0.25">
      <c r="A2044" s="140">
        <v>45707.590277777781</v>
      </c>
      <c r="B2044" t="s">
        <v>3142</v>
      </c>
      <c r="C2044" t="s">
        <v>5545</v>
      </c>
      <c r="D2044" s="6" t="str">
        <f>_xlfn.XLOOKUP(B2044,Indices!$A$2:$A$2676,Indices!$B$2:$B$2676,"")</f>
        <v/>
      </c>
    </row>
    <row r="2045" spans="1:4" x14ac:dyDescent="0.25">
      <c r="A2045" s="140">
        <v>45707.590277777781</v>
      </c>
      <c r="B2045" t="s">
        <v>355</v>
      </c>
      <c r="C2045" t="s">
        <v>5545</v>
      </c>
      <c r="D2045" s="6" t="str">
        <f>_xlfn.XLOOKUP(B2045,Indices!$A$2:$A$2676,Indices!$B$2:$B$2676,"")</f>
        <v>IWM</v>
      </c>
    </row>
    <row r="2046" spans="1:4" x14ac:dyDescent="0.25">
      <c r="A2046" s="140">
        <v>45707.590277777781</v>
      </c>
      <c r="B2046" t="s">
        <v>2084</v>
      </c>
      <c r="C2046" t="s">
        <v>5545</v>
      </c>
      <c r="D2046" s="6" t="str">
        <f>_xlfn.XLOOKUP(B2046,Indices!$A$2:$A$2676,Indices!$B$2:$B$2676,"")</f>
        <v>IWM</v>
      </c>
    </row>
    <row r="2047" spans="1:4" x14ac:dyDescent="0.25">
      <c r="A2047" s="140">
        <v>45707.590277777781</v>
      </c>
      <c r="B2047" t="s">
        <v>1762</v>
      </c>
      <c r="C2047" t="s">
        <v>5545</v>
      </c>
      <c r="D2047" s="6" t="str">
        <f>_xlfn.XLOOKUP(B2047,Indices!$A$2:$A$2676,Indices!$B$2:$B$2676,"")</f>
        <v>IWM</v>
      </c>
    </row>
    <row r="2048" spans="1:4" x14ac:dyDescent="0.25">
      <c r="A2048" s="140">
        <v>45707.59375</v>
      </c>
      <c r="B2048" t="s">
        <v>432</v>
      </c>
      <c r="C2048" t="s">
        <v>5546</v>
      </c>
      <c r="D2048" s="6" t="str">
        <f>_xlfn.XLOOKUP(B2048,Indices!$A$2:$A$2676,Indices!$B$2:$B$2676,"")</f>
        <v>IWM</v>
      </c>
    </row>
    <row r="2049" spans="1:4" x14ac:dyDescent="0.25">
      <c r="A2049" s="140">
        <v>45707.59375</v>
      </c>
      <c r="B2049" t="s">
        <v>2507</v>
      </c>
      <c r="C2049" t="s">
        <v>5546</v>
      </c>
      <c r="D2049" s="6" t="str">
        <f>_xlfn.XLOOKUP(B2049,Indices!$A$2:$A$2676,Indices!$B$2:$B$2676,"")</f>
        <v>S&amp;P Mid</v>
      </c>
    </row>
    <row r="2050" spans="1:4" x14ac:dyDescent="0.25">
      <c r="A2050" s="140">
        <v>45707.59375</v>
      </c>
      <c r="B2050" t="s">
        <v>1937</v>
      </c>
      <c r="C2050" t="s">
        <v>5546</v>
      </c>
      <c r="D2050" s="6" t="str">
        <f>_xlfn.XLOOKUP(B2050,Indices!$A$2:$A$2676,Indices!$B$2:$B$2676,"")</f>
        <v>IWM</v>
      </c>
    </row>
    <row r="2051" spans="1:4" x14ac:dyDescent="0.25">
      <c r="A2051" s="140">
        <v>45707.59375</v>
      </c>
      <c r="B2051" t="s">
        <v>1687</v>
      </c>
      <c r="C2051" t="s">
        <v>5546</v>
      </c>
      <c r="D2051" s="6" t="str">
        <f>_xlfn.XLOOKUP(B2051,Indices!$A$2:$A$2676,Indices!$B$2:$B$2676,"")</f>
        <v>IWM</v>
      </c>
    </row>
    <row r="2052" spans="1:4" x14ac:dyDescent="0.25">
      <c r="A2052" s="140">
        <v>45707.59375</v>
      </c>
      <c r="B2052" t="s">
        <v>441</v>
      </c>
      <c r="C2052" t="s">
        <v>5546</v>
      </c>
      <c r="D2052" s="6" t="str">
        <f>_xlfn.XLOOKUP(B2052,Indices!$A$2:$A$2676,Indices!$B$2:$B$2676,"")</f>
        <v>IWM</v>
      </c>
    </row>
    <row r="2053" spans="1:4" x14ac:dyDescent="0.25">
      <c r="A2053" s="140">
        <v>45707.59375</v>
      </c>
      <c r="B2053" t="s">
        <v>128</v>
      </c>
      <c r="C2053" t="s">
        <v>5546</v>
      </c>
      <c r="D2053" s="6" t="str">
        <f>_xlfn.XLOOKUP(B2053,Indices!$A$2:$A$2676,Indices!$B$2:$B$2676,"")</f>
        <v>IWM</v>
      </c>
    </row>
    <row r="2054" spans="1:4" x14ac:dyDescent="0.25">
      <c r="A2054" s="140">
        <v>45707.59375</v>
      </c>
      <c r="B2054" t="s">
        <v>435</v>
      </c>
      <c r="C2054" t="s">
        <v>5546</v>
      </c>
      <c r="D2054" s="6" t="str">
        <f>_xlfn.XLOOKUP(B2054,Indices!$A$2:$A$2676,Indices!$B$2:$B$2676,"")</f>
        <v>S&amp;P Mid</v>
      </c>
    </row>
    <row r="2055" spans="1:4" x14ac:dyDescent="0.25">
      <c r="A2055" s="140">
        <v>45707.59375</v>
      </c>
      <c r="B2055" t="s">
        <v>1845</v>
      </c>
      <c r="C2055" t="s">
        <v>5546</v>
      </c>
      <c r="D2055" s="6" t="str">
        <f>_xlfn.XLOOKUP(B2055,Indices!$A$2:$A$2676,Indices!$B$2:$B$2676,"")</f>
        <v>IWM</v>
      </c>
    </row>
    <row r="2056" spans="1:4" x14ac:dyDescent="0.25">
      <c r="A2056" s="140">
        <v>45707.59375</v>
      </c>
      <c r="B2056" t="s">
        <v>508</v>
      </c>
      <c r="C2056" t="s">
        <v>5546</v>
      </c>
      <c r="D2056" s="6" t="str">
        <f>_xlfn.XLOOKUP(B2056,Indices!$A$2:$A$2676,Indices!$B$2:$B$2676,"")</f>
        <v>IWM</v>
      </c>
    </row>
    <row r="2057" spans="1:4" x14ac:dyDescent="0.25">
      <c r="A2057" s="140">
        <v>45707.59375</v>
      </c>
      <c r="B2057" t="s">
        <v>3161</v>
      </c>
      <c r="C2057" t="s">
        <v>5546</v>
      </c>
      <c r="D2057" s="6" t="str">
        <f>_xlfn.XLOOKUP(B2057,Indices!$A$2:$A$2676,Indices!$B$2:$B$2676,"")</f>
        <v/>
      </c>
    </row>
    <row r="2058" spans="1:4" x14ac:dyDescent="0.25">
      <c r="A2058" s="140">
        <v>45707.59375</v>
      </c>
      <c r="B2058" t="s">
        <v>451</v>
      </c>
      <c r="C2058" t="s">
        <v>5546</v>
      </c>
      <c r="D2058" s="6" t="str">
        <f>_xlfn.XLOOKUP(B2058,Indices!$A$2:$A$2676,Indices!$B$2:$B$2676,"")</f>
        <v>IWM</v>
      </c>
    </row>
    <row r="2059" spans="1:4" x14ac:dyDescent="0.25">
      <c r="A2059" s="140">
        <v>45707.6</v>
      </c>
      <c r="B2059" t="s">
        <v>492</v>
      </c>
      <c r="C2059" t="s">
        <v>5547</v>
      </c>
      <c r="D2059" s="6" t="str">
        <f>_xlfn.XLOOKUP(B2059,Indices!$A$2:$A$2676,Indices!$B$2:$B$2676,"")</f>
        <v>IWM</v>
      </c>
    </row>
    <row r="2060" spans="1:4" x14ac:dyDescent="0.25">
      <c r="A2060" s="140">
        <v>45707.600694444445</v>
      </c>
      <c r="B2060" t="s">
        <v>485</v>
      </c>
      <c r="C2060" t="s">
        <v>5548</v>
      </c>
      <c r="D2060" s="6" t="str">
        <f>_xlfn.XLOOKUP(B2060,Indices!$A$2:$A$2676,Indices!$B$2:$B$2676,"")</f>
        <v>IWM</v>
      </c>
    </row>
    <row r="2061" spans="1:4" x14ac:dyDescent="0.25">
      <c r="A2061" s="140">
        <v>45707.603472222225</v>
      </c>
      <c r="B2061" t="s">
        <v>1781</v>
      </c>
      <c r="C2061" t="s">
        <v>5549</v>
      </c>
      <c r="D2061" s="6" t="str">
        <f>_xlfn.XLOOKUP(B2061,Indices!$A$2:$A$2676,Indices!$B$2:$B$2676,"")</f>
        <v>IWM</v>
      </c>
    </row>
    <row r="2062" spans="1:4" x14ac:dyDescent="0.25">
      <c r="A2062" s="140">
        <v>45707.603472222225</v>
      </c>
      <c r="B2062" t="s">
        <v>3151</v>
      </c>
      <c r="C2062" t="s">
        <v>5549</v>
      </c>
      <c r="D2062" s="6" t="str">
        <f>_xlfn.XLOOKUP(B2062,Indices!$A$2:$A$2676,Indices!$B$2:$B$2676,"")</f>
        <v/>
      </c>
    </row>
    <row r="2063" spans="1:4" x14ac:dyDescent="0.25">
      <c r="A2063" s="140">
        <v>45707.604166666664</v>
      </c>
      <c r="B2063" t="s">
        <v>1566</v>
      </c>
      <c r="C2063" t="s">
        <v>5550</v>
      </c>
      <c r="D2063" s="6" t="str">
        <f>_xlfn.XLOOKUP(B2063,Indices!$A$2:$A$2676,Indices!$B$2:$B$2676,"")</f>
        <v>SP500</v>
      </c>
    </row>
    <row r="2064" spans="1:4" x14ac:dyDescent="0.25">
      <c r="A2064" s="140">
        <v>45707.604166666664</v>
      </c>
      <c r="B2064" t="s">
        <v>1261</v>
      </c>
      <c r="C2064" t="s">
        <v>5550</v>
      </c>
      <c r="D2064" s="6" t="str">
        <f>_xlfn.XLOOKUP(B2064,Indices!$A$2:$A$2676,Indices!$B$2:$B$2676,"")</f>
        <v>SP500</v>
      </c>
    </row>
    <row r="2065" spans="1:4" x14ac:dyDescent="0.25">
      <c r="A2065" s="140">
        <v>45707.604166666664</v>
      </c>
      <c r="B2065" t="s">
        <v>474</v>
      </c>
      <c r="C2065" t="s">
        <v>5550</v>
      </c>
      <c r="D2065" s="6" t="str">
        <f>_xlfn.XLOOKUP(B2065,Indices!$A$2:$A$2676,Indices!$B$2:$B$2676,"")</f>
        <v>IWM</v>
      </c>
    </row>
    <row r="2066" spans="1:4" x14ac:dyDescent="0.25">
      <c r="A2066" s="140">
        <v>45707.604166666664</v>
      </c>
      <c r="B2066" t="s">
        <v>1967</v>
      </c>
      <c r="C2066" t="s">
        <v>5550</v>
      </c>
      <c r="D2066" s="6" t="str">
        <f>_xlfn.XLOOKUP(B2066,Indices!$A$2:$A$2676,Indices!$B$2:$B$2676,"")</f>
        <v>IWM</v>
      </c>
    </row>
    <row r="2067" spans="1:4" x14ac:dyDescent="0.25">
      <c r="A2067" s="140">
        <v>45707.604166666664</v>
      </c>
      <c r="B2067" t="s">
        <v>480</v>
      </c>
      <c r="C2067" t="s">
        <v>5550</v>
      </c>
      <c r="D2067" s="6" t="str">
        <f>_xlfn.XLOOKUP(B2067,Indices!$A$2:$A$2676,Indices!$B$2:$B$2676,"")</f>
        <v>SP500</v>
      </c>
    </row>
    <row r="2068" spans="1:4" x14ac:dyDescent="0.25">
      <c r="A2068" s="140">
        <v>45707.604166666664</v>
      </c>
      <c r="B2068" t="s">
        <v>3136</v>
      </c>
      <c r="C2068" t="s">
        <v>5550</v>
      </c>
      <c r="D2068" s="6" t="str">
        <f>_xlfn.XLOOKUP(B2068,Indices!$A$2:$A$2676,Indices!$B$2:$B$2676,"")</f>
        <v/>
      </c>
    </row>
    <row r="2069" spans="1:4" x14ac:dyDescent="0.25">
      <c r="A2069" s="140">
        <v>45707.604166666664</v>
      </c>
      <c r="B2069" t="s">
        <v>486</v>
      </c>
      <c r="C2069" t="s">
        <v>5550</v>
      </c>
      <c r="D2069" s="6" t="str">
        <f>_xlfn.XLOOKUP(B2069,Indices!$A$2:$A$2676,Indices!$B$2:$B$2676,"")</f>
        <v>SP500</v>
      </c>
    </row>
    <row r="2070" spans="1:4" x14ac:dyDescent="0.25">
      <c r="A2070" s="140">
        <v>45707.604166666664</v>
      </c>
      <c r="B2070" t="s">
        <v>484</v>
      </c>
      <c r="C2070" t="s">
        <v>5550</v>
      </c>
      <c r="D2070" s="6" t="str">
        <f>_xlfn.XLOOKUP(B2070,Indices!$A$2:$A$2676,Indices!$B$2:$B$2676,"")</f>
        <v>IWM</v>
      </c>
    </row>
    <row r="2071" spans="1:4" x14ac:dyDescent="0.25">
      <c r="A2071" s="140">
        <v>45707.604166666664</v>
      </c>
      <c r="B2071" t="s">
        <v>493</v>
      </c>
      <c r="C2071" t="s">
        <v>5550</v>
      </c>
      <c r="D2071" s="6" t="str">
        <f>_xlfn.XLOOKUP(B2071,Indices!$A$2:$A$2676,Indices!$B$2:$B$2676,"")</f>
        <v>IWM</v>
      </c>
    </row>
    <row r="2072" spans="1:4" x14ac:dyDescent="0.25">
      <c r="A2072" s="140">
        <v>45707.604861111111</v>
      </c>
      <c r="B2072" t="s">
        <v>2201</v>
      </c>
      <c r="C2072" t="s">
        <v>5551</v>
      </c>
      <c r="D2072" s="6" t="str">
        <f>_xlfn.XLOOKUP(B2072,Indices!$A$2:$A$2676,Indices!$B$2:$B$2676,"")</f>
        <v>IWM</v>
      </c>
    </row>
    <row r="2073" spans="1:4" x14ac:dyDescent="0.25">
      <c r="A2073" s="140">
        <v>45707.604861111111</v>
      </c>
      <c r="B2073" t="s">
        <v>1494</v>
      </c>
      <c r="C2073" t="s">
        <v>5551</v>
      </c>
      <c r="D2073" s="6" t="str">
        <f>_xlfn.XLOOKUP(B2073,Indices!$A$2:$A$2676,Indices!$B$2:$B$2676,"")</f>
        <v>SP500</v>
      </c>
    </row>
    <row r="2074" spans="1:4" x14ac:dyDescent="0.25">
      <c r="A2074" s="140">
        <v>45707.605555555558</v>
      </c>
      <c r="B2074" t="s">
        <v>2014</v>
      </c>
      <c r="C2074" t="s">
        <v>5552</v>
      </c>
      <c r="D2074" s="6" t="str">
        <f>_xlfn.XLOOKUP(B2074,Indices!$A$2:$A$2676,Indices!$B$2:$B$2676,"")</f>
        <v>IWM</v>
      </c>
    </row>
    <row r="2075" spans="1:4" x14ac:dyDescent="0.25">
      <c r="A2075" s="140">
        <v>45707.609027777777</v>
      </c>
      <c r="B2075" t="s">
        <v>465</v>
      </c>
      <c r="C2075" t="s">
        <v>5553</v>
      </c>
      <c r="D2075" s="6" t="str">
        <f>_xlfn.XLOOKUP(B2075,Indices!$A$2:$A$2676,Indices!$B$2:$B$2676,"")</f>
        <v>IWM</v>
      </c>
    </row>
    <row r="2076" spans="1:4" x14ac:dyDescent="0.25">
      <c r="A2076" s="140">
        <v>45707.611111111109</v>
      </c>
      <c r="B2076" t="s">
        <v>499</v>
      </c>
      <c r="C2076" t="s">
        <v>5554</v>
      </c>
      <c r="D2076" s="6" t="str">
        <f>_xlfn.XLOOKUP(B2076,Indices!$A$2:$A$2676,Indices!$B$2:$B$2676,"")</f>
        <v>IWM</v>
      </c>
    </row>
    <row r="2077" spans="1:4" x14ac:dyDescent="0.25">
      <c r="A2077" s="140">
        <v>45707.611111111109</v>
      </c>
      <c r="B2077" t="s">
        <v>3145</v>
      </c>
      <c r="C2077" t="s">
        <v>5554</v>
      </c>
      <c r="D2077" s="6" t="str">
        <f>_xlfn.XLOOKUP(B2077,Indices!$A$2:$A$2676,Indices!$B$2:$B$2676,"")</f>
        <v/>
      </c>
    </row>
    <row r="2078" spans="1:4" x14ac:dyDescent="0.25">
      <c r="A2078" s="140">
        <v>45707.611111111109</v>
      </c>
      <c r="B2078" t="s">
        <v>3230</v>
      </c>
      <c r="C2078" t="s">
        <v>5554</v>
      </c>
      <c r="D2078" s="6" t="str">
        <f>_xlfn.XLOOKUP(B2078,Indices!$A$2:$A$2676,Indices!$B$2:$B$2676,"")</f>
        <v/>
      </c>
    </row>
    <row r="2079" spans="1:4" x14ac:dyDescent="0.25">
      <c r="A2079" s="140">
        <v>45707.611111111109</v>
      </c>
      <c r="B2079" t="s">
        <v>503</v>
      </c>
      <c r="C2079" t="s">
        <v>5554</v>
      </c>
      <c r="D2079" s="6" t="str">
        <f>_xlfn.XLOOKUP(B2079,Indices!$A$2:$A$2676,Indices!$B$2:$B$2676,"")</f>
        <v>IWM</v>
      </c>
    </row>
    <row r="2080" spans="1:4" x14ac:dyDescent="0.25">
      <c r="A2080" s="140">
        <v>45707.614583333336</v>
      </c>
      <c r="B2080" t="s">
        <v>811</v>
      </c>
      <c r="C2080" t="s">
        <v>5555</v>
      </c>
      <c r="D2080" s="6" t="str">
        <f>_xlfn.XLOOKUP(B2080,Indices!$A$2:$A$2676,Indices!$B$2:$B$2676,"")</f>
        <v>IWM</v>
      </c>
    </row>
    <row r="2081" spans="1:4" x14ac:dyDescent="0.25">
      <c r="A2081" s="140">
        <v>45707.615277777775</v>
      </c>
      <c r="B2081" t="s">
        <v>807</v>
      </c>
      <c r="C2081" t="s">
        <v>5556</v>
      </c>
      <c r="D2081" s="6" t="str">
        <f>_xlfn.XLOOKUP(B2081,Indices!$A$2:$A$2676,Indices!$B$2:$B$2676,"")</f>
        <v>IWM</v>
      </c>
    </row>
    <row r="2082" spans="1:4" x14ac:dyDescent="0.25">
      <c r="A2082" s="140">
        <v>45707.621527777781</v>
      </c>
      <c r="B2082" t="s">
        <v>3243</v>
      </c>
      <c r="C2082" t="s">
        <v>5557</v>
      </c>
      <c r="D2082" s="6" t="str">
        <f>_xlfn.XLOOKUP(B2082,Indices!$A$2:$A$2676,Indices!$B$2:$B$2676,"")</f>
        <v/>
      </c>
    </row>
    <row r="2083" spans="1:4" x14ac:dyDescent="0.25">
      <c r="A2083" s="140">
        <v>45707.625</v>
      </c>
      <c r="B2083" t="s">
        <v>3162</v>
      </c>
      <c r="C2083" t="s">
        <v>3139</v>
      </c>
      <c r="D2083" s="6" t="str">
        <f>_xlfn.XLOOKUP(B2083,Indices!$A$2:$A$2676,Indices!$B$2:$B$2676,"")</f>
        <v/>
      </c>
    </row>
    <row r="2084" spans="1:4" x14ac:dyDescent="0.25">
      <c r="A2084" s="140">
        <v>45707.625</v>
      </c>
      <c r="B2084" t="s">
        <v>3061</v>
      </c>
      <c r="C2084" t="s">
        <v>5558</v>
      </c>
      <c r="D2084" s="6" t="str">
        <f>_xlfn.XLOOKUP(B2084,Indices!$A$2:$A$2676,Indices!$B$2:$B$2676,"")</f>
        <v/>
      </c>
    </row>
    <row r="2085" spans="1:4" x14ac:dyDescent="0.25">
      <c r="A2085" s="140">
        <v>45707.625</v>
      </c>
      <c r="B2085" t="s">
        <v>3144</v>
      </c>
      <c r="C2085" t="s">
        <v>5558</v>
      </c>
      <c r="D2085" s="6" t="str">
        <f>_xlfn.XLOOKUP(B2085,Indices!$A$2:$A$2676,Indices!$B$2:$B$2676,"")</f>
        <v/>
      </c>
    </row>
    <row r="2086" spans="1:4" x14ac:dyDescent="0.25">
      <c r="A2086" s="140">
        <v>45707.625</v>
      </c>
      <c r="B2086" t="s">
        <v>3154</v>
      </c>
      <c r="C2086" t="s">
        <v>5558</v>
      </c>
      <c r="D2086" s="6" t="str">
        <f>_xlfn.XLOOKUP(B2086,Indices!$A$2:$A$2676,Indices!$B$2:$B$2676,"")</f>
        <v/>
      </c>
    </row>
    <row r="2087" spans="1:4" x14ac:dyDescent="0.25">
      <c r="A2087" s="140">
        <v>45707.625</v>
      </c>
      <c r="B2087" t="s">
        <v>3153</v>
      </c>
      <c r="C2087" t="s">
        <v>3139</v>
      </c>
      <c r="D2087" s="6" t="str">
        <f>_xlfn.XLOOKUP(B2087,Indices!$A$2:$A$2676,Indices!$B$2:$B$2676,"")</f>
        <v/>
      </c>
    </row>
    <row r="2088" spans="1:4" x14ac:dyDescent="0.25">
      <c r="A2088" s="140">
        <v>45707.625</v>
      </c>
      <c r="B2088" t="s">
        <v>802</v>
      </c>
      <c r="C2088" t="s">
        <v>3139</v>
      </c>
      <c r="D2088" s="6" t="str">
        <f>_xlfn.XLOOKUP(B2088,Indices!$A$2:$A$2676,Indices!$B$2:$B$2676,"")</f>
        <v>IWM</v>
      </c>
    </row>
    <row r="2089" spans="1:4" x14ac:dyDescent="0.25">
      <c r="A2089" s="140">
        <v>45707.625694444447</v>
      </c>
      <c r="B2089" t="s">
        <v>1794</v>
      </c>
      <c r="C2089" t="s">
        <v>5559</v>
      </c>
      <c r="D2089" s="6" t="str">
        <f>_xlfn.XLOOKUP(B2089,Indices!$A$2:$A$2676,Indices!$B$2:$B$2676,"")</f>
        <v>IWM</v>
      </c>
    </row>
    <row r="2090" spans="1:4" x14ac:dyDescent="0.25">
      <c r="A2090" s="140">
        <v>45707.625694444447</v>
      </c>
      <c r="B2090" t="s">
        <v>3163</v>
      </c>
      <c r="C2090" t="s">
        <v>5559</v>
      </c>
      <c r="D2090" s="6" t="str">
        <f>_xlfn.XLOOKUP(B2090,Indices!$A$2:$A$2676,Indices!$B$2:$B$2676,"")</f>
        <v/>
      </c>
    </row>
    <row r="2091" spans="1:4" x14ac:dyDescent="0.25">
      <c r="A2091" s="140">
        <v>45707.626388888886</v>
      </c>
      <c r="B2091" t="s">
        <v>3149</v>
      </c>
      <c r="C2091" t="s">
        <v>5560</v>
      </c>
      <c r="D2091" s="6" t="str">
        <f>_xlfn.XLOOKUP(B2091,Indices!$A$2:$A$2676,Indices!$B$2:$B$2676,"")</f>
        <v/>
      </c>
    </row>
    <row r="2092" spans="1:4" x14ac:dyDescent="0.25">
      <c r="A2092" s="140">
        <v>45707.628472222219</v>
      </c>
      <c r="B2092" t="s">
        <v>2127</v>
      </c>
      <c r="C2092" t="s">
        <v>5561</v>
      </c>
      <c r="D2092" s="6" t="str">
        <f>_xlfn.XLOOKUP(B2092,Indices!$A$2:$A$2676,Indices!$B$2:$B$2676,"")</f>
        <v>IWM</v>
      </c>
    </row>
    <row r="2093" spans="1:4" x14ac:dyDescent="0.25">
      <c r="A2093" s="140">
        <v>45707.635416666664</v>
      </c>
      <c r="B2093" t="s">
        <v>3159</v>
      </c>
      <c r="C2093" t="s">
        <v>5562</v>
      </c>
      <c r="D2093" s="6" t="str">
        <f>_xlfn.XLOOKUP(B2093,Indices!$A$2:$A$2676,Indices!$B$2:$B$2676,"")</f>
        <v/>
      </c>
    </row>
    <row r="2094" spans="1:4" x14ac:dyDescent="0.25">
      <c r="A2094" s="140">
        <v>45707.638194444444</v>
      </c>
      <c r="B2094" t="s">
        <v>3147</v>
      </c>
      <c r="C2094" t="s">
        <v>5563</v>
      </c>
      <c r="D2094" s="6" t="str">
        <f>_xlfn.XLOOKUP(B2094,Indices!$A$2:$A$2676,Indices!$B$2:$B$2676,"")</f>
        <v/>
      </c>
    </row>
    <row r="2095" spans="1:4" x14ac:dyDescent="0.25">
      <c r="A2095" s="140">
        <v>45707.64166666667</v>
      </c>
      <c r="B2095" t="s">
        <v>3143</v>
      </c>
      <c r="C2095" t="s">
        <v>5564</v>
      </c>
      <c r="D2095" s="6" t="str">
        <f>_xlfn.XLOOKUP(B2095,Indices!$A$2:$A$2676,Indices!$B$2:$B$2676,"")</f>
        <v/>
      </c>
    </row>
    <row r="2096" spans="1:4" x14ac:dyDescent="0.25">
      <c r="A2096" s="140">
        <v>45707.645833333336</v>
      </c>
      <c r="B2096" t="s">
        <v>2930</v>
      </c>
      <c r="C2096" t="s">
        <v>5565</v>
      </c>
      <c r="D2096" s="6" t="str">
        <f>_xlfn.XLOOKUP(B2096,Indices!$A$2:$A$2676,Indices!$B$2:$B$2676,"")</f>
        <v/>
      </c>
    </row>
    <row r="2097" spans="1:4" x14ac:dyDescent="0.25">
      <c r="A2097" s="140">
        <v>45707.666666666664</v>
      </c>
      <c r="B2097" t="s">
        <v>3166</v>
      </c>
      <c r="C2097" t="s">
        <v>5566</v>
      </c>
      <c r="D2097" s="6" t="str">
        <f>_xlfn.XLOOKUP(B2097,Indices!$A$2:$A$2676,Indices!$B$2:$B$2676,"")</f>
        <v/>
      </c>
    </row>
    <row r="2098" spans="1:4" x14ac:dyDescent="0.25">
      <c r="A2098" s="140">
        <v>45707.760416666664</v>
      </c>
      <c r="B2098" t="s">
        <v>4094</v>
      </c>
      <c r="C2098" t="s">
        <v>5567</v>
      </c>
      <c r="D2098" s="6" t="str">
        <f>_xlfn.XLOOKUP(B2098,Indices!$A$2:$A$2676,Indices!$B$2:$B$2676,"")</f>
        <v/>
      </c>
    </row>
    <row r="2099" spans="1:4" x14ac:dyDescent="0.25">
      <c r="A2099" s="140">
        <v>45707.802777777775</v>
      </c>
      <c r="B2099" t="s">
        <v>3425</v>
      </c>
      <c r="C2099" t="s">
        <v>5568</v>
      </c>
      <c r="D2099" s="6" t="str">
        <f>_xlfn.XLOOKUP(B2099,Indices!$A$2:$A$2676,Indices!$B$2:$B$2676,"")</f>
        <v/>
      </c>
    </row>
    <row r="2100" spans="1:4" x14ac:dyDescent="0.25">
      <c r="A2100" s="140">
        <v>45707.958333333336</v>
      </c>
      <c r="B2100" t="s">
        <v>3198</v>
      </c>
      <c r="C2100" t="s">
        <v>5569</v>
      </c>
      <c r="D2100" s="6" t="str">
        <f>_xlfn.XLOOKUP(B2100,Indices!$A$2:$A$2676,Indices!$B$2:$B$2676,"")</f>
        <v/>
      </c>
    </row>
    <row r="2101" spans="1:4" x14ac:dyDescent="0.25">
      <c r="A2101" s="140">
        <v>45707.958333333336</v>
      </c>
      <c r="B2101" t="s">
        <v>3118</v>
      </c>
      <c r="C2101" t="s">
        <v>5570</v>
      </c>
      <c r="D2101" s="6" t="str">
        <f>_xlfn.XLOOKUP(B2101,Indices!$A$2:$A$2676,Indices!$B$2:$B$2676,"")</f>
        <v/>
      </c>
    </row>
    <row r="2102" spans="1:4" x14ac:dyDescent="0.25">
      <c r="A2102" s="140">
        <v>45707.958333333336</v>
      </c>
      <c r="B2102" t="s">
        <v>524</v>
      </c>
      <c r="C2102" t="s">
        <v>5569</v>
      </c>
      <c r="D2102" s="6" t="str">
        <f>_xlfn.XLOOKUP(B2102,Indices!$A$2:$A$2676,Indices!$B$2:$B$2676,"")</f>
        <v>IWM</v>
      </c>
    </row>
    <row r="2103" spans="1:4" x14ac:dyDescent="0.25">
      <c r="A2103" s="140">
        <v>45707.958333333336</v>
      </c>
      <c r="B2103" t="s">
        <v>3194</v>
      </c>
      <c r="C2103" t="s">
        <v>5570</v>
      </c>
      <c r="D2103" s="6" t="str">
        <f>_xlfn.XLOOKUP(B2103,Indices!$A$2:$A$2676,Indices!$B$2:$B$2676,"")</f>
        <v/>
      </c>
    </row>
    <row r="2104" spans="1:4" x14ac:dyDescent="0.25">
      <c r="A2104" s="140">
        <v>45707.958333333336</v>
      </c>
      <c r="B2104" t="s">
        <v>3135</v>
      </c>
      <c r="C2104" t="s">
        <v>5569</v>
      </c>
      <c r="D2104" s="6" t="str">
        <f>_xlfn.XLOOKUP(B2104,Indices!$A$2:$A$2676,Indices!$B$2:$B$2676,"")</f>
        <v/>
      </c>
    </row>
    <row r="2105" spans="1:4" x14ac:dyDescent="0.25">
      <c r="A2105" s="140">
        <v>45707.958333333336</v>
      </c>
      <c r="B2105" t="s">
        <v>2927</v>
      </c>
      <c r="C2105" t="s">
        <v>5569</v>
      </c>
      <c r="D2105" s="6" t="str">
        <f>_xlfn.XLOOKUP(B2105,Indices!$A$2:$A$2676,Indices!$B$2:$B$2676,"")</f>
        <v/>
      </c>
    </row>
    <row r="2106" spans="1:4" x14ac:dyDescent="0.25">
      <c r="A2106" s="140">
        <v>45707.958333333336</v>
      </c>
      <c r="B2106" t="s">
        <v>2949</v>
      </c>
      <c r="C2106" t="s">
        <v>5570</v>
      </c>
      <c r="D2106" s="6" t="str">
        <f>_xlfn.XLOOKUP(B2106,Indices!$A$2:$A$2676,Indices!$B$2:$B$2676,"")</f>
        <v/>
      </c>
    </row>
    <row r="2107" spans="1:4" x14ac:dyDescent="0.25">
      <c r="A2107" s="140">
        <v>45707.958333333336</v>
      </c>
      <c r="B2107" t="s">
        <v>1950</v>
      </c>
      <c r="C2107" t="s">
        <v>5569</v>
      </c>
      <c r="D2107" s="6" t="str">
        <f>_xlfn.XLOOKUP(B2107,Indices!$A$2:$A$2676,Indices!$B$2:$B$2676,"")</f>
        <v>IWM</v>
      </c>
    </row>
    <row r="2108" spans="1:4" x14ac:dyDescent="0.25">
      <c r="A2108" s="140">
        <v>45707.958333333336</v>
      </c>
      <c r="B2108" t="s">
        <v>3179</v>
      </c>
      <c r="C2108" t="s">
        <v>5570</v>
      </c>
      <c r="D2108" s="6" t="str">
        <f>_xlfn.XLOOKUP(B2108,Indices!$A$2:$A$2676,Indices!$B$2:$B$2676,"")</f>
        <v/>
      </c>
    </row>
    <row r="2109" spans="1:4" x14ac:dyDescent="0.25">
      <c r="A2109" s="140">
        <v>45707.958333333336</v>
      </c>
      <c r="B2109" t="s">
        <v>20</v>
      </c>
      <c r="C2109" t="s">
        <v>5569</v>
      </c>
      <c r="D2109" s="6" t="str">
        <f>_xlfn.XLOOKUP(B2109,Indices!$A$2:$A$2676,Indices!$B$2:$B$2676,"")</f>
        <v>IWM</v>
      </c>
    </row>
    <row r="2110" spans="1:4" x14ac:dyDescent="0.25">
      <c r="A2110" s="140">
        <v>45707.958333333336</v>
      </c>
      <c r="B2110" t="s">
        <v>3190</v>
      </c>
      <c r="C2110" t="s">
        <v>5570</v>
      </c>
      <c r="D2110" s="6" t="str">
        <f>_xlfn.XLOOKUP(B2110,Indices!$A$2:$A$2676,Indices!$B$2:$B$2676,"")</f>
        <v/>
      </c>
    </row>
    <row r="2111" spans="1:4" x14ac:dyDescent="0.25">
      <c r="A2111" s="140">
        <v>45707.959027777775</v>
      </c>
      <c r="B2111" t="s">
        <v>3207</v>
      </c>
      <c r="C2111" t="s">
        <v>5571</v>
      </c>
      <c r="D2111" s="6" t="str">
        <f>_xlfn.XLOOKUP(B2111,Indices!$A$2:$A$2676,Indices!$B$2:$B$2676,"")</f>
        <v/>
      </c>
    </row>
    <row r="2112" spans="1:4" x14ac:dyDescent="0.25">
      <c r="A2112" s="140">
        <v>45707.976388888892</v>
      </c>
      <c r="B2112" t="s">
        <v>3184</v>
      </c>
      <c r="C2112" t="s">
        <v>5572</v>
      </c>
      <c r="D2112" s="6" t="str">
        <f>_xlfn.XLOOKUP(B2112,Indices!$A$2:$A$2676,Indices!$B$2:$B$2676,"")</f>
        <v/>
      </c>
    </row>
    <row r="2113" spans="1:4" x14ac:dyDescent="0.25">
      <c r="A2113" s="140">
        <v>45708.0625</v>
      </c>
      <c r="B2113" t="s">
        <v>3481</v>
      </c>
      <c r="C2113" t="s">
        <v>5573</v>
      </c>
      <c r="D2113" s="6" t="str">
        <f>_xlfn.XLOOKUP(B2113,Indices!$A$2:$A$2676,Indices!$B$2:$B$2676,"")</f>
        <v/>
      </c>
    </row>
    <row r="2114" spans="1:4" x14ac:dyDescent="0.25">
      <c r="A2114" s="140">
        <v>45708.104166666664</v>
      </c>
      <c r="B2114" t="s">
        <v>2565</v>
      </c>
      <c r="C2114" t="s">
        <v>5574</v>
      </c>
      <c r="D2114" s="6" t="str">
        <f>_xlfn.XLOOKUP(B2114,Indices!$A$2:$A$2676,Indices!$B$2:$B$2676,"")</f>
        <v/>
      </c>
    </row>
    <row r="2115" spans="1:4" x14ac:dyDescent="0.25">
      <c r="A2115" s="140">
        <v>45708.107638888891</v>
      </c>
      <c r="B2115" t="s">
        <v>3460</v>
      </c>
      <c r="C2115" t="s">
        <v>5575</v>
      </c>
      <c r="D2115" s="6" t="str">
        <f>_xlfn.XLOOKUP(B2115,Indices!$A$2:$A$2676,Indices!$B$2:$B$2676,"")</f>
        <v/>
      </c>
    </row>
    <row r="2116" spans="1:4" x14ac:dyDescent="0.25">
      <c r="A2116" s="140">
        <v>45708.125</v>
      </c>
      <c r="B2116" t="s">
        <v>4021</v>
      </c>
      <c r="C2116" t="s">
        <v>5576</v>
      </c>
      <c r="D2116" s="6" t="str">
        <f>_xlfn.XLOOKUP(B2116,Indices!$A$2:$A$2676,Indices!$B$2:$B$2676,"")</f>
        <v/>
      </c>
    </row>
    <row r="2117" spans="1:4" x14ac:dyDescent="0.25">
      <c r="A2117" s="140">
        <v>45708.138888888891</v>
      </c>
      <c r="B2117" t="s">
        <v>3192</v>
      </c>
      <c r="C2117" t="s">
        <v>5577</v>
      </c>
      <c r="D2117" s="6" t="str">
        <f>_xlfn.XLOOKUP(B2117,Indices!$A$2:$A$2676,Indices!$B$2:$B$2676,"")</f>
        <v/>
      </c>
    </row>
    <row r="2118" spans="1:4" x14ac:dyDescent="0.25">
      <c r="A2118" s="140">
        <v>45708.145833333336</v>
      </c>
      <c r="B2118" t="s">
        <v>3204</v>
      </c>
      <c r="C2118" t="s">
        <v>5578</v>
      </c>
      <c r="D2118" s="6" t="str">
        <f>_xlfn.XLOOKUP(B2118,Indices!$A$2:$A$2676,Indices!$B$2:$B$2676,"")</f>
        <v/>
      </c>
    </row>
    <row r="2119" spans="1:4" x14ac:dyDescent="0.25">
      <c r="A2119" s="140">
        <v>45708.15</v>
      </c>
      <c r="B2119" t="s">
        <v>2651</v>
      </c>
      <c r="C2119" t="s">
        <v>5579</v>
      </c>
      <c r="D2119" s="6" t="str">
        <f>_xlfn.XLOOKUP(B2119,Indices!$A$2:$A$2676,Indices!$B$2:$B$2676,"")</f>
        <v/>
      </c>
    </row>
    <row r="2120" spans="1:4" x14ac:dyDescent="0.25">
      <c r="A2120" s="140">
        <v>45708.166666666664</v>
      </c>
      <c r="B2120" t="s">
        <v>164</v>
      </c>
      <c r="C2120" t="s">
        <v>5580</v>
      </c>
      <c r="D2120" s="6" t="str">
        <f>_xlfn.XLOOKUP(B2120,Indices!$A$2:$A$2676,Indices!$B$2:$B$2676,"")</f>
        <v>SP500</v>
      </c>
    </row>
    <row r="2121" spans="1:4" x14ac:dyDescent="0.25">
      <c r="A2121" s="140">
        <v>45708.166666666664</v>
      </c>
      <c r="B2121" t="s">
        <v>2329</v>
      </c>
      <c r="C2121" t="s">
        <v>5580</v>
      </c>
      <c r="D2121" s="6" t="str">
        <f>_xlfn.XLOOKUP(B2121,Indices!$A$2:$A$2676,Indices!$B$2:$B$2676,"")</f>
        <v>IWM</v>
      </c>
    </row>
    <row r="2122" spans="1:4" x14ac:dyDescent="0.25">
      <c r="A2122" s="140">
        <v>45708.166666666664</v>
      </c>
      <c r="B2122" t="s">
        <v>832</v>
      </c>
      <c r="C2122" t="s">
        <v>5580</v>
      </c>
      <c r="D2122" s="6" t="str">
        <f>_xlfn.XLOOKUP(B2122,Indices!$A$2:$A$2676,Indices!$B$2:$B$2676,"")</f>
        <v>S&amp;P Mid</v>
      </c>
    </row>
    <row r="2123" spans="1:4" x14ac:dyDescent="0.25">
      <c r="A2123" s="140">
        <v>45708.166666666664</v>
      </c>
      <c r="B2123" t="s">
        <v>5</v>
      </c>
      <c r="C2123" t="s">
        <v>5580</v>
      </c>
      <c r="D2123" s="6" t="str">
        <f>_xlfn.XLOOKUP(B2123,Indices!$A$2:$A$2676,Indices!$B$2:$B$2676,"")</f>
        <v>IWM</v>
      </c>
    </row>
    <row r="2124" spans="1:4" x14ac:dyDescent="0.25">
      <c r="A2124" s="140">
        <v>45708.166666666664</v>
      </c>
      <c r="B2124" t="s">
        <v>527</v>
      </c>
      <c r="C2124" t="s">
        <v>5580</v>
      </c>
      <c r="D2124" s="6" t="str">
        <f>_xlfn.XLOOKUP(B2124,Indices!$A$2:$A$2676,Indices!$B$2:$B$2676,"")</f>
        <v>SP500</v>
      </c>
    </row>
    <row r="2125" spans="1:4" x14ac:dyDescent="0.25">
      <c r="A2125" s="140">
        <v>45708.166666666664</v>
      </c>
      <c r="B2125" t="s">
        <v>1929</v>
      </c>
      <c r="C2125" t="s">
        <v>5580</v>
      </c>
      <c r="D2125" s="6" t="str">
        <f>_xlfn.XLOOKUP(B2125,Indices!$A$2:$A$2676,Indices!$B$2:$B$2676,"")</f>
        <v>IWM</v>
      </c>
    </row>
    <row r="2126" spans="1:4" x14ac:dyDescent="0.25">
      <c r="A2126" s="140">
        <v>45708.166666666664</v>
      </c>
      <c r="B2126" t="s">
        <v>2004</v>
      </c>
      <c r="C2126" t="s">
        <v>5580</v>
      </c>
      <c r="D2126" s="6" t="str">
        <f>_xlfn.XLOOKUP(B2126,Indices!$A$2:$A$2676,Indices!$B$2:$B$2676,"")</f>
        <v>IWM</v>
      </c>
    </row>
    <row r="2127" spans="1:4" x14ac:dyDescent="0.25">
      <c r="A2127" s="140">
        <v>45708.166666666664</v>
      </c>
      <c r="B2127" t="s">
        <v>882</v>
      </c>
      <c r="C2127" t="s">
        <v>5580</v>
      </c>
      <c r="D2127" s="6" t="str">
        <f>_xlfn.XLOOKUP(B2127,Indices!$A$2:$A$2676,Indices!$B$2:$B$2676,"")</f>
        <v>IWM</v>
      </c>
    </row>
    <row r="2128" spans="1:4" x14ac:dyDescent="0.25">
      <c r="A2128" s="140">
        <v>45708.166666666664</v>
      </c>
      <c r="B2128" t="s">
        <v>2991</v>
      </c>
      <c r="C2128" t="s">
        <v>5580</v>
      </c>
      <c r="D2128" s="6" t="str">
        <f>_xlfn.XLOOKUP(B2128,Indices!$A$2:$A$2676,Indices!$B$2:$B$2676,"")</f>
        <v/>
      </c>
    </row>
    <row r="2129" spans="1:4" x14ac:dyDescent="0.25">
      <c r="A2129" s="140">
        <v>45708.166666666664</v>
      </c>
      <c r="B2129" t="s">
        <v>1598</v>
      </c>
      <c r="C2129" t="s">
        <v>5580</v>
      </c>
      <c r="D2129" s="6" t="str">
        <f>_xlfn.XLOOKUP(B2129,Indices!$A$2:$A$2676,Indices!$B$2:$B$2676,"")</f>
        <v>SP500</v>
      </c>
    </row>
    <row r="2130" spans="1:4" x14ac:dyDescent="0.25">
      <c r="A2130" s="140">
        <v>45708.177777777775</v>
      </c>
      <c r="B2130" t="s">
        <v>3219</v>
      </c>
      <c r="C2130" t="s">
        <v>5581</v>
      </c>
      <c r="D2130" s="6" t="str">
        <f>_xlfn.XLOOKUP(B2130,Indices!$A$2:$A$2676,Indices!$B$2:$B$2676,"")</f>
        <v/>
      </c>
    </row>
    <row r="2131" spans="1:4" x14ac:dyDescent="0.25">
      <c r="A2131" s="140">
        <v>45708.184027777781</v>
      </c>
      <c r="B2131" t="s">
        <v>3202</v>
      </c>
      <c r="C2131" t="s">
        <v>5582</v>
      </c>
      <c r="D2131" s="6" t="str">
        <f>_xlfn.XLOOKUP(B2131,Indices!$A$2:$A$2676,Indices!$B$2:$B$2676,"")</f>
        <v/>
      </c>
    </row>
    <row r="2132" spans="1:4" x14ac:dyDescent="0.25">
      <c r="A2132" s="140">
        <v>45708.184027777781</v>
      </c>
      <c r="B2132" t="s">
        <v>1529</v>
      </c>
      <c r="C2132" t="s">
        <v>5582</v>
      </c>
      <c r="D2132" s="6" t="str">
        <f>_xlfn.XLOOKUP(B2132,Indices!$A$2:$A$2676,Indices!$B$2:$B$2676,"")</f>
        <v>SP500</v>
      </c>
    </row>
    <row r="2133" spans="1:4" x14ac:dyDescent="0.25">
      <c r="A2133" s="140">
        <v>45708.1875</v>
      </c>
      <c r="B2133" t="s">
        <v>41</v>
      </c>
      <c r="C2133" t="s">
        <v>5583</v>
      </c>
      <c r="D2133" s="6" t="str">
        <f>_xlfn.XLOOKUP(B2133,Indices!$A$2:$A$2676,Indices!$B$2:$B$2676,"")</f>
        <v>S&amp;P Mid</v>
      </c>
    </row>
    <row r="2134" spans="1:4" x14ac:dyDescent="0.25">
      <c r="A2134" s="140">
        <v>45708.1875</v>
      </c>
      <c r="B2134" t="s">
        <v>3206</v>
      </c>
      <c r="C2134" t="s">
        <v>5583</v>
      </c>
      <c r="D2134" s="6" t="str">
        <f>_xlfn.XLOOKUP(B2134,Indices!$A$2:$A$2676,Indices!$B$2:$B$2676,"")</f>
        <v/>
      </c>
    </row>
    <row r="2135" spans="1:4" x14ac:dyDescent="0.25">
      <c r="A2135" s="140">
        <v>45708.1875</v>
      </c>
      <c r="B2135" t="s">
        <v>2457</v>
      </c>
      <c r="C2135" t="s">
        <v>5583</v>
      </c>
      <c r="D2135" s="6" t="str">
        <f>_xlfn.XLOOKUP(B2135,Indices!$A$2:$A$2676,Indices!$B$2:$B$2676,"")</f>
        <v>S&amp;P Mid</v>
      </c>
    </row>
    <row r="2136" spans="1:4" x14ac:dyDescent="0.25">
      <c r="A2136" s="140">
        <v>45708.1875</v>
      </c>
      <c r="B2136" t="s">
        <v>3265</v>
      </c>
      <c r="C2136" t="s">
        <v>5583</v>
      </c>
      <c r="D2136" s="6" t="str">
        <f>_xlfn.XLOOKUP(B2136,Indices!$A$2:$A$2676,Indices!$B$2:$B$2676,"")</f>
        <v/>
      </c>
    </row>
    <row r="2137" spans="1:4" x14ac:dyDescent="0.25">
      <c r="A2137" s="140">
        <v>45708.1875</v>
      </c>
      <c r="B2137" t="s">
        <v>2371</v>
      </c>
      <c r="C2137" t="s">
        <v>5583</v>
      </c>
      <c r="D2137" s="6" t="str">
        <f>_xlfn.XLOOKUP(B2137,Indices!$A$2:$A$2676,Indices!$B$2:$B$2676,"")</f>
        <v>S&amp;P Mid</v>
      </c>
    </row>
    <row r="2138" spans="1:4" x14ac:dyDescent="0.25">
      <c r="A2138" s="140">
        <v>45708.1875</v>
      </c>
      <c r="B2138" t="s">
        <v>2285</v>
      </c>
      <c r="C2138" t="s">
        <v>5583</v>
      </c>
      <c r="D2138" s="6" t="str">
        <f>_xlfn.XLOOKUP(B2138,Indices!$A$2:$A$2676,Indices!$B$2:$B$2676,"")</f>
        <v>IWM</v>
      </c>
    </row>
    <row r="2139" spans="1:4" x14ac:dyDescent="0.25">
      <c r="A2139" s="140">
        <v>45708.1875</v>
      </c>
      <c r="B2139" t="s">
        <v>1603</v>
      </c>
      <c r="C2139" t="s">
        <v>5583</v>
      </c>
      <c r="D2139" s="6" t="str">
        <f>_xlfn.XLOOKUP(B2139,Indices!$A$2:$A$2676,Indices!$B$2:$B$2676,"")</f>
        <v>SP500</v>
      </c>
    </row>
    <row r="2140" spans="1:4" x14ac:dyDescent="0.25">
      <c r="A2140" s="140">
        <v>45708.1875</v>
      </c>
      <c r="B2140" t="s">
        <v>1706</v>
      </c>
      <c r="C2140" t="s">
        <v>5583</v>
      </c>
      <c r="D2140" s="6" t="str">
        <f>_xlfn.XLOOKUP(B2140,Indices!$A$2:$A$2676,Indices!$B$2:$B$2676,"")</f>
        <v>IWM</v>
      </c>
    </row>
    <row r="2141" spans="1:4" x14ac:dyDescent="0.25">
      <c r="A2141" s="140">
        <v>45708.1875</v>
      </c>
      <c r="B2141" t="s">
        <v>888</v>
      </c>
      <c r="C2141" t="s">
        <v>5583</v>
      </c>
      <c r="D2141" s="6" t="str">
        <f>_xlfn.XLOOKUP(B2141,Indices!$A$2:$A$2676,Indices!$B$2:$B$2676,"")</f>
        <v>IWM</v>
      </c>
    </row>
    <row r="2142" spans="1:4" x14ac:dyDescent="0.25">
      <c r="A2142" s="140">
        <v>45708.1875</v>
      </c>
      <c r="B2142" t="s">
        <v>3364</v>
      </c>
      <c r="C2142" t="s">
        <v>5583</v>
      </c>
      <c r="D2142" s="6" t="str">
        <f>_xlfn.XLOOKUP(B2142,Indices!$A$2:$A$2676,Indices!$B$2:$B$2676,"")</f>
        <v/>
      </c>
    </row>
    <row r="2143" spans="1:4" x14ac:dyDescent="0.25">
      <c r="A2143" s="140">
        <v>45708.1875</v>
      </c>
      <c r="B2143" t="s">
        <v>2469</v>
      </c>
      <c r="C2143" t="s">
        <v>5583</v>
      </c>
      <c r="D2143" s="6" t="str">
        <f>_xlfn.XLOOKUP(B2143,Indices!$A$2:$A$2676,Indices!$B$2:$B$2676,"")</f>
        <v>S&amp;P Mid</v>
      </c>
    </row>
    <row r="2144" spans="1:4" x14ac:dyDescent="0.25">
      <c r="A2144" s="140">
        <v>45708.191666666666</v>
      </c>
      <c r="B2144" t="s">
        <v>5584</v>
      </c>
      <c r="C2144" t="s">
        <v>5585</v>
      </c>
      <c r="D2144" s="6" t="str">
        <f>_xlfn.XLOOKUP(B2144,Indices!$A$2:$A$2676,Indices!$B$2:$B$2676,"")</f>
        <v/>
      </c>
    </row>
    <row r="2145" spans="1:4" x14ac:dyDescent="0.25">
      <c r="A2145" s="140">
        <v>45708.197916666664</v>
      </c>
      <c r="B2145" t="s">
        <v>2935</v>
      </c>
      <c r="C2145" t="s">
        <v>5586</v>
      </c>
      <c r="D2145" s="6" t="str">
        <f>_xlfn.XLOOKUP(B2145,Indices!$A$2:$A$2676,Indices!$B$2:$B$2676,"")</f>
        <v/>
      </c>
    </row>
    <row r="2146" spans="1:4" x14ac:dyDescent="0.25">
      <c r="A2146" s="140">
        <v>45708.197916666664</v>
      </c>
      <c r="B2146" t="s">
        <v>2836</v>
      </c>
      <c r="C2146" t="s">
        <v>5586</v>
      </c>
      <c r="D2146" s="6" t="str">
        <f>_xlfn.XLOOKUP(B2146,Indices!$A$2:$A$2676,Indices!$B$2:$B$2676,"")</f>
        <v/>
      </c>
    </row>
    <row r="2147" spans="1:4" x14ac:dyDescent="0.25">
      <c r="A2147" s="140">
        <v>45708.201388888891</v>
      </c>
      <c r="B2147" t="s">
        <v>894</v>
      </c>
      <c r="C2147" t="s">
        <v>5587</v>
      </c>
      <c r="D2147" s="6" t="str">
        <f>_xlfn.XLOOKUP(B2147,Indices!$A$2:$A$2676,Indices!$B$2:$B$2676,"")</f>
        <v>IWM</v>
      </c>
    </row>
    <row r="2148" spans="1:4" x14ac:dyDescent="0.25">
      <c r="A2148" s="140">
        <v>45708.203472222223</v>
      </c>
      <c r="B2148" t="s">
        <v>1768</v>
      </c>
      <c r="C2148" t="s">
        <v>5588</v>
      </c>
      <c r="D2148" s="6" t="str">
        <f>_xlfn.XLOOKUP(B2148,Indices!$A$2:$A$2676,Indices!$B$2:$B$2676,"")</f>
        <v>IWM</v>
      </c>
    </row>
    <row r="2149" spans="1:4" x14ac:dyDescent="0.25">
      <c r="A2149" s="140">
        <v>45708.204861111109</v>
      </c>
      <c r="B2149" t="s">
        <v>2984</v>
      </c>
      <c r="C2149" t="s">
        <v>5589</v>
      </c>
      <c r="D2149" s="6" t="str">
        <f>_xlfn.XLOOKUP(B2149,Indices!$A$2:$A$2676,Indices!$B$2:$B$2676,"")</f>
        <v/>
      </c>
    </row>
    <row r="2150" spans="1:4" x14ac:dyDescent="0.25">
      <c r="A2150" s="140">
        <v>45708.204861111109</v>
      </c>
      <c r="B2150" t="s">
        <v>1415</v>
      </c>
      <c r="C2150" t="s">
        <v>5589</v>
      </c>
      <c r="D2150" s="6" t="str">
        <f>_xlfn.XLOOKUP(B2150,Indices!$A$2:$A$2676,Indices!$B$2:$B$2676,"")</f>
        <v>SP500</v>
      </c>
    </row>
    <row r="2151" spans="1:4" x14ac:dyDescent="0.25">
      <c r="A2151" s="140">
        <v>45708.207638888889</v>
      </c>
      <c r="B2151" t="s">
        <v>2011</v>
      </c>
      <c r="C2151" t="s">
        <v>5590</v>
      </c>
      <c r="D2151" s="6" t="str">
        <f>_xlfn.XLOOKUP(B2151,Indices!$A$2:$A$2676,Indices!$B$2:$B$2676,"")</f>
        <v>IWM</v>
      </c>
    </row>
    <row r="2152" spans="1:4" x14ac:dyDescent="0.25">
      <c r="A2152" s="140">
        <v>45708.207638888889</v>
      </c>
      <c r="B2152" t="s">
        <v>1085</v>
      </c>
      <c r="C2152" t="s">
        <v>5590</v>
      </c>
      <c r="D2152" s="6" t="str">
        <f>_xlfn.XLOOKUP(B2152,Indices!$A$2:$A$2676,Indices!$B$2:$B$2676,"")</f>
        <v>SP500</v>
      </c>
    </row>
    <row r="2153" spans="1:4" x14ac:dyDescent="0.25">
      <c r="A2153" s="140">
        <v>45708.208333333336</v>
      </c>
      <c r="B2153" t="s">
        <v>1703</v>
      </c>
      <c r="C2153" t="s">
        <v>5591</v>
      </c>
      <c r="D2153" s="6" t="str">
        <f>_xlfn.XLOOKUP(B2153,Indices!$A$2:$A$2676,Indices!$B$2:$B$2676,"")</f>
        <v>IWM</v>
      </c>
    </row>
    <row r="2154" spans="1:4" x14ac:dyDescent="0.25">
      <c r="A2154" s="140">
        <v>45708.208333333336</v>
      </c>
      <c r="B2154" t="s">
        <v>1575</v>
      </c>
      <c r="C2154" t="s">
        <v>5591</v>
      </c>
      <c r="D2154" s="6" t="str">
        <f>_xlfn.XLOOKUP(B2154,Indices!$A$2:$A$2676,Indices!$B$2:$B$2676,"")</f>
        <v>SP500</v>
      </c>
    </row>
    <row r="2155" spans="1:4" x14ac:dyDescent="0.25">
      <c r="A2155" s="140">
        <v>45708.208333333336</v>
      </c>
      <c r="B2155" t="s">
        <v>3177</v>
      </c>
      <c r="C2155" t="s">
        <v>5591</v>
      </c>
      <c r="D2155" s="6" t="str">
        <f>_xlfn.XLOOKUP(B2155,Indices!$A$2:$A$2676,Indices!$B$2:$B$2676,"")</f>
        <v/>
      </c>
    </row>
    <row r="2156" spans="1:4" x14ac:dyDescent="0.25">
      <c r="A2156" s="140">
        <v>45708.208333333336</v>
      </c>
      <c r="B2156" t="s">
        <v>607</v>
      </c>
      <c r="C2156" t="s">
        <v>5591</v>
      </c>
      <c r="D2156" s="6" t="str">
        <f>_xlfn.XLOOKUP(B2156,Indices!$A$2:$A$2676,Indices!$B$2:$B$2676,"")</f>
        <v>IWM</v>
      </c>
    </row>
    <row r="2157" spans="1:4" x14ac:dyDescent="0.25">
      <c r="A2157" s="140">
        <v>45708.208333333336</v>
      </c>
      <c r="B2157" t="s">
        <v>3185</v>
      </c>
      <c r="C2157" t="s">
        <v>5591</v>
      </c>
      <c r="D2157" s="6" t="str">
        <f>_xlfn.XLOOKUP(B2157,Indices!$A$2:$A$2676,Indices!$B$2:$B$2676,"")</f>
        <v/>
      </c>
    </row>
    <row r="2158" spans="1:4" x14ac:dyDescent="0.25">
      <c r="A2158" s="140">
        <v>45708.208333333336</v>
      </c>
      <c r="B2158" t="s">
        <v>198</v>
      </c>
      <c r="C2158" t="s">
        <v>5591</v>
      </c>
      <c r="D2158" s="6" t="str">
        <f>_xlfn.XLOOKUP(B2158,Indices!$A$2:$A$2676,Indices!$B$2:$B$2676,"")</f>
        <v>SP500</v>
      </c>
    </row>
    <row r="2159" spans="1:4" x14ac:dyDescent="0.25">
      <c r="A2159" s="140">
        <v>45708.208333333336</v>
      </c>
      <c r="B2159" t="s">
        <v>3255</v>
      </c>
      <c r="C2159" t="s">
        <v>5591</v>
      </c>
      <c r="D2159" s="6" t="str">
        <f>_xlfn.XLOOKUP(B2159,Indices!$A$2:$A$2676,Indices!$B$2:$B$2676,"")</f>
        <v/>
      </c>
    </row>
    <row r="2160" spans="1:4" x14ac:dyDescent="0.25">
      <c r="A2160" s="140">
        <v>45708.208333333336</v>
      </c>
      <c r="B2160" t="s">
        <v>1897</v>
      </c>
      <c r="C2160" t="s">
        <v>5591</v>
      </c>
      <c r="D2160" s="6" t="str">
        <f>_xlfn.XLOOKUP(B2160,Indices!$A$2:$A$2676,Indices!$B$2:$B$2676,"")</f>
        <v>IWM</v>
      </c>
    </row>
    <row r="2161" spans="1:4" x14ac:dyDescent="0.25">
      <c r="A2161" s="140">
        <v>45708.208333333336</v>
      </c>
      <c r="B2161" t="s">
        <v>98</v>
      </c>
      <c r="C2161" t="s">
        <v>5591</v>
      </c>
      <c r="D2161" s="6" t="str">
        <f>_xlfn.XLOOKUP(B2161,Indices!$A$2:$A$2676,Indices!$B$2:$B$2676,"")</f>
        <v>IWM</v>
      </c>
    </row>
    <row r="2162" spans="1:4" x14ac:dyDescent="0.25">
      <c r="A2162" s="140">
        <v>45708.208333333336</v>
      </c>
      <c r="B2162" t="s">
        <v>1626</v>
      </c>
      <c r="C2162" t="s">
        <v>5591</v>
      </c>
      <c r="D2162" s="6" t="str">
        <f>_xlfn.XLOOKUP(B2162,Indices!$A$2:$A$2676,Indices!$B$2:$B$2676,"")</f>
        <v>IWM</v>
      </c>
    </row>
    <row r="2163" spans="1:4" x14ac:dyDescent="0.25">
      <c r="A2163" s="140">
        <v>45708.208333333336</v>
      </c>
      <c r="B2163" t="s">
        <v>2163</v>
      </c>
      <c r="C2163" t="s">
        <v>5591</v>
      </c>
      <c r="D2163" s="6" t="str">
        <f>_xlfn.XLOOKUP(B2163,Indices!$A$2:$A$2676,Indices!$B$2:$B$2676,"")</f>
        <v>IWM</v>
      </c>
    </row>
    <row r="2164" spans="1:4" x14ac:dyDescent="0.25">
      <c r="A2164" s="140">
        <v>45708.208333333336</v>
      </c>
      <c r="B2164" t="s">
        <v>3211</v>
      </c>
      <c r="C2164" t="s">
        <v>5591</v>
      </c>
      <c r="D2164" s="6" t="str">
        <f>_xlfn.XLOOKUP(B2164,Indices!$A$2:$A$2676,Indices!$B$2:$B$2676,"")</f>
        <v/>
      </c>
    </row>
    <row r="2165" spans="1:4" x14ac:dyDescent="0.25">
      <c r="A2165" s="140">
        <v>45708.208333333336</v>
      </c>
      <c r="B2165" t="s">
        <v>536</v>
      </c>
      <c r="C2165" t="s">
        <v>5591</v>
      </c>
      <c r="D2165" s="6" t="str">
        <f>_xlfn.XLOOKUP(B2165,Indices!$A$2:$A$2676,Indices!$B$2:$B$2676,"")</f>
        <v>IWM</v>
      </c>
    </row>
    <row r="2166" spans="1:4" x14ac:dyDescent="0.25">
      <c r="A2166" s="140">
        <v>45708.208333333336</v>
      </c>
      <c r="B2166" t="s">
        <v>2199</v>
      </c>
      <c r="C2166" t="s">
        <v>5591</v>
      </c>
      <c r="D2166" s="6" t="str">
        <f>_xlfn.XLOOKUP(B2166,Indices!$A$2:$A$2676,Indices!$B$2:$B$2676,"")</f>
        <v>IWM</v>
      </c>
    </row>
    <row r="2167" spans="1:4" x14ac:dyDescent="0.25">
      <c r="A2167" s="140">
        <v>45708.208333333336</v>
      </c>
      <c r="B2167" t="s">
        <v>3879</v>
      </c>
      <c r="C2167" t="s">
        <v>5591</v>
      </c>
      <c r="D2167" s="6" t="str">
        <f>_xlfn.XLOOKUP(B2167,Indices!$A$2:$A$2676,Indices!$B$2:$B$2676,"")</f>
        <v/>
      </c>
    </row>
    <row r="2168" spans="1:4" x14ac:dyDescent="0.25">
      <c r="A2168" s="140">
        <v>45708.208333333336</v>
      </c>
      <c r="B2168" t="s">
        <v>3182</v>
      </c>
      <c r="C2168" t="s">
        <v>5591</v>
      </c>
      <c r="D2168" s="6" t="str">
        <f>_xlfn.XLOOKUP(B2168,Indices!$A$2:$A$2676,Indices!$B$2:$B$2676,"")</f>
        <v/>
      </c>
    </row>
    <row r="2169" spans="1:4" x14ac:dyDescent="0.25">
      <c r="A2169" s="140">
        <v>45708.211111111108</v>
      </c>
      <c r="B2169" t="s">
        <v>3212</v>
      </c>
      <c r="C2169" t="s">
        <v>5592</v>
      </c>
      <c r="D2169" s="6" t="str">
        <f>_xlfn.XLOOKUP(B2169,Indices!$A$2:$A$2676,Indices!$B$2:$B$2676,"")</f>
        <v/>
      </c>
    </row>
    <row r="2170" spans="1:4" x14ac:dyDescent="0.25">
      <c r="A2170" s="140">
        <v>45708.21875</v>
      </c>
      <c r="B2170" t="s">
        <v>850</v>
      </c>
      <c r="C2170" t="s">
        <v>5593</v>
      </c>
      <c r="D2170" s="6" t="str">
        <f>_xlfn.XLOOKUP(B2170,Indices!$A$2:$A$2676,Indices!$B$2:$B$2676,"")</f>
        <v>SP500</v>
      </c>
    </row>
    <row r="2171" spans="1:4" x14ac:dyDescent="0.25">
      <c r="A2171" s="140">
        <v>45708.220833333333</v>
      </c>
      <c r="B2171" t="s">
        <v>3458</v>
      </c>
      <c r="C2171" t="s">
        <v>5594</v>
      </c>
      <c r="D2171" s="6" t="str">
        <f>_xlfn.XLOOKUP(B2171,Indices!$A$2:$A$2676,Indices!$B$2:$B$2676,"")</f>
        <v/>
      </c>
    </row>
    <row r="2172" spans="1:4" x14ac:dyDescent="0.25">
      <c r="A2172" s="140">
        <v>45708.229166666664</v>
      </c>
      <c r="B2172" t="s">
        <v>3196</v>
      </c>
      <c r="C2172" t="s">
        <v>5595</v>
      </c>
      <c r="D2172" s="6" t="str">
        <f>_xlfn.XLOOKUP(B2172,Indices!$A$2:$A$2676,Indices!$B$2:$B$2676,"")</f>
        <v/>
      </c>
    </row>
    <row r="2173" spans="1:4" x14ac:dyDescent="0.25">
      <c r="A2173" s="140">
        <v>45708.229166666664</v>
      </c>
      <c r="B2173" t="s">
        <v>917</v>
      </c>
      <c r="C2173" t="s">
        <v>5595</v>
      </c>
      <c r="D2173" s="6" t="str">
        <f>_xlfn.XLOOKUP(B2173,Indices!$A$2:$A$2676,Indices!$B$2:$B$2676,"")</f>
        <v>IWM</v>
      </c>
    </row>
    <row r="2174" spans="1:4" x14ac:dyDescent="0.25">
      <c r="A2174" s="140">
        <v>45708.229166666664</v>
      </c>
      <c r="B2174" t="s">
        <v>3490</v>
      </c>
      <c r="C2174" t="s">
        <v>5595</v>
      </c>
      <c r="D2174" s="6" t="str">
        <f>_xlfn.XLOOKUP(B2174,Indices!$A$2:$A$2676,Indices!$B$2:$B$2676,"")</f>
        <v/>
      </c>
    </row>
    <row r="2175" spans="1:4" x14ac:dyDescent="0.25">
      <c r="A2175" s="140">
        <v>45708.229166666664</v>
      </c>
      <c r="B2175" t="s">
        <v>2455</v>
      </c>
      <c r="C2175" t="s">
        <v>5595</v>
      </c>
      <c r="D2175" s="6" t="str">
        <f>_xlfn.XLOOKUP(B2175,Indices!$A$2:$A$2676,Indices!$B$2:$B$2676,"")</f>
        <v>S&amp;P Mid</v>
      </c>
    </row>
    <row r="2176" spans="1:4" x14ac:dyDescent="0.25">
      <c r="A2176" s="140">
        <v>45708.229166666664</v>
      </c>
      <c r="B2176" t="s">
        <v>924</v>
      </c>
      <c r="C2176" t="s">
        <v>5595</v>
      </c>
      <c r="D2176" s="6" t="str">
        <f>_xlfn.XLOOKUP(B2176,Indices!$A$2:$A$2676,Indices!$B$2:$B$2676,"")</f>
        <v>S&amp;P Mid</v>
      </c>
    </row>
    <row r="2177" spans="1:4" x14ac:dyDescent="0.25">
      <c r="A2177" s="140">
        <v>45708.229166666664</v>
      </c>
      <c r="B2177" t="s">
        <v>1350</v>
      </c>
      <c r="C2177" t="s">
        <v>5595</v>
      </c>
      <c r="D2177" s="6" t="str">
        <f>_xlfn.XLOOKUP(B2177,Indices!$A$2:$A$2676,Indices!$B$2:$B$2676,"")</f>
        <v>SP500</v>
      </c>
    </row>
    <row r="2178" spans="1:4" x14ac:dyDescent="0.25">
      <c r="A2178" s="140">
        <v>45708.229166666664</v>
      </c>
      <c r="B2178" t="s">
        <v>1814</v>
      </c>
      <c r="C2178" t="s">
        <v>5595</v>
      </c>
      <c r="D2178" s="6" t="str">
        <f>_xlfn.XLOOKUP(B2178,Indices!$A$2:$A$2676,Indices!$B$2:$B$2676,"")</f>
        <v>IWM</v>
      </c>
    </row>
    <row r="2179" spans="1:4" x14ac:dyDescent="0.25">
      <c r="A2179" s="140">
        <v>45708.229166666664</v>
      </c>
      <c r="B2179" t="s">
        <v>2891</v>
      </c>
      <c r="C2179" t="s">
        <v>5595</v>
      </c>
      <c r="D2179" s="6" t="str">
        <f>_xlfn.XLOOKUP(B2179,Indices!$A$2:$A$2676,Indices!$B$2:$B$2676,"")</f>
        <v/>
      </c>
    </row>
    <row r="2180" spans="1:4" x14ac:dyDescent="0.25">
      <c r="A2180" s="140">
        <v>45708.229166666664</v>
      </c>
      <c r="B2180" t="s">
        <v>1821</v>
      </c>
      <c r="C2180" t="s">
        <v>5595</v>
      </c>
      <c r="D2180" s="6" t="str">
        <f>_xlfn.XLOOKUP(B2180,Indices!$A$2:$A$2676,Indices!$B$2:$B$2676,"")</f>
        <v>IWM</v>
      </c>
    </row>
    <row r="2181" spans="1:4" x14ac:dyDescent="0.25">
      <c r="A2181" s="140">
        <v>45708.229166666664</v>
      </c>
      <c r="B2181" t="s">
        <v>921</v>
      </c>
      <c r="C2181" t="s">
        <v>5595</v>
      </c>
      <c r="D2181" s="6" t="str">
        <f>_xlfn.XLOOKUP(B2181,Indices!$A$2:$A$2676,Indices!$B$2:$B$2676,"")</f>
        <v>IWM</v>
      </c>
    </row>
    <row r="2182" spans="1:4" x14ac:dyDescent="0.25">
      <c r="A2182" s="140">
        <v>45708.229166666664</v>
      </c>
      <c r="B2182" t="s">
        <v>1992</v>
      </c>
      <c r="C2182" t="s">
        <v>5595</v>
      </c>
      <c r="D2182" s="6" t="str">
        <f>_xlfn.XLOOKUP(B2182,Indices!$A$2:$A$2676,Indices!$B$2:$B$2676,"")</f>
        <v>IWM</v>
      </c>
    </row>
    <row r="2183" spans="1:4" x14ac:dyDescent="0.25">
      <c r="A2183" s="140">
        <v>45708.229166666664</v>
      </c>
      <c r="B2183" t="s">
        <v>2968</v>
      </c>
      <c r="C2183" t="s">
        <v>5595</v>
      </c>
      <c r="D2183" s="6" t="str">
        <f>_xlfn.XLOOKUP(B2183,Indices!$A$2:$A$2676,Indices!$B$2:$B$2676,"")</f>
        <v/>
      </c>
    </row>
    <row r="2184" spans="1:4" x14ac:dyDescent="0.25">
      <c r="A2184" s="140">
        <v>45708.229166666664</v>
      </c>
      <c r="B2184" t="s">
        <v>3188</v>
      </c>
      <c r="C2184" t="s">
        <v>5595</v>
      </c>
      <c r="D2184" s="6" t="str">
        <f>_xlfn.XLOOKUP(B2184,Indices!$A$2:$A$2676,Indices!$B$2:$B$2676,"")</f>
        <v/>
      </c>
    </row>
    <row r="2185" spans="1:4" x14ac:dyDescent="0.25">
      <c r="A2185" s="140">
        <v>45708.229166666664</v>
      </c>
      <c r="B2185" t="s">
        <v>1811</v>
      </c>
      <c r="C2185" t="s">
        <v>5595</v>
      </c>
      <c r="D2185" s="6" t="str">
        <f>_xlfn.XLOOKUP(B2185,Indices!$A$2:$A$2676,Indices!$B$2:$B$2676,"")</f>
        <v>IWM</v>
      </c>
    </row>
    <row r="2186" spans="1:4" x14ac:dyDescent="0.25">
      <c r="A2186" s="140">
        <v>45708.229861111111</v>
      </c>
      <c r="B2186" t="s">
        <v>2202</v>
      </c>
      <c r="C2186" t="s">
        <v>5596</v>
      </c>
      <c r="D2186" s="6" t="str">
        <f>_xlfn.XLOOKUP(B2186,Indices!$A$2:$A$2676,Indices!$B$2:$B$2676,"")</f>
        <v>IWM</v>
      </c>
    </row>
    <row r="2187" spans="1:4" x14ac:dyDescent="0.25">
      <c r="A2187" s="140">
        <v>45708.246527777781</v>
      </c>
      <c r="B2187" t="s">
        <v>3288</v>
      </c>
      <c r="C2187" t="s">
        <v>5597</v>
      </c>
      <c r="D2187" s="6" t="str">
        <f>_xlfn.XLOOKUP(B2187,Indices!$A$2:$A$2676,Indices!$B$2:$B$2676,"")</f>
        <v/>
      </c>
    </row>
    <row r="2188" spans="1:4" x14ac:dyDescent="0.25">
      <c r="A2188" s="140">
        <v>45708.25</v>
      </c>
      <c r="B2188" t="s">
        <v>1707</v>
      </c>
      <c r="C2188" t="s">
        <v>5598</v>
      </c>
      <c r="D2188" s="6" t="str">
        <f>_xlfn.XLOOKUP(B2188,Indices!$A$2:$A$2676,Indices!$B$2:$B$2676,"")</f>
        <v>IWM</v>
      </c>
    </row>
    <row r="2189" spans="1:4" x14ac:dyDescent="0.25">
      <c r="A2189" s="140">
        <v>45708.25</v>
      </c>
      <c r="B2189" t="s">
        <v>2100</v>
      </c>
      <c r="C2189" t="s">
        <v>5598</v>
      </c>
      <c r="D2189" s="6" t="str">
        <f>_xlfn.XLOOKUP(B2189,Indices!$A$2:$A$2676,Indices!$B$2:$B$2676,"")</f>
        <v>IWM</v>
      </c>
    </row>
    <row r="2190" spans="1:4" x14ac:dyDescent="0.25">
      <c r="A2190" s="140">
        <v>45708.25</v>
      </c>
      <c r="B2190" t="s">
        <v>2234</v>
      </c>
      <c r="C2190" t="s">
        <v>5598</v>
      </c>
      <c r="D2190" s="6" t="str">
        <f>_xlfn.XLOOKUP(B2190,Indices!$A$2:$A$2676,Indices!$B$2:$B$2676,"")</f>
        <v>IWM</v>
      </c>
    </row>
    <row r="2191" spans="1:4" x14ac:dyDescent="0.25">
      <c r="A2191" s="140">
        <v>45708.253472222219</v>
      </c>
      <c r="B2191" t="s">
        <v>1972</v>
      </c>
      <c r="C2191" t="s">
        <v>5599</v>
      </c>
      <c r="D2191" s="6" t="str">
        <f>_xlfn.XLOOKUP(B2191,Indices!$A$2:$A$2676,Indices!$B$2:$B$2676,"")</f>
        <v>IWM</v>
      </c>
    </row>
    <row r="2192" spans="1:4" x14ac:dyDescent="0.25">
      <c r="A2192" s="140">
        <v>45708.260416666664</v>
      </c>
      <c r="B2192" t="s">
        <v>3183</v>
      </c>
      <c r="C2192" t="s">
        <v>5600</v>
      </c>
      <c r="D2192" s="6" t="str">
        <f>_xlfn.XLOOKUP(B2192,Indices!$A$2:$A$2676,Indices!$B$2:$B$2676,"")</f>
        <v/>
      </c>
    </row>
    <row r="2193" spans="1:4" x14ac:dyDescent="0.25">
      <c r="A2193" s="140">
        <v>45708.270833333336</v>
      </c>
      <c r="B2193" t="s">
        <v>2953</v>
      </c>
      <c r="C2193" t="s">
        <v>5601</v>
      </c>
      <c r="D2193" s="6" t="str">
        <f>_xlfn.XLOOKUP(B2193,Indices!$A$2:$A$2676,Indices!$B$2:$B$2676,"")</f>
        <v/>
      </c>
    </row>
    <row r="2194" spans="1:4" x14ac:dyDescent="0.25">
      <c r="A2194" s="140">
        <v>45708.274305555555</v>
      </c>
      <c r="B2194" t="s">
        <v>3066</v>
      </c>
      <c r="C2194" t="s">
        <v>5602</v>
      </c>
      <c r="D2194" s="6" t="str">
        <f>_xlfn.XLOOKUP(B2194,Indices!$A$2:$A$2676,Indices!$B$2:$B$2676,"")</f>
        <v/>
      </c>
    </row>
    <row r="2195" spans="1:4" x14ac:dyDescent="0.25">
      <c r="A2195" s="140">
        <v>45708.274305555555</v>
      </c>
      <c r="B2195" t="s">
        <v>3067</v>
      </c>
      <c r="C2195" t="s">
        <v>5602</v>
      </c>
      <c r="D2195" s="6" t="str">
        <f>_xlfn.XLOOKUP(B2195,Indices!$A$2:$A$2676,Indices!$B$2:$B$2676,"")</f>
        <v/>
      </c>
    </row>
    <row r="2196" spans="1:4" x14ac:dyDescent="0.25">
      <c r="A2196" s="140">
        <v>45708.291666666664</v>
      </c>
      <c r="B2196" t="s">
        <v>3178</v>
      </c>
      <c r="C2196" t="s">
        <v>3171</v>
      </c>
      <c r="D2196" s="6" t="str">
        <f>_xlfn.XLOOKUP(B2196,Indices!$A$2:$A$2676,Indices!$B$2:$B$2676,"")</f>
        <v/>
      </c>
    </row>
    <row r="2197" spans="1:4" x14ac:dyDescent="0.25">
      <c r="A2197" s="140">
        <v>45708.291666666664</v>
      </c>
      <c r="B2197" t="s">
        <v>3301</v>
      </c>
      <c r="C2197" t="s">
        <v>3175</v>
      </c>
      <c r="D2197" s="6" t="str">
        <f>_xlfn.XLOOKUP(B2197,Indices!$A$2:$A$2676,Indices!$B$2:$B$2676,"")</f>
        <v/>
      </c>
    </row>
    <row r="2198" spans="1:4" x14ac:dyDescent="0.25">
      <c r="A2198" s="140">
        <v>45708.291666666664</v>
      </c>
      <c r="B2198" t="s">
        <v>3191</v>
      </c>
      <c r="C2198" t="s">
        <v>3171</v>
      </c>
      <c r="D2198" s="6" t="str">
        <f>_xlfn.XLOOKUP(B2198,Indices!$A$2:$A$2676,Indices!$B$2:$B$2676,"")</f>
        <v/>
      </c>
    </row>
    <row r="2199" spans="1:4" x14ac:dyDescent="0.25">
      <c r="A2199" s="140">
        <v>45708.291666666664</v>
      </c>
      <c r="B2199" t="s">
        <v>564</v>
      </c>
      <c r="C2199" t="s">
        <v>3171</v>
      </c>
      <c r="D2199" s="6" t="str">
        <f>_xlfn.XLOOKUP(B2199,Indices!$A$2:$A$2676,Indices!$B$2:$B$2676,"")</f>
        <v>S&amp;P Mid</v>
      </c>
    </row>
    <row r="2200" spans="1:4" x14ac:dyDescent="0.25">
      <c r="A2200" s="140">
        <v>45708.291666666664</v>
      </c>
      <c r="B2200" t="s">
        <v>3195</v>
      </c>
      <c r="C2200" t="s">
        <v>3175</v>
      </c>
      <c r="D2200" s="6" t="str">
        <f>_xlfn.XLOOKUP(B2200,Indices!$A$2:$A$2676,Indices!$B$2:$B$2676,"")</f>
        <v/>
      </c>
    </row>
    <row r="2201" spans="1:4" x14ac:dyDescent="0.25">
      <c r="A2201" s="140">
        <v>45708.291666666664</v>
      </c>
      <c r="B2201" t="s">
        <v>3181</v>
      </c>
      <c r="C2201" t="s">
        <v>3171</v>
      </c>
      <c r="D2201" s="6" t="str">
        <f>_xlfn.XLOOKUP(B2201,Indices!$A$2:$A$2676,Indices!$B$2:$B$2676,"")</f>
        <v/>
      </c>
    </row>
    <row r="2202" spans="1:4" x14ac:dyDescent="0.25">
      <c r="A2202" s="140">
        <v>45708.291666666664</v>
      </c>
      <c r="B2202" t="s">
        <v>3459</v>
      </c>
      <c r="C2202" t="s">
        <v>3171</v>
      </c>
      <c r="D2202" s="6" t="str">
        <f>_xlfn.XLOOKUP(B2202,Indices!$A$2:$A$2676,Indices!$B$2:$B$2676,"")</f>
        <v/>
      </c>
    </row>
    <row r="2203" spans="1:4" x14ac:dyDescent="0.25">
      <c r="A2203" s="140">
        <v>45708.291666666664</v>
      </c>
      <c r="B2203" t="s">
        <v>3209</v>
      </c>
      <c r="C2203" t="s">
        <v>3175</v>
      </c>
      <c r="D2203" s="6" t="str">
        <f>_xlfn.XLOOKUP(B2203,Indices!$A$2:$A$2676,Indices!$B$2:$B$2676,"")</f>
        <v/>
      </c>
    </row>
    <row r="2204" spans="1:4" x14ac:dyDescent="0.25">
      <c r="A2204" s="140">
        <v>45708.291666666664</v>
      </c>
      <c r="B2204" t="s">
        <v>3123</v>
      </c>
      <c r="C2204" t="s">
        <v>3175</v>
      </c>
      <c r="D2204" s="6" t="str">
        <f>_xlfn.XLOOKUP(B2204,Indices!$A$2:$A$2676,Indices!$B$2:$B$2676,"")</f>
        <v/>
      </c>
    </row>
    <row r="2205" spans="1:4" x14ac:dyDescent="0.25">
      <c r="A2205" s="140">
        <v>45708.583333333336</v>
      </c>
      <c r="B2205" t="s">
        <v>2270</v>
      </c>
      <c r="C2205" t="s">
        <v>5603</v>
      </c>
      <c r="D2205" s="6" t="str">
        <f>_xlfn.XLOOKUP(B2205,Indices!$A$2:$A$2676,Indices!$B$2:$B$2676,"")</f>
        <v>IWM</v>
      </c>
    </row>
    <row r="2206" spans="1:4" x14ac:dyDescent="0.25">
      <c r="A2206" s="140">
        <v>45708.583333333336</v>
      </c>
      <c r="B2206" t="s">
        <v>650</v>
      </c>
      <c r="C2206" t="s">
        <v>5603</v>
      </c>
      <c r="D2206" s="6" t="str">
        <f>_xlfn.XLOOKUP(B2206,Indices!$A$2:$A$2676,Indices!$B$2:$B$2676,"")</f>
        <v>IWM</v>
      </c>
    </row>
    <row r="2207" spans="1:4" x14ac:dyDescent="0.25">
      <c r="A2207" s="140">
        <v>45708.584027777775</v>
      </c>
      <c r="B2207" t="s">
        <v>1968</v>
      </c>
      <c r="C2207" t="s">
        <v>5604</v>
      </c>
      <c r="D2207" s="6" t="str">
        <f>_xlfn.XLOOKUP(B2207,Indices!$A$2:$A$2676,Indices!$B$2:$B$2676,"")</f>
        <v>IWM</v>
      </c>
    </row>
    <row r="2208" spans="1:4" x14ac:dyDescent="0.25">
      <c r="A2208" s="140">
        <v>45708.584027777775</v>
      </c>
      <c r="B2208" t="s">
        <v>667</v>
      </c>
      <c r="C2208" t="s">
        <v>5604</v>
      </c>
      <c r="D2208" s="6" t="str">
        <f>_xlfn.XLOOKUP(B2208,Indices!$A$2:$A$2676,Indices!$B$2:$B$2676,"")</f>
        <v>SP500</v>
      </c>
    </row>
    <row r="2209" spans="1:4" x14ac:dyDescent="0.25">
      <c r="A2209" s="140">
        <v>45708.584027777775</v>
      </c>
      <c r="B2209" t="s">
        <v>3103</v>
      </c>
      <c r="C2209" t="s">
        <v>5604</v>
      </c>
      <c r="D2209" s="6" t="str">
        <f>_xlfn.XLOOKUP(B2209,Indices!$A$2:$A$2676,Indices!$B$2:$B$2676,"")</f>
        <v/>
      </c>
    </row>
    <row r="2210" spans="1:4" x14ac:dyDescent="0.25">
      <c r="A2210" s="140">
        <v>45708.584027777775</v>
      </c>
      <c r="B2210" t="s">
        <v>679</v>
      </c>
      <c r="C2210" t="s">
        <v>5604</v>
      </c>
      <c r="D2210" s="6" t="str">
        <f>_xlfn.XLOOKUP(B2210,Indices!$A$2:$A$2676,Indices!$B$2:$B$2676,"")</f>
        <v>IWM</v>
      </c>
    </row>
    <row r="2211" spans="1:4" x14ac:dyDescent="0.25">
      <c r="A2211" s="140">
        <v>45708.584027777775</v>
      </c>
      <c r="B2211" t="s">
        <v>659</v>
      </c>
      <c r="C2211" t="s">
        <v>5604</v>
      </c>
      <c r="D2211" s="6" t="str">
        <f>_xlfn.XLOOKUP(B2211,Indices!$A$2:$A$2676,Indices!$B$2:$B$2676,"")</f>
        <v>SP500</v>
      </c>
    </row>
    <row r="2212" spans="1:4" x14ac:dyDescent="0.25">
      <c r="A2212" s="140">
        <v>45708.584722222222</v>
      </c>
      <c r="B2212" t="s">
        <v>2118</v>
      </c>
      <c r="C2212" t="s">
        <v>5605</v>
      </c>
      <c r="D2212" s="6" t="str">
        <f>_xlfn.XLOOKUP(B2212,Indices!$A$2:$A$2676,Indices!$B$2:$B$2676,"")</f>
        <v>IWM</v>
      </c>
    </row>
    <row r="2213" spans="1:4" x14ac:dyDescent="0.25">
      <c r="A2213" s="140">
        <v>45708.584722222222</v>
      </c>
      <c r="B2213" t="s">
        <v>4122</v>
      </c>
      <c r="C2213" t="s">
        <v>5605</v>
      </c>
      <c r="D2213" s="6" t="str">
        <f>_xlfn.XLOOKUP(B2213,Indices!$A$2:$A$2676,Indices!$B$2:$B$2676,"")</f>
        <v/>
      </c>
    </row>
    <row r="2214" spans="1:4" x14ac:dyDescent="0.25">
      <c r="A2214" s="140">
        <v>45708.584722222222</v>
      </c>
      <c r="B2214" t="s">
        <v>1625</v>
      </c>
      <c r="C2214" t="s">
        <v>5605</v>
      </c>
      <c r="D2214" s="6" t="str">
        <f>_xlfn.XLOOKUP(B2214,Indices!$A$2:$A$2676,Indices!$B$2:$B$2676,"")</f>
        <v>IWM</v>
      </c>
    </row>
    <row r="2215" spans="1:4" x14ac:dyDescent="0.25">
      <c r="A2215" s="140">
        <v>45708.584722222222</v>
      </c>
      <c r="B2215" t="s">
        <v>1317</v>
      </c>
      <c r="C2215" t="s">
        <v>5605</v>
      </c>
      <c r="D2215" s="6" t="str">
        <f>_xlfn.XLOOKUP(B2215,Indices!$A$2:$A$2676,Indices!$B$2:$B$2676,"")</f>
        <v>SP500</v>
      </c>
    </row>
    <row r="2216" spans="1:4" x14ac:dyDescent="0.25">
      <c r="A2216" s="140">
        <v>45708.584722222222</v>
      </c>
      <c r="B2216" t="s">
        <v>3545</v>
      </c>
      <c r="C2216" t="s">
        <v>5605</v>
      </c>
      <c r="D2216" s="6" t="str">
        <f>_xlfn.XLOOKUP(B2216,Indices!$A$2:$A$2676,Indices!$B$2:$B$2676,"")</f>
        <v/>
      </c>
    </row>
    <row r="2217" spans="1:4" x14ac:dyDescent="0.25">
      <c r="A2217" s="140">
        <v>45708.585416666669</v>
      </c>
      <c r="B2217" t="s">
        <v>2385</v>
      </c>
      <c r="C2217" t="s">
        <v>5606</v>
      </c>
      <c r="D2217" s="6" t="str">
        <f>_xlfn.XLOOKUP(B2217,Indices!$A$2:$A$2676,Indices!$B$2:$B$2676,"")</f>
        <v>S&amp;P Mid</v>
      </c>
    </row>
    <row r="2218" spans="1:4" x14ac:dyDescent="0.25">
      <c r="A2218" s="140">
        <v>45708.585416666669</v>
      </c>
      <c r="B2218" t="s">
        <v>2164</v>
      </c>
      <c r="C2218" t="s">
        <v>5606</v>
      </c>
      <c r="D2218" s="6" t="str">
        <f>_xlfn.XLOOKUP(B2218,Indices!$A$2:$A$2676,Indices!$B$2:$B$2676,"")</f>
        <v>IWM</v>
      </c>
    </row>
    <row r="2219" spans="1:4" x14ac:dyDescent="0.25">
      <c r="A2219" s="140">
        <v>45708.586111111108</v>
      </c>
      <c r="B2219" t="s">
        <v>683</v>
      </c>
      <c r="C2219" t="s">
        <v>5607</v>
      </c>
      <c r="D2219" s="6" t="str">
        <f>_xlfn.XLOOKUP(B2219,Indices!$A$2:$A$2676,Indices!$B$2:$B$2676,"")</f>
        <v>S&amp;P Mid</v>
      </c>
    </row>
    <row r="2220" spans="1:4" x14ac:dyDescent="0.25">
      <c r="A2220" s="140">
        <v>45708.586805555555</v>
      </c>
      <c r="B2220" t="s">
        <v>2212</v>
      </c>
      <c r="C2220" t="s">
        <v>5608</v>
      </c>
      <c r="D2220" s="6" t="str">
        <f>_xlfn.XLOOKUP(B2220,Indices!$A$2:$A$2676,Indices!$B$2:$B$2676,"")</f>
        <v>IWM</v>
      </c>
    </row>
    <row r="2221" spans="1:4" x14ac:dyDescent="0.25">
      <c r="A2221" s="140">
        <v>45708.586805555555</v>
      </c>
      <c r="B2221" t="s">
        <v>711</v>
      </c>
      <c r="C2221" t="s">
        <v>5608</v>
      </c>
      <c r="D2221" s="6" t="str">
        <f>_xlfn.XLOOKUP(B2221,Indices!$A$2:$A$2676,Indices!$B$2:$B$2676,"")</f>
        <v>IWM</v>
      </c>
    </row>
    <row r="2222" spans="1:4" x14ac:dyDescent="0.25">
      <c r="A2222" s="140">
        <v>45708.586805555555</v>
      </c>
      <c r="B2222" t="s">
        <v>1836</v>
      </c>
      <c r="C2222" t="s">
        <v>5608</v>
      </c>
      <c r="D2222" s="6" t="str">
        <f>_xlfn.XLOOKUP(B2222,Indices!$A$2:$A$2676,Indices!$B$2:$B$2676,"")</f>
        <v>IWM</v>
      </c>
    </row>
    <row r="2223" spans="1:4" x14ac:dyDescent="0.25">
      <c r="A2223" s="140">
        <v>45708.586805555555</v>
      </c>
      <c r="B2223" t="s">
        <v>675</v>
      </c>
      <c r="C2223" t="s">
        <v>5608</v>
      </c>
      <c r="D2223" s="6" t="str">
        <f>_xlfn.XLOOKUP(B2223,Indices!$A$2:$A$2676,Indices!$B$2:$B$2676,"")</f>
        <v>IWM</v>
      </c>
    </row>
    <row r="2224" spans="1:4" x14ac:dyDescent="0.25">
      <c r="A2224" s="140">
        <v>45708.586805555555</v>
      </c>
      <c r="B2224" t="s">
        <v>2189</v>
      </c>
      <c r="C2224" t="s">
        <v>5608</v>
      </c>
      <c r="D2224" s="6" t="str">
        <f>_xlfn.XLOOKUP(B2224,Indices!$A$2:$A$2676,Indices!$B$2:$B$2676,"")</f>
        <v>IWM</v>
      </c>
    </row>
    <row r="2225" spans="1:4" x14ac:dyDescent="0.25">
      <c r="A2225" s="140">
        <v>45708.586805555555</v>
      </c>
      <c r="B2225" t="s">
        <v>1654</v>
      </c>
      <c r="C2225" t="s">
        <v>5608</v>
      </c>
      <c r="D2225" s="6" t="str">
        <f>_xlfn.XLOOKUP(B2225,Indices!$A$2:$A$2676,Indices!$B$2:$B$2676,"")</f>
        <v>IWM</v>
      </c>
    </row>
    <row r="2226" spans="1:4" x14ac:dyDescent="0.25">
      <c r="A2226" s="140">
        <v>45708.586805555555</v>
      </c>
      <c r="B2226" t="s">
        <v>1127</v>
      </c>
      <c r="C2226" t="s">
        <v>5608</v>
      </c>
      <c r="D2226" s="6" t="str">
        <f>_xlfn.XLOOKUP(B2226,Indices!$A$2:$A$2676,Indices!$B$2:$B$2676,"")</f>
        <v>IWM</v>
      </c>
    </row>
    <row r="2227" spans="1:4" x14ac:dyDescent="0.25">
      <c r="A2227" s="140">
        <v>45708.586805555555</v>
      </c>
      <c r="B2227" t="s">
        <v>3232</v>
      </c>
      <c r="C2227" t="s">
        <v>5608</v>
      </c>
      <c r="D2227" s="6" t="str">
        <f>_xlfn.XLOOKUP(B2227,Indices!$A$2:$A$2676,Indices!$B$2:$B$2676,"")</f>
        <v/>
      </c>
    </row>
    <row r="2228" spans="1:4" x14ac:dyDescent="0.25">
      <c r="A2228" s="140">
        <v>45708.586805555555</v>
      </c>
      <c r="B2228" t="s">
        <v>3233</v>
      </c>
      <c r="C2228" t="s">
        <v>5608</v>
      </c>
      <c r="D2228" s="6" t="str">
        <f>_xlfn.XLOOKUP(B2228,Indices!$A$2:$A$2676,Indices!$B$2:$B$2676,"")</f>
        <v/>
      </c>
    </row>
    <row r="2229" spans="1:4" x14ac:dyDescent="0.25">
      <c r="A2229" s="140">
        <v>45708.586805555555</v>
      </c>
      <c r="B2229" t="s">
        <v>3244</v>
      </c>
      <c r="C2229" t="s">
        <v>5608</v>
      </c>
      <c r="D2229" s="6" t="str">
        <f>_xlfn.XLOOKUP(B2229,Indices!$A$2:$A$2676,Indices!$B$2:$B$2676,"")</f>
        <v/>
      </c>
    </row>
    <row r="2230" spans="1:4" x14ac:dyDescent="0.25">
      <c r="A2230" s="140">
        <v>45708.586805555555</v>
      </c>
      <c r="B2230" t="s">
        <v>3221</v>
      </c>
      <c r="C2230" t="s">
        <v>5608</v>
      </c>
      <c r="D2230" s="6" t="str">
        <f>_xlfn.XLOOKUP(B2230,Indices!$A$2:$A$2676,Indices!$B$2:$B$2676,"")</f>
        <v/>
      </c>
    </row>
    <row r="2231" spans="1:4" x14ac:dyDescent="0.25">
      <c r="A2231" s="140">
        <v>45708.586805555555</v>
      </c>
      <c r="B2231" t="s">
        <v>107</v>
      </c>
      <c r="C2231" t="s">
        <v>5608</v>
      </c>
      <c r="D2231" s="6" t="str">
        <f>_xlfn.XLOOKUP(B2231,Indices!$A$2:$A$2676,Indices!$B$2:$B$2676,"")</f>
        <v>IWM</v>
      </c>
    </row>
    <row r="2232" spans="1:4" x14ac:dyDescent="0.25">
      <c r="A2232" s="140">
        <v>45708.586805555555</v>
      </c>
      <c r="B2232" t="s">
        <v>386</v>
      </c>
      <c r="C2232" t="s">
        <v>5608</v>
      </c>
      <c r="D2232" s="6" t="str">
        <f>_xlfn.XLOOKUP(B2232,Indices!$A$2:$A$2676,Indices!$B$2:$B$2676,"")</f>
        <v>IWM</v>
      </c>
    </row>
    <row r="2233" spans="1:4" x14ac:dyDescent="0.25">
      <c r="A2233" s="140">
        <v>45708.586805555555</v>
      </c>
      <c r="B2233" t="s">
        <v>741</v>
      </c>
      <c r="C2233" t="s">
        <v>5608</v>
      </c>
      <c r="D2233" s="6" t="str">
        <f>_xlfn.XLOOKUP(B2233,Indices!$A$2:$A$2676,Indices!$B$2:$B$2676,"")</f>
        <v>IWM</v>
      </c>
    </row>
    <row r="2234" spans="1:4" x14ac:dyDescent="0.25">
      <c r="A2234" s="140">
        <v>45708.586805555555</v>
      </c>
      <c r="B2234" t="s">
        <v>766</v>
      </c>
      <c r="C2234" t="s">
        <v>5608</v>
      </c>
      <c r="D2234" s="6" t="str">
        <f>_xlfn.XLOOKUP(B2234,Indices!$A$2:$A$2676,Indices!$B$2:$B$2676,"")</f>
        <v>IWM</v>
      </c>
    </row>
    <row r="2235" spans="1:4" x14ac:dyDescent="0.25">
      <c r="A2235" s="140">
        <v>45708.586805555555</v>
      </c>
      <c r="B2235" t="s">
        <v>2030</v>
      </c>
      <c r="C2235" t="s">
        <v>5608</v>
      </c>
      <c r="D2235" s="6" t="str">
        <f>_xlfn.XLOOKUP(B2235,Indices!$A$2:$A$2676,Indices!$B$2:$B$2676,"")</f>
        <v>IWM</v>
      </c>
    </row>
    <row r="2236" spans="1:4" x14ac:dyDescent="0.25">
      <c r="A2236" s="140">
        <v>45708.586805555555</v>
      </c>
      <c r="B2236" t="s">
        <v>966</v>
      </c>
      <c r="C2236" t="s">
        <v>5608</v>
      </c>
      <c r="D2236" s="6" t="str">
        <f>_xlfn.XLOOKUP(B2236,Indices!$A$2:$A$2676,Indices!$B$2:$B$2676,"")</f>
        <v>IWM</v>
      </c>
    </row>
    <row r="2237" spans="1:4" x14ac:dyDescent="0.25">
      <c r="A2237" s="140">
        <v>45708.586805555555</v>
      </c>
      <c r="B2237" t="s">
        <v>3222</v>
      </c>
      <c r="C2237" t="s">
        <v>5608</v>
      </c>
      <c r="D2237" s="6" t="str">
        <f>_xlfn.XLOOKUP(B2237,Indices!$A$2:$A$2676,Indices!$B$2:$B$2676,"")</f>
        <v/>
      </c>
    </row>
    <row r="2238" spans="1:4" x14ac:dyDescent="0.25">
      <c r="A2238" s="140">
        <v>45708.586805555555</v>
      </c>
      <c r="B2238" t="s">
        <v>2402</v>
      </c>
      <c r="C2238" t="s">
        <v>5608</v>
      </c>
      <c r="D2238" s="6" t="str">
        <f>_xlfn.XLOOKUP(B2238,Indices!$A$2:$A$2676,Indices!$B$2:$B$2676,"")</f>
        <v>S&amp;P Mid</v>
      </c>
    </row>
    <row r="2239" spans="1:4" x14ac:dyDescent="0.25">
      <c r="A2239" s="140">
        <v>45708.586805555555</v>
      </c>
      <c r="B2239" t="s">
        <v>2451</v>
      </c>
      <c r="C2239" t="s">
        <v>5608</v>
      </c>
      <c r="D2239" s="6" t="str">
        <f>_xlfn.XLOOKUP(B2239,Indices!$A$2:$A$2676,Indices!$B$2:$B$2676,"")</f>
        <v>S&amp;P Mid</v>
      </c>
    </row>
    <row r="2240" spans="1:4" x14ac:dyDescent="0.25">
      <c r="A2240" s="140">
        <v>45708.586805555555</v>
      </c>
      <c r="B2240" t="s">
        <v>3216</v>
      </c>
      <c r="C2240" t="s">
        <v>5608</v>
      </c>
      <c r="D2240" s="6" t="str">
        <f>_xlfn.XLOOKUP(B2240,Indices!$A$2:$A$2676,Indices!$B$2:$B$2676,"")</f>
        <v/>
      </c>
    </row>
    <row r="2241" spans="1:4" x14ac:dyDescent="0.25">
      <c r="A2241" s="140">
        <v>45708.586805555555</v>
      </c>
      <c r="B2241" t="s">
        <v>2450</v>
      </c>
      <c r="C2241" t="s">
        <v>5608</v>
      </c>
      <c r="D2241" s="6" t="str">
        <f>_xlfn.XLOOKUP(B2241,Indices!$A$2:$A$2676,Indices!$B$2:$B$2676,"")</f>
        <v>S&amp;P Mid</v>
      </c>
    </row>
    <row r="2242" spans="1:4" x14ac:dyDescent="0.25">
      <c r="A2242" s="140">
        <v>45708.586805555555</v>
      </c>
      <c r="B2242" t="s">
        <v>720</v>
      </c>
      <c r="C2242" t="s">
        <v>5608</v>
      </c>
      <c r="D2242" s="6" t="str">
        <f>_xlfn.XLOOKUP(B2242,Indices!$A$2:$A$2676,Indices!$B$2:$B$2676,"")</f>
        <v>IWM</v>
      </c>
    </row>
    <row r="2243" spans="1:4" x14ac:dyDescent="0.25">
      <c r="A2243" s="140">
        <v>45708.586805555555</v>
      </c>
      <c r="B2243" t="s">
        <v>2312</v>
      </c>
      <c r="C2243" t="s">
        <v>5608</v>
      </c>
      <c r="D2243" s="6" t="str">
        <f>_xlfn.XLOOKUP(B2243,Indices!$A$2:$A$2676,Indices!$B$2:$B$2676,"")</f>
        <v>IWM</v>
      </c>
    </row>
    <row r="2244" spans="1:4" x14ac:dyDescent="0.25">
      <c r="A2244" s="140">
        <v>45708.586805555555</v>
      </c>
      <c r="B2244" t="s">
        <v>106</v>
      </c>
      <c r="C2244" t="s">
        <v>5608</v>
      </c>
      <c r="D2244" s="6" t="str">
        <f>_xlfn.XLOOKUP(B2244,Indices!$A$2:$A$2676,Indices!$B$2:$B$2676,"")</f>
        <v>IWM</v>
      </c>
    </row>
    <row r="2245" spans="1:4" x14ac:dyDescent="0.25">
      <c r="A2245" s="140">
        <v>45708.586805555555</v>
      </c>
      <c r="B2245" t="s">
        <v>1979</v>
      </c>
      <c r="C2245" t="s">
        <v>5608</v>
      </c>
      <c r="D2245" s="6" t="str">
        <f>_xlfn.XLOOKUP(B2245,Indices!$A$2:$A$2676,Indices!$B$2:$B$2676,"")</f>
        <v>IWM</v>
      </c>
    </row>
    <row r="2246" spans="1:4" x14ac:dyDescent="0.25">
      <c r="A2246" s="140">
        <v>45708.586805555555</v>
      </c>
      <c r="B2246" t="s">
        <v>96</v>
      </c>
      <c r="C2246" t="s">
        <v>5608</v>
      </c>
      <c r="D2246" s="6" t="str">
        <f>_xlfn.XLOOKUP(B2246,Indices!$A$2:$A$2676,Indices!$B$2:$B$2676,"")</f>
        <v>IWM</v>
      </c>
    </row>
    <row r="2247" spans="1:4" x14ac:dyDescent="0.25">
      <c r="A2247" s="140">
        <v>45708.586805555555</v>
      </c>
      <c r="B2247" t="s">
        <v>258</v>
      </c>
      <c r="C2247" t="s">
        <v>5608</v>
      </c>
      <c r="D2247" s="6" t="str">
        <f>_xlfn.XLOOKUP(B2247,Indices!$A$2:$A$2676,Indices!$B$2:$B$2676,"")</f>
        <v>S&amp;P Mid</v>
      </c>
    </row>
    <row r="2248" spans="1:4" x14ac:dyDescent="0.25">
      <c r="A2248" s="140">
        <v>45708.586805555555</v>
      </c>
      <c r="B2248" t="s">
        <v>2165</v>
      </c>
      <c r="C2248" t="s">
        <v>5608</v>
      </c>
      <c r="D2248" s="6" t="str">
        <f>_xlfn.XLOOKUP(B2248,Indices!$A$2:$A$2676,Indices!$B$2:$B$2676,"")</f>
        <v>IWM</v>
      </c>
    </row>
    <row r="2249" spans="1:4" x14ac:dyDescent="0.25">
      <c r="A2249" s="140">
        <v>45708.586805555555</v>
      </c>
      <c r="B2249" t="s">
        <v>1416</v>
      </c>
      <c r="C2249" t="s">
        <v>5608</v>
      </c>
      <c r="D2249" s="6" t="str">
        <f>_xlfn.XLOOKUP(B2249,Indices!$A$2:$A$2676,Indices!$B$2:$B$2676,"")</f>
        <v>SP500</v>
      </c>
    </row>
    <row r="2250" spans="1:4" x14ac:dyDescent="0.25">
      <c r="A2250" s="140">
        <v>45708.586805555555</v>
      </c>
      <c r="B2250" t="s">
        <v>3551</v>
      </c>
      <c r="C2250" t="s">
        <v>5608</v>
      </c>
      <c r="D2250" s="6" t="str">
        <f>_xlfn.XLOOKUP(B2250,Indices!$A$2:$A$2676,Indices!$B$2:$B$2676,"")</f>
        <v/>
      </c>
    </row>
    <row r="2251" spans="1:4" x14ac:dyDescent="0.25">
      <c r="A2251" s="140">
        <v>45708.586805555555</v>
      </c>
      <c r="B2251" t="s">
        <v>3418</v>
      </c>
      <c r="C2251" t="s">
        <v>5608</v>
      </c>
      <c r="D2251" s="6" t="str">
        <f>_xlfn.XLOOKUP(B2251,Indices!$A$2:$A$2676,Indices!$B$2:$B$2676,"")</f>
        <v/>
      </c>
    </row>
    <row r="2252" spans="1:4" x14ac:dyDescent="0.25">
      <c r="A2252" s="140">
        <v>45708.586805555555</v>
      </c>
      <c r="B2252" t="s">
        <v>975</v>
      </c>
      <c r="C2252" t="s">
        <v>5608</v>
      </c>
      <c r="D2252" s="6" t="str">
        <f>_xlfn.XLOOKUP(B2252,Indices!$A$2:$A$2676,Indices!$B$2:$B$2676,"")</f>
        <v>IWM</v>
      </c>
    </row>
    <row r="2253" spans="1:4" x14ac:dyDescent="0.25">
      <c r="A2253" s="140">
        <v>45708.586805555555</v>
      </c>
      <c r="B2253" t="s">
        <v>4409</v>
      </c>
      <c r="C2253" t="s">
        <v>5608</v>
      </c>
      <c r="D2253" s="6" t="str">
        <f>_xlfn.XLOOKUP(B2253,Indices!$A$2:$A$2676,Indices!$B$2:$B$2676,"")</f>
        <v/>
      </c>
    </row>
    <row r="2254" spans="1:4" x14ac:dyDescent="0.25">
      <c r="A2254" s="140">
        <v>45708.588194444441</v>
      </c>
      <c r="B2254" t="s">
        <v>873</v>
      </c>
      <c r="C2254" t="s">
        <v>5609</v>
      </c>
      <c r="D2254" s="6" t="str">
        <f>_xlfn.XLOOKUP(B2254,Indices!$A$2:$A$2676,Indices!$B$2:$B$2676,"")</f>
        <v>SP500</v>
      </c>
    </row>
    <row r="2255" spans="1:4" x14ac:dyDescent="0.25">
      <c r="A2255" s="140">
        <v>45708.588888888888</v>
      </c>
      <c r="B2255" t="s">
        <v>2393</v>
      </c>
      <c r="C2255" t="s">
        <v>5610</v>
      </c>
      <c r="D2255" s="6" t="str">
        <f>_xlfn.XLOOKUP(B2255,Indices!$A$2:$A$2676,Indices!$B$2:$B$2676,"")</f>
        <v>S&amp;P Mid</v>
      </c>
    </row>
    <row r="2256" spans="1:4" x14ac:dyDescent="0.25">
      <c r="A2256" s="140">
        <v>45708.590277777781</v>
      </c>
      <c r="B2256" t="s">
        <v>773</v>
      </c>
      <c r="C2256" t="s">
        <v>5611</v>
      </c>
      <c r="D2256" s="6" t="str">
        <f>_xlfn.XLOOKUP(B2256,Indices!$A$2:$A$2676,Indices!$B$2:$B$2676,"")</f>
        <v>IWM</v>
      </c>
    </row>
    <row r="2257" spans="1:4" x14ac:dyDescent="0.25">
      <c r="A2257" s="140">
        <v>45708.590277777781</v>
      </c>
      <c r="B2257" t="s">
        <v>2367</v>
      </c>
      <c r="C2257" t="s">
        <v>5611</v>
      </c>
      <c r="D2257" s="6" t="str">
        <f>_xlfn.XLOOKUP(B2257,Indices!$A$2:$A$2676,Indices!$B$2:$B$2676,"")</f>
        <v>S&amp;P Mid</v>
      </c>
    </row>
    <row r="2258" spans="1:4" x14ac:dyDescent="0.25">
      <c r="A2258" s="140">
        <v>45708.590277777781</v>
      </c>
      <c r="B2258" t="s">
        <v>2340</v>
      </c>
      <c r="C2258" t="s">
        <v>5611</v>
      </c>
      <c r="D2258" s="6" t="str">
        <f>_xlfn.XLOOKUP(B2258,Indices!$A$2:$A$2676,Indices!$B$2:$B$2676,"")</f>
        <v>S&amp;P Mid</v>
      </c>
    </row>
    <row r="2259" spans="1:4" x14ac:dyDescent="0.25">
      <c r="A2259" s="140">
        <v>45708.590277777781</v>
      </c>
      <c r="B2259" t="s">
        <v>341</v>
      </c>
      <c r="C2259" t="s">
        <v>5611</v>
      </c>
      <c r="D2259" s="6" t="str">
        <f>_xlfn.XLOOKUP(B2259,Indices!$A$2:$A$2676,Indices!$B$2:$B$2676,"")</f>
        <v>NQ100</v>
      </c>
    </row>
    <row r="2260" spans="1:4" x14ac:dyDescent="0.25">
      <c r="A2260" s="140">
        <v>45708.592361111114</v>
      </c>
      <c r="B2260" t="s">
        <v>1036</v>
      </c>
      <c r="C2260" t="s">
        <v>5612</v>
      </c>
      <c r="D2260" s="6" t="str">
        <f>_xlfn.XLOOKUP(B2260,Indices!$A$2:$A$2676,Indices!$B$2:$B$2676,"")</f>
        <v>IWM</v>
      </c>
    </row>
    <row r="2261" spans="1:4" x14ac:dyDescent="0.25">
      <c r="A2261" s="140">
        <v>45708.59375</v>
      </c>
      <c r="B2261" t="s">
        <v>118</v>
      </c>
      <c r="C2261" t="s">
        <v>5613</v>
      </c>
      <c r="D2261" s="6" t="str">
        <f>_xlfn.XLOOKUP(B2261,Indices!$A$2:$A$2676,Indices!$B$2:$B$2676,"")</f>
        <v>IWM</v>
      </c>
    </row>
    <row r="2262" spans="1:4" x14ac:dyDescent="0.25">
      <c r="A2262" s="140">
        <v>45708.59375</v>
      </c>
      <c r="B2262" t="s">
        <v>2381</v>
      </c>
      <c r="C2262" t="s">
        <v>5613</v>
      </c>
      <c r="D2262" s="6" t="str">
        <f>_xlfn.XLOOKUP(B2262,Indices!$A$2:$A$2676,Indices!$B$2:$B$2676,"")</f>
        <v>S&amp;P Mid</v>
      </c>
    </row>
    <row r="2263" spans="1:4" x14ac:dyDescent="0.25">
      <c r="A2263" s="140">
        <v>45708.59375</v>
      </c>
      <c r="B2263" t="s">
        <v>1131</v>
      </c>
      <c r="C2263" t="s">
        <v>5613</v>
      </c>
      <c r="D2263" s="6" t="str">
        <f>_xlfn.XLOOKUP(B2263,Indices!$A$2:$A$2676,Indices!$B$2:$B$2676,"")</f>
        <v>SP500</v>
      </c>
    </row>
    <row r="2264" spans="1:4" x14ac:dyDescent="0.25">
      <c r="A2264" s="140">
        <v>45708.59375</v>
      </c>
      <c r="B2264" t="s">
        <v>1464</v>
      </c>
      <c r="C2264" t="s">
        <v>5613</v>
      </c>
      <c r="D2264" s="6" t="str">
        <f>_xlfn.XLOOKUP(B2264,Indices!$A$2:$A$2676,Indices!$B$2:$B$2676,"")</f>
        <v>SP500</v>
      </c>
    </row>
    <row r="2265" spans="1:4" x14ac:dyDescent="0.25">
      <c r="A2265" s="140">
        <v>45708.59375</v>
      </c>
      <c r="B2265" t="s">
        <v>1990</v>
      </c>
      <c r="C2265" t="s">
        <v>5613</v>
      </c>
      <c r="D2265" s="6" t="str">
        <f>_xlfn.XLOOKUP(B2265,Indices!$A$2:$A$2676,Indices!$B$2:$B$2676,"")</f>
        <v>IWM</v>
      </c>
    </row>
    <row r="2266" spans="1:4" x14ac:dyDescent="0.25">
      <c r="A2266" s="140">
        <v>45708.59375</v>
      </c>
      <c r="B2266" t="s">
        <v>255</v>
      </c>
      <c r="C2266" t="s">
        <v>5613</v>
      </c>
      <c r="D2266" s="6" t="str">
        <f>_xlfn.XLOOKUP(B2266,Indices!$A$2:$A$2676,Indices!$B$2:$B$2676,"")</f>
        <v>S&amp;P Mid</v>
      </c>
    </row>
    <row r="2267" spans="1:4" x14ac:dyDescent="0.25">
      <c r="A2267" s="140">
        <v>45708.59375</v>
      </c>
      <c r="B2267" t="s">
        <v>150</v>
      </c>
      <c r="C2267" t="s">
        <v>5613</v>
      </c>
      <c r="D2267" s="6" t="str">
        <f>_xlfn.XLOOKUP(B2267,Indices!$A$2:$A$2676,Indices!$B$2:$B$2676,"")</f>
        <v>IWM</v>
      </c>
    </row>
    <row r="2268" spans="1:4" x14ac:dyDescent="0.25">
      <c r="A2268" s="140">
        <v>45708.59375</v>
      </c>
      <c r="B2268" t="s">
        <v>785</v>
      </c>
      <c r="C2268" t="s">
        <v>5613</v>
      </c>
      <c r="D2268" s="6" t="str">
        <f>_xlfn.XLOOKUP(B2268,Indices!$A$2:$A$2676,Indices!$B$2:$B$2676,"")</f>
        <v>IWM</v>
      </c>
    </row>
    <row r="2269" spans="1:4" x14ac:dyDescent="0.25">
      <c r="A2269" s="140">
        <v>45708.59375</v>
      </c>
      <c r="B2269" t="s">
        <v>3021</v>
      </c>
      <c r="C2269" t="s">
        <v>5613</v>
      </c>
      <c r="D2269" s="6" t="str">
        <f>_xlfn.XLOOKUP(B2269,Indices!$A$2:$A$2676,Indices!$B$2:$B$2676,"")</f>
        <v/>
      </c>
    </row>
    <row r="2270" spans="1:4" x14ac:dyDescent="0.25">
      <c r="A2270" s="140">
        <v>45708.59375</v>
      </c>
      <c r="B2270" t="s">
        <v>2325</v>
      </c>
      <c r="C2270" t="s">
        <v>5613</v>
      </c>
      <c r="D2270" s="6" t="str">
        <f>_xlfn.XLOOKUP(B2270,Indices!$A$2:$A$2676,Indices!$B$2:$B$2676,"")</f>
        <v>IWM</v>
      </c>
    </row>
    <row r="2271" spans="1:4" x14ac:dyDescent="0.25">
      <c r="A2271" s="140">
        <v>45708.59375</v>
      </c>
      <c r="B2271" t="s">
        <v>3231</v>
      </c>
      <c r="C2271" t="s">
        <v>5613</v>
      </c>
      <c r="D2271" s="6" t="str">
        <f>_xlfn.XLOOKUP(B2271,Indices!$A$2:$A$2676,Indices!$B$2:$B$2676,"")</f>
        <v/>
      </c>
    </row>
    <row r="2272" spans="1:4" x14ac:dyDescent="0.25">
      <c r="A2272" s="140">
        <v>45708.59375</v>
      </c>
      <c r="B2272" t="s">
        <v>3236</v>
      </c>
      <c r="C2272" t="s">
        <v>5613</v>
      </c>
      <c r="D2272" s="6" t="str">
        <f>_xlfn.XLOOKUP(B2272,Indices!$A$2:$A$2676,Indices!$B$2:$B$2676,"")</f>
        <v/>
      </c>
    </row>
    <row r="2273" spans="1:4" x14ac:dyDescent="0.25">
      <c r="A2273" s="140">
        <v>45708.59375</v>
      </c>
      <c r="B2273" t="s">
        <v>3245</v>
      </c>
      <c r="C2273" t="s">
        <v>5613</v>
      </c>
      <c r="D2273" s="6" t="str">
        <f>_xlfn.XLOOKUP(B2273,Indices!$A$2:$A$2676,Indices!$B$2:$B$2676,"")</f>
        <v/>
      </c>
    </row>
    <row r="2274" spans="1:4" x14ac:dyDescent="0.25">
      <c r="A2274" s="140">
        <v>45708.59375</v>
      </c>
      <c r="B2274" t="s">
        <v>796</v>
      </c>
      <c r="C2274" t="s">
        <v>5613</v>
      </c>
      <c r="D2274" s="6" t="str">
        <f>_xlfn.XLOOKUP(B2274,Indices!$A$2:$A$2676,Indices!$B$2:$B$2676,"")</f>
        <v>IWM</v>
      </c>
    </row>
    <row r="2275" spans="1:4" x14ac:dyDescent="0.25">
      <c r="A2275" s="140">
        <v>45708.59375</v>
      </c>
      <c r="B2275" t="s">
        <v>1911</v>
      </c>
      <c r="C2275" t="s">
        <v>5613</v>
      </c>
      <c r="D2275" s="6" t="str">
        <f>_xlfn.XLOOKUP(B2275,Indices!$A$2:$A$2676,Indices!$B$2:$B$2676,"")</f>
        <v>IWM</v>
      </c>
    </row>
    <row r="2276" spans="1:4" x14ac:dyDescent="0.25">
      <c r="A2276" s="140">
        <v>45708.595138888886</v>
      </c>
      <c r="B2276" t="s">
        <v>447</v>
      </c>
      <c r="C2276" t="s">
        <v>5614</v>
      </c>
      <c r="D2276" s="6" t="str">
        <f>_xlfn.XLOOKUP(B2276,Indices!$A$2:$A$2676,Indices!$B$2:$B$2676,"")</f>
        <v>IWM</v>
      </c>
    </row>
    <row r="2277" spans="1:4" x14ac:dyDescent="0.25">
      <c r="A2277" s="140">
        <v>45708.595138888886</v>
      </c>
      <c r="B2277" t="s">
        <v>462</v>
      </c>
      <c r="C2277" t="s">
        <v>5614</v>
      </c>
      <c r="D2277" s="6" t="str">
        <f>_xlfn.XLOOKUP(B2277,Indices!$A$2:$A$2676,Indices!$B$2:$B$2676,"")</f>
        <v>S&amp;P Mid</v>
      </c>
    </row>
    <row r="2278" spans="1:4" x14ac:dyDescent="0.25">
      <c r="A2278" s="140">
        <v>45708.600694444445</v>
      </c>
      <c r="B2278" t="s">
        <v>3561</v>
      </c>
      <c r="C2278" t="s">
        <v>5615</v>
      </c>
      <c r="D2278" s="6" t="str">
        <f>_xlfn.XLOOKUP(B2278,Indices!$A$2:$A$2676,Indices!$B$2:$B$2676,"")</f>
        <v/>
      </c>
    </row>
    <row r="2279" spans="1:4" x14ac:dyDescent="0.25">
      <c r="A2279" s="140">
        <v>45708.604166666664</v>
      </c>
      <c r="B2279" t="s">
        <v>812</v>
      </c>
      <c r="C2279" t="s">
        <v>5616</v>
      </c>
      <c r="D2279" s="6" t="str">
        <f>_xlfn.XLOOKUP(B2279,Indices!$A$2:$A$2676,Indices!$B$2:$B$2676,"")</f>
        <v>IWM</v>
      </c>
    </row>
    <row r="2280" spans="1:4" x14ac:dyDescent="0.25">
      <c r="A2280" s="140">
        <v>45708.604166666664</v>
      </c>
      <c r="B2280" t="s">
        <v>270</v>
      </c>
      <c r="C2280" t="s">
        <v>5616</v>
      </c>
      <c r="D2280" s="6" t="str">
        <f>_xlfn.XLOOKUP(B2280,Indices!$A$2:$A$2676,Indices!$B$2:$B$2676,"")</f>
        <v>S&amp;P Mid</v>
      </c>
    </row>
    <row r="2281" spans="1:4" x14ac:dyDescent="0.25">
      <c r="A2281" s="140">
        <v>45708.604166666664</v>
      </c>
      <c r="B2281" t="s">
        <v>2218</v>
      </c>
      <c r="C2281" t="s">
        <v>5616</v>
      </c>
      <c r="D2281" s="6" t="str">
        <f>_xlfn.XLOOKUP(B2281,Indices!$A$2:$A$2676,Indices!$B$2:$B$2676,"")</f>
        <v>IWM</v>
      </c>
    </row>
    <row r="2282" spans="1:4" x14ac:dyDescent="0.25">
      <c r="A2282" s="140">
        <v>45708.604166666664</v>
      </c>
      <c r="B2282" t="s">
        <v>3241</v>
      </c>
      <c r="C2282" t="s">
        <v>5616</v>
      </c>
      <c r="D2282" s="6" t="str">
        <f>_xlfn.XLOOKUP(B2282,Indices!$A$2:$A$2676,Indices!$B$2:$B$2676,"")</f>
        <v/>
      </c>
    </row>
    <row r="2283" spans="1:4" x14ac:dyDescent="0.25">
      <c r="A2283" s="140">
        <v>45708.606944444444</v>
      </c>
      <c r="B2283" t="s">
        <v>1725</v>
      </c>
      <c r="C2283" t="s">
        <v>5617</v>
      </c>
      <c r="D2283" s="6" t="str">
        <f>_xlfn.XLOOKUP(B2283,Indices!$A$2:$A$2676,Indices!$B$2:$B$2676,"")</f>
        <v>IWM</v>
      </c>
    </row>
    <row r="2284" spans="1:4" x14ac:dyDescent="0.25">
      <c r="A2284" s="140">
        <v>45708.60833333333</v>
      </c>
      <c r="B2284" t="s">
        <v>818</v>
      </c>
      <c r="C2284" t="s">
        <v>5618</v>
      </c>
      <c r="D2284" s="6" t="str">
        <f>_xlfn.XLOOKUP(B2284,Indices!$A$2:$A$2676,Indices!$B$2:$B$2676,"")</f>
        <v>SP500</v>
      </c>
    </row>
    <row r="2285" spans="1:4" x14ac:dyDescent="0.25">
      <c r="A2285" s="140">
        <v>45708.611805555556</v>
      </c>
      <c r="B2285" t="s">
        <v>265</v>
      </c>
      <c r="C2285" t="s">
        <v>5619</v>
      </c>
      <c r="D2285" s="6" t="str">
        <f>_xlfn.XLOOKUP(B2285,Indices!$A$2:$A$2676,Indices!$B$2:$B$2676,"")</f>
        <v>IWM</v>
      </c>
    </row>
    <row r="2286" spans="1:4" x14ac:dyDescent="0.25">
      <c r="A2286" s="140">
        <v>45708.625</v>
      </c>
      <c r="B2286" t="s">
        <v>2581</v>
      </c>
      <c r="C2286" t="s">
        <v>3213</v>
      </c>
      <c r="D2286" s="6" t="str">
        <f>_xlfn.XLOOKUP(B2286,Indices!$A$2:$A$2676,Indices!$B$2:$B$2676,"")</f>
        <v/>
      </c>
    </row>
    <row r="2287" spans="1:4" x14ac:dyDescent="0.25">
      <c r="A2287" s="140">
        <v>45708.625</v>
      </c>
      <c r="B2287" t="s">
        <v>723</v>
      </c>
      <c r="C2287" t="s">
        <v>3213</v>
      </c>
      <c r="D2287" s="6" t="str">
        <f>_xlfn.XLOOKUP(B2287,Indices!$A$2:$A$2676,Indices!$B$2:$B$2676,"")</f>
        <v>IWM</v>
      </c>
    </row>
    <row r="2288" spans="1:4" x14ac:dyDescent="0.25">
      <c r="A2288" s="140">
        <v>45708.625</v>
      </c>
      <c r="B2288" t="s">
        <v>3227</v>
      </c>
      <c r="C2288" t="s">
        <v>3213</v>
      </c>
      <c r="D2288" s="6" t="str">
        <f>_xlfn.XLOOKUP(B2288,Indices!$A$2:$A$2676,Indices!$B$2:$B$2676,"")</f>
        <v/>
      </c>
    </row>
    <row r="2289" spans="1:4" x14ac:dyDescent="0.25">
      <c r="A2289" s="140">
        <v>45708.62777777778</v>
      </c>
      <c r="B2289" t="s">
        <v>3234</v>
      </c>
      <c r="C2289" t="s">
        <v>5620</v>
      </c>
      <c r="D2289" s="6" t="str">
        <f>_xlfn.XLOOKUP(B2289,Indices!$A$2:$A$2676,Indices!$B$2:$B$2676,"")</f>
        <v/>
      </c>
    </row>
    <row r="2290" spans="1:4" x14ac:dyDescent="0.25">
      <c r="A2290" s="140">
        <v>45708.629861111112</v>
      </c>
      <c r="B2290" t="s">
        <v>3411</v>
      </c>
      <c r="C2290" t="s">
        <v>5621</v>
      </c>
      <c r="D2290" s="6" t="str">
        <f>_xlfn.XLOOKUP(B2290,Indices!$A$2:$A$2676,Indices!$B$2:$B$2676,"")</f>
        <v/>
      </c>
    </row>
    <row r="2291" spans="1:4" x14ac:dyDescent="0.25">
      <c r="A2291" s="140">
        <v>45708.638194444444</v>
      </c>
      <c r="B2291" t="s">
        <v>2110</v>
      </c>
      <c r="C2291" t="s">
        <v>5622</v>
      </c>
      <c r="D2291" s="6" t="str">
        <f>_xlfn.XLOOKUP(B2291,Indices!$A$2:$A$2676,Indices!$B$2:$B$2676,"")</f>
        <v>IWM</v>
      </c>
    </row>
    <row r="2292" spans="1:4" x14ac:dyDescent="0.25">
      <c r="A2292" s="140">
        <v>45708.640277777777</v>
      </c>
      <c r="B2292" t="s">
        <v>3217</v>
      </c>
      <c r="C2292" t="s">
        <v>5623</v>
      </c>
      <c r="D2292" s="6" t="str">
        <f>_xlfn.XLOOKUP(B2292,Indices!$A$2:$A$2676,Indices!$B$2:$B$2676,"")</f>
        <v/>
      </c>
    </row>
    <row r="2293" spans="1:4" x14ac:dyDescent="0.25">
      <c r="A2293" s="140">
        <v>45708.65902777778</v>
      </c>
      <c r="B2293" t="s">
        <v>3235</v>
      </c>
      <c r="C2293" t="s">
        <v>5624</v>
      </c>
      <c r="D2293" s="6" t="str">
        <f>_xlfn.XLOOKUP(B2293,Indices!$A$2:$A$2676,Indices!$B$2:$B$2676,"")</f>
        <v/>
      </c>
    </row>
    <row r="2294" spans="1:4" x14ac:dyDescent="0.25">
      <c r="A2294" s="140">
        <v>45708.666666666664</v>
      </c>
      <c r="B2294" t="s">
        <v>1564</v>
      </c>
      <c r="C2294" t="s">
        <v>5625</v>
      </c>
      <c r="D2294" s="6" t="str">
        <f>_xlfn.XLOOKUP(B2294,Indices!$A$2:$A$2676,Indices!$B$2:$B$2676,"")</f>
        <v>SP500</v>
      </c>
    </row>
    <row r="2295" spans="1:4" x14ac:dyDescent="0.25">
      <c r="A2295" s="140">
        <v>45708.793055555558</v>
      </c>
      <c r="B2295" t="s">
        <v>80</v>
      </c>
      <c r="C2295" t="s">
        <v>5626</v>
      </c>
      <c r="D2295" s="6" t="str">
        <f>_xlfn.XLOOKUP(B2295,Indices!$A$2:$A$2676,Indices!$B$2:$B$2676,"")</f>
        <v>IWM</v>
      </c>
    </row>
    <row r="2296" spans="1:4" x14ac:dyDescent="0.25">
      <c r="A2296" s="140">
        <v>45708.811111111114</v>
      </c>
      <c r="B2296" t="s">
        <v>3536</v>
      </c>
      <c r="C2296" t="s">
        <v>5627</v>
      </c>
      <c r="D2296" s="6" t="str">
        <f>_xlfn.XLOOKUP(B2296,Indices!$A$2:$A$2676,Indices!$B$2:$B$2676,"")</f>
        <v/>
      </c>
    </row>
    <row r="2297" spans="1:4" x14ac:dyDescent="0.25">
      <c r="A2297" s="140">
        <v>45708.958333333336</v>
      </c>
      <c r="B2297" t="s">
        <v>2229</v>
      </c>
      <c r="C2297" t="s">
        <v>5628</v>
      </c>
      <c r="D2297" s="6" t="str">
        <f>_xlfn.XLOOKUP(B2297,Indices!$A$2:$A$2676,Indices!$B$2:$B$2676,"")</f>
        <v>IWM</v>
      </c>
    </row>
    <row r="2298" spans="1:4" x14ac:dyDescent="0.25">
      <c r="A2298" s="140">
        <v>45709.125</v>
      </c>
      <c r="B2298" t="s">
        <v>3368</v>
      </c>
      <c r="C2298" t="s">
        <v>5629</v>
      </c>
      <c r="D2298" s="6" t="str">
        <f>_xlfn.XLOOKUP(B2298,Indices!$A$2:$A$2676,Indices!$B$2:$B$2676,"")</f>
        <v/>
      </c>
    </row>
    <row r="2299" spans="1:4" x14ac:dyDescent="0.25">
      <c r="A2299" s="140">
        <v>45709.1875</v>
      </c>
      <c r="B2299" t="s">
        <v>10</v>
      </c>
      <c r="C2299" t="s">
        <v>5630</v>
      </c>
      <c r="D2299" s="6" t="str">
        <f>_xlfn.XLOOKUP(B2299,Indices!$A$2:$A$2676,Indices!$B$2:$B$2676,"")</f>
        <v>IWM</v>
      </c>
    </row>
    <row r="2300" spans="1:4" x14ac:dyDescent="0.25">
      <c r="A2300" s="140">
        <v>45709.1875</v>
      </c>
      <c r="B2300" t="s">
        <v>11</v>
      </c>
      <c r="C2300" t="s">
        <v>5630</v>
      </c>
      <c r="D2300" s="6" t="str">
        <f>_xlfn.XLOOKUP(B2300,Indices!$A$2:$A$2676,Indices!$B$2:$B$2676,"")</f>
        <v>IWM</v>
      </c>
    </row>
    <row r="2301" spans="1:4" x14ac:dyDescent="0.25">
      <c r="A2301" s="140">
        <v>45709.195138888892</v>
      </c>
      <c r="B2301" t="s">
        <v>837</v>
      </c>
      <c r="C2301" t="s">
        <v>5631</v>
      </c>
      <c r="D2301" s="6" t="str">
        <f>_xlfn.XLOOKUP(B2301,Indices!$A$2:$A$2676,Indices!$B$2:$B$2676,"")</f>
        <v>IWM</v>
      </c>
    </row>
    <row r="2302" spans="1:4" x14ac:dyDescent="0.25">
      <c r="A2302" s="140">
        <v>45709.208333333336</v>
      </c>
      <c r="B2302" t="s">
        <v>1663</v>
      </c>
      <c r="C2302" t="s">
        <v>5632</v>
      </c>
      <c r="D2302" s="6" t="str">
        <f>_xlfn.XLOOKUP(B2302,Indices!$A$2:$A$2676,Indices!$B$2:$B$2676,"")</f>
        <v>IWM</v>
      </c>
    </row>
    <row r="2303" spans="1:4" x14ac:dyDescent="0.25">
      <c r="A2303" s="140">
        <v>45709.208333333336</v>
      </c>
      <c r="B2303" t="s">
        <v>689</v>
      </c>
      <c r="C2303" t="s">
        <v>5632</v>
      </c>
      <c r="D2303" s="6" t="str">
        <f>_xlfn.XLOOKUP(B2303,Indices!$A$2:$A$2676,Indices!$B$2:$B$2676,"")</f>
        <v>IWM</v>
      </c>
    </row>
    <row r="2304" spans="1:4" x14ac:dyDescent="0.25">
      <c r="A2304" s="140">
        <v>45709.208333333336</v>
      </c>
      <c r="B2304" t="s">
        <v>109</v>
      </c>
      <c r="C2304" t="s">
        <v>5632</v>
      </c>
      <c r="D2304" s="6" t="str">
        <f>_xlfn.XLOOKUP(B2304,Indices!$A$2:$A$2676,Indices!$B$2:$B$2676,"")</f>
        <v>IWM</v>
      </c>
    </row>
    <row r="2305" spans="1:4" x14ac:dyDescent="0.25">
      <c r="A2305" s="140">
        <v>45709.208333333336</v>
      </c>
      <c r="B2305" t="s">
        <v>3201</v>
      </c>
      <c r="C2305" t="s">
        <v>5632</v>
      </c>
      <c r="D2305" s="6" t="str">
        <f>_xlfn.XLOOKUP(B2305,Indices!$A$2:$A$2676,Indices!$B$2:$B$2676,"")</f>
        <v/>
      </c>
    </row>
    <row r="2306" spans="1:4" x14ac:dyDescent="0.25">
      <c r="A2306" s="140">
        <v>45709.208333333336</v>
      </c>
      <c r="B2306" t="s">
        <v>2255</v>
      </c>
      <c r="C2306" t="s">
        <v>5632</v>
      </c>
      <c r="D2306" s="6" t="str">
        <f>_xlfn.XLOOKUP(B2306,Indices!$A$2:$A$2676,Indices!$B$2:$B$2676,"")</f>
        <v>IWM</v>
      </c>
    </row>
    <row r="2307" spans="1:4" x14ac:dyDescent="0.25">
      <c r="A2307" s="140">
        <v>45709.229166666664</v>
      </c>
      <c r="B2307" t="s">
        <v>919</v>
      </c>
      <c r="C2307" t="s">
        <v>5633</v>
      </c>
      <c r="D2307" s="6" t="str">
        <f>_xlfn.XLOOKUP(B2307,Indices!$A$2:$A$2676,Indices!$B$2:$B$2676,"")</f>
        <v>IWM</v>
      </c>
    </row>
    <row r="2308" spans="1:4" x14ac:dyDescent="0.25">
      <c r="A2308" s="140">
        <v>45709.229166666664</v>
      </c>
      <c r="B2308" t="s">
        <v>24</v>
      </c>
      <c r="C2308" t="s">
        <v>5633</v>
      </c>
      <c r="D2308" s="6" t="str">
        <f>_xlfn.XLOOKUP(B2308,Indices!$A$2:$A$2676,Indices!$B$2:$B$2676,"")</f>
        <v>IWM</v>
      </c>
    </row>
    <row r="2309" spans="1:4" x14ac:dyDescent="0.25">
      <c r="A2309" s="140">
        <v>45709.229861111111</v>
      </c>
      <c r="B2309" t="s">
        <v>3045</v>
      </c>
      <c r="C2309" t="s">
        <v>5634</v>
      </c>
      <c r="D2309" s="6" t="str">
        <f>_xlfn.XLOOKUP(B2309,Indices!$A$2:$A$2676,Indices!$B$2:$B$2676,"")</f>
        <v/>
      </c>
    </row>
    <row r="2310" spans="1:4" x14ac:dyDescent="0.25">
      <c r="A2310" s="140">
        <v>45709.25</v>
      </c>
      <c r="B2310" t="s">
        <v>1954</v>
      </c>
      <c r="C2310" t="s">
        <v>5635</v>
      </c>
      <c r="D2310" s="6" t="str">
        <f>_xlfn.XLOOKUP(B2310,Indices!$A$2:$A$2676,Indices!$B$2:$B$2676,"")</f>
        <v>IWM</v>
      </c>
    </row>
    <row r="2311" spans="1:4" x14ac:dyDescent="0.25">
      <c r="A2311" s="140">
        <v>45709.25</v>
      </c>
      <c r="B2311" t="s">
        <v>3203</v>
      </c>
      <c r="C2311" t="s">
        <v>5635</v>
      </c>
      <c r="D2311" s="6" t="str">
        <f>_xlfn.XLOOKUP(B2311,Indices!$A$2:$A$2676,Indices!$B$2:$B$2676,"")</f>
        <v/>
      </c>
    </row>
    <row r="2312" spans="1:4" x14ac:dyDescent="0.25">
      <c r="A2312" s="140">
        <v>45709.260416666664</v>
      </c>
      <c r="B2312" t="s">
        <v>30</v>
      </c>
      <c r="C2312" t="s">
        <v>5636</v>
      </c>
      <c r="D2312" s="6" t="str">
        <f>_xlfn.XLOOKUP(B2312,Indices!$A$2:$A$2676,Indices!$B$2:$B$2676,"")</f>
        <v>IWM</v>
      </c>
    </row>
    <row r="2313" spans="1:4" x14ac:dyDescent="0.25">
      <c r="A2313" s="140">
        <v>45709.265972222223</v>
      </c>
      <c r="B2313" t="s">
        <v>3174</v>
      </c>
      <c r="C2313" t="s">
        <v>5637</v>
      </c>
      <c r="D2313" s="6" t="str">
        <f>_xlfn.XLOOKUP(B2313,Indices!$A$2:$A$2676,Indices!$B$2:$B$2676,"")</f>
        <v/>
      </c>
    </row>
    <row r="2314" spans="1:4" x14ac:dyDescent="0.25">
      <c r="A2314" s="140">
        <v>45709.291666666664</v>
      </c>
      <c r="B2314" t="s">
        <v>3208</v>
      </c>
      <c r="C2314" t="s">
        <v>5638</v>
      </c>
      <c r="D2314" s="6" t="str">
        <f>_xlfn.XLOOKUP(B2314,Indices!$A$2:$A$2676,Indices!$B$2:$B$2676,"")</f>
        <v/>
      </c>
    </row>
    <row r="2315" spans="1:4" x14ac:dyDescent="0.25">
      <c r="A2315" s="140">
        <v>45709.291666666664</v>
      </c>
      <c r="B2315" t="s">
        <v>3253</v>
      </c>
      <c r="C2315" t="s">
        <v>3247</v>
      </c>
      <c r="D2315" s="6" t="str">
        <f>_xlfn.XLOOKUP(B2315,Indices!$A$2:$A$2676,Indices!$B$2:$B$2676,"")</f>
        <v/>
      </c>
    </row>
    <row r="2316" spans="1:4" x14ac:dyDescent="0.25">
      <c r="A2316" s="140">
        <v>45709.291666666664</v>
      </c>
      <c r="B2316" t="s">
        <v>3246</v>
      </c>
      <c r="C2316" t="s">
        <v>3247</v>
      </c>
      <c r="D2316" s="6" t="str">
        <f>_xlfn.XLOOKUP(B2316,Indices!$A$2:$A$2676,Indices!$B$2:$B$2676,"")</f>
        <v/>
      </c>
    </row>
    <row r="2317" spans="1:4" x14ac:dyDescent="0.25">
      <c r="A2317" s="140">
        <v>45709.534722222219</v>
      </c>
      <c r="B2317" t="s">
        <v>5639</v>
      </c>
      <c r="C2317" t="s">
        <v>5640</v>
      </c>
      <c r="D2317" s="6" t="str">
        <f>_xlfn.XLOOKUP(B2317,Indices!$A$2:$A$2676,Indices!$B$2:$B$2676,"")</f>
        <v/>
      </c>
    </row>
    <row r="2318" spans="1:4" x14ac:dyDescent="0.25">
      <c r="A2318" s="140">
        <v>45709.586805555555</v>
      </c>
      <c r="B2318" t="s">
        <v>863</v>
      </c>
      <c r="C2318" t="s">
        <v>5641</v>
      </c>
      <c r="D2318" s="6" t="str">
        <f>_xlfn.XLOOKUP(B2318,Indices!$A$2:$A$2676,Indices!$B$2:$B$2676,"")</f>
        <v>IWM</v>
      </c>
    </row>
    <row r="2319" spans="1:4" x14ac:dyDescent="0.25">
      <c r="A2319" s="140">
        <v>45709.59375</v>
      </c>
      <c r="B2319" t="s">
        <v>1888</v>
      </c>
      <c r="C2319" t="s">
        <v>5642</v>
      </c>
      <c r="D2319" s="6" t="str">
        <f>_xlfn.XLOOKUP(B2319,Indices!$A$2:$A$2676,Indices!$B$2:$B$2676,"")</f>
        <v>IWM</v>
      </c>
    </row>
    <row r="2320" spans="1:4" x14ac:dyDescent="0.25">
      <c r="A2320" s="140">
        <v>45709.958333333336</v>
      </c>
      <c r="B2320" t="s">
        <v>3581</v>
      </c>
      <c r="C2320" t="s">
        <v>5643</v>
      </c>
      <c r="D2320" s="6" t="str">
        <f>_xlfn.XLOOKUP(B2320,Indices!$A$2:$A$2676,Indices!$B$2:$B$2676,"")</f>
        <v/>
      </c>
    </row>
    <row r="2321" spans="1:4" x14ac:dyDescent="0.25">
      <c r="A2321" s="140">
        <v>45709.958333333336</v>
      </c>
      <c r="B2321" t="s">
        <v>3259</v>
      </c>
      <c r="C2321" t="s">
        <v>5643</v>
      </c>
      <c r="D2321" s="6" t="str">
        <f>_xlfn.XLOOKUP(B2321,Indices!$A$2:$A$2676,Indices!$B$2:$B$2676,"")</f>
        <v/>
      </c>
    </row>
    <row r="2322" spans="1:4" x14ac:dyDescent="0.25">
      <c r="A2322" s="140">
        <v>45711.917361111111</v>
      </c>
      <c r="B2322" t="s">
        <v>3267</v>
      </c>
      <c r="C2322" t="s">
        <v>5644</v>
      </c>
      <c r="D2322" s="6" t="str">
        <f>_xlfn.XLOOKUP(B2322,Indices!$A$2:$A$2676,Indices!$B$2:$B$2676,"")</f>
        <v/>
      </c>
    </row>
    <row r="2323" spans="1:4" x14ac:dyDescent="0.25">
      <c r="A2323" s="140">
        <v>45711.958333333336</v>
      </c>
      <c r="B2323" t="s">
        <v>4417</v>
      </c>
      <c r="C2323" t="s">
        <v>5646</v>
      </c>
      <c r="D2323" s="6" t="str">
        <f>_xlfn.XLOOKUP(B2323,Indices!$A$2:$A$2676,Indices!$B$2:$B$2676,"")</f>
        <v/>
      </c>
    </row>
    <row r="2324" spans="1:4" x14ac:dyDescent="0.25">
      <c r="A2324" s="140">
        <v>45711.958333333336</v>
      </c>
      <c r="B2324" t="s">
        <v>3264</v>
      </c>
      <c r="C2324" t="s">
        <v>5646</v>
      </c>
      <c r="D2324" s="6" t="str">
        <f>_xlfn.XLOOKUP(B2324,Indices!$A$2:$A$2676,Indices!$B$2:$B$2676,"")</f>
        <v/>
      </c>
    </row>
    <row r="2325" spans="1:4" x14ac:dyDescent="0.25">
      <c r="A2325" s="140">
        <v>45711.958333333336</v>
      </c>
      <c r="B2325" t="s">
        <v>3238</v>
      </c>
      <c r="C2325" t="s">
        <v>5645</v>
      </c>
      <c r="D2325" s="6" t="str">
        <f>_xlfn.XLOOKUP(B2325,Indices!$A$2:$A$2676,Indices!$B$2:$B$2676,"")</f>
        <v/>
      </c>
    </row>
    <row r="2326" spans="1:4" x14ac:dyDescent="0.25">
      <c r="A2326" s="140">
        <v>45712</v>
      </c>
      <c r="B2326" t="s">
        <v>34</v>
      </c>
      <c r="C2326" t="s">
        <v>5647</v>
      </c>
      <c r="D2326" s="6" t="str">
        <f>_xlfn.XLOOKUP(B2326,Indices!$A$2:$A$2676,Indices!$B$2:$B$2676,"")</f>
        <v>IWM</v>
      </c>
    </row>
    <row r="2327" spans="1:4" x14ac:dyDescent="0.25">
      <c r="A2327" s="140">
        <v>45712.166666666664</v>
      </c>
      <c r="B2327" t="s">
        <v>275</v>
      </c>
      <c r="C2327" t="s">
        <v>5648</v>
      </c>
      <c r="D2327" s="6" t="str">
        <f>_xlfn.XLOOKUP(B2327,Indices!$A$2:$A$2676,Indices!$B$2:$B$2676,"")</f>
        <v>S&amp;P Mid</v>
      </c>
    </row>
    <row r="2328" spans="1:4" x14ac:dyDescent="0.25">
      <c r="A2328" s="140">
        <v>45712.166666666664</v>
      </c>
      <c r="B2328" t="s">
        <v>3088</v>
      </c>
      <c r="C2328" t="s">
        <v>5648</v>
      </c>
      <c r="D2328" s="6" t="str">
        <f>_xlfn.XLOOKUP(B2328,Indices!$A$2:$A$2676,Indices!$B$2:$B$2676,"")</f>
        <v/>
      </c>
    </row>
    <row r="2329" spans="1:4" x14ac:dyDescent="0.25">
      <c r="A2329" s="140">
        <v>45712.166666666664</v>
      </c>
      <c r="B2329" t="s">
        <v>2148</v>
      </c>
      <c r="C2329" t="s">
        <v>5648</v>
      </c>
      <c r="D2329" s="6" t="str">
        <f>_xlfn.XLOOKUP(B2329,Indices!$A$2:$A$2676,Indices!$B$2:$B$2676,"")</f>
        <v>IWM</v>
      </c>
    </row>
    <row r="2330" spans="1:4" x14ac:dyDescent="0.25">
      <c r="A2330" s="140">
        <v>45712.170138888891</v>
      </c>
      <c r="B2330" t="s">
        <v>1895</v>
      </c>
      <c r="C2330" t="s">
        <v>5649</v>
      </c>
      <c r="D2330" s="6" t="str">
        <f>_xlfn.XLOOKUP(B2330,Indices!$A$2:$A$2676,Indices!$B$2:$B$2676,"")</f>
        <v>IWM</v>
      </c>
    </row>
    <row r="2331" spans="1:4" x14ac:dyDescent="0.25">
      <c r="A2331" s="140">
        <v>45712.170138888891</v>
      </c>
      <c r="B2331" t="s">
        <v>1569</v>
      </c>
      <c r="C2331" t="s">
        <v>5649</v>
      </c>
      <c r="D2331" s="6" t="str">
        <f>_xlfn.XLOOKUP(B2331,Indices!$A$2:$A$2676,Indices!$B$2:$B$2676,"")</f>
        <v>SP500</v>
      </c>
    </row>
    <row r="2332" spans="1:4" x14ac:dyDescent="0.25">
      <c r="A2332" s="140">
        <v>45712.177083333336</v>
      </c>
      <c r="B2332" t="s">
        <v>1986</v>
      </c>
      <c r="C2332" t="s">
        <v>5650</v>
      </c>
      <c r="D2332" s="6" t="str">
        <f>_xlfn.XLOOKUP(B2332,Indices!$A$2:$A$2676,Indices!$B$2:$B$2676,"")</f>
        <v>IWM</v>
      </c>
    </row>
    <row r="2333" spans="1:4" x14ac:dyDescent="0.25">
      <c r="A2333" s="140">
        <v>45712.1875</v>
      </c>
      <c r="B2333" t="s">
        <v>3091</v>
      </c>
      <c r="C2333" t="s">
        <v>5651</v>
      </c>
      <c r="D2333" s="6" t="str">
        <f>_xlfn.XLOOKUP(B2333,Indices!$A$2:$A$2676,Indices!$B$2:$B$2676,"")</f>
        <v/>
      </c>
    </row>
    <row r="2334" spans="1:4" x14ac:dyDescent="0.25">
      <c r="A2334" s="140">
        <v>45712.1875</v>
      </c>
      <c r="B2334" t="s">
        <v>177</v>
      </c>
      <c r="C2334" t="s">
        <v>5651</v>
      </c>
      <c r="D2334" s="6" t="str">
        <f>_xlfn.XLOOKUP(B2334,Indices!$A$2:$A$2676,Indices!$B$2:$B$2676,"")</f>
        <v>S&amp;P Mid</v>
      </c>
    </row>
    <row r="2335" spans="1:4" x14ac:dyDescent="0.25">
      <c r="A2335" s="140">
        <v>45712.206250000003</v>
      </c>
      <c r="B2335" t="s">
        <v>3272</v>
      </c>
      <c r="C2335" t="s">
        <v>5652</v>
      </c>
      <c r="D2335" s="6" t="str">
        <f>_xlfn.XLOOKUP(B2335,Indices!$A$2:$A$2676,Indices!$B$2:$B$2676,"")</f>
        <v/>
      </c>
    </row>
    <row r="2336" spans="1:4" x14ac:dyDescent="0.25">
      <c r="A2336" s="140">
        <v>45712.208333333336</v>
      </c>
      <c r="B2336" t="s">
        <v>3269</v>
      </c>
      <c r="C2336" t="s">
        <v>5653</v>
      </c>
      <c r="D2336" s="6" t="str">
        <f>_xlfn.XLOOKUP(B2336,Indices!$A$2:$A$2676,Indices!$B$2:$B$2676,"")</f>
        <v/>
      </c>
    </row>
    <row r="2337" spans="1:4" x14ac:dyDescent="0.25">
      <c r="A2337" s="140">
        <v>45712.208333333336</v>
      </c>
      <c r="B2337" t="s">
        <v>45</v>
      </c>
      <c r="C2337" t="s">
        <v>5653</v>
      </c>
      <c r="D2337" s="6" t="str">
        <f>_xlfn.XLOOKUP(B2337,Indices!$A$2:$A$2676,Indices!$B$2:$B$2676,"")</f>
        <v>IWM</v>
      </c>
    </row>
    <row r="2338" spans="1:4" x14ac:dyDescent="0.25">
      <c r="A2338" s="140">
        <v>45712.212500000001</v>
      </c>
      <c r="B2338" t="s">
        <v>3287</v>
      </c>
      <c r="C2338" t="s">
        <v>5654</v>
      </c>
      <c r="D2338" s="6" t="str">
        <f>_xlfn.XLOOKUP(B2338,Indices!$A$2:$A$2676,Indices!$B$2:$B$2676,"")</f>
        <v/>
      </c>
    </row>
    <row r="2339" spans="1:4" x14ac:dyDescent="0.25">
      <c r="A2339" s="140">
        <v>45712.229166666664</v>
      </c>
      <c r="B2339" t="s">
        <v>3691</v>
      </c>
      <c r="C2339" t="s">
        <v>5655</v>
      </c>
      <c r="D2339" s="6" t="str">
        <f>_xlfn.XLOOKUP(B2339,Indices!$A$2:$A$2676,Indices!$B$2:$B$2676,"")</f>
        <v/>
      </c>
    </row>
    <row r="2340" spans="1:4" x14ac:dyDescent="0.25">
      <c r="A2340" s="140">
        <v>45712.231944444444</v>
      </c>
      <c r="B2340" t="s">
        <v>2967</v>
      </c>
      <c r="C2340" t="s">
        <v>5656</v>
      </c>
      <c r="D2340" s="6" t="str">
        <f>_xlfn.XLOOKUP(B2340,Indices!$A$2:$A$2676,Indices!$B$2:$B$2676,"")</f>
        <v/>
      </c>
    </row>
    <row r="2341" spans="1:4" x14ac:dyDescent="0.25">
      <c r="A2341" s="140">
        <v>45712.25</v>
      </c>
      <c r="B2341" t="s">
        <v>869</v>
      </c>
      <c r="C2341" t="s">
        <v>5657</v>
      </c>
      <c r="D2341" s="6" t="str">
        <f>_xlfn.XLOOKUP(B2341,Indices!$A$2:$A$2676,Indices!$B$2:$B$2676,"")</f>
        <v>IWM</v>
      </c>
    </row>
    <row r="2342" spans="1:4" x14ac:dyDescent="0.25">
      <c r="A2342" s="140">
        <v>45712.25</v>
      </c>
      <c r="B2342" t="s">
        <v>3167</v>
      </c>
      <c r="C2342" t="s">
        <v>5657</v>
      </c>
      <c r="D2342" s="6" t="str">
        <f>_xlfn.XLOOKUP(B2342,Indices!$A$2:$A$2676,Indices!$B$2:$B$2676,"")</f>
        <v/>
      </c>
    </row>
    <row r="2343" spans="1:4" x14ac:dyDescent="0.25">
      <c r="A2343" s="140">
        <v>45712.291666666664</v>
      </c>
      <c r="B2343" t="s">
        <v>3271</v>
      </c>
      <c r="C2343" t="s">
        <v>3262</v>
      </c>
      <c r="D2343" s="6" t="str">
        <f>_xlfn.XLOOKUP(B2343,Indices!$A$2:$A$2676,Indices!$B$2:$B$2676,"")</f>
        <v/>
      </c>
    </row>
    <row r="2344" spans="1:4" x14ac:dyDescent="0.25">
      <c r="A2344" s="140">
        <v>45712.291666666664</v>
      </c>
      <c r="B2344" t="s">
        <v>3250</v>
      </c>
      <c r="C2344" t="s">
        <v>3262</v>
      </c>
      <c r="D2344" s="6" t="str">
        <f>_xlfn.XLOOKUP(B2344,Indices!$A$2:$A$2676,Indices!$B$2:$B$2676,"")</f>
        <v/>
      </c>
    </row>
    <row r="2345" spans="1:4" x14ac:dyDescent="0.25">
      <c r="A2345" s="140">
        <v>45712.291666666664</v>
      </c>
      <c r="B2345" t="s">
        <v>3270</v>
      </c>
      <c r="C2345" t="s">
        <v>3262</v>
      </c>
      <c r="D2345" s="6" t="str">
        <f>_xlfn.XLOOKUP(B2345,Indices!$A$2:$A$2676,Indices!$B$2:$B$2676,"")</f>
        <v/>
      </c>
    </row>
    <row r="2346" spans="1:4" x14ac:dyDescent="0.25">
      <c r="A2346" s="140">
        <v>45712.291666666664</v>
      </c>
      <c r="B2346" t="s">
        <v>3273</v>
      </c>
      <c r="C2346" t="s">
        <v>3261</v>
      </c>
      <c r="D2346" s="6" t="str">
        <f>_xlfn.XLOOKUP(B2346,Indices!$A$2:$A$2676,Indices!$B$2:$B$2676,"")</f>
        <v/>
      </c>
    </row>
    <row r="2347" spans="1:4" x14ac:dyDescent="0.25">
      <c r="A2347" s="140">
        <v>45712.302083333336</v>
      </c>
      <c r="B2347" t="s">
        <v>1226</v>
      </c>
      <c r="C2347" t="s">
        <v>5658</v>
      </c>
      <c r="D2347" s="6" t="str">
        <f>_xlfn.XLOOKUP(B2347,Indices!$A$2:$A$2676,Indices!$B$2:$B$2676,"")</f>
        <v>IWM</v>
      </c>
    </row>
    <row r="2348" spans="1:4" x14ac:dyDescent="0.25">
      <c r="A2348" s="140">
        <v>45712.583333333336</v>
      </c>
      <c r="B2348" t="s">
        <v>3614</v>
      </c>
      <c r="C2348" t="s">
        <v>5659</v>
      </c>
      <c r="D2348" s="6" t="str">
        <f>_xlfn.XLOOKUP(B2348,Indices!$A$2:$A$2676,Indices!$B$2:$B$2676,"")</f>
        <v/>
      </c>
    </row>
    <row r="2349" spans="1:4" x14ac:dyDescent="0.25">
      <c r="A2349" s="140">
        <v>45712.584027777775</v>
      </c>
      <c r="B2349" t="s">
        <v>3282</v>
      </c>
      <c r="C2349" t="s">
        <v>5660</v>
      </c>
      <c r="D2349" s="6" t="str">
        <f>_xlfn.XLOOKUP(B2349,Indices!$A$2:$A$2676,Indices!$B$2:$B$2676,"")</f>
        <v/>
      </c>
    </row>
    <row r="2350" spans="1:4" x14ac:dyDescent="0.25">
      <c r="A2350" s="140">
        <v>45712.584027777775</v>
      </c>
      <c r="B2350" t="s">
        <v>1510</v>
      </c>
      <c r="C2350" t="s">
        <v>5660</v>
      </c>
      <c r="D2350" s="6" t="str">
        <f>_xlfn.XLOOKUP(B2350,Indices!$A$2:$A$2676,Indices!$B$2:$B$2676,"")</f>
        <v>SP500</v>
      </c>
    </row>
    <row r="2351" spans="1:4" x14ac:dyDescent="0.25">
      <c r="A2351" s="140">
        <v>45712.584027777775</v>
      </c>
      <c r="B2351" t="s">
        <v>1800</v>
      </c>
      <c r="C2351" t="s">
        <v>5660</v>
      </c>
      <c r="D2351" s="6" t="str">
        <f>_xlfn.XLOOKUP(B2351,Indices!$A$2:$A$2676,Indices!$B$2:$B$2676,"")</f>
        <v>IWM</v>
      </c>
    </row>
    <row r="2352" spans="1:4" x14ac:dyDescent="0.25">
      <c r="A2352" s="140">
        <v>45712.584027777775</v>
      </c>
      <c r="B2352" t="s">
        <v>75</v>
      </c>
      <c r="C2352" t="s">
        <v>5660</v>
      </c>
      <c r="D2352" s="6" t="str">
        <f>_xlfn.XLOOKUP(B2352,Indices!$A$2:$A$2676,Indices!$B$2:$B$2676,"")</f>
        <v>SP500</v>
      </c>
    </row>
    <row r="2353" spans="1:4" x14ac:dyDescent="0.25">
      <c r="A2353" s="140">
        <v>45712.584027777775</v>
      </c>
      <c r="B2353" t="s">
        <v>3663</v>
      </c>
      <c r="C2353" t="s">
        <v>5660</v>
      </c>
      <c r="D2353" s="6" t="str">
        <f>_xlfn.XLOOKUP(B2353,Indices!$A$2:$A$2676,Indices!$B$2:$B$2676,"")</f>
        <v/>
      </c>
    </row>
    <row r="2354" spans="1:4" x14ac:dyDescent="0.25">
      <c r="A2354" s="140">
        <v>45712.584027777775</v>
      </c>
      <c r="B2354" t="s">
        <v>3226</v>
      </c>
      <c r="C2354" t="s">
        <v>5660</v>
      </c>
      <c r="D2354" s="6" t="str">
        <f>_xlfn.XLOOKUP(B2354,Indices!$A$2:$A$2676,Indices!$B$2:$B$2676,"")</f>
        <v/>
      </c>
    </row>
    <row r="2355" spans="1:4" x14ac:dyDescent="0.25">
      <c r="A2355" s="140">
        <v>45712.584027777775</v>
      </c>
      <c r="B2355" t="s">
        <v>2445</v>
      </c>
      <c r="C2355" t="s">
        <v>5661</v>
      </c>
      <c r="D2355" s="6" t="str">
        <f>_xlfn.XLOOKUP(B2355,Indices!$A$2:$A$2676,Indices!$B$2:$B$2676,"")</f>
        <v>S&amp;P Mid</v>
      </c>
    </row>
    <row r="2356" spans="1:4" x14ac:dyDescent="0.25">
      <c r="A2356" s="140">
        <v>45712.585416666669</v>
      </c>
      <c r="B2356" t="s">
        <v>79</v>
      </c>
      <c r="C2356" t="s">
        <v>5662</v>
      </c>
      <c r="D2356" s="6" t="str">
        <f>_xlfn.XLOOKUP(B2356,Indices!$A$2:$A$2676,Indices!$B$2:$B$2676,"")</f>
        <v>IWM</v>
      </c>
    </row>
    <row r="2357" spans="1:4" x14ac:dyDescent="0.25">
      <c r="A2357" s="140">
        <v>45712.586111111108</v>
      </c>
      <c r="B2357" t="s">
        <v>68</v>
      </c>
      <c r="C2357" t="s">
        <v>5663</v>
      </c>
      <c r="D2357" s="6" t="str">
        <f>_xlfn.XLOOKUP(B2357,Indices!$A$2:$A$2676,Indices!$B$2:$B$2676,"")</f>
        <v>S&amp;P Mid</v>
      </c>
    </row>
    <row r="2358" spans="1:4" x14ac:dyDescent="0.25">
      <c r="A2358" s="140">
        <v>45712.586805555555</v>
      </c>
      <c r="B2358" t="s">
        <v>3626</v>
      </c>
      <c r="C2358" t="s">
        <v>5664</v>
      </c>
      <c r="D2358" s="6" t="str">
        <f>_xlfn.XLOOKUP(B2358,Indices!$A$2:$A$2676,Indices!$B$2:$B$2676,"")</f>
        <v/>
      </c>
    </row>
    <row r="2359" spans="1:4" x14ac:dyDescent="0.25">
      <c r="A2359" s="140">
        <v>45712.586805555555</v>
      </c>
      <c r="B2359" t="s">
        <v>1922</v>
      </c>
      <c r="C2359" t="s">
        <v>5664</v>
      </c>
      <c r="D2359" s="6" t="str">
        <f>_xlfn.XLOOKUP(B2359,Indices!$A$2:$A$2676,Indices!$B$2:$B$2676,"")</f>
        <v>IWM</v>
      </c>
    </row>
    <row r="2360" spans="1:4" x14ac:dyDescent="0.25">
      <c r="A2360" s="140">
        <v>45712.586805555555</v>
      </c>
      <c r="B2360" t="s">
        <v>1403</v>
      </c>
      <c r="C2360" t="s">
        <v>5664</v>
      </c>
      <c r="D2360" s="6" t="str">
        <f>_xlfn.XLOOKUP(B2360,Indices!$A$2:$A$2676,Indices!$B$2:$B$2676,"")</f>
        <v>SP500</v>
      </c>
    </row>
    <row r="2361" spans="1:4" x14ac:dyDescent="0.25">
      <c r="A2361" s="140">
        <v>45712.586805555555</v>
      </c>
      <c r="B2361" t="s">
        <v>95</v>
      </c>
      <c r="C2361" t="s">
        <v>5664</v>
      </c>
      <c r="D2361" s="6" t="str">
        <f>_xlfn.XLOOKUP(B2361,Indices!$A$2:$A$2676,Indices!$B$2:$B$2676,"")</f>
        <v>IWM</v>
      </c>
    </row>
    <row r="2362" spans="1:4" x14ac:dyDescent="0.25">
      <c r="A2362" s="140">
        <v>45712.586805555555</v>
      </c>
      <c r="B2362" t="s">
        <v>108</v>
      </c>
      <c r="C2362" t="s">
        <v>5664</v>
      </c>
      <c r="D2362" s="6" t="str">
        <f>_xlfn.XLOOKUP(B2362,Indices!$A$2:$A$2676,Indices!$B$2:$B$2676,"")</f>
        <v>IWM</v>
      </c>
    </row>
    <row r="2363" spans="1:4" x14ac:dyDescent="0.25">
      <c r="A2363" s="140">
        <v>45712.586805555555</v>
      </c>
      <c r="B2363" t="s">
        <v>2233</v>
      </c>
      <c r="C2363" t="s">
        <v>5664</v>
      </c>
      <c r="D2363" s="6" t="str">
        <f>_xlfn.XLOOKUP(B2363,Indices!$A$2:$A$2676,Indices!$B$2:$B$2676,"")</f>
        <v>IWM</v>
      </c>
    </row>
    <row r="2364" spans="1:4" x14ac:dyDescent="0.25">
      <c r="A2364" s="140">
        <v>45712.586805555555</v>
      </c>
      <c r="B2364" t="s">
        <v>362</v>
      </c>
      <c r="C2364" t="s">
        <v>5664</v>
      </c>
      <c r="D2364" s="6" t="str">
        <f>_xlfn.XLOOKUP(B2364,Indices!$A$2:$A$2676,Indices!$B$2:$B$2676,"")</f>
        <v>IWM</v>
      </c>
    </row>
    <row r="2365" spans="1:4" x14ac:dyDescent="0.25">
      <c r="A2365" s="140">
        <v>45712.586805555555</v>
      </c>
      <c r="B2365" t="s">
        <v>2346</v>
      </c>
      <c r="C2365" t="s">
        <v>5664</v>
      </c>
      <c r="D2365" s="6" t="str">
        <f>_xlfn.XLOOKUP(B2365,Indices!$A$2:$A$2676,Indices!$B$2:$B$2676,"")</f>
        <v>S&amp;P Mid</v>
      </c>
    </row>
    <row r="2366" spans="1:4" x14ac:dyDescent="0.25">
      <c r="A2366" s="140">
        <v>45712.586805555555</v>
      </c>
      <c r="B2366" t="s">
        <v>3285</v>
      </c>
      <c r="C2366" t="s">
        <v>5664</v>
      </c>
      <c r="D2366" s="6" t="str">
        <f>_xlfn.XLOOKUP(B2366,Indices!$A$2:$A$2676,Indices!$B$2:$B$2676,"")</f>
        <v/>
      </c>
    </row>
    <row r="2367" spans="1:4" x14ac:dyDescent="0.25">
      <c r="A2367" s="140">
        <v>45712.586805555555</v>
      </c>
      <c r="B2367" t="s">
        <v>102</v>
      </c>
      <c r="C2367" t="s">
        <v>5664</v>
      </c>
      <c r="D2367" s="6" t="str">
        <f>_xlfn.XLOOKUP(B2367,Indices!$A$2:$A$2676,Indices!$B$2:$B$2676,"")</f>
        <v>IWM</v>
      </c>
    </row>
    <row r="2368" spans="1:4" x14ac:dyDescent="0.25">
      <c r="A2368" s="140">
        <v>45712.586805555555</v>
      </c>
      <c r="B2368" t="s">
        <v>90</v>
      </c>
      <c r="C2368" t="s">
        <v>5664</v>
      </c>
      <c r="D2368" s="6" t="str">
        <f>_xlfn.XLOOKUP(B2368,Indices!$A$2:$A$2676,Indices!$B$2:$B$2676,"")</f>
        <v>IWM</v>
      </c>
    </row>
    <row r="2369" spans="1:4" x14ac:dyDescent="0.25">
      <c r="A2369" s="140">
        <v>45712.586805555555</v>
      </c>
      <c r="B2369" t="s">
        <v>693</v>
      </c>
      <c r="C2369" t="s">
        <v>5664</v>
      </c>
      <c r="D2369" s="6" t="str">
        <f>_xlfn.XLOOKUP(B2369,Indices!$A$2:$A$2676,Indices!$B$2:$B$2676,"")</f>
        <v>IWM</v>
      </c>
    </row>
    <row r="2370" spans="1:4" x14ac:dyDescent="0.25">
      <c r="A2370" s="140">
        <v>45712.586805555555</v>
      </c>
      <c r="B2370" t="s">
        <v>744</v>
      </c>
      <c r="C2370" t="s">
        <v>5664</v>
      </c>
      <c r="D2370" s="6" t="str">
        <f>_xlfn.XLOOKUP(B2370,Indices!$A$2:$A$2676,Indices!$B$2:$B$2676,"")</f>
        <v>IWM</v>
      </c>
    </row>
    <row r="2371" spans="1:4" x14ac:dyDescent="0.25">
      <c r="A2371" s="140">
        <v>45712.586805555555</v>
      </c>
      <c r="B2371" t="s">
        <v>142</v>
      </c>
      <c r="C2371" t="s">
        <v>5664</v>
      </c>
      <c r="D2371" s="6" t="str">
        <f>_xlfn.XLOOKUP(B2371,Indices!$A$2:$A$2676,Indices!$B$2:$B$2676,"")</f>
        <v>IWM</v>
      </c>
    </row>
    <row r="2372" spans="1:4" x14ac:dyDescent="0.25">
      <c r="A2372" s="140">
        <v>45712.586805555555</v>
      </c>
      <c r="B2372" t="s">
        <v>114</v>
      </c>
      <c r="C2372" t="s">
        <v>5664</v>
      </c>
      <c r="D2372" s="6" t="str">
        <f>_xlfn.XLOOKUP(B2372,Indices!$A$2:$A$2676,Indices!$B$2:$B$2676,"")</f>
        <v>SP500</v>
      </c>
    </row>
    <row r="2373" spans="1:4" x14ac:dyDescent="0.25">
      <c r="A2373" s="140">
        <v>45712.586805555555</v>
      </c>
      <c r="B2373" t="s">
        <v>420</v>
      </c>
      <c r="C2373" t="s">
        <v>5664</v>
      </c>
      <c r="D2373" s="6" t="str">
        <f>_xlfn.XLOOKUP(B2373,Indices!$A$2:$A$2676,Indices!$B$2:$B$2676,"")</f>
        <v>IWM</v>
      </c>
    </row>
    <row r="2374" spans="1:4" x14ac:dyDescent="0.25">
      <c r="A2374" s="140">
        <v>45712.586805555555</v>
      </c>
      <c r="B2374" t="s">
        <v>365</v>
      </c>
      <c r="C2374" t="s">
        <v>5664</v>
      </c>
      <c r="D2374" s="6" t="str">
        <f>_xlfn.XLOOKUP(B2374,Indices!$A$2:$A$2676,Indices!$B$2:$B$2676,"")</f>
        <v>IWM</v>
      </c>
    </row>
    <row r="2375" spans="1:4" x14ac:dyDescent="0.25">
      <c r="A2375" s="140">
        <v>45712.587500000001</v>
      </c>
      <c r="B2375" t="s">
        <v>3284</v>
      </c>
      <c r="C2375" t="s">
        <v>5665</v>
      </c>
      <c r="D2375" s="6" t="str">
        <f>_xlfn.XLOOKUP(B2375,Indices!$A$2:$A$2676,Indices!$B$2:$B$2676,"")</f>
        <v/>
      </c>
    </row>
    <row r="2376" spans="1:4" x14ac:dyDescent="0.25">
      <c r="A2376" s="140">
        <v>45712.588888888888</v>
      </c>
      <c r="B2376" t="s">
        <v>119</v>
      </c>
      <c r="C2376" t="s">
        <v>5666</v>
      </c>
      <c r="D2376" s="6" t="str">
        <f>_xlfn.XLOOKUP(B2376,Indices!$A$2:$A$2676,Indices!$B$2:$B$2676,"")</f>
        <v>S&amp;P Mid</v>
      </c>
    </row>
    <row r="2377" spans="1:4" x14ac:dyDescent="0.25">
      <c r="A2377" s="140">
        <v>45712.589583333334</v>
      </c>
      <c r="B2377" t="s">
        <v>984</v>
      </c>
      <c r="C2377" t="s">
        <v>5667</v>
      </c>
      <c r="D2377" s="6" t="str">
        <f>_xlfn.XLOOKUP(B2377,Indices!$A$2:$A$2676,Indices!$B$2:$B$2676,"")</f>
        <v>IWM</v>
      </c>
    </row>
    <row r="2378" spans="1:4" x14ac:dyDescent="0.25">
      <c r="A2378" s="140">
        <v>45712.590277777781</v>
      </c>
      <c r="B2378" t="s">
        <v>1004</v>
      </c>
      <c r="C2378" t="s">
        <v>5668</v>
      </c>
      <c r="D2378" s="6" t="str">
        <f>_xlfn.XLOOKUP(B2378,Indices!$A$2:$A$2676,Indices!$B$2:$B$2676,"")</f>
        <v>IWM</v>
      </c>
    </row>
    <row r="2379" spans="1:4" x14ac:dyDescent="0.25">
      <c r="A2379" s="140">
        <v>45712.590277777781</v>
      </c>
      <c r="B2379" t="s">
        <v>3919</v>
      </c>
      <c r="C2379" t="s">
        <v>5668</v>
      </c>
      <c r="D2379" s="6" t="str">
        <f>_xlfn.XLOOKUP(B2379,Indices!$A$2:$A$2676,Indices!$B$2:$B$2676,"")</f>
        <v/>
      </c>
    </row>
    <row r="2380" spans="1:4" x14ac:dyDescent="0.25">
      <c r="A2380" s="140">
        <v>45712.59097222222</v>
      </c>
      <c r="B2380" t="s">
        <v>2261</v>
      </c>
      <c r="C2380" t="s">
        <v>5669</v>
      </c>
      <c r="D2380" s="6" t="str">
        <f>_xlfn.XLOOKUP(B2380,Indices!$A$2:$A$2676,Indices!$B$2:$B$2676,"")</f>
        <v>IWM</v>
      </c>
    </row>
    <row r="2381" spans="1:4" x14ac:dyDescent="0.25">
      <c r="A2381" s="140">
        <v>45712.59375</v>
      </c>
      <c r="B2381" t="s">
        <v>129</v>
      </c>
      <c r="C2381" t="s">
        <v>5670</v>
      </c>
      <c r="D2381" s="6" t="str">
        <f>_xlfn.XLOOKUP(B2381,Indices!$A$2:$A$2676,Indices!$B$2:$B$2676,"")</f>
        <v>IWM</v>
      </c>
    </row>
    <row r="2382" spans="1:4" x14ac:dyDescent="0.25">
      <c r="A2382" s="140">
        <v>45712.59375</v>
      </c>
      <c r="B2382" t="s">
        <v>3108</v>
      </c>
      <c r="C2382" t="s">
        <v>5670</v>
      </c>
      <c r="D2382" s="6" t="str">
        <f>_xlfn.XLOOKUP(B2382,Indices!$A$2:$A$2676,Indices!$B$2:$B$2676,"")</f>
        <v/>
      </c>
    </row>
    <row r="2383" spans="1:4" x14ac:dyDescent="0.25">
      <c r="A2383" s="140">
        <v>45712.59375</v>
      </c>
      <c r="B2383" t="s">
        <v>133</v>
      </c>
      <c r="C2383" t="s">
        <v>5670</v>
      </c>
      <c r="D2383" s="6" t="str">
        <f>_xlfn.XLOOKUP(B2383,Indices!$A$2:$A$2676,Indices!$B$2:$B$2676,"")</f>
        <v>IWM</v>
      </c>
    </row>
    <row r="2384" spans="1:4" x14ac:dyDescent="0.25">
      <c r="A2384" s="140">
        <v>45712.59375</v>
      </c>
      <c r="B2384" t="s">
        <v>992</v>
      </c>
      <c r="C2384" t="s">
        <v>5670</v>
      </c>
      <c r="D2384" s="6" t="str">
        <f>_xlfn.XLOOKUP(B2384,Indices!$A$2:$A$2676,Indices!$B$2:$B$2676,"")</f>
        <v>IWM</v>
      </c>
    </row>
    <row r="2385" spans="1:4" x14ac:dyDescent="0.25">
      <c r="A2385" s="140">
        <v>45712.59375</v>
      </c>
      <c r="B2385" t="s">
        <v>3283</v>
      </c>
      <c r="C2385" t="s">
        <v>5670</v>
      </c>
      <c r="D2385" s="6" t="str">
        <f>_xlfn.XLOOKUP(B2385,Indices!$A$2:$A$2676,Indices!$B$2:$B$2676,"")</f>
        <v/>
      </c>
    </row>
    <row r="2386" spans="1:4" x14ac:dyDescent="0.25">
      <c r="A2386" s="140">
        <v>45712.59375</v>
      </c>
      <c r="B2386" t="s">
        <v>793</v>
      </c>
      <c r="C2386" t="s">
        <v>5670</v>
      </c>
      <c r="D2386" s="6" t="str">
        <f>_xlfn.XLOOKUP(B2386,Indices!$A$2:$A$2676,Indices!$B$2:$B$2676,"")</f>
        <v>IWM</v>
      </c>
    </row>
    <row r="2387" spans="1:4" x14ac:dyDescent="0.25">
      <c r="A2387" s="140">
        <v>45712.59375</v>
      </c>
      <c r="B2387" t="s">
        <v>1941</v>
      </c>
      <c r="C2387" t="s">
        <v>5670</v>
      </c>
      <c r="D2387" s="6" t="str">
        <f>_xlfn.XLOOKUP(B2387,Indices!$A$2:$A$2676,Indices!$B$2:$B$2676,"")</f>
        <v>IWM</v>
      </c>
    </row>
    <row r="2388" spans="1:4" x14ac:dyDescent="0.25">
      <c r="A2388" s="140">
        <v>45712.59375</v>
      </c>
      <c r="B2388" t="s">
        <v>1904</v>
      </c>
      <c r="C2388" t="s">
        <v>5670</v>
      </c>
      <c r="D2388" s="6" t="str">
        <f>_xlfn.XLOOKUP(B2388,Indices!$A$2:$A$2676,Indices!$B$2:$B$2676,"")</f>
        <v>IWM</v>
      </c>
    </row>
    <row r="2389" spans="1:4" x14ac:dyDescent="0.25">
      <c r="A2389" s="140">
        <v>45712.594444444447</v>
      </c>
      <c r="B2389" t="s">
        <v>797</v>
      </c>
      <c r="C2389" t="s">
        <v>5671</v>
      </c>
      <c r="D2389" s="6" t="str">
        <f>_xlfn.XLOOKUP(B2389,Indices!$A$2:$A$2676,Indices!$B$2:$B$2676,"")</f>
        <v>S&amp;P Mid</v>
      </c>
    </row>
    <row r="2390" spans="1:4" x14ac:dyDescent="0.25">
      <c r="A2390" s="140">
        <v>45712.594444444447</v>
      </c>
      <c r="B2390" t="s">
        <v>249</v>
      </c>
      <c r="C2390" t="s">
        <v>5671</v>
      </c>
      <c r="D2390" s="6" t="str">
        <f>_xlfn.XLOOKUP(B2390,Indices!$A$2:$A$2676,Indices!$B$2:$B$2676,"")</f>
        <v>IWM</v>
      </c>
    </row>
    <row r="2391" spans="1:4" x14ac:dyDescent="0.25">
      <c r="A2391" s="140">
        <v>45712.597222222219</v>
      </c>
      <c r="B2391" t="s">
        <v>1390</v>
      </c>
      <c r="C2391" t="s">
        <v>5672</v>
      </c>
      <c r="D2391" s="6" t="str">
        <f>_xlfn.XLOOKUP(B2391,Indices!$A$2:$A$2676,Indices!$B$2:$B$2676,"")</f>
        <v>SP500</v>
      </c>
    </row>
    <row r="2392" spans="1:4" x14ac:dyDescent="0.25">
      <c r="A2392" s="140">
        <v>45712.604166666664</v>
      </c>
      <c r="B2392" t="s">
        <v>2077</v>
      </c>
      <c r="C2392" t="s">
        <v>5673</v>
      </c>
      <c r="D2392" s="6" t="str">
        <f>_xlfn.XLOOKUP(B2392,Indices!$A$2:$A$2676,Indices!$B$2:$B$2676,"")</f>
        <v>IWM</v>
      </c>
    </row>
    <row r="2393" spans="1:4" x14ac:dyDescent="0.25">
      <c r="A2393" s="140">
        <v>45712.604166666664</v>
      </c>
      <c r="B2393" t="s">
        <v>3278</v>
      </c>
      <c r="C2393" t="s">
        <v>5673</v>
      </c>
      <c r="D2393" s="6" t="str">
        <f>_xlfn.XLOOKUP(B2393,Indices!$A$2:$A$2676,Indices!$B$2:$B$2676,"")</f>
        <v/>
      </c>
    </row>
    <row r="2394" spans="1:4" x14ac:dyDescent="0.25">
      <c r="A2394" s="140">
        <v>45712.604166666664</v>
      </c>
      <c r="B2394" t="s">
        <v>87</v>
      </c>
      <c r="C2394" t="s">
        <v>5673</v>
      </c>
      <c r="D2394" s="6" t="str">
        <f>_xlfn.XLOOKUP(B2394,Indices!$A$2:$A$2676,Indices!$B$2:$B$2676,"")</f>
        <v>S&amp;P Mid</v>
      </c>
    </row>
    <row r="2395" spans="1:4" x14ac:dyDescent="0.25">
      <c r="A2395" s="140">
        <v>45712.604166666664</v>
      </c>
      <c r="B2395" t="s">
        <v>1943</v>
      </c>
      <c r="C2395" t="s">
        <v>5673</v>
      </c>
      <c r="D2395" s="6" t="str">
        <f>_xlfn.XLOOKUP(B2395,Indices!$A$2:$A$2676,Indices!$B$2:$B$2676,"")</f>
        <v>IWM</v>
      </c>
    </row>
    <row r="2396" spans="1:4" x14ac:dyDescent="0.25">
      <c r="A2396" s="140">
        <v>45712.604166666664</v>
      </c>
      <c r="B2396" t="s">
        <v>1747</v>
      </c>
      <c r="C2396" t="s">
        <v>5673</v>
      </c>
      <c r="D2396" s="6" t="str">
        <f>_xlfn.XLOOKUP(B2396,Indices!$A$2:$A$2676,Indices!$B$2:$B$2676,"")</f>
        <v>IWM</v>
      </c>
    </row>
    <row r="2397" spans="1:4" x14ac:dyDescent="0.25">
      <c r="A2397" s="140">
        <v>45712.604166666664</v>
      </c>
      <c r="B2397" t="s">
        <v>1842</v>
      </c>
      <c r="C2397" t="s">
        <v>5673</v>
      </c>
      <c r="D2397" s="6" t="str">
        <f>_xlfn.XLOOKUP(B2397,Indices!$A$2:$A$2676,Indices!$B$2:$B$2676,"")</f>
        <v>IWM</v>
      </c>
    </row>
    <row r="2398" spans="1:4" x14ac:dyDescent="0.25">
      <c r="A2398" s="140">
        <v>45712.607638888891</v>
      </c>
      <c r="B2398" t="s">
        <v>147</v>
      </c>
      <c r="C2398" t="s">
        <v>5674</v>
      </c>
      <c r="D2398" s="6" t="str">
        <f>_xlfn.XLOOKUP(B2398,Indices!$A$2:$A$2676,Indices!$B$2:$B$2676,"")</f>
        <v>IWM</v>
      </c>
    </row>
    <row r="2399" spans="1:4" x14ac:dyDescent="0.25">
      <c r="A2399" s="140">
        <v>45712.612500000003</v>
      </c>
      <c r="B2399" t="s">
        <v>2279</v>
      </c>
      <c r="C2399" t="s">
        <v>5675</v>
      </c>
      <c r="D2399" s="6" t="str">
        <f>_xlfn.XLOOKUP(B2399,Indices!$A$2:$A$2676,Indices!$B$2:$B$2676,"")</f>
        <v>IWM</v>
      </c>
    </row>
    <row r="2400" spans="1:4" x14ac:dyDescent="0.25">
      <c r="A2400" s="140">
        <v>45712.614583333336</v>
      </c>
      <c r="B2400" t="s">
        <v>804</v>
      </c>
      <c r="C2400" t="s">
        <v>5676</v>
      </c>
      <c r="D2400" s="6" t="str">
        <f>_xlfn.XLOOKUP(B2400,Indices!$A$2:$A$2676,Indices!$B$2:$B$2676,"")</f>
        <v>IWM</v>
      </c>
    </row>
    <row r="2401" spans="1:4" x14ac:dyDescent="0.25">
      <c r="A2401" s="140">
        <v>45712.625</v>
      </c>
      <c r="B2401" t="s">
        <v>3281</v>
      </c>
      <c r="C2401" t="s">
        <v>5677</v>
      </c>
      <c r="D2401" s="6" t="str">
        <f>_xlfn.XLOOKUP(B2401,Indices!$A$2:$A$2676,Indices!$B$2:$B$2676,"")</f>
        <v/>
      </c>
    </row>
    <row r="2402" spans="1:4" x14ac:dyDescent="0.25">
      <c r="A2402" s="140">
        <v>45712.625</v>
      </c>
      <c r="B2402" t="s">
        <v>3280</v>
      </c>
      <c r="C2402" t="s">
        <v>3276</v>
      </c>
      <c r="D2402" s="6" t="str">
        <f>_xlfn.XLOOKUP(B2402,Indices!$A$2:$A$2676,Indices!$B$2:$B$2676,"")</f>
        <v/>
      </c>
    </row>
    <row r="2403" spans="1:4" x14ac:dyDescent="0.25">
      <c r="A2403" s="140">
        <v>45712.625</v>
      </c>
      <c r="B2403" t="s">
        <v>3155</v>
      </c>
      <c r="C2403" t="s">
        <v>5677</v>
      </c>
      <c r="D2403" s="6" t="str">
        <f>_xlfn.XLOOKUP(B2403,Indices!$A$2:$A$2676,Indices!$B$2:$B$2676,"")</f>
        <v/>
      </c>
    </row>
    <row r="2404" spans="1:4" x14ac:dyDescent="0.25">
      <c r="A2404" s="140">
        <v>45712.626388888886</v>
      </c>
      <c r="B2404" t="s">
        <v>1536</v>
      </c>
      <c r="C2404" t="s">
        <v>5678</v>
      </c>
      <c r="D2404" s="6" t="str">
        <f>_xlfn.XLOOKUP(B2404,Indices!$A$2:$A$2676,Indices!$B$2:$B$2676,"")</f>
        <v>SP500</v>
      </c>
    </row>
    <row r="2405" spans="1:4" x14ac:dyDescent="0.25">
      <c r="A2405" s="140">
        <v>45712.654861111114</v>
      </c>
      <c r="B2405" t="s">
        <v>3286</v>
      </c>
      <c r="C2405" t="s">
        <v>5679</v>
      </c>
      <c r="D2405" s="6" t="str">
        <f>_xlfn.XLOOKUP(B2405,Indices!$A$2:$A$2676,Indices!$B$2:$B$2676,"")</f>
        <v/>
      </c>
    </row>
    <row r="2406" spans="1:4" x14ac:dyDescent="0.25">
      <c r="A2406" s="140">
        <v>45712.666666666664</v>
      </c>
      <c r="B2406" t="s">
        <v>826</v>
      </c>
      <c r="C2406" t="s">
        <v>5680</v>
      </c>
      <c r="D2406" s="6" t="str">
        <f>_xlfn.XLOOKUP(B2406,Indices!$A$2:$A$2676,Indices!$B$2:$B$2676,"")</f>
        <v>IWM</v>
      </c>
    </row>
    <row r="2407" spans="1:4" x14ac:dyDescent="0.25">
      <c r="A2407" s="140">
        <v>45712.667361111111</v>
      </c>
      <c r="B2407" t="s">
        <v>2150</v>
      </c>
      <c r="C2407" t="s">
        <v>5681</v>
      </c>
      <c r="D2407" s="6" t="str">
        <f>_xlfn.XLOOKUP(B2407,Indices!$A$2:$A$2676,Indices!$B$2:$B$2676,"")</f>
        <v>IWM</v>
      </c>
    </row>
    <row r="2408" spans="1:4" x14ac:dyDescent="0.25">
      <c r="A2408" s="140">
        <v>45712.670138888891</v>
      </c>
      <c r="B2408" t="s">
        <v>1931</v>
      </c>
      <c r="C2408" t="s">
        <v>5682</v>
      </c>
      <c r="D2408" s="6" t="str">
        <f>_xlfn.XLOOKUP(B2408,Indices!$A$2:$A$2676,Indices!$B$2:$B$2676,"")</f>
        <v>IWM</v>
      </c>
    </row>
    <row r="2409" spans="1:4" x14ac:dyDescent="0.25">
      <c r="A2409" s="140">
        <v>45712.67083333333</v>
      </c>
      <c r="B2409" t="s">
        <v>876</v>
      </c>
      <c r="C2409" t="s">
        <v>5683</v>
      </c>
      <c r="D2409" s="6" t="str">
        <f>_xlfn.XLOOKUP(B2409,Indices!$A$2:$A$2676,Indices!$B$2:$B$2676,"")</f>
        <v>IWM</v>
      </c>
    </row>
    <row r="2410" spans="1:4" x14ac:dyDescent="0.25">
      <c r="A2410" s="140">
        <v>45712.958333333336</v>
      </c>
      <c r="B2410" t="s">
        <v>3302</v>
      </c>
      <c r="C2410" t="s">
        <v>6233</v>
      </c>
      <c r="D2410" s="6" t="str">
        <f>_xlfn.XLOOKUP(B2410,Indices!$A$2:$A$2676,Indices!$B$2:$B$2676,"")</f>
        <v/>
      </c>
    </row>
    <row r="2411" spans="1:4" x14ac:dyDescent="0.25">
      <c r="A2411" s="140">
        <v>45712.958333333336</v>
      </c>
      <c r="B2411" t="s">
        <v>3125</v>
      </c>
      <c r="C2411" t="s">
        <v>6234</v>
      </c>
      <c r="D2411" s="6" t="str">
        <f>_xlfn.XLOOKUP(B2411,Indices!$A$2:$A$2676,Indices!$B$2:$B$2676,"")</f>
        <v/>
      </c>
    </row>
    <row r="2412" spans="1:4" x14ac:dyDescent="0.25">
      <c r="A2412" s="140">
        <v>45712.958333333336</v>
      </c>
      <c r="B2412" t="s">
        <v>3487</v>
      </c>
      <c r="C2412" t="s">
        <v>6233</v>
      </c>
      <c r="D2412" s="6" t="str">
        <f>_xlfn.XLOOKUP(B2412,Indices!$A$2:$A$2676,Indices!$B$2:$B$2676,"")</f>
        <v/>
      </c>
    </row>
    <row r="2413" spans="1:4" x14ac:dyDescent="0.25">
      <c r="A2413" s="140">
        <v>45713.041666666664</v>
      </c>
      <c r="B2413" t="s">
        <v>3483</v>
      </c>
      <c r="C2413" t="s">
        <v>6235</v>
      </c>
      <c r="D2413" s="6" t="str">
        <f>_xlfn.XLOOKUP(B2413,Indices!$A$2:$A$2676,Indices!$B$2:$B$2676,"")</f>
        <v/>
      </c>
    </row>
    <row r="2414" spans="1:4" x14ac:dyDescent="0.25">
      <c r="A2414" s="140">
        <v>45713.125</v>
      </c>
      <c r="B2414" t="s">
        <v>3690</v>
      </c>
      <c r="C2414" t="s">
        <v>6236</v>
      </c>
      <c r="D2414" s="6" t="str">
        <f>_xlfn.XLOOKUP(B2414,Indices!$A$2:$A$2676,Indices!$B$2:$B$2676,"")</f>
        <v/>
      </c>
    </row>
    <row r="2415" spans="1:4" x14ac:dyDescent="0.25">
      <c r="A2415" s="140">
        <v>45713.145833333336</v>
      </c>
      <c r="B2415" t="s">
        <v>3</v>
      </c>
      <c r="C2415" t="s">
        <v>6237</v>
      </c>
      <c r="D2415" s="6" t="str">
        <f>_xlfn.XLOOKUP(B2415,Indices!$A$2:$A$2676,Indices!$B$2:$B$2676,"")</f>
        <v>IWM</v>
      </c>
    </row>
    <row r="2416" spans="1:4" x14ac:dyDescent="0.25">
      <c r="A2416" s="140">
        <v>45713.145833333336</v>
      </c>
      <c r="B2416" t="s">
        <v>3311</v>
      </c>
      <c r="C2416" t="s">
        <v>6237</v>
      </c>
      <c r="D2416" s="6" t="str">
        <f>_xlfn.XLOOKUP(B2416,Indices!$A$2:$A$2676,Indices!$B$2:$B$2676,"")</f>
        <v/>
      </c>
    </row>
    <row r="2417" spans="1:4" x14ac:dyDescent="0.25">
      <c r="A2417" s="140">
        <v>45713.166666666664</v>
      </c>
      <c r="B2417" t="s">
        <v>881</v>
      </c>
      <c r="C2417" t="s">
        <v>6238</v>
      </c>
      <c r="D2417" s="6" t="str">
        <f>_xlfn.XLOOKUP(B2417,Indices!$A$2:$A$2676,Indices!$B$2:$B$2676,"")</f>
        <v>SP500</v>
      </c>
    </row>
    <row r="2418" spans="1:4" x14ac:dyDescent="0.25">
      <c r="A2418" s="140">
        <v>45713.166666666664</v>
      </c>
      <c r="B2418" t="s">
        <v>40</v>
      </c>
      <c r="C2418" t="s">
        <v>6238</v>
      </c>
      <c r="D2418" s="6" t="str">
        <f>_xlfn.XLOOKUP(B2418,Indices!$A$2:$A$2676,Indices!$B$2:$B$2676,"")</f>
        <v>IWM</v>
      </c>
    </row>
    <row r="2419" spans="1:4" x14ac:dyDescent="0.25">
      <c r="A2419" s="140">
        <v>45713.166666666664</v>
      </c>
      <c r="B2419" t="s">
        <v>163</v>
      </c>
      <c r="C2419" t="s">
        <v>6238</v>
      </c>
      <c r="D2419" s="6" t="str">
        <f>_xlfn.XLOOKUP(B2419,Indices!$A$2:$A$2676,Indices!$B$2:$B$2676,"")</f>
        <v>SP500</v>
      </c>
    </row>
    <row r="2420" spans="1:4" x14ac:dyDescent="0.25">
      <c r="A2420" s="140">
        <v>45713.166666666664</v>
      </c>
      <c r="B2420" t="s">
        <v>3488</v>
      </c>
      <c r="C2420" t="s">
        <v>6238</v>
      </c>
      <c r="D2420" s="6" t="str">
        <f>_xlfn.XLOOKUP(B2420,Indices!$A$2:$A$2676,Indices!$B$2:$B$2676,"")</f>
        <v/>
      </c>
    </row>
    <row r="2421" spans="1:4" x14ac:dyDescent="0.25">
      <c r="A2421" s="140">
        <v>45713.166666666664</v>
      </c>
      <c r="B2421" t="s">
        <v>3650</v>
      </c>
      <c r="C2421" t="s">
        <v>6238</v>
      </c>
      <c r="D2421" s="6" t="str">
        <f>_xlfn.XLOOKUP(B2421,Indices!$A$2:$A$2676,Indices!$B$2:$B$2676,"")</f>
        <v/>
      </c>
    </row>
    <row r="2422" spans="1:4" x14ac:dyDescent="0.25">
      <c r="A2422" s="140">
        <v>45713.166666666664</v>
      </c>
      <c r="B2422" t="s">
        <v>1793</v>
      </c>
      <c r="C2422" t="s">
        <v>6238</v>
      </c>
      <c r="D2422" s="6" t="str">
        <f>_xlfn.XLOOKUP(B2422,Indices!$A$2:$A$2676,Indices!$B$2:$B$2676,"")</f>
        <v>IWM</v>
      </c>
    </row>
    <row r="2423" spans="1:4" x14ac:dyDescent="0.25">
      <c r="A2423" s="140">
        <v>45713.166666666664</v>
      </c>
      <c r="B2423" t="s">
        <v>3292</v>
      </c>
      <c r="C2423" t="s">
        <v>6238</v>
      </c>
      <c r="D2423" s="6" t="str">
        <f>_xlfn.XLOOKUP(B2423,Indices!$A$2:$A$2676,Indices!$B$2:$B$2676,"")</f>
        <v/>
      </c>
    </row>
    <row r="2424" spans="1:4" x14ac:dyDescent="0.25">
      <c r="A2424" s="140">
        <v>45713.166666666664</v>
      </c>
      <c r="B2424" t="s">
        <v>3310</v>
      </c>
      <c r="C2424" t="s">
        <v>6238</v>
      </c>
      <c r="D2424" s="6" t="str">
        <f>_xlfn.XLOOKUP(B2424,Indices!$A$2:$A$2676,Indices!$B$2:$B$2676,"")</f>
        <v/>
      </c>
    </row>
    <row r="2425" spans="1:4" x14ac:dyDescent="0.25">
      <c r="A2425" s="140">
        <v>45713.17291666667</v>
      </c>
      <c r="B2425" t="s">
        <v>2354</v>
      </c>
      <c r="C2425" t="s">
        <v>6239</v>
      </c>
      <c r="D2425" s="6" t="str">
        <f>_xlfn.XLOOKUP(B2425,Indices!$A$2:$A$2676,Indices!$B$2:$B$2676,"")</f>
        <v>S&amp;P Mid</v>
      </c>
    </row>
    <row r="2426" spans="1:4" x14ac:dyDescent="0.25">
      <c r="A2426" s="140">
        <v>45713.1875</v>
      </c>
      <c r="B2426" t="s">
        <v>478</v>
      </c>
      <c r="C2426" t="s">
        <v>6240</v>
      </c>
      <c r="D2426" s="6" t="str">
        <f>_xlfn.XLOOKUP(B2426,Indices!$A$2:$A$2676,Indices!$B$2:$B$2676,"")</f>
        <v>IWM</v>
      </c>
    </row>
    <row r="2427" spans="1:4" x14ac:dyDescent="0.25">
      <c r="A2427" s="140">
        <v>45713.1875</v>
      </c>
      <c r="B2427" t="s">
        <v>553</v>
      </c>
      <c r="C2427" t="s">
        <v>6240</v>
      </c>
      <c r="D2427" s="6" t="str">
        <f>_xlfn.XLOOKUP(B2427,Indices!$A$2:$A$2676,Indices!$B$2:$B$2676,"")</f>
        <v>S&amp;P Mid</v>
      </c>
    </row>
    <row r="2428" spans="1:4" x14ac:dyDescent="0.25">
      <c r="A2428" s="140">
        <v>45713.1875</v>
      </c>
      <c r="B2428" t="s">
        <v>175</v>
      </c>
      <c r="C2428" t="s">
        <v>6240</v>
      </c>
      <c r="D2428" s="6" t="str">
        <f>_xlfn.XLOOKUP(B2428,Indices!$A$2:$A$2676,Indices!$B$2:$B$2676,"")</f>
        <v>IWM</v>
      </c>
    </row>
    <row r="2429" spans="1:4" x14ac:dyDescent="0.25">
      <c r="A2429" s="140">
        <v>45713.1875</v>
      </c>
      <c r="B2429" t="s">
        <v>3299</v>
      </c>
      <c r="C2429" t="s">
        <v>6240</v>
      </c>
      <c r="D2429" s="6" t="str">
        <f>_xlfn.XLOOKUP(B2429,Indices!$A$2:$A$2676,Indices!$B$2:$B$2676,"")</f>
        <v/>
      </c>
    </row>
    <row r="2430" spans="1:4" x14ac:dyDescent="0.25">
      <c r="A2430" s="140">
        <v>45713.194444444445</v>
      </c>
      <c r="B2430" t="s">
        <v>891</v>
      </c>
      <c r="C2430" t="s">
        <v>6241</v>
      </c>
      <c r="D2430" s="6" t="str">
        <f>_xlfn.XLOOKUP(B2430,Indices!$A$2:$A$2676,Indices!$B$2:$B$2676,"")</f>
        <v>IWM</v>
      </c>
    </row>
    <row r="2431" spans="1:4" x14ac:dyDescent="0.25">
      <c r="A2431" s="140">
        <v>45713.197916666664</v>
      </c>
      <c r="B2431" t="s">
        <v>571</v>
      </c>
      <c r="C2431" t="s">
        <v>6242</v>
      </c>
      <c r="D2431" s="6" t="str">
        <f>_xlfn.XLOOKUP(B2431,Indices!$A$2:$A$2676,Indices!$B$2:$B$2676,"")</f>
        <v>IWM</v>
      </c>
    </row>
    <row r="2432" spans="1:4" x14ac:dyDescent="0.25">
      <c r="A2432" s="140">
        <v>45713.197916666664</v>
      </c>
      <c r="B2432" t="s">
        <v>180</v>
      </c>
      <c r="C2432" t="s">
        <v>6242</v>
      </c>
      <c r="D2432" s="6" t="str">
        <f>_xlfn.XLOOKUP(B2432,Indices!$A$2:$A$2676,Indices!$B$2:$B$2676,"")</f>
        <v>S&amp;P Mid</v>
      </c>
    </row>
    <row r="2433" spans="1:4" x14ac:dyDescent="0.25">
      <c r="A2433" s="140">
        <v>45713.201388888891</v>
      </c>
      <c r="B2433" t="s">
        <v>1685</v>
      </c>
      <c r="C2433" t="s">
        <v>6243</v>
      </c>
      <c r="D2433" s="6" t="str">
        <f>_xlfn.XLOOKUP(B2433,Indices!$A$2:$A$2676,Indices!$B$2:$B$2676,"")</f>
        <v>IWM</v>
      </c>
    </row>
    <row r="2434" spans="1:4" x14ac:dyDescent="0.25">
      <c r="A2434" s="140">
        <v>45713.201388888891</v>
      </c>
      <c r="B2434" t="s">
        <v>3758</v>
      </c>
      <c r="C2434" t="s">
        <v>6243</v>
      </c>
      <c r="D2434" s="6" t="str">
        <f>_xlfn.XLOOKUP(B2434,Indices!$A$2:$A$2676,Indices!$B$2:$B$2676,"")</f>
        <v/>
      </c>
    </row>
    <row r="2435" spans="1:4" x14ac:dyDescent="0.25">
      <c r="A2435" s="140">
        <v>45713.208333333336</v>
      </c>
      <c r="B2435" t="s">
        <v>1028</v>
      </c>
      <c r="C2435" t="s">
        <v>6244</v>
      </c>
      <c r="D2435" s="6" t="str">
        <f>_xlfn.XLOOKUP(B2435,Indices!$A$2:$A$2676,Indices!$B$2:$B$2676,"")</f>
        <v>IWM</v>
      </c>
    </row>
    <row r="2436" spans="1:4" x14ac:dyDescent="0.25">
      <c r="A2436" s="140">
        <v>45713.208333333336</v>
      </c>
      <c r="B2436" t="s">
        <v>3309</v>
      </c>
      <c r="C2436" t="s">
        <v>6244</v>
      </c>
      <c r="D2436" s="6" t="str">
        <f>_xlfn.XLOOKUP(B2436,Indices!$A$2:$A$2676,Indices!$B$2:$B$2676,"")</f>
        <v/>
      </c>
    </row>
    <row r="2437" spans="1:4" x14ac:dyDescent="0.25">
      <c r="A2437" s="140">
        <v>45713.208333333336</v>
      </c>
      <c r="B2437" t="s">
        <v>1977</v>
      </c>
      <c r="C2437" t="s">
        <v>6244</v>
      </c>
      <c r="D2437" s="6" t="str">
        <f>_xlfn.XLOOKUP(B2437,Indices!$A$2:$A$2676,Indices!$B$2:$B$2676,"")</f>
        <v>IWM</v>
      </c>
    </row>
    <row r="2438" spans="1:4" x14ac:dyDescent="0.25">
      <c r="A2438" s="140">
        <v>45713.208333333336</v>
      </c>
      <c r="B2438" t="s">
        <v>1434</v>
      </c>
      <c r="C2438" t="s">
        <v>6244</v>
      </c>
      <c r="D2438" s="6" t="str">
        <f>_xlfn.XLOOKUP(B2438,Indices!$A$2:$A$2676,Indices!$B$2:$B$2676,"")</f>
        <v>SP500</v>
      </c>
    </row>
    <row r="2439" spans="1:4" x14ac:dyDescent="0.25">
      <c r="A2439" s="140">
        <v>45713.208333333336</v>
      </c>
      <c r="B2439" t="s">
        <v>3420</v>
      </c>
      <c r="C2439" t="s">
        <v>6244</v>
      </c>
      <c r="D2439" s="6" t="str">
        <f>_xlfn.XLOOKUP(B2439,Indices!$A$2:$A$2676,Indices!$B$2:$B$2676,"")</f>
        <v/>
      </c>
    </row>
    <row r="2440" spans="1:4" x14ac:dyDescent="0.25">
      <c r="A2440" s="140">
        <v>45713.208333333336</v>
      </c>
      <c r="B2440" t="s">
        <v>3306</v>
      </c>
      <c r="C2440" t="s">
        <v>6244</v>
      </c>
      <c r="D2440" s="6" t="str">
        <f>_xlfn.XLOOKUP(B2440,Indices!$A$2:$A$2676,Indices!$B$2:$B$2676,"")</f>
        <v/>
      </c>
    </row>
    <row r="2441" spans="1:4" x14ac:dyDescent="0.25">
      <c r="A2441" s="140">
        <v>45713.208333333336</v>
      </c>
      <c r="B2441" t="s">
        <v>173</v>
      </c>
      <c r="C2441" t="s">
        <v>6244</v>
      </c>
      <c r="D2441" s="6" t="str">
        <f>_xlfn.XLOOKUP(B2441,Indices!$A$2:$A$2676,Indices!$B$2:$B$2676,"")</f>
        <v>IWM</v>
      </c>
    </row>
    <row r="2442" spans="1:4" x14ac:dyDescent="0.25">
      <c r="A2442" s="140">
        <v>45713.208333333336</v>
      </c>
      <c r="B2442" t="s">
        <v>593</v>
      </c>
      <c r="C2442" t="s">
        <v>6244</v>
      </c>
      <c r="D2442" s="6" t="str">
        <f>_xlfn.XLOOKUP(B2442,Indices!$A$2:$A$2676,Indices!$B$2:$B$2676,"")</f>
        <v>IWM</v>
      </c>
    </row>
    <row r="2443" spans="1:4" x14ac:dyDescent="0.25">
      <c r="A2443" s="140">
        <v>45713.208333333336</v>
      </c>
      <c r="B2443" t="s">
        <v>1975</v>
      </c>
      <c r="C2443" t="s">
        <v>6244</v>
      </c>
      <c r="D2443" s="6" t="str">
        <f>_xlfn.XLOOKUP(B2443,Indices!$A$2:$A$2676,Indices!$B$2:$B$2676,"")</f>
        <v>IWM</v>
      </c>
    </row>
    <row r="2444" spans="1:4" x14ac:dyDescent="0.25">
      <c r="A2444" s="140">
        <v>45713.208333333336</v>
      </c>
      <c r="B2444" t="s">
        <v>3086</v>
      </c>
      <c r="C2444" t="s">
        <v>6244</v>
      </c>
      <c r="D2444" s="6" t="str">
        <f>_xlfn.XLOOKUP(B2444,Indices!$A$2:$A$2676,Indices!$B$2:$B$2676,"")</f>
        <v/>
      </c>
    </row>
    <row r="2445" spans="1:4" x14ac:dyDescent="0.25">
      <c r="A2445" s="140">
        <v>45713.208333333336</v>
      </c>
      <c r="B2445" t="s">
        <v>3176</v>
      </c>
      <c r="C2445" t="s">
        <v>6244</v>
      </c>
      <c r="D2445" s="6" t="str">
        <f>_xlfn.XLOOKUP(B2445,Indices!$A$2:$A$2676,Indices!$B$2:$B$2676,"")</f>
        <v/>
      </c>
    </row>
    <row r="2446" spans="1:4" x14ac:dyDescent="0.25">
      <c r="A2446" s="140">
        <v>45713.208333333336</v>
      </c>
      <c r="B2446" t="s">
        <v>4530</v>
      </c>
      <c r="C2446" t="s">
        <v>6244</v>
      </c>
      <c r="D2446" s="6" t="str">
        <f>_xlfn.XLOOKUP(B2446,Indices!$A$2:$A$2676,Indices!$B$2:$B$2676,"")</f>
        <v/>
      </c>
    </row>
    <row r="2447" spans="1:4" x14ac:dyDescent="0.25">
      <c r="A2447" s="140">
        <v>45713.208333333336</v>
      </c>
      <c r="B2447" t="s">
        <v>186</v>
      </c>
      <c r="C2447" t="s">
        <v>6244</v>
      </c>
      <c r="D2447" s="6" t="str">
        <f>_xlfn.XLOOKUP(B2447,Indices!$A$2:$A$2676,Indices!$B$2:$B$2676,"")</f>
        <v>IWM</v>
      </c>
    </row>
    <row r="2448" spans="1:4" x14ac:dyDescent="0.25">
      <c r="A2448" s="140">
        <v>45713.208333333336</v>
      </c>
      <c r="B2448" t="s">
        <v>611</v>
      </c>
      <c r="C2448" t="s">
        <v>6244</v>
      </c>
      <c r="D2448" s="6" t="str">
        <f>_xlfn.XLOOKUP(B2448,Indices!$A$2:$A$2676,Indices!$B$2:$B$2676,"")</f>
        <v>IWM</v>
      </c>
    </row>
    <row r="2449" spans="1:4" x14ac:dyDescent="0.25">
      <c r="A2449" s="140">
        <v>45713.208333333336</v>
      </c>
      <c r="B2449" t="s">
        <v>2448</v>
      </c>
      <c r="C2449" t="s">
        <v>6244</v>
      </c>
      <c r="D2449" s="6" t="str">
        <f>_xlfn.XLOOKUP(B2449,Indices!$A$2:$A$2676,Indices!$B$2:$B$2676,"")</f>
        <v>S&amp;P Mid</v>
      </c>
    </row>
    <row r="2450" spans="1:4" x14ac:dyDescent="0.25">
      <c r="A2450" s="140">
        <v>45713.208333333336</v>
      </c>
      <c r="B2450" t="s">
        <v>1353</v>
      </c>
      <c r="C2450" t="s">
        <v>6244</v>
      </c>
      <c r="D2450" s="6" t="str">
        <f>_xlfn.XLOOKUP(B2450,Indices!$A$2:$A$2676,Indices!$B$2:$B$2676,"")</f>
        <v>SP500</v>
      </c>
    </row>
    <row r="2451" spans="1:4" x14ac:dyDescent="0.25">
      <c r="A2451" s="140">
        <v>45713.208333333336</v>
      </c>
      <c r="B2451" t="s">
        <v>2060</v>
      </c>
      <c r="C2451" t="s">
        <v>6244</v>
      </c>
      <c r="D2451" s="6" t="str">
        <f>_xlfn.XLOOKUP(B2451,Indices!$A$2:$A$2676,Indices!$B$2:$B$2676,"")</f>
        <v>IWM</v>
      </c>
    </row>
    <row r="2452" spans="1:4" x14ac:dyDescent="0.25">
      <c r="A2452" s="140">
        <v>45713.208333333336</v>
      </c>
      <c r="B2452" t="s">
        <v>2085</v>
      </c>
      <c r="C2452" t="s">
        <v>6244</v>
      </c>
      <c r="D2452" s="6" t="str">
        <f>_xlfn.XLOOKUP(B2452,Indices!$A$2:$A$2676,Indices!$B$2:$B$2676,"")</f>
        <v>IWM</v>
      </c>
    </row>
    <row r="2453" spans="1:4" x14ac:dyDescent="0.25">
      <c r="A2453" s="140">
        <v>45713.208333333336</v>
      </c>
      <c r="B2453" t="s">
        <v>1015</v>
      </c>
      <c r="C2453" t="s">
        <v>6244</v>
      </c>
      <c r="D2453" s="6" t="str">
        <f>_xlfn.XLOOKUP(B2453,Indices!$A$2:$A$2676,Indices!$B$2:$B$2676,"")</f>
        <v>IWM</v>
      </c>
    </row>
    <row r="2454" spans="1:4" x14ac:dyDescent="0.25">
      <c r="A2454" s="140">
        <v>45713.208333333336</v>
      </c>
      <c r="B2454" t="s">
        <v>194</v>
      </c>
      <c r="C2454" t="s">
        <v>6244</v>
      </c>
      <c r="D2454" s="6" t="str">
        <f>_xlfn.XLOOKUP(B2454,Indices!$A$2:$A$2676,Indices!$B$2:$B$2676,"")</f>
        <v>IWM</v>
      </c>
    </row>
    <row r="2455" spans="1:4" x14ac:dyDescent="0.25">
      <c r="A2455" s="140">
        <v>45713.208333333336</v>
      </c>
      <c r="B2455" t="s">
        <v>911</v>
      </c>
      <c r="C2455" t="s">
        <v>6244</v>
      </c>
      <c r="D2455" s="6" t="str">
        <f>_xlfn.XLOOKUP(B2455,Indices!$A$2:$A$2676,Indices!$B$2:$B$2676,"")</f>
        <v>IWM</v>
      </c>
    </row>
    <row r="2456" spans="1:4" x14ac:dyDescent="0.25">
      <c r="A2456" s="140">
        <v>45713.208333333336</v>
      </c>
      <c r="B2456" t="s">
        <v>202</v>
      </c>
      <c r="C2456" t="s">
        <v>6244</v>
      </c>
      <c r="D2456" s="6" t="str">
        <f>_xlfn.XLOOKUP(B2456,Indices!$A$2:$A$2676,Indices!$B$2:$B$2676,"")</f>
        <v>IWM</v>
      </c>
    </row>
    <row r="2457" spans="1:4" x14ac:dyDescent="0.25">
      <c r="A2457" s="140">
        <v>45713.208333333336</v>
      </c>
      <c r="B2457" t="s">
        <v>184</v>
      </c>
      <c r="C2457" t="s">
        <v>6244</v>
      </c>
      <c r="D2457" s="6" t="str">
        <f>_xlfn.XLOOKUP(B2457,Indices!$A$2:$A$2676,Indices!$B$2:$B$2676,"")</f>
        <v>IWM</v>
      </c>
    </row>
    <row r="2458" spans="1:4" x14ac:dyDescent="0.25">
      <c r="A2458" s="140">
        <v>45713.208333333336</v>
      </c>
      <c r="B2458" t="s">
        <v>3300</v>
      </c>
      <c r="C2458" t="s">
        <v>6245</v>
      </c>
      <c r="D2458" s="6" t="str">
        <f>_xlfn.XLOOKUP(B2458,Indices!$A$2:$A$2676,Indices!$B$2:$B$2676,"")</f>
        <v/>
      </c>
    </row>
    <row r="2459" spans="1:4" x14ac:dyDescent="0.25">
      <c r="A2459" s="140">
        <v>45713.209027777775</v>
      </c>
      <c r="B2459" t="s">
        <v>200</v>
      </c>
      <c r="C2459" t="s">
        <v>6246</v>
      </c>
      <c r="D2459" s="6" t="str">
        <f>_xlfn.XLOOKUP(B2459,Indices!$A$2:$A$2676,Indices!$B$2:$B$2676,"")</f>
        <v>IWM</v>
      </c>
    </row>
    <row r="2460" spans="1:4" x14ac:dyDescent="0.25">
      <c r="A2460" s="140">
        <v>45713.210416666669</v>
      </c>
      <c r="B2460" t="s">
        <v>294</v>
      </c>
      <c r="C2460" t="s">
        <v>6247</v>
      </c>
      <c r="D2460" s="6" t="str">
        <f>_xlfn.XLOOKUP(B2460,Indices!$A$2:$A$2676,Indices!$B$2:$B$2676,"")</f>
        <v>IWM</v>
      </c>
    </row>
    <row r="2461" spans="1:4" x14ac:dyDescent="0.25">
      <c r="A2461" s="140">
        <v>45713.211805555555</v>
      </c>
      <c r="B2461" t="s">
        <v>3260</v>
      </c>
      <c r="C2461" t="s">
        <v>6248</v>
      </c>
      <c r="D2461" s="6" t="str">
        <f>_xlfn.XLOOKUP(B2461,Indices!$A$2:$A$2676,Indices!$B$2:$B$2676,"")</f>
        <v/>
      </c>
    </row>
    <row r="2462" spans="1:4" x14ac:dyDescent="0.25">
      <c r="A2462" s="140">
        <v>45713.211805555555</v>
      </c>
      <c r="B2462" t="s">
        <v>52</v>
      </c>
      <c r="C2462" t="s">
        <v>6248</v>
      </c>
      <c r="D2462" s="6" t="str">
        <f>_xlfn.XLOOKUP(B2462,Indices!$A$2:$A$2676,Indices!$B$2:$B$2676,"")</f>
        <v>IWM</v>
      </c>
    </row>
    <row r="2463" spans="1:4" x14ac:dyDescent="0.25">
      <c r="A2463" s="140">
        <v>45713.211805555555</v>
      </c>
      <c r="B2463" t="s">
        <v>2090</v>
      </c>
      <c r="C2463" t="s">
        <v>6248</v>
      </c>
      <c r="D2463" s="6" t="str">
        <f>_xlfn.XLOOKUP(B2463,Indices!$A$2:$A$2676,Indices!$B$2:$B$2676,"")</f>
        <v>IWM</v>
      </c>
    </row>
    <row r="2464" spans="1:4" x14ac:dyDescent="0.25">
      <c r="A2464" s="140">
        <v>45713.217361111114</v>
      </c>
      <c r="B2464" t="s">
        <v>3349</v>
      </c>
      <c r="C2464" t="s">
        <v>6249</v>
      </c>
      <c r="D2464" s="6" t="str">
        <f>_xlfn.XLOOKUP(B2464,Indices!$A$2:$A$2676,Indices!$B$2:$B$2676,"")</f>
        <v/>
      </c>
    </row>
    <row r="2465" spans="1:4" x14ac:dyDescent="0.25">
      <c r="A2465" s="140">
        <v>45713.220138888886</v>
      </c>
      <c r="B2465" t="s">
        <v>2027</v>
      </c>
      <c r="C2465" t="s">
        <v>6250</v>
      </c>
      <c r="D2465" s="6" t="str">
        <f>_xlfn.XLOOKUP(B2465,Indices!$A$2:$A$2676,Indices!$B$2:$B$2676,"")</f>
        <v>IWM</v>
      </c>
    </row>
    <row r="2466" spans="1:4" x14ac:dyDescent="0.25">
      <c r="A2466" s="140">
        <v>45713.229166666664</v>
      </c>
      <c r="B2466" t="s">
        <v>313</v>
      </c>
      <c r="C2466" t="s">
        <v>6251</v>
      </c>
      <c r="D2466" s="6" t="str">
        <f>_xlfn.XLOOKUP(B2466,Indices!$A$2:$A$2676,Indices!$B$2:$B$2676,"")</f>
        <v>IWM</v>
      </c>
    </row>
    <row r="2467" spans="1:4" x14ac:dyDescent="0.25">
      <c r="A2467" s="140">
        <v>45713.229166666664</v>
      </c>
      <c r="B2467" t="s">
        <v>2079</v>
      </c>
      <c r="C2467" t="s">
        <v>6251</v>
      </c>
      <c r="D2467" s="6" t="str">
        <f>_xlfn.XLOOKUP(B2467,Indices!$A$2:$A$2676,Indices!$B$2:$B$2676,"")</f>
        <v>IWM</v>
      </c>
    </row>
    <row r="2468" spans="1:4" x14ac:dyDescent="0.25">
      <c r="A2468" s="140">
        <v>45713.229166666664</v>
      </c>
      <c r="B2468" t="s">
        <v>2026</v>
      </c>
      <c r="C2468" t="s">
        <v>6251</v>
      </c>
      <c r="D2468" s="6" t="str">
        <f>_xlfn.XLOOKUP(B2468,Indices!$A$2:$A$2676,Indices!$B$2:$B$2676,"")</f>
        <v>IWM</v>
      </c>
    </row>
    <row r="2469" spans="1:4" x14ac:dyDescent="0.25">
      <c r="A2469" s="140">
        <v>45713.229166666664</v>
      </c>
      <c r="B2469" t="s">
        <v>53</v>
      </c>
      <c r="C2469" t="s">
        <v>6251</v>
      </c>
      <c r="D2469" s="6" t="str">
        <f>_xlfn.XLOOKUP(B2469,Indices!$A$2:$A$2676,Indices!$B$2:$B$2676,"")</f>
        <v>SP500</v>
      </c>
    </row>
    <row r="2470" spans="1:4" x14ac:dyDescent="0.25">
      <c r="A2470" s="140">
        <v>45713.229166666664</v>
      </c>
      <c r="B2470" t="s">
        <v>627</v>
      </c>
      <c r="C2470" t="s">
        <v>6251</v>
      </c>
      <c r="D2470" s="6" t="str">
        <f>_xlfn.XLOOKUP(B2470,Indices!$A$2:$A$2676,Indices!$B$2:$B$2676,"")</f>
        <v>IWM</v>
      </c>
    </row>
    <row r="2471" spans="1:4" x14ac:dyDescent="0.25">
      <c r="A2471" s="140">
        <v>45713.246527777781</v>
      </c>
      <c r="B2471" t="s">
        <v>315</v>
      </c>
      <c r="C2471" t="s">
        <v>6252</v>
      </c>
      <c r="D2471" s="6" t="str">
        <f>_xlfn.XLOOKUP(B2471,Indices!$A$2:$A$2676,Indices!$B$2:$B$2676,"")</f>
        <v>SP500</v>
      </c>
    </row>
    <row r="2472" spans="1:4" x14ac:dyDescent="0.25">
      <c r="A2472" s="140">
        <v>45713.25</v>
      </c>
      <c r="B2472" t="s">
        <v>936</v>
      </c>
      <c r="C2472" t="s">
        <v>6253</v>
      </c>
      <c r="D2472" s="6" t="str">
        <f>_xlfn.XLOOKUP(B2472,Indices!$A$2:$A$2676,Indices!$B$2:$B$2676,"")</f>
        <v>IWM</v>
      </c>
    </row>
    <row r="2473" spans="1:4" x14ac:dyDescent="0.25">
      <c r="A2473" s="140">
        <v>45713.25</v>
      </c>
      <c r="B2473" t="s">
        <v>3303</v>
      </c>
      <c r="C2473" t="s">
        <v>6253</v>
      </c>
      <c r="D2473" s="6" t="str">
        <f>_xlfn.XLOOKUP(B2473,Indices!$A$2:$A$2676,Indices!$B$2:$B$2676,"")</f>
        <v/>
      </c>
    </row>
    <row r="2474" spans="1:4" x14ac:dyDescent="0.25">
      <c r="A2474" s="140">
        <v>45713.25</v>
      </c>
      <c r="B2474" t="s">
        <v>3640</v>
      </c>
      <c r="C2474" t="s">
        <v>6253</v>
      </c>
      <c r="D2474" s="6" t="str">
        <f>_xlfn.XLOOKUP(B2474,Indices!$A$2:$A$2676,Indices!$B$2:$B$2676,"")</f>
        <v/>
      </c>
    </row>
    <row r="2475" spans="1:4" x14ac:dyDescent="0.25">
      <c r="A2475" s="140">
        <v>45713.25</v>
      </c>
      <c r="B2475" t="s">
        <v>210</v>
      </c>
      <c r="C2475" t="s">
        <v>6253</v>
      </c>
      <c r="D2475" s="6" t="str">
        <f>_xlfn.XLOOKUP(B2475,Indices!$A$2:$A$2676,Indices!$B$2:$B$2676,"")</f>
        <v>IWM</v>
      </c>
    </row>
    <row r="2476" spans="1:4" x14ac:dyDescent="0.25">
      <c r="A2476" s="140">
        <v>45713.261111111111</v>
      </c>
      <c r="B2476" t="s">
        <v>2010</v>
      </c>
      <c r="C2476" t="s">
        <v>6254</v>
      </c>
      <c r="D2476" s="6" t="str">
        <f>_xlfn.XLOOKUP(B2476,Indices!$A$2:$A$2676,Indices!$B$2:$B$2676,"")</f>
        <v>IWM</v>
      </c>
    </row>
    <row r="2477" spans="1:4" x14ac:dyDescent="0.25">
      <c r="A2477" s="140">
        <v>45713.268750000003</v>
      </c>
      <c r="B2477" t="s">
        <v>885</v>
      </c>
      <c r="C2477" t="s">
        <v>6255</v>
      </c>
      <c r="D2477" s="6" t="str">
        <f>_xlfn.XLOOKUP(B2477,Indices!$A$2:$A$2676,Indices!$B$2:$B$2676,"")</f>
        <v>IWM</v>
      </c>
    </row>
    <row r="2478" spans="1:4" x14ac:dyDescent="0.25">
      <c r="A2478" s="140">
        <v>45713.270833333336</v>
      </c>
      <c r="B2478" t="s">
        <v>1678</v>
      </c>
      <c r="C2478" t="s">
        <v>6256</v>
      </c>
      <c r="D2478" s="6" t="str">
        <f>_xlfn.XLOOKUP(B2478,Indices!$A$2:$A$2676,Indices!$B$2:$B$2676,"")</f>
        <v>IWM</v>
      </c>
    </row>
    <row r="2479" spans="1:4" x14ac:dyDescent="0.25">
      <c r="A2479" s="140">
        <v>45713.277777777781</v>
      </c>
      <c r="B2479" t="s">
        <v>325</v>
      </c>
      <c r="C2479" t="s">
        <v>6257</v>
      </c>
      <c r="D2479" s="6" t="str">
        <f>_xlfn.XLOOKUP(B2479,Indices!$A$2:$A$2676,Indices!$B$2:$B$2676,"")</f>
        <v>SP500</v>
      </c>
    </row>
    <row r="2480" spans="1:4" x14ac:dyDescent="0.25">
      <c r="A2480" s="140">
        <v>45713.28125</v>
      </c>
      <c r="B2480" t="s">
        <v>215</v>
      </c>
      <c r="C2480" t="s">
        <v>6258</v>
      </c>
      <c r="D2480" s="6" t="str">
        <f>_xlfn.XLOOKUP(B2480,Indices!$A$2:$A$2676,Indices!$B$2:$B$2676,"")</f>
        <v>IWM</v>
      </c>
    </row>
    <row r="2481" spans="1:4" x14ac:dyDescent="0.25">
      <c r="A2481" s="140">
        <v>45713.282638888886</v>
      </c>
      <c r="B2481" t="s">
        <v>3205</v>
      </c>
      <c r="C2481" t="s">
        <v>6259</v>
      </c>
      <c r="D2481" s="6" t="str">
        <f>_xlfn.XLOOKUP(B2481,Indices!$A$2:$A$2676,Indices!$B$2:$B$2676,"")</f>
        <v/>
      </c>
    </row>
    <row r="2482" spans="1:4" x14ac:dyDescent="0.25">
      <c r="A2482" s="140">
        <v>45713.291666666664</v>
      </c>
      <c r="B2482" t="s">
        <v>3307</v>
      </c>
      <c r="C2482" t="s">
        <v>3291</v>
      </c>
      <c r="D2482" s="6" t="str">
        <f>_xlfn.XLOOKUP(B2482,Indices!$A$2:$A$2676,Indices!$B$2:$B$2676,"")</f>
        <v/>
      </c>
    </row>
    <row r="2483" spans="1:4" x14ac:dyDescent="0.25">
      <c r="A2483" s="140">
        <v>45713.291666666664</v>
      </c>
      <c r="B2483" t="s">
        <v>3298</v>
      </c>
      <c r="C2483" t="s">
        <v>3291</v>
      </c>
      <c r="D2483" s="6" t="str">
        <f>_xlfn.XLOOKUP(B2483,Indices!$A$2:$A$2676,Indices!$B$2:$B$2676,"")</f>
        <v/>
      </c>
    </row>
    <row r="2484" spans="1:4" x14ac:dyDescent="0.25">
      <c r="A2484" s="140">
        <v>45713.291666666664</v>
      </c>
      <c r="B2484" t="s">
        <v>3305</v>
      </c>
      <c r="C2484" t="s">
        <v>3297</v>
      </c>
      <c r="D2484" s="6" t="str">
        <f>_xlfn.XLOOKUP(B2484,Indices!$A$2:$A$2676,Indices!$B$2:$B$2676,"")</f>
        <v/>
      </c>
    </row>
    <row r="2485" spans="1:4" x14ac:dyDescent="0.25">
      <c r="A2485" s="140">
        <v>45713.291666666664</v>
      </c>
      <c r="B2485" t="s">
        <v>3294</v>
      </c>
      <c r="C2485" t="s">
        <v>3291</v>
      </c>
      <c r="D2485" s="6" t="str">
        <f>_xlfn.XLOOKUP(B2485,Indices!$A$2:$A$2676,Indices!$B$2:$B$2676,"")</f>
        <v/>
      </c>
    </row>
    <row r="2486" spans="1:4" x14ac:dyDescent="0.25">
      <c r="A2486" s="140">
        <v>45713.416666666664</v>
      </c>
      <c r="B2486" t="s">
        <v>3313</v>
      </c>
      <c r="C2486" t="s">
        <v>6260</v>
      </c>
      <c r="D2486" s="6" t="str">
        <f>_xlfn.XLOOKUP(B2486,Indices!$A$2:$A$2676,Indices!$B$2:$B$2676,"")</f>
        <v/>
      </c>
    </row>
    <row r="2487" spans="1:4" x14ac:dyDescent="0.25">
      <c r="A2487" s="140">
        <v>45713.48333333333</v>
      </c>
      <c r="B2487" t="s">
        <v>326</v>
      </c>
      <c r="C2487" t="s">
        <v>6261</v>
      </c>
      <c r="D2487" s="6" t="str">
        <f>_xlfn.XLOOKUP(B2487,Indices!$A$2:$A$2676,Indices!$B$2:$B$2676,"")</f>
        <v>IWM</v>
      </c>
    </row>
    <row r="2488" spans="1:4" x14ac:dyDescent="0.25">
      <c r="A2488" s="140">
        <v>45713.580555555556</v>
      </c>
      <c r="B2488" t="s">
        <v>781</v>
      </c>
      <c r="C2488" t="s">
        <v>6262</v>
      </c>
      <c r="D2488" s="6" t="str">
        <f>_xlfn.XLOOKUP(B2488,Indices!$A$2:$A$2676,Indices!$B$2:$B$2676,"")</f>
        <v>IWM</v>
      </c>
    </row>
    <row r="2489" spans="1:4" x14ac:dyDescent="0.25">
      <c r="A2489" s="140">
        <v>45713.583333333336</v>
      </c>
      <c r="B2489" t="s">
        <v>651</v>
      </c>
      <c r="C2489" t="s">
        <v>6263</v>
      </c>
      <c r="D2489" s="6" t="str">
        <f>_xlfn.XLOOKUP(B2489,Indices!$A$2:$A$2676,Indices!$B$2:$B$2676,"")</f>
        <v>IWM</v>
      </c>
    </row>
    <row r="2490" spans="1:4" x14ac:dyDescent="0.25">
      <c r="A2490" s="140">
        <v>45713.583333333336</v>
      </c>
      <c r="B2490" t="s">
        <v>1126</v>
      </c>
      <c r="C2490" t="s">
        <v>6263</v>
      </c>
      <c r="D2490" s="6" t="str">
        <f>_xlfn.XLOOKUP(B2490,Indices!$A$2:$A$2676,Indices!$B$2:$B$2676,"")</f>
        <v>SP500</v>
      </c>
    </row>
    <row r="2491" spans="1:4" x14ac:dyDescent="0.25">
      <c r="A2491" s="140">
        <v>45713.583333333336</v>
      </c>
      <c r="B2491" t="s">
        <v>1606</v>
      </c>
      <c r="C2491" t="s">
        <v>6263</v>
      </c>
      <c r="D2491" s="6" t="str">
        <f>_xlfn.XLOOKUP(B2491,Indices!$A$2:$A$2676,Indices!$B$2:$B$2676,"")</f>
        <v>SP500</v>
      </c>
    </row>
    <row r="2492" spans="1:4" x14ac:dyDescent="0.25">
      <c r="A2492" s="140">
        <v>45713.583333333336</v>
      </c>
      <c r="B2492" t="s">
        <v>330</v>
      </c>
      <c r="C2492" t="s">
        <v>6263</v>
      </c>
      <c r="D2492" s="6" t="str">
        <f>_xlfn.XLOOKUP(B2492,Indices!$A$2:$A$2676,Indices!$B$2:$B$2676,"")</f>
        <v>IWM</v>
      </c>
    </row>
    <row r="2493" spans="1:4" x14ac:dyDescent="0.25">
      <c r="A2493" s="140">
        <v>45713.584027777775</v>
      </c>
      <c r="B2493" t="s">
        <v>88</v>
      </c>
      <c r="C2493" t="s">
        <v>6264</v>
      </c>
      <c r="D2493" s="6" t="str">
        <f>_xlfn.XLOOKUP(B2493,Indices!$A$2:$A$2676,Indices!$B$2:$B$2676,"")</f>
        <v>IWM</v>
      </c>
    </row>
    <row r="2494" spans="1:4" x14ac:dyDescent="0.25">
      <c r="A2494" s="140">
        <v>45713.584027777775</v>
      </c>
      <c r="B2494" t="s">
        <v>3319</v>
      </c>
      <c r="C2494" t="s">
        <v>6264</v>
      </c>
      <c r="D2494" s="6" t="str">
        <f>_xlfn.XLOOKUP(B2494,Indices!$A$2:$A$2676,Indices!$B$2:$B$2676,"")</f>
        <v/>
      </c>
    </row>
    <row r="2495" spans="1:4" x14ac:dyDescent="0.25">
      <c r="A2495" s="140">
        <v>45713.584027777775</v>
      </c>
      <c r="B2495" t="s">
        <v>1163</v>
      </c>
      <c r="C2495" t="s">
        <v>6264</v>
      </c>
      <c r="D2495" s="6" t="str">
        <f>_xlfn.XLOOKUP(B2495,Indices!$A$2:$A$2676,Indices!$B$2:$B$2676,"")</f>
        <v>NQ100</v>
      </c>
    </row>
    <row r="2496" spans="1:4" x14ac:dyDescent="0.25">
      <c r="A2496" s="140">
        <v>45713.584027777775</v>
      </c>
      <c r="B2496" t="s">
        <v>3335</v>
      </c>
      <c r="C2496" t="s">
        <v>6264</v>
      </c>
      <c r="D2496" s="6" t="str">
        <f>_xlfn.XLOOKUP(B2496,Indices!$A$2:$A$2676,Indices!$B$2:$B$2676,"")</f>
        <v/>
      </c>
    </row>
    <row r="2497" spans="1:4" x14ac:dyDescent="0.25">
      <c r="A2497" s="140">
        <v>45713.584027777775</v>
      </c>
      <c r="B2497" t="s">
        <v>3323</v>
      </c>
      <c r="C2497" t="s">
        <v>6264</v>
      </c>
      <c r="D2497" s="6" t="str">
        <f>_xlfn.XLOOKUP(B2497,Indices!$A$2:$A$2676,Indices!$B$2:$B$2676,"")</f>
        <v/>
      </c>
    </row>
    <row r="2498" spans="1:4" x14ac:dyDescent="0.25">
      <c r="A2498" s="140">
        <v>45713.584027777775</v>
      </c>
      <c r="B2498" t="s">
        <v>1638</v>
      </c>
      <c r="C2498" t="s">
        <v>6264</v>
      </c>
      <c r="D2498" s="6" t="str">
        <f>_xlfn.XLOOKUP(B2498,Indices!$A$2:$A$2676,Indices!$B$2:$B$2676,"")</f>
        <v>IWM</v>
      </c>
    </row>
    <row r="2499" spans="1:4" x14ac:dyDescent="0.25">
      <c r="A2499" s="140">
        <v>45713.584027777775</v>
      </c>
      <c r="B2499" t="s">
        <v>657</v>
      </c>
      <c r="C2499" t="s">
        <v>6264</v>
      </c>
      <c r="D2499" s="6" t="str">
        <f>_xlfn.XLOOKUP(B2499,Indices!$A$2:$A$2676,Indices!$B$2:$B$2676,"")</f>
        <v>SP500</v>
      </c>
    </row>
    <row r="2500" spans="1:4" x14ac:dyDescent="0.25">
      <c r="A2500" s="140">
        <v>45713.584027777775</v>
      </c>
      <c r="B2500" t="s">
        <v>218</v>
      </c>
      <c r="C2500" t="s">
        <v>6264</v>
      </c>
      <c r="D2500" s="6" t="str">
        <f>_xlfn.XLOOKUP(B2500,Indices!$A$2:$A$2676,Indices!$B$2:$B$2676,"")</f>
        <v>IWM</v>
      </c>
    </row>
    <row r="2501" spans="1:4" x14ac:dyDescent="0.25">
      <c r="A2501" s="140">
        <v>45713.584027777775</v>
      </c>
      <c r="B2501" t="s">
        <v>3916</v>
      </c>
      <c r="C2501" t="s">
        <v>6264</v>
      </c>
      <c r="D2501" s="6" t="str">
        <f>_xlfn.XLOOKUP(B2501,Indices!$A$2:$A$2676,Indices!$B$2:$B$2676,"")</f>
        <v/>
      </c>
    </row>
    <row r="2502" spans="1:4" x14ac:dyDescent="0.25">
      <c r="A2502" s="140">
        <v>45713.584722222222</v>
      </c>
      <c r="B2502" t="s">
        <v>1727</v>
      </c>
      <c r="C2502" t="s">
        <v>6265</v>
      </c>
      <c r="D2502" s="6" t="str">
        <f>_xlfn.XLOOKUP(B2502,Indices!$A$2:$A$2676,Indices!$B$2:$B$2676,"")</f>
        <v>IWM</v>
      </c>
    </row>
    <row r="2503" spans="1:4" x14ac:dyDescent="0.25">
      <c r="A2503" s="140">
        <v>45713.584722222222</v>
      </c>
      <c r="B2503" t="s">
        <v>656</v>
      </c>
      <c r="C2503" t="s">
        <v>6265</v>
      </c>
      <c r="D2503" s="6" t="str">
        <f>_xlfn.XLOOKUP(B2503,Indices!$A$2:$A$2676,Indices!$B$2:$B$2676,"")</f>
        <v>IWM</v>
      </c>
    </row>
    <row r="2504" spans="1:4" x14ac:dyDescent="0.25">
      <c r="A2504" s="140">
        <v>45713.585416666669</v>
      </c>
      <c r="B2504" t="s">
        <v>225</v>
      </c>
      <c r="C2504" t="s">
        <v>6266</v>
      </c>
      <c r="D2504" s="6" t="str">
        <f>_xlfn.XLOOKUP(B2504,Indices!$A$2:$A$2676,Indices!$B$2:$B$2676,"")</f>
        <v>IWM</v>
      </c>
    </row>
    <row r="2505" spans="1:4" x14ac:dyDescent="0.25">
      <c r="A2505" s="140">
        <v>45713.586111111108</v>
      </c>
      <c r="B2505" t="s">
        <v>666</v>
      </c>
      <c r="C2505" t="s">
        <v>6267</v>
      </c>
      <c r="D2505" s="6" t="str">
        <f>_xlfn.XLOOKUP(B2505,Indices!$A$2:$A$2676,Indices!$B$2:$B$2676,"")</f>
        <v>IWM</v>
      </c>
    </row>
    <row r="2506" spans="1:4" x14ac:dyDescent="0.25">
      <c r="A2506" s="140">
        <v>45713.586805555555</v>
      </c>
      <c r="B2506" t="s">
        <v>956</v>
      </c>
      <c r="C2506" t="s">
        <v>6268</v>
      </c>
      <c r="D2506" s="6" t="str">
        <f>_xlfn.XLOOKUP(B2506,Indices!$A$2:$A$2676,Indices!$B$2:$B$2676,"")</f>
        <v>S&amp;P Mid</v>
      </c>
    </row>
    <row r="2507" spans="1:4" x14ac:dyDescent="0.25">
      <c r="A2507" s="140">
        <v>45713.586805555555</v>
      </c>
      <c r="B2507" t="s">
        <v>4612</v>
      </c>
      <c r="C2507" t="s">
        <v>6268</v>
      </c>
      <c r="D2507" s="6" t="str">
        <f>_xlfn.XLOOKUP(B2507,Indices!$A$2:$A$2676,Indices!$B$2:$B$2676,"")</f>
        <v/>
      </c>
    </row>
    <row r="2508" spans="1:4" x14ac:dyDescent="0.25">
      <c r="A2508" s="140">
        <v>45713.586805555555</v>
      </c>
      <c r="B2508" t="s">
        <v>1652</v>
      </c>
      <c r="C2508" t="s">
        <v>6268</v>
      </c>
      <c r="D2508" s="6" t="str">
        <f>_xlfn.XLOOKUP(B2508,Indices!$A$2:$A$2676,Indices!$B$2:$B$2676,"")</f>
        <v>IWM</v>
      </c>
    </row>
    <row r="2509" spans="1:4" x14ac:dyDescent="0.25">
      <c r="A2509" s="140">
        <v>45713.586805555555</v>
      </c>
      <c r="B2509" t="s">
        <v>684</v>
      </c>
      <c r="C2509" t="s">
        <v>6268</v>
      </c>
      <c r="D2509" s="6" t="str">
        <f>_xlfn.XLOOKUP(B2509,Indices!$A$2:$A$2676,Indices!$B$2:$B$2676,"")</f>
        <v>IWM</v>
      </c>
    </row>
    <row r="2510" spans="1:4" x14ac:dyDescent="0.25">
      <c r="A2510" s="140">
        <v>45713.586805555555</v>
      </c>
      <c r="B2510" t="s">
        <v>234</v>
      </c>
      <c r="C2510" t="s">
        <v>6268</v>
      </c>
      <c r="D2510" s="6" t="str">
        <f>_xlfn.XLOOKUP(B2510,Indices!$A$2:$A$2676,Indices!$B$2:$B$2676,"")</f>
        <v>IWM</v>
      </c>
    </row>
    <row r="2511" spans="1:4" x14ac:dyDescent="0.25">
      <c r="A2511" s="140">
        <v>45713.586805555555</v>
      </c>
      <c r="B2511" t="s">
        <v>872</v>
      </c>
      <c r="C2511" t="s">
        <v>6268</v>
      </c>
      <c r="D2511" s="6" t="str">
        <f>_xlfn.XLOOKUP(B2511,Indices!$A$2:$A$2676,Indices!$B$2:$B$2676,"")</f>
        <v>IWM</v>
      </c>
    </row>
    <row r="2512" spans="1:4" x14ac:dyDescent="0.25">
      <c r="A2512" s="140">
        <v>45713.586805555555</v>
      </c>
      <c r="B2512" t="s">
        <v>221</v>
      </c>
      <c r="C2512" t="s">
        <v>6268</v>
      </c>
      <c r="D2512" s="6" t="str">
        <f>_xlfn.XLOOKUP(B2512,Indices!$A$2:$A$2676,Indices!$B$2:$B$2676,"")</f>
        <v>IWM</v>
      </c>
    </row>
    <row r="2513" spans="1:4" x14ac:dyDescent="0.25">
      <c r="A2513" s="140">
        <v>45713.586805555555</v>
      </c>
      <c r="B2513" t="s">
        <v>1189</v>
      </c>
      <c r="C2513" t="s">
        <v>6268</v>
      </c>
      <c r="D2513" s="6" t="str">
        <f>_xlfn.XLOOKUP(B2513,Indices!$A$2:$A$2676,Indices!$B$2:$B$2676,"")</f>
        <v>IWM</v>
      </c>
    </row>
    <row r="2514" spans="1:4" x14ac:dyDescent="0.25">
      <c r="A2514" s="140">
        <v>45713.586805555555</v>
      </c>
      <c r="B2514" t="s">
        <v>745</v>
      </c>
      <c r="C2514" t="s">
        <v>6268</v>
      </c>
      <c r="D2514" s="6" t="str">
        <f>_xlfn.XLOOKUP(B2514,Indices!$A$2:$A$2676,Indices!$B$2:$B$2676,"")</f>
        <v>IWM</v>
      </c>
    </row>
    <row r="2515" spans="1:4" x14ac:dyDescent="0.25">
      <c r="A2515" s="140">
        <v>45713.586805555555</v>
      </c>
      <c r="B2515" t="s">
        <v>755</v>
      </c>
      <c r="C2515" t="s">
        <v>6268</v>
      </c>
      <c r="D2515" s="6" t="str">
        <f>_xlfn.XLOOKUP(B2515,Indices!$A$2:$A$2676,Indices!$B$2:$B$2676,"")</f>
        <v>IWM</v>
      </c>
    </row>
    <row r="2516" spans="1:4" x14ac:dyDescent="0.25">
      <c r="A2516" s="140">
        <v>45713.586805555555</v>
      </c>
      <c r="B2516" t="s">
        <v>393</v>
      </c>
      <c r="C2516" t="s">
        <v>6268</v>
      </c>
      <c r="D2516" s="6" t="str">
        <f>_xlfn.XLOOKUP(B2516,Indices!$A$2:$A$2676,Indices!$B$2:$B$2676,"")</f>
        <v>IWM</v>
      </c>
    </row>
    <row r="2517" spans="1:4" x14ac:dyDescent="0.25">
      <c r="A2517" s="140">
        <v>45713.586805555555</v>
      </c>
      <c r="B2517" t="s">
        <v>3329</v>
      </c>
      <c r="C2517" t="s">
        <v>6268</v>
      </c>
      <c r="D2517" s="6" t="str">
        <f>_xlfn.XLOOKUP(B2517,Indices!$A$2:$A$2676,Indices!$B$2:$B$2676,"")</f>
        <v/>
      </c>
    </row>
    <row r="2518" spans="1:4" x14ac:dyDescent="0.25">
      <c r="A2518" s="140">
        <v>45713.586805555555</v>
      </c>
      <c r="B2518" t="s">
        <v>3316</v>
      </c>
      <c r="C2518" t="s">
        <v>6268</v>
      </c>
      <c r="D2518" s="6" t="str">
        <f>_xlfn.XLOOKUP(B2518,Indices!$A$2:$A$2676,Indices!$B$2:$B$2676,"")</f>
        <v/>
      </c>
    </row>
    <row r="2519" spans="1:4" x14ac:dyDescent="0.25">
      <c r="A2519" s="140">
        <v>45713.586805555555</v>
      </c>
      <c r="B2519" t="s">
        <v>3430</v>
      </c>
      <c r="C2519" t="s">
        <v>6268</v>
      </c>
      <c r="D2519" s="6" t="str">
        <f>_xlfn.XLOOKUP(B2519,Indices!$A$2:$A$2676,Indices!$B$2:$B$2676,"")</f>
        <v/>
      </c>
    </row>
    <row r="2520" spans="1:4" x14ac:dyDescent="0.25">
      <c r="A2520" s="140">
        <v>45713.586805555555</v>
      </c>
      <c r="B2520" t="s">
        <v>384</v>
      </c>
      <c r="C2520" t="s">
        <v>6268</v>
      </c>
      <c r="D2520" s="6" t="str">
        <f>_xlfn.XLOOKUP(B2520,Indices!$A$2:$A$2676,Indices!$B$2:$B$2676,"")</f>
        <v>S&amp;P Mid</v>
      </c>
    </row>
    <row r="2521" spans="1:4" x14ac:dyDescent="0.25">
      <c r="A2521" s="140">
        <v>45713.586805555555</v>
      </c>
      <c r="B2521" t="s">
        <v>3403</v>
      </c>
      <c r="C2521" t="s">
        <v>6268</v>
      </c>
      <c r="D2521" s="6" t="str">
        <f>_xlfn.XLOOKUP(B2521,Indices!$A$2:$A$2676,Indices!$B$2:$B$2676,"")</f>
        <v/>
      </c>
    </row>
    <row r="2522" spans="1:4" x14ac:dyDescent="0.25">
      <c r="A2522" s="140">
        <v>45713.586805555555</v>
      </c>
      <c r="B2522" t="s">
        <v>467</v>
      </c>
      <c r="C2522" t="s">
        <v>6268</v>
      </c>
      <c r="D2522" s="6" t="str">
        <f>_xlfn.XLOOKUP(B2522,Indices!$A$2:$A$2676,Indices!$B$2:$B$2676,"")</f>
        <v>IWM</v>
      </c>
    </row>
    <row r="2523" spans="1:4" x14ac:dyDescent="0.25">
      <c r="A2523" s="140">
        <v>45713.586805555555</v>
      </c>
      <c r="B2523" t="s">
        <v>1093</v>
      </c>
      <c r="C2523" t="s">
        <v>6268</v>
      </c>
      <c r="D2523" s="6" t="str">
        <f>_xlfn.XLOOKUP(B2523,Indices!$A$2:$A$2676,Indices!$B$2:$B$2676,"")</f>
        <v>SP500</v>
      </c>
    </row>
    <row r="2524" spans="1:4" x14ac:dyDescent="0.25">
      <c r="A2524" s="140">
        <v>45713.586805555555</v>
      </c>
      <c r="B2524" t="s">
        <v>239</v>
      </c>
      <c r="C2524" t="s">
        <v>6268</v>
      </c>
      <c r="D2524" s="6" t="str">
        <f>_xlfn.XLOOKUP(B2524,Indices!$A$2:$A$2676,Indices!$B$2:$B$2676,"")</f>
        <v>S&amp;P Mid</v>
      </c>
    </row>
    <row r="2525" spans="1:4" x14ac:dyDescent="0.25">
      <c r="A2525" s="140">
        <v>45713.586805555555</v>
      </c>
      <c r="B2525" t="s">
        <v>398</v>
      </c>
      <c r="C2525" t="s">
        <v>6268</v>
      </c>
      <c r="D2525" s="6" t="str">
        <f>_xlfn.XLOOKUP(B2525,Indices!$A$2:$A$2676,Indices!$B$2:$B$2676,"")</f>
        <v>IWM</v>
      </c>
    </row>
    <row r="2526" spans="1:4" x14ac:dyDescent="0.25">
      <c r="A2526" s="140">
        <v>45713.586805555555</v>
      </c>
      <c r="B2526" t="s">
        <v>2106</v>
      </c>
      <c r="C2526" t="s">
        <v>6268</v>
      </c>
      <c r="D2526" s="6" t="str">
        <f>_xlfn.XLOOKUP(B2526,Indices!$A$2:$A$2676,Indices!$B$2:$B$2676,"")</f>
        <v>IWM</v>
      </c>
    </row>
    <row r="2527" spans="1:4" x14ac:dyDescent="0.25">
      <c r="A2527" s="140">
        <v>45713.586805555555</v>
      </c>
      <c r="B2527" t="s">
        <v>86</v>
      </c>
      <c r="C2527" t="s">
        <v>6268</v>
      </c>
      <c r="D2527" s="6" t="str">
        <f>_xlfn.XLOOKUP(B2527,Indices!$A$2:$A$2676,Indices!$B$2:$B$2676,"")</f>
        <v>IWM</v>
      </c>
    </row>
    <row r="2528" spans="1:4" x14ac:dyDescent="0.25">
      <c r="A2528" s="140">
        <v>45713.586805555555</v>
      </c>
      <c r="B2528" t="s">
        <v>708</v>
      </c>
      <c r="C2528" t="s">
        <v>6268</v>
      </c>
      <c r="D2528" s="6" t="str">
        <f>_xlfn.XLOOKUP(B2528,Indices!$A$2:$A$2676,Indices!$B$2:$B$2676,"")</f>
        <v>IWM</v>
      </c>
    </row>
    <row r="2529" spans="1:4" x14ac:dyDescent="0.25">
      <c r="A2529" s="140">
        <v>45713.586805555555</v>
      </c>
      <c r="B2529" t="s">
        <v>951</v>
      </c>
      <c r="C2529" t="s">
        <v>6268</v>
      </c>
      <c r="D2529" s="6" t="str">
        <f>_xlfn.XLOOKUP(B2529,Indices!$A$2:$A$2676,Indices!$B$2:$B$2676,"")</f>
        <v>S&amp;P Mid</v>
      </c>
    </row>
    <row r="2530" spans="1:4" x14ac:dyDescent="0.25">
      <c r="A2530" s="140">
        <v>45713.586805555555</v>
      </c>
      <c r="B2530" t="s">
        <v>371</v>
      </c>
      <c r="C2530" t="s">
        <v>6268</v>
      </c>
      <c r="D2530" s="6" t="str">
        <f>_xlfn.XLOOKUP(B2530,Indices!$A$2:$A$2676,Indices!$B$2:$B$2676,"")</f>
        <v>IWM</v>
      </c>
    </row>
    <row r="2531" spans="1:4" x14ac:dyDescent="0.25">
      <c r="A2531" s="140">
        <v>45713.586805555555</v>
      </c>
      <c r="B2531" t="s">
        <v>1063</v>
      </c>
      <c r="C2531" t="s">
        <v>6268</v>
      </c>
      <c r="D2531" s="6" t="str">
        <f>_xlfn.XLOOKUP(B2531,Indices!$A$2:$A$2676,Indices!$B$2:$B$2676,"")</f>
        <v>IWM</v>
      </c>
    </row>
    <row r="2532" spans="1:4" x14ac:dyDescent="0.25">
      <c r="A2532" s="140">
        <v>45713.586805555555</v>
      </c>
      <c r="B2532" t="s">
        <v>1970</v>
      </c>
      <c r="C2532" t="s">
        <v>6268</v>
      </c>
      <c r="D2532" s="6" t="str">
        <f>_xlfn.XLOOKUP(B2532,Indices!$A$2:$A$2676,Indices!$B$2:$B$2676,"")</f>
        <v>IWM</v>
      </c>
    </row>
    <row r="2533" spans="1:4" x14ac:dyDescent="0.25">
      <c r="A2533" s="140">
        <v>45713.586805555555</v>
      </c>
      <c r="B2533" t="s">
        <v>3669</v>
      </c>
      <c r="C2533" t="s">
        <v>6268</v>
      </c>
      <c r="D2533" s="6" t="str">
        <f>_xlfn.XLOOKUP(B2533,Indices!$A$2:$A$2676,Indices!$B$2:$B$2676,"")</f>
        <v/>
      </c>
    </row>
    <row r="2534" spans="1:4" x14ac:dyDescent="0.25">
      <c r="A2534" s="140">
        <v>45713.586805555555</v>
      </c>
      <c r="B2534" t="s">
        <v>1870</v>
      </c>
      <c r="C2534" t="s">
        <v>6268</v>
      </c>
      <c r="D2534" s="6" t="str">
        <f>_xlfn.XLOOKUP(B2534,Indices!$A$2:$A$2676,Indices!$B$2:$B$2676,"")</f>
        <v>IWM</v>
      </c>
    </row>
    <row r="2535" spans="1:4" x14ac:dyDescent="0.25">
      <c r="A2535" s="140">
        <v>45713.586805555555</v>
      </c>
      <c r="B2535" t="s">
        <v>388</v>
      </c>
      <c r="C2535" t="s">
        <v>6268</v>
      </c>
      <c r="D2535" s="6" t="str">
        <f>_xlfn.XLOOKUP(B2535,Indices!$A$2:$A$2676,Indices!$B$2:$B$2676,"")</f>
        <v>IWM</v>
      </c>
    </row>
    <row r="2536" spans="1:4" x14ac:dyDescent="0.25">
      <c r="A2536" s="140">
        <v>45713.586805555555</v>
      </c>
      <c r="B2536" t="s">
        <v>1682</v>
      </c>
      <c r="C2536" t="s">
        <v>6268</v>
      </c>
      <c r="D2536" s="6" t="str">
        <f>_xlfn.XLOOKUP(B2536,Indices!$A$2:$A$2676,Indices!$B$2:$B$2676,"")</f>
        <v>IWM</v>
      </c>
    </row>
    <row r="2537" spans="1:4" x14ac:dyDescent="0.25">
      <c r="A2537" s="140">
        <v>45713.586805555555</v>
      </c>
      <c r="B2537" t="s">
        <v>3317</v>
      </c>
      <c r="C2537" t="s">
        <v>6268</v>
      </c>
      <c r="D2537" s="6" t="str">
        <f>_xlfn.XLOOKUP(B2537,Indices!$A$2:$A$2676,Indices!$B$2:$B$2676,"")</f>
        <v/>
      </c>
    </row>
    <row r="2538" spans="1:4" x14ac:dyDescent="0.25">
      <c r="A2538" s="140">
        <v>45713.586805555555</v>
      </c>
      <c r="B2538" t="s">
        <v>803</v>
      </c>
      <c r="C2538" t="s">
        <v>6268</v>
      </c>
      <c r="D2538" s="6" t="str">
        <f>_xlfn.XLOOKUP(B2538,Indices!$A$2:$A$2676,Indices!$B$2:$B$2676,"")</f>
        <v>IWM</v>
      </c>
    </row>
    <row r="2539" spans="1:4" x14ac:dyDescent="0.25">
      <c r="A2539" s="140">
        <v>45713.586805555555</v>
      </c>
      <c r="B2539" t="s">
        <v>1537</v>
      </c>
      <c r="C2539" t="s">
        <v>6268</v>
      </c>
      <c r="D2539" s="6" t="str">
        <f>_xlfn.XLOOKUP(B2539,Indices!$A$2:$A$2676,Indices!$B$2:$B$2676,"")</f>
        <v>SP500</v>
      </c>
    </row>
    <row r="2540" spans="1:4" x14ac:dyDescent="0.25">
      <c r="A2540" s="140">
        <v>45713.586805555555</v>
      </c>
      <c r="B2540" t="s">
        <v>3333</v>
      </c>
      <c r="C2540" t="s">
        <v>6268</v>
      </c>
      <c r="D2540" s="6" t="str">
        <f>_xlfn.XLOOKUP(B2540,Indices!$A$2:$A$2676,Indices!$B$2:$B$2676,"")</f>
        <v/>
      </c>
    </row>
    <row r="2541" spans="1:4" x14ac:dyDescent="0.25">
      <c r="A2541" s="140">
        <v>45713.586805555555</v>
      </c>
      <c r="B2541" t="s">
        <v>3658</v>
      </c>
      <c r="C2541" t="s">
        <v>6268</v>
      </c>
      <c r="D2541" s="6" t="str">
        <f>_xlfn.XLOOKUP(B2541,Indices!$A$2:$A$2676,Indices!$B$2:$B$2676,"")</f>
        <v/>
      </c>
    </row>
    <row r="2542" spans="1:4" x14ac:dyDescent="0.25">
      <c r="A2542" s="140">
        <v>45713.586805555555</v>
      </c>
      <c r="B2542" t="s">
        <v>3324</v>
      </c>
      <c r="C2542" t="s">
        <v>6268</v>
      </c>
      <c r="D2542" s="6" t="str">
        <f>_xlfn.XLOOKUP(B2542,Indices!$A$2:$A$2676,Indices!$B$2:$B$2676,"")</f>
        <v/>
      </c>
    </row>
    <row r="2543" spans="1:4" x14ac:dyDescent="0.25">
      <c r="A2543" s="140">
        <v>45713.586805555555</v>
      </c>
      <c r="B2543" t="s">
        <v>1633</v>
      </c>
      <c r="C2543" t="s">
        <v>6268</v>
      </c>
      <c r="D2543" s="6" t="str">
        <f>_xlfn.XLOOKUP(B2543,Indices!$A$2:$A$2676,Indices!$B$2:$B$2676,"")</f>
        <v>IWM</v>
      </c>
    </row>
    <row r="2544" spans="1:4" x14ac:dyDescent="0.25">
      <c r="A2544" s="140">
        <v>45713.586805555555</v>
      </c>
      <c r="B2544" t="s">
        <v>1858</v>
      </c>
      <c r="C2544" t="s">
        <v>6268</v>
      </c>
      <c r="D2544" s="6" t="str">
        <f>_xlfn.XLOOKUP(B2544,Indices!$A$2:$A$2676,Indices!$B$2:$B$2676,"")</f>
        <v>IWM</v>
      </c>
    </row>
    <row r="2545" spans="1:4" x14ac:dyDescent="0.25">
      <c r="A2545" s="140">
        <v>45713.587500000001</v>
      </c>
      <c r="B2545" t="s">
        <v>765</v>
      </c>
      <c r="C2545" t="s">
        <v>6269</v>
      </c>
      <c r="D2545" s="6" t="str">
        <f>_xlfn.XLOOKUP(B2545,Indices!$A$2:$A$2676,Indices!$B$2:$B$2676,"")</f>
        <v>IWM</v>
      </c>
    </row>
    <row r="2546" spans="1:4" x14ac:dyDescent="0.25">
      <c r="A2546" s="140">
        <v>45713.588194444441</v>
      </c>
      <c r="B2546" t="s">
        <v>3331</v>
      </c>
      <c r="C2546" t="s">
        <v>6270</v>
      </c>
      <c r="D2546" s="6" t="str">
        <f>_xlfn.XLOOKUP(B2546,Indices!$A$2:$A$2676,Indices!$B$2:$B$2676,"")</f>
        <v/>
      </c>
    </row>
    <row r="2547" spans="1:4" x14ac:dyDescent="0.25">
      <c r="A2547" s="140">
        <v>45713.588194444441</v>
      </c>
      <c r="B2547" t="s">
        <v>914</v>
      </c>
      <c r="C2547" t="s">
        <v>6270</v>
      </c>
      <c r="D2547" s="6" t="str">
        <f>_xlfn.XLOOKUP(B2547,Indices!$A$2:$A$2676,Indices!$B$2:$B$2676,"")</f>
        <v>IWM</v>
      </c>
    </row>
    <row r="2548" spans="1:4" x14ac:dyDescent="0.25">
      <c r="A2548" s="140">
        <v>45713.588888888888</v>
      </c>
      <c r="B2548" t="s">
        <v>3338</v>
      </c>
      <c r="C2548" t="s">
        <v>6271</v>
      </c>
      <c r="D2548" s="6" t="str">
        <f>_xlfn.XLOOKUP(B2548,Indices!$A$2:$A$2676,Indices!$B$2:$B$2676,"")</f>
        <v/>
      </c>
    </row>
    <row r="2549" spans="1:4" x14ac:dyDescent="0.25">
      <c r="A2549" s="140">
        <v>45713.590277777781</v>
      </c>
      <c r="B2549" t="s">
        <v>2210</v>
      </c>
      <c r="C2549" t="s">
        <v>6272</v>
      </c>
      <c r="D2549" s="6" t="str">
        <f>_xlfn.XLOOKUP(B2549,Indices!$A$2:$A$2676,Indices!$B$2:$B$2676,"")</f>
        <v>IWM</v>
      </c>
    </row>
    <row r="2550" spans="1:4" x14ac:dyDescent="0.25">
      <c r="A2550" s="140">
        <v>45713.590277777781</v>
      </c>
      <c r="B2550" t="s">
        <v>2139</v>
      </c>
      <c r="C2550" t="s">
        <v>6272</v>
      </c>
      <c r="D2550" s="6" t="str">
        <f>_xlfn.XLOOKUP(B2550,Indices!$A$2:$A$2676,Indices!$B$2:$B$2676,"")</f>
        <v>IWM</v>
      </c>
    </row>
    <row r="2551" spans="1:4" x14ac:dyDescent="0.25">
      <c r="A2551" s="140">
        <v>45713.590277777781</v>
      </c>
      <c r="B2551" t="s">
        <v>3826</v>
      </c>
      <c r="C2551" t="s">
        <v>6272</v>
      </c>
      <c r="D2551" s="6" t="str">
        <f>_xlfn.XLOOKUP(B2551,Indices!$A$2:$A$2676,Indices!$B$2:$B$2676,"")</f>
        <v/>
      </c>
    </row>
    <row r="2552" spans="1:4" x14ac:dyDescent="0.25">
      <c r="A2552" s="140">
        <v>45713.590277777781</v>
      </c>
      <c r="B2552" t="s">
        <v>3613</v>
      </c>
      <c r="C2552" t="s">
        <v>6272</v>
      </c>
      <c r="D2552" s="6" t="str">
        <f>_xlfn.XLOOKUP(B2552,Indices!$A$2:$A$2676,Indices!$B$2:$B$2676,"")</f>
        <v/>
      </c>
    </row>
    <row r="2553" spans="1:4" x14ac:dyDescent="0.25">
      <c r="A2553" s="140">
        <v>45713.592361111114</v>
      </c>
      <c r="B2553" t="s">
        <v>466</v>
      </c>
      <c r="C2553" t="s">
        <v>6273</v>
      </c>
      <c r="D2553" s="6" t="str">
        <f>_xlfn.XLOOKUP(B2553,Indices!$A$2:$A$2676,Indices!$B$2:$B$2676,"")</f>
        <v>S&amp;P Mid</v>
      </c>
    </row>
    <row r="2554" spans="1:4" x14ac:dyDescent="0.25">
      <c r="A2554" s="140">
        <v>45713.59375</v>
      </c>
      <c r="B2554" t="s">
        <v>243</v>
      </c>
      <c r="C2554" t="s">
        <v>6274</v>
      </c>
      <c r="D2554" s="6" t="str">
        <f>_xlfn.XLOOKUP(B2554,Indices!$A$2:$A$2676,Indices!$B$2:$B$2676,"")</f>
        <v>IWM</v>
      </c>
    </row>
    <row r="2555" spans="1:4" x14ac:dyDescent="0.25">
      <c r="A2555" s="140">
        <v>45713.59375</v>
      </c>
      <c r="B2555" t="s">
        <v>3334</v>
      </c>
      <c r="C2555" t="s">
        <v>6274</v>
      </c>
      <c r="D2555" s="6" t="str">
        <f>_xlfn.XLOOKUP(B2555,Indices!$A$2:$A$2676,Indices!$B$2:$B$2676,"")</f>
        <v/>
      </c>
    </row>
    <row r="2556" spans="1:4" x14ac:dyDescent="0.25">
      <c r="A2556" s="140">
        <v>45713.59375</v>
      </c>
      <c r="B2556" t="s">
        <v>1450</v>
      </c>
      <c r="C2556" t="s">
        <v>6274</v>
      </c>
      <c r="D2556" s="6" t="str">
        <f>_xlfn.XLOOKUP(B2556,Indices!$A$2:$A$2676,Indices!$B$2:$B$2676,"")</f>
        <v>SP500</v>
      </c>
    </row>
    <row r="2557" spans="1:4" x14ac:dyDescent="0.25">
      <c r="A2557" s="140">
        <v>45713.59375</v>
      </c>
      <c r="B2557" t="s">
        <v>3422</v>
      </c>
      <c r="C2557" t="s">
        <v>6274</v>
      </c>
      <c r="D2557" s="6" t="str">
        <f>_xlfn.XLOOKUP(B2557,Indices!$A$2:$A$2676,Indices!$B$2:$B$2676,"")</f>
        <v/>
      </c>
    </row>
    <row r="2558" spans="1:4" x14ac:dyDescent="0.25">
      <c r="A2558" s="140">
        <v>45713.59375</v>
      </c>
      <c r="B2558" t="s">
        <v>2368</v>
      </c>
      <c r="C2558" t="s">
        <v>6274</v>
      </c>
      <c r="D2558" s="6" t="str">
        <f>_xlfn.XLOOKUP(B2558,Indices!$A$2:$A$2676,Indices!$B$2:$B$2676,"")</f>
        <v>S&amp;P Mid</v>
      </c>
    </row>
    <row r="2559" spans="1:4" x14ac:dyDescent="0.25">
      <c r="A2559" s="140">
        <v>45713.59375</v>
      </c>
      <c r="B2559" t="s">
        <v>993</v>
      </c>
      <c r="C2559" t="s">
        <v>6274</v>
      </c>
      <c r="D2559" s="6" t="str">
        <f>_xlfn.XLOOKUP(B2559,Indices!$A$2:$A$2676,Indices!$B$2:$B$2676,"")</f>
        <v>IWM</v>
      </c>
    </row>
    <row r="2560" spans="1:4" x14ac:dyDescent="0.25">
      <c r="A2560" s="140">
        <v>45713.59375</v>
      </c>
      <c r="B2560" t="s">
        <v>476</v>
      </c>
      <c r="C2560" t="s">
        <v>6274</v>
      </c>
      <c r="D2560" s="6" t="str">
        <f>_xlfn.XLOOKUP(B2560,Indices!$A$2:$A$2676,Indices!$B$2:$B$2676,"")</f>
        <v>S&amp;P Mid</v>
      </c>
    </row>
    <row r="2561" spans="1:4" x14ac:dyDescent="0.25">
      <c r="A2561" s="140">
        <v>45713.59375</v>
      </c>
      <c r="B2561" t="s">
        <v>783</v>
      </c>
      <c r="C2561" t="s">
        <v>6274</v>
      </c>
      <c r="D2561" s="6" t="str">
        <f>_xlfn.XLOOKUP(B2561,Indices!$A$2:$A$2676,Indices!$B$2:$B$2676,"")</f>
        <v>IWM</v>
      </c>
    </row>
    <row r="2562" spans="1:4" x14ac:dyDescent="0.25">
      <c r="A2562" s="140">
        <v>45713.59375</v>
      </c>
      <c r="B2562" t="s">
        <v>140</v>
      </c>
      <c r="C2562" t="s">
        <v>6274</v>
      </c>
      <c r="D2562" s="6" t="str">
        <f>_xlfn.XLOOKUP(B2562,Indices!$A$2:$A$2676,Indices!$B$2:$B$2676,"")</f>
        <v>IWM</v>
      </c>
    </row>
    <row r="2563" spans="1:4" x14ac:dyDescent="0.25">
      <c r="A2563" s="140">
        <v>45713.59375</v>
      </c>
      <c r="B2563" t="s">
        <v>452</v>
      </c>
      <c r="C2563" t="s">
        <v>6274</v>
      </c>
      <c r="D2563" s="6" t="str">
        <f>_xlfn.XLOOKUP(B2563,Indices!$A$2:$A$2676,Indices!$B$2:$B$2676,"")</f>
        <v>IWM</v>
      </c>
    </row>
    <row r="2564" spans="1:4" x14ac:dyDescent="0.25">
      <c r="A2564" s="140">
        <v>45713.595833333333</v>
      </c>
      <c r="B2564" t="s">
        <v>468</v>
      </c>
      <c r="C2564" t="s">
        <v>6275</v>
      </c>
      <c r="D2564" s="6" t="str">
        <f>_xlfn.XLOOKUP(B2564,Indices!$A$2:$A$2676,Indices!$B$2:$B$2676,"")</f>
        <v>IWM</v>
      </c>
    </row>
    <row r="2565" spans="1:4" x14ac:dyDescent="0.25">
      <c r="A2565" s="140">
        <v>45713.595833333333</v>
      </c>
      <c r="B2565" t="s">
        <v>2437</v>
      </c>
      <c r="C2565" t="s">
        <v>6275</v>
      </c>
      <c r="D2565" s="6" t="str">
        <f>_xlfn.XLOOKUP(B2565,Indices!$A$2:$A$2676,Indices!$B$2:$B$2676,"")</f>
        <v>S&amp;P Mid</v>
      </c>
    </row>
    <row r="2566" spans="1:4" x14ac:dyDescent="0.25">
      <c r="A2566" s="140">
        <v>45713.597222222219</v>
      </c>
      <c r="B2566" t="s">
        <v>2237</v>
      </c>
      <c r="C2566" t="s">
        <v>6276</v>
      </c>
      <c r="D2566" s="6" t="str">
        <f>_xlfn.XLOOKUP(B2566,Indices!$A$2:$A$2676,Indices!$B$2:$B$2676,"")</f>
        <v>IWM</v>
      </c>
    </row>
    <row r="2567" spans="1:4" x14ac:dyDescent="0.25">
      <c r="A2567" s="140">
        <v>45713.599999999999</v>
      </c>
      <c r="B2567" t="s">
        <v>1106</v>
      </c>
      <c r="C2567" t="s">
        <v>6277</v>
      </c>
      <c r="D2567" s="6" t="str">
        <f>_xlfn.XLOOKUP(B2567,Indices!$A$2:$A$2676,Indices!$B$2:$B$2676,"")</f>
        <v>IWM</v>
      </c>
    </row>
    <row r="2568" spans="1:4" x14ac:dyDescent="0.25">
      <c r="A2568" s="140">
        <v>45713.604166666664</v>
      </c>
      <c r="B2568" t="s">
        <v>3655</v>
      </c>
      <c r="C2568" t="s">
        <v>6278</v>
      </c>
      <c r="D2568" s="6" t="str">
        <f>_xlfn.XLOOKUP(B2568,Indices!$A$2:$A$2676,Indices!$B$2:$B$2676,"")</f>
        <v/>
      </c>
    </row>
    <row r="2569" spans="1:4" x14ac:dyDescent="0.25">
      <c r="A2569" s="140">
        <v>45713.604166666664</v>
      </c>
      <c r="B2569" t="s">
        <v>4046</v>
      </c>
      <c r="C2569" t="s">
        <v>6278</v>
      </c>
      <c r="D2569" s="6" t="str">
        <f>_xlfn.XLOOKUP(B2569,Indices!$A$2:$A$2676,Indices!$B$2:$B$2676,"")</f>
        <v/>
      </c>
    </row>
    <row r="2570" spans="1:4" x14ac:dyDescent="0.25">
      <c r="A2570" s="140">
        <v>45713.604166666664</v>
      </c>
      <c r="B2570" t="s">
        <v>1861</v>
      </c>
      <c r="C2570" t="s">
        <v>6278</v>
      </c>
      <c r="D2570" s="6" t="str">
        <f>_xlfn.XLOOKUP(B2570,Indices!$A$2:$A$2676,Indices!$B$2:$B$2676,"")</f>
        <v>IWM</v>
      </c>
    </row>
    <row r="2571" spans="1:4" x14ac:dyDescent="0.25">
      <c r="A2571" s="140">
        <v>45713.604166666664</v>
      </c>
      <c r="B2571" t="s">
        <v>228</v>
      </c>
      <c r="C2571" t="s">
        <v>6278</v>
      </c>
      <c r="D2571" s="6" t="str">
        <f>_xlfn.XLOOKUP(B2571,Indices!$A$2:$A$2676,Indices!$B$2:$B$2676,"")</f>
        <v>IWM</v>
      </c>
    </row>
    <row r="2572" spans="1:4" x14ac:dyDescent="0.25">
      <c r="A2572" s="140">
        <v>45713.604166666664</v>
      </c>
      <c r="B2572" t="s">
        <v>491</v>
      </c>
      <c r="C2572" t="s">
        <v>6278</v>
      </c>
      <c r="D2572" s="6" t="str">
        <f>_xlfn.XLOOKUP(B2572,Indices!$A$2:$A$2676,Indices!$B$2:$B$2676,"")</f>
        <v>IWM</v>
      </c>
    </row>
    <row r="2573" spans="1:4" x14ac:dyDescent="0.25">
      <c r="A2573" s="140">
        <v>45713.604861111111</v>
      </c>
      <c r="B2573" t="s">
        <v>3799</v>
      </c>
      <c r="C2573" t="s">
        <v>6279</v>
      </c>
      <c r="D2573" s="6" t="str">
        <f>_xlfn.XLOOKUP(B2573,Indices!$A$2:$A$2676,Indices!$B$2:$B$2676,"")</f>
        <v/>
      </c>
    </row>
    <row r="2574" spans="1:4" x14ac:dyDescent="0.25">
      <c r="A2574" s="140">
        <v>45713.604861111111</v>
      </c>
      <c r="B2574" t="s">
        <v>2226</v>
      </c>
      <c r="C2574" t="s">
        <v>6279</v>
      </c>
      <c r="D2574" s="6" t="str">
        <f>_xlfn.XLOOKUP(B2574,Indices!$A$2:$A$2676,Indices!$B$2:$B$2676,"")</f>
        <v>IWM</v>
      </c>
    </row>
    <row r="2575" spans="1:4" x14ac:dyDescent="0.25">
      <c r="A2575" s="140">
        <v>45713.60833333333</v>
      </c>
      <c r="B2575" t="s">
        <v>3325</v>
      </c>
      <c r="C2575" t="s">
        <v>6280</v>
      </c>
      <c r="D2575" s="6" t="str">
        <f>_xlfn.XLOOKUP(B2575,Indices!$A$2:$A$2676,Indices!$B$2:$B$2676,"")</f>
        <v/>
      </c>
    </row>
    <row r="2576" spans="1:4" x14ac:dyDescent="0.25">
      <c r="A2576" s="140">
        <v>45713.614583333336</v>
      </c>
      <c r="B2576" t="s">
        <v>172</v>
      </c>
      <c r="C2576" t="s">
        <v>6281</v>
      </c>
      <c r="D2576" s="6" t="str">
        <f>_xlfn.XLOOKUP(B2576,Indices!$A$2:$A$2676,Indices!$B$2:$B$2676,"")</f>
        <v>IWM</v>
      </c>
    </row>
    <row r="2577" spans="1:4" x14ac:dyDescent="0.25">
      <c r="A2577" s="140">
        <v>45713.615277777775</v>
      </c>
      <c r="B2577" t="s">
        <v>152</v>
      </c>
      <c r="C2577" t="s">
        <v>6282</v>
      </c>
      <c r="D2577" s="6" t="str">
        <f>_xlfn.XLOOKUP(B2577,Indices!$A$2:$A$2676,Indices!$B$2:$B$2676,"")</f>
        <v>IWM</v>
      </c>
    </row>
    <row r="2578" spans="1:4" x14ac:dyDescent="0.25">
      <c r="A2578" s="140">
        <v>45713.616666666669</v>
      </c>
      <c r="B2578" t="s">
        <v>3343</v>
      </c>
      <c r="C2578" t="s">
        <v>6283</v>
      </c>
      <c r="D2578" s="6" t="str">
        <f>_xlfn.XLOOKUP(B2578,Indices!$A$2:$A$2676,Indices!$B$2:$B$2676,"")</f>
        <v/>
      </c>
    </row>
    <row r="2579" spans="1:4" x14ac:dyDescent="0.25">
      <c r="A2579" s="140">
        <v>45713.625</v>
      </c>
      <c r="B2579" t="s">
        <v>2184</v>
      </c>
      <c r="C2579" t="s">
        <v>6284</v>
      </c>
      <c r="D2579" s="6" t="str">
        <f>_xlfn.XLOOKUP(B2579,Indices!$A$2:$A$2676,Indices!$B$2:$B$2676,"")</f>
        <v>IWM</v>
      </c>
    </row>
    <row r="2580" spans="1:4" x14ac:dyDescent="0.25">
      <c r="A2580" s="140">
        <v>45713.625</v>
      </c>
      <c r="B2580" t="s">
        <v>3332</v>
      </c>
      <c r="C2580" t="s">
        <v>3315</v>
      </c>
      <c r="D2580" s="6" t="str">
        <f>_xlfn.XLOOKUP(B2580,Indices!$A$2:$A$2676,Indices!$B$2:$B$2676,"")</f>
        <v/>
      </c>
    </row>
    <row r="2581" spans="1:4" x14ac:dyDescent="0.25">
      <c r="A2581" s="140">
        <v>45713.625</v>
      </c>
      <c r="B2581" t="s">
        <v>389</v>
      </c>
      <c r="C2581" t="s">
        <v>3315</v>
      </c>
      <c r="D2581" s="6" t="str">
        <f>_xlfn.XLOOKUP(B2581,Indices!$A$2:$A$2676,Indices!$B$2:$B$2676,"")</f>
        <v>IWM</v>
      </c>
    </row>
    <row r="2582" spans="1:4" x14ac:dyDescent="0.25">
      <c r="A2582" s="140">
        <v>45713.625</v>
      </c>
      <c r="B2582" t="s">
        <v>261</v>
      </c>
      <c r="C2582" t="s">
        <v>6284</v>
      </c>
      <c r="D2582" s="6" t="str">
        <f>_xlfn.XLOOKUP(B2582,Indices!$A$2:$A$2676,Indices!$B$2:$B$2676,"")</f>
        <v>IWM</v>
      </c>
    </row>
    <row r="2583" spans="1:4" x14ac:dyDescent="0.25">
      <c r="A2583" s="140">
        <v>45713.625</v>
      </c>
      <c r="B2583" t="s">
        <v>3546</v>
      </c>
      <c r="C2583" t="s">
        <v>6284</v>
      </c>
      <c r="D2583" s="6" t="str">
        <f>_xlfn.XLOOKUP(B2583,Indices!$A$2:$A$2676,Indices!$B$2:$B$2676,"")</f>
        <v/>
      </c>
    </row>
    <row r="2584" spans="1:4" x14ac:dyDescent="0.25">
      <c r="A2584" s="140">
        <v>45713.635416666664</v>
      </c>
      <c r="B2584" t="s">
        <v>3342</v>
      </c>
      <c r="C2584" t="s">
        <v>6285</v>
      </c>
      <c r="D2584" s="6" t="str">
        <f>_xlfn.XLOOKUP(B2584,Indices!$A$2:$A$2676,Indices!$B$2:$B$2676,"")</f>
        <v/>
      </c>
    </row>
    <row r="2585" spans="1:4" x14ac:dyDescent="0.25">
      <c r="A2585" s="140">
        <v>45713.7</v>
      </c>
      <c r="B2585" t="s">
        <v>3314</v>
      </c>
      <c r="C2585" t="s">
        <v>6286</v>
      </c>
      <c r="D2585" s="6" t="str">
        <f>_xlfn.XLOOKUP(B2585,Indices!$A$2:$A$2676,Indices!$B$2:$B$2676,"")</f>
        <v/>
      </c>
    </row>
    <row r="2586" spans="1:4" x14ac:dyDescent="0.25">
      <c r="A2586" s="140">
        <v>45713.711805555555</v>
      </c>
      <c r="B2586" t="s">
        <v>3723</v>
      </c>
      <c r="C2586" t="s">
        <v>6287</v>
      </c>
      <c r="D2586" s="6" t="str">
        <f>_xlfn.XLOOKUP(B2586,Indices!$A$2:$A$2676,Indices!$B$2:$B$2676,"")</f>
        <v/>
      </c>
    </row>
    <row r="2587" spans="1:4" x14ac:dyDescent="0.25">
      <c r="A2587" s="140">
        <v>45713.958333333336</v>
      </c>
      <c r="B2587" t="s">
        <v>3373</v>
      </c>
      <c r="C2587" t="s">
        <v>6288</v>
      </c>
      <c r="D2587" s="6" t="str">
        <f>_xlfn.XLOOKUP(B2587,Indices!$A$2:$A$2676,Indices!$B$2:$B$2676,"")</f>
        <v/>
      </c>
    </row>
    <row r="2588" spans="1:4" x14ac:dyDescent="0.25">
      <c r="A2588" s="140">
        <v>45713.958333333336</v>
      </c>
      <c r="B2588" t="s">
        <v>3389</v>
      </c>
      <c r="C2588" t="s">
        <v>6288</v>
      </c>
      <c r="D2588" s="6" t="str">
        <f>_xlfn.XLOOKUP(B2588,Indices!$A$2:$A$2676,Indices!$B$2:$B$2676,"")</f>
        <v/>
      </c>
    </row>
    <row r="2589" spans="1:4" x14ac:dyDescent="0.25">
      <c r="A2589" s="140">
        <v>45713.958333333336</v>
      </c>
      <c r="B2589" t="s">
        <v>3408</v>
      </c>
      <c r="C2589" t="s">
        <v>6289</v>
      </c>
      <c r="D2589" s="6" t="str">
        <f>_xlfn.XLOOKUP(B2589,Indices!$A$2:$A$2676,Indices!$B$2:$B$2676,"")</f>
        <v/>
      </c>
    </row>
    <row r="2590" spans="1:4" x14ac:dyDescent="0.25">
      <c r="A2590" s="140">
        <v>45713.958333333336</v>
      </c>
      <c r="B2590" t="s">
        <v>3434</v>
      </c>
      <c r="C2590" t="s">
        <v>6289</v>
      </c>
      <c r="D2590" s="6" t="str">
        <f>_xlfn.XLOOKUP(B2590,Indices!$A$2:$A$2676,Indices!$B$2:$B$2676,"")</f>
        <v/>
      </c>
    </row>
    <row r="2591" spans="1:4" x14ac:dyDescent="0.25">
      <c r="A2591" s="140">
        <v>45713.958333333336</v>
      </c>
      <c r="B2591" t="s">
        <v>3365</v>
      </c>
      <c r="C2591" t="s">
        <v>6290</v>
      </c>
      <c r="D2591" s="6" t="str">
        <f>_xlfn.XLOOKUP(B2591,Indices!$A$2:$A$2676,Indices!$B$2:$B$2676,"")</f>
        <v/>
      </c>
    </row>
    <row r="2592" spans="1:4" x14ac:dyDescent="0.25">
      <c r="A2592" s="140">
        <v>45713.958333333336</v>
      </c>
      <c r="B2592" t="s">
        <v>3359</v>
      </c>
      <c r="C2592" t="s">
        <v>6288</v>
      </c>
      <c r="D2592" s="6" t="str">
        <f>_xlfn.XLOOKUP(B2592,Indices!$A$2:$A$2676,Indices!$B$2:$B$2676,"")</f>
        <v/>
      </c>
    </row>
    <row r="2593" spans="1:4" x14ac:dyDescent="0.25">
      <c r="A2593" s="140">
        <v>45713.958333333336</v>
      </c>
      <c r="B2593" t="s">
        <v>3394</v>
      </c>
      <c r="C2593" t="s">
        <v>6290</v>
      </c>
      <c r="D2593" s="6" t="str">
        <f>_xlfn.XLOOKUP(B2593,Indices!$A$2:$A$2676,Indices!$B$2:$B$2676,"")</f>
        <v/>
      </c>
    </row>
    <row r="2594" spans="1:4" x14ac:dyDescent="0.25">
      <c r="A2594" s="140">
        <v>45713.958333333336</v>
      </c>
      <c r="B2594" t="s">
        <v>3426</v>
      </c>
      <c r="C2594" t="s">
        <v>6288</v>
      </c>
      <c r="D2594" s="6" t="str">
        <f>_xlfn.XLOOKUP(B2594,Indices!$A$2:$A$2676,Indices!$B$2:$B$2676,"")</f>
        <v/>
      </c>
    </row>
    <row r="2595" spans="1:4" x14ac:dyDescent="0.25">
      <c r="A2595" s="140">
        <v>45713.958333333336</v>
      </c>
      <c r="B2595" t="s">
        <v>3427</v>
      </c>
      <c r="C2595" t="s">
        <v>6289</v>
      </c>
      <c r="D2595" s="6" t="str">
        <f>_xlfn.XLOOKUP(B2595,Indices!$A$2:$A$2676,Indices!$B$2:$B$2676,"")</f>
        <v/>
      </c>
    </row>
    <row r="2596" spans="1:4" x14ac:dyDescent="0.25">
      <c r="A2596" s="140">
        <v>45713.958333333336</v>
      </c>
      <c r="B2596" t="s">
        <v>3362</v>
      </c>
      <c r="C2596" t="s">
        <v>6290</v>
      </c>
      <c r="D2596" s="6" t="str">
        <f>_xlfn.XLOOKUP(B2596,Indices!$A$2:$A$2676,Indices!$B$2:$B$2676,"")</f>
        <v/>
      </c>
    </row>
    <row r="2597" spans="1:4" x14ac:dyDescent="0.25">
      <c r="A2597" s="140">
        <v>45713.958333333336</v>
      </c>
      <c r="B2597" t="s">
        <v>3376</v>
      </c>
      <c r="C2597" t="s">
        <v>6288</v>
      </c>
      <c r="D2597" s="6" t="str">
        <f>_xlfn.XLOOKUP(B2597,Indices!$A$2:$A$2676,Indices!$B$2:$B$2676,"")</f>
        <v/>
      </c>
    </row>
    <row r="2598" spans="1:4" x14ac:dyDescent="0.25">
      <c r="A2598" s="140">
        <v>45713.958333333336</v>
      </c>
      <c r="B2598" t="s">
        <v>3312</v>
      </c>
      <c r="C2598" t="s">
        <v>6290</v>
      </c>
      <c r="D2598" s="6" t="str">
        <f>_xlfn.XLOOKUP(B2598,Indices!$A$2:$A$2676,Indices!$B$2:$B$2676,"")</f>
        <v/>
      </c>
    </row>
    <row r="2599" spans="1:4" x14ac:dyDescent="0.25">
      <c r="A2599" s="140">
        <v>45713.958333333336</v>
      </c>
      <c r="B2599" t="s">
        <v>3432</v>
      </c>
      <c r="C2599" t="s">
        <v>6289</v>
      </c>
      <c r="D2599" s="6" t="str">
        <f>_xlfn.XLOOKUP(B2599,Indices!$A$2:$A$2676,Indices!$B$2:$B$2676,"")</f>
        <v/>
      </c>
    </row>
    <row r="2600" spans="1:4" x14ac:dyDescent="0.25">
      <c r="A2600" s="140">
        <v>45713.958333333336</v>
      </c>
      <c r="B2600" t="s">
        <v>3355</v>
      </c>
      <c r="C2600" t="s">
        <v>6290</v>
      </c>
      <c r="D2600" s="6" t="str">
        <f>_xlfn.XLOOKUP(B2600,Indices!$A$2:$A$2676,Indices!$B$2:$B$2676,"")</f>
        <v/>
      </c>
    </row>
    <row r="2601" spans="1:4" x14ac:dyDescent="0.25">
      <c r="A2601" s="140">
        <v>45713.958333333336</v>
      </c>
      <c r="B2601" t="s">
        <v>3370</v>
      </c>
      <c r="C2601" t="s">
        <v>6290</v>
      </c>
      <c r="D2601" s="6" t="str">
        <f>_xlfn.XLOOKUP(B2601,Indices!$A$2:$A$2676,Indices!$B$2:$B$2676,"")</f>
        <v/>
      </c>
    </row>
    <row r="2602" spans="1:4" x14ac:dyDescent="0.25">
      <c r="A2602" s="140">
        <v>45713.961805555555</v>
      </c>
      <c r="B2602" t="s">
        <v>3380</v>
      </c>
      <c r="C2602" t="s">
        <v>6291</v>
      </c>
      <c r="D2602" s="6" t="str">
        <f>_xlfn.XLOOKUP(B2602,Indices!$A$2:$A$2676,Indices!$B$2:$B$2676,"")</f>
        <v/>
      </c>
    </row>
    <row r="2603" spans="1:4" x14ac:dyDescent="0.25">
      <c r="A2603" s="140">
        <v>45714</v>
      </c>
      <c r="B2603" t="s">
        <v>1172</v>
      </c>
      <c r="C2603" t="s">
        <v>6292</v>
      </c>
      <c r="D2603" s="6" t="str">
        <f>_xlfn.XLOOKUP(B2603,Indices!$A$2:$A$2676,Indices!$B$2:$B$2676,"")</f>
        <v>IWM</v>
      </c>
    </row>
    <row r="2604" spans="1:4" x14ac:dyDescent="0.25">
      <c r="A2604" s="140">
        <v>45714.003472222219</v>
      </c>
      <c r="B2604" t="s">
        <v>3386</v>
      </c>
      <c r="C2604" t="s">
        <v>6293</v>
      </c>
      <c r="D2604" s="6" t="str">
        <f>_xlfn.XLOOKUP(B2604,Indices!$A$2:$A$2676,Indices!$B$2:$B$2676,"")</f>
        <v/>
      </c>
    </row>
    <row r="2605" spans="1:4" x14ac:dyDescent="0.25">
      <c r="A2605" s="140">
        <v>45714.145833333336</v>
      </c>
      <c r="B2605" t="s">
        <v>526</v>
      </c>
      <c r="C2605" t="s">
        <v>6294</v>
      </c>
      <c r="D2605" s="6" t="str">
        <f>_xlfn.XLOOKUP(B2605,Indices!$A$2:$A$2676,Indices!$B$2:$B$2676,"")</f>
        <v>IWM</v>
      </c>
    </row>
    <row r="2606" spans="1:4" x14ac:dyDescent="0.25">
      <c r="A2606" s="140">
        <v>45714.166666666664</v>
      </c>
      <c r="B2606" t="s">
        <v>3397</v>
      </c>
      <c r="C2606" t="s">
        <v>6295</v>
      </c>
      <c r="D2606" s="6" t="str">
        <f>_xlfn.XLOOKUP(B2606,Indices!$A$2:$A$2676,Indices!$B$2:$B$2676,"")</f>
        <v/>
      </c>
    </row>
    <row r="2607" spans="1:4" x14ac:dyDescent="0.25">
      <c r="A2607" s="140">
        <v>45714.166666666664</v>
      </c>
      <c r="B2607" t="s">
        <v>521</v>
      </c>
      <c r="C2607" t="s">
        <v>6295</v>
      </c>
      <c r="D2607" s="6" t="str">
        <f>_xlfn.XLOOKUP(B2607,Indices!$A$2:$A$2676,Indices!$B$2:$B$2676,"")</f>
        <v>IWM</v>
      </c>
    </row>
    <row r="2608" spans="1:4" x14ac:dyDescent="0.25">
      <c r="A2608" s="140">
        <v>45714.166666666664</v>
      </c>
      <c r="B2608" t="s">
        <v>1009</v>
      </c>
      <c r="C2608" t="s">
        <v>6295</v>
      </c>
      <c r="D2608" s="6" t="str">
        <f>_xlfn.XLOOKUP(B2608,Indices!$A$2:$A$2676,Indices!$B$2:$B$2676,"")</f>
        <v>IWM</v>
      </c>
    </row>
    <row r="2609" spans="1:4" x14ac:dyDescent="0.25">
      <c r="A2609" s="140">
        <v>45714.166666666664</v>
      </c>
      <c r="B2609" t="s">
        <v>3124</v>
      </c>
      <c r="C2609" t="s">
        <v>6295</v>
      </c>
      <c r="D2609" s="6" t="str">
        <f>_xlfn.XLOOKUP(B2609,Indices!$A$2:$A$2676,Indices!$B$2:$B$2676,"")</f>
        <v/>
      </c>
    </row>
    <row r="2610" spans="1:4" x14ac:dyDescent="0.25">
      <c r="A2610" s="140">
        <v>45714.166666666664</v>
      </c>
      <c r="B2610" t="s">
        <v>272</v>
      </c>
      <c r="C2610" t="s">
        <v>6295</v>
      </c>
      <c r="D2610" s="6" t="str">
        <f>_xlfn.XLOOKUP(B2610,Indices!$A$2:$A$2676,Indices!$B$2:$B$2676,"")</f>
        <v>IWM</v>
      </c>
    </row>
    <row r="2611" spans="1:4" x14ac:dyDescent="0.25">
      <c r="A2611" s="140">
        <v>45714.166666666664</v>
      </c>
      <c r="B2611" t="s">
        <v>1079</v>
      </c>
      <c r="C2611" t="s">
        <v>6295</v>
      </c>
      <c r="D2611" s="6" t="str">
        <f>_xlfn.XLOOKUP(B2611,Indices!$A$2:$A$2676,Indices!$B$2:$B$2676,"")</f>
        <v>SP500</v>
      </c>
    </row>
    <row r="2612" spans="1:4" x14ac:dyDescent="0.25">
      <c r="A2612" s="140">
        <v>45714.167361111111</v>
      </c>
      <c r="B2612" t="s">
        <v>274</v>
      </c>
      <c r="C2612" t="s">
        <v>6296</v>
      </c>
      <c r="D2612" s="6" t="str">
        <f>_xlfn.XLOOKUP(B2612,Indices!$A$2:$A$2676,Indices!$B$2:$B$2676,"")</f>
        <v>S&amp;P Mid</v>
      </c>
    </row>
    <row r="2613" spans="1:4" x14ac:dyDescent="0.25">
      <c r="A2613" s="140">
        <v>45714.181944444441</v>
      </c>
      <c r="B2613" t="s">
        <v>3381</v>
      </c>
      <c r="C2613" t="s">
        <v>6297</v>
      </c>
      <c r="D2613" s="6" t="str">
        <f>_xlfn.XLOOKUP(B2613,Indices!$A$2:$A$2676,Indices!$B$2:$B$2676,"")</f>
        <v/>
      </c>
    </row>
    <row r="2614" spans="1:4" x14ac:dyDescent="0.25">
      <c r="A2614" s="140">
        <v>45714.1875</v>
      </c>
      <c r="B2614" t="s">
        <v>1739</v>
      </c>
      <c r="C2614" t="s">
        <v>6298</v>
      </c>
      <c r="D2614" s="6" t="str">
        <f>_xlfn.XLOOKUP(B2614,Indices!$A$2:$A$2676,Indices!$B$2:$B$2676,"")</f>
        <v>IWM</v>
      </c>
    </row>
    <row r="2615" spans="1:4" x14ac:dyDescent="0.25">
      <c r="A2615" s="140">
        <v>45714.1875</v>
      </c>
      <c r="B2615" t="s">
        <v>549</v>
      </c>
      <c r="C2615" t="s">
        <v>6298</v>
      </c>
      <c r="D2615" s="6" t="str">
        <f>_xlfn.XLOOKUP(B2615,Indices!$A$2:$A$2676,Indices!$B$2:$B$2676,"")</f>
        <v>IWM</v>
      </c>
    </row>
    <row r="2616" spans="1:4" x14ac:dyDescent="0.25">
      <c r="A2616" s="140">
        <v>45714.1875</v>
      </c>
      <c r="B2616" t="s">
        <v>550</v>
      </c>
      <c r="C2616" t="s">
        <v>6298</v>
      </c>
      <c r="D2616" s="6" t="str">
        <f>_xlfn.XLOOKUP(B2616,Indices!$A$2:$A$2676,Indices!$B$2:$B$2676,"")</f>
        <v>IWM</v>
      </c>
    </row>
    <row r="2617" spans="1:4" x14ac:dyDescent="0.25">
      <c r="A2617" s="140">
        <v>45714.1875</v>
      </c>
      <c r="B2617" t="s">
        <v>3369</v>
      </c>
      <c r="C2617" t="s">
        <v>6298</v>
      </c>
      <c r="D2617" s="6" t="str">
        <f>_xlfn.XLOOKUP(B2617,Indices!$A$2:$A$2676,Indices!$B$2:$B$2676,"")</f>
        <v/>
      </c>
    </row>
    <row r="2618" spans="1:4" x14ac:dyDescent="0.25">
      <c r="A2618" s="140">
        <v>45714.1875</v>
      </c>
      <c r="B2618" t="s">
        <v>563</v>
      </c>
      <c r="C2618" t="s">
        <v>6298</v>
      </c>
      <c r="D2618" s="6" t="str">
        <f>_xlfn.XLOOKUP(B2618,Indices!$A$2:$A$2676,Indices!$B$2:$B$2676,"")</f>
        <v>IWM</v>
      </c>
    </row>
    <row r="2619" spans="1:4" x14ac:dyDescent="0.25">
      <c r="A2619" s="140">
        <v>45714.1875</v>
      </c>
      <c r="B2619" t="s">
        <v>3465</v>
      </c>
      <c r="C2619" t="s">
        <v>6298</v>
      </c>
      <c r="D2619" s="6" t="str">
        <f>_xlfn.XLOOKUP(B2619,Indices!$A$2:$A$2676,Indices!$B$2:$B$2676,"")</f>
        <v/>
      </c>
    </row>
    <row r="2620" spans="1:4" x14ac:dyDescent="0.25">
      <c r="A2620" s="140">
        <v>45714.1875</v>
      </c>
      <c r="B2620" t="s">
        <v>3382</v>
      </c>
      <c r="C2620" t="s">
        <v>6298</v>
      </c>
      <c r="D2620" s="6" t="str">
        <f>_xlfn.XLOOKUP(B2620,Indices!$A$2:$A$2676,Indices!$B$2:$B$2676,"")</f>
        <v/>
      </c>
    </row>
    <row r="2621" spans="1:4" x14ac:dyDescent="0.25">
      <c r="A2621" s="140">
        <v>45714.1875</v>
      </c>
      <c r="B2621" t="s">
        <v>551</v>
      </c>
      <c r="C2621" t="s">
        <v>6298</v>
      </c>
      <c r="D2621" s="6" t="str">
        <f>_xlfn.XLOOKUP(B2621,Indices!$A$2:$A$2676,Indices!$B$2:$B$2676,"")</f>
        <v>IWM</v>
      </c>
    </row>
    <row r="2622" spans="1:4" x14ac:dyDescent="0.25">
      <c r="A2622" s="140">
        <v>45714.1875</v>
      </c>
      <c r="B2622" t="s">
        <v>3350</v>
      </c>
      <c r="C2622" t="s">
        <v>6298</v>
      </c>
      <c r="D2622" s="6" t="str">
        <f>_xlfn.XLOOKUP(B2622,Indices!$A$2:$A$2676,Indices!$B$2:$B$2676,"")</f>
        <v/>
      </c>
    </row>
    <row r="2623" spans="1:4" x14ac:dyDescent="0.25">
      <c r="A2623" s="140">
        <v>45714.1875</v>
      </c>
      <c r="B2623" t="s">
        <v>3358</v>
      </c>
      <c r="C2623" t="s">
        <v>6298</v>
      </c>
      <c r="D2623" s="6" t="str">
        <f>_xlfn.XLOOKUP(B2623,Indices!$A$2:$A$2676,Indices!$B$2:$B$2676,"")</f>
        <v/>
      </c>
    </row>
    <row r="2624" spans="1:4" x14ac:dyDescent="0.25">
      <c r="A2624" s="140">
        <v>45714.1875</v>
      </c>
      <c r="B2624" t="s">
        <v>2378</v>
      </c>
      <c r="C2624" t="s">
        <v>6298</v>
      </c>
      <c r="D2624" s="6" t="str">
        <f>_xlfn.XLOOKUP(B2624,Indices!$A$2:$A$2676,Indices!$B$2:$B$2676,"")</f>
        <v>S&amp;P Mid</v>
      </c>
    </row>
    <row r="2625" spans="1:4" x14ac:dyDescent="0.25">
      <c r="A2625" s="140">
        <v>45714.197916666664</v>
      </c>
      <c r="B2625" t="s">
        <v>284</v>
      </c>
      <c r="C2625" t="s">
        <v>6299</v>
      </c>
      <c r="D2625" s="6" t="str">
        <f>_xlfn.XLOOKUP(B2625,Indices!$A$2:$A$2676,Indices!$B$2:$B$2676,"")</f>
        <v>IWM</v>
      </c>
    </row>
    <row r="2626" spans="1:4" x14ac:dyDescent="0.25">
      <c r="A2626" s="140">
        <v>45714.201388888891</v>
      </c>
      <c r="B2626" t="s">
        <v>286</v>
      </c>
      <c r="C2626" t="s">
        <v>6300</v>
      </c>
      <c r="D2626" s="6" t="str">
        <f>_xlfn.XLOOKUP(B2626,Indices!$A$2:$A$2676,Indices!$B$2:$B$2676,"")</f>
        <v>IWM</v>
      </c>
    </row>
    <row r="2627" spans="1:4" x14ac:dyDescent="0.25">
      <c r="A2627" s="140">
        <v>45714.201388888891</v>
      </c>
      <c r="B2627" t="s">
        <v>3388</v>
      </c>
      <c r="C2627" t="s">
        <v>6300</v>
      </c>
      <c r="D2627" s="6" t="str">
        <f>_xlfn.XLOOKUP(B2627,Indices!$A$2:$A$2676,Indices!$B$2:$B$2676,"")</f>
        <v/>
      </c>
    </row>
    <row r="2628" spans="1:4" x14ac:dyDescent="0.25">
      <c r="A2628" s="140">
        <v>45714.204861111109</v>
      </c>
      <c r="B2628" t="s">
        <v>2021</v>
      </c>
      <c r="C2628" t="s">
        <v>6301</v>
      </c>
      <c r="D2628" s="6" t="str">
        <f>_xlfn.XLOOKUP(B2628,Indices!$A$2:$A$2676,Indices!$B$2:$B$2676,"")</f>
        <v>IWM</v>
      </c>
    </row>
    <row r="2629" spans="1:4" x14ac:dyDescent="0.25">
      <c r="A2629" s="140">
        <v>45714.207638888889</v>
      </c>
      <c r="B2629" t="s">
        <v>580</v>
      </c>
      <c r="C2629" t="s">
        <v>6302</v>
      </c>
      <c r="D2629" s="6" t="str">
        <f>_xlfn.XLOOKUP(B2629,Indices!$A$2:$A$2676,Indices!$B$2:$B$2676,"")</f>
        <v>IWM</v>
      </c>
    </row>
    <row r="2630" spans="1:4" x14ac:dyDescent="0.25">
      <c r="A2630" s="140">
        <v>45714.208333333336</v>
      </c>
      <c r="B2630" t="s">
        <v>3392</v>
      </c>
      <c r="C2630" t="s">
        <v>6303</v>
      </c>
      <c r="D2630" s="6" t="str">
        <f>_xlfn.XLOOKUP(B2630,Indices!$A$2:$A$2676,Indices!$B$2:$B$2676,"")</f>
        <v/>
      </c>
    </row>
    <row r="2631" spans="1:4" x14ac:dyDescent="0.25">
      <c r="A2631" s="140">
        <v>45714.208333333336</v>
      </c>
      <c r="B2631" t="s">
        <v>3396</v>
      </c>
      <c r="C2631" t="s">
        <v>6303</v>
      </c>
      <c r="D2631" s="6" t="str">
        <f>_xlfn.XLOOKUP(B2631,Indices!$A$2:$A$2676,Indices!$B$2:$B$2676,"")</f>
        <v/>
      </c>
    </row>
    <row r="2632" spans="1:4" x14ac:dyDescent="0.25">
      <c r="A2632" s="140">
        <v>45714.208333333336</v>
      </c>
      <c r="B2632" t="s">
        <v>3676</v>
      </c>
      <c r="C2632" t="s">
        <v>6303</v>
      </c>
      <c r="D2632" s="6" t="str">
        <f>_xlfn.XLOOKUP(B2632,Indices!$A$2:$A$2676,Indices!$B$2:$B$2676,"")</f>
        <v/>
      </c>
    </row>
    <row r="2633" spans="1:4" x14ac:dyDescent="0.25">
      <c r="A2633" s="140">
        <v>45714.208333333336</v>
      </c>
      <c r="B2633" t="s">
        <v>3293</v>
      </c>
      <c r="C2633" t="s">
        <v>6303</v>
      </c>
      <c r="D2633" s="6" t="str">
        <f>_xlfn.XLOOKUP(B2633,Indices!$A$2:$A$2676,Indices!$B$2:$B$2676,"")</f>
        <v/>
      </c>
    </row>
    <row r="2634" spans="1:4" x14ac:dyDescent="0.25">
      <c r="A2634" s="140">
        <v>45714.208333333336</v>
      </c>
      <c r="B2634" t="s">
        <v>848</v>
      </c>
      <c r="C2634" t="s">
        <v>6303</v>
      </c>
      <c r="D2634" s="6" t="str">
        <f>_xlfn.XLOOKUP(B2634,Indices!$A$2:$A$2676,Indices!$B$2:$B$2676,"")</f>
        <v>IWM</v>
      </c>
    </row>
    <row r="2635" spans="1:4" x14ac:dyDescent="0.25">
      <c r="A2635" s="140">
        <v>45714.208333333336</v>
      </c>
      <c r="B2635" t="s">
        <v>224</v>
      </c>
      <c r="C2635" t="s">
        <v>6303</v>
      </c>
      <c r="D2635" s="6" t="str">
        <f>_xlfn.XLOOKUP(B2635,Indices!$A$2:$A$2676,Indices!$B$2:$B$2676,"")</f>
        <v>IWM</v>
      </c>
    </row>
    <row r="2636" spans="1:4" x14ac:dyDescent="0.25">
      <c r="A2636" s="140">
        <v>45714.208333333336</v>
      </c>
      <c r="B2636" t="s">
        <v>4545</v>
      </c>
      <c r="C2636" t="s">
        <v>6303</v>
      </c>
      <c r="D2636" s="6" t="str">
        <f>_xlfn.XLOOKUP(B2636,Indices!$A$2:$A$2676,Indices!$B$2:$B$2676,"")</f>
        <v/>
      </c>
    </row>
    <row r="2637" spans="1:4" x14ac:dyDescent="0.25">
      <c r="A2637" s="140">
        <v>45714.208333333336</v>
      </c>
      <c r="B2637" t="s">
        <v>704</v>
      </c>
      <c r="C2637" t="s">
        <v>6303</v>
      </c>
      <c r="D2637" s="6" t="str">
        <f>_xlfn.XLOOKUP(B2637,Indices!$A$2:$A$2676,Indices!$B$2:$B$2676,"")</f>
        <v>IWM</v>
      </c>
    </row>
    <row r="2638" spans="1:4" x14ac:dyDescent="0.25">
      <c r="A2638" s="140">
        <v>45714.208333333336</v>
      </c>
      <c r="B2638" t="s">
        <v>291</v>
      </c>
      <c r="C2638" t="s">
        <v>6303</v>
      </c>
      <c r="D2638" s="6" t="str">
        <f>_xlfn.XLOOKUP(B2638,Indices!$A$2:$A$2676,Indices!$B$2:$B$2676,"")</f>
        <v>IWM</v>
      </c>
    </row>
    <row r="2639" spans="1:4" x14ac:dyDescent="0.25">
      <c r="A2639" s="140">
        <v>45714.208333333336</v>
      </c>
      <c r="B2639" t="s">
        <v>1670</v>
      </c>
      <c r="C2639" t="s">
        <v>6303</v>
      </c>
      <c r="D2639" s="6" t="str">
        <f>_xlfn.XLOOKUP(B2639,Indices!$A$2:$A$2676,Indices!$B$2:$B$2676,"")</f>
        <v>IWM</v>
      </c>
    </row>
    <row r="2640" spans="1:4" x14ac:dyDescent="0.25">
      <c r="A2640" s="140">
        <v>45714.208333333336</v>
      </c>
      <c r="B2640" t="s">
        <v>1100</v>
      </c>
      <c r="C2640" t="s">
        <v>6303</v>
      </c>
      <c r="D2640" s="6" t="str">
        <f>_xlfn.XLOOKUP(B2640,Indices!$A$2:$A$2676,Indices!$B$2:$B$2676,"")</f>
        <v>IWM</v>
      </c>
    </row>
    <row r="2641" spans="1:4" x14ac:dyDescent="0.25">
      <c r="A2641" s="140">
        <v>45714.208333333336</v>
      </c>
      <c r="B2641" t="s">
        <v>1737</v>
      </c>
      <c r="C2641" t="s">
        <v>6303</v>
      </c>
      <c r="D2641" s="6" t="str">
        <f>_xlfn.XLOOKUP(B2641,Indices!$A$2:$A$2676,Indices!$B$2:$B$2676,"")</f>
        <v>IWM</v>
      </c>
    </row>
    <row r="2642" spans="1:4" x14ac:dyDescent="0.25">
      <c r="A2642" s="140">
        <v>45714.208333333336</v>
      </c>
      <c r="B2642" t="s">
        <v>2075</v>
      </c>
      <c r="C2642" t="s">
        <v>6303</v>
      </c>
      <c r="D2642" s="6" t="str">
        <f>_xlfn.XLOOKUP(B2642,Indices!$A$2:$A$2676,Indices!$B$2:$B$2676,"")</f>
        <v>IWM</v>
      </c>
    </row>
    <row r="2643" spans="1:4" x14ac:dyDescent="0.25">
      <c r="A2643" s="140">
        <v>45714.208333333336</v>
      </c>
      <c r="B2643" t="s">
        <v>1947</v>
      </c>
      <c r="C2643" t="s">
        <v>6303</v>
      </c>
      <c r="D2643" s="6" t="str">
        <f>_xlfn.XLOOKUP(B2643,Indices!$A$2:$A$2676,Indices!$B$2:$B$2676,"")</f>
        <v>IWM</v>
      </c>
    </row>
    <row r="2644" spans="1:4" x14ac:dyDescent="0.25">
      <c r="A2644" s="140">
        <v>45714.208333333336</v>
      </c>
      <c r="B2644" t="s">
        <v>1260</v>
      </c>
      <c r="C2644" t="s">
        <v>6303</v>
      </c>
      <c r="D2644" s="6" t="str">
        <f>_xlfn.XLOOKUP(B2644,Indices!$A$2:$A$2676,Indices!$B$2:$B$2676,"")</f>
        <v>IWM</v>
      </c>
    </row>
    <row r="2645" spans="1:4" x14ac:dyDescent="0.25">
      <c r="A2645" s="140">
        <v>45714.208333333336</v>
      </c>
      <c r="B2645" t="s">
        <v>3295</v>
      </c>
      <c r="C2645" t="s">
        <v>6303</v>
      </c>
      <c r="D2645" s="6" t="str">
        <f>_xlfn.XLOOKUP(B2645,Indices!$A$2:$A$2676,Indices!$B$2:$B$2676,"")</f>
        <v/>
      </c>
    </row>
    <row r="2646" spans="1:4" x14ac:dyDescent="0.25">
      <c r="A2646" s="140">
        <v>45714.208333333336</v>
      </c>
      <c r="B2646" t="s">
        <v>3476</v>
      </c>
      <c r="C2646" t="s">
        <v>6303</v>
      </c>
      <c r="D2646" s="6" t="str">
        <f>_xlfn.XLOOKUP(B2646,Indices!$A$2:$A$2676,Indices!$B$2:$B$2676,"")</f>
        <v/>
      </c>
    </row>
    <row r="2647" spans="1:4" x14ac:dyDescent="0.25">
      <c r="A2647" s="140">
        <v>45714.209027777775</v>
      </c>
      <c r="B2647" t="s">
        <v>267</v>
      </c>
      <c r="C2647" t="s">
        <v>6304</v>
      </c>
      <c r="D2647" s="6" t="str">
        <f>_xlfn.XLOOKUP(B2647,Indices!$A$2:$A$2676,Indices!$B$2:$B$2676,"")</f>
        <v>IWM</v>
      </c>
    </row>
    <row r="2648" spans="1:4" x14ac:dyDescent="0.25">
      <c r="A2648" s="140">
        <v>45714.211805555555</v>
      </c>
      <c r="B2648" t="s">
        <v>305</v>
      </c>
      <c r="C2648" t="s">
        <v>6305</v>
      </c>
      <c r="D2648" s="6" t="str">
        <f>_xlfn.XLOOKUP(B2648,Indices!$A$2:$A$2676,Indices!$B$2:$B$2676,"")</f>
        <v>IWM</v>
      </c>
    </row>
    <row r="2649" spans="1:4" x14ac:dyDescent="0.25">
      <c r="A2649" s="140">
        <v>45714.213194444441</v>
      </c>
      <c r="B2649" t="s">
        <v>849</v>
      </c>
      <c r="C2649" t="s">
        <v>6306</v>
      </c>
      <c r="D2649" s="6" t="str">
        <f>_xlfn.XLOOKUP(B2649,Indices!$A$2:$A$2676,Indices!$B$2:$B$2676,"")</f>
        <v>SP500</v>
      </c>
    </row>
    <row r="2650" spans="1:4" x14ac:dyDescent="0.25">
      <c r="A2650" s="140">
        <v>45714.21875</v>
      </c>
      <c r="B2650" t="s">
        <v>1441</v>
      </c>
      <c r="C2650" t="s">
        <v>6307</v>
      </c>
      <c r="D2650" s="6" t="str">
        <f>_xlfn.XLOOKUP(B2650,Indices!$A$2:$A$2676,Indices!$B$2:$B$2676,"")</f>
        <v>SP500</v>
      </c>
    </row>
    <row r="2651" spans="1:4" x14ac:dyDescent="0.25">
      <c r="A2651" s="140">
        <v>45714.229166666664</v>
      </c>
      <c r="B2651" t="s">
        <v>2406</v>
      </c>
      <c r="C2651" t="s">
        <v>6308</v>
      </c>
      <c r="D2651" s="6" t="str">
        <f>_xlfn.XLOOKUP(B2651,Indices!$A$2:$A$2676,Indices!$B$2:$B$2676,"")</f>
        <v>S&amp;P Mid</v>
      </c>
    </row>
    <row r="2652" spans="1:4" x14ac:dyDescent="0.25">
      <c r="A2652" s="140">
        <v>45714.229166666664</v>
      </c>
      <c r="B2652" t="s">
        <v>590</v>
      </c>
      <c r="C2652" t="s">
        <v>6308</v>
      </c>
      <c r="D2652" s="6" t="str">
        <f>_xlfn.XLOOKUP(B2652,Indices!$A$2:$A$2676,Indices!$B$2:$B$2676,"")</f>
        <v>IWM</v>
      </c>
    </row>
    <row r="2653" spans="1:4" x14ac:dyDescent="0.25">
      <c r="A2653" s="140">
        <v>45714.229166666664</v>
      </c>
      <c r="B2653" t="s">
        <v>2372</v>
      </c>
      <c r="C2653" t="s">
        <v>6308</v>
      </c>
      <c r="D2653" s="6" t="str">
        <f>_xlfn.XLOOKUP(B2653,Indices!$A$2:$A$2676,Indices!$B$2:$B$2676,"")</f>
        <v>S&amp;P Mid</v>
      </c>
    </row>
    <row r="2654" spans="1:4" x14ac:dyDescent="0.25">
      <c r="A2654" s="140">
        <v>45714.229166666664</v>
      </c>
      <c r="B2654" t="s">
        <v>3475</v>
      </c>
      <c r="C2654" t="s">
        <v>6308</v>
      </c>
      <c r="D2654" s="6" t="str">
        <f>_xlfn.XLOOKUP(B2654,Indices!$A$2:$A$2676,Indices!$B$2:$B$2676,"")</f>
        <v/>
      </c>
    </row>
    <row r="2655" spans="1:4" x14ac:dyDescent="0.25">
      <c r="A2655" s="140">
        <v>45714.229166666664</v>
      </c>
      <c r="B2655" t="s">
        <v>3308</v>
      </c>
      <c r="C2655" t="s">
        <v>6308</v>
      </c>
      <c r="D2655" s="6" t="str">
        <f>_xlfn.XLOOKUP(B2655,Indices!$A$2:$A$2676,Indices!$B$2:$B$2676,"")</f>
        <v/>
      </c>
    </row>
    <row r="2656" spans="1:4" x14ac:dyDescent="0.25">
      <c r="A2656" s="140">
        <v>45714.229166666664</v>
      </c>
      <c r="B2656" t="s">
        <v>1105</v>
      </c>
      <c r="C2656" t="s">
        <v>6308</v>
      </c>
      <c r="D2656" s="6" t="str">
        <f>_xlfn.XLOOKUP(B2656,Indices!$A$2:$A$2676,Indices!$B$2:$B$2676,"")</f>
        <v>SP500</v>
      </c>
    </row>
    <row r="2657" spans="1:4" x14ac:dyDescent="0.25">
      <c r="A2657" s="140">
        <v>45714.229166666664</v>
      </c>
      <c r="B2657" t="s">
        <v>2122</v>
      </c>
      <c r="C2657" t="s">
        <v>6308</v>
      </c>
      <c r="D2657" s="6" t="str">
        <f>_xlfn.XLOOKUP(B2657,Indices!$A$2:$A$2676,Indices!$B$2:$B$2676,"")</f>
        <v>IWM</v>
      </c>
    </row>
    <row r="2658" spans="1:4" x14ac:dyDescent="0.25">
      <c r="A2658" s="140">
        <v>45714.25</v>
      </c>
      <c r="B2658" t="s">
        <v>316</v>
      </c>
      <c r="C2658" t="s">
        <v>6309</v>
      </c>
      <c r="D2658" s="6" t="str">
        <f>_xlfn.XLOOKUP(B2658,Indices!$A$2:$A$2676,Indices!$B$2:$B$2676,"")</f>
        <v>IWM</v>
      </c>
    </row>
    <row r="2659" spans="1:4" x14ac:dyDescent="0.25">
      <c r="A2659" s="140">
        <v>45714.25</v>
      </c>
      <c r="B2659" t="s">
        <v>1021</v>
      </c>
      <c r="C2659" t="s">
        <v>6309</v>
      </c>
      <c r="D2659" s="6" t="str">
        <f>_xlfn.XLOOKUP(B2659,Indices!$A$2:$A$2676,Indices!$B$2:$B$2676,"")</f>
        <v>IWM</v>
      </c>
    </row>
    <row r="2660" spans="1:4" x14ac:dyDescent="0.25">
      <c r="A2660" s="140">
        <v>45714.25</v>
      </c>
      <c r="B2660" t="s">
        <v>320</v>
      </c>
      <c r="C2660" t="s">
        <v>6309</v>
      </c>
      <c r="D2660" s="6" t="str">
        <f>_xlfn.XLOOKUP(B2660,Indices!$A$2:$A$2676,Indices!$B$2:$B$2676,"")</f>
        <v>IWM</v>
      </c>
    </row>
    <row r="2661" spans="1:4" x14ac:dyDescent="0.25">
      <c r="A2661" s="140">
        <v>45714.25</v>
      </c>
      <c r="B2661" t="s">
        <v>857</v>
      </c>
      <c r="C2661" t="s">
        <v>6309</v>
      </c>
      <c r="D2661" s="6" t="str">
        <f>_xlfn.XLOOKUP(B2661,Indices!$A$2:$A$2676,Indices!$B$2:$B$2676,"")</f>
        <v>IWM</v>
      </c>
    </row>
    <row r="2662" spans="1:4" x14ac:dyDescent="0.25">
      <c r="A2662" s="140">
        <v>45714.25</v>
      </c>
      <c r="B2662" t="s">
        <v>1671</v>
      </c>
      <c r="C2662" t="s">
        <v>6309</v>
      </c>
      <c r="D2662" s="6" t="str">
        <f>_xlfn.XLOOKUP(B2662,Indices!$A$2:$A$2676,Indices!$B$2:$B$2676,"")</f>
        <v>IWM</v>
      </c>
    </row>
    <row r="2663" spans="1:4" x14ac:dyDescent="0.25">
      <c r="A2663" s="140">
        <v>45714.25</v>
      </c>
      <c r="B2663" t="s">
        <v>3508</v>
      </c>
      <c r="C2663" t="s">
        <v>6309</v>
      </c>
      <c r="D2663" s="6" t="str">
        <f>_xlfn.XLOOKUP(B2663,Indices!$A$2:$A$2676,Indices!$B$2:$B$2676,"")</f>
        <v/>
      </c>
    </row>
    <row r="2664" spans="1:4" x14ac:dyDescent="0.25">
      <c r="A2664" s="140">
        <v>45714.25</v>
      </c>
      <c r="B2664" t="s">
        <v>318</v>
      </c>
      <c r="C2664" t="s">
        <v>6309</v>
      </c>
      <c r="D2664" s="6" t="str">
        <f>_xlfn.XLOOKUP(B2664,Indices!$A$2:$A$2676,Indices!$B$2:$B$2676,"")</f>
        <v>IWM</v>
      </c>
    </row>
    <row r="2665" spans="1:4" x14ac:dyDescent="0.25">
      <c r="A2665" s="140">
        <v>45714.25</v>
      </c>
      <c r="B2665" t="s">
        <v>319</v>
      </c>
      <c r="C2665" t="s">
        <v>6309</v>
      </c>
      <c r="D2665" s="6" t="str">
        <f>_xlfn.XLOOKUP(B2665,Indices!$A$2:$A$2676,Indices!$B$2:$B$2676,"")</f>
        <v>IWM</v>
      </c>
    </row>
    <row r="2666" spans="1:4" x14ac:dyDescent="0.25">
      <c r="A2666" s="140">
        <v>45714.25</v>
      </c>
      <c r="B2666" t="s">
        <v>308</v>
      </c>
      <c r="C2666" t="s">
        <v>6309</v>
      </c>
      <c r="D2666" s="6" t="str">
        <f>_xlfn.XLOOKUP(B2666,Indices!$A$2:$A$2676,Indices!$B$2:$B$2676,"")</f>
        <v>IWM</v>
      </c>
    </row>
    <row r="2667" spans="1:4" x14ac:dyDescent="0.25">
      <c r="A2667" s="140">
        <v>45714.253472222219</v>
      </c>
      <c r="B2667" t="s">
        <v>3398</v>
      </c>
      <c r="C2667" t="s">
        <v>6310</v>
      </c>
      <c r="D2667" s="6" t="str">
        <f>_xlfn.XLOOKUP(B2667,Indices!$A$2:$A$2676,Indices!$B$2:$B$2676,"")</f>
        <v/>
      </c>
    </row>
    <row r="2668" spans="1:4" x14ac:dyDescent="0.25">
      <c r="A2668" s="140">
        <v>45714.267361111109</v>
      </c>
      <c r="B2668" t="s">
        <v>639</v>
      </c>
      <c r="C2668" t="s">
        <v>6311</v>
      </c>
      <c r="D2668" s="6" t="str">
        <f>_xlfn.XLOOKUP(B2668,Indices!$A$2:$A$2676,Indices!$B$2:$B$2676,"")</f>
        <v>IWM</v>
      </c>
    </row>
    <row r="2669" spans="1:4" x14ac:dyDescent="0.25">
      <c r="A2669" s="140">
        <v>45714.270833333336</v>
      </c>
      <c r="B2669" t="s">
        <v>3354</v>
      </c>
      <c r="C2669" t="s">
        <v>6312</v>
      </c>
      <c r="D2669" s="6" t="str">
        <f>_xlfn.XLOOKUP(B2669,Indices!$A$2:$A$2676,Indices!$B$2:$B$2676,"")</f>
        <v/>
      </c>
    </row>
    <row r="2670" spans="1:4" x14ac:dyDescent="0.25">
      <c r="A2670" s="140">
        <v>45714.270833333336</v>
      </c>
      <c r="B2670" t="s">
        <v>584</v>
      </c>
      <c r="C2670" t="s">
        <v>6312</v>
      </c>
      <c r="D2670" s="6" t="str">
        <f>_xlfn.XLOOKUP(B2670,Indices!$A$2:$A$2676,Indices!$B$2:$B$2676,"")</f>
        <v>IWM</v>
      </c>
    </row>
    <row r="2671" spans="1:4" x14ac:dyDescent="0.25">
      <c r="A2671" s="140">
        <v>45714.270833333336</v>
      </c>
      <c r="B2671" t="s">
        <v>1772</v>
      </c>
      <c r="C2671" t="s">
        <v>6312</v>
      </c>
      <c r="D2671" s="6" t="str">
        <f>_xlfn.XLOOKUP(B2671,Indices!$A$2:$A$2676,Indices!$B$2:$B$2676,"")</f>
        <v>IWM</v>
      </c>
    </row>
    <row r="2672" spans="1:4" x14ac:dyDescent="0.25">
      <c r="A2672" s="140">
        <v>45714.291666666664</v>
      </c>
      <c r="B2672" t="s">
        <v>3371</v>
      </c>
      <c r="C2672" t="s">
        <v>3344</v>
      </c>
      <c r="D2672" s="6" t="str">
        <f>_xlfn.XLOOKUP(B2672,Indices!$A$2:$A$2676,Indices!$B$2:$B$2676,"")</f>
        <v/>
      </c>
    </row>
    <row r="2673" spans="1:4" x14ac:dyDescent="0.25">
      <c r="A2673" s="140">
        <v>45714.291666666664</v>
      </c>
      <c r="B2673" t="s">
        <v>3484</v>
      </c>
      <c r="C2673" t="s">
        <v>3352</v>
      </c>
      <c r="D2673" s="6" t="str">
        <f>_xlfn.XLOOKUP(B2673,Indices!$A$2:$A$2676,Indices!$B$2:$B$2676,"")</f>
        <v/>
      </c>
    </row>
    <row r="2674" spans="1:4" x14ac:dyDescent="0.25">
      <c r="A2674" s="140">
        <v>45714.291666666664</v>
      </c>
      <c r="B2674" t="s">
        <v>3391</v>
      </c>
      <c r="C2674" t="s">
        <v>3344</v>
      </c>
      <c r="D2674" s="6" t="str">
        <f>_xlfn.XLOOKUP(B2674,Indices!$A$2:$A$2676,Indices!$B$2:$B$2676,"")</f>
        <v/>
      </c>
    </row>
    <row r="2675" spans="1:4" x14ac:dyDescent="0.25">
      <c r="A2675" s="140">
        <v>45714.291666666664</v>
      </c>
      <c r="B2675" t="s">
        <v>3374</v>
      </c>
      <c r="C2675" t="s">
        <v>3344</v>
      </c>
      <c r="D2675" s="6" t="str">
        <f>_xlfn.XLOOKUP(B2675,Indices!$A$2:$A$2676,Indices!$B$2:$B$2676,"")</f>
        <v/>
      </c>
    </row>
    <row r="2676" spans="1:4" x14ac:dyDescent="0.25">
      <c r="A2676" s="140">
        <v>45714.291666666664</v>
      </c>
      <c r="B2676" t="s">
        <v>3296</v>
      </c>
      <c r="C2676" t="s">
        <v>3352</v>
      </c>
      <c r="D2676" s="6" t="str">
        <f>_xlfn.XLOOKUP(B2676,Indices!$A$2:$A$2676,Indices!$B$2:$B$2676,"")</f>
        <v/>
      </c>
    </row>
    <row r="2677" spans="1:4" x14ac:dyDescent="0.25">
      <c r="A2677" s="140">
        <v>45714.291666666664</v>
      </c>
      <c r="B2677" t="s">
        <v>3361</v>
      </c>
      <c r="C2677" t="s">
        <v>3344</v>
      </c>
      <c r="D2677" s="6" t="str">
        <f>_xlfn.XLOOKUP(B2677,Indices!$A$2:$A$2676,Indices!$B$2:$B$2676,"")</f>
        <v/>
      </c>
    </row>
    <row r="2678" spans="1:4" x14ac:dyDescent="0.25">
      <c r="A2678" s="140">
        <v>45714.291666666664</v>
      </c>
      <c r="B2678" t="s">
        <v>3455</v>
      </c>
      <c r="C2678" t="s">
        <v>3344</v>
      </c>
      <c r="D2678" s="6" t="str">
        <f>_xlfn.XLOOKUP(B2678,Indices!$A$2:$A$2676,Indices!$B$2:$B$2676,"")</f>
        <v/>
      </c>
    </row>
    <row r="2679" spans="1:4" x14ac:dyDescent="0.25">
      <c r="A2679" s="140">
        <v>45714.291666666664</v>
      </c>
      <c r="B2679" t="s">
        <v>3383</v>
      </c>
      <c r="C2679" t="s">
        <v>3352</v>
      </c>
      <c r="D2679" s="6" t="str">
        <f>_xlfn.XLOOKUP(B2679,Indices!$A$2:$A$2676,Indices!$B$2:$B$2676,"")</f>
        <v/>
      </c>
    </row>
    <row r="2680" spans="1:4" x14ac:dyDescent="0.25">
      <c r="A2680" s="140">
        <v>45714.291666666664</v>
      </c>
      <c r="B2680" t="s">
        <v>3357</v>
      </c>
      <c r="C2680" t="s">
        <v>3344</v>
      </c>
      <c r="D2680" s="6" t="str">
        <f>_xlfn.XLOOKUP(B2680,Indices!$A$2:$A$2676,Indices!$B$2:$B$2676,"")</f>
        <v/>
      </c>
    </row>
    <row r="2681" spans="1:4" x14ac:dyDescent="0.25">
      <c r="A2681" s="140">
        <v>45714.294444444444</v>
      </c>
      <c r="B2681" t="s">
        <v>3330</v>
      </c>
      <c r="C2681" t="s">
        <v>6313</v>
      </c>
      <c r="D2681" s="6" t="str">
        <f>_xlfn.XLOOKUP(B2681,Indices!$A$2:$A$2676,Indices!$B$2:$B$2676,"")</f>
        <v/>
      </c>
    </row>
    <row r="2682" spans="1:4" x14ac:dyDescent="0.25">
      <c r="A2682" s="140">
        <v>45714.583333333336</v>
      </c>
      <c r="B2682" t="s">
        <v>122</v>
      </c>
      <c r="C2682" t="s">
        <v>6314</v>
      </c>
      <c r="D2682" s="6" t="str">
        <f>_xlfn.XLOOKUP(B2682,Indices!$A$2:$A$2676,Indices!$B$2:$B$2676,"")</f>
        <v>IWM</v>
      </c>
    </row>
    <row r="2683" spans="1:4" x14ac:dyDescent="0.25">
      <c r="A2683" s="140">
        <v>45714.583333333336</v>
      </c>
      <c r="B2683" t="s">
        <v>74</v>
      </c>
      <c r="C2683" t="s">
        <v>6314</v>
      </c>
      <c r="D2683" s="6" t="str">
        <f>_xlfn.XLOOKUP(B2683,Indices!$A$2:$A$2676,Indices!$B$2:$B$2676,"")</f>
        <v>IWM</v>
      </c>
    </row>
    <row r="2684" spans="1:4" x14ac:dyDescent="0.25">
      <c r="A2684" s="140">
        <v>45714.583333333336</v>
      </c>
      <c r="B2684" t="s">
        <v>3375</v>
      </c>
      <c r="C2684" t="s">
        <v>6314</v>
      </c>
      <c r="D2684" s="6" t="str">
        <f>_xlfn.XLOOKUP(B2684,Indices!$A$2:$A$2676,Indices!$B$2:$B$2676,"")</f>
        <v/>
      </c>
    </row>
    <row r="2685" spans="1:4" x14ac:dyDescent="0.25">
      <c r="A2685" s="140">
        <v>45714.583333333336</v>
      </c>
      <c r="B2685" t="s">
        <v>3348</v>
      </c>
      <c r="C2685" t="s">
        <v>6314</v>
      </c>
      <c r="D2685" s="6" t="str">
        <f>_xlfn.XLOOKUP(B2685,Indices!$A$2:$A$2676,Indices!$B$2:$B$2676,"")</f>
        <v/>
      </c>
    </row>
    <row r="2686" spans="1:4" x14ac:dyDescent="0.25">
      <c r="A2686" s="140">
        <v>45714.583333333336</v>
      </c>
      <c r="B2686" t="s">
        <v>859</v>
      </c>
      <c r="C2686" t="s">
        <v>6314</v>
      </c>
      <c r="D2686" s="6" t="str">
        <f>_xlfn.XLOOKUP(B2686,Indices!$A$2:$A$2676,Indices!$B$2:$B$2676,"")</f>
        <v>SP500</v>
      </c>
    </row>
    <row r="2687" spans="1:4" x14ac:dyDescent="0.25">
      <c r="A2687" s="140">
        <v>45714.583333333336</v>
      </c>
      <c r="B2687" t="s">
        <v>3400</v>
      </c>
      <c r="C2687" t="s">
        <v>6314</v>
      </c>
      <c r="D2687" s="6" t="str">
        <f>_xlfn.XLOOKUP(B2687,Indices!$A$2:$A$2676,Indices!$B$2:$B$2676,"")</f>
        <v/>
      </c>
    </row>
    <row r="2688" spans="1:4" x14ac:dyDescent="0.25">
      <c r="A2688" s="140">
        <v>45714.583333333336</v>
      </c>
      <c r="B2688" t="s">
        <v>3415</v>
      </c>
      <c r="C2688" t="s">
        <v>6314</v>
      </c>
      <c r="D2688" s="6" t="str">
        <f>_xlfn.XLOOKUP(B2688,Indices!$A$2:$A$2676,Indices!$B$2:$B$2676,"")</f>
        <v/>
      </c>
    </row>
    <row r="2689" spans="1:4" x14ac:dyDescent="0.25">
      <c r="A2689" s="140">
        <v>45714.583333333336</v>
      </c>
      <c r="B2689" t="s">
        <v>649</v>
      </c>
      <c r="C2689" t="s">
        <v>6314</v>
      </c>
      <c r="D2689" s="6" t="str">
        <f>_xlfn.XLOOKUP(B2689,Indices!$A$2:$A$2676,Indices!$B$2:$B$2676,"")</f>
        <v>IWM</v>
      </c>
    </row>
    <row r="2690" spans="1:4" x14ac:dyDescent="0.25">
      <c r="A2690" s="140">
        <v>45714.583333333336</v>
      </c>
      <c r="B2690" t="s">
        <v>2023</v>
      </c>
      <c r="C2690" t="s">
        <v>6314</v>
      </c>
      <c r="D2690" s="6" t="str">
        <f>_xlfn.XLOOKUP(B2690,Indices!$A$2:$A$2676,Indices!$B$2:$B$2676,"")</f>
        <v>IWM</v>
      </c>
    </row>
    <row r="2691" spans="1:4" x14ac:dyDescent="0.25">
      <c r="A2691" s="140">
        <v>45714.583333333336</v>
      </c>
      <c r="B2691" t="s">
        <v>3549</v>
      </c>
      <c r="C2691" t="s">
        <v>6314</v>
      </c>
      <c r="D2691" s="6" t="str">
        <f>_xlfn.XLOOKUP(B2691,Indices!$A$2:$A$2676,Indices!$B$2:$B$2676,"")</f>
        <v/>
      </c>
    </row>
    <row r="2692" spans="1:4" x14ac:dyDescent="0.25">
      <c r="A2692" s="140">
        <v>45714.584027777775</v>
      </c>
      <c r="B2692" t="s">
        <v>2205</v>
      </c>
      <c r="C2692" t="s">
        <v>6315</v>
      </c>
      <c r="D2692" s="6" t="str">
        <f>_xlfn.XLOOKUP(B2692,Indices!$A$2:$A$2676,Indices!$B$2:$B$2676,"")</f>
        <v>IWM</v>
      </c>
    </row>
    <row r="2693" spans="1:4" x14ac:dyDescent="0.25">
      <c r="A2693" s="140">
        <v>45714.584027777775</v>
      </c>
      <c r="B2693" t="s">
        <v>1997</v>
      </c>
      <c r="C2693" t="s">
        <v>6315</v>
      </c>
      <c r="D2693" s="6" t="str">
        <f>_xlfn.XLOOKUP(B2693,Indices!$A$2:$A$2676,Indices!$B$2:$B$2676,"")</f>
        <v>IWM</v>
      </c>
    </row>
    <row r="2694" spans="1:4" x14ac:dyDescent="0.25">
      <c r="A2694" s="140">
        <v>45714.584027777775</v>
      </c>
      <c r="B2694" t="s">
        <v>1188</v>
      </c>
      <c r="C2694" t="s">
        <v>6315</v>
      </c>
      <c r="D2694" s="6" t="str">
        <f>_xlfn.XLOOKUP(B2694,Indices!$A$2:$A$2676,Indices!$B$2:$B$2676,"")</f>
        <v>SP500</v>
      </c>
    </row>
    <row r="2695" spans="1:4" x14ac:dyDescent="0.25">
      <c r="A2695" s="140">
        <v>45714.584027777775</v>
      </c>
      <c r="B2695" t="s">
        <v>2369</v>
      </c>
      <c r="C2695" t="s">
        <v>6315</v>
      </c>
      <c r="D2695" s="6" t="str">
        <f>_xlfn.XLOOKUP(B2695,Indices!$A$2:$A$2676,Indices!$B$2:$B$2676,"")</f>
        <v>S&amp;P Mid</v>
      </c>
    </row>
    <row r="2696" spans="1:4" x14ac:dyDescent="0.25">
      <c r="A2696" s="140">
        <v>45714.584027777775</v>
      </c>
      <c r="B2696" t="s">
        <v>347</v>
      </c>
      <c r="C2696" t="s">
        <v>6315</v>
      </c>
      <c r="D2696" s="6" t="str">
        <f>_xlfn.XLOOKUP(B2696,Indices!$A$2:$A$2676,Indices!$B$2:$B$2676,"")</f>
        <v>IWM</v>
      </c>
    </row>
    <row r="2697" spans="1:4" x14ac:dyDescent="0.25">
      <c r="A2697" s="140">
        <v>45714.584027777775</v>
      </c>
      <c r="B2697" t="s">
        <v>3412</v>
      </c>
      <c r="C2697" t="s">
        <v>6315</v>
      </c>
      <c r="D2697" s="6" t="str">
        <f>_xlfn.XLOOKUP(B2697,Indices!$A$2:$A$2676,Indices!$B$2:$B$2676,"")</f>
        <v/>
      </c>
    </row>
    <row r="2698" spans="1:4" x14ac:dyDescent="0.25">
      <c r="A2698" s="140">
        <v>45714.584027777775</v>
      </c>
      <c r="B2698" t="s">
        <v>931</v>
      </c>
      <c r="C2698" t="s">
        <v>6315</v>
      </c>
      <c r="D2698" s="6" t="str">
        <f>_xlfn.XLOOKUP(B2698,Indices!$A$2:$A$2676,Indices!$B$2:$B$2676,"")</f>
        <v>IWM</v>
      </c>
    </row>
    <row r="2699" spans="1:4" x14ac:dyDescent="0.25">
      <c r="A2699" s="140">
        <v>45714.584027777775</v>
      </c>
      <c r="B2699" t="s">
        <v>1743</v>
      </c>
      <c r="C2699" t="s">
        <v>6315</v>
      </c>
      <c r="D2699" s="6" t="str">
        <f>_xlfn.XLOOKUP(B2699,Indices!$A$2:$A$2676,Indices!$B$2:$B$2676,"")</f>
        <v>IWM</v>
      </c>
    </row>
    <row r="2700" spans="1:4" x14ac:dyDescent="0.25">
      <c r="A2700" s="140">
        <v>45714.584027777775</v>
      </c>
      <c r="B2700" t="s">
        <v>3320</v>
      </c>
      <c r="C2700" t="s">
        <v>6315</v>
      </c>
      <c r="D2700" s="6" t="str">
        <f>_xlfn.XLOOKUP(B2700,Indices!$A$2:$A$2676,Indices!$B$2:$B$2676,"")</f>
        <v/>
      </c>
    </row>
    <row r="2701" spans="1:4" x14ac:dyDescent="0.25">
      <c r="A2701" s="140">
        <v>45714.584027777775</v>
      </c>
      <c r="B2701" t="s">
        <v>344</v>
      </c>
      <c r="C2701" t="s">
        <v>6315</v>
      </c>
      <c r="D2701" s="6" t="str">
        <f>_xlfn.XLOOKUP(B2701,Indices!$A$2:$A$2676,Indices!$B$2:$B$2676,"")</f>
        <v>IWM</v>
      </c>
    </row>
    <row r="2702" spans="1:4" x14ac:dyDescent="0.25">
      <c r="A2702" s="140">
        <v>45714.584027777775</v>
      </c>
      <c r="B2702" t="s">
        <v>424</v>
      </c>
      <c r="C2702" t="s">
        <v>6315</v>
      </c>
      <c r="D2702" s="6" t="str">
        <f>_xlfn.XLOOKUP(B2702,Indices!$A$2:$A$2676,Indices!$B$2:$B$2676,"")</f>
        <v>IWM</v>
      </c>
    </row>
    <row r="2703" spans="1:4" x14ac:dyDescent="0.25">
      <c r="A2703" s="140">
        <v>45714.584722222222</v>
      </c>
      <c r="B2703" t="s">
        <v>1024</v>
      </c>
      <c r="C2703" t="s">
        <v>6316</v>
      </c>
      <c r="D2703" s="6" t="str">
        <f>_xlfn.XLOOKUP(B2703,Indices!$A$2:$A$2676,Indices!$B$2:$B$2676,"")</f>
        <v>IWM</v>
      </c>
    </row>
    <row r="2704" spans="1:4" x14ac:dyDescent="0.25">
      <c r="A2704" s="140">
        <v>45714.584722222222</v>
      </c>
      <c r="B2704" t="s">
        <v>3435</v>
      </c>
      <c r="C2704" t="s">
        <v>6316</v>
      </c>
      <c r="D2704" s="6" t="str">
        <f>_xlfn.XLOOKUP(B2704,Indices!$A$2:$A$2676,Indices!$B$2:$B$2676,"")</f>
        <v/>
      </c>
    </row>
    <row r="2705" spans="1:4" x14ac:dyDescent="0.25">
      <c r="A2705" s="140">
        <v>45714.584722222222</v>
      </c>
      <c r="B2705" t="s">
        <v>349</v>
      </c>
      <c r="C2705" t="s">
        <v>6316</v>
      </c>
      <c r="D2705" s="6" t="str">
        <f>_xlfn.XLOOKUP(B2705,Indices!$A$2:$A$2676,Indices!$B$2:$B$2676,"")</f>
        <v>IWM</v>
      </c>
    </row>
    <row r="2706" spans="1:4" x14ac:dyDescent="0.25">
      <c r="A2706" s="140">
        <v>45714.585416666669</v>
      </c>
      <c r="B2706" t="s">
        <v>698</v>
      </c>
      <c r="C2706" t="s">
        <v>6317</v>
      </c>
      <c r="D2706" s="6" t="str">
        <f>_xlfn.XLOOKUP(B2706,Indices!$A$2:$A$2676,Indices!$B$2:$B$2676,"")</f>
        <v>IWM</v>
      </c>
    </row>
    <row r="2707" spans="1:4" x14ac:dyDescent="0.25">
      <c r="A2707" s="140">
        <v>45714.585416666669</v>
      </c>
      <c r="B2707" t="s">
        <v>353</v>
      </c>
      <c r="C2707" t="s">
        <v>6317</v>
      </c>
      <c r="D2707" s="6" t="str">
        <f>_xlfn.XLOOKUP(B2707,Indices!$A$2:$A$2676,Indices!$B$2:$B$2676,"")</f>
        <v>IWM</v>
      </c>
    </row>
    <row r="2708" spans="1:4" x14ac:dyDescent="0.25">
      <c r="A2708" s="140">
        <v>45714.585416666669</v>
      </c>
      <c r="B2708" t="s">
        <v>2152</v>
      </c>
      <c r="C2708" t="s">
        <v>6317</v>
      </c>
      <c r="D2708" s="6" t="str">
        <f>_xlfn.XLOOKUP(B2708,Indices!$A$2:$A$2676,Indices!$B$2:$B$2676,"")</f>
        <v>IWM</v>
      </c>
    </row>
    <row r="2709" spans="1:4" x14ac:dyDescent="0.25">
      <c r="A2709" s="140">
        <v>45714.585416666669</v>
      </c>
      <c r="B2709" t="s">
        <v>382</v>
      </c>
      <c r="C2709" t="s">
        <v>6317</v>
      </c>
      <c r="D2709" s="6" t="str">
        <f>_xlfn.XLOOKUP(B2709,Indices!$A$2:$A$2676,Indices!$B$2:$B$2676,"")</f>
        <v>IWM</v>
      </c>
    </row>
    <row r="2710" spans="1:4" x14ac:dyDescent="0.25">
      <c r="A2710" s="140">
        <v>45714.586111111108</v>
      </c>
      <c r="B2710" t="s">
        <v>360</v>
      </c>
      <c r="C2710" t="s">
        <v>6318</v>
      </c>
      <c r="D2710" s="6" t="str">
        <f>_xlfn.XLOOKUP(B2710,Indices!$A$2:$A$2676,Indices!$B$2:$B$2676,"")</f>
        <v>IWM</v>
      </c>
    </row>
    <row r="2711" spans="1:4" x14ac:dyDescent="0.25">
      <c r="A2711" s="140">
        <v>45714.586111111108</v>
      </c>
      <c r="B2711" t="s">
        <v>1141</v>
      </c>
      <c r="C2711" t="s">
        <v>6318</v>
      </c>
      <c r="D2711" s="6" t="str">
        <f>_xlfn.XLOOKUP(B2711,Indices!$A$2:$A$2676,Indices!$B$2:$B$2676,"")</f>
        <v>SP500</v>
      </c>
    </row>
    <row r="2712" spans="1:4" x14ac:dyDescent="0.25">
      <c r="A2712" s="140">
        <v>45714.586805555555</v>
      </c>
      <c r="B2712" t="s">
        <v>411</v>
      </c>
      <c r="C2712" t="s">
        <v>6319</v>
      </c>
      <c r="D2712" s="6" t="str">
        <f>_xlfn.XLOOKUP(B2712,Indices!$A$2:$A$2676,Indices!$B$2:$B$2676,"")</f>
        <v>IWM</v>
      </c>
    </row>
    <row r="2713" spans="1:4" x14ac:dyDescent="0.25">
      <c r="A2713" s="140">
        <v>45714.586805555555</v>
      </c>
      <c r="B2713" t="s">
        <v>403</v>
      </c>
      <c r="C2713" t="s">
        <v>6319</v>
      </c>
      <c r="D2713" s="6" t="str">
        <f>_xlfn.XLOOKUP(B2713,Indices!$A$2:$A$2676,Indices!$B$2:$B$2676,"")</f>
        <v>IWM</v>
      </c>
    </row>
    <row r="2714" spans="1:4" x14ac:dyDescent="0.25">
      <c r="A2714" s="140">
        <v>45714.586805555555</v>
      </c>
      <c r="B2714" t="s">
        <v>957</v>
      </c>
      <c r="C2714" t="s">
        <v>6319</v>
      </c>
      <c r="D2714" s="6" t="str">
        <f>_xlfn.XLOOKUP(B2714,Indices!$A$2:$A$2676,Indices!$B$2:$B$2676,"")</f>
        <v>IWM</v>
      </c>
    </row>
    <row r="2715" spans="1:4" x14ac:dyDescent="0.25">
      <c r="A2715" s="140">
        <v>45714.586805555555</v>
      </c>
      <c r="B2715" t="s">
        <v>3327</v>
      </c>
      <c r="C2715" t="s">
        <v>6319</v>
      </c>
      <c r="D2715" s="6" t="str">
        <f>_xlfn.XLOOKUP(B2715,Indices!$A$2:$A$2676,Indices!$B$2:$B$2676,"")</f>
        <v/>
      </c>
    </row>
    <row r="2716" spans="1:4" x14ac:dyDescent="0.25">
      <c r="A2716" s="140">
        <v>45714.586805555555</v>
      </c>
      <c r="B2716" t="s">
        <v>2238</v>
      </c>
      <c r="C2716" t="s">
        <v>6319</v>
      </c>
      <c r="D2716" s="6" t="str">
        <f>_xlfn.XLOOKUP(B2716,Indices!$A$2:$A$2676,Indices!$B$2:$B$2676,"")</f>
        <v>IWM</v>
      </c>
    </row>
    <row r="2717" spans="1:4" x14ac:dyDescent="0.25">
      <c r="A2717" s="140">
        <v>45714.586805555555</v>
      </c>
      <c r="B2717" t="s">
        <v>357</v>
      </c>
      <c r="C2717" t="s">
        <v>6319</v>
      </c>
      <c r="D2717" s="6" t="str">
        <f>_xlfn.XLOOKUP(B2717,Indices!$A$2:$A$2676,Indices!$B$2:$B$2676,"")</f>
        <v>S&amp;P Mid</v>
      </c>
    </row>
    <row r="2718" spans="1:4" x14ac:dyDescent="0.25">
      <c r="A2718" s="140">
        <v>45714.586805555555</v>
      </c>
      <c r="B2718" t="s">
        <v>1186</v>
      </c>
      <c r="C2718" t="s">
        <v>6319</v>
      </c>
      <c r="D2718" s="6" t="str">
        <f>_xlfn.XLOOKUP(B2718,Indices!$A$2:$A$2676,Indices!$B$2:$B$2676,"")</f>
        <v>S&amp;P Mid</v>
      </c>
    </row>
    <row r="2719" spans="1:4" x14ac:dyDescent="0.25">
      <c r="A2719" s="140">
        <v>45714.586805555555</v>
      </c>
      <c r="B2719" t="s">
        <v>991</v>
      </c>
      <c r="C2719" t="s">
        <v>6319</v>
      </c>
      <c r="D2719" s="6" t="str">
        <f>_xlfn.XLOOKUP(B2719,Indices!$A$2:$A$2676,Indices!$B$2:$B$2676,"")</f>
        <v>IWM</v>
      </c>
    </row>
    <row r="2720" spans="1:4" x14ac:dyDescent="0.25">
      <c r="A2720" s="140">
        <v>45714.586805555555</v>
      </c>
      <c r="B2720" t="s">
        <v>103</v>
      </c>
      <c r="C2720" t="s">
        <v>6319</v>
      </c>
      <c r="D2720" s="6" t="str">
        <f>_xlfn.XLOOKUP(B2720,Indices!$A$2:$A$2676,Indices!$B$2:$B$2676,"")</f>
        <v>IWM</v>
      </c>
    </row>
    <row r="2721" spans="1:4" x14ac:dyDescent="0.25">
      <c r="A2721" s="140">
        <v>45714.586805555555</v>
      </c>
      <c r="B2721" t="s">
        <v>367</v>
      </c>
      <c r="C2721" t="s">
        <v>6319</v>
      </c>
      <c r="D2721" s="6" t="str">
        <f>_xlfn.XLOOKUP(B2721,Indices!$A$2:$A$2676,Indices!$B$2:$B$2676,"")</f>
        <v>IWM</v>
      </c>
    </row>
    <row r="2722" spans="1:4" x14ac:dyDescent="0.25">
      <c r="A2722" s="140">
        <v>45714.586805555555</v>
      </c>
      <c r="B2722" t="s">
        <v>1988</v>
      </c>
      <c r="C2722" t="s">
        <v>6319</v>
      </c>
      <c r="D2722" s="6" t="str">
        <f>_xlfn.XLOOKUP(B2722,Indices!$A$2:$A$2676,Indices!$B$2:$B$2676,"")</f>
        <v>IWM</v>
      </c>
    </row>
    <row r="2723" spans="1:4" x14ac:dyDescent="0.25">
      <c r="A2723" s="140">
        <v>45714.586805555555</v>
      </c>
      <c r="B2723" t="s">
        <v>895</v>
      </c>
      <c r="C2723" t="s">
        <v>6319</v>
      </c>
      <c r="D2723" s="6" t="str">
        <f>_xlfn.XLOOKUP(B2723,Indices!$A$2:$A$2676,Indices!$B$2:$B$2676,"")</f>
        <v>IWM</v>
      </c>
    </row>
    <row r="2724" spans="1:4" x14ac:dyDescent="0.25">
      <c r="A2724" s="140">
        <v>45714.586805555555</v>
      </c>
      <c r="B2724" t="s">
        <v>372</v>
      </c>
      <c r="C2724" t="s">
        <v>6319</v>
      </c>
      <c r="D2724" s="6" t="str">
        <f>_xlfn.XLOOKUP(B2724,Indices!$A$2:$A$2676,Indices!$B$2:$B$2676,"")</f>
        <v>IWM</v>
      </c>
    </row>
    <row r="2725" spans="1:4" x14ac:dyDescent="0.25">
      <c r="A2725" s="140">
        <v>45714.586805555555</v>
      </c>
      <c r="B2725" t="s">
        <v>1207</v>
      </c>
      <c r="C2725" t="s">
        <v>6319</v>
      </c>
      <c r="D2725" s="6" t="str">
        <f>_xlfn.XLOOKUP(B2725,Indices!$A$2:$A$2676,Indices!$B$2:$B$2676,"")</f>
        <v>IWM</v>
      </c>
    </row>
    <row r="2726" spans="1:4" x14ac:dyDescent="0.25">
      <c r="A2726" s="140">
        <v>45714.586805555555</v>
      </c>
      <c r="B2726" t="s">
        <v>969</v>
      </c>
      <c r="C2726" t="s">
        <v>6319</v>
      </c>
      <c r="D2726" s="6" t="str">
        <f>_xlfn.XLOOKUP(B2726,Indices!$A$2:$A$2676,Indices!$B$2:$B$2676,"")</f>
        <v>IWM</v>
      </c>
    </row>
    <row r="2727" spans="1:4" x14ac:dyDescent="0.25">
      <c r="A2727" s="140">
        <v>45714.586805555555</v>
      </c>
      <c r="B2727" t="s">
        <v>414</v>
      </c>
      <c r="C2727" t="s">
        <v>6319</v>
      </c>
      <c r="D2727" s="6" t="str">
        <f>_xlfn.XLOOKUP(B2727,Indices!$A$2:$A$2676,Indices!$B$2:$B$2676,"")</f>
        <v>IWM</v>
      </c>
    </row>
    <row r="2728" spans="1:4" x14ac:dyDescent="0.25">
      <c r="A2728" s="140">
        <v>45714.586805555555</v>
      </c>
      <c r="B2728" t="s">
        <v>2504</v>
      </c>
      <c r="C2728" t="s">
        <v>6319</v>
      </c>
      <c r="D2728" s="6" t="str">
        <f>_xlfn.XLOOKUP(B2728,Indices!$A$2:$A$2676,Indices!$B$2:$B$2676,"")</f>
        <v>S&amp;P Mid</v>
      </c>
    </row>
    <row r="2729" spans="1:4" x14ac:dyDescent="0.25">
      <c r="A2729" s="140">
        <v>45714.586805555555</v>
      </c>
      <c r="B2729" t="s">
        <v>967</v>
      </c>
      <c r="C2729" t="s">
        <v>6319</v>
      </c>
      <c r="D2729" s="6" t="str">
        <f>_xlfn.XLOOKUP(B2729,Indices!$A$2:$A$2676,Indices!$B$2:$B$2676,"")</f>
        <v>IWM</v>
      </c>
    </row>
    <row r="2730" spans="1:4" x14ac:dyDescent="0.25">
      <c r="A2730" s="140">
        <v>45714.586805555555</v>
      </c>
      <c r="B2730" t="s">
        <v>680</v>
      </c>
      <c r="C2730" t="s">
        <v>6319</v>
      </c>
      <c r="D2730" s="6" t="str">
        <f>_xlfn.XLOOKUP(B2730,Indices!$A$2:$A$2676,Indices!$B$2:$B$2676,"")</f>
        <v>IWM</v>
      </c>
    </row>
    <row r="2731" spans="1:4" x14ac:dyDescent="0.25">
      <c r="A2731" s="140">
        <v>45714.586805555555</v>
      </c>
      <c r="B2731" t="s">
        <v>1165</v>
      </c>
      <c r="C2731" t="s">
        <v>6319</v>
      </c>
      <c r="D2731" s="6" t="str">
        <f>_xlfn.XLOOKUP(B2731,Indices!$A$2:$A$2676,Indices!$B$2:$B$2676,"")</f>
        <v>IWM</v>
      </c>
    </row>
    <row r="2732" spans="1:4" x14ac:dyDescent="0.25">
      <c r="A2732" s="140">
        <v>45714.586805555555</v>
      </c>
      <c r="B2732" t="s">
        <v>3410</v>
      </c>
      <c r="C2732" t="s">
        <v>6319</v>
      </c>
      <c r="D2732" s="6" t="str">
        <f>_xlfn.XLOOKUP(B2732,Indices!$A$2:$A$2676,Indices!$B$2:$B$2676,"")</f>
        <v/>
      </c>
    </row>
    <row r="2733" spans="1:4" x14ac:dyDescent="0.25">
      <c r="A2733" s="140">
        <v>45714.586805555555</v>
      </c>
      <c r="B2733" t="s">
        <v>1062</v>
      </c>
      <c r="C2733" t="s">
        <v>6319</v>
      </c>
      <c r="D2733" s="6" t="str">
        <f>_xlfn.XLOOKUP(B2733,Indices!$A$2:$A$2676,Indices!$B$2:$B$2676,"")</f>
        <v>IWM</v>
      </c>
    </row>
    <row r="2734" spans="1:4" x14ac:dyDescent="0.25">
      <c r="A2734" s="140">
        <v>45714.586805555555</v>
      </c>
      <c r="B2734" t="s">
        <v>410</v>
      </c>
      <c r="C2734" t="s">
        <v>6319</v>
      </c>
      <c r="D2734" s="6" t="str">
        <f>_xlfn.XLOOKUP(B2734,Indices!$A$2:$A$2676,Indices!$B$2:$B$2676,"")</f>
        <v>IWM</v>
      </c>
    </row>
    <row r="2735" spans="1:4" x14ac:dyDescent="0.25">
      <c r="A2735" s="140">
        <v>45714.586805555555</v>
      </c>
      <c r="B2735" t="s">
        <v>412</v>
      </c>
      <c r="C2735" t="s">
        <v>6319</v>
      </c>
      <c r="D2735" s="6" t="str">
        <f>_xlfn.XLOOKUP(B2735,Indices!$A$2:$A$2676,Indices!$B$2:$B$2676,"")</f>
        <v>S&amp;P Mid</v>
      </c>
    </row>
    <row r="2736" spans="1:4" x14ac:dyDescent="0.25">
      <c r="A2736" s="140">
        <v>45714.586805555555</v>
      </c>
      <c r="B2736" t="s">
        <v>1708</v>
      </c>
      <c r="C2736" t="s">
        <v>6319</v>
      </c>
      <c r="D2736" s="6" t="str">
        <f>_xlfn.XLOOKUP(B2736,Indices!$A$2:$A$2676,Indices!$B$2:$B$2676,"")</f>
        <v>IWM</v>
      </c>
    </row>
    <row r="2737" spans="1:4" x14ac:dyDescent="0.25">
      <c r="A2737" s="140">
        <v>45714.586805555555</v>
      </c>
      <c r="B2737" t="s">
        <v>1215</v>
      </c>
      <c r="C2737" t="s">
        <v>6319</v>
      </c>
      <c r="D2737" s="6" t="str">
        <f>_xlfn.XLOOKUP(B2737,Indices!$A$2:$A$2676,Indices!$B$2:$B$2676,"")</f>
        <v>SP500</v>
      </c>
    </row>
    <row r="2738" spans="1:4" x14ac:dyDescent="0.25">
      <c r="A2738" s="140">
        <v>45714.586805555555</v>
      </c>
      <c r="B2738" t="s">
        <v>1008</v>
      </c>
      <c r="C2738" t="s">
        <v>6319</v>
      </c>
      <c r="D2738" s="6" t="str">
        <f>_xlfn.XLOOKUP(B2738,Indices!$A$2:$A$2676,Indices!$B$2:$B$2676,"")</f>
        <v>IWM</v>
      </c>
    </row>
    <row r="2739" spans="1:4" x14ac:dyDescent="0.25">
      <c r="A2739" s="140">
        <v>45714.586805555555</v>
      </c>
      <c r="B2739" t="s">
        <v>364</v>
      </c>
      <c r="C2739" t="s">
        <v>6319</v>
      </c>
      <c r="D2739" s="6" t="str">
        <f>_xlfn.XLOOKUP(B2739,Indices!$A$2:$A$2676,Indices!$B$2:$B$2676,"")</f>
        <v>IWM</v>
      </c>
    </row>
    <row r="2740" spans="1:4" x14ac:dyDescent="0.25">
      <c r="A2740" s="140">
        <v>45714.586805555555</v>
      </c>
      <c r="B2740" t="s">
        <v>3712</v>
      </c>
      <c r="C2740" t="s">
        <v>6319</v>
      </c>
      <c r="D2740" s="6" t="str">
        <f>_xlfn.XLOOKUP(B2740,Indices!$A$2:$A$2676,Indices!$B$2:$B$2676,"")</f>
        <v/>
      </c>
    </row>
    <row r="2741" spans="1:4" x14ac:dyDescent="0.25">
      <c r="A2741" s="140">
        <v>45714.586805555555</v>
      </c>
      <c r="B2741" t="s">
        <v>82</v>
      </c>
      <c r="C2741" t="s">
        <v>6319</v>
      </c>
      <c r="D2741" s="6" t="str">
        <f>_xlfn.XLOOKUP(B2741,Indices!$A$2:$A$2676,Indices!$B$2:$B$2676,"")</f>
        <v>IWM</v>
      </c>
    </row>
    <row r="2742" spans="1:4" x14ac:dyDescent="0.25">
      <c r="A2742" s="140">
        <v>45714.586805555555</v>
      </c>
      <c r="B2742" t="s">
        <v>496</v>
      </c>
      <c r="C2742" t="s">
        <v>6319</v>
      </c>
      <c r="D2742" s="6" t="str">
        <f>_xlfn.XLOOKUP(B2742,Indices!$A$2:$A$2676,Indices!$B$2:$B$2676,"")</f>
        <v>IWM</v>
      </c>
    </row>
    <row r="2743" spans="1:4" x14ac:dyDescent="0.25">
      <c r="A2743" s="140">
        <v>45714.586805555555</v>
      </c>
      <c r="B2743" t="s">
        <v>700</v>
      </c>
      <c r="C2743" t="s">
        <v>6319</v>
      </c>
      <c r="D2743" s="6" t="str">
        <f>_xlfn.XLOOKUP(B2743,Indices!$A$2:$A$2676,Indices!$B$2:$B$2676,"")</f>
        <v>IWM</v>
      </c>
    </row>
    <row r="2744" spans="1:4" x14ac:dyDescent="0.25">
      <c r="A2744" s="140">
        <v>45714.586805555555</v>
      </c>
      <c r="B2744" t="s">
        <v>2130</v>
      </c>
      <c r="C2744" t="s">
        <v>6319</v>
      </c>
      <c r="D2744" s="6" t="str">
        <f>_xlfn.XLOOKUP(B2744,Indices!$A$2:$A$2676,Indices!$B$2:$B$2676,"")</f>
        <v>IWM</v>
      </c>
    </row>
    <row r="2745" spans="1:4" x14ac:dyDescent="0.25">
      <c r="A2745" s="140">
        <v>45714.586805555555</v>
      </c>
      <c r="B2745" t="s">
        <v>1248</v>
      </c>
      <c r="C2745" t="s">
        <v>6319</v>
      </c>
      <c r="D2745" s="6" t="str">
        <f>_xlfn.XLOOKUP(B2745,Indices!$A$2:$A$2676,Indices!$B$2:$B$2676,"")</f>
        <v>IWM</v>
      </c>
    </row>
    <row r="2746" spans="1:4" x14ac:dyDescent="0.25">
      <c r="A2746" s="140">
        <v>45714.586805555555</v>
      </c>
      <c r="B2746" t="s">
        <v>1930</v>
      </c>
      <c r="C2746" t="s">
        <v>6319</v>
      </c>
      <c r="D2746" s="6" t="str">
        <f>_xlfn.XLOOKUP(B2746,Indices!$A$2:$A$2676,Indices!$B$2:$B$2676,"")</f>
        <v>IWM</v>
      </c>
    </row>
    <row r="2747" spans="1:4" x14ac:dyDescent="0.25">
      <c r="A2747" s="140">
        <v>45714.586805555555</v>
      </c>
      <c r="B2747" t="s">
        <v>717</v>
      </c>
      <c r="C2747" t="s">
        <v>6319</v>
      </c>
      <c r="D2747" s="6" t="str">
        <f>_xlfn.XLOOKUP(B2747,Indices!$A$2:$A$2676,Indices!$B$2:$B$2676,"")</f>
        <v>IWM</v>
      </c>
    </row>
    <row r="2748" spans="1:4" x14ac:dyDescent="0.25">
      <c r="A2748" s="140">
        <v>45714.586805555555</v>
      </c>
      <c r="B2748" t="s">
        <v>374</v>
      </c>
      <c r="C2748" t="s">
        <v>6319</v>
      </c>
      <c r="D2748" s="6" t="str">
        <f>_xlfn.XLOOKUP(B2748,Indices!$A$2:$A$2676,Indices!$B$2:$B$2676,"")</f>
        <v>IWM</v>
      </c>
    </row>
    <row r="2749" spans="1:4" x14ac:dyDescent="0.25">
      <c r="A2749" s="140">
        <v>45714.586805555555</v>
      </c>
      <c r="B2749" t="s">
        <v>1481</v>
      </c>
      <c r="C2749" t="s">
        <v>6319</v>
      </c>
      <c r="D2749" s="6" t="str">
        <f>_xlfn.XLOOKUP(B2749,Indices!$A$2:$A$2676,Indices!$B$2:$B$2676,"")</f>
        <v>SP500</v>
      </c>
    </row>
    <row r="2750" spans="1:4" x14ac:dyDescent="0.25">
      <c r="A2750" s="140">
        <v>45714.586805555555</v>
      </c>
      <c r="B2750" t="s">
        <v>3401</v>
      </c>
      <c r="C2750" t="s">
        <v>6319</v>
      </c>
      <c r="D2750" s="6" t="str">
        <f>_xlfn.XLOOKUP(B2750,Indices!$A$2:$A$2676,Indices!$B$2:$B$2676,"")</f>
        <v/>
      </c>
    </row>
    <row r="2751" spans="1:4" x14ac:dyDescent="0.25">
      <c r="A2751" s="140">
        <v>45714.586805555555</v>
      </c>
      <c r="B2751" t="s">
        <v>750</v>
      </c>
      <c r="C2751" t="s">
        <v>6319</v>
      </c>
      <c r="D2751" s="6" t="str">
        <f>_xlfn.XLOOKUP(B2751,Indices!$A$2:$A$2676,Indices!$B$2:$B$2676,"")</f>
        <v>IWM</v>
      </c>
    </row>
    <row r="2752" spans="1:4" x14ac:dyDescent="0.25">
      <c r="A2752" s="140">
        <v>45714.586805555555</v>
      </c>
      <c r="B2752" t="s">
        <v>3701</v>
      </c>
      <c r="C2752" t="s">
        <v>6319</v>
      </c>
      <c r="D2752" s="6" t="str">
        <f>_xlfn.XLOOKUP(B2752,Indices!$A$2:$A$2676,Indices!$B$2:$B$2676,"")</f>
        <v/>
      </c>
    </row>
    <row r="2753" spans="1:4" x14ac:dyDescent="0.25">
      <c r="A2753" s="140">
        <v>45714.586805555555</v>
      </c>
      <c r="B2753" t="s">
        <v>3419</v>
      </c>
      <c r="C2753" t="s">
        <v>6319</v>
      </c>
      <c r="D2753" s="6" t="str">
        <f>_xlfn.XLOOKUP(B2753,Indices!$A$2:$A$2676,Indices!$B$2:$B$2676,"")</f>
        <v/>
      </c>
    </row>
    <row r="2754" spans="1:4" x14ac:dyDescent="0.25">
      <c r="A2754" s="140">
        <v>45714.586805555555</v>
      </c>
      <c r="B2754" t="s">
        <v>405</v>
      </c>
      <c r="C2754" t="s">
        <v>6319</v>
      </c>
      <c r="D2754" s="6" t="str">
        <f>_xlfn.XLOOKUP(B2754,Indices!$A$2:$A$2676,Indices!$B$2:$B$2676,"")</f>
        <v>IWM</v>
      </c>
    </row>
    <row r="2755" spans="1:4" x14ac:dyDescent="0.25">
      <c r="A2755" s="140">
        <v>45714.586805555555</v>
      </c>
      <c r="B2755" t="s">
        <v>2615</v>
      </c>
      <c r="C2755" t="s">
        <v>6319</v>
      </c>
      <c r="D2755" s="6" t="str">
        <f>_xlfn.XLOOKUP(B2755,Indices!$A$2:$A$2676,Indices!$B$2:$B$2676,"")</f>
        <v/>
      </c>
    </row>
    <row r="2756" spans="1:4" x14ac:dyDescent="0.25">
      <c r="A2756" s="140">
        <v>45714.586805555555</v>
      </c>
      <c r="B2756" t="s">
        <v>1168</v>
      </c>
      <c r="C2756" t="s">
        <v>6319</v>
      </c>
      <c r="D2756" s="6" t="str">
        <f>_xlfn.XLOOKUP(B2756,Indices!$A$2:$A$2676,Indices!$B$2:$B$2676,"")</f>
        <v>IWM</v>
      </c>
    </row>
    <row r="2757" spans="1:4" x14ac:dyDescent="0.25">
      <c r="A2757" s="140">
        <v>45714.586805555555</v>
      </c>
      <c r="B2757" t="s">
        <v>394</v>
      </c>
      <c r="C2757" t="s">
        <v>6319</v>
      </c>
      <c r="D2757" s="6" t="str">
        <f>_xlfn.XLOOKUP(B2757,Indices!$A$2:$A$2676,Indices!$B$2:$B$2676,"")</f>
        <v>IWM</v>
      </c>
    </row>
    <row r="2758" spans="1:4" x14ac:dyDescent="0.25">
      <c r="A2758" s="140">
        <v>45714.586805555555</v>
      </c>
      <c r="B2758" t="s">
        <v>401</v>
      </c>
      <c r="C2758" t="s">
        <v>6319</v>
      </c>
      <c r="D2758" s="6" t="str">
        <f>_xlfn.XLOOKUP(B2758,Indices!$A$2:$A$2676,Indices!$B$2:$B$2676,"")</f>
        <v>IWM</v>
      </c>
    </row>
    <row r="2759" spans="1:4" x14ac:dyDescent="0.25">
      <c r="A2759" s="140">
        <v>45714.586805555555</v>
      </c>
      <c r="B2759" t="s">
        <v>3146</v>
      </c>
      <c r="C2759" t="s">
        <v>6319</v>
      </c>
      <c r="D2759" s="6" t="str">
        <f>_xlfn.XLOOKUP(B2759,Indices!$A$2:$A$2676,Indices!$B$2:$B$2676,"")</f>
        <v/>
      </c>
    </row>
    <row r="2760" spans="1:4" x14ac:dyDescent="0.25">
      <c r="A2760" s="140">
        <v>45714.587500000001</v>
      </c>
      <c r="B2760" t="s">
        <v>769</v>
      </c>
      <c r="C2760" t="s">
        <v>6320</v>
      </c>
      <c r="D2760" s="6" t="str">
        <f>_xlfn.XLOOKUP(B2760,Indices!$A$2:$A$2676,Indices!$B$2:$B$2676,"")</f>
        <v>IWM</v>
      </c>
    </row>
    <row r="2761" spans="1:4" x14ac:dyDescent="0.25">
      <c r="A2761" s="140">
        <v>45714.588194444441</v>
      </c>
      <c r="B2761" t="s">
        <v>1832</v>
      </c>
      <c r="C2761" t="s">
        <v>6321</v>
      </c>
      <c r="D2761" s="6" t="str">
        <f>_xlfn.XLOOKUP(B2761,Indices!$A$2:$A$2676,Indices!$B$2:$B$2676,"")</f>
        <v>IWM</v>
      </c>
    </row>
    <row r="2762" spans="1:4" x14ac:dyDescent="0.25">
      <c r="A2762" s="140">
        <v>45714.588194444441</v>
      </c>
      <c r="B2762" t="s">
        <v>3407</v>
      </c>
      <c r="C2762" t="s">
        <v>6321</v>
      </c>
      <c r="D2762" s="6" t="str">
        <f>_xlfn.XLOOKUP(B2762,Indices!$A$2:$A$2676,Indices!$B$2:$B$2676,"")</f>
        <v/>
      </c>
    </row>
    <row r="2763" spans="1:4" x14ac:dyDescent="0.25">
      <c r="A2763" s="140">
        <v>45714.588194444441</v>
      </c>
      <c r="B2763" t="s">
        <v>2056</v>
      </c>
      <c r="C2763" t="s">
        <v>6321</v>
      </c>
      <c r="D2763" s="6" t="str">
        <f>_xlfn.XLOOKUP(B2763,Indices!$A$2:$A$2676,Indices!$B$2:$B$2676,"")</f>
        <v>IWM</v>
      </c>
    </row>
    <row r="2764" spans="1:4" x14ac:dyDescent="0.25">
      <c r="A2764" s="140">
        <v>45714.588888888888</v>
      </c>
      <c r="B2764" t="s">
        <v>2033</v>
      </c>
      <c r="C2764" t="s">
        <v>6322</v>
      </c>
      <c r="D2764" s="6" t="str">
        <f>_xlfn.XLOOKUP(B2764,Indices!$A$2:$A$2676,Indices!$B$2:$B$2676,"")</f>
        <v>IWM</v>
      </c>
    </row>
    <row r="2765" spans="1:4" x14ac:dyDescent="0.25">
      <c r="A2765" s="140">
        <v>45714.590277777781</v>
      </c>
      <c r="B2765" t="s">
        <v>426</v>
      </c>
      <c r="C2765" t="s">
        <v>6323</v>
      </c>
      <c r="D2765" s="6" t="str">
        <f>_xlfn.XLOOKUP(B2765,Indices!$A$2:$A$2676,Indices!$B$2:$B$2676,"")</f>
        <v>IWM</v>
      </c>
    </row>
    <row r="2766" spans="1:4" x14ac:dyDescent="0.25">
      <c r="A2766" s="140">
        <v>45714.590277777781</v>
      </c>
      <c r="B2766" t="s">
        <v>3210</v>
      </c>
      <c r="C2766" t="s">
        <v>6323</v>
      </c>
      <c r="D2766" s="6" t="str">
        <f>_xlfn.XLOOKUP(B2766,Indices!$A$2:$A$2676,Indices!$B$2:$B$2676,"")</f>
        <v/>
      </c>
    </row>
    <row r="2767" spans="1:4" x14ac:dyDescent="0.25">
      <c r="A2767" s="140">
        <v>45714.590277777781</v>
      </c>
      <c r="B2767" t="s">
        <v>760</v>
      </c>
      <c r="C2767" t="s">
        <v>6323</v>
      </c>
      <c r="D2767" s="6" t="str">
        <f>_xlfn.XLOOKUP(B2767,Indices!$A$2:$A$2676,Indices!$B$2:$B$2676,"")</f>
        <v>IWM</v>
      </c>
    </row>
    <row r="2768" spans="1:4" x14ac:dyDescent="0.25">
      <c r="A2768" s="140">
        <v>45714.590277777781</v>
      </c>
      <c r="B2768" t="s">
        <v>2200</v>
      </c>
      <c r="C2768" t="s">
        <v>6323</v>
      </c>
      <c r="D2768" s="6" t="str">
        <f>_xlfn.XLOOKUP(B2768,Indices!$A$2:$A$2676,Indices!$B$2:$B$2676,"")</f>
        <v>IWM</v>
      </c>
    </row>
    <row r="2769" spans="1:4" x14ac:dyDescent="0.25">
      <c r="A2769" s="140">
        <v>45714.590277777781</v>
      </c>
      <c r="B2769" t="s">
        <v>1885</v>
      </c>
      <c r="C2769" t="s">
        <v>6323</v>
      </c>
      <c r="D2769" s="6" t="str">
        <f>_xlfn.XLOOKUP(B2769,Indices!$A$2:$A$2676,Indices!$B$2:$B$2676,"")</f>
        <v>IWM</v>
      </c>
    </row>
    <row r="2770" spans="1:4" x14ac:dyDescent="0.25">
      <c r="A2770" s="140">
        <v>45714.590277777781</v>
      </c>
      <c r="B2770" t="s">
        <v>2283</v>
      </c>
      <c r="C2770" t="s">
        <v>6323</v>
      </c>
      <c r="D2770" s="6" t="str">
        <f>_xlfn.XLOOKUP(B2770,Indices!$A$2:$A$2676,Indices!$B$2:$B$2676,"")</f>
        <v>IWM</v>
      </c>
    </row>
    <row r="2771" spans="1:4" x14ac:dyDescent="0.25">
      <c r="A2771" s="140">
        <v>45714.591666666667</v>
      </c>
      <c r="B2771" t="s">
        <v>1855</v>
      </c>
      <c r="C2771" t="s">
        <v>6324</v>
      </c>
      <c r="D2771" s="6" t="str">
        <f>_xlfn.XLOOKUP(B2771,Indices!$A$2:$A$2676,Indices!$B$2:$B$2676,"")</f>
        <v>IWM</v>
      </c>
    </row>
    <row r="2772" spans="1:4" x14ac:dyDescent="0.25">
      <c r="A2772" s="140">
        <v>45714.592361111114</v>
      </c>
      <c r="B2772" t="s">
        <v>421</v>
      </c>
      <c r="C2772" t="s">
        <v>6325</v>
      </c>
      <c r="D2772" s="6" t="str">
        <f>_xlfn.XLOOKUP(B2772,Indices!$A$2:$A$2676,Indices!$B$2:$B$2676,"")</f>
        <v>IWM</v>
      </c>
    </row>
    <row r="2773" spans="1:4" x14ac:dyDescent="0.25">
      <c r="A2773" s="140">
        <v>45714.59375</v>
      </c>
      <c r="B2773" t="s">
        <v>3160</v>
      </c>
      <c r="C2773" t="s">
        <v>6326</v>
      </c>
      <c r="D2773" s="6" t="str">
        <f>_xlfn.XLOOKUP(B2773,Indices!$A$2:$A$2676,Indices!$B$2:$B$2676,"")</f>
        <v/>
      </c>
    </row>
    <row r="2774" spans="1:4" x14ac:dyDescent="0.25">
      <c r="A2774" s="140">
        <v>45714.59375</v>
      </c>
      <c r="B2774" t="s">
        <v>3277</v>
      </c>
      <c r="C2774" t="s">
        <v>6326</v>
      </c>
      <c r="D2774" s="6" t="str">
        <f>_xlfn.XLOOKUP(B2774,Indices!$A$2:$A$2676,Indices!$B$2:$B$2676,"")</f>
        <v/>
      </c>
    </row>
    <row r="2775" spans="1:4" x14ac:dyDescent="0.25">
      <c r="A2775" s="140">
        <v>45714.59375</v>
      </c>
      <c r="B2775" t="s">
        <v>439</v>
      </c>
      <c r="C2775" t="s">
        <v>6326</v>
      </c>
      <c r="D2775" s="6" t="str">
        <f>_xlfn.XLOOKUP(B2775,Indices!$A$2:$A$2676,Indices!$B$2:$B$2676,"")</f>
        <v>IWM</v>
      </c>
    </row>
    <row r="2776" spans="1:4" x14ac:dyDescent="0.25">
      <c r="A2776" s="140">
        <v>45714.59375</v>
      </c>
      <c r="B2776" t="s">
        <v>3530</v>
      </c>
      <c r="C2776" t="s">
        <v>6326</v>
      </c>
      <c r="D2776" s="6" t="str">
        <f>_xlfn.XLOOKUP(B2776,Indices!$A$2:$A$2676,Indices!$B$2:$B$2676,"")</f>
        <v/>
      </c>
    </row>
    <row r="2777" spans="1:4" x14ac:dyDescent="0.25">
      <c r="A2777" s="140">
        <v>45714.59375</v>
      </c>
      <c r="B2777" t="s">
        <v>2045</v>
      </c>
      <c r="C2777" t="s">
        <v>6326</v>
      </c>
      <c r="D2777" s="6" t="str">
        <f>_xlfn.XLOOKUP(B2777,Indices!$A$2:$A$2676,Indices!$B$2:$B$2676,"")</f>
        <v>IWM</v>
      </c>
    </row>
    <row r="2778" spans="1:4" x14ac:dyDescent="0.25">
      <c r="A2778" s="140">
        <v>45714.59375</v>
      </c>
      <c r="B2778" t="s">
        <v>453</v>
      </c>
      <c r="C2778" t="s">
        <v>6326</v>
      </c>
      <c r="D2778" s="6" t="str">
        <f>_xlfn.XLOOKUP(B2778,Indices!$A$2:$A$2676,Indices!$B$2:$B$2676,"")</f>
        <v>S&amp;P Mid</v>
      </c>
    </row>
    <row r="2779" spans="1:4" x14ac:dyDescent="0.25">
      <c r="A2779" s="140">
        <v>45714.59375</v>
      </c>
      <c r="B2779" t="s">
        <v>2423</v>
      </c>
      <c r="C2779" t="s">
        <v>6326</v>
      </c>
      <c r="D2779" s="6" t="str">
        <f>_xlfn.XLOOKUP(B2779,Indices!$A$2:$A$2676,Indices!$B$2:$B$2676,"")</f>
        <v>S&amp;P Mid</v>
      </c>
    </row>
    <row r="2780" spans="1:4" x14ac:dyDescent="0.25">
      <c r="A2780" s="140">
        <v>45714.59375</v>
      </c>
      <c r="B2780" t="s">
        <v>2363</v>
      </c>
      <c r="C2780" t="s">
        <v>6326</v>
      </c>
      <c r="D2780" s="6" t="str">
        <f>_xlfn.XLOOKUP(B2780,Indices!$A$2:$A$2676,Indices!$B$2:$B$2676,"")</f>
        <v>S&amp;P Mid</v>
      </c>
    </row>
    <row r="2781" spans="1:4" x14ac:dyDescent="0.25">
      <c r="A2781" s="140">
        <v>45714.59375</v>
      </c>
      <c r="B2781" t="s">
        <v>2501</v>
      </c>
      <c r="C2781" t="s">
        <v>6326</v>
      </c>
      <c r="D2781" s="6" t="str">
        <f>_xlfn.XLOOKUP(B2781,Indices!$A$2:$A$2676,Indices!$B$2:$B$2676,"")</f>
        <v>S&amp;P Mid</v>
      </c>
    </row>
    <row r="2782" spans="1:4" x14ac:dyDescent="0.25">
      <c r="A2782" s="140">
        <v>45714.59375</v>
      </c>
      <c r="B2782" t="s">
        <v>3421</v>
      </c>
      <c r="C2782" t="s">
        <v>6326</v>
      </c>
      <c r="D2782" s="6" t="str">
        <f>_xlfn.XLOOKUP(B2782,Indices!$A$2:$A$2676,Indices!$B$2:$B$2676,"")</f>
        <v/>
      </c>
    </row>
    <row r="2783" spans="1:4" x14ac:dyDescent="0.25">
      <c r="A2783" s="140">
        <v>45714.59375</v>
      </c>
      <c r="B2783" t="s">
        <v>877</v>
      </c>
      <c r="C2783" t="s">
        <v>6326</v>
      </c>
      <c r="D2783" s="6" t="str">
        <f>_xlfn.XLOOKUP(B2783,Indices!$A$2:$A$2676,Indices!$B$2:$B$2676,"")</f>
        <v>IWM</v>
      </c>
    </row>
    <row r="2784" spans="1:4" x14ac:dyDescent="0.25">
      <c r="A2784" s="140">
        <v>45714.59375</v>
      </c>
      <c r="B2784" t="s">
        <v>3436</v>
      </c>
      <c r="C2784" t="s">
        <v>6326</v>
      </c>
      <c r="D2784" s="6" t="str">
        <f>_xlfn.XLOOKUP(B2784,Indices!$A$2:$A$2676,Indices!$B$2:$B$2676,"")</f>
        <v/>
      </c>
    </row>
    <row r="2785" spans="1:6" x14ac:dyDescent="0.25">
      <c r="A2785" s="140">
        <v>45714.59375</v>
      </c>
      <c r="B2785" t="s">
        <v>3279</v>
      </c>
      <c r="C2785" t="s">
        <v>6326</v>
      </c>
      <c r="D2785" s="6" t="str">
        <f>_xlfn.XLOOKUP(B2785,Indices!$A$2:$A$2676,Indices!$B$2:$B$2676,"")</f>
        <v/>
      </c>
    </row>
    <row r="2786" spans="1:6" x14ac:dyDescent="0.25">
      <c r="A2786" s="140">
        <v>45714.59375</v>
      </c>
      <c r="B2786" t="s">
        <v>1624</v>
      </c>
      <c r="C2786" t="s">
        <v>6326</v>
      </c>
      <c r="D2786" s="6" t="str">
        <f>_xlfn.XLOOKUP(B2786,Indices!$A$2:$A$2676,Indices!$B$2:$B$2676,"")</f>
        <v>IWM</v>
      </c>
    </row>
    <row r="2787" spans="1:6" x14ac:dyDescent="0.25">
      <c r="A2787" s="140">
        <v>45714.59375</v>
      </c>
      <c r="B2787" t="s">
        <v>2175</v>
      </c>
      <c r="C2787" t="s">
        <v>6326</v>
      </c>
      <c r="D2787" s="6" t="str">
        <f>_xlfn.XLOOKUP(B2787,Indices!$A$2:$A$2676,Indices!$B$2:$B$2676,"")</f>
        <v>IWM</v>
      </c>
    </row>
    <row r="2788" spans="1:6" x14ac:dyDescent="0.25">
      <c r="A2788" s="140">
        <v>45714.59375</v>
      </c>
      <c r="B2788" t="s">
        <v>3909</v>
      </c>
      <c r="C2788" t="s">
        <v>6326</v>
      </c>
      <c r="D2788" s="6" t="str">
        <f>_xlfn.XLOOKUP(B2788,Indices!$A$2:$A$2676,Indices!$B$2:$B$2676,"")</f>
        <v/>
      </c>
    </row>
    <row r="2789" spans="1:6" x14ac:dyDescent="0.25">
      <c r="A2789" s="140">
        <v>45714.59375</v>
      </c>
      <c r="B2789" t="s">
        <v>1526</v>
      </c>
      <c r="C2789" t="s">
        <v>6326</v>
      </c>
      <c r="D2789" s="6" t="str">
        <f>_xlfn.XLOOKUP(B2789,Indices!$A$2:$A$2676,Indices!$B$2:$B$2676,"")</f>
        <v>SP500</v>
      </c>
    </row>
    <row r="2790" spans="1:6" x14ac:dyDescent="0.25">
      <c r="A2790" s="140">
        <v>45714.594444444447</v>
      </c>
      <c r="B2790" t="s">
        <v>1580</v>
      </c>
      <c r="C2790" t="s">
        <v>6327</v>
      </c>
      <c r="D2790" s="6" t="str">
        <f>_xlfn.XLOOKUP(B2790,Indices!$A$2:$A$2676,Indices!$B$2:$B$2676,"")</f>
        <v>SP500</v>
      </c>
    </row>
    <row r="2791" spans="1:6" x14ac:dyDescent="0.25">
      <c r="A2791" s="140">
        <v>45714.595833333333</v>
      </c>
      <c r="B2791" t="s">
        <v>448</v>
      </c>
      <c r="C2791" t="s">
        <v>6328</v>
      </c>
      <c r="D2791" s="6" t="str">
        <f>_xlfn.XLOOKUP(B2791,Indices!$A$2:$A$2676,Indices!$B$2:$B$2676,"")</f>
        <v>IWM</v>
      </c>
    </row>
    <row r="2792" spans="1:6" x14ac:dyDescent="0.25">
      <c r="A2792" s="140">
        <v>45714.597222222219</v>
      </c>
      <c r="B2792" t="s">
        <v>1505</v>
      </c>
      <c r="C2792" t="s">
        <v>6329</v>
      </c>
      <c r="D2792" s="6" t="str">
        <f>_xlfn.XLOOKUP(B2792,Indices!$A$2:$A$2676,Indices!$B$2:$B$2676,"")</f>
        <v>SP500</v>
      </c>
      <c r="E2792" t="str">
        <f>_xlfn.XLOOKUP(B2792,'2025-Q1'!$A$402:$A$448,'2025-Q1'!$A$402:$A$448,"avail")</f>
        <v>avail</v>
      </c>
      <c r="F2792" t="str">
        <f>_xlfn.XLOOKUP(B2792,'[2]!! -- Stock Universe 12.11.24'!$C$2:$C$1621,'[2]!! -- Stock Universe 12.11.24'!$E$2:$E$1621,"")</f>
        <v/>
      </c>
    </row>
    <row r="2793" spans="1:6" x14ac:dyDescent="0.25">
      <c r="A2793" s="140">
        <v>45714.597222222219</v>
      </c>
      <c r="B2793" t="s">
        <v>1109</v>
      </c>
      <c r="C2793" t="s">
        <v>6329</v>
      </c>
      <c r="D2793" s="6" t="str">
        <f>_xlfn.XLOOKUP(B2793,Indices!$A$2:$A$2676,Indices!$B$2:$B$2676,"")</f>
        <v>SP500</v>
      </c>
      <c r="E2793" t="str">
        <f>_xlfn.XLOOKUP(B2793,'2025-Q1'!$A$402:$A$448,'2025-Q1'!$A$402:$A$448,"avail")</f>
        <v>avail</v>
      </c>
      <c r="F2793" t="str">
        <f>_xlfn.XLOOKUP(B2793,'[2]!! -- Stock Universe 12.11.24'!$C$2:$C$1621,'[2]!! -- Stock Universe 12.11.24'!$E$2:$E$1621,"")</f>
        <v>Technology</v>
      </c>
    </row>
    <row r="2794" spans="1:6" x14ac:dyDescent="0.25">
      <c r="A2794" s="140">
        <v>45714.597222222219</v>
      </c>
      <c r="B2794" t="s">
        <v>469</v>
      </c>
      <c r="C2794" t="s">
        <v>6329</v>
      </c>
      <c r="D2794" s="6" t="str">
        <f>_xlfn.XLOOKUP(B2794,Indices!$A$2:$A$2676,Indices!$B$2:$B$2676,"")</f>
        <v>IWM</v>
      </c>
      <c r="E2794" t="str">
        <f>_xlfn.XLOOKUP(B2794,'2025-Q1'!$A$402:$A$448,'2025-Q1'!$A$402:$A$448,"avail")</f>
        <v>avail</v>
      </c>
      <c r="F2794" t="str">
        <f>_xlfn.XLOOKUP(B2794,'[2]!! -- Stock Universe 12.11.24'!$C$2:$C$1621,'[2]!! -- Stock Universe 12.11.24'!$E$2:$E$1621,"")</f>
        <v/>
      </c>
    </row>
    <row r="2795" spans="1:6" x14ac:dyDescent="0.25">
      <c r="A2795" s="140">
        <v>45714.597222222219</v>
      </c>
      <c r="B2795" t="s">
        <v>1813</v>
      </c>
      <c r="C2795" t="s">
        <v>6329</v>
      </c>
      <c r="D2795" s="6" t="str">
        <f>_xlfn.XLOOKUP(B2795,Indices!$A$2:$A$2676,Indices!$B$2:$B$2676,"")</f>
        <v>IWM</v>
      </c>
      <c r="E2795" t="str">
        <f>_xlfn.XLOOKUP(B2795,'2025-Q1'!$A$402:$A$448,'2025-Q1'!$A$402:$A$448,"avail")</f>
        <v>avail</v>
      </c>
      <c r="F2795" t="str">
        <f>_xlfn.XLOOKUP(B2795,'[2]!! -- Stock Universe 12.11.24'!$C$2:$C$1621,'[2]!! -- Stock Universe 12.11.24'!$E$2:$E$1621,"")</f>
        <v/>
      </c>
    </row>
    <row r="2796" spans="1:6" x14ac:dyDescent="0.25">
      <c r="A2796" s="140">
        <v>45714.597222222219</v>
      </c>
      <c r="B2796" t="s">
        <v>464</v>
      </c>
      <c r="C2796" t="s">
        <v>6329</v>
      </c>
      <c r="D2796" s="6" t="str">
        <f>_xlfn.XLOOKUP(B2796,Indices!$A$2:$A$2676,Indices!$B$2:$B$2676,"")</f>
        <v>IWM</v>
      </c>
      <c r="E2796" t="str">
        <f>_xlfn.XLOOKUP(B2796,'2025-Q1'!$A$402:$A$448,'2025-Q1'!$A$402:$A$448,"avail")</f>
        <v>avail</v>
      </c>
      <c r="F2796" t="str">
        <f>_xlfn.XLOOKUP(B2796,'[2]!! -- Stock Universe 12.11.24'!$C$2:$C$1621,'[2]!! -- Stock Universe 12.11.24'!$E$2:$E$1621,"")</f>
        <v/>
      </c>
    </row>
    <row r="2797" spans="1:6" x14ac:dyDescent="0.25">
      <c r="A2797" s="140">
        <v>45714.598611111112</v>
      </c>
      <c r="B2797" t="s">
        <v>505</v>
      </c>
      <c r="C2797" t="s">
        <v>6330</v>
      </c>
      <c r="D2797" s="6" t="str">
        <f>_xlfn.XLOOKUP(B2797,Indices!$A$2:$A$2676,Indices!$B$2:$B$2676,"")</f>
        <v>SP500</v>
      </c>
      <c r="E2797" t="str">
        <f>_xlfn.XLOOKUP(B2797,'2025-Q1'!$A$402:$A$448,'2025-Q1'!$A$402:$A$448,"avail")</f>
        <v>avail</v>
      </c>
      <c r="F2797" t="str">
        <f>_xlfn.XLOOKUP(B2797,'[2]!! -- Stock Universe 12.11.24'!$C$2:$C$1621,'[2]!! -- Stock Universe 12.11.24'!$E$2:$E$1621,"")</f>
        <v>Energy</v>
      </c>
    </row>
    <row r="2798" spans="1:6" x14ac:dyDescent="0.25">
      <c r="A2798" s="140">
        <v>45714.599305555559</v>
      </c>
      <c r="B2798" t="s">
        <v>145</v>
      </c>
      <c r="C2798" t="s">
        <v>6331</v>
      </c>
      <c r="D2798" s="6" t="str">
        <f>_xlfn.XLOOKUP(B2798,Indices!$A$2:$A$2676,Indices!$B$2:$B$2676,"")</f>
        <v>IWM</v>
      </c>
      <c r="E2798" t="str">
        <f>_xlfn.XLOOKUP(B2798,'2025-Q1'!$A$402:$A$448,'2025-Q1'!$A$402:$A$448,"avail")</f>
        <v>avail</v>
      </c>
      <c r="F2798" t="str">
        <f>_xlfn.XLOOKUP(B2798,'[2]!! -- Stock Universe 12.11.24'!$C$2:$C$1621,'[2]!! -- Stock Universe 12.11.24'!$E$2:$E$1621,"")</f>
        <v>Energy</v>
      </c>
    </row>
    <row r="2799" spans="1:6" x14ac:dyDescent="0.25">
      <c r="A2799" s="140">
        <v>45714.600694444445</v>
      </c>
      <c r="B2799" t="s">
        <v>3935</v>
      </c>
      <c r="C2799" t="s">
        <v>6332</v>
      </c>
      <c r="D2799" s="6" t="str">
        <f>_xlfn.XLOOKUP(B2799,Indices!$A$2:$A$2676,Indices!$B$2:$B$2676,"")</f>
        <v/>
      </c>
      <c r="E2799" t="str">
        <f>_xlfn.XLOOKUP(B2799,'2025-Q1'!$A$402:$A$448,'2025-Q1'!$A$402:$A$448,"avail")</f>
        <v>avail</v>
      </c>
      <c r="F2799" t="str">
        <f>_xlfn.XLOOKUP(B2799,'[2]!! -- Stock Universe 12.11.24'!$C$2:$C$1621,'[2]!! -- Stock Universe 12.11.24'!$E$2:$E$1621,"")</f>
        <v/>
      </c>
    </row>
    <row r="2800" spans="1:6" x14ac:dyDescent="0.25">
      <c r="A2800" s="140">
        <v>45714.601388888892</v>
      </c>
      <c r="B2800" t="s">
        <v>85</v>
      </c>
      <c r="C2800" t="s">
        <v>6333</v>
      </c>
      <c r="D2800" s="6" t="str">
        <f>_xlfn.XLOOKUP(B2800,Indices!$A$2:$A$2676,Indices!$B$2:$B$2676,"")</f>
        <v>IWM</v>
      </c>
      <c r="E2800" t="str">
        <f>_xlfn.XLOOKUP(B2800,'2025-Q1'!$A$402:$A$448,'2025-Q1'!$A$402:$A$448,"avail")</f>
        <v>avail</v>
      </c>
      <c r="F2800" t="str">
        <f>_xlfn.XLOOKUP(B2800,'[2]!! -- Stock Universe 12.11.24'!$C$2:$C$1621,'[2]!! -- Stock Universe 12.11.24'!$E$2:$E$1621,"")</f>
        <v/>
      </c>
    </row>
    <row r="2801" spans="1:6" x14ac:dyDescent="0.25">
      <c r="A2801" s="140">
        <v>45714.604166666664</v>
      </c>
      <c r="B2801" t="s">
        <v>473</v>
      </c>
      <c r="C2801" t="s">
        <v>6334</v>
      </c>
      <c r="D2801" s="6" t="str">
        <f>_xlfn.XLOOKUP(B2801,Indices!$A$2:$A$2676,Indices!$B$2:$B$2676,"")</f>
        <v>S&amp;P Mid</v>
      </c>
      <c r="E2801" t="str">
        <f>_xlfn.XLOOKUP(B2801,'2025-Q1'!$A$402:$A$448,'2025-Q1'!$A$402:$A$448,"avail")</f>
        <v>avail</v>
      </c>
      <c r="F2801" t="str">
        <f>_xlfn.XLOOKUP(B2801,'[2]!! -- Stock Universe 12.11.24'!$C$2:$C$1621,'[2]!! -- Stock Universe 12.11.24'!$E$2:$E$1621,"")</f>
        <v/>
      </c>
    </row>
    <row r="2802" spans="1:6" x14ac:dyDescent="0.25">
      <c r="A2802" s="140">
        <v>45714.604166666664</v>
      </c>
      <c r="B2802" t="s">
        <v>427</v>
      </c>
      <c r="C2802" t="s">
        <v>6334</v>
      </c>
      <c r="D2802" s="6" t="str">
        <f>_xlfn.XLOOKUP(B2802,Indices!$A$2:$A$2676,Indices!$B$2:$B$2676,"")</f>
        <v>IWM</v>
      </c>
      <c r="E2802" t="str">
        <f>_xlfn.XLOOKUP(B2802,'2025-Q1'!$A$402:$A$448,'2025-Q1'!$A$402:$A$448,"avail")</f>
        <v>avail</v>
      </c>
      <c r="F2802" t="str">
        <f>_xlfn.XLOOKUP(B2802,'[2]!! -- Stock Universe 12.11.24'!$C$2:$C$1621,'[2]!! -- Stock Universe 12.11.24'!$E$2:$E$1621,"")</f>
        <v>Industrials</v>
      </c>
    </row>
    <row r="2803" spans="1:6" x14ac:dyDescent="0.25">
      <c r="A2803" s="140">
        <v>45714.604166666664</v>
      </c>
      <c r="B2803" t="s">
        <v>487</v>
      </c>
      <c r="C2803" t="s">
        <v>6334</v>
      </c>
      <c r="D2803" s="6" t="str">
        <f>_xlfn.XLOOKUP(B2803,Indices!$A$2:$A$2676,Indices!$B$2:$B$2676,"")</f>
        <v>IWM</v>
      </c>
      <c r="E2803" t="str">
        <f>_xlfn.XLOOKUP(B2803,'2025-Q1'!$A$402:$A$448,'2025-Q1'!$A$402:$A$448,"avail")</f>
        <v>avail</v>
      </c>
      <c r="F2803" t="str">
        <f>_xlfn.XLOOKUP(B2803,'[2]!! -- Stock Universe 12.11.24'!$C$2:$C$1621,'[2]!! -- Stock Universe 12.11.24'!$E$2:$E$1621,"")</f>
        <v/>
      </c>
    </row>
    <row r="2804" spans="1:6" x14ac:dyDescent="0.25">
      <c r="A2804" s="140">
        <v>45714.604166666664</v>
      </c>
      <c r="B2804" t="s">
        <v>297</v>
      </c>
      <c r="C2804" t="s">
        <v>6334</v>
      </c>
      <c r="D2804" s="6" t="str">
        <f>_xlfn.XLOOKUP(B2804,Indices!$A$2:$A$2676,Indices!$B$2:$B$2676,"")</f>
        <v>IWM</v>
      </c>
      <c r="E2804" t="str">
        <f>_xlfn.XLOOKUP(B2804,'2025-Q1'!$A$402:$A$448,'2025-Q1'!$A$402:$A$448,"avail")</f>
        <v>avail</v>
      </c>
      <c r="F2804" t="str">
        <f>_xlfn.XLOOKUP(B2804,'[2]!! -- Stock Universe 12.11.24'!$C$2:$C$1621,'[2]!! -- Stock Universe 12.11.24'!$E$2:$E$1621,"")</f>
        <v/>
      </c>
    </row>
    <row r="2805" spans="1:6" x14ac:dyDescent="0.25">
      <c r="A2805" s="140">
        <v>45714.604166666664</v>
      </c>
      <c r="B2805" t="s">
        <v>490</v>
      </c>
      <c r="C2805" t="s">
        <v>6334</v>
      </c>
      <c r="D2805" s="6" t="str">
        <f>_xlfn.XLOOKUP(B2805,Indices!$A$2:$A$2676,Indices!$B$2:$B$2676,"")</f>
        <v>IWM</v>
      </c>
      <c r="E2805" t="str">
        <f>_xlfn.XLOOKUP(B2805,'2025-Q1'!$A$402:$A$448,'2025-Q1'!$A$402:$A$448,"avail")</f>
        <v>avail</v>
      </c>
      <c r="F2805" t="str">
        <f>_xlfn.XLOOKUP(B2805,'[2]!! -- Stock Universe 12.11.24'!$C$2:$C$1621,'[2]!! -- Stock Universe 12.11.24'!$E$2:$E$1621,"")</f>
        <v/>
      </c>
    </row>
    <row r="2806" spans="1:6" x14ac:dyDescent="0.25">
      <c r="A2806" s="140">
        <v>45714.604166666664</v>
      </c>
      <c r="B2806" t="s">
        <v>509</v>
      </c>
      <c r="C2806" t="s">
        <v>6334</v>
      </c>
      <c r="D2806" s="6" t="str">
        <f>_xlfn.XLOOKUP(B2806,Indices!$A$2:$A$2676,Indices!$B$2:$B$2676,"")</f>
        <v>IWM</v>
      </c>
      <c r="E2806" t="str">
        <f>_xlfn.XLOOKUP(B2806,'2025-Q1'!$A$402:$A$448,'2025-Q1'!$A$402:$A$448,"avail")</f>
        <v>avail</v>
      </c>
      <c r="F2806" t="str">
        <f>_xlfn.XLOOKUP(B2806,'[2]!! -- Stock Universe 12.11.24'!$C$2:$C$1621,'[2]!! -- Stock Universe 12.11.24'!$E$2:$E$1621,"")</f>
        <v/>
      </c>
    </row>
    <row r="2807" spans="1:6" x14ac:dyDescent="0.25">
      <c r="A2807" s="140">
        <v>45714.604166666664</v>
      </c>
      <c r="B2807" t="s">
        <v>825</v>
      </c>
      <c r="C2807" t="s">
        <v>6334</v>
      </c>
      <c r="D2807" s="6" t="str">
        <f>_xlfn.XLOOKUP(B2807,Indices!$A$2:$A$2676,Indices!$B$2:$B$2676,"")</f>
        <v>IWM</v>
      </c>
      <c r="E2807" t="str">
        <f>_xlfn.XLOOKUP(B2807,'2025-Q1'!$A$402:$A$448,'2025-Q1'!$A$402:$A$448,"avail")</f>
        <v>avail</v>
      </c>
      <c r="F2807" t="str">
        <f>_xlfn.XLOOKUP(B2807,'[2]!! -- Stock Universe 12.11.24'!$C$2:$C$1621,'[2]!! -- Stock Universe 12.11.24'!$E$2:$E$1621,"")</f>
        <v>Technology</v>
      </c>
    </row>
    <row r="2808" spans="1:6" x14ac:dyDescent="0.25">
      <c r="A2808" s="140">
        <v>45714.604166666664</v>
      </c>
      <c r="B2808" t="s">
        <v>1170</v>
      </c>
      <c r="C2808" t="s">
        <v>6334</v>
      </c>
      <c r="D2808" s="6" t="str">
        <f>_xlfn.XLOOKUP(B2808,Indices!$A$2:$A$2676,Indices!$B$2:$B$2676,"")</f>
        <v>IWM</v>
      </c>
      <c r="E2808" t="str">
        <f>_xlfn.XLOOKUP(B2808,'2025-Q1'!$A$402:$A$448,'2025-Q1'!$A$402:$A$448,"avail")</f>
        <v>avail</v>
      </c>
      <c r="F2808" t="str">
        <f>_xlfn.XLOOKUP(B2808,'[2]!! -- Stock Universe 12.11.24'!$C$2:$C$1621,'[2]!! -- Stock Universe 12.11.24'!$E$2:$E$1621,"")</f>
        <v>Healthcare</v>
      </c>
    </row>
    <row r="2809" spans="1:6" x14ac:dyDescent="0.25">
      <c r="A2809" s="140">
        <v>45714.607638888891</v>
      </c>
      <c r="B2809" t="s">
        <v>815</v>
      </c>
      <c r="C2809" t="s">
        <v>6335</v>
      </c>
      <c r="D2809" s="6" t="str">
        <f>_xlfn.XLOOKUP(B2809,Indices!$A$2:$A$2676,Indices!$B$2:$B$2676,"")</f>
        <v>IWM</v>
      </c>
      <c r="E2809" t="str">
        <f>_xlfn.XLOOKUP(B2809,'2025-Q1'!$A$402:$A$448,'2025-Q1'!$A$402:$A$448,"avail")</f>
        <v>avail</v>
      </c>
      <c r="F2809" t="str">
        <f>_xlfn.XLOOKUP(B2809,'[2]!! -- Stock Universe 12.11.24'!$C$2:$C$1621,'[2]!! -- Stock Universe 12.11.24'!$E$2:$E$1621,"")</f>
        <v/>
      </c>
    </row>
    <row r="2810" spans="1:6" x14ac:dyDescent="0.25">
      <c r="A2810" s="140">
        <v>45714.609027777777</v>
      </c>
      <c r="B2810" t="s">
        <v>2166</v>
      </c>
      <c r="C2810" t="s">
        <v>6336</v>
      </c>
      <c r="D2810" s="6" t="str">
        <f>_xlfn.XLOOKUP(B2810,Indices!$A$2:$A$2676,Indices!$B$2:$B$2676,"")</f>
        <v>IWM</v>
      </c>
      <c r="E2810" t="str">
        <f>_xlfn.XLOOKUP(B2810,'2025-Q1'!$A$402:$A$448,'2025-Q1'!$A$402:$A$448,"avail")</f>
        <v>avail</v>
      </c>
      <c r="F2810" t="str">
        <f>_xlfn.XLOOKUP(B2810,'[2]!! -- Stock Universe 12.11.24'!$C$2:$C$1621,'[2]!! -- Stock Universe 12.11.24'!$E$2:$E$1621,"")</f>
        <v/>
      </c>
    </row>
    <row r="2811" spans="1:6" x14ac:dyDescent="0.25">
      <c r="A2811" s="140">
        <v>45714.611111111109</v>
      </c>
      <c r="B2811" t="s">
        <v>2177</v>
      </c>
      <c r="C2811" t="s">
        <v>6337</v>
      </c>
      <c r="D2811" s="6" t="str">
        <f>_xlfn.XLOOKUP(B2811,Indices!$A$2:$A$2676,Indices!$B$2:$B$2676,"")</f>
        <v>IWM</v>
      </c>
      <c r="E2811" t="str">
        <f>_xlfn.XLOOKUP(B2811,'2025-Q1'!$A$402:$A$448,'2025-Q1'!$A$402:$A$448,"avail")</f>
        <v>avail</v>
      </c>
      <c r="F2811" t="str">
        <f>_xlfn.XLOOKUP(B2811,'[2]!! -- Stock Universe 12.11.24'!$C$2:$C$1621,'[2]!! -- Stock Universe 12.11.24'!$E$2:$E$1621,"")</f>
        <v/>
      </c>
    </row>
    <row r="2812" spans="1:6" x14ac:dyDescent="0.25">
      <c r="A2812" s="140">
        <v>45714.614583333336</v>
      </c>
      <c r="B2812" t="s">
        <v>3140</v>
      </c>
      <c r="C2812" t="s">
        <v>6338</v>
      </c>
      <c r="D2812" s="6" t="str">
        <f>_xlfn.XLOOKUP(B2812,Indices!$A$2:$A$2676,Indices!$B$2:$B$2676,"")</f>
        <v/>
      </c>
      <c r="E2812" t="str">
        <f>_xlfn.XLOOKUP(B2812,'2025-Q1'!$A$402:$A$448,'2025-Q1'!$A$402:$A$448,"avail")</f>
        <v>avail</v>
      </c>
      <c r="F2812" t="str">
        <f>_xlfn.XLOOKUP(B2812,'[2]!! -- Stock Universe 12.11.24'!$C$2:$C$1621,'[2]!! -- Stock Universe 12.11.24'!$E$2:$E$1621,"")</f>
        <v/>
      </c>
    </row>
    <row r="2813" spans="1:6" x14ac:dyDescent="0.25">
      <c r="A2813" s="140">
        <v>45714.615972222222</v>
      </c>
      <c r="B2813" t="s">
        <v>456</v>
      </c>
      <c r="C2813" t="s">
        <v>6339</v>
      </c>
      <c r="D2813" s="6" t="str">
        <f>_xlfn.XLOOKUP(B2813,Indices!$A$2:$A$2676,Indices!$B$2:$B$2676,"")</f>
        <v>IWM</v>
      </c>
      <c r="E2813" t="str">
        <f>_xlfn.XLOOKUP(B2813,'2025-Q1'!$A$402:$A$448,'2025-Q1'!$A$402:$A$448,"avail")</f>
        <v>avail</v>
      </c>
      <c r="F2813" t="str">
        <f>_xlfn.XLOOKUP(B2813,'[2]!! -- Stock Universe 12.11.24'!$C$2:$C$1621,'[2]!! -- Stock Universe 12.11.24'!$E$2:$E$1621,"")</f>
        <v/>
      </c>
    </row>
    <row r="2814" spans="1:6" x14ac:dyDescent="0.25">
      <c r="A2814" s="140">
        <v>45714.620833333334</v>
      </c>
      <c r="B2814" t="s">
        <v>3417</v>
      </c>
      <c r="C2814" t="s">
        <v>6340</v>
      </c>
      <c r="D2814" s="6" t="str">
        <f>_xlfn.XLOOKUP(B2814,Indices!$A$2:$A$2676,Indices!$B$2:$B$2676,"")</f>
        <v/>
      </c>
      <c r="E2814" t="str">
        <f>_xlfn.XLOOKUP(B2814,'2025-Q1'!$A$402:$A$448,'2025-Q1'!$A$402:$A$448,"avail")</f>
        <v>avail</v>
      </c>
      <c r="F2814" t="str">
        <f>_xlfn.XLOOKUP(B2814,'[2]!! -- Stock Universe 12.11.24'!$C$2:$C$1621,'[2]!! -- Stock Universe 12.11.24'!$E$2:$E$1621,"")</f>
        <v/>
      </c>
    </row>
    <row r="2815" spans="1:6" x14ac:dyDescent="0.25">
      <c r="A2815" s="140">
        <v>45714.625</v>
      </c>
      <c r="B2815" t="s">
        <v>1173</v>
      </c>
      <c r="C2815" t="s">
        <v>3399</v>
      </c>
      <c r="D2815" s="6" t="str">
        <f>_xlfn.XLOOKUP(B2815,Indices!$A$2:$A$2676,Indices!$B$2:$B$2676,"")</f>
        <v>IWM</v>
      </c>
      <c r="E2815" t="str">
        <f>_xlfn.XLOOKUP(B2815,'2025-Q1'!$A$402:$A$448,'2025-Q1'!$A$402:$A$448,"avail")</f>
        <v>avail</v>
      </c>
      <c r="F2815" t="str">
        <f>_xlfn.XLOOKUP(B2815,'[2]!! -- Stock Universe 12.11.24'!$C$2:$C$1621,'[2]!! -- Stock Universe 12.11.24'!$E$2:$E$1621,"")</f>
        <v>Technology</v>
      </c>
    </row>
    <row r="2816" spans="1:6" x14ac:dyDescent="0.25">
      <c r="A2816" s="140">
        <v>45714.625</v>
      </c>
      <c r="B2816" t="s">
        <v>2250</v>
      </c>
      <c r="C2816" t="s">
        <v>6341</v>
      </c>
      <c r="D2816" s="6" t="str">
        <f>_xlfn.XLOOKUP(B2816,Indices!$A$2:$A$2676,Indices!$B$2:$B$2676,"")</f>
        <v>IWM</v>
      </c>
      <c r="E2816" t="str">
        <f>_xlfn.XLOOKUP(B2816,'2025-Q1'!$A$402:$A$448,'2025-Q1'!$A$402:$A$448,"avail")</f>
        <v>avail</v>
      </c>
      <c r="F2816" t="str">
        <f>_xlfn.XLOOKUP(B2816,'[2]!! -- Stock Universe 12.11.24'!$C$2:$C$1621,'[2]!! -- Stock Universe 12.11.24'!$E$2:$E$1621,"")</f>
        <v>Industrials</v>
      </c>
    </row>
    <row r="2817" spans="1:6" x14ac:dyDescent="0.25">
      <c r="A2817" s="140">
        <v>45714.625</v>
      </c>
      <c r="B2817" t="s">
        <v>1803</v>
      </c>
      <c r="C2817" t="s">
        <v>3399</v>
      </c>
      <c r="D2817" s="6" t="str">
        <f>_xlfn.XLOOKUP(B2817,Indices!$A$2:$A$2676,Indices!$B$2:$B$2676,"")</f>
        <v>IWM</v>
      </c>
      <c r="E2817" t="str">
        <f>_xlfn.XLOOKUP(B2817,'2025-Q1'!$A$402:$A$448,'2025-Q1'!$A$402:$A$448,"avail")</f>
        <v>avail</v>
      </c>
      <c r="F2817" t="str">
        <f>_xlfn.XLOOKUP(B2817,'[2]!! -- Stock Universe 12.11.24'!$C$2:$C$1621,'[2]!! -- Stock Universe 12.11.24'!$E$2:$E$1621,"")</f>
        <v>Healthcare</v>
      </c>
    </row>
    <row r="2818" spans="1:6" x14ac:dyDescent="0.25">
      <c r="A2818" s="140">
        <v>45714.625</v>
      </c>
      <c r="B2818" t="s">
        <v>3413</v>
      </c>
      <c r="C2818" t="s">
        <v>3399</v>
      </c>
      <c r="D2818" s="6" t="str">
        <f>_xlfn.XLOOKUP(B2818,Indices!$A$2:$A$2676,Indices!$B$2:$B$2676,"")</f>
        <v/>
      </c>
      <c r="E2818" t="str">
        <f>_xlfn.XLOOKUP(B2818,'2025-Q1'!$A$402:$A$448,'2025-Q1'!$A$402:$A$448,"avail")</f>
        <v>avail</v>
      </c>
      <c r="F2818" t="str">
        <f>_xlfn.XLOOKUP(B2818,'[2]!! -- Stock Universe 12.11.24'!$C$2:$C$1621,'[2]!! -- Stock Universe 12.11.24'!$E$2:$E$1621,"")</f>
        <v/>
      </c>
    </row>
    <row r="2819" spans="1:6" x14ac:dyDescent="0.25">
      <c r="A2819" s="140">
        <v>45714.625</v>
      </c>
      <c r="B2819" t="s">
        <v>3433</v>
      </c>
      <c r="C2819" t="s">
        <v>3399</v>
      </c>
      <c r="D2819" s="6" t="str">
        <f>_xlfn.XLOOKUP(B2819,Indices!$A$2:$A$2676,Indices!$B$2:$B$2676,"")</f>
        <v/>
      </c>
      <c r="E2819" t="str">
        <f>_xlfn.XLOOKUP(B2819,'2025-Q1'!$A$402:$A$448,'2025-Q1'!$A$402:$A$448,"avail")</f>
        <v>avail</v>
      </c>
      <c r="F2819" t="str">
        <f>_xlfn.XLOOKUP(B2819,'[2]!! -- Stock Universe 12.11.24'!$C$2:$C$1621,'[2]!! -- Stock Universe 12.11.24'!$E$2:$E$1621,"")</f>
        <v/>
      </c>
    </row>
    <row r="2820" spans="1:6" x14ac:dyDescent="0.25">
      <c r="A2820" s="140">
        <v>45714.625</v>
      </c>
      <c r="B2820" t="s">
        <v>3547</v>
      </c>
      <c r="C2820" t="s">
        <v>3399</v>
      </c>
      <c r="D2820" s="6" t="str">
        <f>_xlfn.XLOOKUP(B2820,Indices!$A$2:$A$2676,Indices!$B$2:$B$2676,"")</f>
        <v/>
      </c>
      <c r="E2820" t="str">
        <f>_xlfn.XLOOKUP(B2820,'2025-Q1'!$A$402:$A$448,'2025-Q1'!$A$402:$A$448,"avail")</f>
        <v>avail</v>
      </c>
      <c r="F2820" t="str">
        <f>_xlfn.XLOOKUP(B2820,'[2]!! -- Stock Universe 12.11.24'!$C$2:$C$1621,'[2]!! -- Stock Universe 12.11.24'!$E$2:$E$1621,"")</f>
        <v/>
      </c>
    </row>
    <row r="2821" spans="1:6" x14ac:dyDescent="0.25">
      <c r="A2821" s="140">
        <v>45714.625</v>
      </c>
      <c r="B2821" t="s">
        <v>821</v>
      </c>
      <c r="C2821" t="s">
        <v>6341</v>
      </c>
      <c r="D2821" s="6" t="str">
        <f>_xlfn.XLOOKUP(B2821,Indices!$A$2:$A$2676,Indices!$B$2:$B$2676,"")</f>
        <v>S&amp;P Mid</v>
      </c>
      <c r="E2821" t="str">
        <f>_xlfn.XLOOKUP(B2821,'2025-Q1'!$A$402:$A$448,'2025-Q1'!$A$402:$A$448,"avail")</f>
        <v>avail</v>
      </c>
      <c r="F2821" t="str">
        <f>_xlfn.XLOOKUP(B2821,'[2]!! -- Stock Universe 12.11.24'!$C$2:$C$1621,'[2]!! -- Stock Universe 12.11.24'!$E$2:$E$1621,"")</f>
        <v>Energy</v>
      </c>
    </row>
    <row r="2822" spans="1:6" x14ac:dyDescent="0.25">
      <c r="A2822" s="140">
        <v>45714.625</v>
      </c>
      <c r="B2822" t="s">
        <v>263</v>
      </c>
      <c r="C2822" t="s">
        <v>6341</v>
      </c>
      <c r="D2822" s="6" t="str">
        <f>_xlfn.XLOOKUP(B2822,Indices!$A$2:$A$2676,Indices!$B$2:$B$2676,"")</f>
        <v>IWM</v>
      </c>
      <c r="E2822" t="str">
        <f>_xlfn.XLOOKUP(B2822,'2025-Q1'!$A$402:$A$448,'2025-Q1'!$A$402:$A$448,"avail")</f>
        <v>avail</v>
      </c>
      <c r="F2822" t="str">
        <f>_xlfn.XLOOKUP(B2822,'[2]!! -- Stock Universe 12.11.24'!$C$2:$C$1621,'[2]!! -- Stock Universe 12.11.24'!$E$2:$E$1621,"")</f>
        <v>Consumer Defensive</v>
      </c>
    </row>
    <row r="2823" spans="1:6" x14ac:dyDescent="0.25">
      <c r="A2823" s="140">
        <v>45714.627083333333</v>
      </c>
      <c r="B2823" t="s">
        <v>1006</v>
      </c>
      <c r="C2823" t="s">
        <v>6342</v>
      </c>
      <c r="D2823" s="6" t="str">
        <f>_xlfn.XLOOKUP(B2823,Indices!$A$2:$A$2676,Indices!$B$2:$B$2676,"")</f>
        <v>IWM</v>
      </c>
      <c r="E2823" t="str">
        <f>_xlfn.XLOOKUP(B2823,'2025-Q1'!$A$402:$A$448,'2025-Q1'!$A$402:$A$448,"avail")</f>
        <v>avail</v>
      </c>
      <c r="F2823" t="str">
        <f>_xlfn.XLOOKUP(B2823,'[2]!! -- Stock Universe 12.11.24'!$C$2:$C$1621,'[2]!! -- Stock Universe 12.11.24'!$E$2:$E$1621,"")</f>
        <v/>
      </c>
    </row>
    <row r="2824" spans="1:6" x14ac:dyDescent="0.25">
      <c r="A2824" s="140">
        <v>45714.630555555559</v>
      </c>
      <c r="B2824" t="s">
        <v>1962</v>
      </c>
      <c r="C2824" t="s">
        <v>6343</v>
      </c>
      <c r="D2824" s="6" t="str">
        <f>_xlfn.XLOOKUP(B2824,Indices!$A$2:$A$2676,Indices!$B$2:$B$2676,"")</f>
        <v>IWM</v>
      </c>
      <c r="E2824" t="str">
        <f>_xlfn.XLOOKUP(B2824,'2025-Q1'!$A$402:$A$448,'2025-Q1'!$A$402:$A$448,"avail")</f>
        <v>avail</v>
      </c>
      <c r="F2824" t="str">
        <f>_xlfn.XLOOKUP(B2824,'[2]!! -- Stock Universe 12.11.24'!$C$2:$C$1621,'[2]!! -- Stock Universe 12.11.24'!$E$2:$E$1621,"")</f>
        <v>Energy</v>
      </c>
    </row>
    <row r="2825" spans="1:6" x14ac:dyDescent="0.25">
      <c r="A2825" s="140">
        <v>45714.636805555558</v>
      </c>
      <c r="B2825" t="s">
        <v>144</v>
      </c>
      <c r="C2825" t="s">
        <v>6344</v>
      </c>
      <c r="D2825" s="6" t="str">
        <f>_xlfn.XLOOKUP(B2825,Indices!$A$2:$A$2676,Indices!$B$2:$B$2676,"")</f>
        <v>S&amp;P Mid</v>
      </c>
      <c r="E2825" t="str">
        <f>_xlfn.XLOOKUP(B2825,'2025-Q1'!$A$402:$A$448,'2025-Q1'!$A$402:$A$448,"avail")</f>
        <v>avail</v>
      </c>
      <c r="F2825" t="str">
        <f>_xlfn.XLOOKUP(B2825,'[2]!! -- Stock Universe 12.11.24'!$C$2:$C$1621,'[2]!! -- Stock Universe 12.11.24'!$E$2:$E$1621,"")</f>
        <v/>
      </c>
    </row>
    <row r="2826" spans="1:6" x14ac:dyDescent="0.25">
      <c r="A2826" s="140">
        <v>45714.642361111109</v>
      </c>
      <c r="B2826" t="s">
        <v>247</v>
      </c>
      <c r="C2826" t="s">
        <v>6345</v>
      </c>
      <c r="D2826" s="6" t="str">
        <f>_xlfn.XLOOKUP(B2826,Indices!$A$2:$A$2676,Indices!$B$2:$B$2676,"")</f>
        <v>IWM</v>
      </c>
      <c r="E2826" t="str">
        <f>_xlfn.XLOOKUP(B2826,'2025-Q1'!$A$402:$A$448,'2025-Q1'!$A$402:$A$448,"avail")</f>
        <v>avail</v>
      </c>
      <c r="F2826" t="str">
        <f>_xlfn.XLOOKUP(B2826,'[2]!! -- Stock Universe 12.11.24'!$C$2:$C$1621,'[2]!! -- Stock Universe 12.11.24'!$E$2:$E$1621,"")</f>
        <v/>
      </c>
    </row>
    <row r="2827" spans="1:6" x14ac:dyDescent="0.25">
      <c r="A2827" s="140">
        <v>45714.643750000003</v>
      </c>
      <c r="B2827" t="s">
        <v>3414</v>
      </c>
      <c r="C2827" t="s">
        <v>6346</v>
      </c>
      <c r="D2827" s="6" t="str">
        <f>_xlfn.XLOOKUP(B2827,Indices!$A$2:$A$2676,Indices!$B$2:$B$2676,"")</f>
        <v/>
      </c>
      <c r="E2827" t="str">
        <f>_xlfn.XLOOKUP(B2827,'2025-Q1'!$A$402:$A$448,'2025-Q1'!$A$402:$A$448,"avail")</f>
        <v>avail</v>
      </c>
      <c r="F2827" t="str">
        <f>_xlfn.XLOOKUP(B2827,'[2]!! -- Stock Universe 12.11.24'!$C$2:$C$1621,'[2]!! -- Stock Universe 12.11.24'!$E$2:$E$1621,"")</f>
        <v/>
      </c>
    </row>
    <row r="2828" spans="1:6" x14ac:dyDescent="0.25">
      <c r="A2828" s="140">
        <v>45714.643750000003</v>
      </c>
      <c r="B2828" t="s">
        <v>415</v>
      </c>
      <c r="C2828" t="s">
        <v>6346</v>
      </c>
      <c r="D2828" s="6" t="str">
        <f>_xlfn.XLOOKUP(B2828,Indices!$A$2:$A$2676,Indices!$B$2:$B$2676,"")</f>
        <v>IWM</v>
      </c>
      <c r="E2828" t="str">
        <f>_xlfn.XLOOKUP(B2828,'2025-Q1'!$A$402:$A$448,'2025-Q1'!$A$402:$A$448,"avail")</f>
        <v>avail</v>
      </c>
      <c r="F2828" t="str">
        <f>_xlfn.XLOOKUP(B2828,'[2]!! -- Stock Universe 12.11.24'!$C$2:$C$1621,'[2]!! -- Stock Universe 12.11.24'!$E$2:$E$1621,"")</f>
        <v/>
      </c>
    </row>
    <row r="2829" spans="1:6" x14ac:dyDescent="0.25">
      <c r="A2829" s="140">
        <v>45714.645833333336</v>
      </c>
      <c r="B2829" t="s">
        <v>460</v>
      </c>
      <c r="C2829" t="s">
        <v>6347</v>
      </c>
      <c r="D2829" s="6" t="str">
        <f>_xlfn.XLOOKUP(B2829,Indices!$A$2:$A$2676,Indices!$B$2:$B$2676,"")</f>
        <v>IWM</v>
      </c>
      <c r="E2829" t="str">
        <f>_xlfn.XLOOKUP(B2829,'2025-Q1'!$A$402:$A$448,'2025-Q1'!$A$402:$A$448,"avail")</f>
        <v>avail</v>
      </c>
      <c r="F2829" t="str">
        <f>_xlfn.XLOOKUP(B2829,'[2]!! -- Stock Universe 12.11.24'!$C$2:$C$1621,'[2]!! -- Stock Universe 12.11.24'!$E$2:$E$1621,"")</f>
        <v/>
      </c>
    </row>
    <row r="2830" spans="1:6" x14ac:dyDescent="0.25">
      <c r="A2830" s="140">
        <v>45714.645833333336</v>
      </c>
      <c r="B2830" t="s">
        <v>1714</v>
      </c>
      <c r="C2830" t="s">
        <v>6347</v>
      </c>
      <c r="D2830" s="6" t="str">
        <f>_xlfn.XLOOKUP(B2830,Indices!$A$2:$A$2676,Indices!$B$2:$B$2676,"")</f>
        <v>IWM</v>
      </c>
      <c r="E2830" t="str">
        <f>_xlfn.XLOOKUP(B2830,'2025-Q1'!$A$402:$A$448,'2025-Q1'!$A$402:$A$448,"avail")</f>
        <v>avail</v>
      </c>
      <c r="F2830" t="str">
        <f>_xlfn.XLOOKUP(B2830,'[2]!! -- Stock Universe 12.11.24'!$C$2:$C$1621,'[2]!! -- Stock Universe 12.11.24'!$E$2:$E$1621,"")</f>
        <v>Energy</v>
      </c>
    </row>
    <row r="2831" spans="1:6" x14ac:dyDescent="0.25">
      <c r="A2831" s="140">
        <v>45714.663888888892</v>
      </c>
      <c r="B2831" t="s">
        <v>3429</v>
      </c>
      <c r="C2831" t="s">
        <v>6348</v>
      </c>
      <c r="D2831" s="6" t="str">
        <f>_xlfn.XLOOKUP(B2831,Indices!$A$2:$A$2676,Indices!$B$2:$B$2676,"")</f>
        <v/>
      </c>
      <c r="E2831" t="str">
        <f>_xlfn.XLOOKUP(B2831,'2025-Q1'!$A$402:$A$448,'2025-Q1'!$A$402:$A$448,"avail")</f>
        <v>avail</v>
      </c>
      <c r="F2831" t="str">
        <f>_xlfn.XLOOKUP(B2831,'[2]!! -- Stock Universe 12.11.24'!$C$2:$C$1621,'[2]!! -- Stock Universe 12.11.24'!$E$2:$E$1621,"")</f>
        <v/>
      </c>
    </row>
    <row r="2832" spans="1:6" x14ac:dyDescent="0.25">
      <c r="A2832" s="140">
        <v>45714.672222222223</v>
      </c>
      <c r="B2832" t="s">
        <v>155</v>
      </c>
      <c r="C2832" t="s">
        <v>6349</v>
      </c>
      <c r="D2832" s="6" t="str">
        <f>_xlfn.XLOOKUP(B2832,Indices!$A$2:$A$2676,Indices!$B$2:$B$2676,"")</f>
        <v>IWM</v>
      </c>
      <c r="E2832" t="str">
        <f>_xlfn.XLOOKUP(B2832,'2025-Q1'!$A$402:$A$448,'2025-Q1'!$A$402:$A$448,"avail")</f>
        <v>avail</v>
      </c>
      <c r="F2832" t="str">
        <f>_xlfn.XLOOKUP(B2832,'[2]!! -- Stock Universe 12.11.24'!$C$2:$C$1621,'[2]!! -- Stock Universe 12.11.24'!$E$2:$E$1621,"")</f>
        <v/>
      </c>
    </row>
    <row r="2833" spans="1:6" x14ac:dyDescent="0.25">
      <c r="A2833" s="140">
        <v>45714.689583333333</v>
      </c>
      <c r="B2833" t="s">
        <v>232</v>
      </c>
      <c r="C2833" t="s">
        <v>6350</v>
      </c>
      <c r="D2833" s="6" t="str">
        <f>_xlfn.XLOOKUP(B2833,Indices!$A$2:$A$2676,Indices!$B$2:$B$2676,"")</f>
        <v>IWM</v>
      </c>
      <c r="E2833" t="str">
        <f>_xlfn.XLOOKUP(B2833,'2025-Q1'!$A$402:$A$448,'2025-Q1'!$A$402:$A$448,"avail")</f>
        <v>avail</v>
      </c>
      <c r="F2833" t="str">
        <f>_xlfn.XLOOKUP(B2833,'[2]!! -- Stock Universe 12.11.24'!$C$2:$C$1621,'[2]!! -- Stock Universe 12.11.24'!$E$2:$E$1621,"")</f>
        <v/>
      </c>
    </row>
    <row r="2834" spans="1:6" x14ac:dyDescent="0.25">
      <c r="A2834" s="140">
        <v>45714.701388888891</v>
      </c>
      <c r="B2834" t="s">
        <v>1886</v>
      </c>
      <c r="C2834" t="s">
        <v>6351</v>
      </c>
      <c r="D2834" s="6" t="str">
        <f>_xlfn.XLOOKUP(B2834,Indices!$A$2:$A$2676,Indices!$B$2:$B$2676,"")</f>
        <v>IWM</v>
      </c>
      <c r="E2834" t="str">
        <f>_xlfn.XLOOKUP(B2834,'2025-Q1'!$A$402:$A$448,'2025-Q1'!$A$402:$A$448,"avail")</f>
        <v>avail</v>
      </c>
      <c r="F2834" t="str">
        <f>_xlfn.XLOOKUP(B2834,'[2]!! -- Stock Universe 12.11.24'!$C$2:$C$1621,'[2]!! -- Stock Universe 12.11.24'!$E$2:$E$1621,"")</f>
        <v/>
      </c>
    </row>
    <row r="2835" spans="1:6" x14ac:dyDescent="0.25">
      <c r="A2835" s="140">
        <v>45714.875</v>
      </c>
      <c r="B2835" t="s">
        <v>523</v>
      </c>
      <c r="C2835" t="s">
        <v>6352</v>
      </c>
      <c r="D2835" s="6" t="str">
        <f>_xlfn.XLOOKUP(B2835,Indices!$A$2:$A$2676,Indices!$B$2:$B$2676,"")</f>
        <v>IWM</v>
      </c>
      <c r="E2835" t="str">
        <f>_xlfn.XLOOKUP(B2835,'2025-Q1'!$A$402:$A$448,'2025-Q1'!$A$402:$A$448,"avail")</f>
        <v>avail</v>
      </c>
      <c r="F2835" t="str">
        <f>_xlfn.XLOOKUP(B2835,'[2]!! -- Stock Universe 12.11.24'!$C$2:$C$1621,'[2]!! -- Stock Universe 12.11.24'!$E$2:$E$1621,"")</f>
        <v>Technology</v>
      </c>
    </row>
    <row r="2836" spans="1:6" x14ac:dyDescent="0.25">
      <c r="A2836" s="140">
        <v>45714.958333333336</v>
      </c>
      <c r="B2836" t="s">
        <v>3533</v>
      </c>
      <c r="C2836" t="s">
        <v>6353</v>
      </c>
      <c r="D2836" s="6" t="str">
        <f>_xlfn.XLOOKUP(B2836,Indices!$A$2:$A$2676,Indices!$B$2:$B$2676,"")</f>
        <v/>
      </c>
      <c r="E2836" t="str">
        <f>_xlfn.XLOOKUP(B2836,'2025-Q1'!$A$402:$A$448,'2025-Q1'!$A$402:$A$448,"avail")</f>
        <v>avail</v>
      </c>
      <c r="F2836" t="str">
        <f>_xlfn.XLOOKUP(B2836,'[2]!! -- Stock Universe 12.11.24'!$C$2:$C$1621,'[2]!! -- Stock Universe 12.11.24'!$E$2:$E$1621,"")</f>
        <v/>
      </c>
    </row>
    <row r="2837" spans="1:6" x14ac:dyDescent="0.25">
      <c r="A2837" s="140">
        <v>45714.958333333336</v>
      </c>
      <c r="B2837" t="s">
        <v>643</v>
      </c>
      <c r="C2837" t="s">
        <v>6354</v>
      </c>
      <c r="D2837" s="6" t="str">
        <f>_xlfn.XLOOKUP(B2837,Indices!$A$2:$A$2676,Indices!$B$2:$B$2676,"")</f>
        <v>IWM</v>
      </c>
      <c r="E2837" t="str">
        <f>_xlfn.XLOOKUP(B2837,'2025-Q1'!$A$402:$A$448,'2025-Q1'!$A$402:$A$448,"avail")</f>
        <v>avail</v>
      </c>
      <c r="F2837" t="str">
        <f>_xlfn.XLOOKUP(B2837,'[2]!! -- Stock Universe 12.11.24'!$C$2:$C$1621,'[2]!! -- Stock Universe 12.11.24'!$E$2:$E$1621,"")</f>
        <v>Industrials</v>
      </c>
    </row>
    <row r="2838" spans="1:6" x14ac:dyDescent="0.25">
      <c r="A2838" s="140">
        <v>45714.958333333336</v>
      </c>
      <c r="B2838" t="s">
        <v>3519</v>
      </c>
      <c r="C2838" t="s">
        <v>6355</v>
      </c>
      <c r="D2838" s="6" t="str">
        <f>_xlfn.XLOOKUP(B2838,Indices!$A$2:$A$2676,Indices!$B$2:$B$2676,"")</f>
        <v/>
      </c>
      <c r="E2838" t="str">
        <f>_xlfn.XLOOKUP(B2838,'2025-Q1'!$A$402:$A$448,'2025-Q1'!$A$402:$A$448,"avail")</f>
        <v>avail</v>
      </c>
      <c r="F2838" t="str">
        <f>_xlfn.XLOOKUP(B2838,'[2]!! -- Stock Universe 12.11.24'!$C$2:$C$1621,'[2]!! -- Stock Universe 12.11.24'!$E$2:$E$1621,"")</f>
        <v/>
      </c>
    </row>
    <row r="2839" spans="1:6" x14ac:dyDescent="0.25">
      <c r="A2839" s="140">
        <v>45714.958333333336</v>
      </c>
      <c r="B2839" t="s">
        <v>3469</v>
      </c>
      <c r="C2839" t="s">
        <v>6355</v>
      </c>
      <c r="D2839" s="6" t="str">
        <f>_xlfn.XLOOKUP(B2839,Indices!$A$2:$A$2676,Indices!$B$2:$B$2676,"")</f>
        <v/>
      </c>
      <c r="E2839" t="str">
        <f>_xlfn.XLOOKUP(B2839,'2025-Q1'!$A$402:$A$448,'2025-Q1'!$A$402:$A$448,"avail")</f>
        <v>avail</v>
      </c>
      <c r="F2839" t="str">
        <f>_xlfn.XLOOKUP(B2839,'[2]!! -- Stock Universe 12.11.24'!$C$2:$C$1621,'[2]!! -- Stock Universe 12.11.24'!$E$2:$E$1621,"")</f>
        <v/>
      </c>
    </row>
    <row r="2840" spans="1:6" x14ac:dyDescent="0.25">
      <c r="A2840" s="140">
        <v>45714.958333333336</v>
      </c>
      <c r="B2840" t="s">
        <v>3894</v>
      </c>
      <c r="C2840" t="s">
        <v>6354</v>
      </c>
      <c r="D2840" s="6" t="str">
        <f>_xlfn.XLOOKUP(B2840,Indices!$A$2:$A$2676,Indices!$B$2:$B$2676,"")</f>
        <v/>
      </c>
      <c r="E2840" t="str">
        <f>_xlfn.XLOOKUP(B2840,'2025-Q1'!$A$402:$A$448,'2025-Q1'!$A$402:$A$448,"avail")</f>
        <v>avail</v>
      </c>
      <c r="F2840" t="str">
        <f>_xlfn.XLOOKUP(B2840,'[2]!! -- Stock Universe 12.11.24'!$C$2:$C$1621,'[2]!! -- Stock Universe 12.11.24'!$E$2:$E$1621,"")</f>
        <v>Healthcare</v>
      </c>
    </row>
    <row r="2841" spans="1:6" x14ac:dyDescent="0.25">
      <c r="A2841" s="140">
        <v>45714.958333333336</v>
      </c>
      <c r="B2841" t="s">
        <v>3506</v>
      </c>
      <c r="C2841" t="s">
        <v>6355</v>
      </c>
      <c r="D2841" s="6" t="str">
        <f>_xlfn.XLOOKUP(B2841,Indices!$A$2:$A$2676,Indices!$B$2:$B$2676,"")</f>
        <v/>
      </c>
      <c r="E2841" t="str">
        <f>_xlfn.XLOOKUP(B2841,'2025-Q1'!$A$402:$A$448,'2025-Q1'!$A$402:$A$448,"avail")</f>
        <v>avail</v>
      </c>
      <c r="F2841" t="str">
        <f>_xlfn.XLOOKUP(B2841,'[2]!! -- Stock Universe 12.11.24'!$C$2:$C$1621,'[2]!! -- Stock Universe 12.11.24'!$E$2:$E$1621,"")</f>
        <v/>
      </c>
    </row>
    <row r="2842" spans="1:6" x14ac:dyDescent="0.25">
      <c r="A2842" s="140">
        <v>45714.958333333336</v>
      </c>
      <c r="B2842" t="s">
        <v>4149</v>
      </c>
      <c r="C2842" t="s">
        <v>6355</v>
      </c>
      <c r="D2842" s="6" t="str">
        <f>_xlfn.XLOOKUP(B2842,Indices!$A$2:$A$2676,Indices!$B$2:$B$2676,"")</f>
        <v/>
      </c>
      <c r="E2842" t="str">
        <f>_xlfn.XLOOKUP(B2842,'2025-Q1'!$A$402:$A$448,'2025-Q1'!$A$402:$A$448,"avail")</f>
        <v>avail</v>
      </c>
      <c r="F2842" t="str">
        <f>_xlfn.XLOOKUP(B2842,'[2]!! -- Stock Universe 12.11.24'!$C$2:$C$1621,'[2]!! -- Stock Universe 12.11.24'!$E$2:$E$1621,"")</f>
        <v/>
      </c>
    </row>
    <row r="2843" spans="1:6" x14ac:dyDescent="0.25">
      <c r="A2843" s="140">
        <v>45714.958333333336</v>
      </c>
      <c r="B2843" t="s">
        <v>3497</v>
      </c>
      <c r="C2843" t="s">
        <v>6354</v>
      </c>
      <c r="D2843" s="6" t="str">
        <f>_xlfn.XLOOKUP(B2843,Indices!$A$2:$A$2676,Indices!$B$2:$B$2676,"")</f>
        <v/>
      </c>
      <c r="E2843" t="str">
        <f>_xlfn.XLOOKUP(B2843,'2025-Q1'!$A$402:$A$448,'2025-Q1'!$A$402:$A$448,"avail")</f>
        <v>avail</v>
      </c>
      <c r="F2843" t="str">
        <f>_xlfn.XLOOKUP(B2843,'[2]!! -- Stock Universe 12.11.24'!$C$2:$C$1621,'[2]!! -- Stock Universe 12.11.24'!$E$2:$E$1621,"")</f>
        <v/>
      </c>
    </row>
    <row r="2844" spans="1:6" x14ac:dyDescent="0.25">
      <c r="A2844" s="140">
        <v>45714.958333333336</v>
      </c>
      <c r="B2844" t="s">
        <v>3510</v>
      </c>
      <c r="C2844" t="s">
        <v>6354</v>
      </c>
      <c r="D2844" s="6" t="str">
        <f>_xlfn.XLOOKUP(B2844,Indices!$A$2:$A$2676,Indices!$B$2:$B$2676,"")</f>
        <v/>
      </c>
      <c r="E2844" t="str">
        <f>_xlfn.XLOOKUP(B2844,'2025-Q1'!$A$402:$A$448,'2025-Q1'!$A$402:$A$448,"avail")</f>
        <v>avail</v>
      </c>
      <c r="F2844" t="str">
        <f>_xlfn.XLOOKUP(B2844,'[2]!! -- Stock Universe 12.11.24'!$C$2:$C$1621,'[2]!! -- Stock Universe 12.11.24'!$E$2:$E$1621,"")</f>
        <v/>
      </c>
    </row>
    <row r="2845" spans="1:6" x14ac:dyDescent="0.25">
      <c r="A2845" s="140">
        <v>45714.958333333336</v>
      </c>
      <c r="B2845" t="s">
        <v>3479</v>
      </c>
      <c r="C2845" t="s">
        <v>6355</v>
      </c>
      <c r="D2845" s="6" t="str">
        <f>_xlfn.XLOOKUP(B2845,Indices!$A$2:$A$2676,Indices!$B$2:$B$2676,"")</f>
        <v/>
      </c>
      <c r="E2845" t="str">
        <f>_xlfn.XLOOKUP(B2845,'2025-Q1'!$A$402:$A$448,'2025-Q1'!$A$402:$A$448,"avail")</f>
        <v>avail</v>
      </c>
      <c r="F2845" t="str">
        <f>_xlfn.XLOOKUP(B2845,'[2]!! -- Stock Universe 12.11.24'!$C$2:$C$1621,'[2]!! -- Stock Universe 12.11.24'!$E$2:$E$1621,"")</f>
        <v/>
      </c>
    </row>
    <row r="2846" spans="1:6" x14ac:dyDescent="0.25">
      <c r="A2846" s="140">
        <v>45714.958333333336</v>
      </c>
      <c r="B2846" t="s">
        <v>268</v>
      </c>
      <c r="C2846" t="s">
        <v>6354</v>
      </c>
      <c r="D2846" s="6" t="str">
        <f>_xlfn.XLOOKUP(B2846,Indices!$A$2:$A$2676,Indices!$B$2:$B$2676,"")</f>
        <v>IWM</v>
      </c>
      <c r="E2846" t="str">
        <f>_xlfn.XLOOKUP(B2846,'2025-Q1'!$A$402:$A$448,'2025-Q1'!$A$402:$A$448,"avail")</f>
        <v>avail</v>
      </c>
      <c r="F2846" t="str">
        <f>_xlfn.XLOOKUP(B2846,'[2]!! -- Stock Universe 12.11.24'!$C$2:$C$1621,'[2]!! -- Stock Universe 12.11.24'!$E$2:$E$1621,"")</f>
        <v/>
      </c>
    </row>
    <row r="2847" spans="1:6" x14ac:dyDescent="0.25">
      <c r="A2847" s="140">
        <v>45714.958333333336</v>
      </c>
      <c r="B2847" t="s">
        <v>3472</v>
      </c>
      <c r="C2847" t="s">
        <v>6354</v>
      </c>
      <c r="D2847" s="6" t="str">
        <f>_xlfn.XLOOKUP(B2847,Indices!$A$2:$A$2676,Indices!$B$2:$B$2676,"")</f>
        <v/>
      </c>
      <c r="E2847" t="str">
        <f>_xlfn.XLOOKUP(B2847,'2025-Q1'!$A$402:$A$448,'2025-Q1'!$A$402:$A$448,"avail")</f>
        <v>avail</v>
      </c>
      <c r="F2847" t="str">
        <f>_xlfn.XLOOKUP(B2847,'[2]!! -- Stock Universe 12.11.24'!$C$2:$C$1621,'[2]!! -- Stock Universe 12.11.24'!$E$2:$E$1621,"")</f>
        <v/>
      </c>
    </row>
    <row r="2848" spans="1:6" x14ac:dyDescent="0.25">
      <c r="A2848" s="140">
        <v>45714.958333333336</v>
      </c>
      <c r="B2848" t="s">
        <v>3439</v>
      </c>
      <c r="C2848" t="s">
        <v>6354</v>
      </c>
      <c r="D2848" s="6" t="str">
        <f>_xlfn.XLOOKUP(B2848,Indices!$A$2:$A$2676,Indices!$B$2:$B$2676,"")</f>
        <v/>
      </c>
      <c r="E2848" t="str">
        <f>_xlfn.XLOOKUP(B2848,'2025-Q1'!$A$402:$A$448,'2025-Q1'!$A$402:$A$448,"avail")</f>
        <v>avail</v>
      </c>
      <c r="F2848" t="str">
        <f>_xlfn.XLOOKUP(B2848,'[2]!! -- Stock Universe 12.11.24'!$C$2:$C$1621,'[2]!! -- Stock Universe 12.11.24'!$E$2:$E$1621,"")</f>
        <v/>
      </c>
    </row>
    <row r="2849" spans="1:6" x14ac:dyDescent="0.25">
      <c r="A2849" s="140">
        <v>45714.958333333336</v>
      </c>
      <c r="B2849" t="s">
        <v>3456</v>
      </c>
      <c r="C2849" t="s">
        <v>6355</v>
      </c>
      <c r="D2849" s="6" t="str">
        <f>_xlfn.XLOOKUP(B2849,Indices!$A$2:$A$2676,Indices!$B$2:$B$2676,"")</f>
        <v/>
      </c>
      <c r="E2849" t="str">
        <f>_xlfn.XLOOKUP(B2849,'2025-Q1'!$A$402:$A$448,'2025-Q1'!$A$402:$A$448,"avail")</f>
        <v>avail</v>
      </c>
      <c r="F2849" t="str">
        <f>_xlfn.XLOOKUP(B2849,'[2]!! -- Stock Universe 12.11.24'!$C$2:$C$1621,'[2]!! -- Stock Universe 12.11.24'!$E$2:$E$1621,"")</f>
        <v/>
      </c>
    </row>
    <row r="2850" spans="1:6" x14ac:dyDescent="0.25">
      <c r="A2850" s="140">
        <v>45714.958333333336</v>
      </c>
      <c r="B2850" t="s">
        <v>3467</v>
      </c>
      <c r="C2850" t="s">
        <v>6355</v>
      </c>
      <c r="D2850" s="6" t="str">
        <f>_xlfn.XLOOKUP(B2850,Indices!$A$2:$A$2676,Indices!$B$2:$B$2676,"")</f>
        <v/>
      </c>
      <c r="E2850" t="str">
        <f>_xlfn.XLOOKUP(B2850,'2025-Q1'!$A$402:$A$448,'2025-Q1'!$A$402:$A$448,"avail")</f>
        <v>avail</v>
      </c>
      <c r="F2850" t="str">
        <f>_xlfn.XLOOKUP(B2850,'[2]!! -- Stock Universe 12.11.24'!$C$2:$C$1621,'[2]!! -- Stock Universe 12.11.24'!$E$2:$E$1621,"")</f>
        <v/>
      </c>
    </row>
    <row r="2851" spans="1:6" x14ac:dyDescent="0.25">
      <c r="A2851" s="140">
        <v>45714.958333333336</v>
      </c>
      <c r="B2851" t="s">
        <v>3351</v>
      </c>
      <c r="C2851" t="s">
        <v>6355</v>
      </c>
      <c r="D2851" s="6" t="str">
        <f>_xlfn.XLOOKUP(B2851,Indices!$A$2:$A$2676,Indices!$B$2:$B$2676,"")</f>
        <v/>
      </c>
      <c r="E2851" t="str">
        <f>_xlfn.XLOOKUP(B2851,'2025-Q1'!$A$402:$A$448,'2025-Q1'!$A$402:$A$448,"avail")</f>
        <v>avail</v>
      </c>
      <c r="F2851" t="str">
        <f>_xlfn.XLOOKUP(B2851,'[2]!! -- Stock Universe 12.11.24'!$C$2:$C$1621,'[2]!! -- Stock Universe 12.11.24'!$E$2:$E$1621,"")</f>
        <v/>
      </c>
    </row>
    <row r="2852" spans="1:6" x14ac:dyDescent="0.25">
      <c r="A2852" s="140">
        <v>45714.958333333336</v>
      </c>
      <c r="B2852" t="s">
        <v>3477</v>
      </c>
      <c r="C2852" t="s">
        <v>6355</v>
      </c>
      <c r="D2852" s="6" t="str">
        <f>_xlfn.XLOOKUP(B2852,Indices!$A$2:$A$2676,Indices!$B$2:$B$2676,"")</f>
        <v/>
      </c>
      <c r="E2852" t="str">
        <f>_xlfn.XLOOKUP(B2852,'2025-Q1'!$A$402:$A$448,'2025-Q1'!$A$402:$A$448,"avail")</f>
        <v>avail</v>
      </c>
      <c r="F2852" t="str">
        <f>_xlfn.XLOOKUP(B2852,'[2]!! -- Stock Universe 12.11.24'!$C$2:$C$1621,'[2]!! -- Stock Universe 12.11.24'!$E$2:$E$1621,"")</f>
        <v/>
      </c>
    </row>
    <row r="2853" spans="1:6" x14ac:dyDescent="0.25">
      <c r="A2853" s="140">
        <v>45714.961111111108</v>
      </c>
      <c r="B2853" t="s">
        <v>3453</v>
      </c>
      <c r="C2853" t="s">
        <v>6356</v>
      </c>
      <c r="D2853" s="6" t="str">
        <f>_xlfn.XLOOKUP(B2853,Indices!$A$2:$A$2676,Indices!$B$2:$B$2676,"")</f>
        <v/>
      </c>
      <c r="E2853" t="str">
        <f>_xlfn.XLOOKUP(B2853,'2025-Q1'!$A$402:$A$448,'2025-Q1'!$A$402:$A$448,"avail")</f>
        <v>avail</v>
      </c>
      <c r="F2853" t="str">
        <f>_xlfn.XLOOKUP(B2853,'[2]!! -- Stock Universe 12.11.24'!$C$2:$C$1621,'[2]!! -- Stock Universe 12.11.24'!$E$2:$E$1621,"")</f>
        <v/>
      </c>
    </row>
    <row r="2854" spans="1:6" x14ac:dyDescent="0.25">
      <c r="A2854" s="140">
        <v>45714.979166666664</v>
      </c>
      <c r="B2854" t="s">
        <v>3463</v>
      </c>
      <c r="C2854" t="s">
        <v>6357</v>
      </c>
      <c r="D2854" s="6" t="str">
        <f>_xlfn.XLOOKUP(B2854,Indices!$A$2:$A$2676,Indices!$B$2:$B$2676,"")</f>
        <v/>
      </c>
      <c r="E2854" t="str">
        <f>_xlfn.XLOOKUP(B2854,'2025-Q1'!$A$402:$A$448,'2025-Q1'!$A$402:$A$448,"avail")</f>
        <v>avail</v>
      </c>
      <c r="F2854" t="str">
        <f>_xlfn.XLOOKUP(B2854,'[2]!! -- Stock Universe 12.11.24'!$C$2:$C$1621,'[2]!! -- Stock Universe 12.11.24'!$E$2:$E$1621,"")</f>
        <v/>
      </c>
    </row>
    <row r="2855" spans="1:6" x14ac:dyDescent="0.25">
      <c r="A2855" s="140">
        <v>45715</v>
      </c>
      <c r="B2855" t="s">
        <v>3491</v>
      </c>
      <c r="C2855" t="s">
        <v>6358</v>
      </c>
      <c r="D2855" s="6" t="str">
        <f>_xlfn.XLOOKUP(B2855,Indices!$A$2:$A$2676,Indices!$B$2:$B$2676,"")</f>
        <v/>
      </c>
      <c r="E2855" t="str">
        <f>_xlfn.XLOOKUP(B2855,'2025-Q1'!$A$402:$A$448,'2025-Q1'!$A$402:$A$448,"avail")</f>
        <v>avail</v>
      </c>
      <c r="F2855" t="str">
        <f>_xlfn.XLOOKUP(B2855,'[2]!! -- Stock Universe 12.11.24'!$C$2:$C$1621,'[2]!! -- Stock Universe 12.11.24'!$E$2:$E$1621,"")</f>
        <v/>
      </c>
    </row>
    <row r="2856" spans="1:6" x14ac:dyDescent="0.25">
      <c r="A2856" s="140">
        <v>45715.083333333336</v>
      </c>
      <c r="B2856" t="s">
        <v>269</v>
      </c>
      <c r="C2856" t="s">
        <v>6359</v>
      </c>
      <c r="D2856" s="6" t="str">
        <f>_xlfn.XLOOKUP(B2856,Indices!$A$2:$A$2676,Indices!$B$2:$B$2676,"")</f>
        <v>IWM</v>
      </c>
      <c r="E2856" t="str">
        <f>_xlfn.XLOOKUP(B2856,'2025-Q1'!$A$402:$A$448,'2025-Q1'!$A$402:$A$448,"avail")</f>
        <v>avail</v>
      </c>
      <c r="F2856" t="str">
        <f>_xlfn.XLOOKUP(B2856,'[2]!! -- Stock Universe 12.11.24'!$C$2:$C$1621,'[2]!! -- Stock Universe 12.11.24'!$E$2:$E$1621,"")</f>
        <v>Consumer Cyclical</v>
      </c>
    </row>
    <row r="2857" spans="1:6" x14ac:dyDescent="0.25">
      <c r="A2857" s="140">
        <v>45715.118055555555</v>
      </c>
      <c r="B2857" t="s">
        <v>3449</v>
      </c>
      <c r="C2857" t="s">
        <v>6360</v>
      </c>
      <c r="D2857" s="6" t="str">
        <f>_xlfn.XLOOKUP(B2857,Indices!$A$2:$A$2676,Indices!$B$2:$B$2676,"")</f>
        <v/>
      </c>
      <c r="E2857" t="str">
        <f>_xlfn.XLOOKUP(B2857,'2025-Q1'!$A$402:$A$448,'2025-Q1'!$A$402:$A$448,"avail")</f>
        <v>avail</v>
      </c>
      <c r="F2857" t="str">
        <f>_xlfn.XLOOKUP(B2857,'[2]!! -- Stock Universe 12.11.24'!$C$2:$C$1621,'[2]!! -- Stock Universe 12.11.24'!$E$2:$E$1621,"")</f>
        <v/>
      </c>
    </row>
    <row r="2858" spans="1:6" x14ac:dyDescent="0.25">
      <c r="A2858" s="140">
        <v>45715.135416666664</v>
      </c>
      <c r="B2858" t="s">
        <v>3531</v>
      </c>
      <c r="C2858" t="s">
        <v>6361</v>
      </c>
      <c r="D2858" s="6" t="str">
        <f>_xlfn.XLOOKUP(B2858,Indices!$A$2:$A$2676,Indices!$B$2:$B$2676,"")</f>
        <v/>
      </c>
      <c r="E2858" t="str">
        <f>_xlfn.XLOOKUP(B2858,'2025-Q1'!$A$402:$A$448,'2025-Q1'!$A$402:$A$448,"avail")</f>
        <v>avail</v>
      </c>
      <c r="F2858" t="str">
        <f>_xlfn.XLOOKUP(B2858,'[2]!! -- Stock Universe 12.11.24'!$C$2:$C$1621,'[2]!! -- Stock Universe 12.11.24'!$E$2:$E$1621,"")</f>
        <v/>
      </c>
    </row>
    <row r="2859" spans="1:6" x14ac:dyDescent="0.25">
      <c r="A2859" s="140">
        <v>45715.142361111109</v>
      </c>
      <c r="B2859" t="s">
        <v>3466</v>
      </c>
      <c r="C2859" t="s">
        <v>6362</v>
      </c>
      <c r="D2859" s="6" t="str">
        <f>_xlfn.XLOOKUP(B2859,Indices!$A$2:$A$2676,Indices!$B$2:$B$2676,"")</f>
        <v/>
      </c>
      <c r="E2859" t="str">
        <f>_xlfn.XLOOKUP(B2859,'2025-Q1'!$A$402:$A$448,'2025-Q1'!$A$402:$A$448,"avail")</f>
        <v>avail</v>
      </c>
      <c r="F2859" t="str">
        <f>_xlfn.XLOOKUP(B2859,'[2]!! -- Stock Universe 12.11.24'!$C$2:$C$1621,'[2]!! -- Stock Universe 12.11.24'!$E$2:$E$1621,"")</f>
        <v/>
      </c>
    </row>
    <row r="2860" spans="1:6" x14ac:dyDescent="0.25">
      <c r="A2860" s="140">
        <v>45715.166666666664</v>
      </c>
      <c r="B2860" t="s">
        <v>3649</v>
      </c>
      <c r="C2860" t="s">
        <v>6363</v>
      </c>
      <c r="D2860" s="6" t="str">
        <f>_xlfn.XLOOKUP(B2860,Indices!$A$2:$A$2676,Indices!$B$2:$B$2676,"")</f>
        <v/>
      </c>
      <c r="E2860" t="str">
        <f>_xlfn.XLOOKUP(B2860,'2025-Q1'!$A$402:$A$448,'2025-Q1'!$A$402:$A$448,"avail")</f>
        <v>avail</v>
      </c>
      <c r="F2860" t="str">
        <f>_xlfn.XLOOKUP(B2860,'[2]!! -- Stock Universe 12.11.24'!$C$2:$C$1621,'[2]!! -- Stock Universe 12.11.24'!$E$2:$E$1621,"")</f>
        <v/>
      </c>
    </row>
    <row r="2861" spans="1:6" x14ac:dyDescent="0.25">
      <c r="A2861" s="140">
        <v>45715.166666666664</v>
      </c>
      <c r="B2861" t="s">
        <v>535</v>
      </c>
      <c r="C2861" t="s">
        <v>6363</v>
      </c>
      <c r="D2861" s="6" t="str">
        <f>_xlfn.XLOOKUP(B2861,Indices!$A$2:$A$2676,Indices!$B$2:$B$2676,"")</f>
        <v>IWM</v>
      </c>
      <c r="E2861" t="str">
        <f>_xlfn.XLOOKUP(B2861,'2025-Q1'!$A$402:$A$448,'2025-Q1'!$A$402:$A$448,"avail")</f>
        <v>avail</v>
      </c>
      <c r="F2861" t="str">
        <f>_xlfn.XLOOKUP(B2861,'[2]!! -- Stock Universe 12.11.24'!$C$2:$C$1621,'[2]!! -- Stock Universe 12.11.24'!$E$2:$E$1621,"")</f>
        <v>Industrials</v>
      </c>
    </row>
    <row r="2862" spans="1:6" x14ac:dyDescent="0.25">
      <c r="A2862" s="140">
        <v>45715.166666666664</v>
      </c>
      <c r="B2862" t="s">
        <v>538</v>
      </c>
      <c r="C2862" t="s">
        <v>6363</v>
      </c>
      <c r="D2862" s="6" t="str">
        <f>_xlfn.XLOOKUP(B2862,Indices!$A$2:$A$2676,Indices!$B$2:$B$2676,"")</f>
        <v>IWM</v>
      </c>
      <c r="E2862" t="str">
        <f>_xlfn.XLOOKUP(B2862,'2025-Q1'!$A$402:$A$448,'2025-Q1'!$A$402:$A$448,"avail")</f>
        <v>avail</v>
      </c>
      <c r="F2862" t="str">
        <f>_xlfn.XLOOKUP(B2862,'[2]!! -- Stock Universe 12.11.24'!$C$2:$C$1621,'[2]!! -- Stock Universe 12.11.24'!$E$2:$E$1621,"")</f>
        <v/>
      </c>
    </row>
    <row r="2863" spans="1:6" x14ac:dyDescent="0.25">
      <c r="A2863" s="140">
        <v>45715.166666666664</v>
      </c>
      <c r="B2863" t="s">
        <v>834</v>
      </c>
      <c r="C2863" t="s">
        <v>6363</v>
      </c>
      <c r="D2863" s="6" t="str">
        <f>_xlfn.XLOOKUP(B2863,Indices!$A$2:$A$2676,Indices!$B$2:$B$2676,"")</f>
        <v>IWM</v>
      </c>
      <c r="E2863" t="str">
        <f>_xlfn.XLOOKUP(B2863,'2025-Q1'!$A$402:$A$448,'2025-Q1'!$A$402:$A$448,"avail")</f>
        <v>avail</v>
      </c>
      <c r="F2863" t="str">
        <f>_xlfn.XLOOKUP(B2863,'[2]!! -- Stock Universe 12.11.24'!$C$2:$C$1621,'[2]!! -- Stock Universe 12.11.24'!$E$2:$E$1621,"")</f>
        <v>Communication Services</v>
      </c>
    </row>
    <row r="2864" spans="1:6" x14ac:dyDescent="0.25">
      <c r="A2864" s="140">
        <v>45715.166666666664</v>
      </c>
      <c r="B2864" t="s">
        <v>3507</v>
      </c>
      <c r="C2864" t="s">
        <v>6363</v>
      </c>
      <c r="D2864" s="6" t="str">
        <f>_xlfn.XLOOKUP(B2864,Indices!$A$2:$A$2676,Indices!$B$2:$B$2676,"")</f>
        <v/>
      </c>
      <c r="E2864" t="str">
        <f>_xlfn.XLOOKUP(B2864,'2025-Q1'!$A$402:$A$448,'2025-Q1'!$A$402:$A$448,"avail")</f>
        <v>avail</v>
      </c>
      <c r="F2864" t="str">
        <f>_xlfn.XLOOKUP(B2864,'[2]!! -- Stock Universe 12.11.24'!$C$2:$C$1621,'[2]!! -- Stock Universe 12.11.24'!$E$2:$E$1621,"")</f>
        <v/>
      </c>
    </row>
    <row r="2865" spans="1:6" x14ac:dyDescent="0.25">
      <c r="A2865" s="140">
        <v>45715.166666666664</v>
      </c>
      <c r="B2865" t="s">
        <v>2038</v>
      </c>
      <c r="C2865" t="s">
        <v>6363</v>
      </c>
      <c r="D2865" s="6" t="str">
        <f>_xlfn.XLOOKUP(B2865,Indices!$A$2:$A$2676,Indices!$B$2:$B$2676,"")</f>
        <v>IWM</v>
      </c>
      <c r="E2865" t="str">
        <f>_xlfn.XLOOKUP(B2865,'2025-Q1'!$A$402:$A$448,'2025-Q1'!$A$402:$A$448,"avail")</f>
        <v>avail</v>
      </c>
      <c r="F2865" t="str">
        <f>_xlfn.XLOOKUP(B2865,'[2]!! -- Stock Universe 12.11.24'!$C$2:$C$1621,'[2]!! -- Stock Universe 12.11.24'!$E$2:$E$1621,"")</f>
        <v>Basic Materials</v>
      </c>
    </row>
    <row r="2866" spans="1:6" x14ac:dyDescent="0.25">
      <c r="A2866" s="140">
        <v>45715.166666666664</v>
      </c>
      <c r="B2866" t="s">
        <v>3678</v>
      </c>
      <c r="C2866" t="s">
        <v>6363</v>
      </c>
      <c r="D2866" s="6" t="str">
        <f>_xlfn.XLOOKUP(B2866,Indices!$A$2:$A$2676,Indices!$B$2:$B$2676,"")</f>
        <v/>
      </c>
      <c r="E2866" t="str">
        <f>_xlfn.XLOOKUP(B2866,'2025-Q1'!$A$402:$A$448,'2025-Q1'!$A$402:$A$448,"avail")</f>
        <v>avail</v>
      </c>
      <c r="F2866" t="str">
        <f>_xlfn.XLOOKUP(B2866,'[2]!! -- Stock Universe 12.11.24'!$C$2:$C$1621,'[2]!! -- Stock Universe 12.11.24'!$E$2:$E$1621,"")</f>
        <v/>
      </c>
    </row>
    <row r="2867" spans="1:6" x14ac:dyDescent="0.25">
      <c r="A2867" s="140">
        <v>45715.166666666664</v>
      </c>
      <c r="B2867" t="s">
        <v>37</v>
      </c>
      <c r="C2867" t="s">
        <v>6363</v>
      </c>
      <c r="D2867" s="6" t="str">
        <f>_xlfn.XLOOKUP(B2867,Indices!$A$2:$A$2676,Indices!$B$2:$B$2676,"")</f>
        <v>IWM</v>
      </c>
      <c r="E2867" t="str">
        <f>_xlfn.XLOOKUP(B2867,'2025-Q1'!$A$402:$A$448,'2025-Q1'!$A$402:$A$448,"avail")</f>
        <v>avail</v>
      </c>
      <c r="F2867" t="str">
        <f>_xlfn.XLOOKUP(B2867,'[2]!! -- Stock Universe 12.11.24'!$C$2:$C$1621,'[2]!! -- Stock Universe 12.11.24'!$E$2:$E$1621,"")</f>
        <v/>
      </c>
    </row>
    <row r="2868" spans="1:6" x14ac:dyDescent="0.25">
      <c r="A2868" s="140">
        <v>45715.166666666664</v>
      </c>
      <c r="B2868" t="s">
        <v>534</v>
      </c>
      <c r="C2868" t="s">
        <v>6363</v>
      </c>
      <c r="D2868" s="6" t="str">
        <f>_xlfn.XLOOKUP(B2868,Indices!$A$2:$A$2676,Indices!$B$2:$B$2676,"")</f>
        <v>IWM</v>
      </c>
      <c r="E2868" t="str">
        <f>_xlfn.XLOOKUP(B2868,'2025-Q1'!$A$402:$A$448,'2025-Q1'!$A$402:$A$448,"avail")</f>
        <v>avail</v>
      </c>
      <c r="F2868" t="str">
        <f>_xlfn.XLOOKUP(B2868,'[2]!! -- Stock Universe 12.11.24'!$C$2:$C$1621,'[2]!! -- Stock Universe 12.11.24'!$E$2:$E$1621,"")</f>
        <v>Healthcare</v>
      </c>
    </row>
    <row r="2869" spans="1:6" x14ac:dyDescent="0.25">
      <c r="A2869" s="140">
        <v>45715.166666666664</v>
      </c>
      <c r="B2869" t="s">
        <v>539</v>
      </c>
      <c r="C2869" t="s">
        <v>6363</v>
      </c>
      <c r="D2869" s="6" t="str">
        <f>_xlfn.XLOOKUP(B2869,Indices!$A$2:$A$2676,Indices!$B$2:$B$2676,"")</f>
        <v>S&amp;P Mid</v>
      </c>
      <c r="E2869" t="str">
        <f>_xlfn.XLOOKUP(B2869,'2025-Q1'!$A$402:$A$448,'2025-Q1'!$A$402:$A$448,"avail")</f>
        <v>avail</v>
      </c>
      <c r="F2869" t="str">
        <f>_xlfn.XLOOKUP(B2869,'[2]!! -- Stock Universe 12.11.24'!$C$2:$C$1621,'[2]!! -- Stock Universe 12.11.24'!$E$2:$E$1621,"")</f>
        <v>Healthcare</v>
      </c>
    </row>
    <row r="2870" spans="1:6" x14ac:dyDescent="0.25">
      <c r="A2870" s="140">
        <v>45715.166666666664</v>
      </c>
      <c r="B2870" t="s">
        <v>528</v>
      </c>
      <c r="C2870" t="s">
        <v>6363</v>
      </c>
      <c r="D2870" s="6" t="str">
        <f>_xlfn.XLOOKUP(B2870,Indices!$A$2:$A$2676,Indices!$B$2:$B$2676,"")</f>
        <v>IWM</v>
      </c>
      <c r="E2870" t="str">
        <f>_xlfn.XLOOKUP(B2870,'2025-Q1'!$A$402:$A$448,'2025-Q1'!$A$402:$A$448,"avail")</f>
        <v>avail</v>
      </c>
      <c r="F2870" t="str">
        <f>_xlfn.XLOOKUP(B2870,'[2]!! -- Stock Universe 12.11.24'!$C$2:$C$1621,'[2]!! -- Stock Universe 12.11.24'!$E$2:$E$1621,"")</f>
        <v>Healthcare</v>
      </c>
    </row>
    <row r="2871" spans="1:6" x14ac:dyDescent="0.25">
      <c r="A2871" s="140">
        <v>45715.166666666664</v>
      </c>
      <c r="B2871" t="s">
        <v>3593</v>
      </c>
      <c r="C2871" t="s">
        <v>6363</v>
      </c>
      <c r="D2871" s="6" t="str">
        <f>_xlfn.XLOOKUP(B2871,Indices!$A$2:$A$2676,Indices!$B$2:$B$2676,"")</f>
        <v/>
      </c>
      <c r="E2871" t="str">
        <f>_xlfn.XLOOKUP(B2871,'2025-Q1'!$A$402:$A$448,'2025-Q1'!$A$402:$A$448,"avail")</f>
        <v>avail</v>
      </c>
      <c r="F2871" t="str">
        <f>_xlfn.XLOOKUP(B2871,'[2]!! -- Stock Universe 12.11.24'!$C$2:$C$1621,'[2]!! -- Stock Universe 12.11.24'!$E$2:$E$1621,"")</f>
        <v/>
      </c>
    </row>
    <row r="2872" spans="1:6" x14ac:dyDescent="0.25">
      <c r="A2872" s="140">
        <v>45715.166666666664</v>
      </c>
      <c r="B2872" t="s">
        <v>532</v>
      </c>
      <c r="C2872" t="s">
        <v>6363</v>
      </c>
      <c r="D2872" s="6" t="str">
        <f>_xlfn.XLOOKUP(B2872,Indices!$A$2:$A$2676,Indices!$B$2:$B$2676,"")</f>
        <v>IWM</v>
      </c>
      <c r="E2872" t="str">
        <f>_xlfn.XLOOKUP(B2872,'2025-Q1'!$A$402:$A$448,'2025-Q1'!$A$402:$A$448,"avail")</f>
        <v>avail</v>
      </c>
      <c r="F2872" t="str">
        <f>_xlfn.XLOOKUP(B2872,'[2]!! -- Stock Universe 12.11.24'!$C$2:$C$1621,'[2]!! -- Stock Universe 12.11.24'!$E$2:$E$1621,"")</f>
        <v>Technology</v>
      </c>
    </row>
    <row r="2873" spans="1:6" x14ac:dyDescent="0.25">
      <c r="A2873" s="140">
        <v>45715.166666666664</v>
      </c>
      <c r="B2873" t="s">
        <v>3511</v>
      </c>
      <c r="C2873" t="s">
        <v>6363</v>
      </c>
      <c r="D2873" s="6" t="str">
        <f>_xlfn.XLOOKUP(B2873,Indices!$A$2:$A$2676,Indices!$B$2:$B$2676,"")</f>
        <v/>
      </c>
      <c r="E2873" t="str">
        <f>_xlfn.XLOOKUP(B2873,'2025-Q1'!$A$402:$A$448,'2025-Q1'!$A$402:$A$448,"avail")</f>
        <v>avail</v>
      </c>
      <c r="F2873" t="str">
        <f>_xlfn.XLOOKUP(B2873,'[2]!! -- Stock Universe 12.11.24'!$C$2:$C$1621,'[2]!! -- Stock Universe 12.11.24'!$E$2:$E$1621,"")</f>
        <v/>
      </c>
    </row>
    <row r="2874" spans="1:6" x14ac:dyDescent="0.25">
      <c r="A2874" s="140">
        <v>45715.166666666664</v>
      </c>
      <c r="B2874" t="s">
        <v>1184</v>
      </c>
      <c r="C2874" t="s">
        <v>6363</v>
      </c>
      <c r="D2874" s="6" t="str">
        <f>_xlfn.XLOOKUP(B2874,Indices!$A$2:$A$2676,Indices!$B$2:$B$2676,"")</f>
        <v>S&amp;P Mid</v>
      </c>
      <c r="E2874" t="str">
        <f>_xlfn.XLOOKUP(B2874,'2025-Q1'!$A$402:$A$448,'2025-Q1'!$A$402:$A$448,"avail")</f>
        <v>avail</v>
      </c>
      <c r="F2874" t="str">
        <f>_xlfn.XLOOKUP(B2874,'[2]!! -- Stock Universe 12.11.24'!$C$2:$C$1621,'[2]!! -- Stock Universe 12.11.24'!$E$2:$E$1621,"")</f>
        <v>Industrials</v>
      </c>
    </row>
    <row r="2875" spans="1:6" x14ac:dyDescent="0.25">
      <c r="A2875" s="140">
        <v>45715.166666666664</v>
      </c>
      <c r="B2875" t="s">
        <v>545</v>
      </c>
      <c r="C2875" t="s">
        <v>6363</v>
      </c>
      <c r="D2875" s="6" t="str">
        <f>_xlfn.XLOOKUP(B2875,Indices!$A$2:$A$2676,Indices!$B$2:$B$2676,"")</f>
        <v>IWM</v>
      </c>
      <c r="E2875" t="str">
        <f>_xlfn.XLOOKUP(B2875,'2025-Q1'!$A$402:$A$448,'2025-Q1'!$A$402:$A$448,"avail")</f>
        <v>avail</v>
      </c>
      <c r="F2875" t="str">
        <f>_xlfn.XLOOKUP(B2875,'[2]!! -- Stock Universe 12.11.24'!$C$2:$C$1621,'[2]!! -- Stock Universe 12.11.24'!$E$2:$E$1621,"")</f>
        <v/>
      </c>
    </row>
    <row r="2876" spans="1:6" x14ac:dyDescent="0.25">
      <c r="A2876" s="140">
        <v>45715.170138888891</v>
      </c>
      <c r="B2876" t="s">
        <v>3471</v>
      </c>
      <c r="C2876" t="s">
        <v>6364</v>
      </c>
      <c r="D2876" s="6" t="str">
        <f>_xlfn.XLOOKUP(B2876,Indices!$A$2:$A$2676,Indices!$B$2:$B$2676,"")</f>
        <v/>
      </c>
      <c r="E2876" t="str">
        <f>_xlfn.XLOOKUP(B2876,'2025-Q1'!$A$402:$A$448,'2025-Q1'!$A$402:$A$448,"avail")</f>
        <v>avail</v>
      </c>
      <c r="F2876" t="str">
        <f>_xlfn.XLOOKUP(B2876,'[2]!! -- Stock Universe 12.11.24'!$C$2:$C$1621,'[2]!! -- Stock Universe 12.11.24'!$E$2:$E$1621,"")</f>
        <v>Healthcare</v>
      </c>
    </row>
    <row r="2877" spans="1:6" x14ac:dyDescent="0.25">
      <c r="A2877" s="140">
        <v>45715.180555555555</v>
      </c>
      <c r="B2877" t="s">
        <v>516</v>
      </c>
      <c r="C2877" t="s">
        <v>6365</v>
      </c>
      <c r="D2877" s="6" t="str">
        <f>_xlfn.XLOOKUP(B2877,Indices!$A$2:$A$2676,Indices!$B$2:$B$2676,"")</f>
        <v>IWM</v>
      </c>
      <c r="E2877" t="str">
        <f>_xlfn.XLOOKUP(B2877,'2025-Q1'!$A$402:$A$448,'2025-Q1'!$A$402:$A$448,"avail")</f>
        <v>avail</v>
      </c>
      <c r="F2877" t="str">
        <f>_xlfn.XLOOKUP(B2877,'[2]!! -- Stock Universe 12.11.24'!$C$2:$C$1621,'[2]!! -- Stock Universe 12.11.24'!$E$2:$E$1621,"")</f>
        <v/>
      </c>
    </row>
    <row r="2878" spans="1:6" x14ac:dyDescent="0.25">
      <c r="A2878" s="140">
        <v>45715.184027777781</v>
      </c>
      <c r="B2878" t="s">
        <v>3437</v>
      </c>
      <c r="C2878" t="s">
        <v>6366</v>
      </c>
      <c r="D2878" s="6" t="str">
        <f>_xlfn.XLOOKUP(B2878,Indices!$A$2:$A$2676,Indices!$B$2:$B$2676,"")</f>
        <v/>
      </c>
      <c r="E2878" t="str">
        <f>_xlfn.XLOOKUP(B2878,'2025-Q1'!$A$402:$A$448,'2025-Q1'!$A$402:$A$448,"avail")</f>
        <v>avail</v>
      </c>
      <c r="F2878" t="str">
        <f>_xlfn.XLOOKUP(B2878,'[2]!! -- Stock Universe 12.11.24'!$C$2:$C$1621,'[2]!! -- Stock Universe 12.11.24'!$E$2:$E$1621,"")</f>
        <v>Consumer Cyclical</v>
      </c>
    </row>
    <row r="2879" spans="1:6" x14ac:dyDescent="0.25">
      <c r="A2879" s="140">
        <v>45715.1875</v>
      </c>
      <c r="B2879" t="s">
        <v>890</v>
      </c>
      <c r="C2879" t="s">
        <v>6367</v>
      </c>
      <c r="D2879" s="6" t="str">
        <f>_xlfn.XLOOKUP(B2879,Indices!$A$2:$A$2676,Indices!$B$2:$B$2676,"")</f>
        <v>IWM</v>
      </c>
      <c r="E2879" t="str">
        <f>_xlfn.XLOOKUP(B2879,'2025-Q1'!$A$402:$A$448,'2025-Q1'!$A$402:$A$448,"avail")</f>
        <v>avail</v>
      </c>
      <c r="F2879" t="str">
        <f>_xlfn.XLOOKUP(B2879,'[2]!! -- Stock Universe 12.11.24'!$C$2:$C$1621,'[2]!! -- Stock Universe 12.11.24'!$E$2:$E$1621,"")</f>
        <v>Healthcare</v>
      </c>
    </row>
    <row r="2880" spans="1:6" x14ac:dyDescent="0.25">
      <c r="A2880" s="140">
        <v>45715.1875</v>
      </c>
      <c r="B2880" t="s">
        <v>3501</v>
      </c>
      <c r="C2880" t="s">
        <v>6367</v>
      </c>
      <c r="D2880" s="6" t="str">
        <f>_xlfn.XLOOKUP(B2880,Indices!$A$2:$A$2676,Indices!$B$2:$B$2676,"")</f>
        <v/>
      </c>
      <c r="E2880" t="str">
        <f>_xlfn.XLOOKUP(B2880,'2025-Q1'!$A$402:$A$448,'2025-Q1'!$A$402:$A$448,"avail")</f>
        <v>avail</v>
      </c>
      <c r="F2880" t="str">
        <f>_xlfn.XLOOKUP(B2880,'[2]!! -- Stock Universe 12.11.24'!$C$2:$C$1621,'[2]!! -- Stock Universe 12.11.24'!$E$2:$E$1621,"")</f>
        <v/>
      </c>
    </row>
    <row r="2881" spans="1:6" x14ac:dyDescent="0.25">
      <c r="A2881" s="140">
        <v>45715.1875</v>
      </c>
      <c r="B2881" t="s">
        <v>3452</v>
      </c>
      <c r="C2881" t="s">
        <v>6367</v>
      </c>
      <c r="D2881" s="6" t="str">
        <f>_xlfn.XLOOKUP(B2881,Indices!$A$2:$A$2676,Indices!$B$2:$B$2676,"")</f>
        <v/>
      </c>
      <c r="E2881" t="str">
        <f>_xlfn.XLOOKUP(B2881,'2025-Q1'!$A$402:$A$448,'2025-Q1'!$A$402:$A$448,"avail")</f>
        <v>avail</v>
      </c>
      <c r="F2881" t="str">
        <f>_xlfn.XLOOKUP(B2881,'[2]!! -- Stock Universe 12.11.24'!$C$2:$C$1621,'[2]!! -- Stock Universe 12.11.24'!$E$2:$E$1621,"")</f>
        <v/>
      </c>
    </row>
    <row r="2882" spans="1:6" x14ac:dyDescent="0.25">
      <c r="A2882" s="140">
        <v>45715.1875</v>
      </c>
      <c r="B2882" t="s">
        <v>1199</v>
      </c>
      <c r="C2882" t="s">
        <v>6367</v>
      </c>
      <c r="D2882" s="6" t="str">
        <f>_xlfn.XLOOKUP(B2882,Indices!$A$2:$A$2676,Indices!$B$2:$B$2676,"")</f>
        <v>SP500</v>
      </c>
      <c r="E2882" t="str">
        <f>_xlfn.XLOOKUP(B2882,'2025-Q1'!$A$402:$A$448,'2025-Q1'!$A$402:$A$448,"avail")</f>
        <v>avail</v>
      </c>
      <c r="F2882" t="str">
        <f>_xlfn.XLOOKUP(B2882,'[2]!! -- Stock Universe 12.11.24'!$C$2:$C$1621,'[2]!! -- Stock Universe 12.11.24'!$E$2:$E$1621,"")</f>
        <v>Consumer Defensive</v>
      </c>
    </row>
    <row r="2883" spans="1:6" x14ac:dyDescent="0.25">
      <c r="A2883" s="140">
        <v>45715.1875</v>
      </c>
      <c r="B2883" t="s">
        <v>558</v>
      </c>
      <c r="C2883" t="s">
        <v>6367</v>
      </c>
      <c r="D2883" s="6" t="str">
        <f>_xlfn.XLOOKUP(B2883,Indices!$A$2:$A$2676,Indices!$B$2:$B$2676,"")</f>
        <v>IWM</v>
      </c>
      <c r="E2883" t="str">
        <f>_xlfn.XLOOKUP(B2883,'2025-Q1'!$A$402:$A$448,'2025-Q1'!$A$402:$A$448,"avail")</f>
        <v>avail</v>
      </c>
      <c r="F2883" t="str">
        <f>_xlfn.XLOOKUP(B2883,'[2]!! -- Stock Universe 12.11.24'!$C$2:$C$1621,'[2]!! -- Stock Universe 12.11.24'!$E$2:$E$1621,"")</f>
        <v/>
      </c>
    </row>
    <row r="2884" spans="1:6" x14ac:dyDescent="0.25">
      <c r="A2884" s="140">
        <v>45715.1875</v>
      </c>
      <c r="B2884" t="s">
        <v>1591</v>
      </c>
      <c r="C2884" t="s">
        <v>6367</v>
      </c>
      <c r="D2884" s="6" t="str">
        <f>_xlfn.XLOOKUP(B2884,Indices!$A$2:$A$2676,Indices!$B$2:$B$2676,"")</f>
        <v>SP500</v>
      </c>
      <c r="E2884" t="str">
        <f>_xlfn.XLOOKUP(B2884,'2025-Q1'!$A$402:$A$448,'2025-Q1'!$A$402:$A$448,"avail")</f>
        <v>avail</v>
      </c>
      <c r="F2884" t="str">
        <f>_xlfn.XLOOKUP(B2884,'[2]!! -- Stock Universe 12.11.24'!$C$2:$C$1621,'[2]!! -- Stock Universe 12.11.24'!$E$2:$E$1621,"")</f>
        <v>Consumer Cyclical</v>
      </c>
    </row>
    <row r="2885" spans="1:6" x14ac:dyDescent="0.25">
      <c r="A2885" s="140">
        <v>45715.1875</v>
      </c>
      <c r="B2885" t="s">
        <v>1152</v>
      </c>
      <c r="C2885" t="s">
        <v>6367</v>
      </c>
      <c r="D2885" s="6" t="str">
        <f>_xlfn.XLOOKUP(B2885,Indices!$A$2:$A$2676,Indices!$B$2:$B$2676,"")</f>
        <v>IWM</v>
      </c>
      <c r="E2885" t="str">
        <f>_xlfn.XLOOKUP(B2885,'2025-Q1'!$A$402:$A$448,'2025-Q1'!$A$402:$A$448,"avail")</f>
        <v>avail</v>
      </c>
      <c r="F2885" t="str">
        <f>_xlfn.XLOOKUP(B2885,'[2]!! -- Stock Universe 12.11.24'!$C$2:$C$1621,'[2]!! -- Stock Universe 12.11.24'!$E$2:$E$1621,"")</f>
        <v/>
      </c>
    </row>
    <row r="2886" spans="1:6" x14ac:dyDescent="0.25">
      <c r="A2886" s="140">
        <v>45715.1875</v>
      </c>
      <c r="B2886" t="s">
        <v>3499</v>
      </c>
      <c r="C2886" t="s">
        <v>6367</v>
      </c>
      <c r="D2886" s="6" t="str">
        <f>_xlfn.XLOOKUP(B2886,Indices!$A$2:$A$2676,Indices!$B$2:$B$2676,"")</f>
        <v/>
      </c>
      <c r="E2886" t="str">
        <f>_xlfn.XLOOKUP(B2886,'2025-Q1'!$A$402:$A$448,'2025-Q1'!$A$402:$A$448,"avail")</f>
        <v>avail</v>
      </c>
      <c r="F2886" t="str">
        <f>_xlfn.XLOOKUP(B2886,'[2]!! -- Stock Universe 12.11.24'!$C$2:$C$1621,'[2]!! -- Stock Universe 12.11.24'!$E$2:$E$1621,"")</f>
        <v/>
      </c>
    </row>
    <row r="2887" spans="1:6" x14ac:dyDescent="0.25">
      <c r="A2887" s="140">
        <v>45715.1875</v>
      </c>
      <c r="B2887" t="s">
        <v>889</v>
      </c>
      <c r="C2887" t="s">
        <v>6367</v>
      </c>
      <c r="D2887" s="6" t="str">
        <f>_xlfn.XLOOKUP(B2887,Indices!$A$2:$A$2676,Indices!$B$2:$B$2676,"")</f>
        <v>IWM</v>
      </c>
      <c r="E2887" t="str">
        <f>_xlfn.XLOOKUP(B2887,'2025-Q1'!$A$402:$A$448,'2025-Q1'!$A$402:$A$448,"avail")</f>
        <v>avail</v>
      </c>
      <c r="F2887" t="str">
        <f>_xlfn.XLOOKUP(B2887,'[2]!! -- Stock Universe 12.11.24'!$C$2:$C$1621,'[2]!! -- Stock Universe 12.11.24'!$E$2:$E$1621,"")</f>
        <v>Industrials</v>
      </c>
    </row>
    <row r="2888" spans="1:6" x14ac:dyDescent="0.25">
      <c r="A2888" s="140">
        <v>45715.1875</v>
      </c>
      <c r="B2888" t="s">
        <v>557</v>
      </c>
      <c r="C2888" t="s">
        <v>6367</v>
      </c>
      <c r="D2888" s="6" t="str">
        <f>_xlfn.XLOOKUP(B2888,Indices!$A$2:$A$2676,Indices!$B$2:$B$2676,"")</f>
        <v>IWM</v>
      </c>
      <c r="E2888" t="str">
        <f>_xlfn.XLOOKUP(B2888,'2025-Q1'!$A$402:$A$448,'2025-Q1'!$A$402:$A$448,"avail")</f>
        <v>avail</v>
      </c>
      <c r="F2888" t="str">
        <f>_xlfn.XLOOKUP(B2888,'[2]!! -- Stock Universe 12.11.24'!$C$2:$C$1621,'[2]!! -- Stock Universe 12.11.24'!$E$2:$E$1621,"")</f>
        <v/>
      </c>
    </row>
    <row r="2889" spans="1:6" x14ac:dyDescent="0.25">
      <c r="A2889" s="140">
        <v>45715.1875</v>
      </c>
      <c r="B2889" t="s">
        <v>3496</v>
      </c>
      <c r="C2889" t="s">
        <v>6367</v>
      </c>
      <c r="D2889" s="6" t="str">
        <f>_xlfn.XLOOKUP(B2889,Indices!$A$2:$A$2676,Indices!$B$2:$B$2676,"")</f>
        <v/>
      </c>
      <c r="E2889" t="str">
        <f>_xlfn.XLOOKUP(B2889,'2025-Q1'!$A$402:$A$448,'2025-Q1'!$A$402:$A$448,"avail")</f>
        <v>avail</v>
      </c>
      <c r="F2889" t="str">
        <f>_xlfn.XLOOKUP(B2889,'[2]!! -- Stock Universe 12.11.24'!$C$2:$C$1621,'[2]!! -- Stock Universe 12.11.24'!$E$2:$E$1621,"")</f>
        <v/>
      </c>
    </row>
    <row r="2890" spans="1:6" x14ac:dyDescent="0.25">
      <c r="A2890" s="140">
        <v>45715.1875</v>
      </c>
      <c r="B2890" t="s">
        <v>929</v>
      </c>
      <c r="C2890" t="s">
        <v>6367</v>
      </c>
      <c r="D2890" s="6" t="str">
        <f>_xlfn.XLOOKUP(B2890,Indices!$A$2:$A$2676,Indices!$B$2:$B$2676,"")</f>
        <v>IWM</v>
      </c>
      <c r="E2890" t="str">
        <f>_xlfn.XLOOKUP(B2890,'2025-Q1'!$A$402:$A$448,'2025-Q1'!$A$402:$A$448,"avail")</f>
        <v>avail</v>
      </c>
      <c r="F2890" t="str">
        <f>_xlfn.XLOOKUP(B2890,'[2]!! -- Stock Universe 12.11.24'!$C$2:$C$1621,'[2]!! -- Stock Universe 12.11.24'!$E$2:$E$1621,"")</f>
        <v>Technology</v>
      </c>
    </row>
    <row r="2891" spans="1:6" x14ac:dyDescent="0.25">
      <c r="A2891" s="140">
        <v>45715.1875</v>
      </c>
      <c r="B2891" t="s">
        <v>2072</v>
      </c>
      <c r="C2891" t="s">
        <v>6367</v>
      </c>
      <c r="D2891" s="6" t="str">
        <f>_xlfn.XLOOKUP(B2891,Indices!$A$2:$A$2676,Indices!$B$2:$B$2676,"")</f>
        <v>IWM</v>
      </c>
      <c r="E2891" t="str">
        <f>_xlfn.XLOOKUP(B2891,'2025-Q1'!$A$402:$A$448,'2025-Q1'!$A$402:$A$448,"avail")</f>
        <v>avail</v>
      </c>
      <c r="F2891" t="str">
        <f>_xlfn.XLOOKUP(B2891,'[2]!! -- Stock Universe 12.11.24'!$C$2:$C$1621,'[2]!! -- Stock Universe 12.11.24'!$E$2:$E$1621,"")</f>
        <v/>
      </c>
    </row>
    <row r="2892" spans="1:6" x14ac:dyDescent="0.25">
      <c r="A2892" s="140">
        <v>45715.190972222219</v>
      </c>
      <c r="B2892" t="s">
        <v>3598</v>
      </c>
      <c r="C2892" t="s">
        <v>6368</v>
      </c>
      <c r="D2892" s="6" t="str">
        <f>_xlfn.XLOOKUP(B2892,Indices!$A$2:$A$2676,Indices!$B$2:$B$2676,"")</f>
        <v/>
      </c>
      <c r="E2892" t="str">
        <f>_xlfn.XLOOKUP(B2892,'2025-Q1'!$A$402:$A$448,'2025-Q1'!$A$402:$A$448,"avail")</f>
        <v>avail</v>
      </c>
      <c r="F2892" t="str">
        <f>_xlfn.XLOOKUP(B2892,'[2]!! -- Stock Universe 12.11.24'!$C$2:$C$1621,'[2]!! -- Stock Universe 12.11.24'!$E$2:$E$1621,"")</f>
        <v/>
      </c>
    </row>
    <row r="2893" spans="1:6" x14ac:dyDescent="0.25">
      <c r="A2893" s="140">
        <v>45715.193749999999</v>
      </c>
      <c r="B2893" t="s">
        <v>1602</v>
      </c>
      <c r="C2893" t="s">
        <v>6369</v>
      </c>
      <c r="D2893" s="6" t="str">
        <f>_xlfn.XLOOKUP(B2893,Indices!$A$2:$A$2676,Indices!$B$2:$B$2676,"")</f>
        <v>SP500</v>
      </c>
      <c r="E2893" t="str">
        <f>_xlfn.XLOOKUP(B2893,'2025-Q1'!$A$402:$A$448,'2025-Q1'!$A$402:$A$448,"avail")</f>
        <v>avail</v>
      </c>
      <c r="F2893" t="str">
        <f>_xlfn.XLOOKUP(B2893,'[2]!! -- Stock Universe 12.11.24'!$C$2:$C$1621,'[2]!! -- Stock Universe 12.11.24'!$E$2:$E$1621,"")</f>
        <v/>
      </c>
    </row>
    <row r="2894" spans="1:6" x14ac:dyDescent="0.25">
      <c r="A2894" s="140">
        <v>45715.197916666664</v>
      </c>
      <c r="B2894" t="s">
        <v>565</v>
      </c>
      <c r="C2894" t="s">
        <v>6370</v>
      </c>
      <c r="D2894" s="6" t="str">
        <f>_xlfn.XLOOKUP(B2894,Indices!$A$2:$A$2676,Indices!$B$2:$B$2676,"")</f>
        <v>IWM</v>
      </c>
      <c r="E2894" t="str">
        <f>_xlfn.XLOOKUP(B2894,'2025-Q1'!$A$402:$A$448,'2025-Q1'!$A$402:$A$448,"avail")</f>
        <v>avail</v>
      </c>
      <c r="F2894" t="str">
        <f>_xlfn.XLOOKUP(B2894,'[2]!! -- Stock Universe 12.11.24'!$C$2:$C$1621,'[2]!! -- Stock Universe 12.11.24'!$E$2:$E$1621,"")</f>
        <v>Energy</v>
      </c>
    </row>
    <row r="2895" spans="1:6" x14ac:dyDescent="0.25">
      <c r="A2895" s="140">
        <v>45715.197916666664</v>
      </c>
      <c r="B2895" t="s">
        <v>3537</v>
      </c>
      <c r="C2895" t="s">
        <v>6370</v>
      </c>
      <c r="D2895" s="6" t="str">
        <f>_xlfn.XLOOKUP(B2895,Indices!$A$2:$A$2676,Indices!$B$2:$B$2676,"")</f>
        <v/>
      </c>
      <c r="E2895" t="str">
        <f>_xlfn.XLOOKUP(B2895,'2025-Q1'!$A$402:$A$448,'2025-Q1'!$A$402:$A$448,"avail")</f>
        <v>avail</v>
      </c>
      <c r="F2895" t="str">
        <f>_xlfn.XLOOKUP(B2895,'[2]!! -- Stock Universe 12.11.24'!$C$2:$C$1621,'[2]!! -- Stock Universe 12.11.24'!$E$2:$E$1621,"")</f>
        <v/>
      </c>
    </row>
    <row r="2896" spans="1:6" x14ac:dyDescent="0.25">
      <c r="A2896" s="140">
        <v>45715.197916666664</v>
      </c>
      <c r="B2896" t="s">
        <v>1938</v>
      </c>
      <c r="C2896" t="s">
        <v>6370</v>
      </c>
      <c r="D2896" s="6" t="str">
        <f>_xlfn.XLOOKUP(B2896,Indices!$A$2:$A$2676,Indices!$B$2:$B$2676,"")</f>
        <v>IWM</v>
      </c>
      <c r="E2896" t="str">
        <f>_xlfn.XLOOKUP(B2896,'2025-Q1'!$A$402:$A$448,'2025-Q1'!$A$402:$A$448,"avail")</f>
        <v>avail</v>
      </c>
      <c r="F2896" t="str">
        <f>_xlfn.XLOOKUP(B2896,'[2]!! -- Stock Universe 12.11.24'!$C$2:$C$1621,'[2]!! -- Stock Universe 12.11.24'!$E$2:$E$1621,"")</f>
        <v>Consumer Cyclical</v>
      </c>
    </row>
    <row r="2897" spans="1:6" x14ac:dyDescent="0.25">
      <c r="A2897" s="140">
        <v>45715.197916666664</v>
      </c>
      <c r="B2897" t="s">
        <v>572</v>
      </c>
      <c r="C2897" t="s">
        <v>6370</v>
      </c>
      <c r="D2897" s="6" t="str">
        <f>_xlfn.XLOOKUP(B2897,Indices!$A$2:$A$2676,Indices!$B$2:$B$2676,"")</f>
        <v>IWM</v>
      </c>
      <c r="E2897" t="str">
        <f>_xlfn.XLOOKUP(B2897,'2025-Q1'!$A$402:$A$448,'2025-Q1'!$A$402:$A$448,"avail")</f>
        <v>avail</v>
      </c>
      <c r="F2897" t="str">
        <f>_xlfn.XLOOKUP(B2897,'[2]!! -- Stock Universe 12.11.24'!$C$2:$C$1621,'[2]!! -- Stock Universe 12.11.24'!$E$2:$E$1621,"")</f>
        <v>Healthcare</v>
      </c>
    </row>
    <row r="2898" spans="1:6" x14ac:dyDescent="0.25">
      <c r="A2898" s="140">
        <v>45715.197916666664</v>
      </c>
      <c r="B2898" t="s">
        <v>579</v>
      </c>
      <c r="C2898" t="s">
        <v>6370</v>
      </c>
      <c r="D2898" s="6" t="str">
        <f>_xlfn.XLOOKUP(B2898,Indices!$A$2:$A$2676,Indices!$B$2:$B$2676,"")</f>
        <v>SP500</v>
      </c>
      <c r="E2898" t="str">
        <f>_xlfn.XLOOKUP(B2898,'2025-Q1'!$A$402:$A$448,'2025-Q1'!$A$402:$A$448,"avail")</f>
        <v>avail</v>
      </c>
      <c r="F2898" t="str">
        <f>_xlfn.XLOOKUP(B2898,'[2]!! -- Stock Universe 12.11.24'!$C$2:$C$1621,'[2]!! -- Stock Universe 12.11.24'!$E$2:$E$1621,"")</f>
        <v>Healthcare</v>
      </c>
    </row>
    <row r="2899" spans="1:6" x14ac:dyDescent="0.25">
      <c r="A2899" s="140">
        <v>45715.197916666664</v>
      </c>
      <c r="B2899" t="s">
        <v>3486</v>
      </c>
      <c r="C2899" t="s">
        <v>6370</v>
      </c>
      <c r="D2899" s="6" t="str">
        <f>_xlfn.XLOOKUP(B2899,Indices!$A$2:$A$2676,Indices!$B$2:$B$2676,"")</f>
        <v/>
      </c>
      <c r="E2899" t="str">
        <f>_xlfn.XLOOKUP(B2899,'2025-Q1'!$A$402:$A$448,'2025-Q1'!$A$402:$A$448,"avail")</f>
        <v>avail</v>
      </c>
      <c r="F2899" t="str">
        <f>_xlfn.XLOOKUP(B2899,'[2]!! -- Stock Universe 12.11.24'!$C$2:$C$1621,'[2]!! -- Stock Universe 12.11.24'!$E$2:$E$1621,"")</f>
        <v>Energy</v>
      </c>
    </row>
    <row r="2900" spans="1:6" x14ac:dyDescent="0.25">
      <c r="A2900" s="140">
        <v>45715.197916666664</v>
      </c>
      <c r="B2900" t="s">
        <v>559</v>
      </c>
      <c r="C2900" t="s">
        <v>6370</v>
      </c>
      <c r="D2900" s="6" t="str">
        <f>_xlfn.XLOOKUP(B2900,Indices!$A$2:$A$2676,Indices!$B$2:$B$2676,"")</f>
        <v>IWM</v>
      </c>
      <c r="E2900" t="str">
        <f>_xlfn.XLOOKUP(B2900,'2025-Q1'!$A$402:$A$448,'2025-Q1'!$A$402:$A$448,"avail")</f>
        <v>avail</v>
      </c>
      <c r="F2900" t="str">
        <f>_xlfn.XLOOKUP(B2900,'[2]!! -- Stock Universe 12.11.24'!$C$2:$C$1621,'[2]!! -- Stock Universe 12.11.24'!$E$2:$E$1621,"")</f>
        <v>Technology</v>
      </c>
    </row>
    <row r="2901" spans="1:6" x14ac:dyDescent="0.25">
      <c r="A2901" s="140">
        <v>45715.197916666664</v>
      </c>
      <c r="B2901" t="s">
        <v>2822</v>
      </c>
      <c r="C2901" t="s">
        <v>6370</v>
      </c>
      <c r="D2901" s="6" t="str">
        <f>_xlfn.XLOOKUP(B2901,Indices!$A$2:$A$2676,Indices!$B$2:$B$2676,"")</f>
        <v/>
      </c>
      <c r="E2901" t="str">
        <f>_xlfn.XLOOKUP(B2901,'2025-Q1'!$A$402:$A$448,'2025-Q1'!$A$402:$A$448,"avail")</f>
        <v>avail</v>
      </c>
      <c r="F2901" t="str">
        <f>_xlfn.XLOOKUP(B2901,'[2]!! -- Stock Universe 12.11.24'!$C$2:$C$1621,'[2]!! -- Stock Universe 12.11.24'!$E$2:$E$1621,"")</f>
        <v/>
      </c>
    </row>
    <row r="2902" spans="1:6" x14ac:dyDescent="0.25">
      <c r="A2902" s="140">
        <v>45715.20416666667</v>
      </c>
      <c r="B2902" t="s">
        <v>887</v>
      </c>
      <c r="C2902" t="s">
        <v>6371</v>
      </c>
      <c r="D2902" s="6" t="str">
        <f>_xlfn.XLOOKUP(B2902,Indices!$A$2:$A$2676,Indices!$B$2:$B$2676,"")</f>
        <v>IWM</v>
      </c>
      <c r="E2902" t="str">
        <f>_xlfn.XLOOKUP(B2902,'2025-Q1'!$A$402:$A$448,'2025-Q1'!$A$402:$A$448,"avail")</f>
        <v>avail</v>
      </c>
      <c r="F2902" t="str">
        <f>_xlfn.XLOOKUP(B2902,'[2]!! -- Stock Universe 12.11.24'!$C$2:$C$1621,'[2]!! -- Stock Universe 12.11.24'!$E$2:$E$1621,"")</f>
        <v/>
      </c>
    </row>
    <row r="2903" spans="1:6" x14ac:dyDescent="0.25">
      <c r="A2903" s="140">
        <v>45715.204861111109</v>
      </c>
      <c r="B2903" t="s">
        <v>3366</v>
      </c>
      <c r="C2903" t="s">
        <v>6372</v>
      </c>
      <c r="D2903" s="6" t="str">
        <f>_xlfn.XLOOKUP(B2903,Indices!$A$2:$A$2676,Indices!$B$2:$B$2676,"")</f>
        <v/>
      </c>
      <c r="E2903" t="str">
        <f>_xlfn.XLOOKUP(B2903,'2025-Q1'!$A$402:$A$448,'2025-Q1'!$A$402:$A$448,"avail")</f>
        <v>avail</v>
      </c>
      <c r="F2903" t="str">
        <f>_xlfn.XLOOKUP(B2903,'[2]!! -- Stock Universe 12.11.24'!$C$2:$C$1621,'[2]!! -- Stock Universe 12.11.24'!$E$2:$E$1621,"")</f>
        <v>Industrials</v>
      </c>
    </row>
    <row r="2904" spans="1:6" x14ac:dyDescent="0.25">
      <c r="A2904" s="140">
        <v>45715.207638888889</v>
      </c>
      <c r="B2904" t="s">
        <v>578</v>
      </c>
      <c r="C2904" t="s">
        <v>6373</v>
      </c>
      <c r="D2904" s="6" t="str">
        <f>_xlfn.XLOOKUP(B2904,Indices!$A$2:$A$2676,Indices!$B$2:$B$2676,"")</f>
        <v>IWM</v>
      </c>
      <c r="E2904" t="str">
        <f>_xlfn.XLOOKUP(B2904,'2025-Q1'!$A$402:$A$448,'2025-Q1'!$A$402:$A$448,"avail")</f>
        <v>avail</v>
      </c>
      <c r="F2904" t="str">
        <f>_xlfn.XLOOKUP(B2904,'[2]!! -- Stock Universe 12.11.24'!$C$2:$C$1621,'[2]!! -- Stock Universe 12.11.24'!$E$2:$E$1621,"")</f>
        <v/>
      </c>
    </row>
    <row r="2905" spans="1:6" x14ac:dyDescent="0.25">
      <c r="A2905" s="140">
        <v>45715.207638888889</v>
      </c>
      <c r="B2905" t="s">
        <v>3478</v>
      </c>
      <c r="C2905" t="s">
        <v>6373</v>
      </c>
      <c r="D2905" s="6" t="str">
        <f>_xlfn.XLOOKUP(B2905,Indices!$A$2:$A$2676,Indices!$B$2:$B$2676,"")</f>
        <v/>
      </c>
      <c r="E2905" t="str">
        <f>_xlfn.XLOOKUP(B2905,'2025-Q1'!$A$402:$A$448,'2025-Q1'!$A$402:$A$448,"avail")</f>
        <v>avail</v>
      </c>
      <c r="F2905" t="str">
        <f>_xlfn.XLOOKUP(B2905,'[2]!! -- Stock Universe 12.11.24'!$C$2:$C$1621,'[2]!! -- Stock Universe 12.11.24'!$E$2:$E$1621,"")</f>
        <v>Healthcare</v>
      </c>
    </row>
    <row r="2906" spans="1:6" x14ac:dyDescent="0.25">
      <c r="A2906" s="140">
        <v>45715.208333333336</v>
      </c>
      <c r="B2906" t="s">
        <v>517</v>
      </c>
      <c r="C2906" t="s">
        <v>6374</v>
      </c>
      <c r="D2906" s="6" t="str">
        <f>_xlfn.XLOOKUP(B2906,Indices!$A$2:$A$2676,Indices!$B$2:$B$2676,"")</f>
        <v>SP500</v>
      </c>
      <c r="E2906" t="str">
        <f>_xlfn.XLOOKUP(B2906,'2025-Q1'!$A$402:$A$448,'2025-Q1'!$A$402:$A$448,"avail")</f>
        <v>avail</v>
      </c>
      <c r="F2906" t="str">
        <f>_xlfn.XLOOKUP(B2906,'[2]!! -- Stock Universe 12.11.24'!$C$2:$C$1621,'[2]!! -- Stock Universe 12.11.24'!$E$2:$E$1621,"")</f>
        <v>Communication Services</v>
      </c>
    </row>
    <row r="2907" spans="1:6" x14ac:dyDescent="0.25">
      <c r="A2907" s="140">
        <v>45715.208333333336</v>
      </c>
      <c r="B2907" t="s">
        <v>4025</v>
      </c>
      <c r="C2907" t="s">
        <v>6374</v>
      </c>
      <c r="D2907" s="6" t="str">
        <f>_xlfn.XLOOKUP(B2907,Indices!$A$2:$A$2676,Indices!$B$2:$B$2676,"")</f>
        <v/>
      </c>
      <c r="E2907" t="str">
        <f>_xlfn.XLOOKUP(B2907,'2025-Q1'!$A$402:$A$448,'2025-Q1'!$A$402:$A$448,"avail")</f>
        <v>avail</v>
      </c>
      <c r="F2907" t="str">
        <f>_xlfn.XLOOKUP(B2907,'[2]!! -- Stock Universe 12.11.24'!$C$2:$C$1621,'[2]!! -- Stock Universe 12.11.24'!$E$2:$E$1621,"")</f>
        <v/>
      </c>
    </row>
    <row r="2908" spans="1:6" x14ac:dyDescent="0.25">
      <c r="A2908" s="140">
        <v>45715.208333333336</v>
      </c>
      <c r="B2908" t="s">
        <v>586</v>
      </c>
      <c r="C2908" t="s">
        <v>6374</v>
      </c>
      <c r="D2908" s="6" t="str">
        <f>_xlfn.XLOOKUP(B2908,Indices!$A$2:$A$2676,Indices!$B$2:$B$2676,"")</f>
        <v>S&amp;P Mid</v>
      </c>
      <c r="E2908" t="str">
        <f>_xlfn.XLOOKUP(B2908,'2025-Q1'!$A$402:$A$448,'2025-Q1'!$A$402:$A$448,"avail")</f>
        <v>avail</v>
      </c>
      <c r="F2908" t="str">
        <f>_xlfn.XLOOKUP(B2908,'[2]!! -- Stock Universe 12.11.24'!$C$2:$C$1621,'[2]!! -- Stock Universe 12.11.24'!$E$2:$E$1621,"")</f>
        <v/>
      </c>
    </row>
    <row r="2909" spans="1:6" x14ac:dyDescent="0.25">
      <c r="A2909" s="140">
        <v>45715.208333333336</v>
      </c>
      <c r="B2909" t="s">
        <v>1157</v>
      </c>
      <c r="C2909" t="s">
        <v>6374</v>
      </c>
      <c r="D2909" s="6" t="str">
        <f>_xlfn.XLOOKUP(B2909,Indices!$A$2:$A$2676,Indices!$B$2:$B$2676,"")</f>
        <v>SP500</v>
      </c>
      <c r="E2909" t="str">
        <f>_xlfn.XLOOKUP(B2909,'2025-Q1'!$A$402:$A$448,'2025-Q1'!$A$402:$A$448,"avail")</f>
        <v>avail</v>
      </c>
      <c r="F2909" t="str">
        <f>_xlfn.XLOOKUP(B2909,'[2]!! -- Stock Universe 12.11.24'!$C$2:$C$1621,'[2]!! -- Stock Universe 12.11.24'!$E$2:$E$1621,"")</f>
        <v>Consumer Defensive</v>
      </c>
    </row>
    <row r="2910" spans="1:6" x14ac:dyDescent="0.25">
      <c r="A2910" s="140">
        <v>45715.208333333336</v>
      </c>
      <c r="B2910" t="s">
        <v>1893</v>
      </c>
      <c r="C2910" t="s">
        <v>6374</v>
      </c>
      <c r="D2910" s="6" t="str">
        <f>_xlfn.XLOOKUP(B2910,Indices!$A$2:$A$2676,Indices!$B$2:$B$2676,"")</f>
        <v>IWM</v>
      </c>
      <c r="E2910" t="str">
        <f>_xlfn.XLOOKUP(B2910,'2025-Q1'!$A$402:$A$448,'2025-Q1'!$A$402:$A$448,"avail")</f>
        <v>avail</v>
      </c>
      <c r="F2910" t="str">
        <f>_xlfn.XLOOKUP(B2910,'[2]!! -- Stock Universe 12.11.24'!$C$2:$C$1621,'[2]!! -- Stock Universe 12.11.24'!$E$2:$E$1621,"")</f>
        <v/>
      </c>
    </row>
    <row r="2911" spans="1:6" x14ac:dyDescent="0.25">
      <c r="A2911" s="140">
        <v>45715.208333333336</v>
      </c>
      <c r="B2911" t="s">
        <v>191</v>
      </c>
      <c r="C2911" t="s">
        <v>6374</v>
      </c>
      <c r="D2911" s="6" t="str">
        <f>_xlfn.XLOOKUP(B2911,Indices!$A$2:$A$2676,Indices!$B$2:$B$2676,"")</f>
        <v>IWM</v>
      </c>
      <c r="E2911" t="str">
        <f>_xlfn.XLOOKUP(B2911,'2025-Q1'!$A$402:$A$448,'2025-Q1'!$A$402:$A$448,"avail")</f>
        <v>avail</v>
      </c>
      <c r="F2911" t="str">
        <f>_xlfn.XLOOKUP(B2911,'[2]!! -- Stock Universe 12.11.24'!$C$2:$C$1621,'[2]!! -- Stock Universe 12.11.24'!$E$2:$E$1621,"")</f>
        <v/>
      </c>
    </row>
    <row r="2912" spans="1:6" x14ac:dyDescent="0.25">
      <c r="A2912" s="140">
        <v>45715.208333333336</v>
      </c>
      <c r="B2912" t="s">
        <v>299</v>
      </c>
      <c r="C2912" t="s">
        <v>6374</v>
      </c>
      <c r="D2912" s="6" t="str">
        <f>_xlfn.XLOOKUP(B2912,Indices!$A$2:$A$2676,Indices!$B$2:$B$2676,"")</f>
        <v>S&amp;P Mid</v>
      </c>
      <c r="E2912" t="str">
        <f>_xlfn.XLOOKUP(B2912,'2025-Q1'!$A$402:$A$448,'2025-Q1'!$A$402:$A$448,"avail")</f>
        <v>avail</v>
      </c>
      <c r="F2912" t="str">
        <f>_xlfn.XLOOKUP(B2912,'[2]!! -- Stock Universe 12.11.24'!$C$2:$C$1621,'[2]!! -- Stock Universe 12.11.24'!$E$2:$E$1621,"")</f>
        <v/>
      </c>
    </row>
    <row r="2913" spans="1:6" x14ac:dyDescent="0.25">
      <c r="A2913" s="140">
        <v>45715.208333333336</v>
      </c>
      <c r="B2913" t="s">
        <v>595</v>
      </c>
      <c r="C2913" t="s">
        <v>6374</v>
      </c>
      <c r="D2913" s="6" t="str">
        <f>_xlfn.XLOOKUP(B2913,Indices!$A$2:$A$2676,Indices!$B$2:$B$2676,"")</f>
        <v>IWM</v>
      </c>
      <c r="E2913" t="str">
        <f>_xlfn.XLOOKUP(B2913,'2025-Q1'!$A$402:$A$448,'2025-Q1'!$A$402:$A$448,"avail")</f>
        <v>avail</v>
      </c>
      <c r="F2913" t="str">
        <f>_xlfn.XLOOKUP(B2913,'[2]!! -- Stock Universe 12.11.24'!$C$2:$C$1621,'[2]!! -- Stock Universe 12.11.24'!$E$2:$E$1621,"")</f>
        <v>Healthcare</v>
      </c>
    </row>
    <row r="2914" spans="1:6" x14ac:dyDescent="0.25">
      <c r="A2914" s="140">
        <v>45715.208333333336</v>
      </c>
      <c r="B2914" t="s">
        <v>833</v>
      </c>
      <c r="C2914" t="s">
        <v>6374</v>
      </c>
      <c r="D2914" s="6" t="str">
        <f>_xlfn.XLOOKUP(B2914,Indices!$A$2:$A$2676,Indices!$B$2:$B$2676,"")</f>
        <v>IWM</v>
      </c>
      <c r="E2914" t="str">
        <f>_xlfn.XLOOKUP(B2914,'2025-Q1'!$A$402:$A$448,'2025-Q1'!$A$402:$A$448,"avail")</f>
        <v>avail</v>
      </c>
      <c r="F2914" t="str">
        <f>_xlfn.XLOOKUP(B2914,'[2]!! -- Stock Universe 12.11.24'!$C$2:$C$1621,'[2]!! -- Stock Universe 12.11.24'!$E$2:$E$1621,"")</f>
        <v/>
      </c>
    </row>
    <row r="2915" spans="1:6" x14ac:dyDescent="0.25">
      <c r="A2915" s="140">
        <v>45715.208333333336</v>
      </c>
      <c r="B2915" t="s">
        <v>598</v>
      </c>
      <c r="C2915" t="s">
        <v>6374</v>
      </c>
      <c r="D2915" s="6" t="str">
        <f>_xlfn.XLOOKUP(B2915,Indices!$A$2:$A$2676,Indices!$B$2:$B$2676,"")</f>
        <v>SP500</v>
      </c>
      <c r="E2915" t="str">
        <f>_xlfn.XLOOKUP(B2915,'2025-Q1'!$A$402:$A$448,'2025-Q1'!$A$402:$A$448,"avail")</f>
        <v>avail</v>
      </c>
      <c r="F2915" t="str">
        <f>_xlfn.XLOOKUP(B2915,'[2]!! -- Stock Universe 12.11.24'!$C$2:$C$1621,'[2]!! -- Stock Universe 12.11.24'!$E$2:$E$1621,"")</f>
        <v>Utilities</v>
      </c>
    </row>
    <row r="2916" spans="1:6" x14ac:dyDescent="0.25">
      <c r="A2916" s="140">
        <v>45715.208333333336</v>
      </c>
      <c r="B2916" t="s">
        <v>3505</v>
      </c>
      <c r="C2916" t="s">
        <v>6374</v>
      </c>
      <c r="D2916" s="6" t="str">
        <f>_xlfn.XLOOKUP(B2916,Indices!$A$2:$A$2676,Indices!$B$2:$B$2676,"")</f>
        <v/>
      </c>
      <c r="E2916" t="str">
        <f>_xlfn.XLOOKUP(B2916,'2025-Q1'!$A$402:$A$448,'2025-Q1'!$A$402:$A$448,"avail")</f>
        <v>avail</v>
      </c>
      <c r="F2916" t="str">
        <f>_xlfn.XLOOKUP(B2916,'[2]!! -- Stock Universe 12.11.24'!$C$2:$C$1621,'[2]!! -- Stock Universe 12.11.24'!$E$2:$E$1621,"")</f>
        <v/>
      </c>
    </row>
    <row r="2917" spans="1:6" x14ac:dyDescent="0.25">
      <c r="A2917" s="140">
        <v>45715.208333333336</v>
      </c>
      <c r="B2917" t="s">
        <v>193</v>
      </c>
      <c r="C2917" t="s">
        <v>6374</v>
      </c>
      <c r="D2917" s="6" t="str">
        <f>_xlfn.XLOOKUP(B2917,Indices!$A$2:$A$2676,Indices!$B$2:$B$2676,"")</f>
        <v>S&amp;P Mid</v>
      </c>
      <c r="E2917" t="str">
        <f>_xlfn.XLOOKUP(B2917,'2025-Q1'!$A$402:$A$448,'2025-Q1'!$A$402:$A$448,"avail")</f>
        <v>avail</v>
      </c>
      <c r="F2917" t="str">
        <f>_xlfn.XLOOKUP(B2917,'[2]!! -- Stock Universe 12.11.24'!$C$2:$C$1621,'[2]!! -- Stock Universe 12.11.24'!$E$2:$E$1621,"")</f>
        <v>Healthcare</v>
      </c>
    </row>
    <row r="2918" spans="1:6" x14ac:dyDescent="0.25">
      <c r="A2918" s="140">
        <v>45715.208333333336</v>
      </c>
      <c r="B2918" t="s">
        <v>3442</v>
      </c>
      <c r="C2918" t="s">
        <v>6374</v>
      </c>
      <c r="D2918" s="6" t="str">
        <f>_xlfn.XLOOKUP(B2918,Indices!$A$2:$A$2676,Indices!$B$2:$B$2676,"")</f>
        <v/>
      </c>
      <c r="E2918" t="str">
        <f>_xlfn.XLOOKUP(B2918,'2025-Q1'!$A$402:$A$448,'2025-Q1'!$A$402:$A$448,"avail")</f>
        <v>avail</v>
      </c>
      <c r="F2918" t="str">
        <f>_xlfn.XLOOKUP(B2918,'[2]!! -- Stock Universe 12.11.24'!$C$2:$C$1621,'[2]!! -- Stock Universe 12.11.24'!$E$2:$E$1621,"")</f>
        <v/>
      </c>
    </row>
    <row r="2919" spans="1:6" x14ac:dyDescent="0.25">
      <c r="A2919" s="140">
        <v>45715.208333333336</v>
      </c>
      <c r="B2919" t="s">
        <v>1876</v>
      </c>
      <c r="C2919" t="s">
        <v>6374</v>
      </c>
      <c r="D2919" s="6" t="str">
        <f>_xlfn.XLOOKUP(B2919,Indices!$A$2:$A$2676,Indices!$B$2:$B$2676,"")</f>
        <v>IWM</v>
      </c>
      <c r="E2919" t="str">
        <f>_xlfn.XLOOKUP(B2919,'2025-Q1'!$A$402:$A$448,'2025-Q1'!$A$402:$A$448,"avail")</f>
        <v>avail</v>
      </c>
      <c r="F2919" t="str">
        <f>_xlfn.XLOOKUP(B2919,'[2]!! -- Stock Universe 12.11.24'!$C$2:$C$1621,'[2]!! -- Stock Universe 12.11.24'!$E$2:$E$1621,"")</f>
        <v/>
      </c>
    </row>
    <row r="2920" spans="1:6" x14ac:dyDescent="0.25">
      <c r="A2920" s="140">
        <v>45715.208333333336</v>
      </c>
      <c r="B2920" t="s">
        <v>665</v>
      </c>
      <c r="C2920" t="s">
        <v>6374</v>
      </c>
      <c r="D2920" s="6" t="str">
        <f>_xlfn.XLOOKUP(B2920,Indices!$A$2:$A$2676,Indices!$B$2:$B$2676,"")</f>
        <v>S&amp;P Mid</v>
      </c>
      <c r="E2920" t="str">
        <f>_xlfn.XLOOKUP(B2920,'2025-Q1'!$A$402:$A$448,'2025-Q1'!$A$402:$A$448,"avail")</f>
        <v>avail</v>
      </c>
      <c r="F2920" t="str">
        <f>_xlfn.XLOOKUP(B2920,'[2]!! -- Stock Universe 12.11.24'!$C$2:$C$1621,'[2]!! -- Stock Universe 12.11.24'!$E$2:$E$1621,"")</f>
        <v/>
      </c>
    </row>
    <row r="2921" spans="1:6" x14ac:dyDescent="0.25">
      <c r="A2921" s="140">
        <v>45715.208333333336</v>
      </c>
      <c r="B2921" t="s">
        <v>608</v>
      </c>
      <c r="C2921" t="s">
        <v>6374</v>
      </c>
      <c r="D2921" s="6" t="str">
        <f>_xlfn.XLOOKUP(B2921,Indices!$A$2:$A$2676,Indices!$B$2:$B$2676,"")</f>
        <v>IWM</v>
      </c>
      <c r="E2921" t="str">
        <f>_xlfn.XLOOKUP(B2921,'2025-Q1'!$A$402:$A$448,'2025-Q1'!$A$402:$A$448,"avail")</f>
        <v>avail</v>
      </c>
      <c r="F2921" t="str">
        <f>_xlfn.XLOOKUP(B2921,'[2]!! -- Stock Universe 12.11.24'!$C$2:$C$1621,'[2]!! -- Stock Universe 12.11.24'!$E$2:$E$1621,"")</f>
        <v/>
      </c>
    </row>
    <row r="2922" spans="1:6" x14ac:dyDescent="0.25">
      <c r="A2922" s="140">
        <v>45715.208333333336</v>
      </c>
      <c r="B2922" t="s">
        <v>599</v>
      </c>
      <c r="C2922" t="s">
        <v>6374</v>
      </c>
      <c r="D2922" s="6" t="str">
        <f>_xlfn.XLOOKUP(B2922,Indices!$A$2:$A$2676,Indices!$B$2:$B$2676,"")</f>
        <v>IWM</v>
      </c>
      <c r="E2922" t="str">
        <f>_xlfn.XLOOKUP(B2922,'2025-Q1'!$A$402:$A$448,'2025-Q1'!$A$402:$A$448,"avail")</f>
        <v>avail</v>
      </c>
      <c r="F2922" t="str">
        <f>_xlfn.XLOOKUP(B2922,'[2]!! -- Stock Universe 12.11.24'!$C$2:$C$1621,'[2]!! -- Stock Universe 12.11.24'!$E$2:$E$1621,"")</f>
        <v>Consumer Cyclical</v>
      </c>
    </row>
    <row r="2923" spans="1:6" x14ac:dyDescent="0.25">
      <c r="A2923" s="140">
        <v>45715.208333333336</v>
      </c>
      <c r="B2923" t="s">
        <v>3576</v>
      </c>
      <c r="C2923" t="s">
        <v>6374</v>
      </c>
      <c r="D2923" s="6" t="str">
        <f>_xlfn.XLOOKUP(B2923,Indices!$A$2:$A$2676,Indices!$B$2:$B$2676,"")</f>
        <v/>
      </c>
      <c r="E2923" t="str">
        <f>_xlfn.XLOOKUP(B2923,'2025-Q1'!$A$402:$A$448,'2025-Q1'!$A$402:$A$448,"avail")</f>
        <v>avail</v>
      </c>
      <c r="F2923" t="str">
        <f>_xlfn.XLOOKUP(B2923,'[2]!! -- Stock Universe 12.11.24'!$C$2:$C$1621,'[2]!! -- Stock Universe 12.11.24'!$E$2:$E$1621,"")</f>
        <v/>
      </c>
    </row>
    <row r="2924" spans="1:6" x14ac:dyDescent="0.25">
      <c r="A2924" s="140">
        <v>45715.208333333336</v>
      </c>
      <c r="B2924" t="s">
        <v>3591</v>
      </c>
      <c r="C2924" t="s">
        <v>6374</v>
      </c>
      <c r="D2924" s="6" t="str">
        <f>_xlfn.XLOOKUP(B2924,Indices!$A$2:$A$2676,Indices!$B$2:$B$2676,"")</f>
        <v/>
      </c>
      <c r="E2924" t="str">
        <f>_xlfn.XLOOKUP(B2924,'2025-Q1'!$A$402:$A$448,'2025-Q1'!$A$402:$A$448,"avail")</f>
        <v>avail</v>
      </c>
      <c r="F2924" t="str">
        <f>_xlfn.XLOOKUP(B2924,'[2]!! -- Stock Universe 12.11.24'!$C$2:$C$1621,'[2]!! -- Stock Universe 12.11.24'!$E$2:$E$1621,"")</f>
        <v/>
      </c>
    </row>
    <row r="2925" spans="1:6" x14ac:dyDescent="0.25">
      <c r="A2925" s="140">
        <v>45715.208333333336</v>
      </c>
      <c r="B2925" t="s">
        <v>304</v>
      </c>
      <c r="C2925" t="s">
        <v>6374</v>
      </c>
      <c r="D2925" s="6" t="str">
        <f>_xlfn.XLOOKUP(B2925,Indices!$A$2:$A$2676,Indices!$B$2:$B$2676,"")</f>
        <v>IWM</v>
      </c>
      <c r="E2925" t="str">
        <f>_xlfn.XLOOKUP(B2925,'2025-Q1'!$A$402:$A$448,'2025-Q1'!$A$402:$A$448,"avail")</f>
        <v>avail</v>
      </c>
      <c r="F2925" t="str">
        <f>_xlfn.XLOOKUP(B2925,'[2]!! -- Stock Universe 12.11.24'!$C$2:$C$1621,'[2]!! -- Stock Universe 12.11.24'!$E$2:$E$1621,"")</f>
        <v>Healthcare</v>
      </c>
    </row>
    <row r="2926" spans="1:6" x14ac:dyDescent="0.25">
      <c r="A2926" s="140">
        <v>45715.208333333336</v>
      </c>
      <c r="B2926" t="s">
        <v>899</v>
      </c>
      <c r="C2926" t="s">
        <v>6374</v>
      </c>
      <c r="D2926" s="6" t="str">
        <f>_xlfn.XLOOKUP(B2926,Indices!$A$2:$A$2676,Indices!$B$2:$B$2676,"")</f>
        <v>IWM</v>
      </c>
      <c r="E2926" t="str">
        <f>_xlfn.XLOOKUP(B2926,'2025-Q1'!$A$402:$A$448,'2025-Q1'!$A$402:$A$448,"avail")</f>
        <v>avail</v>
      </c>
      <c r="F2926" t="str">
        <f>_xlfn.XLOOKUP(B2926,'[2]!! -- Stock Universe 12.11.24'!$C$2:$C$1621,'[2]!! -- Stock Universe 12.11.24'!$E$2:$E$1621,"")</f>
        <v>Healthcare</v>
      </c>
    </row>
    <row r="2927" spans="1:6" x14ac:dyDescent="0.25">
      <c r="A2927" s="140">
        <v>45715.208333333336</v>
      </c>
      <c r="B2927" t="s">
        <v>909</v>
      </c>
      <c r="C2927" t="s">
        <v>6374</v>
      </c>
      <c r="D2927" s="6" t="str">
        <f>_xlfn.XLOOKUP(B2927,Indices!$A$2:$A$2676,Indices!$B$2:$B$2676,"")</f>
        <v>IWM</v>
      </c>
      <c r="E2927" t="str">
        <f>_xlfn.XLOOKUP(B2927,'2025-Q1'!$A$402:$A$448,'2025-Q1'!$A$402:$A$448,"avail")</f>
        <v>avail</v>
      </c>
      <c r="F2927" t="str">
        <f>_xlfn.XLOOKUP(B2927,'[2]!! -- Stock Universe 12.11.24'!$C$2:$C$1621,'[2]!! -- Stock Universe 12.11.24'!$E$2:$E$1621,"")</f>
        <v>Healthcare</v>
      </c>
    </row>
    <row r="2928" spans="1:6" x14ac:dyDescent="0.25">
      <c r="A2928" s="140">
        <v>45715.208333333336</v>
      </c>
      <c r="B2928" t="s">
        <v>591</v>
      </c>
      <c r="C2928" t="s">
        <v>6374</v>
      </c>
      <c r="D2928" s="6" t="str">
        <f>_xlfn.XLOOKUP(B2928,Indices!$A$2:$A$2676,Indices!$B$2:$B$2676,"")</f>
        <v>IWM</v>
      </c>
      <c r="E2928" t="str">
        <f>_xlfn.XLOOKUP(B2928,'2025-Q1'!$A$402:$A$448,'2025-Q1'!$A$402:$A$448,"avail")</f>
        <v>avail</v>
      </c>
      <c r="F2928" t="str">
        <f>_xlfn.XLOOKUP(B2928,'[2]!! -- Stock Universe 12.11.24'!$C$2:$C$1621,'[2]!! -- Stock Universe 12.11.24'!$E$2:$E$1621,"")</f>
        <v/>
      </c>
    </row>
    <row r="2929" spans="1:6" x14ac:dyDescent="0.25">
      <c r="A2929" s="140">
        <v>45715.208333333336</v>
      </c>
      <c r="B2929" t="s">
        <v>3446</v>
      </c>
      <c r="C2929" t="s">
        <v>6374</v>
      </c>
      <c r="D2929" s="6" t="str">
        <f>_xlfn.XLOOKUP(B2929,Indices!$A$2:$A$2676,Indices!$B$2:$B$2676,"")</f>
        <v/>
      </c>
      <c r="E2929" t="str">
        <f>_xlfn.XLOOKUP(B2929,'2025-Q1'!$A$402:$A$448,'2025-Q1'!$A$402:$A$448,"avail")</f>
        <v>avail</v>
      </c>
      <c r="F2929" t="str">
        <f>_xlfn.XLOOKUP(B2929,'[2]!! -- Stock Universe 12.11.24'!$C$2:$C$1621,'[2]!! -- Stock Universe 12.11.24'!$E$2:$E$1621,"")</f>
        <v>Consumer Cyclical</v>
      </c>
    </row>
    <row r="2930" spans="1:6" x14ac:dyDescent="0.25">
      <c r="A2930" s="140">
        <v>45715.208333333336</v>
      </c>
      <c r="B2930" t="s">
        <v>2300</v>
      </c>
      <c r="C2930" t="s">
        <v>6374</v>
      </c>
      <c r="D2930" s="6" t="str">
        <f>_xlfn.XLOOKUP(B2930,Indices!$A$2:$A$2676,Indices!$B$2:$B$2676,"")</f>
        <v>IWM</v>
      </c>
      <c r="E2930" t="str">
        <f>_xlfn.XLOOKUP(B2930,'2025-Q1'!$A$402:$A$448,'2025-Q1'!$A$402:$A$448,"avail")</f>
        <v>avail</v>
      </c>
      <c r="F2930" t="str">
        <f>_xlfn.XLOOKUP(B2930,'[2]!! -- Stock Universe 12.11.24'!$C$2:$C$1621,'[2]!! -- Stock Universe 12.11.24'!$E$2:$E$1621,"")</f>
        <v>Healthcare</v>
      </c>
    </row>
    <row r="2931" spans="1:6" x14ac:dyDescent="0.25">
      <c r="A2931" s="140">
        <v>45715.208333333336</v>
      </c>
      <c r="B2931" t="s">
        <v>904</v>
      </c>
      <c r="C2931" t="s">
        <v>6374</v>
      </c>
      <c r="D2931" s="6" t="str">
        <f>_xlfn.XLOOKUP(B2931,Indices!$A$2:$A$2676,Indices!$B$2:$B$2676,"")</f>
        <v>IWM</v>
      </c>
      <c r="E2931" t="str">
        <f>_xlfn.XLOOKUP(B2931,'2025-Q1'!$A$402:$A$448,'2025-Q1'!$A$402:$A$448,"avail")</f>
        <v>avail</v>
      </c>
      <c r="F2931" t="str">
        <f>_xlfn.XLOOKUP(B2931,'[2]!! -- Stock Universe 12.11.24'!$C$2:$C$1621,'[2]!! -- Stock Universe 12.11.24'!$E$2:$E$1621,"")</f>
        <v>Healthcare</v>
      </c>
    </row>
    <row r="2932" spans="1:6" x14ac:dyDescent="0.25">
      <c r="A2932" s="140">
        <v>45715.208333333336</v>
      </c>
      <c r="B2932" t="s">
        <v>589</v>
      </c>
      <c r="C2932" t="s">
        <v>6374</v>
      </c>
      <c r="D2932" s="6" t="str">
        <f>_xlfn.XLOOKUP(B2932,Indices!$A$2:$A$2676,Indices!$B$2:$B$2676,"")</f>
        <v>SP500</v>
      </c>
      <c r="E2932" t="str">
        <f>_xlfn.XLOOKUP(B2932,'2025-Q1'!$A$402:$A$448,'2025-Q1'!$A$402:$A$448,"avail")</f>
        <v>avail</v>
      </c>
      <c r="F2932" t="str">
        <f>_xlfn.XLOOKUP(B2932,'[2]!! -- Stock Universe 12.11.24'!$C$2:$C$1621,'[2]!! -- Stock Universe 12.11.24'!$E$2:$E$1621,"")</f>
        <v/>
      </c>
    </row>
    <row r="2933" spans="1:6" x14ac:dyDescent="0.25">
      <c r="A2933" s="140">
        <v>45715.208333333336</v>
      </c>
      <c r="B2933" t="s">
        <v>196</v>
      </c>
      <c r="C2933" t="s">
        <v>6374</v>
      </c>
      <c r="D2933" s="6" t="str">
        <f>_xlfn.XLOOKUP(B2933,Indices!$A$2:$A$2676,Indices!$B$2:$B$2676,"")</f>
        <v>IWM</v>
      </c>
      <c r="E2933" t="str">
        <f>_xlfn.XLOOKUP(B2933,'2025-Q1'!$A$402:$A$448,'2025-Q1'!$A$402:$A$448,"avail")</f>
        <v>avail</v>
      </c>
      <c r="F2933" t="str">
        <f>_xlfn.XLOOKUP(B2933,'[2]!! -- Stock Universe 12.11.24'!$C$2:$C$1621,'[2]!! -- Stock Universe 12.11.24'!$E$2:$E$1621,"")</f>
        <v>Healthcare</v>
      </c>
    </row>
    <row r="2934" spans="1:6" x14ac:dyDescent="0.25">
      <c r="A2934" s="140">
        <v>45715.208333333336</v>
      </c>
      <c r="B2934" t="s">
        <v>2180</v>
      </c>
      <c r="C2934" t="s">
        <v>6374</v>
      </c>
      <c r="D2934" s="6" t="str">
        <f>_xlfn.XLOOKUP(B2934,Indices!$A$2:$A$2676,Indices!$B$2:$B$2676,"")</f>
        <v>IWM</v>
      </c>
      <c r="E2934" t="str">
        <f>_xlfn.XLOOKUP(B2934,'2025-Q1'!$A$402:$A$448,'2025-Q1'!$A$402:$A$448,"avail")</f>
        <v>avail</v>
      </c>
      <c r="F2934" t="str">
        <f>_xlfn.XLOOKUP(B2934,'[2]!! -- Stock Universe 12.11.24'!$C$2:$C$1621,'[2]!! -- Stock Universe 12.11.24'!$E$2:$E$1621,"")</f>
        <v/>
      </c>
    </row>
    <row r="2935" spans="1:6" x14ac:dyDescent="0.25">
      <c r="A2935" s="140">
        <v>45715.208333333336</v>
      </c>
      <c r="B2935" t="s">
        <v>3762</v>
      </c>
      <c r="C2935" t="s">
        <v>6374</v>
      </c>
      <c r="D2935" s="6" t="str">
        <f>_xlfn.XLOOKUP(B2935,Indices!$A$2:$A$2676,Indices!$B$2:$B$2676,"")</f>
        <v/>
      </c>
      <c r="E2935" t="str">
        <f>_xlfn.XLOOKUP(B2935,'2025-Q1'!$A$402:$A$448,'2025-Q1'!$A$402:$A$448,"avail")</f>
        <v>avail</v>
      </c>
      <c r="F2935" t="str">
        <f>_xlfn.XLOOKUP(B2935,'[2]!! -- Stock Universe 12.11.24'!$C$2:$C$1621,'[2]!! -- Stock Universe 12.11.24'!$E$2:$E$1621,"")</f>
        <v/>
      </c>
    </row>
    <row r="2936" spans="1:6" x14ac:dyDescent="0.25">
      <c r="A2936" s="140">
        <v>45715.208333333336</v>
      </c>
      <c r="B2936" t="s">
        <v>604</v>
      </c>
      <c r="C2936" t="s">
        <v>6374</v>
      </c>
      <c r="D2936" s="6" t="str">
        <f>_xlfn.XLOOKUP(B2936,Indices!$A$2:$A$2676,Indices!$B$2:$B$2676,"")</f>
        <v>IWM</v>
      </c>
      <c r="E2936" t="str">
        <f>_xlfn.XLOOKUP(B2936,'2025-Q1'!$A$402:$A$448,'2025-Q1'!$A$402:$A$448,"avail")</f>
        <v>avail</v>
      </c>
      <c r="F2936" t="str">
        <f>_xlfn.XLOOKUP(B2936,'[2]!! -- Stock Universe 12.11.24'!$C$2:$C$1621,'[2]!! -- Stock Universe 12.11.24'!$E$2:$E$1621,"")</f>
        <v>Healthcare</v>
      </c>
    </row>
    <row r="2937" spans="1:6" x14ac:dyDescent="0.25">
      <c r="A2937" s="140">
        <v>45715.208333333336</v>
      </c>
      <c r="B2937" t="s">
        <v>3750</v>
      </c>
      <c r="C2937" t="s">
        <v>6374</v>
      </c>
      <c r="D2937" s="6" t="str">
        <f>_xlfn.XLOOKUP(B2937,Indices!$A$2:$A$2676,Indices!$B$2:$B$2676,"")</f>
        <v/>
      </c>
      <c r="E2937" t="str">
        <f>_xlfn.XLOOKUP(B2937,'2025-Q1'!$A$402:$A$448,'2025-Q1'!$A$402:$A$448,"avail")</f>
        <v>avail</v>
      </c>
      <c r="F2937" t="str">
        <f>_xlfn.XLOOKUP(B2937,'[2]!! -- Stock Universe 12.11.24'!$C$2:$C$1621,'[2]!! -- Stock Universe 12.11.24'!$E$2:$E$1621,"")</f>
        <v/>
      </c>
    </row>
    <row r="2938" spans="1:6" x14ac:dyDescent="0.25">
      <c r="A2938" s="140">
        <v>45715.209027777775</v>
      </c>
      <c r="B2938" t="s">
        <v>3462</v>
      </c>
      <c r="C2938" t="s">
        <v>6375</v>
      </c>
      <c r="D2938" s="6" t="str">
        <f>_xlfn.XLOOKUP(B2938,Indices!$A$2:$A$2676,Indices!$B$2:$B$2676,"")</f>
        <v/>
      </c>
      <c r="E2938" t="str">
        <f>_xlfn.XLOOKUP(B2938,'2025-Q1'!$A$402:$A$448,'2025-Q1'!$A$402:$A$448,"avail")</f>
        <v>avail</v>
      </c>
      <c r="F2938" t="str">
        <f>_xlfn.XLOOKUP(B2938,'[2]!! -- Stock Universe 12.11.24'!$C$2:$C$1621,'[2]!! -- Stock Universe 12.11.24'!$E$2:$E$1621,"")</f>
        <v>Industrials</v>
      </c>
    </row>
    <row r="2939" spans="1:6" x14ac:dyDescent="0.25">
      <c r="A2939" s="140">
        <v>45715.211805555555</v>
      </c>
      <c r="B2939" t="s">
        <v>306</v>
      </c>
      <c r="C2939" t="s">
        <v>6376</v>
      </c>
      <c r="D2939" s="6" t="str">
        <f>_xlfn.XLOOKUP(B2939,Indices!$A$2:$A$2676,Indices!$B$2:$B$2676,"")</f>
        <v>IWM</v>
      </c>
      <c r="E2939" t="str">
        <f>_xlfn.XLOOKUP(B2939,'2025-Q1'!$A$402:$A$448,'2025-Q1'!$A$402:$A$448,"avail")</f>
        <v>avail</v>
      </c>
      <c r="F2939" t="str">
        <f>_xlfn.XLOOKUP(B2939,'[2]!! -- Stock Universe 12.11.24'!$C$2:$C$1621,'[2]!! -- Stock Universe 12.11.24'!$E$2:$E$1621,"")</f>
        <v>Technology</v>
      </c>
    </row>
    <row r="2940" spans="1:6" x14ac:dyDescent="0.25">
      <c r="A2940" s="140">
        <v>45715.211805555555</v>
      </c>
      <c r="B2940" t="s">
        <v>3346</v>
      </c>
      <c r="C2940" t="s">
        <v>6376</v>
      </c>
      <c r="D2940" s="6" t="str">
        <f>_xlfn.XLOOKUP(B2940,Indices!$A$2:$A$2676,Indices!$B$2:$B$2676,"")</f>
        <v/>
      </c>
      <c r="E2940" t="str">
        <f>_xlfn.XLOOKUP(B2940,'2025-Q1'!$A$402:$A$448,'2025-Q1'!$A$402:$A$448,"avail")</f>
        <v>avail</v>
      </c>
      <c r="F2940" t="str">
        <f>_xlfn.XLOOKUP(B2940,'[2]!! -- Stock Universe 12.11.24'!$C$2:$C$1621,'[2]!! -- Stock Universe 12.11.24'!$E$2:$E$1621,"")</f>
        <v/>
      </c>
    </row>
    <row r="2941" spans="1:6" x14ac:dyDescent="0.25">
      <c r="A2941" s="140">
        <v>45715.21875</v>
      </c>
      <c r="B2941" t="s">
        <v>615</v>
      </c>
      <c r="C2941" t="s">
        <v>6377</v>
      </c>
      <c r="D2941" s="6" t="str">
        <f>_xlfn.XLOOKUP(B2941,Indices!$A$2:$A$2676,Indices!$B$2:$B$2676,"")</f>
        <v>IWM</v>
      </c>
      <c r="E2941" t="str">
        <f>_xlfn.XLOOKUP(B2941,'2025-Q1'!$A$402:$A$448,'2025-Q1'!$A$402:$A$448,"avail")</f>
        <v>avail</v>
      </c>
      <c r="F2941" t="str">
        <f>_xlfn.XLOOKUP(B2941,'[2]!! -- Stock Universe 12.11.24'!$C$2:$C$1621,'[2]!! -- Stock Universe 12.11.24'!$E$2:$E$1621,"")</f>
        <v>Communication Services</v>
      </c>
    </row>
    <row r="2942" spans="1:6" x14ac:dyDescent="0.25">
      <c r="A2942" s="140">
        <v>45715.222222222219</v>
      </c>
      <c r="B2942" t="s">
        <v>614</v>
      </c>
      <c r="C2942" t="s">
        <v>6378</v>
      </c>
      <c r="D2942" s="6" t="str">
        <f>_xlfn.XLOOKUP(B2942,Indices!$A$2:$A$2676,Indices!$B$2:$B$2676,"")</f>
        <v>IWM</v>
      </c>
      <c r="E2942" t="str">
        <f>_xlfn.XLOOKUP(B2942,'2025-Q1'!$A$402:$A$448,'2025-Q1'!$A$402:$A$448,"avail")</f>
        <v>avail</v>
      </c>
      <c r="F2942" t="str">
        <f>_xlfn.XLOOKUP(B2942,'[2]!! -- Stock Universe 12.11.24'!$C$2:$C$1621,'[2]!! -- Stock Universe 12.11.24'!$E$2:$E$1621,"")</f>
        <v>Consumer Defensive</v>
      </c>
    </row>
    <row r="2943" spans="1:6" x14ac:dyDescent="0.25">
      <c r="A2943" s="140">
        <v>45715.229166666664</v>
      </c>
      <c r="B2943" t="s">
        <v>203</v>
      </c>
      <c r="C2943" t="s">
        <v>6379</v>
      </c>
      <c r="D2943" s="6" t="str">
        <f>_xlfn.XLOOKUP(B2943,Indices!$A$2:$A$2676,Indices!$B$2:$B$2676,"")</f>
        <v>IWM</v>
      </c>
      <c r="E2943" t="str">
        <f>_xlfn.XLOOKUP(B2943,'2025-Q1'!$A$402:$A$448,'2025-Q1'!$A$402:$A$448,"avail")</f>
        <v>avail</v>
      </c>
      <c r="F2943" t="str">
        <f>_xlfn.XLOOKUP(B2943,'[2]!! -- Stock Universe 12.11.24'!$C$2:$C$1621,'[2]!! -- Stock Universe 12.11.24'!$E$2:$E$1621,"")</f>
        <v/>
      </c>
    </row>
    <row r="2944" spans="1:6" x14ac:dyDescent="0.25">
      <c r="A2944" s="140">
        <v>45715.229166666664</v>
      </c>
      <c r="B2944" t="s">
        <v>618</v>
      </c>
      <c r="C2944" t="s">
        <v>6379</v>
      </c>
      <c r="D2944" s="6" t="str">
        <f>_xlfn.XLOOKUP(B2944,Indices!$A$2:$A$2676,Indices!$B$2:$B$2676,"")</f>
        <v>IWM</v>
      </c>
      <c r="E2944" t="str">
        <f>_xlfn.XLOOKUP(B2944,'2025-Q1'!$A$402:$A$448,'2025-Q1'!$A$402:$A$448,"avail")</f>
        <v>avail</v>
      </c>
      <c r="F2944" t="str">
        <f>_xlfn.XLOOKUP(B2944,'[2]!! -- Stock Universe 12.11.24'!$C$2:$C$1621,'[2]!! -- Stock Universe 12.11.24'!$E$2:$E$1621,"")</f>
        <v>Communication Services</v>
      </c>
    </row>
    <row r="2945" spans="1:6" x14ac:dyDescent="0.25">
      <c r="A2945" s="140">
        <v>45715.229166666664</v>
      </c>
      <c r="B2945" t="s">
        <v>55</v>
      </c>
      <c r="C2945" t="s">
        <v>6379</v>
      </c>
      <c r="D2945" s="6" t="str">
        <f>_xlfn.XLOOKUP(B2945,Indices!$A$2:$A$2676,Indices!$B$2:$B$2676,"")</f>
        <v>IWM</v>
      </c>
      <c r="E2945" t="str">
        <f>_xlfn.XLOOKUP(B2945,'2025-Q1'!$A$402:$A$448,'2025-Q1'!$A$402:$A$448,"avail")</f>
        <v>avail</v>
      </c>
      <c r="F2945" t="str">
        <f>_xlfn.XLOOKUP(B2945,'[2]!! -- Stock Universe 12.11.24'!$C$2:$C$1621,'[2]!! -- Stock Universe 12.11.24'!$E$2:$E$1621,"")</f>
        <v>Consumer Cyclical</v>
      </c>
    </row>
    <row r="2946" spans="1:6" x14ac:dyDescent="0.25">
      <c r="A2946" s="140">
        <v>45715.229166666664</v>
      </c>
      <c r="B2946" t="s">
        <v>925</v>
      </c>
      <c r="C2946" t="s">
        <v>6379</v>
      </c>
      <c r="D2946" s="6" t="str">
        <f>_xlfn.XLOOKUP(B2946,Indices!$A$2:$A$2676,Indices!$B$2:$B$2676,"")</f>
        <v>IWM</v>
      </c>
      <c r="E2946" t="str">
        <f>_xlfn.XLOOKUP(B2946,'2025-Q1'!$A$402:$A$448,'2025-Q1'!$A$402:$A$448,"avail")</f>
        <v>avail</v>
      </c>
      <c r="F2946" t="str">
        <f>_xlfn.XLOOKUP(B2946,'[2]!! -- Stock Universe 12.11.24'!$C$2:$C$1621,'[2]!! -- Stock Universe 12.11.24'!$E$2:$E$1621,"")</f>
        <v>Healthcare</v>
      </c>
    </row>
    <row r="2947" spans="1:6" x14ac:dyDescent="0.25">
      <c r="A2947" s="140">
        <v>45715.229166666664</v>
      </c>
      <c r="B2947" t="s">
        <v>4200</v>
      </c>
      <c r="C2947" t="s">
        <v>6379</v>
      </c>
      <c r="D2947" s="6" t="str">
        <f>_xlfn.XLOOKUP(B2947,Indices!$A$2:$A$2676,Indices!$B$2:$B$2676,"")</f>
        <v/>
      </c>
      <c r="E2947" t="str">
        <f>_xlfn.XLOOKUP(B2947,'2025-Q1'!$A$402:$A$448,'2025-Q1'!$A$402:$A$448,"avail")</f>
        <v>avail</v>
      </c>
      <c r="F2947" t="str">
        <f>_xlfn.XLOOKUP(B2947,'[2]!! -- Stock Universe 12.11.24'!$C$2:$C$1621,'[2]!! -- Stock Universe 12.11.24'!$E$2:$E$1621,"")</f>
        <v/>
      </c>
    </row>
    <row r="2948" spans="1:6" x14ac:dyDescent="0.25">
      <c r="A2948" s="140">
        <v>45715.229166666664</v>
      </c>
      <c r="B2948" t="s">
        <v>629</v>
      </c>
      <c r="C2948" t="s">
        <v>6379</v>
      </c>
      <c r="D2948" s="6" t="str">
        <f>_xlfn.XLOOKUP(B2948,Indices!$A$2:$A$2676,Indices!$B$2:$B$2676,"")</f>
        <v>IWM</v>
      </c>
      <c r="E2948" t="str">
        <f>_xlfn.XLOOKUP(B2948,'2025-Q1'!$A$402:$A$448,'2025-Q1'!$A$402:$A$448,"avail")</f>
        <v>avail</v>
      </c>
      <c r="F2948" t="str">
        <f>_xlfn.XLOOKUP(B2948,'[2]!! -- Stock Universe 12.11.24'!$C$2:$C$1621,'[2]!! -- Stock Universe 12.11.24'!$E$2:$E$1621,"")</f>
        <v/>
      </c>
    </row>
    <row r="2949" spans="1:6" x14ac:dyDescent="0.25">
      <c r="A2949" s="140">
        <v>45715.229166666664</v>
      </c>
      <c r="B2949" t="s">
        <v>206</v>
      </c>
      <c r="C2949" t="s">
        <v>6379</v>
      </c>
      <c r="D2949" s="6" t="str">
        <f>_xlfn.XLOOKUP(B2949,Indices!$A$2:$A$2676,Indices!$B$2:$B$2676,"")</f>
        <v>IWM</v>
      </c>
      <c r="E2949" t="str">
        <f>_xlfn.XLOOKUP(B2949,'2025-Q1'!$A$402:$A$448,'2025-Q1'!$A$402:$A$448,"avail")</f>
        <v>avail</v>
      </c>
      <c r="F2949" t="str">
        <f>_xlfn.XLOOKUP(B2949,'[2]!! -- Stock Universe 12.11.24'!$C$2:$C$1621,'[2]!! -- Stock Universe 12.11.24'!$E$2:$E$1621,"")</f>
        <v>Technology</v>
      </c>
    </row>
    <row r="2950" spans="1:6" x14ac:dyDescent="0.25">
      <c r="A2950" s="140">
        <v>45715.229166666664</v>
      </c>
      <c r="B2950" t="s">
        <v>617</v>
      </c>
      <c r="C2950" t="s">
        <v>6379</v>
      </c>
      <c r="D2950" s="6" t="str">
        <f>_xlfn.XLOOKUP(B2950,Indices!$A$2:$A$2676,Indices!$B$2:$B$2676,"")</f>
        <v>IWM</v>
      </c>
      <c r="E2950" t="str">
        <f>_xlfn.XLOOKUP(B2950,'2025-Q1'!$A$402:$A$448,'2025-Q1'!$A$402:$A$448,"avail")</f>
        <v>avail</v>
      </c>
      <c r="F2950" t="str">
        <f>_xlfn.XLOOKUP(B2950,'[2]!! -- Stock Universe 12.11.24'!$C$2:$C$1621,'[2]!! -- Stock Universe 12.11.24'!$E$2:$E$1621,"")</f>
        <v/>
      </c>
    </row>
    <row r="2951" spans="1:6" x14ac:dyDescent="0.25">
      <c r="A2951" s="140">
        <v>45715.229166666664</v>
      </c>
      <c r="B2951" t="s">
        <v>616</v>
      </c>
      <c r="C2951" t="s">
        <v>6379</v>
      </c>
      <c r="D2951" s="6" t="str">
        <f>_xlfn.XLOOKUP(B2951,Indices!$A$2:$A$2676,Indices!$B$2:$B$2676,"")</f>
        <v>IWM</v>
      </c>
      <c r="E2951" t="str">
        <f>_xlfn.XLOOKUP(B2951,'2025-Q1'!$A$402:$A$448,'2025-Q1'!$A$402:$A$448,"avail")</f>
        <v>avail</v>
      </c>
      <c r="F2951" t="str">
        <f>_xlfn.XLOOKUP(B2951,'[2]!! -- Stock Universe 12.11.24'!$C$2:$C$1621,'[2]!! -- Stock Universe 12.11.24'!$E$2:$E$1621,"")</f>
        <v>Consumer Cyclical</v>
      </c>
    </row>
    <row r="2952" spans="1:6" x14ac:dyDescent="0.25">
      <c r="A2952" s="140">
        <v>45715.229166666664</v>
      </c>
      <c r="B2952" t="s">
        <v>620</v>
      </c>
      <c r="C2952" t="s">
        <v>6379</v>
      </c>
      <c r="D2952" s="6" t="str">
        <f>_xlfn.XLOOKUP(B2952,Indices!$A$2:$A$2676,Indices!$B$2:$B$2676,"")</f>
        <v>IWM</v>
      </c>
      <c r="E2952" t="str">
        <f>_xlfn.XLOOKUP(B2952,'2025-Q1'!$A$402:$A$448,'2025-Q1'!$A$402:$A$448,"avail")</f>
        <v>avail</v>
      </c>
      <c r="F2952" t="str">
        <f>_xlfn.XLOOKUP(B2952,'[2]!! -- Stock Universe 12.11.24'!$C$2:$C$1621,'[2]!! -- Stock Universe 12.11.24'!$E$2:$E$1621,"")</f>
        <v>Healthcare</v>
      </c>
    </row>
    <row r="2953" spans="1:6" x14ac:dyDescent="0.25">
      <c r="A2953" s="140">
        <v>45715.229166666664</v>
      </c>
      <c r="B2953" t="s">
        <v>1637</v>
      </c>
      <c r="C2953" t="s">
        <v>6379</v>
      </c>
      <c r="D2953" s="6" t="str">
        <f>_xlfn.XLOOKUP(B2953,Indices!$A$2:$A$2676,Indices!$B$2:$B$2676,"")</f>
        <v>IWM</v>
      </c>
      <c r="E2953" t="str">
        <f>_xlfn.XLOOKUP(B2953,'2025-Q1'!$A$402:$A$448,'2025-Q1'!$A$402:$A$448,"avail")</f>
        <v>avail</v>
      </c>
      <c r="F2953" t="str">
        <f>_xlfn.XLOOKUP(B2953,'[2]!! -- Stock Universe 12.11.24'!$C$2:$C$1621,'[2]!! -- Stock Universe 12.11.24'!$E$2:$E$1621,"")</f>
        <v>Industrials</v>
      </c>
    </row>
    <row r="2954" spans="1:6" x14ac:dyDescent="0.25">
      <c r="A2954" s="140">
        <v>45715.229166666664</v>
      </c>
      <c r="B2954" t="s">
        <v>3444</v>
      </c>
      <c r="C2954" t="s">
        <v>6379</v>
      </c>
      <c r="D2954" s="6" t="str">
        <f>_xlfn.XLOOKUP(B2954,Indices!$A$2:$A$2676,Indices!$B$2:$B$2676,"")</f>
        <v/>
      </c>
      <c r="E2954" t="str">
        <f>_xlfn.XLOOKUP(B2954,'2025-Q1'!$A$402:$A$448,'2025-Q1'!$A$402:$A$448,"avail")</f>
        <v>avail</v>
      </c>
      <c r="F2954" t="str">
        <f>_xlfn.XLOOKUP(B2954,'[2]!! -- Stock Universe 12.11.24'!$C$2:$C$1621,'[2]!! -- Stock Universe 12.11.24'!$E$2:$E$1621,"")</f>
        <v/>
      </c>
    </row>
    <row r="2955" spans="1:6" x14ac:dyDescent="0.25">
      <c r="A2955" s="140">
        <v>45715.229166666664</v>
      </c>
      <c r="B2955" t="s">
        <v>628</v>
      </c>
      <c r="C2955" t="s">
        <v>6379</v>
      </c>
      <c r="D2955" s="6" t="str">
        <f>_xlfn.XLOOKUP(B2955,Indices!$A$2:$A$2676,Indices!$B$2:$B$2676,"")</f>
        <v>IWM</v>
      </c>
      <c r="E2955" t="str">
        <f>_xlfn.XLOOKUP(B2955,'2025-Q1'!$A$402:$A$448,'2025-Q1'!$A$402:$A$448,"avail")</f>
        <v>avail</v>
      </c>
      <c r="F2955" t="str">
        <f>_xlfn.XLOOKUP(B2955,'[2]!! -- Stock Universe 12.11.24'!$C$2:$C$1621,'[2]!! -- Stock Universe 12.11.24'!$E$2:$E$1621,"")</f>
        <v>Consumer Cyclical</v>
      </c>
    </row>
    <row r="2956" spans="1:6" x14ac:dyDescent="0.25">
      <c r="A2956" s="140">
        <v>45715.239583333336</v>
      </c>
      <c r="B2956" t="s">
        <v>209</v>
      </c>
      <c r="C2956" t="s">
        <v>6380</v>
      </c>
      <c r="D2956" s="6" t="str">
        <f>_xlfn.XLOOKUP(B2956,Indices!$A$2:$A$2676,Indices!$B$2:$B$2676,"")</f>
        <v>IWM</v>
      </c>
      <c r="E2956" t="str">
        <f>_xlfn.XLOOKUP(B2956,'2025-Q1'!$A$402:$A$448,'2025-Q1'!$A$402:$A$448,"avail")</f>
        <v>avail</v>
      </c>
      <c r="F2956" t="str">
        <f>_xlfn.XLOOKUP(B2956,'[2]!! -- Stock Universe 12.11.24'!$C$2:$C$1621,'[2]!! -- Stock Universe 12.11.24'!$E$2:$E$1621,"")</f>
        <v>Technology</v>
      </c>
    </row>
    <row r="2957" spans="1:6" x14ac:dyDescent="0.25">
      <c r="A2957" s="140">
        <v>45715.239583333336</v>
      </c>
      <c r="B2957" t="s">
        <v>2155</v>
      </c>
      <c r="C2957" t="s">
        <v>6380</v>
      </c>
      <c r="D2957" s="6" t="str">
        <f>_xlfn.XLOOKUP(B2957,Indices!$A$2:$A$2676,Indices!$B$2:$B$2676,"")</f>
        <v>IWM</v>
      </c>
      <c r="E2957" t="str">
        <f>_xlfn.XLOOKUP(B2957,'2025-Q1'!$A$402:$A$448,'2025-Q1'!$A$402:$A$448,"avail")</f>
        <v>avail</v>
      </c>
      <c r="F2957" t="str">
        <f>_xlfn.XLOOKUP(B2957,'[2]!! -- Stock Universe 12.11.24'!$C$2:$C$1621,'[2]!! -- Stock Universe 12.11.24'!$E$2:$E$1621,"")</f>
        <v/>
      </c>
    </row>
    <row r="2958" spans="1:6" x14ac:dyDescent="0.25">
      <c r="A2958" s="140">
        <v>45715.245833333334</v>
      </c>
      <c r="B2958" t="s">
        <v>631</v>
      </c>
      <c r="C2958" t="s">
        <v>6381</v>
      </c>
      <c r="D2958" s="6" t="str">
        <f>_xlfn.XLOOKUP(B2958,Indices!$A$2:$A$2676,Indices!$B$2:$B$2676,"")</f>
        <v>IWM</v>
      </c>
      <c r="E2958" t="str">
        <f>_xlfn.XLOOKUP(B2958,'2025-Q1'!$A$402:$A$448,'2025-Q1'!$A$402:$A$448,"avail")</f>
        <v>avail</v>
      </c>
      <c r="F2958" t="str">
        <f>_xlfn.XLOOKUP(B2958,'[2]!! -- Stock Universe 12.11.24'!$C$2:$C$1621,'[2]!! -- Stock Universe 12.11.24'!$E$2:$E$1621,"")</f>
        <v/>
      </c>
    </row>
    <row r="2959" spans="1:6" x14ac:dyDescent="0.25">
      <c r="A2959" s="140">
        <v>45715.246527777781</v>
      </c>
      <c r="B2959" t="s">
        <v>855</v>
      </c>
      <c r="C2959" t="s">
        <v>6382</v>
      </c>
      <c r="D2959" s="6" t="str">
        <f>_xlfn.XLOOKUP(B2959,Indices!$A$2:$A$2676,Indices!$B$2:$B$2676,"")</f>
        <v>IWM</v>
      </c>
      <c r="E2959" t="str">
        <f>_xlfn.XLOOKUP(B2959,'2025-Q1'!$A$402:$A$448,'2025-Q1'!$A$402:$A$448,"avail")</f>
        <v>avail</v>
      </c>
      <c r="F2959" t="str">
        <f>_xlfn.XLOOKUP(B2959,'[2]!! -- Stock Universe 12.11.24'!$C$2:$C$1621,'[2]!! -- Stock Universe 12.11.24'!$E$2:$E$1621,"")</f>
        <v/>
      </c>
    </row>
    <row r="2960" spans="1:6" x14ac:dyDescent="0.25">
      <c r="A2960" s="140">
        <v>45715.25</v>
      </c>
      <c r="B2960" t="s">
        <v>4261</v>
      </c>
      <c r="C2960" t="s">
        <v>6383</v>
      </c>
      <c r="D2960" s="6" t="str">
        <f>_xlfn.XLOOKUP(B2960,Indices!$A$2:$A$2676,Indices!$B$2:$B$2676,"")</f>
        <v/>
      </c>
      <c r="E2960" t="str">
        <f>_xlfn.XLOOKUP(B2960,'2025-Q1'!$A$402:$A$448,'2025-Q1'!$A$402:$A$448,"avail")</f>
        <v>avail</v>
      </c>
      <c r="F2960" t="str">
        <f>_xlfn.XLOOKUP(B2960,'[2]!! -- Stock Universe 12.11.24'!$C$2:$C$1621,'[2]!! -- Stock Universe 12.11.24'!$E$2:$E$1621,"")</f>
        <v/>
      </c>
    </row>
    <row r="2961" spans="1:6" x14ac:dyDescent="0.25">
      <c r="A2961" s="140">
        <v>45715.25</v>
      </c>
      <c r="B2961" t="s">
        <v>3480</v>
      </c>
      <c r="C2961" t="s">
        <v>6383</v>
      </c>
      <c r="D2961" s="6" t="str">
        <f>_xlfn.XLOOKUP(B2961,Indices!$A$2:$A$2676,Indices!$B$2:$B$2676,"")</f>
        <v/>
      </c>
      <c r="E2961" t="str">
        <f>_xlfn.XLOOKUP(B2961,'2025-Q1'!$A$402:$A$448,'2025-Q1'!$A$402:$A$448,"avail")</f>
        <v>avail</v>
      </c>
      <c r="F2961" t="str">
        <f>_xlfn.XLOOKUP(B2961,'[2]!! -- Stock Universe 12.11.24'!$C$2:$C$1621,'[2]!! -- Stock Universe 12.11.24'!$E$2:$E$1621,"")</f>
        <v>Communication Services</v>
      </c>
    </row>
    <row r="2962" spans="1:6" x14ac:dyDescent="0.25">
      <c r="A2962" s="140">
        <v>45715.25</v>
      </c>
      <c r="B2962" t="s">
        <v>934</v>
      </c>
      <c r="C2962" t="s">
        <v>6383</v>
      </c>
      <c r="D2962" s="6" t="str">
        <f>_xlfn.XLOOKUP(B2962,Indices!$A$2:$A$2676,Indices!$B$2:$B$2676,"")</f>
        <v>IWM</v>
      </c>
      <c r="E2962" t="str">
        <f>_xlfn.XLOOKUP(B2962,'2025-Q1'!$A$402:$A$448,'2025-Q1'!$A$402:$A$448,"avail")</f>
        <v>avail</v>
      </c>
      <c r="F2962" t="str">
        <f>_xlfn.XLOOKUP(B2962,'[2]!! -- Stock Universe 12.11.24'!$C$2:$C$1621,'[2]!! -- Stock Universe 12.11.24'!$E$2:$E$1621,"")</f>
        <v/>
      </c>
    </row>
    <row r="2963" spans="1:6" x14ac:dyDescent="0.25">
      <c r="A2963" s="140">
        <v>45715.25</v>
      </c>
      <c r="B2963" t="s">
        <v>3367</v>
      </c>
      <c r="C2963" t="s">
        <v>6383</v>
      </c>
      <c r="D2963" s="6" t="str">
        <f>_xlfn.XLOOKUP(B2963,Indices!$A$2:$A$2676,Indices!$B$2:$B$2676,"")</f>
        <v/>
      </c>
      <c r="E2963" t="str">
        <f>_xlfn.XLOOKUP(B2963,'2025-Q1'!$A$402:$A$448,'2025-Q1'!$A$402:$A$448,"avail")</f>
        <v>avail</v>
      </c>
      <c r="F2963" t="str">
        <f>_xlfn.XLOOKUP(B2963,'[2]!! -- Stock Universe 12.11.24'!$C$2:$C$1621,'[2]!! -- Stock Universe 12.11.24'!$E$2:$E$1621,"")</f>
        <v/>
      </c>
    </row>
    <row r="2964" spans="1:6" x14ac:dyDescent="0.25">
      <c r="A2964" s="140">
        <v>45715.25</v>
      </c>
      <c r="B2964" t="s">
        <v>57</v>
      </c>
      <c r="C2964" t="s">
        <v>6383</v>
      </c>
      <c r="D2964" s="6" t="str">
        <f>_xlfn.XLOOKUP(B2964,Indices!$A$2:$A$2676,Indices!$B$2:$B$2676,"")</f>
        <v>IWM</v>
      </c>
      <c r="E2964" t="str">
        <f>_xlfn.XLOOKUP(B2964,'2025-Q1'!$A$402:$A$448,'2025-Q1'!$A$402:$A$448,"avail")</f>
        <v>avail</v>
      </c>
      <c r="F2964" t="str">
        <f>_xlfn.XLOOKUP(B2964,'[2]!! -- Stock Universe 12.11.24'!$C$2:$C$1621,'[2]!! -- Stock Universe 12.11.24'!$E$2:$E$1621,"")</f>
        <v/>
      </c>
    </row>
    <row r="2965" spans="1:6" x14ac:dyDescent="0.25">
      <c r="A2965" s="140">
        <v>45715.25</v>
      </c>
      <c r="B2965" t="s">
        <v>3200</v>
      </c>
      <c r="C2965" t="s">
        <v>6383</v>
      </c>
      <c r="D2965" s="6" t="str">
        <f>_xlfn.XLOOKUP(B2965,Indices!$A$2:$A$2676,Indices!$B$2:$B$2676,"")</f>
        <v/>
      </c>
      <c r="E2965" t="str">
        <f>_xlfn.XLOOKUP(B2965,'2025-Q1'!$A$402:$A$448,'2025-Q1'!$A$402:$A$448,"avail")</f>
        <v>avail</v>
      </c>
      <c r="F2965" t="str">
        <f>_xlfn.XLOOKUP(B2965,'[2]!! -- Stock Universe 12.11.24'!$C$2:$C$1621,'[2]!! -- Stock Universe 12.11.24'!$E$2:$E$1621,"")</f>
        <v/>
      </c>
    </row>
    <row r="2966" spans="1:6" x14ac:dyDescent="0.25">
      <c r="A2966" s="140">
        <v>45715.25</v>
      </c>
      <c r="B2966" t="s">
        <v>624</v>
      </c>
      <c r="C2966" t="s">
        <v>6383</v>
      </c>
      <c r="D2966" s="6" t="str">
        <f>_xlfn.XLOOKUP(B2966,Indices!$A$2:$A$2676,Indices!$B$2:$B$2676,"")</f>
        <v>IWM</v>
      </c>
      <c r="E2966" t="str">
        <f>_xlfn.XLOOKUP(B2966,'2025-Q1'!$A$402:$A$448,'2025-Q1'!$A$402:$A$448,"avail")</f>
        <v>avail</v>
      </c>
      <c r="F2966" t="str">
        <f>_xlfn.XLOOKUP(B2966,'[2]!! -- Stock Universe 12.11.24'!$C$2:$C$1621,'[2]!! -- Stock Universe 12.11.24'!$E$2:$E$1621,"")</f>
        <v/>
      </c>
    </row>
    <row r="2967" spans="1:6" x14ac:dyDescent="0.25">
      <c r="A2967" s="140">
        <v>45715.25</v>
      </c>
      <c r="B2967" t="s">
        <v>937</v>
      </c>
      <c r="C2967" t="s">
        <v>6383</v>
      </c>
      <c r="D2967" s="6" t="str">
        <f>_xlfn.XLOOKUP(B2967,Indices!$A$2:$A$2676,Indices!$B$2:$B$2676,"")</f>
        <v>IWM</v>
      </c>
      <c r="E2967" t="str">
        <f>_xlfn.XLOOKUP(B2967,'2025-Q1'!$A$402:$A$448,'2025-Q1'!$A$402:$A$448,"avail")</f>
        <v>avail</v>
      </c>
      <c r="F2967" t="str">
        <f>_xlfn.XLOOKUP(B2967,'[2]!! -- Stock Universe 12.11.24'!$C$2:$C$1621,'[2]!! -- Stock Universe 12.11.24'!$E$2:$E$1621,"")</f>
        <v>Healthcare</v>
      </c>
    </row>
    <row r="2968" spans="1:6" x14ac:dyDescent="0.25">
      <c r="A2968" s="140">
        <v>45715.25</v>
      </c>
      <c r="B2968" t="s">
        <v>3516</v>
      </c>
      <c r="C2968" t="s">
        <v>6383</v>
      </c>
      <c r="D2968" s="6" t="str">
        <f>_xlfn.XLOOKUP(B2968,Indices!$A$2:$A$2676,Indices!$B$2:$B$2676,"")</f>
        <v/>
      </c>
      <c r="E2968" t="str">
        <f>_xlfn.XLOOKUP(B2968,'2025-Q1'!$A$402:$A$448,'2025-Q1'!$A$402:$A$448,"avail")</f>
        <v>avail</v>
      </c>
      <c r="F2968" t="str">
        <f>_xlfn.XLOOKUP(B2968,'[2]!! -- Stock Universe 12.11.24'!$C$2:$C$1621,'[2]!! -- Stock Universe 12.11.24'!$E$2:$E$1621,"")</f>
        <v/>
      </c>
    </row>
    <row r="2969" spans="1:6" x14ac:dyDescent="0.25">
      <c r="A2969" s="140">
        <v>45715.250694444447</v>
      </c>
      <c r="B2969" t="s">
        <v>3631</v>
      </c>
      <c r="C2969" t="s">
        <v>6384</v>
      </c>
      <c r="D2969" s="6" t="str">
        <f>_xlfn.XLOOKUP(B2969,Indices!$A$2:$A$2676,Indices!$B$2:$B$2676,"")</f>
        <v/>
      </c>
      <c r="E2969" t="str">
        <f>_xlfn.XLOOKUP(B2969,'2025-Q1'!$A$402:$A$448,'2025-Q1'!$A$402:$A$448,"avail")</f>
        <v>avail</v>
      </c>
      <c r="F2969" t="str">
        <f>_xlfn.XLOOKUP(B2969,'[2]!! -- Stock Universe 12.11.24'!$C$2:$C$1621,'[2]!! -- Stock Universe 12.11.24'!$E$2:$E$1621,"")</f>
        <v/>
      </c>
    </row>
    <row r="2970" spans="1:6" x14ac:dyDescent="0.25">
      <c r="A2970" s="140">
        <v>45715.250694444447</v>
      </c>
      <c r="B2970" t="s">
        <v>335</v>
      </c>
      <c r="C2970" t="s">
        <v>6384</v>
      </c>
      <c r="D2970" s="6" t="str">
        <f>_xlfn.XLOOKUP(B2970,Indices!$A$2:$A$2676,Indices!$B$2:$B$2676,"")</f>
        <v>IWM</v>
      </c>
      <c r="E2970" t="str">
        <f>_xlfn.XLOOKUP(B2970,'2025-Q1'!$A$402:$A$448,'2025-Q1'!$A$402:$A$448,"avail")</f>
        <v>avail</v>
      </c>
      <c r="F2970" t="str">
        <f>_xlfn.XLOOKUP(B2970,'[2]!! -- Stock Universe 12.11.24'!$C$2:$C$1621,'[2]!! -- Stock Universe 12.11.24'!$E$2:$E$1621,"")</f>
        <v>Healthcare</v>
      </c>
    </row>
    <row r="2971" spans="1:6" x14ac:dyDescent="0.25">
      <c r="A2971" s="140">
        <v>45715.250694444447</v>
      </c>
      <c r="B2971" t="s">
        <v>3503</v>
      </c>
      <c r="C2971" t="s">
        <v>6384</v>
      </c>
      <c r="D2971" s="6" t="str">
        <f>_xlfn.XLOOKUP(B2971,Indices!$A$2:$A$2676,Indices!$B$2:$B$2676,"")</f>
        <v/>
      </c>
      <c r="E2971" t="str">
        <f>_xlfn.XLOOKUP(B2971,'2025-Q1'!$A$402:$A$448,'2025-Q1'!$A$402:$A$448,"avail")</f>
        <v>avail</v>
      </c>
      <c r="F2971" t="str">
        <f>_xlfn.XLOOKUP(B2971,'[2]!! -- Stock Universe 12.11.24'!$C$2:$C$1621,'[2]!! -- Stock Universe 12.11.24'!$E$2:$E$1621,"")</f>
        <v/>
      </c>
    </row>
    <row r="2972" spans="1:6" x14ac:dyDescent="0.25">
      <c r="A2972" s="140">
        <v>45715.253472222219</v>
      </c>
      <c r="B2972" t="s">
        <v>3461</v>
      </c>
      <c r="C2972" t="s">
        <v>6385</v>
      </c>
      <c r="D2972" s="6" t="str">
        <f>_xlfn.XLOOKUP(B2972,Indices!$A$2:$A$2676,Indices!$B$2:$B$2676,"")</f>
        <v/>
      </c>
      <c r="E2972" t="str">
        <f>_xlfn.XLOOKUP(B2972,'2025-Q1'!$A$402:$A$448,'2025-Q1'!$A$402:$A$448,"avail")</f>
        <v>avail</v>
      </c>
      <c r="F2972" t="str">
        <f>_xlfn.XLOOKUP(B2972,'[2]!! -- Stock Universe 12.11.24'!$C$2:$C$1621,'[2]!! -- Stock Universe 12.11.24'!$E$2:$E$1621,"")</f>
        <v>Financial</v>
      </c>
    </row>
    <row r="2973" spans="1:6" x14ac:dyDescent="0.25">
      <c r="A2973" s="140">
        <v>45715.260416666664</v>
      </c>
      <c r="B2973" t="s">
        <v>3377</v>
      </c>
      <c r="C2973" t="s">
        <v>6386</v>
      </c>
      <c r="D2973" s="6" t="str">
        <f>_xlfn.XLOOKUP(B2973,Indices!$A$2:$A$2676,Indices!$B$2:$B$2676,"")</f>
        <v/>
      </c>
      <c r="E2973" t="str">
        <f>_xlfn.XLOOKUP(B2973,'2025-Q1'!$A$402:$A$448,'2025-Q1'!$A$402:$A$448,"avail")</f>
        <v>avail</v>
      </c>
      <c r="F2973" t="str">
        <f>_xlfn.XLOOKUP(B2973,'[2]!! -- Stock Universe 12.11.24'!$C$2:$C$1621,'[2]!! -- Stock Universe 12.11.24'!$E$2:$E$1621,"")</f>
        <v/>
      </c>
    </row>
    <row r="2974" spans="1:6" x14ac:dyDescent="0.25">
      <c r="A2974" s="140">
        <v>45715.260416666664</v>
      </c>
      <c r="B2974" t="s">
        <v>3372</v>
      </c>
      <c r="C2974" t="s">
        <v>6386</v>
      </c>
      <c r="D2974" s="6" t="str">
        <f>_xlfn.XLOOKUP(B2974,Indices!$A$2:$A$2676,Indices!$B$2:$B$2676,"")</f>
        <v/>
      </c>
      <c r="E2974" t="str">
        <f>_xlfn.XLOOKUP(B2974,'2025-Q1'!$A$402:$A$448,'2025-Q1'!$A$402:$A$448,"avail")</f>
        <v>avail</v>
      </c>
      <c r="F2974" t="str">
        <f>_xlfn.XLOOKUP(B2974,'[2]!! -- Stock Universe 12.11.24'!$C$2:$C$1621,'[2]!! -- Stock Universe 12.11.24'!$E$2:$E$1621,"")</f>
        <v/>
      </c>
    </row>
    <row r="2975" spans="1:6" x14ac:dyDescent="0.25">
      <c r="A2975" s="140">
        <v>45715.260416666664</v>
      </c>
      <c r="B2975" t="s">
        <v>3502</v>
      </c>
      <c r="C2975" t="s">
        <v>6386</v>
      </c>
      <c r="D2975" s="6" t="str">
        <f>_xlfn.XLOOKUP(B2975,Indices!$A$2:$A$2676,Indices!$B$2:$B$2676,"")</f>
        <v/>
      </c>
      <c r="E2975" t="str">
        <f>_xlfn.XLOOKUP(B2975,'2025-Q1'!$A$402:$A$448,'2025-Q1'!$A$402:$A$448,"avail")</f>
        <v>avail</v>
      </c>
      <c r="F2975" t="str">
        <f>_xlfn.XLOOKUP(B2975,'[2]!! -- Stock Universe 12.11.24'!$C$2:$C$1621,'[2]!! -- Stock Universe 12.11.24'!$E$2:$E$1621,"")</f>
        <v/>
      </c>
    </row>
    <row r="2976" spans="1:6" x14ac:dyDescent="0.25">
      <c r="A2976" s="140">
        <v>45715.260416666664</v>
      </c>
      <c r="B2976" t="s">
        <v>3252</v>
      </c>
      <c r="C2976" t="s">
        <v>6386</v>
      </c>
      <c r="D2976" s="6" t="str">
        <f>_xlfn.XLOOKUP(B2976,Indices!$A$2:$A$2676,Indices!$B$2:$B$2676,"")</f>
        <v/>
      </c>
      <c r="E2976" t="str">
        <f>_xlfn.XLOOKUP(B2976,'2025-Q1'!$A$402:$A$448,'2025-Q1'!$A$402:$A$448,"avail")</f>
        <v>avail</v>
      </c>
      <c r="F2976" t="str">
        <f>_xlfn.XLOOKUP(B2976,'[2]!! -- Stock Universe 12.11.24'!$C$2:$C$1621,'[2]!! -- Stock Universe 12.11.24'!$E$2:$E$1621,"")</f>
        <v/>
      </c>
    </row>
    <row r="2977" spans="1:6" x14ac:dyDescent="0.25">
      <c r="A2977" s="140">
        <v>45715.260416666664</v>
      </c>
      <c r="B2977" t="s">
        <v>3052</v>
      </c>
      <c r="C2977" t="s">
        <v>6386</v>
      </c>
      <c r="D2977" s="6" t="str">
        <f>_xlfn.XLOOKUP(B2977,Indices!$A$2:$A$2676,Indices!$B$2:$B$2676,"")</f>
        <v/>
      </c>
      <c r="E2977" t="str">
        <f>_xlfn.XLOOKUP(B2977,'2025-Q1'!$A$402:$A$448,'2025-Q1'!$A$402:$A$448,"avail")</f>
        <v>avail</v>
      </c>
      <c r="F2977" t="str">
        <f>_xlfn.XLOOKUP(B2977,'[2]!! -- Stock Universe 12.11.24'!$C$2:$C$1621,'[2]!! -- Stock Universe 12.11.24'!$E$2:$E$1621,"")</f>
        <v/>
      </c>
    </row>
    <row r="2978" spans="1:6" x14ac:dyDescent="0.25">
      <c r="A2978" s="140">
        <v>45715.260416666664</v>
      </c>
      <c r="B2978" t="s">
        <v>3054</v>
      </c>
      <c r="C2978" t="s">
        <v>6386</v>
      </c>
      <c r="D2978" s="6" t="str">
        <f>_xlfn.XLOOKUP(B2978,Indices!$A$2:$A$2676,Indices!$B$2:$B$2676,"")</f>
        <v/>
      </c>
      <c r="E2978" t="str">
        <f>_xlfn.XLOOKUP(B2978,'2025-Q1'!$A$402:$A$448,'2025-Q1'!$A$402:$A$448,"avail")</f>
        <v>avail</v>
      </c>
      <c r="F2978" t="str">
        <f>_xlfn.XLOOKUP(B2978,'[2]!! -- Stock Universe 12.11.24'!$C$2:$C$1621,'[2]!! -- Stock Universe 12.11.24'!$E$2:$E$1621,"")</f>
        <v/>
      </c>
    </row>
    <row r="2979" spans="1:6" x14ac:dyDescent="0.25">
      <c r="A2979" s="140">
        <v>45715.260416666664</v>
      </c>
      <c r="B2979" t="s">
        <v>3345</v>
      </c>
      <c r="C2979" t="s">
        <v>6386</v>
      </c>
      <c r="D2979" s="6" t="str">
        <f>_xlfn.XLOOKUP(B2979,Indices!$A$2:$A$2676,Indices!$B$2:$B$2676,"")</f>
        <v/>
      </c>
      <c r="E2979" t="str">
        <f>_xlfn.XLOOKUP(B2979,'2025-Q1'!$A$402:$A$448,'2025-Q1'!$A$402:$A$448,"avail")</f>
        <v>avail</v>
      </c>
      <c r="F2979" t="str">
        <f>_xlfn.XLOOKUP(B2979,'[2]!! -- Stock Universe 12.11.24'!$C$2:$C$1621,'[2]!! -- Stock Universe 12.11.24'!$E$2:$E$1621,"")</f>
        <v>Communication Services</v>
      </c>
    </row>
    <row r="2980" spans="1:6" x14ac:dyDescent="0.25">
      <c r="A2980" s="140">
        <v>45715.260416666664</v>
      </c>
      <c r="B2980" t="s">
        <v>3046</v>
      </c>
      <c r="C2980" t="s">
        <v>6386</v>
      </c>
      <c r="D2980" s="6" t="str">
        <f>_xlfn.XLOOKUP(B2980,Indices!$A$2:$A$2676,Indices!$B$2:$B$2676,"")</f>
        <v/>
      </c>
      <c r="E2980" t="str">
        <f>_xlfn.XLOOKUP(B2980,'2025-Q1'!$A$402:$A$448,'2025-Q1'!$A$402:$A$448,"avail")</f>
        <v>avail</v>
      </c>
      <c r="F2980" t="str">
        <f>_xlfn.XLOOKUP(B2980,'[2]!! -- Stock Universe 12.11.24'!$C$2:$C$1621,'[2]!! -- Stock Universe 12.11.24'!$E$2:$E$1621,"")</f>
        <v>Communication Services</v>
      </c>
    </row>
    <row r="2981" spans="1:6" x14ac:dyDescent="0.25">
      <c r="A2981" s="140">
        <v>45715.270833333336</v>
      </c>
      <c r="B2981" t="s">
        <v>2108</v>
      </c>
      <c r="C2981" t="s">
        <v>6387</v>
      </c>
      <c r="D2981" s="6" t="str">
        <f>_xlfn.XLOOKUP(B2981,Indices!$A$2:$A$2676,Indices!$B$2:$B$2676,"")</f>
        <v>IWM</v>
      </c>
      <c r="E2981" t="str">
        <f>_xlfn.XLOOKUP(B2981,'2025-Q1'!$A$402:$A$448,'2025-Q1'!$A$402:$A$448,"avail")</f>
        <v>avail</v>
      </c>
      <c r="F2981" t="str">
        <f>_xlfn.XLOOKUP(B2981,'[2]!! -- Stock Universe 12.11.24'!$C$2:$C$1621,'[2]!! -- Stock Universe 12.11.24'!$E$2:$E$1621,"")</f>
        <v/>
      </c>
    </row>
    <row r="2982" spans="1:6" x14ac:dyDescent="0.25">
      <c r="A2982" s="140">
        <v>45715.291666666664</v>
      </c>
      <c r="B2982" t="s">
        <v>3512</v>
      </c>
      <c r="C2982" t="s">
        <v>3438</v>
      </c>
      <c r="D2982" s="6" t="str">
        <f>_xlfn.XLOOKUP(B2982,Indices!$A$2:$A$2676,Indices!$B$2:$B$2676,"")</f>
        <v/>
      </c>
      <c r="E2982" t="str">
        <f>_xlfn.XLOOKUP(B2982,'2025-Q1'!$A$402:$A$448,'2025-Q1'!$A$402:$A$448,"avail")</f>
        <v>avail</v>
      </c>
      <c r="F2982" t="str">
        <f>_xlfn.XLOOKUP(B2982,'[2]!! -- Stock Universe 12.11.24'!$C$2:$C$1621,'[2]!! -- Stock Universe 12.11.24'!$E$2:$E$1621,"")</f>
        <v/>
      </c>
    </row>
    <row r="2983" spans="1:6" x14ac:dyDescent="0.25">
      <c r="A2983" s="140">
        <v>45715.291666666664</v>
      </c>
      <c r="B2983" t="s">
        <v>3493</v>
      </c>
      <c r="C2983" t="s">
        <v>3440</v>
      </c>
      <c r="D2983" s="6" t="str">
        <f>_xlfn.XLOOKUP(B2983,Indices!$A$2:$A$2676,Indices!$B$2:$B$2676,"")</f>
        <v/>
      </c>
      <c r="E2983" t="str">
        <f>_xlfn.XLOOKUP(B2983,'2025-Q1'!$A$402:$A$448,'2025-Q1'!$A$402:$A$448,"avail")</f>
        <v>avail</v>
      </c>
      <c r="F2983" t="str">
        <f>_xlfn.XLOOKUP(B2983,'[2]!! -- Stock Universe 12.11.24'!$C$2:$C$1621,'[2]!! -- Stock Universe 12.11.24'!$E$2:$E$1621,"")</f>
        <v/>
      </c>
    </row>
    <row r="2984" spans="1:6" x14ac:dyDescent="0.25">
      <c r="A2984" s="140">
        <v>45715.291666666664</v>
      </c>
      <c r="B2984" t="s">
        <v>3514</v>
      </c>
      <c r="C2984" t="s">
        <v>3438</v>
      </c>
      <c r="D2984" s="6" t="str">
        <f>_xlfn.XLOOKUP(B2984,Indices!$A$2:$A$2676,Indices!$B$2:$B$2676,"")</f>
        <v/>
      </c>
      <c r="E2984" t="str">
        <f>_xlfn.XLOOKUP(B2984,'2025-Q1'!$A$402:$A$448,'2025-Q1'!$A$402:$A$448,"avail")</f>
        <v>avail</v>
      </c>
      <c r="F2984" t="str">
        <f>_xlfn.XLOOKUP(B2984,'[2]!! -- Stock Universe 12.11.24'!$C$2:$C$1621,'[2]!! -- Stock Universe 12.11.24'!$E$2:$E$1621,"")</f>
        <v/>
      </c>
    </row>
    <row r="2985" spans="1:6" x14ac:dyDescent="0.25">
      <c r="A2985" s="140">
        <v>45715.291666666664</v>
      </c>
      <c r="B2985" t="s">
        <v>3495</v>
      </c>
      <c r="C2985" t="s">
        <v>3440</v>
      </c>
      <c r="D2985" s="6" t="str">
        <f>_xlfn.XLOOKUP(B2985,Indices!$A$2:$A$2676,Indices!$B$2:$B$2676,"")</f>
        <v/>
      </c>
      <c r="E2985" t="str">
        <f>_xlfn.XLOOKUP(B2985,'2025-Q1'!$A$402:$A$448,'2025-Q1'!$A$402:$A$448,"avail")</f>
        <v>avail</v>
      </c>
      <c r="F2985" t="str">
        <f>_xlfn.XLOOKUP(B2985,'[2]!! -- Stock Universe 12.11.24'!$C$2:$C$1621,'[2]!! -- Stock Universe 12.11.24'!$E$2:$E$1621,"")</f>
        <v/>
      </c>
    </row>
    <row r="2986" spans="1:6" x14ac:dyDescent="0.25">
      <c r="A2986" s="140">
        <v>45715.291666666664</v>
      </c>
      <c r="B2986" t="s">
        <v>1776</v>
      </c>
      <c r="C2986" t="s">
        <v>6388</v>
      </c>
      <c r="D2986" s="6" t="str">
        <f>_xlfn.XLOOKUP(B2986,Indices!$A$2:$A$2676,Indices!$B$2:$B$2676,"")</f>
        <v>IWM</v>
      </c>
      <c r="E2986" t="str">
        <f>_xlfn.XLOOKUP(B2986,'2025-Q1'!$A$402:$A$448,'2025-Q1'!$A$402:$A$448,"avail")</f>
        <v>avail</v>
      </c>
      <c r="F2986" t="str">
        <f>_xlfn.XLOOKUP(B2986,'[2]!! -- Stock Universe 12.11.24'!$C$2:$C$1621,'[2]!! -- Stock Universe 12.11.24'!$E$2:$E$1621,"")</f>
        <v/>
      </c>
    </row>
    <row r="2987" spans="1:6" x14ac:dyDescent="0.25">
      <c r="A2987" s="140">
        <v>45715.291666666664</v>
      </c>
      <c r="B2987" t="s">
        <v>3473</v>
      </c>
      <c r="C2987" t="s">
        <v>3440</v>
      </c>
      <c r="D2987" s="6" t="str">
        <f>_xlfn.XLOOKUP(B2987,Indices!$A$2:$A$2676,Indices!$B$2:$B$2676,"")</f>
        <v/>
      </c>
      <c r="E2987" t="str">
        <f>_xlfn.XLOOKUP(B2987,'2025-Q1'!$A$402:$A$448,'2025-Q1'!$A$402:$A$448,"avail")</f>
        <v>avail</v>
      </c>
      <c r="F2987" t="str">
        <f>_xlfn.XLOOKUP(B2987,'[2]!! -- Stock Universe 12.11.24'!$C$2:$C$1621,'[2]!! -- Stock Universe 12.11.24'!$E$2:$E$1621,"")</f>
        <v/>
      </c>
    </row>
    <row r="2988" spans="1:6" x14ac:dyDescent="0.25">
      <c r="A2988" s="140">
        <v>45715.291666666664</v>
      </c>
      <c r="B2988" t="s">
        <v>195</v>
      </c>
      <c r="C2988" t="s">
        <v>3438</v>
      </c>
      <c r="D2988" s="6" t="str">
        <f>_xlfn.XLOOKUP(B2988,Indices!$A$2:$A$2676,Indices!$B$2:$B$2676,"")</f>
        <v>S&amp;P Mid</v>
      </c>
      <c r="E2988" t="str">
        <f>_xlfn.XLOOKUP(B2988,'2025-Q1'!$A$402:$A$448,'2025-Q1'!$A$402:$A$448,"avail")</f>
        <v>avail</v>
      </c>
      <c r="F2988" t="str">
        <f>_xlfn.XLOOKUP(B2988,'[2]!! -- Stock Universe 12.11.24'!$C$2:$C$1621,'[2]!! -- Stock Universe 12.11.24'!$E$2:$E$1621,"")</f>
        <v/>
      </c>
    </row>
    <row r="2989" spans="1:6" x14ac:dyDescent="0.25">
      <c r="A2989" s="140">
        <v>45715.291666666664</v>
      </c>
      <c r="B2989" t="s">
        <v>3521</v>
      </c>
      <c r="C2989" t="s">
        <v>3438</v>
      </c>
      <c r="D2989" s="6" t="str">
        <f>_xlfn.XLOOKUP(B2989,Indices!$A$2:$A$2676,Indices!$B$2:$B$2676,"")</f>
        <v/>
      </c>
      <c r="E2989" t="str">
        <f>_xlfn.XLOOKUP(B2989,'2025-Q1'!$A$402:$A$448,'2025-Q1'!$A$402:$A$448,"avail")</f>
        <v>avail</v>
      </c>
      <c r="F2989" t="str">
        <f>_xlfn.XLOOKUP(B2989,'[2]!! -- Stock Universe 12.11.24'!$C$2:$C$1621,'[2]!! -- Stock Universe 12.11.24'!$E$2:$E$1621,"")</f>
        <v/>
      </c>
    </row>
    <row r="2990" spans="1:6" x14ac:dyDescent="0.25">
      <c r="A2990" s="140">
        <v>45715.291666666664</v>
      </c>
      <c r="B2990" t="s">
        <v>3249</v>
      </c>
      <c r="C2990" t="s">
        <v>3438</v>
      </c>
      <c r="D2990" s="6" t="str">
        <f>_xlfn.XLOOKUP(B2990,Indices!$A$2:$A$2676,Indices!$B$2:$B$2676,"")</f>
        <v/>
      </c>
      <c r="E2990" t="str">
        <f>_xlfn.XLOOKUP(B2990,'2025-Q1'!$A$402:$A$448,'2025-Q1'!$A$402:$A$448,"avail")</f>
        <v>avail</v>
      </c>
      <c r="F2990" t="str">
        <f>_xlfn.XLOOKUP(B2990,'[2]!! -- Stock Universe 12.11.24'!$C$2:$C$1621,'[2]!! -- Stock Universe 12.11.24'!$E$2:$E$1621,"")</f>
        <v/>
      </c>
    </row>
    <row r="2991" spans="1:6" x14ac:dyDescent="0.25">
      <c r="A2991" s="140">
        <v>45715.305555555555</v>
      </c>
      <c r="B2991" t="s">
        <v>3470</v>
      </c>
      <c r="C2991" t="s">
        <v>6389</v>
      </c>
      <c r="D2991" s="6" t="str">
        <f>_xlfn.XLOOKUP(B2991,Indices!$A$2:$A$2676,Indices!$B$2:$B$2676,"")</f>
        <v/>
      </c>
      <c r="E2991" t="str">
        <f>_xlfn.XLOOKUP(B2991,'2025-Q1'!$A$402:$A$448,'2025-Q1'!$A$402:$A$448,"avail")</f>
        <v>avail</v>
      </c>
      <c r="F2991" t="str">
        <f>_xlfn.XLOOKUP(B2991,'[2]!! -- Stock Universe 12.11.24'!$C$2:$C$1621,'[2]!! -- Stock Universe 12.11.24'!$E$2:$E$1621,"")</f>
        <v/>
      </c>
    </row>
    <row r="2992" spans="1:6" x14ac:dyDescent="0.25">
      <c r="A2992" s="140">
        <v>45715.40625</v>
      </c>
      <c r="B2992" t="s">
        <v>3526</v>
      </c>
      <c r="C2992" t="s">
        <v>6390</v>
      </c>
      <c r="D2992" s="6" t="str">
        <f>_xlfn.XLOOKUP(B2992,Indices!$A$2:$A$2676,Indices!$B$2:$B$2676,"")</f>
        <v/>
      </c>
      <c r="E2992" t="str">
        <f>_xlfn.XLOOKUP(B2992,'2025-Q1'!$A$402:$A$448,'2025-Q1'!$A$402:$A$448,"avail")</f>
        <v>avail</v>
      </c>
      <c r="F2992" t="str">
        <f>_xlfn.XLOOKUP(B2992,'[2]!! -- Stock Universe 12.11.24'!$C$2:$C$1621,'[2]!! -- Stock Universe 12.11.24'!$E$2:$E$1621,"")</f>
        <v/>
      </c>
    </row>
    <row r="2993" spans="1:6" x14ac:dyDescent="0.25">
      <c r="A2993" s="140">
        <v>45715.458333333336</v>
      </c>
      <c r="B2993" t="s">
        <v>3525</v>
      </c>
      <c r="C2993" t="s">
        <v>3524</v>
      </c>
      <c r="D2993" s="6" t="str">
        <f>_xlfn.XLOOKUP(B2993,Indices!$A$2:$A$2676,Indices!$B$2:$B$2676,"")</f>
        <v/>
      </c>
      <c r="E2993" t="str">
        <f>_xlfn.XLOOKUP(B2993,'2025-Q1'!$A$402:$A$448,'2025-Q1'!$A$402:$A$448,"avail")</f>
        <v>avail</v>
      </c>
      <c r="F2993" t="str">
        <f>_xlfn.XLOOKUP(B2993,'[2]!! -- Stock Universe 12.11.24'!$C$2:$C$1621,'[2]!! -- Stock Universe 12.11.24'!$E$2:$E$1621,"")</f>
        <v/>
      </c>
    </row>
    <row r="2994" spans="1:6" x14ac:dyDescent="0.25">
      <c r="A2994" s="140">
        <v>45715.465277777781</v>
      </c>
      <c r="B2994" t="s">
        <v>647</v>
      </c>
      <c r="C2994" t="s">
        <v>6391</v>
      </c>
      <c r="D2994" s="6" t="str">
        <f>_xlfn.XLOOKUP(B2994,Indices!$A$2:$A$2676,Indices!$B$2:$B$2676,"")</f>
        <v>IWM</v>
      </c>
      <c r="E2994" t="str">
        <f>_xlfn.XLOOKUP(B2994,'2025-Q1'!$A$402:$A$448,'2025-Q1'!$A$402:$A$448,"avail")</f>
        <v>avail</v>
      </c>
      <c r="F2994" t="str">
        <f>_xlfn.XLOOKUP(B2994,'[2]!! -- Stock Universe 12.11.24'!$C$2:$C$1621,'[2]!! -- Stock Universe 12.11.24'!$E$2:$E$1621,"")</f>
        <v/>
      </c>
    </row>
    <row r="2995" spans="1:6" x14ac:dyDescent="0.25">
      <c r="A2995" s="140">
        <v>45715.492361111108</v>
      </c>
      <c r="B2995" t="s">
        <v>4221</v>
      </c>
      <c r="C2995" t="s">
        <v>6392</v>
      </c>
      <c r="D2995" s="6" t="str">
        <f>_xlfn.XLOOKUP(B2995,Indices!$A$2:$A$2676,Indices!$B$2:$B$2676,"")</f>
        <v/>
      </c>
      <c r="E2995" t="str">
        <f>_xlfn.XLOOKUP(B2995,'2025-Q1'!$A$402:$A$448,'2025-Q1'!$A$402:$A$448,"avail")</f>
        <v>avail</v>
      </c>
      <c r="F2995" t="str">
        <f>_xlfn.XLOOKUP(B2995,'[2]!! -- Stock Universe 12.11.24'!$C$2:$C$1621,'[2]!! -- Stock Universe 12.11.24'!$E$2:$E$1621,"")</f>
        <v/>
      </c>
    </row>
    <row r="2996" spans="1:6" x14ac:dyDescent="0.25">
      <c r="A2996" s="140">
        <v>45715.583333333336</v>
      </c>
      <c r="B2996" t="s">
        <v>654</v>
      </c>
      <c r="C2996" t="s">
        <v>6393</v>
      </c>
      <c r="D2996" s="6" t="str">
        <f>_xlfn.XLOOKUP(B2996,Indices!$A$2:$A$2676,Indices!$B$2:$B$2676,"")</f>
        <v>IWM</v>
      </c>
      <c r="E2996" t="str">
        <f>_xlfn.XLOOKUP(B2996,'2025-Q1'!$A$402:$A$448,'2025-Q1'!$A$402:$A$448,"avail")</f>
        <v>avail</v>
      </c>
      <c r="F2996" t="str">
        <f>_xlfn.XLOOKUP(B2996,'[2]!! -- Stock Universe 12.11.24'!$C$2:$C$1621,'[2]!! -- Stock Universe 12.11.24'!$E$2:$E$1621,"")</f>
        <v>Healthcare</v>
      </c>
    </row>
    <row r="2997" spans="1:6" x14ac:dyDescent="0.25">
      <c r="A2997" s="140">
        <v>45715.583333333336</v>
      </c>
      <c r="B2997" t="s">
        <v>637</v>
      </c>
      <c r="C2997" t="s">
        <v>6393</v>
      </c>
      <c r="D2997" s="6" t="str">
        <f>_xlfn.XLOOKUP(B2997,Indices!$A$2:$A$2676,Indices!$B$2:$B$2676,"")</f>
        <v>IWM</v>
      </c>
      <c r="E2997" t="str">
        <f>_xlfn.XLOOKUP(B2997,'2025-Q1'!$A$402:$A$448,'2025-Q1'!$A$402:$A$448,"avail")</f>
        <v>avail</v>
      </c>
      <c r="F2997" t="str">
        <f>_xlfn.XLOOKUP(B2997,'[2]!! -- Stock Universe 12.11.24'!$C$2:$C$1621,'[2]!! -- Stock Universe 12.11.24'!$E$2:$E$1621,"")</f>
        <v>Communication Services</v>
      </c>
    </row>
    <row r="2998" spans="1:6" x14ac:dyDescent="0.25">
      <c r="A2998" s="140">
        <v>45715.583333333336</v>
      </c>
      <c r="B2998" t="s">
        <v>3716</v>
      </c>
      <c r="C2998" t="s">
        <v>6393</v>
      </c>
      <c r="D2998" s="6" t="str">
        <f>_xlfn.XLOOKUP(B2998,Indices!$A$2:$A$2676,Indices!$B$2:$B$2676,"")</f>
        <v/>
      </c>
      <c r="E2998" t="str">
        <f>_xlfn.XLOOKUP(B2998,'2025-Q1'!$A$402:$A$448,'2025-Q1'!$A$402:$A$448,"avail")</f>
        <v>avail</v>
      </c>
      <c r="F2998" t="str">
        <f>_xlfn.XLOOKUP(B2998,'[2]!! -- Stock Universe 12.11.24'!$C$2:$C$1621,'[2]!! -- Stock Universe 12.11.24'!$E$2:$E$1621,"")</f>
        <v/>
      </c>
    </row>
    <row r="2999" spans="1:6" x14ac:dyDescent="0.25">
      <c r="A2999" s="140">
        <v>45715.583333333336</v>
      </c>
      <c r="B2999" t="s">
        <v>714</v>
      </c>
      <c r="C2999" t="s">
        <v>6393</v>
      </c>
      <c r="D2999" s="6" t="str">
        <f>_xlfn.XLOOKUP(B2999,Indices!$A$2:$A$2676,Indices!$B$2:$B$2676,"")</f>
        <v>IWM</v>
      </c>
      <c r="E2999" t="str">
        <f>_xlfn.XLOOKUP(B2999,'2025-Q1'!$A$402:$A$448,'2025-Q1'!$A$402:$A$448,"avail")</f>
        <v>avail</v>
      </c>
      <c r="F2999" t="str">
        <f>_xlfn.XLOOKUP(B2999,'[2]!! -- Stock Universe 12.11.24'!$C$2:$C$1621,'[2]!! -- Stock Universe 12.11.24'!$E$2:$E$1621,"")</f>
        <v>Industrials</v>
      </c>
    </row>
    <row r="3000" spans="1:6" x14ac:dyDescent="0.25">
      <c r="A3000" s="140">
        <v>45715.583333333336</v>
      </c>
      <c r="B3000" t="s">
        <v>3218</v>
      </c>
      <c r="C3000" t="s">
        <v>6393</v>
      </c>
      <c r="D3000" s="6" t="str">
        <f>_xlfn.XLOOKUP(B3000,Indices!$A$2:$A$2676,Indices!$B$2:$B$2676,"")</f>
        <v/>
      </c>
      <c r="E3000" t="str">
        <f>_xlfn.XLOOKUP(B3000,'2025-Q1'!$A$402:$A$448,'2025-Q1'!$A$402:$A$448,"avail")</f>
        <v>avail</v>
      </c>
      <c r="F3000" t="str">
        <f>_xlfn.XLOOKUP(B3000,'[2]!! -- Stock Universe 12.11.24'!$C$2:$C$1621,'[2]!! -- Stock Universe 12.11.24'!$E$2:$E$1621,"")</f>
        <v>Technology</v>
      </c>
    </row>
    <row r="3001" spans="1:6" x14ac:dyDescent="0.25">
      <c r="A3001" s="140">
        <v>45715.583333333336</v>
      </c>
      <c r="B3001" t="s">
        <v>653</v>
      </c>
      <c r="C3001" t="s">
        <v>6393</v>
      </c>
      <c r="D3001" s="6" t="str">
        <f>_xlfn.XLOOKUP(B3001,Indices!$A$2:$A$2676,Indices!$B$2:$B$2676,"")</f>
        <v>IWM</v>
      </c>
      <c r="E3001" t="str">
        <f>_xlfn.XLOOKUP(B3001,'2025-Q1'!$A$402:$A$448,'2025-Q1'!$A$402:$A$448,"avail")</f>
        <v>avail</v>
      </c>
      <c r="F3001" t="str">
        <f>_xlfn.XLOOKUP(B3001,'[2]!! -- Stock Universe 12.11.24'!$C$2:$C$1621,'[2]!! -- Stock Universe 12.11.24'!$E$2:$E$1621,"")</f>
        <v>Real Estate</v>
      </c>
    </row>
    <row r="3002" spans="1:6" x14ac:dyDescent="0.25">
      <c r="A3002" s="140">
        <v>45715.583333333336</v>
      </c>
      <c r="B3002" t="s">
        <v>328</v>
      </c>
      <c r="C3002" t="s">
        <v>6393</v>
      </c>
      <c r="D3002" s="6" t="str">
        <f>_xlfn.XLOOKUP(B3002,Indices!$A$2:$A$2676,Indices!$B$2:$B$2676,"")</f>
        <v>IWM</v>
      </c>
      <c r="E3002" t="str">
        <f>_xlfn.XLOOKUP(B3002,'2025-Q1'!$A$402:$A$448,'2025-Q1'!$A$402:$A$448,"avail")</f>
        <v>avail</v>
      </c>
      <c r="F3002" t="str">
        <f>_xlfn.XLOOKUP(B3002,'[2]!! -- Stock Universe 12.11.24'!$C$2:$C$1621,'[2]!! -- Stock Universe 12.11.24'!$E$2:$E$1621,"")</f>
        <v>Healthcare</v>
      </c>
    </row>
    <row r="3003" spans="1:6" x14ac:dyDescent="0.25">
      <c r="A3003" s="140">
        <v>45715.584027777775</v>
      </c>
      <c r="B3003" t="s">
        <v>339</v>
      </c>
      <c r="C3003" t="s">
        <v>6394</v>
      </c>
      <c r="D3003" s="6" t="str">
        <f>_xlfn.XLOOKUP(B3003,Indices!$A$2:$A$2676,Indices!$B$2:$B$2676,"")</f>
        <v>IWM</v>
      </c>
      <c r="E3003" t="str">
        <f>_xlfn.XLOOKUP(B3003,'2025-Q1'!$A$402:$A$448,'2025-Q1'!$A$402:$A$448,"avail")</f>
        <v>avail</v>
      </c>
      <c r="F3003" t="str">
        <f>_xlfn.XLOOKUP(B3003,'[2]!! -- Stock Universe 12.11.24'!$C$2:$C$1621,'[2]!! -- Stock Universe 12.11.24'!$E$2:$E$1621,"")</f>
        <v>Healthcare</v>
      </c>
    </row>
    <row r="3004" spans="1:6" x14ac:dyDescent="0.25">
      <c r="A3004" s="140">
        <v>45715.584027777775</v>
      </c>
      <c r="B3004" t="s">
        <v>3378</v>
      </c>
      <c r="C3004" t="s">
        <v>6394</v>
      </c>
      <c r="D3004" s="6" t="str">
        <f>_xlfn.XLOOKUP(B3004,Indices!$A$2:$A$2676,Indices!$B$2:$B$2676,"")</f>
        <v/>
      </c>
      <c r="E3004" t="str">
        <f>_xlfn.XLOOKUP(B3004,'2025-Q1'!$A$402:$A$448,'2025-Q1'!$A$402:$A$448,"avail")</f>
        <v>avail</v>
      </c>
      <c r="F3004" t="str">
        <f>_xlfn.XLOOKUP(B3004,'[2]!! -- Stock Universe 12.11.24'!$C$2:$C$1621,'[2]!! -- Stock Universe 12.11.24'!$E$2:$E$1621,"")</f>
        <v/>
      </c>
    </row>
    <row r="3005" spans="1:6" x14ac:dyDescent="0.25">
      <c r="A3005" s="140">
        <v>45715.584027777775</v>
      </c>
      <c r="B3005" t="s">
        <v>949</v>
      </c>
      <c r="C3005" t="s">
        <v>6394</v>
      </c>
      <c r="D3005" s="6" t="str">
        <f>_xlfn.XLOOKUP(B3005,Indices!$A$2:$A$2676,Indices!$B$2:$B$2676,"")</f>
        <v>IWM</v>
      </c>
      <c r="E3005" t="str">
        <f>_xlfn.XLOOKUP(B3005,'2025-Q1'!$A$402:$A$448,'2025-Q1'!$A$402:$A$448,"avail")</f>
        <v>avail</v>
      </c>
      <c r="F3005" t="str">
        <f>_xlfn.XLOOKUP(B3005,'[2]!! -- Stock Universe 12.11.24'!$C$2:$C$1621,'[2]!! -- Stock Universe 12.11.24'!$E$2:$E$1621,"")</f>
        <v>Healthcare</v>
      </c>
    </row>
    <row r="3006" spans="1:6" x14ac:dyDescent="0.25">
      <c r="A3006" s="140">
        <v>45715.584027777775</v>
      </c>
      <c r="B3006" t="s">
        <v>2117</v>
      </c>
      <c r="C3006" t="s">
        <v>6394</v>
      </c>
      <c r="D3006" s="6" t="str">
        <f>_xlfn.XLOOKUP(B3006,Indices!$A$2:$A$2676,Indices!$B$2:$B$2676,"")</f>
        <v>IWM</v>
      </c>
      <c r="E3006" t="str">
        <f>_xlfn.XLOOKUP(B3006,'2025-Q1'!$A$402:$A$448,'2025-Q1'!$A$402:$A$448,"avail")</f>
        <v>avail</v>
      </c>
      <c r="F3006" t="str">
        <f>_xlfn.XLOOKUP(B3006,'[2]!! -- Stock Universe 12.11.24'!$C$2:$C$1621,'[2]!! -- Stock Universe 12.11.24'!$E$2:$E$1621,"")</f>
        <v>Technology</v>
      </c>
    </row>
    <row r="3007" spans="1:6" x14ac:dyDescent="0.25">
      <c r="A3007" s="140">
        <v>45715.584027777775</v>
      </c>
      <c r="B3007" t="s">
        <v>340</v>
      </c>
      <c r="C3007" t="s">
        <v>6394</v>
      </c>
      <c r="D3007" s="6" t="str">
        <f>_xlfn.XLOOKUP(B3007,Indices!$A$2:$A$2676,Indices!$B$2:$B$2676,"")</f>
        <v>IWM</v>
      </c>
      <c r="E3007" t="str">
        <f>_xlfn.XLOOKUP(B3007,'2025-Q1'!$A$402:$A$448,'2025-Q1'!$A$402:$A$448,"avail")</f>
        <v>avail</v>
      </c>
      <c r="F3007" t="str">
        <f>_xlfn.XLOOKUP(B3007,'[2]!! -- Stock Universe 12.11.24'!$C$2:$C$1621,'[2]!! -- Stock Universe 12.11.24'!$E$2:$E$1621,"")</f>
        <v>Healthcare</v>
      </c>
    </row>
    <row r="3008" spans="1:6" x14ac:dyDescent="0.25">
      <c r="A3008" s="140">
        <v>45715.584027777775</v>
      </c>
      <c r="B3008" t="s">
        <v>3705</v>
      </c>
      <c r="C3008" t="s">
        <v>6394</v>
      </c>
      <c r="D3008" s="6" t="str">
        <f>_xlfn.XLOOKUP(B3008,Indices!$A$2:$A$2676,Indices!$B$2:$B$2676,"")</f>
        <v/>
      </c>
      <c r="E3008" t="str">
        <f>_xlfn.XLOOKUP(B3008,'2025-Q1'!$A$402:$A$448,'2025-Q1'!$A$402:$A$448,"avail")</f>
        <v>avail</v>
      </c>
      <c r="F3008" t="str">
        <f>_xlfn.XLOOKUP(B3008,'[2]!! -- Stock Universe 12.11.24'!$C$2:$C$1621,'[2]!! -- Stock Universe 12.11.24'!$E$2:$E$1621,"")</f>
        <v>Healthcare</v>
      </c>
    </row>
    <row r="3009" spans="1:6" x14ac:dyDescent="0.25">
      <c r="A3009" s="140">
        <v>45715.584027777775</v>
      </c>
      <c r="B3009" t="s">
        <v>3457</v>
      </c>
      <c r="C3009" t="s">
        <v>6394</v>
      </c>
      <c r="D3009" s="6" t="str">
        <f>_xlfn.XLOOKUP(B3009,Indices!$A$2:$A$2676,Indices!$B$2:$B$2676,"")</f>
        <v/>
      </c>
      <c r="E3009" t="str">
        <f>_xlfn.XLOOKUP(B3009,'2025-Q1'!$A$402:$A$448,'2025-Q1'!$A$402:$A$448,"avail")</f>
        <v>avail</v>
      </c>
      <c r="F3009" t="str">
        <f>_xlfn.XLOOKUP(B3009,'[2]!! -- Stock Universe 12.11.24'!$C$2:$C$1621,'[2]!! -- Stock Universe 12.11.24'!$E$2:$E$1621,"")</f>
        <v>Consumer Cyclical</v>
      </c>
    </row>
    <row r="3010" spans="1:6" x14ac:dyDescent="0.25">
      <c r="A3010" s="140">
        <v>45715.584027777775</v>
      </c>
      <c r="B3010" t="s">
        <v>660</v>
      </c>
      <c r="C3010" t="s">
        <v>6394</v>
      </c>
      <c r="D3010" s="6" t="str">
        <f>_xlfn.XLOOKUP(B3010,Indices!$A$2:$A$2676,Indices!$B$2:$B$2676,"")</f>
        <v>IWM</v>
      </c>
      <c r="E3010" t="str">
        <f>_xlfn.XLOOKUP(B3010,'2025-Q1'!$A$402:$A$448,'2025-Q1'!$A$402:$A$448,"avail")</f>
        <v>avail</v>
      </c>
      <c r="F3010" t="str">
        <f>_xlfn.XLOOKUP(B3010,'[2]!! -- Stock Universe 12.11.24'!$C$2:$C$1621,'[2]!! -- Stock Universe 12.11.24'!$E$2:$E$1621,"")</f>
        <v>Technology</v>
      </c>
    </row>
    <row r="3011" spans="1:6" x14ac:dyDescent="0.25">
      <c r="A3011" s="140">
        <v>45715.584027777775</v>
      </c>
      <c r="B3011" t="s">
        <v>343</v>
      </c>
      <c r="C3011" t="s">
        <v>6394</v>
      </c>
      <c r="D3011" s="6" t="str">
        <f>_xlfn.XLOOKUP(B3011,Indices!$A$2:$A$2676,Indices!$B$2:$B$2676,"")</f>
        <v>IWM</v>
      </c>
      <c r="E3011" t="str">
        <f>_xlfn.XLOOKUP(B3011,'2025-Q1'!$A$402:$A$448,'2025-Q1'!$A$402:$A$448,"avail")</f>
        <v>avail</v>
      </c>
      <c r="F3011" t="str">
        <f>_xlfn.XLOOKUP(B3011,'[2]!! -- Stock Universe 12.11.24'!$C$2:$C$1621,'[2]!! -- Stock Universe 12.11.24'!$E$2:$E$1621,"")</f>
        <v>Healthcare</v>
      </c>
    </row>
    <row r="3012" spans="1:6" x14ac:dyDescent="0.25">
      <c r="A3012" s="140">
        <v>45715.584027777775</v>
      </c>
      <c r="B3012" t="s">
        <v>673</v>
      </c>
      <c r="C3012" t="s">
        <v>6394</v>
      </c>
      <c r="D3012" s="6" t="str">
        <f>_xlfn.XLOOKUP(B3012,Indices!$A$2:$A$2676,Indices!$B$2:$B$2676,"")</f>
        <v>IWM</v>
      </c>
      <c r="E3012" t="str">
        <f>_xlfn.XLOOKUP(B3012,'2025-Q1'!$A$402:$A$448,'2025-Q1'!$A$402:$A$448,"avail")</f>
        <v>avail</v>
      </c>
      <c r="F3012" t="str">
        <f>_xlfn.XLOOKUP(B3012,'[2]!! -- Stock Universe 12.11.24'!$C$2:$C$1621,'[2]!! -- Stock Universe 12.11.24'!$E$2:$E$1621,"")</f>
        <v>Healthcare</v>
      </c>
    </row>
    <row r="3013" spans="1:6" x14ac:dyDescent="0.25">
      <c r="A3013" s="140">
        <v>45715.584027777775</v>
      </c>
      <c r="B3013" t="s">
        <v>3548</v>
      </c>
      <c r="C3013" t="s">
        <v>6394</v>
      </c>
      <c r="D3013" s="6" t="str">
        <f>_xlfn.XLOOKUP(B3013,Indices!$A$2:$A$2676,Indices!$B$2:$B$2676,"")</f>
        <v/>
      </c>
      <c r="E3013" t="str">
        <f>_xlfn.XLOOKUP(B3013,'2025-Q1'!$A$402:$A$448,'2025-Q1'!$A$402:$A$448,"avail")</f>
        <v>avail</v>
      </c>
      <c r="F3013" t="str">
        <f>_xlfn.XLOOKUP(B3013,'[2]!! -- Stock Universe 12.11.24'!$C$2:$C$1621,'[2]!! -- Stock Universe 12.11.24'!$E$2:$E$1621,"")</f>
        <v/>
      </c>
    </row>
    <row r="3014" spans="1:6" x14ac:dyDescent="0.25">
      <c r="A3014" s="140">
        <v>45715.584027777775</v>
      </c>
      <c r="B3014" t="s">
        <v>879</v>
      </c>
      <c r="C3014" t="s">
        <v>6394</v>
      </c>
      <c r="D3014" s="6" t="str">
        <f>_xlfn.XLOOKUP(B3014,Indices!$A$2:$A$2676,Indices!$B$2:$B$2676,"")</f>
        <v>SP500</v>
      </c>
      <c r="E3014" t="str">
        <f>_xlfn.XLOOKUP(B3014,'2025-Q1'!$A$402:$A$448,'2025-Q1'!$A$402:$A$448,"avail")</f>
        <v>avail</v>
      </c>
      <c r="F3014" t="str">
        <f>_xlfn.XLOOKUP(B3014,'[2]!! -- Stock Universe 12.11.24'!$C$2:$C$1621,'[2]!! -- Stock Universe 12.11.24'!$E$2:$E$1621,"")</f>
        <v>Basic Materials</v>
      </c>
    </row>
    <row r="3015" spans="1:6" x14ac:dyDescent="0.25">
      <c r="A3015" s="140">
        <v>45715.584027777775</v>
      </c>
      <c r="B3015" t="s">
        <v>678</v>
      </c>
      <c r="C3015" t="s">
        <v>6394</v>
      </c>
      <c r="D3015" s="6" t="str">
        <f>_xlfn.XLOOKUP(B3015,Indices!$A$2:$A$2676,Indices!$B$2:$B$2676,"")</f>
        <v>IWM</v>
      </c>
      <c r="E3015" t="str">
        <f>_xlfn.XLOOKUP(B3015,'2025-Q1'!$A$402:$A$448,'2025-Q1'!$A$402:$A$448,"avail")</f>
        <v>avail</v>
      </c>
      <c r="F3015" t="str">
        <f>_xlfn.XLOOKUP(B3015,'[2]!! -- Stock Universe 12.11.24'!$C$2:$C$1621,'[2]!! -- Stock Universe 12.11.24'!$E$2:$E$1621,"")</f>
        <v/>
      </c>
    </row>
    <row r="3016" spans="1:6" x14ac:dyDescent="0.25">
      <c r="A3016" s="140">
        <v>45715.584027777775</v>
      </c>
      <c r="B3016" t="s">
        <v>1161</v>
      </c>
      <c r="C3016" t="s">
        <v>6394</v>
      </c>
      <c r="D3016" s="6" t="str">
        <f>_xlfn.XLOOKUP(B3016,Indices!$A$2:$A$2676,Indices!$B$2:$B$2676,"")</f>
        <v>SP500</v>
      </c>
      <c r="E3016" t="str">
        <f>_xlfn.XLOOKUP(B3016,'2025-Q1'!$A$402:$A$448,'2025-Q1'!$A$402:$A$448,"avail")</f>
        <v>avail</v>
      </c>
      <c r="F3016" t="str">
        <f>_xlfn.XLOOKUP(B3016,'[2]!! -- Stock Universe 12.11.24'!$C$2:$C$1621,'[2]!! -- Stock Universe 12.11.24'!$E$2:$E$1621,"")</f>
        <v>Technology</v>
      </c>
    </row>
    <row r="3017" spans="1:6" x14ac:dyDescent="0.25">
      <c r="A3017" s="140">
        <v>45715.584027777775</v>
      </c>
      <c r="B3017" t="s">
        <v>3337</v>
      </c>
      <c r="C3017" t="s">
        <v>6394</v>
      </c>
      <c r="D3017" s="6" t="str">
        <f>_xlfn.XLOOKUP(B3017,Indices!$A$2:$A$2676,Indices!$B$2:$B$2676,"")</f>
        <v/>
      </c>
      <c r="E3017" t="str">
        <f>_xlfn.XLOOKUP(B3017,'2025-Q1'!$A$402:$A$448,'2025-Q1'!$A$402:$A$448,"avail")</f>
        <v>avail</v>
      </c>
      <c r="F3017" t="str">
        <f>_xlfn.XLOOKUP(B3017,'[2]!! -- Stock Universe 12.11.24'!$C$2:$C$1621,'[2]!! -- Stock Universe 12.11.24'!$E$2:$E$1621,"")</f>
        <v>Technology</v>
      </c>
    </row>
    <row r="3018" spans="1:6" x14ac:dyDescent="0.25">
      <c r="A3018" s="140">
        <v>45715.584027777775</v>
      </c>
      <c r="B3018" t="s">
        <v>5684</v>
      </c>
      <c r="C3018" t="s">
        <v>6394</v>
      </c>
      <c r="D3018" s="6" t="str">
        <f>_xlfn.XLOOKUP(B3018,Indices!$A$2:$A$2676,Indices!$B$2:$B$2676,"")</f>
        <v/>
      </c>
      <c r="E3018" t="str">
        <f>_xlfn.XLOOKUP(B3018,'2025-Q1'!$A$402:$A$448,'2025-Q1'!$A$402:$A$448,"avail")</f>
        <v>avail</v>
      </c>
      <c r="F3018" t="str">
        <f>_xlfn.XLOOKUP(B3018,'[2]!! -- Stock Universe 12.11.24'!$C$2:$C$1621,'[2]!! -- Stock Universe 12.11.24'!$E$2:$E$1621,"")</f>
        <v/>
      </c>
    </row>
    <row r="3019" spans="1:6" x14ac:dyDescent="0.25">
      <c r="A3019" s="140">
        <v>45715.584027777775</v>
      </c>
      <c r="B3019" t="s">
        <v>5685</v>
      </c>
      <c r="C3019" t="s">
        <v>6394</v>
      </c>
      <c r="D3019" s="6" t="str">
        <f>_xlfn.XLOOKUP(B3019,Indices!$A$2:$A$2676,Indices!$B$2:$B$2676,"")</f>
        <v/>
      </c>
      <c r="E3019" t="str">
        <f>_xlfn.XLOOKUP(B3019,'2025-Q1'!$A$402:$A$448,'2025-Q1'!$A$402:$A$448,"avail")</f>
        <v>avail</v>
      </c>
      <c r="F3019" t="str">
        <f>_xlfn.XLOOKUP(B3019,'[2]!! -- Stock Universe 12.11.24'!$C$2:$C$1621,'[2]!! -- Stock Universe 12.11.24'!$E$2:$E$1621,"")</f>
        <v/>
      </c>
    </row>
    <row r="3020" spans="1:6" x14ac:dyDescent="0.25">
      <c r="A3020" s="140">
        <v>45715.584027777775</v>
      </c>
      <c r="B3020" t="s">
        <v>663</v>
      </c>
      <c r="C3020" t="s">
        <v>6394</v>
      </c>
      <c r="D3020" s="6" t="str">
        <f>_xlfn.XLOOKUP(B3020,Indices!$A$2:$A$2676,Indices!$B$2:$B$2676,"")</f>
        <v>IWM</v>
      </c>
      <c r="E3020" t="str">
        <f>_xlfn.XLOOKUP(B3020,'2025-Q1'!$A$402:$A$448,'2025-Q1'!$A$402:$A$448,"avail")</f>
        <v>avail</v>
      </c>
      <c r="F3020" t="str">
        <f>_xlfn.XLOOKUP(B3020,'[2]!! -- Stock Universe 12.11.24'!$C$2:$C$1621,'[2]!! -- Stock Universe 12.11.24'!$E$2:$E$1621,"")</f>
        <v>Healthcare</v>
      </c>
    </row>
    <row r="3021" spans="1:6" x14ac:dyDescent="0.25">
      <c r="A3021" s="140">
        <v>45715.584027777775</v>
      </c>
      <c r="B3021" t="s">
        <v>1128</v>
      </c>
      <c r="C3021" t="s">
        <v>6394</v>
      </c>
      <c r="D3021" s="6" t="str">
        <f>_xlfn.XLOOKUP(B3021,Indices!$A$2:$A$2676,Indices!$B$2:$B$2676,"")</f>
        <v>SP500</v>
      </c>
      <c r="E3021" t="str">
        <f>_xlfn.XLOOKUP(B3021,'2025-Q1'!$A$402:$A$448,'2025-Q1'!$A$402:$A$448,"avail")</f>
        <v>avail</v>
      </c>
      <c r="F3021" t="str">
        <f>_xlfn.XLOOKUP(B3021,'[2]!! -- Stock Universe 12.11.24'!$C$2:$C$1621,'[2]!! -- Stock Universe 12.11.24'!$E$2:$E$1621,"")</f>
        <v>Technology</v>
      </c>
    </row>
    <row r="3022" spans="1:6" x14ac:dyDescent="0.25">
      <c r="A3022" s="140">
        <v>45715.584027777775</v>
      </c>
      <c r="B3022" t="s">
        <v>1994</v>
      </c>
      <c r="C3022" t="s">
        <v>6394</v>
      </c>
      <c r="D3022" s="6" t="str">
        <f>_xlfn.XLOOKUP(B3022,Indices!$A$2:$A$2676,Indices!$B$2:$B$2676,"")</f>
        <v>IWM</v>
      </c>
      <c r="E3022" t="str">
        <f>_xlfn.XLOOKUP(B3022,'2025-Q1'!$A$402:$A$448,'2025-Q1'!$A$402:$A$448,"avail")</f>
        <v>avail</v>
      </c>
      <c r="F3022" t="str">
        <f>_xlfn.XLOOKUP(B3022,'[2]!! -- Stock Universe 12.11.24'!$C$2:$C$1621,'[2]!! -- Stock Universe 12.11.24'!$E$2:$E$1621,"")</f>
        <v>Healthcare</v>
      </c>
    </row>
    <row r="3023" spans="1:6" x14ac:dyDescent="0.25">
      <c r="A3023" s="140">
        <v>45715.584027777775</v>
      </c>
      <c r="B3023" t="s">
        <v>668</v>
      </c>
      <c r="C3023" t="s">
        <v>6394</v>
      </c>
      <c r="D3023" s="6" t="str">
        <f>_xlfn.XLOOKUP(B3023,Indices!$A$2:$A$2676,Indices!$B$2:$B$2676,"")</f>
        <v>IWM</v>
      </c>
      <c r="E3023" t="str">
        <f>_xlfn.XLOOKUP(B3023,'2025-Q1'!$A$402:$A$448,'2025-Q1'!$A$402:$A$448,"avail")</f>
        <v>avail</v>
      </c>
      <c r="F3023" t="str">
        <f>_xlfn.XLOOKUP(B3023,'[2]!! -- Stock Universe 12.11.24'!$C$2:$C$1621,'[2]!! -- Stock Universe 12.11.24'!$E$2:$E$1621,"")</f>
        <v>Healthcare</v>
      </c>
    </row>
    <row r="3024" spans="1:6" x14ac:dyDescent="0.25">
      <c r="A3024" s="140">
        <v>45715.586111111108</v>
      </c>
      <c r="B3024" t="s">
        <v>4170</v>
      </c>
      <c r="C3024" t="s">
        <v>6395</v>
      </c>
      <c r="D3024" s="6" t="str">
        <f>_xlfn.XLOOKUP(B3024,Indices!$A$2:$A$2676,Indices!$B$2:$B$2676,"")</f>
        <v/>
      </c>
      <c r="E3024" t="str">
        <f>_xlfn.XLOOKUP(B3024,'2025-Q1'!$A$402:$A$448,'2025-Q1'!$A$402:$A$448,"avail")</f>
        <v>avail</v>
      </c>
      <c r="F3024" t="str">
        <f>_xlfn.XLOOKUP(B3024,'[2]!! -- Stock Universe 12.11.24'!$C$2:$C$1621,'[2]!! -- Stock Universe 12.11.24'!$E$2:$E$1621,"")</f>
        <v>Technology</v>
      </c>
    </row>
    <row r="3025" spans="1:6" x14ac:dyDescent="0.25">
      <c r="A3025" s="140">
        <v>45715.586805555555</v>
      </c>
      <c r="B3025" t="s">
        <v>762</v>
      </c>
      <c r="C3025" t="s">
        <v>6396</v>
      </c>
      <c r="D3025" s="6" t="str">
        <f>_xlfn.XLOOKUP(B3025,Indices!$A$2:$A$2676,Indices!$B$2:$B$2676,"")</f>
        <v>IWM</v>
      </c>
      <c r="E3025" t="str">
        <f>_xlfn.XLOOKUP(B3025,'2025-Q1'!$A$402:$A$448,'2025-Q1'!$A$402:$A$448,"avail")</f>
        <v>avail</v>
      </c>
      <c r="F3025" t="str">
        <f>_xlfn.XLOOKUP(B3025,'[2]!! -- Stock Universe 12.11.24'!$C$2:$C$1621,'[2]!! -- Stock Universe 12.11.24'!$E$2:$E$1621,"")</f>
        <v/>
      </c>
    </row>
    <row r="3026" spans="1:6" x14ac:dyDescent="0.25">
      <c r="A3026" s="140">
        <v>45715.586805555555</v>
      </c>
      <c r="B3026" t="s">
        <v>3223</v>
      </c>
      <c r="C3026" t="s">
        <v>6396</v>
      </c>
      <c r="D3026" s="6" t="str">
        <f>_xlfn.XLOOKUP(B3026,Indices!$A$2:$A$2676,Indices!$B$2:$B$2676,"")</f>
        <v/>
      </c>
      <c r="E3026" t="str">
        <f>_xlfn.XLOOKUP(B3026,'2025-Q1'!$A$402:$A$448,'2025-Q1'!$A$402:$A$448,"avail")</f>
        <v>avail</v>
      </c>
      <c r="F3026" t="str">
        <f>_xlfn.XLOOKUP(B3026,'[2]!! -- Stock Universe 12.11.24'!$C$2:$C$1621,'[2]!! -- Stock Universe 12.11.24'!$E$2:$E$1621,"")</f>
        <v/>
      </c>
    </row>
    <row r="3027" spans="1:6" x14ac:dyDescent="0.25">
      <c r="A3027" s="140">
        <v>45715.586805555555</v>
      </c>
      <c r="B3027" t="s">
        <v>4378</v>
      </c>
      <c r="C3027" t="s">
        <v>6396</v>
      </c>
      <c r="D3027" s="6" t="str">
        <f>_xlfn.XLOOKUP(B3027,Indices!$A$2:$A$2676,Indices!$B$2:$B$2676,"")</f>
        <v/>
      </c>
      <c r="E3027" t="str">
        <f>_xlfn.XLOOKUP(B3027,'2025-Q1'!$A$402:$A$448,'2025-Q1'!$A$402:$A$448,"avail")</f>
        <v>avail</v>
      </c>
      <c r="F3027" t="str">
        <f>_xlfn.XLOOKUP(B3027,'[2]!! -- Stock Universe 12.11.24'!$C$2:$C$1621,'[2]!! -- Stock Universe 12.11.24'!$E$2:$E$1621,"")</f>
        <v/>
      </c>
    </row>
    <row r="3028" spans="1:6" x14ac:dyDescent="0.25">
      <c r="A3028" s="140">
        <v>45715.586805555555</v>
      </c>
      <c r="B3028" t="s">
        <v>692</v>
      </c>
      <c r="C3028" t="s">
        <v>6396</v>
      </c>
      <c r="D3028" s="6" t="str">
        <f>_xlfn.XLOOKUP(B3028,Indices!$A$2:$A$2676,Indices!$B$2:$B$2676,"")</f>
        <v>IWM</v>
      </c>
      <c r="E3028" t="str">
        <f>_xlfn.XLOOKUP(B3028,'2025-Q1'!$A$402:$A$448,'2025-Q1'!$A$402:$A$448,"avail")</f>
        <v>avail</v>
      </c>
      <c r="F3028" t="str">
        <f>_xlfn.XLOOKUP(B3028,'[2]!! -- Stock Universe 12.11.24'!$C$2:$C$1621,'[2]!! -- Stock Universe 12.11.24'!$E$2:$E$1621,"")</f>
        <v>Healthcare</v>
      </c>
    </row>
    <row r="3029" spans="1:6" x14ac:dyDescent="0.25">
      <c r="A3029" s="140">
        <v>45715.586805555555</v>
      </c>
      <c r="B3029" t="s">
        <v>690</v>
      </c>
      <c r="C3029" t="s">
        <v>6396</v>
      </c>
      <c r="D3029" s="6" t="str">
        <f>_xlfn.XLOOKUP(B3029,Indices!$A$2:$A$2676,Indices!$B$2:$B$2676,"")</f>
        <v>IWM</v>
      </c>
      <c r="E3029" t="str">
        <f>_xlfn.XLOOKUP(B3029,'2025-Q1'!$A$402:$A$448,'2025-Q1'!$A$402:$A$448,"avail")</f>
        <v>avail</v>
      </c>
      <c r="F3029" t="str">
        <f>_xlfn.XLOOKUP(B3029,'[2]!! -- Stock Universe 12.11.24'!$C$2:$C$1621,'[2]!! -- Stock Universe 12.11.24'!$E$2:$E$1621,"")</f>
        <v/>
      </c>
    </row>
    <row r="3030" spans="1:6" x14ac:dyDescent="0.25">
      <c r="A3030" s="140">
        <v>45715.586805555555</v>
      </c>
      <c r="B3030" t="s">
        <v>1956</v>
      </c>
      <c r="C3030" t="s">
        <v>6396</v>
      </c>
      <c r="D3030" s="6" t="str">
        <f>_xlfn.XLOOKUP(B3030,Indices!$A$2:$A$2676,Indices!$B$2:$B$2676,"")</f>
        <v>IWM</v>
      </c>
      <c r="E3030" t="str">
        <f>_xlfn.XLOOKUP(B3030,'2025-Q1'!$A$402:$A$448,'2025-Q1'!$A$402:$A$448,"avail")</f>
        <v>avail</v>
      </c>
      <c r="F3030" t="str">
        <f>_xlfn.XLOOKUP(B3030,'[2]!! -- Stock Universe 12.11.24'!$C$2:$C$1621,'[2]!! -- Stock Universe 12.11.24'!$E$2:$E$1621,"")</f>
        <v>Consumer Cyclical</v>
      </c>
    </row>
    <row r="3031" spans="1:6" x14ac:dyDescent="0.25">
      <c r="A3031" s="140">
        <v>45715.586805555555</v>
      </c>
      <c r="B3031" t="s">
        <v>3565</v>
      </c>
      <c r="C3031" t="s">
        <v>6396</v>
      </c>
      <c r="D3031" s="6" t="str">
        <f>_xlfn.XLOOKUP(B3031,Indices!$A$2:$A$2676,Indices!$B$2:$B$2676,"")</f>
        <v/>
      </c>
      <c r="E3031" t="str">
        <f>_xlfn.XLOOKUP(B3031,'2025-Q1'!$A$402:$A$448,'2025-Q1'!$A$402:$A$448,"avail")</f>
        <v>avail</v>
      </c>
      <c r="F3031" t="str">
        <f>_xlfn.XLOOKUP(B3031,'[2]!! -- Stock Universe 12.11.24'!$C$2:$C$1621,'[2]!! -- Stock Universe 12.11.24'!$E$2:$E$1621,"")</f>
        <v>Healthcare</v>
      </c>
    </row>
    <row r="3032" spans="1:6" x14ac:dyDescent="0.25">
      <c r="A3032" s="140">
        <v>45715.586805555555</v>
      </c>
      <c r="B3032" t="s">
        <v>752</v>
      </c>
      <c r="C3032" t="s">
        <v>6396</v>
      </c>
      <c r="D3032" s="6" t="str">
        <f>_xlfn.XLOOKUP(B3032,Indices!$A$2:$A$2676,Indices!$B$2:$B$2676,"")</f>
        <v>IWM</v>
      </c>
      <c r="E3032" t="str">
        <f>_xlfn.XLOOKUP(B3032,'2025-Q1'!$A$402:$A$448,'2025-Q1'!$A$402:$A$448,"avail")</f>
        <v>avail</v>
      </c>
      <c r="F3032" t="str">
        <f>_xlfn.XLOOKUP(B3032,'[2]!! -- Stock Universe 12.11.24'!$C$2:$C$1621,'[2]!! -- Stock Universe 12.11.24'!$E$2:$E$1621,"")</f>
        <v>Healthcare</v>
      </c>
    </row>
    <row r="3033" spans="1:6" x14ac:dyDescent="0.25">
      <c r="A3033" s="140">
        <v>45715.586805555555</v>
      </c>
      <c r="B3033" t="s">
        <v>2500</v>
      </c>
      <c r="C3033" t="s">
        <v>6396</v>
      </c>
      <c r="D3033" s="6" t="str">
        <f>_xlfn.XLOOKUP(B3033,Indices!$A$2:$A$2676,Indices!$B$2:$B$2676,"")</f>
        <v>S&amp;P Mid</v>
      </c>
      <c r="E3033" t="str">
        <f>_xlfn.XLOOKUP(B3033,'2025-Q1'!$A$402:$A$448,'2025-Q1'!$A$402:$A$448,"avail")</f>
        <v>avail</v>
      </c>
      <c r="F3033" t="str">
        <f>_xlfn.XLOOKUP(B3033,'[2]!! -- Stock Universe 12.11.24'!$C$2:$C$1621,'[2]!! -- Stock Universe 12.11.24'!$E$2:$E$1621,"")</f>
        <v>Healthcare</v>
      </c>
    </row>
    <row r="3034" spans="1:6" x14ac:dyDescent="0.25">
      <c r="A3034" s="140">
        <v>45715.586805555555</v>
      </c>
      <c r="B3034" t="s">
        <v>3624</v>
      </c>
      <c r="C3034" t="s">
        <v>6396</v>
      </c>
      <c r="D3034" s="6" t="str">
        <f>_xlfn.XLOOKUP(B3034,Indices!$A$2:$A$2676,Indices!$B$2:$B$2676,"")</f>
        <v/>
      </c>
      <c r="E3034" t="str">
        <f>_xlfn.XLOOKUP(B3034,'2025-Q1'!$A$402:$A$448,'2025-Q1'!$A$402:$A$448,"avail")</f>
        <v>avail</v>
      </c>
      <c r="F3034" t="str">
        <f>_xlfn.XLOOKUP(B3034,'[2]!! -- Stock Universe 12.11.24'!$C$2:$C$1621,'[2]!! -- Stock Universe 12.11.24'!$E$2:$E$1621,"")</f>
        <v>Healthcare</v>
      </c>
    </row>
    <row r="3035" spans="1:6" x14ac:dyDescent="0.25">
      <c r="A3035" s="140">
        <v>45715.586805555555</v>
      </c>
      <c r="B3035" t="s">
        <v>713</v>
      </c>
      <c r="C3035" t="s">
        <v>6396</v>
      </c>
      <c r="D3035" s="6" t="str">
        <f>_xlfn.XLOOKUP(B3035,Indices!$A$2:$A$2676,Indices!$B$2:$B$2676,"")</f>
        <v>IWM</v>
      </c>
      <c r="E3035" t="str">
        <f>_xlfn.XLOOKUP(B3035,'2025-Q1'!$A$402:$A$448,'2025-Q1'!$A$402:$A$448,"avail")</f>
        <v>avail</v>
      </c>
      <c r="F3035" t="str">
        <f>_xlfn.XLOOKUP(B3035,'[2]!! -- Stock Universe 12.11.24'!$C$2:$C$1621,'[2]!! -- Stock Universe 12.11.24'!$E$2:$E$1621,"")</f>
        <v/>
      </c>
    </row>
    <row r="3036" spans="1:6" x14ac:dyDescent="0.25">
      <c r="A3036" s="140">
        <v>45715.586805555555</v>
      </c>
      <c r="B3036" t="s">
        <v>375</v>
      </c>
      <c r="C3036" t="s">
        <v>6396</v>
      </c>
      <c r="D3036" s="6" t="str">
        <f>_xlfn.XLOOKUP(B3036,Indices!$A$2:$A$2676,Indices!$B$2:$B$2676,"")</f>
        <v>IWM</v>
      </c>
      <c r="E3036" t="str">
        <f>_xlfn.XLOOKUP(B3036,'2025-Q1'!$A$402:$A$448,'2025-Q1'!$A$402:$A$448,"avail")</f>
        <v>avail</v>
      </c>
      <c r="F3036" t="str">
        <f>_xlfn.XLOOKUP(B3036,'[2]!! -- Stock Universe 12.11.24'!$C$2:$C$1621,'[2]!! -- Stock Universe 12.11.24'!$E$2:$E$1621,"")</f>
        <v/>
      </c>
    </row>
    <row r="3037" spans="1:6" x14ac:dyDescent="0.25">
      <c r="A3037" s="140">
        <v>45715.586805555555</v>
      </c>
      <c r="B3037" t="s">
        <v>809</v>
      </c>
      <c r="C3037" t="s">
        <v>6396</v>
      </c>
      <c r="D3037" s="6" t="str">
        <f>_xlfn.XLOOKUP(B3037,Indices!$A$2:$A$2676,Indices!$B$2:$B$2676,"")</f>
        <v>IWM</v>
      </c>
      <c r="E3037" t="str">
        <f>_xlfn.XLOOKUP(B3037,'2025-Q1'!$A$402:$A$448,'2025-Q1'!$A$402:$A$448,"avail")</f>
        <v>avail</v>
      </c>
      <c r="F3037" t="str">
        <f>_xlfn.XLOOKUP(B3037,'[2]!! -- Stock Universe 12.11.24'!$C$2:$C$1621,'[2]!! -- Stock Universe 12.11.24'!$E$2:$E$1621,"")</f>
        <v>Industrials</v>
      </c>
    </row>
    <row r="3038" spans="1:6" x14ac:dyDescent="0.25">
      <c r="A3038" s="140">
        <v>45715.586805555555</v>
      </c>
      <c r="B3038" t="s">
        <v>373</v>
      </c>
      <c r="C3038" t="s">
        <v>6396</v>
      </c>
      <c r="D3038" s="6" t="str">
        <f>_xlfn.XLOOKUP(B3038,Indices!$A$2:$A$2676,Indices!$B$2:$B$2676,"")</f>
        <v>IWM</v>
      </c>
      <c r="E3038" t="str">
        <f>_xlfn.XLOOKUP(B3038,'2025-Q1'!$A$402:$A$448,'2025-Q1'!$A$402:$A$448,"avail")</f>
        <v>avail</v>
      </c>
      <c r="F3038" t="str">
        <f>_xlfn.XLOOKUP(B3038,'[2]!! -- Stock Universe 12.11.24'!$C$2:$C$1621,'[2]!! -- Stock Universe 12.11.24'!$E$2:$E$1621,"")</f>
        <v/>
      </c>
    </row>
    <row r="3039" spans="1:6" x14ac:dyDescent="0.25">
      <c r="A3039" s="140">
        <v>45715.586805555555</v>
      </c>
      <c r="B3039" t="s">
        <v>728</v>
      </c>
      <c r="C3039" t="s">
        <v>6396</v>
      </c>
      <c r="D3039" s="6" t="str">
        <f>_xlfn.XLOOKUP(B3039,Indices!$A$2:$A$2676,Indices!$B$2:$B$2676,"")</f>
        <v>IWM</v>
      </c>
      <c r="E3039" t="str">
        <f>_xlfn.XLOOKUP(B3039,'2025-Q1'!$A$402:$A$448,'2025-Q1'!$A$402:$A$448,"avail")</f>
        <v>avail</v>
      </c>
      <c r="F3039" t="str">
        <f>_xlfn.XLOOKUP(B3039,'[2]!! -- Stock Universe 12.11.24'!$C$2:$C$1621,'[2]!! -- Stock Universe 12.11.24'!$E$2:$E$1621,"")</f>
        <v/>
      </c>
    </row>
    <row r="3040" spans="1:6" x14ac:dyDescent="0.25">
      <c r="A3040" s="140">
        <v>45715.586805555555</v>
      </c>
      <c r="B3040" t="s">
        <v>1732</v>
      </c>
      <c r="C3040" t="s">
        <v>6396</v>
      </c>
      <c r="D3040" s="6" t="str">
        <f>_xlfn.XLOOKUP(B3040,Indices!$A$2:$A$2676,Indices!$B$2:$B$2676,"")</f>
        <v>IWM</v>
      </c>
      <c r="E3040" t="str">
        <f>_xlfn.XLOOKUP(B3040,'2025-Q1'!$A$402:$A$448,'2025-Q1'!$A$402:$A$448,"avail")</f>
        <v>avail</v>
      </c>
      <c r="F3040" t="str">
        <f>_xlfn.XLOOKUP(B3040,'[2]!! -- Stock Universe 12.11.24'!$C$2:$C$1621,'[2]!! -- Stock Universe 12.11.24'!$E$2:$E$1621,"")</f>
        <v>Industrials</v>
      </c>
    </row>
    <row r="3041" spans="1:6" x14ac:dyDescent="0.25">
      <c r="A3041" s="140">
        <v>45715.586805555555</v>
      </c>
      <c r="B3041" t="s">
        <v>1822</v>
      </c>
      <c r="C3041" t="s">
        <v>6396</v>
      </c>
      <c r="D3041" s="6" t="str">
        <f>_xlfn.XLOOKUP(B3041,Indices!$A$2:$A$2676,Indices!$B$2:$B$2676,"")</f>
        <v>IWM</v>
      </c>
      <c r="E3041" t="str">
        <f>_xlfn.XLOOKUP(B3041,'2025-Q1'!$A$402:$A$448,'2025-Q1'!$A$402:$A$448,"avail")</f>
        <v>avail</v>
      </c>
      <c r="F3041" t="str">
        <f>_xlfn.XLOOKUP(B3041,'[2]!! -- Stock Universe 12.11.24'!$C$2:$C$1621,'[2]!! -- Stock Universe 12.11.24'!$E$2:$E$1621,"")</f>
        <v/>
      </c>
    </row>
    <row r="3042" spans="1:6" x14ac:dyDescent="0.25">
      <c r="A3042" s="140">
        <v>45715.586805555555</v>
      </c>
      <c r="B3042" t="s">
        <v>3540</v>
      </c>
      <c r="C3042" t="s">
        <v>6396</v>
      </c>
      <c r="D3042" s="6" t="str">
        <f>_xlfn.XLOOKUP(B3042,Indices!$A$2:$A$2676,Indices!$B$2:$B$2676,"")</f>
        <v/>
      </c>
      <c r="E3042" t="str">
        <f>_xlfn.XLOOKUP(B3042,'2025-Q1'!$A$402:$A$448,'2025-Q1'!$A$402:$A$448,"avail")</f>
        <v>avail</v>
      </c>
      <c r="F3042" t="str">
        <f>_xlfn.XLOOKUP(B3042,'[2]!! -- Stock Universe 12.11.24'!$C$2:$C$1621,'[2]!! -- Stock Universe 12.11.24'!$E$2:$E$1621,"")</f>
        <v>Technology</v>
      </c>
    </row>
    <row r="3043" spans="1:6" x14ac:dyDescent="0.25">
      <c r="A3043" s="140">
        <v>45715.586805555555</v>
      </c>
      <c r="B3043" t="s">
        <v>3339</v>
      </c>
      <c r="C3043" t="s">
        <v>6396</v>
      </c>
      <c r="D3043" s="6" t="str">
        <f>_xlfn.XLOOKUP(B3043,Indices!$A$2:$A$2676,Indices!$B$2:$B$2676,"")</f>
        <v/>
      </c>
      <c r="E3043" t="str">
        <f>_xlfn.XLOOKUP(B3043,'2025-Q1'!$A$402:$A$448,'2025-Q1'!$A$402:$A$448,"avail")</f>
        <v>avail</v>
      </c>
      <c r="F3043" t="str">
        <f>_xlfn.XLOOKUP(B3043,'[2]!! -- Stock Universe 12.11.24'!$C$2:$C$1621,'[2]!! -- Stock Universe 12.11.24'!$E$2:$E$1621,"")</f>
        <v>Healthcare</v>
      </c>
    </row>
    <row r="3044" spans="1:6" x14ac:dyDescent="0.25">
      <c r="A3044" s="140">
        <v>45715.586805555555</v>
      </c>
      <c r="B3044" t="s">
        <v>3445</v>
      </c>
      <c r="C3044" t="s">
        <v>6396</v>
      </c>
      <c r="D3044" s="6" t="str">
        <f>_xlfn.XLOOKUP(B3044,Indices!$A$2:$A$2676,Indices!$B$2:$B$2676,"")</f>
        <v/>
      </c>
      <c r="E3044" t="str">
        <f>_xlfn.XLOOKUP(B3044,'2025-Q1'!$A$402:$A$448,'2025-Q1'!$A$402:$A$448,"avail")</f>
        <v>avail</v>
      </c>
      <c r="F3044" t="str">
        <f>_xlfn.XLOOKUP(B3044,'[2]!! -- Stock Universe 12.11.24'!$C$2:$C$1621,'[2]!! -- Stock Universe 12.11.24'!$E$2:$E$1621,"")</f>
        <v/>
      </c>
    </row>
    <row r="3045" spans="1:6" x14ac:dyDescent="0.25">
      <c r="A3045" s="140">
        <v>45715.586805555555</v>
      </c>
      <c r="B3045" t="s">
        <v>334</v>
      </c>
      <c r="C3045" t="s">
        <v>6396</v>
      </c>
      <c r="D3045" s="6" t="str">
        <f>_xlfn.XLOOKUP(B3045,Indices!$A$2:$A$2676,Indices!$B$2:$B$2676,"")</f>
        <v>IWM</v>
      </c>
      <c r="E3045" t="str">
        <f>_xlfn.XLOOKUP(B3045,'2025-Q1'!$A$402:$A$448,'2025-Q1'!$A$402:$A$448,"avail")</f>
        <v>avail</v>
      </c>
      <c r="F3045" t="str">
        <f>_xlfn.XLOOKUP(B3045,'[2]!! -- Stock Universe 12.11.24'!$C$2:$C$1621,'[2]!! -- Stock Universe 12.11.24'!$E$2:$E$1621,"")</f>
        <v>Healthcare</v>
      </c>
    </row>
    <row r="3046" spans="1:6" x14ac:dyDescent="0.25">
      <c r="A3046" s="140">
        <v>45715.586805555555</v>
      </c>
      <c r="B3046" t="s">
        <v>739</v>
      </c>
      <c r="C3046" t="s">
        <v>6396</v>
      </c>
      <c r="D3046" s="6" t="str">
        <f>_xlfn.XLOOKUP(B3046,Indices!$A$2:$A$2676,Indices!$B$2:$B$2676,"")</f>
        <v>IWM</v>
      </c>
      <c r="E3046" t="str">
        <f>_xlfn.XLOOKUP(B3046,'2025-Q1'!$A$402:$A$448,'2025-Q1'!$A$402:$A$448,"avail")</f>
        <v>avail</v>
      </c>
      <c r="F3046" t="str">
        <f>_xlfn.XLOOKUP(B3046,'[2]!! -- Stock Universe 12.11.24'!$C$2:$C$1621,'[2]!! -- Stock Universe 12.11.24'!$E$2:$E$1621,"")</f>
        <v>Technology</v>
      </c>
    </row>
    <row r="3047" spans="1:6" x14ac:dyDescent="0.25">
      <c r="A3047" s="140">
        <v>45715.586805555555</v>
      </c>
      <c r="B3047" t="s">
        <v>3700</v>
      </c>
      <c r="C3047" t="s">
        <v>6396</v>
      </c>
      <c r="D3047" s="6" t="str">
        <f>_xlfn.XLOOKUP(B3047,Indices!$A$2:$A$2676,Indices!$B$2:$B$2676,"")</f>
        <v/>
      </c>
      <c r="E3047" t="str">
        <f>_xlfn.XLOOKUP(B3047,'2025-Q1'!$A$402:$A$448,'2025-Q1'!$A$402:$A$448,"avail")</f>
        <v>avail</v>
      </c>
      <c r="F3047" t="str">
        <f>_xlfn.XLOOKUP(B3047,'[2]!! -- Stock Universe 12.11.24'!$C$2:$C$1621,'[2]!! -- Stock Universe 12.11.24'!$E$2:$E$1621,"")</f>
        <v/>
      </c>
    </row>
    <row r="3048" spans="1:6" x14ac:dyDescent="0.25">
      <c r="A3048" s="140">
        <v>45715.586805555555</v>
      </c>
      <c r="B3048" t="s">
        <v>337</v>
      </c>
      <c r="C3048" t="s">
        <v>6396</v>
      </c>
      <c r="D3048" s="6" t="str">
        <f>_xlfn.XLOOKUP(B3048,Indices!$A$2:$A$2676,Indices!$B$2:$B$2676,"")</f>
        <v>S&amp;P Mid</v>
      </c>
      <c r="E3048" t="str">
        <f>_xlfn.XLOOKUP(B3048,'2025-Q1'!$A$402:$A$448,'2025-Q1'!$A$402:$A$448,"avail")</f>
        <v>avail</v>
      </c>
      <c r="F3048" t="str">
        <f>_xlfn.XLOOKUP(B3048,'[2]!! -- Stock Universe 12.11.24'!$C$2:$C$1621,'[2]!! -- Stock Universe 12.11.24'!$E$2:$E$1621,"")</f>
        <v>Technology</v>
      </c>
    </row>
    <row r="3049" spans="1:6" x14ac:dyDescent="0.25">
      <c r="A3049" s="140">
        <v>45715.586805555555</v>
      </c>
      <c r="B3049" t="s">
        <v>406</v>
      </c>
      <c r="C3049" t="s">
        <v>6396</v>
      </c>
      <c r="D3049" s="6" t="str">
        <f>_xlfn.XLOOKUP(B3049,Indices!$A$2:$A$2676,Indices!$B$2:$B$2676,"")</f>
        <v>IWM</v>
      </c>
      <c r="E3049" t="str">
        <f>_xlfn.XLOOKUP(B3049,'2025-Q1'!$A$402:$A$448,'2025-Q1'!$A$402:$A$448,"avail")</f>
        <v>avail</v>
      </c>
      <c r="F3049" t="str">
        <f>_xlfn.XLOOKUP(B3049,'[2]!! -- Stock Universe 12.11.24'!$C$2:$C$1621,'[2]!! -- Stock Universe 12.11.24'!$E$2:$E$1621,"")</f>
        <v/>
      </c>
    </row>
    <row r="3050" spans="1:6" x14ac:dyDescent="0.25">
      <c r="A3050" s="140">
        <v>45715.586805555555</v>
      </c>
      <c r="B3050" t="s">
        <v>764</v>
      </c>
      <c r="C3050" t="s">
        <v>6396</v>
      </c>
      <c r="D3050" s="6" t="str">
        <f>_xlfn.XLOOKUP(B3050,Indices!$A$2:$A$2676,Indices!$B$2:$B$2676,"")</f>
        <v>IWM</v>
      </c>
      <c r="E3050" t="str">
        <f>_xlfn.XLOOKUP(B3050,'2025-Q1'!$A$402:$A$448,'2025-Q1'!$A$402:$A$448,"avail")</f>
        <v>avail</v>
      </c>
      <c r="F3050" t="str">
        <f>_xlfn.XLOOKUP(B3050,'[2]!! -- Stock Universe 12.11.24'!$C$2:$C$1621,'[2]!! -- Stock Universe 12.11.24'!$E$2:$E$1621,"")</f>
        <v>Technology</v>
      </c>
    </row>
    <row r="3051" spans="1:6" x14ac:dyDescent="0.25">
      <c r="A3051" s="140">
        <v>45715.586805555555</v>
      </c>
      <c r="B3051" t="s">
        <v>3065</v>
      </c>
      <c r="C3051" t="s">
        <v>6396</v>
      </c>
      <c r="D3051" s="6" t="str">
        <f>_xlfn.XLOOKUP(B3051,Indices!$A$2:$A$2676,Indices!$B$2:$B$2676,"")</f>
        <v/>
      </c>
      <c r="E3051" t="str">
        <f>_xlfn.XLOOKUP(B3051,'2025-Q1'!$A$402:$A$448,'2025-Q1'!$A$402:$A$448,"avail")</f>
        <v>avail</v>
      </c>
      <c r="F3051" t="str">
        <f>_xlfn.XLOOKUP(B3051,'[2]!! -- Stock Universe 12.11.24'!$C$2:$C$1621,'[2]!! -- Stock Universe 12.11.24'!$E$2:$E$1621,"")</f>
        <v/>
      </c>
    </row>
    <row r="3052" spans="1:6" x14ac:dyDescent="0.25">
      <c r="A3052" s="140">
        <v>45715.586805555555</v>
      </c>
      <c r="B3052" t="s">
        <v>1806</v>
      </c>
      <c r="C3052" t="s">
        <v>6396</v>
      </c>
      <c r="D3052" s="6" t="str">
        <f>_xlfn.XLOOKUP(B3052,Indices!$A$2:$A$2676,Indices!$B$2:$B$2676,"")</f>
        <v>IWM</v>
      </c>
      <c r="E3052" t="str">
        <f>_xlfn.XLOOKUP(B3052,'2025-Q1'!$A$402:$A$448,'2025-Q1'!$A$402:$A$448,"avail")</f>
        <v>avail</v>
      </c>
      <c r="F3052" t="str">
        <f>_xlfn.XLOOKUP(B3052,'[2]!! -- Stock Universe 12.11.24'!$C$2:$C$1621,'[2]!! -- Stock Universe 12.11.24'!$E$2:$E$1621,"")</f>
        <v>Healthcare</v>
      </c>
    </row>
    <row r="3053" spans="1:6" x14ac:dyDescent="0.25">
      <c r="A3053" s="140">
        <v>45715.586805555555</v>
      </c>
      <c r="B3053" t="s">
        <v>973</v>
      </c>
      <c r="C3053" t="s">
        <v>6396</v>
      </c>
      <c r="D3053" s="6" t="str">
        <f>_xlfn.XLOOKUP(B3053,Indices!$A$2:$A$2676,Indices!$B$2:$B$2676,"")</f>
        <v>IWM</v>
      </c>
      <c r="E3053" t="str">
        <f>_xlfn.XLOOKUP(B3053,'2025-Q1'!$A$402:$A$448,'2025-Q1'!$A$402:$A$448,"avail")</f>
        <v>avail</v>
      </c>
      <c r="F3053" t="str">
        <f>_xlfn.XLOOKUP(B3053,'[2]!! -- Stock Universe 12.11.24'!$C$2:$C$1621,'[2]!! -- Stock Universe 12.11.24'!$E$2:$E$1621,"")</f>
        <v>Healthcare</v>
      </c>
    </row>
    <row r="3054" spans="1:6" x14ac:dyDescent="0.25">
      <c r="A3054" s="140">
        <v>45715.586805555555</v>
      </c>
      <c r="B3054" t="s">
        <v>241</v>
      </c>
      <c r="C3054" t="s">
        <v>6396</v>
      </c>
      <c r="D3054" s="6" t="str">
        <f>_xlfn.XLOOKUP(B3054,Indices!$A$2:$A$2676,Indices!$B$2:$B$2676,"")</f>
        <v>IWM</v>
      </c>
      <c r="E3054" t="str">
        <f>_xlfn.XLOOKUP(B3054,'2025-Q1'!$A$402:$A$448,'2025-Q1'!$A$402:$A$448,"avail")</f>
        <v>avail</v>
      </c>
      <c r="F3054" t="str">
        <f>_xlfn.XLOOKUP(B3054,'[2]!! -- Stock Universe 12.11.24'!$C$2:$C$1621,'[2]!! -- Stock Universe 12.11.24'!$E$2:$E$1621,"")</f>
        <v>Healthcare</v>
      </c>
    </row>
    <row r="3055" spans="1:6" x14ac:dyDescent="0.25">
      <c r="A3055" s="140">
        <v>45715.586805555555</v>
      </c>
      <c r="B3055" t="s">
        <v>395</v>
      </c>
      <c r="C3055" t="s">
        <v>6396</v>
      </c>
      <c r="D3055" s="6" t="str">
        <f>_xlfn.XLOOKUP(B3055,Indices!$A$2:$A$2676,Indices!$B$2:$B$2676,"")</f>
        <v>IWM</v>
      </c>
      <c r="E3055" t="str">
        <f>_xlfn.XLOOKUP(B3055,'2025-Q1'!$A$402:$A$448,'2025-Q1'!$A$402:$A$448,"avail")</f>
        <v>avail</v>
      </c>
      <c r="F3055" t="str">
        <f>_xlfn.XLOOKUP(B3055,'[2]!! -- Stock Universe 12.11.24'!$C$2:$C$1621,'[2]!! -- Stock Universe 12.11.24'!$E$2:$E$1621,"")</f>
        <v>Healthcare</v>
      </c>
    </row>
    <row r="3056" spans="1:6" x14ac:dyDescent="0.25">
      <c r="A3056" s="140">
        <v>45715.586805555555</v>
      </c>
      <c r="B3056" t="s">
        <v>685</v>
      </c>
      <c r="C3056" t="s">
        <v>6396</v>
      </c>
      <c r="D3056" s="6" t="str">
        <f>_xlfn.XLOOKUP(B3056,Indices!$A$2:$A$2676,Indices!$B$2:$B$2676,"")</f>
        <v>IWM</v>
      </c>
      <c r="E3056" t="str">
        <f>_xlfn.XLOOKUP(B3056,'2025-Q1'!$A$402:$A$448,'2025-Q1'!$A$402:$A$448,"avail")</f>
        <v>avail</v>
      </c>
      <c r="F3056" t="str">
        <f>_xlfn.XLOOKUP(B3056,'[2]!! -- Stock Universe 12.11.24'!$C$2:$C$1621,'[2]!! -- Stock Universe 12.11.24'!$E$2:$E$1621,"")</f>
        <v>Consumer Cyclical</v>
      </c>
    </row>
    <row r="3057" spans="1:6" x14ac:dyDescent="0.25">
      <c r="A3057" s="140">
        <v>45715.586805555555</v>
      </c>
      <c r="B3057" t="s">
        <v>356</v>
      </c>
      <c r="C3057" t="s">
        <v>6396</v>
      </c>
      <c r="D3057" s="6" t="str">
        <f>_xlfn.XLOOKUP(B3057,Indices!$A$2:$A$2676,Indices!$B$2:$B$2676,"")</f>
        <v>IWM</v>
      </c>
      <c r="E3057" t="str">
        <f>_xlfn.XLOOKUP(B3057,'2025-Q1'!$A$402:$A$448,'2025-Q1'!$A$402:$A$448,"avail")</f>
        <v>avail</v>
      </c>
      <c r="F3057" t="str">
        <f>_xlfn.XLOOKUP(B3057,'[2]!! -- Stock Universe 12.11.24'!$C$2:$C$1621,'[2]!! -- Stock Universe 12.11.24'!$E$2:$E$1621,"")</f>
        <v/>
      </c>
    </row>
    <row r="3058" spans="1:6" x14ac:dyDescent="0.25">
      <c r="A3058" s="140">
        <v>45715.586805555555</v>
      </c>
      <c r="B3058" t="s">
        <v>4011</v>
      </c>
      <c r="C3058" t="s">
        <v>6396</v>
      </c>
      <c r="D3058" s="6" t="str">
        <f>_xlfn.XLOOKUP(B3058,Indices!$A$2:$A$2676,Indices!$B$2:$B$2676,"")</f>
        <v/>
      </c>
      <c r="E3058" t="str">
        <f>_xlfn.XLOOKUP(B3058,'2025-Q1'!$A$402:$A$448,'2025-Q1'!$A$402:$A$448,"avail")</f>
        <v>avail</v>
      </c>
      <c r="F3058" t="str">
        <f>_xlfn.XLOOKUP(B3058,'[2]!! -- Stock Universe 12.11.24'!$C$2:$C$1621,'[2]!! -- Stock Universe 12.11.24'!$E$2:$E$1621,"")</f>
        <v/>
      </c>
    </row>
    <row r="3059" spans="1:6" x14ac:dyDescent="0.25">
      <c r="A3059" s="140">
        <v>45715.586805555555</v>
      </c>
      <c r="B3059" t="s">
        <v>3326</v>
      </c>
      <c r="C3059" t="s">
        <v>6396</v>
      </c>
      <c r="D3059" s="6" t="str">
        <f>_xlfn.XLOOKUP(B3059,Indices!$A$2:$A$2676,Indices!$B$2:$B$2676,"")</f>
        <v/>
      </c>
      <c r="E3059" t="str">
        <f>_xlfn.XLOOKUP(B3059,'2025-Q1'!$A$402:$A$448,'2025-Q1'!$A$402:$A$448,"avail")</f>
        <v>avail</v>
      </c>
      <c r="F3059" t="str">
        <f>_xlfn.XLOOKUP(B3059,'[2]!! -- Stock Universe 12.11.24'!$C$2:$C$1621,'[2]!! -- Stock Universe 12.11.24'!$E$2:$E$1621,"")</f>
        <v/>
      </c>
    </row>
    <row r="3060" spans="1:6" x14ac:dyDescent="0.25">
      <c r="A3060" s="140">
        <v>45715.586805555555</v>
      </c>
      <c r="B3060" t="s">
        <v>3328</v>
      </c>
      <c r="C3060" t="s">
        <v>6396</v>
      </c>
      <c r="D3060" s="6" t="str">
        <f>_xlfn.XLOOKUP(B3060,Indices!$A$2:$A$2676,Indices!$B$2:$B$2676,"")</f>
        <v/>
      </c>
      <c r="E3060" t="str">
        <f>_xlfn.XLOOKUP(B3060,'2025-Q1'!$A$402:$A$448,'2025-Q1'!$A$402:$A$448,"avail")</f>
        <v>avail</v>
      </c>
      <c r="F3060" t="str">
        <f>_xlfn.XLOOKUP(B3060,'[2]!! -- Stock Universe 12.11.24'!$C$2:$C$1621,'[2]!! -- Stock Universe 12.11.24'!$E$2:$E$1621,"")</f>
        <v/>
      </c>
    </row>
    <row r="3061" spans="1:6" x14ac:dyDescent="0.25">
      <c r="A3061" s="140">
        <v>45715.586805555555</v>
      </c>
      <c r="B3061" t="s">
        <v>694</v>
      </c>
      <c r="C3061" t="s">
        <v>6396</v>
      </c>
      <c r="D3061" s="6" t="str">
        <f>_xlfn.XLOOKUP(B3061,Indices!$A$2:$A$2676,Indices!$B$2:$B$2676,"")</f>
        <v>SP500</v>
      </c>
      <c r="E3061" t="str">
        <f>_xlfn.XLOOKUP(B3061,'2025-Q1'!$A$402:$A$448,'2025-Q1'!$A$402:$A$448,"avail")</f>
        <v>avail</v>
      </c>
      <c r="F3061" t="str">
        <f>_xlfn.XLOOKUP(B3061,'[2]!! -- Stock Universe 12.11.24'!$C$2:$C$1621,'[2]!! -- Stock Universe 12.11.24'!$E$2:$E$1621,"")</f>
        <v>Healthcare</v>
      </c>
    </row>
    <row r="3062" spans="1:6" x14ac:dyDescent="0.25">
      <c r="A3062" s="140">
        <v>45715.586805555555</v>
      </c>
      <c r="B3062" t="s">
        <v>3816</v>
      </c>
      <c r="C3062" t="s">
        <v>6396</v>
      </c>
      <c r="D3062" s="6" t="str">
        <f>_xlfn.XLOOKUP(B3062,Indices!$A$2:$A$2676,Indices!$B$2:$B$2676,"")</f>
        <v/>
      </c>
      <c r="E3062" t="str">
        <f>_xlfn.XLOOKUP(B3062,'2025-Q1'!$A$402:$A$448,'2025-Q1'!$A$402:$A$448,"avail")</f>
        <v>avail</v>
      </c>
      <c r="F3062" t="str">
        <f>_xlfn.XLOOKUP(B3062,'[2]!! -- Stock Universe 12.11.24'!$C$2:$C$1621,'[2]!! -- Stock Universe 12.11.24'!$E$2:$E$1621,"")</f>
        <v>Healthcare</v>
      </c>
    </row>
    <row r="3063" spans="1:6" x14ac:dyDescent="0.25">
      <c r="A3063" s="140">
        <v>45715.586805555555</v>
      </c>
      <c r="B3063" t="s">
        <v>2274</v>
      </c>
      <c r="C3063" t="s">
        <v>6396</v>
      </c>
      <c r="D3063" s="6" t="str">
        <f>_xlfn.XLOOKUP(B3063,Indices!$A$2:$A$2676,Indices!$B$2:$B$2676,"")</f>
        <v>IWM</v>
      </c>
      <c r="E3063" t="str">
        <f>_xlfn.XLOOKUP(B3063,'2025-Q1'!$A$402:$A$448,'2025-Q1'!$A$402:$A$448,"avail")</f>
        <v>avail</v>
      </c>
      <c r="F3063" t="str">
        <f>_xlfn.XLOOKUP(B3063,'[2]!! -- Stock Universe 12.11.24'!$C$2:$C$1621,'[2]!! -- Stock Universe 12.11.24'!$E$2:$E$1621,"")</f>
        <v>Healthcare</v>
      </c>
    </row>
    <row r="3064" spans="1:6" x14ac:dyDescent="0.25">
      <c r="A3064" s="140">
        <v>45715.586805555555</v>
      </c>
      <c r="B3064" t="s">
        <v>3558</v>
      </c>
      <c r="C3064" t="s">
        <v>6396</v>
      </c>
      <c r="D3064" s="6" t="str">
        <f>_xlfn.XLOOKUP(B3064,Indices!$A$2:$A$2676,Indices!$B$2:$B$2676,"")</f>
        <v/>
      </c>
      <c r="E3064" t="str">
        <f>_xlfn.XLOOKUP(B3064,'2025-Q1'!$A$402:$A$448,'2025-Q1'!$A$402:$A$448,"avail")</f>
        <v>avail</v>
      </c>
      <c r="F3064" t="str">
        <f>_xlfn.XLOOKUP(B3064,'[2]!! -- Stock Universe 12.11.24'!$C$2:$C$1621,'[2]!! -- Stock Universe 12.11.24'!$E$2:$E$1621,"")</f>
        <v/>
      </c>
    </row>
    <row r="3065" spans="1:6" x14ac:dyDescent="0.25">
      <c r="A3065" s="140">
        <v>45715.586805555555</v>
      </c>
      <c r="B3065" t="s">
        <v>3817</v>
      </c>
      <c r="C3065" t="s">
        <v>6396</v>
      </c>
      <c r="D3065" s="6" t="str">
        <f>_xlfn.XLOOKUP(B3065,Indices!$A$2:$A$2676,Indices!$B$2:$B$2676,"")</f>
        <v/>
      </c>
      <c r="E3065" t="str">
        <f>_xlfn.XLOOKUP(B3065,'2025-Q1'!$A$402:$A$448,'2025-Q1'!$A$402:$A$448,"avail")</f>
        <v>avail</v>
      </c>
      <c r="F3065" t="str">
        <f>_xlfn.XLOOKUP(B3065,'[2]!! -- Stock Universe 12.11.24'!$C$2:$C$1621,'[2]!! -- Stock Universe 12.11.24'!$E$2:$E$1621,"")</f>
        <v/>
      </c>
    </row>
    <row r="3066" spans="1:6" x14ac:dyDescent="0.25">
      <c r="A3066" s="140">
        <v>45715.586805555555</v>
      </c>
      <c r="B3066" t="s">
        <v>959</v>
      </c>
      <c r="C3066" t="s">
        <v>6396</v>
      </c>
      <c r="D3066" s="6" t="str">
        <f>_xlfn.XLOOKUP(B3066,Indices!$A$2:$A$2676,Indices!$B$2:$B$2676,"")</f>
        <v>IWM</v>
      </c>
      <c r="E3066" t="str">
        <f>_xlfn.XLOOKUP(B3066,'2025-Q1'!$A$402:$A$448,'2025-Q1'!$A$402:$A$448,"avail")</f>
        <v>avail</v>
      </c>
      <c r="F3066" t="str">
        <f>_xlfn.XLOOKUP(B3066,'[2]!! -- Stock Universe 12.11.24'!$C$2:$C$1621,'[2]!! -- Stock Universe 12.11.24'!$E$2:$E$1621,"")</f>
        <v>Healthcare</v>
      </c>
    </row>
    <row r="3067" spans="1:6" x14ac:dyDescent="0.25">
      <c r="A3067" s="140">
        <v>45715.586805555555</v>
      </c>
      <c r="B3067" t="s">
        <v>3830</v>
      </c>
      <c r="C3067" t="s">
        <v>6396</v>
      </c>
      <c r="D3067" s="6" t="str">
        <f>_xlfn.XLOOKUP(B3067,Indices!$A$2:$A$2676,Indices!$B$2:$B$2676,"")</f>
        <v/>
      </c>
      <c r="E3067" t="str">
        <f>_xlfn.XLOOKUP(B3067,'2025-Q1'!$A$402:$A$448,'2025-Q1'!$A$402:$A$448,"avail")</f>
        <v>avail</v>
      </c>
      <c r="F3067" t="str">
        <f>_xlfn.XLOOKUP(B3067,'[2]!! -- Stock Universe 12.11.24'!$C$2:$C$1621,'[2]!! -- Stock Universe 12.11.24'!$E$2:$E$1621,"")</f>
        <v/>
      </c>
    </row>
    <row r="3068" spans="1:6" x14ac:dyDescent="0.25">
      <c r="A3068" s="140">
        <v>45715.586805555555</v>
      </c>
      <c r="B3068" t="s">
        <v>1933</v>
      </c>
      <c r="C3068" t="s">
        <v>6396</v>
      </c>
      <c r="D3068" s="6" t="str">
        <f>_xlfn.XLOOKUP(B3068,Indices!$A$2:$A$2676,Indices!$B$2:$B$2676,"")</f>
        <v>IWM</v>
      </c>
      <c r="E3068" t="str">
        <f>_xlfn.XLOOKUP(B3068,'2025-Q1'!$A$402:$A$448,'2025-Q1'!$A$402:$A$448,"avail")</f>
        <v>avail</v>
      </c>
      <c r="F3068" t="str">
        <f>_xlfn.XLOOKUP(B3068,'[2]!! -- Stock Universe 12.11.24'!$C$2:$C$1621,'[2]!! -- Stock Universe 12.11.24'!$E$2:$E$1621,"")</f>
        <v/>
      </c>
    </row>
    <row r="3069" spans="1:6" x14ac:dyDescent="0.25">
      <c r="A3069" s="140">
        <v>45715.586805555555</v>
      </c>
      <c r="B3069" t="s">
        <v>696</v>
      </c>
      <c r="C3069" t="s">
        <v>6396</v>
      </c>
      <c r="D3069" s="6" t="str">
        <f>_xlfn.XLOOKUP(B3069,Indices!$A$2:$A$2676,Indices!$B$2:$B$2676,"")</f>
        <v>IWM</v>
      </c>
      <c r="E3069" t="str">
        <f>_xlfn.XLOOKUP(B3069,'2025-Q1'!$A$402:$A$448,'2025-Q1'!$A$402:$A$448,"avail")</f>
        <v>avail</v>
      </c>
      <c r="F3069" t="str">
        <f>_xlfn.XLOOKUP(B3069,'[2]!! -- Stock Universe 12.11.24'!$C$2:$C$1621,'[2]!! -- Stock Universe 12.11.24'!$E$2:$E$1621,"")</f>
        <v/>
      </c>
    </row>
    <row r="3070" spans="1:6" x14ac:dyDescent="0.25">
      <c r="A3070" s="140">
        <v>45715.586805555555</v>
      </c>
      <c r="B3070" t="s">
        <v>724</v>
      </c>
      <c r="C3070" t="s">
        <v>6396</v>
      </c>
      <c r="D3070" s="6" t="str">
        <f>_xlfn.XLOOKUP(B3070,Indices!$A$2:$A$2676,Indices!$B$2:$B$2676,"")</f>
        <v>IWM</v>
      </c>
      <c r="E3070" t="str">
        <f>_xlfn.XLOOKUP(B3070,'2025-Q1'!$A$402:$A$448,'2025-Q1'!$A$402:$A$448,"avail")</f>
        <v>avail</v>
      </c>
      <c r="F3070" t="str">
        <f>_xlfn.XLOOKUP(B3070,'[2]!! -- Stock Universe 12.11.24'!$C$2:$C$1621,'[2]!! -- Stock Universe 12.11.24'!$E$2:$E$1621,"")</f>
        <v>Technology</v>
      </c>
    </row>
    <row r="3071" spans="1:6" x14ac:dyDescent="0.25">
      <c r="A3071" s="140">
        <v>45715.586805555555</v>
      </c>
      <c r="B3071" t="s">
        <v>94</v>
      </c>
      <c r="C3071" t="s">
        <v>6396</v>
      </c>
      <c r="D3071" s="6" t="str">
        <f>_xlfn.XLOOKUP(B3071,Indices!$A$2:$A$2676,Indices!$B$2:$B$2676,"")</f>
        <v>IWM</v>
      </c>
      <c r="E3071" t="str">
        <f>_xlfn.XLOOKUP(B3071,'2025-Q1'!$A$402:$A$448,'2025-Q1'!$A$402:$A$448,"avail")</f>
        <v>avail</v>
      </c>
      <c r="F3071" t="str">
        <f>_xlfn.XLOOKUP(B3071,'[2]!! -- Stock Universe 12.11.24'!$C$2:$C$1621,'[2]!! -- Stock Universe 12.11.24'!$E$2:$E$1621,"")</f>
        <v/>
      </c>
    </row>
    <row r="3072" spans="1:6" x14ac:dyDescent="0.25">
      <c r="A3072" s="140">
        <v>45715.586805555555</v>
      </c>
      <c r="B3072" t="s">
        <v>1465</v>
      </c>
      <c r="C3072" t="s">
        <v>6396</v>
      </c>
      <c r="D3072" s="6" t="str">
        <f>_xlfn.XLOOKUP(B3072,Indices!$A$2:$A$2676,Indices!$B$2:$B$2676,"")</f>
        <v>SP500</v>
      </c>
      <c r="E3072" t="str">
        <f>_xlfn.XLOOKUP(B3072,'2025-Q1'!$A$402:$A$448,'2025-Q1'!$A$402:$A$448,"avail")</f>
        <v>avail</v>
      </c>
      <c r="F3072" t="str">
        <f>_xlfn.XLOOKUP(B3072,'[2]!! -- Stock Universe 12.11.24'!$C$2:$C$1621,'[2]!! -- Stock Universe 12.11.24'!$E$2:$E$1621,"")</f>
        <v/>
      </c>
    </row>
    <row r="3073" spans="1:6" x14ac:dyDescent="0.25">
      <c r="A3073" s="140">
        <v>45715.586805555555</v>
      </c>
      <c r="B3073" t="s">
        <v>719</v>
      </c>
      <c r="C3073" t="s">
        <v>6396</v>
      </c>
      <c r="D3073" s="6" t="str">
        <f>_xlfn.XLOOKUP(B3073,Indices!$A$2:$A$2676,Indices!$B$2:$B$2676,"")</f>
        <v>IWM</v>
      </c>
      <c r="E3073" t="str">
        <f>_xlfn.XLOOKUP(B3073,'2025-Q1'!$A$402:$A$448,'2025-Q1'!$A$402:$A$448,"avail")</f>
        <v>avail</v>
      </c>
      <c r="F3073" t="str">
        <f>_xlfn.XLOOKUP(B3073,'[2]!! -- Stock Universe 12.11.24'!$C$2:$C$1621,'[2]!! -- Stock Universe 12.11.24'!$E$2:$E$1621,"")</f>
        <v>Healthcare</v>
      </c>
    </row>
    <row r="3074" spans="1:6" x14ac:dyDescent="0.25">
      <c r="A3074" s="140">
        <v>45715.586805555555</v>
      </c>
      <c r="B3074" t="s">
        <v>237</v>
      </c>
      <c r="C3074" t="s">
        <v>6396</v>
      </c>
      <c r="D3074" s="6" t="str">
        <f>_xlfn.XLOOKUP(B3074,Indices!$A$2:$A$2676,Indices!$B$2:$B$2676,"")</f>
        <v>IWM</v>
      </c>
      <c r="E3074" t="str">
        <f>_xlfn.XLOOKUP(B3074,'2025-Q1'!$A$402:$A$448,'2025-Q1'!$A$402:$A$448,"avail")</f>
        <v>avail</v>
      </c>
      <c r="F3074" t="str">
        <f>_xlfn.XLOOKUP(B3074,'[2]!! -- Stock Universe 12.11.24'!$C$2:$C$1621,'[2]!! -- Stock Universe 12.11.24'!$E$2:$E$1621,"")</f>
        <v>Healthcare</v>
      </c>
    </row>
    <row r="3075" spans="1:6" x14ac:dyDescent="0.25">
      <c r="A3075" s="140">
        <v>45715.586805555555</v>
      </c>
      <c r="B3075" t="s">
        <v>390</v>
      </c>
      <c r="C3075" t="s">
        <v>6396</v>
      </c>
      <c r="D3075" s="6" t="str">
        <f>_xlfn.XLOOKUP(B3075,Indices!$A$2:$A$2676,Indices!$B$2:$B$2676,"")</f>
        <v>IWM</v>
      </c>
      <c r="E3075" t="str">
        <f>_xlfn.XLOOKUP(B3075,'2025-Q1'!$A$402:$A$448,'2025-Q1'!$A$402:$A$448,"avail")</f>
        <v>avail</v>
      </c>
      <c r="F3075" t="str">
        <f>_xlfn.XLOOKUP(B3075,'[2]!! -- Stock Universe 12.11.24'!$C$2:$C$1621,'[2]!! -- Stock Universe 12.11.24'!$E$2:$E$1621,"")</f>
        <v>Communication Services</v>
      </c>
    </row>
    <row r="3076" spans="1:6" x14ac:dyDescent="0.25">
      <c r="A3076" s="140">
        <v>45715.586805555555</v>
      </c>
      <c r="B3076" t="s">
        <v>1866</v>
      </c>
      <c r="C3076" t="s">
        <v>6396</v>
      </c>
      <c r="D3076" s="6" t="str">
        <f>_xlfn.XLOOKUP(B3076,Indices!$A$2:$A$2676,Indices!$B$2:$B$2676,"")</f>
        <v>IWM</v>
      </c>
      <c r="E3076" t="str">
        <f>_xlfn.XLOOKUP(B3076,'2025-Q1'!$A$402:$A$448,'2025-Q1'!$A$402:$A$448,"avail")</f>
        <v>avail</v>
      </c>
      <c r="F3076" t="str">
        <f>_xlfn.XLOOKUP(B3076,'[2]!! -- Stock Universe 12.11.24'!$C$2:$C$1621,'[2]!! -- Stock Universe 12.11.24'!$E$2:$E$1621,"")</f>
        <v>Technology</v>
      </c>
    </row>
    <row r="3077" spans="1:6" x14ac:dyDescent="0.25">
      <c r="A3077" s="140">
        <v>45715.586805555555</v>
      </c>
      <c r="B3077" t="s">
        <v>3800</v>
      </c>
      <c r="C3077" t="s">
        <v>6396</v>
      </c>
      <c r="D3077" s="6" t="str">
        <f>_xlfn.XLOOKUP(B3077,Indices!$A$2:$A$2676,Indices!$B$2:$B$2676,"")</f>
        <v/>
      </c>
      <c r="E3077" t="str">
        <f>_xlfn.XLOOKUP(B3077,'2025-Q1'!$A$402:$A$448,'2025-Q1'!$A$402:$A$448,"avail")</f>
        <v>avail</v>
      </c>
      <c r="F3077" t="str">
        <f>_xlfn.XLOOKUP(B3077,'[2]!! -- Stock Universe 12.11.24'!$C$2:$C$1621,'[2]!! -- Stock Universe 12.11.24'!$E$2:$E$1621,"")</f>
        <v>Healthcare</v>
      </c>
    </row>
    <row r="3078" spans="1:6" x14ac:dyDescent="0.25">
      <c r="A3078" s="140">
        <v>45715.586805555555</v>
      </c>
      <c r="B3078" t="s">
        <v>982</v>
      </c>
      <c r="C3078" t="s">
        <v>6396</v>
      </c>
      <c r="D3078" s="6" t="str">
        <f>_xlfn.XLOOKUP(B3078,Indices!$A$2:$A$2676,Indices!$B$2:$B$2676,"")</f>
        <v>IWM</v>
      </c>
      <c r="E3078" t="str">
        <f>_xlfn.XLOOKUP(B3078,'2025-Q1'!$A$402:$A$448,'2025-Q1'!$A$402:$A$448,"avail")</f>
        <v>avail</v>
      </c>
      <c r="F3078" t="str">
        <f>_xlfn.XLOOKUP(B3078,'[2]!! -- Stock Universe 12.11.24'!$C$2:$C$1621,'[2]!! -- Stock Universe 12.11.24'!$E$2:$E$1621,"")</f>
        <v/>
      </c>
    </row>
    <row r="3079" spans="1:6" x14ac:dyDescent="0.25">
      <c r="A3079" s="140">
        <v>45715.586805555555</v>
      </c>
      <c r="B3079" t="s">
        <v>754</v>
      </c>
      <c r="C3079" t="s">
        <v>6396</v>
      </c>
      <c r="D3079" s="6" t="str">
        <f>_xlfn.XLOOKUP(B3079,Indices!$A$2:$A$2676,Indices!$B$2:$B$2676,"")</f>
        <v>IWM</v>
      </c>
      <c r="E3079" t="str">
        <f>_xlfn.XLOOKUP(B3079,'2025-Q1'!$A$402:$A$448,'2025-Q1'!$A$402:$A$448,"avail")</f>
        <v>avail</v>
      </c>
      <c r="F3079" t="str">
        <f>_xlfn.XLOOKUP(B3079,'[2]!! -- Stock Universe 12.11.24'!$C$2:$C$1621,'[2]!! -- Stock Universe 12.11.24'!$E$2:$E$1621,"")</f>
        <v/>
      </c>
    </row>
    <row r="3080" spans="1:6" x14ac:dyDescent="0.25">
      <c r="A3080" s="140">
        <v>45715.586805555555</v>
      </c>
      <c r="B3080" t="s">
        <v>3528</v>
      </c>
      <c r="C3080" t="s">
        <v>6396</v>
      </c>
      <c r="D3080" s="6" t="str">
        <f>_xlfn.XLOOKUP(B3080,Indices!$A$2:$A$2676,Indices!$B$2:$B$2676,"")</f>
        <v/>
      </c>
      <c r="E3080" t="str">
        <f>_xlfn.XLOOKUP(B3080,'2025-Q1'!$A$402:$A$448,'2025-Q1'!$A$402:$A$448,"avail")</f>
        <v>avail</v>
      </c>
      <c r="F3080" t="str">
        <f>_xlfn.XLOOKUP(B3080,'[2]!! -- Stock Universe 12.11.24'!$C$2:$C$1621,'[2]!! -- Stock Universe 12.11.24'!$E$2:$E$1621,"")</f>
        <v/>
      </c>
    </row>
    <row r="3081" spans="1:6" x14ac:dyDescent="0.25">
      <c r="A3081" s="140">
        <v>45715.586805555555</v>
      </c>
      <c r="B3081" t="s">
        <v>383</v>
      </c>
      <c r="C3081" t="s">
        <v>6396</v>
      </c>
      <c r="D3081" s="6" t="str">
        <f>_xlfn.XLOOKUP(B3081,Indices!$A$2:$A$2676,Indices!$B$2:$B$2676,"")</f>
        <v>IWM</v>
      </c>
      <c r="E3081" t="str">
        <f>_xlfn.XLOOKUP(B3081,'2025-Q1'!$A$402:$A$448,'2025-Q1'!$A$402:$A$448,"avail")</f>
        <v>avail</v>
      </c>
      <c r="F3081" t="str">
        <f>_xlfn.XLOOKUP(B3081,'[2]!! -- Stock Universe 12.11.24'!$C$2:$C$1621,'[2]!! -- Stock Universe 12.11.24'!$E$2:$E$1621,"")</f>
        <v>Technology</v>
      </c>
    </row>
    <row r="3082" spans="1:6" x14ac:dyDescent="0.25">
      <c r="A3082" s="140">
        <v>45715.586805555555</v>
      </c>
      <c r="B3082" t="s">
        <v>3534</v>
      </c>
      <c r="C3082" t="s">
        <v>6396</v>
      </c>
      <c r="D3082" s="6" t="str">
        <f>_xlfn.XLOOKUP(B3082,Indices!$A$2:$A$2676,Indices!$B$2:$B$2676,"")</f>
        <v/>
      </c>
      <c r="E3082" t="str">
        <f>_xlfn.XLOOKUP(B3082,'2025-Q1'!$A$402:$A$448,'2025-Q1'!$A$402:$A$448,"avail")</f>
        <v>avail</v>
      </c>
      <c r="F3082" t="str">
        <f>_xlfn.XLOOKUP(B3082,'[2]!! -- Stock Universe 12.11.24'!$C$2:$C$1621,'[2]!! -- Stock Universe 12.11.24'!$E$2:$E$1621,"")</f>
        <v/>
      </c>
    </row>
    <row r="3083" spans="1:6" x14ac:dyDescent="0.25">
      <c r="A3083" s="140">
        <v>45715.586805555555</v>
      </c>
      <c r="B3083" t="s">
        <v>3606</v>
      </c>
      <c r="C3083" t="s">
        <v>6396</v>
      </c>
      <c r="D3083" s="6" t="str">
        <f>_xlfn.XLOOKUP(B3083,Indices!$A$2:$A$2676,Indices!$B$2:$B$2676,"")</f>
        <v/>
      </c>
      <c r="E3083" t="str">
        <f>_xlfn.XLOOKUP(B3083,'2025-Q1'!$A$402:$A$448,'2025-Q1'!$A$402:$A$448,"avail")</f>
        <v>avail</v>
      </c>
      <c r="F3083" t="str">
        <f>_xlfn.XLOOKUP(B3083,'[2]!! -- Stock Universe 12.11.24'!$C$2:$C$1621,'[2]!! -- Stock Universe 12.11.24'!$E$2:$E$1621,"")</f>
        <v>Technology</v>
      </c>
    </row>
    <row r="3084" spans="1:6" x14ac:dyDescent="0.25">
      <c r="A3084" s="140">
        <v>45715.586805555555</v>
      </c>
      <c r="B3084" t="s">
        <v>742</v>
      </c>
      <c r="C3084" t="s">
        <v>6396</v>
      </c>
      <c r="D3084" s="6" t="str">
        <f>_xlfn.XLOOKUP(B3084,Indices!$A$2:$A$2676,Indices!$B$2:$B$2676,"")</f>
        <v>IWM</v>
      </c>
      <c r="E3084" t="str">
        <f>_xlfn.XLOOKUP(B3084,'2025-Q1'!$A$402:$A$448,'2025-Q1'!$A$402:$A$448,"avail")</f>
        <v>avail</v>
      </c>
      <c r="F3084" t="str">
        <f>_xlfn.XLOOKUP(B3084,'[2]!! -- Stock Universe 12.11.24'!$C$2:$C$1621,'[2]!! -- Stock Universe 12.11.24'!$E$2:$E$1621,"")</f>
        <v/>
      </c>
    </row>
    <row r="3085" spans="1:6" x14ac:dyDescent="0.25">
      <c r="A3085" s="140">
        <v>45715.586805555555</v>
      </c>
      <c r="B3085" t="s">
        <v>761</v>
      </c>
      <c r="C3085" t="s">
        <v>6396</v>
      </c>
      <c r="D3085" s="6" t="str">
        <f>_xlfn.XLOOKUP(B3085,Indices!$A$2:$A$2676,Indices!$B$2:$B$2676,"")</f>
        <v>IWM</v>
      </c>
      <c r="E3085" t="str">
        <f>_xlfn.XLOOKUP(B3085,'2025-Q1'!$A$402:$A$448,'2025-Q1'!$A$402:$A$448,"avail")</f>
        <v>avail</v>
      </c>
      <c r="F3085" t="str">
        <f>_xlfn.XLOOKUP(B3085,'[2]!! -- Stock Universe 12.11.24'!$C$2:$C$1621,'[2]!! -- Stock Universe 12.11.24'!$E$2:$E$1621,"")</f>
        <v>Industrials</v>
      </c>
    </row>
    <row r="3086" spans="1:6" x14ac:dyDescent="0.25">
      <c r="A3086" s="140">
        <v>45715.586805555555</v>
      </c>
      <c r="B3086" t="s">
        <v>4509</v>
      </c>
      <c r="C3086" t="s">
        <v>6396</v>
      </c>
      <c r="D3086" s="6" t="str">
        <f>_xlfn.XLOOKUP(B3086,Indices!$A$2:$A$2676,Indices!$B$2:$B$2676,"")</f>
        <v/>
      </c>
      <c r="E3086" t="str">
        <f>_xlfn.XLOOKUP(B3086,'2025-Q1'!$A$402:$A$448,'2025-Q1'!$A$402:$A$448,"avail")</f>
        <v>avail</v>
      </c>
      <c r="F3086" t="str">
        <f>_xlfn.XLOOKUP(B3086,'[2]!! -- Stock Universe 12.11.24'!$C$2:$C$1621,'[2]!! -- Stock Universe 12.11.24'!$E$2:$E$1621,"")</f>
        <v/>
      </c>
    </row>
    <row r="3087" spans="1:6" x14ac:dyDescent="0.25">
      <c r="A3087" s="140">
        <v>45715.586805555555</v>
      </c>
      <c r="B3087" t="s">
        <v>3553</v>
      </c>
      <c r="C3087" t="s">
        <v>6396</v>
      </c>
      <c r="D3087" s="6" t="str">
        <f>_xlfn.XLOOKUP(B3087,Indices!$A$2:$A$2676,Indices!$B$2:$B$2676,"")</f>
        <v/>
      </c>
      <c r="E3087" t="str">
        <f>_xlfn.XLOOKUP(B3087,'2025-Q1'!$A$402:$A$448,'2025-Q1'!$A$402:$A$448,"avail")</f>
        <v>avail</v>
      </c>
      <c r="F3087" t="str">
        <f>_xlfn.XLOOKUP(B3087,'[2]!! -- Stock Universe 12.11.24'!$C$2:$C$1621,'[2]!! -- Stock Universe 12.11.24'!$E$2:$E$1621,"")</f>
        <v>Technology</v>
      </c>
    </row>
    <row r="3088" spans="1:6" x14ac:dyDescent="0.25">
      <c r="A3088" s="140">
        <v>45715.586805555555</v>
      </c>
      <c r="B3088" t="s">
        <v>1859</v>
      </c>
      <c r="C3088" t="s">
        <v>6396</v>
      </c>
      <c r="D3088" s="6" t="str">
        <f>_xlfn.XLOOKUP(B3088,Indices!$A$2:$A$2676,Indices!$B$2:$B$2676,"")</f>
        <v>IWM</v>
      </c>
      <c r="E3088" t="str">
        <f>_xlfn.XLOOKUP(B3088,'2025-Q1'!$A$402:$A$448,'2025-Q1'!$A$402:$A$448,"avail")</f>
        <v>avail</v>
      </c>
      <c r="F3088" t="str">
        <f>_xlfn.XLOOKUP(B3088,'[2]!! -- Stock Universe 12.11.24'!$C$2:$C$1621,'[2]!! -- Stock Universe 12.11.24'!$E$2:$E$1621,"")</f>
        <v/>
      </c>
    </row>
    <row r="3089" spans="1:6" x14ac:dyDescent="0.25">
      <c r="A3089" s="140">
        <v>45715.586805555555</v>
      </c>
      <c r="B3089" t="s">
        <v>971</v>
      </c>
      <c r="C3089" t="s">
        <v>6396</v>
      </c>
      <c r="D3089" s="6" t="str">
        <f>_xlfn.XLOOKUP(B3089,Indices!$A$2:$A$2676,Indices!$B$2:$B$2676,"")</f>
        <v>IWM</v>
      </c>
      <c r="E3089" t="str">
        <f>_xlfn.XLOOKUP(B3089,'2025-Q1'!$A$402:$A$448,'2025-Q1'!$A$402:$A$448,"avail")</f>
        <v>avail</v>
      </c>
      <c r="F3089" t="str">
        <f>_xlfn.XLOOKUP(B3089,'[2]!! -- Stock Universe 12.11.24'!$C$2:$C$1621,'[2]!! -- Stock Universe 12.11.24'!$E$2:$E$1621,"")</f>
        <v/>
      </c>
    </row>
    <row r="3090" spans="1:6" x14ac:dyDescent="0.25">
      <c r="A3090" s="140">
        <v>45715.587500000001</v>
      </c>
      <c r="B3090" t="s">
        <v>1164</v>
      </c>
      <c r="C3090" t="s">
        <v>6397</v>
      </c>
      <c r="D3090" s="6" t="str">
        <f>_xlfn.XLOOKUP(B3090,Indices!$A$2:$A$2676,Indices!$B$2:$B$2676,"")</f>
        <v>SP500</v>
      </c>
      <c r="E3090" t="str">
        <f>_xlfn.XLOOKUP(B3090,'2025-Q1'!$A$402:$A$448,'2025-Q1'!$A$402:$A$448,"avail")</f>
        <v>avail</v>
      </c>
      <c r="F3090" t="str">
        <f>_xlfn.XLOOKUP(B3090,'[2]!! -- Stock Universe 12.11.24'!$C$2:$C$1621,'[2]!! -- Stock Universe 12.11.24'!$E$2:$E$1621,"")</f>
        <v>Technology</v>
      </c>
    </row>
    <row r="3091" spans="1:6" x14ac:dyDescent="0.25">
      <c r="A3091" s="140">
        <v>45715.588888888888</v>
      </c>
      <c r="B3091" t="s">
        <v>983</v>
      </c>
      <c r="C3091" t="s">
        <v>6398</v>
      </c>
      <c r="D3091" s="6" t="str">
        <f>_xlfn.XLOOKUP(B3091,Indices!$A$2:$A$2676,Indices!$B$2:$B$2676,"")</f>
        <v>IWM</v>
      </c>
      <c r="E3091" t="str">
        <f>_xlfn.XLOOKUP(B3091,'2025-Q1'!$A$402:$A$448,'2025-Q1'!$A$402:$A$448,"avail")</f>
        <v>avail</v>
      </c>
      <c r="F3091" t="str">
        <f>_xlfn.XLOOKUP(B3091,'[2]!! -- Stock Universe 12.11.24'!$C$2:$C$1621,'[2]!! -- Stock Universe 12.11.24'!$E$2:$E$1621,"")</f>
        <v>Technology</v>
      </c>
    </row>
    <row r="3092" spans="1:6" x14ac:dyDescent="0.25">
      <c r="A3092" s="140">
        <v>45715.588888888888</v>
      </c>
      <c r="B3092" t="s">
        <v>418</v>
      </c>
      <c r="C3092" t="s">
        <v>6398</v>
      </c>
      <c r="D3092" s="6" t="str">
        <f>_xlfn.XLOOKUP(B3092,Indices!$A$2:$A$2676,Indices!$B$2:$B$2676,"")</f>
        <v>IWM</v>
      </c>
      <c r="E3092" t="str">
        <f>_xlfn.XLOOKUP(B3092,'2025-Q1'!$A$402:$A$448,'2025-Q1'!$A$402:$A$448,"avail")</f>
        <v>avail</v>
      </c>
      <c r="F3092" t="str">
        <f>_xlfn.XLOOKUP(B3092,'[2]!! -- Stock Universe 12.11.24'!$C$2:$C$1621,'[2]!! -- Stock Universe 12.11.24'!$E$2:$E$1621,"")</f>
        <v/>
      </c>
    </row>
    <row r="3093" spans="1:6" x14ac:dyDescent="0.25">
      <c r="A3093" s="140">
        <v>45715.590277777781</v>
      </c>
      <c r="B3093" t="s">
        <v>3385</v>
      </c>
      <c r="C3093" t="s">
        <v>6399</v>
      </c>
      <c r="D3093" s="6" t="str">
        <f>_xlfn.XLOOKUP(B3093,Indices!$A$2:$A$2676,Indices!$B$2:$B$2676,"")</f>
        <v/>
      </c>
      <c r="E3093" t="str">
        <f>_xlfn.XLOOKUP(B3093,'2025-Q1'!$A$402:$A$448,'2025-Q1'!$A$402:$A$448,"avail")</f>
        <v>avail</v>
      </c>
      <c r="F3093" t="str">
        <f>_xlfn.XLOOKUP(B3093,'[2]!! -- Stock Universe 12.11.24'!$C$2:$C$1621,'[2]!! -- Stock Universe 12.11.24'!$E$2:$E$1621,"")</f>
        <v/>
      </c>
    </row>
    <row r="3094" spans="1:6" x14ac:dyDescent="0.25">
      <c r="A3094" s="140">
        <v>45715.590277777781</v>
      </c>
      <c r="B3094" t="s">
        <v>706</v>
      </c>
      <c r="C3094" t="s">
        <v>6399</v>
      </c>
      <c r="D3094" s="6" t="str">
        <f>_xlfn.XLOOKUP(B3094,Indices!$A$2:$A$2676,Indices!$B$2:$B$2676,"")</f>
        <v>IWM</v>
      </c>
      <c r="E3094" t="str">
        <f>_xlfn.XLOOKUP(B3094,'2025-Q1'!$A$402:$A$448,'2025-Q1'!$A$402:$A$448,"avail")</f>
        <v>avail</v>
      </c>
      <c r="F3094" t="str">
        <f>_xlfn.XLOOKUP(B3094,'[2]!! -- Stock Universe 12.11.24'!$C$2:$C$1621,'[2]!! -- Stock Universe 12.11.24'!$E$2:$E$1621,"")</f>
        <v>Healthcare</v>
      </c>
    </row>
    <row r="3095" spans="1:6" x14ac:dyDescent="0.25">
      <c r="A3095" s="140">
        <v>45715.590277777781</v>
      </c>
      <c r="B3095" t="s">
        <v>775</v>
      </c>
      <c r="C3095" t="s">
        <v>6399</v>
      </c>
      <c r="D3095" s="6" t="str">
        <f>_xlfn.XLOOKUP(B3095,Indices!$A$2:$A$2676,Indices!$B$2:$B$2676,"")</f>
        <v>SP500</v>
      </c>
      <c r="E3095" t="str">
        <f>_xlfn.XLOOKUP(B3095,'2025-Q1'!$A$402:$A$448,'2025-Q1'!$A$402:$A$448,"avail")</f>
        <v>avail</v>
      </c>
      <c r="F3095" t="str">
        <f>_xlfn.XLOOKUP(B3095,'[2]!! -- Stock Universe 12.11.24'!$C$2:$C$1621,'[2]!! -- Stock Universe 12.11.24'!$E$2:$E$1621,"")</f>
        <v>Consumer Defensive</v>
      </c>
    </row>
    <row r="3096" spans="1:6" x14ac:dyDescent="0.25">
      <c r="A3096" s="140">
        <v>45715.590277777781</v>
      </c>
      <c r="B3096" t="s">
        <v>687</v>
      </c>
      <c r="C3096" t="s">
        <v>6399</v>
      </c>
      <c r="D3096" s="6" t="str">
        <f>_xlfn.XLOOKUP(B3096,Indices!$A$2:$A$2676,Indices!$B$2:$B$2676,"")</f>
        <v>IWM</v>
      </c>
      <c r="E3096" t="str">
        <f>_xlfn.XLOOKUP(B3096,'2025-Q1'!$A$402:$A$448,'2025-Q1'!$A$402:$A$448,"avail")</f>
        <v>avail</v>
      </c>
      <c r="F3096" t="str">
        <f>_xlfn.XLOOKUP(B3096,'[2]!! -- Stock Universe 12.11.24'!$C$2:$C$1621,'[2]!! -- Stock Universe 12.11.24'!$E$2:$E$1621,"")</f>
        <v/>
      </c>
    </row>
    <row r="3097" spans="1:6" x14ac:dyDescent="0.25">
      <c r="A3097" s="140">
        <v>45715.590277777781</v>
      </c>
      <c r="B3097" t="s">
        <v>772</v>
      </c>
      <c r="C3097" t="s">
        <v>6399</v>
      </c>
      <c r="D3097" s="6" t="str">
        <f>_xlfn.XLOOKUP(B3097,Indices!$A$2:$A$2676,Indices!$B$2:$B$2676,"")</f>
        <v>IWM</v>
      </c>
      <c r="E3097" t="str">
        <f>_xlfn.XLOOKUP(B3097,'2025-Q1'!$A$402:$A$448,'2025-Q1'!$A$402:$A$448,"avail")</f>
        <v>avail</v>
      </c>
      <c r="F3097" t="str">
        <f>_xlfn.XLOOKUP(B3097,'[2]!! -- Stock Universe 12.11.24'!$C$2:$C$1621,'[2]!! -- Stock Universe 12.11.24'!$E$2:$E$1621,"")</f>
        <v/>
      </c>
    </row>
    <row r="3098" spans="1:6" x14ac:dyDescent="0.25">
      <c r="A3098" s="140">
        <v>45715.590277777781</v>
      </c>
      <c r="B3098" t="s">
        <v>778</v>
      </c>
      <c r="C3098" t="s">
        <v>6399</v>
      </c>
      <c r="D3098" s="6" t="str">
        <f>_xlfn.XLOOKUP(B3098,Indices!$A$2:$A$2676,Indices!$B$2:$B$2676,"")</f>
        <v>IWM</v>
      </c>
      <c r="E3098" t="str">
        <f>_xlfn.XLOOKUP(B3098,'2025-Q1'!$A$402:$A$448,'2025-Q1'!$A$402:$A$448,"avail")</f>
        <v>avail</v>
      </c>
      <c r="F3098" t="str">
        <f>_xlfn.XLOOKUP(B3098,'[2]!! -- Stock Universe 12.11.24'!$C$2:$C$1621,'[2]!! -- Stock Universe 12.11.24'!$E$2:$E$1621,"")</f>
        <v/>
      </c>
    </row>
    <row r="3099" spans="1:6" x14ac:dyDescent="0.25">
      <c r="A3099" s="140">
        <v>45715.59097222222</v>
      </c>
      <c r="B3099" t="s">
        <v>697</v>
      </c>
      <c r="C3099" t="s">
        <v>6400</v>
      </c>
      <c r="D3099" s="6" t="str">
        <f>_xlfn.XLOOKUP(B3099,Indices!$A$2:$A$2676,Indices!$B$2:$B$2676,"")</f>
        <v>IWM</v>
      </c>
      <c r="E3099" t="str">
        <f>_xlfn.XLOOKUP(B3099,'2025-Q1'!$A$402:$A$448,'2025-Q1'!$A$402:$A$448,"avail")</f>
        <v>avail</v>
      </c>
      <c r="F3099" t="str">
        <f>_xlfn.XLOOKUP(B3099,'[2]!! -- Stock Universe 12.11.24'!$C$2:$C$1621,'[2]!! -- Stock Universe 12.11.24'!$E$2:$E$1621,"")</f>
        <v>Healthcare</v>
      </c>
    </row>
    <row r="3100" spans="1:6" x14ac:dyDescent="0.25">
      <c r="A3100" s="140">
        <v>45715.59375</v>
      </c>
      <c r="B3100" t="s">
        <v>1912</v>
      </c>
      <c r="C3100" t="s">
        <v>6401</v>
      </c>
      <c r="D3100" s="6" t="str">
        <f>_xlfn.XLOOKUP(B3100,Indices!$A$2:$A$2676,Indices!$B$2:$B$2676,"")</f>
        <v>IWM</v>
      </c>
      <c r="E3100" t="str">
        <f>_xlfn.XLOOKUP(B3100,'2025-Q1'!$A$402:$A$448,'2025-Q1'!$A$402:$A$448,"avail")</f>
        <v>avail</v>
      </c>
      <c r="F3100" t="str">
        <f>_xlfn.XLOOKUP(B3100,'[2]!! -- Stock Universe 12.11.24'!$C$2:$C$1621,'[2]!! -- Stock Universe 12.11.24'!$E$2:$E$1621,"")</f>
        <v/>
      </c>
    </row>
    <row r="3101" spans="1:6" x14ac:dyDescent="0.25">
      <c r="A3101" s="140">
        <v>45715.59375</v>
      </c>
      <c r="B3101" t="s">
        <v>2051</v>
      </c>
      <c r="C3101" t="s">
        <v>6401</v>
      </c>
      <c r="D3101" s="6" t="str">
        <f>_xlfn.XLOOKUP(B3101,Indices!$A$2:$A$2676,Indices!$B$2:$B$2676,"")</f>
        <v>IWM</v>
      </c>
      <c r="E3101" t="str">
        <f>_xlfn.XLOOKUP(B3101,'2025-Q1'!$A$402:$A$448,'2025-Q1'!$A$402:$A$448,"avail")</f>
        <v>avail</v>
      </c>
      <c r="F3101" t="str">
        <f>_xlfn.XLOOKUP(B3101,'[2]!! -- Stock Universe 12.11.24'!$C$2:$C$1621,'[2]!! -- Stock Universe 12.11.24'!$E$2:$E$1621,"")</f>
        <v/>
      </c>
    </row>
    <row r="3102" spans="1:6" x14ac:dyDescent="0.25">
      <c r="A3102" s="140">
        <v>45715.59375</v>
      </c>
      <c r="B3102" t="s">
        <v>799</v>
      </c>
      <c r="C3102" t="s">
        <v>6401</v>
      </c>
      <c r="D3102" s="6" t="str">
        <f>_xlfn.XLOOKUP(B3102,Indices!$A$2:$A$2676,Indices!$B$2:$B$2676,"")</f>
        <v>IWM</v>
      </c>
      <c r="E3102" t="str">
        <f>_xlfn.XLOOKUP(B3102,'2025-Q1'!$A$402:$A$448,'2025-Q1'!$A$402:$A$448,"avail")</f>
        <v>avail</v>
      </c>
      <c r="F3102" t="str">
        <f>_xlfn.XLOOKUP(B3102,'[2]!! -- Stock Universe 12.11.24'!$C$2:$C$1621,'[2]!! -- Stock Universe 12.11.24'!$E$2:$E$1621,"")</f>
        <v>Communication Services</v>
      </c>
    </row>
    <row r="3103" spans="1:6" x14ac:dyDescent="0.25">
      <c r="A3103" s="140">
        <v>45715.59375</v>
      </c>
      <c r="B3103" t="s">
        <v>1872</v>
      </c>
      <c r="C3103" t="s">
        <v>6401</v>
      </c>
      <c r="D3103" s="6" t="str">
        <f>_xlfn.XLOOKUP(B3103,Indices!$A$2:$A$2676,Indices!$B$2:$B$2676,"")</f>
        <v>IWM</v>
      </c>
      <c r="E3103" t="str">
        <f>_xlfn.XLOOKUP(B3103,'2025-Q1'!$A$402:$A$448,'2025-Q1'!$A$402:$A$448,"avail")</f>
        <v>avail</v>
      </c>
      <c r="F3103" t="str">
        <f>_xlfn.XLOOKUP(B3103,'[2]!! -- Stock Universe 12.11.24'!$C$2:$C$1621,'[2]!! -- Stock Universe 12.11.24'!$E$2:$E$1621,"")</f>
        <v/>
      </c>
    </row>
    <row r="3104" spans="1:6" x14ac:dyDescent="0.25">
      <c r="A3104" s="140">
        <v>45715.59375</v>
      </c>
      <c r="B3104" t="s">
        <v>442</v>
      </c>
      <c r="C3104" t="s">
        <v>6401</v>
      </c>
      <c r="D3104" s="6" t="str">
        <f>_xlfn.XLOOKUP(B3104,Indices!$A$2:$A$2676,Indices!$B$2:$B$2676,"")</f>
        <v>IWM</v>
      </c>
      <c r="E3104" t="str">
        <f>_xlfn.XLOOKUP(B3104,'2025-Q1'!$A$402:$A$448,'2025-Q1'!$A$402:$A$448,"avail")</f>
        <v>avail</v>
      </c>
      <c r="F3104" t="str">
        <f>_xlfn.XLOOKUP(B3104,'[2]!! -- Stock Universe 12.11.24'!$C$2:$C$1621,'[2]!! -- Stock Universe 12.11.24'!$E$2:$E$1621,"")</f>
        <v/>
      </c>
    </row>
    <row r="3105" spans="1:6" x14ac:dyDescent="0.25">
      <c r="A3105" s="140">
        <v>45715.59375</v>
      </c>
      <c r="B3105" t="s">
        <v>788</v>
      </c>
      <c r="C3105" t="s">
        <v>6401</v>
      </c>
      <c r="D3105" s="6" t="str">
        <f>_xlfn.XLOOKUP(B3105,Indices!$A$2:$A$2676,Indices!$B$2:$B$2676,"")</f>
        <v>IWM</v>
      </c>
      <c r="E3105" t="str">
        <f>_xlfn.XLOOKUP(B3105,'2025-Q1'!$A$402:$A$448,'2025-Q1'!$A$402:$A$448,"avail")</f>
        <v>avail</v>
      </c>
      <c r="F3105" t="str">
        <f>_xlfn.XLOOKUP(B3105,'[2]!! -- Stock Universe 12.11.24'!$C$2:$C$1621,'[2]!! -- Stock Universe 12.11.24'!$E$2:$E$1621,"")</f>
        <v/>
      </c>
    </row>
    <row r="3106" spans="1:6" x14ac:dyDescent="0.25">
      <c r="A3106" s="140">
        <v>45715.59375</v>
      </c>
      <c r="B3106" t="s">
        <v>2398</v>
      </c>
      <c r="C3106" t="s">
        <v>6401</v>
      </c>
      <c r="D3106" s="6" t="str">
        <f>_xlfn.XLOOKUP(B3106,Indices!$A$2:$A$2676,Indices!$B$2:$B$2676,"")</f>
        <v>S&amp;P Mid</v>
      </c>
      <c r="E3106" t="str">
        <f>_xlfn.XLOOKUP(B3106,'2025-Q1'!$A$402:$A$448,'2025-Q1'!$A$402:$A$448,"avail")</f>
        <v>avail</v>
      </c>
      <c r="F3106" t="str">
        <f>_xlfn.XLOOKUP(B3106,'[2]!! -- Stock Universe 12.11.24'!$C$2:$C$1621,'[2]!! -- Stock Universe 12.11.24'!$E$2:$E$1621,"")</f>
        <v/>
      </c>
    </row>
    <row r="3107" spans="1:6" x14ac:dyDescent="0.25">
      <c r="A3107" s="140">
        <v>45715.59375</v>
      </c>
      <c r="B3107" t="s">
        <v>995</v>
      </c>
      <c r="C3107" t="s">
        <v>6401</v>
      </c>
      <c r="D3107" s="6" t="str">
        <f>_xlfn.XLOOKUP(B3107,Indices!$A$2:$A$2676,Indices!$B$2:$B$2676,"")</f>
        <v>IWM</v>
      </c>
      <c r="E3107" t="str">
        <f>_xlfn.XLOOKUP(B3107,'2025-Q1'!$A$402:$A$448,'2025-Q1'!$A$402:$A$448,"avail")</f>
        <v>avail</v>
      </c>
      <c r="F3107" t="str">
        <f>_xlfn.XLOOKUP(B3107,'[2]!! -- Stock Universe 12.11.24'!$C$2:$C$1621,'[2]!! -- Stock Universe 12.11.24'!$E$2:$E$1621,"")</f>
        <v/>
      </c>
    </row>
    <row r="3108" spans="1:6" x14ac:dyDescent="0.25">
      <c r="A3108" s="140">
        <v>45715.59375</v>
      </c>
      <c r="B3108" t="s">
        <v>1684</v>
      </c>
      <c r="C3108" t="s">
        <v>6401</v>
      </c>
      <c r="D3108" s="6" t="str">
        <f>_xlfn.XLOOKUP(B3108,Indices!$A$2:$A$2676,Indices!$B$2:$B$2676,"")</f>
        <v>IWM</v>
      </c>
      <c r="E3108" t="str">
        <f>_xlfn.XLOOKUP(B3108,'2025-Q1'!$A$402:$A$448,'2025-Q1'!$A$402:$A$448,"avail")</f>
        <v>avail</v>
      </c>
      <c r="F3108" t="str">
        <f>_xlfn.XLOOKUP(B3108,'[2]!! -- Stock Universe 12.11.24'!$C$2:$C$1621,'[2]!! -- Stock Universe 12.11.24'!$E$2:$E$1621,"")</f>
        <v/>
      </c>
    </row>
    <row r="3109" spans="1:6" x14ac:dyDescent="0.25">
      <c r="A3109" s="140">
        <v>45715.59375</v>
      </c>
      <c r="B3109" t="s">
        <v>246</v>
      </c>
      <c r="C3109" t="s">
        <v>6401</v>
      </c>
      <c r="D3109" s="6" t="str">
        <f>_xlfn.XLOOKUP(B3109,Indices!$A$2:$A$2676,Indices!$B$2:$B$2676,"")</f>
        <v>IWM</v>
      </c>
      <c r="E3109" t="str">
        <f>_xlfn.XLOOKUP(B3109,'2025-Q1'!$A$402:$A$448,'2025-Q1'!$A$402:$A$448,"avail")</f>
        <v>avail</v>
      </c>
      <c r="F3109" t="str">
        <f>_xlfn.XLOOKUP(B3109,'[2]!! -- Stock Universe 12.11.24'!$C$2:$C$1621,'[2]!! -- Stock Universe 12.11.24'!$E$2:$E$1621,"")</f>
        <v/>
      </c>
    </row>
    <row r="3110" spans="1:6" x14ac:dyDescent="0.25">
      <c r="A3110" s="140">
        <v>45715.59375</v>
      </c>
      <c r="B3110" t="s">
        <v>988</v>
      </c>
      <c r="C3110" t="s">
        <v>6401</v>
      </c>
      <c r="D3110" s="6" t="str">
        <f>_xlfn.XLOOKUP(B3110,Indices!$A$2:$A$2676,Indices!$B$2:$B$2676,"")</f>
        <v>IWM</v>
      </c>
      <c r="E3110" t="str">
        <f>_xlfn.XLOOKUP(B3110,'2025-Q1'!$A$402:$A$448,'2025-Q1'!$A$402:$A$448,"avail")</f>
        <v>avail</v>
      </c>
      <c r="F3110" t="str">
        <f>_xlfn.XLOOKUP(B3110,'[2]!! -- Stock Universe 12.11.24'!$C$2:$C$1621,'[2]!! -- Stock Universe 12.11.24'!$E$2:$E$1621,"")</f>
        <v>Industrials</v>
      </c>
    </row>
    <row r="3111" spans="1:6" x14ac:dyDescent="0.25">
      <c r="A3111" s="140">
        <v>45715.59375</v>
      </c>
      <c r="B3111" t="s">
        <v>2140</v>
      </c>
      <c r="C3111" t="s">
        <v>6401</v>
      </c>
      <c r="D3111" s="6" t="str">
        <f>_xlfn.XLOOKUP(B3111,Indices!$A$2:$A$2676,Indices!$B$2:$B$2676,"")</f>
        <v>IWM</v>
      </c>
      <c r="E3111" t="str">
        <f>_xlfn.XLOOKUP(B3111,'2025-Q1'!$A$402:$A$448,'2025-Q1'!$A$402:$A$448,"avail")</f>
        <v>avail</v>
      </c>
      <c r="F3111" t="str">
        <f>_xlfn.XLOOKUP(B3111,'[2]!! -- Stock Universe 12.11.24'!$C$2:$C$1621,'[2]!! -- Stock Universe 12.11.24'!$E$2:$E$1621,"")</f>
        <v/>
      </c>
    </row>
    <row r="3112" spans="1:6" x14ac:dyDescent="0.25">
      <c r="A3112" s="140">
        <v>45715.59375</v>
      </c>
      <c r="B3112" t="s">
        <v>3229</v>
      </c>
      <c r="C3112" t="s">
        <v>6401</v>
      </c>
      <c r="D3112" s="6" t="str">
        <f>_xlfn.XLOOKUP(B3112,Indices!$A$2:$A$2676,Indices!$B$2:$B$2676,"")</f>
        <v/>
      </c>
      <c r="E3112" t="str">
        <f>_xlfn.XLOOKUP(B3112,'2025-Q1'!$A$402:$A$448,'2025-Q1'!$A$402:$A$448,"avail")</f>
        <v>avail</v>
      </c>
      <c r="F3112" t="str">
        <f>_xlfn.XLOOKUP(B3112,'[2]!! -- Stock Universe 12.11.24'!$C$2:$C$1621,'[2]!! -- Stock Universe 12.11.24'!$E$2:$E$1621,"")</f>
        <v/>
      </c>
    </row>
    <row r="3113" spans="1:6" x14ac:dyDescent="0.25">
      <c r="A3113" s="140">
        <v>45715.59375</v>
      </c>
      <c r="B3113" t="s">
        <v>790</v>
      </c>
      <c r="C3113" t="s">
        <v>6401</v>
      </c>
      <c r="D3113" s="6" t="str">
        <f>_xlfn.XLOOKUP(B3113,Indices!$A$2:$A$2676,Indices!$B$2:$B$2676,"")</f>
        <v>SP500</v>
      </c>
      <c r="E3113" t="str">
        <f>_xlfn.XLOOKUP(B3113,'2025-Q1'!$A$402:$A$448,'2025-Q1'!$A$402:$A$448,"avail")</f>
        <v>avail</v>
      </c>
      <c r="F3113" t="str">
        <f>_xlfn.XLOOKUP(B3113,'[2]!! -- Stock Universe 12.11.24'!$C$2:$C$1621,'[2]!! -- Stock Universe 12.11.24'!$E$2:$E$1621,"")</f>
        <v>Energy</v>
      </c>
    </row>
    <row r="3114" spans="1:6" x14ac:dyDescent="0.25">
      <c r="A3114" s="140">
        <v>45715.59375</v>
      </c>
      <c r="B3114" t="s">
        <v>1160</v>
      </c>
      <c r="C3114" t="s">
        <v>6401</v>
      </c>
      <c r="D3114" s="6" t="str">
        <f>_xlfn.XLOOKUP(B3114,Indices!$A$2:$A$2676,Indices!$B$2:$B$2676,"")</f>
        <v>SP500</v>
      </c>
      <c r="E3114" t="str">
        <f>_xlfn.XLOOKUP(B3114,'2025-Q1'!$A$402:$A$448,'2025-Q1'!$A$402:$A$448,"avail")</f>
        <v>avail</v>
      </c>
      <c r="F3114" t="str">
        <f>_xlfn.XLOOKUP(B3114,'[2]!! -- Stock Universe 12.11.24'!$C$2:$C$1621,'[2]!! -- Stock Universe 12.11.24'!$E$2:$E$1621,"")</f>
        <v>Technology</v>
      </c>
    </row>
    <row r="3115" spans="1:6" x14ac:dyDescent="0.25">
      <c r="A3115" s="140">
        <v>45715.59375</v>
      </c>
      <c r="B3115" t="s">
        <v>444</v>
      </c>
      <c r="C3115" t="s">
        <v>6401</v>
      </c>
      <c r="D3115" s="6" t="str">
        <f>_xlfn.XLOOKUP(B3115,Indices!$A$2:$A$2676,Indices!$B$2:$B$2676,"")</f>
        <v>IWM</v>
      </c>
      <c r="E3115" t="str">
        <f>_xlfn.XLOOKUP(B3115,'2025-Q1'!$A$402:$A$448,'2025-Q1'!$A$402:$A$448,"avail")</f>
        <v>avail</v>
      </c>
      <c r="F3115" t="str">
        <f>_xlfn.XLOOKUP(B3115,'[2]!! -- Stock Universe 12.11.24'!$C$2:$C$1621,'[2]!! -- Stock Universe 12.11.24'!$E$2:$E$1621,"")</f>
        <v/>
      </c>
    </row>
    <row r="3116" spans="1:6" x14ac:dyDescent="0.25">
      <c r="A3116" s="140">
        <v>45715.59375</v>
      </c>
      <c r="B3116" t="s">
        <v>1519</v>
      </c>
      <c r="C3116" t="s">
        <v>6401</v>
      </c>
      <c r="D3116" s="6" t="str">
        <f>_xlfn.XLOOKUP(B3116,Indices!$A$2:$A$2676,Indices!$B$2:$B$2676,"")</f>
        <v>SP500</v>
      </c>
      <c r="E3116" t="str">
        <f>_xlfn.XLOOKUP(B3116,'2025-Q1'!$A$402:$A$448,'2025-Q1'!$A$402:$A$448,"avail")</f>
        <v>avail</v>
      </c>
      <c r="F3116" t="str">
        <f>_xlfn.XLOOKUP(B3116,'[2]!! -- Stock Universe 12.11.24'!$C$2:$C$1621,'[2]!! -- Stock Universe 12.11.24'!$E$2:$E$1621,"")</f>
        <v/>
      </c>
    </row>
    <row r="3117" spans="1:6" x14ac:dyDescent="0.25">
      <c r="A3117" s="140">
        <v>45715.59375</v>
      </c>
      <c r="B3117" t="s">
        <v>801</v>
      </c>
      <c r="C3117" t="s">
        <v>6401</v>
      </c>
      <c r="D3117" s="6" t="str">
        <f>_xlfn.XLOOKUP(B3117,Indices!$A$2:$A$2676,Indices!$B$2:$B$2676,"")</f>
        <v>IWM</v>
      </c>
      <c r="E3117" t="str">
        <f>_xlfn.XLOOKUP(B3117,'2025-Q1'!$A$402:$A$448,'2025-Q1'!$A$402:$A$448,"avail")</f>
        <v>avail</v>
      </c>
      <c r="F3117" t="str">
        <f>_xlfn.XLOOKUP(B3117,'[2]!! -- Stock Universe 12.11.24'!$C$2:$C$1621,'[2]!! -- Stock Universe 12.11.24'!$E$2:$E$1621,"")</f>
        <v/>
      </c>
    </row>
    <row r="3118" spans="1:6" x14ac:dyDescent="0.25">
      <c r="A3118" s="140">
        <v>45715.595833333333</v>
      </c>
      <c r="B3118" t="s">
        <v>3552</v>
      </c>
      <c r="C3118" t="s">
        <v>6402</v>
      </c>
      <c r="D3118" s="6" t="str">
        <f>_xlfn.XLOOKUP(B3118,Indices!$A$2:$A$2676,Indices!$B$2:$B$2676,"")</f>
        <v/>
      </c>
      <c r="E3118" t="str">
        <f>_xlfn.XLOOKUP(B3118,'2025-Q1'!$A$402:$A$448,'2025-Q1'!$A$402:$A$448,"avail")</f>
        <v>avail</v>
      </c>
      <c r="F3118" t="str">
        <f>_xlfn.XLOOKUP(B3118,'[2]!! -- Stock Universe 12.11.24'!$C$2:$C$1621,'[2]!! -- Stock Universe 12.11.24'!$E$2:$E$1621,"")</f>
        <v/>
      </c>
    </row>
    <row r="3119" spans="1:6" x14ac:dyDescent="0.25">
      <c r="A3119" s="140">
        <v>45715.595833333333</v>
      </c>
      <c r="B3119" t="s">
        <v>817</v>
      </c>
      <c r="C3119" t="s">
        <v>6402</v>
      </c>
      <c r="D3119" s="6" t="str">
        <f>_xlfn.XLOOKUP(B3119,Indices!$A$2:$A$2676,Indices!$B$2:$B$2676,"")</f>
        <v>IWM</v>
      </c>
      <c r="E3119" t="str">
        <f>_xlfn.XLOOKUP(B3119,'2025-Q1'!$A$402:$A$448,'2025-Q1'!$A$402:$A$448,"avail")</f>
        <v>avail</v>
      </c>
      <c r="F3119" t="str">
        <f>_xlfn.XLOOKUP(B3119,'[2]!! -- Stock Universe 12.11.24'!$C$2:$C$1621,'[2]!! -- Stock Universe 12.11.24'!$E$2:$E$1621,"")</f>
        <v>Energy</v>
      </c>
    </row>
    <row r="3120" spans="1:6" x14ac:dyDescent="0.25">
      <c r="A3120" s="140">
        <v>45715.595833333333</v>
      </c>
      <c r="B3120" t="s">
        <v>3538</v>
      </c>
      <c r="C3120" t="s">
        <v>6402</v>
      </c>
      <c r="D3120" s="6" t="str">
        <f>_xlfn.XLOOKUP(B3120,Indices!$A$2:$A$2676,Indices!$B$2:$B$2676,"")</f>
        <v/>
      </c>
      <c r="E3120" t="str">
        <f>_xlfn.XLOOKUP(B3120,'2025-Q1'!$A$402:$A$448,'2025-Q1'!$A$402:$A$448,"avail")</f>
        <v>avail</v>
      </c>
      <c r="F3120" t="str">
        <f>_xlfn.XLOOKUP(B3120,'[2]!! -- Stock Universe 12.11.24'!$C$2:$C$1621,'[2]!! -- Stock Universe 12.11.24'!$E$2:$E$1621,"")</f>
        <v/>
      </c>
    </row>
    <row r="3121" spans="1:6" x14ac:dyDescent="0.25">
      <c r="A3121" s="140">
        <v>45715.59652777778</v>
      </c>
      <c r="B3121" t="s">
        <v>3621</v>
      </c>
      <c r="C3121" t="s">
        <v>6403</v>
      </c>
      <c r="D3121" s="6" t="str">
        <f>_xlfn.XLOOKUP(B3121,Indices!$A$2:$A$2676,Indices!$B$2:$B$2676,"")</f>
        <v/>
      </c>
      <c r="E3121" t="str">
        <f>_xlfn.XLOOKUP(B3121,'2025-Q1'!$A$402:$A$448,'2025-Q1'!$A$402:$A$448,"avail")</f>
        <v>avail</v>
      </c>
      <c r="F3121" t="str">
        <f>_xlfn.XLOOKUP(B3121,'[2]!! -- Stock Universe 12.11.24'!$C$2:$C$1621,'[2]!! -- Stock Universe 12.11.24'!$E$2:$E$1621,"")</f>
        <v/>
      </c>
    </row>
    <row r="3122" spans="1:6" x14ac:dyDescent="0.25">
      <c r="A3122" s="140">
        <v>45715.59652777778</v>
      </c>
      <c r="B3122" t="s">
        <v>806</v>
      </c>
      <c r="C3122" t="s">
        <v>6403</v>
      </c>
      <c r="D3122" s="6" t="str">
        <f>_xlfn.XLOOKUP(B3122,Indices!$A$2:$A$2676,Indices!$B$2:$B$2676,"")</f>
        <v>IWM</v>
      </c>
      <c r="E3122" t="str">
        <f>_xlfn.XLOOKUP(B3122,'2025-Q1'!$A$402:$A$448,'2025-Q1'!$A$402:$A$448,"avail")</f>
        <v>avail</v>
      </c>
      <c r="F3122" t="str">
        <f>_xlfn.XLOOKUP(B3122,'[2]!! -- Stock Universe 12.11.24'!$C$2:$C$1621,'[2]!! -- Stock Universe 12.11.24'!$E$2:$E$1621,"")</f>
        <v/>
      </c>
    </row>
    <row r="3123" spans="1:6" x14ac:dyDescent="0.25">
      <c r="A3123" s="140">
        <v>45715.597222222219</v>
      </c>
      <c r="B3123" t="s">
        <v>866</v>
      </c>
      <c r="C3123" t="s">
        <v>6404</v>
      </c>
      <c r="D3123" s="6" t="str">
        <f>_xlfn.XLOOKUP(B3123,Indices!$A$2:$A$2676,Indices!$B$2:$B$2676,"")</f>
        <v>IWM</v>
      </c>
      <c r="E3123" t="str">
        <f>_xlfn.XLOOKUP(B3123,'2025-Q1'!$A$402:$A$448,'2025-Q1'!$A$402:$A$448,"avail")</f>
        <v>avail</v>
      </c>
      <c r="F3123" t="str">
        <f>_xlfn.XLOOKUP(B3123,'[2]!! -- Stock Universe 12.11.24'!$C$2:$C$1621,'[2]!! -- Stock Universe 12.11.24'!$E$2:$E$1621,"")</f>
        <v>Healthcare</v>
      </c>
    </row>
    <row r="3124" spans="1:6" x14ac:dyDescent="0.25">
      <c r="A3124" s="140">
        <v>45715.602083333331</v>
      </c>
      <c r="B3124" t="s">
        <v>816</v>
      </c>
      <c r="C3124" t="s">
        <v>6405</v>
      </c>
      <c r="D3124" s="6" t="str">
        <f>_xlfn.XLOOKUP(B3124,Indices!$A$2:$A$2676,Indices!$B$2:$B$2676,"")</f>
        <v>IWM</v>
      </c>
      <c r="E3124" t="str">
        <f>_xlfn.XLOOKUP(B3124,'2025-Q1'!$A$402:$A$448,'2025-Q1'!$A$402:$A$448,"avail")</f>
        <v>avail</v>
      </c>
      <c r="F3124" t="str">
        <f>_xlfn.XLOOKUP(B3124,'[2]!! -- Stock Universe 12.11.24'!$C$2:$C$1621,'[2]!! -- Stock Universe 12.11.24'!$E$2:$E$1621,"")</f>
        <v/>
      </c>
    </row>
    <row r="3125" spans="1:6" x14ac:dyDescent="0.25">
      <c r="A3125" s="140">
        <v>45715.604166666664</v>
      </c>
      <c r="B3125" t="s">
        <v>953</v>
      </c>
      <c r="C3125" t="s">
        <v>6406</v>
      </c>
      <c r="D3125" s="6" t="str">
        <f>_xlfn.XLOOKUP(B3125,Indices!$A$2:$A$2676,Indices!$B$2:$B$2676,"")</f>
        <v>IWM</v>
      </c>
      <c r="E3125" t="str">
        <f>_xlfn.XLOOKUP(B3125,'2025-Q1'!$A$402:$A$448,'2025-Q1'!$A$402:$A$448,"avail")</f>
        <v>avail</v>
      </c>
      <c r="F3125" t="str">
        <f>_xlfn.XLOOKUP(B3125,'[2]!! -- Stock Universe 12.11.24'!$C$2:$C$1621,'[2]!! -- Stock Universe 12.11.24'!$E$2:$E$1621,"")</f>
        <v/>
      </c>
    </row>
    <row r="3126" spans="1:6" x14ac:dyDescent="0.25">
      <c r="A3126" s="140">
        <v>45715.615972222222</v>
      </c>
      <c r="B3126" t="s">
        <v>3321</v>
      </c>
      <c r="C3126" t="s">
        <v>6407</v>
      </c>
      <c r="D3126" s="6" t="str">
        <f>_xlfn.XLOOKUP(B3126,Indices!$A$2:$A$2676,Indices!$B$2:$B$2676,"")</f>
        <v/>
      </c>
      <c r="E3126" t="str">
        <f>_xlfn.XLOOKUP(B3126,'2025-Q1'!$A$402:$A$448,'2025-Q1'!$A$402:$A$448,"avail")</f>
        <v>avail</v>
      </c>
      <c r="F3126" t="str">
        <f>_xlfn.XLOOKUP(B3126,'[2]!! -- Stock Universe 12.11.24'!$C$2:$C$1621,'[2]!! -- Stock Universe 12.11.24'!$E$2:$E$1621,"")</f>
        <v/>
      </c>
    </row>
    <row r="3127" spans="1:6" x14ac:dyDescent="0.25">
      <c r="A3127" s="140">
        <v>45715.625</v>
      </c>
      <c r="B3127" t="s">
        <v>3500</v>
      </c>
      <c r="C3127" t="s">
        <v>3527</v>
      </c>
      <c r="D3127" s="6" t="str">
        <f>_xlfn.XLOOKUP(B3127,Indices!$A$2:$A$2676,Indices!$B$2:$B$2676,"")</f>
        <v/>
      </c>
      <c r="E3127" t="str">
        <f>_xlfn.XLOOKUP(B3127,'2025-Q1'!$A$402:$A$448,'2025-Q1'!$A$402:$A$448,"avail")</f>
        <v>avail</v>
      </c>
      <c r="F3127" t="str">
        <f>_xlfn.XLOOKUP(B3127,'[2]!! -- Stock Universe 12.11.24'!$C$2:$C$1621,'[2]!! -- Stock Universe 12.11.24'!$E$2:$E$1621,"")</f>
        <v/>
      </c>
    </row>
    <row r="3128" spans="1:6" x14ac:dyDescent="0.25">
      <c r="A3128" s="140">
        <v>45715.625</v>
      </c>
      <c r="B3128" t="s">
        <v>1600</v>
      </c>
      <c r="C3128" t="s">
        <v>3527</v>
      </c>
      <c r="D3128" s="6" t="str">
        <f>_xlfn.XLOOKUP(B3128,Indices!$A$2:$A$2676,Indices!$B$2:$B$2676,"")</f>
        <v>SP500</v>
      </c>
      <c r="E3128" t="str">
        <f>_xlfn.XLOOKUP(B3128,'2025-Q1'!$A$402:$A$448,'2025-Q1'!$A$402:$A$448,"avail")</f>
        <v>avail</v>
      </c>
      <c r="F3128" t="str">
        <f>_xlfn.XLOOKUP(B3128,'[2]!! -- Stock Universe 12.11.24'!$C$2:$C$1621,'[2]!! -- Stock Universe 12.11.24'!$E$2:$E$1621,"")</f>
        <v>Utilities</v>
      </c>
    </row>
    <row r="3129" spans="1:6" x14ac:dyDescent="0.25">
      <c r="A3129" s="140">
        <v>45715.625</v>
      </c>
      <c r="B3129" t="s">
        <v>1091</v>
      </c>
      <c r="C3129" t="s">
        <v>3527</v>
      </c>
      <c r="D3129" s="6" t="str">
        <f>_xlfn.XLOOKUP(B3129,Indices!$A$2:$A$2676,Indices!$B$2:$B$2676,"")</f>
        <v/>
      </c>
      <c r="E3129" t="str">
        <f>_xlfn.XLOOKUP(B3129,'2025-Q1'!$A$402:$A$448,'2025-Q1'!$A$402:$A$448,"avail")</f>
        <v>avail</v>
      </c>
      <c r="F3129" t="str">
        <f>_xlfn.XLOOKUP(B3129,'[2]!! -- Stock Universe 12.11.24'!$C$2:$C$1621,'[2]!! -- Stock Universe 12.11.24'!$E$2:$E$1621,"")</f>
        <v/>
      </c>
    </row>
    <row r="3130" spans="1:6" x14ac:dyDescent="0.25">
      <c r="A3130" s="140">
        <v>45715.625</v>
      </c>
      <c r="B3130" t="s">
        <v>3566</v>
      </c>
      <c r="C3130" t="s">
        <v>3527</v>
      </c>
      <c r="D3130" s="6" t="str">
        <f>_xlfn.XLOOKUP(B3130,Indices!$A$2:$A$2676,Indices!$B$2:$B$2676,"")</f>
        <v/>
      </c>
      <c r="E3130" t="str">
        <f>_xlfn.XLOOKUP(B3130,'2025-Q1'!$A$402:$A$448,'2025-Q1'!$A$402:$A$448,"avail")</f>
        <v>avail</v>
      </c>
      <c r="F3130" t="str">
        <f>_xlfn.XLOOKUP(B3130,'[2]!! -- Stock Universe 12.11.24'!$C$2:$C$1621,'[2]!! -- Stock Universe 12.11.24'!$E$2:$E$1621,"")</f>
        <v/>
      </c>
    </row>
    <row r="3131" spans="1:6" x14ac:dyDescent="0.25">
      <c r="A3131" s="140">
        <v>45715.625</v>
      </c>
      <c r="B3131" t="s">
        <v>3393</v>
      </c>
      <c r="C3131" t="s">
        <v>3527</v>
      </c>
      <c r="D3131" s="6" t="str">
        <f>_xlfn.XLOOKUP(B3131,Indices!$A$2:$A$2676,Indices!$B$2:$B$2676,"")</f>
        <v/>
      </c>
      <c r="E3131" t="str">
        <f>_xlfn.XLOOKUP(B3131,'2025-Q1'!$A$402:$A$448,'2025-Q1'!$A$402:$A$448,"avail")</f>
        <v>avail</v>
      </c>
      <c r="F3131" t="str">
        <f>_xlfn.XLOOKUP(B3131,'[2]!! -- Stock Universe 12.11.24'!$C$2:$C$1621,'[2]!! -- Stock Universe 12.11.24'!$E$2:$E$1621,"")</f>
        <v/>
      </c>
    </row>
    <row r="3132" spans="1:6" x14ac:dyDescent="0.25">
      <c r="A3132" s="140">
        <v>45715.625</v>
      </c>
      <c r="B3132" t="s">
        <v>3360</v>
      </c>
      <c r="C3132" t="s">
        <v>3527</v>
      </c>
      <c r="D3132" s="6" t="str">
        <f>_xlfn.XLOOKUP(B3132,Indices!$A$2:$A$2676,Indices!$B$2:$B$2676,"")</f>
        <v/>
      </c>
      <c r="E3132" t="str">
        <f>_xlfn.XLOOKUP(B3132,'2025-Q1'!$A$402:$A$448,'2025-Q1'!$A$402:$A$448,"avail")</f>
        <v>avail</v>
      </c>
      <c r="F3132" t="str">
        <f>_xlfn.XLOOKUP(B3132,'[2]!! -- Stock Universe 12.11.24'!$C$2:$C$1621,'[2]!! -- Stock Universe 12.11.24'!$E$2:$E$1621,"")</f>
        <v/>
      </c>
    </row>
    <row r="3133" spans="1:6" x14ac:dyDescent="0.25">
      <c r="A3133" s="140">
        <v>45715.625</v>
      </c>
      <c r="B3133" t="s">
        <v>1264</v>
      </c>
      <c r="C3133" t="s">
        <v>3527</v>
      </c>
      <c r="D3133" s="6" t="str">
        <f>_xlfn.XLOOKUP(B3133,Indices!$A$2:$A$2676,Indices!$B$2:$B$2676,"")</f>
        <v>IWM</v>
      </c>
      <c r="E3133" t="str">
        <f>_xlfn.XLOOKUP(B3133,'2025-Q1'!$A$402:$A$448,'2025-Q1'!$A$402:$A$448,"avail")</f>
        <v>avail</v>
      </c>
      <c r="F3133" t="str">
        <f>_xlfn.XLOOKUP(B3133,'[2]!! -- Stock Universe 12.11.24'!$C$2:$C$1621,'[2]!! -- Stock Universe 12.11.24'!$E$2:$E$1621,"")</f>
        <v/>
      </c>
    </row>
    <row r="3134" spans="1:6" x14ac:dyDescent="0.25">
      <c r="A3134" s="140">
        <v>45715.625</v>
      </c>
      <c r="B3134" t="s">
        <v>2022</v>
      </c>
      <c r="C3134" t="s">
        <v>6408</v>
      </c>
      <c r="D3134" s="6" t="str">
        <f>_xlfn.XLOOKUP(B3134,Indices!$A$2:$A$2676,Indices!$B$2:$B$2676,"")</f>
        <v>IWM</v>
      </c>
      <c r="E3134" t="str">
        <f>_xlfn.XLOOKUP(B3134,'2025-Q1'!$A$402:$A$448,'2025-Q1'!$A$402:$A$448,"avail")</f>
        <v>avail</v>
      </c>
      <c r="F3134" t="str">
        <f>_xlfn.XLOOKUP(B3134,'[2]!! -- Stock Universe 12.11.24'!$C$2:$C$1621,'[2]!! -- Stock Universe 12.11.24'!$E$2:$E$1621,"")</f>
        <v/>
      </c>
    </row>
    <row r="3135" spans="1:6" x14ac:dyDescent="0.25">
      <c r="A3135" s="140">
        <v>45715.625</v>
      </c>
      <c r="B3135" t="s">
        <v>1092</v>
      </c>
      <c r="C3135" t="s">
        <v>3527</v>
      </c>
      <c r="D3135" s="6" t="str">
        <f>_xlfn.XLOOKUP(B3135,Indices!$A$2:$A$2676,Indices!$B$2:$B$2676,"")</f>
        <v>IWM</v>
      </c>
      <c r="E3135" t="str">
        <f>_xlfn.XLOOKUP(B3135,'2025-Q1'!$A$402:$A$448,'2025-Q1'!$A$402:$A$448,"avail")</f>
        <v>avail</v>
      </c>
      <c r="F3135" t="str">
        <f>_xlfn.XLOOKUP(B3135,'[2]!! -- Stock Universe 12.11.24'!$C$2:$C$1621,'[2]!! -- Stock Universe 12.11.24'!$E$2:$E$1621,"")</f>
        <v>Industrials</v>
      </c>
    </row>
    <row r="3136" spans="1:6" x14ac:dyDescent="0.25">
      <c r="A3136" s="140">
        <v>45715.625</v>
      </c>
      <c r="B3136" t="s">
        <v>727</v>
      </c>
      <c r="C3136" t="s">
        <v>3527</v>
      </c>
      <c r="D3136" s="6" t="str">
        <f>_xlfn.XLOOKUP(B3136,Indices!$A$2:$A$2676,Indices!$B$2:$B$2676,"")</f>
        <v>IWM</v>
      </c>
      <c r="E3136" t="str">
        <f>_xlfn.XLOOKUP(B3136,'2025-Q1'!$A$402:$A$448,'2025-Q1'!$A$402:$A$448,"avail")</f>
        <v>avail</v>
      </c>
      <c r="F3136" t="str">
        <f>_xlfn.XLOOKUP(B3136,'[2]!! -- Stock Universe 12.11.24'!$C$2:$C$1621,'[2]!! -- Stock Universe 12.11.24'!$E$2:$E$1621,"")</f>
        <v>Healthcare</v>
      </c>
    </row>
    <row r="3137" spans="1:6" x14ac:dyDescent="0.25">
      <c r="A3137" s="140">
        <v>45715.625</v>
      </c>
      <c r="B3137" t="s">
        <v>688</v>
      </c>
      <c r="C3137" t="s">
        <v>3527</v>
      </c>
      <c r="D3137" s="6" t="str">
        <f>_xlfn.XLOOKUP(B3137,Indices!$A$2:$A$2676,Indices!$B$2:$B$2676,"")</f>
        <v>IWM</v>
      </c>
      <c r="E3137" t="str">
        <f>_xlfn.XLOOKUP(B3137,'2025-Q1'!$A$402:$A$448,'2025-Q1'!$A$402:$A$448,"avail")</f>
        <v>avail</v>
      </c>
      <c r="F3137" t="str">
        <f>_xlfn.XLOOKUP(B3137,'[2]!! -- Stock Universe 12.11.24'!$C$2:$C$1621,'[2]!! -- Stock Universe 12.11.24'!$E$2:$E$1621,"")</f>
        <v/>
      </c>
    </row>
    <row r="3138" spans="1:6" x14ac:dyDescent="0.25">
      <c r="A3138" s="140">
        <v>45715.625</v>
      </c>
      <c r="B3138" t="s">
        <v>2517</v>
      </c>
      <c r="C3138" t="s">
        <v>3527</v>
      </c>
      <c r="D3138" s="6" t="str">
        <f>_xlfn.XLOOKUP(B3138,Indices!$A$2:$A$2676,Indices!$B$2:$B$2676,"")</f>
        <v/>
      </c>
      <c r="E3138" t="str">
        <f>_xlfn.XLOOKUP(B3138,'2025-Q1'!$A$402:$A$448,'2025-Q1'!$A$402:$A$448,"avail")</f>
        <v>avail</v>
      </c>
      <c r="F3138" t="str">
        <f>_xlfn.XLOOKUP(B3138,'[2]!! -- Stock Universe 12.11.24'!$C$2:$C$1621,'[2]!! -- Stock Universe 12.11.24'!$E$2:$E$1621,"")</f>
        <v/>
      </c>
    </row>
    <row r="3139" spans="1:6" x14ac:dyDescent="0.25">
      <c r="A3139" s="140">
        <v>45715.625694444447</v>
      </c>
      <c r="B3139" t="s">
        <v>3539</v>
      </c>
      <c r="C3139" t="s">
        <v>6409</v>
      </c>
      <c r="D3139" s="6" t="str">
        <f>_xlfn.XLOOKUP(B3139,Indices!$A$2:$A$2676,Indices!$B$2:$B$2676,"")</f>
        <v/>
      </c>
      <c r="E3139" t="str">
        <f>_xlfn.XLOOKUP(B3139,'2025-Q1'!$A$402:$A$448,'2025-Q1'!$A$402:$A$448,"avail")</f>
        <v>avail</v>
      </c>
      <c r="F3139" t="str">
        <f>_xlfn.XLOOKUP(B3139,'[2]!! -- Stock Universe 12.11.24'!$C$2:$C$1621,'[2]!! -- Stock Universe 12.11.24'!$E$2:$E$1621,"")</f>
        <v/>
      </c>
    </row>
    <row r="3140" spans="1:6" x14ac:dyDescent="0.25">
      <c r="A3140" s="140">
        <v>45715.625694444447</v>
      </c>
      <c r="B3140" t="s">
        <v>2427</v>
      </c>
      <c r="C3140" t="s">
        <v>6409</v>
      </c>
      <c r="D3140" s="6" t="str">
        <f>_xlfn.XLOOKUP(B3140,Indices!$A$2:$A$2676,Indices!$B$2:$B$2676,"")</f>
        <v>S&amp;P Mid</v>
      </c>
      <c r="E3140" t="str">
        <f>_xlfn.XLOOKUP(B3140,'2025-Q1'!$A$402:$A$448,'2025-Q1'!$A$402:$A$448,"avail")</f>
        <v>avail</v>
      </c>
      <c r="F3140" t="str">
        <f>_xlfn.XLOOKUP(B3140,'[2]!! -- Stock Universe 12.11.24'!$C$2:$C$1621,'[2]!! -- Stock Universe 12.11.24'!$E$2:$E$1621,"")</f>
        <v>Industrials</v>
      </c>
    </row>
    <row r="3141" spans="1:6" x14ac:dyDescent="0.25">
      <c r="A3141" s="140">
        <v>45715.629861111112</v>
      </c>
      <c r="B3141" t="s">
        <v>784</v>
      </c>
      <c r="C3141" t="s">
        <v>6410</v>
      </c>
      <c r="D3141" s="6" t="str">
        <f>_xlfn.XLOOKUP(B3141,Indices!$A$2:$A$2676,Indices!$B$2:$B$2676,"")</f>
        <v>IWM</v>
      </c>
      <c r="E3141" t="str">
        <f>_xlfn.XLOOKUP(B3141,'2025-Q1'!$A$402:$A$448,'2025-Q1'!$A$402:$A$448,"avail")</f>
        <v>avail</v>
      </c>
      <c r="F3141" t="str">
        <f>_xlfn.XLOOKUP(B3141,'[2]!! -- Stock Universe 12.11.24'!$C$2:$C$1621,'[2]!! -- Stock Universe 12.11.24'!$E$2:$E$1621,"")</f>
        <v/>
      </c>
    </row>
    <row r="3142" spans="1:6" x14ac:dyDescent="0.25">
      <c r="A3142" s="140">
        <v>45715.638888888891</v>
      </c>
      <c r="B3142" t="s">
        <v>281</v>
      </c>
      <c r="C3142" t="s">
        <v>6411</v>
      </c>
      <c r="D3142" s="6" t="str">
        <f>_xlfn.XLOOKUP(B3142,Indices!$A$2:$A$2676,Indices!$B$2:$B$2676,"")</f>
        <v>S&amp;P Mid</v>
      </c>
      <c r="E3142" t="str">
        <f>_xlfn.XLOOKUP(B3142,'2025-Q1'!$A$402:$A$448,'2025-Q1'!$A$402:$A$448,"avail")</f>
        <v>avail</v>
      </c>
      <c r="F3142" t="str">
        <f>_xlfn.XLOOKUP(B3142,'[2]!! -- Stock Universe 12.11.24'!$C$2:$C$1621,'[2]!! -- Stock Universe 12.11.24'!$E$2:$E$1621,"")</f>
        <v/>
      </c>
    </row>
    <row r="3143" spans="1:6" x14ac:dyDescent="0.25">
      <c r="A3143" s="140">
        <v>45715.640277777777</v>
      </c>
      <c r="B3143" t="s">
        <v>3214</v>
      </c>
      <c r="C3143" t="s">
        <v>6412</v>
      </c>
      <c r="D3143" s="6" t="str">
        <f>_xlfn.XLOOKUP(B3143,Indices!$A$2:$A$2676,Indices!$B$2:$B$2676,"")</f>
        <v/>
      </c>
      <c r="E3143" t="str">
        <f>_xlfn.XLOOKUP(B3143,'2025-Q1'!$A$402:$A$448,'2025-Q1'!$A$402:$A$448,"avail")</f>
        <v>avail</v>
      </c>
      <c r="F3143" t="str">
        <f>_xlfn.XLOOKUP(B3143,'[2]!! -- Stock Universe 12.11.24'!$C$2:$C$1621,'[2]!! -- Stock Universe 12.11.24'!$E$2:$E$1621,"")</f>
        <v>Financial</v>
      </c>
    </row>
    <row r="3144" spans="1:6" x14ac:dyDescent="0.25">
      <c r="A3144" s="140">
        <v>45715.645833333336</v>
      </c>
      <c r="B3144" t="s">
        <v>3559</v>
      </c>
      <c r="C3144" t="s">
        <v>6413</v>
      </c>
      <c r="D3144" s="6" t="str">
        <f>_xlfn.XLOOKUP(B3144,Indices!$A$2:$A$2676,Indices!$B$2:$B$2676,"")</f>
        <v/>
      </c>
      <c r="E3144" t="str">
        <f>_xlfn.XLOOKUP(B3144,'2025-Q1'!$A$402:$A$448,'2025-Q1'!$A$402:$A$448,"avail")</f>
        <v>avail</v>
      </c>
      <c r="F3144" t="str">
        <f>_xlfn.XLOOKUP(B3144,'[2]!! -- Stock Universe 12.11.24'!$C$2:$C$1621,'[2]!! -- Stock Universe 12.11.24'!$E$2:$E$1621,"")</f>
        <v>Financial</v>
      </c>
    </row>
    <row r="3145" spans="1:6" x14ac:dyDescent="0.25">
      <c r="A3145" s="140">
        <v>45715.663888888892</v>
      </c>
      <c r="B3145" t="s">
        <v>3906</v>
      </c>
      <c r="C3145" t="s">
        <v>6414</v>
      </c>
      <c r="D3145" s="6" t="str">
        <f>_xlfn.XLOOKUP(B3145,Indices!$A$2:$A$2676,Indices!$B$2:$B$2676,"")</f>
        <v/>
      </c>
      <c r="E3145" t="str">
        <f>_xlfn.XLOOKUP(B3145,'2025-Q1'!$A$402:$A$448,'2025-Q1'!$A$402:$A$448,"avail")</f>
        <v>avail</v>
      </c>
      <c r="F3145" t="str">
        <f>_xlfn.XLOOKUP(B3145,'[2]!! -- Stock Universe 12.11.24'!$C$2:$C$1621,'[2]!! -- Stock Universe 12.11.24'!$E$2:$E$1621,"")</f>
        <v/>
      </c>
    </row>
    <row r="3146" spans="1:6" x14ac:dyDescent="0.25">
      <c r="A3146" s="140">
        <v>45715.671527777777</v>
      </c>
      <c r="B3146" t="s">
        <v>507</v>
      </c>
      <c r="C3146" t="s">
        <v>6415</v>
      </c>
      <c r="D3146" s="6" t="str">
        <f>_xlfn.XLOOKUP(B3146,Indices!$A$2:$A$2676,Indices!$B$2:$B$2676,"")</f>
        <v>IWM</v>
      </c>
      <c r="E3146" t="str">
        <f>_xlfn.XLOOKUP(B3146,'2025-Q1'!$A$402:$A$448,'2025-Q1'!$A$402:$A$448,"avail")</f>
        <v>avail</v>
      </c>
      <c r="F3146" t="str">
        <f>_xlfn.XLOOKUP(B3146,'[2]!! -- Stock Universe 12.11.24'!$C$2:$C$1621,'[2]!! -- Stock Universe 12.11.24'!$E$2:$E$1621,"")</f>
        <v/>
      </c>
    </row>
    <row r="3147" spans="1:6" x14ac:dyDescent="0.25">
      <c r="A3147" s="140">
        <v>45715.686111111114</v>
      </c>
      <c r="B3147" t="s">
        <v>2055</v>
      </c>
      <c r="C3147" t="s">
        <v>6416</v>
      </c>
      <c r="D3147" s="6" t="str">
        <f>_xlfn.XLOOKUP(B3147,Indices!$A$2:$A$2676,Indices!$B$2:$B$2676,"")</f>
        <v>IWM</v>
      </c>
      <c r="E3147" t="str">
        <f>_xlfn.XLOOKUP(B3147,'2025-Q1'!$A$402:$A$448,'2025-Q1'!$A$402:$A$448,"avail")</f>
        <v>avail</v>
      </c>
      <c r="F3147" t="str">
        <f>_xlfn.XLOOKUP(B3147,'[2]!! -- Stock Universe 12.11.24'!$C$2:$C$1621,'[2]!! -- Stock Universe 12.11.24'!$E$2:$E$1621,"")</f>
        <v>Industrials</v>
      </c>
    </row>
    <row r="3148" spans="1:6" x14ac:dyDescent="0.25">
      <c r="A3148" s="140">
        <v>45715.729166666664</v>
      </c>
      <c r="B3148" t="s">
        <v>226</v>
      </c>
      <c r="C3148" t="s">
        <v>6417</v>
      </c>
      <c r="D3148" s="6" t="str">
        <f>_xlfn.XLOOKUP(B3148,Indices!$A$2:$A$2676,Indices!$B$2:$B$2676,"")</f>
        <v>IWM</v>
      </c>
      <c r="E3148" t="str">
        <f>_xlfn.XLOOKUP(B3148,'2025-Q1'!$A$402:$A$448,'2025-Q1'!$A$402:$A$448,"avail")</f>
        <v>avail</v>
      </c>
      <c r="F3148" t="str">
        <f>_xlfn.XLOOKUP(B3148,'[2]!! -- Stock Universe 12.11.24'!$C$2:$C$1621,'[2]!! -- Stock Universe 12.11.24'!$E$2:$E$1621,"")</f>
        <v>Technology</v>
      </c>
    </row>
    <row r="3149" spans="1:6" x14ac:dyDescent="0.25">
      <c r="A3149" s="140">
        <v>45716.291666666664</v>
      </c>
      <c r="B3149" t="s">
        <v>438</v>
      </c>
      <c r="C3149" t="s">
        <v>3570</v>
      </c>
      <c r="D3149" s="6" t="str">
        <f>_xlfn.XLOOKUP(B3149,Indices!$A$2:$A$2676,Indices!$B$2:$B$2676,"")</f>
        <v>IWM</v>
      </c>
      <c r="E3149" t="str">
        <f>_xlfn.XLOOKUP(B3149,'2025-Q1'!$A$402:$A$448,'2025-Q1'!$A$402:$A$448,"avail")</f>
        <v>avail</v>
      </c>
      <c r="F3149" t="str">
        <f>_xlfn.XLOOKUP(B3149,'[2]!! -- Stock Universe 12.11.24'!$C$2:$C$1621,'[2]!! -- Stock Universe 12.11.24'!$E$2:$E$1621,"")</f>
        <v>Healthcare</v>
      </c>
    </row>
    <row r="3150" spans="1:6" x14ac:dyDescent="0.25">
      <c r="A3150" s="140">
        <v>45716.291666666664</v>
      </c>
      <c r="B3150" t="s">
        <v>3251</v>
      </c>
      <c r="C3150" t="s">
        <v>3570</v>
      </c>
      <c r="D3150" s="6" t="str">
        <f>_xlfn.XLOOKUP(B3150,Indices!$A$2:$A$2676,Indices!$B$2:$B$2676,"")</f>
        <v/>
      </c>
      <c r="E3150" t="str">
        <f>_xlfn.XLOOKUP(B3150,'2025-Q1'!$A$402:$A$448,'2025-Q1'!$A$402:$A$448,"avail")</f>
        <v>avail</v>
      </c>
      <c r="F3150" t="str">
        <f>_xlfn.XLOOKUP(B3150,'[2]!! -- Stock Universe 12.11.24'!$C$2:$C$1621,'[2]!! -- Stock Universe 12.11.24'!$E$2:$E$1621,"")</f>
        <v>Energy</v>
      </c>
    </row>
    <row r="3151" spans="1:6" x14ac:dyDescent="0.25">
      <c r="A3151" s="140">
        <v>45716.291666666664</v>
      </c>
      <c r="B3151" t="s">
        <v>3363</v>
      </c>
      <c r="C3151" t="s">
        <v>3570</v>
      </c>
      <c r="D3151" s="6" t="str">
        <f>_xlfn.XLOOKUP(B3151,Indices!$A$2:$A$2676,Indices!$B$2:$B$2676,"")</f>
        <v/>
      </c>
      <c r="E3151" t="str">
        <f>_xlfn.XLOOKUP(B3151,'2025-Q1'!$A$402:$A$448,'2025-Q1'!$A$402:$A$448,"avail")</f>
        <v>avail</v>
      </c>
      <c r="F3151" t="str">
        <f>_xlfn.XLOOKUP(B3151,'[2]!! -- Stock Universe 12.11.24'!$C$2:$C$1621,'[2]!! -- Stock Universe 12.11.24'!$E$2:$E$1621,"")</f>
        <v/>
      </c>
    </row>
    <row r="3152" spans="1:6" x14ac:dyDescent="0.25">
      <c r="A3152" s="140">
        <v>45716.291666666664</v>
      </c>
      <c r="B3152" t="s">
        <v>3579</v>
      </c>
      <c r="C3152" t="s">
        <v>3570</v>
      </c>
      <c r="D3152" s="6" t="str">
        <f>_xlfn.XLOOKUP(B3152,Indices!$A$2:$A$2676,Indices!$B$2:$B$2676,"")</f>
        <v/>
      </c>
      <c r="E3152" t="str">
        <f>_xlfn.XLOOKUP(B3152,'2025-Q1'!$A$402:$A$448,'2025-Q1'!$A$402:$A$448,"avail")</f>
        <v>avail</v>
      </c>
      <c r="F3152" t="str">
        <f>_xlfn.XLOOKUP(B3152,'[2]!! -- Stock Universe 12.11.24'!$C$2:$C$1621,'[2]!! -- Stock Universe 12.11.24'!$E$2:$E$1621,"")</f>
        <v/>
      </c>
    </row>
    <row r="3153" spans="1:6" x14ac:dyDescent="0.25">
      <c r="A3153" s="140">
        <v>45716.291666666664</v>
      </c>
      <c r="B3153" t="s">
        <v>950</v>
      </c>
      <c r="C3153" t="s">
        <v>3570</v>
      </c>
      <c r="D3153" s="6" t="str">
        <f>_xlfn.XLOOKUP(B3153,Indices!$A$2:$A$2676,Indices!$B$2:$B$2676,"")</f>
        <v>IWM</v>
      </c>
      <c r="E3153" t="str">
        <f>_xlfn.XLOOKUP(B3153,'2025-Q1'!$A$402:$A$448,'2025-Q1'!$A$402:$A$448,"avail")</f>
        <v>avail</v>
      </c>
      <c r="F3153" t="str">
        <f>_xlfn.XLOOKUP(B3153,'[2]!! -- Stock Universe 12.11.24'!$C$2:$C$1621,'[2]!! -- Stock Universe 12.11.24'!$E$2:$E$1621,"")</f>
        <v>Communication Services</v>
      </c>
    </row>
    <row r="3154" spans="1:6" x14ac:dyDescent="0.25">
      <c r="A3154" s="140">
        <v>45716.291666666664</v>
      </c>
      <c r="B3154" t="s">
        <v>1174</v>
      </c>
      <c r="C3154" t="s">
        <v>3570</v>
      </c>
      <c r="D3154" s="6" t="str">
        <f>_xlfn.XLOOKUP(B3154,Indices!$A$2:$A$2676,Indices!$B$2:$B$2676,"")</f>
        <v>IWM</v>
      </c>
      <c r="E3154" t="str">
        <f>_xlfn.XLOOKUP(B3154,'2025-Q1'!$A$402:$A$448,'2025-Q1'!$A$402:$A$448,"avail")</f>
        <v>avail</v>
      </c>
      <c r="F3154" t="str">
        <f>_xlfn.XLOOKUP(B3154,'[2]!! -- Stock Universe 12.11.24'!$C$2:$C$1621,'[2]!! -- Stock Universe 12.11.24'!$E$2:$E$1621,"")</f>
        <v/>
      </c>
    </row>
    <row r="3155" spans="1:6" x14ac:dyDescent="0.25">
      <c r="A3155" s="140">
        <v>45716.291666666664</v>
      </c>
      <c r="B3155" t="s">
        <v>3489</v>
      </c>
      <c r="C3155" t="s">
        <v>3570</v>
      </c>
      <c r="D3155" s="6" t="str">
        <f>_xlfn.XLOOKUP(B3155,Indices!$A$2:$A$2676,Indices!$B$2:$B$2676,"")</f>
        <v/>
      </c>
      <c r="E3155" t="str">
        <f>_xlfn.XLOOKUP(B3155,'2025-Q1'!$A$402:$A$448,'2025-Q1'!$A$402:$A$448,"avail")</f>
        <v>avail</v>
      </c>
      <c r="F3155" t="str">
        <f>_xlfn.XLOOKUP(B3155,'[2]!! -- Stock Universe 12.11.24'!$C$2:$C$1621,'[2]!! -- Stock Universe 12.11.24'!$E$2:$E$1621,"")</f>
        <v/>
      </c>
    </row>
    <row r="3156" spans="1:6" x14ac:dyDescent="0.25">
      <c r="A3156" s="140">
        <v>45716.291666666664</v>
      </c>
      <c r="B3156" t="s">
        <v>12</v>
      </c>
      <c r="C3156" t="s">
        <v>3570</v>
      </c>
      <c r="D3156" s="6" t="str">
        <f>_xlfn.XLOOKUP(B3156,Indices!$A$2:$A$2676,Indices!$B$2:$B$2676,"")</f>
        <v>IWM</v>
      </c>
      <c r="E3156" t="str">
        <f>_xlfn.XLOOKUP(B3156,'2025-Q1'!$A$402:$A$448,'2025-Q1'!$A$402:$A$448,"avail")</f>
        <v>avail</v>
      </c>
      <c r="F3156" t="str">
        <f>_xlfn.XLOOKUP(B3156,'[2]!! -- Stock Universe 12.11.24'!$C$2:$C$1621,'[2]!! -- Stock Universe 12.11.24'!$E$2:$E$1621,"")</f>
        <v>Industrials</v>
      </c>
    </row>
    <row r="3157" spans="1:6" x14ac:dyDescent="0.25">
      <c r="A3157" s="140">
        <v>45716.291666666664</v>
      </c>
      <c r="B3157" t="s">
        <v>3577</v>
      </c>
      <c r="C3157" t="s">
        <v>3574</v>
      </c>
      <c r="D3157" s="6" t="str">
        <f>_xlfn.XLOOKUP(B3157,Indices!$A$2:$A$2676,Indices!$B$2:$B$2676,"")</f>
        <v/>
      </c>
      <c r="E3157" t="str">
        <f>_xlfn.XLOOKUP(B3157,'2025-Q1'!$A$402:$A$448,'2025-Q1'!$A$402:$A$448,"avail")</f>
        <v>avail</v>
      </c>
      <c r="F3157" t="str">
        <f>_xlfn.XLOOKUP(B3157,'[2]!! -- Stock Universe 12.11.24'!$C$2:$C$1621,'[2]!! -- Stock Universe 12.11.24'!$E$2:$E$1621,"")</f>
        <v/>
      </c>
    </row>
    <row r="3158" spans="1:6" x14ac:dyDescent="0.25">
      <c r="A3158" s="140">
        <v>45716.291666666664</v>
      </c>
      <c r="B3158" t="s">
        <v>845</v>
      </c>
      <c r="C3158" t="s">
        <v>3570</v>
      </c>
      <c r="D3158" s="6" t="str">
        <f>_xlfn.XLOOKUP(B3158,Indices!$A$2:$A$2676,Indices!$B$2:$B$2676,"")</f>
        <v>IWM</v>
      </c>
      <c r="E3158" t="str">
        <f>_xlfn.XLOOKUP(B3158,'2025-Q1'!$A$402:$A$448,'2025-Q1'!$A$402:$A$448,"avail")</f>
        <v>avail</v>
      </c>
      <c r="F3158" t="str">
        <f>_xlfn.XLOOKUP(B3158,'[2]!! -- Stock Universe 12.11.24'!$C$2:$C$1621,'[2]!! -- Stock Universe 12.11.24'!$E$2:$E$1621,"")</f>
        <v>Healthcare</v>
      </c>
    </row>
    <row r="3159" spans="1:6" x14ac:dyDescent="0.25">
      <c r="A3159" s="140">
        <v>45716.291666666664</v>
      </c>
      <c r="B3159" t="s">
        <v>3578</v>
      </c>
      <c r="C3159" t="s">
        <v>3570</v>
      </c>
      <c r="D3159" s="6" t="str">
        <f>_xlfn.XLOOKUP(B3159,Indices!$A$2:$A$2676,Indices!$B$2:$B$2676,"")</f>
        <v/>
      </c>
      <c r="E3159" t="str">
        <f>_xlfn.XLOOKUP(B3159,'2025-Q1'!$A$402:$A$448,'2025-Q1'!$A$402:$A$448,"avail")</f>
        <v>avail</v>
      </c>
      <c r="F3159" t="str">
        <f>_xlfn.XLOOKUP(B3159,'[2]!! -- Stock Universe 12.11.24'!$C$2:$C$1621,'[2]!! -- Stock Universe 12.11.24'!$E$2:$E$1621,"")</f>
        <v/>
      </c>
    </row>
    <row r="3160" spans="1:6" x14ac:dyDescent="0.25">
      <c r="A3160" s="140">
        <v>45716.291666666664</v>
      </c>
      <c r="B3160" t="s">
        <v>3572</v>
      </c>
      <c r="C3160" t="s">
        <v>3570</v>
      </c>
      <c r="D3160" s="6" t="str">
        <f>_xlfn.XLOOKUP(B3160,Indices!$A$2:$A$2676,Indices!$B$2:$B$2676,"")</f>
        <v/>
      </c>
      <c r="E3160" t="str">
        <f>_xlfn.XLOOKUP(B3160,'2025-Q1'!$A$402:$A$448,'2025-Q1'!$A$402:$A$448,"avail")</f>
        <v>avail</v>
      </c>
      <c r="F3160" t="str">
        <f>_xlfn.XLOOKUP(B3160,'[2]!! -- Stock Universe 12.11.24'!$C$2:$C$1621,'[2]!! -- Stock Universe 12.11.24'!$E$2:$E$1621,"")</f>
        <v/>
      </c>
    </row>
    <row r="3161" spans="1:6" x14ac:dyDescent="0.25">
      <c r="A3161" s="140">
        <v>45716.291666666664</v>
      </c>
      <c r="B3161" t="s">
        <v>3583</v>
      </c>
      <c r="C3161" t="s">
        <v>3574</v>
      </c>
      <c r="D3161" s="6" t="str">
        <f>_xlfn.XLOOKUP(B3161,Indices!$A$2:$A$2676,Indices!$B$2:$B$2676,"")</f>
        <v/>
      </c>
      <c r="E3161" t="str">
        <f>_xlfn.XLOOKUP(B3161,'2025-Q1'!$A$402:$A$448,'2025-Q1'!$A$402:$A$448,"avail")</f>
        <v>avail</v>
      </c>
      <c r="F3161" t="str">
        <f>_xlfn.XLOOKUP(B3161,'[2]!! -- Stock Universe 12.11.24'!$C$2:$C$1621,'[2]!! -- Stock Universe 12.11.24'!$E$2:$E$1621,"")</f>
        <v/>
      </c>
    </row>
    <row r="3162" spans="1:6" x14ac:dyDescent="0.25">
      <c r="A3162" s="140">
        <v>45716.291666666664</v>
      </c>
      <c r="B3162" t="s">
        <v>884</v>
      </c>
      <c r="C3162" t="s">
        <v>3570</v>
      </c>
      <c r="D3162" s="6" t="str">
        <f>_xlfn.XLOOKUP(B3162,Indices!$A$2:$A$2676,Indices!$B$2:$B$2676,"")</f>
        <v>IWM</v>
      </c>
      <c r="E3162" t="str">
        <f>_xlfn.XLOOKUP(B3162,'2025-Q1'!$A$402:$A$448,'2025-Q1'!$A$402:$A$448,"avail")</f>
        <v>avail</v>
      </c>
      <c r="F3162" t="str">
        <f>_xlfn.XLOOKUP(B3162,'[2]!! -- Stock Universe 12.11.24'!$C$2:$C$1621,'[2]!! -- Stock Universe 12.11.24'!$E$2:$E$1621,"")</f>
        <v/>
      </c>
    </row>
    <row r="3163" spans="1:6" x14ac:dyDescent="0.25">
      <c r="A3163" s="140">
        <v>45716.291666666664</v>
      </c>
      <c r="B3163" t="s">
        <v>840</v>
      </c>
      <c r="C3163" t="s">
        <v>3570</v>
      </c>
      <c r="D3163" s="6" t="str">
        <f>_xlfn.XLOOKUP(B3163,Indices!$A$2:$A$2676,Indices!$B$2:$B$2676,"")</f>
        <v>IWM</v>
      </c>
      <c r="E3163" t="str">
        <f>_xlfn.XLOOKUP(B3163,'2025-Q1'!$A$402:$A$448,'2025-Q1'!$A$402:$A$448,"avail")</f>
        <v>avail</v>
      </c>
      <c r="F3163" t="str">
        <f>_xlfn.XLOOKUP(B3163,'[2]!! -- Stock Universe 12.11.24'!$C$2:$C$1621,'[2]!! -- Stock Universe 12.11.24'!$E$2:$E$1621,"")</f>
        <v/>
      </c>
    </row>
    <row r="3164" spans="1:6" x14ac:dyDescent="0.25">
      <c r="A3164" s="140">
        <v>45716.291666666664</v>
      </c>
      <c r="B3164" t="s">
        <v>42</v>
      </c>
      <c r="C3164" t="s">
        <v>3570</v>
      </c>
      <c r="D3164" s="6" t="str">
        <f>_xlfn.XLOOKUP(B3164,Indices!$A$2:$A$2676,Indices!$B$2:$B$2676,"")</f>
        <v>IWM</v>
      </c>
      <c r="E3164" t="str">
        <f>_xlfn.XLOOKUP(B3164,'2025-Q1'!$A$402:$A$448,'2025-Q1'!$A$402:$A$448,"avail")</f>
        <v>avail</v>
      </c>
      <c r="F3164" t="str">
        <f>_xlfn.XLOOKUP(B3164,'[2]!! -- Stock Universe 12.11.24'!$C$2:$C$1621,'[2]!! -- Stock Universe 12.11.24'!$E$2:$E$1621,"")</f>
        <v>Healthcare</v>
      </c>
    </row>
    <row r="3165" spans="1:6" x14ac:dyDescent="0.25">
      <c r="A3165" s="140">
        <v>45716.291666666664</v>
      </c>
      <c r="B3165" t="s">
        <v>3254</v>
      </c>
      <c r="C3165" t="s">
        <v>3570</v>
      </c>
      <c r="D3165" s="6" t="str">
        <f>_xlfn.XLOOKUP(B3165,Indices!$A$2:$A$2676,Indices!$B$2:$B$2676,"")</f>
        <v/>
      </c>
      <c r="E3165" t="str">
        <f>_xlfn.XLOOKUP(B3165,'2025-Q1'!$A$402:$A$448,'2025-Q1'!$A$402:$A$448,"avail")</f>
        <v>avail</v>
      </c>
      <c r="F3165" t="str">
        <f>_xlfn.XLOOKUP(B3165,'[2]!! -- Stock Universe 12.11.24'!$C$2:$C$1621,'[2]!! -- Stock Universe 12.11.24'!$E$2:$E$1621,"")</f>
        <v/>
      </c>
    </row>
    <row r="3166" spans="1:6" x14ac:dyDescent="0.25">
      <c r="A3166" s="140">
        <v>45716.291666666664</v>
      </c>
      <c r="B3166" t="s">
        <v>4602</v>
      </c>
      <c r="C3166" t="s">
        <v>3570</v>
      </c>
      <c r="D3166" s="6" t="str">
        <f>_xlfn.XLOOKUP(B3166,Indices!$A$2:$A$2676,Indices!$B$2:$B$2676,"")</f>
        <v/>
      </c>
      <c r="E3166" t="str">
        <f>_xlfn.XLOOKUP(B3166,'2025-Q1'!$A$402:$A$448,'2025-Q1'!$A$402:$A$448,"avail")</f>
        <v>avail</v>
      </c>
      <c r="F3166" t="str">
        <f>_xlfn.XLOOKUP(B3166,'[2]!! -- Stock Universe 12.11.24'!$C$2:$C$1621,'[2]!! -- Stock Universe 12.11.24'!$E$2:$E$1621,"")</f>
        <v/>
      </c>
    </row>
    <row r="3167" spans="1:6" x14ac:dyDescent="0.25">
      <c r="A3167" s="140">
        <v>45716.291666666664</v>
      </c>
      <c r="B3167" t="s">
        <v>276</v>
      </c>
      <c r="C3167" t="s">
        <v>3570</v>
      </c>
      <c r="D3167" s="6" t="str">
        <f>_xlfn.XLOOKUP(B3167,Indices!$A$2:$A$2676,Indices!$B$2:$B$2676,"")</f>
        <v>IWM</v>
      </c>
      <c r="E3167" t="str">
        <f>_xlfn.XLOOKUP(B3167,'2025-Q1'!$A$402:$A$448,'2025-Q1'!$A$402:$A$448,"avail")</f>
        <v>avail</v>
      </c>
      <c r="F3167" t="str">
        <f>_xlfn.XLOOKUP(B3167,'[2]!! -- Stock Universe 12.11.24'!$C$2:$C$1621,'[2]!! -- Stock Universe 12.11.24'!$E$2:$E$1621,"")</f>
        <v>Industrials</v>
      </c>
    </row>
    <row r="3168" spans="1:6" x14ac:dyDescent="0.25">
      <c r="A3168" s="140">
        <v>45716.291666666664</v>
      </c>
      <c r="B3168" t="s">
        <v>4132</v>
      </c>
      <c r="C3168" t="s">
        <v>3570</v>
      </c>
      <c r="D3168" s="6" t="str">
        <f>_xlfn.XLOOKUP(B3168,Indices!$A$2:$A$2676,Indices!$B$2:$B$2676,"")</f>
        <v/>
      </c>
      <c r="E3168" t="str">
        <f>_xlfn.XLOOKUP(B3168,'2025-Q1'!$A$402:$A$448,'2025-Q1'!$A$402:$A$448,"avail")</f>
        <v>avail</v>
      </c>
      <c r="F3168" t="str">
        <f>_xlfn.XLOOKUP(B3168,'[2]!! -- Stock Universe 12.11.24'!$C$2:$C$1621,'[2]!! -- Stock Universe 12.11.24'!$E$2:$E$1621,"")</f>
        <v/>
      </c>
    </row>
    <row r="3169" spans="1:6" x14ac:dyDescent="0.25">
      <c r="A3169" s="140">
        <v>45716.291666666664</v>
      </c>
      <c r="B3169" t="s">
        <v>3515</v>
      </c>
      <c r="C3169" t="s">
        <v>3570</v>
      </c>
      <c r="D3169" s="6" t="str">
        <f>_xlfn.XLOOKUP(B3169,Indices!$A$2:$A$2676,Indices!$B$2:$B$2676,"")</f>
        <v/>
      </c>
      <c r="E3169" t="str">
        <f>_xlfn.XLOOKUP(B3169,'2025-Q1'!$A$402:$A$448,'2025-Q1'!$A$402:$A$448,"avail")</f>
        <v>avail</v>
      </c>
      <c r="F3169" t="str">
        <f>_xlfn.XLOOKUP(B3169,'[2]!! -- Stock Universe 12.11.24'!$C$2:$C$1621,'[2]!! -- Stock Universe 12.11.24'!$E$2:$E$1621,"")</f>
        <v/>
      </c>
    </row>
    <row r="3170" spans="1:6" x14ac:dyDescent="0.25">
      <c r="A3170" s="140">
        <v>45716.291666666664</v>
      </c>
      <c r="B3170" t="s">
        <v>847</v>
      </c>
      <c r="C3170" t="s">
        <v>3570</v>
      </c>
      <c r="D3170" s="6" t="str">
        <f>_xlfn.XLOOKUP(B3170,Indices!$A$2:$A$2676,Indices!$B$2:$B$2676,"")</f>
        <v>IWM</v>
      </c>
      <c r="E3170" t="str">
        <f>_xlfn.XLOOKUP(B3170,'2025-Q1'!$A$402:$A$448,'2025-Q1'!$A$402:$A$448,"avail")</f>
        <v>avail</v>
      </c>
      <c r="F3170" t="str">
        <f>_xlfn.XLOOKUP(B3170,'[2]!! -- Stock Universe 12.11.24'!$C$2:$C$1621,'[2]!! -- Stock Universe 12.11.24'!$E$2:$E$1621,"")</f>
        <v/>
      </c>
    </row>
    <row r="3171" spans="1:6" x14ac:dyDescent="0.25">
      <c r="A3171" s="140">
        <v>45716.291666666664</v>
      </c>
      <c r="B3171" t="s">
        <v>27</v>
      </c>
      <c r="C3171" t="s">
        <v>3570</v>
      </c>
      <c r="D3171" s="6" t="str">
        <f>_xlfn.XLOOKUP(B3171,Indices!$A$2:$A$2676,Indices!$B$2:$B$2676,"")</f>
        <v>IWM</v>
      </c>
      <c r="E3171" t="str">
        <f>_xlfn.XLOOKUP(B3171,'2025-Q1'!$A$402:$A$448,'2025-Q1'!$A$402:$A$448,"avail")</f>
        <v>avail</v>
      </c>
      <c r="F3171" t="str">
        <f>_xlfn.XLOOKUP(B3171,'[2]!! -- Stock Universe 12.11.24'!$C$2:$C$1621,'[2]!! -- Stock Universe 12.11.24'!$E$2:$E$1621,"")</f>
        <v>Communication Services</v>
      </c>
    </row>
    <row r="3172" spans="1:6" x14ac:dyDescent="0.25">
      <c r="A3172" s="140">
        <v>45716.291666666664</v>
      </c>
      <c r="B3172" t="s">
        <v>2887</v>
      </c>
      <c r="C3172" t="s">
        <v>3570</v>
      </c>
      <c r="D3172" s="6" t="str">
        <f>_xlfn.XLOOKUP(B3172,Indices!$A$2:$A$2676,Indices!$B$2:$B$2676,"")</f>
        <v/>
      </c>
      <c r="E3172" t="str">
        <f>_xlfn.XLOOKUP(B3172,'2025-Q1'!$A$402:$A$448,'2025-Q1'!$A$402:$A$448,"avail")</f>
        <v>avail</v>
      </c>
      <c r="F3172" t="str">
        <f>_xlfn.XLOOKUP(B3172,'[2]!! -- Stock Universe 12.11.24'!$C$2:$C$1621,'[2]!! -- Stock Universe 12.11.24'!$E$2:$E$1621,"")</f>
        <v/>
      </c>
    </row>
    <row r="3173" spans="1:6" x14ac:dyDescent="0.25">
      <c r="A3173" s="140">
        <v>45716.291666666664</v>
      </c>
      <c r="B3173" t="s">
        <v>3379</v>
      </c>
      <c r="C3173" t="s">
        <v>3570</v>
      </c>
      <c r="D3173" s="6" t="str">
        <f>_xlfn.XLOOKUP(B3173,Indices!$A$2:$A$2676,Indices!$B$2:$B$2676,"")</f>
        <v/>
      </c>
      <c r="E3173" t="str">
        <f>_xlfn.XLOOKUP(B3173,'2025-Q1'!$A$402:$A$448,'2025-Q1'!$A$402:$A$448,"avail")</f>
        <v>avail</v>
      </c>
      <c r="F3173" t="str">
        <f>_xlfn.XLOOKUP(B3173,'[2]!! -- Stock Universe 12.11.24'!$C$2:$C$1621,'[2]!! -- Stock Universe 12.11.24'!$E$2:$E$1621,"")</f>
        <v>Healthcare</v>
      </c>
    </row>
    <row r="3174" spans="1:6" x14ac:dyDescent="0.25">
      <c r="A3174" s="140">
        <v>45716.291666666664</v>
      </c>
      <c r="B3174" t="s">
        <v>831</v>
      </c>
      <c r="C3174" t="s">
        <v>3570</v>
      </c>
      <c r="D3174" s="6" t="str">
        <f>_xlfn.XLOOKUP(B3174,Indices!$A$2:$A$2676,Indices!$B$2:$B$2676,"")</f>
        <v>IWM</v>
      </c>
      <c r="E3174" t="str">
        <f>_xlfn.XLOOKUP(B3174,'2025-Q1'!$A$402:$A$448,'2025-Q1'!$A$402:$A$448,"avail")</f>
        <v>avail</v>
      </c>
      <c r="F3174" t="str">
        <f>_xlfn.XLOOKUP(B3174,'[2]!! -- Stock Universe 12.11.24'!$C$2:$C$1621,'[2]!! -- Stock Universe 12.11.24'!$E$2:$E$1621,"")</f>
        <v>Healthcare</v>
      </c>
    </row>
    <row r="3175" spans="1:6" x14ac:dyDescent="0.25">
      <c r="A3175" s="140">
        <v>45716.291666666664</v>
      </c>
      <c r="B3175" t="s">
        <v>3494</v>
      </c>
      <c r="C3175" t="s">
        <v>3570</v>
      </c>
      <c r="D3175" s="6" t="str">
        <f>_xlfn.XLOOKUP(B3175,Indices!$A$2:$A$2676,Indices!$B$2:$B$2676,"")</f>
        <v/>
      </c>
      <c r="E3175" t="str">
        <f>_xlfn.XLOOKUP(B3175,'2025-Q1'!$A$402:$A$448,'2025-Q1'!$A$402:$A$448,"avail")</f>
        <v>avail</v>
      </c>
      <c r="F3175" t="str">
        <f>_xlfn.XLOOKUP(B3175,'[2]!! -- Stock Universe 12.11.24'!$C$2:$C$1621,'[2]!! -- Stock Universe 12.11.24'!$E$2:$E$1621,"")</f>
        <v>Healthcare</v>
      </c>
    </row>
    <row r="3176" spans="1:6" x14ac:dyDescent="0.25">
      <c r="A3176" s="140">
        <v>45716.291666666664</v>
      </c>
      <c r="B3176" t="s">
        <v>3474</v>
      </c>
      <c r="C3176" t="s">
        <v>3570</v>
      </c>
      <c r="D3176" s="6" t="str">
        <f>_xlfn.XLOOKUP(B3176,Indices!$A$2:$A$2676,Indices!$B$2:$B$2676,"")</f>
        <v/>
      </c>
      <c r="E3176" t="str">
        <f>_xlfn.XLOOKUP(B3176,'2025-Q1'!$A$402:$A$448,'2025-Q1'!$A$402:$A$448,"avail")</f>
        <v>avail</v>
      </c>
      <c r="F3176" t="str">
        <f>_xlfn.XLOOKUP(B3176,'[2]!! -- Stock Universe 12.11.24'!$C$2:$C$1621,'[2]!! -- Stock Universe 12.11.24'!$E$2:$E$1621,"")</f>
        <v/>
      </c>
    </row>
    <row r="3177" spans="1:6" x14ac:dyDescent="0.25">
      <c r="A3177" s="140">
        <v>45716.291666666664</v>
      </c>
      <c r="B3177" t="s">
        <v>3757</v>
      </c>
      <c r="C3177" t="s">
        <v>3570</v>
      </c>
      <c r="D3177" s="6" t="str">
        <f>_xlfn.XLOOKUP(B3177,Indices!$A$2:$A$2676,Indices!$B$2:$B$2676,"")</f>
        <v/>
      </c>
      <c r="E3177" t="str">
        <f>_xlfn.XLOOKUP(B3177,'2025-Q1'!$A$402:$A$448,'2025-Q1'!$A$402:$A$448,"avail")</f>
        <v>avail</v>
      </c>
      <c r="F3177" t="str">
        <f>_xlfn.XLOOKUP(B3177,'[2]!! -- Stock Universe 12.11.24'!$C$2:$C$1621,'[2]!! -- Stock Universe 12.11.24'!$E$2:$E$1621,"")</f>
        <v/>
      </c>
    </row>
    <row r="3178" spans="1:6" x14ac:dyDescent="0.25">
      <c r="A3178" s="140">
        <v>45716.291666666664</v>
      </c>
      <c r="B3178" t="s">
        <v>780</v>
      </c>
      <c r="C3178" t="s">
        <v>3574</v>
      </c>
      <c r="D3178" s="6" t="str">
        <f>_xlfn.XLOOKUP(B3178,Indices!$A$2:$A$2676,Indices!$B$2:$B$2676,"")</f>
        <v>IWM</v>
      </c>
      <c r="E3178" t="str">
        <f>_xlfn.XLOOKUP(B3178,'2025-Q1'!$A$402:$A$448,'2025-Q1'!$A$402:$A$448,"avail")</f>
        <v>avail</v>
      </c>
      <c r="F3178" t="str">
        <f>_xlfn.XLOOKUP(B3178,'[2]!! -- Stock Universe 12.11.24'!$C$2:$C$1621,'[2]!! -- Stock Universe 12.11.24'!$E$2:$E$1621,"")</f>
        <v/>
      </c>
    </row>
    <row r="3179" spans="1:6" x14ac:dyDescent="0.25">
      <c r="A3179" s="140">
        <v>45716.291666666664</v>
      </c>
      <c r="B3179" t="s">
        <v>852</v>
      </c>
      <c r="C3179" t="s">
        <v>3570</v>
      </c>
      <c r="D3179" s="6" t="str">
        <f>_xlfn.XLOOKUP(B3179,Indices!$A$2:$A$2676,Indices!$B$2:$B$2676,"")</f>
        <v>IWM</v>
      </c>
      <c r="E3179" t="str">
        <f>_xlfn.XLOOKUP(B3179,'2025-Q1'!$A$402:$A$448,'2025-Q1'!$A$402:$A$448,"avail")</f>
        <v>avail</v>
      </c>
      <c r="F3179" t="str">
        <f>_xlfn.XLOOKUP(B3179,'[2]!! -- Stock Universe 12.11.24'!$C$2:$C$1621,'[2]!! -- Stock Universe 12.11.24'!$E$2:$E$1621,"")</f>
        <v/>
      </c>
    </row>
    <row r="3180" spans="1:6" x14ac:dyDescent="0.25">
      <c r="A3180" s="140">
        <v>45716.291666666664</v>
      </c>
      <c r="B3180" t="s">
        <v>3575</v>
      </c>
      <c r="C3180" t="s">
        <v>3570</v>
      </c>
      <c r="D3180" s="6" t="str">
        <f>_xlfn.XLOOKUP(B3180,Indices!$A$2:$A$2676,Indices!$B$2:$B$2676,"")</f>
        <v/>
      </c>
      <c r="E3180" t="str">
        <f>_xlfn.XLOOKUP(B3180,'2025-Q1'!$A$402:$A$448,'2025-Q1'!$A$402:$A$448,"avail")</f>
        <v>avail</v>
      </c>
      <c r="F3180" t="str">
        <f>_xlfn.XLOOKUP(B3180,'[2]!! -- Stock Universe 12.11.24'!$C$2:$C$1621,'[2]!! -- Stock Universe 12.11.24'!$E$2:$E$1621,"")</f>
        <v/>
      </c>
    </row>
    <row r="3181" spans="1:6" x14ac:dyDescent="0.25">
      <c r="A3181" s="140">
        <v>45716.291666666664</v>
      </c>
      <c r="B3181" t="s">
        <v>3573</v>
      </c>
      <c r="C3181" t="s">
        <v>3574</v>
      </c>
      <c r="D3181" s="6" t="str">
        <f>_xlfn.XLOOKUP(B3181,Indices!$A$2:$A$2676,Indices!$B$2:$B$2676,"")</f>
        <v/>
      </c>
      <c r="E3181" t="str">
        <f>_xlfn.XLOOKUP(B3181,'2025-Q1'!$A$402:$A$448,'2025-Q1'!$A$402:$A$448,"avail")</f>
        <v>avail</v>
      </c>
      <c r="F3181" t="str">
        <f>_xlfn.XLOOKUP(B3181,'[2]!! -- Stock Universe 12.11.24'!$C$2:$C$1621,'[2]!! -- Stock Universe 12.11.24'!$E$2:$E$1621,"")</f>
        <v/>
      </c>
    </row>
    <row r="3182" spans="1:6" x14ac:dyDescent="0.25">
      <c r="A3182" s="140">
        <v>45716.291666666664</v>
      </c>
      <c r="B3182" t="s">
        <v>960</v>
      </c>
      <c r="C3182" t="s">
        <v>3570</v>
      </c>
      <c r="D3182" s="6" t="str">
        <f>_xlfn.XLOOKUP(B3182,Indices!$A$2:$A$2676,Indices!$B$2:$B$2676,"")</f>
        <v>IWM</v>
      </c>
      <c r="E3182" t="str">
        <f>_xlfn.XLOOKUP(B3182,'2025-Q1'!$A$402:$A$448,'2025-Q1'!$A$402:$A$448,"avail")</f>
        <v>avail</v>
      </c>
      <c r="F3182" t="str">
        <f>_xlfn.XLOOKUP(B3182,'[2]!! -- Stock Universe 12.11.24'!$C$2:$C$1621,'[2]!! -- Stock Universe 12.11.24'!$E$2:$E$1621,"")</f>
        <v>Financial</v>
      </c>
    </row>
    <row r="3183" spans="1:6" x14ac:dyDescent="0.25">
      <c r="A3183" s="140">
        <v>45716.291666666664</v>
      </c>
      <c r="B3183" t="s">
        <v>26</v>
      </c>
      <c r="C3183" t="s">
        <v>3570</v>
      </c>
      <c r="D3183" s="6" t="str">
        <f>_xlfn.XLOOKUP(B3183,Indices!$A$2:$A$2676,Indices!$B$2:$B$2676,"")</f>
        <v>IWM</v>
      </c>
      <c r="E3183" t="str">
        <f>_xlfn.XLOOKUP(B3183,'2025-Q1'!$A$402:$A$448,'2025-Q1'!$A$402:$A$448,"avail")</f>
        <v>avail</v>
      </c>
      <c r="F3183" t="str">
        <f>_xlfn.XLOOKUP(B3183,'[2]!! -- Stock Universe 12.11.24'!$C$2:$C$1621,'[2]!! -- Stock Universe 12.11.24'!$E$2:$E$1621,"")</f>
        <v/>
      </c>
    </row>
    <row r="3184" spans="1:6" x14ac:dyDescent="0.25">
      <c r="A3184" s="140">
        <v>45716.291666666664</v>
      </c>
      <c r="B3184" t="s">
        <v>3580</v>
      </c>
      <c r="C3184" t="s">
        <v>3570</v>
      </c>
      <c r="D3184" s="6" t="str">
        <f>_xlfn.XLOOKUP(B3184,Indices!$A$2:$A$2676,Indices!$B$2:$B$2676,"")</f>
        <v/>
      </c>
      <c r="E3184" t="str">
        <f>_xlfn.XLOOKUP(B3184,'2025-Q1'!$A$402:$A$448,'2025-Q1'!$A$402:$A$448,"avail")</f>
        <v>avail</v>
      </c>
      <c r="F3184" t="str">
        <f>_xlfn.XLOOKUP(B3184,'[2]!! -- Stock Universe 12.11.24'!$C$2:$C$1621,'[2]!! -- Stock Universe 12.11.24'!$E$2:$E$1621,"")</f>
        <v/>
      </c>
    </row>
    <row r="3185" spans="1:6" x14ac:dyDescent="0.25">
      <c r="A3185" s="140">
        <v>45716.625</v>
      </c>
      <c r="B3185" t="s">
        <v>3569</v>
      </c>
      <c r="C3185" t="s">
        <v>3584</v>
      </c>
      <c r="D3185" s="6" t="str">
        <f>_xlfn.XLOOKUP(B3185,Indices!$A$2:$A$2676,Indices!$B$2:$B$2676,"")</f>
        <v/>
      </c>
      <c r="E3185" t="str">
        <f>_xlfn.XLOOKUP(B3185,'2025-Q1'!$A$402:$A$448,'2025-Q1'!$A$402:$A$448,"avail")</f>
        <v>avail</v>
      </c>
      <c r="F3185" t="str">
        <f>_xlfn.XLOOKUP(B3185,'[2]!! -- Stock Universe 12.11.24'!$C$2:$C$1621,'[2]!! -- Stock Universe 12.11.24'!$E$2:$E$1621,"")</f>
        <v/>
      </c>
    </row>
    <row r="3186" spans="1:6" x14ac:dyDescent="0.25">
      <c r="A3186" s="140">
        <v>45716.625</v>
      </c>
      <c r="B3186" t="s">
        <v>3239</v>
      </c>
      <c r="C3186" t="s">
        <v>3584</v>
      </c>
      <c r="D3186" s="6" t="str">
        <f>_xlfn.XLOOKUP(B3186,Indices!$A$2:$A$2676,Indices!$B$2:$B$2676,"")</f>
        <v/>
      </c>
      <c r="E3186" t="str">
        <f>_xlfn.XLOOKUP(B3186,'2025-Q1'!$A$402:$A$448,'2025-Q1'!$A$402:$A$448,"avail")</f>
        <v>avail</v>
      </c>
      <c r="F3186" t="str">
        <f>_xlfn.XLOOKUP(B3186,'[2]!! -- Stock Universe 12.11.24'!$C$2:$C$1621,'[2]!! -- Stock Universe 12.11.24'!$E$2:$E$1621,"")</f>
        <v/>
      </c>
    </row>
    <row r="3187" spans="1:6" x14ac:dyDescent="0.25">
      <c r="A3187" s="140">
        <v>45716.625</v>
      </c>
      <c r="B3187" t="s">
        <v>2519</v>
      </c>
      <c r="C3187" t="s">
        <v>3584</v>
      </c>
      <c r="D3187" s="6" t="str">
        <f>_xlfn.XLOOKUP(B3187,Indices!$A$2:$A$2676,Indices!$B$2:$B$2676,"")</f>
        <v/>
      </c>
      <c r="E3187" t="str">
        <f>_xlfn.XLOOKUP(B3187,'2025-Q1'!$A$402:$A$448,'2025-Q1'!$A$402:$A$448,"avail")</f>
        <v>avail</v>
      </c>
      <c r="F3187" t="str">
        <f>_xlfn.XLOOKUP(B3187,'[2]!! -- Stock Universe 12.11.24'!$C$2:$C$1621,'[2]!! -- Stock Universe 12.11.24'!$E$2:$E$1621,"")</f>
        <v/>
      </c>
    </row>
    <row r="3188" spans="1:6" x14ac:dyDescent="0.25">
      <c r="A3188" s="140">
        <v>45716.625</v>
      </c>
      <c r="B3188" t="s">
        <v>3224</v>
      </c>
      <c r="C3188" t="s">
        <v>3584</v>
      </c>
      <c r="D3188" s="6" t="str">
        <f>_xlfn.XLOOKUP(B3188,Indices!$A$2:$A$2676,Indices!$B$2:$B$2676,"")</f>
        <v/>
      </c>
      <c r="E3188" t="str">
        <f>_xlfn.XLOOKUP(B3188,'2025-Q1'!$A$402:$A$448,'2025-Q1'!$A$402:$A$448,"avail")</f>
        <v>avail</v>
      </c>
      <c r="F3188" t="str">
        <f>_xlfn.XLOOKUP(B3188,'[2]!! -- Stock Universe 12.11.24'!$C$2:$C$1621,'[2]!! -- Stock Universe 12.11.24'!$E$2:$E$1621,"")</f>
        <v>Healthcare</v>
      </c>
    </row>
    <row r="3189" spans="1:6" x14ac:dyDescent="0.25">
      <c r="A3189" s="140">
        <v>45716.625</v>
      </c>
      <c r="B3189" t="s">
        <v>2834</v>
      </c>
      <c r="C3189" t="s">
        <v>3584</v>
      </c>
      <c r="D3189" s="6" t="str">
        <f>_xlfn.XLOOKUP(B3189,Indices!$A$2:$A$2676,Indices!$B$2:$B$2676,"")</f>
        <v/>
      </c>
      <c r="E3189" t="str">
        <f>_xlfn.XLOOKUP(B3189,'2025-Q1'!$A$402:$A$448,'2025-Q1'!$A$402:$A$448,"avail")</f>
        <v>avail</v>
      </c>
      <c r="F3189" t="str">
        <f>_xlfn.XLOOKUP(B3189,'[2]!! -- Stock Universe 12.11.24'!$C$2:$C$1621,'[2]!! -- Stock Universe 12.11.24'!$E$2:$E$1621,"")</f>
        <v/>
      </c>
    </row>
    <row r="3190" spans="1:6" x14ac:dyDescent="0.25">
      <c r="A3190" s="140">
        <v>45716.625</v>
      </c>
      <c r="B3190" t="s">
        <v>1982</v>
      </c>
      <c r="C3190" t="s">
        <v>3584</v>
      </c>
      <c r="D3190" s="6" t="str">
        <f>_xlfn.XLOOKUP(B3190,Indices!$A$2:$A$2676,Indices!$B$2:$B$2676,"")</f>
        <v>IWM</v>
      </c>
      <c r="E3190" t="str">
        <f>_xlfn.XLOOKUP(B3190,'2025-Q1'!$A$402:$A$448,'2025-Q1'!$A$402:$A$448,"avail")</f>
        <v>avail</v>
      </c>
      <c r="F3190" t="str">
        <f>_xlfn.XLOOKUP(B3190,'[2]!! -- Stock Universe 12.11.24'!$C$2:$C$1621,'[2]!! -- Stock Universe 12.11.24'!$E$2:$E$1621,"")</f>
        <v/>
      </c>
    </row>
    <row r="3191" spans="1:6" x14ac:dyDescent="0.25">
      <c r="A3191" s="140">
        <v>45716.625</v>
      </c>
      <c r="B3191" t="s">
        <v>2698</v>
      </c>
      <c r="C3191" t="s">
        <v>3584</v>
      </c>
      <c r="D3191" s="6" t="str">
        <f>_xlfn.XLOOKUP(B3191,Indices!$A$2:$A$2676,Indices!$B$2:$B$2676,"")</f>
        <v/>
      </c>
      <c r="E3191" t="str">
        <f>_xlfn.XLOOKUP(B3191,'2025-Q1'!$A$402:$A$448,'2025-Q1'!$A$402:$A$448,"avail")</f>
        <v>avail</v>
      </c>
      <c r="F3191" t="str">
        <f>_xlfn.XLOOKUP(B3191,'[2]!! -- Stock Universe 12.11.24'!$C$2:$C$1621,'[2]!! -- Stock Universe 12.11.24'!$E$2:$E$1621,"")</f>
        <v/>
      </c>
    </row>
    <row r="3192" spans="1:6" x14ac:dyDescent="0.25">
      <c r="A3192" s="140">
        <v>45716.625</v>
      </c>
      <c r="B3192" t="s">
        <v>3585</v>
      </c>
      <c r="C3192" t="s">
        <v>3584</v>
      </c>
      <c r="D3192" s="6" t="str">
        <f>_xlfn.XLOOKUP(B3192,Indices!$A$2:$A$2676,Indices!$B$2:$B$2676,"")</f>
        <v/>
      </c>
      <c r="E3192" t="str">
        <f>_xlfn.XLOOKUP(B3192,'2025-Q1'!$A$402:$A$448,'2025-Q1'!$A$402:$A$448,"avail")</f>
        <v>avail</v>
      </c>
      <c r="F3192" t="str">
        <f>_xlfn.XLOOKUP(B3192,'[2]!! -- Stock Universe 12.11.24'!$C$2:$C$1621,'[2]!! -- Stock Universe 12.11.24'!$E$2:$E$1621,"")</f>
        <v/>
      </c>
    </row>
    <row r="3193" spans="1:6" x14ac:dyDescent="0.25">
      <c r="A3193" s="140">
        <v>45716.625</v>
      </c>
      <c r="B3193" t="s">
        <v>1111</v>
      </c>
      <c r="C3193" t="s">
        <v>3584</v>
      </c>
      <c r="D3193" s="6" t="str">
        <f>_xlfn.XLOOKUP(B3193,Indices!$A$2:$A$2676,Indices!$B$2:$B$2676,"")</f>
        <v/>
      </c>
      <c r="E3193" t="str">
        <f>_xlfn.XLOOKUP(B3193,'2025-Q1'!$A$402:$A$448,'2025-Q1'!$A$402:$A$448,"avail")</f>
        <v>avail</v>
      </c>
      <c r="F3193" t="str">
        <f>_xlfn.XLOOKUP(B3193,'[2]!! -- Stock Universe 12.11.24'!$C$2:$C$1621,'[2]!! -- Stock Universe 12.11.24'!$E$2:$E$1621,"")</f>
        <v/>
      </c>
    </row>
    <row r="3194" spans="1:6" x14ac:dyDescent="0.25">
      <c r="A3194" s="140">
        <v>45716.625</v>
      </c>
      <c r="B3194" t="s">
        <v>2576</v>
      </c>
      <c r="C3194" t="s">
        <v>3584</v>
      </c>
      <c r="D3194" s="6" t="str">
        <f>_xlfn.XLOOKUP(B3194,Indices!$A$2:$A$2676,Indices!$B$2:$B$2676,"")</f>
        <v/>
      </c>
      <c r="E3194" t="str">
        <f>_xlfn.XLOOKUP(B3194,'2025-Q1'!$A$402:$A$448,'2025-Q1'!$A$402:$A$448,"avail")</f>
        <v>avail</v>
      </c>
      <c r="F3194" t="str">
        <f>_xlfn.XLOOKUP(B3194,'[2]!! -- Stock Universe 12.11.24'!$C$2:$C$1621,'[2]!! -- Stock Universe 12.11.24'!$E$2:$E$1621,"")</f>
        <v>Industrials</v>
      </c>
    </row>
    <row r="3195" spans="1:6" x14ac:dyDescent="0.25">
      <c r="A3195" s="140">
        <v>45716.625</v>
      </c>
      <c r="B3195" t="s">
        <v>3258</v>
      </c>
      <c r="C3195" t="s">
        <v>3584</v>
      </c>
      <c r="D3195" s="6" t="str">
        <f>_xlfn.XLOOKUP(B3195,Indices!$A$2:$A$2676,Indices!$B$2:$B$2676,"")</f>
        <v/>
      </c>
      <c r="E3195" t="str">
        <f>_xlfn.XLOOKUP(B3195,'2025-Q1'!$A$402:$A$448,'2025-Q1'!$A$402:$A$448,"avail")</f>
        <v>avail</v>
      </c>
      <c r="F3195" t="str">
        <f>_xlfn.XLOOKUP(B3195,'[2]!! -- Stock Universe 12.11.24'!$C$2:$C$1621,'[2]!! -- Stock Universe 12.11.24'!$E$2:$E$1621,"")</f>
        <v/>
      </c>
    </row>
    <row r="3196" spans="1:6" x14ac:dyDescent="0.25">
      <c r="A3196" s="140">
        <v>45716.625</v>
      </c>
      <c r="B3196" t="s">
        <v>3322</v>
      </c>
      <c r="C3196" t="s">
        <v>3584</v>
      </c>
      <c r="D3196" s="6" t="str">
        <f>_xlfn.XLOOKUP(B3196,Indices!$A$2:$A$2676,Indices!$B$2:$B$2676,"")</f>
        <v/>
      </c>
      <c r="E3196" t="str">
        <f>_xlfn.XLOOKUP(B3196,'2025-Q1'!$A$402:$A$448,'2025-Q1'!$A$402:$A$448,"avail")</f>
        <v>avail</v>
      </c>
      <c r="F3196" t="str">
        <f>_xlfn.XLOOKUP(B3196,'[2]!! -- Stock Universe 12.11.24'!$C$2:$C$1621,'[2]!! -- Stock Universe 12.11.24'!$E$2:$E$1621,"")</f>
        <v>Healthcare</v>
      </c>
    </row>
    <row r="3197" spans="1:6" x14ac:dyDescent="0.25">
      <c r="A3197" s="140">
        <v>45717.625</v>
      </c>
      <c r="B3197" t="s">
        <v>3586</v>
      </c>
      <c r="C3197" t="s">
        <v>3587</v>
      </c>
      <c r="D3197" s="6" t="str">
        <f>_xlfn.XLOOKUP(B3197,Indices!$A$2:$A$2676,Indices!$B$2:$B$2676,"")</f>
        <v/>
      </c>
      <c r="E3197" t="str">
        <f>_xlfn.XLOOKUP(B3197,'2025-Q1'!$A$402:$A$448,'2025-Q1'!$A$402:$A$448,"avail")</f>
        <v>avail</v>
      </c>
      <c r="F3197" t="str">
        <f>_xlfn.XLOOKUP(B3197,'[2]!! -- Stock Universe 12.11.24'!$C$2:$C$1621,'[2]!! -- Stock Universe 12.11.24'!$E$2:$E$1621,"")</f>
        <v/>
      </c>
    </row>
    <row r="3198" spans="1:6" x14ac:dyDescent="0.25">
      <c r="A3198" s="140">
        <v>45719.291666666664</v>
      </c>
      <c r="B3198" t="s">
        <v>898</v>
      </c>
      <c r="C3198" t="s">
        <v>3589</v>
      </c>
      <c r="D3198" s="6" t="str">
        <f>_xlfn.XLOOKUP(B3198,Indices!$A$2:$A$2676,Indices!$B$2:$B$2676,"")</f>
        <v>IWM</v>
      </c>
      <c r="E3198" t="str">
        <f>_xlfn.XLOOKUP(B3198,'2025-Q1'!$A$402:$A$448,'2025-Q1'!$A$402:$A$448,"avail")</f>
        <v>avail</v>
      </c>
      <c r="F3198" t="str">
        <f>_xlfn.XLOOKUP(B3198,'[2]!! -- Stock Universe 12.11.24'!$C$2:$C$1621,'[2]!! -- Stock Universe 12.11.24'!$E$2:$E$1621,"")</f>
        <v/>
      </c>
    </row>
    <row r="3199" spans="1:6" x14ac:dyDescent="0.25">
      <c r="A3199" s="140">
        <v>45719.291666666664</v>
      </c>
      <c r="B3199" t="s">
        <v>3522</v>
      </c>
      <c r="C3199" t="s">
        <v>3589</v>
      </c>
      <c r="D3199" s="6" t="str">
        <f>_xlfn.XLOOKUP(B3199,Indices!$A$2:$A$2676,Indices!$B$2:$B$2676,"")</f>
        <v/>
      </c>
      <c r="E3199" t="str">
        <f>_xlfn.XLOOKUP(B3199,'2025-Q1'!$A$402:$A$448,'2025-Q1'!$A$402:$A$448,"avail")</f>
        <v>avail</v>
      </c>
      <c r="F3199" t="str">
        <f>_xlfn.XLOOKUP(B3199,'[2]!! -- Stock Universe 12.11.24'!$C$2:$C$1621,'[2]!! -- Stock Universe 12.11.24'!$E$2:$E$1621,"")</f>
        <v/>
      </c>
    </row>
    <row r="3200" spans="1:6" x14ac:dyDescent="0.25">
      <c r="A3200" s="140">
        <v>45719.291666666664</v>
      </c>
      <c r="B3200" t="s">
        <v>1010</v>
      </c>
      <c r="C3200" t="s">
        <v>3589</v>
      </c>
      <c r="D3200" s="6" t="str">
        <f>_xlfn.XLOOKUP(B3200,Indices!$A$2:$A$2676,Indices!$B$2:$B$2676,"")</f>
        <v>IWM</v>
      </c>
      <c r="E3200" t="str">
        <f>_xlfn.XLOOKUP(B3200,'2025-Q1'!$A$402:$A$448,'2025-Q1'!$A$402:$A$448,"avail")</f>
        <v>avail</v>
      </c>
      <c r="F3200" t="str">
        <f>_xlfn.XLOOKUP(B3200,'[2]!! -- Stock Universe 12.11.24'!$C$2:$C$1621,'[2]!! -- Stock Universe 12.11.24'!$E$2:$E$1621,"")</f>
        <v>Financial</v>
      </c>
    </row>
    <row r="3201" spans="1:6" x14ac:dyDescent="0.25">
      <c r="A3201" s="140">
        <v>45719.291666666664</v>
      </c>
      <c r="B3201" t="s">
        <v>3588</v>
      </c>
      <c r="C3201" t="s">
        <v>3589</v>
      </c>
      <c r="D3201" s="6" t="str">
        <f>_xlfn.XLOOKUP(B3201,Indices!$A$2:$A$2676,Indices!$B$2:$B$2676,"")</f>
        <v/>
      </c>
      <c r="E3201" t="str">
        <f>_xlfn.XLOOKUP(B3201,'2025-Q1'!$A$402:$A$448,'2025-Q1'!$A$402:$A$448,"avail")</f>
        <v>avail</v>
      </c>
      <c r="F3201" t="str">
        <f>_xlfn.XLOOKUP(B3201,'[2]!! -- Stock Universe 12.11.24'!$C$2:$C$1621,'[2]!! -- Stock Universe 12.11.24'!$E$2:$E$1621,"")</f>
        <v/>
      </c>
    </row>
    <row r="3202" spans="1:6" x14ac:dyDescent="0.25">
      <c r="A3202" s="140">
        <v>45719.291666666664</v>
      </c>
      <c r="B3202" t="s">
        <v>886</v>
      </c>
      <c r="C3202" t="s">
        <v>3589</v>
      </c>
      <c r="D3202" s="6" t="str">
        <f>_xlfn.XLOOKUP(B3202,Indices!$A$2:$A$2676,Indices!$B$2:$B$2676,"")</f>
        <v>IWM</v>
      </c>
      <c r="E3202" t="str">
        <f>_xlfn.XLOOKUP(B3202,'2025-Q1'!$A$402:$A$448,'2025-Q1'!$A$402:$A$448,"avail")</f>
        <v>avail</v>
      </c>
      <c r="F3202" t="str">
        <f>_xlfn.XLOOKUP(B3202,'[2]!! -- Stock Universe 12.11.24'!$C$2:$C$1621,'[2]!! -- Stock Universe 12.11.24'!$E$2:$E$1621,"")</f>
        <v/>
      </c>
    </row>
    <row r="3203" spans="1:6" x14ac:dyDescent="0.25">
      <c r="A3203" s="140">
        <v>45719.291666666664</v>
      </c>
      <c r="B3203" t="s">
        <v>1014</v>
      </c>
      <c r="C3203" t="s">
        <v>3589</v>
      </c>
      <c r="D3203" s="6" t="str">
        <f>_xlfn.XLOOKUP(B3203,Indices!$A$2:$A$2676,Indices!$B$2:$B$2676,"")</f>
        <v>IWM</v>
      </c>
      <c r="E3203" t="str">
        <f>_xlfn.XLOOKUP(B3203,'2025-Q1'!$A$402:$A$448,'2025-Q1'!$A$402:$A$448,"avail")</f>
        <v>avail</v>
      </c>
      <c r="F3203" t="str">
        <f>_xlfn.XLOOKUP(B3203,'[2]!! -- Stock Universe 12.11.24'!$C$2:$C$1621,'[2]!! -- Stock Universe 12.11.24'!$E$2:$E$1621,"")</f>
        <v>Healthcare</v>
      </c>
    </row>
    <row r="3204" spans="1:6" x14ac:dyDescent="0.25">
      <c r="A3204" s="140">
        <v>45719.291666666664</v>
      </c>
      <c r="B3204" t="s">
        <v>962</v>
      </c>
      <c r="C3204" t="s">
        <v>3589</v>
      </c>
      <c r="D3204" s="6" t="str">
        <f>_xlfn.XLOOKUP(B3204,Indices!$A$2:$A$2676,Indices!$B$2:$B$2676,"")</f>
        <v>IWM</v>
      </c>
      <c r="E3204" t="str">
        <f>_xlfn.XLOOKUP(B3204,'2025-Q1'!$A$402:$A$448,'2025-Q1'!$A$402:$A$448,"avail")</f>
        <v>avail</v>
      </c>
      <c r="F3204" t="str">
        <f>_xlfn.XLOOKUP(B3204,'[2]!! -- Stock Universe 12.11.24'!$C$2:$C$1621,'[2]!! -- Stock Universe 12.11.24'!$E$2:$E$1621,"")</f>
        <v/>
      </c>
    </row>
    <row r="3205" spans="1:6" x14ac:dyDescent="0.25">
      <c r="A3205" s="140">
        <v>45719.291666666664</v>
      </c>
      <c r="B3205" t="s">
        <v>3596</v>
      </c>
      <c r="C3205" t="s">
        <v>3594</v>
      </c>
      <c r="D3205" s="6" t="str">
        <f>_xlfn.XLOOKUP(B3205,Indices!$A$2:$A$2676,Indices!$B$2:$B$2676,"")</f>
        <v/>
      </c>
      <c r="E3205" t="str">
        <f>_xlfn.XLOOKUP(B3205,'2025-Q1'!$A$402:$A$448,'2025-Q1'!$A$402:$A$448,"avail")</f>
        <v>avail</v>
      </c>
      <c r="F3205" t="str">
        <f>_xlfn.XLOOKUP(B3205,'[2]!! -- Stock Universe 12.11.24'!$C$2:$C$1621,'[2]!! -- Stock Universe 12.11.24'!$E$2:$E$1621,"")</f>
        <v/>
      </c>
    </row>
    <row r="3206" spans="1:6" x14ac:dyDescent="0.25">
      <c r="A3206" s="140">
        <v>45719.291666666664</v>
      </c>
      <c r="B3206" t="s">
        <v>3248</v>
      </c>
      <c r="C3206" t="s">
        <v>3589</v>
      </c>
      <c r="D3206" s="6" t="str">
        <f>_xlfn.XLOOKUP(B3206,Indices!$A$2:$A$2676,Indices!$B$2:$B$2676,"")</f>
        <v/>
      </c>
      <c r="E3206" t="str">
        <f>_xlfn.XLOOKUP(B3206,'2025-Q1'!$A$402:$A$448,'2025-Q1'!$A$402:$A$448,"avail")</f>
        <v>avail</v>
      </c>
      <c r="F3206" t="str">
        <f>_xlfn.XLOOKUP(B3206,'[2]!! -- Stock Universe 12.11.24'!$C$2:$C$1621,'[2]!! -- Stock Universe 12.11.24'!$E$2:$E$1621,"")</f>
        <v/>
      </c>
    </row>
    <row r="3207" spans="1:6" x14ac:dyDescent="0.25">
      <c r="A3207" s="140">
        <v>45719.291666666664</v>
      </c>
      <c r="B3207" t="s">
        <v>3180</v>
      </c>
      <c r="C3207" t="s">
        <v>3589</v>
      </c>
      <c r="D3207" s="6" t="str">
        <f>_xlfn.XLOOKUP(B3207,Indices!$A$2:$A$2676,Indices!$B$2:$B$2676,"")</f>
        <v/>
      </c>
      <c r="E3207" t="str">
        <f>_xlfn.XLOOKUP(B3207,'2025-Q1'!$A$402:$A$448,'2025-Q1'!$A$402:$A$448,"avail")</f>
        <v>avail</v>
      </c>
      <c r="F3207" t="str">
        <f>_xlfn.XLOOKUP(B3207,'[2]!! -- Stock Universe 12.11.24'!$C$2:$C$1621,'[2]!! -- Stock Universe 12.11.24'!$E$2:$E$1621,"")</f>
        <v>Industrials</v>
      </c>
    </row>
    <row r="3208" spans="1:6" x14ac:dyDescent="0.25">
      <c r="A3208" s="140">
        <v>45719.291666666664</v>
      </c>
      <c r="B3208" t="s">
        <v>3448</v>
      </c>
      <c r="C3208" t="s">
        <v>3589</v>
      </c>
      <c r="D3208" s="6" t="str">
        <f>_xlfn.XLOOKUP(B3208,Indices!$A$2:$A$2676,Indices!$B$2:$B$2676,"")</f>
        <v/>
      </c>
      <c r="E3208" t="str">
        <f>_xlfn.XLOOKUP(B3208,'2025-Q1'!$A$402:$A$448,'2025-Q1'!$A$402:$A$448,"avail")</f>
        <v>avail</v>
      </c>
      <c r="F3208" t="str">
        <f>_xlfn.XLOOKUP(B3208,'[2]!! -- Stock Universe 12.11.24'!$C$2:$C$1621,'[2]!! -- Stock Universe 12.11.24'!$E$2:$E$1621,"")</f>
        <v/>
      </c>
    </row>
    <row r="3209" spans="1:6" x14ac:dyDescent="0.25">
      <c r="A3209" s="140">
        <v>45719.291666666664</v>
      </c>
      <c r="B3209" t="s">
        <v>633</v>
      </c>
      <c r="C3209" t="s">
        <v>3589</v>
      </c>
      <c r="D3209" s="6" t="str">
        <f>_xlfn.XLOOKUP(B3209,Indices!$A$2:$A$2676,Indices!$B$2:$B$2676,"")</f>
        <v>IWM</v>
      </c>
      <c r="E3209" t="str">
        <f>_xlfn.XLOOKUP(B3209,'2025-Q1'!$A$402:$A$448,'2025-Q1'!$A$402:$A$448,"avail")</f>
        <v>avail</v>
      </c>
      <c r="F3209" t="str">
        <f>_xlfn.XLOOKUP(B3209,'[2]!! -- Stock Universe 12.11.24'!$C$2:$C$1621,'[2]!! -- Stock Universe 12.11.24'!$E$2:$E$1621,"")</f>
        <v>Healthcare</v>
      </c>
    </row>
    <row r="3210" spans="1:6" x14ac:dyDescent="0.25">
      <c r="A3210" s="140">
        <v>45719.291666666664</v>
      </c>
      <c r="B3210" t="s">
        <v>3597</v>
      </c>
      <c r="C3210" t="s">
        <v>3589</v>
      </c>
      <c r="D3210" s="6" t="str">
        <f>_xlfn.XLOOKUP(B3210,Indices!$A$2:$A$2676,Indices!$B$2:$B$2676,"")</f>
        <v/>
      </c>
      <c r="E3210" t="str">
        <f>_xlfn.XLOOKUP(B3210,'2025-Q1'!$A$402:$A$448,'2025-Q1'!$A$402:$A$448,"avail")</f>
        <v>avail</v>
      </c>
      <c r="F3210" t="str">
        <f>_xlfn.XLOOKUP(B3210,'[2]!! -- Stock Universe 12.11.24'!$C$2:$C$1621,'[2]!! -- Stock Universe 12.11.24'!$E$2:$E$1621,"")</f>
        <v/>
      </c>
    </row>
    <row r="3211" spans="1:6" x14ac:dyDescent="0.25">
      <c r="A3211" s="140">
        <v>45719.291666666664</v>
      </c>
      <c r="B3211" t="s">
        <v>3590</v>
      </c>
      <c r="C3211" t="s">
        <v>3589</v>
      </c>
      <c r="D3211" s="6" t="str">
        <f>_xlfn.XLOOKUP(B3211,Indices!$A$2:$A$2676,Indices!$B$2:$B$2676,"")</f>
        <v/>
      </c>
      <c r="E3211" t="str">
        <f>_xlfn.XLOOKUP(B3211,'2025-Q1'!$A$402:$A$448,'2025-Q1'!$A$402:$A$448,"avail")</f>
        <v>avail</v>
      </c>
      <c r="F3211" t="str">
        <f>_xlfn.XLOOKUP(B3211,'[2]!! -- Stock Universe 12.11.24'!$C$2:$C$1621,'[2]!! -- Stock Universe 12.11.24'!$E$2:$E$1621,"")</f>
        <v/>
      </c>
    </row>
    <row r="3212" spans="1:6" x14ac:dyDescent="0.25">
      <c r="A3212" s="140">
        <v>45719.291666666664</v>
      </c>
      <c r="B3212" t="s">
        <v>3454</v>
      </c>
      <c r="C3212" t="s">
        <v>3589</v>
      </c>
      <c r="D3212" s="6" t="str">
        <f>_xlfn.XLOOKUP(B3212,Indices!$A$2:$A$2676,Indices!$B$2:$B$2676,"")</f>
        <v/>
      </c>
      <c r="E3212" t="str">
        <f>_xlfn.XLOOKUP(B3212,'2025-Q1'!$A$402:$A$448,'2025-Q1'!$A$402:$A$448,"avail")</f>
        <v>avail</v>
      </c>
      <c r="F3212" t="str">
        <f>_xlfn.XLOOKUP(B3212,'[2]!! -- Stock Universe 12.11.24'!$C$2:$C$1621,'[2]!! -- Stock Universe 12.11.24'!$E$2:$E$1621,"")</f>
        <v/>
      </c>
    </row>
    <row r="3213" spans="1:6" x14ac:dyDescent="0.25">
      <c r="A3213" s="140">
        <v>45719.291666666664</v>
      </c>
      <c r="B3213" t="s">
        <v>853</v>
      </c>
      <c r="C3213" t="s">
        <v>3589</v>
      </c>
      <c r="D3213" s="6" t="str">
        <f>_xlfn.XLOOKUP(B3213,Indices!$A$2:$A$2676,Indices!$B$2:$B$2676,"")</f>
        <v>IWM</v>
      </c>
      <c r="E3213" t="str">
        <f>_xlfn.XLOOKUP(B3213,'2025-Q1'!$A$402:$A$448,'2025-Q1'!$A$402:$A$448,"avail")</f>
        <v>avail</v>
      </c>
      <c r="F3213" t="str">
        <f>_xlfn.XLOOKUP(B3213,'[2]!! -- Stock Universe 12.11.24'!$C$2:$C$1621,'[2]!! -- Stock Universe 12.11.24'!$E$2:$E$1621,"")</f>
        <v>Industrials</v>
      </c>
    </row>
    <row r="3214" spans="1:6" x14ac:dyDescent="0.25">
      <c r="A3214" s="140">
        <v>45719.291666666664</v>
      </c>
      <c r="B3214" t="s">
        <v>4948</v>
      </c>
      <c r="C3214" t="s">
        <v>3589</v>
      </c>
      <c r="D3214" s="6" t="str">
        <f>_xlfn.XLOOKUP(B3214,Indices!$A$2:$A$2676,Indices!$B$2:$B$2676,"")</f>
        <v/>
      </c>
      <c r="E3214" t="str">
        <f>_xlfn.XLOOKUP(B3214,'2025-Q1'!$A$402:$A$448,'2025-Q1'!$A$402:$A$448,"avail")</f>
        <v>avail</v>
      </c>
      <c r="F3214" t="str">
        <f>_xlfn.XLOOKUP(B3214,'[2]!! -- Stock Universe 12.11.24'!$C$2:$C$1621,'[2]!! -- Stock Universe 12.11.24'!$E$2:$E$1621,"")</f>
        <v/>
      </c>
    </row>
    <row r="3215" spans="1:6" x14ac:dyDescent="0.25">
      <c r="A3215" s="140">
        <v>45719.291666666664</v>
      </c>
      <c r="B3215" t="s">
        <v>3274</v>
      </c>
      <c r="C3215" t="s">
        <v>3589</v>
      </c>
      <c r="D3215" s="6" t="str">
        <f>_xlfn.XLOOKUP(B3215,Indices!$A$2:$A$2676,Indices!$B$2:$B$2676,"")</f>
        <v/>
      </c>
      <c r="E3215" t="str">
        <f>_xlfn.XLOOKUP(B3215,'2025-Q1'!$A$402:$A$448,'2025-Q1'!$A$402:$A$448,"avail")</f>
        <v>avail</v>
      </c>
      <c r="F3215" t="str">
        <f>_xlfn.XLOOKUP(B3215,'[2]!! -- Stock Universe 12.11.24'!$C$2:$C$1621,'[2]!! -- Stock Universe 12.11.24'!$E$2:$E$1621,"")</f>
        <v/>
      </c>
    </row>
    <row r="3216" spans="1:6" x14ac:dyDescent="0.25">
      <c r="A3216" s="140">
        <v>45719.291666666664</v>
      </c>
      <c r="B3216" t="s">
        <v>259</v>
      </c>
      <c r="C3216" t="s">
        <v>3589</v>
      </c>
      <c r="D3216" s="6" t="str">
        <f>_xlfn.XLOOKUP(B3216,Indices!$A$2:$A$2676,Indices!$B$2:$B$2676,"")</f>
        <v>IWM</v>
      </c>
      <c r="E3216" t="str">
        <f>_xlfn.XLOOKUP(B3216,'2025-Q1'!$A$402:$A$448,'2025-Q1'!$A$402:$A$448,"avail")</f>
        <v>avail</v>
      </c>
      <c r="F3216" t="str">
        <f>_xlfn.XLOOKUP(B3216,'[2]!! -- Stock Universe 12.11.24'!$C$2:$C$1621,'[2]!! -- Stock Universe 12.11.24'!$E$2:$E$1621,"")</f>
        <v>Energy</v>
      </c>
    </row>
    <row r="3217" spans="1:6" x14ac:dyDescent="0.25">
      <c r="A3217" s="140">
        <v>45719.291666666664</v>
      </c>
      <c r="B3217" t="s">
        <v>644</v>
      </c>
      <c r="C3217" t="s">
        <v>3589</v>
      </c>
      <c r="D3217" s="6" t="str">
        <f>_xlfn.XLOOKUP(B3217,Indices!$A$2:$A$2676,Indices!$B$2:$B$2676,"")</f>
        <v>IWM</v>
      </c>
      <c r="E3217" t="str">
        <f>_xlfn.XLOOKUP(B3217,'2025-Q1'!$A$402:$A$448,'2025-Q1'!$A$402:$A$448,"avail")</f>
        <v>avail</v>
      </c>
      <c r="F3217" t="str">
        <f>_xlfn.XLOOKUP(B3217,'[2]!! -- Stock Universe 12.11.24'!$C$2:$C$1621,'[2]!! -- Stock Universe 12.11.24'!$E$2:$E$1621,"")</f>
        <v/>
      </c>
    </row>
    <row r="3218" spans="1:6" x14ac:dyDescent="0.25">
      <c r="A3218" s="140">
        <v>45719.291666666664</v>
      </c>
      <c r="B3218" t="s">
        <v>3592</v>
      </c>
      <c r="C3218" t="s">
        <v>3589</v>
      </c>
      <c r="D3218" s="6" t="str">
        <f>_xlfn.XLOOKUP(B3218,Indices!$A$2:$A$2676,Indices!$B$2:$B$2676,"")</f>
        <v/>
      </c>
      <c r="E3218" t="str">
        <f>_xlfn.XLOOKUP(B3218,'2025-Q1'!$A$402:$A$448,'2025-Q1'!$A$402:$A$448,"avail")</f>
        <v>avail</v>
      </c>
      <c r="F3218" t="str">
        <f>_xlfn.XLOOKUP(B3218,'[2]!! -- Stock Universe 12.11.24'!$C$2:$C$1621,'[2]!! -- Stock Universe 12.11.24'!$E$2:$E$1621,"")</f>
        <v/>
      </c>
    </row>
    <row r="3219" spans="1:6" x14ac:dyDescent="0.25">
      <c r="A3219" s="140">
        <v>45719.291666666664</v>
      </c>
      <c r="B3219" t="s">
        <v>927</v>
      </c>
      <c r="C3219" t="s">
        <v>3589</v>
      </c>
      <c r="D3219" s="6" t="str">
        <f>_xlfn.XLOOKUP(B3219,Indices!$A$2:$A$2676,Indices!$B$2:$B$2676,"")</f>
        <v>IWM</v>
      </c>
      <c r="E3219" t="str">
        <f>_xlfn.XLOOKUP(B3219,'2025-Q1'!$A$402:$A$448,'2025-Q1'!$A$402:$A$448,"avail")</f>
        <v>avail</v>
      </c>
      <c r="F3219" t="str">
        <f>_xlfn.XLOOKUP(B3219,'[2]!! -- Stock Universe 12.11.24'!$C$2:$C$1621,'[2]!! -- Stock Universe 12.11.24'!$E$2:$E$1621,"")</f>
        <v>Healthcare</v>
      </c>
    </row>
    <row r="3220" spans="1:6" x14ac:dyDescent="0.25">
      <c r="A3220" s="140">
        <v>45719.291666666664</v>
      </c>
      <c r="B3220" t="s">
        <v>1051</v>
      </c>
      <c r="C3220" t="s">
        <v>3589</v>
      </c>
      <c r="D3220" s="6" t="str">
        <f>_xlfn.XLOOKUP(B3220,Indices!$A$2:$A$2676,Indices!$B$2:$B$2676,"")</f>
        <v>IWM</v>
      </c>
      <c r="E3220" t="str">
        <f>_xlfn.XLOOKUP(B3220,'2025-Q1'!$A$402:$A$448,'2025-Q1'!$A$402:$A$448,"avail")</f>
        <v>avail</v>
      </c>
      <c r="F3220" t="str">
        <f>_xlfn.XLOOKUP(B3220,'[2]!! -- Stock Universe 12.11.24'!$C$2:$C$1621,'[2]!! -- Stock Universe 12.11.24'!$E$2:$E$1621,"")</f>
        <v>Healthcare</v>
      </c>
    </row>
    <row r="3221" spans="1:6" x14ac:dyDescent="0.25">
      <c r="A3221" s="140">
        <v>45719.291666666664</v>
      </c>
      <c r="B3221" t="s">
        <v>3485</v>
      </c>
      <c r="C3221" t="s">
        <v>3589</v>
      </c>
      <c r="D3221" s="6" t="str">
        <f>_xlfn.XLOOKUP(B3221,Indices!$A$2:$A$2676,Indices!$B$2:$B$2676,"")</f>
        <v/>
      </c>
      <c r="E3221" t="str">
        <f>_xlfn.XLOOKUP(B3221,'2025-Q1'!$A$402:$A$448,'2025-Q1'!$A$402:$A$448,"avail")</f>
        <v>avail</v>
      </c>
      <c r="F3221" t="str">
        <f>_xlfn.XLOOKUP(B3221,'[2]!! -- Stock Universe 12.11.24'!$C$2:$C$1621,'[2]!! -- Stock Universe 12.11.24'!$E$2:$E$1621,"")</f>
        <v/>
      </c>
    </row>
    <row r="3222" spans="1:6" x14ac:dyDescent="0.25">
      <c r="A3222" s="140">
        <v>45719.291666666664</v>
      </c>
      <c r="B3222" t="s">
        <v>174</v>
      </c>
      <c r="C3222" t="s">
        <v>3589</v>
      </c>
      <c r="D3222" s="6" t="str">
        <f>_xlfn.XLOOKUP(B3222,Indices!$A$2:$A$2676,Indices!$B$2:$B$2676,"")</f>
        <v>IWM</v>
      </c>
      <c r="E3222" t="str">
        <f>_xlfn.XLOOKUP(B3222,'2025-Q1'!$A$402:$A$448,'2025-Q1'!$A$402:$A$448,"avail")</f>
        <v>avail</v>
      </c>
      <c r="F3222" t="str">
        <f>_xlfn.XLOOKUP(B3222,'[2]!! -- Stock Universe 12.11.24'!$C$2:$C$1621,'[2]!! -- Stock Universe 12.11.24'!$E$2:$E$1621,"")</f>
        <v/>
      </c>
    </row>
    <row r="3223" spans="1:6" x14ac:dyDescent="0.25">
      <c r="A3223" s="140">
        <v>45719.291666666664</v>
      </c>
      <c r="B3223" t="s">
        <v>2078</v>
      </c>
      <c r="C3223" t="s">
        <v>3589</v>
      </c>
      <c r="D3223" s="6" t="str">
        <f>_xlfn.XLOOKUP(B3223,Indices!$A$2:$A$2676,Indices!$B$2:$B$2676,"")</f>
        <v>IWM</v>
      </c>
      <c r="E3223" t="str">
        <f>_xlfn.XLOOKUP(B3223,'2025-Q1'!$A$402:$A$448,'2025-Q1'!$A$402:$A$448,"avail")</f>
        <v>avail</v>
      </c>
      <c r="F3223" t="str">
        <f>_xlfn.XLOOKUP(B3223,'[2]!! -- Stock Universe 12.11.24'!$C$2:$C$1621,'[2]!! -- Stock Universe 12.11.24'!$E$2:$E$1621,"")</f>
        <v>Basic Materials</v>
      </c>
    </row>
    <row r="3224" spans="1:6" x14ac:dyDescent="0.25">
      <c r="A3224" s="140">
        <v>45719.291666666664</v>
      </c>
      <c r="B3224" t="s">
        <v>3856</v>
      </c>
      <c r="C3224" t="s">
        <v>3589</v>
      </c>
      <c r="D3224" s="6" t="str">
        <f>_xlfn.XLOOKUP(B3224,Indices!$A$2:$A$2676,Indices!$B$2:$B$2676,"")</f>
        <v/>
      </c>
      <c r="E3224" t="str">
        <f>_xlfn.XLOOKUP(B3224,'2025-Q1'!$A$402:$A$448,'2025-Q1'!$A$402:$A$448,"avail")</f>
        <v>avail</v>
      </c>
      <c r="F3224" t="str">
        <f>_xlfn.XLOOKUP(B3224,'[2]!! -- Stock Universe 12.11.24'!$C$2:$C$1621,'[2]!! -- Stock Universe 12.11.24'!$E$2:$E$1621,"")</f>
        <v>Healthcare</v>
      </c>
    </row>
    <row r="3225" spans="1:6" x14ac:dyDescent="0.25">
      <c r="A3225" s="140">
        <v>45719.291666666664</v>
      </c>
      <c r="B3225" t="s">
        <v>901</v>
      </c>
      <c r="C3225" t="s">
        <v>3589</v>
      </c>
      <c r="D3225" s="6" t="str">
        <f>_xlfn.XLOOKUP(B3225,Indices!$A$2:$A$2676,Indices!$B$2:$B$2676,"")</f>
        <v>IWM</v>
      </c>
      <c r="E3225" t="str">
        <f>_xlfn.XLOOKUP(B3225,'2025-Q1'!$A$402:$A$448,'2025-Q1'!$A$402:$A$448,"avail")</f>
        <v>avail</v>
      </c>
      <c r="F3225" t="str">
        <f>_xlfn.XLOOKUP(B3225,'[2]!! -- Stock Universe 12.11.24'!$C$2:$C$1621,'[2]!! -- Stock Universe 12.11.24'!$E$2:$E$1621,"")</f>
        <v>Healthcare</v>
      </c>
    </row>
    <row r="3226" spans="1:6" x14ac:dyDescent="0.25">
      <c r="A3226" s="140">
        <v>45719.291666666664</v>
      </c>
      <c r="B3226" t="s">
        <v>2232</v>
      </c>
      <c r="C3226" t="s">
        <v>3589</v>
      </c>
      <c r="D3226" s="6" t="str">
        <f>_xlfn.XLOOKUP(B3226,Indices!$A$2:$A$2676,Indices!$B$2:$B$2676,"")</f>
        <v>IWM</v>
      </c>
      <c r="E3226" t="str">
        <f>_xlfn.XLOOKUP(B3226,'2025-Q1'!$A$402:$A$448,'2025-Q1'!$A$402:$A$448,"avail")</f>
        <v>avail</v>
      </c>
      <c r="F3226" t="str">
        <f>_xlfn.XLOOKUP(B3226,'[2]!! -- Stock Universe 12.11.24'!$C$2:$C$1621,'[2]!! -- Stock Universe 12.11.24'!$E$2:$E$1621,"")</f>
        <v>Technology</v>
      </c>
    </row>
    <row r="3227" spans="1:6" x14ac:dyDescent="0.25">
      <c r="A3227" s="140">
        <v>45719.291666666664</v>
      </c>
      <c r="B3227" t="s">
        <v>922</v>
      </c>
      <c r="C3227" t="s">
        <v>3589</v>
      </c>
      <c r="D3227" s="6" t="str">
        <f>_xlfn.XLOOKUP(B3227,Indices!$A$2:$A$2676,Indices!$B$2:$B$2676,"")</f>
        <v>IWM</v>
      </c>
      <c r="E3227" t="str">
        <f>_xlfn.XLOOKUP(B3227,'2025-Q1'!$A$402:$A$448,'2025-Q1'!$A$402:$A$448,"avail")</f>
        <v>avail</v>
      </c>
      <c r="F3227" t="str">
        <f>_xlfn.XLOOKUP(B3227,'[2]!! -- Stock Universe 12.11.24'!$C$2:$C$1621,'[2]!! -- Stock Universe 12.11.24'!$E$2:$E$1621,"")</f>
        <v>Communication Services</v>
      </c>
    </row>
    <row r="3228" spans="1:6" x14ac:dyDescent="0.25">
      <c r="A3228" s="140">
        <v>45719.291666666664</v>
      </c>
      <c r="B3228" t="s">
        <v>630</v>
      </c>
      <c r="C3228" t="s">
        <v>3589</v>
      </c>
      <c r="D3228" s="6" t="str">
        <f>_xlfn.XLOOKUP(B3228,Indices!$A$2:$A$2676,Indices!$B$2:$B$2676,"")</f>
        <v>IWM</v>
      </c>
      <c r="E3228" t="str">
        <f>_xlfn.XLOOKUP(B3228,'2025-Q1'!$A$402:$A$448,'2025-Q1'!$A$402:$A$448,"avail")</f>
        <v>avail</v>
      </c>
      <c r="F3228" t="str">
        <f>_xlfn.XLOOKUP(B3228,'[2]!! -- Stock Universe 12.11.24'!$C$2:$C$1621,'[2]!! -- Stock Universe 12.11.24'!$E$2:$E$1621,"")</f>
        <v>Healthcare</v>
      </c>
    </row>
    <row r="3229" spans="1:6" x14ac:dyDescent="0.25">
      <c r="A3229" s="140">
        <v>45719.291666666664</v>
      </c>
      <c r="B3229" t="s">
        <v>787</v>
      </c>
      <c r="C3229" t="s">
        <v>3589</v>
      </c>
      <c r="D3229" s="6" t="str">
        <f>_xlfn.XLOOKUP(B3229,Indices!$A$2:$A$2676,Indices!$B$2:$B$2676,"")</f>
        <v>IWM</v>
      </c>
      <c r="E3229" t="str">
        <f>_xlfn.XLOOKUP(B3229,'2025-Q1'!$A$402:$A$448,'2025-Q1'!$A$402:$A$448,"avail")</f>
        <v>avail</v>
      </c>
      <c r="F3229" t="str">
        <f>_xlfn.XLOOKUP(B3229,'[2]!! -- Stock Universe 12.11.24'!$C$2:$C$1621,'[2]!! -- Stock Universe 12.11.24'!$E$2:$E$1621,"")</f>
        <v/>
      </c>
    </row>
    <row r="3230" spans="1:6" x14ac:dyDescent="0.25">
      <c r="A3230" s="140">
        <v>45719.291666666664</v>
      </c>
      <c r="B3230" t="s">
        <v>2685</v>
      </c>
      <c r="C3230" t="s">
        <v>3589</v>
      </c>
      <c r="D3230" s="6" t="str">
        <f>_xlfn.XLOOKUP(B3230,Indices!$A$2:$A$2676,Indices!$B$2:$B$2676,"")</f>
        <v/>
      </c>
      <c r="E3230" t="str">
        <f>_xlfn.XLOOKUP(B3230,'2025-Q1'!$A$402:$A$448,'2025-Q1'!$A$402:$A$448,"avail")</f>
        <v>avail</v>
      </c>
      <c r="F3230" t="str">
        <f>_xlfn.XLOOKUP(B3230,'[2]!! -- Stock Universe 12.11.24'!$C$2:$C$1621,'[2]!! -- Stock Universe 12.11.24'!$E$2:$E$1621,"")</f>
        <v/>
      </c>
    </row>
    <row r="3231" spans="1:6" x14ac:dyDescent="0.25">
      <c r="A3231" s="140">
        <v>45719.291666666664</v>
      </c>
      <c r="B3231" t="s">
        <v>3652</v>
      </c>
      <c r="C3231" t="s">
        <v>3589</v>
      </c>
      <c r="D3231" s="6" t="str">
        <f>_xlfn.XLOOKUP(B3231,Indices!$A$2:$A$2676,Indices!$B$2:$B$2676,"")</f>
        <v/>
      </c>
      <c r="E3231" t="str">
        <f>_xlfn.XLOOKUP(B3231,'2025-Q1'!$A$402:$A$448,'2025-Q1'!$A$402:$A$448,"avail")</f>
        <v>avail</v>
      </c>
      <c r="F3231" t="str">
        <f>_xlfn.XLOOKUP(B3231,'[2]!! -- Stock Universe 12.11.24'!$C$2:$C$1621,'[2]!! -- Stock Universe 12.11.24'!$E$2:$E$1621,"")</f>
        <v/>
      </c>
    </row>
    <row r="3232" spans="1:6" x14ac:dyDescent="0.25">
      <c r="A3232" s="140">
        <v>45719.291666666664</v>
      </c>
      <c r="B3232" t="s">
        <v>223</v>
      </c>
      <c r="C3232" t="s">
        <v>3589</v>
      </c>
      <c r="D3232" s="6" t="str">
        <f>_xlfn.XLOOKUP(B3232,Indices!$A$2:$A$2676,Indices!$B$2:$B$2676,"")</f>
        <v>IWM</v>
      </c>
      <c r="E3232" t="str">
        <f>_xlfn.XLOOKUP(B3232,'2025-Q1'!$A$402:$A$448,'2025-Q1'!$A$402:$A$448,"avail")</f>
        <v>avail</v>
      </c>
      <c r="F3232" t="str">
        <f>_xlfn.XLOOKUP(B3232,'[2]!! -- Stock Universe 12.11.24'!$C$2:$C$1621,'[2]!! -- Stock Universe 12.11.24'!$E$2:$E$1621,"")</f>
        <v>Healthcare</v>
      </c>
    </row>
    <row r="3233" spans="1:6" x14ac:dyDescent="0.25">
      <c r="A3233" s="140">
        <v>45719.291666666664</v>
      </c>
      <c r="B3233" t="s">
        <v>597</v>
      </c>
      <c r="C3233" t="s">
        <v>3589</v>
      </c>
      <c r="D3233" s="6" t="str">
        <f>_xlfn.XLOOKUP(B3233,Indices!$A$2:$A$2676,Indices!$B$2:$B$2676,"")</f>
        <v>IWM</v>
      </c>
      <c r="E3233" t="str">
        <f>_xlfn.XLOOKUP(B3233,'2025-Q1'!$A$402:$A$448,'2025-Q1'!$A$402:$A$448,"avail")</f>
        <v>avail</v>
      </c>
      <c r="F3233" t="str">
        <f>_xlfn.XLOOKUP(B3233,'[2]!! -- Stock Universe 12.11.24'!$C$2:$C$1621,'[2]!! -- Stock Universe 12.11.24'!$E$2:$E$1621,"")</f>
        <v/>
      </c>
    </row>
    <row r="3234" spans="1:6" x14ac:dyDescent="0.25">
      <c r="A3234" s="140">
        <v>45719.291666666664</v>
      </c>
      <c r="B3234" t="s">
        <v>1169</v>
      </c>
      <c r="C3234" t="s">
        <v>3589</v>
      </c>
      <c r="D3234" s="6" t="str">
        <f>_xlfn.XLOOKUP(B3234,Indices!$A$2:$A$2676,Indices!$B$2:$B$2676,"")</f>
        <v/>
      </c>
      <c r="E3234" t="str">
        <f>_xlfn.XLOOKUP(B3234,'2025-Q1'!$A$402:$A$448,'2025-Q1'!$A$402:$A$448,"avail")</f>
        <v>avail</v>
      </c>
      <c r="F3234" t="str">
        <f>_xlfn.XLOOKUP(B3234,'[2]!! -- Stock Universe 12.11.24'!$C$2:$C$1621,'[2]!! -- Stock Universe 12.11.24'!$E$2:$E$1621,"")</f>
        <v/>
      </c>
    </row>
    <row r="3235" spans="1:6" x14ac:dyDescent="0.25">
      <c r="A3235" s="140">
        <v>45719.291666666664</v>
      </c>
      <c r="B3235" t="s">
        <v>50</v>
      </c>
      <c r="C3235" t="s">
        <v>3589</v>
      </c>
      <c r="D3235" s="6" t="str">
        <f>_xlfn.XLOOKUP(B3235,Indices!$A$2:$A$2676,Indices!$B$2:$B$2676,"")</f>
        <v>IWM</v>
      </c>
      <c r="E3235" t="str">
        <f>_xlfn.XLOOKUP(B3235,'2025-Q1'!$A$402:$A$448,'2025-Q1'!$A$402:$A$448,"avail")</f>
        <v>avail</v>
      </c>
      <c r="F3235" t="str">
        <f>_xlfn.XLOOKUP(B3235,'[2]!! -- Stock Universe 12.11.24'!$C$2:$C$1621,'[2]!! -- Stock Universe 12.11.24'!$E$2:$E$1621,"")</f>
        <v>Healthcare</v>
      </c>
    </row>
    <row r="3236" spans="1:6" x14ac:dyDescent="0.25">
      <c r="A3236" s="140">
        <v>45719.291666666664</v>
      </c>
      <c r="B3236" t="s">
        <v>3972</v>
      </c>
      <c r="C3236" t="s">
        <v>3589</v>
      </c>
      <c r="D3236" s="6" t="str">
        <f>_xlfn.XLOOKUP(B3236,Indices!$A$2:$A$2676,Indices!$B$2:$B$2676,"")</f>
        <v/>
      </c>
      <c r="E3236" t="str">
        <f>_xlfn.XLOOKUP(B3236,'2025-Q1'!$A$402:$A$448,'2025-Q1'!$A$402:$A$448,"avail")</f>
        <v>avail</v>
      </c>
      <c r="F3236" t="str">
        <f>_xlfn.XLOOKUP(B3236,'[2]!! -- Stock Universe 12.11.24'!$C$2:$C$1621,'[2]!! -- Stock Universe 12.11.24'!$E$2:$E$1621,"")</f>
        <v/>
      </c>
    </row>
    <row r="3237" spans="1:6" x14ac:dyDescent="0.25">
      <c r="A3237" s="140">
        <v>45719.458333333336</v>
      </c>
      <c r="B3237" t="s">
        <v>3601</v>
      </c>
      <c r="C3237" t="s">
        <v>3602</v>
      </c>
      <c r="D3237" s="6" t="str">
        <f>_xlfn.XLOOKUP(B3237,Indices!$A$2:$A$2676,Indices!$B$2:$B$2676,"")</f>
        <v/>
      </c>
      <c r="E3237" t="str">
        <f>_xlfn.XLOOKUP(B3237,'2025-Q1'!$A$402:$A$448,'2025-Q1'!$A$402:$A$448,"avail")</f>
        <v>avail</v>
      </c>
      <c r="F3237" t="str">
        <f>_xlfn.XLOOKUP(B3237,'[2]!! -- Stock Universe 12.11.24'!$C$2:$C$1621,'[2]!! -- Stock Universe 12.11.24'!$E$2:$E$1621,"")</f>
        <v/>
      </c>
    </row>
    <row r="3238" spans="1:6" x14ac:dyDescent="0.25">
      <c r="A3238" s="140">
        <v>45719.458333333336</v>
      </c>
      <c r="B3238" t="s">
        <v>3603</v>
      </c>
      <c r="C3238" t="s">
        <v>3602</v>
      </c>
      <c r="D3238" s="6" t="str">
        <f>_xlfn.XLOOKUP(B3238,Indices!$A$2:$A$2676,Indices!$B$2:$B$2676,"")</f>
        <v/>
      </c>
      <c r="E3238" t="str">
        <f>_xlfn.XLOOKUP(B3238,'2025-Q1'!$A$402:$A$448,'2025-Q1'!$A$402:$A$448,"avail")</f>
        <v>avail</v>
      </c>
      <c r="F3238" t="str">
        <f>_xlfn.XLOOKUP(B3238,'[2]!! -- Stock Universe 12.11.24'!$C$2:$C$1621,'[2]!! -- Stock Universe 12.11.24'!$E$2:$E$1621,"")</f>
        <v/>
      </c>
    </row>
    <row r="3239" spans="1:6" x14ac:dyDescent="0.25">
      <c r="A3239" s="140">
        <v>45719.458333333336</v>
      </c>
      <c r="B3239" t="s">
        <v>3523</v>
      </c>
      <c r="C3239" t="s">
        <v>3602</v>
      </c>
      <c r="D3239" s="6" t="str">
        <f>_xlfn.XLOOKUP(B3239,Indices!$A$2:$A$2676,Indices!$B$2:$B$2676,"")</f>
        <v/>
      </c>
      <c r="E3239" t="str">
        <f>_xlfn.XLOOKUP(B3239,'2025-Q1'!$A$402:$A$448,'2025-Q1'!$A$402:$A$448,"avail")</f>
        <v>avail</v>
      </c>
      <c r="F3239" t="str">
        <f>_xlfn.XLOOKUP(B3239,'[2]!! -- Stock Universe 12.11.24'!$C$2:$C$1621,'[2]!! -- Stock Universe 12.11.24'!$E$2:$E$1621,"")</f>
        <v/>
      </c>
    </row>
    <row r="3240" spans="1:6" x14ac:dyDescent="0.25">
      <c r="A3240" s="140">
        <v>45719.625</v>
      </c>
      <c r="B3240" t="s">
        <v>1037</v>
      </c>
      <c r="C3240" t="s">
        <v>3604</v>
      </c>
      <c r="D3240" s="6" t="str">
        <f>_xlfn.XLOOKUP(B3240,Indices!$A$2:$A$2676,Indices!$B$2:$B$2676,"")</f>
        <v>IWM</v>
      </c>
      <c r="E3240" t="str">
        <f>_xlfn.XLOOKUP(B3240,'2025-Q1'!$A$402:$A$448,'2025-Q1'!$A$402:$A$448,"avail")</f>
        <v>avail</v>
      </c>
      <c r="F3240" t="str">
        <f>_xlfn.XLOOKUP(B3240,'[2]!! -- Stock Universe 12.11.24'!$C$2:$C$1621,'[2]!! -- Stock Universe 12.11.24'!$E$2:$E$1621,"")</f>
        <v/>
      </c>
    </row>
    <row r="3241" spans="1:6" x14ac:dyDescent="0.25">
      <c r="A3241" s="140">
        <v>45719.625</v>
      </c>
      <c r="B3241" t="s">
        <v>3557</v>
      </c>
      <c r="C3241" t="s">
        <v>3604</v>
      </c>
      <c r="D3241" s="6" t="str">
        <f>_xlfn.XLOOKUP(B3241,Indices!$A$2:$A$2676,Indices!$B$2:$B$2676,"")</f>
        <v/>
      </c>
      <c r="E3241" t="str">
        <f>_xlfn.XLOOKUP(B3241,'2025-Q1'!$A$402:$A$448,'2025-Q1'!$A$402:$A$448,"avail")</f>
        <v>avail</v>
      </c>
      <c r="F3241" t="str">
        <f>_xlfn.XLOOKUP(B3241,'[2]!! -- Stock Universe 12.11.24'!$C$2:$C$1621,'[2]!! -- Stock Universe 12.11.24'!$E$2:$E$1621,"")</f>
        <v/>
      </c>
    </row>
    <row r="3242" spans="1:6" x14ac:dyDescent="0.25">
      <c r="A3242" s="140">
        <v>45719.625</v>
      </c>
      <c r="B3242" t="s">
        <v>3620</v>
      </c>
      <c r="C3242" t="s">
        <v>3604</v>
      </c>
      <c r="D3242" s="6" t="str">
        <f>_xlfn.XLOOKUP(B3242,Indices!$A$2:$A$2676,Indices!$B$2:$B$2676,"")</f>
        <v/>
      </c>
      <c r="E3242" t="str">
        <f>_xlfn.XLOOKUP(B3242,'2025-Q1'!$A$402:$A$448,'2025-Q1'!$A$402:$A$448,"avail")</f>
        <v>avail</v>
      </c>
      <c r="F3242" t="str">
        <f>_xlfn.XLOOKUP(B3242,'[2]!! -- Stock Universe 12.11.24'!$C$2:$C$1621,'[2]!! -- Stock Universe 12.11.24'!$E$2:$E$1621,"")</f>
        <v/>
      </c>
    </row>
    <row r="3243" spans="1:6" x14ac:dyDescent="0.25">
      <c r="A3243" s="140">
        <v>45719.625</v>
      </c>
      <c r="B3243" t="s">
        <v>2304</v>
      </c>
      <c r="C3243" t="s">
        <v>3604</v>
      </c>
      <c r="D3243" s="6" t="str">
        <f>_xlfn.XLOOKUP(B3243,Indices!$A$2:$A$2676,Indices!$B$2:$B$2676,"")</f>
        <v>IWM</v>
      </c>
      <c r="E3243" t="str">
        <f>_xlfn.XLOOKUP(B3243,'2025-Q1'!$A$402:$A$448,'2025-Q1'!$A$402:$A$448,"avail")</f>
        <v>avail</v>
      </c>
      <c r="F3243" t="str">
        <f>_xlfn.XLOOKUP(B3243,'[2]!! -- Stock Universe 12.11.24'!$C$2:$C$1621,'[2]!! -- Stock Universe 12.11.24'!$E$2:$E$1621,"")</f>
        <v/>
      </c>
    </row>
    <row r="3244" spans="1:6" x14ac:dyDescent="0.25">
      <c r="A3244" s="140">
        <v>45719.625</v>
      </c>
      <c r="B3244" t="s">
        <v>3704</v>
      </c>
      <c r="C3244" t="s">
        <v>3604</v>
      </c>
      <c r="D3244" s="6" t="str">
        <f>_xlfn.XLOOKUP(B3244,Indices!$A$2:$A$2676,Indices!$B$2:$B$2676,"")</f>
        <v/>
      </c>
      <c r="E3244" t="str">
        <f>_xlfn.XLOOKUP(B3244,'2025-Q1'!$A$402:$A$448,'2025-Q1'!$A$402:$A$448,"avail")</f>
        <v>avail</v>
      </c>
      <c r="F3244" t="str">
        <f>_xlfn.XLOOKUP(B3244,'[2]!! -- Stock Universe 12.11.24'!$C$2:$C$1621,'[2]!! -- Stock Universe 12.11.24'!$E$2:$E$1621,"")</f>
        <v>Healthcare</v>
      </c>
    </row>
    <row r="3245" spans="1:6" x14ac:dyDescent="0.25">
      <c r="A3245" s="140">
        <v>45719.625</v>
      </c>
      <c r="B3245" t="s">
        <v>3628</v>
      </c>
      <c r="C3245" t="s">
        <v>3604</v>
      </c>
      <c r="D3245" s="6" t="str">
        <f>_xlfn.XLOOKUP(B3245,Indices!$A$2:$A$2676,Indices!$B$2:$B$2676,"")</f>
        <v/>
      </c>
      <c r="E3245" t="str">
        <f>_xlfn.XLOOKUP(B3245,'2025-Q1'!$A$402:$A$448,'2025-Q1'!$A$402:$A$448,"avail")</f>
        <v>avail</v>
      </c>
      <c r="F3245" t="str">
        <f>_xlfn.XLOOKUP(B3245,'[2]!! -- Stock Universe 12.11.24'!$C$2:$C$1621,'[2]!! -- Stock Universe 12.11.24'!$E$2:$E$1621,"")</f>
        <v>Consumer Defensive</v>
      </c>
    </row>
    <row r="3246" spans="1:6" x14ac:dyDescent="0.25">
      <c r="A3246" s="140">
        <v>45719.625</v>
      </c>
      <c r="B3246" t="s">
        <v>3623</v>
      </c>
      <c r="C3246" t="s">
        <v>3604</v>
      </c>
      <c r="D3246" s="6" t="str">
        <f>_xlfn.XLOOKUP(B3246,Indices!$A$2:$A$2676,Indices!$B$2:$B$2676,"")</f>
        <v/>
      </c>
      <c r="E3246" t="str">
        <f>_xlfn.XLOOKUP(B3246,'2025-Q1'!$A$402:$A$448,'2025-Q1'!$A$402:$A$448,"avail")</f>
        <v>avail</v>
      </c>
      <c r="F3246" t="str">
        <f>_xlfn.XLOOKUP(B3246,'[2]!! -- Stock Universe 12.11.24'!$C$2:$C$1621,'[2]!! -- Stock Universe 12.11.24'!$E$2:$E$1621,"")</f>
        <v/>
      </c>
    </row>
    <row r="3247" spans="1:6" x14ac:dyDescent="0.25">
      <c r="A3247" s="140">
        <v>45719.625</v>
      </c>
      <c r="B3247" t="s">
        <v>5639</v>
      </c>
      <c r="C3247" t="s">
        <v>3604</v>
      </c>
      <c r="D3247" s="6" t="str">
        <f>_xlfn.XLOOKUP(B3247,Indices!$A$2:$A$2676,Indices!$B$2:$B$2676,"")</f>
        <v/>
      </c>
      <c r="E3247" t="str">
        <f>_xlfn.XLOOKUP(B3247,'2025-Q1'!$A$402:$A$448,'2025-Q1'!$A$402:$A$448,"avail")</f>
        <v>avail</v>
      </c>
      <c r="F3247" t="str">
        <f>_xlfn.XLOOKUP(B3247,'[2]!! -- Stock Universe 12.11.24'!$C$2:$C$1621,'[2]!! -- Stock Universe 12.11.24'!$E$2:$E$1621,"")</f>
        <v>Financial</v>
      </c>
    </row>
    <row r="3248" spans="1:6" x14ac:dyDescent="0.25">
      <c r="A3248" s="140">
        <v>45719.625</v>
      </c>
      <c r="B3248" t="s">
        <v>2719</v>
      </c>
      <c r="C3248" t="s">
        <v>3604</v>
      </c>
      <c r="D3248" s="6" t="str">
        <f>_xlfn.XLOOKUP(B3248,Indices!$A$2:$A$2676,Indices!$B$2:$B$2676,"")</f>
        <v/>
      </c>
      <c r="E3248" t="str">
        <f>_xlfn.XLOOKUP(B3248,'2025-Q1'!$A$402:$A$448,'2025-Q1'!$A$402:$A$448,"avail")</f>
        <v>avail</v>
      </c>
      <c r="F3248" t="str">
        <f>_xlfn.XLOOKUP(B3248,'[2]!! -- Stock Universe 12.11.24'!$C$2:$C$1621,'[2]!! -- Stock Universe 12.11.24'!$E$2:$E$1621,"")</f>
        <v/>
      </c>
    </row>
    <row r="3249" spans="1:6" x14ac:dyDescent="0.25">
      <c r="A3249" s="140">
        <v>45719.625</v>
      </c>
      <c r="B3249" t="s">
        <v>3697</v>
      </c>
      <c r="C3249" t="s">
        <v>3604</v>
      </c>
      <c r="D3249" s="6" t="str">
        <f>_xlfn.XLOOKUP(B3249,Indices!$A$2:$A$2676,Indices!$B$2:$B$2676,"")</f>
        <v/>
      </c>
      <c r="E3249" t="str">
        <f>_xlfn.XLOOKUP(B3249,'2025-Q1'!$A$402:$A$448,'2025-Q1'!$A$402:$A$448,"avail")</f>
        <v>avail</v>
      </c>
      <c r="F3249" t="str">
        <f>_xlfn.XLOOKUP(B3249,'[2]!! -- Stock Universe 12.11.24'!$C$2:$C$1621,'[2]!! -- Stock Universe 12.11.24'!$E$2:$E$1621,"")</f>
        <v>Consumer Defensive</v>
      </c>
    </row>
    <row r="3250" spans="1:6" x14ac:dyDescent="0.25">
      <c r="A3250" s="140">
        <v>45719.625</v>
      </c>
      <c r="B3250" t="s">
        <v>3532</v>
      </c>
      <c r="C3250" t="s">
        <v>3604</v>
      </c>
      <c r="D3250" s="6" t="str">
        <f>_xlfn.XLOOKUP(B3250,Indices!$A$2:$A$2676,Indices!$B$2:$B$2676,"")</f>
        <v/>
      </c>
      <c r="E3250" t="str">
        <f>_xlfn.XLOOKUP(B3250,'2025-Q1'!$A$402:$A$448,'2025-Q1'!$A$402:$A$448,"avail")</f>
        <v>avail</v>
      </c>
      <c r="F3250" t="str">
        <f>_xlfn.XLOOKUP(B3250,'[2]!! -- Stock Universe 12.11.24'!$C$2:$C$1621,'[2]!! -- Stock Universe 12.11.24'!$E$2:$E$1621,"")</f>
        <v/>
      </c>
    </row>
    <row r="3251" spans="1:6" x14ac:dyDescent="0.25">
      <c r="A3251" s="140">
        <v>45719.625</v>
      </c>
      <c r="B3251" t="s">
        <v>253</v>
      </c>
      <c r="C3251" t="s">
        <v>3604</v>
      </c>
      <c r="D3251" s="6" t="str">
        <f>_xlfn.XLOOKUP(B3251,Indices!$A$2:$A$2676,Indices!$B$2:$B$2676,"")</f>
        <v>IWM</v>
      </c>
      <c r="E3251" t="str">
        <f>_xlfn.XLOOKUP(B3251,'2025-Q1'!$A$402:$A$448,'2025-Q1'!$A$402:$A$448,"avail")</f>
        <v>avail</v>
      </c>
      <c r="F3251" t="str">
        <f>_xlfn.XLOOKUP(B3251,'[2]!! -- Stock Universe 12.11.24'!$C$2:$C$1621,'[2]!! -- Stock Universe 12.11.24'!$E$2:$E$1621,"")</f>
        <v>Energy</v>
      </c>
    </row>
    <row r="3252" spans="1:6" x14ac:dyDescent="0.25">
      <c r="A3252" s="140">
        <v>45719.625</v>
      </c>
      <c r="B3252" t="s">
        <v>1067</v>
      </c>
      <c r="C3252" t="s">
        <v>3604</v>
      </c>
      <c r="D3252" s="6" t="str">
        <f>_xlfn.XLOOKUP(B3252,Indices!$A$2:$A$2676,Indices!$B$2:$B$2676,"")</f>
        <v>IWM</v>
      </c>
      <c r="E3252" t="str">
        <f>_xlfn.XLOOKUP(B3252,'2025-Q1'!$A$402:$A$448,'2025-Q1'!$A$402:$A$448,"avail")</f>
        <v>ASTS</v>
      </c>
      <c r="F3252" t="str">
        <f>_xlfn.XLOOKUP(B3252,'[2]!! -- Stock Universe 12.11.24'!$C$2:$C$1621,'[2]!! -- Stock Universe 12.11.24'!$E$2:$E$1621,"")</f>
        <v>Technology</v>
      </c>
    </row>
    <row r="3253" spans="1:6" x14ac:dyDescent="0.25">
      <c r="A3253" s="140">
        <v>45719.625</v>
      </c>
      <c r="B3253" t="s">
        <v>968</v>
      </c>
      <c r="C3253" t="s">
        <v>3604</v>
      </c>
      <c r="D3253" s="6" t="str">
        <f>_xlfn.XLOOKUP(B3253,Indices!$A$2:$A$2676,Indices!$B$2:$B$2676,"")</f>
        <v>IWM</v>
      </c>
      <c r="E3253" t="str">
        <f>_xlfn.XLOOKUP(B3253,'2025-Q1'!$A$402:$A$448,'2025-Q1'!$A$402:$A$448,"avail")</f>
        <v>avail</v>
      </c>
      <c r="F3253" t="str">
        <f>_xlfn.XLOOKUP(B3253,'[2]!! -- Stock Universe 12.11.24'!$C$2:$C$1621,'[2]!! -- Stock Universe 12.11.24'!$E$2:$E$1621,"")</f>
        <v>Healthcare</v>
      </c>
    </row>
    <row r="3254" spans="1:6" x14ac:dyDescent="0.25">
      <c r="A3254" s="140">
        <v>45719.625</v>
      </c>
      <c r="B3254" t="s">
        <v>3611</v>
      </c>
      <c r="C3254" t="s">
        <v>3604</v>
      </c>
      <c r="D3254" s="6" t="str">
        <f>_xlfn.XLOOKUP(B3254,Indices!$A$2:$A$2676,Indices!$B$2:$B$2676,"")</f>
        <v/>
      </c>
      <c r="E3254" t="str">
        <f>_xlfn.XLOOKUP(B3254,'2025-Q1'!$A$402:$A$448,'2025-Q1'!$A$402:$A$448,"avail")</f>
        <v>avail</v>
      </c>
      <c r="F3254" t="str">
        <f>_xlfn.XLOOKUP(B3254,'[2]!! -- Stock Universe 12.11.24'!$C$2:$C$1621,'[2]!! -- Stock Universe 12.11.24'!$E$2:$E$1621,"")</f>
        <v/>
      </c>
    </row>
    <row r="3255" spans="1:6" x14ac:dyDescent="0.25">
      <c r="A3255" s="140">
        <v>45719.625</v>
      </c>
      <c r="B3255" t="s">
        <v>794</v>
      </c>
      <c r="C3255" t="s">
        <v>3604</v>
      </c>
      <c r="D3255" s="6" t="str">
        <f>_xlfn.XLOOKUP(B3255,Indices!$A$2:$A$2676,Indices!$B$2:$B$2676,"")</f>
        <v>IWM</v>
      </c>
      <c r="E3255" t="str">
        <f>_xlfn.XLOOKUP(B3255,'2025-Q1'!$A$402:$A$448,'2025-Q1'!$A$402:$A$448,"avail")</f>
        <v>avail</v>
      </c>
      <c r="F3255" t="str">
        <f>_xlfn.XLOOKUP(B3255,'[2]!! -- Stock Universe 12.11.24'!$C$2:$C$1621,'[2]!! -- Stock Universe 12.11.24'!$E$2:$E$1621,"")</f>
        <v>Industrials</v>
      </c>
    </row>
    <row r="3256" spans="1:6" x14ac:dyDescent="0.25">
      <c r="A3256" s="140">
        <v>45719.625</v>
      </c>
      <c r="B3256" t="s">
        <v>942</v>
      </c>
      <c r="C3256" t="s">
        <v>3604</v>
      </c>
      <c r="D3256" s="6" t="str">
        <f>_xlfn.XLOOKUP(B3256,Indices!$A$2:$A$2676,Indices!$B$2:$B$2676,"")</f>
        <v>IWM</v>
      </c>
      <c r="E3256" t="str">
        <f>_xlfn.XLOOKUP(B3256,'2025-Q1'!$A$402:$A$448,'2025-Q1'!$A$402:$A$448,"avail")</f>
        <v>avail</v>
      </c>
      <c r="F3256" t="str">
        <f>_xlfn.XLOOKUP(B3256,'[2]!! -- Stock Universe 12.11.24'!$C$2:$C$1621,'[2]!! -- Stock Universe 12.11.24'!$E$2:$E$1621,"")</f>
        <v>Healthcare</v>
      </c>
    </row>
    <row r="3257" spans="1:6" x14ac:dyDescent="0.25">
      <c r="A3257" s="140">
        <v>45719.625</v>
      </c>
      <c r="B3257" t="s">
        <v>4076</v>
      </c>
      <c r="C3257" t="s">
        <v>3604</v>
      </c>
      <c r="D3257" s="6" t="str">
        <f>_xlfn.XLOOKUP(B3257,Indices!$A$2:$A$2676,Indices!$B$2:$B$2676,"")</f>
        <v/>
      </c>
      <c r="E3257" t="str">
        <f>_xlfn.XLOOKUP(B3257,'2025-Q1'!$A$402:$A$448,'2025-Q1'!$A$402:$A$448,"avail")</f>
        <v>avail</v>
      </c>
      <c r="F3257" t="str">
        <f>_xlfn.XLOOKUP(B3257,'[2]!! -- Stock Universe 12.11.24'!$C$2:$C$1621,'[2]!! -- Stock Universe 12.11.24'!$E$2:$E$1621,"")</f>
        <v/>
      </c>
    </row>
    <row r="3258" spans="1:6" x14ac:dyDescent="0.25">
      <c r="A3258" s="140">
        <v>45719.625</v>
      </c>
      <c r="B3258" t="s">
        <v>3607</v>
      </c>
      <c r="C3258" t="s">
        <v>3604</v>
      </c>
      <c r="D3258" s="6" t="str">
        <f>_xlfn.XLOOKUP(B3258,Indices!$A$2:$A$2676,Indices!$B$2:$B$2676,"")</f>
        <v/>
      </c>
      <c r="E3258" t="str">
        <f>_xlfn.XLOOKUP(B3258,'2025-Q1'!$A$402:$A$448,'2025-Q1'!$A$402:$A$448,"avail")</f>
        <v>avail</v>
      </c>
      <c r="F3258" t="str">
        <f>_xlfn.XLOOKUP(B3258,'[2]!! -- Stock Universe 12.11.24'!$C$2:$C$1621,'[2]!! -- Stock Universe 12.11.24'!$E$2:$E$1621,"")</f>
        <v/>
      </c>
    </row>
    <row r="3259" spans="1:6" x14ac:dyDescent="0.25">
      <c r="A3259" s="140">
        <v>45719.625</v>
      </c>
      <c r="B3259" t="s">
        <v>2093</v>
      </c>
      <c r="C3259" t="s">
        <v>3604</v>
      </c>
      <c r="D3259" s="6" t="str">
        <f>_xlfn.XLOOKUP(B3259,Indices!$A$2:$A$2676,Indices!$B$2:$B$2676,"")</f>
        <v>IWM</v>
      </c>
      <c r="E3259" t="str">
        <f>_xlfn.XLOOKUP(B3259,'2025-Q1'!$A$402:$A$448,'2025-Q1'!$A$402:$A$448,"avail")</f>
        <v>avail</v>
      </c>
      <c r="F3259" t="str">
        <f>_xlfn.XLOOKUP(B3259,'[2]!! -- Stock Universe 12.11.24'!$C$2:$C$1621,'[2]!! -- Stock Universe 12.11.24'!$E$2:$E$1621,"")</f>
        <v/>
      </c>
    </row>
    <row r="3260" spans="1:6" x14ac:dyDescent="0.25">
      <c r="A3260" s="140">
        <v>45719.625</v>
      </c>
      <c r="B3260" t="s">
        <v>3605</v>
      </c>
      <c r="C3260" t="s">
        <v>3604</v>
      </c>
      <c r="D3260" s="6" t="str">
        <f>_xlfn.XLOOKUP(B3260,Indices!$A$2:$A$2676,Indices!$B$2:$B$2676,"")</f>
        <v/>
      </c>
      <c r="E3260" t="str">
        <f>_xlfn.XLOOKUP(B3260,'2025-Q1'!$A$402:$A$448,'2025-Q1'!$A$402:$A$448,"avail")</f>
        <v>avail</v>
      </c>
      <c r="F3260" t="str">
        <f>_xlfn.XLOOKUP(B3260,'[2]!! -- Stock Universe 12.11.24'!$C$2:$C$1621,'[2]!! -- Stock Universe 12.11.24'!$E$2:$E$1621,"")</f>
        <v/>
      </c>
    </row>
    <row r="3261" spans="1:6" x14ac:dyDescent="0.25">
      <c r="A3261" s="140">
        <v>45719.625</v>
      </c>
      <c r="B3261" t="s">
        <v>3402</v>
      </c>
      <c r="C3261" t="s">
        <v>3604</v>
      </c>
      <c r="D3261" s="6" t="str">
        <f>_xlfn.XLOOKUP(B3261,Indices!$A$2:$A$2676,Indices!$B$2:$B$2676,"")</f>
        <v/>
      </c>
      <c r="E3261" t="str">
        <f>_xlfn.XLOOKUP(B3261,'2025-Q1'!$A$402:$A$448,'2025-Q1'!$A$402:$A$448,"avail")</f>
        <v>avail</v>
      </c>
      <c r="F3261" t="str">
        <f>_xlfn.XLOOKUP(B3261,'[2]!! -- Stock Universe 12.11.24'!$C$2:$C$1621,'[2]!! -- Stock Universe 12.11.24'!$E$2:$E$1621,"")</f>
        <v>Technology</v>
      </c>
    </row>
    <row r="3262" spans="1:6" x14ac:dyDescent="0.25">
      <c r="A3262" s="140">
        <v>45719.625</v>
      </c>
      <c r="B3262" t="s">
        <v>3518</v>
      </c>
      <c r="C3262" t="s">
        <v>3604</v>
      </c>
      <c r="D3262" s="6" t="str">
        <f>_xlfn.XLOOKUP(B3262,Indices!$A$2:$A$2676,Indices!$B$2:$B$2676,"")</f>
        <v/>
      </c>
      <c r="E3262" t="str">
        <f>_xlfn.XLOOKUP(B3262,'2025-Q1'!$A$402:$A$448,'2025-Q1'!$A$402:$A$448,"avail")</f>
        <v>avail</v>
      </c>
      <c r="F3262" t="str">
        <f>_xlfn.XLOOKUP(B3262,'[2]!! -- Stock Universe 12.11.24'!$C$2:$C$1621,'[2]!! -- Stock Universe 12.11.24'!$E$2:$E$1621,"")</f>
        <v>Healthcare</v>
      </c>
    </row>
    <row r="3263" spans="1:6" x14ac:dyDescent="0.25">
      <c r="A3263" s="140">
        <v>45719.625</v>
      </c>
      <c r="B3263" t="s">
        <v>819</v>
      </c>
      <c r="C3263" t="s">
        <v>3604</v>
      </c>
      <c r="D3263" s="6" t="str">
        <f>_xlfn.XLOOKUP(B3263,Indices!$A$2:$A$2676,Indices!$B$2:$B$2676,"")</f>
        <v>IWM</v>
      </c>
      <c r="E3263" t="str">
        <f>_xlfn.XLOOKUP(B3263,'2025-Q1'!$A$402:$A$448,'2025-Q1'!$A$402:$A$448,"avail")</f>
        <v>avail</v>
      </c>
      <c r="F3263" t="str">
        <f>_xlfn.XLOOKUP(B3263,'[2]!! -- Stock Universe 12.11.24'!$C$2:$C$1621,'[2]!! -- Stock Universe 12.11.24'!$E$2:$E$1621,"")</f>
        <v>Energy</v>
      </c>
    </row>
    <row r="3264" spans="1:6" x14ac:dyDescent="0.25">
      <c r="A3264" s="140">
        <v>45719.625</v>
      </c>
      <c r="B3264" t="s">
        <v>789</v>
      </c>
      <c r="C3264" t="s">
        <v>3604</v>
      </c>
      <c r="D3264" s="6" t="str">
        <f>_xlfn.XLOOKUP(B3264,Indices!$A$2:$A$2676,Indices!$B$2:$B$2676,"")</f>
        <v>IWM</v>
      </c>
      <c r="E3264" t="str">
        <f>_xlfn.XLOOKUP(B3264,'2025-Q1'!$A$402:$A$448,'2025-Q1'!$A$402:$A$448,"avail")</f>
        <v>avail</v>
      </c>
      <c r="F3264" t="str">
        <f>_xlfn.XLOOKUP(B3264,'[2]!! -- Stock Universe 12.11.24'!$C$2:$C$1621,'[2]!! -- Stock Universe 12.11.24'!$E$2:$E$1621,"")</f>
        <v/>
      </c>
    </row>
    <row r="3265" spans="1:6" x14ac:dyDescent="0.25">
      <c r="A3265" s="140">
        <v>45719.625</v>
      </c>
      <c r="B3265" t="s">
        <v>963</v>
      </c>
      <c r="C3265" t="s">
        <v>3604</v>
      </c>
      <c r="D3265" s="6" t="str">
        <f>_xlfn.XLOOKUP(B3265,Indices!$A$2:$A$2676,Indices!$B$2:$B$2676,"")</f>
        <v>IWM</v>
      </c>
      <c r="E3265" t="str">
        <f>_xlfn.XLOOKUP(B3265,'2025-Q1'!$A$402:$A$448,'2025-Q1'!$A$402:$A$448,"avail")</f>
        <v>avail</v>
      </c>
      <c r="F3265" t="str">
        <f>_xlfn.XLOOKUP(B3265,'[2]!! -- Stock Universe 12.11.24'!$C$2:$C$1621,'[2]!! -- Stock Universe 12.11.24'!$E$2:$E$1621,"")</f>
        <v>Technology</v>
      </c>
    </row>
    <row r="3266" spans="1:6" x14ac:dyDescent="0.25">
      <c r="A3266" s="140">
        <v>45719.625</v>
      </c>
      <c r="B3266" t="s">
        <v>648</v>
      </c>
      <c r="C3266" t="s">
        <v>3604</v>
      </c>
      <c r="D3266" s="6" t="str">
        <f>_xlfn.XLOOKUP(B3266,Indices!$A$2:$A$2676,Indices!$B$2:$B$2676,"")</f>
        <v>IWM</v>
      </c>
      <c r="E3266" t="str">
        <f>_xlfn.XLOOKUP(B3266,'2025-Q1'!$A$402:$A$448,'2025-Q1'!$A$402:$A$448,"avail")</f>
        <v>GCT</v>
      </c>
      <c r="F3266" t="str">
        <f>_xlfn.XLOOKUP(B3266,'[2]!! -- Stock Universe 12.11.24'!$C$2:$C$1621,'[2]!! -- Stock Universe 12.11.24'!$E$2:$E$1621,"")</f>
        <v>Technology</v>
      </c>
    </row>
    <row r="3267" spans="1:6" x14ac:dyDescent="0.25">
      <c r="A3267" s="140">
        <v>45719.625</v>
      </c>
      <c r="B3267" t="s">
        <v>2196</v>
      </c>
      <c r="C3267" t="s">
        <v>3604</v>
      </c>
      <c r="D3267" s="6" t="str">
        <f>_xlfn.XLOOKUP(B3267,Indices!$A$2:$A$2676,Indices!$B$2:$B$2676,"")</f>
        <v>IWM</v>
      </c>
      <c r="E3267" t="str">
        <f>_xlfn.XLOOKUP(B3267,'2025-Q1'!$A$402:$A$448,'2025-Q1'!$A$402:$A$448,"avail")</f>
        <v>avail</v>
      </c>
      <c r="F3267" t="str">
        <f>_xlfn.XLOOKUP(B3267,'[2]!! -- Stock Universe 12.11.24'!$C$2:$C$1621,'[2]!! -- Stock Universe 12.11.24'!$E$2:$E$1621,"")</f>
        <v>Healthcare</v>
      </c>
    </row>
    <row r="3268" spans="1:6" x14ac:dyDescent="0.25">
      <c r="A3268" s="140">
        <v>45719.625</v>
      </c>
      <c r="B3268" t="s">
        <v>3498</v>
      </c>
      <c r="C3268" t="s">
        <v>3604</v>
      </c>
      <c r="D3268" s="6" t="str">
        <f>_xlfn.XLOOKUP(B3268,Indices!$A$2:$A$2676,Indices!$B$2:$B$2676,"")</f>
        <v/>
      </c>
      <c r="E3268" t="str">
        <f>_xlfn.XLOOKUP(B3268,'2025-Q1'!$A$402:$A$448,'2025-Q1'!$A$402:$A$448,"avail")</f>
        <v>avail</v>
      </c>
      <c r="F3268" t="str">
        <f>_xlfn.XLOOKUP(B3268,'[2]!! -- Stock Universe 12.11.24'!$C$2:$C$1621,'[2]!! -- Stock Universe 12.11.24'!$E$2:$E$1621,"")</f>
        <v/>
      </c>
    </row>
    <row r="3269" spans="1:6" x14ac:dyDescent="0.25">
      <c r="A3269" s="140">
        <v>45719.625</v>
      </c>
      <c r="B3269" t="s">
        <v>3556</v>
      </c>
      <c r="C3269" t="s">
        <v>3604</v>
      </c>
      <c r="D3269" s="6" t="str">
        <f>_xlfn.XLOOKUP(B3269,Indices!$A$2:$A$2676,Indices!$B$2:$B$2676,"")</f>
        <v/>
      </c>
      <c r="E3269" t="str">
        <f>_xlfn.XLOOKUP(B3269,'2025-Q1'!$A$402:$A$448,'2025-Q1'!$A$402:$A$448,"avail")</f>
        <v>avail</v>
      </c>
      <c r="F3269" t="str">
        <f>_xlfn.XLOOKUP(B3269,'[2]!! -- Stock Universe 12.11.24'!$C$2:$C$1621,'[2]!! -- Stock Universe 12.11.24'!$E$2:$E$1621,"")</f>
        <v/>
      </c>
    </row>
    <row r="3270" spans="1:6" x14ac:dyDescent="0.25">
      <c r="A3270" s="140">
        <v>45719.625</v>
      </c>
      <c r="B3270" t="s">
        <v>70</v>
      </c>
      <c r="C3270" t="s">
        <v>3604</v>
      </c>
      <c r="D3270" s="6" t="str">
        <f>_xlfn.XLOOKUP(B3270,Indices!$A$2:$A$2676,Indices!$B$2:$B$2676,"")</f>
        <v>IWM</v>
      </c>
      <c r="E3270" t="str">
        <f>_xlfn.XLOOKUP(B3270,'2025-Q1'!$A$402:$A$448,'2025-Q1'!$A$402:$A$448,"avail")</f>
        <v>avail</v>
      </c>
      <c r="F3270" t="str">
        <f>_xlfn.XLOOKUP(B3270,'[2]!! -- Stock Universe 12.11.24'!$C$2:$C$1621,'[2]!! -- Stock Universe 12.11.24'!$E$2:$E$1621,"")</f>
        <v/>
      </c>
    </row>
    <row r="3271" spans="1:6" x14ac:dyDescent="0.25">
      <c r="A3271" s="140">
        <v>45719.625</v>
      </c>
      <c r="B3271" t="s">
        <v>3625</v>
      </c>
      <c r="C3271" t="s">
        <v>3604</v>
      </c>
      <c r="D3271" s="6" t="str">
        <f>_xlfn.XLOOKUP(B3271,Indices!$A$2:$A$2676,Indices!$B$2:$B$2676,"")</f>
        <v/>
      </c>
      <c r="E3271" t="str">
        <f>_xlfn.XLOOKUP(B3271,'2025-Q1'!$A$402:$A$448,'2025-Q1'!$A$402:$A$448,"avail")</f>
        <v>avail</v>
      </c>
      <c r="F3271" t="str">
        <f>_xlfn.XLOOKUP(B3271,'[2]!! -- Stock Universe 12.11.24'!$C$2:$C$1621,'[2]!! -- Stock Universe 12.11.24'!$E$2:$E$1621,"")</f>
        <v/>
      </c>
    </row>
    <row r="3272" spans="1:6" x14ac:dyDescent="0.25">
      <c r="A3272" s="140">
        <v>45719.625</v>
      </c>
      <c r="B3272" t="s">
        <v>3609</v>
      </c>
      <c r="C3272" t="s">
        <v>3604</v>
      </c>
      <c r="D3272" s="6" t="str">
        <f>_xlfn.XLOOKUP(B3272,Indices!$A$2:$A$2676,Indices!$B$2:$B$2676,"")</f>
        <v/>
      </c>
      <c r="E3272" t="str">
        <f>_xlfn.XLOOKUP(B3272,'2025-Q1'!$A$402:$A$448,'2025-Q1'!$A$402:$A$448,"avail")</f>
        <v>GTLB</v>
      </c>
      <c r="F3272" t="str">
        <f>_xlfn.XLOOKUP(B3272,'[2]!! -- Stock Universe 12.11.24'!$C$2:$C$1621,'[2]!! -- Stock Universe 12.11.24'!$E$2:$E$1621,"")</f>
        <v>Technology</v>
      </c>
    </row>
    <row r="3273" spans="1:6" x14ac:dyDescent="0.25">
      <c r="A3273" s="140">
        <v>45719.625</v>
      </c>
      <c r="B3273" t="s">
        <v>945</v>
      </c>
      <c r="C3273" t="s">
        <v>3604</v>
      </c>
      <c r="D3273" s="6" t="str">
        <f>_xlfn.XLOOKUP(B3273,Indices!$A$2:$A$2676,Indices!$B$2:$B$2676,"")</f>
        <v>IWM</v>
      </c>
      <c r="E3273" t="str">
        <f>_xlfn.XLOOKUP(B3273,'2025-Q1'!$A$402:$A$448,'2025-Q1'!$A$402:$A$448,"avail")</f>
        <v>avail</v>
      </c>
      <c r="F3273" t="str">
        <f>_xlfn.XLOOKUP(B3273,'[2]!! -- Stock Universe 12.11.24'!$C$2:$C$1621,'[2]!! -- Stock Universe 12.11.24'!$E$2:$E$1621,"")</f>
        <v>Healthcare</v>
      </c>
    </row>
    <row r="3274" spans="1:6" x14ac:dyDescent="0.25">
      <c r="A3274" s="140">
        <v>45719.625</v>
      </c>
      <c r="B3274" t="s">
        <v>4653</v>
      </c>
      <c r="C3274" t="s">
        <v>3604</v>
      </c>
      <c r="D3274" s="6" t="str">
        <f>_xlfn.XLOOKUP(B3274,Indices!$A$2:$A$2676,Indices!$B$2:$B$2676,"")</f>
        <v/>
      </c>
      <c r="E3274" t="str">
        <f>_xlfn.XLOOKUP(B3274,'2025-Q1'!$A$402:$A$448,'2025-Q1'!$A$402:$A$448,"avail")</f>
        <v>avail</v>
      </c>
      <c r="F3274" t="str">
        <f>_xlfn.XLOOKUP(B3274,'[2]!! -- Stock Universe 12.11.24'!$C$2:$C$1621,'[2]!! -- Stock Universe 12.11.24'!$E$2:$E$1621,"")</f>
        <v/>
      </c>
    </row>
    <row r="3275" spans="1:6" x14ac:dyDescent="0.25">
      <c r="A3275" s="140">
        <v>45719.625</v>
      </c>
      <c r="B3275" t="s">
        <v>3610</v>
      </c>
      <c r="C3275" t="s">
        <v>3604</v>
      </c>
      <c r="D3275" s="6" t="str">
        <f>_xlfn.XLOOKUP(B3275,Indices!$A$2:$A$2676,Indices!$B$2:$B$2676,"")</f>
        <v/>
      </c>
      <c r="E3275" t="str">
        <f>_xlfn.XLOOKUP(B3275,'2025-Q1'!$A$402:$A$448,'2025-Q1'!$A$402:$A$448,"avail")</f>
        <v>avail</v>
      </c>
      <c r="F3275" t="str">
        <f>_xlfn.XLOOKUP(B3275,'[2]!! -- Stock Universe 12.11.24'!$C$2:$C$1621,'[2]!! -- Stock Universe 12.11.24'!$E$2:$E$1621,"")</f>
        <v/>
      </c>
    </row>
    <row r="3276" spans="1:6" x14ac:dyDescent="0.25">
      <c r="A3276" s="140">
        <v>45719.625</v>
      </c>
      <c r="B3276" t="s">
        <v>985</v>
      </c>
      <c r="C3276" t="s">
        <v>3604</v>
      </c>
      <c r="D3276" s="6" t="str">
        <f>_xlfn.XLOOKUP(B3276,Indices!$A$2:$A$2676,Indices!$B$2:$B$2676,"")</f>
        <v>IWM</v>
      </c>
      <c r="E3276" t="str">
        <f>_xlfn.XLOOKUP(B3276,'2025-Q1'!$A$402:$A$448,'2025-Q1'!$A$402:$A$448,"avail")</f>
        <v>avail</v>
      </c>
      <c r="F3276" t="str">
        <f>_xlfn.XLOOKUP(B3276,'[2]!! -- Stock Universe 12.11.24'!$C$2:$C$1621,'[2]!! -- Stock Universe 12.11.24'!$E$2:$E$1621,"")</f>
        <v/>
      </c>
    </row>
    <row r="3277" spans="1:6" x14ac:dyDescent="0.25">
      <c r="A3277" s="140">
        <v>45719.625</v>
      </c>
      <c r="B3277" t="s">
        <v>3612</v>
      </c>
      <c r="C3277" t="s">
        <v>3604</v>
      </c>
      <c r="D3277" s="6" t="str">
        <f>_xlfn.XLOOKUP(B3277,Indices!$A$2:$A$2676,Indices!$B$2:$B$2676,"")</f>
        <v/>
      </c>
      <c r="E3277" t="str">
        <f>_xlfn.XLOOKUP(B3277,'2025-Q1'!$A$402:$A$448,'2025-Q1'!$A$402:$A$448,"avail")</f>
        <v>avail</v>
      </c>
      <c r="F3277" t="str">
        <f>_xlfn.XLOOKUP(B3277,'[2]!! -- Stock Universe 12.11.24'!$C$2:$C$1621,'[2]!! -- Stock Universe 12.11.24'!$E$2:$E$1621,"")</f>
        <v>Consumer Cyclical</v>
      </c>
    </row>
    <row r="3278" spans="1:6" x14ac:dyDescent="0.25">
      <c r="A3278" s="140">
        <v>45719.625</v>
      </c>
      <c r="B3278" t="s">
        <v>4190</v>
      </c>
      <c r="C3278" t="s">
        <v>3604</v>
      </c>
      <c r="D3278" s="6" t="str">
        <f>_xlfn.XLOOKUP(B3278,Indices!$A$2:$A$2676,Indices!$B$2:$B$2676,"")</f>
        <v/>
      </c>
      <c r="E3278" t="str">
        <f>_xlfn.XLOOKUP(B3278,'2025-Q1'!$A$402:$A$448,'2025-Q1'!$A$402:$A$448,"avail")</f>
        <v>avail</v>
      </c>
      <c r="F3278" t="str">
        <f>_xlfn.XLOOKUP(B3278,'[2]!! -- Stock Universe 12.11.24'!$C$2:$C$1621,'[2]!! -- Stock Universe 12.11.24'!$E$2:$E$1621,"")</f>
        <v/>
      </c>
    </row>
    <row r="3279" spans="1:6" x14ac:dyDescent="0.25">
      <c r="A3279" s="140">
        <v>45719.625</v>
      </c>
      <c r="B3279" t="s">
        <v>1002</v>
      </c>
      <c r="C3279" t="s">
        <v>3604</v>
      </c>
      <c r="D3279" s="6" t="str">
        <f>_xlfn.XLOOKUP(B3279,Indices!$A$2:$A$2676,Indices!$B$2:$B$2676,"")</f>
        <v>IWM</v>
      </c>
      <c r="E3279" t="str">
        <f>_xlfn.XLOOKUP(B3279,'2025-Q1'!$A$402:$A$448,'2025-Q1'!$A$402:$A$448,"avail")</f>
        <v>avail</v>
      </c>
      <c r="F3279" t="str">
        <f>_xlfn.XLOOKUP(B3279,'[2]!! -- Stock Universe 12.11.24'!$C$2:$C$1621,'[2]!! -- Stock Universe 12.11.24'!$E$2:$E$1621,"")</f>
        <v>Consumer Cyclical</v>
      </c>
    </row>
    <row r="3280" spans="1:6" x14ac:dyDescent="0.25">
      <c r="A3280" s="140">
        <v>45719.625</v>
      </c>
      <c r="B3280" t="s">
        <v>759</v>
      </c>
      <c r="C3280" t="s">
        <v>3604</v>
      </c>
      <c r="D3280" s="6" t="str">
        <f>_xlfn.XLOOKUP(B3280,Indices!$A$2:$A$2676,Indices!$B$2:$B$2676,"")</f>
        <v>IWM</v>
      </c>
      <c r="E3280" t="str">
        <f>_xlfn.XLOOKUP(B3280,'2025-Q1'!$A$402:$A$448,'2025-Q1'!$A$402:$A$448,"avail")</f>
        <v>avail</v>
      </c>
      <c r="F3280" t="str">
        <f>_xlfn.XLOOKUP(B3280,'[2]!! -- Stock Universe 12.11.24'!$C$2:$C$1621,'[2]!! -- Stock Universe 12.11.24'!$E$2:$E$1621,"")</f>
        <v>Healthcare</v>
      </c>
    </row>
    <row r="3281" spans="1:6" x14ac:dyDescent="0.25">
      <c r="A3281" s="140">
        <v>45719.625</v>
      </c>
      <c r="B3281" t="s">
        <v>972</v>
      </c>
      <c r="C3281" t="s">
        <v>3604</v>
      </c>
      <c r="D3281" s="6" t="str">
        <f>_xlfn.XLOOKUP(B3281,Indices!$A$2:$A$2676,Indices!$B$2:$B$2676,"")</f>
        <v>IWM</v>
      </c>
      <c r="E3281" t="str">
        <f>_xlfn.XLOOKUP(B3281,'2025-Q1'!$A$402:$A$448,'2025-Q1'!$A$402:$A$448,"avail")</f>
        <v>avail</v>
      </c>
      <c r="F3281" t="str">
        <f>_xlfn.XLOOKUP(B3281,'[2]!! -- Stock Universe 12.11.24'!$C$2:$C$1621,'[2]!! -- Stock Universe 12.11.24'!$E$2:$E$1621,"")</f>
        <v/>
      </c>
    </row>
    <row r="3282" spans="1:6" x14ac:dyDescent="0.25">
      <c r="A3282" s="140">
        <v>45719.625</v>
      </c>
      <c r="B3282" t="s">
        <v>3617</v>
      </c>
      <c r="C3282" t="s">
        <v>3604</v>
      </c>
      <c r="D3282" s="6" t="str">
        <f>_xlfn.XLOOKUP(B3282,Indices!$A$2:$A$2676,Indices!$B$2:$B$2676,"")</f>
        <v/>
      </c>
      <c r="E3282" t="str">
        <f>_xlfn.XLOOKUP(B3282,'2025-Q1'!$A$402:$A$448,'2025-Q1'!$A$402:$A$448,"avail")</f>
        <v>avail</v>
      </c>
      <c r="F3282" t="str">
        <f>_xlfn.XLOOKUP(B3282,'[2]!! -- Stock Universe 12.11.24'!$C$2:$C$1621,'[2]!! -- Stock Universe 12.11.24'!$E$2:$E$1621,"")</f>
        <v/>
      </c>
    </row>
    <row r="3283" spans="1:6" x14ac:dyDescent="0.25">
      <c r="A3283" s="140">
        <v>45719.625</v>
      </c>
      <c r="B3283" t="s">
        <v>976</v>
      </c>
      <c r="C3283" t="s">
        <v>3604</v>
      </c>
      <c r="D3283" s="6" t="str">
        <f>_xlfn.XLOOKUP(B3283,Indices!$A$2:$A$2676,Indices!$B$2:$B$2676,"")</f>
        <v>IWM</v>
      </c>
      <c r="E3283" t="str">
        <f>_xlfn.XLOOKUP(B3283,'2025-Q1'!$A$402:$A$448,'2025-Q1'!$A$402:$A$448,"avail")</f>
        <v>avail</v>
      </c>
      <c r="F3283" t="str">
        <f>_xlfn.XLOOKUP(B3283,'[2]!! -- Stock Universe 12.11.24'!$C$2:$C$1621,'[2]!! -- Stock Universe 12.11.24'!$E$2:$E$1621,"")</f>
        <v>Technology</v>
      </c>
    </row>
    <row r="3284" spans="1:6" x14ac:dyDescent="0.25">
      <c r="A3284" s="140">
        <v>45719.625</v>
      </c>
      <c r="B3284" t="s">
        <v>149</v>
      </c>
      <c r="C3284" t="s">
        <v>3604</v>
      </c>
      <c r="D3284" s="6" t="str">
        <f>_xlfn.XLOOKUP(B3284,Indices!$A$2:$A$2676,Indices!$B$2:$B$2676,"")</f>
        <v>IWM</v>
      </c>
      <c r="E3284" t="str">
        <f>_xlfn.XLOOKUP(B3284,'2025-Q1'!$A$402:$A$448,'2025-Q1'!$A$402:$A$448,"avail")</f>
        <v>avail</v>
      </c>
      <c r="F3284" t="str">
        <f>_xlfn.XLOOKUP(B3284,'[2]!! -- Stock Universe 12.11.24'!$C$2:$C$1621,'[2]!! -- Stock Universe 12.11.24'!$E$2:$E$1621,"")</f>
        <v/>
      </c>
    </row>
    <row r="3285" spans="1:6" x14ac:dyDescent="0.25">
      <c r="A3285" s="140">
        <v>45719.625</v>
      </c>
      <c r="B3285" t="s">
        <v>3616</v>
      </c>
      <c r="C3285" t="s">
        <v>3604</v>
      </c>
      <c r="D3285" s="6" t="str">
        <f>_xlfn.XLOOKUP(B3285,Indices!$A$2:$A$2676,Indices!$B$2:$B$2676,"")</f>
        <v/>
      </c>
      <c r="E3285" t="str">
        <f>_xlfn.XLOOKUP(B3285,'2025-Q1'!$A$402:$A$448,'2025-Q1'!$A$402:$A$448,"avail")</f>
        <v>avail</v>
      </c>
      <c r="F3285" t="str">
        <f>_xlfn.XLOOKUP(B3285,'[2]!! -- Stock Universe 12.11.24'!$C$2:$C$1621,'[2]!! -- Stock Universe 12.11.24'!$E$2:$E$1621,"")</f>
        <v/>
      </c>
    </row>
    <row r="3286" spans="1:6" x14ac:dyDescent="0.25">
      <c r="A3286" s="140">
        <v>45720.291666666664</v>
      </c>
      <c r="B3286" t="s">
        <v>3759</v>
      </c>
      <c r="C3286" t="s">
        <v>3630</v>
      </c>
      <c r="D3286" s="6" t="str">
        <f>_xlfn.XLOOKUP(B3286,Indices!$A$2:$A$2676,Indices!$B$2:$B$2676,"")</f>
        <v/>
      </c>
      <c r="E3286" t="str">
        <f>_xlfn.XLOOKUP(B3286,'2025-Q1'!$A$402:$A$448,'2025-Q1'!$A$402:$A$448,"avail")</f>
        <v>avail</v>
      </c>
      <c r="F3286" t="str">
        <f>_xlfn.XLOOKUP(B3286,'[2]!! -- Stock Universe 12.11.24'!$C$2:$C$1621,'[2]!! -- Stock Universe 12.11.24'!$E$2:$E$1621,"")</f>
        <v/>
      </c>
    </row>
    <row r="3287" spans="1:6" x14ac:dyDescent="0.25">
      <c r="A3287" s="140">
        <v>45720.291666666664</v>
      </c>
      <c r="B3287" t="s">
        <v>3199</v>
      </c>
      <c r="C3287" t="s">
        <v>3630</v>
      </c>
      <c r="D3287" s="6" t="str">
        <f>_xlfn.XLOOKUP(B3287,Indices!$A$2:$A$2676,Indices!$B$2:$B$2676,"")</f>
        <v/>
      </c>
      <c r="E3287" t="str">
        <f>_xlfn.XLOOKUP(B3287,'2025-Q1'!$A$402:$A$448,'2025-Q1'!$A$402:$A$448,"avail")</f>
        <v>avail</v>
      </c>
      <c r="F3287" t="str">
        <f>_xlfn.XLOOKUP(B3287,'[2]!! -- Stock Universe 12.11.24'!$C$2:$C$1621,'[2]!! -- Stock Universe 12.11.24'!$E$2:$E$1621,"")</f>
        <v>Healthcare</v>
      </c>
    </row>
    <row r="3288" spans="1:6" x14ac:dyDescent="0.25">
      <c r="A3288" s="140">
        <v>45720.291666666664</v>
      </c>
      <c r="B3288" t="s">
        <v>3644</v>
      </c>
      <c r="C3288" t="s">
        <v>3630</v>
      </c>
      <c r="D3288" s="6" t="str">
        <f>_xlfn.XLOOKUP(B3288,Indices!$A$2:$A$2676,Indices!$B$2:$B$2676,"")</f>
        <v/>
      </c>
      <c r="E3288" t="str">
        <f>_xlfn.XLOOKUP(B3288,'2025-Q1'!$A$402:$A$448,'2025-Q1'!$A$402:$A$448,"avail")</f>
        <v>avail</v>
      </c>
      <c r="F3288" t="str">
        <f>_xlfn.XLOOKUP(B3288,'[2]!! -- Stock Universe 12.11.24'!$C$2:$C$1621,'[2]!! -- Stock Universe 12.11.24'!$E$2:$E$1621,"")</f>
        <v>Healthcare</v>
      </c>
    </row>
    <row r="3289" spans="1:6" x14ac:dyDescent="0.25">
      <c r="A3289" s="140">
        <v>45720.291666666664</v>
      </c>
      <c r="B3289" t="s">
        <v>3634</v>
      </c>
      <c r="C3289" t="s">
        <v>3630</v>
      </c>
      <c r="D3289" s="6" t="str">
        <f>_xlfn.XLOOKUP(B3289,Indices!$A$2:$A$2676,Indices!$B$2:$B$2676,"")</f>
        <v/>
      </c>
      <c r="E3289" t="str">
        <f>_xlfn.XLOOKUP(B3289,'2025-Q1'!$A$402:$A$448,'2025-Q1'!$A$402:$A$448,"avail")</f>
        <v>avail</v>
      </c>
      <c r="F3289" t="str">
        <f>_xlfn.XLOOKUP(B3289,'[2]!! -- Stock Universe 12.11.24'!$C$2:$C$1621,'[2]!! -- Stock Universe 12.11.24'!$E$2:$E$1621,"")</f>
        <v/>
      </c>
    </row>
    <row r="3290" spans="1:6" x14ac:dyDescent="0.25">
      <c r="A3290" s="140">
        <v>45720.291666666664</v>
      </c>
      <c r="B3290" t="s">
        <v>567</v>
      </c>
      <c r="C3290" t="s">
        <v>3630</v>
      </c>
      <c r="D3290" s="6" t="str">
        <f>_xlfn.XLOOKUP(B3290,Indices!$A$2:$A$2676,Indices!$B$2:$B$2676,"")</f>
        <v>IWM</v>
      </c>
      <c r="E3290" t="str">
        <f>_xlfn.XLOOKUP(B3290,'2025-Q1'!$A$402:$A$448,'2025-Q1'!$A$402:$A$448,"avail")</f>
        <v>avail</v>
      </c>
      <c r="F3290" t="str">
        <f>_xlfn.XLOOKUP(B3290,'[2]!! -- Stock Universe 12.11.24'!$C$2:$C$1621,'[2]!! -- Stock Universe 12.11.24'!$E$2:$E$1621,"")</f>
        <v>Consumer Cyclical</v>
      </c>
    </row>
    <row r="3291" spans="1:6" x14ac:dyDescent="0.25">
      <c r="A3291" s="140">
        <v>45720.291666666664</v>
      </c>
      <c r="B3291" t="s">
        <v>1254</v>
      </c>
      <c r="C3291" t="s">
        <v>3630</v>
      </c>
      <c r="D3291" s="6" t="str">
        <f>_xlfn.XLOOKUP(B3291,Indices!$A$2:$A$2676,Indices!$B$2:$B$2676,"")</f>
        <v>SP500</v>
      </c>
      <c r="E3291" t="str">
        <f>_xlfn.XLOOKUP(B3291,'2025-Q1'!$A$402:$A$448,'2025-Q1'!$A$402:$A$448,"avail")</f>
        <v>avail</v>
      </c>
      <c r="F3291" t="str">
        <f>_xlfn.XLOOKUP(B3291,'[2]!! -- Stock Universe 12.11.24'!$C$2:$C$1621,'[2]!! -- Stock Universe 12.11.24'!$E$2:$E$1621,"")</f>
        <v/>
      </c>
    </row>
    <row r="3292" spans="1:6" x14ac:dyDescent="0.25">
      <c r="A3292" s="140">
        <v>45720.291666666664</v>
      </c>
      <c r="B3292" t="s">
        <v>4155</v>
      </c>
      <c r="C3292" t="s">
        <v>3630</v>
      </c>
      <c r="D3292" s="6" t="str">
        <f>_xlfn.XLOOKUP(B3292,Indices!$A$2:$A$2676,Indices!$B$2:$B$2676,"")</f>
        <v/>
      </c>
      <c r="E3292" t="str">
        <f>_xlfn.XLOOKUP(B3292,'2025-Q1'!$A$402:$A$448,'2025-Q1'!$A$402:$A$448,"avail")</f>
        <v>avail</v>
      </c>
      <c r="F3292" t="str">
        <f>_xlfn.XLOOKUP(B3292,'[2]!! -- Stock Universe 12.11.24'!$C$2:$C$1621,'[2]!! -- Stock Universe 12.11.24'!$E$2:$E$1621,"")</f>
        <v/>
      </c>
    </row>
    <row r="3293" spans="1:6" x14ac:dyDescent="0.25">
      <c r="A3293" s="140">
        <v>45720.291666666664</v>
      </c>
      <c r="B3293" t="s">
        <v>3695</v>
      </c>
      <c r="C3293" t="s">
        <v>3642</v>
      </c>
      <c r="D3293" s="6" t="str">
        <f>_xlfn.XLOOKUP(B3293,Indices!$A$2:$A$2676,Indices!$B$2:$B$2676,"")</f>
        <v/>
      </c>
      <c r="E3293" t="str">
        <f>_xlfn.XLOOKUP(B3293,'2025-Q1'!$A$402:$A$448,'2025-Q1'!$A$402:$A$448,"avail")</f>
        <v>avail</v>
      </c>
      <c r="F3293" t="str">
        <f>_xlfn.XLOOKUP(B3293,'[2]!! -- Stock Universe 12.11.24'!$C$2:$C$1621,'[2]!! -- Stock Universe 12.11.24'!$E$2:$E$1621,"")</f>
        <v/>
      </c>
    </row>
    <row r="3294" spans="1:6" x14ac:dyDescent="0.25">
      <c r="A3294" s="140">
        <v>45720.291666666664</v>
      </c>
      <c r="B3294" t="s">
        <v>3632</v>
      </c>
      <c r="C3294" t="s">
        <v>3630</v>
      </c>
      <c r="D3294" s="6" t="str">
        <f>_xlfn.XLOOKUP(B3294,Indices!$A$2:$A$2676,Indices!$B$2:$B$2676,"")</f>
        <v/>
      </c>
      <c r="E3294" t="str">
        <f>_xlfn.XLOOKUP(B3294,'2025-Q1'!$A$402:$A$448,'2025-Q1'!$A$402:$A$448,"avail")</f>
        <v>avail</v>
      </c>
      <c r="F3294" t="str">
        <f>_xlfn.XLOOKUP(B3294,'[2]!! -- Stock Universe 12.11.24'!$C$2:$C$1621,'[2]!! -- Stock Universe 12.11.24'!$E$2:$E$1621,"")</f>
        <v/>
      </c>
    </row>
    <row r="3295" spans="1:6" x14ac:dyDescent="0.25">
      <c r="A3295" s="140">
        <v>45720.291666666664</v>
      </c>
      <c r="B3295" t="s">
        <v>1153</v>
      </c>
      <c r="C3295" t="s">
        <v>3630</v>
      </c>
      <c r="D3295" s="6" t="str">
        <f>_xlfn.XLOOKUP(B3295,Indices!$A$2:$A$2676,Indices!$B$2:$B$2676,"")</f>
        <v>SP500</v>
      </c>
      <c r="E3295" t="str">
        <f>_xlfn.XLOOKUP(B3295,'2025-Q1'!$A$402:$A$448,'2025-Q1'!$A$402:$A$448,"avail")</f>
        <v>BBY</v>
      </c>
      <c r="F3295" t="str">
        <f>_xlfn.XLOOKUP(B3295,'[2]!! -- Stock Universe 12.11.24'!$C$2:$C$1621,'[2]!! -- Stock Universe 12.11.24'!$E$2:$E$1621,"")</f>
        <v>Consumer Cyclical</v>
      </c>
    </row>
    <row r="3296" spans="1:6" x14ac:dyDescent="0.25">
      <c r="A3296" s="140">
        <v>45720.291666666664</v>
      </c>
      <c r="B3296" t="s">
        <v>3646</v>
      </c>
      <c r="C3296" t="s">
        <v>3630</v>
      </c>
      <c r="D3296" s="6" t="str">
        <f>_xlfn.XLOOKUP(B3296,Indices!$A$2:$A$2676,Indices!$B$2:$B$2676,"")</f>
        <v/>
      </c>
      <c r="E3296" t="str">
        <f>_xlfn.XLOOKUP(B3296,'2025-Q1'!$A$402:$A$448,'2025-Q1'!$A$402:$A$448,"avail")</f>
        <v>avail</v>
      </c>
      <c r="F3296" t="str">
        <f>_xlfn.XLOOKUP(B3296,'[2]!! -- Stock Universe 12.11.24'!$C$2:$C$1621,'[2]!! -- Stock Universe 12.11.24'!$E$2:$E$1621,"")</f>
        <v/>
      </c>
    </row>
    <row r="3297" spans="1:6" x14ac:dyDescent="0.25">
      <c r="A3297" s="140">
        <v>45720.291666666664</v>
      </c>
      <c r="B3297" t="s">
        <v>3638</v>
      </c>
      <c r="C3297" t="s">
        <v>3630</v>
      </c>
      <c r="D3297" s="6" t="str">
        <f>_xlfn.XLOOKUP(B3297,Indices!$A$2:$A$2676,Indices!$B$2:$B$2676,"")</f>
        <v/>
      </c>
      <c r="E3297" t="str">
        <f>_xlfn.XLOOKUP(B3297,'2025-Q1'!$A$402:$A$448,'2025-Q1'!$A$402:$A$448,"avail")</f>
        <v>avail</v>
      </c>
      <c r="F3297" t="str">
        <f>_xlfn.XLOOKUP(B3297,'[2]!! -- Stock Universe 12.11.24'!$C$2:$C$1621,'[2]!! -- Stock Universe 12.11.24'!$E$2:$E$1621,"")</f>
        <v/>
      </c>
    </row>
    <row r="3298" spans="1:6" x14ac:dyDescent="0.25">
      <c r="A3298" s="140">
        <v>45720.291666666664</v>
      </c>
      <c r="B3298" t="s">
        <v>1180</v>
      </c>
      <c r="C3298" t="s">
        <v>3630</v>
      </c>
      <c r="D3298" s="6" t="str">
        <f>_xlfn.XLOOKUP(B3298,Indices!$A$2:$A$2676,Indices!$B$2:$B$2676,"")</f>
        <v>IWM</v>
      </c>
      <c r="E3298" t="str">
        <f>_xlfn.XLOOKUP(B3298,'2025-Q1'!$A$402:$A$448,'2025-Q1'!$A$402:$A$448,"avail")</f>
        <v>avail</v>
      </c>
      <c r="F3298" t="str">
        <f>_xlfn.XLOOKUP(B3298,'[2]!! -- Stock Universe 12.11.24'!$C$2:$C$1621,'[2]!! -- Stock Universe 12.11.24'!$E$2:$E$1621,"")</f>
        <v/>
      </c>
    </row>
    <row r="3299" spans="1:6" x14ac:dyDescent="0.25">
      <c r="A3299" s="140">
        <v>45720.291666666664</v>
      </c>
      <c r="B3299" t="s">
        <v>3172</v>
      </c>
      <c r="C3299" t="s">
        <v>3630</v>
      </c>
      <c r="D3299" s="6" t="str">
        <f>_xlfn.XLOOKUP(B3299,Indices!$A$2:$A$2676,Indices!$B$2:$B$2676,"")</f>
        <v/>
      </c>
      <c r="E3299" t="str">
        <f>_xlfn.XLOOKUP(B3299,'2025-Q1'!$A$402:$A$448,'2025-Q1'!$A$402:$A$448,"avail")</f>
        <v>avail</v>
      </c>
      <c r="F3299" t="str">
        <f>_xlfn.XLOOKUP(B3299,'[2]!! -- Stock Universe 12.11.24'!$C$2:$C$1621,'[2]!! -- Stock Universe 12.11.24'!$E$2:$E$1621,"")</f>
        <v/>
      </c>
    </row>
    <row r="3300" spans="1:6" x14ac:dyDescent="0.25">
      <c r="A3300" s="140">
        <v>45720.291666666664</v>
      </c>
      <c r="B3300" t="s">
        <v>561</v>
      </c>
      <c r="C3300" t="s">
        <v>3630</v>
      </c>
      <c r="D3300" s="6" t="str">
        <f>_xlfn.XLOOKUP(B3300,Indices!$A$2:$A$2676,Indices!$B$2:$B$2676,"")</f>
        <v>IWM</v>
      </c>
      <c r="E3300" t="str">
        <f>_xlfn.XLOOKUP(B3300,'2025-Q1'!$A$402:$A$448,'2025-Q1'!$A$402:$A$448,"avail")</f>
        <v>avail</v>
      </c>
      <c r="F3300" t="str">
        <f>_xlfn.XLOOKUP(B3300,'[2]!! -- Stock Universe 12.11.24'!$C$2:$C$1621,'[2]!! -- Stock Universe 12.11.24'!$E$2:$E$1621,"")</f>
        <v>Communication Services</v>
      </c>
    </row>
    <row r="3301" spans="1:6" x14ac:dyDescent="0.25">
      <c r="A3301" s="140">
        <v>45720.291666666664</v>
      </c>
      <c r="B3301" t="s">
        <v>3643</v>
      </c>
      <c r="C3301" t="s">
        <v>3642</v>
      </c>
      <c r="D3301" s="6" t="str">
        <f>_xlfn.XLOOKUP(B3301,Indices!$A$2:$A$2676,Indices!$B$2:$B$2676,"")</f>
        <v/>
      </c>
      <c r="E3301" t="str">
        <f>_xlfn.XLOOKUP(B3301,'2025-Q1'!$A$402:$A$448,'2025-Q1'!$A$402:$A$448,"avail")</f>
        <v>avail</v>
      </c>
      <c r="F3301" t="str">
        <f>_xlfn.XLOOKUP(B3301,'[2]!! -- Stock Universe 12.11.24'!$C$2:$C$1621,'[2]!! -- Stock Universe 12.11.24'!$E$2:$E$1621,"")</f>
        <v/>
      </c>
    </row>
    <row r="3302" spans="1:6" x14ac:dyDescent="0.25">
      <c r="A3302" s="140">
        <v>45720.291666666664</v>
      </c>
      <c r="B3302" t="s">
        <v>3893</v>
      </c>
      <c r="C3302" t="s">
        <v>3630</v>
      </c>
      <c r="D3302" s="6" t="str">
        <f>_xlfn.XLOOKUP(B3302,Indices!$A$2:$A$2676,Indices!$B$2:$B$2676,"")</f>
        <v/>
      </c>
      <c r="E3302" t="str">
        <f>_xlfn.XLOOKUP(B3302,'2025-Q1'!$A$402:$A$448,'2025-Q1'!$A$402:$A$448,"avail")</f>
        <v>avail</v>
      </c>
      <c r="F3302" t="str">
        <f>_xlfn.XLOOKUP(B3302,'[2]!! -- Stock Universe 12.11.24'!$C$2:$C$1621,'[2]!! -- Stock Universe 12.11.24'!$E$2:$E$1621,"")</f>
        <v/>
      </c>
    </row>
    <row r="3303" spans="1:6" x14ac:dyDescent="0.25">
      <c r="A3303" s="140">
        <v>45720.291666666664</v>
      </c>
      <c r="B3303" t="s">
        <v>3635</v>
      </c>
      <c r="C3303" t="s">
        <v>3630</v>
      </c>
      <c r="D3303" s="6" t="str">
        <f>_xlfn.XLOOKUP(B3303,Indices!$A$2:$A$2676,Indices!$B$2:$B$2676,"")</f>
        <v/>
      </c>
      <c r="E3303" t="str">
        <f>_xlfn.XLOOKUP(B3303,'2025-Q1'!$A$402:$A$448,'2025-Q1'!$A$402:$A$448,"avail")</f>
        <v>avail</v>
      </c>
      <c r="F3303" t="str">
        <f>_xlfn.XLOOKUP(B3303,'[2]!! -- Stock Universe 12.11.24'!$C$2:$C$1621,'[2]!! -- Stock Universe 12.11.24'!$E$2:$E$1621,"")</f>
        <v/>
      </c>
    </row>
    <row r="3304" spans="1:6" x14ac:dyDescent="0.25">
      <c r="A3304" s="140">
        <v>45720.291666666664</v>
      </c>
      <c r="B3304" t="s">
        <v>905</v>
      </c>
      <c r="C3304" t="s">
        <v>3630</v>
      </c>
      <c r="D3304" s="6" t="str">
        <f>_xlfn.XLOOKUP(B3304,Indices!$A$2:$A$2676,Indices!$B$2:$B$2676,"")</f>
        <v>IWM</v>
      </c>
      <c r="E3304" t="str">
        <f>_xlfn.XLOOKUP(B3304,'2025-Q1'!$A$402:$A$448,'2025-Q1'!$A$402:$A$448,"avail")</f>
        <v>avail</v>
      </c>
      <c r="F3304" t="str">
        <f>_xlfn.XLOOKUP(B3304,'[2]!! -- Stock Universe 12.11.24'!$C$2:$C$1621,'[2]!! -- Stock Universe 12.11.24'!$E$2:$E$1621,"")</f>
        <v>Industrials</v>
      </c>
    </row>
    <row r="3305" spans="1:6" x14ac:dyDescent="0.25">
      <c r="A3305" s="140">
        <v>45720.291666666664</v>
      </c>
      <c r="B3305" t="s">
        <v>3694</v>
      </c>
      <c r="C3305" t="s">
        <v>3642</v>
      </c>
      <c r="D3305" s="6" t="str">
        <f>_xlfn.XLOOKUP(B3305,Indices!$A$2:$A$2676,Indices!$B$2:$B$2676,"")</f>
        <v/>
      </c>
      <c r="E3305" t="str">
        <f>_xlfn.XLOOKUP(B3305,'2025-Q1'!$A$402:$A$448,'2025-Q1'!$A$402:$A$448,"avail")</f>
        <v>avail</v>
      </c>
      <c r="F3305" t="str">
        <f>_xlfn.XLOOKUP(B3305,'[2]!! -- Stock Universe 12.11.24'!$C$2:$C$1621,'[2]!! -- Stock Universe 12.11.24'!$E$2:$E$1621,"")</f>
        <v/>
      </c>
    </row>
    <row r="3306" spans="1:6" x14ac:dyDescent="0.25">
      <c r="A3306" s="140">
        <v>45720.291666666664</v>
      </c>
      <c r="B3306" t="s">
        <v>3645</v>
      </c>
      <c r="C3306" t="s">
        <v>3642</v>
      </c>
      <c r="D3306" s="6" t="str">
        <f>_xlfn.XLOOKUP(B3306,Indices!$A$2:$A$2676,Indices!$B$2:$B$2676,"")</f>
        <v/>
      </c>
      <c r="E3306" t="str">
        <f>_xlfn.XLOOKUP(B3306,'2025-Q1'!$A$402:$A$448,'2025-Q1'!$A$402:$A$448,"avail")</f>
        <v>avail</v>
      </c>
      <c r="F3306" t="str">
        <f>_xlfn.XLOOKUP(B3306,'[2]!! -- Stock Universe 12.11.24'!$C$2:$C$1621,'[2]!! -- Stock Universe 12.11.24'!$E$2:$E$1621,"")</f>
        <v/>
      </c>
    </row>
    <row r="3307" spans="1:6" x14ac:dyDescent="0.25">
      <c r="A3307" s="140">
        <v>45720.291666666664</v>
      </c>
      <c r="B3307" t="s">
        <v>3599</v>
      </c>
      <c r="C3307" t="s">
        <v>3630</v>
      </c>
      <c r="D3307" s="6" t="str">
        <f>_xlfn.XLOOKUP(B3307,Indices!$A$2:$A$2676,Indices!$B$2:$B$2676,"")</f>
        <v/>
      </c>
      <c r="E3307" t="str">
        <f>_xlfn.XLOOKUP(B3307,'2025-Q1'!$A$402:$A$448,'2025-Q1'!$A$402:$A$448,"avail")</f>
        <v>avail</v>
      </c>
      <c r="F3307" t="str">
        <f>_xlfn.XLOOKUP(B3307,'[2]!! -- Stock Universe 12.11.24'!$C$2:$C$1621,'[2]!! -- Stock Universe 12.11.24'!$E$2:$E$1621,"")</f>
        <v/>
      </c>
    </row>
    <row r="3308" spans="1:6" x14ac:dyDescent="0.25">
      <c r="A3308" s="140">
        <v>45720.291666666664</v>
      </c>
      <c r="B3308" t="s">
        <v>913</v>
      </c>
      <c r="C3308" t="s">
        <v>3630</v>
      </c>
      <c r="D3308" s="6" t="str">
        <f>_xlfn.XLOOKUP(B3308,Indices!$A$2:$A$2676,Indices!$B$2:$B$2676,"")</f>
        <v>IWM</v>
      </c>
      <c r="E3308" t="str">
        <f>_xlfn.XLOOKUP(B3308,'2025-Q1'!$A$402:$A$448,'2025-Q1'!$A$402:$A$448,"avail")</f>
        <v>avail</v>
      </c>
      <c r="F3308" t="str">
        <f>_xlfn.XLOOKUP(B3308,'[2]!! -- Stock Universe 12.11.24'!$C$2:$C$1621,'[2]!! -- Stock Universe 12.11.24'!$E$2:$E$1621,"")</f>
        <v>Consumer Cyclical</v>
      </c>
    </row>
    <row r="3309" spans="1:6" x14ac:dyDescent="0.25">
      <c r="A3309" s="140">
        <v>45720.291666666664</v>
      </c>
      <c r="B3309" t="s">
        <v>1102</v>
      </c>
      <c r="C3309" t="s">
        <v>3630</v>
      </c>
      <c r="D3309" s="6" t="str">
        <f>_xlfn.XLOOKUP(B3309,Indices!$A$2:$A$2676,Indices!$B$2:$B$2676,"")</f>
        <v>SP500</v>
      </c>
      <c r="E3309" t="str">
        <f>_xlfn.XLOOKUP(B3309,'2025-Q1'!$A$402:$A$448,'2025-Q1'!$A$402:$A$448,"avail")</f>
        <v>TGT</v>
      </c>
      <c r="F3309" t="str">
        <f>_xlfn.XLOOKUP(B3309,'[2]!! -- Stock Universe 12.11.24'!$C$2:$C$1621,'[2]!! -- Stock Universe 12.11.24'!$E$2:$E$1621,"")</f>
        <v>Consumer Defensive</v>
      </c>
    </row>
    <row r="3310" spans="1:6" x14ac:dyDescent="0.25">
      <c r="A3310" s="140">
        <v>45720.291666666664</v>
      </c>
      <c r="B3310" t="s">
        <v>3595</v>
      </c>
      <c r="C3310" t="s">
        <v>3630</v>
      </c>
      <c r="D3310" s="6" t="str">
        <f>_xlfn.XLOOKUP(B3310,Indices!$A$2:$A$2676,Indices!$B$2:$B$2676,"")</f>
        <v/>
      </c>
      <c r="E3310" t="str">
        <f>_xlfn.XLOOKUP(B3310,'2025-Q1'!$A$402:$A$448,'2025-Q1'!$A$402:$A$448,"avail")</f>
        <v>avail</v>
      </c>
      <c r="F3310" t="str">
        <f>_xlfn.XLOOKUP(B3310,'[2]!! -- Stock Universe 12.11.24'!$C$2:$C$1621,'[2]!! -- Stock Universe 12.11.24'!$E$2:$E$1621,"")</f>
        <v/>
      </c>
    </row>
    <row r="3311" spans="1:6" x14ac:dyDescent="0.25">
      <c r="A3311" s="140">
        <v>45720.291666666664</v>
      </c>
      <c r="B3311" t="s">
        <v>636</v>
      </c>
      <c r="C3311" t="s">
        <v>3630</v>
      </c>
      <c r="D3311" s="6" t="str">
        <f>_xlfn.XLOOKUP(B3311,Indices!$A$2:$A$2676,Indices!$B$2:$B$2676,"")</f>
        <v>IWM</v>
      </c>
      <c r="E3311" t="str">
        <f>_xlfn.XLOOKUP(B3311,'2025-Q1'!$A$402:$A$448,'2025-Q1'!$A$402:$A$448,"avail")</f>
        <v>avail</v>
      </c>
      <c r="F3311" t="str">
        <f>_xlfn.XLOOKUP(B3311,'[2]!! -- Stock Universe 12.11.24'!$C$2:$C$1621,'[2]!! -- Stock Universe 12.11.24'!$E$2:$E$1621,"")</f>
        <v/>
      </c>
    </row>
    <row r="3312" spans="1:6" x14ac:dyDescent="0.25">
      <c r="A3312" s="140">
        <v>45720.291666666664</v>
      </c>
      <c r="B3312" t="s">
        <v>3897</v>
      </c>
      <c r="C3312" t="s">
        <v>3630</v>
      </c>
      <c r="D3312" s="6" t="str">
        <f>_xlfn.XLOOKUP(B3312,Indices!$A$2:$A$2676,Indices!$B$2:$B$2676,"")</f>
        <v/>
      </c>
      <c r="E3312" t="str">
        <f>_xlfn.XLOOKUP(B3312,'2025-Q1'!$A$402:$A$448,'2025-Q1'!$A$402:$A$448,"avail")</f>
        <v>avail</v>
      </c>
      <c r="F3312" t="str">
        <f>_xlfn.XLOOKUP(B3312,'[2]!! -- Stock Universe 12.11.24'!$C$2:$C$1621,'[2]!! -- Stock Universe 12.11.24'!$E$2:$E$1621,"")</f>
        <v/>
      </c>
    </row>
    <row r="3313" spans="1:6" x14ac:dyDescent="0.25">
      <c r="A3313" s="140">
        <v>45720.291666666664</v>
      </c>
      <c r="B3313" t="s">
        <v>897</v>
      </c>
      <c r="C3313" t="s">
        <v>3630</v>
      </c>
      <c r="D3313" s="6" t="str">
        <f>_xlfn.XLOOKUP(B3313,Indices!$A$2:$A$2676,Indices!$B$2:$B$2676,"")</f>
        <v>IWM</v>
      </c>
      <c r="E3313" t="str">
        <f>_xlfn.XLOOKUP(B3313,'2025-Q1'!$A$402:$A$448,'2025-Q1'!$A$402:$A$448,"avail")</f>
        <v>avail</v>
      </c>
      <c r="F3313" t="str">
        <f>_xlfn.XLOOKUP(B3313,'[2]!! -- Stock Universe 12.11.24'!$C$2:$C$1621,'[2]!! -- Stock Universe 12.11.24'!$E$2:$E$1621,"")</f>
        <v/>
      </c>
    </row>
    <row r="3314" spans="1:6" x14ac:dyDescent="0.25">
      <c r="A3314" s="140">
        <v>45720.291666666664</v>
      </c>
      <c r="B3314" t="s">
        <v>2673</v>
      </c>
      <c r="C3314" t="s">
        <v>3630</v>
      </c>
      <c r="D3314" s="6" t="str">
        <f>_xlfn.XLOOKUP(B3314,Indices!$A$2:$A$2676,Indices!$B$2:$B$2676,"")</f>
        <v/>
      </c>
      <c r="E3314" t="str">
        <f>_xlfn.XLOOKUP(B3314,'2025-Q1'!$A$402:$A$448,'2025-Q1'!$A$402:$A$448,"avail")</f>
        <v>avail</v>
      </c>
      <c r="F3314" t="str">
        <f>_xlfn.XLOOKUP(B3314,'[2]!! -- Stock Universe 12.11.24'!$C$2:$C$1621,'[2]!! -- Stock Universe 12.11.24'!$E$2:$E$1621,"")</f>
        <v/>
      </c>
    </row>
    <row r="3315" spans="1:6" x14ac:dyDescent="0.25">
      <c r="A3315" s="140">
        <v>45720.291666666664</v>
      </c>
      <c r="B3315" t="s">
        <v>836</v>
      </c>
      <c r="C3315" t="s">
        <v>3630</v>
      </c>
      <c r="D3315" s="6" t="str">
        <f>_xlfn.XLOOKUP(B3315,Indices!$A$2:$A$2676,Indices!$B$2:$B$2676,"")</f>
        <v>IWM</v>
      </c>
      <c r="E3315" t="str">
        <f>_xlfn.XLOOKUP(B3315,'2025-Q1'!$A$402:$A$448,'2025-Q1'!$A$402:$A$448,"avail")</f>
        <v>avail</v>
      </c>
      <c r="F3315" t="str">
        <f>_xlfn.XLOOKUP(B3315,'[2]!! -- Stock Universe 12.11.24'!$C$2:$C$1621,'[2]!! -- Stock Universe 12.11.24'!$E$2:$E$1621,"")</f>
        <v/>
      </c>
    </row>
    <row r="3316" spans="1:6" x14ac:dyDescent="0.25">
      <c r="A3316" s="140">
        <v>45720.291666666664</v>
      </c>
      <c r="B3316" t="s">
        <v>3651</v>
      </c>
      <c r="C3316" t="s">
        <v>3630</v>
      </c>
      <c r="D3316" s="6" t="str">
        <f>_xlfn.XLOOKUP(B3316,Indices!$A$2:$A$2676,Indices!$B$2:$B$2676,"")</f>
        <v/>
      </c>
      <c r="E3316" t="str">
        <f>_xlfn.XLOOKUP(B3316,'2025-Q1'!$A$402:$A$448,'2025-Q1'!$A$402:$A$448,"avail")</f>
        <v>avail</v>
      </c>
      <c r="F3316" t="str">
        <f>_xlfn.XLOOKUP(B3316,'[2]!! -- Stock Universe 12.11.24'!$C$2:$C$1621,'[2]!! -- Stock Universe 12.11.24'!$E$2:$E$1621,"")</f>
        <v/>
      </c>
    </row>
    <row r="3317" spans="1:6" x14ac:dyDescent="0.25">
      <c r="A3317" s="140">
        <v>45720.291666666664</v>
      </c>
      <c r="B3317" t="s">
        <v>3390</v>
      </c>
      <c r="C3317" t="s">
        <v>3630</v>
      </c>
      <c r="D3317" s="6" t="str">
        <f>_xlfn.XLOOKUP(B3317,Indices!$A$2:$A$2676,Indices!$B$2:$B$2676,"")</f>
        <v/>
      </c>
      <c r="E3317" t="str">
        <f>_xlfn.XLOOKUP(B3317,'2025-Q1'!$A$402:$A$448,'2025-Q1'!$A$402:$A$448,"avail")</f>
        <v>avail</v>
      </c>
      <c r="F3317" t="str">
        <f>_xlfn.XLOOKUP(B3317,'[2]!! -- Stock Universe 12.11.24'!$C$2:$C$1621,'[2]!! -- Stock Universe 12.11.24'!$E$2:$E$1621,"")</f>
        <v/>
      </c>
    </row>
    <row r="3318" spans="1:6" x14ac:dyDescent="0.25">
      <c r="A3318" s="140">
        <v>45720.291666666664</v>
      </c>
      <c r="B3318" t="s">
        <v>3197</v>
      </c>
      <c r="C3318" t="s">
        <v>3630</v>
      </c>
      <c r="D3318" s="6" t="str">
        <f>_xlfn.XLOOKUP(B3318,Indices!$A$2:$A$2676,Indices!$B$2:$B$2676,"")</f>
        <v/>
      </c>
      <c r="E3318" t="str">
        <f>_xlfn.XLOOKUP(B3318,'2025-Q1'!$A$402:$A$448,'2025-Q1'!$A$402:$A$448,"avail")</f>
        <v>avail</v>
      </c>
      <c r="F3318" t="str">
        <f>_xlfn.XLOOKUP(B3318,'[2]!! -- Stock Universe 12.11.24'!$C$2:$C$1621,'[2]!! -- Stock Universe 12.11.24'!$E$2:$E$1621,"")</f>
        <v/>
      </c>
    </row>
    <row r="3319" spans="1:6" x14ac:dyDescent="0.25">
      <c r="A3319" s="140">
        <v>45720.291666666664</v>
      </c>
      <c r="B3319" t="s">
        <v>3517</v>
      </c>
      <c r="C3319" t="s">
        <v>3630</v>
      </c>
      <c r="D3319" s="6" t="str">
        <f>_xlfn.XLOOKUP(B3319,Indices!$A$2:$A$2676,Indices!$B$2:$B$2676,"")</f>
        <v/>
      </c>
      <c r="E3319" t="str">
        <f>_xlfn.XLOOKUP(B3319,'2025-Q1'!$A$402:$A$448,'2025-Q1'!$A$402:$A$448,"avail")</f>
        <v>avail</v>
      </c>
      <c r="F3319" t="str">
        <f>_xlfn.XLOOKUP(B3319,'[2]!! -- Stock Universe 12.11.24'!$C$2:$C$1621,'[2]!! -- Stock Universe 12.11.24'!$E$2:$E$1621,"")</f>
        <v/>
      </c>
    </row>
    <row r="3320" spans="1:6" x14ac:dyDescent="0.25">
      <c r="A3320" s="140">
        <v>45720.291666666664</v>
      </c>
      <c r="B3320" t="s">
        <v>531</v>
      </c>
      <c r="C3320" t="s">
        <v>3630</v>
      </c>
      <c r="D3320" s="6" t="str">
        <f>_xlfn.XLOOKUP(B3320,Indices!$A$2:$A$2676,Indices!$B$2:$B$2676,"")</f>
        <v>IWM</v>
      </c>
      <c r="E3320" t="str">
        <f>_xlfn.XLOOKUP(B3320,'2025-Q1'!$A$402:$A$448,'2025-Q1'!$A$402:$A$448,"avail")</f>
        <v>avail</v>
      </c>
      <c r="F3320" t="str">
        <f>_xlfn.XLOOKUP(B3320,'[2]!! -- Stock Universe 12.11.24'!$C$2:$C$1621,'[2]!! -- Stock Universe 12.11.24'!$E$2:$E$1621,"")</f>
        <v>Healthcare</v>
      </c>
    </row>
    <row r="3321" spans="1:6" x14ac:dyDescent="0.25">
      <c r="A3321" s="140">
        <v>45720.291666666664</v>
      </c>
      <c r="B3321" t="s">
        <v>1013</v>
      </c>
      <c r="C3321" t="s">
        <v>3630</v>
      </c>
      <c r="D3321" s="6" t="str">
        <f>_xlfn.XLOOKUP(B3321,Indices!$A$2:$A$2676,Indices!$B$2:$B$2676,"")</f>
        <v>IWM</v>
      </c>
      <c r="E3321" t="str">
        <f>_xlfn.XLOOKUP(B3321,'2025-Q1'!$A$402:$A$448,'2025-Q1'!$A$402:$A$448,"avail")</f>
        <v>avail</v>
      </c>
      <c r="F3321" t="str">
        <f>_xlfn.XLOOKUP(B3321,'[2]!! -- Stock Universe 12.11.24'!$C$2:$C$1621,'[2]!! -- Stock Universe 12.11.24'!$E$2:$E$1621,"")</f>
        <v/>
      </c>
    </row>
    <row r="3322" spans="1:6" x14ac:dyDescent="0.25">
      <c r="A3322" s="140">
        <v>45720.291666666664</v>
      </c>
      <c r="B3322" t="s">
        <v>926</v>
      </c>
      <c r="C3322" t="s">
        <v>3630</v>
      </c>
      <c r="D3322" s="6" t="str">
        <f>_xlfn.XLOOKUP(B3322,Indices!$A$2:$A$2676,Indices!$B$2:$B$2676,"")</f>
        <v>IWM</v>
      </c>
      <c r="E3322" t="str">
        <f>_xlfn.XLOOKUP(B3322,'2025-Q1'!$A$402:$A$448,'2025-Q1'!$A$402:$A$448,"avail")</f>
        <v>avail</v>
      </c>
      <c r="F3322" t="str">
        <f>_xlfn.XLOOKUP(B3322,'[2]!! -- Stock Universe 12.11.24'!$C$2:$C$1621,'[2]!! -- Stock Universe 12.11.24'!$E$2:$E$1621,"")</f>
        <v/>
      </c>
    </row>
    <row r="3323" spans="1:6" x14ac:dyDescent="0.25">
      <c r="A3323" s="140">
        <v>45720.291666666664</v>
      </c>
      <c r="B3323" t="s">
        <v>2659</v>
      </c>
      <c r="C3323" t="s">
        <v>3630</v>
      </c>
      <c r="D3323" s="6" t="str">
        <f>_xlfn.XLOOKUP(B3323,Indices!$A$2:$A$2676,Indices!$B$2:$B$2676,"")</f>
        <v/>
      </c>
      <c r="E3323" t="str">
        <f>_xlfn.XLOOKUP(B3323,'2025-Q1'!$A$402:$A$448,'2025-Q1'!$A$402:$A$448,"avail")</f>
        <v>avail</v>
      </c>
      <c r="F3323" t="str">
        <f>_xlfn.XLOOKUP(B3323,'[2]!! -- Stock Universe 12.11.24'!$C$2:$C$1621,'[2]!! -- Stock Universe 12.11.24'!$E$2:$E$1621,"")</f>
        <v/>
      </c>
    </row>
    <row r="3324" spans="1:6" x14ac:dyDescent="0.25">
      <c r="A3324" s="140">
        <v>45720.291666666664</v>
      </c>
      <c r="B3324" t="s">
        <v>2875</v>
      </c>
      <c r="C3324" t="s">
        <v>3630</v>
      </c>
      <c r="D3324" s="6" t="str">
        <f>_xlfn.XLOOKUP(B3324,Indices!$A$2:$A$2676,Indices!$B$2:$B$2676,"")</f>
        <v/>
      </c>
      <c r="E3324" t="str">
        <f>_xlfn.XLOOKUP(B3324,'2025-Q1'!$A$402:$A$448,'2025-Q1'!$A$402:$A$448,"avail")</f>
        <v>avail</v>
      </c>
      <c r="F3324" t="str">
        <f>_xlfn.XLOOKUP(B3324,'[2]!! -- Stock Universe 12.11.24'!$C$2:$C$1621,'[2]!! -- Stock Universe 12.11.24'!$E$2:$E$1621,"")</f>
        <v/>
      </c>
    </row>
    <row r="3325" spans="1:6" x14ac:dyDescent="0.25">
      <c r="A3325" s="140">
        <v>45720.291666666664</v>
      </c>
      <c r="B3325" t="s">
        <v>3740</v>
      </c>
      <c r="C3325" t="s">
        <v>3630</v>
      </c>
      <c r="D3325" s="6" t="str">
        <f>_xlfn.XLOOKUP(B3325,Indices!$A$2:$A$2676,Indices!$B$2:$B$2676,"")</f>
        <v/>
      </c>
      <c r="E3325" t="str">
        <f>_xlfn.XLOOKUP(B3325,'2025-Q1'!$A$402:$A$448,'2025-Q1'!$A$402:$A$448,"avail")</f>
        <v>avail</v>
      </c>
      <c r="F3325" t="str">
        <f>_xlfn.XLOOKUP(B3325,'[2]!! -- Stock Universe 12.11.24'!$C$2:$C$1621,'[2]!! -- Stock Universe 12.11.24'!$E$2:$E$1621,"")</f>
        <v/>
      </c>
    </row>
    <row r="3326" spans="1:6" x14ac:dyDescent="0.25">
      <c r="A3326" s="140">
        <v>45720.291666666664</v>
      </c>
      <c r="B3326" t="s">
        <v>3641</v>
      </c>
      <c r="C3326" t="s">
        <v>3642</v>
      </c>
      <c r="D3326" s="6" t="str">
        <f>_xlfn.XLOOKUP(B3326,Indices!$A$2:$A$2676,Indices!$B$2:$B$2676,"")</f>
        <v/>
      </c>
      <c r="E3326" t="str">
        <f>_xlfn.XLOOKUP(B3326,'2025-Q1'!$A$402:$A$448,'2025-Q1'!$A$402:$A$448,"avail")</f>
        <v>avail</v>
      </c>
      <c r="F3326" t="str">
        <f>_xlfn.XLOOKUP(B3326,'[2]!! -- Stock Universe 12.11.24'!$C$2:$C$1621,'[2]!! -- Stock Universe 12.11.24'!$E$2:$E$1621,"")</f>
        <v/>
      </c>
    </row>
    <row r="3327" spans="1:6" x14ac:dyDescent="0.25">
      <c r="A3327" s="140">
        <v>45720.291666666664</v>
      </c>
      <c r="B3327" t="s">
        <v>3886</v>
      </c>
      <c r="C3327" t="s">
        <v>3630</v>
      </c>
      <c r="D3327" s="6" t="str">
        <f>_xlfn.XLOOKUP(B3327,Indices!$A$2:$A$2676,Indices!$B$2:$B$2676,"")</f>
        <v/>
      </c>
      <c r="E3327" t="str">
        <f>_xlfn.XLOOKUP(B3327,'2025-Q1'!$A$402:$A$448,'2025-Q1'!$A$402:$A$448,"avail")</f>
        <v>avail</v>
      </c>
      <c r="F3327" t="str">
        <f>_xlfn.XLOOKUP(B3327,'[2]!! -- Stock Universe 12.11.24'!$C$2:$C$1621,'[2]!! -- Stock Universe 12.11.24'!$E$2:$E$1621,"")</f>
        <v/>
      </c>
    </row>
    <row r="3328" spans="1:6" x14ac:dyDescent="0.25">
      <c r="A3328" s="140">
        <v>45720.291666666664</v>
      </c>
      <c r="B3328" t="s">
        <v>3882</v>
      </c>
      <c r="C3328" t="s">
        <v>3630</v>
      </c>
      <c r="D3328" s="6" t="str">
        <f>_xlfn.XLOOKUP(B3328,Indices!$A$2:$A$2676,Indices!$B$2:$B$2676,"")</f>
        <v/>
      </c>
      <c r="E3328" t="str">
        <f>_xlfn.XLOOKUP(B3328,'2025-Q1'!$A$402:$A$448,'2025-Q1'!$A$402:$A$448,"avail")</f>
        <v>avail</v>
      </c>
      <c r="F3328" t="str">
        <f>_xlfn.XLOOKUP(B3328,'[2]!! -- Stock Universe 12.11.24'!$C$2:$C$1621,'[2]!! -- Stock Universe 12.11.24'!$E$2:$E$1621,"")</f>
        <v/>
      </c>
    </row>
    <row r="3329" spans="1:6" x14ac:dyDescent="0.25">
      <c r="A3329" s="140">
        <v>45720.291666666664</v>
      </c>
      <c r="B3329" t="s">
        <v>3304</v>
      </c>
      <c r="C3329" t="s">
        <v>3630</v>
      </c>
      <c r="D3329" s="6" t="str">
        <f>_xlfn.XLOOKUP(B3329,Indices!$A$2:$A$2676,Indices!$B$2:$B$2676,"")</f>
        <v/>
      </c>
      <c r="E3329" t="str">
        <f>_xlfn.XLOOKUP(B3329,'2025-Q1'!$A$402:$A$448,'2025-Q1'!$A$402:$A$448,"avail")</f>
        <v>avail</v>
      </c>
      <c r="F3329" t="str">
        <f>_xlfn.XLOOKUP(B3329,'[2]!! -- Stock Universe 12.11.24'!$C$2:$C$1621,'[2]!! -- Stock Universe 12.11.24'!$E$2:$E$1621,"")</f>
        <v/>
      </c>
    </row>
    <row r="3330" spans="1:6" x14ac:dyDescent="0.25">
      <c r="A3330" s="140">
        <v>45720.291666666664</v>
      </c>
      <c r="B3330" t="s">
        <v>212</v>
      </c>
      <c r="C3330" t="s">
        <v>3630</v>
      </c>
      <c r="D3330" s="6" t="str">
        <f>_xlfn.XLOOKUP(B3330,Indices!$A$2:$A$2676,Indices!$B$2:$B$2676,"")</f>
        <v>IWM</v>
      </c>
      <c r="E3330" t="str">
        <f>_xlfn.XLOOKUP(B3330,'2025-Q1'!$A$402:$A$448,'2025-Q1'!$A$402:$A$448,"avail")</f>
        <v>avail</v>
      </c>
      <c r="F3330" t="str">
        <f>_xlfn.XLOOKUP(B3330,'[2]!! -- Stock Universe 12.11.24'!$C$2:$C$1621,'[2]!! -- Stock Universe 12.11.24'!$E$2:$E$1621,"")</f>
        <v/>
      </c>
    </row>
    <row r="3331" spans="1:6" x14ac:dyDescent="0.25">
      <c r="A3331" s="140">
        <v>45720.291666666664</v>
      </c>
      <c r="B3331" t="s">
        <v>3636</v>
      </c>
      <c r="C3331" t="s">
        <v>3630</v>
      </c>
      <c r="D3331" s="6" t="str">
        <f>_xlfn.XLOOKUP(B3331,Indices!$A$2:$A$2676,Indices!$B$2:$B$2676,"")</f>
        <v/>
      </c>
      <c r="E3331" t="str">
        <f>_xlfn.XLOOKUP(B3331,'2025-Q1'!$A$402:$A$448,'2025-Q1'!$A$402:$A$448,"avail")</f>
        <v>avail</v>
      </c>
      <c r="F3331" t="str">
        <f>_xlfn.XLOOKUP(B3331,'[2]!! -- Stock Universe 12.11.24'!$C$2:$C$1621,'[2]!! -- Stock Universe 12.11.24'!$E$2:$E$1621,"")</f>
        <v/>
      </c>
    </row>
    <row r="3332" spans="1:6" x14ac:dyDescent="0.25">
      <c r="A3332" s="140">
        <v>45720.458333333336</v>
      </c>
      <c r="B3332" t="s">
        <v>4949</v>
      </c>
      <c r="C3332" t="s">
        <v>4950</v>
      </c>
      <c r="D3332" s="6" t="str">
        <f>_xlfn.XLOOKUP(B3332,Indices!$A$2:$A$2676,Indices!$B$2:$B$2676,"")</f>
        <v/>
      </c>
      <c r="E3332" t="str">
        <f>_xlfn.XLOOKUP(B3332,'2025-Q1'!$A$402:$A$448,'2025-Q1'!$A$402:$A$448,"avail")</f>
        <v>avail</v>
      </c>
      <c r="F3332" t="str">
        <f>_xlfn.XLOOKUP(B3332,'[2]!! -- Stock Universe 12.11.24'!$C$2:$C$1621,'[2]!! -- Stock Universe 12.11.24'!$E$2:$E$1621,"")</f>
        <v/>
      </c>
    </row>
    <row r="3333" spans="1:6" x14ac:dyDescent="0.25">
      <c r="A3333" s="140">
        <v>45720.625</v>
      </c>
      <c r="B3333" t="s">
        <v>1159</v>
      </c>
      <c r="C3333" t="s">
        <v>3653</v>
      </c>
      <c r="D3333" s="6" t="str">
        <f>_xlfn.XLOOKUP(B3333,Indices!$A$2:$A$2676,Indices!$B$2:$B$2676,"")</f>
        <v>S&amp;P Mid</v>
      </c>
      <c r="E3333" t="str">
        <f>_xlfn.XLOOKUP(B3333,'2025-Q1'!$A$402:$A$448,'2025-Q1'!$A$402:$A$448,"avail")</f>
        <v>avail</v>
      </c>
      <c r="F3333" t="str">
        <f>_xlfn.XLOOKUP(B3333,'[2]!! -- Stock Universe 12.11.24'!$C$2:$C$1621,'[2]!! -- Stock Universe 12.11.24'!$E$2:$E$1621,"")</f>
        <v>Consumer Cyclical</v>
      </c>
    </row>
    <row r="3334" spans="1:6" x14ac:dyDescent="0.25">
      <c r="A3334" s="140">
        <v>45720.625</v>
      </c>
      <c r="B3334" t="s">
        <v>2221</v>
      </c>
      <c r="C3334" t="s">
        <v>3653</v>
      </c>
      <c r="D3334" s="6" t="str">
        <f>_xlfn.XLOOKUP(B3334,Indices!$A$2:$A$2676,Indices!$B$2:$B$2676,"")</f>
        <v>IWM</v>
      </c>
      <c r="E3334" t="str">
        <f>_xlfn.XLOOKUP(B3334,'2025-Q1'!$A$402:$A$448,'2025-Q1'!$A$402:$A$448,"avail")</f>
        <v>avail</v>
      </c>
      <c r="F3334" t="str">
        <f>_xlfn.XLOOKUP(B3334,'[2]!! -- Stock Universe 12.11.24'!$C$2:$C$1621,'[2]!! -- Stock Universe 12.11.24'!$E$2:$E$1621,"")</f>
        <v>Consumer Defensive</v>
      </c>
    </row>
    <row r="3335" spans="1:6" x14ac:dyDescent="0.25">
      <c r="A3335" s="140">
        <v>45720.625</v>
      </c>
      <c r="B3335" t="s">
        <v>230</v>
      </c>
      <c r="C3335" t="s">
        <v>3653</v>
      </c>
      <c r="D3335" s="6" t="str">
        <f>_xlfn.XLOOKUP(B3335,Indices!$A$2:$A$2676,Indices!$B$2:$B$2676,"")</f>
        <v>IWM</v>
      </c>
      <c r="E3335" t="str">
        <f>_xlfn.XLOOKUP(B3335,'2025-Q1'!$A$402:$A$448,'2025-Q1'!$A$402:$A$448,"avail")</f>
        <v>avail</v>
      </c>
      <c r="F3335" t="str">
        <f>_xlfn.XLOOKUP(B3335,'[2]!! -- Stock Universe 12.11.24'!$C$2:$C$1621,'[2]!! -- Stock Universe 12.11.24'!$E$2:$E$1621,"")</f>
        <v>Industrials</v>
      </c>
    </row>
    <row r="3336" spans="1:6" x14ac:dyDescent="0.25">
      <c r="A3336" s="140">
        <v>45720.625</v>
      </c>
      <c r="B3336" t="s">
        <v>1178</v>
      </c>
      <c r="C3336" t="s">
        <v>3653</v>
      </c>
      <c r="D3336" s="6" t="str">
        <f>_xlfn.XLOOKUP(B3336,Indices!$A$2:$A$2676,Indices!$B$2:$B$2676,"")</f>
        <v>IWM</v>
      </c>
      <c r="E3336" t="str">
        <f>_xlfn.XLOOKUP(B3336,'2025-Q1'!$A$402:$A$448,'2025-Q1'!$A$402:$A$448,"avail")</f>
        <v>avail</v>
      </c>
      <c r="F3336" t="str">
        <f>_xlfn.XLOOKUP(B3336,'[2]!! -- Stock Universe 12.11.24'!$C$2:$C$1621,'[2]!! -- Stock Universe 12.11.24'!$E$2:$E$1621,"")</f>
        <v/>
      </c>
    </row>
    <row r="3337" spans="1:6" x14ac:dyDescent="0.25">
      <c r="A3337" s="140">
        <v>45720.625</v>
      </c>
      <c r="B3337" t="s">
        <v>244</v>
      </c>
      <c r="C3337" t="s">
        <v>3653</v>
      </c>
      <c r="D3337" s="6" t="str">
        <f>_xlfn.XLOOKUP(B3337,Indices!$A$2:$A$2676,Indices!$B$2:$B$2676,"")</f>
        <v>IWM</v>
      </c>
      <c r="E3337" t="str">
        <f>_xlfn.XLOOKUP(B3337,'2025-Q1'!$A$402:$A$448,'2025-Q1'!$A$402:$A$448,"avail")</f>
        <v>avail</v>
      </c>
      <c r="F3337" t="str">
        <f>_xlfn.XLOOKUP(B3337,'[2]!! -- Stock Universe 12.11.24'!$C$2:$C$1621,'[2]!! -- Stock Universe 12.11.24'!$E$2:$E$1621,"")</f>
        <v/>
      </c>
    </row>
    <row r="3338" spans="1:6" x14ac:dyDescent="0.25">
      <c r="A3338" s="140">
        <v>45720.625</v>
      </c>
      <c r="B3338" t="s">
        <v>227</v>
      </c>
      <c r="C3338" t="s">
        <v>3653</v>
      </c>
      <c r="D3338" s="6" t="str">
        <f>_xlfn.XLOOKUP(B3338,Indices!$A$2:$A$2676,Indices!$B$2:$B$2676,"")</f>
        <v>IWM</v>
      </c>
      <c r="E3338" t="str">
        <f>_xlfn.XLOOKUP(B3338,'2025-Q1'!$A$402:$A$448,'2025-Q1'!$A$402:$A$448,"avail")</f>
        <v>avail</v>
      </c>
      <c r="F3338" t="str">
        <f>_xlfn.XLOOKUP(B3338,'[2]!! -- Stock Universe 12.11.24'!$C$2:$C$1621,'[2]!! -- Stock Universe 12.11.24'!$E$2:$E$1621,"")</f>
        <v>Technology</v>
      </c>
    </row>
    <row r="3339" spans="1:6" x14ac:dyDescent="0.25">
      <c r="A3339" s="140">
        <v>45720.625</v>
      </c>
      <c r="B3339" t="s">
        <v>1203</v>
      </c>
      <c r="C3339" t="s">
        <v>3653</v>
      </c>
      <c r="D3339" s="6" t="str">
        <f>_xlfn.XLOOKUP(B3339,Indices!$A$2:$A$2676,Indices!$B$2:$B$2676,"")</f>
        <v>IWM</v>
      </c>
      <c r="E3339" t="str">
        <f>_xlfn.XLOOKUP(B3339,'2025-Q1'!$A$402:$A$448,'2025-Q1'!$A$402:$A$448,"avail")</f>
        <v>avail</v>
      </c>
      <c r="F3339" t="str">
        <f>_xlfn.XLOOKUP(B3339,'[2]!! -- Stock Universe 12.11.24'!$C$2:$C$1621,'[2]!! -- Stock Universe 12.11.24'!$E$2:$E$1621,"")</f>
        <v/>
      </c>
    </row>
    <row r="3340" spans="1:6" x14ac:dyDescent="0.25">
      <c r="A3340" s="140">
        <v>45720.625</v>
      </c>
      <c r="B3340" t="s">
        <v>822</v>
      </c>
      <c r="C3340" t="s">
        <v>3653</v>
      </c>
      <c r="D3340" s="6" t="str">
        <f>_xlfn.XLOOKUP(B3340,Indices!$A$2:$A$2676,Indices!$B$2:$B$2676,"")</f>
        <v>IWM</v>
      </c>
      <c r="E3340" t="str">
        <f>_xlfn.XLOOKUP(B3340,'2025-Q1'!$A$402:$A$448,'2025-Q1'!$A$402:$A$448,"avail")</f>
        <v>avail</v>
      </c>
      <c r="F3340" t="str">
        <f>_xlfn.XLOOKUP(B3340,'[2]!! -- Stock Universe 12.11.24'!$C$2:$C$1621,'[2]!! -- Stock Universe 12.11.24'!$E$2:$E$1621,"")</f>
        <v/>
      </c>
    </row>
    <row r="3341" spans="1:6" x14ac:dyDescent="0.25">
      <c r="A3341" s="140">
        <v>45720.625</v>
      </c>
      <c r="B3341" t="s">
        <v>1208</v>
      </c>
      <c r="C3341" t="s">
        <v>3653</v>
      </c>
      <c r="D3341" s="6" t="str">
        <f>_xlfn.XLOOKUP(B3341,Indices!$A$2:$A$2676,Indices!$B$2:$B$2676,"")</f>
        <v>IWM</v>
      </c>
      <c r="E3341" t="str">
        <f>_xlfn.XLOOKUP(B3341,'2025-Q1'!$A$402:$A$448,'2025-Q1'!$A$402:$A$448,"avail")</f>
        <v>avail</v>
      </c>
      <c r="F3341" t="str">
        <f>_xlfn.XLOOKUP(B3341,'[2]!! -- Stock Universe 12.11.24'!$C$2:$C$1621,'[2]!! -- Stock Universe 12.11.24'!$E$2:$E$1621,"")</f>
        <v/>
      </c>
    </row>
    <row r="3342" spans="1:6" x14ac:dyDescent="0.25">
      <c r="A3342" s="140">
        <v>45720.625</v>
      </c>
      <c r="B3342" t="s">
        <v>238</v>
      </c>
      <c r="C3342" t="s">
        <v>3653</v>
      </c>
      <c r="D3342" s="6" t="str">
        <f>_xlfn.XLOOKUP(B3342,Indices!$A$2:$A$2676,Indices!$B$2:$B$2676,"")</f>
        <v>IWM</v>
      </c>
      <c r="E3342" t="str">
        <f>_xlfn.XLOOKUP(B3342,'2025-Q1'!$A$402:$A$448,'2025-Q1'!$A$402:$A$448,"avail")</f>
        <v>avail</v>
      </c>
      <c r="F3342" t="str">
        <f>_xlfn.XLOOKUP(B3342,'[2]!! -- Stock Universe 12.11.24'!$C$2:$C$1621,'[2]!! -- Stock Universe 12.11.24'!$E$2:$E$1621,"")</f>
        <v/>
      </c>
    </row>
    <row r="3343" spans="1:6" x14ac:dyDescent="0.25">
      <c r="A3343" s="140">
        <v>45720.625</v>
      </c>
      <c r="B3343" t="s">
        <v>661</v>
      </c>
      <c r="C3343" t="s">
        <v>3653</v>
      </c>
      <c r="D3343" s="6" t="str">
        <f>_xlfn.XLOOKUP(B3343,Indices!$A$2:$A$2676,Indices!$B$2:$B$2676,"")</f>
        <v>IWM</v>
      </c>
      <c r="E3343" t="str">
        <f>_xlfn.XLOOKUP(B3343,'2025-Q1'!$A$402:$A$448,'2025-Q1'!$A$402:$A$448,"avail")</f>
        <v>avail</v>
      </c>
      <c r="F3343" t="str">
        <f>_xlfn.XLOOKUP(B3343,'[2]!! -- Stock Universe 12.11.24'!$C$2:$C$1621,'[2]!! -- Stock Universe 12.11.24'!$E$2:$E$1621,"")</f>
        <v/>
      </c>
    </row>
    <row r="3344" spans="1:6" x14ac:dyDescent="0.25">
      <c r="A3344" s="140">
        <v>45720.625</v>
      </c>
      <c r="B3344" t="s">
        <v>3431</v>
      </c>
      <c r="C3344" t="s">
        <v>3653</v>
      </c>
      <c r="D3344" s="6" t="str">
        <f>_xlfn.XLOOKUP(B3344,Indices!$A$2:$A$2676,Indices!$B$2:$B$2676,"")</f>
        <v/>
      </c>
      <c r="E3344" t="str">
        <f>_xlfn.XLOOKUP(B3344,'2025-Q1'!$A$402:$A$448,'2025-Q1'!$A$402:$A$448,"avail")</f>
        <v>avail</v>
      </c>
      <c r="F3344" t="str">
        <f>_xlfn.XLOOKUP(B3344,'[2]!! -- Stock Universe 12.11.24'!$C$2:$C$1621,'[2]!! -- Stock Universe 12.11.24'!$E$2:$E$1621,"")</f>
        <v/>
      </c>
    </row>
    <row r="3345" spans="1:6" x14ac:dyDescent="0.25">
      <c r="A3345" s="140">
        <v>45720.625</v>
      </c>
      <c r="B3345" t="s">
        <v>3341</v>
      </c>
      <c r="C3345" t="s">
        <v>3653</v>
      </c>
      <c r="D3345" s="6" t="str">
        <f>_xlfn.XLOOKUP(B3345,Indices!$A$2:$A$2676,Indices!$B$2:$B$2676,"")</f>
        <v/>
      </c>
      <c r="E3345" t="str">
        <f>_xlfn.XLOOKUP(B3345,'2025-Q1'!$A$402:$A$448,'2025-Q1'!$A$402:$A$448,"avail")</f>
        <v>avail</v>
      </c>
      <c r="F3345" t="str">
        <f>_xlfn.XLOOKUP(B3345,'[2]!! -- Stock Universe 12.11.24'!$C$2:$C$1621,'[2]!! -- Stock Universe 12.11.24'!$E$2:$E$1621,"")</f>
        <v/>
      </c>
    </row>
    <row r="3346" spans="1:6" x14ac:dyDescent="0.25">
      <c r="A3346" s="140">
        <v>45720.625</v>
      </c>
      <c r="B3346" t="s">
        <v>3932</v>
      </c>
      <c r="C3346" t="s">
        <v>3653</v>
      </c>
      <c r="D3346" s="6" t="str">
        <f>_xlfn.XLOOKUP(B3346,Indices!$A$2:$A$2676,Indices!$B$2:$B$2676,"")</f>
        <v/>
      </c>
      <c r="E3346" t="str">
        <f>_xlfn.XLOOKUP(B3346,'2025-Q1'!$A$402:$A$448,'2025-Q1'!$A$402:$A$448,"avail")</f>
        <v>avail</v>
      </c>
      <c r="F3346" t="str">
        <f>_xlfn.XLOOKUP(B3346,'[2]!! -- Stock Universe 12.11.24'!$C$2:$C$1621,'[2]!! -- Stock Universe 12.11.24'!$E$2:$E$1621,"")</f>
        <v/>
      </c>
    </row>
    <row r="3347" spans="1:6" x14ac:dyDescent="0.25">
      <c r="A3347" s="140">
        <v>45720.625</v>
      </c>
      <c r="B3347" t="s">
        <v>1086</v>
      </c>
      <c r="C3347" t="s">
        <v>3653</v>
      </c>
      <c r="D3347" s="6" t="str">
        <f>_xlfn.XLOOKUP(B3347,Indices!$A$2:$A$2676,Indices!$B$2:$B$2676,"")</f>
        <v/>
      </c>
      <c r="E3347" t="str">
        <f>_xlfn.XLOOKUP(B3347,'2025-Q1'!$A$402:$A$448,'2025-Q1'!$A$402:$A$448,"avail")</f>
        <v>avail</v>
      </c>
      <c r="F3347" t="str">
        <f>_xlfn.XLOOKUP(B3347,'[2]!! -- Stock Universe 12.11.24'!$C$2:$C$1621,'[2]!! -- Stock Universe 12.11.24'!$E$2:$E$1621,"")</f>
        <v/>
      </c>
    </row>
    <row r="3348" spans="1:6" x14ac:dyDescent="0.25">
      <c r="A3348" s="140">
        <v>45720.625</v>
      </c>
      <c r="B3348" t="s">
        <v>3340</v>
      </c>
      <c r="C3348" t="s">
        <v>3653</v>
      </c>
      <c r="D3348" s="6" t="str">
        <f>_xlfn.XLOOKUP(B3348,Indices!$A$2:$A$2676,Indices!$B$2:$B$2676,"")</f>
        <v/>
      </c>
      <c r="E3348" t="str">
        <f>_xlfn.XLOOKUP(B3348,'2025-Q1'!$A$402:$A$448,'2025-Q1'!$A$402:$A$448,"avail")</f>
        <v>avail</v>
      </c>
      <c r="F3348" t="str">
        <f>_xlfn.XLOOKUP(B3348,'[2]!! -- Stock Universe 12.11.24'!$C$2:$C$1621,'[2]!! -- Stock Universe 12.11.24'!$E$2:$E$1621,"")</f>
        <v/>
      </c>
    </row>
    <row r="3349" spans="1:6" x14ac:dyDescent="0.25">
      <c r="A3349" s="140">
        <v>45720.625</v>
      </c>
      <c r="B3349" t="s">
        <v>3567</v>
      </c>
      <c r="C3349" t="s">
        <v>3653</v>
      </c>
      <c r="D3349" s="6" t="str">
        <f>_xlfn.XLOOKUP(B3349,Indices!$A$2:$A$2676,Indices!$B$2:$B$2676,"")</f>
        <v/>
      </c>
      <c r="E3349" t="str">
        <f>_xlfn.XLOOKUP(B3349,'2025-Q1'!$A$402:$A$448,'2025-Q1'!$A$402:$A$448,"avail")</f>
        <v>avail</v>
      </c>
      <c r="F3349" t="str">
        <f>_xlfn.XLOOKUP(B3349,'[2]!! -- Stock Universe 12.11.24'!$C$2:$C$1621,'[2]!! -- Stock Universe 12.11.24'!$E$2:$E$1621,"")</f>
        <v/>
      </c>
    </row>
    <row r="3350" spans="1:6" x14ac:dyDescent="0.25">
      <c r="A3350" s="140">
        <v>45720.625</v>
      </c>
      <c r="B3350" t="s">
        <v>4176</v>
      </c>
      <c r="C3350" t="s">
        <v>3653</v>
      </c>
      <c r="D3350" s="6" t="str">
        <f>_xlfn.XLOOKUP(B3350,Indices!$A$2:$A$2676,Indices!$B$2:$B$2676,"")</f>
        <v/>
      </c>
      <c r="E3350" t="str">
        <f>_xlfn.XLOOKUP(B3350,'2025-Q1'!$A$402:$A$448,'2025-Q1'!$A$402:$A$448,"avail")</f>
        <v>avail</v>
      </c>
      <c r="F3350" t="str">
        <f>_xlfn.XLOOKUP(B3350,'[2]!! -- Stock Universe 12.11.24'!$C$2:$C$1621,'[2]!! -- Stock Universe 12.11.24'!$E$2:$E$1621,"")</f>
        <v/>
      </c>
    </row>
    <row r="3351" spans="1:6" x14ac:dyDescent="0.25">
      <c r="A3351" s="140">
        <v>45720.625</v>
      </c>
      <c r="B3351" t="s">
        <v>3665</v>
      </c>
      <c r="C3351" t="s">
        <v>3653</v>
      </c>
      <c r="D3351" s="6" t="str">
        <f>_xlfn.XLOOKUP(B3351,Indices!$A$2:$A$2676,Indices!$B$2:$B$2676,"")</f>
        <v/>
      </c>
      <c r="E3351" t="str">
        <f>_xlfn.XLOOKUP(B3351,'2025-Q1'!$A$402:$A$448,'2025-Q1'!$A$402:$A$448,"avail")</f>
        <v>avail</v>
      </c>
      <c r="F3351" t="str">
        <f>_xlfn.XLOOKUP(B3351,'[2]!! -- Stock Universe 12.11.24'!$C$2:$C$1621,'[2]!! -- Stock Universe 12.11.24'!$E$2:$E$1621,"")</f>
        <v/>
      </c>
    </row>
    <row r="3352" spans="1:6" x14ac:dyDescent="0.25">
      <c r="A3352" s="140">
        <v>45720.625</v>
      </c>
      <c r="B3352" t="s">
        <v>3795</v>
      </c>
      <c r="C3352" t="s">
        <v>3653</v>
      </c>
      <c r="D3352" s="6" t="str">
        <f>_xlfn.XLOOKUP(B3352,Indices!$A$2:$A$2676,Indices!$B$2:$B$2676,"")</f>
        <v/>
      </c>
      <c r="E3352" t="str">
        <f>_xlfn.XLOOKUP(B3352,'2025-Q1'!$A$402:$A$448,'2025-Q1'!$A$402:$A$448,"avail")</f>
        <v>avail</v>
      </c>
      <c r="F3352" t="str">
        <f>_xlfn.XLOOKUP(B3352,'[2]!! -- Stock Universe 12.11.24'!$C$2:$C$1621,'[2]!! -- Stock Universe 12.11.24'!$E$2:$E$1621,"")</f>
        <v/>
      </c>
    </row>
    <row r="3353" spans="1:6" x14ac:dyDescent="0.25">
      <c r="A3353" s="140">
        <v>45720.625</v>
      </c>
      <c r="B3353" t="s">
        <v>3661</v>
      </c>
      <c r="C3353" t="s">
        <v>3653</v>
      </c>
      <c r="D3353" s="6" t="str">
        <f>_xlfn.XLOOKUP(B3353,Indices!$A$2:$A$2676,Indices!$B$2:$B$2676,"")</f>
        <v/>
      </c>
      <c r="E3353" t="str">
        <f>_xlfn.XLOOKUP(B3353,'2025-Q1'!$A$402:$A$448,'2025-Q1'!$A$402:$A$448,"avail")</f>
        <v>avail</v>
      </c>
      <c r="F3353" t="str">
        <f>_xlfn.XLOOKUP(B3353,'[2]!! -- Stock Universe 12.11.24'!$C$2:$C$1621,'[2]!! -- Stock Universe 12.11.24'!$E$2:$E$1621,"")</f>
        <v/>
      </c>
    </row>
    <row r="3354" spans="1:6" x14ac:dyDescent="0.25">
      <c r="A3354" s="140">
        <v>45720.625</v>
      </c>
      <c r="B3354" t="s">
        <v>2298</v>
      </c>
      <c r="C3354" t="s">
        <v>3653</v>
      </c>
      <c r="D3354" s="6" t="str">
        <f>_xlfn.XLOOKUP(B3354,Indices!$A$2:$A$2676,Indices!$B$2:$B$2676,"")</f>
        <v>IWM</v>
      </c>
      <c r="E3354" t="str">
        <f>_xlfn.XLOOKUP(B3354,'2025-Q1'!$A$402:$A$448,'2025-Q1'!$A$402:$A$448,"avail")</f>
        <v>avail</v>
      </c>
      <c r="F3354" t="str">
        <f>_xlfn.XLOOKUP(B3354,'[2]!! -- Stock Universe 12.11.24'!$C$2:$C$1621,'[2]!! -- Stock Universe 12.11.24'!$E$2:$E$1621,"")</f>
        <v>Industrials</v>
      </c>
    </row>
    <row r="3355" spans="1:6" x14ac:dyDescent="0.25">
      <c r="A3355" s="140">
        <v>45720.625</v>
      </c>
      <c r="B3355" t="s">
        <v>3668</v>
      </c>
      <c r="C3355" t="s">
        <v>3653</v>
      </c>
      <c r="D3355" s="6" t="str">
        <f>_xlfn.XLOOKUP(B3355,Indices!$A$2:$A$2676,Indices!$B$2:$B$2676,"")</f>
        <v/>
      </c>
      <c r="E3355" t="str">
        <f>_xlfn.XLOOKUP(B3355,'2025-Q1'!$A$402:$A$448,'2025-Q1'!$A$402:$A$448,"avail")</f>
        <v>avail</v>
      </c>
      <c r="F3355" t="str">
        <f>_xlfn.XLOOKUP(B3355,'[2]!! -- Stock Universe 12.11.24'!$C$2:$C$1621,'[2]!! -- Stock Universe 12.11.24'!$E$2:$E$1621,"")</f>
        <v/>
      </c>
    </row>
    <row r="3356" spans="1:6" x14ac:dyDescent="0.25">
      <c r="A3356" s="140">
        <v>45720.625</v>
      </c>
      <c r="B3356" t="s">
        <v>1216</v>
      </c>
      <c r="C3356" t="s">
        <v>3653</v>
      </c>
      <c r="D3356" s="6" t="str">
        <f>_xlfn.XLOOKUP(B3356,Indices!$A$2:$A$2676,Indices!$B$2:$B$2676,"")</f>
        <v>IWM</v>
      </c>
      <c r="E3356" t="str">
        <f>_xlfn.XLOOKUP(B3356,'2025-Q1'!$A$402:$A$448,'2025-Q1'!$A$402:$A$448,"avail")</f>
        <v>avail</v>
      </c>
      <c r="F3356" t="str">
        <f>_xlfn.XLOOKUP(B3356,'[2]!! -- Stock Universe 12.11.24'!$C$2:$C$1621,'[2]!! -- Stock Universe 12.11.24'!$E$2:$E$1621,"")</f>
        <v/>
      </c>
    </row>
    <row r="3357" spans="1:6" x14ac:dyDescent="0.25">
      <c r="A3357" s="140">
        <v>45720.625</v>
      </c>
      <c r="B3357" t="s">
        <v>3654</v>
      </c>
      <c r="C3357" t="s">
        <v>3653</v>
      </c>
      <c r="D3357" s="6" t="str">
        <f>_xlfn.XLOOKUP(B3357,Indices!$A$2:$A$2676,Indices!$B$2:$B$2676,"")</f>
        <v/>
      </c>
      <c r="E3357" t="str">
        <f>_xlfn.XLOOKUP(B3357,'2025-Q1'!$A$402:$A$448,'2025-Q1'!$A$402:$A$448,"avail")</f>
        <v>avail</v>
      </c>
      <c r="F3357" t="str">
        <f>_xlfn.XLOOKUP(B3357,'[2]!! -- Stock Universe 12.11.24'!$C$2:$C$1621,'[2]!! -- Stock Universe 12.11.24'!$E$2:$E$1621,"")</f>
        <v>Healthcare</v>
      </c>
    </row>
    <row r="3358" spans="1:6" x14ac:dyDescent="0.25">
      <c r="A3358" s="140">
        <v>45720.625</v>
      </c>
      <c r="B3358" t="s">
        <v>132</v>
      </c>
      <c r="C3358" t="s">
        <v>3653</v>
      </c>
      <c r="D3358" s="6" t="str">
        <f>_xlfn.XLOOKUP(B3358,Indices!$A$2:$A$2676,Indices!$B$2:$B$2676,"")</f>
        <v>IWM</v>
      </c>
      <c r="E3358" t="str">
        <f>_xlfn.XLOOKUP(B3358,'2025-Q1'!$A$402:$A$448,'2025-Q1'!$A$402:$A$448,"avail")</f>
        <v>avail</v>
      </c>
      <c r="F3358" t="str">
        <f>_xlfn.XLOOKUP(B3358,'[2]!! -- Stock Universe 12.11.24'!$C$2:$C$1621,'[2]!! -- Stock Universe 12.11.24'!$E$2:$E$1621,"")</f>
        <v/>
      </c>
    </row>
    <row r="3359" spans="1:6" x14ac:dyDescent="0.25">
      <c r="A3359" s="140">
        <v>45720.625</v>
      </c>
      <c r="B3359" t="s">
        <v>4583</v>
      </c>
      <c r="C3359" t="s">
        <v>3653</v>
      </c>
      <c r="D3359" s="6" t="str">
        <f>_xlfn.XLOOKUP(B3359,Indices!$A$2:$A$2676,Indices!$B$2:$B$2676,"")</f>
        <v/>
      </c>
      <c r="E3359" t="str">
        <f>_xlfn.XLOOKUP(B3359,'2025-Q1'!$A$402:$A$448,'2025-Q1'!$A$402:$A$448,"avail")</f>
        <v>avail</v>
      </c>
      <c r="F3359" t="str">
        <f>_xlfn.XLOOKUP(B3359,'[2]!! -- Stock Universe 12.11.24'!$C$2:$C$1621,'[2]!! -- Stock Universe 12.11.24'!$E$2:$E$1621,"")</f>
        <v>Technology</v>
      </c>
    </row>
    <row r="3360" spans="1:6" x14ac:dyDescent="0.25">
      <c r="A3360" s="140">
        <v>45720.625</v>
      </c>
      <c r="B3360" t="s">
        <v>3666</v>
      </c>
      <c r="C3360" t="s">
        <v>3653</v>
      </c>
      <c r="D3360" s="6" t="str">
        <f>_xlfn.XLOOKUP(B3360,Indices!$A$2:$A$2676,Indices!$B$2:$B$2676,"")</f>
        <v/>
      </c>
      <c r="E3360" t="str">
        <f>_xlfn.XLOOKUP(B3360,'2025-Q1'!$A$402:$A$448,'2025-Q1'!$A$402:$A$448,"avail")</f>
        <v>avail</v>
      </c>
      <c r="F3360" t="str">
        <f>_xlfn.XLOOKUP(B3360,'[2]!! -- Stock Universe 12.11.24'!$C$2:$C$1621,'[2]!! -- Stock Universe 12.11.24'!$E$2:$E$1621,"")</f>
        <v/>
      </c>
    </row>
    <row r="3361" spans="1:6" x14ac:dyDescent="0.25">
      <c r="A3361" s="140">
        <v>45720.625</v>
      </c>
      <c r="B3361" t="s">
        <v>3864</v>
      </c>
      <c r="C3361" t="s">
        <v>3653</v>
      </c>
      <c r="D3361" s="6" t="str">
        <f>_xlfn.XLOOKUP(B3361,Indices!$A$2:$A$2676,Indices!$B$2:$B$2676,"")</f>
        <v/>
      </c>
      <c r="E3361" t="str">
        <f>_xlfn.XLOOKUP(B3361,'2025-Q1'!$A$402:$A$448,'2025-Q1'!$A$402:$A$448,"avail")</f>
        <v>avail</v>
      </c>
      <c r="F3361" t="str">
        <f>_xlfn.XLOOKUP(B3361,'[2]!! -- Stock Universe 12.11.24'!$C$2:$C$1621,'[2]!! -- Stock Universe 12.11.24'!$E$2:$E$1621,"")</f>
        <v>Industrials</v>
      </c>
    </row>
    <row r="3362" spans="1:6" x14ac:dyDescent="0.25">
      <c r="A3362" s="140">
        <v>45720.625</v>
      </c>
      <c r="B3362" t="s">
        <v>3920</v>
      </c>
      <c r="C3362" t="s">
        <v>3653</v>
      </c>
      <c r="D3362" s="6" t="str">
        <f>_xlfn.XLOOKUP(B3362,Indices!$A$2:$A$2676,Indices!$B$2:$B$2676,"")</f>
        <v/>
      </c>
      <c r="E3362" t="str">
        <f>_xlfn.XLOOKUP(B3362,'2025-Q1'!$A$402:$A$448,'2025-Q1'!$A$402:$A$448,"avail")</f>
        <v>avail</v>
      </c>
      <c r="F3362" t="str">
        <f>_xlfn.XLOOKUP(B3362,'[2]!! -- Stock Universe 12.11.24'!$C$2:$C$1621,'[2]!! -- Stock Universe 12.11.24'!$E$2:$E$1621,"")</f>
        <v/>
      </c>
    </row>
    <row r="3363" spans="1:6" x14ac:dyDescent="0.25">
      <c r="A3363" s="140">
        <v>45720.625</v>
      </c>
      <c r="B3363" t="s">
        <v>361</v>
      </c>
      <c r="C3363" t="s">
        <v>3653</v>
      </c>
      <c r="D3363" s="6" t="str">
        <f>_xlfn.XLOOKUP(B3363,Indices!$A$2:$A$2676,Indices!$B$2:$B$2676,"")</f>
        <v>IWM</v>
      </c>
      <c r="E3363" t="str">
        <f>_xlfn.XLOOKUP(B3363,'2025-Q1'!$A$402:$A$448,'2025-Q1'!$A$402:$A$448,"avail")</f>
        <v>avail</v>
      </c>
      <c r="F3363" t="str">
        <f>_xlfn.XLOOKUP(B3363,'[2]!! -- Stock Universe 12.11.24'!$C$2:$C$1621,'[2]!! -- Stock Universe 12.11.24'!$E$2:$E$1621,"")</f>
        <v>Healthcare</v>
      </c>
    </row>
    <row r="3364" spans="1:6" x14ac:dyDescent="0.25">
      <c r="A3364" s="140">
        <v>45720.625</v>
      </c>
      <c r="B3364" t="s">
        <v>3660</v>
      </c>
      <c r="C3364" t="s">
        <v>3653</v>
      </c>
      <c r="D3364" s="6" t="str">
        <f>_xlfn.XLOOKUP(B3364,Indices!$A$2:$A$2676,Indices!$B$2:$B$2676,"")</f>
        <v/>
      </c>
      <c r="E3364" t="str">
        <f>_xlfn.XLOOKUP(B3364,'2025-Q1'!$A$402:$A$448,'2025-Q1'!$A$402:$A$448,"avail")</f>
        <v>avail</v>
      </c>
      <c r="F3364" t="str">
        <f>_xlfn.XLOOKUP(B3364,'[2]!! -- Stock Universe 12.11.24'!$C$2:$C$1621,'[2]!! -- Stock Universe 12.11.24'!$E$2:$E$1621,"")</f>
        <v/>
      </c>
    </row>
    <row r="3365" spans="1:6" x14ac:dyDescent="0.25">
      <c r="A3365" s="140">
        <v>45720.625</v>
      </c>
      <c r="B3365" t="s">
        <v>256</v>
      </c>
      <c r="C3365" t="s">
        <v>3653</v>
      </c>
      <c r="D3365" s="6" t="str">
        <f>_xlfn.XLOOKUP(B3365,Indices!$A$2:$A$2676,Indices!$B$2:$B$2676,"")</f>
        <v>IWM</v>
      </c>
      <c r="E3365" t="str">
        <f>_xlfn.XLOOKUP(B3365,'2025-Q1'!$A$402:$A$448,'2025-Q1'!$A$402:$A$448,"avail")</f>
        <v>avail</v>
      </c>
      <c r="F3365" t="str">
        <f>_xlfn.XLOOKUP(B3365,'[2]!! -- Stock Universe 12.11.24'!$C$2:$C$1621,'[2]!! -- Stock Universe 12.11.24'!$E$2:$E$1621,"")</f>
        <v/>
      </c>
    </row>
    <row r="3366" spans="1:6" x14ac:dyDescent="0.25">
      <c r="A3366" s="140">
        <v>45720.625</v>
      </c>
      <c r="B3366" t="s">
        <v>3152</v>
      </c>
      <c r="C3366" t="s">
        <v>3653</v>
      </c>
      <c r="D3366" s="6" t="str">
        <f>_xlfn.XLOOKUP(B3366,Indices!$A$2:$A$2676,Indices!$B$2:$B$2676,"")</f>
        <v/>
      </c>
      <c r="E3366" t="str">
        <f>_xlfn.XLOOKUP(B3366,'2025-Q1'!$A$402:$A$448,'2025-Q1'!$A$402:$A$448,"avail")</f>
        <v>avail</v>
      </c>
      <c r="F3366" t="str">
        <f>_xlfn.XLOOKUP(B3366,'[2]!! -- Stock Universe 12.11.24'!$C$2:$C$1621,'[2]!! -- Stock Universe 12.11.24'!$E$2:$E$1621,"")</f>
        <v>Healthcare</v>
      </c>
    </row>
    <row r="3367" spans="1:6" x14ac:dyDescent="0.25">
      <c r="A3367" s="140">
        <v>45720.625</v>
      </c>
      <c r="B3367" t="s">
        <v>3865</v>
      </c>
      <c r="C3367" t="s">
        <v>3653</v>
      </c>
      <c r="D3367" s="6" t="str">
        <f>_xlfn.XLOOKUP(B3367,Indices!$A$2:$A$2676,Indices!$B$2:$B$2676,"")</f>
        <v/>
      </c>
      <c r="E3367" t="str">
        <f>_xlfn.XLOOKUP(B3367,'2025-Q1'!$A$402:$A$448,'2025-Q1'!$A$402:$A$448,"avail")</f>
        <v>avail</v>
      </c>
      <c r="F3367" t="str">
        <f>_xlfn.XLOOKUP(B3367,'[2]!! -- Stock Universe 12.11.24'!$C$2:$C$1621,'[2]!! -- Stock Universe 12.11.24'!$E$2:$E$1621,"")</f>
        <v/>
      </c>
    </row>
    <row r="3368" spans="1:6" x14ac:dyDescent="0.25">
      <c r="A3368" s="140">
        <v>45720.625</v>
      </c>
      <c r="B3368" t="s">
        <v>3662</v>
      </c>
      <c r="C3368" t="s">
        <v>3653</v>
      </c>
      <c r="D3368" s="6" t="str">
        <f>_xlfn.XLOOKUP(B3368,Indices!$A$2:$A$2676,Indices!$B$2:$B$2676,"")</f>
        <v/>
      </c>
      <c r="E3368" t="str">
        <f>_xlfn.XLOOKUP(B3368,'2025-Q1'!$A$402:$A$448,'2025-Q1'!$A$402:$A$448,"avail")</f>
        <v>avail</v>
      </c>
      <c r="F3368" t="str">
        <f>_xlfn.XLOOKUP(B3368,'[2]!! -- Stock Universe 12.11.24'!$C$2:$C$1621,'[2]!! -- Stock Universe 12.11.24'!$E$2:$E$1621,"")</f>
        <v/>
      </c>
    </row>
    <row r="3369" spans="1:6" x14ac:dyDescent="0.25">
      <c r="A3369" s="140">
        <v>45720.625</v>
      </c>
      <c r="B3369" t="s">
        <v>691</v>
      </c>
      <c r="C3369" t="s">
        <v>3653</v>
      </c>
      <c r="D3369" s="6" t="str">
        <f>_xlfn.XLOOKUP(B3369,Indices!$A$2:$A$2676,Indices!$B$2:$B$2676,"")</f>
        <v>IWM</v>
      </c>
      <c r="E3369" t="str">
        <f>_xlfn.XLOOKUP(B3369,'2025-Q1'!$A$402:$A$448,'2025-Q1'!$A$402:$A$448,"avail")</f>
        <v>avail</v>
      </c>
      <c r="F3369" t="str">
        <f>_xlfn.XLOOKUP(B3369,'[2]!! -- Stock Universe 12.11.24'!$C$2:$C$1621,'[2]!! -- Stock Universe 12.11.24'!$E$2:$E$1621,"")</f>
        <v/>
      </c>
    </row>
    <row r="3370" spans="1:6" x14ac:dyDescent="0.25">
      <c r="A3370" s="140">
        <v>45720.625</v>
      </c>
      <c r="B3370" t="s">
        <v>3664</v>
      </c>
      <c r="C3370" t="s">
        <v>3653</v>
      </c>
      <c r="D3370" s="6" t="str">
        <f>_xlfn.XLOOKUP(B3370,Indices!$A$2:$A$2676,Indices!$B$2:$B$2676,"")</f>
        <v/>
      </c>
      <c r="E3370" t="str">
        <f>_xlfn.XLOOKUP(B3370,'2025-Q1'!$A$402:$A$448,'2025-Q1'!$A$402:$A$448,"avail")</f>
        <v>avail</v>
      </c>
      <c r="F3370" t="str">
        <f>_xlfn.XLOOKUP(B3370,'[2]!! -- Stock Universe 12.11.24'!$C$2:$C$1621,'[2]!! -- Stock Universe 12.11.24'!$E$2:$E$1621,"")</f>
        <v/>
      </c>
    </row>
    <row r="3371" spans="1:6" x14ac:dyDescent="0.25">
      <c r="A3371" s="140">
        <v>45720.625</v>
      </c>
      <c r="B3371" t="s">
        <v>429</v>
      </c>
      <c r="C3371" t="s">
        <v>3653</v>
      </c>
      <c r="D3371" s="6" t="str">
        <f>_xlfn.XLOOKUP(B3371,Indices!$A$2:$A$2676,Indices!$B$2:$B$2676,"")</f>
        <v>IWM</v>
      </c>
      <c r="E3371" t="str">
        <f>_xlfn.XLOOKUP(B3371,'2025-Q1'!$A$402:$A$448,'2025-Q1'!$A$402:$A$448,"avail")</f>
        <v>avail</v>
      </c>
      <c r="F3371" t="str">
        <f>_xlfn.XLOOKUP(B3371,'[2]!! -- Stock Universe 12.11.24'!$C$2:$C$1621,'[2]!! -- Stock Universe 12.11.24'!$E$2:$E$1621,"")</f>
        <v/>
      </c>
    </row>
    <row r="3372" spans="1:6" x14ac:dyDescent="0.25">
      <c r="A3372" s="140">
        <v>45720.625</v>
      </c>
      <c r="B3372" t="s">
        <v>3568</v>
      </c>
      <c r="C3372" t="s">
        <v>3653</v>
      </c>
      <c r="D3372" s="6" t="str">
        <f>_xlfn.XLOOKUP(B3372,Indices!$A$2:$A$2676,Indices!$B$2:$B$2676,"")</f>
        <v/>
      </c>
      <c r="E3372" t="str">
        <f>_xlfn.XLOOKUP(B3372,'2025-Q1'!$A$402:$A$448,'2025-Q1'!$A$402:$A$448,"avail")</f>
        <v>avail</v>
      </c>
      <c r="F3372" t="str">
        <f>_xlfn.XLOOKUP(B3372,'[2]!! -- Stock Universe 12.11.24'!$C$2:$C$1621,'[2]!! -- Stock Universe 12.11.24'!$E$2:$E$1621,"")</f>
        <v/>
      </c>
    </row>
    <row r="3373" spans="1:6" x14ac:dyDescent="0.25">
      <c r="A3373" s="140">
        <v>45720.625</v>
      </c>
      <c r="B3373" t="s">
        <v>3671</v>
      </c>
      <c r="C3373" t="s">
        <v>3653</v>
      </c>
      <c r="D3373" s="6" t="str">
        <f>_xlfn.XLOOKUP(B3373,Indices!$A$2:$A$2676,Indices!$B$2:$B$2676,"")</f>
        <v/>
      </c>
      <c r="E3373" t="str">
        <f>_xlfn.XLOOKUP(B3373,'2025-Q1'!$A$402:$A$448,'2025-Q1'!$A$402:$A$448,"avail")</f>
        <v>avail</v>
      </c>
      <c r="F3373" t="str">
        <f>_xlfn.XLOOKUP(B3373,'[2]!! -- Stock Universe 12.11.24'!$C$2:$C$1621,'[2]!! -- Stock Universe 12.11.24'!$E$2:$E$1621,"")</f>
        <v/>
      </c>
    </row>
    <row r="3374" spans="1:6" x14ac:dyDescent="0.25">
      <c r="A3374" s="140">
        <v>45720.625</v>
      </c>
      <c r="B3374" t="s">
        <v>1135</v>
      </c>
      <c r="C3374" t="s">
        <v>3653</v>
      </c>
      <c r="D3374" s="6" t="str">
        <f>_xlfn.XLOOKUP(B3374,Indices!$A$2:$A$2676,Indices!$B$2:$B$2676,"")</f>
        <v/>
      </c>
      <c r="E3374" t="str">
        <f>_xlfn.XLOOKUP(B3374,'2025-Q1'!$A$402:$A$448,'2025-Q1'!$A$402:$A$448,"avail")</f>
        <v>avail</v>
      </c>
      <c r="F3374" t="str">
        <f>_xlfn.XLOOKUP(B3374,'[2]!! -- Stock Universe 12.11.24'!$C$2:$C$1621,'[2]!! -- Stock Universe 12.11.24'!$E$2:$E$1621,"")</f>
        <v/>
      </c>
    </row>
    <row r="3375" spans="1:6" x14ac:dyDescent="0.25">
      <c r="A3375" s="140">
        <v>45720.625</v>
      </c>
      <c r="B3375" t="s">
        <v>379</v>
      </c>
      <c r="C3375" t="s">
        <v>3653</v>
      </c>
      <c r="D3375" s="6" t="str">
        <f>_xlfn.XLOOKUP(B3375,Indices!$A$2:$A$2676,Indices!$B$2:$B$2676,"")</f>
        <v>IWM</v>
      </c>
      <c r="E3375" t="str">
        <f>_xlfn.XLOOKUP(B3375,'2025-Q1'!$A$402:$A$448,'2025-Q1'!$A$402:$A$448,"avail")</f>
        <v>avail</v>
      </c>
      <c r="F3375" t="str">
        <f>_xlfn.XLOOKUP(B3375,'[2]!! -- Stock Universe 12.11.24'!$C$2:$C$1621,'[2]!! -- Stock Universe 12.11.24'!$E$2:$E$1621,"")</f>
        <v/>
      </c>
    </row>
    <row r="3376" spans="1:6" x14ac:dyDescent="0.25">
      <c r="A3376" s="140">
        <v>45720.625</v>
      </c>
      <c r="B3376" t="s">
        <v>1187</v>
      </c>
      <c r="C3376" t="s">
        <v>3653</v>
      </c>
      <c r="D3376" s="6" t="str">
        <f>_xlfn.XLOOKUP(B3376,Indices!$A$2:$A$2676,Indices!$B$2:$B$2676,"")</f>
        <v>IWM</v>
      </c>
      <c r="E3376" t="str">
        <f>_xlfn.XLOOKUP(B3376,'2025-Q1'!$A$402:$A$448,'2025-Q1'!$A$402:$A$448,"avail")</f>
        <v>BOX</v>
      </c>
      <c r="F3376" t="str">
        <f>_xlfn.XLOOKUP(B3376,'[2]!! -- Stock Universe 12.11.24'!$C$2:$C$1621,'[2]!! -- Stock Universe 12.11.24'!$E$2:$E$1621,"")</f>
        <v>Technology</v>
      </c>
    </row>
    <row r="3377" spans="1:6" x14ac:dyDescent="0.25">
      <c r="A3377" s="140">
        <v>45720.625</v>
      </c>
      <c r="B3377" t="s">
        <v>3608</v>
      </c>
      <c r="C3377" t="s">
        <v>3653</v>
      </c>
      <c r="D3377" s="6" t="str">
        <f>_xlfn.XLOOKUP(B3377,Indices!$A$2:$A$2676,Indices!$B$2:$B$2676,"")</f>
        <v/>
      </c>
      <c r="E3377" t="str">
        <f>_xlfn.XLOOKUP(B3377,'2025-Q1'!$A$402:$A$448,'2025-Q1'!$A$402:$A$448,"avail")</f>
        <v>avail</v>
      </c>
      <c r="F3377" t="str">
        <f>_xlfn.XLOOKUP(B3377,'[2]!! -- Stock Universe 12.11.24'!$C$2:$C$1621,'[2]!! -- Stock Universe 12.11.24'!$E$2:$E$1621,"")</f>
        <v/>
      </c>
    </row>
    <row r="3378" spans="1:6" x14ac:dyDescent="0.25">
      <c r="A3378" s="140">
        <v>45720.625</v>
      </c>
      <c r="B3378" t="s">
        <v>4353</v>
      </c>
      <c r="C3378" t="s">
        <v>3653</v>
      </c>
      <c r="D3378" s="6" t="str">
        <f>_xlfn.XLOOKUP(B3378,Indices!$A$2:$A$2676,Indices!$B$2:$B$2676,"")</f>
        <v/>
      </c>
      <c r="E3378" t="str">
        <f>_xlfn.XLOOKUP(B3378,'2025-Q1'!$A$402:$A$448,'2025-Q1'!$A$402:$A$448,"avail")</f>
        <v>avail</v>
      </c>
      <c r="F3378" t="str">
        <f>_xlfn.XLOOKUP(B3378,'[2]!! -- Stock Universe 12.11.24'!$C$2:$C$1621,'[2]!! -- Stock Universe 12.11.24'!$E$2:$E$1621,"")</f>
        <v>Consumer Cyclical</v>
      </c>
    </row>
    <row r="3379" spans="1:6" x14ac:dyDescent="0.25">
      <c r="A3379" s="140">
        <v>45720.625</v>
      </c>
      <c r="B3379" t="s">
        <v>736</v>
      </c>
      <c r="C3379" t="s">
        <v>3653</v>
      </c>
      <c r="D3379" s="6" t="str">
        <f>_xlfn.XLOOKUP(B3379,Indices!$A$2:$A$2676,Indices!$B$2:$B$2676,"")</f>
        <v>IWM</v>
      </c>
      <c r="E3379" t="str">
        <f>_xlfn.XLOOKUP(B3379,'2025-Q1'!$A$402:$A$448,'2025-Q1'!$A$402:$A$448,"avail")</f>
        <v>avail</v>
      </c>
      <c r="F3379" t="str">
        <f>_xlfn.XLOOKUP(B3379,'[2]!! -- Stock Universe 12.11.24'!$C$2:$C$1621,'[2]!! -- Stock Universe 12.11.24'!$E$2:$E$1621,"")</f>
        <v/>
      </c>
    </row>
    <row r="3380" spans="1:6" x14ac:dyDescent="0.25">
      <c r="A3380" s="140">
        <v>45720.625</v>
      </c>
      <c r="B3380" t="s">
        <v>3000</v>
      </c>
      <c r="C3380" t="s">
        <v>3653</v>
      </c>
      <c r="D3380" s="6" t="str">
        <f>_xlfn.XLOOKUP(B3380,Indices!$A$2:$A$2676,Indices!$B$2:$B$2676,"")</f>
        <v/>
      </c>
      <c r="E3380" t="str">
        <f>_xlfn.XLOOKUP(B3380,'2025-Q1'!$A$402:$A$448,'2025-Q1'!$A$402:$A$448,"avail")</f>
        <v>avail</v>
      </c>
      <c r="F3380" t="str">
        <f>_xlfn.XLOOKUP(B3380,'[2]!! -- Stock Universe 12.11.24'!$C$2:$C$1621,'[2]!! -- Stock Universe 12.11.24'!$E$2:$E$1621,"")</f>
        <v/>
      </c>
    </row>
    <row r="3381" spans="1:6" x14ac:dyDescent="0.25">
      <c r="A3381" s="140">
        <v>45720.625</v>
      </c>
      <c r="B3381" t="s">
        <v>1167</v>
      </c>
      <c r="C3381" t="s">
        <v>3653</v>
      </c>
      <c r="D3381" s="6" t="str">
        <f>_xlfn.XLOOKUP(B3381,Indices!$A$2:$A$2676,Indices!$B$2:$B$2676,"")</f>
        <v>SP500</v>
      </c>
      <c r="E3381" t="str">
        <f>_xlfn.XLOOKUP(B3381,'2025-Q1'!$A$402:$A$448,'2025-Q1'!$A$402:$A$448,"avail")</f>
        <v>CRWD</v>
      </c>
      <c r="F3381" t="str">
        <f>_xlfn.XLOOKUP(B3381,'[2]!! -- Stock Universe 12.11.24'!$C$2:$C$1621,'[2]!! -- Stock Universe 12.11.24'!$E$2:$E$1621,"")</f>
        <v>Technology</v>
      </c>
    </row>
    <row r="3382" spans="1:6" x14ac:dyDescent="0.25">
      <c r="A3382" s="140">
        <v>45720.625</v>
      </c>
      <c r="B3382" t="s">
        <v>1095</v>
      </c>
      <c r="C3382" t="s">
        <v>3653</v>
      </c>
      <c r="D3382" s="6" t="str">
        <f>_xlfn.XLOOKUP(B3382,Indices!$A$2:$A$2676,Indices!$B$2:$B$2676,"")</f>
        <v/>
      </c>
      <c r="E3382" t="str">
        <f>_xlfn.XLOOKUP(B3382,'2025-Q1'!$A$402:$A$448,'2025-Q1'!$A$402:$A$448,"avail")</f>
        <v>avail</v>
      </c>
      <c r="F3382" t="str">
        <f>_xlfn.XLOOKUP(B3382,'[2]!! -- Stock Universe 12.11.24'!$C$2:$C$1621,'[2]!! -- Stock Universe 12.11.24'!$E$2:$E$1621,"")</f>
        <v/>
      </c>
    </row>
    <row r="3383" spans="1:6" x14ac:dyDescent="0.25">
      <c r="A3383" s="140">
        <v>45720.625</v>
      </c>
      <c r="B3383" t="s">
        <v>3657</v>
      </c>
      <c r="C3383" t="s">
        <v>3653</v>
      </c>
      <c r="D3383" s="6" t="str">
        <f>_xlfn.XLOOKUP(B3383,Indices!$A$2:$A$2676,Indices!$B$2:$B$2676,"")</f>
        <v/>
      </c>
      <c r="E3383" t="str">
        <f>_xlfn.XLOOKUP(B3383,'2025-Q1'!$A$402:$A$448,'2025-Q1'!$A$402:$A$448,"avail")</f>
        <v>avail</v>
      </c>
      <c r="F3383" t="str">
        <f>_xlfn.XLOOKUP(B3383,'[2]!! -- Stock Universe 12.11.24'!$C$2:$C$1621,'[2]!! -- Stock Universe 12.11.24'!$E$2:$E$1621,"")</f>
        <v/>
      </c>
    </row>
    <row r="3384" spans="1:6" x14ac:dyDescent="0.25">
      <c r="A3384" s="140">
        <v>45720.625</v>
      </c>
      <c r="B3384" t="s">
        <v>2282</v>
      </c>
      <c r="C3384" t="s">
        <v>3653</v>
      </c>
      <c r="D3384" s="6" t="str">
        <f>_xlfn.XLOOKUP(B3384,Indices!$A$2:$A$2676,Indices!$B$2:$B$2676,"")</f>
        <v>IWM</v>
      </c>
      <c r="E3384" t="str">
        <f>_xlfn.XLOOKUP(B3384,'2025-Q1'!$A$402:$A$448,'2025-Q1'!$A$402:$A$448,"avail")</f>
        <v>avail</v>
      </c>
      <c r="F3384" t="str">
        <f>_xlfn.XLOOKUP(B3384,'[2]!! -- Stock Universe 12.11.24'!$C$2:$C$1621,'[2]!! -- Stock Universe 12.11.24'!$E$2:$E$1621,"")</f>
        <v>Industrials</v>
      </c>
    </row>
    <row r="3385" spans="1:6" x14ac:dyDescent="0.25">
      <c r="A3385" s="140">
        <v>45720.625</v>
      </c>
      <c r="B3385" t="s">
        <v>827</v>
      </c>
      <c r="C3385" t="s">
        <v>3653</v>
      </c>
      <c r="D3385" s="6" t="str">
        <f>_xlfn.XLOOKUP(B3385,Indices!$A$2:$A$2676,Indices!$B$2:$B$2676,"")</f>
        <v>IWM</v>
      </c>
      <c r="E3385" t="str">
        <f>_xlfn.XLOOKUP(B3385,'2025-Q1'!$A$402:$A$448,'2025-Q1'!$A$402:$A$448,"avail")</f>
        <v>avail</v>
      </c>
      <c r="F3385" t="str">
        <f>_xlfn.XLOOKUP(B3385,'[2]!! -- Stock Universe 12.11.24'!$C$2:$C$1621,'[2]!! -- Stock Universe 12.11.24'!$E$2:$E$1621,"")</f>
        <v/>
      </c>
    </row>
    <row r="3386" spans="1:6" x14ac:dyDescent="0.25">
      <c r="A3386" s="140">
        <v>45720.625</v>
      </c>
      <c r="B3386" t="s">
        <v>2327</v>
      </c>
      <c r="C3386" t="s">
        <v>3653</v>
      </c>
      <c r="D3386" s="6" t="str">
        <f>_xlfn.XLOOKUP(B3386,Indices!$A$2:$A$2676,Indices!$B$2:$B$2676,"")</f>
        <v>IWM</v>
      </c>
      <c r="E3386" t="str">
        <f>_xlfn.XLOOKUP(B3386,'2025-Q1'!$A$402:$A$448,'2025-Q1'!$A$402:$A$448,"avail")</f>
        <v>avail</v>
      </c>
      <c r="F3386" t="str">
        <f>_xlfn.XLOOKUP(B3386,'[2]!! -- Stock Universe 12.11.24'!$C$2:$C$1621,'[2]!! -- Stock Universe 12.11.24'!$E$2:$E$1621,"")</f>
        <v/>
      </c>
    </row>
    <row r="3387" spans="1:6" x14ac:dyDescent="0.25">
      <c r="A3387" s="140">
        <v>45720.625</v>
      </c>
      <c r="B3387" t="s">
        <v>1130</v>
      </c>
      <c r="C3387" t="s">
        <v>3653</v>
      </c>
      <c r="D3387" s="6" t="str">
        <f>_xlfn.XLOOKUP(B3387,Indices!$A$2:$A$2676,Indices!$B$2:$B$2676,"")</f>
        <v>SP500</v>
      </c>
      <c r="E3387" t="str">
        <f>_xlfn.XLOOKUP(B3387,'2025-Q1'!$A$402:$A$448,'2025-Q1'!$A$402:$A$448,"avail")</f>
        <v>ROST</v>
      </c>
      <c r="F3387" t="str">
        <f>_xlfn.XLOOKUP(B3387,'[2]!! -- Stock Universe 12.11.24'!$C$2:$C$1621,'[2]!! -- Stock Universe 12.11.24'!$E$2:$E$1621,"")</f>
        <v>Consumer Cyclical</v>
      </c>
    </row>
    <row r="3388" spans="1:6" x14ac:dyDescent="0.25">
      <c r="A3388" s="140">
        <v>45720.625</v>
      </c>
      <c r="B3388" t="s">
        <v>3409</v>
      </c>
      <c r="C3388" t="s">
        <v>3653</v>
      </c>
      <c r="D3388" s="6" t="str">
        <f>_xlfn.XLOOKUP(B3388,Indices!$A$2:$A$2676,Indices!$B$2:$B$2676,"")</f>
        <v/>
      </c>
      <c r="E3388" t="str">
        <f>_xlfn.XLOOKUP(B3388,'2025-Q1'!$A$402:$A$448,'2025-Q1'!$A$402:$A$448,"avail")</f>
        <v>avail</v>
      </c>
      <c r="F3388" t="str">
        <f>_xlfn.XLOOKUP(B3388,'[2]!! -- Stock Universe 12.11.24'!$C$2:$C$1621,'[2]!! -- Stock Universe 12.11.24'!$E$2:$E$1621,"")</f>
        <v/>
      </c>
    </row>
    <row r="3389" spans="1:6" x14ac:dyDescent="0.25">
      <c r="A3389" s="140">
        <v>45720.625</v>
      </c>
      <c r="B3389" t="s">
        <v>3915</v>
      </c>
      <c r="C3389" t="s">
        <v>3653</v>
      </c>
      <c r="D3389" s="6" t="str">
        <f>_xlfn.XLOOKUP(B3389,Indices!$A$2:$A$2676,Indices!$B$2:$B$2676,"")</f>
        <v/>
      </c>
      <c r="E3389" t="str">
        <f>_xlfn.XLOOKUP(B3389,'2025-Q1'!$A$402:$A$448,'2025-Q1'!$A$402:$A$448,"avail")</f>
        <v>avail</v>
      </c>
      <c r="F3389" t="str">
        <f>_xlfn.XLOOKUP(B3389,'[2]!! -- Stock Universe 12.11.24'!$C$2:$C$1621,'[2]!! -- Stock Universe 12.11.24'!$E$2:$E$1621,"")</f>
        <v/>
      </c>
    </row>
    <row r="3390" spans="1:6" x14ac:dyDescent="0.25">
      <c r="A3390" s="140">
        <v>45720.625</v>
      </c>
      <c r="B3390" t="s">
        <v>3790</v>
      </c>
      <c r="C3390" t="s">
        <v>3653</v>
      </c>
      <c r="D3390" s="6" t="str">
        <f>_xlfn.XLOOKUP(B3390,Indices!$A$2:$A$2676,Indices!$B$2:$B$2676,"")</f>
        <v/>
      </c>
      <c r="E3390" t="str">
        <f>_xlfn.XLOOKUP(B3390,'2025-Q1'!$A$402:$A$448,'2025-Q1'!$A$402:$A$448,"avail")</f>
        <v>avail</v>
      </c>
      <c r="F3390" t="str">
        <f>_xlfn.XLOOKUP(B3390,'[2]!! -- Stock Universe 12.11.24'!$C$2:$C$1621,'[2]!! -- Stock Universe 12.11.24'!$E$2:$E$1621,"")</f>
        <v/>
      </c>
    </row>
    <row r="3391" spans="1:6" x14ac:dyDescent="0.25">
      <c r="A3391" s="140">
        <v>45720.625</v>
      </c>
      <c r="B3391" t="s">
        <v>3819</v>
      </c>
      <c r="C3391" t="s">
        <v>3653</v>
      </c>
      <c r="D3391" s="6" t="str">
        <f>_xlfn.XLOOKUP(B3391,Indices!$A$2:$A$2676,Indices!$B$2:$B$2676,"")</f>
        <v/>
      </c>
      <c r="E3391" t="str">
        <f>_xlfn.XLOOKUP(B3391,'2025-Q1'!$A$402:$A$448,'2025-Q1'!$A$402:$A$448,"avail")</f>
        <v>avail</v>
      </c>
      <c r="F3391" t="str">
        <f>_xlfn.XLOOKUP(B3391,'[2]!! -- Stock Universe 12.11.24'!$C$2:$C$1621,'[2]!! -- Stock Universe 12.11.24'!$E$2:$E$1621,"")</f>
        <v/>
      </c>
    </row>
    <row r="3392" spans="1:6" x14ac:dyDescent="0.25">
      <c r="A3392" s="140">
        <v>45720.625</v>
      </c>
      <c r="B3392" t="s">
        <v>3138</v>
      </c>
      <c r="C3392" t="s">
        <v>3653</v>
      </c>
      <c r="D3392" s="6" t="str">
        <f>_xlfn.XLOOKUP(B3392,Indices!$A$2:$A$2676,Indices!$B$2:$B$2676,"")</f>
        <v/>
      </c>
      <c r="E3392" t="str">
        <f>_xlfn.XLOOKUP(B3392,'2025-Q1'!$A$402:$A$448,'2025-Q1'!$A$402:$A$448,"avail")</f>
        <v>avail</v>
      </c>
      <c r="F3392" t="str">
        <f>_xlfn.XLOOKUP(B3392,'[2]!! -- Stock Universe 12.11.24'!$C$2:$C$1621,'[2]!! -- Stock Universe 12.11.24'!$E$2:$E$1621,"")</f>
        <v/>
      </c>
    </row>
    <row r="3393" spans="1:6" x14ac:dyDescent="0.25">
      <c r="A3393" s="140">
        <v>45721.291666666664</v>
      </c>
      <c r="B3393" t="s">
        <v>3684</v>
      </c>
      <c r="C3393" t="s">
        <v>3672</v>
      </c>
      <c r="D3393" s="6" t="str">
        <f>_xlfn.XLOOKUP(B3393,Indices!$A$2:$A$2676,Indices!$B$2:$B$2676,"")</f>
        <v/>
      </c>
      <c r="E3393" t="str">
        <f>_xlfn.XLOOKUP(B3393,'2025-Q1'!$A$402:$A$448,'2025-Q1'!$A$402:$A$448,"avail")</f>
        <v>avail</v>
      </c>
      <c r="F3393" t="str">
        <f>_xlfn.XLOOKUP(B3393,'[2]!! -- Stock Universe 12.11.24'!$C$2:$C$1621,'[2]!! -- Stock Universe 12.11.24'!$E$2:$E$1621,"")</f>
        <v/>
      </c>
    </row>
    <row r="3394" spans="1:6" x14ac:dyDescent="0.25">
      <c r="A3394" s="140">
        <v>45721.291666666664</v>
      </c>
      <c r="B3394" t="s">
        <v>3761</v>
      </c>
      <c r="C3394" t="s">
        <v>3672</v>
      </c>
      <c r="D3394" s="6" t="str">
        <f>_xlfn.XLOOKUP(B3394,Indices!$A$2:$A$2676,Indices!$B$2:$B$2676,"")</f>
        <v/>
      </c>
      <c r="E3394" t="str">
        <f>_xlfn.XLOOKUP(B3394,'2025-Q1'!$A$402:$A$448,'2025-Q1'!$A$402:$A$448,"avail")</f>
        <v>avail</v>
      </c>
      <c r="F3394" t="str">
        <f>_xlfn.XLOOKUP(B3394,'[2]!! -- Stock Universe 12.11.24'!$C$2:$C$1621,'[2]!! -- Stock Universe 12.11.24'!$E$2:$E$1621,"")</f>
        <v>Technology</v>
      </c>
    </row>
    <row r="3395" spans="1:6" x14ac:dyDescent="0.25">
      <c r="A3395" s="140">
        <v>45721.291666666664</v>
      </c>
      <c r="B3395" t="s">
        <v>2890</v>
      </c>
      <c r="C3395" t="s">
        <v>3672</v>
      </c>
      <c r="D3395" s="6" t="str">
        <f>_xlfn.XLOOKUP(B3395,Indices!$A$2:$A$2676,Indices!$B$2:$B$2676,"")</f>
        <v/>
      </c>
      <c r="E3395" t="str">
        <f>_xlfn.XLOOKUP(B3395,'2025-Q1'!$A$402:$A$448,'2025-Q1'!$A$402:$A$448,"avail")</f>
        <v>avail</v>
      </c>
      <c r="F3395" t="str">
        <f>_xlfn.XLOOKUP(B3395,'[2]!! -- Stock Universe 12.11.24'!$C$2:$C$1621,'[2]!! -- Stock Universe 12.11.24'!$E$2:$E$1621,"")</f>
        <v/>
      </c>
    </row>
    <row r="3396" spans="1:6" x14ac:dyDescent="0.25">
      <c r="A3396" s="140">
        <v>45721.291666666664</v>
      </c>
      <c r="B3396" t="s">
        <v>3693</v>
      </c>
      <c r="C3396" t="s">
        <v>3683</v>
      </c>
      <c r="D3396" s="6" t="str">
        <f>_xlfn.XLOOKUP(B3396,Indices!$A$2:$A$2676,Indices!$B$2:$B$2676,"")</f>
        <v/>
      </c>
      <c r="E3396" t="str">
        <f>_xlfn.XLOOKUP(B3396,'2025-Q1'!$A$402:$A$448,'2025-Q1'!$A$402:$A$448,"avail")</f>
        <v>avail</v>
      </c>
      <c r="F3396" t="str">
        <f>_xlfn.XLOOKUP(B3396,'[2]!! -- Stock Universe 12.11.24'!$C$2:$C$1621,'[2]!! -- Stock Universe 12.11.24'!$E$2:$E$1621,"")</f>
        <v/>
      </c>
    </row>
    <row r="3397" spans="1:6" x14ac:dyDescent="0.25">
      <c r="A3397" s="140">
        <v>45721.291666666664</v>
      </c>
      <c r="B3397" t="s">
        <v>1197</v>
      </c>
      <c r="C3397" t="s">
        <v>3672</v>
      </c>
      <c r="D3397" s="6" t="str">
        <f>_xlfn.XLOOKUP(B3397,Indices!$A$2:$A$2676,Indices!$B$2:$B$2676,"")</f>
        <v>IWM</v>
      </c>
      <c r="E3397" t="str">
        <f>_xlfn.XLOOKUP(B3397,'2025-Q1'!$A$402:$A$448,'2025-Q1'!$A$402:$A$448,"avail")</f>
        <v>avail</v>
      </c>
      <c r="F3397" t="str">
        <f>_xlfn.XLOOKUP(B3397,'[2]!! -- Stock Universe 12.11.24'!$C$2:$C$1621,'[2]!! -- Stock Universe 12.11.24'!$E$2:$E$1621,"")</f>
        <v>Technology</v>
      </c>
    </row>
    <row r="3398" spans="1:6" x14ac:dyDescent="0.25">
      <c r="A3398" s="140">
        <v>45721.291666666664</v>
      </c>
      <c r="B3398" t="s">
        <v>1198</v>
      </c>
      <c r="C3398" t="s">
        <v>3672</v>
      </c>
      <c r="D3398" s="6" t="str">
        <f>_xlfn.XLOOKUP(B3398,Indices!$A$2:$A$2676,Indices!$B$2:$B$2676,"")</f>
        <v>S&amp;P Mid</v>
      </c>
      <c r="E3398" t="str">
        <f>_xlfn.XLOOKUP(B3398,'2025-Q1'!$A$402:$A$448,'2025-Q1'!$A$402:$A$448,"avail")</f>
        <v>avail</v>
      </c>
      <c r="F3398" t="str">
        <f>_xlfn.XLOOKUP(B3398,'[2]!! -- Stock Universe 12.11.24'!$C$2:$C$1621,'[2]!! -- Stock Universe 12.11.24'!$E$2:$E$1621,"")</f>
        <v>Consumer Cyclical</v>
      </c>
    </row>
    <row r="3399" spans="1:6" x14ac:dyDescent="0.25">
      <c r="A3399" s="140">
        <v>45721.291666666664</v>
      </c>
      <c r="B3399" t="s">
        <v>1149</v>
      </c>
      <c r="C3399" t="s">
        <v>3672</v>
      </c>
      <c r="D3399" s="6" t="str">
        <f>_xlfn.XLOOKUP(B3399,Indices!$A$2:$A$2676,Indices!$B$2:$B$2676,"")</f>
        <v>IWM</v>
      </c>
      <c r="E3399" t="str">
        <f>_xlfn.XLOOKUP(B3399,'2025-Q1'!$A$402:$A$448,'2025-Q1'!$A$402:$A$448,"avail")</f>
        <v>ANF</v>
      </c>
      <c r="F3399" t="str">
        <f>_xlfn.XLOOKUP(B3399,'[2]!! -- Stock Universe 12.11.24'!$C$2:$C$1621,'[2]!! -- Stock Universe 12.11.24'!$E$2:$E$1621,"")</f>
        <v>Consumer Cyclical</v>
      </c>
    </row>
    <row r="3400" spans="1:6" x14ac:dyDescent="0.25">
      <c r="A3400" s="140">
        <v>45721.291666666664</v>
      </c>
      <c r="B3400" t="s">
        <v>3447</v>
      </c>
      <c r="C3400" t="s">
        <v>3672</v>
      </c>
      <c r="D3400" s="6" t="str">
        <f>_xlfn.XLOOKUP(B3400,Indices!$A$2:$A$2676,Indices!$B$2:$B$2676,"")</f>
        <v/>
      </c>
      <c r="E3400" t="str">
        <f>_xlfn.XLOOKUP(B3400,'2025-Q1'!$A$402:$A$448,'2025-Q1'!$A$402:$A$448,"avail")</f>
        <v>avail</v>
      </c>
      <c r="F3400" t="str">
        <f>_xlfn.XLOOKUP(B3400,'[2]!! -- Stock Universe 12.11.24'!$C$2:$C$1621,'[2]!! -- Stock Universe 12.11.24'!$E$2:$E$1621,"")</f>
        <v/>
      </c>
    </row>
    <row r="3401" spans="1:6" x14ac:dyDescent="0.25">
      <c r="A3401" s="140">
        <v>45721.291666666664</v>
      </c>
      <c r="B3401" t="s">
        <v>3647</v>
      </c>
      <c r="C3401" t="s">
        <v>3672</v>
      </c>
      <c r="D3401" s="6" t="str">
        <f>_xlfn.XLOOKUP(B3401,Indices!$A$2:$A$2676,Indices!$B$2:$B$2676,"")</f>
        <v/>
      </c>
      <c r="E3401" t="str">
        <f>_xlfn.XLOOKUP(B3401,'2025-Q1'!$A$402:$A$448,'2025-Q1'!$A$402:$A$448,"avail")</f>
        <v>avail</v>
      </c>
      <c r="F3401" t="str">
        <f>_xlfn.XLOOKUP(B3401,'[2]!! -- Stock Universe 12.11.24'!$C$2:$C$1621,'[2]!! -- Stock Universe 12.11.24'!$E$2:$E$1621,"")</f>
        <v/>
      </c>
    </row>
    <row r="3402" spans="1:6" x14ac:dyDescent="0.25">
      <c r="A3402" s="140">
        <v>45721.291666666664</v>
      </c>
      <c r="B3402" t="s">
        <v>54</v>
      </c>
      <c r="C3402" t="s">
        <v>3672</v>
      </c>
      <c r="D3402" s="6" t="str">
        <f>_xlfn.XLOOKUP(B3402,Indices!$A$2:$A$2676,Indices!$B$2:$B$2676,"")</f>
        <v>IWM</v>
      </c>
      <c r="E3402" t="str">
        <f>_xlfn.XLOOKUP(B3402,'2025-Q1'!$A$402:$A$448,'2025-Q1'!$A$402:$A$448,"avail")</f>
        <v>avail</v>
      </c>
      <c r="F3402" t="str">
        <f>_xlfn.XLOOKUP(B3402,'[2]!! -- Stock Universe 12.11.24'!$C$2:$C$1621,'[2]!! -- Stock Universe 12.11.24'!$E$2:$E$1621,"")</f>
        <v>Healthcare</v>
      </c>
    </row>
    <row r="3403" spans="1:6" x14ac:dyDescent="0.25">
      <c r="A3403" s="140">
        <v>45721.291666666664</v>
      </c>
      <c r="B3403" t="s">
        <v>3639</v>
      </c>
      <c r="C3403" t="s">
        <v>3672</v>
      </c>
      <c r="D3403" s="6" t="str">
        <f>_xlfn.XLOOKUP(B3403,Indices!$A$2:$A$2676,Indices!$B$2:$B$2676,"")</f>
        <v/>
      </c>
      <c r="E3403" t="str">
        <f>_xlfn.XLOOKUP(B3403,'2025-Q1'!$A$402:$A$448,'2025-Q1'!$A$402:$A$448,"avail")</f>
        <v>avail</v>
      </c>
      <c r="F3403" t="str">
        <f>_xlfn.XLOOKUP(B3403,'[2]!! -- Stock Universe 12.11.24'!$C$2:$C$1621,'[2]!! -- Stock Universe 12.11.24'!$E$2:$E$1621,"")</f>
        <v/>
      </c>
    </row>
    <row r="3404" spans="1:6" x14ac:dyDescent="0.25">
      <c r="A3404" s="140">
        <v>45721.291666666664</v>
      </c>
      <c r="B3404" t="s">
        <v>3674</v>
      </c>
      <c r="C3404" t="s">
        <v>3672</v>
      </c>
      <c r="D3404" s="6" t="str">
        <f>_xlfn.XLOOKUP(B3404,Indices!$A$2:$A$2676,Indices!$B$2:$B$2676,"")</f>
        <v/>
      </c>
      <c r="E3404" t="str">
        <f>_xlfn.XLOOKUP(B3404,'2025-Q1'!$A$402:$A$448,'2025-Q1'!$A$402:$A$448,"avail")</f>
        <v>avail</v>
      </c>
      <c r="F3404" t="str">
        <f>_xlfn.XLOOKUP(B3404,'[2]!! -- Stock Universe 12.11.24'!$C$2:$C$1621,'[2]!! -- Stock Universe 12.11.24'!$E$2:$E$1621,"")</f>
        <v/>
      </c>
    </row>
    <row r="3405" spans="1:6" x14ac:dyDescent="0.25">
      <c r="A3405" s="140">
        <v>45721.291666666664</v>
      </c>
      <c r="B3405" t="s">
        <v>3779</v>
      </c>
      <c r="C3405" t="s">
        <v>3672</v>
      </c>
      <c r="D3405" s="6" t="str">
        <f>_xlfn.XLOOKUP(B3405,Indices!$A$2:$A$2676,Indices!$B$2:$B$2676,"")</f>
        <v/>
      </c>
      <c r="E3405" t="str">
        <f>_xlfn.XLOOKUP(B3405,'2025-Q1'!$A$402:$A$448,'2025-Q1'!$A$402:$A$448,"avail")</f>
        <v>avail</v>
      </c>
      <c r="F3405" t="str">
        <f>_xlfn.XLOOKUP(B3405,'[2]!! -- Stock Universe 12.11.24'!$C$2:$C$1621,'[2]!! -- Stock Universe 12.11.24'!$E$2:$E$1621,"")</f>
        <v/>
      </c>
    </row>
    <row r="3406" spans="1:6" x14ac:dyDescent="0.25">
      <c r="A3406" s="140">
        <v>45721.291666666664</v>
      </c>
      <c r="B3406" t="s">
        <v>839</v>
      </c>
      <c r="C3406" t="s">
        <v>3672</v>
      </c>
      <c r="D3406" s="6" t="str">
        <f>_xlfn.XLOOKUP(B3406,Indices!$A$2:$A$2676,Indices!$B$2:$B$2676,"")</f>
        <v>IWM</v>
      </c>
      <c r="E3406" t="str">
        <f>_xlfn.XLOOKUP(B3406,'2025-Q1'!$A$402:$A$448,'2025-Q1'!$A$402:$A$448,"avail")</f>
        <v>avail</v>
      </c>
      <c r="F3406" t="str">
        <f>_xlfn.XLOOKUP(B3406,'[2]!! -- Stock Universe 12.11.24'!$C$2:$C$1621,'[2]!! -- Stock Universe 12.11.24'!$E$2:$E$1621,"")</f>
        <v/>
      </c>
    </row>
    <row r="3407" spans="1:6" x14ac:dyDescent="0.25">
      <c r="A3407" s="140">
        <v>45721.291666666664</v>
      </c>
      <c r="B3407" t="s">
        <v>3353</v>
      </c>
      <c r="C3407" t="s">
        <v>3672</v>
      </c>
      <c r="D3407" s="6" t="str">
        <f>_xlfn.XLOOKUP(B3407,Indices!$A$2:$A$2676,Indices!$B$2:$B$2676,"")</f>
        <v/>
      </c>
      <c r="E3407" t="str">
        <f>_xlfn.XLOOKUP(B3407,'2025-Q1'!$A$402:$A$448,'2025-Q1'!$A$402:$A$448,"avail")</f>
        <v>avail</v>
      </c>
      <c r="F3407" t="str">
        <f>_xlfn.XLOOKUP(B3407,'[2]!! -- Stock Universe 12.11.24'!$C$2:$C$1621,'[2]!! -- Stock Universe 12.11.24'!$E$2:$E$1621,"")</f>
        <v/>
      </c>
    </row>
    <row r="3408" spans="1:6" x14ac:dyDescent="0.25">
      <c r="A3408" s="140">
        <v>45721.291666666664</v>
      </c>
      <c r="B3408" t="s">
        <v>1201</v>
      </c>
      <c r="C3408" t="s">
        <v>3672</v>
      </c>
      <c r="D3408" s="6" t="str">
        <f>_xlfn.XLOOKUP(B3408,Indices!$A$2:$A$2676,Indices!$B$2:$B$2676,"")</f>
        <v>SP500</v>
      </c>
      <c r="E3408" t="str">
        <f>_xlfn.XLOOKUP(B3408,'2025-Q1'!$A$402:$A$448,'2025-Q1'!$A$402:$A$448,"avail")</f>
        <v>CPB</v>
      </c>
      <c r="F3408" t="str">
        <f>_xlfn.XLOOKUP(B3408,'[2]!! -- Stock Universe 12.11.24'!$C$2:$C$1621,'[2]!! -- Stock Universe 12.11.24'!$E$2:$E$1621,"")</f>
        <v>Consumer Defensive</v>
      </c>
    </row>
    <row r="3409" spans="1:6" x14ac:dyDescent="0.25">
      <c r="A3409" s="140">
        <v>45721.291666666664</v>
      </c>
      <c r="B3409" t="s">
        <v>303</v>
      </c>
      <c r="C3409" t="s">
        <v>3683</v>
      </c>
      <c r="D3409" s="6" t="str">
        <f>_xlfn.XLOOKUP(B3409,Indices!$A$2:$A$2676,Indices!$B$2:$B$2676,"")</f>
        <v>IWM</v>
      </c>
      <c r="E3409" t="str">
        <f>_xlfn.XLOOKUP(B3409,'2025-Q1'!$A$402:$A$448,'2025-Q1'!$A$402:$A$448,"avail")</f>
        <v>avail</v>
      </c>
      <c r="F3409" t="str">
        <f>_xlfn.XLOOKUP(B3409,'[2]!! -- Stock Universe 12.11.24'!$C$2:$C$1621,'[2]!! -- Stock Universe 12.11.24'!$E$2:$E$1621,"")</f>
        <v/>
      </c>
    </row>
    <row r="3410" spans="1:6" x14ac:dyDescent="0.25">
      <c r="A3410" s="140">
        <v>45721.291666666664</v>
      </c>
      <c r="B3410" t="s">
        <v>1202</v>
      </c>
      <c r="C3410" t="s">
        <v>3672</v>
      </c>
      <c r="D3410" s="6" t="str">
        <f>_xlfn.XLOOKUP(B3410,Indices!$A$2:$A$2676,Indices!$B$2:$B$2676,"")</f>
        <v>IWM</v>
      </c>
      <c r="E3410" t="str">
        <f>_xlfn.XLOOKUP(B3410,'2025-Q1'!$A$402:$A$448,'2025-Q1'!$A$402:$A$448,"avail")</f>
        <v>FL</v>
      </c>
      <c r="F3410" t="str">
        <f>_xlfn.XLOOKUP(B3410,'[2]!! -- Stock Universe 12.11.24'!$C$2:$C$1621,'[2]!! -- Stock Universe 12.11.24'!$E$2:$E$1621,"")</f>
        <v>Consumer Cyclical</v>
      </c>
    </row>
    <row r="3411" spans="1:6" x14ac:dyDescent="0.25">
      <c r="A3411" s="140">
        <v>45721.291666666664</v>
      </c>
      <c r="B3411" t="s">
        <v>3680</v>
      </c>
      <c r="C3411" t="s">
        <v>3672</v>
      </c>
      <c r="D3411" s="6" t="str">
        <f>_xlfn.XLOOKUP(B3411,Indices!$A$2:$A$2676,Indices!$B$2:$B$2676,"")</f>
        <v/>
      </c>
      <c r="E3411" t="str">
        <f>_xlfn.XLOOKUP(B3411,'2025-Q1'!$A$402:$A$448,'2025-Q1'!$A$402:$A$448,"avail")</f>
        <v>avail</v>
      </c>
      <c r="F3411" t="str">
        <f>_xlfn.XLOOKUP(B3411,'[2]!! -- Stock Universe 12.11.24'!$C$2:$C$1621,'[2]!! -- Stock Universe 12.11.24'!$E$2:$E$1621,"")</f>
        <v/>
      </c>
    </row>
    <row r="3412" spans="1:6" x14ac:dyDescent="0.25">
      <c r="A3412" s="140">
        <v>45721.291666666664</v>
      </c>
      <c r="B3412" t="s">
        <v>317</v>
      </c>
      <c r="C3412" t="s">
        <v>3672</v>
      </c>
      <c r="D3412" s="6" t="str">
        <f>_xlfn.XLOOKUP(B3412,Indices!$A$2:$A$2676,Indices!$B$2:$B$2676,"")</f>
        <v>IWM</v>
      </c>
      <c r="E3412" t="str">
        <f>_xlfn.XLOOKUP(B3412,'2025-Q1'!$A$402:$A$448,'2025-Q1'!$A$402:$A$448,"avail")</f>
        <v>avail</v>
      </c>
      <c r="F3412" t="str">
        <f>_xlfn.XLOOKUP(B3412,'[2]!! -- Stock Universe 12.11.24'!$C$2:$C$1621,'[2]!! -- Stock Universe 12.11.24'!$E$2:$E$1621,"")</f>
        <v>Technology</v>
      </c>
    </row>
    <row r="3413" spans="1:6" x14ac:dyDescent="0.25">
      <c r="A3413" s="140">
        <v>45721.291666666664</v>
      </c>
      <c r="B3413" t="s">
        <v>3687</v>
      </c>
      <c r="C3413" t="s">
        <v>3672</v>
      </c>
      <c r="D3413" s="6" t="str">
        <f>_xlfn.XLOOKUP(B3413,Indices!$A$2:$A$2676,Indices!$B$2:$B$2676,"")</f>
        <v/>
      </c>
      <c r="E3413" t="str">
        <f>_xlfn.XLOOKUP(B3413,'2025-Q1'!$A$402:$A$448,'2025-Q1'!$A$402:$A$448,"avail")</f>
        <v>avail</v>
      </c>
      <c r="F3413" t="str">
        <f>_xlfn.XLOOKUP(B3413,'[2]!! -- Stock Universe 12.11.24'!$C$2:$C$1621,'[2]!! -- Stock Universe 12.11.24'!$E$2:$E$1621,"")</f>
        <v/>
      </c>
    </row>
    <row r="3414" spans="1:6" x14ac:dyDescent="0.25">
      <c r="A3414" s="140">
        <v>45721.291666666664</v>
      </c>
      <c r="B3414" t="s">
        <v>3734</v>
      </c>
      <c r="C3414" t="s">
        <v>3672</v>
      </c>
      <c r="D3414" s="6" t="str">
        <f>_xlfn.XLOOKUP(B3414,Indices!$A$2:$A$2676,Indices!$B$2:$B$2676,"")</f>
        <v/>
      </c>
      <c r="E3414" t="str">
        <f>_xlfn.XLOOKUP(B3414,'2025-Q1'!$A$402:$A$448,'2025-Q1'!$A$402:$A$448,"avail")</f>
        <v>avail</v>
      </c>
      <c r="F3414" t="str">
        <f>_xlfn.XLOOKUP(B3414,'[2]!! -- Stock Universe 12.11.24'!$C$2:$C$1621,'[2]!! -- Stock Universe 12.11.24'!$E$2:$E$1621,"")</f>
        <v/>
      </c>
    </row>
    <row r="3415" spans="1:6" x14ac:dyDescent="0.25">
      <c r="A3415" s="140">
        <v>45721.291666666664</v>
      </c>
      <c r="B3415" t="s">
        <v>3677</v>
      </c>
      <c r="C3415" t="s">
        <v>3672</v>
      </c>
      <c r="D3415" s="6" t="str">
        <f>_xlfn.XLOOKUP(B3415,Indices!$A$2:$A$2676,Indices!$B$2:$B$2676,"")</f>
        <v/>
      </c>
      <c r="E3415" t="str">
        <f>_xlfn.XLOOKUP(B3415,'2025-Q1'!$A$402:$A$448,'2025-Q1'!$A$402:$A$448,"avail")</f>
        <v>avail</v>
      </c>
      <c r="F3415" t="str">
        <f>_xlfn.XLOOKUP(B3415,'[2]!! -- Stock Universe 12.11.24'!$C$2:$C$1621,'[2]!! -- Stock Universe 12.11.24'!$E$2:$E$1621,"")</f>
        <v/>
      </c>
    </row>
    <row r="3416" spans="1:6" x14ac:dyDescent="0.25">
      <c r="A3416" s="140">
        <v>45721.291666666664</v>
      </c>
      <c r="B3416" t="s">
        <v>3673</v>
      </c>
      <c r="C3416" t="s">
        <v>3672</v>
      </c>
      <c r="D3416" s="6" t="str">
        <f>_xlfn.XLOOKUP(B3416,Indices!$A$2:$A$2676,Indices!$B$2:$B$2676,"")</f>
        <v/>
      </c>
      <c r="E3416" t="str">
        <f>_xlfn.XLOOKUP(B3416,'2025-Q1'!$A$402:$A$448,'2025-Q1'!$A$402:$A$448,"avail")</f>
        <v>avail</v>
      </c>
      <c r="F3416" t="str">
        <f>_xlfn.XLOOKUP(B3416,'[2]!! -- Stock Universe 12.11.24'!$C$2:$C$1621,'[2]!! -- Stock Universe 12.11.24'!$E$2:$E$1621,"")</f>
        <v/>
      </c>
    </row>
    <row r="3417" spans="1:6" x14ac:dyDescent="0.25">
      <c r="A3417" s="140">
        <v>45721.291666666664</v>
      </c>
      <c r="B3417" t="s">
        <v>3744</v>
      </c>
      <c r="C3417" t="s">
        <v>3672</v>
      </c>
      <c r="D3417" s="6" t="str">
        <f>_xlfn.XLOOKUP(B3417,Indices!$A$2:$A$2676,Indices!$B$2:$B$2676,"")</f>
        <v/>
      </c>
      <c r="E3417" t="str">
        <f>_xlfn.XLOOKUP(B3417,'2025-Q1'!$A$402:$A$448,'2025-Q1'!$A$402:$A$448,"avail")</f>
        <v>avail</v>
      </c>
      <c r="F3417" t="str">
        <f>_xlfn.XLOOKUP(B3417,'[2]!! -- Stock Universe 12.11.24'!$C$2:$C$1621,'[2]!! -- Stock Universe 12.11.24'!$E$2:$E$1621,"")</f>
        <v/>
      </c>
    </row>
    <row r="3418" spans="1:6" x14ac:dyDescent="0.25">
      <c r="A3418" s="140">
        <v>45721.291666666664</v>
      </c>
      <c r="B3418" t="s">
        <v>3675</v>
      </c>
      <c r="C3418" t="s">
        <v>3672</v>
      </c>
      <c r="D3418" s="6" t="str">
        <f>_xlfn.XLOOKUP(B3418,Indices!$A$2:$A$2676,Indices!$B$2:$B$2676,"")</f>
        <v/>
      </c>
      <c r="E3418" t="str">
        <f>_xlfn.XLOOKUP(B3418,'2025-Q1'!$A$402:$A$448,'2025-Q1'!$A$402:$A$448,"avail")</f>
        <v>avail</v>
      </c>
      <c r="F3418" t="str">
        <f>_xlfn.XLOOKUP(B3418,'[2]!! -- Stock Universe 12.11.24'!$C$2:$C$1621,'[2]!! -- Stock Universe 12.11.24'!$E$2:$E$1621,"")</f>
        <v/>
      </c>
    </row>
    <row r="3419" spans="1:6" x14ac:dyDescent="0.25">
      <c r="A3419" s="140">
        <v>45721.291666666664</v>
      </c>
      <c r="B3419" t="s">
        <v>3689</v>
      </c>
      <c r="C3419" t="s">
        <v>3672</v>
      </c>
      <c r="D3419" s="6" t="str">
        <f>_xlfn.XLOOKUP(B3419,Indices!$A$2:$A$2676,Indices!$B$2:$B$2676,"")</f>
        <v/>
      </c>
      <c r="E3419" t="str">
        <f>_xlfn.XLOOKUP(B3419,'2025-Q1'!$A$402:$A$448,'2025-Q1'!$A$402:$A$448,"avail")</f>
        <v>avail</v>
      </c>
      <c r="F3419" t="str">
        <f>_xlfn.XLOOKUP(B3419,'[2]!! -- Stock Universe 12.11.24'!$C$2:$C$1621,'[2]!! -- Stock Universe 12.11.24'!$E$2:$E$1621,"")</f>
        <v/>
      </c>
    </row>
    <row r="3420" spans="1:6" x14ac:dyDescent="0.25">
      <c r="A3420" s="140">
        <v>45721.291666666664</v>
      </c>
      <c r="B3420" t="s">
        <v>3770</v>
      </c>
      <c r="C3420" t="s">
        <v>3683</v>
      </c>
      <c r="D3420" s="6" t="str">
        <f>_xlfn.XLOOKUP(B3420,Indices!$A$2:$A$2676,Indices!$B$2:$B$2676,"")</f>
        <v/>
      </c>
      <c r="E3420" t="str">
        <f>_xlfn.XLOOKUP(B3420,'2025-Q1'!$A$402:$A$448,'2025-Q1'!$A$402:$A$448,"avail")</f>
        <v>avail</v>
      </c>
      <c r="F3420" t="str">
        <f>_xlfn.XLOOKUP(B3420,'[2]!! -- Stock Universe 12.11.24'!$C$2:$C$1621,'[2]!! -- Stock Universe 12.11.24'!$E$2:$E$1621,"")</f>
        <v/>
      </c>
    </row>
    <row r="3421" spans="1:6" x14ac:dyDescent="0.25">
      <c r="A3421" s="140">
        <v>45721.291666666664</v>
      </c>
      <c r="B3421" t="s">
        <v>1259</v>
      </c>
      <c r="C3421" t="s">
        <v>3672</v>
      </c>
      <c r="D3421" s="6" t="str">
        <f>_xlfn.XLOOKUP(B3421,Indices!$A$2:$A$2676,Indices!$B$2:$B$2676,"")</f>
        <v>IWM</v>
      </c>
      <c r="E3421" t="str">
        <f>_xlfn.XLOOKUP(B3421,'2025-Q1'!$A$402:$A$448,'2025-Q1'!$A$402:$A$448,"avail")</f>
        <v>REVG</v>
      </c>
      <c r="F3421" t="str">
        <f>_xlfn.XLOOKUP(B3421,'[2]!! -- Stock Universe 12.11.24'!$C$2:$C$1621,'[2]!! -- Stock Universe 12.11.24'!$E$2:$E$1621,"")</f>
        <v>Industrials</v>
      </c>
    </row>
    <row r="3422" spans="1:6" x14ac:dyDescent="0.25">
      <c r="A3422" s="140">
        <v>45721.291666666664</v>
      </c>
      <c r="B3422" t="s">
        <v>3692</v>
      </c>
      <c r="C3422" t="s">
        <v>3672</v>
      </c>
      <c r="D3422" s="6" t="str">
        <f>_xlfn.XLOOKUP(B3422,Indices!$A$2:$A$2676,Indices!$B$2:$B$2676,"")</f>
        <v/>
      </c>
      <c r="E3422" t="str">
        <f>_xlfn.XLOOKUP(B3422,'2025-Q1'!$A$402:$A$448,'2025-Q1'!$A$402:$A$448,"avail")</f>
        <v>avail</v>
      </c>
      <c r="F3422" t="str">
        <f>_xlfn.XLOOKUP(B3422,'[2]!! -- Stock Universe 12.11.24'!$C$2:$C$1621,'[2]!! -- Stock Universe 12.11.24'!$E$2:$E$1621,"")</f>
        <v>Financial</v>
      </c>
    </row>
    <row r="3423" spans="1:6" x14ac:dyDescent="0.25">
      <c r="A3423" s="140">
        <v>45721.291666666664</v>
      </c>
      <c r="B3423" t="s">
        <v>1196</v>
      </c>
      <c r="C3423" t="s">
        <v>3672</v>
      </c>
      <c r="D3423" s="6" t="str">
        <f>_xlfn.XLOOKUP(B3423,Indices!$A$2:$A$2676,Indices!$B$2:$B$2676,"")</f>
        <v>IWM</v>
      </c>
      <c r="E3423" t="str">
        <f>_xlfn.XLOOKUP(B3423,'2025-Q1'!$A$402:$A$448,'2025-Q1'!$A$402:$A$448,"avail")</f>
        <v>avail</v>
      </c>
      <c r="F3423" t="str">
        <f>_xlfn.XLOOKUP(B3423,'[2]!! -- Stock Universe 12.11.24'!$C$2:$C$1621,'[2]!! -- Stock Universe 12.11.24'!$E$2:$E$1621,"")</f>
        <v/>
      </c>
    </row>
    <row r="3424" spans="1:6" x14ac:dyDescent="0.25">
      <c r="A3424" s="140">
        <v>45721.291666666664</v>
      </c>
      <c r="B3424" t="s">
        <v>302</v>
      </c>
      <c r="C3424" t="s">
        <v>3672</v>
      </c>
      <c r="D3424" s="6" t="str">
        <f>_xlfn.XLOOKUP(B3424,Indices!$A$2:$A$2676,Indices!$B$2:$B$2676,"")</f>
        <v>IWM</v>
      </c>
      <c r="E3424" t="str">
        <f>_xlfn.XLOOKUP(B3424,'2025-Q1'!$A$402:$A$448,'2025-Q1'!$A$402:$A$448,"avail")</f>
        <v>avail</v>
      </c>
      <c r="F3424" t="str">
        <f>_xlfn.XLOOKUP(B3424,'[2]!! -- Stock Universe 12.11.24'!$C$2:$C$1621,'[2]!! -- Stock Universe 12.11.24'!$E$2:$E$1621,"")</f>
        <v>Consumer Cyclical</v>
      </c>
    </row>
    <row r="3425" spans="1:6" x14ac:dyDescent="0.25">
      <c r="A3425" s="140">
        <v>45721.291666666664</v>
      </c>
      <c r="B3425" t="s">
        <v>3682</v>
      </c>
      <c r="C3425" t="s">
        <v>3683</v>
      </c>
      <c r="D3425" s="6" t="str">
        <f>_xlfn.XLOOKUP(B3425,Indices!$A$2:$A$2676,Indices!$B$2:$B$2676,"")</f>
        <v/>
      </c>
      <c r="E3425" t="str">
        <f>_xlfn.XLOOKUP(B3425,'2025-Q1'!$A$402:$A$448,'2025-Q1'!$A$402:$A$448,"avail")</f>
        <v>avail</v>
      </c>
      <c r="F3425" t="str">
        <f>_xlfn.XLOOKUP(B3425,'[2]!! -- Stock Universe 12.11.24'!$C$2:$C$1621,'[2]!! -- Stock Universe 12.11.24'!$E$2:$E$1621,"")</f>
        <v/>
      </c>
    </row>
    <row r="3426" spans="1:6" x14ac:dyDescent="0.25">
      <c r="A3426" s="140">
        <v>45721.291666666664</v>
      </c>
      <c r="B3426" t="s">
        <v>3637</v>
      </c>
      <c r="C3426" t="s">
        <v>3672</v>
      </c>
      <c r="D3426" s="6" t="str">
        <f>_xlfn.XLOOKUP(B3426,Indices!$A$2:$A$2676,Indices!$B$2:$B$2676,"")</f>
        <v/>
      </c>
      <c r="E3426" t="str">
        <f>_xlfn.XLOOKUP(B3426,'2025-Q1'!$A$402:$A$448,'2025-Q1'!$A$402:$A$448,"avail")</f>
        <v>avail</v>
      </c>
      <c r="F3426" t="str">
        <f>_xlfn.XLOOKUP(B3426,'[2]!! -- Stock Universe 12.11.24'!$C$2:$C$1621,'[2]!! -- Stock Universe 12.11.24'!$E$2:$E$1621,"")</f>
        <v/>
      </c>
    </row>
    <row r="3427" spans="1:6" x14ac:dyDescent="0.25">
      <c r="A3427" s="140">
        <v>45721.291666666664</v>
      </c>
      <c r="B3427" t="s">
        <v>3755</v>
      </c>
      <c r="C3427" t="s">
        <v>3672</v>
      </c>
      <c r="D3427" s="6" t="str">
        <f>_xlfn.XLOOKUP(B3427,Indices!$A$2:$A$2676,Indices!$B$2:$B$2676,"")</f>
        <v/>
      </c>
      <c r="E3427" t="str">
        <f>_xlfn.XLOOKUP(B3427,'2025-Q1'!$A$402:$A$448,'2025-Q1'!$A$402:$A$448,"avail")</f>
        <v>avail</v>
      </c>
      <c r="F3427" t="str">
        <f>_xlfn.XLOOKUP(B3427,'[2]!! -- Stock Universe 12.11.24'!$C$2:$C$1621,'[2]!! -- Stock Universe 12.11.24'!$E$2:$E$1621,"")</f>
        <v/>
      </c>
    </row>
    <row r="3428" spans="1:6" x14ac:dyDescent="0.25">
      <c r="A3428" s="140">
        <v>45721.291666666664</v>
      </c>
      <c r="B3428" t="s">
        <v>3686</v>
      </c>
      <c r="C3428" t="s">
        <v>3672</v>
      </c>
      <c r="D3428" s="6" t="str">
        <f>_xlfn.XLOOKUP(B3428,Indices!$A$2:$A$2676,Indices!$B$2:$B$2676,"")</f>
        <v/>
      </c>
      <c r="E3428" t="str">
        <f>_xlfn.XLOOKUP(B3428,'2025-Q1'!$A$402:$A$448,'2025-Q1'!$A$402:$A$448,"avail")</f>
        <v>avail</v>
      </c>
      <c r="F3428" t="str">
        <f>_xlfn.XLOOKUP(B3428,'[2]!! -- Stock Universe 12.11.24'!$C$2:$C$1621,'[2]!! -- Stock Universe 12.11.24'!$E$2:$E$1621,"")</f>
        <v/>
      </c>
    </row>
    <row r="3429" spans="1:6" x14ac:dyDescent="0.25">
      <c r="A3429" s="140">
        <v>45721.291666666664</v>
      </c>
      <c r="B3429" t="s">
        <v>582</v>
      </c>
      <c r="C3429" t="s">
        <v>3672</v>
      </c>
      <c r="D3429" s="6" t="str">
        <f>_xlfn.XLOOKUP(B3429,Indices!$A$2:$A$2676,Indices!$B$2:$B$2676,"")</f>
        <v>IWM</v>
      </c>
      <c r="E3429" t="str">
        <f>_xlfn.XLOOKUP(B3429,'2025-Q1'!$A$402:$A$448,'2025-Q1'!$A$402:$A$448,"avail")</f>
        <v>avail</v>
      </c>
      <c r="F3429" t="str">
        <f>_xlfn.XLOOKUP(B3429,'[2]!! -- Stock Universe 12.11.24'!$C$2:$C$1621,'[2]!! -- Stock Universe 12.11.24'!$E$2:$E$1621,"")</f>
        <v>Healthcare</v>
      </c>
    </row>
    <row r="3430" spans="1:6" x14ac:dyDescent="0.25">
      <c r="A3430" s="140">
        <v>45721.458333333336</v>
      </c>
      <c r="B3430" t="s">
        <v>327</v>
      </c>
      <c r="C3430" t="s">
        <v>3698</v>
      </c>
      <c r="D3430" s="6" t="str">
        <f>_xlfn.XLOOKUP(B3430,Indices!$A$2:$A$2676,Indices!$B$2:$B$2676,"")</f>
        <v>IWM</v>
      </c>
      <c r="E3430" t="str">
        <f>_xlfn.XLOOKUP(B3430,'2025-Q1'!$A$402:$A$448,'2025-Q1'!$A$402:$A$448,"avail")</f>
        <v>avail</v>
      </c>
      <c r="F3430" t="str">
        <f>_xlfn.XLOOKUP(B3430,'[2]!! -- Stock Universe 12.11.24'!$C$2:$C$1621,'[2]!! -- Stock Universe 12.11.24'!$E$2:$E$1621,"")</f>
        <v/>
      </c>
    </row>
    <row r="3431" spans="1:6" x14ac:dyDescent="0.25">
      <c r="A3431" s="140">
        <v>45721.625</v>
      </c>
      <c r="B3431" t="s">
        <v>3732</v>
      </c>
      <c r="C3431" t="s">
        <v>3699</v>
      </c>
      <c r="D3431" s="6" t="str">
        <f>_xlfn.XLOOKUP(B3431,Indices!$A$2:$A$2676,Indices!$B$2:$B$2676,"")</f>
        <v/>
      </c>
      <c r="E3431" t="str">
        <f>_xlfn.XLOOKUP(B3431,'2025-Q1'!$A$402:$A$448,'2025-Q1'!$A$402:$A$448,"avail")</f>
        <v>avail</v>
      </c>
      <c r="F3431" t="str">
        <f>_xlfn.XLOOKUP(B3431,'[2]!! -- Stock Universe 12.11.24'!$C$2:$C$1621,'[2]!! -- Stock Universe 12.11.24'!$E$2:$E$1621,"")</f>
        <v/>
      </c>
    </row>
    <row r="3432" spans="1:6" x14ac:dyDescent="0.25">
      <c r="A3432" s="140">
        <v>45721.625</v>
      </c>
      <c r="B3432" t="s">
        <v>3710</v>
      </c>
      <c r="C3432" t="s">
        <v>3699</v>
      </c>
      <c r="D3432" s="6" t="str">
        <f>_xlfn.XLOOKUP(B3432,Indices!$A$2:$A$2676,Indices!$B$2:$B$2676,"")</f>
        <v/>
      </c>
      <c r="E3432" t="str">
        <f>_xlfn.XLOOKUP(B3432,'2025-Q1'!$A$402:$A$448,'2025-Q1'!$A$402:$A$448,"avail")</f>
        <v>avail</v>
      </c>
      <c r="F3432" t="str">
        <f>_xlfn.XLOOKUP(B3432,'[2]!! -- Stock Universe 12.11.24'!$C$2:$C$1621,'[2]!! -- Stock Universe 12.11.24'!$E$2:$E$1621,"")</f>
        <v/>
      </c>
    </row>
    <row r="3433" spans="1:6" x14ac:dyDescent="0.25">
      <c r="A3433" s="140">
        <v>45721.625</v>
      </c>
      <c r="B3433" t="s">
        <v>3714</v>
      </c>
      <c r="C3433" t="s">
        <v>3699</v>
      </c>
      <c r="D3433" s="6" t="str">
        <f>_xlfn.XLOOKUP(B3433,Indices!$A$2:$A$2676,Indices!$B$2:$B$2676,"")</f>
        <v/>
      </c>
      <c r="E3433" t="str">
        <f>_xlfn.XLOOKUP(B3433,'2025-Q1'!$A$402:$A$448,'2025-Q1'!$A$402:$A$448,"avail")</f>
        <v>avail</v>
      </c>
      <c r="F3433" t="str">
        <f>_xlfn.XLOOKUP(B3433,'[2]!! -- Stock Universe 12.11.24'!$C$2:$C$1621,'[2]!! -- Stock Universe 12.11.24'!$E$2:$E$1621,"")</f>
        <v/>
      </c>
    </row>
    <row r="3434" spans="1:6" x14ac:dyDescent="0.25">
      <c r="A3434" s="140">
        <v>45721.625</v>
      </c>
      <c r="B3434" t="s">
        <v>3718</v>
      </c>
      <c r="C3434" t="s">
        <v>3699</v>
      </c>
      <c r="D3434" s="6" t="str">
        <f>_xlfn.XLOOKUP(B3434,Indices!$A$2:$A$2676,Indices!$B$2:$B$2676,"")</f>
        <v/>
      </c>
      <c r="E3434" t="str">
        <f>_xlfn.XLOOKUP(B3434,'2025-Q1'!$A$402:$A$448,'2025-Q1'!$A$402:$A$448,"avail")</f>
        <v>avail</v>
      </c>
      <c r="F3434" t="str">
        <f>_xlfn.XLOOKUP(B3434,'[2]!! -- Stock Universe 12.11.24'!$C$2:$C$1621,'[2]!! -- Stock Universe 12.11.24'!$E$2:$E$1621,"")</f>
        <v/>
      </c>
    </row>
    <row r="3435" spans="1:6" x14ac:dyDescent="0.25">
      <c r="A3435" s="140">
        <v>45721.625</v>
      </c>
      <c r="B3435" t="s">
        <v>3707</v>
      </c>
      <c r="C3435" t="s">
        <v>3699</v>
      </c>
      <c r="D3435" s="6" t="str">
        <f>_xlfn.XLOOKUP(B3435,Indices!$A$2:$A$2676,Indices!$B$2:$B$2676,"")</f>
        <v/>
      </c>
      <c r="E3435" t="str">
        <f>_xlfn.XLOOKUP(B3435,'2025-Q1'!$A$402:$A$448,'2025-Q1'!$A$402:$A$448,"avail")</f>
        <v>avail</v>
      </c>
      <c r="F3435" t="str">
        <f>_xlfn.XLOOKUP(B3435,'[2]!! -- Stock Universe 12.11.24'!$C$2:$C$1621,'[2]!! -- Stock Universe 12.11.24'!$E$2:$E$1621,"")</f>
        <v/>
      </c>
    </row>
    <row r="3436" spans="1:6" x14ac:dyDescent="0.25">
      <c r="A3436" s="140">
        <v>45721.625</v>
      </c>
      <c r="B3436" t="s">
        <v>440</v>
      </c>
      <c r="C3436" t="s">
        <v>3699</v>
      </c>
      <c r="D3436" s="6" t="str">
        <f>_xlfn.XLOOKUP(B3436,Indices!$A$2:$A$2676,Indices!$B$2:$B$2676,"")</f>
        <v>IWM</v>
      </c>
      <c r="E3436" t="str">
        <f>_xlfn.XLOOKUP(B3436,'2025-Q1'!$A$402:$A$448,'2025-Q1'!$A$402:$A$448,"avail")</f>
        <v>avail</v>
      </c>
      <c r="F3436" t="str">
        <f>_xlfn.XLOOKUP(B3436,'[2]!! -- Stock Universe 12.11.24'!$C$2:$C$1621,'[2]!! -- Stock Universe 12.11.24'!$E$2:$E$1621,"")</f>
        <v/>
      </c>
    </row>
    <row r="3437" spans="1:6" x14ac:dyDescent="0.25">
      <c r="A3437" s="140">
        <v>45721.625</v>
      </c>
      <c r="B3437" t="s">
        <v>497</v>
      </c>
      <c r="C3437" t="s">
        <v>3699</v>
      </c>
      <c r="D3437" s="6" t="str">
        <f>_xlfn.XLOOKUP(B3437,Indices!$A$2:$A$2676,Indices!$B$2:$B$2676,"")</f>
        <v>IWM</v>
      </c>
      <c r="E3437" t="str">
        <f>_xlfn.XLOOKUP(B3437,'2025-Q1'!$A$402:$A$448,'2025-Q1'!$A$402:$A$448,"avail")</f>
        <v>avail</v>
      </c>
      <c r="F3437" t="str">
        <f>_xlfn.XLOOKUP(B3437,'[2]!! -- Stock Universe 12.11.24'!$C$2:$C$1621,'[2]!! -- Stock Universe 12.11.24'!$E$2:$E$1621,"")</f>
        <v>Energy</v>
      </c>
    </row>
    <row r="3438" spans="1:6" x14ac:dyDescent="0.25">
      <c r="A3438" s="140">
        <v>45721.625</v>
      </c>
      <c r="B3438" t="s">
        <v>154</v>
      </c>
      <c r="C3438" t="s">
        <v>3699</v>
      </c>
      <c r="D3438" s="6" t="str">
        <f>_xlfn.XLOOKUP(B3438,Indices!$A$2:$A$2676,Indices!$B$2:$B$2676,"")</f>
        <v>IWM</v>
      </c>
      <c r="E3438" t="str">
        <f>_xlfn.XLOOKUP(B3438,'2025-Q1'!$A$402:$A$448,'2025-Q1'!$A$402:$A$448,"avail")</f>
        <v>avail</v>
      </c>
      <c r="F3438" t="str">
        <f>_xlfn.XLOOKUP(B3438,'[2]!! -- Stock Universe 12.11.24'!$C$2:$C$1621,'[2]!! -- Stock Universe 12.11.24'!$E$2:$E$1621,"")</f>
        <v>Healthcare</v>
      </c>
    </row>
    <row r="3439" spans="1:6" x14ac:dyDescent="0.25">
      <c r="A3439" s="140">
        <v>45721.625</v>
      </c>
      <c r="B3439" t="s">
        <v>1177</v>
      </c>
      <c r="C3439" t="s">
        <v>3699</v>
      </c>
      <c r="D3439" s="6" t="str">
        <f>_xlfn.XLOOKUP(B3439,Indices!$A$2:$A$2676,Indices!$B$2:$B$2676,"")</f>
        <v>NQ100</v>
      </c>
      <c r="E3439" t="str">
        <f>_xlfn.XLOOKUP(B3439,'2025-Q1'!$A$402:$A$448,'2025-Q1'!$A$402:$A$448,"avail")</f>
        <v>ZS</v>
      </c>
      <c r="F3439" t="str">
        <f>_xlfn.XLOOKUP(B3439,'[2]!! -- Stock Universe 12.11.24'!$C$2:$C$1621,'[2]!! -- Stock Universe 12.11.24'!$E$2:$E$1621,"")</f>
        <v>Technology</v>
      </c>
    </row>
    <row r="3440" spans="1:6" x14ac:dyDescent="0.25">
      <c r="A3440" s="140">
        <v>45721.625</v>
      </c>
      <c r="B3440" t="s">
        <v>1245</v>
      </c>
      <c r="C3440" t="s">
        <v>3699</v>
      </c>
      <c r="D3440" s="6" t="str">
        <f>_xlfn.XLOOKUP(B3440,Indices!$A$2:$A$2676,Indices!$B$2:$B$2676,"")</f>
        <v>NQ100</v>
      </c>
      <c r="E3440" t="str">
        <f>_xlfn.XLOOKUP(B3440,'2025-Q1'!$A$402:$A$448,'2025-Q1'!$A$402:$A$448,"avail")</f>
        <v>avail</v>
      </c>
      <c r="F3440" t="str">
        <f>_xlfn.XLOOKUP(B3440,'[2]!! -- Stock Universe 12.11.24'!$C$2:$C$1621,'[2]!! -- Stock Universe 12.11.24'!$E$2:$E$1621,"")</f>
        <v>Technology</v>
      </c>
    </row>
    <row r="3441" spans="1:6" x14ac:dyDescent="0.25">
      <c r="A3441" s="140">
        <v>45721.625</v>
      </c>
      <c r="B3441" t="s">
        <v>3719</v>
      </c>
      <c r="C3441" t="s">
        <v>3699</v>
      </c>
      <c r="D3441" s="6" t="str">
        <f>_xlfn.XLOOKUP(B3441,Indices!$A$2:$A$2676,Indices!$B$2:$B$2676,"")</f>
        <v/>
      </c>
      <c r="E3441" t="str">
        <f>_xlfn.XLOOKUP(B3441,'2025-Q1'!$A$402:$A$448,'2025-Q1'!$A$402:$A$448,"avail")</f>
        <v>avail</v>
      </c>
      <c r="F3441" t="str">
        <f>_xlfn.XLOOKUP(B3441,'[2]!! -- Stock Universe 12.11.24'!$C$2:$C$1621,'[2]!! -- Stock Universe 12.11.24'!$E$2:$E$1621,"")</f>
        <v/>
      </c>
    </row>
    <row r="3442" spans="1:6" x14ac:dyDescent="0.25">
      <c r="A3442" s="140">
        <v>45721.625</v>
      </c>
      <c r="B3442" t="s">
        <v>3725</v>
      </c>
      <c r="C3442" t="s">
        <v>3699</v>
      </c>
      <c r="D3442" s="6" t="str">
        <f>_xlfn.XLOOKUP(B3442,Indices!$A$2:$A$2676,Indices!$B$2:$B$2676,"")</f>
        <v/>
      </c>
      <c r="E3442" t="str">
        <f>_xlfn.XLOOKUP(B3442,'2025-Q1'!$A$402:$A$448,'2025-Q1'!$A$402:$A$448,"avail")</f>
        <v>avail</v>
      </c>
      <c r="F3442" t="str">
        <f>_xlfn.XLOOKUP(B3442,'[2]!! -- Stock Universe 12.11.24'!$C$2:$C$1621,'[2]!! -- Stock Universe 12.11.24'!$E$2:$E$1621,"")</f>
        <v/>
      </c>
    </row>
    <row r="3443" spans="1:6" x14ac:dyDescent="0.25">
      <c r="A3443" s="140">
        <v>45721.625</v>
      </c>
      <c r="B3443" t="s">
        <v>3424</v>
      </c>
      <c r="C3443" t="s">
        <v>3699</v>
      </c>
      <c r="D3443" s="6" t="str">
        <f>_xlfn.XLOOKUP(B3443,Indices!$A$2:$A$2676,Indices!$B$2:$B$2676,"")</f>
        <v/>
      </c>
      <c r="E3443" t="str">
        <f>_xlfn.XLOOKUP(B3443,'2025-Q1'!$A$402:$A$448,'2025-Q1'!$A$402:$A$448,"avail")</f>
        <v>avail</v>
      </c>
      <c r="F3443" t="str">
        <f>_xlfn.XLOOKUP(B3443,'[2]!! -- Stock Universe 12.11.24'!$C$2:$C$1621,'[2]!! -- Stock Universe 12.11.24'!$E$2:$E$1621,"")</f>
        <v>Technology</v>
      </c>
    </row>
    <row r="3444" spans="1:6" x14ac:dyDescent="0.25">
      <c r="A3444" s="140">
        <v>45721.625</v>
      </c>
      <c r="B3444" t="s">
        <v>4178</v>
      </c>
      <c r="C3444" t="s">
        <v>3699</v>
      </c>
      <c r="D3444" s="6" t="str">
        <f>_xlfn.XLOOKUP(B3444,Indices!$A$2:$A$2676,Indices!$B$2:$B$2676,"")</f>
        <v/>
      </c>
      <c r="E3444" t="str">
        <f>_xlfn.XLOOKUP(B3444,'2025-Q1'!$A$402:$A$448,'2025-Q1'!$A$402:$A$448,"avail")</f>
        <v>avail</v>
      </c>
      <c r="F3444" t="str">
        <f>_xlfn.XLOOKUP(B3444,'[2]!! -- Stock Universe 12.11.24'!$C$2:$C$1621,'[2]!! -- Stock Universe 12.11.24'!$E$2:$E$1621,"")</f>
        <v/>
      </c>
    </row>
    <row r="3445" spans="1:6" x14ac:dyDescent="0.25">
      <c r="A3445" s="140">
        <v>45721.625</v>
      </c>
      <c r="B3445" t="s">
        <v>2213</v>
      </c>
      <c r="C3445" t="s">
        <v>3699</v>
      </c>
      <c r="D3445" s="6" t="str">
        <f>_xlfn.XLOOKUP(B3445,Indices!$A$2:$A$2676,Indices!$B$2:$B$2676,"")</f>
        <v>IWM</v>
      </c>
      <c r="E3445" t="str">
        <f>_xlfn.XLOOKUP(B3445,'2025-Q1'!$A$402:$A$448,'2025-Q1'!$A$402:$A$448,"avail")</f>
        <v>avail</v>
      </c>
      <c r="F3445" t="str">
        <f>_xlfn.XLOOKUP(B3445,'[2]!! -- Stock Universe 12.11.24'!$C$2:$C$1621,'[2]!! -- Stock Universe 12.11.24'!$E$2:$E$1621,"")</f>
        <v/>
      </c>
    </row>
    <row r="3446" spans="1:6" x14ac:dyDescent="0.25">
      <c r="A3446" s="140">
        <v>45721.625</v>
      </c>
      <c r="B3446" t="s">
        <v>463</v>
      </c>
      <c r="C3446" t="s">
        <v>3699</v>
      </c>
      <c r="D3446" s="6" t="str">
        <f>_xlfn.XLOOKUP(B3446,Indices!$A$2:$A$2676,Indices!$B$2:$B$2676,"")</f>
        <v>IWM</v>
      </c>
      <c r="E3446" t="str">
        <f>_xlfn.XLOOKUP(B3446,'2025-Q1'!$A$402:$A$448,'2025-Q1'!$A$402:$A$448,"avail")</f>
        <v>avail</v>
      </c>
      <c r="F3446" t="str">
        <f>_xlfn.XLOOKUP(B3446,'[2]!! -- Stock Universe 12.11.24'!$C$2:$C$1621,'[2]!! -- Stock Universe 12.11.24'!$E$2:$E$1621,"")</f>
        <v>Healthcare</v>
      </c>
    </row>
    <row r="3447" spans="1:6" x14ac:dyDescent="0.25">
      <c r="A3447" s="140">
        <v>45721.625</v>
      </c>
      <c r="B3447" t="s">
        <v>2848</v>
      </c>
      <c r="C3447" t="s">
        <v>3699</v>
      </c>
      <c r="D3447" s="6" t="str">
        <f>_xlfn.XLOOKUP(B3447,Indices!$A$2:$A$2676,Indices!$B$2:$B$2676,"")</f>
        <v/>
      </c>
      <c r="E3447" t="str">
        <f>_xlfn.XLOOKUP(B3447,'2025-Q1'!$A$402:$A$448,'2025-Q1'!$A$402:$A$448,"avail")</f>
        <v>avail</v>
      </c>
      <c r="F3447" t="str">
        <f>_xlfn.XLOOKUP(B3447,'[2]!! -- Stock Universe 12.11.24'!$C$2:$C$1621,'[2]!! -- Stock Universe 12.11.24'!$E$2:$E$1621,"")</f>
        <v/>
      </c>
    </row>
    <row r="3448" spans="1:6" x14ac:dyDescent="0.25">
      <c r="A3448" s="140">
        <v>45721.625</v>
      </c>
      <c r="B3448" t="s">
        <v>2334</v>
      </c>
      <c r="C3448" t="s">
        <v>3699</v>
      </c>
      <c r="D3448" s="6" t="str">
        <f>_xlfn.XLOOKUP(B3448,Indices!$A$2:$A$2676,Indices!$B$2:$B$2676,"")</f>
        <v>IWM</v>
      </c>
      <c r="E3448" t="str">
        <f>_xlfn.XLOOKUP(B3448,'2025-Q1'!$A$402:$A$448,'2025-Q1'!$A$402:$A$448,"avail")</f>
        <v>avail</v>
      </c>
      <c r="F3448" t="str">
        <f>_xlfn.XLOOKUP(B3448,'[2]!! -- Stock Universe 12.11.24'!$C$2:$C$1621,'[2]!! -- Stock Universe 12.11.24'!$E$2:$E$1621,"")</f>
        <v/>
      </c>
    </row>
    <row r="3449" spans="1:6" x14ac:dyDescent="0.25">
      <c r="A3449" s="140">
        <v>45721.625</v>
      </c>
      <c r="B3449" t="s">
        <v>705</v>
      </c>
      <c r="C3449" t="s">
        <v>3699</v>
      </c>
      <c r="D3449" s="6" t="str">
        <f>_xlfn.XLOOKUP(B3449,Indices!$A$2:$A$2676,Indices!$B$2:$B$2676,"")</f>
        <v>IWM</v>
      </c>
      <c r="E3449" t="str">
        <f>_xlfn.XLOOKUP(B3449,'2025-Q1'!$A$402:$A$448,'2025-Q1'!$A$402:$A$448,"avail")</f>
        <v>avail</v>
      </c>
      <c r="F3449" t="str">
        <f>_xlfn.XLOOKUP(B3449,'[2]!! -- Stock Universe 12.11.24'!$C$2:$C$1621,'[2]!! -- Stock Universe 12.11.24'!$E$2:$E$1621,"")</f>
        <v/>
      </c>
    </row>
    <row r="3450" spans="1:6" x14ac:dyDescent="0.25">
      <c r="A3450" s="140">
        <v>45721.625</v>
      </c>
      <c r="B3450" t="s">
        <v>3428</v>
      </c>
      <c r="C3450" t="s">
        <v>3699</v>
      </c>
      <c r="D3450" s="6" t="str">
        <f>_xlfn.XLOOKUP(B3450,Indices!$A$2:$A$2676,Indices!$B$2:$B$2676,"")</f>
        <v/>
      </c>
      <c r="E3450" t="str">
        <f>_xlfn.XLOOKUP(B3450,'2025-Q1'!$A$402:$A$448,'2025-Q1'!$A$402:$A$448,"avail")</f>
        <v>avail</v>
      </c>
      <c r="F3450" t="str">
        <f>_xlfn.XLOOKUP(B3450,'[2]!! -- Stock Universe 12.11.24'!$C$2:$C$1621,'[2]!! -- Stock Universe 12.11.24'!$E$2:$E$1621,"")</f>
        <v/>
      </c>
    </row>
    <row r="3451" spans="1:6" x14ac:dyDescent="0.25">
      <c r="A3451" s="140">
        <v>45721.625</v>
      </c>
      <c r="B3451" t="s">
        <v>3318</v>
      </c>
      <c r="C3451" t="s">
        <v>3699</v>
      </c>
      <c r="D3451" s="6" t="str">
        <f>_xlfn.XLOOKUP(B3451,Indices!$A$2:$A$2676,Indices!$B$2:$B$2676,"")</f>
        <v/>
      </c>
      <c r="E3451" t="str">
        <f>_xlfn.XLOOKUP(B3451,'2025-Q1'!$A$402:$A$448,'2025-Q1'!$A$402:$A$448,"avail")</f>
        <v>avail</v>
      </c>
      <c r="F3451" t="str">
        <f>_xlfn.XLOOKUP(B3451,'[2]!! -- Stock Universe 12.11.24'!$C$2:$C$1621,'[2]!! -- Stock Universe 12.11.24'!$E$2:$E$1621,"")</f>
        <v/>
      </c>
    </row>
    <row r="3452" spans="1:6" x14ac:dyDescent="0.25">
      <c r="A3452" s="140">
        <v>45721.625</v>
      </c>
      <c r="B3452" t="s">
        <v>3729</v>
      </c>
      <c r="C3452" t="s">
        <v>3699</v>
      </c>
      <c r="D3452" s="6" t="str">
        <f>_xlfn.XLOOKUP(B3452,Indices!$A$2:$A$2676,Indices!$B$2:$B$2676,"")</f>
        <v/>
      </c>
      <c r="E3452" t="str">
        <f>_xlfn.XLOOKUP(B3452,'2025-Q1'!$A$402:$A$448,'2025-Q1'!$A$402:$A$448,"avail")</f>
        <v>avail</v>
      </c>
      <c r="F3452" t="str">
        <f>_xlfn.XLOOKUP(B3452,'[2]!! -- Stock Universe 12.11.24'!$C$2:$C$1621,'[2]!! -- Stock Universe 12.11.24'!$E$2:$E$1621,"")</f>
        <v/>
      </c>
    </row>
    <row r="3453" spans="1:6" x14ac:dyDescent="0.25">
      <c r="A3453" s="140">
        <v>45721.625</v>
      </c>
      <c r="B3453" t="s">
        <v>734</v>
      </c>
      <c r="C3453" t="s">
        <v>3699</v>
      </c>
      <c r="D3453" s="6" t="str">
        <f>_xlfn.XLOOKUP(B3453,Indices!$A$2:$A$2676,Indices!$B$2:$B$2676,"")</f>
        <v>IWM</v>
      </c>
      <c r="E3453" t="str">
        <f>_xlfn.XLOOKUP(B3453,'2025-Q1'!$A$402:$A$448,'2025-Q1'!$A$402:$A$448,"avail")</f>
        <v>avail</v>
      </c>
      <c r="F3453" t="str">
        <f>_xlfn.XLOOKUP(B3453,'[2]!! -- Stock Universe 12.11.24'!$C$2:$C$1621,'[2]!! -- Stock Universe 12.11.24'!$E$2:$E$1621,"")</f>
        <v>Technology</v>
      </c>
    </row>
    <row r="3454" spans="1:6" x14ac:dyDescent="0.25">
      <c r="A3454" s="140">
        <v>45721.625</v>
      </c>
      <c r="B3454" t="s">
        <v>3957</v>
      </c>
      <c r="C3454" t="s">
        <v>3699</v>
      </c>
      <c r="D3454" s="6" t="str">
        <f>_xlfn.XLOOKUP(B3454,Indices!$A$2:$A$2676,Indices!$B$2:$B$2676,"")</f>
        <v/>
      </c>
      <c r="E3454" t="str">
        <f>_xlfn.XLOOKUP(B3454,'2025-Q1'!$A$402:$A$448,'2025-Q1'!$A$402:$A$448,"avail")</f>
        <v>avail</v>
      </c>
      <c r="F3454" t="str">
        <f>_xlfn.XLOOKUP(B3454,'[2]!! -- Stock Universe 12.11.24'!$C$2:$C$1621,'[2]!! -- Stock Universe 12.11.24'!$E$2:$E$1621,"")</f>
        <v/>
      </c>
    </row>
    <row r="3455" spans="1:6" x14ac:dyDescent="0.25">
      <c r="A3455" s="140">
        <v>45721.625</v>
      </c>
      <c r="B3455" t="s">
        <v>4243</v>
      </c>
      <c r="C3455" t="s">
        <v>3699</v>
      </c>
      <c r="D3455" s="6" t="str">
        <f>_xlfn.XLOOKUP(B3455,Indices!$A$2:$A$2676,Indices!$B$2:$B$2676,"")</f>
        <v/>
      </c>
      <c r="E3455" t="str">
        <f>_xlfn.XLOOKUP(B3455,'2025-Q1'!$A$402:$A$448,'2025-Q1'!$A$402:$A$448,"avail")</f>
        <v>avail</v>
      </c>
      <c r="F3455" t="str">
        <f>_xlfn.XLOOKUP(B3455,'[2]!! -- Stock Universe 12.11.24'!$C$2:$C$1621,'[2]!! -- Stock Universe 12.11.24'!$E$2:$E$1621,"")</f>
        <v/>
      </c>
    </row>
    <row r="3456" spans="1:6" x14ac:dyDescent="0.25">
      <c r="A3456" s="140">
        <v>45721.625</v>
      </c>
      <c r="B3456" t="s">
        <v>3838</v>
      </c>
      <c r="C3456" t="s">
        <v>3699</v>
      </c>
      <c r="D3456" s="6" t="str">
        <f>_xlfn.XLOOKUP(B3456,Indices!$A$2:$A$2676,Indices!$B$2:$B$2676,"")</f>
        <v/>
      </c>
      <c r="E3456" t="str">
        <f>_xlfn.XLOOKUP(B3456,'2025-Q1'!$A$402:$A$448,'2025-Q1'!$A$402:$A$448,"avail")</f>
        <v>avail</v>
      </c>
      <c r="F3456" t="str">
        <f>_xlfn.XLOOKUP(B3456,'[2]!! -- Stock Universe 12.11.24'!$C$2:$C$1621,'[2]!! -- Stock Universe 12.11.24'!$E$2:$E$1621,"")</f>
        <v/>
      </c>
    </row>
    <row r="3457" spans="1:6" x14ac:dyDescent="0.25">
      <c r="A3457" s="140">
        <v>45721.625</v>
      </c>
      <c r="B3457" t="s">
        <v>3731</v>
      </c>
      <c r="C3457" t="s">
        <v>3699</v>
      </c>
      <c r="D3457" s="6" t="str">
        <f>_xlfn.XLOOKUP(B3457,Indices!$A$2:$A$2676,Indices!$B$2:$B$2676,"")</f>
        <v/>
      </c>
      <c r="E3457" t="str">
        <f>_xlfn.XLOOKUP(B3457,'2025-Q1'!$A$402:$A$448,'2025-Q1'!$A$402:$A$448,"avail")</f>
        <v>avail</v>
      </c>
      <c r="F3457" t="str">
        <f>_xlfn.XLOOKUP(B3457,'[2]!! -- Stock Universe 12.11.24'!$C$2:$C$1621,'[2]!! -- Stock Universe 12.11.24'!$E$2:$E$1621,"")</f>
        <v/>
      </c>
    </row>
    <row r="3458" spans="1:6" x14ac:dyDescent="0.25">
      <c r="A3458" s="140">
        <v>45721.625</v>
      </c>
      <c r="B3458" t="s">
        <v>3728</v>
      </c>
      <c r="C3458" t="s">
        <v>3699</v>
      </c>
      <c r="D3458" s="6" t="str">
        <f>_xlfn.XLOOKUP(B3458,Indices!$A$2:$A$2676,Indices!$B$2:$B$2676,"")</f>
        <v/>
      </c>
      <c r="E3458" t="str">
        <f>_xlfn.XLOOKUP(B3458,'2025-Q1'!$A$402:$A$448,'2025-Q1'!$A$402:$A$448,"avail")</f>
        <v>avail</v>
      </c>
      <c r="F3458" t="str">
        <f>_xlfn.XLOOKUP(B3458,'[2]!! -- Stock Universe 12.11.24'!$C$2:$C$1621,'[2]!! -- Stock Universe 12.11.24'!$E$2:$E$1621,"")</f>
        <v/>
      </c>
    </row>
    <row r="3459" spans="1:6" x14ac:dyDescent="0.25">
      <c r="A3459" s="140">
        <v>45721.625</v>
      </c>
      <c r="B3459" t="s">
        <v>3871</v>
      </c>
      <c r="C3459" t="s">
        <v>3699</v>
      </c>
      <c r="D3459" s="6" t="str">
        <f>_xlfn.XLOOKUP(B3459,Indices!$A$2:$A$2676,Indices!$B$2:$B$2676,"")</f>
        <v/>
      </c>
      <c r="E3459" t="str">
        <f>_xlfn.XLOOKUP(B3459,'2025-Q1'!$A$402:$A$448,'2025-Q1'!$A$402:$A$448,"avail")</f>
        <v>avail</v>
      </c>
      <c r="F3459" t="str">
        <f>_xlfn.XLOOKUP(B3459,'[2]!! -- Stock Universe 12.11.24'!$C$2:$C$1621,'[2]!! -- Stock Universe 12.11.24'!$E$2:$E$1621,"")</f>
        <v>Basic Materials</v>
      </c>
    </row>
    <row r="3460" spans="1:6" x14ac:dyDescent="0.25">
      <c r="A3460" s="140">
        <v>45721.625</v>
      </c>
      <c r="B3460" t="s">
        <v>1191</v>
      </c>
      <c r="C3460" t="s">
        <v>3699</v>
      </c>
      <c r="D3460" s="6" t="str">
        <f>_xlfn.XLOOKUP(B3460,Indices!$A$2:$A$2676,Indices!$B$2:$B$2676,"")</f>
        <v>NQ100</v>
      </c>
      <c r="E3460" t="str">
        <f>_xlfn.XLOOKUP(B3460,'2025-Q1'!$A$402:$A$448,'2025-Q1'!$A$402:$A$448,"avail")</f>
        <v>avail</v>
      </c>
      <c r="F3460" t="str">
        <f>_xlfn.XLOOKUP(B3460,'[2]!! -- Stock Universe 12.11.24'!$C$2:$C$1621,'[2]!! -- Stock Universe 12.11.24'!$E$2:$E$1621,"")</f>
        <v>Technology</v>
      </c>
    </row>
    <row r="3461" spans="1:6" x14ac:dyDescent="0.25">
      <c r="A3461" s="140">
        <v>45721.625</v>
      </c>
      <c r="B3461" t="s">
        <v>500</v>
      </c>
      <c r="C3461" t="s">
        <v>3699</v>
      </c>
      <c r="D3461" s="6" t="str">
        <f>_xlfn.XLOOKUP(B3461,Indices!$A$2:$A$2676,Indices!$B$2:$B$2676,"")</f>
        <v>IWM</v>
      </c>
      <c r="E3461" t="str">
        <f>_xlfn.XLOOKUP(B3461,'2025-Q1'!$A$402:$A$448,'2025-Q1'!$A$402:$A$448,"avail")</f>
        <v>avail</v>
      </c>
      <c r="F3461" t="str">
        <f>_xlfn.XLOOKUP(B3461,'[2]!! -- Stock Universe 12.11.24'!$C$2:$C$1621,'[2]!! -- Stock Universe 12.11.24'!$E$2:$E$1621,"")</f>
        <v/>
      </c>
    </row>
    <row r="3462" spans="1:6" x14ac:dyDescent="0.25">
      <c r="A3462" s="140">
        <v>45721.625</v>
      </c>
      <c r="B3462" t="s">
        <v>3717</v>
      </c>
      <c r="C3462" t="s">
        <v>3699</v>
      </c>
      <c r="D3462" s="6" t="str">
        <f>_xlfn.XLOOKUP(B3462,Indices!$A$2:$A$2676,Indices!$B$2:$B$2676,"")</f>
        <v/>
      </c>
      <c r="E3462" t="str">
        <f>_xlfn.XLOOKUP(B3462,'2025-Q1'!$A$402:$A$448,'2025-Q1'!$A$402:$A$448,"avail")</f>
        <v>avail</v>
      </c>
      <c r="F3462" t="str">
        <f>_xlfn.XLOOKUP(B3462,'[2]!! -- Stock Universe 12.11.24'!$C$2:$C$1621,'[2]!! -- Stock Universe 12.11.24'!$E$2:$E$1621,"")</f>
        <v/>
      </c>
    </row>
    <row r="3463" spans="1:6" x14ac:dyDescent="0.25">
      <c r="A3463" s="140">
        <v>45721.625</v>
      </c>
      <c r="B3463" t="s">
        <v>3706</v>
      </c>
      <c r="C3463" t="s">
        <v>3699</v>
      </c>
      <c r="D3463" s="6" t="str">
        <f>_xlfn.XLOOKUP(B3463,Indices!$A$2:$A$2676,Indices!$B$2:$B$2676,"")</f>
        <v/>
      </c>
      <c r="E3463" t="str">
        <f>_xlfn.XLOOKUP(B3463,'2025-Q1'!$A$402:$A$448,'2025-Q1'!$A$402:$A$448,"avail")</f>
        <v>avail</v>
      </c>
      <c r="F3463" t="str">
        <f>_xlfn.XLOOKUP(B3463,'[2]!! -- Stock Universe 12.11.24'!$C$2:$C$1621,'[2]!! -- Stock Universe 12.11.24'!$E$2:$E$1621,"")</f>
        <v/>
      </c>
    </row>
    <row r="3464" spans="1:6" x14ac:dyDescent="0.25">
      <c r="A3464" s="140">
        <v>45721.625</v>
      </c>
      <c r="B3464" t="s">
        <v>795</v>
      </c>
      <c r="C3464" t="s">
        <v>3699</v>
      </c>
      <c r="D3464" s="6" t="str">
        <f>_xlfn.XLOOKUP(B3464,Indices!$A$2:$A$2676,Indices!$B$2:$B$2676,"")</f>
        <v>IWM</v>
      </c>
      <c r="E3464" t="str">
        <f>_xlfn.XLOOKUP(B3464,'2025-Q1'!$A$402:$A$448,'2025-Q1'!$A$402:$A$448,"avail")</f>
        <v>avail</v>
      </c>
      <c r="F3464" t="str">
        <f>_xlfn.XLOOKUP(B3464,'[2]!! -- Stock Universe 12.11.24'!$C$2:$C$1621,'[2]!! -- Stock Universe 12.11.24'!$E$2:$E$1621,"")</f>
        <v/>
      </c>
    </row>
    <row r="3465" spans="1:6" x14ac:dyDescent="0.25">
      <c r="A3465" s="140">
        <v>45721.625</v>
      </c>
      <c r="B3465" t="s">
        <v>1000</v>
      </c>
      <c r="C3465" t="s">
        <v>3699</v>
      </c>
      <c r="D3465" s="6" t="str">
        <f>_xlfn.XLOOKUP(B3465,Indices!$A$2:$A$2676,Indices!$B$2:$B$2676,"")</f>
        <v>IWM</v>
      </c>
      <c r="E3465" t="str">
        <f>_xlfn.XLOOKUP(B3465,'2025-Q1'!$A$402:$A$448,'2025-Q1'!$A$402:$A$448,"avail")</f>
        <v>avail</v>
      </c>
      <c r="F3465" t="str">
        <f>_xlfn.XLOOKUP(B3465,'[2]!! -- Stock Universe 12.11.24'!$C$2:$C$1621,'[2]!! -- Stock Universe 12.11.24'!$E$2:$E$1621,"")</f>
        <v/>
      </c>
    </row>
    <row r="3466" spans="1:6" x14ac:dyDescent="0.25">
      <c r="A3466" s="140">
        <v>45721.625</v>
      </c>
      <c r="B3466" t="s">
        <v>562</v>
      </c>
      <c r="C3466" t="s">
        <v>3699</v>
      </c>
      <c r="D3466" s="6" t="str">
        <f>_xlfn.XLOOKUP(B3466,Indices!$A$2:$A$2676,Indices!$B$2:$B$2676,"")</f>
        <v>IWM</v>
      </c>
      <c r="E3466" t="str">
        <f>_xlfn.XLOOKUP(B3466,'2025-Q1'!$A$402:$A$448,'2025-Q1'!$A$402:$A$448,"avail")</f>
        <v>avail</v>
      </c>
      <c r="F3466" t="str">
        <f>_xlfn.XLOOKUP(B3466,'[2]!! -- Stock Universe 12.11.24'!$C$2:$C$1621,'[2]!! -- Stock Universe 12.11.24'!$E$2:$E$1621,"")</f>
        <v/>
      </c>
    </row>
    <row r="3467" spans="1:6" x14ac:dyDescent="0.25">
      <c r="A3467" s="140">
        <v>45721.625</v>
      </c>
      <c r="B3467" t="s">
        <v>515</v>
      </c>
      <c r="C3467" t="s">
        <v>3699</v>
      </c>
      <c r="D3467" s="6" t="str">
        <f>_xlfn.XLOOKUP(B3467,Indices!$A$2:$A$2676,Indices!$B$2:$B$2676,"")</f>
        <v>IWM</v>
      </c>
      <c r="E3467" t="str">
        <f>_xlfn.XLOOKUP(B3467,'2025-Q1'!$A$402:$A$448,'2025-Q1'!$A$402:$A$448,"avail")</f>
        <v>avail</v>
      </c>
      <c r="F3467" t="str">
        <f>_xlfn.XLOOKUP(B3467,'[2]!! -- Stock Universe 12.11.24'!$C$2:$C$1621,'[2]!! -- Stock Universe 12.11.24'!$E$2:$E$1621,"")</f>
        <v>Energy</v>
      </c>
    </row>
    <row r="3468" spans="1:6" x14ac:dyDescent="0.25">
      <c r="A3468" s="140">
        <v>45721.625</v>
      </c>
      <c r="B3468" t="s">
        <v>3908</v>
      </c>
      <c r="C3468" t="s">
        <v>3699</v>
      </c>
      <c r="D3468" s="6" t="str">
        <f>_xlfn.XLOOKUP(B3468,Indices!$A$2:$A$2676,Indices!$B$2:$B$2676,"")</f>
        <v/>
      </c>
      <c r="E3468" t="str">
        <f>_xlfn.XLOOKUP(B3468,'2025-Q1'!$A$402:$A$448,'2025-Q1'!$A$402:$A$448,"avail")</f>
        <v>avail</v>
      </c>
      <c r="F3468" t="str">
        <f>_xlfn.XLOOKUP(B3468,'[2]!! -- Stock Universe 12.11.24'!$C$2:$C$1621,'[2]!! -- Stock Universe 12.11.24'!$E$2:$E$1621,"")</f>
        <v/>
      </c>
    </row>
    <row r="3469" spans="1:6" x14ac:dyDescent="0.25">
      <c r="A3469" s="140">
        <v>45721.625</v>
      </c>
      <c r="B3469" t="s">
        <v>3543</v>
      </c>
      <c r="C3469" t="s">
        <v>3699</v>
      </c>
      <c r="D3469" s="6" t="str">
        <f>_xlfn.XLOOKUP(B3469,Indices!$A$2:$A$2676,Indices!$B$2:$B$2676,"")</f>
        <v/>
      </c>
      <c r="E3469" t="str">
        <f>_xlfn.XLOOKUP(B3469,'2025-Q1'!$A$402:$A$448,'2025-Q1'!$A$402:$A$448,"avail")</f>
        <v>avail</v>
      </c>
      <c r="F3469" t="str">
        <f>_xlfn.XLOOKUP(B3469,'[2]!! -- Stock Universe 12.11.24'!$C$2:$C$1621,'[2]!! -- Stock Universe 12.11.24'!$E$2:$E$1621,"")</f>
        <v/>
      </c>
    </row>
    <row r="3470" spans="1:6" x14ac:dyDescent="0.25">
      <c r="A3470" s="140">
        <v>45721.625</v>
      </c>
      <c r="B3470" t="s">
        <v>3550</v>
      </c>
      <c r="C3470" t="s">
        <v>3699</v>
      </c>
      <c r="D3470" s="6" t="str">
        <f>_xlfn.XLOOKUP(B3470,Indices!$A$2:$A$2676,Indices!$B$2:$B$2676,"")</f>
        <v/>
      </c>
      <c r="E3470" t="str">
        <f>_xlfn.XLOOKUP(B3470,'2025-Q1'!$A$402:$A$448,'2025-Q1'!$A$402:$A$448,"avail")</f>
        <v>avail</v>
      </c>
      <c r="F3470" t="str">
        <f>_xlfn.XLOOKUP(B3470,'[2]!! -- Stock Universe 12.11.24'!$C$2:$C$1621,'[2]!! -- Stock Universe 12.11.24'!$E$2:$E$1621,"")</f>
        <v/>
      </c>
    </row>
    <row r="3471" spans="1:6" x14ac:dyDescent="0.25">
      <c r="A3471" s="140">
        <v>45721.625</v>
      </c>
      <c r="B3471" t="s">
        <v>2070</v>
      </c>
      <c r="C3471" t="s">
        <v>3699</v>
      </c>
      <c r="D3471" s="6" t="str">
        <f>_xlfn.XLOOKUP(B3471,Indices!$A$2:$A$2676,Indices!$B$2:$B$2676,"")</f>
        <v>IWM</v>
      </c>
      <c r="E3471" t="str">
        <f>_xlfn.XLOOKUP(B3471,'2025-Q1'!$A$402:$A$448,'2025-Q1'!$A$402:$A$448,"avail")</f>
        <v>avail</v>
      </c>
      <c r="F3471" t="str">
        <f>_xlfn.XLOOKUP(B3471,'[2]!! -- Stock Universe 12.11.24'!$C$2:$C$1621,'[2]!! -- Stock Universe 12.11.24'!$E$2:$E$1621,"")</f>
        <v>Healthcare</v>
      </c>
    </row>
    <row r="3472" spans="1:6" x14ac:dyDescent="0.25">
      <c r="A3472" s="140">
        <v>45721.625</v>
      </c>
      <c r="B3472" t="s">
        <v>512</v>
      </c>
      <c r="C3472" t="s">
        <v>3699</v>
      </c>
      <c r="D3472" s="6" t="str">
        <f>_xlfn.XLOOKUP(B3472,Indices!$A$2:$A$2676,Indices!$B$2:$B$2676,"")</f>
        <v>IWM</v>
      </c>
      <c r="E3472" t="str">
        <f>_xlfn.XLOOKUP(B3472,'2025-Q1'!$A$402:$A$448,'2025-Q1'!$A$402:$A$448,"avail")</f>
        <v>avail</v>
      </c>
      <c r="F3472" t="str">
        <f>_xlfn.XLOOKUP(B3472,'[2]!! -- Stock Universe 12.11.24'!$C$2:$C$1621,'[2]!! -- Stock Universe 12.11.24'!$E$2:$E$1621,"")</f>
        <v/>
      </c>
    </row>
    <row r="3473" spans="1:6" x14ac:dyDescent="0.25">
      <c r="A3473" s="140">
        <v>45721.625</v>
      </c>
      <c r="B3473" t="s">
        <v>3721</v>
      </c>
      <c r="C3473" t="s">
        <v>3699</v>
      </c>
      <c r="D3473" s="6" t="str">
        <f>_xlfn.XLOOKUP(B3473,Indices!$A$2:$A$2676,Indices!$B$2:$B$2676,"")</f>
        <v/>
      </c>
      <c r="E3473" t="str">
        <f>_xlfn.XLOOKUP(B3473,'2025-Q1'!$A$402:$A$448,'2025-Q1'!$A$402:$A$448,"avail")</f>
        <v>avail</v>
      </c>
      <c r="F3473" t="str">
        <f>_xlfn.XLOOKUP(B3473,'[2]!! -- Stock Universe 12.11.24'!$C$2:$C$1621,'[2]!! -- Stock Universe 12.11.24'!$E$2:$E$1621,"")</f>
        <v/>
      </c>
    </row>
    <row r="3474" spans="1:6" x14ac:dyDescent="0.25">
      <c r="A3474" s="140">
        <v>45721.625</v>
      </c>
      <c r="B3474" t="s">
        <v>3713</v>
      </c>
      <c r="C3474" t="s">
        <v>3699</v>
      </c>
      <c r="D3474" s="6" t="str">
        <f>_xlfn.XLOOKUP(B3474,Indices!$A$2:$A$2676,Indices!$B$2:$B$2676,"")</f>
        <v/>
      </c>
      <c r="E3474" t="str">
        <f>_xlfn.XLOOKUP(B3474,'2025-Q1'!$A$402:$A$448,'2025-Q1'!$A$402:$A$448,"avail")</f>
        <v>avail</v>
      </c>
      <c r="F3474" t="str">
        <f>_xlfn.XLOOKUP(B3474,'[2]!! -- Stock Universe 12.11.24'!$C$2:$C$1621,'[2]!! -- Stock Universe 12.11.24'!$E$2:$E$1621,"")</f>
        <v/>
      </c>
    </row>
    <row r="3475" spans="1:6" x14ac:dyDescent="0.25">
      <c r="A3475" s="140">
        <v>45721.625</v>
      </c>
      <c r="B3475" t="s">
        <v>366</v>
      </c>
      <c r="C3475" t="s">
        <v>3699</v>
      </c>
      <c r="D3475" s="6" t="str">
        <f>_xlfn.XLOOKUP(B3475,Indices!$A$2:$A$2676,Indices!$B$2:$B$2676,"")</f>
        <v>IWM</v>
      </c>
      <c r="E3475" t="str">
        <f>_xlfn.XLOOKUP(B3475,'2025-Q1'!$A$402:$A$448,'2025-Q1'!$A$402:$A$448,"avail")</f>
        <v>avail</v>
      </c>
      <c r="F3475" t="str">
        <f>_xlfn.XLOOKUP(B3475,'[2]!! -- Stock Universe 12.11.24'!$C$2:$C$1621,'[2]!! -- Stock Universe 12.11.24'!$E$2:$E$1621,"")</f>
        <v/>
      </c>
    </row>
    <row r="3476" spans="1:6" x14ac:dyDescent="0.25">
      <c r="A3476" s="140">
        <v>45721.625</v>
      </c>
      <c r="B3476" t="s">
        <v>471</v>
      </c>
      <c r="C3476" t="s">
        <v>3699</v>
      </c>
      <c r="D3476" s="6" t="str">
        <f>_xlfn.XLOOKUP(B3476,Indices!$A$2:$A$2676,Indices!$B$2:$B$2676,"")</f>
        <v>IWM</v>
      </c>
      <c r="E3476" t="str">
        <f>_xlfn.XLOOKUP(B3476,'2025-Q1'!$A$402:$A$448,'2025-Q1'!$A$402:$A$448,"avail")</f>
        <v>avail</v>
      </c>
      <c r="F3476" t="str">
        <f>_xlfn.XLOOKUP(B3476,'[2]!! -- Stock Universe 12.11.24'!$C$2:$C$1621,'[2]!! -- Stock Universe 12.11.24'!$E$2:$E$1621,"")</f>
        <v/>
      </c>
    </row>
    <row r="3477" spans="1:6" x14ac:dyDescent="0.25">
      <c r="A3477" s="140">
        <v>45721.625</v>
      </c>
      <c r="B3477" t="s">
        <v>3722</v>
      </c>
      <c r="C3477" t="s">
        <v>3699</v>
      </c>
      <c r="D3477" s="6" t="str">
        <f>_xlfn.XLOOKUP(B3477,Indices!$A$2:$A$2676,Indices!$B$2:$B$2676,"")</f>
        <v/>
      </c>
      <c r="E3477" t="str">
        <f>_xlfn.XLOOKUP(B3477,'2025-Q1'!$A$402:$A$448,'2025-Q1'!$A$402:$A$448,"avail")</f>
        <v>avail</v>
      </c>
      <c r="F3477" t="str">
        <f>_xlfn.XLOOKUP(B3477,'[2]!! -- Stock Universe 12.11.24'!$C$2:$C$1621,'[2]!! -- Stock Universe 12.11.24'!$E$2:$E$1621,"")</f>
        <v/>
      </c>
    </row>
    <row r="3478" spans="1:6" x14ac:dyDescent="0.25">
      <c r="A3478" s="140">
        <v>45721.625</v>
      </c>
      <c r="B3478" t="s">
        <v>2145</v>
      </c>
      <c r="C3478" t="s">
        <v>3699</v>
      </c>
      <c r="D3478" s="6" t="str">
        <f>_xlfn.XLOOKUP(B3478,Indices!$A$2:$A$2676,Indices!$B$2:$B$2676,"")</f>
        <v>IWM</v>
      </c>
      <c r="E3478" t="str">
        <f>_xlfn.XLOOKUP(B3478,'2025-Q1'!$A$402:$A$448,'2025-Q1'!$A$402:$A$448,"avail")</f>
        <v>avail</v>
      </c>
      <c r="F3478" t="str">
        <f>_xlfn.XLOOKUP(B3478,'[2]!! -- Stock Universe 12.11.24'!$C$2:$C$1621,'[2]!! -- Stock Universe 12.11.24'!$E$2:$E$1621,"")</f>
        <v/>
      </c>
    </row>
    <row r="3479" spans="1:6" x14ac:dyDescent="0.25">
      <c r="A3479" s="140">
        <v>45721.625</v>
      </c>
      <c r="B3479" t="s">
        <v>3724</v>
      </c>
      <c r="C3479" t="s">
        <v>3699</v>
      </c>
      <c r="D3479" s="6" t="str">
        <f>_xlfn.XLOOKUP(B3479,Indices!$A$2:$A$2676,Indices!$B$2:$B$2676,"")</f>
        <v/>
      </c>
      <c r="E3479" t="str">
        <f>_xlfn.XLOOKUP(B3479,'2025-Q1'!$A$402:$A$448,'2025-Q1'!$A$402:$A$448,"avail")</f>
        <v>avail</v>
      </c>
      <c r="F3479" t="str">
        <f>_xlfn.XLOOKUP(B3479,'[2]!! -- Stock Universe 12.11.24'!$C$2:$C$1621,'[2]!! -- Stock Universe 12.11.24'!$E$2:$E$1621,"")</f>
        <v/>
      </c>
    </row>
    <row r="3480" spans="1:6" x14ac:dyDescent="0.25">
      <c r="A3480" s="140">
        <v>45721.625</v>
      </c>
      <c r="B3480" t="s">
        <v>3560</v>
      </c>
      <c r="C3480" t="s">
        <v>3699</v>
      </c>
      <c r="D3480" s="6" t="str">
        <f>_xlfn.XLOOKUP(B3480,Indices!$A$2:$A$2676,Indices!$B$2:$B$2676,"")</f>
        <v/>
      </c>
      <c r="E3480" t="str">
        <f>_xlfn.XLOOKUP(B3480,'2025-Q1'!$A$402:$A$448,'2025-Q1'!$A$402:$A$448,"avail")</f>
        <v>avail</v>
      </c>
      <c r="F3480" t="str">
        <f>_xlfn.XLOOKUP(B3480,'[2]!! -- Stock Universe 12.11.24'!$C$2:$C$1621,'[2]!! -- Stock Universe 12.11.24'!$E$2:$E$1621,"")</f>
        <v>Healthcare</v>
      </c>
    </row>
    <row r="3481" spans="1:6" x14ac:dyDescent="0.25">
      <c r="A3481" s="140">
        <v>45721.625</v>
      </c>
      <c r="B3481" t="s">
        <v>252</v>
      </c>
      <c r="C3481" t="s">
        <v>3699</v>
      </c>
      <c r="D3481" s="6" t="str">
        <f>_xlfn.XLOOKUP(B3481,Indices!$A$2:$A$2676,Indices!$B$2:$B$2676,"")</f>
        <v>IWM</v>
      </c>
      <c r="E3481" t="str">
        <f>_xlfn.XLOOKUP(B3481,'2025-Q1'!$A$402:$A$448,'2025-Q1'!$A$402:$A$448,"avail")</f>
        <v>avail</v>
      </c>
      <c r="F3481" t="str">
        <f>_xlfn.XLOOKUP(B3481,'[2]!! -- Stock Universe 12.11.24'!$C$2:$C$1621,'[2]!! -- Stock Universe 12.11.24'!$E$2:$E$1621,"")</f>
        <v>Basic Materials</v>
      </c>
    </row>
    <row r="3482" spans="1:6" x14ac:dyDescent="0.25">
      <c r="A3482" s="140">
        <v>45721.625</v>
      </c>
      <c r="B3482" t="s">
        <v>3727</v>
      </c>
      <c r="C3482" t="s">
        <v>3699</v>
      </c>
      <c r="D3482" s="6" t="str">
        <f>_xlfn.XLOOKUP(B3482,Indices!$A$2:$A$2676,Indices!$B$2:$B$2676,"")</f>
        <v/>
      </c>
      <c r="E3482" t="str">
        <f>_xlfn.XLOOKUP(B3482,'2025-Q1'!$A$402:$A$448,'2025-Q1'!$A$402:$A$448,"avail")</f>
        <v>avail</v>
      </c>
      <c r="F3482" t="str">
        <f>_xlfn.XLOOKUP(B3482,'[2]!! -- Stock Universe 12.11.24'!$C$2:$C$1621,'[2]!! -- Stock Universe 12.11.24'!$E$2:$E$1621,"")</f>
        <v/>
      </c>
    </row>
    <row r="3483" spans="1:6" x14ac:dyDescent="0.25">
      <c r="A3483" s="140">
        <v>45721.625</v>
      </c>
      <c r="B3483" t="s">
        <v>1190</v>
      </c>
      <c r="C3483" t="s">
        <v>3699</v>
      </c>
      <c r="D3483" s="6" t="str">
        <f>_xlfn.XLOOKUP(B3483,Indices!$A$2:$A$2676,Indices!$B$2:$B$2676,"")</f>
        <v>IWM</v>
      </c>
      <c r="E3483" t="str">
        <f>_xlfn.XLOOKUP(B3483,'2025-Q1'!$A$402:$A$448,'2025-Q1'!$A$402:$A$448,"avail")</f>
        <v>avail</v>
      </c>
      <c r="F3483" t="str">
        <f>_xlfn.XLOOKUP(B3483,'[2]!! -- Stock Universe 12.11.24'!$C$2:$C$1621,'[2]!! -- Stock Universe 12.11.24'!$E$2:$E$1621,"")</f>
        <v>Technology</v>
      </c>
    </row>
    <row r="3484" spans="1:6" x14ac:dyDescent="0.25">
      <c r="A3484" s="140">
        <v>45721.625</v>
      </c>
      <c r="B3484" t="s">
        <v>3720</v>
      </c>
      <c r="C3484" t="s">
        <v>3699</v>
      </c>
      <c r="D3484" s="6" t="str">
        <f>_xlfn.XLOOKUP(B3484,Indices!$A$2:$A$2676,Indices!$B$2:$B$2676,"")</f>
        <v/>
      </c>
      <c r="E3484" t="str">
        <f>_xlfn.XLOOKUP(B3484,'2025-Q1'!$A$402:$A$448,'2025-Q1'!$A$402:$A$448,"avail")</f>
        <v>avail</v>
      </c>
      <c r="F3484" t="str">
        <f>_xlfn.XLOOKUP(B3484,'[2]!! -- Stock Universe 12.11.24'!$C$2:$C$1621,'[2]!! -- Stock Universe 12.11.24'!$E$2:$E$1621,"")</f>
        <v>Technology</v>
      </c>
    </row>
    <row r="3485" spans="1:6" x14ac:dyDescent="0.25">
      <c r="A3485" s="140">
        <v>45721.625</v>
      </c>
      <c r="B3485" t="s">
        <v>3715</v>
      </c>
      <c r="C3485" t="s">
        <v>3699</v>
      </c>
      <c r="D3485" s="6" t="str">
        <f>_xlfn.XLOOKUP(B3485,Indices!$A$2:$A$2676,Indices!$B$2:$B$2676,"")</f>
        <v/>
      </c>
      <c r="E3485" t="str">
        <f>_xlfn.XLOOKUP(B3485,'2025-Q1'!$A$402:$A$448,'2025-Q1'!$A$402:$A$448,"avail")</f>
        <v>avail</v>
      </c>
      <c r="F3485" t="str">
        <f>_xlfn.XLOOKUP(B3485,'[2]!! -- Stock Universe 12.11.24'!$C$2:$C$1621,'[2]!! -- Stock Universe 12.11.24'!$E$2:$E$1621,"")</f>
        <v/>
      </c>
    </row>
    <row r="3486" spans="1:6" x14ac:dyDescent="0.25">
      <c r="A3486" s="140">
        <v>45721.625</v>
      </c>
      <c r="B3486" t="s">
        <v>940</v>
      </c>
      <c r="C3486" t="s">
        <v>3699</v>
      </c>
      <c r="D3486" s="6" t="str">
        <f>_xlfn.XLOOKUP(B3486,Indices!$A$2:$A$2676,Indices!$B$2:$B$2676,"")</f>
        <v>IWM</v>
      </c>
      <c r="E3486" t="str">
        <f>_xlfn.XLOOKUP(B3486,'2025-Q1'!$A$402:$A$448,'2025-Q1'!$A$402:$A$448,"avail")</f>
        <v>avail</v>
      </c>
      <c r="F3486" t="str">
        <f>_xlfn.XLOOKUP(B3486,'[2]!! -- Stock Universe 12.11.24'!$C$2:$C$1621,'[2]!! -- Stock Universe 12.11.24'!$E$2:$E$1621,"")</f>
        <v>Healthcare</v>
      </c>
    </row>
    <row r="3487" spans="1:6" x14ac:dyDescent="0.25">
      <c r="A3487" s="140">
        <v>45721.625</v>
      </c>
      <c r="B3487" t="s">
        <v>3702</v>
      </c>
      <c r="C3487" t="s">
        <v>3699</v>
      </c>
      <c r="D3487" s="6" t="str">
        <f>_xlfn.XLOOKUP(B3487,Indices!$A$2:$A$2676,Indices!$B$2:$B$2676,"")</f>
        <v/>
      </c>
      <c r="E3487" t="str">
        <f>_xlfn.XLOOKUP(B3487,'2025-Q1'!$A$402:$A$448,'2025-Q1'!$A$402:$A$448,"avail")</f>
        <v>avail</v>
      </c>
      <c r="F3487" t="str">
        <f>_xlfn.XLOOKUP(B3487,'[2]!! -- Stock Universe 12.11.24'!$C$2:$C$1621,'[2]!! -- Stock Universe 12.11.24'!$E$2:$E$1621,"")</f>
        <v/>
      </c>
    </row>
    <row r="3488" spans="1:6" x14ac:dyDescent="0.25">
      <c r="A3488" s="140">
        <v>45721.625</v>
      </c>
      <c r="B3488" t="s">
        <v>3726</v>
      </c>
      <c r="C3488" t="s">
        <v>3699</v>
      </c>
      <c r="D3488" s="6" t="str">
        <f>_xlfn.XLOOKUP(B3488,Indices!$A$2:$A$2676,Indices!$B$2:$B$2676,"")</f>
        <v/>
      </c>
      <c r="E3488" t="str">
        <f>_xlfn.XLOOKUP(B3488,'2025-Q1'!$A$402:$A$448,'2025-Q1'!$A$402:$A$448,"avail")</f>
        <v>avail</v>
      </c>
      <c r="F3488" t="str">
        <f>_xlfn.XLOOKUP(B3488,'[2]!! -- Stock Universe 12.11.24'!$C$2:$C$1621,'[2]!! -- Stock Universe 12.11.24'!$E$2:$E$1621,"")</f>
        <v/>
      </c>
    </row>
    <row r="3489" spans="1:6" x14ac:dyDescent="0.25">
      <c r="A3489" s="140">
        <v>45721.625</v>
      </c>
      <c r="B3489" t="s">
        <v>3834</v>
      </c>
      <c r="C3489" t="s">
        <v>3699</v>
      </c>
      <c r="D3489" s="6" t="str">
        <f>_xlfn.XLOOKUP(B3489,Indices!$A$2:$A$2676,Indices!$B$2:$B$2676,"")</f>
        <v/>
      </c>
      <c r="E3489" t="str">
        <f>_xlfn.XLOOKUP(B3489,'2025-Q1'!$A$402:$A$448,'2025-Q1'!$A$402:$A$448,"avail")</f>
        <v>avail</v>
      </c>
      <c r="F3489" t="str">
        <f>_xlfn.XLOOKUP(B3489,'[2]!! -- Stock Universe 12.11.24'!$C$2:$C$1621,'[2]!! -- Stock Universe 12.11.24'!$E$2:$E$1621,"")</f>
        <v/>
      </c>
    </row>
    <row r="3490" spans="1:6" x14ac:dyDescent="0.25">
      <c r="A3490" s="140">
        <v>45721.625</v>
      </c>
      <c r="B3490" t="s">
        <v>3730</v>
      </c>
      <c r="C3490" t="s">
        <v>3699</v>
      </c>
      <c r="D3490" s="6" t="str">
        <f>_xlfn.XLOOKUP(B3490,Indices!$A$2:$A$2676,Indices!$B$2:$B$2676,"")</f>
        <v/>
      </c>
      <c r="E3490" t="str">
        <f>_xlfn.XLOOKUP(B3490,'2025-Q1'!$A$402:$A$448,'2025-Q1'!$A$402:$A$448,"avail")</f>
        <v>avail</v>
      </c>
      <c r="F3490" t="str">
        <f>_xlfn.XLOOKUP(B3490,'[2]!! -- Stock Universe 12.11.24'!$C$2:$C$1621,'[2]!! -- Stock Universe 12.11.24'!$E$2:$E$1621,"")</f>
        <v/>
      </c>
    </row>
    <row r="3491" spans="1:6" x14ac:dyDescent="0.25">
      <c r="A3491" s="140">
        <v>45721.625</v>
      </c>
      <c r="B3491" t="s">
        <v>6418</v>
      </c>
      <c r="C3491" t="s">
        <v>3699</v>
      </c>
      <c r="D3491" s="6" t="str">
        <f>_xlfn.XLOOKUP(B3491,Indices!$A$2:$A$2676,Indices!$B$2:$B$2676,"")</f>
        <v/>
      </c>
      <c r="E3491" t="str">
        <f>_xlfn.XLOOKUP(B3491,'2025-Q1'!$A$402:$A$448,'2025-Q1'!$A$402:$A$448,"avail")</f>
        <v>avail</v>
      </c>
      <c r="F3491" t="str">
        <f>_xlfn.XLOOKUP(B3491,'[2]!! -- Stock Universe 12.11.24'!$C$2:$C$1621,'[2]!! -- Stock Universe 12.11.24'!$E$2:$E$1621,"")</f>
        <v/>
      </c>
    </row>
    <row r="3492" spans="1:6" x14ac:dyDescent="0.25">
      <c r="A3492" s="140">
        <v>45721.625</v>
      </c>
      <c r="B3492" t="s">
        <v>3703</v>
      </c>
      <c r="C3492" t="s">
        <v>3699</v>
      </c>
      <c r="D3492" s="6" t="str">
        <f>_xlfn.XLOOKUP(B3492,Indices!$A$2:$A$2676,Indices!$B$2:$B$2676,"")</f>
        <v/>
      </c>
      <c r="E3492" t="str">
        <f>_xlfn.XLOOKUP(B3492,'2025-Q1'!$A$402:$A$448,'2025-Q1'!$A$402:$A$448,"avail")</f>
        <v>avail</v>
      </c>
      <c r="F3492" t="str">
        <f>_xlfn.XLOOKUP(B3492,'[2]!! -- Stock Universe 12.11.24'!$C$2:$C$1621,'[2]!! -- Stock Universe 12.11.24'!$E$2:$E$1621,"")</f>
        <v/>
      </c>
    </row>
    <row r="3493" spans="1:6" x14ac:dyDescent="0.25">
      <c r="A3493" s="140">
        <v>45721.625</v>
      </c>
      <c r="B3493" t="s">
        <v>4003</v>
      </c>
      <c r="C3493" t="s">
        <v>3699</v>
      </c>
      <c r="D3493" s="6" t="str">
        <f>_xlfn.XLOOKUP(B3493,Indices!$A$2:$A$2676,Indices!$B$2:$B$2676,"")</f>
        <v/>
      </c>
      <c r="E3493" t="str">
        <f>_xlfn.XLOOKUP(B3493,'2025-Q1'!$A$402:$A$448,'2025-Q1'!$A$402:$A$448,"avail")</f>
        <v>avail</v>
      </c>
      <c r="F3493" t="str">
        <f>_xlfn.XLOOKUP(B3493,'[2]!! -- Stock Universe 12.11.24'!$C$2:$C$1621,'[2]!! -- Stock Universe 12.11.24'!$E$2:$E$1621,"")</f>
        <v>Technology</v>
      </c>
    </row>
    <row r="3494" spans="1:6" x14ac:dyDescent="0.25">
      <c r="A3494" s="140">
        <v>45721.625</v>
      </c>
      <c r="B3494" t="s">
        <v>846</v>
      </c>
      <c r="C3494" t="s">
        <v>3699</v>
      </c>
      <c r="D3494" s="6" t="str">
        <f>_xlfn.XLOOKUP(B3494,Indices!$A$2:$A$2676,Indices!$B$2:$B$2676,"")</f>
        <v>IWM</v>
      </c>
      <c r="E3494" t="str">
        <f>_xlfn.XLOOKUP(B3494,'2025-Q1'!$A$402:$A$448,'2025-Q1'!$A$402:$A$448,"avail")</f>
        <v>avail</v>
      </c>
      <c r="F3494" t="str">
        <f>_xlfn.XLOOKUP(B3494,'[2]!! -- Stock Universe 12.11.24'!$C$2:$C$1621,'[2]!! -- Stock Universe 12.11.24'!$E$2:$E$1621,"")</f>
        <v>Industrials</v>
      </c>
    </row>
    <row r="3495" spans="1:6" x14ac:dyDescent="0.25">
      <c r="A3495" s="140">
        <v>45721.625</v>
      </c>
      <c r="B3495" t="s">
        <v>1222</v>
      </c>
      <c r="C3495" t="s">
        <v>3699</v>
      </c>
      <c r="D3495" s="6" t="str">
        <f>_xlfn.XLOOKUP(B3495,Indices!$A$2:$A$2676,Indices!$B$2:$B$2676,"")</f>
        <v>IWM</v>
      </c>
      <c r="E3495" t="str">
        <f>_xlfn.XLOOKUP(B3495,'2025-Q1'!$A$402:$A$448,'2025-Q1'!$A$402:$A$448,"avail")</f>
        <v>MEI</v>
      </c>
      <c r="F3495" t="str">
        <f>_xlfn.XLOOKUP(B3495,'[2]!! -- Stock Universe 12.11.24'!$C$2:$C$1621,'[2]!! -- Stock Universe 12.11.24'!$E$2:$E$1621,"")</f>
        <v>Technology</v>
      </c>
    </row>
    <row r="3496" spans="1:6" x14ac:dyDescent="0.25">
      <c r="A3496" s="140">
        <v>45721.625</v>
      </c>
      <c r="B3496" t="s">
        <v>3912</v>
      </c>
      <c r="C3496" t="s">
        <v>3699</v>
      </c>
      <c r="D3496" s="6" t="str">
        <f>_xlfn.XLOOKUP(B3496,Indices!$A$2:$A$2676,Indices!$B$2:$B$2676,"")</f>
        <v/>
      </c>
      <c r="E3496" t="str">
        <f>_xlfn.XLOOKUP(B3496,'2025-Q1'!$A$402:$A$448,'2025-Q1'!$A$402:$A$448,"avail")</f>
        <v>avail</v>
      </c>
      <c r="F3496" t="str">
        <f>_xlfn.XLOOKUP(B3496,'[2]!! -- Stock Universe 12.11.24'!$C$2:$C$1621,'[2]!! -- Stock Universe 12.11.24'!$E$2:$E$1621,"")</f>
        <v/>
      </c>
    </row>
    <row r="3497" spans="1:6" x14ac:dyDescent="0.25">
      <c r="A3497" s="140">
        <v>45721.625</v>
      </c>
      <c r="B3497" t="s">
        <v>3832</v>
      </c>
      <c r="C3497" t="s">
        <v>3699</v>
      </c>
      <c r="D3497" s="6" t="str">
        <f>_xlfn.XLOOKUP(B3497,Indices!$A$2:$A$2676,Indices!$B$2:$B$2676,"")</f>
        <v/>
      </c>
      <c r="E3497" t="str">
        <f>_xlfn.XLOOKUP(B3497,'2025-Q1'!$A$402:$A$448,'2025-Q1'!$A$402:$A$448,"avail")</f>
        <v>avail</v>
      </c>
      <c r="F3497" t="str">
        <f>_xlfn.XLOOKUP(B3497,'[2]!! -- Stock Universe 12.11.24'!$C$2:$C$1621,'[2]!! -- Stock Universe 12.11.24'!$E$2:$E$1621,"")</f>
        <v>Energy</v>
      </c>
    </row>
    <row r="3498" spans="1:6" x14ac:dyDescent="0.25">
      <c r="A3498" s="140">
        <v>45721.625</v>
      </c>
      <c r="B3498" t="s">
        <v>3983</v>
      </c>
      <c r="C3498" t="s">
        <v>3699</v>
      </c>
      <c r="D3498" s="6" t="str">
        <f>_xlfn.XLOOKUP(B3498,Indices!$A$2:$A$2676,Indices!$B$2:$B$2676,"")</f>
        <v/>
      </c>
      <c r="E3498" t="str">
        <f>_xlfn.XLOOKUP(B3498,'2025-Q1'!$A$402:$A$448,'2025-Q1'!$A$402:$A$448,"avail")</f>
        <v>avail</v>
      </c>
      <c r="F3498" t="str">
        <f>_xlfn.XLOOKUP(B3498,'[2]!! -- Stock Universe 12.11.24'!$C$2:$C$1621,'[2]!! -- Stock Universe 12.11.24'!$E$2:$E$1621,"")</f>
        <v/>
      </c>
    </row>
    <row r="3499" spans="1:6" x14ac:dyDescent="0.25">
      <c r="A3499" s="140">
        <v>45721.625</v>
      </c>
      <c r="B3499" t="s">
        <v>1233</v>
      </c>
      <c r="C3499" t="s">
        <v>3699</v>
      </c>
      <c r="D3499" s="6" t="str">
        <f>_xlfn.XLOOKUP(B3499,Indices!$A$2:$A$2676,Indices!$B$2:$B$2676,"")</f>
        <v>IWM</v>
      </c>
      <c r="E3499" t="str">
        <f>_xlfn.XLOOKUP(B3499,'2025-Q1'!$A$402:$A$448,'2025-Q1'!$A$402:$A$448,"avail")</f>
        <v>VSCO</v>
      </c>
      <c r="F3499" t="str">
        <f>_xlfn.XLOOKUP(B3499,'[2]!! -- Stock Universe 12.11.24'!$C$2:$C$1621,'[2]!! -- Stock Universe 12.11.24'!$E$2:$E$1621,"")</f>
        <v>Consumer Cyclical</v>
      </c>
    </row>
    <row r="3500" spans="1:6" x14ac:dyDescent="0.25">
      <c r="A3500" s="140">
        <v>45721.625</v>
      </c>
      <c r="B3500" t="s">
        <v>407</v>
      </c>
      <c r="C3500" t="s">
        <v>3699</v>
      </c>
      <c r="D3500" s="6" t="str">
        <f>_xlfn.XLOOKUP(B3500,Indices!$A$2:$A$2676,Indices!$B$2:$B$2676,"")</f>
        <v>IWM</v>
      </c>
      <c r="E3500" t="str">
        <f>_xlfn.XLOOKUP(B3500,'2025-Q1'!$A$402:$A$448,'2025-Q1'!$A$402:$A$448,"avail")</f>
        <v>avail</v>
      </c>
      <c r="F3500" t="str">
        <f>_xlfn.XLOOKUP(B3500,'[2]!! -- Stock Universe 12.11.24'!$C$2:$C$1621,'[2]!! -- Stock Universe 12.11.24'!$E$2:$E$1621,"")</f>
        <v/>
      </c>
    </row>
    <row r="3501" spans="1:6" x14ac:dyDescent="0.25">
      <c r="A3501" s="140">
        <v>45721.625</v>
      </c>
      <c r="B3501" t="s">
        <v>351</v>
      </c>
      <c r="C3501" t="s">
        <v>3699</v>
      </c>
      <c r="D3501" s="6" t="str">
        <f>_xlfn.XLOOKUP(B3501,Indices!$A$2:$A$2676,Indices!$B$2:$B$2676,"")</f>
        <v>IWM</v>
      </c>
      <c r="E3501" t="str">
        <f>_xlfn.XLOOKUP(B3501,'2025-Q1'!$A$402:$A$448,'2025-Q1'!$A$402:$A$448,"avail")</f>
        <v>avail</v>
      </c>
      <c r="F3501" t="str">
        <f>_xlfn.XLOOKUP(B3501,'[2]!! -- Stock Universe 12.11.24'!$C$2:$C$1621,'[2]!! -- Stock Universe 12.11.24'!$E$2:$E$1621,"")</f>
        <v/>
      </c>
    </row>
    <row r="3502" spans="1:6" x14ac:dyDescent="0.25">
      <c r="A3502" s="140">
        <v>45721.625</v>
      </c>
      <c r="B3502" t="s">
        <v>2293</v>
      </c>
      <c r="C3502" t="s">
        <v>3699</v>
      </c>
      <c r="D3502" s="6" t="str">
        <f>_xlfn.XLOOKUP(B3502,Indices!$A$2:$A$2676,Indices!$B$2:$B$2676,"")</f>
        <v>IWM</v>
      </c>
      <c r="E3502" t="str">
        <f>_xlfn.XLOOKUP(B3502,'2025-Q1'!$A$402:$A$448,'2025-Q1'!$A$402:$A$448,"avail")</f>
        <v>avail</v>
      </c>
      <c r="F3502" t="str">
        <f>_xlfn.XLOOKUP(B3502,'[2]!! -- Stock Universe 12.11.24'!$C$2:$C$1621,'[2]!! -- Stock Universe 12.11.24'!$E$2:$E$1621,"")</f>
        <v/>
      </c>
    </row>
    <row r="3503" spans="1:6" x14ac:dyDescent="0.25">
      <c r="A3503" s="140">
        <v>45721.625</v>
      </c>
      <c r="B3503" t="s">
        <v>1099</v>
      </c>
      <c r="C3503" t="s">
        <v>3699</v>
      </c>
      <c r="D3503" s="6" t="str">
        <f>_xlfn.XLOOKUP(B3503,Indices!$A$2:$A$2676,Indices!$B$2:$B$2676,"")</f>
        <v/>
      </c>
      <c r="E3503" t="str">
        <f>_xlfn.XLOOKUP(B3503,'2025-Q1'!$A$402:$A$448,'2025-Q1'!$A$402:$A$448,"avail")</f>
        <v>avail</v>
      </c>
      <c r="F3503" t="str">
        <f>_xlfn.XLOOKUP(B3503,'[2]!! -- Stock Universe 12.11.24'!$C$2:$C$1621,'[2]!! -- Stock Universe 12.11.24'!$E$2:$E$1621,"")</f>
        <v/>
      </c>
    </row>
    <row r="3504" spans="1:6" x14ac:dyDescent="0.25">
      <c r="A3504" s="140">
        <v>45721.625</v>
      </c>
      <c r="B3504" t="s">
        <v>1022</v>
      </c>
      <c r="C3504" t="s">
        <v>3699</v>
      </c>
      <c r="D3504" s="6" t="str">
        <f>_xlfn.XLOOKUP(B3504,Indices!$A$2:$A$2676,Indices!$B$2:$B$2676,"")</f>
        <v>IWM</v>
      </c>
      <c r="E3504" t="str">
        <f>_xlfn.XLOOKUP(B3504,'2025-Q1'!$A$402:$A$448,'2025-Q1'!$A$402:$A$448,"avail")</f>
        <v>avail</v>
      </c>
      <c r="F3504" t="str">
        <f>_xlfn.XLOOKUP(B3504,'[2]!! -- Stock Universe 12.11.24'!$C$2:$C$1621,'[2]!! -- Stock Universe 12.11.24'!$E$2:$E$1621,"")</f>
        <v>Healthcare</v>
      </c>
    </row>
    <row r="3505" spans="1:6" x14ac:dyDescent="0.25">
      <c r="A3505" s="140">
        <v>45721.625</v>
      </c>
      <c r="B3505" t="s">
        <v>994</v>
      </c>
      <c r="C3505" t="s">
        <v>3699</v>
      </c>
      <c r="D3505" s="6" t="str">
        <f>_xlfn.XLOOKUP(B3505,Indices!$A$2:$A$2676,Indices!$B$2:$B$2676,"")</f>
        <v>IWM</v>
      </c>
      <c r="E3505" t="str">
        <f>_xlfn.XLOOKUP(B3505,'2025-Q1'!$A$402:$A$448,'2025-Q1'!$A$402:$A$448,"avail")</f>
        <v>avail</v>
      </c>
      <c r="F3505" t="str">
        <f>_xlfn.XLOOKUP(B3505,'[2]!! -- Stock Universe 12.11.24'!$C$2:$C$1621,'[2]!! -- Stock Universe 12.11.24'!$E$2:$E$1621,"")</f>
        <v/>
      </c>
    </row>
    <row r="3506" spans="1:6" x14ac:dyDescent="0.25">
      <c r="A3506" s="140">
        <v>45721.625</v>
      </c>
      <c r="B3506" t="s">
        <v>3709</v>
      </c>
      <c r="C3506" t="s">
        <v>3699</v>
      </c>
      <c r="D3506" s="6" t="str">
        <f>_xlfn.XLOOKUP(B3506,Indices!$A$2:$A$2676,Indices!$B$2:$B$2676,"")</f>
        <v/>
      </c>
      <c r="E3506" t="str">
        <f>_xlfn.XLOOKUP(B3506,'2025-Q1'!$A$402:$A$448,'2025-Q1'!$A$402:$A$448,"avail")</f>
        <v>avail</v>
      </c>
      <c r="F3506" t="str">
        <f>_xlfn.XLOOKUP(B3506,'[2]!! -- Stock Universe 12.11.24'!$C$2:$C$1621,'[2]!! -- Stock Universe 12.11.24'!$E$2:$E$1621,"")</f>
        <v/>
      </c>
    </row>
    <row r="3507" spans="1:6" x14ac:dyDescent="0.25">
      <c r="A3507" s="140">
        <v>45721.625</v>
      </c>
      <c r="B3507" t="s">
        <v>3416</v>
      </c>
      <c r="C3507" t="s">
        <v>3699</v>
      </c>
      <c r="D3507" s="6" t="str">
        <f>_xlfn.XLOOKUP(B3507,Indices!$A$2:$A$2676,Indices!$B$2:$B$2676,"")</f>
        <v/>
      </c>
      <c r="E3507" t="str">
        <f>_xlfn.XLOOKUP(B3507,'2025-Q1'!$A$402:$A$448,'2025-Q1'!$A$402:$A$448,"avail")</f>
        <v>avail</v>
      </c>
      <c r="F3507" t="str">
        <f>_xlfn.XLOOKUP(B3507,'[2]!! -- Stock Universe 12.11.24'!$C$2:$C$1621,'[2]!! -- Stock Universe 12.11.24'!$E$2:$E$1621,"")</f>
        <v/>
      </c>
    </row>
    <row r="3508" spans="1:6" x14ac:dyDescent="0.25">
      <c r="A3508" s="140">
        <v>45721.625</v>
      </c>
      <c r="B3508" t="s">
        <v>3811</v>
      </c>
      <c r="C3508" t="s">
        <v>3699</v>
      </c>
      <c r="D3508" s="6" t="str">
        <f>_xlfn.XLOOKUP(B3508,Indices!$A$2:$A$2676,Indices!$B$2:$B$2676,"")</f>
        <v/>
      </c>
      <c r="E3508" t="str">
        <f>_xlfn.XLOOKUP(B3508,'2025-Q1'!$A$402:$A$448,'2025-Q1'!$A$402:$A$448,"avail")</f>
        <v>avail</v>
      </c>
      <c r="F3508" t="str">
        <f>_xlfn.XLOOKUP(B3508,'[2]!! -- Stock Universe 12.11.24'!$C$2:$C$1621,'[2]!! -- Stock Universe 12.11.24'!$E$2:$E$1621,"")</f>
        <v/>
      </c>
    </row>
    <row r="3509" spans="1:6" x14ac:dyDescent="0.25">
      <c r="A3509" s="140">
        <v>45721.625</v>
      </c>
      <c r="B3509" t="s">
        <v>3857</v>
      </c>
      <c r="C3509" t="s">
        <v>3699</v>
      </c>
      <c r="D3509" s="6" t="str">
        <f>_xlfn.XLOOKUP(B3509,Indices!$A$2:$A$2676,Indices!$B$2:$B$2676,"")</f>
        <v/>
      </c>
      <c r="E3509" t="str">
        <f>_xlfn.XLOOKUP(B3509,'2025-Q1'!$A$402:$A$448,'2025-Q1'!$A$402:$A$448,"avail")</f>
        <v>avail</v>
      </c>
      <c r="F3509" t="str">
        <f>_xlfn.XLOOKUP(B3509,'[2]!! -- Stock Universe 12.11.24'!$C$2:$C$1621,'[2]!! -- Stock Universe 12.11.24'!$E$2:$E$1621,"")</f>
        <v/>
      </c>
    </row>
    <row r="3510" spans="1:6" x14ac:dyDescent="0.25">
      <c r="A3510" s="140">
        <v>45721.625</v>
      </c>
      <c r="B3510" t="s">
        <v>3708</v>
      </c>
      <c r="C3510" t="s">
        <v>3699</v>
      </c>
      <c r="D3510" s="6" t="str">
        <f>_xlfn.XLOOKUP(B3510,Indices!$A$2:$A$2676,Indices!$B$2:$B$2676,"")</f>
        <v/>
      </c>
      <c r="E3510" t="str">
        <f>_xlfn.XLOOKUP(B3510,'2025-Q1'!$A$402:$A$448,'2025-Q1'!$A$402:$A$448,"avail")</f>
        <v>avail</v>
      </c>
      <c r="F3510" t="str">
        <f>_xlfn.XLOOKUP(B3510,'[2]!! -- Stock Universe 12.11.24'!$C$2:$C$1621,'[2]!! -- Stock Universe 12.11.24'!$E$2:$E$1621,"")</f>
        <v>Technology</v>
      </c>
    </row>
    <row r="3511" spans="1:6" x14ac:dyDescent="0.25">
      <c r="A3511" s="140">
        <v>45722.291666666664</v>
      </c>
      <c r="B3511" t="s">
        <v>3777</v>
      </c>
      <c r="C3511" t="s">
        <v>3735</v>
      </c>
      <c r="D3511" s="6" t="str">
        <f>_xlfn.XLOOKUP(B3511,Indices!$A$2:$A$2676,Indices!$B$2:$B$2676,"")</f>
        <v/>
      </c>
      <c r="E3511" t="str">
        <f>_xlfn.XLOOKUP(B3511,'2025-Q1'!$A$402:$A$448,'2025-Q1'!$A$402:$A$448,"avail")</f>
        <v>avail</v>
      </c>
      <c r="F3511" t="str">
        <f>_xlfn.XLOOKUP(B3511,'[2]!! -- Stock Universe 12.11.24'!$C$2:$C$1621,'[2]!! -- Stock Universe 12.11.24'!$E$2:$E$1621,"")</f>
        <v/>
      </c>
    </row>
    <row r="3512" spans="1:6" x14ac:dyDescent="0.25">
      <c r="A3512" s="140">
        <v>45722.291666666664</v>
      </c>
      <c r="B3512" t="s">
        <v>311</v>
      </c>
      <c r="C3512" t="s">
        <v>3735</v>
      </c>
      <c r="D3512" s="6" t="str">
        <f>_xlfn.XLOOKUP(B3512,Indices!$A$2:$A$2676,Indices!$B$2:$B$2676,"")</f>
        <v>IWM</v>
      </c>
      <c r="E3512" t="str">
        <f>_xlfn.XLOOKUP(B3512,'2025-Q1'!$A$402:$A$448,'2025-Q1'!$A$402:$A$448,"avail")</f>
        <v>avail</v>
      </c>
      <c r="F3512" t="str">
        <f>_xlfn.XLOOKUP(B3512,'[2]!! -- Stock Universe 12.11.24'!$C$2:$C$1621,'[2]!! -- Stock Universe 12.11.24'!$E$2:$E$1621,"")</f>
        <v>Healthcare</v>
      </c>
    </row>
    <row r="3513" spans="1:6" x14ac:dyDescent="0.25">
      <c r="A3513" s="140">
        <v>45722.291666666664</v>
      </c>
      <c r="B3513" t="s">
        <v>3765</v>
      </c>
      <c r="C3513" t="s">
        <v>3735</v>
      </c>
      <c r="D3513" s="6" t="str">
        <f>_xlfn.XLOOKUP(B3513,Indices!$A$2:$A$2676,Indices!$B$2:$B$2676,"")</f>
        <v/>
      </c>
      <c r="E3513" t="str">
        <f>_xlfn.XLOOKUP(B3513,'2025-Q1'!$A$402:$A$448,'2025-Q1'!$A$402:$A$448,"avail")</f>
        <v>avail</v>
      </c>
      <c r="F3513" t="str">
        <f>_xlfn.XLOOKUP(B3513,'[2]!! -- Stock Universe 12.11.24'!$C$2:$C$1621,'[2]!! -- Stock Universe 12.11.24'!$E$2:$E$1621,"")</f>
        <v/>
      </c>
    </row>
    <row r="3514" spans="1:6" x14ac:dyDescent="0.25">
      <c r="A3514" s="140">
        <v>45722.291666666664</v>
      </c>
      <c r="B3514" t="s">
        <v>3766</v>
      </c>
      <c r="C3514" t="s">
        <v>3735</v>
      </c>
      <c r="D3514" s="6" t="str">
        <f>_xlfn.XLOOKUP(B3514,Indices!$A$2:$A$2676,Indices!$B$2:$B$2676,"")</f>
        <v/>
      </c>
      <c r="E3514" t="str">
        <f>_xlfn.XLOOKUP(B3514,'2025-Q1'!$A$402:$A$448,'2025-Q1'!$A$402:$A$448,"avail")</f>
        <v>avail</v>
      </c>
      <c r="F3514" t="str">
        <f>_xlfn.XLOOKUP(B3514,'[2]!! -- Stock Universe 12.11.24'!$C$2:$C$1621,'[2]!! -- Stock Universe 12.11.24'!$E$2:$E$1621,"")</f>
        <v/>
      </c>
    </row>
    <row r="3515" spans="1:6" x14ac:dyDescent="0.25">
      <c r="A3515" s="140">
        <v>45722.291666666664</v>
      </c>
      <c r="B3515" t="s">
        <v>3395</v>
      </c>
      <c r="C3515" t="s">
        <v>3737</v>
      </c>
      <c r="D3515" s="6" t="str">
        <f>_xlfn.XLOOKUP(B3515,Indices!$A$2:$A$2676,Indices!$B$2:$B$2676,"")</f>
        <v/>
      </c>
      <c r="E3515" t="str">
        <f>_xlfn.XLOOKUP(B3515,'2025-Q1'!$A$402:$A$448,'2025-Q1'!$A$402:$A$448,"avail")</f>
        <v>avail</v>
      </c>
      <c r="F3515" t="str">
        <f>_xlfn.XLOOKUP(B3515,'[2]!! -- Stock Universe 12.11.24'!$C$2:$C$1621,'[2]!! -- Stock Universe 12.11.24'!$E$2:$E$1621,"")</f>
        <v/>
      </c>
    </row>
    <row r="3516" spans="1:6" x14ac:dyDescent="0.25">
      <c r="A3516" s="140">
        <v>45722.291666666664</v>
      </c>
      <c r="B3516" t="s">
        <v>2521</v>
      </c>
      <c r="C3516" t="s">
        <v>3735</v>
      </c>
      <c r="D3516" s="6" t="str">
        <f>_xlfn.XLOOKUP(B3516,Indices!$A$2:$A$2676,Indices!$B$2:$B$2676,"")</f>
        <v/>
      </c>
      <c r="E3516" t="str">
        <f>_xlfn.XLOOKUP(B3516,'2025-Q1'!$A$402:$A$448,'2025-Q1'!$A$402:$A$448,"avail")</f>
        <v>avail</v>
      </c>
      <c r="F3516" t="str">
        <f>_xlfn.XLOOKUP(B3516,'[2]!! -- Stock Universe 12.11.24'!$C$2:$C$1621,'[2]!! -- Stock Universe 12.11.24'!$E$2:$E$1621,"")</f>
        <v/>
      </c>
    </row>
    <row r="3517" spans="1:6" x14ac:dyDescent="0.25">
      <c r="A3517" s="140">
        <v>45722.291666666664</v>
      </c>
      <c r="B3517" t="s">
        <v>3783</v>
      </c>
      <c r="C3517" t="s">
        <v>3735</v>
      </c>
      <c r="D3517" s="6" t="str">
        <f>_xlfn.XLOOKUP(B3517,Indices!$A$2:$A$2676,Indices!$B$2:$B$2676,"")</f>
        <v/>
      </c>
      <c r="E3517" t="str">
        <f>_xlfn.XLOOKUP(B3517,'2025-Q1'!$A$402:$A$448,'2025-Q1'!$A$402:$A$448,"avail")</f>
        <v>avail</v>
      </c>
      <c r="F3517" t="str">
        <f>_xlfn.XLOOKUP(B3517,'[2]!! -- Stock Universe 12.11.24'!$C$2:$C$1621,'[2]!! -- Stock Universe 12.11.24'!$E$2:$E$1621,"")</f>
        <v/>
      </c>
    </row>
    <row r="3518" spans="1:6" x14ac:dyDescent="0.25">
      <c r="A3518" s="140">
        <v>45722.291666666664</v>
      </c>
      <c r="B3518" t="s">
        <v>3760</v>
      </c>
      <c r="C3518" t="s">
        <v>3735</v>
      </c>
      <c r="D3518" s="6" t="str">
        <f>_xlfn.XLOOKUP(B3518,Indices!$A$2:$A$2676,Indices!$B$2:$B$2676,"")</f>
        <v/>
      </c>
      <c r="E3518" t="str">
        <f>_xlfn.XLOOKUP(B3518,'2025-Q1'!$A$402:$A$448,'2025-Q1'!$A$402:$A$448,"avail")</f>
        <v>avail</v>
      </c>
      <c r="F3518" t="str">
        <f>_xlfn.XLOOKUP(B3518,'[2]!! -- Stock Universe 12.11.24'!$C$2:$C$1621,'[2]!! -- Stock Universe 12.11.24'!$E$2:$E$1621,"")</f>
        <v/>
      </c>
    </row>
    <row r="3519" spans="1:6" x14ac:dyDescent="0.25">
      <c r="A3519" s="140">
        <v>45722.291666666664</v>
      </c>
      <c r="B3519" t="s">
        <v>645</v>
      </c>
      <c r="C3519" t="s">
        <v>3735</v>
      </c>
      <c r="D3519" s="6" t="str">
        <f>_xlfn.XLOOKUP(B3519,Indices!$A$2:$A$2676,Indices!$B$2:$B$2676,"")</f>
        <v>IWM</v>
      </c>
      <c r="E3519" t="str">
        <f>_xlfn.XLOOKUP(B3519,'2025-Q1'!$A$402:$A$448,'2025-Q1'!$A$402:$A$448,"avail")</f>
        <v>avail</v>
      </c>
      <c r="F3519" t="str">
        <f>_xlfn.XLOOKUP(B3519,'[2]!! -- Stock Universe 12.11.24'!$C$2:$C$1621,'[2]!! -- Stock Universe 12.11.24'!$E$2:$E$1621,"")</f>
        <v/>
      </c>
    </row>
    <row r="3520" spans="1:6" x14ac:dyDescent="0.25">
      <c r="A3520" s="140">
        <v>45722.291666666664</v>
      </c>
      <c r="B3520" t="s">
        <v>3752</v>
      </c>
      <c r="C3520" t="s">
        <v>3737</v>
      </c>
      <c r="D3520" s="6" t="str">
        <f>_xlfn.XLOOKUP(B3520,Indices!$A$2:$A$2676,Indices!$B$2:$B$2676,"")</f>
        <v/>
      </c>
      <c r="E3520" t="str">
        <f>_xlfn.XLOOKUP(B3520,'2025-Q1'!$A$402:$A$448,'2025-Q1'!$A$402:$A$448,"avail")</f>
        <v>avail</v>
      </c>
      <c r="F3520" t="str">
        <f>_xlfn.XLOOKUP(B3520,'[2]!! -- Stock Universe 12.11.24'!$C$2:$C$1621,'[2]!! -- Stock Universe 12.11.24'!$E$2:$E$1621,"")</f>
        <v/>
      </c>
    </row>
    <row r="3521" spans="1:6" x14ac:dyDescent="0.25">
      <c r="A3521" s="140">
        <v>45722.291666666664</v>
      </c>
      <c r="B3521" t="s">
        <v>3768</v>
      </c>
      <c r="C3521" t="s">
        <v>3735</v>
      </c>
      <c r="D3521" s="6" t="str">
        <f>_xlfn.XLOOKUP(B3521,Indices!$A$2:$A$2676,Indices!$B$2:$B$2676,"")</f>
        <v/>
      </c>
      <c r="E3521" t="str">
        <f>_xlfn.XLOOKUP(B3521,'2025-Q1'!$A$402:$A$448,'2025-Q1'!$A$402:$A$448,"avail")</f>
        <v>avail</v>
      </c>
      <c r="F3521" t="str">
        <f>_xlfn.XLOOKUP(B3521,'[2]!! -- Stock Universe 12.11.24'!$C$2:$C$1621,'[2]!! -- Stock Universe 12.11.24'!$E$2:$E$1621,"")</f>
        <v/>
      </c>
    </row>
    <row r="3522" spans="1:6" x14ac:dyDescent="0.25">
      <c r="A3522" s="140">
        <v>45722.291666666664</v>
      </c>
      <c r="B3522" t="s">
        <v>3754</v>
      </c>
      <c r="C3522" t="s">
        <v>3737</v>
      </c>
      <c r="D3522" s="6" t="str">
        <f>_xlfn.XLOOKUP(B3522,Indices!$A$2:$A$2676,Indices!$B$2:$B$2676,"")</f>
        <v/>
      </c>
      <c r="E3522" t="str">
        <f>_xlfn.XLOOKUP(B3522,'2025-Q1'!$A$402:$A$448,'2025-Q1'!$A$402:$A$448,"avail")</f>
        <v>avail</v>
      </c>
      <c r="F3522" t="str">
        <f>_xlfn.XLOOKUP(B3522,'[2]!! -- Stock Universe 12.11.24'!$C$2:$C$1621,'[2]!! -- Stock Universe 12.11.24'!$E$2:$E$1621,"")</f>
        <v/>
      </c>
    </row>
    <row r="3523" spans="1:6" x14ac:dyDescent="0.25">
      <c r="A3523" s="140">
        <v>45722.291666666664</v>
      </c>
      <c r="B3523" t="s">
        <v>585</v>
      </c>
      <c r="C3523" t="s">
        <v>3735</v>
      </c>
      <c r="D3523" s="6" t="str">
        <f>_xlfn.XLOOKUP(B3523,Indices!$A$2:$A$2676,Indices!$B$2:$B$2676,"")</f>
        <v>IWM</v>
      </c>
      <c r="E3523" t="str">
        <f>_xlfn.XLOOKUP(B3523,'2025-Q1'!$A$402:$A$448,'2025-Q1'!$A$402:$A$448,"avail")</f>
        <v>avail</v>
      </c>
      <c r="F3523" t="str">
        <f>_xlfn.XLOOKUP(B3523,'[2]!! -- Stock Universe 12.11.24'!$C$2:$C$1621,'[2]!! -- Stock Universe 12.11.24'!$E$2:$E$1621,"")</f>
        <v/>
      </c>
    </row>
    <row r="3524" spans="1:6" x14ac:dyDescent="0.25">
      <c r="A3524" s="140">
        <v>45722.291666666664</v>
      </c>
      <c r="B3524" t="s">
        <v>1137</v>
      </c>
      <c r="C3524" t="s">
        <v>3735</v>
      </c>
      <c r="D3524" s="6" t="str">
        <f>_xlfn.XLOOKUP(B3524,Indices!$A$2:$A$2676,Indices!$B$2:$B$2676,"")</f>
        <v/>
      </c>
      <c r="E3524" t="str">
        <f>_xlfn.XLOOKUP(B3524,'2025-Q1'!$A$402:$A$448,'2025-Q1'!$A$402:$A$448,"avail")</f>
        <v>avail</v>
      </c>
      <c r="F3524" t="str">
        <f>_xlfn.XLOOKUP(B3524,'[2]!! -- Stock Universe 12.11.24'!$C$2:$C$1621,'[2]!! -- Stock Universe 12.11.24'!$E$2:$E$1621,"")</f>
        <v/>
      </c>
    </row>
    <row r="3525" spans="1:6" x14ac:dyDescent="0.25">
      <c r="A3525" s="140">
        <v>45722.291666666664</v>
      </c>
      <c r="B3525" t="s">
        <v>312</v>
      </c>
      <c r="C3525" t="s">
        <v>3735</v>
      </c>
      <c r="D3525" s="6" t="str">
        <f>_xlfn.XLOOKUP(B3525,Indices!$A$2:$A$2676,Indices!$B$2:$B$2676,"")</f>
        <v>IWM</v>
      </c>
      <c r="E3525" t="str">
        <f>_xlfn.XLOOKUP(B3525,'2025-Q1'!$A$402:$A$448,'2025-Q1'!$A$402:$A$448,"avail")</f>
        <v>avail</v>
      </c>
      <c r="F3525" t="str">
        <f>_xlfn.XLOOKUP(B3525,'[2]!! -- Stock Universe 12.11.24'!$C$2:$C$1621,'[2]!! -- Stock Universe 12.11.24'!$E$2:$E$1621,"")</f>
        <v/>
      </c>
    </row>
    <row r="3526" spans="1:6" x14ac:dyDescent="0.25">
      <c r="A3526" s="140">
        <v>45722.291666666664</v>
      </c>
      <c r="B3526" t="s">
        <v>1057</v>
      </c>
      <c r="C3526" t="s">
        <v>3735</v>
      </c>
      <c r="D3526" s="6" t="str">
        <f>_xlfn.XLOOKUP(B3526,Indices!$A$2:$A$2676,Indices!$B$2:$B$2676,"")</f>
        <v>IWM</v>
      </c>
      <c r="E3526" t="str">
        <f>_xlfn.XLOOKUP(B3526,'2025-Q1'!$A$402:$A$448,'2025-Q1'!$A$402:$A$448,"avail")</f>
        <v>avail</v>
      </c>
      <c r="F3526" t="str">
        <f>_xlfn.XLOOKUP(B3526,'[2]!! -- Stock Universe 12.11.24'!$C$2:$C$1621,'[2]!! -- Stock Universe 12.11.24'!$E$2:$E$1621,"")</f>
        <v>Consumer Cyclical</v>
      </c>
    </row>
    <row r="3527" spans="1:6" x14ac:dyDescent="0.25">
      <c r="A3527" s="140">
        <v>45722.291666666664</v>
      </c>
      <c r="B3527" t="s">
        <v>3904</v>
      </c>
      <c r="C3527" t="s">
        <v>3735</v>
      </c>
      <c r="D3527" s="6" t="str">
        <f>_xlfn.XLOOKUP(B3527,Indices!$A$2:$A$2676,Indices!$B$2:$B$2676,"")</f>
        <v/>
      </c>
      <c r="E3527" t="str">
        <f>_xlfn.XLOOKUP(B3527,'2025-Q1'!$A$402:$A$448,'2025-Q1'!$A$402:$A$448,"avail")</f>
        <v>avail</v>
      </c>
      <c r="F3527" t="str">
        <f>_xlfn.XLOOKUP(B3527,'[2]!! -- Stock Universe 12.11.24'!$C$2:$C$1621,'[2]!! -- Stock Universe 12.11.24'!$E$2:$E$1621,"")</f>
        <v/>
      </c>
    </row>
    <row r="3528" spans="1:6" x14ac:dyDescent="0.25">
      <c r="A3528" s="140">
        <v>45722.291666666664</v>
      </c>
      <c r="B3528" t="s">
        <v>3509</v>
      </c>
      <c r="C3528" t="s">
        <v>3735</v>
      </c>
      <c r="D3528" s="6" t="str">
        <f>_xlfn.XLOOKUP(B3528,Indices!$A$2:$A$2676,Indices!$B$2:$B$2676,"")</f>
        <v/>
      </c>
      <c r="E3528" t="str">
        <f>_xlfn.XLOOKUP(B3528,'2025-Q1'!$A$402:$A$448,'2025-Q1'!$A$402:$A$448,"avail")</f>
        <v>avail</v>
      </c>
      <c r="F3528" t="str">
        <f>_xlfn.XLOOKUP(B3528,'[2]!! -- Stock Universe 12.11.24'!$C$2:$C$1621,'[2]!! -- Stock Universe 12.11.24'!$E$2:$E$1621,"")</f>
        <v/>
      </c>
    </row>
    <row r="3529" spans="1:6" x14ac:dyDescent="0.25">
      <c r="A3529" s="140">
        <v>45722.291666666664</v>
      </c>
      <c r="B3529" t="s">
        <v>623</v>
      </c>
      <c r="C3529" t="s">
        <v>3735</v>
      </c>
      <c r="D3529" s="6" t="str">
        <f>_xlfn.XLOOKUP(B3529,Indices!$A$2:$A$2676,Indices!$B$2:$B$2676,"")</f>
        <v>IWM</v>
      </c>
      <c r="E3529" t="str">
        <f>_xlfn.XLOOKUP(B3529,'2025-Q1'!$A$402:$A$448,'2025-Q1'!$A$402:$A$448,"avail")</f>
        <v>avail</v>
      </c>
      <c r="F3529" t="str">
        <f>_xlfn.XLOOKUP(B3529,'[2]!! -- Stock Universe 12.11.24'!$C$2:$C$1621,'[2]!! -- Stock Universe 12.11.24'!$E$2:$E$1621,"")</f>
        <v/>
      </c>
    </row>
    <row r="3530" spans="1:6" x14ac:dyDescent="0.25">
      <c r="A3530" s="140">
        <v>45722.291666666664</v>
      </c>
      <c r="B3530" t="s">
        <v>4465</v>
      </c>
      <c r="C3530" t="s">
        <v>3735</v>
      </c>
      <c r="D3530" s="6" t="str">
        <f>_xlfn.XLOOKUP(B3530,Indices!$A$2:$A$2676,Indices!$B$2:$B$2676,"")</f>
        <v/>
      </c>
      <c r="E3530" t="str">
        <f>_xlfn.XLOOKUP(B3530,'2025-Q1'!$A$402:$A$448,'2025-Q1'!$A$402:$A$448,"avail")</f>
        <v>avail</v>
      </c>
      <c r="F3530" t="str">
        <f>_xlfn.XLOOKUP(B3530,'[2]!! -- Stock Universe 12.11.24'!$C$2:$C$1621,'[2]!! -- Stock Universe 12.11.24'!$E$2:$E$1621,"")</f>
        <v/>
      </c>
    </row>
    <row r="3531" spans="1:6" x14ac:dyDescent="0.25">
      <c r="A3531" s="140">
        <v>45722.291666666664</v>
      </c>
      <c r="B3531" t="s">
        <v>71</v>
      </c>
      <c r="C3531" t="s">
        <v>3735</v>
      </c>
      <c r="D3531" s="6" t="str">
        <f>_xlfn.XLOOKUP(B3531,Indices!$A$2:$A$2676,Indices!$B$2:$B$2676,"")</f>
        <v>IWM</v>
      </c>
      <c r="E3531" t="str">
        <f>_xlfn.XLOOKUP(B3531,'2025-Q1'!$A$402:$A$448,'2025-Q1'!$A$402:$A$448,"avail")</f>
        <v>avail</v>
      </c>
      <c r="F3531" t="str">
        <f>_xlfn.XLOOKUP(B3531,'[2]!! -- Stock Universe 12.11.24'!$C$2:$C$1621,'[2]!! -- Stock Universe 12.11.24'!$E$2:$E$1621,"")</f>
        <v/>
      </c>
    </row>
    <row r="3532" spans="1:6" x14ac:dyDescent="0.25">
      <c r="A3532" s="140">
        <v>45722.291666666664</v>
      </c>
      <c r="B3532" t="s">
        <v>4951</v>
      </c>
      <c r="C3532" t="s">
        <v>3735</v>
      </c>
      <c r="D3532" s="6" t="str">
        <f>_xlfn.XLOOKUP(B3532,Indices!$A$2:$A$2676,Indices!$B$2:$B$2676,"")</f>
        <v/>
      </c>
      <c r="E3532" t="str">
        <f>_xlfn.XLOOKUP(B3532,'2025-Q1'!$A$402:$A$448,'2025-Q1'!$A$402:$A$448,"avail")</f>
        <v>avail</v>
      </c>
      <c r="F3532" t="str">
        <f>_xlfn.XLOOKUP(B3532,'[2]!! -- Stock Universe 12.11.24'!$C$2:$C$1621,'[2]!! -- Stock Universe 12.11.24'!$E$2:$E$1621,"")</f>
        <v/>
      </c>
    </row>
    <row r="3533" spans="1:6" x14ac:dyDescent="0.25">
      <c r="A3533" s="140">
        <v>45722.291666666664</v>
      </c>
      <c r="B3533" t="s">
        <v>1117</v>
      </c>
      <c r="C3533" t="s">
        <v>3735</v>
      </c>
      <c r="D3533" s="6" t="str">
        <f>_xlfn.XLOOKUP(B3533,Indices!$A$2:$A$2676,Indices!$B$2:$B$2676,"")</f>
        <v/>
      </c>
      <c r="E3533" t="str">
        <f>_xlfn.XLOOKUP(B3533,'2025-Q1'!$A$402:$A$448,'2025-Q1'!$A$402:$A$448,"avail")</f>
        <v>avail</v>
      </c>
      <c r="F3533" t="str">
        <f>_xlfn.XLOOKUP(B3533,'[2]!! -- Stock Universe 12.11.24'!$C$2:$C$1621,'[2]!! -- Stock Universe 12.11.24'!$E$2:$E$1621,"")</f>
        <v/>
      </c>
    </row>
    <row r="3534" spans="1:6" x14ac:dyDescent="0.25">
      <c r="A3534" s="140">
        <v>45722.291666666664</v>
      </c>
      <c r="B3534" t="s">
        <v>3774</v>
      </c>
      <c r="C3534" t="s">
        <v>3735</v>
      </c>
      <c r="D3534" s="6" t="str">
        <f>_xlfn.XLOOKUP(B3534,Indices!$A$2:$A$2676,Indices!$B$2:$B$2676,"")</f>
        <v/>
      </c>
      <c r="E3534" t="str">
        <f>_xlfn.XLOOKUP(B3534,'2025-Q1'!$A$402:$A$448,'2025-Q1'!$A$402:$A$448,"avail")</f>
        <v>avail</v>
      </c>
      <c r="F3534" t="str">
        <f>_xlfn.XLOOKUP(B3534,'[2]!! -- Stock Universe 12.11.24'!$C$2:$C$1621,'[2]!! -- Stock Universe 12.11.24'!$E$2:$E$1621,"")</f>
        <v>Healthcare</v>
      </c>
    </row>
    <row r="3535" spans="1:6" x14ac:dyDescent="0.25">
      <c r="A3535" s="140">
        <v>45722.291666666664</v>
      </c>
      <c r="B3535" t="s">
        <v>3769</v>
      </c>
      <c r="C3535" t="s">
        <v>3737</v>
      </c>
      <c r="D3535" s="6" t="str">
        <f>_xlfn.XLOOKUP(B3535,Indices!$A$2:$A$2676,Indices!$B$2:$B$2676,"")</f>
        <v/>
      </c>
      <c r="E3535" t="str">
        <f>_xlfn.XLOOKUP(B3535,'2025-Q1'!$A$402:$A$448,'2025-Q1'!$A$402:$A$448,"avail")</f>
        <v>avail</v>
      </c>
      <c r="F3535" t="str">
        <f>_xlfn.XLOOKUP(B3535,'[2]!! -- Stock Universe 12.11.24'!$C$2:$C$1621,'[2]!! -- Stock Universe 12.11.24'!$E$2:$E$1621,"")</f>
        <v/>
      </c>
    </row>
    <row r="3536" spans="1:6" x14ac:dyDescent="0.25">
      <c r="A3536" s="140">
        <v>45722.291666666664</v>
      </c>
      <c r="B3536" t="s">
        <v>6</v>
      </c>
      <c r="C3536" t="s">
        <v>3735</v>
      </c>
      <c r="D3536" s="6" t="str">
        <f>_xlfn.XLOOKUP(B3536,Indices!$A$2:$A$2676,Indices!$B$2:$B$2676,"")</f>
        <v>IWM</v>
      </c>
      <c r="E3536" t="str">
        <f>_xlfn.XLOOKUP(B3536,'2025-Q1'!$A$402:$A$448,'2025-Q1'!$A$402:$A$448,"avail")</f>
        <v>avail</v>
      </c>
      <c r="F3536" t="str">
        <f>_xlfn.XLOOKUP(B3536,'[2]!! -- Stock Universe 12.11.24'!$C$2:$C$1621,'[2]!! -- Stock Universe 12.11.24'!$E$2:$E$1621,"")</f>
        <v>Healthcare</v>
      </c>
    </row>
    <row r="3537" spans="1:6" x14ac:dyDescent="0.25">
      <c r="A3537" s="140">
        <v>45722.291666666664</v>
      </c>
      <c r="B3537" t="s">
        <v>3781</v>
      </c>
      <c r="C3537" t="s">
        <v>3735</v>
      </c>
      <c r="D3537" s="6" t="str">
        <f>_xlfn.XLOOKUP(B3537,Indices!$A$2:$A$2676,Indices!$B$2:$B$2676,"")</f>
        <v/>
      </c>
      <c r="E3537" t="str">
        <f>_xlfn.XLOOKUP(B3537,'2025-Q1'!$A$402:$A$448,'2025-Q1'!$A$402:$A$448,"avail")</f>
        <v>avail</v>
      </c>
      <c r="F3537" t="str">
        <f>_xlfn.XLOOKUP(B3537,'[2]!! -- Stock Universe 12.11.24'!$C$2:$C$1621,'[2]!! -- Stock Universe 12.11.24'!$E$2:$E$1621,"")</f>
        <v/>
      </c>
    </row>
    <row r="3538" spans="1:6" x14ac:dyDescent="0.25">
      <c r="A3538" s="140">
        <v>45722.291666666664</v>
      </c>
      <c r="B3538" t="s">
        <v>3784</v>
      </c>
      <c r="C3538" t="s">
        <v>3735</v>
      </c>
      <c r="D3538" s="6" t="str">
        <f>_xlfn.XLOOKUP(B3538,Indices!$A$2:$A$2676,Indices!$B$2:$B$2676,"")</f>
        <v/>
      </c>
      <c r="E3538" t="str">
        <f>_xlfn.XLOOKUP(B3538,'2025-Q1'!$A$402:$A$448,'2025-Q1'!$A$402:$A$448,"avail")</f>
        <v>avail</v>
      </c>
      <c r="F3538" t="str">
        <f>_xlfn.XLOOKUP(B3538,'[2]!! -- Stock Universe 12.11.24'!$C$2:$C$1621,'[2]!! -- Stock Universe 12.11.24'!$E$2:$E$1621,"")</f>
        <v/>
      </c>
    </row>
    <row r="3539" spans="1:6" x14ac:dyDescent="0.25">
      <c r="A3539" s="140">
        <v>45722.291666666664</v>
      </c>
      <c r="B3539" t="s">
        <v>3782</v>
      </c>
      <c r="C3539" t="s">
        <v>3735</v>
      </c>
      <c r="D3539" s="6" t="str">
        <f>_xlfn.XLOOKUP(B3539,Indices!$A$2:$A$2676,Indices!$B$2:$B$2676,"")</f>
        <v/>
      </c>
      <c r="E3539" t="str">
        <f>_xlfn.XLOOKUP(B3539,'2025-Q1'!$A$402:$A$448,'2025-Q1'!$A$402:$A$448,"avail")</f>
        <v>avail</v>
      </c>
      <c r="F3539" t="str">
        <f>_xlfn.XLOOKUP(B3539,'[2]!! -- Stock Universe 12.11.24'!$C$2:$C$1621,'[2]!! -- Stock Universe 12.11.24'!$E$2:$E$1621,"")</f>
        <v/>
      </c>
    </row>
    <row r="3540" spans="1:6" x14ac:dyDescent="0.25">
      <c r="A3540" s="140">
        <v>45722.291666666664</v>
      </c>
      <c r="B3540" t="s">
        <v>3738</v>
      </c>
      <c r="C3540" t="s">
        <v>3735</v>
      </c>
      <c r="D3540" s="6" t="str">
        <f>_xlfn.XLOOKUP(B3540,Indices!$A$2:$A$2676,Indices!$B$2:$B$2676,"")</f>
        <v/>
      </c>
      <c r="E3540" t="str">
        <f>_xlfn.XLOOKUP(B3540,'2025-Q1'!$A$402:$A$448,'2025-Q1'!$A$402:$A$448,"avail")</f>
        <v>avail</v>
      </c>
      <c r="F3540" t="str">
        <f>_xlfn.XLOOKUP(B3540,'[2]!! -- Stock Universe 12.11.24'!$C$2:$C$1621,'[2]!! -- Stock Universe 12.11.24'!$E$2:$E$1621,"")</f>
        <v/>
      </c>
    </row>
    <row r="3541" spans="1:6" x14ac:dyDescent="0.25">
      <c r="A3541" s="140">
        <v>45722.291666666664</v>
      </c>
      <c r="B3541" t="s">
        <v>3775</v>
      </c>
      <c r="C3541" t="s">
        <v>3735</v>
      </c>
      <c r="D3541" s="6" t="str">
        <f>_xlfn.XLOOKUP(B3541,Indices!$A$2:$A$2676,Indices!$B$2:$B$2676,"")</f>
        <v/>
      </c>
      <c r="E3541" t="str">
        <f>_xlfn.XLOOKUP(B3541,'2025-Q1'!$A$402:$A$448,'2025-Q1'!$A$402:$A$448,"avail")</f>
        <v>avail</v>
      </c>
      <c r="F3541" t="str">
        <f>_xlfn.XLOOKUP(B3541,'[2]!! -- Stock Universe 12.11.24'!$C$2:$C$1621,'[2]!! -- Stock Universe 12.11.24'!$E$2:$E$1621,"")</f>
        <v/>
      </c>
    </row>
    <row r="3542" spans="1:6" x14ac:dyDescent="0.25">
      <c r="A3542" s="140">
        <v>45722.291666666664</v>
      </c>
      <c r="B3542" t="s">
        <v>1200</v>
      </c>
      <c r="C3542" t="s">
        <v>3735</v>
      </c>
      <c r="D3542" s="6" t="str">
        <f>_xlfn.XLOOKUP(B3542,Indices!$A$2:$A$2676,Indices!$B$2:$B$2676,"")</f>
        <v>IWM</v>
      </c>
      <c r="E3542" t="str">
        <f>_xlfn.XLOOKUP(B3542,'2025-Q1'!$A$402:$A$448,'2025-Q1'!$A$402:$A$448,"avail")</f>
        <v>avail</v>
      </c>
      <c r="F3542" t="str">
        <f>_xlfn.XLOOKUP(B3542,'[2]!! -- Stock Universe 12.11.24'!$C$2:$C$1621,'[2]!! -- Stock Universe 12.11.24'!$E$2:$E$1621,"")</f>
        <v/>
      </c>
    </row>
    <row r="3543" spans="1:6" x14ac:dyDescent="0.25">
      <c r="A3543" s="140">
        <v>45722.291666666664</v>
      </c>
      <c r="B3543" t="s">
        <v>3468</v>
      </c>
      <c r="C3543" t="s">
        <v>3735</v>
      </c>
      <c r="D3543" s="6" t="str">
        <f>_xlfn.XLOOKUP(B3543,Indices!$A$2:$A$2676,Indices!$B$2:$B$2676,"")</f>
        <v/>
      </c>
      <c r="E3543" t="str">
        <f>_xlfn.XLOOKUP(B3543,'2025-Q1'!$A$402:$A$448,'2025-Q1'!$A$402:$A$448,"avail")</f>
        <v>avail</v>
      </c>
      <c r="F3543" t="str">
        <f>_xlfn.XLOOKUP(B3543,'[2]!! -- Stock Universe 12.11.24'!$C$2:$C$1621,'[2]!! -- Stock Universe 12.11.24'!$E$2:$E$1621,"")</f>
        <v/>
      </c>
    </row>
    <row r="3544" spans="1:6" x14ac:dyDescent="0.25">
      <c r="A3544" s="140">
        <v>45722.291666666664</v>
      </c>
      <c r="B3544" t="s">
        <v>1218</v>
      </c>
      <c r="C3544" t="s">
        <v>3735</v>
      </c>
      <c r="D3544" s="6" t="str">
        <f>_xlfn.XLOOKUP(B3544,Indices!$A$2:$A$2676,Indices!$B$2:$B$2676,"")</f>
        <v>IWM</v>
      </c>
      <c r="E3544" t="str">
        <f>_xlfn.XLOOKUP(B3544,'2025-Q1'!$A$402:$A$448,'2025-Q1'!$A$402:$A$448,"avail")</f>
        <v>avail</v>
      </c>
      <c r="F3544" t="str">
        <f>_xlfn.XLOOKUP(B3544,'[2]!! -- Stock Universe 12.11.24'!$C$2:$C$1621,'[2]!! -- Stock Universe 12.11.24'!$E$2:$E$1621,"")</f>
        <v/>
      </c>
    </row>
    <row r="3545" spans="1:6" x14ac:dyDescent="0.25">
      <c r="A3545" s="140">
        <v>45722.291666666664</v>
      </c>
      <c r="B3545" t="s">
        <v>1154</v>
      </c>
      <c r="C3545" t="s">
        <v>3735</v>
      </c>
      <c r="D3545" s="6" t="str">
        <f>_xlfn.XLOOKUP(B3545,Indices!$A$2:$A$2676,Indices!$B$2:$B$2676,"")</f>
        <v>S&amp;P Mid</v>
      </c>
      <c r="E3545" t="str">
        <f>_xlfn.XLOOKUP(B3545,'2025-Q1'!$A$402:$A$448,'2025-Q1'!$A$402:$A$448,"avail")</f>
        <v>BURL</v>
      </c>
      <c r="F3545" t="str">
        <f>_xlfn.XLOOKUP(B3545,'[2]!! -- Stock Universe 12.11.24'!$C$2:$C$1621,'[2]!! -- Stock Universe 12.11.24'!$E$2:$E$1621,"")</f>
        <v>Consumer Cyclical</v>
      </c>
    </row>
    <row r="3546" spans="1:6" x14ac:dyDescent="0.25">
      <c r="A3546" s="140">
        <v>45722.291666666664</v>
      </c>
      <c r="B3546" t="s">
        <v>3173</v>
      </c>
      <c r="C3546" t="s">
        <v>3735</v>
      </c>
      <c r="D3546" s="6" t="str">
        <f>_xlfn.XLOOKUP(B3546,Indices!$A$2:$A$2676,Indices!$B$2:$B$2676,"")</f>
        <v/>
      </c>
      <c r="E3546" t="str">
        <f>_xlfn.XLOOKUP(B3546,'2025-Q1'!$A$402:$A$448,'2025-Q1'!$A$402:$A$448,"avail")</f>
        <v>avail</v>
      </c>
      <c r="F3546" t="str">
        <f>_xlfn.XLOOKUP(B3546,'[2]!! -- Stock Universe 12.11.24'!$C$2:$C$1621,'[2]!! -- Stock Universe 12.11.24'!$E$2:$E$1621,"")</f>
        <v/>
      </c>
    </row>
    <row r="3547" spans="1:6" x14ac:dyDescent="0.25">
      <c r="A3547" s="140">
        <v>45722.291666666664</v>
      </c>
      <c r="B3547" t="s">
        <v>4028</v>
      </c>
      <c r="C3547" t="s">
        <v>3737</v>
      </c>
      <c r="D3547" s="6" t="str">
        <f>_xlfn.XLOOKUP(B3547,Indices!$A$2:$A$2676,Indices!$B$2:$B$2676,"")</f>
        <v/>
      </c>
      <c r="E3547" t="str">
        <f>_xlfn.XLOOKUP(B3547,'2025-Q1'!$A$402:$A$448,'2025-Q1'!$A$402:$A$448,"avail")</f>
        <v>avail</v>
      </c>
      <c r="F3547" t="str">
        <f>_xlfn.XLOOKUP(B3547,'[2]!! -- Stock Universe 12.11.24'!$C$2:$C$1621,'[2]!! -- Stock Universe 12.11.24'!$E$2:$E$1621,"")</f>
        <v/>
      </c>
    </row>
    <row r="3548" spans="1:6" x14ac:dyDescent="0.25">
      <c r="A3548" s="140">
        <v>45722.291666666664</v>
      </c>
      <c r="B3548" t="s">
        <v>3952</v>
      </c>
      <c r="C3548" t="s">
        <v>3735</v>
      </c>
      <c r="D3548" s="6" t="str">
        <f>_xlfn.XLOOKUP(B3548,Indices!$A$2:$A$2676,Indices!$B$2:$B$2676,"")</f>
        <v/>
      </c>
      <c r="E3548" t="str">
        <f>_xlfn.XLOOKUP(B3548,'2025-Q1'!$A$402:$A$448,'2025-Q1'!$A$402:$A$448,"avail")</f>
        <v>avail</v>
      </c>
      <c r="F3548" t="str">
        <f>_xlfn.XLOOKUP(B3548,'[2]!! -- Stock Universe 12.11.24'!$C$2:$C$1621,'[2]!! -- Stock Universe 12.11.24'!$E$2:$E$1621,"")</f>
        <v>Energy</v>
      </c>
    </row>
    <row r="3549" spans="1:6" x14ac:dyDescent="0.25">
      <c r="A3549" s="140">
        <v>45722.291666666664</v>
      </c>
      <c r="B3549" t="s">
        <v>3736</v>
      </c>
      <c r="C3549" t="s">
        <v>3735</v>
      </c>
      <c r="D3549" s="6" t="str">
        <f>_xlfn.XLOOKUP(B3549,Indices!$A$2:$A$2676,Indices!$B$2:$B$2676,"")</f>
        <v/>
      </c>
      <c r="E3549" t="str">
        <f>_xlfn.XLOOKUP(B3549,'2025-Q1'!$A$402:$A$448,'2025-Q1'!$A$402:$A$448,"avail")</f>
        <v>avail</v>
      </c>
      <c r="F3549" t="str">
        <f>_xlfn.XLOOKUP(B3549,'[2]!! -- Stock Universe 12.11.24'!$C$2:$C$1621,'[2]!! -- Stock Universe 12.11.24'!$E$2:$E$1621,"")</f>
        <v/>
      </c>
    </row>
    <row r="3550" spans="1:6" x14ac:dyDescent="0.25">
      <c r="A3550" s="140">
        <v>45722.291666666664</v>
      </c>
      <c r="B3550" t="s">
        <v>3685</v>
      </c>
      <c r="C3550" t="s">
        <v>3737</v>
      </c>
      <c r="D3550" s="6" t="str">
        <f>_xlfn.XLOOKUP(B3550,Indices!$A$2:$A$2676,Indices!$B$2:$B$2676,"")</f>
        <v/>
      </c>
      <c r="E3550" t="str">
        <f>_xlfn.XLOOKUP(B3550,'2025-Q1'!$A$402:$A$448,'2025-Q1'!$A$402:$A$448,"avail")</f>
        <v>avail</v>
      </c>
      <c r="F3550" t="str">
        <f>_xlfn.XLOOKUP(B3550,'[2]!! -- Stock Universe 12.11.24'!$C$2:$C$1621,'[2]!! -- Stock Universe 12.11.24'!$E$2:$E$1621,"")</f>
        <v/>
      </c>
    </row>
    <row r="3551" spans="1:6" x14ac:dyDescent="0.25">
      <c r="A3551" s="140">
        <v>45722.291666666664</v>
      </c>
      <c r="B3551" t="s">
        <v>594</v>
      </c>
      <c r="C3551" t="s">
        <v>3735</v>
      </c>
      <c r="D3551" s="6" t="str">
        <f>_xlfn.XLOOKUP(B3551,Indices!$A$2:$A$2676,Indices!$B$2:$B$2676,"")</f>
        <v>IWM</v>
      </c>
      <c r="E3551" t="str">
        <f>_xlfn.XLOOKUP(B3551,'2025-Q1'!$A$402:$A$448,'2025-Q1'!$A$402:$A$448,"avail")</f>
        <v>avail</v>
      </c>
      <c r="F3551" t="str">
        <f>_xlfn.XLOOKUP(B3551,'[2]!! -- Stock Universe 12.11.24'!$C$2:$C$1621,'[2]!! -- Stock Universe 12.11.24'!$E$2:$E$1621,"")</f>
        <v/>
      </c>
    </row>
    <row r="3552" spans="1:6" x14ac:dyDescent="0.25">
      <c r="A3552" s="140">
        <v>45722.291666666664</v>
      </c>
      <c r="B3552" t="s">
        <v>3441</v>
      </c>
      <c r="C3552" t="s">
        <v>3735</v>
      </c>
      <c r="D3552" s="6" t="str">
        <f>_xlfn.XLOOKUP(B3552,Indices!$A$2:$A$2676,Indices!$B$2:$B$2676,"")</f>
        <v/>
      </c>
      <c r="E3552" t="str">
        <f>_xlfn.XLOOKUP(B3552,'2025-Q1'!$A$402:$A$448,'2025-Q1'!$A$402:$A$448,"avail")</f>
        <v>avail</v>
      </c>
      <c r="F3552" t="str">
        <f>_xlfn.XLOOKUP(B3552,'[2]!! -- Stock Universe 12.11.24'!$C$2:$C$1621,'[2]!! -- Stock Universe 12.11.24'!$E$2:$E$1621,"")</f>
        <v/>
      </c>
    </row>
    <row r="3553" spans="1:6" x14ac:dyDescent="0.25">
      <c r="A3553" s="140">
        <v>45722.291666666664</v>
      </c>
      <c r="B3553" t="s">
        <v>3742</v>
      </c>
      <c r="C3553" t="s">
        <v>3735</v>
      </c>
      <c r="D3553" s="6" t="str">
        <f>_xlfn.XLOOKUP(B3553,Indices!$A$2:$A$2676,Indices!$B$2:$B$2676,"")</f>
        <v/>
      </c>
      <c r="E3553" t="str">
        <f>_xlfn.XLOOKUP(B3553,'2025-Q1'!$A$402:$A$448,'2025-Q1'!$A$402:$A$448,"avail")</f>
        <v>avail</v>
      </c>
      <c r="F3553" t="str">
        <f>_xlfn.XLOOKUP(B3553,'[2]!! -- Stock Universe 12.11.24'!$C$2:$C$1621,'[2]!! -- Stock Universe 12.11.24'!$E$2:$E$1621,"")</f>
        <v>Healthcare</v>
      </c>
    </row>
    <row r="3554" spans="1:6" x14ac:dyDescent="0.25">
      <c r="A3554" s="140">
        <v>45722.291666666664</v>
      </c>
      <c r="B3554" t="s">
        <v>938</v>
      </c>
      <c r="C3554" t="s">
        <v>3735</v>
      </c>
      <c r="D3554" s="6" t="str">
        <f>_xlfn.XLOOKUP(B3554,Indices!$A$2:$A$2676,Indices!$B$2:$B$2676,"")</f>
        <v>IWM</v>
      </c>
      <c r="E3554" t="str">
        <f>_xlfn.XLOOKUP(B3554,'2025-Q1'!$A$402:$A$448,'2025-Q1'!$A$402:$A$448,"avail")</f>
        <v>avail</v>
      </c>
      <c r="F3554" t="str">
        <f>_xlfn.XLOOKUP(B3554,'[2]!! -- Stock Universe 12.11.24'!$C$2:$C$1621,'[2]!! -- Stock Universe 12.11.24'!$E$2:$E$1621,"")</f>
        <v>Healthcare</v>
      </c>
    </row>
    <row r="3555" spans="1:6" x14ac:dyDescent="0.25">
      <c r="A3555" s="140">
        <v>45722.291666666664</v>
      </c>
      <c r="B3555" t="s">
        <v>669</v>
      </c>
      <c r="C3555" t="s">
        <v>3735</v>
      </c>
      <c r="D3555" s="6" t="str">
        <f>_xlfn.XLOOKUP(B3555,Indices!$A$2:$A$2676,Indices!$B$2:$B$2676,"")</f>
        <v>IWM</v>
      </c>
      <c r="E3555" t="str">
        <f>_xlfn.XLOOKUP(B3555,'2025-Q1'!$A$402:$A$448,'2025-Q1'!$A$402:$A$448,"avail")</f>
        <v>avail</v>
      </c>
      <c r="F3555" t="str">
        <f>_xlfn.XLOOKUP(B3555,'[2]!! -- Stock Universe 12.11.24'!$C$2:$C$1621,'[2]!! -- Stock Universe 12.11.24'!$E$2:$E$1621,"")</f>
        <v>Healthcare</v>
      </c>
    </row>
    <row r="3556" spans="1:6" x14ac:dyDescent="0.25">
      <c r="A3556" s="140">
        <v>45722.291666666664</v>
      </c>
      <c r="B3556" t="s">
        <v>3764</v>
      </c>
      <c r="C3556" t="s">
        <v>3735</v>
      </c>
      <c r="D3556" s="6" t="str">
        <f>_xlfn.XLOOKUP(B3556,Indices!$A$2:$A$2676,Indices!$B$2:$B$2676,"")</f>
        <v/>
      </c>
      <c r="E3556" t="str">
        <f>_xlfn.XLOOKUP(B3556,'2025-Q1'!$A$402:$A$448,'2025-Q1'!$A$402:$A$448,"avail")</f>
        <v>avail</v>
      </c>
      <c r="F3556" t="str">
        <f>_xlfn.XLOOKUP(B3556,'[2]!! -- Stock Universe 12.11.24'!$C$2:$C$1621,'[2]!! -- Stock Universe 12.11.24'!$E$2:$E$1621,"")</f>
        <v/>
      </c>
    </row>
    <row r="3557" spans="1:6" x14ac:dyDescent="0.25">
      <c r="A3557" s="140">
        <v>45722.291666666664</v>
      </c>
      <c r="B3557" t="s">
        <v>3187</v>
      </c>
      <c r="C3557" t="s">
        <v>3735</v>
      </c>
      <c r="D3557" s="6" t="str">
        <f>_xlfn.XLOOKUP(B3557,Indices!$A$2:$A$2676,Indices!$B$2:$B$2676,"")</f>
        <v/>
      </c>
      <c r="E3557" t="str">
        <f>_xlfn.XLOOKUP(B3557,'2025-Q1'!$A$402:$A$448,'2025-Q1'!$A$402:$A$448,"avail")</f>
        <v>avail</v>
      </c>
      <c r="F3557" t="str">
        <f>_xlfn.XLOOKUP(B3557,'[2]!! -- Stock Universe 12.11.24'!$C$2:$C$1621,'[2]!! -- Stock Universe 12.11.24'!$E$2:$E$1621,"")</f>
        <v/>
      </c>
    </row>
    <row r="3558" spans="1:6" x14ac:dyDescent="0.25">
      <c r="A3558" s="140">
        <v>45722.291666666664</v>
      </c>
      <c r="B3558" t="s">
        <v>3745</v>
      </c>
      <c r="C3558" t="s">
        <v>3735</v>
      </c>
      <c r="D3558" s="6" t="str">
        <f>_xlfn.XLOOKUP(B3558,Indices!$A$2:$A$2676,Indices!$B$2:$B$2676,"")</f>
        <v/>
      </c>
      <c r="E3558" t="str">
        <f>_xlfn.XLOOKUP(B3558,'2025-Q1'!$A$402:$A$448,'2025-Q1'!$A$402:$A$448,"avail")</f>
        <v>avail</v>
      </c>
      <c r="F3558" t="str">
        <f>_xlfn.XLOOKUP(B3558,'[2]!! -- Stock Universe 12.11.24'!$C$2:$C$1621,'[2]!! -- Stock Universe 12.11.24'!$E$2:$E$1621,"")</f>
        <v/>
      </c>
    </row>
    <row r="3559" spans="1:6" x14ac:dyDescent="0.25">
      <c r="A3559" s="140">
        <v>45722.291666666664</v>
      </c>
      <c r="B3559" t="s">
        <v>844</v>
      </c>
      <c r="C3559" t="s">
        <v>3735</v>
      </c>
      <c r="D3559" s="6" t="str">
        <f>_xlfn.XLOOKUP(B3559,Indices!$A$2:$A$2676,Indices!$B$2:$B$2676,"")</f>
        <v>IWM</v>
      </c>
      <c r="E3559" t="str">
        <f>_xlfn.XLOOKUP(B3559,'2025-Q1'!$A$402:$A$448,'2025-Q1'!$A$402:$A$448,"avail")</f>
        <v>avail</v>
      </c>
      <c r="F3559" t="str">
        <f>_xlfn.XLOOKUP(B3559,'[2]!! -- Stock Universe 12.11.24'!$C$2:$C$1621,'[2]!! -- Stock Universe 12.11.24'!$E$2:$E$1621,"")</f>
        <v>Healthcare</v>
      </c>
    </row>
    <row r="3560" spans="1:6" x14ac:dyDescent="0.25">
      <c r="A3560" s="140">
        <v>45722.291666666664</v>
      </c>
      <c r="B3560" t="s">
        <v>3756</v>
      </c>
      <c r="C3560" t="s">
        <v>3735</v>
      </c>
      <c r="D3560" s="6" t="str">
        <f>_xlfn.XLOOKUP(B3560,Indices!$A$2:$A$2676,Indices!$B$2:$B$2676,"")</f>
        <v/>
      </c>
      <c r="E3560" t="str">
        <f>_xlfn.XLOOKUP(B3560,'2025-Q1'!$A$402:$A$448,'2025-Q1'!$A$402:$A$448,"avail")</f>
        <v>avail</v>
      </c>
      <c r="F3560" t="str">
        <f>_xlfn.XLOOKUP(B3560,'[2]!! -- Stock Universe 12.11.24'!$C$2:$C$1621,'[2]!! -- Stock Universe 12.11.24'!$E$2:$E$1621,"")</f>
        <v/>
      </c>
    </row>
    <row r="3561" spans="1:6" x14ac:dyDescent="0.25">
      <c r="A3561" s="140">
        <v>45722.291666666664</v>
      </c>
      <c r="B3561" t="s">
        <v>1118</v>
      </c>
      <c r="C3561" t="s">
        <v>3735</v>
      </c>
      <c r="D3561" s="6" t="str">
        <f>_xlfn.XLOOKUP(B3561,Indices!$A$2:$A$2676,Indices!$B$2:$B$2676,"")</f>
        <v>IWM</v>
      </c>
      <c r="E3561" t="str">
        <f>_xlfn.XLOOKUP(B3561,'2025-Q1'!$A$402:$A$448,'2025-Q1'!$A$402:$A$448,"avail")</f>
        <v>avail</v>
      </c>
      <c r="F3561" t="str">
        <f>_xlfn.XLOOKUP(B3561,'[2]!! -- Stock Universe 12.11.24'!$C$2:$C$1621,'[2]!! -- Stock Universe 12.11.24'!$E$2:$E$1621,"")</f>
        <v/>
      </c>
    </row>
    <row r="3562" spans="1:6" x14ac:dyDescent="0.25">
      <c r="A3562" s="140">
        <v>45722.291666666664</v>
      </c>
      <c r="B3562" t="s">
        <v>4031</v>
      </c>
      <c r="C3562" t="s">
        <v>3735</v>
      </c>
      <c r="D3562" s="6" t="str">
        <f>_xlfn.XLOOKUP(B3562,Indices!$A$2:$A$2676,Indices!$B$2:$B$2676,"")</f>
        <v/>
      </c>
      <c r="E3562" t="str">
        <f>_xlfn.XLOOKUP(B3562,'2025-Q1'!$A$402:$A$448,'2025-Q1'!$A$402:$A$448,"avail")</f>
        <v>avail</v>
      </c>
      <c r="F3562" t="str">
        <f>_xlfn.XLOOKUP(B3562,'[2]!! -- Stock Universe 12.11.24'!$C$2:$C$1621,'[2]!! -- Stock Universe 12.11.24'!$E$2:$E$1621,"")</f>
        <v/>
      </c>
    </row>
    <row r="3563" spans="1:6" x14ac:dyDescent="0.25">
      <c r="A3563" s="140">
        <v>45722.291666666664</v>
      </c>
      <c r="B3563" t="s">
        <v>3818</v>
      </c>
      <c r="C3563" t="s">
        <v>3735</v>
      </c>
      <c r="D3563" s="6" t="str">
        <f>_xlfn.XLOOKUP(B3563,Indices!$A$2:$A$2676,Indices!$B$2:$B$2676,"")</f>
        <v/>
      </c>
      <c r="E3563" t="str">
        <f>_xlfn.XLOOKUP(B3563,'2025-Q1'!$A$402:$A$448,'2025-Q1'!$A$402:$A$448,"avail")</f>
        <v>avail</v>
      </c>
      <c r="F3563" t="str">
        <f>_xlfn.XLOOKUP(B3563,'[2]!! -- Stock Universe 12.11.24'!$C$2:$C$1621,'[2]!! -- Stock Universe 12.11.24'!$E$2:$E$1621,"")</f>
        <v>Healthcare</v>
      </c>
    </row>
    <row r="3564" spans="1:6" x14ac:dyDescent="0.25">
      <c r="A3564" s="140">
        <v>45722.291666666664</v>
      </c>
      <c r="B3564" t="s">
        <v>3747</v>
      </c>
      <c r="C3564" t="s">
        <v>3735</v>
      </c>
      <c r="D3564" s="6" t="str">
        <f>_xlfn.XLOOKUP(B3564,Indices!$A$2:$A$2676,Indices!$B$2:$B$2676,"")</f>
        <v/>
      </c>
      <c r="E3564" t="str">
        <f>_xlfn.XLOOKUP(B3564,'2025-Q1'!$A$402:$A$448,'2025-Q1'!$A$402:$A$448,"avail")</f>
        <v>avail</v>
      </c>
      <c r="F3564" t="str">
        <f>_xlfn.XLOOKUP(B3564,'[2]!! -- Stock Universe 12.11.24'!$C$2:$C$1621,'[2]!! -- Stock Universe 12.11.24'!$E$2:$E$1621,"")</f>
        <v/>
      </c>
    </row>
    <row r="3565" spans="1:6" x14ac:dyDescent="0.25">
      <c r="A3565" s="140">
        <v>45722.291666666664</v>
      </c>
      <c r="B3565" t="s">
        <v>583</v>
      </c>
      <c r="C3565" t="s">
        <v>3735</v>
      </c>
      <c r="D3565" s="6" t="str">
        <f>_xlfn.XLOOKUP(B3565,Indices!$A$2:$A$2676,Indices!$B$2:$B$2676,"")</f>
        <v>IWM</v>
      </c>
      <c r="E3565" t="str">
        <f>_xlfn.XLOOKUP(B3565,'2025-Q1'!$A$402:$A$448,'2025-Q1'!$A$402:$A$448,"avail")</f>
        <v>avail</v>
      </c>
      <c r="F3565" t="str">
        <f>_xlfn.XLOOKUP(B3565,'[2]!! -- Stock Universe 12.11.24'!$C$2:$C$1621,'[2]!! -- Stock Universe 12.11.24'!$E$2:$E$1621,"")</f>
        <v>Healthcare</v>
      </c>
    </row>
    <row r="3566" spans="1:6" x14ac:dyDescent="0.25">
      <c r="A3566" s="140">
        <v>45722.291666666664</v>
      </c>
      <c r="B3566" t="s">
        <v>3492</v>
      </c>
      <c r="C3566" t="s">
        <v>3735</v>
      </c>
      <c r="D3566" s="6" t="str">
        <f>_xlfn.XLOOKUP(B3566,Indices!$A$2:$A$2676,Indices!$B$2:$B$2676,"")</f>
        <v/>
      </c>
      <c r="E3566" t="str">
        <f>_xlfn.XLOOKUP(B3566,'2025-Q1'!$A$402:$A$448,'2025-Q1'!$A$402:$A$448,"avail")</f>
        <v>avail</v>
      </c>
      <c r="F3566" t="str">
        <f>_xlfn.XLOOKUP(B3566,'[2]!! -- Stock Universe 12.11.24'!$C$2:$C$1621,'[2]!! -- Stock Universe 12.11.24'!$E$2:$E$1621,"")</f>
        <v>Healthcare</v>
      </c>
    </row>
    <row r="3567" spans="1:6" x14ac:dyDescent="0.25">
      <c r="A3567" s="140">
        <v>45722.291666666664</v>
      </c>
      <c r="B3567" t="s">
        <v>3482</v>
      </c>
      <c r="C3567" t="s">
        <v>3735</v>
      </c>
      <c r="D3567" s="6" t="str">
        <f>_xlfn.XLOOKUP(B3567,Indices!$A$2:$A$2676,Indices!$B$2:$B$2676,"")</f>
        <v/>
      </c>
      <c r="E3567" t="str">
        <f>_xlfn.XLOOKUP(B3567,'2025-Q1'!$A$402:$A$448,'2025-Q1'!$A$402:$A$448,"avail")</f>
        <v>avail</v>
      </c>
      <c r="F3567" t="str">
        <f>_xlfn.XLOOKUP(B3567,'[2]!! -- Stock Universe 12.11.24'!$C$2:$C$1621,'[2]!! -- Stock Universe 12.11.24'!$E$2:$E$1621,"")</f>
        <v/>
      </c>
    </row>
    <row r="3568" spans="1:6" x14ac:dyDescent="0.25">
      <c r="A3568" s="140">
        <v>45722.291666666664</v>
      </c>
      <c r="B3568" t="s">
        <v>1223</v>
      </c>
      <c r="C3568" t="s">
        <v>3735</v>
      </c>
      <c r="D3568" s="6" t="str">
        <f>_xlfn.XLOOKUP(B3568,Indices!$A$2:$A$2676,Indices!$B$2:$B$2676,"")</f>
        <v>SP500</v>
      </c>
      <c r="E3568" t="str">
        <f>_xlfn.XLOOKUP(B3568,'2025-Q1'!$A$402:$A$448,'2025-Q1'!$A$402:$A$448,"avail")</f>
        <v>avail</v>
      </c>
      <c r="F3568" t="str">
        <f>_xlfn.XLOOKUP(B3568,'[2]!! -- Stock Universe 12.11.24'!$C$2:$C$1621,'[2]!! -- Stock Universe 12.11.24'!$E$2:$E$1621,"")</f>
        <v>Consumer Defensive</v>
      </c>
    </row>
    <row r="3569" spans="1:6" x14ac:dyDescent="0.25">
      <c r="A3569" s="140">
        <v>45722.291666666664</v>
      </c>
      <c r="B3569" t="s">
        <v>2436</v>
      </c>
      <c r="C3569" t="s">
        <v>3735</v>
      </c>
      <c r="D3569" s="6" t="str">
        <f>_xlfn.XLOOKUP(B3569,Indices!$A$2:$A$2676,Indices!$B$2:$B$2676,"")</f>
        <v>S&amp;P Mid</v>
      </c>
      <c r="E3569" t="str">
        <f>_xlfn.XLOOKUP(B3569,'2025-Q1'!$A$402:$A$448,'2025-Q1'!$A$402:$A$448,"avail")</f>
        <v>TTC</v>
      </c>
      <c r="F3569" t="str">
        <f>_xlfn.XLOOKUP(B3569,'[2]!! -- Stock Universe 12.11.24'!$C$2:$C$1621,'[2]!! -- Stock Universe 12.11.24'!$E$2:$E$1621,"")</f>
        <v>Industrials</v>
      </c>
    </row>
    <row r="3570" spans="1:6" x14ac:dyDescent="0.25">
      <c r="A3570" s="140">
        <v>45722.291666666664</v>
      </c>
      <c r="B3570" t="s">
        <v>3771</v>
      </c>
      <c r="C3570" t="s">
        <v>3735</v>
      </c>
      <c r="D3570" s="6" t="str">
        <f>_xlfn.XLOOKUP(B3570,Indices!$A$2:$A$2676,Indices!$B$2:$B$2676,"")</f>
        <v/>
      </c>
      <c r="E3570" t="str">
        <f>_xlfn.XLOOKUP(B3570,'2025-Q1'!$A$402:$A$448,'2025-Q1'!$A$402:$A$448,"avail")</f>
        <v>avail</v>
      </c>
      <c r="F3570" t="str">
        <f>_xlfn.XLOOKUP(B3570,'[2]!! -- Stock Universe 12.11.24'!$C$2:$C$1621,'[2]!! -- Stock Universe 12.11.24'!$E$2:$E$1621,"")</f>
        <v/>
      </c>
    </row>
    <row r="3571" spans="1:6" x14ac:dyDescent="0.25">
      <c r="A3571" s="140">
        <v>45722.291666666664</v>
      </c>
      <c r="B3571" t="s">
        <v>2974</v>
      </c>
      <c r="C3571" t="s">
        <v>3735</v>
      </c>
      <c r="D3571" s="6" t="str">
        <f>_xlfn.XLOOKUP(B3571,Indices!$A$2:$A$2676,Indices!$B$2:$B$2676,"")</f>
        <v/>
      </c>
      <c r="E3571" t="str">
        <f>_xlfn.XLOOKUP(B3571,'2025-Q1'!$A$402:$A$448,'2025-Q1'!$A$402:$A$448,"avail")</f>
        <v>avail</v>
      </c>
      <c r="F3571" t="str">
        <f>_xlfn.XLOOKUP(B3571,'[2]!! -- Stock Universe 12.11.24'!$C$2:$C$1621,'[2]!! -- Stock Universe 12.11.24'!$E$2:$E$1621,"")</f>
        <v/>
      </c>
    </row>
    <row r="3572" spans="1:6" x14ac:dyDescent="0.25">
      <c r="A3572" s="140">
        <v>45722.291666666664</v>
      </c>
      <c r="B3572" t="s">
        <v>3776</v>
      </c>
      <c r="C3572" t="s">
        <v>3737</v>
      </c>
      <c r="D3572" s="6" t="str">
        <f>_xlfn.XLOOKUP(B3572,Indices!$A$2:$A$2676,Indices!$B$2:$B$2676,"")</f>
        <v/>
      </c>
      <c r="E3572" t="str">
        <f>_xlfn.XLOOKUP(B3572,'2025-Q1'!$A$402:$A$448,'2025-Q1'!$A$402:$A$448,"avail")</f>
        <v>avail</v>
      </c>
      <c r="F3572" t="str">
        <f>_xlfn.XLOOKUP(B3572,'[2]!! -- Stock Universe 12.11.24'!$C$2:$C$1621,'[2]!! -- Stock Universe 12.11.24'!$E$2:$E$1621,"")</f>
        <v/>
      </c>
    </row>
    <row r="3573" spans="1:6" x14ac:dyDescent="0.25">
      <c r="A3573" s="140">
        <v>45722.291666666664</v>
      </c>
      <c r="B3573" t="s">
        <v>3504</v>
      </c>
      <c r="C3573" t="s">
        <v>3735</v>
      </c>
      <c r="D3573" s="6" t="str">
        <f>_xlfn.XLOOKUP(B3573,Indices!$A$2:$A$2676,Indices!$B$2:$B$2676,"")</f>
        <v/>
      </c>
      <c r="E3573" t="str">
        <f>_xlfn.XLOOKUP(B3573,'2025-Q1'!$A$402:$A$448,'2025-Q1'!$A$402:$A$448,"avail")</f>
        <v>avail</v>
      </c>
      <c r="F3573" t="str">
        <f>_xlfn.XLOOKUP(B3573,'[2]!! -- Stock Universe 12.11.24'!$C$2:$C$1621,'[2]!! -- Stock Universe 12.11.24'!$E$2:$E$1621,"")</f>
        <v>Healthcare</v>
      </c>
    </row>
    <row r="3574" spans="1:6" x14ac:dyDescent="0.25">
      <c r="A3574" s="140">
        <v>45722.291666666664</v>
      </c>
      <c r="B3574" t="s">
        <v>2972</v>
      </c>
      <c r="C3574" t="s">
        <v>3735</v>
      </c>
      <c r="D3574" s="6" t="str">
        <f>_xlfn.XLOOKUP(B3574,Indices!$A$2:$A$2676,Indices!$B$2:$B$2676,"")</f>
        <v/>
      </c>
      <c r="E3574" t="str">
        <f>_xlfn.XLOOKUP(B3574,'2025-Q1'!$A$402:$A$448,'2025-Q1'!$A$402:$A$448,"avail")</f>
        <v>avail</v>
      </c>
      <c r="F3574" t="str">
        <f>_xlfn.XLOOKUP(B3574,'[2]!! -- Stock Universe 12.11.24'!$C$2:$C$1621,'[2]!! -- Stock Universe 12.11.24'!$E$2:$E$1621,"")</f>
        <v/>
      </c>
    </row>
    <row r="3575" spans="1:6" x14ac:dyDescent="0.25">
      <c r="A3575" s="140">
        <v>45722.291666666664</v>
      </c>
      <c r="B3575" t="s">
        <v>2269</v>
      </c>
      <c r="C3575" t="s">
        <v>3735</v>
      </c>
      <c r="D3575" s="6" t="str">
        <f>_xlfn.XLOOKUP(B3575,Indices!$A$2:$A$2676,Indices!$B$2:$B$2676,"")</f>
        <v>IWM</v>
      </c>
      <c r="E3575" t="str">
        <f>_xlfn.XLOOKUP(B3575,'2025-Q1'!$A$402:$A$448,'2025-Q1'!$A$402:$A$448,"avail")</f>
        <v>avail</v>
      </c>
      <c r="F3575" t="str">
        <f>_xlfn.XLOOKUP(B3575,'[2]!! -- Stock Universe 12.11.24'!$C$2:$C$1621,'[2]!! -- Stock Universe 12.11.24'!$E$2:$E$1621,"")</f>
        <v/>
      </c>
    </row>
    <row r="3576" spans="1:6" x14ac:dyDescent="0.25">
      <c r="A3576" s="140">
        <v>45722.291666666664</v>
      </c>
      <c r="B3576" t="s">
        <v>3778</v>
      </c>
      <c r="C3576" t="s">
        <v>3735</v>
      </c>
      <c r="D3576" s="6" t="str">
        <f>_xlfn.XLOOKUP(B3576,Indices!$A$2:$A$2676,Indices!$B$2:$B$2676,"")</f>
        <v/>
      </c>
      <c r="E3576" t="str">
        <f>_xlfn.XLOOKUP(B3576,'2025-Q1'!$A$402:$A$448,'2025-Q1'!$A$402:$A$448,"avail")</f>
        <v>avail</v>
      </c>
      <c r="F3576" t="str">
        <f>_xlfn.XLOOKUP(B3576,'[2]!! -- Stock Universe 12.11.24'!$C$2:$C$1621,'[2]!! -- Stock Universe 12.11.24'!$E$2:$E$1621,"")</f>
        <v/>
      </c>
    </row>
    <row r="3577" spans="1:6" x14ac:dyDescent="0.25">
      <c r="A3577" s="140">
        <v>45722.291666666664</v>
      </c>
      <c r="B3577" t="s">
        <v>3753</v>
      </c>
      <c r="C3577" t="s">
        <v>3735</v>
      </c>
      <c r="D3577" s="6" t="str">
        <f>_xlfn.XLOOKUP(B3577,Indices!$A$2:$A$2676,Indices!$B$2:$B$2676,"")</f>
        <v/>
      </c>
      <c r="E3577" t="str">
        <f>_xlfn.XLOOKUP(B3577,'2025-Q1'!$A$402:$A$448,'2025-Q1'!$A$402:$A$448,"avail")</f>
        <v>avail</v>
      </c>
      <c r="F3577" t="str">
        <f>_xlfn.XLOOKUP(B3577,'[2]!! -- Stock Universe 12.11.24'!$C$2:$C$1621,'[2]!! -- Stock Universe 12.11.24'!$E$2:$E$1621,"")</f>
        <v>Industrials</v>
      </c>
    </row>
    <row r="3578" spans="1:6" x14ac:dyDescent="0.25">
      <c r="A3578" s="140">
        <v>45722.291666666664</v>
      </c>
      <c r="B3578" t="s">
        <v>3780</v>
      </c>
      <c r="C3578" t="s">
        <v>3735</v>
      </c>
      <c r="D3578" s="6" t="str">
        <f>_xlfn.XLOOKUP(B3578,Indices!$A$2:$A$2676,Indices!$B$2:$B$2676,"")</f>
        <v/>
      </c>
      <c r="E3578" t="str">
        <f>_xlfn.XLOOKUP(B3578,'2025-Q1'!$A$402:$A$448,'2025-Q1'!$A$402:$A$448,"avail")</f>
        <v>avail</v>
      </c>
      <c r="F3578" t="str">
        <f>_xlfn.XLOOKUP(B3578,'[2]!! -- Stock Universe 12.11.24'!$C$2:$C$1621,'[2]!! -- Stock Universe 12.11.24'!$E$2:$E$1621,"")</f>
        <v/>
      </c>
    </row>
    <row r="3579" spans="1:6" x14ac:dyDescent="0.25">
      <c r="A3579" s="140">
        <v>45722.291666666664</v>
      </c>
      <c r="B3579" t="s">
        <v>3356</v>
      </c>
      <c r="C3579" t="s">
        <v>3735</v>
      </c>
      <c r="D3579" s="6" t="str">
        <f>_xlfn.XLOOKUP(B3579,Indices!$A$2:$A$2676,Indices!$B$2:$B$2676,"")</f>
        <v/>
      </c>
      <c r="E3579" t="str">
        <f>_xlfn.XLOOKUP(B3579,'2025-Q1'!$A$402:$A$448,'2025-Q1'!$A$402:$A$448,"avail")</f>
        <v>avail</v>
      </c>
      <c r="F3579" t="str">
        <f>_xlfn.XLOOKUP(B3579,'[2]!! -- Stock Universe 12.11.24'!$C$2:$C$1621,'[2]!! -- Stock Universe 12.11.24'!$E$2:$E$1621,"")</f>
        <v>Technology</v>
      </c>
    </row>
    <row r="3580" spans="1:6" x14ac:dyDescent="0.25">
      <c r="A3580" s="140">
        <v>45722.291666666664</v>
      </c>
      <c r="B3580" t="s">
        <v>1119</v>
      </c>
      <c r="C3580" t="s">
        <v>3735</v>
      </c>
      <c r="D3580" s="6" t="str">
        <f>_xlfn.XLOOKUP(B3580,Indices!$A$2:$A$2676,Indices!$B$2:$B$2676,"")</f>
        <v>S&amp;P Mid</v>
      </c>
      <c r="E3580" t="str">
        <f>_xlfn.XLOOKUP(B3580,'2025-Q1'!$A$402:$A$448,'2025-Q1'!$A$402:$A$448,"avail")</f>
        <v>BJ</v>
      </c>
      <c r="F3580" t="str">
        <f>_xlfn.XLOOKUP(B3580,'[2]!! -- Stock Universe 12.11.24'!$C$2:$C$1621,'[2]!! -- Stock Universe 12.11.24'!$E$2:$E$1621,"")</f>
        <v>Consumer Defensive</v>
      </c>
    </row>
    <row r="3581" spans="1:6" x14ac:dyDescent="0.25">
      <c r="A3581" s="140">
        <v>45722.291666666664</v>
      </c>
      <c r="B3581" t="s">
        <v>1229</v>
      </c>
      <c r="C3581" t="s">
        <v>3735</v>
      </c>
      <c r="D3581" s="6" t="str">
        <f>_xlfn.XLOOKUP(B3581,Indices!$A$2:$A$2676,Indices!$B$2:$B$2676,"")</f>
        <v>IWM</v>
      </c>
      <c r="E3581" t="str">
        <f>_xlfn.XLOOKUP(B3581,'2025-Q1'!$A$402:$A$448,'2025-Q1'!$A$402:$A$448,"avail")</f>
        <v>avail</v>
      </c>
      <c r="F3581" t="str">
        <f>_xlfn.XLOOKUP(B3581,'[2]!! -- Stock Universe 12.11.24'!$C$2:$C$1621,'[2]!! -- Stock Universe 12.11.24'!$E$2:$E$1621,"")</f>
        <v/>
      </c>
    </row>
    <row r="3582" spans="1:6" x14ac:dyDescent="0.25">
      <c r="A3582" s="140">
        <v>45722.291666666664</v>
      </c>
      <c r="B3582" t="s">
        <v>635</v>
      </c>
      <c r="C3582" t="s">
        <v>3735</v>
      </c>
      <c r="D3582" s="6" t="str">
        <f>_xlfn.XLOOKUP(B3582,Indices!$A$2:$A$2676,Indices!$B$2:$B$2676,"")</f>
        <v>IWM</v>
      </c>
      <c r="E3582" t="str">
        <f>_xlfn.XLOOKUP(B3582,'2025-Q1'!$A$402:$A$448,'2025-Q1'!$A$402:$A$448,"avail")</f>
        <v>avail</v>
      </c>
      <c r="F3582" t="str">
        <f>_xlfn.XLOOKUP(B3582,'[2]!! -- Stock Universe 12.11.24'!$C$2:$C$1621,'[2]!! -- Stock Universe 12.11.24'!$E$2:$E$1621,"")</f>
        <v>Healthcare</v>
      </c>
    </row>
    <row r="3583" spans="1:6" x14ac:dyDescent="0.25">
      <c r="A3583" s="140">
        <v>45722.291666666664</v>
      </c>
      <c r="B3583" t="s">
        <v>829</v>
      </c>
      <c r="C3583" t="s">
        <v>3735</v>
      </c>
      <c r="D3583" s="6" t="str">
        <f>_xlfn.XLOOKUP(B3583,Indices!$A$2:$A$2676,Indices!$B$2:$B$2676,"")</f>
        <v>IWM</v>
      </c>
      <c r="E3583" t="str">
        <f>_xlfn.XLOOKUP(B3583,'2025-Q1'!$A$402:$A$448,'2025-Q1'!$A$402:$A$448,"avail")</f>
        <v>avail</v>
      </c>
      <c r="F3583" t="str">
        <f>_xlfn.XLOOKUP(B3583,'[2]!! -- Stock Universe 12.11.24'!$C$2:$C$1621,'[2]!! -- Stock Universe 12.11.24'!$E$2:$E$1621,"")</f>
        <v/>
      </c>
    </row>
    <row r="3584" spans="1:6" x14ac:dyDescent="0.25">
      <c r="A3584" s="140">
        <v>45722.291666666664</v>
      </c>
      <c r="B3584" t="s">
        <v>2220</v>
      </c>
      <c r="C3584" t="s">
        <v>3735</v>
      </c>
      <c r="D3584" s="6" t="str">
        <f>_xlfn.XLOOKUP(B3584,Indices!$A$2:$A$2676,Indices!$B$2:$B$2676,"")</f>
        <v>IWM</v>
      </c>
      <c r="E3584" t="str">
        <f>_xlfn.XLOOKUP(B3584,'2025-Q1'!$A$402:$A$448,'2025-Q1'!$A$402:$A$448,"avail")</f>
        <v>avail</v>
      </c>
      <c r="F3584" t="str">
        <f>_xlfn.XLOOKUP(B3584,'[2]!! -- Stock Universe 12.11.24'!$C$2:$C$1621,'[2]!! -- Stock Universe 12.11.24'!$E$2:$E$1621,"")</f>
        <v/>
      </c>
    </row>
    <row r="3585" spans="1:6" x14ac:dyDescent="0.25">
      <c r="A3585" s="140">
        <v>45722.291666666664</v>
      </c>
      <c r="B3585" t="s">
        <v>862</v>
      </c>
      <c r="C3585" t="s">
        <v>3735</v>
      </c>
      <c r="D3585" s="6" t="str">
        <f>_xlfn.XLOOKUP(B3585,Indices!$A$2:$A$2676,Indices!$B$2:$B$2676,"")</f>
        <v>IWM</v>
      </c>
      <c r="E3585" t="str">
        <f>_xlfn.XLOOKUP(B3585,'2025-Q1'!$A$402:$A$448,'2025-Q1'!$A$402:$A$448,"avail")</f>
        <v>avail</v>
      </c>
      <c r="F3585" t="str">
        <f>_xlfn.XLOOKUP(B3585,'[2]!! -- Stock Universe 12.11.24'!$C$2:$C$1621,'[2]!! -- Stock Universe 12.11.24'!$E$2:$E$1621,"")</f>
        <v>Healthcare</v>
      </c>
    </row>
    <row r="3586" spans="1:6" x14ac:dyDescent="0.25">
      <c r="A3586" s="140">
        <v>45722.291666666664</v>
      </c>
      <c r="B3586" t="s">
        <v>3741</v>
      </c>
      <c r="C3586" t="s">
        <v>3735</v>
      </c>
      <c r="D3586" s="6" t="str">
        <f>_xlfn.XLOOKUP(B3586,Indices!$A$2:$A$2676,Indices!$B$2:$B$2676,"")</f>
        <v/>
      </c>
      <c r="E3586" t="str">
        <f>_xlfn.XLOOKUP(B3586,'2025-Q1'!$A$402:$A$448,'2025-Q1'!$A$402:$A$448,"avail")</f>
        <v>avail</v>
      </c>
      <c r="F3586" t="str">
        <f>_xlfn.XLOOKUP(B3586,'[2]!! -- Stock Universe 12.11.24'!$C$2:$C$1621,'[2]!! -- Stock Universe 12.11.24'!$E$2:$E$1621,"")</f>
        <v/>
      </c>
    </row>
    <row r="3587" spans="1:6" x14ac:dyDescent="0.25">
      <c r="A3587" s="140">
        <v>45722.291666666664</v>
      </c>
      <c r="B3587" t="s">
        <v>3749</v>
      </c>
      <c r="C3587" t="s">
        <v>3735</v>
      </c>
      <c r="D3587" s="6" t="str">
        <f>_xlfn.XLOOKUP(B3587,Indices!$A$2:$A$2676,Indices!$B$2:$B$2676,"")</f>
        <v/>
      </c>
      <c r="E3587" t="str">
        <f>_xlfn.XLOOKUP(B3587,'2025-Q1'!$A$402:$A$448,'2025-Q1'!$A$402:$A$448,"avail")</f>
        <v>avail</v>
      </c>
      <c r="F3587" t="str">
        <f>_xlfn.XLOOKUP(B3587,'[2]!! -- Stock Universe 12.11.24'!$C$2:$C$1621,'[2]!! -- Stock Universe 12.11.24'!$E$2:$E$1621,"")</f>
        <v/>
      </c>
    </row>
    <row r="3588" spans="1:6" x14ac:dyDescent="0.25">
      <c r="A3588" s="140">
        <v>45722.291666666664</v>
      </c>
      <c r="B3588" t="s">
        <v>1156</v>
      </c>
      <c r="C3588" t="s">
        <v>3735</v>
      </c>
      <c r="D3588" s="6" t="str">
        <f>_xlfn.XLOOKUP(B3588,Indices!$A$2:$A$2676,Indices!$B$2:$B$2676,"")</f>
        <v>S&amp;P Mid</v>
      </c>
      <c r="E3588" t="str">
        <f>_xlfn.XLOOKUP(B3588,'2025-Q1'!$A$402:$A$448,'2025-Q1'!$A$402:$A$448,"avail")</f>
        <v>M</v>
      </c>
      <c r="F3588" t="str">
        <f>_xlfn.XLOOKUP(B3588,'[2]!! -- Stock Universe 12.11.24'!$C$2:$C$1621,'[2]!! -- Stock Universe 12.11.24'!$E$2:$E$1621,"")</f>
        <v>Consumer Cyclical</v>
      </c>
    </row>
    <row r="3589" spans="1:6" x14ac:dyDescent="0.25">
      <c r="A3589" s="140">
        <v>45722.291666666664</v>
      </c>
      <c r="B3589" t="s">
        <v>5686</v>
      </c>
      <c r="C3589" t="s">
        <v>3735</v>
      </c>
      <c r="D3589" s="6" t="str">
        <f>_xlfn.XLOOKUP(B3589,Indices!$A$2:$A$2676,Indices!$B$2:$B$2676,"")</f>
        <v/>
      </c>
      <c r="E3589" t="str">
        <f>_xlfn.XLOOKUP(B3589,'2025-Q1'!$A$402:$A$448,'2025-Q1'!$A$402:$A$448,"avail")</f>
        <v>avail</v>
      </c>
      <c r="F3589" t="str">
        <f>_xlfn.XLOOKUP(B3589,'[2]!! -- Stock Universe 12.11.24'!$C$2:$C$1621,'[2]!! -- Stock Universe 12.11.24'!$E$2:$E$1621,"")</f>
        <v/>
      </c>
    </row>
    <row r="3590" spans="1:6" x14ac:dyDescent="0.25">
      <c r="A3590" s="140">
        <v>45722.291666666664</v>
      </c>
      <c r="B3590" t="s">
        <v>3945</v>
      </c>
      <c r="C3590" t="s">
        <v>3735</v>
      </c>
      <c r="D3590" s="6" t="str">
        <f>_xlfn.XLOOKUP(B3590,Indices!$A$2:$A$2676,Indices!$B$2:$B$2676,"")</f>
        <v/>
      </c>
      <c r="E3590" t="str">
        <f>_xlfn.XLOOKUP(B3590,'2025-Q1'!$A$402:$A$448,'2025-Q1'!$A$402:$A$448,"avail")</f>
        <v>avail</v>
      </c>
      <c r="F3590" t="str">
        <f>_xlfn.XLOOKUP(B3590,'[2]!! -- Stock Universe 12.11.24'!$C$2:$C$1621,'[2]!! -- Stock Universe 12.11.24'!$E$2:$E$1621,"")</f>
        <v/>
      </c>
    </row>
    <row r="3591" spans="1:6" x14ac:dyDescent="0.25">
      <c r="A3591" s="140">
        <v>45722.291666666664</v>
      </c>
      <c r="B3591" t="s">
        <v>3748</v>
      </c>
      <c r="C3591" t="s">
        <v>3735</v>
      </c>
      <c r="D3591" s="6" t="str">
        <f>_xlfn.XLOOKUP(B3591,Indices!$A$2:$A$2676,Indices!$B$2:$B$2676,"")</f>
        <v/>
      </c>
      <c r="E3591" t="str">
        <f>_xlfn.XLOOKUP(B3591,'2025-Q1'!$A$402:$A$448,'2025-Q1'!$A$402:$A$448,"avail")</f>
        <v>avail</v>
      </c>
      <c r="F3591" t="str">
        <f>_xlfn.XLOOKUP(B3591,'[2]!! -- Stock Universe 12.11.24'!$C$2:$C$1621,'[2]!! -- Stock Universe 12.11.24'!$E$2:$E$1621,"")</f>
        <v/>
      </c>
    </row>
    <row r="3592" spans="1:6" x14ac:dyDescent="0.25">
      <c r="A3592" s="140">
        <v>45722.291666666664</v>
      </c>
      <c r="B3592" t="s">
        <v>3751</v>
      </c>
      <c r="C3592" t="s">
        <v>3735</v>
      </c>
      <c r="D3592" s="6" t="str">
        <f>_xlfn.XLOOKUP(B3592,Indices!$A$2:$A$2676,Indices!$B$2:$B$2676,"")</f>
        <v/>
      </c>
      <c r="E3592" t="str">
        <f>_xlfn.XLOOKUP(B3592,'2025-Q1'!$A$402:$A$448,'2025-Q1'!$A$402:$A$448,"avail")</f>
        <v>avail</v>
      </c>
      <c r="F3592" t="str">
        <f>_xlfn.XLOOKUP(B3592,'[2]!! -- Stock Universe 12.11.24'!$C$2:$C$1621,'[2]!! -- Stock Universe 12.11.24'!$E$2:$E$1621,"")</f>
        <v/>
      </c>
    </row>
    <row r="3593" spans="1:6" x14ac:dyDescent="0.25">
      <c r="A3593" s="140">
        <v>45722.291666666664</v>
      </c>
      <c r="B3593" t="s">
        <v>2948</v>
      </c>
      <c r="C3593" t="s">
        <v>3735</v>
      </c>
      <c r="D3593" s="6" t="str">
        <f>_xlfn.XLOOKUP(B3593,Indices!$A$2:$A$2676,Indices!$B$2:$B$2676,"")</f>
        <v/>
      </c>
      <c r="E3593" t="str">
        <f>_xlfn.XLOOKUP(B3593,'2025-Q1'!$A$402:$A$448,'2025-Q1'!$A$402:$A$448,"avail")</f>
        <v>avail</v>
      </c>
      <c r="F3593" t="str">
        <f>_xlfn.XLOOKUP(B3593,'[2]!! -- Stock Universe 12.11.24'!$C$2:$C$1621,'[2]!! -- Stock Universe 12.11.24'!$E$2:$E$1621,"")</f>
        <v/>
      </c>
    </row>
    <row r="3594" spans="1:6" x14ac:dyDescent="0.25">
      <c r="A3594" s="140">
        <v>45722.458333333336</v>
      </c>
      <c r="B3594" t="s">
        <v>3787</v>
      </c>
      <c r="C3594" t="s">
        <v>3786</v>
      </c>
      <c r="D3594" s="6" t="str">
        <f>_xlfn.XLOOKUP(B3594,Indices!$A$2:$A$2676,Indices!$B$2:$B$2676,"")</f>
        <v/>
      </c>
      <c r="E3594" t="str">
        <f>_xlfn.XLOOKUP(B3594,'2025-Q1'!$A$402:$A$448,'2025-Q1'!$A$402:$A$448,"avail")</f>
        <v>avail</v>
      </c>
      <c r="F3594" t="str">
        <f>_xlfn.XLOOKUP(B3594,'[2]!! -- Stock Universe 12.11.24'!$C$2:$C$1621,'[2]!! -- Stock Universe 12.11.24'!$E$2:$E$1621,"")</f>
        <v/>
      </c>
    </row>
    <row r="3595" spans="1:6" x14ac:dyDescent="0.25">
      <c r="A3595" s="140">
        <v>45722.458333333336</v>
      </c>
      <c r="B3595" t="s">
        <v>3788</v>
      </c>
      <c r="C3595" t="s">
        <v>3786</v>
      </c>
      <c r="D3595" s="6" t="str">
        <f>_xlfn.XLOOKUP(B3595,Indices!$A$2:$A$2676,Indices!$B$2:$B$2676,"")</f>
        <v/>
      </c>
      <c r="E3595" t="str">
        <f>_xlfn.XLOOKUP(B3595,'2025-Q1'!$A$402:$A$448,'2025-Q1'!$A$402:$A$448,"avail")</f>
        <v>avail</v>
      </c>
      <c r="F3595" t="str">
        <f>_xlfn.XLOOKUP(B3595,'[2]!! -- Stock Universe 12.11.24'!$C$2:$C$1621,'[2]!! -- Stock Universe 12.11.24'!$E$2:$E$1621,"")</f>
        <v/>
      </c>
    </row>
    <row r="3596" spans="1:6" x14ac:dyDescent="0.25">
      <c r="A3596" s="140">
        <v>45722.625</v>
      </c>
      <c r="B3596" t="s">
        <v>2262</v>
      </c>
      <c r="C3596" t="s">
        <v>3789</v>
      </c>
      <c r="D3596" s="6" t="str">
        <f>_xlfn.XLOOKUP(B3596,Indices!$A$2:$A$2676,Indices!$B$2:$B$2676,"")</f>
        <v>IWM</v>
      </c>
      <c r="E3596" t="str">
        <f>_xlfn.XLOOKUP(B3596,'2025-Q1'!$A$402:$A$448,'2025-Q1'!$A$402:$A$448,"avail")</f>
        <v>avail</v>
      </c>
      <c r="F3596" t="str">
        <f>_xlfn.XLOOKUP(B3596,'[2]!! -- Stock Universe 12.11.24'!$C$2:$C$1621,'[2]!! -- Stock Universe 12.11.24'!$E$2:$E$1621,"")</f>
        <v/>
      </c>
    </row>
    <row r="3597" spans="1:6" x14ac:dyDescent="0.25">
      <c r="A3597" s="140">
        <v>45722.625</v>
      </c>
      <c r="B3597" t="s">
        <v>3810</v>
      </c>
      <c r="C3597" t="s">
        <v>3789</v>
      </c>
      <c r="D3597" s="6" t="str">
        <f>_xlfn.XLOOKUP(B3597,Indices!$A$2:$A$2676,Indices!$B$2:$B$2676,"")</f>
        <v/>
      </c>
      <c r="E3597" t="str">
        <f>_xlfn.XLOOKUP(B3597,'2025-Q1'!$A$402:$A$448,'2025-Q1'!$A$402:$A$448,"avail")</f>
        <v>avail</v>
      </c>
      <c r="F3597" t="str">
        <f>_xlfn.XLOOKUP(B3597,'[2]!! -- Stock Universe 12.11.24'!$C$2:$C$1621,'[2]!! -- Stock Universe 12.11.24'!$E$2:$E$1621,"")</f>
        <v/>
      </c>
    </row>
    <row r="3598" spans="1:6" x14ac:dyDescent="0.25">
      <c r="A3598" s="140">
        <v>45722.625</v>
      </c>
      <c r="B3598" t="s">
        <v>3823</v>
      </c>
      <c r="C3598" t="s">
        <v>3789</v>
      </c>
      <c r="D3598" s="6" t="str">
        <f>_xlfn.XLOOKUP(B3598,Indices!$A$2:$A$2676,Indices!$B$2:$B$2676,"")</f>
        <v/>
      </c>
      <c r="E3598" t="str">
        <f>_xlfn.XLOOKUP(B3598,'2025-Q1'!$A$402:$A$448,'2025-Q1'!$A$402:$A$448,"avail")</f>
        <v>avail</v>
      </c>
      <c r="F3598" t="str">
        <f>_xlfn.XLOOKUP(B3598,'[2]!! -- Stock Universe 12.11.24'!$C$2:$C$1621,'[2]!! -- Stock Universe 12.11.24'!$E$2:$E$1621,"")</f>
        <v/>
      </c>
    </row>
    <row r="3599" spans="1:6" x14ac:dyDescent="0.25">
      <c r="A3599" s="140">
        <v>45722.625</v>
      </c>
      <c r="B3599" t="s">
        <v>3822</v>
      </c>
      <c r="C3599" t="s">
        <v>3789</v>
      </c>
      <c r="D3599" s="6" t="str">
        <f>_xlfn.XLOOKUP(B3599,Indices!$A$2:$A$2676,Indices!$B$2:$B$2676,"")</f>
        <v/>
      </c>
      <c r="E3599" t="str">
        <f>_xlfn.XLOOKUP(B3599,'2025-Q1'!$A$402:$A$448,'2025-Q1'!$A$402:$A$448,"avail")</f>
        <v>avail</v>
      </c>
      <c r="F3599" t="str">
        <f>_xlfn.XLOOKUP(B3599,'[2]!! -- Stock Universe 12.11.24'!$C$2:$C$1621,'[2]!! -- Stock Universe 12.11.24'!$E$2:$E$1621,"")</f>
        <v/>
      </c>
    </row>
    <row r="3600" spans="1:6" x14ac:dyDescent="0.25">
      <c r="A3600" s="140">
        <v>45722.625</v>
      </c>
      <c r="B3600" t="s">
        <v>3815</v>
      </c>
      <c r="C3600" t="s">
        <v>3789</v>
      </c>
      <c r="D3600" s="6" t="str">
        <f>_xlfn.XLOOKUP(B3600,Indices!$A$2:$A$2676,Indices!$B$2:$B$2676,"")</f>
        <v/>
      </c>
      <c r="E3600" t="str">
        <f>_xlfn.XLOOKUP(B3600,'2025-Q1'!$A$402:$A$448,'2025-Q1'!$A$402:$A$448,"avail")</f>
        <v>avail</v>
      </c>
      <c r="F3600" t="str">
        <f>_xlfn.XLOOKUP(B3600,'[2]!! -- Stock Universe 12.11.24'!$C$2:$C$1621,'[2]!! -- Stock Universe 12.11.24'!$E$2:$E$1621,"")</f>
        <v/>
      </c>
    </row>
    <row r="3601" spans="1:6" x14ac:dyDescent="0.25">
      <c r="A3601" s="140">
        <v>45722.625</v>
      </c>
      <c r="B3601" t="s">
        <v>1244</v>
      </c>
      <c r="C3601" t="s">
        <v>3789</v>
      </c>
      <c r="D3601" s="6" t="str">
        <f>_xlfn.XLOOKUP(B3601,Indices!$A$2:$A$2676,Indices!$B$2:$B$2676,"")</f>
        <v>IWM</v>
      </c>
      <c r="E3601" t="str">
        <f>_xlfn.XLOOKUP(B3601,'2025-Q1'!$A$402:$A$448,'2025-Q1'!$A$402:$A$448,"avail")</f>
        <v>avail</v>
      </c>
      <c r="F3601" t="str">
        <f>_xlfn.XLOOKUP(B3601,'[2]!! -- Stock Universe 12.11.24'!$C$2:$C$1621,'[2]!! -- Stock Universe 12.11.24'!$E$2:$E$1621,"")</f>
        <v/>
      </c>
    </row>
    <row r="3602" spans="1:6" x14ac:dyDescent="0.25">
      <c r="A3602" s="140">
        <v>45722.625</v>
      </c>
      <c r="B3602" t="s">
        <v>3829</v>
      </c>
      <c r="C3602" t="s">
        <v>3789</v>
      </c>
      <c r="D3602" s="6" t="str">
        <f>_xlfn.XLOOKUP(B3602,Indices!$A$2:$A$2676,Indices!$B$2:$B$2676,"")</f>
        <v/>
      </c>
      <c r="E3602" t="str">
        <f>_xlfn.XLOOKUP(B3602,'2025-Q1'!$A$402:$A$448,'2025-Q1'!$A$402:$A$448,"avail")</f>
        <v>avail</v>
      </c>
      <c r="F3602" t="str">
        <f>_xlfn.XLOOKUP(B3602,'[2]!! -- Stock Universe 12.11.24'!$C$2:$C$1621,'[2]!! -- Stock Universe 12.11.24'!$E$2:$E$1621,"")</f>
        <v/>
      </c>
    </row>
    <row r="3603" spans="1:6" x14ac:dyDescent="0.25">
      <c r="A3603" s="140">
        <v>45722.625</v>
      </c>
      <c r="B3603" t="s">
        <v>4088</v>
      </c>
      <c r="C3603" t="s">
        <v>3789</v>
      </c>
      <c r="D3603" s="6" t="str">
        <f>_xlfn.XLOOKUP(B3603,Indices!$A$2:$A$2676,Indices!$B$2:$B$2676,"")</f>
        <v/>
      </c>
      <c r="E3603" t="str">
        <f>_xlfn.XLOOKUP(B3603,'2025-Q1'!$A$402:$A$448,'2025-Q1'!$A$402:$A$448,"avail")</f>
        <v>avail</v>
      </c>
      <c r="F3603" t="str">
        <f>_xlfn.XLOOKUP(B3603,'[2]!! -- Stock Universe 12.11.24'!$C$2:$C$1621,'[2]!! -- Stock Universe 12.11.24'!$E$2:$E$1621,"")</f>
        <v/>
      </c>
    </row>
    <row r="3604" spans="1:6" x14ac:dyDescent="0.25">
      <c r="A3604" s="140">
        <v>45722.625</v>
      </c>
      <c r="B3604" t="s">
        <v>3225</v>
      </c>
      <c r="C3604" t="s">
        <v>3789</v>
      </c>
      <c r="D3604" s="6" t="str">
        <f>_xlfn.XLOOKUP(B3604,Indices!$A$2:$A$2676,Indices!$B$2:$B$2676,"")</f>
        <v/>
      </c>
      <c r="E3604" t="str">
        <f>_xlfn.XLOOKUP(B3604,'2025-Q1'!$A$402:$A$448,'2025-Q1'!$A$402:$A$448,"avail")</f>
        <v>avail</v>
      </c>
      <c r="F3604" t="str">
        <f>_xlfn.XLOOKUP(B3604,'[2]!! -- Stock Universe 12.11.24'!$C$2:$C$1621,'[2]!! -- Stock Universe 12.11.24'!$E$2:$E$1621,"")</f>
        <v/>
      </c>
    </row>
    <row r="3605" spans="1:6" x14ac:dyDescent="0.25">
      <c r="A3605" s="140">
        <v>45722.625</v>
      </c>
      <c r="B3605" t="s">
        <v>3228</v>
      </c>
      <c r="C3605" t="s">
        <v>3789</v>
      </c>
      <c r="D3605" s="6" t="str">
        <f>_xlfn.XLOOKUP(B3605,Indices!$A$2:$A$2676,Indices!$B$2:$B$2676,"")</f>
        <v/>
      </c>
      <c r="E3605" t="str">
        <f>_xlfn.XLOOKUP(B3605,'2025-Q1'!$A$402:$A$448,'2025-Q1'!$A$402:$A$448,"avail")</f>
        <v>avail</v>
      </c>
      <c r="F3605" t="str">
        <f>_xlfn.XLOOKUP(B3605,'[2]!! -- Stock Universe 12.11.24'!$C$2:$C$1621,'[2]!! -- Stock Universe 12.11.24'!$E$2:$E$1621,"")</f>
        <v/>
      </c>
    </row>
    <row r="3606" spans="1:6" x14ac:dyDescent="0.25">
      <c r="A3606" s="140">
        <v>45722.625</v>
      </c>
      <c r="B3606" t="s">
        <v>3825</v>
      </c>
      <c r="C3606" t="s">
        <v>3789</v>
      </c>
      <c r="D3606" s="6" t="str">
        <f>_xlfn.XLOOKUP(B3606,Indices!$A$2:$A$2676,Indices!$B$2:$B$2676,"")</f>
        <v/>
      </c>
      <c r="E3606" t="str">
        <f>_xlfn.XLOOKUP(B3606,'2025-Q1'!$A$402:$A$448,'2025-Q1'!$A$402:$A$448,"avail")</f>
        <v>avail</v>
      </c>
      <c r="F3606" t="str">
        <f>_xlfn.XLOOKUP(B3606,'[2]!! -- Stock Universe 12.11.24'!$C$2:$C$1621,'[2]!! -- Stock Universe 12.11.24'!$E$2:$E$1621,"")</f>
        <v/>
      </c>
    </row>
    <row r="3607" spans="1:6" x14ac:dyDescent="0.25">
      <c r="A3607" s="140">
        <v>45722.625</v>
      </c>
      <c r="B3607" t="s">
        <v>158</v>
      </c>
      <c r="C3607" t="s">
        <v>3789</v>
      </c>
      <c r="D3607" s="6" t="str">
        <f>_xlfn.XLOOKUP(B3607,Indices!$A$2:$A$2676,Indices!$B$2:$B$2676,"")</f>
        <v>IWM</v>
      </c>
      <c r="E3607" t="str">
        <f>_xlfn.XLOOKUP(B3607,'2025-Q1'!$A$402:$A$448,'2025-Q1'!$A$402:$A$448,"avail")</f>
        <v>avail</v>
      </c>
      <c r="F3607" t="str">
        <f>_xlfn.XLOOKUP(B3607,'[2]!! -- Stock Universe 12.11.24'!$C$2:$C$1621,'[2]!! -- Stock Universe 12.11.24'!$E$2:$E$1621,"")</f>
        <v/>
      </c>
    </row>
    <row r="3608" spans="1:6" x14ac:dyDescent="0.25">
      <c r="A3608" s="140">
        <v>45722.625</v>
      </c>
      <c r="B3608" t="s">
        <v>2168</v>
      </c>
      <c r="C3608" t="s">
        <v>3789</v>
      </c>
      <c r="D3608" s="6" t="str">
        <f>_xlfn.XLOOKUP(B3608,Indices!$A$2:$A$2676,Indices!$B$2:$B$2676,"")</f>
        <v>IWM</v>
      </c>
      <c r="E3608" t="str">
        <f>_xlfn.XLOOKUP(B3608,'2025-Q1'!$A$402:$A$448,'2025-Q1'!$A$402:$A$448,"avail")</f>
        <v>avail</v>
      </c>
      <c r="F3608" t="str">
        <f>_xlfn.XLOOKUP(B3608,'[2]!! -- Stock Universe 12.11.24'!$C$2:$C$1621,'[2]!! -- Stock Universe 12.11.24'!$E$2:$E$1621,"")</f>
        <v/>
      </c>
    </row>
    <row r="3609" spans="1:6" x14ac:dyDescent="0.25">
      <c r="A3609" s="140">
        <v>45722.625</v>
      </c>
      <c r="B3609" t="s">
        <v>3990</v>
      </c>
      <c r="C3609" t="s">
        <v>3789</v>
      </c>
      <c r="D3609" s="6" t="str">
        <f>_xlfn.XLOOKUP(B3609,Indices!$A$2:$A$2676,Indices!$B$2:$B$2676,"")</f>
        <v/>
      </c>
      <c r="E3609" t="str">
        <f>_xlfn.XLOOKUP(B3609,'2025-Q1'!$A$402:$A$448,'2025-Q1'!$A$402:$A$448,"avail")</f>
        <v>avail</v>
      </c>
      <c r="F3609" t="str">
        <f>_xlfn.XLOOKUP(B3609,'[2]!! -- Stock Universe 12.11.24'!$C$2:$C$1621,'[2]!! -- Stock Universe 12.11.24'!$E$2:$E$1621,"")</f>
        <v/>
      </c>
    </row>
    <row r="3610" spans="1:6" x14ac:dyDescent="0.25">
      <c r="A3610" s="140">
        <v>45722.625</v>
      </c>
      <c r="B3610" t="s">
        <v>2795</v>
      </c>
      <c r="C3610" t="s">
        <v>3789</v>
      </c>
      <c r="D3610" s="6" t="str">
        <f>_xlfn.XLOOKUP(B3610,Indices!$A$2:$A$2676,Indices!$B$2:$B$2676,"")</f>
        <v/>
      </c>
      <c r="E3610" t="str">
        <f>_xlfn.XLOOKUP(B3610,'2025-Q1'!$A$402:$A$448,'2025-Q1'!$A$402:$A$448,"avail")</f>
        <v>avail</v>
      </c>
      <c r="F3610" t="str">
        <f>_xlfn.XLOOKUP(B3610,'[2]!! -- Stock Universe 12.11.24'!$C$2:$C$1621,'[2]!! -- Stock Universe 12.11.24'!$E$2:$E$1621,"")</f>
        <v/>
      </c>
    </row>
    <row r="3611" spans="1:6" x14ac:dyDescent="0.25">
      <c r="A3611" s="140">
        <v>45722.625</v>
      </c>
      <c r="B3611" t="s">
        <v>99</v>
      </c>
      <c r="C3611" t="s">
        <v>3789</v>
      </c>
      <c r="D3611" s="6" t="str">
        <f>_xlfn.XLOOKUP(B3611,Indices!$A$2:$A$2676,Indices!$B$2:$B$2676,"")</f>
        <v>IWM</v>
      </c>
      <c r="E3611" t="str">
        <f>_xlfn.XLOOKUP(B3611,'2025-Q1'!$A$402:$A$448,'2025-Q1'!$A$402:$A$448,"avail")</f>
        <v>avail</v>
      </c>
      <c r="F3611" t="str">
        <f>_xlfn.XLOOKUP(B3611,'[2]!! -- Stock Universe 12.11.24'!$C$2:$C$1621,'[2]!! -- Stock Universe 12.11.24'!$E$2:$E$1621,"")</f>
        <v>Basic Materials</v>
      </c>
    </row>
    <row r="3612" spans="1:6" x14ac:dyDescent="0.25">
      <c r="A3612" s="140">
        <v>45722.625</v>
      </c>
      <c r="B3612" t="s">
        <v>3562</v>
      </c>
      <c r="C3612" t="s">
        <v>3789</v>
      </c>
      <c r="D3612" s="6" t="str">
        <f>_xlfn.XLOOKUP(B3612,Indices!$A$2:$A$2676,Indices!$B$2:$B$2676,"")</f>
        <v/>
      </c>
      <c r="E3612" t="str">
        <f>_xlfn.XLOOKUP(B3612,'2025-Q1'!$A$402:$A$448,'2025-Q1'!$A$402:$A$448,"avail")</f>
        <v>avail</v>
      </c>
      <c r="F3612" t="str">
        <f>_xlfn.XLOOKUP(B3612,'[2]!! -- Stock Universe 12.11.24'!$C$2:$C$1621,'[2]!! -- Stock Universe 12.11.24'!$E$2:$E$1621,"")</f>
        <v/>
      </c>
    </row>
    <row r="3613" spans="1:6" x14ac:dyDescent="0.25">
      <c r="A3613" s="140">
        <v>45722.625</v>
      </c>
      <c r="B3613" t="s">
        <v>3833</v>
      </c>
      <c r="C3613" t="s">
        <v>3789</v>
      </c>
      <c r="D3613" s="6" t="str">
        <f>_xlfn.XLOOKUP(B3613,Indices!$A$2:$A$2676,Indices!$B$2:$B$2676,"")</f>
        <v/>
      </c>
      <c r="E3613" t="str">
        <f>_xlfn.XLOOKUP(B3613,'2025-Q1'!$A$402:$A$448,'2025-Q1'!$A$402:$A$448,"avail")</f>
        <v>avail</v>
      </c>
      <c r="F3613" t="str">
        <f>_xlfn.XLOOKUP(B3613,'[2]!! -- Stock Universe 12.11.24'!$C$2:$C$1621,'[2]!! -- Stock Universe 12.11.24'!$E$2:$E$1621,"")</f>
        <v/>
      </c>
    </row>
    <row r="3614" spans="1:6" x14ac:dyDescent="0.25">
      <c r="A3614" s="140">
        <v>45722.625</v>
      </c>
      <c r="B3614" t="s">
        <v>3535</v>
      </c>
      <c r="C3614" t="s">
        <v>3789</v>
      </c>
      <c r="D3614" s="6" t="str">
        <f>_xlfn.XLOOKUP(B3614,Indices!$A$2:$A$2676,Indices!$B$2:$B$2676,"")</f>
        <v/>
      </c>
      <c r="E3614" t="str">
        <f>_xlfn.XLOOKUP(B3614,'2025-Q1'!$A$402:$A$448,'2025-Q1'!$A$402:$A$448,"avail")</f>
        <v>avail</v>
      </c>
      <c r="F3614" t="str">
        <f>_xlfn.XLOOKUP(B3614,'[2]!! -- Stock Universe 12.11.24'!$C$2:$C$1621,'[2]!! -- Stock Universe 12.11.24'!$E$2:$E$1621,"")</f>
        <v/>
      </c>
    </row>
    <row r="3615" spans="1:6" x14ac:dyDescent="0.25">
      <c r="A3615" s="140">
        <v>45722.625</v>
      </c>
      <c r="B3615" t="s">
        <v>1192</v>
      </c>
      <c r="C3615" t="s">
        <v>3789</v>
      </c>
      <c r="D3615" s="6" t="str">
        <f>_xlfn.XLOOKUP(B3615,Indices!$A$2:$A$2676,Indices!$B$2:$B$2676,"")</f>
        <v>IWM</v>
      </c>
      <c r="E3615" t="str">
        <f>_xlfn.XLOOKUP(B3615,'2025-Q1'!$A$402:$A$448,'2025-Q1'!$A$402:$A$448,"avail")</f>
        <v>avail</v>
      </c>
      <c r="F3615" t="str">
        <f>_xlfn.XLOOKUP(B3615,'[2]!! -- Stock Universe 12.11.24'!$C$2:$C$1621,'[2]!! -- Stock Universe 12.11.24'!$E$2:$E$1621,"")</f>
        <v>Consumer Defensive</v>
      </c>
    </row>
    <row r="3616" spans="1:6" x14ac:dyDescent="0.25">
      <c r="A3616" s="140">
        <v>45722.625</v>
      </c>
      <c r="B3616" t="s">
        <v>3792</v>
      </c>
      <c r="C3616" t="s">
        <v>3789</v>
      </c>
      <c r="D3616" s="6" t="str">
        <f>_xlfn.XLOOKUP(B3616,Indices!$A$2:$A$2676,Indices!$B$2:$B$2676,"")</f>
        <v/>
      </c>
      <c r="E3616" t="str">
        <f>_xlfn.XLOOKUP(B3616,'2025-Q1'!$A$402:$A$448,'2025-Q1'!$A$402:$A$448,"avail")</f>
        <v>avail</v>
      </c>
      <c r="F3616" t="str">
        <f>_xlfn.XLOOKUP(B3616,'[2]!! -- Stock Universe 12.11.24'!$C$2:$C$1621,'[2]!! -- Stock Universe 12.11.24'!$E$2:$E$1621,"")</f>
        <v>Technology</v>
      </c>
    </row>
    <row r="3617" spans="1:6" x14ac:dyDescent="0.25">
      <c r="A3617" s="140">
        <v>45722.625</v>
      </c>
      <c r="B3617" t="s">
        <v>3806</v>
      </c>
      <c r="C3617" t="s">
        <v>3789</v>
      </c>
      <c r="D3617" s="6" t="str">
        <f>_xlfn.XLOOKUP(B3617,Indices!$A$2:$A$2676,Indices!$B$2:$B$2676,"")</f>
        <v/>
      </c>
      <c r="E3617" t="str">
        <f>_xlfn.XLOOKUP(B3617,'2025-Q1'!$A$402:$A$448,'2025-Q1'!$A$402:$A$448,"avail")</f>
        <v>avail</v>
      </c>
      <c r="F3617" t="str">
        <f>_xlfn.XLOOKUP(B3617,'[2]!! -- Stock Universe 12.11.24'!$C$2:$C$1621,'[2]!! -- Stock Universe 12.11.24'!$E$2:$E$1621,"")</f>
        <v/>
      </c>
    </row>
    <row r="3618" spans="1:6" x14ac:dyDescent="0.25">
      <c r="A3618" s="140">
        <v>45722.625</v>
      </c>
      <c r="B3618" t="s">
        <v>1236</v>
      </c>
      <c r="C3618" t="s">
        <v>3789</v>
      </c>
      <c r="D3618" s="6" t="str">
        <f>_xlfn.XLOOKUP(B3618,Indices!$A$2:$A$2676,Indices!$B$2:$B$2676,"")</f>
        <v>IWM</v>
      </c>
      <c r="E3618" t="str">
        <f>_xlfn.XLOOKUP(B3618,'2025-Q1'!$A$402:$A$448,'2025-Q1'!$A$402:$A$448,"avail")</f>
        <v>avail</v>
      </c>
      <c r="F3618" t="str">
        <f>_xlfn.XLOOKUP(B3618,'[2]!! -- Stock Universe 12.11.24'!$C$2:$C$1621,'[2]!! -- Stock Universe 12.11.24'!$E$2:$E$1621,"")</f>
        <v/>
      </c>
    </row>
    <row r="3619" spans="1:6" x14ac:dyDescent="0.25">
      <c r="A3619" s="140">
        <v>45722.625</v>
      </c>
      <c r="B3619" t="s">
        <v>254</v>
      </c>
      <c r="C3619" t="s">
        <v>3789</v>
      </c>
      <c r="D3619" s="6" t="str">
        <f>_xlfn.XLOOKUP(B3619,Indices!$A$2:$A$2676,Indices!$B$2:$B$2676,"")</f>
        <v>IWM</v>
      </c>
      <c r="E3619" t="str">
        <f>_xlfn.XLOOKUP(B3619,'2025-Q1'!$A$402:$A$448,'2025-Q1'!$A$402:$A$448,"avail")</f>
        <v>avail</v>
      </c>
      <c r="F3619" t="str">
        <f>_xlfn.XLOOKUP(B3619,'[2]!! -- Stock Universe 12.11.24'!$C$2:$C$1621,'[2]!! -- Stock Universe 12.11.24'!$E$2:$E$1621,"")</f>
        <v>Technology</v>
      </c>
    </row>
    <row r="3620" spans="1:6" x14ac:dyDescent="0.25">
      <c r="A3620" s="140">
        <v>45722.625</v>
      </c>
      <c r="B3620" t="s">
        <v>222</v>
      </c>
      <c r="C3620" t="s">
        <v>3789</v>
      </c>
      <c r="D3620" s="6" t="str">
        <f>_xlfn.XLOOKUP(B3620,Indices!$A$2:$A$2676,Indices!$B$2:$B$2676,"")</f>
        <v>IWM</v>
      </c>
      <c r="E3620" t="str">
        <f>_xlfn.XLOOKUP(B3620,'2025-Q1'!$A$402:$A$448,'2025-Q1'!$A$402:$A$448,"avail")</f>
        <v>avail</v>
      </c>
      <c r="F3620" t="str">
        <f>_xlfn.XLOOKUP(B3620,'[2]!! -- Stock Universe 12.11.24'!$C$2:$C$1621,'[2]!! -- Stock Universe 12.11.24'!$E$2:$E$1621,"")</f>
        <v>Healthcare</v>
      </c>
    </row>
    <row r="3621" spans="1:6" x14ac:dyDescent="0.25">
      <c r="A3621" s="140">
        <v>45722.625</v>
      </c>
      <c r="B3621" t="s">
        <v>3805</v>
      </c>
      <c r="C3621" t="s">
        <v>3789</v>
      </c>
      <c r="D3621" s="6" t="str">
        <f>_xlfn.XLOOKUP(B3621,Indices!$A$2:$A$2676,Indices!$B$2:$B$2676,"")</f>
        <v/>
      </c>
      <c r="E3621" t="str">
        <f>_xlfn.XLOOKUP(B3621,'2025-Q1'!$A$402:$A$448,'2025-Q1'!$A$402:$A$448,"avail")</f>
        <v>avail</v>
      </c>
      <c r="F3621" t="str">
        <f>_xlfn.XLOOKUP(B3621,'[2]!! -- Stock Universe 12.11.24'!$C$2:$C$1621,'[2]!! -- Stock Universe 12.11.24'!$E$2:$E$1621,"")</f>
        <v/>
      </c>
    </row>
    <row r="3622" spans="1:6" x14ac:dyDescent="0.25">
      <c r="A3622" s="140">
        <v>45722.625</v>
      </c>
      <c r="B3622" t="s">
        <v>1272</v>
      </c>
      <c r="C3622" t="s">
        <v>3789</v>
      </c>
      <c r="D3622" s="6" t="str">
        <f>_xlfn.XLOOKUP(B3622,Indices!$A$2:$A$2676,Indices!$B$2:$B$2676,"")</f>
        <v>SP500</v>
      </c>
      <c r="E3622" t="str">
        <f>_xlfn.XLOOKUP(B3622,'2025-Q1'!$A$402:$A$448,'2025-Q1'!$A$402:$A$448,"avail")</f>
        <v>COST</v>
      </c>
      <c r="F3622" t="str">
        <f>_xlfn.XLOOKUP(B3622,'[2]!! -- Stock Universe 12.11.24'!$C$2:$C$1621,'[2]!! -- Stock Universe 12.11.24'!$E$2:$E$1621,"")</f>
        <v/>
      </c>
    </row>
    <row r="3623" spans="1:6" x14ac:dyDescent="0.25">
      <c r="A3623" s="140">
        <v>45722.625</v>
      </c>
      <c r="B3623" t="s">
        <v>3808</v>
      </c>
      <c r="C3623" t="s">
        <v>3789</v>
      </c>
      <c r="D3623" s="6" t="str">
        <f>_xlfn.XLOOKUP(B3623,Indices!$A$2:$A$2676,Indices!$B$2:$B$2676,"")</f>
        <v/>
      </c>
      <c r="E3623" t="str">
        <f>_xlfn.XLOOKUP(B3623,'2025-Q1'!$A$402:$A$448,'2025-Q1'!$A$402:$A$448,"avail")</f>
        <v>avail</v>
      </c>
      <c r="F3623" t="str">
        <f>_xlfn.XLOOKUP(B3623,'[2]!! -- Stock Universe 12.11.24'!$C$2:$C$1621,'[2]!! -- Stock Universe 12.11.24'!$E$2:$E$1621,"")</f>
        <v>Healthcare</v>
      </c>
    </row>
    <row r="3624" spans="1:6" x14ac:dyDescent="0.25">
      <c r="A3624" s="140">
        <v>45722.625</v>
      </c>
      <c r="B3624" t="s">
        <v>3913</v>
      </c>
      <c r="C3624" t="s">
        <v>3789</v>
      </c>
      <c r="D3624" s="6" t="str">
        <f>_xlfn.XLOOKUP(B3624,Indices!$A$2:$A$2676,Indices!$B$2:$B$2676,"")</f>
        <v/>
      </c>
      <c r="E3624" t="str">
        <f>_xlfn.XLOOKUP(B3624,'2025-Q1'!$A$402:$A$448,'2025-Q1'!$A$402:$A$448,"avail")</f>
        <v>avail</v>
      </c>
      <c r="F3624" t="str">
        <f>_xlfn.XLOOKUP(B3624,'[2]!! -- Stock Universe 12.11.24'!$C$2:$C$1621,'[2]!! -- Stock Universe 12.11.24'!$E$2:$E$1621,"")</f>
        <v/>
      </c>
    </row>
    <row r="3625" spans="1:6" x14ac:dyDescent="0.25">
      <c r="A3625" s="140">
        <v>45722.625</v>
      </c>
      <c r="B3625" t="s">
        <v>1240</v>
      </c>
      <c r="C3625" t="s">
        <v>3789</v>
      </c>
      <c r="D3625" s="6" t="str">
        <f>_xlfn.XLOOKUP(B3625,Indices!$A$2:$A$2676,Indices!$B$2:$B$2676,"")</f>
        <v>SP500</v>
      </c>
      <c r="E3625" t="str">
        <f>_xlfn.XLOOKUP(B3625,'2025-Q1'!$A$402:$A$448,'2025-Q1'!$A$402:$A$448,"avail")</f>
        <v>HPE</v>
      </c>
      <c r="F3625" t="str">
        <f>_xlfn.XLOOKUP(B3625,'[2]!! -- Stock Universe 12.11.24'!$C$2:$C$1621,'[2]!! -- Stock Universe 12.11.24'!$E$2:$E$1621,"")</f>
        <v>Technology</v>
      </c>
    </row>
    <row r="3626" spans="1:6" x14ac:dyDescent="0.25">
      <c r="A3626" s="140">
        <v>45722.625</v>
      </c>
      <c r="B3626" t="s">
        <v>3807</v>
      </c>
      <c r="C3626" t="s">
        <v>3789</v>
      </c>
      <c r="D3626" s="6" t="str">
        <f>_xlfn.XLOOKUP(B3626,Indices!$A$2:$A$2676,Indices!$B$2:$B$2676,"")</f>
        <v/>
      </c>
      <c r="E3626" t="str">
        <f>_xlfn.XLOOKUP(B3626,'2025-Q1'!$A$402:$A$448,'2025-Q1'!$A$402:$A$448,"avail")</f>
        <v>avail</v>
      </c>
      <c r="F3626" t="str">
        <f>_xlfn.XLOOKUP(B3626,'[2]!! -- Stock Universe 12.11.24'!$C$2:$C$1621,'[2]!! -- Stock Universe 12.11.24'!$E$2:$E$1621,"")</f>
        <v/>
      </c>
    </row>
    <row r="3627" spans="1:6" x14ac:dyDescent="0.25">
      <c r="A3627" s="140">
        <v>45722.625</v>
      </c>
      <c r="B3627" t="s">
        <v>2326</v>
      </c>
      <c r="C3627" t="s">
        <v>3789</v>
      </c>
      <c r="D3627" s="6" t="str">
        <f>_xlfn.XLOOKUP(B3627,Indices!$A$2:$A$2676,Indices!$B$2:$B$2676,"")</f>
        <v>IWM</v>
      </c>
      <c r="E3627" t="str">
        <f>_xlfn.XLOOKUP(B3627,'2025-Q1'!$A$402:$A$448,'2025-Q1'!$A$402:$A$448,"avail")</f>
        <v>avail</v>
      </c>
      <c r="F3627" t="str">
        <f>_xlfn.XLOOKUP(B3627,'[2]!! -- Stock Universe 12.11.24'!$C$2:$C$1621,'[2]!! -- Stock Universe 12.11.24'!$E$2:$E$1621,"")</f>
        <v/>
      </c>
    </row>
    <row r="3628" spans="1:6" x14ac:dyDescent="0.25">
      <c r="A3628" s="140">
        <v>45722.625</v>
      </c>
      <c r="B3628" t="s">
        <v>2915</v>
      </c>
      <c r="C3628" t="s">
        <v>3789</v>
      </c>
      <c r="D3628" s="6" t="str">
        <f>_xlfn.XLOOKUP(B3628,Indices!$A$2:$A$2676,Indices!$B$2:$B$2676,"")</f>
        <v/>
      </c>
      <c r="E3628" t="str">
        <f>_xlfn.XLOOKUP(B3628,'2025-Q1'!$A$402:$A$448,'2025-Q1'!$A$402:$A$448,"avail")</f>
        <v>avail</v>
      </c>
      <c r="F3628" t="str">
        <f>_xlfn.XLOOKUP(B3628,'[2]!! -- Stock Universe 12.11.24'!$C$2:$C$1621,'[2]!! -- Stock Universe 12.11.24'!$E$2:$E$1621,"")</f>
        <v/>
      </c>
    </row>
    <row r="3629" spans="1:6" x14ac:dyDescent="0.25">
      <c r="A3629" s="140">
        <v>45722.625</v>
      </c>
      <c r="B3629" t="s">
        <v>800</v>
      </c>
      <c r="C3629" t="s">
        <v>3789</v>
      </c>
      <c r="D3629" s="6" t="str">
        <f>_xlfn.XLOOKUP(B3629,Indices!$A$2:$A$2676,Indices!$B$2:$B$2676,"")</f>
        <v>IWM</v>
      </c>
      <c r="E3629" t="str">
        <f>_xlfn.XLOOKUP(B3629,'2025-Q1'!$A$402:$A$448,'2025-Q1'!$A$402:$A$448,"avail")</f>
        <v>avail</v>
      </c>
      <c r="F3629" t="str">
        <f>_xlfn.XLOOKUP(B3629,'[2]!! -- Stock Universe 12.11.24'!$C$2:$C$1621,'[2]!! -- Stock Universe 12.11.24'!$E$2:$E$1621,"")</f>
        <v/>
      </c>
    </row>
    <row r="3630" spans="1:6" x14ac:dyDescent="0.25">
      <c r="A3630" s="140">
        <v>45722.625</v>
      </c>
      <c r="B3630" t="s">
        <v>3814</v>
      </c>
      <c r="C3630" t="s">
        <v>3789</v>
      </c>
      <c r="D3630" s="6" t="str">
        <f>_xlfn.XLOOKUP(B3630,Indices!$A$2:$A$2676,Indices!$B$2:$B$2676,"")</f>
        <v/>
      </c>
      <c r="E3630" t="str">
        <f>_xlfn.XLOOKUP(B3630,'2025-Q1'!$A$402:$A$448,'2025-Q1'!$A$402:$A$448,"avail")</f>
        <v>avail</v>
      </c>
      <c r="F3630" t="str">
        <f>_xlfn.XLOOKUP(B3630,'[2]!! -- Stock Universe 12.11.24'!$C$2:$C$1621,'[2]!! -- Stock Universe 12.11.24'!$E$2:$E$1621,"")</f>
        <v/>
      </c>
    </row>
    <row r="3631" spans="1:6" x14ac:dyDescent="0.25">
      <c r="A3631" s="140">
        <v>45722.625</v>
      </c>
      <c r="B3631" t="s">
        <v>2707</v>
      </c>
      <c r="C3631" t="s">
        <v>3789</v>
      </c>
      <c r="D3631" s="6" t="str">
        <f>_xlfn.XLOOKUP(B3631,Indices!$A$2:$A$2676,Indices!$B$2:$B$2676,"")</f>
        <v/>
      </c>
      <c r="E3631" t="str">
        <f>_xlfn.XLOOKUP(B3631,'2025-Q1'!$A$402:$A$448,'2025-Q1'!$A$402:$A$448,"avail")</f>
        <v>avail</v>
      </c>
      <c r="F3631" t="str">
        <f>_xlfn.XLOOKUP(B3631,'[2]!! -- Stock Universe 12.11.24'!$C$2:$C$1621,'[2]!! -- Stock Universe 12.11.24'!$E$2:$E$1621,"")</f>
        <v/>
      </c>
    </row>
    <row r="3632" spans="1:6" x14ac:dyDescent="0.25">
      <c r="A3632" s="140">
        <v>45722.625</v>
      </c>
      <c r="B3632" t="s">
        <v>3813</v>
      </c>
      <c r="C3632" t="s">
        <v>3789</v>
      </c>
      <c r="D3632" s="6" t="str">
        <f>_xlfn.XLOOKUP(B3632,Indices!$A$2:$A$2676,Indices!$B$2:$B$2676,"")</f>
        <v/>
      </c>
      <c r="E3632" t="str">
        <f>_xlfn.XLOOKUP(B3632,'2025-Q1'!$A$402:$A$448,'2025-Q1'!$A$402:$A$448,"avail")</f>
        <v>avail</v>
      </c>
      <c r="F3632" t="str">
        <f>_xlfn.XLOOKUP(B3632,'[2]!! -- Stock Universe 12.11.24'!$C$2:$C$1621,'[2]!! -- Stock Universe 12.11.24'!$E$2:$E$1621,"")</f>
        <v/>
      </c>
    </row>
    <row r="3633" spans="1:6" x14ac:dyDescent="0.25">
      <c r="A3633" s="140">
        <v>45722.625</v>
      </c>
      <c r="B3633" t="s">
        <v>3670</v>
      </c>
      <c r="C3633" t="s">
        <v>3789</v>
      </c>
      <c r="D3633" s="6" t="str">
        <f>_xlfn.XLOOKUP(B3633,Indices!$A$2:$A$2676,Indices!$B$2:$B$2676,"")</f>
        <v/>
      </c>
      <c r="E3633" t="str">
        <f>_xlfn.XLOOKUP(B3633,'2025-Q1'!$A$402:$A$448,'2025-Q1'!$A$402:$A$448,"avail")</f>
        <v>avail</v>
      </c>
      <c r="F3633" t="str">
        <f>_xlfn.XLOOKUP(B3633,'[2]!! -- Stock Universe 12.11.24'!$C$2:$C$1621,'[2]!! -- Stock Universe 12.11.24'!$E$2:$E$1621,"")</f>
        <v>Technology</v>
      </c>
    </row>
    <row r="3634" spans="1:6" x14ac:dyDescent="0.25">
      <c r="A3634" s="140">
        <v>45722.625</v>
      </c>
      <c r="B3634" t="s">
        <v>1124</v>
      </c>
      <c r="C3634" t="s">
        <v>3789</v>
      </c>
      <c r="D3634" s="6" t="str">
        <f>_xlfn.XLOOKUP(B3634,Indices!$A$2:$A$2676,Indices!$B$2:$B$2676,"")</f>
        <v>S&amp;P Mid</v>
      </c>
      <c r="E3634" t="str">
        <f>_xlfn.XLOOKUP(B3634,'2025-Q1'!$A$402:$A$448,'2025-Q1'!$A$402:$A$448,"avail")</f>
        <v>GAP</v>
      </c>
      <c r="F3634" t="str">
        <f>_xlfn.XLOOKUP(B3634,'[2]!! -- Stock Universe 12.11.24'!$C$2:$C$1621,'[2]!! -- Stock Universe 12.11.24'!$E$2:$E$1621,"")</f>
        <v>Consumer Cyclical</v>
      </c>
    </row>
    <row r="3635" spans="1:6" x14ac:dyDescent="0.25">
      <c r="A3635" s="140">
        <v>45722.625</v>
      </c>
      <c r="B3635" t="s">
        <v>1034</v>
      </c>
      <c r="C3635" t="s">
        <v>3789</v>
      </c>
      <c r="D3635" s="6" t="str">
        <f>_xlfn.XLOOKUP(B3635,Indices!$A$2:$A$2676,Indices!$B$2:$B$2676,"")</f>
        <v>IWM</v>
      </c>
      <c r="E3635" t="str">
        <f>_xlfn.XLOOKUP(B3635,'2025-Q1'!$A$402:$A$448,'2025-Q1'!$A$402:$A$448,"avail")</f>
        <v>avail</v>
      </c>
      <c r="F3635" t="str">
        <f>_xlfn.XLOOKUP(B3635,'[2]!! -- Stock Universe 12.11.24'!$C$2:$C$1621,'[2]!! -- Stock Universe 12.11.24'!$E$2:$E$1621,"")</f>
        <v>Healthcare</v>
      </c>
    </row>
    <row r="3636" spans="1:6" x14ac:dyDescent="0.25">
      <c r="A3636" s="140">
        <v>45722.625</v>
      </c>
      <c r="B3636" t="s">
        <v>676</v>
      </c>
      <c r="C3636" t="s">
        <v>3789</v>
      </c>
      <c r="D3636" s="6" t="str">
        <f>_xlfn.XLOOKUP(B3636,Indices!$A$2:$A$2676,Indices!$B$2:$B$2676,"")</f>
        <v>IWM</v>
      </c>
      <c r="E3636" t="str">
        <f>_xlfn.XLOOKUP(B3636,'2025-Q1'!$A$402:$A$448,'2025-Q1'!$A$402:$A$448,"avail")</f>
        <v>avail</v>
      </c>
      <c r="F3636" t="str">
        <f>_xlfn.XLOOKUP(B3636,'[2]!! -- Stock Universe 12.11.24'!$C$2:$C$1621,'[2]!! -- Stock Universe 12.11.24'!$E$2:$E$1621,"")</f>
        <v/>
      </c>
    </row>
    <row r="3637" spans="1:6" x14ac:dyDescent="0.25">
      <c r="A3637" s="140">
        <v>45722.625</v>
      </c>
      <c r="B3637" t="s">
        <v>701</v>
      </c>
      <c r="C3637" t="s">
        <v>3789</v>
      </c>
      <c r="D3637" s="6" t="str">
        <f>_xlfn.XLOOKUP(B3637,Indices!$A$2:$A$2676,Indices!$B$2:$B$2676,"")</f>
        <v>IWM</v>
      </c>
      <c r="E3637" t="str">
        <f>_xlfn.XLOOKUP(B3637,'2025-Q1'!$A$402:$A$448,'2025-Q1'!$A$402:$A$448,"avail")</f>
        <v>avail</v>
      </c>
      <c r="F3637" t="str">
        <f>_xlfn.XLOOKUP(B3637,'[2]!! -- Stock Universe 12.11.24'!$C$2:$C$1621,'[2]!! -- Stock Universe 12.11.24'!$E$2:$E$1621,"")</f>
        <v/>
      </c>
    </row>
    <row r="3638" spans="1:6" x14ac:dyDescent="0.25">
      <c r="A3638" s="140">
        <v>45722.625</v>
      </c>
      <c r="B3638" t="s">
        <v>3821</v>
      </c>
      <c r="C3638" t="s">
        <v>3789</v>
      </c>
      <c r="D3638" s="6" t="str">
        <f>_xlfn.XLOOKUP(B3638,Indices!$A$2:$A$2676,Indices!$B$2:$B$2676,"")</f>
        <v/>
      </c>
      <c r="E3638" t="str">
        <f>_xlfn.XLOOKUP(B3638,'2025-Q1'!$A$402:$A$448,'2025-Q1'!$A$402:$A$448,"avail")</f>
        <v>avail</v>
      </c>
      <c r="F3638" t="str">
        <f>_xlfn.XLOOKUP(B3638,'[2]!! -- Stock Universe 12.11.24'!$C$2:$C$1621,'[2]!! -- Stock Universe 12.11.24'!$E$2:$E$1621,"")</f>
        <v/>
      </c>
    </row>
    <row r="3639" spans="1:6" x14ac:dyDescent="0.25">
      <c r="A3639" s="140">
        <v>45722.625</v>
      </c>
      <c r="B3639" t="s">
        <v>3809</v>
      </c>
      <c r="C3639" t="s">
        <v>3789</v>
      </c>
      <c r="D3639" s="6" t="str">
        <f>_xlfn.XLOOKUP(B3639,Indices!$A$2:$A$2676,Indices!$B$2:$B$2676,"")</f>
        <v/>
      </c>
      <c r="E3639" t="str">
        <f>_xlfn.XLOOKUP(B3639,'2025-Q1'!$A$402:$A$448,'2025-Q1'!$A$402:$A$448,"avail")</f>
        <v>avail</v>
      </c>
      <c r="F3639" t="str">
        <f>_xlfn.XLOOKUP(B3639,'[2]!! -- Stock Universe 12.11.24'!$C$2:$C$1621,'[2]!! -- Stock Universe 12.11.24'!$E$2:$E$1621,"")</f>
        <v/>
      </c>
    </row>
    <row r="3640" spans="1:6" x14ac:dyDescent="0.25">
      <c r="A3640" s="140">
        <v>45722.625</v>
      </c>
      <c r="B3640" t="s">
        <v>3798</v>
      </c>
      <c r="C3640" t="s">
        <v>3789</v>
      </c>
      <c r="D3640" s="6" t="str">
        <f>_xlfn.XLOOKUP(B3640,Indices!$A$2:$A$2676,Indices!$B$2:$B$2676,"")</f>
        <v/>
      </c>
      <c r="E3640" t="str">
        <f>_xlfn.XLOOKUP(B3640,'2025-Q1'!$A$402:$A$448,'2025-Q1'!$A$402:$A$448,"avail")</f>
        <v>avail</v>
      </c>
      <c r="F3640" t="str">
        <f>_xlfn.XLOOKUP(B3640,'[2]!! -- Stock Universe 12.11.24'!$C$2:$C$1621,'[2]!! -- Stock Universe 12.11.24'!$E$2:$E$1621,"")</f>
        <v>Technology</v>
      </c>
    </row>
    <row r="3641" spans="1:6" x14ac:dyDescent="0.25">
      <c r="A3641" s="140">
        <v>45722.625</v>
      </c>
      <c r="B3641" t="s">
        <v>3820</v>
      </c>
      <c r="C3641" t="s">
        <v>3789</v>
      </c>
      <c r="D3641" s="6" t="str">
        <f>_xlfn.XLOOKUP(B3641,Indices!$A$2:$A$2676,Indices!$B$2:$B$2676,"")</f>
        <v/>
      </c>
      <c r="E3641" t="str">
        <f>_xlfn.XLOOKUP(B3641,'2025-Q1'!$A$402:$A$448,'2025-Q1'!$A$402:$A$448,"avail")</f>
        <v>avail</v>
      </c>
      <c r="F3641" t="str">
        <f>_xlfn.XLOOKUP(B3641,'[2]!! -- Stock Universe 12.11.24'!$C$2:$C$1621,'[2]!! -- Stock Universe 12.11.24'!$E$2:$E$1621,"")</f>
        <v/>
      </c>
    </row>
    <row r="3642" spans="1:6" x14ac:dyDescent="0.25">
      <c r="A3642" s="140">
        <v>45722.625</v>
      </c>
      <c r="B3642" t="s">
        <v>4174</v>
      </c>
      <c r="C3642" t="s">
        <v>3789</v>
      </c>
      <c r="D3642" s="6" t="str">
        <f>_xlfn.XLOOKUP(B3642,Indices!$A$2:$A$2676,Indices!$B$2:$B$2676,"")</f>
        <v/>
      </c>
      <c r="E3642" t="str">
        <f>_xlfn.XLOOKUP(B3642,'2025-Q1'!$A$402:$A$448,'2025-Q1'!$A$402:$A$448,"avail")</f>
        <v>avail</v>
      </c>
      <c r="F3642" t="str">
        <f>_xlfn.XLOOKUP(B3642,'[2]!! -- Stock Universe 12.11.24'!$C$2:$C$1621,'[2]!! -- Stock Universe 12.11.24'!$E$2:$E$1621,"")</f>
        <v/>
      </c>
    </row>
    <row r="3643" spans="1:6" x14ac:dyDescent="0.25">
      <c r="A3643" s="140">
        <v>45722.625</v>
      </c>
      <c r="B3643" t="s">
        <v>1209</v>
      </c>
      <c r="C3643" t="s">
        <v>3789</v>
      </c>
      <c r="D3643" s="6" t="str">
        <f>_xlfn.XLOOKUP(B3643,Indices!$A$2:$A$2676,Indices!$B$2:$B$2676,"")</f>
        <v>IWM</v>
      </c>
      <c r="E3643" t="str">
        <f>_xlfn.XLOOKUP(B3643,'2025-Q1'!$A$402:$A$448,'2025-Q1'!$A$402:$A$448,"avail")</f>
        <v>avail</v>
      </c>
      <c r="F3643" t="str">
        <f>_xlfn.XLOOKUP(B3643,'[2]!! -- Stock Universe 12.11.24'!$C$2:$C$1621,'[2]!! -- Stock Universe 12.11.24'!$E$2:$E$1621,"")</f>
        <v/>
      </c>
    </row>
    <row r="3644" spans="1:6" x14ac:dyDescent="0.25">
      <c r="A3644" s="140">
        <v>45722.625</v>
      </c>
      <c r="B3644" t="s">
        <v>3828</v>
      </c>
      <c r="C3644" t="s">
        <v>3789</v>
      </c>
      <c r="D3644" s="6" t="str">
        <f>_xlfn.XLOOKUP(B3644,Indices!$A$2:$A$2676,Indices!$B$2:$B$2676,"")</f>
        <v/>
      </c>
      <c r="E3644" t="str">
        <f>_xlfn.XLOOKUP(B3644,'2025-Q1'!$A$402:$A$448,'2025-Q1'!$A$402:$A$448,"avail")</f>
        <v>avail</v>
      </c>
      <c r="F3644" t="str">
        <f>_xlfn.XLOOKUP(B3644,'[2]!! -- Stock Universe 12.11.24'!$C$2:$C$1621,'[2]!! -- Stock Universe 12.11.24'!$E$2:$E$1621,"")</f>
        <v/>
      </c>
    </row>
    <row r="3645" spans="1:6" x14ac:dyDescent="0.25">
      <c r="A3645" s="140">
        <v>45722.625</v>
      </c>
      <c r="B3645" t="s">
        <v>718</v>
      </c>
      <c r="C3645" t="s">
        <v>3789</v>
      </c>
      <c r="D3645" s="6" t="str">
        <f>_xlfn.XLOOKUP(B3645,Indices!$A$2:$A$2676,Indices!$B$2:$B$2676,"")</f>
        <v>IWM</v>
      </c>
      <c r="E3645" t="str">
        <f>_xlfn.XLOOKUP(B3645,'2025-Q1'!$A$402:$A$448,'2025-Q1'!$A$402:$A$448,"avail")</f>
        <v>avail</v>
      </c>
      <c r="F3645" t="str">
        <f>_xlfn.XLOOKUP(B3645,'[2]!! -- Stock Universe 12.11.24'!$C$2:$C$1621,'[2]!! -- Stock Universe 12.11.24'!$E$2:$E$1621,"")</f>
        <v>Healthcare</v>
      </c>
    </row>
    <row r="3646" spans="1:6" x14ac:dyDescent="0.25">
      <c r="A3646" s="140">
        <v>45722.625</v>
      </c>
      <c r="B3646" t="s">
        <v>3831</v>
      </c>
      <c r="C3646" t="s">
        <v>3789</v>
      </c>
      <c r="D3646" s="6" t="str">
        <f>_xlfn.XLOOKUP(B3646,Indices!$A$2:$A$2676,Indices!$B$2:$B$2676,"")</f>
        <v/>
      </c>
      <c r="E3646" t="str">
        <f>_xlfn.XLOOKUP(B3646,'2025-Q1'!$A$402:$A$448,'2025-Q1'!$A$402:$A$448,"avail")</f>
        <v>avail</v>
      </c>
      <c r="F3646" t="str">
        <f>_xlfn.XLOOKUP(B3646,'[2]!! -- Stock Universe 12.11.24'!$C$2:$C$1621,'[2]!! -- Stock Universe 12.11.24'!$E$2:$E$1621,"")</f>
        <v/>
      </c>
    </row>
    <row r="3647" spans="1:6" x14ac:dyDescent="0.25">
      <c r="A3647" s="140">
        <v>45722.625</v>
      </c>
      <c r="B3647" t="s">
        <v>699</v>
      </c>
      <c r="C3647" t="s">
        <v>3789</v>
      </c>
      <c r="D3647" s="6" t="str">
        <f>_xlfn.XLOOKUP(B3647,Indices!$A$2:$A$2676,Indices!$B$2:$B$2676,"")</f>
        <v>IWM</v>
      </c>
      <c r="E3647" t="str">
        <f>_xlfn.XLOOKUP(B3647,'2025-Q1'!$A$402:$A$448,'2025-Q1'!$A$402:$A$448,"avail")</f>
        <v>avail</v>
      </c>
      <c r="F3647" t="str">
        <f>_xlfn.XLOOKUP(B3647,'[2]!! -- Stock Universe 12.11.24'!$C$2:$C$1621,'[2]!! -- Stock Universe 12.11.24'!$E$2:$E$1621,"")</f>
        <v/>
      </c>
    </row>
    <row r="3648" spans="1:6" x14ac:dyDescent="0.25">
      <c r="A3648" s="140">
        <v>45722.625</v>
      </c>
      <c r="B3648" t="s">
        <v>3827</v>
      </c>
      <c r="C3648" t="s">
        <v>3789</v>
      </c>
      <c r="D3648" s="6" t="str">
        <f>_xlfn.XLOOKUP(B3648,Indices!$A$2:$A$2676,Indices!$B$2:$B$2676,"")</f>
        <v/>
      </c>
      <c r="E3648" t="str">
        <f>_xlfn.XLOOKUP(B3648,'2025-Q1'!$A$402:$A$448,'2025-Q1'!$A$402:$A$448,"avail")</f>
        <v>avail</v>
      </c>
      <c r="F3648" t="str">
        <f>_xlfn.XLOOKUP(B3648,'[2]!! -- Stock Universe 12.11.24'!$C$2:$C$1621,'[2]!! -- Stock Universe 12.11.24'!$E$2:$E$1621,"")</f>
        <v/>
      </c>
    </row>
    <row r="3649" spans="1:6" x14ac:dyDescent="0.25">
      <c r="A3649" s="140">
        <v>45722.625</v>
      </c>
      <c r="B3649" t="s">
        <v>4089</v>
      </c>
      <c r="C3649" t="s">
        <v>3789</v>
      </c>
      <c r="D3649" s="6" t="str">
        <f>_xlfn.XLOOKUP(B3649,Indices!$A$2:$A$2676,Indices!$B$2:$B$2676,"")</f>
        <v/>
      </c>
      <c r="E3649" t="str">
        <f>_xlfn.XLOOKUP(B3649,'2025-Q1'!$A$402:$A$448,'2025-Q1'!$A$402:$A$448,"avail")</f>
        <v>avail</v>
      </c>
      <c r="F3649" t="str">
        <f>_xlfn.XLOOKUP(B3649,'[2]!! -- Stock Universe 12.11.24'!$C$2:$C$1621,'[2]!! -- Stock Universe 12.11.24'!$E$2:$E$1621,"")</f>
        <v/>
      </c>
    </row>
    <row r="3650" spans="1:6" x14ac:dyDescent="0.25">
      <c r="A3650" s="140">
        <v>45722.625</v>
      </c>
      <c r="B3650" t="s">
        <v>3835</v>
      </c>
      <c r="C3650" t="s">
        <v>3789</v>
      </c>
      <c r="D3650" s="6" t="str">
        <f>_xlfn.XLOOKUP(B3650,Indices!$A$2:$A$2676,Indices!$B$2:$B$2676,"")</f>
        <v/>
      </c>
      <c r="E3650" t="str">
        <f>_xlfn.XLOOKUP(B3650,'2025-Q1'!$A$402:$A$448,'2025-Q1'!$A$402:$A$448,"avail")</f>
        <v>avail</v>
      </c>
      <c r="F3650" t="str">
        <f>_xlfn.XLOOKUP(B3650,'[2]!! -- Stock Universe 12.11.24'!$C$2:$C$1621,'[2]!! -- Stock Universe 12.11.24'!$E$2:$E$1621,"")</f>
        <v/>
      </c>
    </row>
    <row r="3651" spans="1:6" x14ac:dyDescent="0.25">
      <c r="A3651" s="140">
        <v>45722.625</v>
      </c>
      <c r="B3651" t="s">
        <v>3289</v>
      </c>
      <c r="C3651" t="s">
        <v>3789</v>
      </c>
      <c r="D3651" s="6" t="str">
        <f>_xlfn.XLOOKUP(B3651,Indices!$A$2:$A$2676,Indices!$B$2:$B$2676,"")</f>
        <v/>
      </c>
      <c r="E3651" t="str">
        <f>_xlfn.XLOOKUP(B3651,'2025-Q1'!$A$402:$A$448,'2025-Q1'!$A$402:$A$448,"avail")</f>
        <v>avail</v>
      </c>
      <c r="F3651" t="str">
        <f>_xlfn.XLOOKUP(B3651,'[2]!! -- Stock Universe 12.11.24'!$C$2:$C$1621,'[2]!! -- Stock Universe 12.11.24'!$E$2:$E$1621,"")</f>
        <v/>
      </c>
    </row>
    <row r="3652" spans="1:6" x14ac:dyDescent="0.25">
      <c r="A3652" s="140">
        <v>45722.625</v>
      </c>
      <c r="B3652" t="s">
        <v>740</v>
      </c>
      <c r="C3652" t="s">
        <v>3789</v>
      </c>
      <c r="D3652" s="6" t="str">
        <f>_xlfn.XLOOKUP(B3652,Indices!$A$2:$A$2676,Indices!$B$2:$B$2676,"")</f>
        <v>IWM</v>
      </c>
      <c r="E3652" t="str">
        <f>_xlfn.XLOOKUP(B3652,'2025-Q1'!$A$402:$A$448,'2025-Q1'!$A$402:$A$448,"avail")</f>
        <v>avail</v>
      </c>
      <c r="F3652" t="str">
        <f>_xlfn.XLOOKUP(B3652,'[2]!! -- Stock Universe 12.11.24'!$C$2:$C$1621,'[2]!! -- Stock Universe 12.11.24'!$E$2:$E$1621,"")</f>
        <v/>
      </c>
    </row>
    <row r="3653" spans="1:6" x14ac:dyDescent="0.25">
      <c r="A3653" s="140">
        <v>45722.625</v>
      </c>
      <c r="B3653" t="s">
        <v>3803</v>
      </c>
      <c r="C3653" t="s">
        <v>3789</v>
      </c>
      <c r="D3653" s="6" t="str">
        <f>_xlfn.XLOOKUP(B3653,Indices!$A$2:$A$2676,Indices!$B$2:$B$2676,"")</f>
        <v/>
      </c>
      <c r="E3653" t="str">
        <f>_xlfn.XLOOKUP(B3653,'2025-Q1'!$A$402:$A$448,'2025-Q1'!$A$402:$A$448,"avail")</f>
        <v>avail</v>
      </c>
      <c r="F3653" t="str">
        <f>_xlfn.XLOOKUP(B3653,'[2]!! -- Stock Universe 12.11.24'!$C$2:$C$1621,'[2]!! -- Stock Universe 12.11.24'!$E$2:$E$1621,"")</f>
        <v/>
      </c>
    </row>
    <row r="3654" spans="1:6" x14ac:dyDescent="0.25">
      <c r="A3654" s="140">
        <v>45722.625</v>
      </c>
      <c r="B3654" t="s">
        <v>217</v>
      </c>
      <c r="C3654" t="s">
        <v>3789</v>
      </c>
      <c r="D3654" s="6" t="str">
        <f>_xlfn.XLOOKUP(B3654,Indices!$A$2:$A$2676,Indices!$B$2:$B$2676,"")</f>
        <v>IWM</v>
      </c>
      <c r="E3654" t="str">
        <f>_xlfn.XLOOKUP(B3654,'2025-Q1'!$A$402:$A$448,'2025-Q1'!$A$402:$A$448,"avail")</f>
        <v>avail</v>
      </c>
      <c r="F3654" t="str">
        <f>_xlfn.XLOOKUP(B3654,'[2]!! -- Stock Universe 12.11.24'!$C$2:$C$1621,'[2]!! -- Stock Universe 12.11.24'!$E$2:$E$1621,"")</f>
        <v>Communication Services</v>
      </c>
    </row>
    <row r="3655" spans="1:6" x14ac:dyDescent="0.25">
      <c r="A3655" s="140">
        <v>45722.625</v>
      </c>
      <c r="B3655" t="s">
        <v>3290</v>
      </c>
      <c r="C3655" t="s">
        <v>3789</v>
      </c>
      <c r="D3655" s="6" t="str">
        <f>_xlfn.XLOOKUP(B3655,Indices!$A$2:$A$2676,Indices!$B$2:$B$2676,"")</f>
        <v/>
      </c>
      <c r="E3655" t="str">
        <f>_xlfn.XLOOKUP(B3655,'2025-Q1'!$A$402:$A$448,'2025-Q1'!$A$402:$A$448,"avail")</f>
        <v>avail</v>
      </c>
      <c r="F3655" t="str">
        <f>_xlfn.XLOOKUP(B3655,'[2]!! -- Stock Universe 12.11.24'!$C$2:$C$1621,'[2]!! -- Stock Universe 12.11.24'!$E$2:$E$1621,"")</f>
        <v/>
      </c>
    </row>
    <row r="3656" spans="1:6" x14ac:dyDescent="0.25">
      <c r="A3656" s="140">
        <v>45722.625</v>
      </c>
      <c r="B3656" t="s">
        <v>1232</v>
      </c>
      <c r="C3656" t="s">
        <v>3789</v>
      </c>
      <c r="D3656" s="6" t="str">
        <f>_xlfn.XLOOKUP(B3656,Indices!$A$2:$A$2676,Indices!$B$2:$B$2676,"")</f>
        <v>IWM</v>
      </c>
      <c r="E3656" t="str">
        <f>_xlfn.XLOOKUP(B3656,'2025-Q1'!$A$402:$A$448,'2025-Q1'!$A$402:$A$448,"avail")</f>
        <v>avail</v>
      </c>
      <c r="F3656" t="str">
        <f>_xlfn.XLOOKUP(B3656,'[2]!! -- Stock Universe 12.11.24'!$C$2:$C$1621,'[2]!! -- Stock Universe 12.11.24'!$E$2:$E$1621,"")</f>
        <v>Industrials</v>
      </c>
    </row>
    <row r="3657" spans="1:6" x14ac:dyDescent="0.25">
      <c r="A3657" s="140">
        <v>45722.625</v>
      </c>
      <c r="B3657" t="s">
        <v>4318</v>
      </c>
      <c r="C3657" t="s">
        <v>3789</v>
      </c>
      <c r="D3657" s="6" t="str">
        <f>_xlfn.XLOOKUP(B3657,Indices!$A$2:$A$2676,Indices!$B$2:$B$2676,"")</f>
        <v/>
      </c>
      <c r="E3657" t="str">
        <f>_xlfn.XLOOKUP(B3657,'2025-Q1'!$A$402:$A$448,'2025-Q1'!$A$402:$A$448,"avail")</f>
        <v>avail</v>
      </c>
      <c r="F3657" t="str">
        <f>_xlfn.XLOOKUP(B3657,'[2]!! -- Stock Universe 12.11.24'!$C$2:$C$1621,'[2]!! -- Stock Universe 12.11.24'!$E$2:$E$1621,"")</f>
        <v/>
      </c>
    </row>
    <row r="3658" spans="1:6" x14ac:dyDescent="0.25">
      <c r="A3658" s="140">
        <v>45722.625</v>
      </c>
      <c r="B3658" t="s">
        <v>751</v>
      </c>
      <c r="C3658" t="s">
        <v>3789</v>
      </c>
      <c r="D3658" s="6" t="str">
        <f>_xlfn.XLOOKUP(B3658,Indices!$A$2:$A$2676,Indices!$B$2:$B$2676,"")</f>
        <v>IWM</v>
      </c>
      <c r="E3658" t="str">
        <f>_xlfn.XLOOKUP(B3658,'2025-Q1'!$A$402:$A$448,'2025-Q1'!$A$402:$A$448,"avail")</f>
        <v>avail</v>
      </c>
      <c r="F3658" t="str">
        <f>_xlfn.XLOOKUP(B3658,'[2]!! -- Stock Universe 12.11.24'!$C$2:$C$1621,'[2]!! -- Stock Universe 12.11.24'!$E$2:$E$1621,"")</f>
        <v/>
      </c>
    </row>
    <row r="3659" spans="1:6" x14ac:dyDescent="0.25">
      <c r="A3659" s="140">
        <v>45722.625</v>
      </c>
      <c r="B3659" t="s">
        <v>946</v>
      </c>
      <c r="C3659" t="s">
        <v>3789</v>
      </c>
      <c r="D3659" s="6" t="str">
        <f>_xlfn.XLOOKUP(B3659,Indices!$A$2:$A$2676,Indices!$B$2:$B$2676,"")</f>
        <v>IWM</v>
      </c>
      <c r="E3659" t="str">
        <f>_xlfn.XLOOKUP(B3659,'2025-Q1'!$A$402:$A$448,'2025-Q1'!$A$402:$A$448,"avail")</f>
        <v>avail</v>
      </c>
      <c r="F3659" t="str">
        <f>_xlfn.XLOOKUP(B3659,'[2]!! -- Stock Universe 12.11.24'!$C$2:$C$1621,'[2]!! -- Stock Universe 12.11.24'!$E$2:$E$1621,"")</f>
        <v/>
      </c>
    </row>
    <row r="3660" spans="1:6" x14ac:dyDescent="0.25">
      <c r="A3660" s="140">
        <v>45722.625</v>
      </c>
      <c r="B3660" t="s">
        <v>3804</v>
      </c>
      <c r="C3660" t="s">
        <v>3789</v>
      </c>
      <c r="D3660" s="6" t="str">
        <f>_xlfn.XLOOKUP(B3660,Indices!$A$2:$A$2676,Indices!$B$2:$B$2676,"")</f>
        <v/>
      </c>
      <c r="E3660" t="str">
        <f>_xlfn.XLOOKUP(B3660,'2025-Q1'!$A$402:$A$448,'2025-Q1'!$A$402:$A$448,"avail")</f>
        <v>avail</v>
      </c>
      <c r="F3660" t="str">
        <f>_xlfn.XLOOKUP(B3660,'[2]!! -- Stock Universe 12.11.24'!$C$2:$C$1621,'[2]!! -- Stock Universe 12.11.24'!$E$2:$E$1621,"")</f>
        <v>Basic Materials</v>
      </c>
    </row>
    <row r="3661" spans="1:6" x14ac:dyDescent="0.25">
      <c r="A3661" s="140">
        <v>45722.625</v>
      </c>
      <c r="B3661" t="s">
        <v>3656</v>
      </c>
      <c r="C3661" t="s">
        <v>3789</v>
      </c>
      <c r="D3661" s="6" t="str">
        <f>_xlfn.XLOOKUP(B3661,Indices!$A$2:$A$2676,Indices!$B$2:$B$2676,"")</f>
        <v/>
      </c>
      <c r="E3661" t="str">
        <f>_xlfn.XLOOKUP(B3661,'2025-Q1'!$A$402:$A$448,'2025-Q1'!$A$402:$A$448,"avail")</f>
        <v>avail</v>
      </c>
      <c r="F3661" t="str">
        <f>_xlfn.XLOOKUP(B3661,'[2]!! -- Stock Universe 12.11.24'!$C$2:$C$1621,'[2]!! -- Stock Universe 12.11.24'!$E$2:$E$1621,"")</f>
        <v/>
      </c>
    </row>
    <row r="3662" spans="1:6" x14ac:dyDescent="0.25">
      <c r="A3662" s="140">
        <v>45722.625</v>
      </c>
      <c r="B3662" t="s">
        <v>3796</v>
      </c>
      <c r="C3662" t="s">
        <v>3789</v>
      </c>
      <c r="D3662" s="6" t="str">
        <f>_xlfn.XLOOKUP(B3662,Indices!$A$2:$A$2676,Indices!$B$2:$B$2676,"")</f>
        <v/>
      </c>
      <c r="E3662" t="str">
        <f>_xlfn.XLOOKUP(B3662,'2025-Q1'!$A$402:$A$448,'2025-Q1'!$A$402:$A$448,"avail")</f>
        <v>avail</v>
      </c>
      <c r="F3662" t="str">
        <f>_xlfn.XLOOKUP(B3662,'[2]!! -- Stock Universe 12.11.24'!$C$2:$C$1621,'[2]!! -- Stock Universe 12.11.24'!$E$2:$E$1621,"")</f>
        <v/>
      </c>
    </row>
    <row r="3663" spans="1:6" x14ac:dyDescent="0.25">
      <c r="A3663" s="140">
        <v>45722.625</v>
      </c>
      <c r="B3663" t="s">
        <v>3793</v>
      </c>
      <c r="C3663" t="s">
        <v>3789</v>
      </c>
      <c r="D3663" s="6" t="str">
        <f>_xlfn.XLOOKUP(B3663,Indices!$A$2:$A$2676,Indices!$B$2:$B$2676,"")</f>
        <v/>
      </c>
      <c r="E3663" t="str">
        <f>_xlfn.XLOOKUP(B3663,'2025-Q1'!$A$402:$A$448,'2025-Q1'!$A$402:$A$448,"avail")</f>
        <v>avail</v>
      </c>
      <c r="F3663" t="str">
        <f>_xlfn.XLOOKUP(B3663,'[2]!! -- Stock Universe 12.11.24'!$C$2:$C$1621,'[2]!! -- Stock Universe 12.11.24'!$E$2:$E$1621,"")</f>
        <v>Healthcare</v>
      </c>
    </row>
    <row r="3664" spans="1:6" x14ac:dyDescent="0.25">
      <c r="A3664" s="140">
        <v>45722.625</v>
      </c>
      <c r="B3664" t="s">
        <v>3794</v>
      </c>
      <c r="C3664" t="s">
        <v>3789</v>
      </c>
      <c r="D3664" s="6" t="str">
        <f>_xlfn.XLOOKUP(B3664,Indices!$A$2:$A$2676,Indices!$B$2:$B$2676,"")</f>
        <v/>
      </c>
      <c r="E3664" t="str">
        <f>_xlfn.XLOOKUP(B3664,'2025-Q1'!$A$402:$A$448,'2025-Q1'!$A$402:$A$448,"avail")</f>
        <v>avail</v>
      </c>
      <c r="F3664" t="str">
        <f>_xlfn.XLOOKUP(B3664,'[2]!! -- Stock Universe 12.11.24'!$C$2:$C$1621,'[2]!! -- Stock Universe 12.11.24'!$E$2:$E$1621,"")</f>
        <v>Industrials</v>
      </c>
    </row>
    <row r="3665" spans="1:6" x14ac:dyDescent="0.25">
      <c r="A3665" s="140">
        <v>45722.625</v>
      </c>
      <c r="B3665" t="s">
        <v>695</v>
      </c>
      <c r="C3665" t="s">
        <v>3789</v>
      </c>
      <c r="D3665" s="6" t="str">
        <f>_xlfn.XLOOKUP(B3665,Indices!$A$2:$A$2676,Indices!$B$2:$B$2676,"")</f>
        <v>IWM</v>
      </c>
      <c r="E3665" t="str">
        <f>_xlfn.XLOOKUP(B3665,'2025-Q1'!$A$402:$A$448,'2025-Q1'!$A$402:$A$448,"avail")</f>
        <v>avail</v>
      </c>
      <c r="F3665" t="str">
        <f>_xlfn.XLOOKUP(B3665,'[2]!! -- Stock Universe 12.11.24'!$C$2:$C$1621,'[2]!! -- Stock Universe 12.11.24'!$E$2:$E$1621,"")</f>
        <v>Consumer Cyclical</v>
      </c>
    </row>
    <row r="3666" spans="1:6" x14ac:dyDescent="0.25">
      <c r="A3666" s="140">
        <v>45722.625</v>
      </c>
      <c r="B3666" t="s">
        <v>1239</v>
      </c>
      <c r="C3666" t="s">
        <v>3789</v>
      </c>
      <c r="D3666" s="6" t="str">
        <f>_xlfn.XLOOKUP(B3666,Indices!$A$2:$A$2676,Indices!$B$2:$B$2676,"")</f>
        <v>SP500</v>
      </c>
      <c r="E3666" t="str">
        <f>_xlfn.XLOOKUP(B3666,'2025-Q1'!$A$402:$A$448,'2025-Q1'!$A$402:$A$448,"avail")</f>
        <v>COO</v>
      </c>
      <c r="F3666" t="str">
        <f>_xlfn.XLOOKUP(B3666,'[2]!! -- Stock Universe 12.11.24'!$C$2:$C$1621,'[2]!! -- Stock Universe 12.11.24'!$E$2:$E$1621,"")</f>
        <v>Healthcare</v>
      </c>
    </row>
    <row r="3667" spans="1:6" x14ac:dyDescent="0.25">
      <c r="A3667" s="140">
        <v>45722.625</v>
      </c>
      <c r="B3667" t="s">
        <v>3824</v>
      </c>
      <c r="C3667" t="s">
        <v>3789</v>
      </c>
      <c r="D3667" s="6" t="str">
        <f>_xlfn.XLOOKUP(B3667,Indices!$A$2:$A$2676,Indices!$B$2:$B$2676,"")</f>
        <v/>
      </c>
      <c r="E3667" t="str">
        <f>_xlfn.XLOOKUP(B3667,'2025-Q1'!$A$402:$A$448,'2025-Q1'!$A$402:$A$448,"avail")</f>
        <v>avail</v>
      </c>
      <c r="F3667" t="str">
        <f>_xlfn.XLOOKUP(B3667,'[2]!! -- Stock Universe 12.11.24'!$C$2:$C$1621,'[2]!! -- Stock Universe 12.11.24'!$E$2:$E$1621,"")</f>
        <v/>
      </c>
    </row>
    <row r="3668" spans="1:6" x14ac:dyDescent="0.25">
      <c r="A3668" s="140">
        <v>45722.625</v>
      </c>
      <c r="B3668" t="s">
        <v>2267</v>
      </c>
      <c r="C3668" t="s">
        <v>3789</v>
      </c>
      <c r="D3668" s="6" t="str">
        <f>_xlfn.XLOOKUP(B3668,Indices!$A$2:$A$2676,Indices!$B$2:$B$2676,"")</f>
        <v>IWM</v>
      </c>
      <c r="E3668" t="str">
        <f>_xlfn.XLOOKUP(B3668,'2025-Q1'!$A$402:$A$448,'2025-Q1'!$A$402:$A$448,"avail")</f>
        <v>avail</v>
      </c>
      <c r="F3668" t="str">
        <f>_xlfn.XLOOKUP(B3668,'[2]!! -- Stock Universe 12.11.24'!$C$2:$C$1621,'[2]!! -- Stock Universe 12.11.24'!$E$2:$E$1621,"")</f>
        <v/>
      </c>
    </row>
    <row r="3669" spans="1:6" x14ac:dyDescent="0.25">
      <c r="A3669" s="140">
        <v>45722.625</v>
      </c>
      <c r="B3669" t="s">
        <v>748</v>
      </c>
      <c r="C3669" t="s">
        <v>3789</v>
      </c>
      <c r="D3669" s="6" t="str">
        <f>_xlfn.XLOOKUP(B3669,Indices!$A$2:$A$2676,Indices!$B$2:$B$2676,"")</f>
        <v>IWM</v>
      </c>
      <c r="E3669" t="str">
        <f>_xlfn.XLOOKUP(B3669,'2025-Q1'!$A$402:$A$448,'2025-Q1'!$A$402:$A$448,"avail")</f>
        <v>avail</v>
      </c>
      <c r="F3669" t="str">
        <f>_xlfn.XLOOKUP(B3669,'[2]!! -- Stock Universe 12.11.24'!$C$2:$C$1621,'[2]!! -- Stock Universe 12.11.24'!$E$2:$E$1621,"")</f>
        <v/>
      </c>
    </row>
    <row r="3670" spans="1:6" x14ac:dyDescent="0.25">
      <c r="A3670" s="140">
        <v>45722.625</v>
      </c>
      <c r="B3670" t="s">
        <v>674</v>
      </c>
      <c r="C3670" t="s">
        <v>3789</v>
      </c>
      <c r="D3670" s="6" t="str">
        <f>_xlfn.XLOOKUP(B3670,Indices!$A$2:$A$2676,Indices!$B$2:$B$2676,"")</f>
        <v>IWM</v>
      </c>
      <c r="E3670" t="str">
        <f>_xlfn.XLOOKUP(B3670,'2025-Q1'!$A$402:$A$448,'2025-Q1'!$A$402:$A$448,"avail")</f>
        <v>avail</v>
      </c>
      <c r="F3670" t="str">
        <f>_xlfn.XLOOKUP(B3670,'[2]!! -- Stock Universe 12.11.24'!$C$2:$C$1621,'[2]!! -- Stock Universe 12.11.24'!$E$2:$E$1621,"")</f>
        <v/>
      </c>
    </row>
    <row r="3671" spans="1:6" x14ac:dyDescent="0.25">
      <c r="A3671" s="140">
        <v>45722.625</v>
      </c>
      <c r="B3671" t="s">
        <v>3215</v>
      </c>
      <c r="C3671" t="s">
        <v>3789</v>
      </c>
      <c r="D3671" s="6" t="str">
        <f>_xlfn.XLOOKUP(B3671,Indices!$A$2:$A$2676,Indices!$B$2:$B$2676,"")</f>
        <v/>
      </c>
      <c r="E3671" t="str">
        <f>_xlfn.XLOOKUP(B3671,'2025-Q1'!$A$402:$A$448,'2025-Q1'!$A$402:$A$448,"avail")</f>
        <v>avail</v>
      </c>
      <c r="F3671" t="str">
        <f>_xlfn.XLOOKUP(B3671,'[2]!! -- Stock Universe 12.11.24'!$C$2:$C$1621,'[2]!! -- Stock Universe 12.11.24'!$E$2:$E$1621,"")</f>
        <v/>
      </c>
    </row>
    <row r="3672" spans="1:6" x14ac:dyDescent="0.25">
      <c r="A3672" s="140">
        <v>45722.625</v>
      </c>
      <c r="B3672" t="s">
        <v>3791</v>
      </c>
      <c r="C3672" t="s">
        <v>3789</v>
      </c>
      <c r="D3672" s="6" t="str">
        <f>_xlfn.XLOOKUP(B3672,Indices!$A$2:$A$2676,Indices!$B$2:$B$2676,"")</f>
        <v/>
      </c>
      <c r="E3672" t="str">
        <f>_xlfn.XLOOKUP(B3672,'2025-Q1'!$A$402:$A$448,'2025-Q1'!$A$402:$A$448,"avail")</f>
        <v>avail</v>
      </c>
      <c r="F3672" t="str">
        <f>_xlfn.XLOOKUP(B3672,'[2]!! -- Stock Universe 12.11.24'!$C$2:$C$1621,'[2]!! -- Stock Universe 12.11.24'!$E$2:$E$1621,"")</f>
        <v/>
      </c>
    </row>
    <row r="3673" spans="1:6" x14ac:dyDescent="0.25">
      <c r="A3673" s="140">
        <v>45722.625</v>
      </c>
      <c r="B3673" t="s">
        <v>3802</v>
      </c>
      <c r="C3673" t="s">
        <v>3789</v>
      </c>
      <c r="D3673" s="6" t="str">
        <f>_xlfn.XLOOKUP(B3673,Indices!$A$2:$A$2676,Indices!$B$2:$B$2676,"")</f>
        <v/>
      </c>
      <c r="E3673" t="str">
        <f>_xlfn.XLOOKUP(B3673,'2025-Q1'!$A$402:$A$448,'2025-Q1'!$A$402:$A$448,"avail")</f>
        <v>avail</v>
      </c>
      <c r="F3673" t="str">
        <f>_xlfn.XLOOKUP(B3673,'[2]!! -- Stock Universe 12.11.24'!$C$2:$C$1621,'[2]!! -- Stock Universe 12.11.24'!$E$2:$E$1621,"")</f>
        <v/>
      </c>
    </row>
    <row r="3674" spans="1:6" x14ac:dyDescent="0.25">
      <c r="A3674" s="140">
        <v>45722.625</v>
      </c>
      <c r="B3674" t="s">
        <v>2925</v>
      </c>
      <c r="C3674" t="s">
        <v>3789</v>
      </c>
      <c r="D3674" s="6" t="str">
        <f>_xlfn.XLOOKUP(B3674,Indices!$A$2:$A$2676,Indices!$B$2:$B$2676,"")</f>
        <v/>
      </c>
      <c r="E3674" t="str">
        <f>_xlfn.XLOOKUP(B3674,'2025-Q1'!$A$402:$A$448,'2025-Q1'!$A$402:$A$448,"avail")</f>
        <v>avail</v>
      </c>
      <c r="F3674" t="str">
        <f>_xlfn.XLOOKUP(B3674,'[2]!! -- Stock Universe 12.11.24'!$C$2:$C$1621,'[2]!! -- Stock Universe 12.11.24'!$E$2:$E$1621,"")</f>
        <v>Healthcare</v>
      </c>
    </row>
    <row r="3675" spans="1:6" x14ac:dyDescent="0.25">
      <c r="A3675" s="140">
        <v>45722.625</v>
      </c>
      <c r="B3675" t="s">
        <v>1147</v>
      </c>
      <c r="C3675" t="s">
        <v>3789</v>
      </c>
      <c r="D3675" s="6" t="str">
        <f>_xlfn.XLOOKUP(B3675,Indices!$A$2:$A$2676,Indices!$B$2:$B$2676,"")</f>
        <v>IWM</v>
      </c>
      <c r="E3675" t="str">
        <f>_xlfn.XLOOKUP(B3675,'2025-Q1'!$A$402:$A$448,'2025-Q1'!$A$402:$A$448,"avail")</f>
        <v>avail</v>
      </c>
      <c r="F3675" t="str">
        <f>_xlfn.XLOOKUP(B3675,'[2]!! -- Stock Universe 12.11.24'!$C$2:$C$1621,'[2]!! -- Stock Universe 12.11.24'!$E$2:$E$1621,"")</f>
        <v>Technology</v>
      </c>
    </row>
    <row r="3676" spans="1:6" x14ac:dyDescent="0.25">
      <c r="A3676" s="140">
        <v>45722.625</v>
      </c>
      <c r="B3676" t="s">
        <v>3863</v>
      </c>
      <c r="C3676" t="s">
        <v>3789</v>
      </c>
      <c r="D3676" s="6" t="str">
        <f>_xlfn.XLOOKUP(B3676,Indices!$A$2:$A$2676,Indices!$B$2:$B$2676,"")</f>
        <v/>
      </c>
      <c r="E3676" t="str">
        <f>_xlfn.XLOOKUP(B3676,'2025-Q1'!$A$402:$A$448,'2025-Q1'!$A$402:$A$448,"avail")</f>
        <v>avail</v>
      </c>
      <c r="F3676" t="str">
        <f>_xlfn.XLOOKUP(B3676,'[2]!! -- Stock Universe 12.11.24'!$C$2:$C$1621,'[2]!! -- Stock Universe 12.11.24'!$E$2:$E$1621,"")</f>
        <v/>
      </c>
    </row>
    <row r="3677" spans="1:6" x14ac:dyDescent="0.25">
      <c r="A3677" s="140">
        <v>45722.625</v>
      </c>
      <c r="B3677" t="s">
        <v>1270</v>
      </c>
      <c r="C3677" t="s">
        <v>3789</v>
      </c>
      <c r="D3677" s="6" t="str">
        <f>_xlfn.XLOOKUP(B3677,Indices!$A$2:$A$2676,Indices!$B$2:$B$2676,"")</f>
        <v>SP500</v>
      </c>
      <c r="E3677" t="str">
        <f>_xlfn.XLOOKUP(B3677,'2025-Q1'!$A$402:$A$448,'2025-Q1'!$A$402:$A$448,"avail")</f>
        <v>AVGO</v>
      </c>
      <c r="F3677" t="str">
        <f>_xlfn.XLOOKUP(B3677,'[2]!! -- Stock Universe 12.11.24'!$C$2:$C$1621,'[2]!! -- Stock Universe 12.11.24'!$E$2:$E$1621,"")</f>
        <v>Technology</v>
      </c>
    </row>
    <row r="3678" spans="1:6" x14ac:dyDescent="0.25">
      <c r="A3678" s="140">
        <v>45722.625</v>
      </c>
      <c r="B3678" t="s">
        <v>3812</v>
      </c>
      <c r="C3678" t="s">
        <v>3789</v>
      </c>
      <c r="D3678" s="6" t="str">
        <f>_xlfn.XLOOKUP(B3678,Indices!$A$2:$A$2676,Indices!$B$2:$B$2676,"")</f>
        <v/>
      </c>
      <c r="E3678" t="str">
        <f>_xlfn.XLOOKUP(B3678,'2025-Q1'!$A$402:$A$448,'2025-Q1'!$A$402:$A$448,"avail")</f>
        <v>avail</v>
      </c>
      <c r="F3678" t="str">
        <f>_xlfn.XLOOKUP(B3678,'[2]!! -- Stock Universe 12.11.24'!$C$2:$C$1621,'[2]!! -- Stock Universe 12.11.24'!$E$2:$E$1621,"")</f>
        <v>Basic Materials</v>
      </c>
    </row>
    <row r="3679" spans="1:6" x14ac:dyDescent="0.25">
      <c r="A3679" s="140">
        <v>45722.625</v>
      </c>
      <c r="B3679" t="s">
        <v>977</v>
      </c>
      <c r="C3679" t="s">
        <v>3789</v>
      </c>
      <c r="D3679" s="6" t="str">
        <f>_xlfn.XLOOKUP(B3679,Indices!$A$2:$A$2676,Indices!$B$2:$B$2676,"")</f>
        <v>IWM</v>
      </c>
      <c r="E3679" t="str">
        <f>_xlfn.XLOOKUP(B3679,'2025-Q1'!$A$402:$A$448,'2025-Q1'!$A$402:$A$448,"avail")</f>
        <v>avail</v>
      </c>
      <c r="F3679" t="str">
        <f>_xlfn.XLOOKUP(B3679,'[2]!! -- Stock Universe 12.11.24'!$C$2:$C$1621,'[2]!! -- Stock Universe 12.11.24'!$E$2:$E$1621,"")</f>
        <v>Healthcare</v>
      </c>
    </row>
    <row r="3680" spans="1:6" x14ac:dyDescent="0.25">
      <c r="A3680" s="140">
        <v>45723.291666666664</v>
      </c>
      <c r="B3680" t="s">
        <v>2789</v>
      </c>
      <c r="C3680" t="s">
        <v>3842</v>
      </c>
      <c r="D3680" s="6" t="str">
        <f>_xlfn.XLOOKUP(B3680,Indices!$A$2:$A$2676,Indices!$B$2:$B$2676,"")</f>
        <v/>
      </c>
      <c r="E3680" t="str">
        <f>_xlfn.XLOOKUP(B3680,'2025-Q1'!$A$402:$A$448,'2025-Q1'!$A$402:$A$448,"avail")</f>
        <v>avail</v>
      </c>
      <c r="F3680" t="str">
        <f>_xlfn.XLOOKUP(B3680,'[2]!! -- Stock Universe 12.11.24'!$C$2:$C$1621,'[2]!! -- Stock Universe 12.11.24'!$E$2:$E$1621,"")</f>
        <v/>
      </c>
    </row>
    <row r="3681" spans="1:6" x14ac:dyDescent="0.25">
      <c r="A3681" s="140">
        <v>45723.291666666664</v>
      </c>
      <c r="B3681" t="s">
        <v>3696</v>
      </c>
      <c r="C3681" t="s">
        <v>3842</v>
      </c>
      <c r="D3681" s="6" t="str">
        <f>_xlfn.XLOOKUP(B3681,Indices!$A$2:$A$2676,Indices!$B$2:$B$2676,"")</f>
        <v/>
      </c>
      <c r="E3681" t="str">
        <f>_xlfn.XLOOKUP(B3681,'2025-Q1'!$A$402:$A$448,'2025-Q1'!$A$402:$A$448,"avail")</f>
        <v>avail</v>
      </c>
      <c r="F3681" t="str">
        <f>_xlfn.XLOOKUP(B3681,'[2]!! -- Stock Universe 12.11.24'!$C$2:$C$1621,'[2]!! -- Stock Universe 12.11.24'!$E$2:$E$1621,"")</f>
        <v/>
      </c>
    </row>
    <row r="3682" spans="1:6" x14ac:dyDescent="0.25">
      <c r="A3682" s="140">
        <v>45723.291666666664</v>
      </c>
      <c r="B3682" t="s">
        <v>1101</v>
      </c>
      <c r="C3682" t="s">
        <v>3842</v>
      </c>
      <c r="D3682" s="6" t="str">
        <f>_xlfn.XLOOKUP(B3682,Indices!$A$2:$A$2676,Indices!$B$2:$B$2676,"")</f>
        <v/>
      </c>
      <c r="E3682" t="str">
        <f>_xlfn.XLOOKUP(B3682,'2025-Q1'!$A$402:$A$448,'2025-Q1'!$A$402:$A$448,"avail")</f>
        <v>avail</v>
      </c>
      <c r="F3682" t="str">
        <f>_xlfn.XLOOKUP(B3682,'[2]!! -- Stock Universe 12.11.24'!$C$2:$C$1621,'[2]!! -- Stock Universe 12.11.24'!$E$2:$E$1621,"")</f>
        <v/>
      </c>
    </row>
    <row r="3683" spans="1:6" x14ac:dyDescent="0.25">
      <c r="A3683" s="140">
        <v>45723.291666666664</v>
      </c>
      <c r="B3683" t="s">
        <v>3571</v>
      </c>
      <c r="C3683" t="s">
        <v>3842</v>
      </c>
      <c r="D3683" s="6" t="str">
        <f>_xlfn.XLOOKUP(B3683,Indices!$A$2:$A$2676,Indices!$B$2:$B$2676,"")</f>
        <v/>
      </c>
      <c r="E3683" t="str">
        <f>_xlfn.XLOOKUP(B3683,'2025-Q1'!$A$402:$A$448,'2025-Q1'!$A$402:$A$448,"avail")</f>
        <v>avail</v>
      </c>
      <c r="F3683" t="str">
        <f>_xlfn.XLOOKUP(B3683,'[2]!! -- Stock Universe 12.11.24'!$C$2:$C$1621,'[2]!! -- Stock Universe 12.11.24'!$E$2:$E$1621,"")</f>
        <v/>
      </c>
    </row>
    <row r="3684" spans="1:6" x14ac:dyDescent="0.25">
      <c r="A3684" s="140">
        <v>45723.291666666664</v>
      </c>
      <c r="B3684" t="s">
        <v>3846</v>
      </c>
      <c r="C3684" t="s">
        <v>3842</v>
      </c>
      <c r="D3684" s="6" t="str">
        <f>_xlfn.XLOOKUP(B3684,Indices!$A$2:$A$2676,Indices!$B$2:$B$2676,"")</f>
        <v/>
      </c>
      <c r="E3684" t="str">
        <f>_xlfn.XLOOKUP(B3684,'2025-Q1'!$A$402:$A$448,'2025-Q1'!$A$402:$A$448,"avail")</f>
        <v>avail</v>
      </c>
      <c r="F3684" t="str">
        <f>_xlfn.XLOOKUP(B3684,'[2]!! -- Stock Universe 12.11.24'!$C$2:$C$1621,'[2]!! -- Stock Universe 12.11.24'!$E$2:$E$1621,"")</f>
        <v/>
      </c>
    </row>
    <row r="3685" spans="1:6" x14ac:dyDescent="0.25">
      <c r="A3685" s="140">
        <v>45723.291666666664</v>
      </c>
      <c r="B3685" t="s">
        <v>3843</v>
      </c>
      <c r="C3685" t="s">
        <v>3842</v>
      </c>
      <c r="D3685" s="6" t="str">
        <f>_xlfn.XLOOKUP(B3685,Indices!$A$2:$A$2676,Indices!$B$2:$B$2676,"")</f>
        <v/>
      </c>
      <c r="E3685" t="str">
        <f>_xlfn.XLOOKUP(B3685,'2025-Q1'!$A$402:$A$448,'2025-Q1'!$A$402:$A$448,"avail")</f>
        <v>avail</v>
      </c>
      <c r="F3685" t="str">
        <f>_xlfn.XLOOKUP(B3685,'[2]!! -- Stock Universe 12.11.24'!$C$2:$C$1621,'[2]!! -- Stock Universe 12.11.24'!$E$2:$E$1621,"")</f>
        <v/>
      </c>
    </row>
    <row r="3686" spans="1:6" x14ac:dyDescent="0.25">
      <c r="A3686" s="140">
        <v>45723.291666666664</v>
      </c>
      <c r="B3686" t="s">
        <v>3845</v>
      </c>
      <c r="C3686" t="s">
        <v>3842</v>
      </c>
      <c r="D3686" s="6" t="str">
        <f>_xlfn.XLOOKUP(B3686,Indices!$A$2:$A$2676,Indices!$B$2:$B$2676,"")</f>
        <v/>
      </c>
      <c r="E3686" t="str">
        <f>_xlfn.XLOOKUP(B3686,'2025-Q1'!$A$402:$A$448,'2025-Q1'!$A$402:$A$448,"avail")</f>
        <v>avail</v>
      </c>
      <c r="F3686" t="str">
        <f>_xlfn.XLOOKUP(B3686,'[2]!! -- Stock Universe 12.11.24'!$C$2:$C$1621,'[2]!! -- Stock Universe 12.11.24'!$E$2:$E$1621,"")</f>
        <v/>
      </c>
    </row>
    <row r="3687" spans="1:6" x14ac:dyDescent="0.25">
      <c r="A3687" s="140">
        <v>45723.291666666664</v>
      </c>
      <c r="B3687" t="s">
        <v>3840</v>
      </c>
      <c r="C3687" t="s">
        <v>3841</v>
      </c>
      <c r="D3687" s="6" t="str">
        <f>_xlfn.XLOOKUP(B3687,Indices!$A$2:$A$2676,Indices!$B$2:$B$2676,"")</f>
        <v/>
      </c>
      <c r="E3687" t="str">
        <f>_xlfn.XLOOKUP(B3687,'2025-Q1'!$A$402:$A$448,'2025-Q1'!$A$402:$A$448,"avail")</f>
        <v>avail</v>
      </c>
      <c r="F3687" t="str">
        <f>_xlfn.XLOOKUP(B3687,'[2]!! -- Stock Universe 12.11.24'!$C$2:$C$1621,'[2]!! -- Stock Universe 12.11.24'!$E$2:$E$1621,"")</f>
        <v/>
      </c>
    </row>
    <row r="3688" spans="1:6" x14ac:dyDescent="0.25">
      <c r="A3688" s="140">
        <v>45723.291666666664</v>
      </c>
      <c r="B3688" t="s">
        <v>3763</v>
      </c>
      <c r="C3688" t="s">
        <v>3842</v>
      </c>
      <c r="D3688" s="6" t="str">
        <f>_xlfn.XLOOKUP(B3688,Indices!$A$2:$A$2676,Indices!$B$2:$B$2676,"")</f>
        <v/>
      </c>
      <c r="E3688" t="str">
        <f>_xlfn.XLOOKUP(B3688,'2025-Q1'!$A$402:$A$448,'2025-Q1'!$A$402:$A$448,"avail")</f>
        <v>avail</v>
      </c>
      <c r="F3688" t="str">
        <f>_xlfn.XLOOKUP(B3688,'[2]!! -- Stock Universe 12.11.24'!$C$2:$C$1621,'[2]!! -- Stock Universe 12.11.24'!$E$2:$E$1621,"")</f>
        <v/>
      </c>
    </row>
    <row r="3689" spans="1:6" x14ac:dyDescent="0.25">
      <c r="A3689" s="140">
        <v>45723.291666666664</v>
      </c>
      <c r="B3689" t="s">
        <v>3520</v>
      </c>
      <c r="C3689" t="s">
        <v>3842</v>
      </c>
      <c r="D3689" s="6" t="str">
        <f>_xlfn.XLOOKUP(B3689,Indices!$A$2:$A$2676,Indices!$B$2:$B$2676,"")</f>
        <v/>
      </c>
      <c r="E3689" t="str">
        <f>_xlfn.XLOOKUP(B3689,'2025-Q1'!$A$402:$A$448,'2025-Q1'!$A$402:$A$448,"avail")</f>
        <v>avail</v>
      </c>
      <c r="F3689" t="str">
        <f>_xlfn.XLOOKUP(B3689,'[2]!! -- Stock Universe 12.11.24'!$C$2:$C$1621,'[2]!! -- Stock Universe 12.11.24'!$E$2:$E$1621,"")</f>
        <v/>
      </c>
    </row>
    <row r="3690" spans="1:6" x14ac:dyDescent="0.25">
      <c r="A3690" s="140">
        <v>45723.291666666664</v>
      </c>
      <c r="B3690" t="s">
        <v>3582</v>
      </c>
      <c r="C3690" t="s">
        <v>3842</v>
      </c>
      <c r="D3690" s="6" t="str">
        <f>_xlfn.XLOOKUP(B3690,Indices!$A$2:$A$2676,Indices!$B$2:$B$2676,"")</f>
        <v/>
      </c>
      <c r="E3690" t="str">
        <f>_xlfn.XLOOKUP(B3690,'2025-Q1'!$A$402:$A$448,'2025-Q1'!$A$402:$A$448,"avail")</f>
        <v>avail</v>
      </c>
      <c r="F3690" t="str">
        <f>_xlfn.XLOOKUP(B3690,'[2]!! -- Stock Universe 12.11.24'!$C$2:$C$1621,'[2]!! -- Stock Universe 12.11.24'!$E$2:$E$1621,"")</f>
        <v/>
      </c>
    </row>
    <row r="3691" spans="1:6" x14ac:dyDescent="0.25">
      <c r="A3691" s="140">
        <v>45723.291666666664</v>
      </c>
      <c r="B3691" t="s">
        <v>601</v>
      </c>
      <c r="C3691" t="s">
        <v>3842</v>
      </c>
      <c r="D3691" s="6" t="str">
        <f>_xlfn.XLOOKUP(B3691,Indices!$A$2:$A$2676,Indices!$B$2:$B$2676,"")</f>
        <v>IWM</v>
      </c>
      <c r="E3691" t="str">
        <f>_xlfn.XLOOKUP(B3691,'2025-Q1'!$A$402:$A$448,'2025-Q1'!$A$402:$A$448,"avail")</f>
        <v>avail</v>
      </c>
      <c r="F3691" t="str">
        <f>_xlfn.XLOOKUP(B3691,'[2]!! -- Stock Universe 12.11.24'!$C$2:$C$1621,'[2]!! -- Stock Universe 12.11.24'!$E$2:$E$1621,"")</f>
        <v>Communication Services</v>
      </c>
    </row>
    <row r="3692" spans="1:6" x14ac:dyDescent="0.25">
      <c r="A3692" s="140">
        <v>45723.291666666664</v>
      </c>
      <c r="B3692" t="s">
        <v>1243</v>
      </c>
      <c r="C3692" t="s">
        <v>3841</v>
      </c>
      <c r="D3692" s="6" t="str">
        <f>_xlfn.XLOOKUP(B3692,Indices!$A$2:$A$2676,Indices!$B$2:$B$2676,"")</f>
        <v>IWM</v>
      </c>
      <c r="E3692" t="str">
        <f>_xlfn.XLOOKUP(B3692,'2025-Q1'!$A$402:$A$448,'2025-Q1'!$A$402:$A$448,"avail")</f>
        <v>avail</v>
      </c>
      <c r="F3692" t="str">
        <f>_xlfn.XLOOKUP(B3692,'[2]!! -- Stock Universe 12.11.24'!$C$2:$C$1621,'[2]!! -- Stock Universe 12.11.24'!$E$2:$E$1621,"")</f>
        <v>Energy</v>
      </c>
    </row>
    <row r="3693" spans="1:6" x14ac:dyDescent="0.25">
      <c r="A3693" s="140">
        <v>45723.291666666664</v>
      </c>
      <c r="B3693" t="s">
        <v>1175</v>
      </c>
      <c r="C3693" t="s">
        <v>3842</v>
      </c>
      <c r="D3693" s="6" t="str">
        <f>_xlfn.XLOOKUP(B3693,Indices!$A$2:$A$2676,Indices!$B$2:$B$2676,"")</f>
        <v>IWM</v>
      </c>
      <c r="E3693" t="str">
        <f>_xlfn.XLOOKUP(B3693,'2025-Q1'!$A$402:$A$448,'2025-Q1'!$A$402:$A$448,"avail")</f>
        <v>avail</v>
      </c>
      <c r="F3693" t="str">
        <f>_xlfn.XLOOKUP(B3693,'[2]!! -- Stock Universe 12.11.24'!$C$2:$C$1621,'[2]!! -- Stock Universe 12.11.24'!$E$2:$E$1621,"")</f>
        <v/>
      </c>
    </row>
    <row r="3694" spans="1:6" x14ac:dyDescent="0.25">
      <c r="A3694" s="140">
        <v>45723.625</v>
      </c>
      <c r="B3694" t="s">
        <v>3564</v>
      </c>
      <c r="C3694" t="s">
        <v>3847</v>
      </c>
      <c r="D3694" s="6" t="str">
        <f>_xlfn.XLOOKUP(B3694,Indices!$A$2:$A$2676,Indices!$B$2:$B$2676,"")</f>
        <v/>
      </c>
      <c r="E3694" t="str">
        <f>_xlfn.XLOOKUP(B3694,'2025-Q1'!$A$402:$A$448,'2025-Q1'!$A$402:$A$448,"avail")</f>
        <v>avail</v>
      </c>
      <c r="F3694" t="str">
        <f>_xlfn.XLOOKUP(B3694,'[2]!! -- Stock Universe 12.11.24'!$C$2:$C$1621,'[2]!! -- Stock Universe 12.11.24'!$E$2:$E$1621,"")</f>
        <v>Healthcare</v>
      </c>
    </row>
    <row r="3695" spans="1:6" x14ac:dyDescent="0.25">
      <c r="A3695" s="140">
        <v>45723.625</v>
      </c>
      <c r="B3695" t="s">
        <v>707</v>
      </c>
      <c r="C3695" t="s">
        <v>3847</v>
      </c>
      <c r="D3695" s="6" t="str">
        <f>_xlfn.XLOOKUP(B3695,Indices!$A$2:$A$2676,Indices!$B$2:$B$2676,"")</f>
        <v>IWM</v>
      </c>
      <c r="E3695" t="str">
        <f>_xlfn.XLOOKUP(B3695,'2025-Q1'!$A$402:$A$448,'2025-Q1'!$A$402:$A$448,"avail")</f>
        <v>avail</v>
      </c>
      <c r="F3695" t="str">
        <f>_xlfn.XLOOKUP(B3695,'[2]!! -- Stock Universe 12.11.24'!$C$2:$C$1621,'[2]!! -- Stock Universe 12.11.24'!$E$2:$E$1621,"")</f>
        <v/>
      </c>
    </row>
    <row r="3696" spans="1:6" x14ac:dyDescent="0.25">
      <c r="A3696" s="140">
        <v>45723.625</v>
      </c>
      <c r="B3696" t="s">
        <v>3237</v>
      </c>
      <c r="C3696" t="s">
        <v>3847</v>
      </c>
      <c r="D3696" s="6" t="str">
        <f>_xlfn.XLOOKUP(B3696,Indices!$A$2:$A$2676,Indices!$B$2:$B$2676,"")</f>
        <v/>
      </c>
      <c r="E3696" t="str">
        <f>_xlfn.XLOOKUP(B3696,'2025-Q1'!$A$402:$A$448,'2025-Q1'!$A$402:$A$448,"avail")</f>
        <v>avail</v>
      </c>
      <c r="F3696" t="str">
        <f>_xlfn.XLOOKUP(B3696,'[2]!! -- Stock Universe 12.11.24'!$C$2:$C$1621,'[2]!! -- Stock Universe 12.11.24'!$E$2:$E$1621,"")</f>
        <v/>
      </c>
    </row>
    <row r="3697" spans="1:6" x14ac:dyDescent="0.25">
      <c r="A3697" s="140">
        <v>45723.625</v>
      </c>
      <c r="B3697" t="s">
        <v>1098</v>
      </c>
      <c r="C3697" t="s">
        <v>3847</v>
      </c>
      <c r="D3697" s="6" t="str">
        <f>_xlfn.XLOOKUP(B3697,Indices!$A$2:$A$2676,Indices!$B$2:$B$2676,"")</f>
        <v>IWM</v>
      </c>
      <c r="E3697" t="str">
        <f>_xlfn.XLOOKUP(B3697,'2025-Q1'!$A$402:$A$448,'2025-Q1'!$A$402:$A$448,"avail")</f>
        <v>avail</v>
      </c>
      <c r="F3697" t="str">
        <f>_xlfn.XLOOKUP(B3697,'[2]!! -- Stock Universe 12.11.24'!$C$2:$C$1621,'[2]!! -- Stock Universe 12.11.24'!$E$2:$E$1621,"")</f>
        <v>Healthcare</v>
      </c>
    </row>
    <row r="3698" spans="1:6" x14ac:dyDescent="0.25">
      <c r="A3698" s="140">
        <v>45723.625</v>
      </c>
      <c r="B3698" t="s">
        <v>3563</v>
      </c>
      <c r="C3698" t="s">
        <v>3847</v>
      </c>
      <c r="D3698" s="6" t="str">
        <f>_xlfn.XLOOKUP(B3698,Indices!$A$2:$A$2676,Indices!$B$2:$B$2676,"")</f>
        <v/>
      </c>
      <c r="E3698" t="str">
        <f>_xlfn.XLOOKUP(B3698,'2025-Q1'!$A$402:$A$448,'2025-Q1'!$A$402:$A$448,"avail")</f>
        <v>avail</v>
      </c>
      <c r="F3698" t="str">
        <f>_xlfn.XLOOKUP(B3698,'[2]!! -- Stock Universe 12.11.24'!$C$2:$C$1621,'[2]!! -- Stock Universe 12.11.24'!$E$2:$E$1621,"")</f>
        <v/>
      </c>
    </row>
    <row r="3699" spans="1:6" x14ac:dyDescent="0.25">
      <c r="A3699" s="140">
        <v>45723.625</v>
      </c>
      <c r="B3699" t="s">
        <v>1108</v>
      </c>
      <c r="C3699" t="s">
        <v>3847</v>
      </c>
      <c r="D3699" s="6" t="str">
        <f>_xlfn.XLOOKUP(B3699,Indices!$A$2:$A$2676,Indices!$B$2:$B$2676,"")</f>
        <v/>
      </c>
      <c r="E3699" t="str">
        <f>_xlfn.XLOOKUP(B3699,'2025-Q1'!$A$402:$A$448,'2025-Q1'!$A$402:$A$448,"avail")</f>
        <v>avail</v>
      </c>
      <c r="F3699" t="str">
        <f>_xlfn.XLOOKUP(B3699,'[2]!! -- Stock Universe 12.11.24'!$C$2:$C$1621,'[2]!! -- Stock Universe 12.11.24'!$E$2:$E$1621,"")</f>
        <v/>
      </c>
    </row>
    <row r="3700" spans="1:6" x14ac:dyDescent="0.25">
      <c r="A3700" s="140">
        <v>45723.625</v>
      </c>
      <c r="B3700" t="s">
        <v>3220</v>
      </c>
      <c r="C3700" t="s">
        <v>3847</v>
      </c>
      <c r="D3700" s="6" t="str">
        <f>_xlfn.XLOOKUP(B3700,Indices!$A$2:$A$2676,Indices!$B$2:$B$2676,"")</f>
        <v/>
      </c>
      <c r="E3700" t="str">
        <f>_xlfn.XLOOKUP(B3700,'2025-Q1'!$A$402:$A$448,'2025-Q1'!$A$402:$A$448,"avail")</f>
        <v>avail</v>
      </c>
      <c r="F3700" t="str">
        <f>_xlfn.XLOOKUP(B3700,'[2]!! -- Stock Universe 12.11.24'!$C$2:$C$1621,'[2]!! -- Stock Universe 12.11.24'!$E$2:$E$1621,"")</f>
        <v/>
      </c>
    </row>
    <row r="3701" spans="1:6" x14ac:dyDescent="0.25">
      <c r="A3701" s="140">
        <v>45723.625</v>
      </c>
      <c r="B3701" t="s">
        <v>1007</v>
      </c>
      <c r="C3701" t="s">
        <v>3847</v>
      </c>
      <c r="D3701" s="6" t="str">
        <f>_xlfn.XLOOKUP(B3701,Indices!$A$2:$A$2676,Indices!$B$2:$B$2676,"")</f>
        <v>IWM</v>
      </c>
      <c r="E3701" t="str">
        <f>_xlfn.XLOOKUP(B3701,'2025-Q1'!$A$402:$A$448,'2025-Q1'!$A$402:$A$448,"avail")</f>
        <v>avail</v>
      </c>
      <c r="F3701" t="str">
        <f>_xlfn.XLOOKUP(B3701,'[2]!! -- Stock Universe 12.11.24'!$C$2:$C$1621,'[2]!! -- Stock Universe 12.11.24'!$E$2:$E$1621,"")</f>
        <v>Basic Materials</v>
      </c>
    </row>
    <row r="3702" spans="1:6" x14ac:dyDescent="0.25">
      <c r="A3702" s="140">
        <v>45723.625</v>
      </c>
      <c r="B3702" t="s">
        <v>385</v>
      </c>
      <c r="C3702" t="s">
        <v>3847</v>
      </c>
      <c r="D3702" s="6" t="str">
        <f>_xlfn.XLOOKUP(B3702,Indices!$A$2:$A$2676,Indices!$B$2:$B$2676,"")</f>
        <v>IWM</v>
      </c>
      <c r="E3702" t="str">
        <f>_xlfn.XLOOKUP(B3702,'2025-Q1'!$A$402:$A$448,'2025-Q1'!$A$402:$A$448,"avail")</f>
        <v>avail</v>
      </c>
      <c r="F3702" t="str">
        <f>_xlfn.XLOOKUP(B3702,'[2]!! -- Stock Universe 12.11.24'!$C$2:$C$1621,'[2]!! -- Stock Universe 12.11.24'!$E$2:$E$1621,"")</f>
        <v>Healthcare</v>
      </c>
    </row>
    <row r="3703" spans="1:6" x14ac:dyDescent="0.25">
      <c r="A3703" s="140">
        <v>45723.625</v>
      </c>
      <c r="B3703" t="s">
        <v>3555</v>
      </c>
      <c r="C3703" t="s">
        <v>3847</v>
      </c>
      <c r="D3703" s="6" t="str">
        <f>_xlfn.XLOOKUP(B3703,Indices!$A$2:$A$2676,Indices!$B$2:$B$2676,"")</f>
        <v/>
      </c>
      <c r="E3703" t="str">
        <f>_xlfn.XLOOKUP(B3703,'2025-Q1'!$A$402:$A$448,'2025-Q1'!$A$402:$A$448,"avail")</f>
        <v>avail</v>
      </c>
      <c r="F3703" t="str">
        <f>_xlfn.XLOOKUP(B3703,'[2]!! -- Stock Universe 12.11.24'!$C$2:$C$1621,'[2]!! -- Stock Universe 12.11.24'!$E$2:$E$1621,"")</f>
        <v/>
      </c>
    </row>
    <row r="3704" spans="1:6" x14ac:dyDescent="0.25">
      <c r="A3704" s="140">
        <v>45723.625</v>
      </c>
      <c r="B3704" t="s">
        <v>3058</v>
      </c>
      <c r="C3704" t="s">
        <v>3847</v>
      </c>
      <c r="D3704" s="6" t="str">
        <f>_xlfn.XLOOKUP(B3704,Indices!$A$2:$A$2676,Indices!$B$2:$B$2676,"")</f>
        <v/>
      </c>
      <c r="E3704" t="str">
        <f>_xlfn.XLOOKUP(B3704,'2025-Q1'!$A$402:$A$448,'2025-Q1'!$A$402:$A$448,"avail")</f>
        <v>avail</v>
      </c>
      <c r="F3704" t="str">
        <f>_xlfn.XLOOKUP(B3704,'[2]!! -- Stock Universe 12.11.24'!$C$2:$C$1621,'[2]!! -- Stock Universe 12.11.24'!$E$2:$E$1621,"")</f>
        <v/>
      </c>
    </row>
    <row r="3705" spans="1:6" x14ac:dyDescent="0.25">
      <c r="A3705" s="140">
        <v>45723.625</v>
      </c>
      <c r="B3705" t="s">
        <v>3848</v>
      </c>
      <c r="C3705" t="s">
        <v>3847</v>
      </c>
      <c r="D3705" s="6" t="str">
        <f>_xlfn.XLOOKUP(B3705,Indices!$A$2:$A$2676,Indices!$B$2:$B$2676,"")</f>
        <v/>
      </c>
      <c r="E3705" t="str">
        <f>_xlfn.XLOOKUP(B3705,'2025-Q1'!$A$402:$A$448,'2025-Q1'!$A$402:$A$448,"avail")</f>
        <v>avail</v>
      </c>
      <c r="F3705" t="str">
        <f>_xlfn.XLOOKUP(B3705,'[2]!! -- Stock Universe 12.11.24'!$C$2:$C$1621,'[2]!! -- Stock Universe 12.11.24'!$E$2:$E$1621,"")</f>
        <v/>
      </c>
    </row>
    <row r="3706" spans="1:6" x14ac:dyDescent="0.25">
      <c r="A3706" s="140">
        <v>45723.625</v>
      </c>
      <c r="B3706" t="s">
        <v>445</v>
      </c>
      <c r="C3706" t="s">
        <v>3847</v>
      </c>
      <c r="D3706" s="6" t="str">
        <f>_xlfn.XLOOKUP(B3706,Indices!$A$2:$A$2676,Indices!$B$2:$B$2676,"")</f>
        <v>IWM</v>
      </c>
      <c r="E3706" t="str">
        <f>_xlfn.XLOOKUP(B3706,'2025-Q1'!$A$402:$A$448,'2025-Q1'!$A$402:$A$448,"avail")</f>
        <v>avail</v>
      </c>
      <c r="F3706" t="str">
        <f>_xlfn.XLOOKUP(B3706,'[2]!! -- Stock Universe 12.11.24'!$C$2:$C$1621,'[2]!! -- Stock Universe 12.11.24'!$E$2:$E$1621,"")</f>
        <v>Healthcare</v>
      </c>
    </row>
    <row r="3707" spans="1:6" x14ac:dyDescent="0.25">
      <c r="A3707" s="140">
        <v>45723.625</v>
      </c>
      <c r="B3707" t="s">
        <v>3544</v>
      </c>
      <c r="C3707" t="s">
        <v>3847</v>
      </c>
      <c r="D3707" s="6" t="str">
        <f>_xlfn.XLOOKUP(B3707,Indices!$A$2:$A$2676,Indices!$B$2:$B$2676,"")</f>
        <v/>
      </c>
      <c r="E3707" t="str">
        <f>_xlfn.XLOOKUP(B3707,'2025-Q1'!$A$402:$A$448,'2025-Q1'!$A$402:$A$448,"avail")</f>
        <v>avail</v>
      </c>
      <c r="F3707" t="str">
        <f>_xlfn.XLOOKUP(B3707,'[2]!! -- Stock Universe 12.11.24'!$C$2:$C$1621,'[2]!! -- Stock Universe 12.11.24'!$E$2:$E$1621,"")</f>
        <v/>
      </c>
    </row>
    <row r="3708" spans="1:6" x14ac:dyDescent="0.25">
      <c r="A3708" s="140">
        <v>45723.625</v>
      </c>
      <c r="B3708" t="s">
        <v>3529</v>
      </c>
      <c r="C3708" t="s">
        <v>3847</v>
      </c>
      <c r="D3708" s="6" t="str">
        <f>_xlfn.XLOOKUP(B3708,Indices!$A$2:$A$2676,Indices!$B$2:$B$2676,"")</f>
        <v/>
      </c>
      <c r="E3708" t="str">
        <f>_xlfn.XLOOKUP(B3708,'2025-Q1'!$A$402:$A$448,'2025-Q1'!$A$402:$A$448,"avail")</f>
        <v>avail</v>
      </c>
      <c r="F3708" t="str">
        <f>_xlfn.XLOOKUP(B3708,'[2]!! -- Stock Universe 12.11.24'!$C$2:$C$1621,'[2]!! -- Stock Universe 12.11.24'!$E$2:$E$1621,"")</f>
        <v/>
      </c>
    </row>
    <row r="3709" spans="1:6" x14ac:dyDescent="0.25">
      <c r="A3709" s="140">
        <v>45723.625</v>
      </c>
      <c r="B3709" t="s">
        <v>6419</v>
      </c>
      <c r="C3709" t="s">
        <v>3847</v>
      </c>
      <c r="D3709" s="6" t="str">
        <f>_xlfn.XLOOKUP(B3709,Indices!$A$2:$A$2676,Indices!$B$2:$B$2676,"")</f>
        <v/>
      </c>
      <c r="E3709" t="str">
        <f>_xlfn.XLOOKUP(B3709,'2025-Q1'!$A$402:$A$448,'2025-Q1'!$A$402:$A$448,"avail")</f>
        <v>avail</v>
      </c>
      <c r="F3709" t="str">
        <f>_xlfn.XLOOKUP(B3709,'[2]!! -- Stock Universe 12.11.24'!$C$2:$C$1621,'[2]!! -- Stock Universe 12.11.24'!$E$2:$E$1621,"")</f>
        <v/>
      </c>
    </row>
    <row r="3710" spans="1:6" x14ac:dyDescent="0.25">
      <c r="A3710" s="140">
        <v>45726.291666666664</v>
      </c>
      <c r="B3710" t="s">
        <v>310</v>
      </c>
      <c r="C3710" t="s">
        <v>3850</v>
      </c>
      <c r="D3710" s="6" t="str">
        <f>_xlfn.XLOOKUP(B3710,Indices!$A$2:$A$2676,Indices!$B$2:$B$2676,"")</f>
        <v>IWM</v>
      </c>
      <c r="E3710" t="str">
        <f>_xlfn.XLOOKUP(B3710,'2025-Q1'!$A$402:$A$448,'2025-Q1'!$A$402:$A$448,"avail")</f>
        <v>avail</v>
      </c>
      <c r="F3710" t="str">
        <f>_xlfn.XLOOKUP(B3710,'[2]!! -- Stock Universe 12.11.24'!$C$2:$C$1621,'[2]!! -- Stock Universe 12.11.24'!$E$2:$E$1621,"")</f>
        <v/>
      </c>
    </row>
    <row r="3711" spans="1:6" x14ac:dyDescent="0.25">
      <c r="A3711" s="140">
        <v>45726.291666666664</v>
      </c>
      <c r="B3711" t="s">
        <v>1055</v>
      </c>
      <c r="C3711" t="s">
        <v>3850</v>
      </c>
      <c r="D3711" s="6" t="str">
        <f>_xlfn.XLOOKUP(B3711,Indices!$A$2:$A$2676,Indices!$B$2:$B$2676,"")</f>
        <v>IWM</v>
      </c>
      <c r="E3711" t="str">
        <f>_xlfn.XLOOKUP(B3711,'2025-Q1'!$A$402:$A$448,'2025-Q1'!$A$402:$A$448,"avail")</f>
        <v>avail</v>
      </c>
      <c r="F3711" t="str">
        <f>_xlfn.XLOOKUP(B3711,'[2]!! -- Stock Universe 12.11.24'!$C$2:$C$1621,'[2]!! -- Stock Universe 12.11.24'!$E$2:$E$1621,"")</f>
        <v>Healthcare</v>
      </c>
    </row>
    <row r="3712" spans="1:6" x14ac:dyDescent="0.25">
      <c r="A3712" s="140">
        <v>45726.291666666664</v>
      </c>
      <c r="B3712" t="s">
        <v>939</v>
      </c>
      <c r="C3712" t="s">
        <v>3850</v>
      </c>
      <c r="D3712" s="6" t="str">
        <f>_xlfn.XLOOKUP(B3712,Indices!$A$2:$A$2676,Indices!$B$2:$B$2676,"")</f>
        <v>IWM</v>
      </c>
      <c r="E3712" t="str">
        <f>_xlfn.XLOOKUP(B3712,'2025-Q1'!$A$402:$A$448,'2025-Q1'!$A$402:$A$448,"avail")</f>
        <v>avail</v>
      </c>
      <c r="F3712" t="str">
        <f>_xlfn.XLOOKUP(B3712,'[2]!! -- Stock Universe 12.11.24'!$C$2:$C$1621,'[2]!! -- Stock Universe 12.11.24'!$E$2:$E$1621,"")</f>
        <v>Technology</v>
      </c>
    </row>
    <row r="3713" spans="1:6" x14ac:dyDescent="0.25">
      <c r="A3713" s="140">
        <v>45726.291666666664</v>
      </c>
      <c r="B3713" t="s">
        <v>3849</v>
      </c>
      <c r="C3713" t="s">
        <v>3850</v>
      </c>
      <c r="D3713" s="6" t="str">
        <f>_xlfn.XLOOKUP(B3713,Indices!$A$2:$A$2676,Indices!$B$2:$B$2676,"")</f>
        <v/>
      </c>
      <c r="E3713" t="str">
        <f>_xlfn.XLOOKUP(B3713,'2025-Q1'!$A$402:$A$448,'2025-Q1'!$A$402:$A$448,"avail")</f>
        <v>avail</v>
      </c>
      <c r="F3713" t="str">
        <f>_xlfn.XLOOKUP(B3713,'[2]!! -- Stock Universe 12.11.24'!$C$2:$C$1621,'[2]!! -- Stock Universe 12.11.24'!$E$2:$E$1621,"")</f>
        <v/>
      </c>
    </row>
    <row r="3714" spans="1:6" x14ac:dyDescent="0.25">
      <c r="A3714" s="140">
        <v>45726.291666666664</v>
      </c>
      <c r="B3714" t="s">
        <v>322</v>
      </c>
      <c r="C3714" t="s">
        <v>3850</v>
      </c>
      <c r="D3714" s="6" t="str">
        <f>_xlfn.XLOOKUP(B3714,Indices!$A$2:$A$2676,Indices!$B$2:$B$2676,"")</f>
        <v>IWM</v>
      </c>
      <c r="E3714" t="str">
        <f>_xlfn.XLOOKUP(B3714,'2025-Q1'!$A$402:$A$448,'2025-Q1'!$A$402:$A$448,"avail")</f>
        <v>avail</v>
      </c>
      <c r="F3714" t="str">
        <f>_xlfn.XLOOKUP(B3714,'[2]!! -- Stock Universe 12.11.24'!$C$2:$C$1621,'[2]!! -- Stock Universe 12.11.24'!$E$2:$E$1621,"")</f>
        <v>Healthcare</v>
      </c>
    </row>
    <row r="3715" spans="1:6" x14ac:dyDescent="0.25">
      <c r="A3715" s="140">
        <v>45726.291666666664</v>
      </c>
      <c r="B3715" t="s">
        <v>3851</v>
      </c>
      <c r="C3715" t="s">
        <v>3850</v>
      </c>
      <c r="D3715" s="6" t="str">
        <f>_xlfn.XLOOKUP(B3715,Indices!$A$2:$A$2676,Indices!$B$2:$B$2676,"")</f>
        <v/>
      </c>
      <c r="E3715" t="str">
        <f>_xlfn.XLOOKUP(B3715,'2025-Q1'!$A$402:$A$448,'2025-Q1'!$A$402:$A$448,"avail")</f>
        <v>avail</v>
      </c>
      <c r="F3715" t="str">
        <f>_xlfn.XLOOKUP(B3715,'[2]!! -- Stock Universe 12.11.24'!$C$2:$C$1621,'[2]!! -- Stock Universe 12.11.24'!$E$2:$E$1621,"")</f>
        <v/>
      </c>
    </row>
    <row r="3716" spans="1:6" x14ac:dyDescent="0.25">
      <c r="A3716" s="140">
        <v>45726.291666666664</v>
      </c>
      <c r="B3716" t="s">
        <v>3852</v>
      </c>
      <c r="C3716" t="s">
        <v>3850</v>
      </c>
      <c r="D3716" s="6" t="str">
        <f>_xlfn.XLOOKUP(B3716,Indices!$A$2:$A$2676,Indices!$B$2:$B$2676,"")</f>
        <v/>
      </c>
      <c r="E3716" t="str">
        <f>_xlfn.XLOOKUP(B3716,'2025-Q1'!$A$402:$A$448,'2025-Q1'!$A$402:$A$448,"avail")</f>
        <v>avail</v>
      </c>
      <c r="F3716" t="str">
        <f>_xlfn.XLOOKUP(B3716,'[2]!! -- Stock Universe 12.11.24'!$C$2:$C$1621,'[2]!! -- Stock Universe 12.11.24'!$E$2:$E$1621,"")</f>
        <v/>
      </c>
    </row>
    <row r="3717" spans="1:6" x14ac:dyDescent="0.25">
      <c r="A3717" s="140">
        <v>45726.291666666664</v>
      </c>
      <c r="B3717" t="s">
        <v>3679</v>
      </c>
      <c r="C3717" t="s">
        <v>3850</v>
      </c>
      <c r="D3717" s="6" t="str">
        <f>_xlfn.XLOOKUP(B3717,Indices!$A$2:$A$2676,Indices!$B$2:$B$2676,"")</f>
        <v/>
      </c>
      <c r="E3717" t="str">
        <f>_xlfn.XLOOKUP(B3717,'2025-Q1'!$A$402:$A$448,'2025-Q1'!$A$402:$A$448,"avail")</f>
        <v>avail</v>
      </c>
      <c r="F3717" t="str">
        <f>_xlfn.XLOOKUP(B3717,'[2]!! -- Stock Universe 12.11.24'!$C$2:$C$1621,'[2]!! -- Stock Universe 12.11.24'!$E$2:$E$1621,"")</f>
        <v/>
      </c>
    </row>
    <row r="3718" spans="1:6" x14ac:dyDescent="0.25">
      <c r="A3718" s="140">
        <v>45726.291666666664</v>
      </c>
      <c r="B3718" t="s">
        <v>3387</v>
      </c>
      <c r="C3718" t="s">
        <v>3850</v>
      </c>
      <c r="D3718" s="6" t="str">
        <f>_xlfn.XLOOKUP(B3718,Indices!$A$2:$A$2676,Indices!$B$2:$B$2676,"")</f>
        <v/>
      </c>
      <c r="E3718" t="str">
        <f>_xlfn.XLOOKUP(B3718,'2025-Q1'!$A$402:$A$448,'2025-Q1'!$A$402:$A$448,"avail")</f>
        <v>avail</v>
      </c>
      <c r="F3718" t="str">
        <f>_xlfn.XLOOKUP(B3718,'[2]!! -- Stock Universe 12.11.24'!$C$2:$C$1621,'[2]!! -- Stock Universe 12.11.24'!$E$2:$E$1621,"")</f>
        <v/>
      </c>
    </row>
    <row r="3719" spans="1:6" x14ac:dyDescent="0.25">
      <c r="A3719" s="140">
        <v>45726.291666666664</v>
      </c>
      <c r="B3719" t="s">
        <v>60</v>
      </c>
      <c r="C3719" t="s">
        <v>3850</v>
      </c>
      <c r="D3719" s="6" t="str">
        <f>_xlfn.XLOOKUP(B3719,Indices!$A$2:$A$2676,Indices!$B$2:$B$2676,"")</f>
        <v>IWM</v>
      </c>
      <c r="E3719" t="str">
        <f>_xlfn.XLOOKUP(B3719,'2025-Q1'!$A$402:$A$448,'2025-Q1'!$A$402:$A$448,"avail")</f>
        <v>avail</v>
      </c>
      <c r="F3719" t="str">
        <f>_xlfn.XLOOKUP(B3719,'[2]!! -- Stock Universe 12.11.24'!$C$2:$C$1621,'[2]!! -- Stock Universe 12.11.24'!$E$2:$E$1621,"")</f>
        <v/>
      </c>
    </row>
    <row r="3720" spans="1:6" x14ac:dyDescent="0.25">
      <c r="A3720" s="140">
        <v>45726.291666666664</v>
      </c>
      <c r="B3720" t="s">
        <v>3772</v>
      </c>
      <c r="C3720" t="s">
        <v>5687</v>
      </c>
      <c r="D3720" s="6" t="str">
        <f>_xlfn.XLOOKUP(B3720,Indices!$A$2:$A$2676,Indices!$B$2:$B$2676,"")</f>
        <v/>
      </c>
      <c r="E3720" t="str">
        <f>_xlfn.XLOOKUP(B3720,'2025-Q1'!$A$402:$A$448,'2025-Q1'!$A$402:$A$448,"avail")</f>
        <v>avail</v>
      </c>
      <c r="F3720" t="str">
        <f>_xlfn.XLOOKUP(B3720,'[2]!! -- Stock Universe 12.11.24'!$C$2:$C$1621,'[2]!! -- Stock Universe 12.11.24'!$E$2:$E$1621,"")</f>
        <v/>
      </c>
    </row>
    <row r="3721" spans="1:6" x14ac:dyDescent="0.25">
      <c r="A3721" s="140">
        <v>45726.291666666664</v>
      </c>
      <c r="B3721" t="s">
        <v>3659</v>
      </c>
      <c r="C3721" t="s">
        <v>3850</v>
      </c>
      <c r="D3721" s="6" t="str">
        <f>_xlfn.XLOOKUP(B3721,Indices!$A$2:$A$2676,Indices!$B$2:$B$2676,"")</f>
        <v/>
      </c>
      <c r="E3721" t="str">
        <f>_xlfn.XLOOKUP(B3721,'2025-Q1'!$A$402:$A$448,'2025-Q1'!$A$402:$A$448,"avail")</f>
        <v>avail</v>
      </c>
      <c r="F3721" t="str">
        <f>_xlfn.XLOOKUP(B3721,'[2]!! -- Stock Universe 12.11.24'!$C$2:$C$1621,'[2]!! -- Stock Universe 12.11.24'!$E$2:$E$1621,"")</f>
        <v/>
      </c>
    </row>
    <row r="3722" spans="1:6" x14ac:dyDescent="0.25">
      <c r="A3722" s="140">
        <v>45726.291666666664</v>
      </c>
      <c r="B3722" t="s">
        <v>874</v>
      </c>
      <c r="C3722" t="s">
        <v>3850</v>
      </c>
      <c r="D3722" s="6" t="str">
        <f>_xlfn.XLOOKUP(B3722,Indices!$A$2:$A$2676,Indices!$B$2:$B$2676,"")</f>
        <v>IWM</v>
      </c>
      <c r="E3722" t="str">
        <f>_xlfn.XLOOKUP(B3722,'2025-Q1'!$A$402:$A$448,'2025-Q1'!$A$402:$A$448,"avail")</f>
        <v>avail</v>
      </c>
      <c r="F3722" t="str">
        <f>_xlfn.XLOOKUP(B3722,'[2]!! -- Stock Universe 12.11.24'!$C$2:$C$1621,'[2]!! -- Stock Universe 12.11.24'!$E$2:$E$1621,"")</f>
        <v>Industrials</v>
      </c>
    </row>
    <row r="3723" spans="1:6" x14ac:dyDescent="0.25">
      <c r="A3723" s="140">
        <v>45726.625</v>
      </c>
      <c r="B3723" t="s">
        <v>3867</v>
      </c>
      <c r="C3723" t="s">
        <v>3858</v>
      </c>
      <c r="D3723" s="6" t="str">
        <f>_xlfn.XLOOKUP(B3723,Indices!$A$2:$A$2676,Indices!$B$2:$B$2676,"")</f>
        <v/>
      </c>
      <c r="E3723" t="str">
        <f>_xlfn.XLOOKUP(B3723,'2025-Q1'!$A$402:$A$448,'2025-Q1'!$A$402:$A$448,"avail")</f>
        <v>avail</v>
      </c>
      <c r="F3723" t="str">
        <f>_xlfn.XLOOKUP(B3723,'[2]!! -- Stock Universe 12.11.24'!$C$2:$C$1621,'[2]!! -- Stock Universe 12.11.24'!$E$2:$E$1621,"")</f>
        <v/>
      </c>
    </row>
    <row r="3724" spans="1:6" x14ac:dyDescent="0.25">
      <c r="A3724" s="140">
        <v>45726.625</v>
      </c>
      <c r="B3724" t="s">
        <v>229</v>
      </c>
      <c r="C3724" t="s">
        <v>3858</v>
      </c>
      <c r="D3724" s="6" t="str">
        <f>_xlfn.XLOOKUP(B3724,Indices!$A$2:$A$2676,Indices!$B$2:$B$2676,"")</f>
        <v>IWM</v>
      </c>
      <c r="E3724" t="str">
        <f>_xlfn.XLOOKUP(B3724,'2025-Q1'!$A$402:$A$448,'2025-Q1'!$A$402:$A$448,"avail")</f>
        <v>avail</v>
      </c>
      <c r="F3724" t="str">
        <f>_xlfn.XLOOKUP(B3724,'[2]!! -- Stock Universe 12.11.24'!$C$2:$C$1621,'[2]!! -- Stock Universe 12.11.24'!$E$2:$E$1621,"")</f>
        <v/>
      </c>
    </row>
    <row r="3725" spans="1:6" x14ac:dyDescent="0.25">
      <c r="A3725" s="140">
        <v>45726.625</v>
      </c>
      <c r="B3725" t="s">
        <v>6420</v>
      </c>
      <c r="C3725" t="s">
        <v>3858</v>
      </c>
      <c r="D3725" s="6" t="str">
        <f>_xlfn.XLOOKUP(B3725,Indices!$A$2:$A$2676,Indices!$B$2:$B$2676,"")</f>
        <v/>
      </c>
      <c r="E3725" t="str">
        <f>_xlfn.XLOOKUP(B3725,'2025-Q1'!$A$402:$A$448,'2025-Q1'!$A$402:$A$448,"avail")</f>
        <v>avail</v>
      </c>
      <c r="F3725" t="str">
        <f>_xlfn.XLOOKUP(B3725,'[2]!! -- Stock Universe 12.11.24'!$C$2:$C$1621,'[2]!! -- Stock Universe 12.11.24'!$E$2:$E$1621,"")</f>
        <v/>
      </c>
    </row>
    <row r="3726" spans="1:6" x14ac:dyDescent="0.25">
      <c r="A3726" s="140">
        <v>45726.625</v>
      </c>
      <c r="B3726" t="s">
        <v>1238</v>
      </c>
      <c r="C3726" t="s">
        <v>3858</v>
      </c>
      <c r="D3726" s="6" t="str">
        <f>_xlfn.XLOOKUP(B3726,Indices!$A$2:$A$2676,Indices!$B$2:$B$2676,"")</f>
        <v>IWM</v>
      </c>
      <c r="E3726" t="str">
        <f>_xlfn.XLOOKUP(B3726,'2025-Q1'!$A$402:$A$448,'2025-Q1'!$A$402:$A$448,"avail")</f>
        <v>ASAN</v>
      </c>
      <c r="F3726" t="str">
        <f>_xlfn.XLOOKUP(B3726,'[2]!! -- Stock Universe 12.11.24'!$C$2:$C$1621,'[2]!! -- Stock Universe 12.11.24'!$E$2:$E$1621,"")</f>
        <v>Technology</v>
      </c>
    </row>
    <row r="3727" spans="1:6" x14ac:dyDescent="0.25">
      <c r="A3727" s="140">
        <v>45726.625</v>
      </c>
      <c r="B3727" t="s">
        <v>3914</v>
      </c>
      <c r="C3727" t="s">
        <v>3858</v>
      </c>
      <c r="D3727" s="6" t="str">
        <f>_xlfn.XLOOKUP(B3727,Indices!$A$2:$A$2676,Indices!$B$2:$B$2676,"")</f>
        <v/>
      </c>
      <c r="E3727" t="str">
        <f>_xlfn.XLOOKUP(B3727,'2025-Q1'!$A$402:$A$448,'2025-Q1'!$A$402:$A$448,"avail")</f>
        <v>avail</v>
      </c>
      <c r="F3727" t="str">
        <f>_xlfn.XLOOKUP(B3727,'[2]!! -- Stock Universe 12.11.24'!$C$2:$C$1621,'[2]!! -- Stock Universe 12.11.24'!$E$2:$E$1621,"")</f>
        <v/>
      </c>
    </row>
    <row r="3728" spans="1:6" x14ac:dyDescent="0.25">
      <c r="A3728" s="140">
        <v>45726.625</v>
      </c>
      <c r="B3728" t="s">
        <v>3860</v>
      </c>
      <c r="C3728" t="s">
        <v>3858</v>
      </c>
      <c r="D3728" s="6" t="str">
        <f>_xlfn.XLOOKUP(B3728,Indices!$A$2:$A$2676,Indices!$B$2:$B$2676,"")</f>
        <v/>
      </c>
      <c r="E3728" t="str">
        <f>_xlfn.XLOOKUP(B3728,'2025-Q1'!$A$402:$A$448,'2025-Q1'!$A$402:$A$448,"avail")</f>
        <v>avail</v>
      </c>
      <c r="F3728" t="str">
        <f>_xlfn.XLOOKUP(B3728,'[2]!! -- Stock Universe 12.11.24'!$C$2:$C$1621,'[2]!! -- Stock Universe 12.11.24'!$E$2:$E$1621,"")</f>
        <v/>
      </c>
    </row>
    <row r="3729" spans="1:6" x14ac:dyDescent="0.25">
      <c r="A3729" s="140">
        <v>45726.625</v>
      </c>
      <c r="B3729" t="s">
        <v>3862</v>
      </c>
      <c r="C3729" t="s">
        <v>3858</v>
      </c>
      <c r="D3729" s="6" t="str">
        <f>_xlfn.XLOOKUP(B3729,Indices!$A$2:$A$2676,Indices!$B$2:$B$2676,"")</f>
        <v/>
      </c>
      <c r="E3729" t="str">
        <f>_xlfn.XLOOKUP(B3729,'2025-Q1'!$A$402:$A$448,'2025-Q1'!$A$402:$A$448,"avail")</f>
        <v>avail</v>
      </c>
      <c r="F3729" t="str">
        <f>_xlfn.XLOOKUP(B3729,'[2]!! -- Stock Universe 12.11.24'!$C$2:$C$1621,'[2]!! -- Stock Universe 12.11.24'!$E$2:$E$1621,"")</f>
        <v/>
      </c>
    </row>
    <row r="3730" spans="1:6" x14ac:dyDescent="0.25">
      <c r="A3730" s="140">
        <v>45726.625</v>
      </c>
      <c r="B3730" t="s">
        <v>3866</v>
      </c>
      <c r="C3730" t="s">
        <v>3858</v>
      </c>
      <c r="D3730" s="6" t="str">
        <f>_xlfn.XLOOKUP(B3730,Indices!$A$2:$A$2676,Indices!$B$2:$B$2676,"")</f>
        <v/>
      </c>
      <c r="E3730" t="str">
        <f>_xlfn.XLOOKUP(B3730,'2025-Q1'!$A$402:$A$448,'2025-Q1'!$A$402:$A$448,"avail")</f>
        <v>avail</v>
      </c>
      <c r="F3730" t="str">
        <f>_xlfn.XLOOKUP(B3730,'[2]!! -- Stock Universe 12.11.24'!$C$2:$C$1621,'[2]!! -- Stock Universe 12.11.24'!$E$2:$E$1621,"")</f>
        <v/>
      </c>
    </row>
    <row r="3731" spans="1:6" x14ac:dyDescent="0.25">
      <c r="A3731" s="140">
        <v>45726.625</v>
      </c>
      <c r="B3731" t="s">
        <v>3861</v>
      </c>
      <c r="C3731" t="s">
        <v>3858</v>
      </c>
      <c r="D3731" s="6" t="str">
        <f>_xlfn.XLOOKUP(B3731,Indices!$A$2:$A$2676,Indices!$B$2:$B$2676,"")</f>
        <v/>
      </c>
      <c r="E3731" t="str">
        <f>_xlfn.XLOOKUP(B3731,'2025-Q1'!$A$402:$A$448,'2025-Q1'!$A$402:$A$448,"avail")</f>
        <v>avail</v>
      </c>
      <c r="F3731" t="str">
        <f>_xlfn.XLOOKUP(B3731,'[2]!! -- Stock Universe 12.11.24'!$C$2:$C$1621,'[2]!! -- Stock Universe 12.11.24'!$E$2:$E$1621,"")</f>
        <v>Healthcare</v>
      </c>
    </row>
    <row r="3732" spans="1:6" x14ac:dyDescent="0.25">
      <c r="A3732" s="140">
        <v>45726.625</v>
      </c>
      <c r="B3732" t="s">
        <v>502</v>
      </c>
      <c r="C3732" t="s">
        <v>3858</v>
      </c>
      <c r="D3732" s="6" t="str">
        <f>_xlfn.XLOOKUP(B3732,Indices!$A$2:$A$2676,Indices!$B$2:$B$2676,"")</f>
        <v>IWM</v>
      </c>
      <c r="E3732" t="str">
        <f>_xlfn.XLOOKUP(B3732,'2025-Q1'!$A$402:$A$448,'2025-Q1'!$A$402:$A$448,"avail")</f>
        <v>avail</v>
      </c>
      <c r="F3732" t="str">
        <f>_xlfn.XLOOKUP(B3732,'[2]!! -- Stock Universe 12.11.24'!$C$2:$C$1621,'[2]!! -- Stock Universe 12.11.24'!$E$2:$E$1621,"")</f>
        <v/>
      </c>
    </row>
    <row r="3733" spans="1:6" x14ac:dyDescent="0.25">
      <c r="A3733" s="140">
        <v>45726.625</v>
      </c>
      <c r="B3733" t="s">
        <v>3615</v>
      </c>
      <c r="C3733" t="s">
        <v>3858</v>
      </c>
      <c r="D3733" s="6" t="str">
        <f>_xlfn.XLOOKUP(B3733,Indices!$A$2:$A$2676,Indices!$B$2:$B$2676,"")</f>
        <v/>
      </c>
      <c r="E3733" t="str">
        <f>_xlfn.XLOOKUP(B3733,'2025-Q1'!$A$402:$A$448,'2025-Q1'!$A$402:$A$448,"avail")</f>
        <v>avail</v>
      </c>
      <c r="F3733" t="str">
        <f>_xlfn.XLOOKUP(B3733,'[2]!! -- Stock Universe 12.11.24'!$C$2:$C$1621,'[2]!! -- Stock Universe 12.11.24'!$E$2:$E$1621,"")</f>
        <v/>
      </c>
    </row>
    <row r="3734" spans="1:6" x14ac:dyDescent="0.25">
      <c r="A3734" s="140">
        <v>45726.625</v>
      </c>
      <c r="B3734" t="s">
        <v>3028</v>
      </c>
      <c r="C3734" t="s">
        <v>3858</v>
      </c>
      <c r="D3734" s="6" t="str">
        <f>_xlfn.XLOOKUP(B3734,Indices!$A$2:$A$2676,Indices!$B$2:$B$2676,"")</f>
        <v/>
      </c>
      <c r="E3734" t="str">
        <f>_xlfn.XLOOKUP(B3734,'2025-Q1'!$A$402:$A$448,'2025-Q1'!$A$402:$A$448,"avail")</f>
        <v>avail</v>
      </c>
      <c r="F3734" t="str">
        <f>_xlfn.XLOOKUP(B3734,'[2]!! -- Stock Universe 12.11.24'!$C$2:$C$1621,'[2]!! -- Stock Universe 12.11.24'!$E$2:$E$1621,"")</f>
        <v/>
      </c>
    </row>
    <row r="3735" spans="1:6" x14ac:dyDescent="0.25">
      <c r="A3735" s="140">
        <v>45726.625</v>
      </c>
      <c r="B3735" t="s">
        <v>702</v>
      </c>
      <c r="C3735" t="s">
        <v>3858</v>
      </c>
      <c r="D3735" s="6" t="str">
        <f>_xlfn.XLOOKUP(B3735,Indices!$A$2:$A$2676,Indices!$B$2:$B$2676,"")</f>
        <v>IWM</v>
      </c>
      <c r="E3735" t="str">
        <f>_xlfn.XLOOKUP(B3735,'2025-Q1'!$A$402:$A$448,'2025-Q1'!$A$402:$A$448,"avail")</f>
        <v>avail</v>
      </c>
      <c r="F3735" t="str">
        <f>_xlfn.XLOOKUP(B3735,'[2]!! -- Stock Universe 12.11.24'!$C$2:$C$1621,'[2]!! -- Stock Universe 12.11.24'!$E$2:$E$1621,"")</f>
        <v>Healthcare</v>
      </c>
    </row>
    <row r="3736" spans="1:6" x14ac:dyDescent="0.25">
      <c r="A3736" s="140">
        <v>45726.625</v>
      </c>
      <c r="B3736" t="s">
        <v>1273</v>
      </c>
      <c r="C3736" t="s">
        <v>3858</v>
      </c>
      <c r="D3736" s="6" t="str">
        <f>_xlfn.XLOOKUP(B3736,Indices!$A$2:$A$2676,Indices!$B$2:$B$2676,"")</f>
        <v>IWM</v>
      </c>
      <c r="E3736" t="str">
        <f>_xlfn.XLOOKUP(B3736,'2025-Q1'!$A$402:$A$448,'2025-Q1'!$A$402:$A$448,"avail")</f>
        <v>avail</v>
      </c>
      <c r="F3736" t="str">
        <f>_xlfn.XLOOKUP(B3736,'[2]!! -- Stock Universe 12.11.24'!$C$2:$C$1621,'[2]!! -- Stock Universe 12.11.24'!$E$2:$E$1621,"")</f>
        <v/>
      </c>
    </row>
    <row r="3737" spans="1:6" x14ac:dyDescent="0.25">
      <c r="A3737" s="140">
        <v>45726.625</v>
      </c>
      <c r="B3737" t="s">
        <v>1249</v>
      </c>
      <c r="C3737" t="s">
        <v>3858</v>
      </c>
      <c r="D3737" s="6" t="str">
        <f>_xlfn.XLOOKUP(B3737,Indices!$A$2:$A$2676,Indices!$B$2:$B$2676,"")</f>
        <v>S&amp;P Mid</v>
      </c>
      <c r="E3737" t="str">
        <f>_xlfn.XLOOKUP(B3737,'2025-Q1'!$A$402:$A$448,'2025-Q1'!$A$402:$A$448,"avail")</f>
        <v>avail</v>
      </c>
      <c r="F3737" t="str">
        <f>_xlfn.XLOOKUP(B3737,'[2]!! -- Stock Universe 12.11.24'!$C$2:$C$1621,'[2]!! -- Stock Universe 12.11.24'!$E$2:$E$1621,"")</f>
        <v>Consumer Cyclical</v>
      </c>
    </row>
    <row r="3738" spans="1:6" x14ac:dyDescent="0.25">
      <c r="A3738" s="140">
        <v>45726.625</v>
      </c>
      <c r="B3738" t="s">
        <v>3927</v>
      </c>
      <c r="C3738" t="s">
        <v>3858</v>
      </c>
      <c r="D3738" s="6" t="str">
        <f>_xlfn.XLOOKUP(B3738,Indices!$A$2:$A$2676,Indices!$B$2:$B$2676,"")</f>
        <v/>
      </c>
      <c r="E3738" t="str">
        <f>_xlfn.XLOOKUP(B3738,'2025-Q1'!$A$402:$A$448,'2025-Q1'!$A$402:$A$448,"avail")</f>
        <v>avail</v>
      </c>
      <c r="F3738" t="str">
        <f>_xlfn.XLOOKUP(B3738,'[2]!! -- Stock Universe 12.11.24'!$C$2:$C$1621,'[2]!! -- Stock Universe 12.11.24'!$E$2:$E$1621,"")</f>
        <v/>
      </c>
    </row>
    <row r="3739" spans="1:6" x14ac:dyDescent="0.25">
      <c r="A3739" s="140">
        <v>45726.625</v>
      </c>
      <c r="B3739" t="s">
        <v>943</v>
      </c>
      <c r="C3739" t="s">
        <v>3858</v>
      </c>
      <c r="D3739" s="6" t="str">
        <f>_xlfn.XLOOKUP(B3739,Indices!$A$2:$A$2676,Indices!$B$2:$B$2676,"")</f>
        <v>IWM</v>
      </c>
      <c r="E3739" t="str">
        <f>_xlfn.XLOOKUP(B3739,'2025-Q1'!$A$402:$A$448,'2025-Q1'!$A$402:$A$448,"avail")</f>
        <v>avail</v>
      </c>
      <c r="F3739" t="str">
        <f>_xlfn.XLOOKUP(B3739,'[2]!! -- Stock Universe 12.11.24'!$C$2:$C$1621,'[2]!! -- Stock Universe 12.11.24'!$E$2:$E$1621,"")</f>
        <v>Healthcare</v>
      </c>
    </row>
    <row r="3740" spans="1:6" x14ac:dyDescent="0.25">
      <c r="A3740" s="140">
        <v>45726.625</v>
      </c>
      <c r="B3740" t="s">
        <v>2151</v>
      </c>
      <c r="C3740" t="s">
        <v>3858</v>
      </c>
      <c r="D3740" s="6" t="str">
        <f>_xlfn.XLOOKUP(B3740,Indices!$A$2:$A$2676,Indices!$B$2:$B$2676,"")</f>
        <v>IWM</v>
      </c>
      <c r="E3740" t="str">
        <f>_xlfn.XLOOKUP(B3740,'2025-Q1'!$A$402:$A$448,'2025-Q1'!$A$402:$A$448,"avail")</f>
        <v>avail</v>
      </c>
      <c r="F3740" t="str">
        <f>_xlfn.XLOOKUP(B3740,'[2]!! -- Stock Universe 12.11.24'!$C$2:$C$1621,'[2]!! -- Stock Universe 12.11.24'!$E$2:$E$1621,"")</f>
        <v/>
      </c>
    </row>
    <row r="3741" spans="1:6" x14ac:dyDescent="0.25">
      <c r="A3741" s="140">
        <v>45726.625</v>
      </c>
      <c r="B3741" t="s">
        <v>3619</v>
      </c>
      <c r="C3741" t="s">
        <v>3858</v>
      </c>
      <c r="D3741" s="6" t="str">
        <f>_xlfn.XLOOKUP(B3741,Indices!$A$2:$A$2676,Indices!$B$2:$B$2676,"")</f>
        <v/>
      </c>
      <c r="E3741" t="str">
        <f>_xlfn.XLOOKUP(B3741,'2025-Q1'!$A$402:$A$448,'2025-Q1'!$A$402:$A$448,"avail")</f>
        <v>avail</v>
      </c>
      <c r="F3741" t="str">
        <f>_xlfn.XLOOKUP(B3741,'[2]!! -- Stock Universe 12.11.24'!$C$2:$C$1621,'[2]!! -- Stock Universe 12.11.24'!$E$2:$E$1621,"")</f>
        <v>Technology</v>
      </c>
    </row>
    <row r="3742" spans="1:6" x14ac:dyDescent="0.25">
      <c r="A3742" s="140">
        <v>45726.625</v>
      </c>
      <c r="B3742" t="s">
        <v>3868</v>
      </c>
      <c r="C3742" t="s">
        <v>3858</v>
      </c>
      <c r="D3742" s="6" t="str">
        <f>_xlfn.XLOOKUP(B3742,Indices!$A$2:$A$2676,Indices!$B$2:$B$2676,"")</f>
        <v/>
      </c>
      <c r="E3742" t="str">
        <f>_xlfn.XLOOKUP(B3742,'2025-Q1'!$A$402:$A$448,'2025-Q1'!$A$402:$A$448,"avail")</f>
        <v>avail</v>
      </c>
      <c r="F3742" t="str">
        <f>_xlfn.XLOOKUP(B3742,'[2]!! -- Stock Universe 12.11.24'!$C$2:$C$1621,'[2]!! -- Stock Universe 12.11.24'!$E$2:$E$1621,"")</f>
        <v/>
      </c>
    </row>
    <row r="3743" spans="1:6" x14ac:dyDescent="0.25">
      <c r="A3743" s="140">
        <v>45726.625</v>
      </c>
      <c r="B3743" t="s">
        <v>3870</v>
      </c>
      <c r="C3743" t="s">
        <v>3858</v>
      </c>
      <c r="D3743" s="6" t="str">
        <f>_xlfn.XLOOKUP(B3743,Indices!$A$2:$A$2676,Indices!$B$2:$B$2676,"")</f>
        <v/>
      </c>
      <c r="E3743" t="str">
        <f>_xlfn.XLOOKUP(B3743,'2025-Q1'!$A$402:$A$448,'2025-Q1'!$A$402:$A$448,"avail")</f>
        <v>avail</v>
      </c>
      <c r="F3743" t="str">
        <f>_xlfn.XLOOKUP(B3743,'[2]!! -- Stock Universe 12.11.24'!$C$2:$C$1621,'[2]!! -- Stock Universe 12.11.24'!$E$2:$E$1621,"")</f>
        <v/>
      </c>
    </row>
    <row r="3744" spans="1:6" x14ac:dyDescent="0.25">
      <c r="A3744" s="140">
        <v>45726.625</v>
      </c>
      <c r="B3744" t="s">
        <v>3859</v>
      </c>
      <c r="C3744" t="s">
        <v>3858</v>
      </c>
      <c r="D3744" s="6" t="str">
        <f>_xlfn.XLOOKUP(B3744,Indices!$A$2:$A$2676,Indices!$B$2:$B$2676,"")</f>
        <v/>
      </c>
      <c r="E3744" t="str">
        <f>_xlfn.XLOOKUP(B3744,'2025-Q1'!$A$402:$A$448,'2025-Q1'!$A$402:$A$448,"avail")</f>
        <v>avail</v>
      </c>
      <c r="F3744" t="str">
        <f>_xlfn.XLOOKUP(B3744,'[2]!! -- Stock Universe 12.11.24'!$C$2:$C$1621,'[2]!! -- Stock Universe 12.11.24'!$E$2:$E$1621,"")</f>
        <v/>
      </c>
    </row>
    <row r="3745" spans="1:6" x14ac:dyDescent="0.25">
      <c r="A3745" s="140">
        <v>45726.625</v>
      </c>
      <c r="B3745" t="s">
        <v>4486</v>
      </c>
      <c r="C3745" t="s">
        <v>3858</v>
      </c>
      <c r="D3745" s="6" t="str">
        <f>_xlfn.XLOOKUP(B3745,Indices!$A$2:$A$2676,Indices!$B$2:$B$2676,"")</f>
        <v/>
      </c>
      <c r="E3745" t="str">
        <f>_xlfn.XLOOKUP(B3745,'2025-Q1'!$A$402:$A$448,'2025-Q1'!$A$402:$A$448,"avail")</f>
        <v>avail</v>
      </c>
      <c r="F3745" t="str">
        <f>_xlfn.XLOOKUP(B3745,'[2]!! -- Stock Universe 12.11.24'!$C$2:$C$1621,'[2]!! -- Stock Universe 12.11.24'!$E$2:$E$1621,"")</f>
        <v>Industrials</v>
      </c>
    </row>
    <row r="3746" spans="1:6" x14ac:dyDescent="0.25">
      <c r="A3746" s="140">
        <v>45726.625</v>
      </c>
      <c r="B3746" t="s">
        <v>4159</v>
      </c>
      <c r="C3746" t="s">
        <v>3858</v>
      </c>
      <c r="D3746" s="6" t="str">
        <f>_xlfn.XLOOKUP(B3746,Indices!$A$2:$A$2676,Indices!$B$2:$B$2676,"")</f>
        <v/>
      </c>
      <c r="E3746" t="str">
        <f>_xlfn.XLOOKUP(B3746,'2025-Q1'!$A$402:$A$448,'2025-Q1'!$A$402:$A$448,"avail")</f>
        <v>avail</v>
      </c>
      <c r="F3746" t="str">
        <f>_xlfn.XLOOKUP(B3746,'[2]!! -- Stock Universe 12.11.24'!$C$2:$C$1621,'[2]!! -- Stock Universe 12.11.24'!$E$2:$E$1621,"")</f>
        <v/>
      </c>
    </row>
    <row r="3747" spans="1:6" x14ac:dyDescent="0.25">
      <c r="A3747" s="140">
        <v>45726.625</v>
      </c>
      <c r="B3747" t="s">
        <v>77</v>
      </c>
      <c r="C3747" t="s">
        <v>3858</v>
      </c>
      <c r="D3747" s="6" t="str">
        <f>_xlfn.XLOOKUP(B3747,Indices!$A$2:$A$2676,Indices!$B$2:$B$2676,"")</f>
        <v>IWM</v>
      </c>
      <c r="E3747" t="str">
        <f>_xlfn.XLOOKUP(B3747,'2025-Q1'!$A$402:$A$448,'2025-Q1'!$A$402:$A$448,"avail")</f>
        <v>avail</v>
      </c>
      <c r="F3747" t="str">
        <f>_xlfn.XLOOKUP(B3747,'[2]!! -- Stock Universe 12.11.24'!$C$2:$C$1621,'[2]!! -- Stock Universe 12.11.24'!$E$2:$E$1621,"")</f>
        <v/>
      </c>
    </row>
    <row r="3748" spans="1:6" x14ac:dyDescent="0.25">
      <c r="A3748" s="140">
        <v>45726.625</v>
      </c>
      <c r="B3748" t="s">
        <v>1253</v>
      </c>
      <c r="C3748" t="s">
        <v>3858</v>
      </c>
      <c r="D3748" s="6" t="str">
        <f>_xlfn.XLOOKUP(B3748,Indices!$A$2:$A$2676,Indices!$B$2:$B$2676,"")</f>
        <v>SP500</v>
      </c>
      <c r="E3748" t="str">
        <f>_xlfn.XLOOKUP(B3748,'2025-Q1'!$A$402:$A$448,'2025-Q1'!$A$402:$A$448,"avail")</f>
        <v>ORCL</v>
      </c>
      <c r="F3748" t="str">
        <f>_xlfn.XLOOKUP(B3748,'[2]!! -- Stock Universe 12.11.24'!$C$2:$C$1621,'[2]!! -- Stock Universe 12.11.24'!$E$2:$E$1621,"")</f>
        <v>Technology</v>
      </c>
    </row>
    <row r="3749" spans="1:6" x14ac:dyDescent="0.25">
      <c r="A3749" s="140">
        <v>45726.625</v>
      </c>
      <c r="B3749" t="s">
        <v>4164</v>
      </c>
      <c r="C3749" t="s">
        <v>3858</v>
      </c>
      <c r="D3749" s="6" t="str">
        <f>_xlfn.XLOOKUP(B3749,Indices!$A$2:$A$2676,Indices!$B$2:$B$2676,"")</f>
        <v/>
      </c>
      <c r="E3749" t="str">
        <f>_xlfn.XLOOKUP(B3749,'2025-Q1'!$A$402:$A$448,'2025-Q1'!$A$402:$A$448,"avail")</f>
        <v>avail</v>
      </c>
      <c r="F3749" t="str">
        <f>_xlfn.XLOOKUP(B3749,'[2]!! -- Stock Universe 12.11.24'!$C$2:$C$1621,'[2]!! -- Stock Universe 12.11.24'!$E$2:$E$1621,"")</f>
        <v/>
      </c>
    </row>
    <row r="3750" spans="1:6" x14ac:dyDescent="0.25">
      <c r="A3750" s="140">
        <v>45726.625</v>
      </c>
      <c r="B3750" t="s">
        <v>4068</v>
      </c>
      <c r="C3750" t="s">
        <v>3858</v>
      </c>
      <c r="D3750" s="6" t="str">
        <f>_xlfn.XLOOKUP(B3750,Indices!$A$2:$A$2676,Indices!$B$2:$B$2676,"")</f>
        <v/>
      </c>
      <c r="E3750" t="str">
        <f>_xlfn.XLOOKUP(B3750,'2025-Q1'!$A$402:$A$448,'2025-Q1'!$A$402:$A$448,"avail")</f>
        <v>avail</v>
      </c>
      <c r="F3750" t="str">
        <f>_xlfn.XLOOKUP(B3750,'[2]!! -- Stock Universe 12.11.24'!$C$2:$C$1621,'[2]!! -- Stock Universe 12.11.24'!$E$2:$E$1621,"")</f>
        <v/>
      </c>
    </row>
    <row r="3751" spans="1:6" x14ac:dyDescent="0.25">
      <c r="A3751" s="140">
        <v>45726.625</v>
      </c>
      <c r="B3751" t="s">
        <v>3618</v>
      </c>
      <c r="C3751" t="s">
        <v>3858</v>
      </c>
      <c r="D3751" s="6" t="str">
        <f>_xlfn.XLOOKUP(B3751,Indices!$A$2:$A$2676,Indices!$B$2:$B$2676,"")</f>
        <v/>
      </c>
      <c r="E3751" t="str">
        <f>_xlfn.XLOOKUP(B3751,'2025-Q1'!$A$402:$A$448,'2025-Q1'!$A$402:$A$448,"avail")</f>
        <v>avail</v>
      </c>
      <c r="F3751" t="str">
        <f>_xlfn.XLOOKUP(B3751,'[2]!! -- Stock Universe 12.11.24'!$C$2:$C$1621,'[2]!! -- Stock Universe 12.11.24'!$E$2:$E$1621,"")</f>
        <v/>
      </c>
    </row>
    <row r="3752" spans="1:6" x14ac:dyDescent="0.25">
      <c r="A3752" s="140">
        <v>45726.625</v>
      </c>
      <c r="B3752" t="s">
        <v>4232</v>
      </c>
      <c r="C3752" t="s">
        <v>3858</v>
      </c>
      <c r="D3752" s="6" t="str">
        <f>_xlfn.XLOOKUP(B3752,Indices!$A$2:$A$2676,Indices!$B$2:$B$2676,"")</f>
        <v/>
      </c>
      <c r="E3752" t="str">
        <f>_xlfn.XLOOKUP(B3752,'2025-Q1'!$A$402:$A$448,'2025-Q1'!$A$402:$A$448,"avail")</f>
        <v>avail</v>
      </c>
      <c r="F3752" t="str">
        <f>_xlfn.XLOOKUP(B3752,'[2]!! -- Stock Universe 12.11.24'!$C$2:$C$1621,'[2]!! -- Stock Universe 12.11.24'!$E$2:$E$1621,"")</f>
        <v/>
      </c>
    </row>
    <row r="3753" spans="1:6" x14ac:dyDescent="0.25">
      <c r="A3753" s="140">
        <v>45727.291666666664</v>
      </c>
      <c r="B3753" t="s">
        <v>4153</v>
      </c>
      <c r="C3753" t="s">
        <v>3873</v>
      </c>
      <c r="D3753" s="6" t="str">
        <f>_xlfn.XLOOKUP(B3753,Indices!$A$2:$A$2676,Indices!$B$2:$B$2676,"")</f>
        <v/>
      </c>
      <c r="E3753" t="str">
        <f>_xlfn.XLOOKUP(B3753,'2025-Q1'!$A$402:$A$448,'2025-Q1'!$A$402:$A$448,"avail")</f>
        <v>avail</v>
      </c>
      <c r="F3753" t="str">
        <f>_xlfn.XLOOKUP(B3753,'[2]!! -- Stock Universe 12.11.24'!$C$2:$C$1621,'[2]!! -- Stock Universe 12.11.24'!$E$2:$E$1621,"")</f>
        <v/>
      </c>
    </row>
    <row r="3754" spans="1:6" x14ac:dyDescent="0.25">
      <c r="A3754" s="140">
        <v>45727.291666666664</v>
      </c>
      <c r="B3754" t="s">
        <v>3844</v>
      </c>
      <c r="C3754" t="s">
        <v>3873</v>
      </c>
      <c r="D3754" s="6" t="str">
        <f>_xlfn.XLOOKUP(B3754,Indices!$A$2:$A$2676,Indices!$B$2:$B$2676,"")</f>
        <v/>
      </c>
      <c r="E3754" t="str">
        <f>_xlfn.XLOOKUP(B3754,'2025-Q1'!$A$402:$A$448,'2025-Q1'!$A$402:$A$448,"avail")</f>
        <v>avail</v>
      </c>
      <c r="F3754" t="str">
        <f>_xlfn.XLOOKUP(B3754,'[2]!! -- Stock Universe 12.11.24'!$C$2:$C$1621,'[2]!! -- Stock Universe 12.11.24'!$E$2:$E$1621,"")</f>
        <v/>
      </c>
    </row>
    <row r="3755" spans="1:6" x14ac:dyDescent="0.25">
      <c r="A3755" s="140">
        <v>45727.291666666664</v>
      </c>
      <c r="B3755" t="s">
        <v>3887</v>
      </c>
      <c r="C3755" t="s">
        <v>3873</v>
      </c>
      <c r="D3755" s="6" t="str">
        <f>_xlfn.XLOOKUP(B3755,Indices!$A$2:$A$2676,Indices!$B$2:$B$2676,"")</f>
        <v/>
      </c>
      <c r="E3755" t="str">
        <f>_xlfn.XLOOKUP(B3755,'2025-Q1'!$A$402:$A$448,'2025-Q1'!$A$402:$A$448,"avail")</f>
        <v>avail</v>
      </c>
      <c r="F3755" t="str">
        <f>_xlfn.XLOOKUP(B3755,'[2]!! -- Stock Universe 12.11.24'!$C$2:$C$1621,'[2]!! -- Stock Universe 12.11.24'!$E$2:$E$1621,"")</f>
        <v/>
      </c>
    </row>
    <row r="3756" spans="1:6" x14ac:dyDescent="0.25">
      <c r="A3756" s="140">
        <v>45727.291666666664</v>
      </c>
      <c r="B3756" t="s">
        <v>3888</v>
      </c>
      <c r="C3756" t="s">
        <v>3873</v>
      </c>
      <c r="D3756" s="6" t="str">
        <f>_xlfn.XLOOKUP(B3756,Indices!$A$2:$A$2676,Indices!$B$2:$B$2676,"")</f>
        <v/>
      </c>
      <c r="E3756" t="str">
        <f>_xlfn.XLOOKUP(B3756,'2025-Q1'!$A$402:$A$448,'2025-Q1'!$A$402:$A$448,"avail")</f>
        <v>avail</v>
      </c>
      <c r="F3756" t="str">
        <f>_xlfn.XLOOKUP(B3756,'[2]!! -- Stock Universe 12.11.24'!$C$2:$C$1621,'[2]!! -- Stock Universe 12.11.24'!$E$2:$E$1621,"")</f>
        <v/>
      </c>
    </row>
    <row r="3757" spans="1:6" x14ac:dyDescent="0.25">
      <c r="A3757" s="140">
        <v>45727.291666666664</v>
      </c>
      <c r="B3757" t="s">
        <v>3898</v>
      </c>
      <c r="C3757" t="s">
        <v>3873</v>
      </c>
      <c r="D3757" s="6" t="str">
        <f>_xlfn.XLOOKUP(B3757,Indices!$A$2:$A$2676,Indices!$B$2:$B$2676,"")</f>
        <v/>
      </c>
      <c r="E3757" t="str">
        <f>_xlfn.XLOOKUP(B3757,'2025-Q1'!$A$402:$A$448,'2025-Q1'!$A$402:$A$448,"avail")</f>
        <v>avail</v>
      </c>
      <c r="F3757" t="str">
        <f>_xlfn.XLOOKUP(B3757,'[2]!! -- Stock Universe 12.11.24'!$C$2:$C$1621,'[2]!! -- Stock Universe 12.11.24'!$E$2:$E$1621,"")</f>
        <v/>
      </c>
    </row>
    <row r="3758" spans="1:6" x14ac:dyDescent="0.25">
      <c r="A3758" s="140">
        <v>45727.291666666664</v>
      </c>
      <c r="B3758" t="s">
        <v>32</v>
      </c>
      <c r="C3758" t="s">
        <v>3873</v>
      </c>
      <c r="D3758" s="6" t="str">
        <f>_xlfn.XLOOKUP(B3758,Indices!$A$2:$A$2676,Indices!$B$2:$B$2676,"")</f>
        <v>IWM</v>
      </c>
      <c r="E3758" t="str">
        <f>_xlfn.XLOOKUP(B3758,'2025-Q1'!$A$402:$A$448,'2025-Q1'!$A$402:$A$448,"avail")</f>
        <v>avail</v>
      </c>
      <c r="F3758" t="str">
        <f>_xlfn.XLOOKUP(B3758,'[2]!! -- Stock Universe 12.11.24'!$C$2:$C$1621,'[2]!! -- Stock Universe 12.11.24'!$E$2:$E$1621,"")</f>
        <v/>
      </c>
    </row>
    <row r="3759" spans="1:6" x14ac:dyDescent="0.25">
      <c r="A3759" s="140">
        <v>45727.291666666664</v>
      </c>
      <c r="B3759" t="s">
        <v>1266</v>
      </c>
      <c r="C3759" t="s">
        <v>3873</v>
      </c>
      <c r="D3759" s="6" t="str">
        <f>_xlfn.XLOOKUP(B3759,Indices!$A$2:$A$2676,Indices!$B$2:$B$2676,"")</f>
        <v>S&amp;P Mid</v>
      </c>
      <c r="E3759" t="str">
        <f>_xlfn.XLOOKUP(B3759,'2025-Q1'!$A$402:$A$448,'2025-Q1'!$A$402:$A$448,"avail")</f>
        <v>CIEN</v>
      </c>
      <c r="F3759" t="str">
        <f>_xlfn.XLOOKUP(B3759,'[2]!! -- Stock Universe 12.11.24'!$C$2:$C$1621,'[2]!! -- Stock Universe 12.11.24'!$E$2:$E$1621,"")</f>
        <v>Technology</v>
      </c>
    </row>
    <row r="3760" spans="1:6" x14ac:dyDescent="0.25">
      <c r="A3760" s="140">
        <v>45727.291666666664</v>
      </c>
      <c r="B3760" t="s">
        <v>1150</v>
      </c>
      <c r="C3760" t="s">
        <v>3873</v>
      </c>
      <c r="D3760" s="6" t="str">
        <f>_xlfn.XLOOKUP(B3760,Indices!$A$2:$A$2676,Indices!$B$2:$B$2676,"")</f>
        <v>S&amp;P Mid</v>
      </c>
      <c r="E3760" t="str">
        <f>_xlfn.XLOOKUP(B3760,'2025-Q1'!$A$402:$A$448,'2025-Q1'!$A$402:$A$448,"avail")</f>
        <v>DKS</v>
      </c>
      <c r="F3760" t="str">
        <f>_xlfn.XLOOKUP(B3760,'[2]!! -- Stock Universe 12.11.24'!$C$2:$C$1621,'[2]!! -- Stock Universe 12.11.24'!$E$2:$E$1621,"")</f>
        <v>Consumer Cyclical</v>
      </c>
    </row>
    <row r="3761" spans="1:6" x14ac:dyDescent="0.25">
      <c r="A3761" s="140">
        <v>45727.291666666664</v>
      </c>
      <c r="B3761" t="s">
        <v>3900</v>
      </c>
      <c r="C3761" t="s">
        <v>3873</v>
      </c>
      <c r="D3761" s="6" t="str">
        <f>_xlfn.XLOOKUP(B3761,Indices!$A$2:$A$2676,Indices!$B$2:$B$2676,"")</f>
        <v/>
      </c>
      <c r="E3761" t="str">
        <f>_xlfn.XLOOKUP(B3761,'2025-Q1'!$A$402:$A$448,'2025-Q1'!$A$402:$A$448,"avail")</f>
        <v>avail</v>
      </c>
      <c r="F3761" t="str">
        <f>_xlfn.XLOOKUP(B3761,'[2]!! -- Stock Universe 12.11.24'!$C$2:$C$1621,'[2]!! -- Stock Universe 12.11.24'!$E$2:$E$1621,"")</f>
        <v/>
      </c>
    </row>
    <row r="3762" spans="1:6" x14ac:dyDescent="0.25">
      <c r="A3762" s="140">
        <v>45727.291666666664</v>
      </c>
      <c r="B3762" t="s">
        <v>3877</v>
      </c>
      <c r="C3762" t="s">
        <v>3873</v>
      </c>
      <c r="D3762" s="6" t="str">
        <f>_xlfn.XLOOKUP(B3762,Indices!$A$2:$A$2676,Indices!$B$2:$B$2676,"")</f>
        <v/>
      </c>
      <c r="E3762" t="str">
        <f>_xlfn.XLOOKUP(B3762,'2025-Q1'!$A$402:$A$448,'2025-Q1'!$A$402:$A$448,"avail")</f>
        <v>avail</v>
      </c>
      <c r="F3762" t="str">
        <f>_xlfn.XLOOKUP(B3762,'[2]!! -- Stock Universe 12.11.24'!$C$2:$C$1621,'[2]!! -- Stock Universe 12.11.24'!$E$2:$E$1621,"")</f>
        <v/>
      </c>
    </row>
    <row r="3763" spans="1:6" x14ac:dyDescent="0.25">
      <c r="A3763" s="140">
        <v>45727.291666666664</v>
      </c>
      <c r="B3763" t="s">
        <v>2975</v>
      </c>
      <c r="C3763" t="s">
        <v>3873</v>
      </c>
      <c r="D3763" s="6" t="str">
        <f>_xlfn.XLOOKUP(B3763,Indices!$A$2:$A$2676,Indices!$B$2:$B$2676,"")</f>
        <v/>
      </c>
      <c r="E3763" t="str">
        <f>_xlfn.XLOOKUP(B3763,'2025-Q1'!$A$402:$A$448,'2025-Q1'!$A$402:$A$448,"avail")</f>
        <v>avail</v>
      </c>
      <c r="F3763" t="str">
        <f>_xlfn.XLOOKUP(B3763,'[2]!! -- Stock Universe 12.11.24'!$C$2:$C$1621,'[2]!! -- Stock Universe 12.11.24'!$E$2:$E$1621,"")</f>
        <v/>
      </c>
    </row>
    <row r="3764" spans="1:6" x14ac:dyDescent="0.25">
      <c r="A3764" s="140">
        <v>45727.291666666664</v>
      </c>
      <c r="B3764" t="s">
        <v>592</v>
      </c>
      <c r="C3764" t="s">
        <v>3873</v>
      </c>
      <c r="D3764" s="6" t="str">
        <f>_xlfn.XLOOKUP(B3764,Indices!$A$2:$A$2676,Indices!$B$2:$B$2676,"")</f>
        <v>IWM</v>
      </c>
      <c r="E3764" t="str">
        <f>_xlfn.XLOOKUP(B3764,'2025-Q1'!$A$402:$A$448,'2025-Q1'!$A$402:$A$448,"avail")</f>
        <v>avail</v>
      </c>
      <c r="F3764" t="str">
        <f>_xlfn.XLOOKUP(B3764,'[2]!! -- Stock Universe 12.11.24'!$C$2:$C$1621,'[2]!! -- Stock Universe 12.11.24'!$E$2:$E$1621,"")</f>
        <v>Consumer Cyclical</v>
      </c>
    </row>
    <row r="3765" spans="1:6" x14ac:dyDescent="0.25">
      <c r="A3765" s="140">
        <v>45727.291666666664</v>
      </c>
      <c r="B3765" t="s">
        <v>3880</v>
      </c>
      <c r="C3765" t="s">
        <v>3873</v>
      </c>
      <c r="D3765" s="6" t="str">
        <f>_xlfn.XLOOKUP(B3765,Indices!$A$2:$A$2676,Indices!$B$2:$B$2676,"")</f>
        <v/>
      </c>
      <c r="E3765" t="str">
        <f>_xlfn.XLOOKUP(B3765,'2025-Q1'!$A$402:$A$448,'2025-Q1'!$A$402:$A$448,"avail")</f>
        <v>avail</v>
      </c>
      <c r="F3765" t="str">
        <f>_xlfn.XLOOKUP(B3765,'[2]!! -- Stock Universe 12.11.24'!$C$2:$C$1621,'[2]!! -- Stock Universe 12.11.24'!$E$2:$E$1621,"")</f>
        <v/>
      </c>
    </row>
    <row r="3766" spans="1:6" x14ac:dyDescent="0.25">
      <c r="A3766" s="140">
        <v>45727.291666666664</v>
      </c>
      <c r="B3766" t="s">
        <v>208</v>
      </c>
      <c r="C3766" t="s">
        <v>3873</v>
      </c>
      <c r="D3766" s="6" t="str">
        <f>_xlfn.XLOOKUP(B3766,Indices!$A$2:$A$2676,Indices!$B$2:$B$2676,"")</f>
        <v>IWM</v>
      </c>
      <c r="E3766" t="str">
        <f>_xlfn.XLOOKUP(B3766,'2025-Q1'!$A$402:$A$448,'2025-Q1'!$A$402:$A$448,"avail")</f>
        <v>avail</v>
      </c>
      <c r="F3766" t="str">
        <f>_xlfn.XLOOKUP(B3766,'[2]!! -- Stock Universe 12.11.24'!$C$2:$C$1621,'[2]!! -- Stock Universe 12.11.24'!$E$2:$E$1621,"")</f>
        <v/>
      </c>
    </row>
    <row r="3767" spans="1:6" x14ac:dyDescent="0.25">
      <c r="A3767" s="140">
        <v>45727.291666666664</v>
      </c>
      <c r="B3767" t="s">
        <v>4181</v>
      </c>
      <c r="C3767" t="s">
        <v>3873</v>
      </c>
      <c r="D3767" s="6" t="str">
        <f>_xlfn.XLOOKUP(B3767,Indices!$A$2:$A$2676,Indices!$B$2:$B$2676,"")</f>
        <v/>
      </c>
      <c r="E3767" t="str">
        <f>_xlfn.XLOOKUP(B3767,'2025-Q1'!$A$402:$A$448,'2025-Q1'!$A$402:$A$448,"avail")</f>
        <v>avail</v>
      </c>
      <c r="F3767" t="str">
        <f>_xlfn.XLOOKUP(B3767,'[2]!! -- Stock Universe 12.11.24'!$C$2:$C$1621,'[2]!! -- Stock Universe 12.11.24'!$E$2:$E$1621,"")</f>
        <v>Consumer Cyclical</v>
      </c>
    </row>
    <row r="3768" spans="1:6" x14ac:dyDescent="0.25">
      <c r="A3768" s="140">
        <v>45727.291666666664</v>
      </c>
      <c r="B3768" t="s">
        <v>634</v>
      </c>
      <c r="C3768" t="s">
        <v>3873</v>
      </c>
      <c r="D3768" s="6" t="str">
        <f>_xlfn.XLOOKUP(B3768,Indices!$A$2:$A$2676,Indices!$B$2:$B$2676,"")</f>
        <v>IWM</v>
      </c>
      <c r="E3768" t="str">
        <f>_xlfn.XLOOKUP(B3768,'2025-Q1'!$A$402:$A$448,'2025-Q1'!$A$402:$A$448,"avail")</f>
        <v>avail</v>
      </c>
      <c r="F3768" t="str">
        <f>_xlfn.XLOOKUP(B3768,'[2]!! -- Stock Universe 12.11.24'!$C$2:$C$1621,'[2]!! -- Stock Universe 12.11.24'!$E$2:$E$1621,"")</f>
        <v>Industrials</v>
      </c>
    </row>
    <row r="3769" spans="1:6" x14ac:dyDescent="0.25">
      <c r="A3769" s="140">
        <v>45727.291666666664</v>
      </c>
      <c r="B3769" t="s">
        <v>3872</v>
      </c>
      <c r="C3769" t="s">
        <v>3873</v>
      </c>
      <c r="D3769" s="6" t="str">
        <f>_xlfn.XLOOKUP(B3769,Indices!$A$2:$A$2676,Indices!$B$2:$B$2676,"")</f>
        <v/>
      </c>
      <c r="E3769" t="str">
        <f>_xlfn.XLOOKUP(B3769,'2025-Q1'!$A$402:$A$448,'2025-Q1'!$A$402:$A$448,"avail")</f>
        <v>avail</v>
      </c>
      <c r="F3769" t="str">
        <f>_xlfn.XLOOKUP(B3769,'[2]!! -- Stock Universe 12.11.24'!$C$2:$C$1621,'[2]!! -- Stock Universe 12.11.24'!$E$2:$E$1621,"")</f>
        <v/>
      </c>
    </row>
    <row r="3770" spans="1:6" x14ac:dyDescent="0.25">
      <c r="A3770" s="140">
        <v>45727.291666666664</v>
      </c>
      <c r="B3770" t="s">
        <v>4145</v>
      </c>
      <c r="C3770" t="s">
        <v>3873</v>
      </c>
      <c r="D3770" s="6" t="str">
        <f>_xlfn.XLOOKUP(B3770,Indices!$A$2:$A$2676,Indices!$B$2:$B$2676,"")</f>
        <v/>
      </c>
      <c r="E3770" t="str">
        <f>_xlfn.XLOOKUP(B3770,'2025-Q1'!$A$402:$A$448,'2025-Q1'!$A$402:$A$448,"avail")</f>
        <v>avail</v>
      </c>
      <c r="F3770" t="str">
        <f>_xlfn.XLOOKUP(B3770,'[2]!! -- Stock Universe 12.11.24'!$C$2:$C$1621,'[2]!! -- Stock Universe 12.11.24'!$E$2:$E$1621,"")</f>
        <v/>
      </c>
    </row>
    <row r="3771" spans="1:6" x14ac:dyDescent="0.25">
      <c r="A3771" s="140">
        <v>45727.291666666664</v>
      </c>
      <c r="B3771" t="s">
        <v>3854</v>
      </c>
      <c r="C3771" t="s">
        <v>3873</v>
      </c>
      <c r="D3771" s="6" t="str">
        <f>_xlfn.XLOOKUP(B3771,Indices!$A$2:$A$2676,Indices!$B$2:$B$2676,"")</f>
        <v/>
      </c>
      <c r="E3771" t="str">
        <f>_xlfn.XLOOKUP(B3771,'2025-Q1'!$A$402:$A$448,'2025-Q1'!$A$402:$A$448,"avail")</f>
        <v>avail</v>
      </c>
      <c r="F3771" t="str">
        <f>_xlfn.XLOOKUP(B3771,'[2]!! -- Stock Universe 12.11.24'!$C$2:$C$1621,'[2]!! -- Stock Universe 12.11.24'!$E$2:$E$1621,"")</f>
        <v/>
      </c>
    </row>
    <row r="3772" spans="1:6" x14ac:dyDescent="0.25">
      <c r="A3772" s="140">
        <v>45727.291666666664</v>
      </c>
      <c r="B3772" t="s">
        <v>3899</v>
      </c>
      <c r="C3772" t="s">
        <v>3873</v>
      </c>
      <c r="D3772" s="6" t="str">
        <f>_xlfn.XLOOKUP(B3772,Indices!$A$2:$A$2676,Indices!$B$2:$B$2676,"")</f>
        <v/>
      </c>
      <c r="E3772" t="str">
        <f>_xlfn.XLOOKUP(B3772,'2025-Q1'!$A$402:$A$448,'2025-Q1'!$A$402:$A$448,"avail")</f>
        <v>avail</v>
      </c>
      <c r="F3772" t="str">
        <f>_xlfn.XLOOKUP(B3772,'[2]!! -- Stock Universe 12.11.24'!$C$2:$C$1621,'[2]!! -- Stock Universe 12.11.24'!$E$2:$E$1621,"")</f>
        <v/>
      </c>
    </row>
    <row r="3773" spans="1:6" x14ac:dyDescent="0.25">
      <c r="A3773" s="140">
        <v>45727.291666666664</v>
      </c>
      <c r="B3773" t="s">
        <v>4953</v>
      </c>
      <c r="C3773" t="s">
        <v>3873</v>
      </c>
      <c r="D3773" s="6" t="str">
        <f>_xlfn.XLOOKUP(B3773,Indices!$A$2:$A$2676,Indices!$B$2:$B$2676,"")</f>
        <v/>
      </c>
      <c r="E3773" t="str">
        <f>_xlfn.XLOOKUP(B3773,'2025-Q1'!$A$402:$A$448,'2025-Q1'!$A$402:$A$448,"avail")</f>
        <v>avail</v>
      </c>
      <c r="F3773" t="str">
        <f>_xlfn.XLOOKUP(B3773,'[2]!! -- Stock Universe 12.11.24'!$C$2:$C$1621,'[2]!! -- Stock Universe 12.11.24'!$E$2:$E$1621,"")</f>
        <v/>
      </c>
    </row>
    <row r="3774" spans="1:6" x14ac:dyDescent="0.25">
      <c r="A3774" s="140">
        <v>45727.291666666664</v>
      </c>
      <c r="B3774" t="s">
        <v>3629</v>
      </c>
      <c r="C3774" t="s">
        <v>3873</v>
      </c>
      <c r="D3774" s="6" t="str">
        <f>_xlfn.XLOOKUP(B3774,Indices!$A$2:$A$2676,Indices!$B$2:$B$2676,"")</f>
        <v/>
      </c>
      <c r="E3774" t="str">
        <f>_xlfn.XLOOKUP(B3774,'2025-Q1'!$A$402:$A$448,'2025-Q1'!$A$402:$A$448,"avail")</f>
        <v>avail</v>
      </c>
      <c r="F3774" t="str">
        <f>_xlfn.XLOOKUP(B3774,'[2]!! -- Stock Universe 12.11.24'!$C$2:$C$1621,'[2]!! -- Stock Universe 12.11.24'!$E$2:$E$1621,"")</f>
        <v/>
      </c>
    </row>
    <row r="3775" spans="1:6" x14ac:dyDescent="0.25">
      <c r="A3775" s="140">
        <v>45727.291666666664</v>
      </c>
      <c r="B3775" t="s">
        <v>3885</v>
      </c>
      <c r="C3775" t="s">
        <v>3873</v>
      </c>
      <c r="D3775" s="6" t="str">
        <f>_xlfn.XLOOKUP(B3775,Indices!$A$2:$A$2676,Indices!$B$2:$B$2676,"")</f>
        <v/>
      </c>
      <c r="E3775" t="str">
        <f>_xlfn.XLOOKUP(B3775,'2025-Q1'!$A$402:$A$448,'2025-Q1'!$A$402:$A$448,"avail")</f>
        <v>avail</v>
      </c>
      <c r="F3775" t="str">
        <f>_xlfn.XLOOKUP(B3775,'[2]!! -- Stock Universe 12.11.24'!$C$2:$C$1621,'[2]!! -- Stock Universe 12.11.24'!$E$2:$E$1621,"")</f>
        <v/>
      </c>
    </row>
    <row r="3776" spans="1:6" x14ac:dyDescent="0.25">
      <c r="A3776" s="140">
        <v>45727.291666666664</v>
      </c>
      <c r="B3776" t="s">
        <v>3896</v>
      </c>
      <c r="C3776" t="s">
        <v>3873</v>
      </c>
      <c r="D3776" s="6" t="str">
        <f>_xlfn.XLOOKUP(B3776,Indices!$A$2:$A$2676,Indices!$B$2:$B$2676,"")</f>
        <v/>
      </c>
      <c r="E3776" t="str">
        <f>_xlfn.XLOOKUP(B3776,'2025-Q1'!$A$402:$A$448,'2025-Q1'!$A$402:$A$448,"avail")</f>
        <v>avail</v>
      </c>
      <c r="F3776" t="str">
        <f>_xlfn.XLOOKUP(B3776,'[2]!! -- Stock Universe 12.11.24'!$C$2:$C$1621,'[2]!! -- Stock Universe 12.11.24'!$E$2:$E$1621,"")</f>
        <v/>
      </c>
    </row>
    <row r="3777" spans="1:6" x14ac:dyDescent="0.25">
      <c r="A3777" s="140">
        <v>45727.291666666664</v>
      </c>
      <c r="B3777" t="s">
        <v>3890</v>
      </c>
      <c r="C3777" t="s">
        <v>3891</v>
      </c>
      <c r="D3777" s="6" t="str">
        <f>_xlfn.XLOOKUP(B3777,Indices!$A$2:$A$2676,Indices!$B$2:$B$2676,"")</f>
        <v/>
      </c>
      <c r="E3777" t="str">
        <f>_xlfn.XLOOKUP(B3777,'2025-Q1'!$A$402:$A$448,'2025-Q1'!$A$402:$A$448,"avail")</f>
        <v>avail</v>
      </c>
      <c r="F3777" t="str">
        <f>_xlfn.XLOOKUP(B3777,'[2]!! -- Stock Universe 12.11.24'!$C$2:$C$1621,'[2]!! -- Stock Universe 12.11.24'!$E$2:$E$1621,"")</f>
        <v/>
      </c>
    </row>
    <row r="3778" spans="1:6" x14ac:dyDescent="0.25">
      <c r="A3778" s="140">
        <v>45727.291666666664</v>
      </c>
      <c r="B3778" t="s">
        <v>3875</v>
      </c>
      <c r="C3778" t="s">
        <v>3873</v>
      </c>
      <c r="D3778" s="6" t="str">
        <f>_xlfn.XLOOKUP(B3778,Indices!$A$2:$A$2676,Indices!$B$2:$B$2676,"")</f>
        <v/>
      </c>
      <c r="E3778" t="str">
        <f>_xlfn.XLOOKUP(B3778,'2025-Q1'!$A$402:$A$448,'2025-Q1'!$A$402:$A$448,"avail")</f>
        <v>avail</v>
      </c>
      <c r="F3778" t="str">
        <f>_xlfn.XLOOKUP(B3778,'[2]!! -- Stock Universe 12.11.24'!$C$2:$C$1621,'[2]!! -- Stock Universe 12.11.24'!$E$2:$E$1621,"")</f>
        <v>Industrials</v>
      </c>
    </row>
    <row r="3779" spans="1:6" x14ac:dyDescent="0.25">
      <c r="A3779" s="140">
        <v>45727.291666666664</v>
      </c>
      <c r="B3779" t="s">
        <v>3895</v>
      </c>
      <c r="C3779" t="s">
        <v>3891</v>
      </c>
      <c r="D3779" s="6" t="str">
        <f>_xlfn.XLOOKUP(B3779,Indices!$A$2:$A$2676,Indices!$B$2:$B$2676,"")</f>
        <v/>
      </c>
      <c r="E3779" t="str">
        <f>_xlfn.XLOOKUP(B3779,'2025-Q1'!$A$402:$A$448,'2025-Q1'!$A$402:$A$448,"avail")</f>
        <v>avail</v>
      </c>
      <c r="F3779" t="str">
        <f>_xlfn.XLOOKUP(B3779,'[2]!! -- Stock Universe 12.11.24'!$C$2:$C$1621,'[2]!! -- Stock Universe 12.11.24'!$E$2:$E$1621,"")</f>
        <v/>
      </c>
    </row>
    <row r="3780" spans="1:6" x14ac:dyDescent="0.25">
      <c r="A3780" s="140">
        <v>45727.291666666664</v>
      </c>
      <c r="B3780" t="s">
        <v>3901</v>
      </c>
      <c r="C3780" t="s">
        <v>3891</v>
      </c>
      <c r="D3780" s="6" t="str">
        <f>_xlfn.XLOOKUP(B3780,Indices!$A$2:$A$2676,Indices!$B$2:$B$2676,"")</f>
        <v/>
      </c>
      <c r="E3780" t="str">
        <f>_xlfn.XLOOKUP(B3780,'2025-Q1'!$A$402:$A$448,'2025-Q1'!$A$402:$A$448,"avail")</f>
        <v>avail</v>
      </c>
      <c r="F3780" t="str">
        <f>_xlfn.XLOOKUP(B3780,'[2]!! -- Stock Universe 12.11.24'!$C$2:$C$1621,'[2]!! -- Stock Universe 12.11.24'!$E$2:$E$1621,"")</f>
        <v/>
      </c>
    </row>
    <row r="3781" spans="1:6" x14ac:dyDescent="0.25">
      <c r="A3781" s="140">
        <v>45727.291666666664</v>
      </c>
      <c r="B3781" t="s">
        <v>3950</v>
      </c>
      <c r="C3781" t="s">
        <v>3873</v>
      </c>
      <c r="D3781" s="6" t="str">
        <f>_xlfn.XLOOKUP(B3781,Indices!$A$2:$A$2676,Indices!$B$2:$B$2676,"")</f>
        <v/>
      </c>
      <c r="E3781" t="str">
        <f>_xlfn.XLOOKUP(B3781,'2025-Q1'!$A$402:$A$448,'2025-Q1'!$A$402:$A$448,"avail")</f>
        <v>avail</v>
      </c>
      <c r="F3781" t="str">
        <f>_xlfn.XLOOKUP(B3781,'[2]!! -- Stock Universe 12.11.24'!$C$2:$C$1621,'[2]!! -- Stock Universe 12.11.24'!$E$2:$E$1621,"")</f>
        <v/>
      </c>
    </row>
    <row r="3782" spans="1:6" x14ac:dyDescent="0.25">
      <c r="A3782" s="140">
        <v>45727.291666666664</v>
      </c>
      <c r="B3782" t="s">
        <v>3384</v>
      </c>
      <c r="C3782" t="s">
        <v>3873</v>
      </c>
      <c r="D3782" s="6" t="str">
        <f>_xlfn.XLOOKUP(B3782,Indices!$A$2:$A$2676,Indices!$B$2:$B$2676,"")</f>
        <v/>
      </c>
      <c r="E3782" t="str">
        <f>_xlfn.XLOOKUP(B3782,'2025-Q1'!$A$402:$A$448,'2025-Q1'!$A$402:$A$448,"avail")</f>
        <v>avail</v>
      </c>
      <c r="F3782" t="str">
        <f>_xlfn.XLOOKUP(B3782,'[2]!! -- Stock Universe 12.11.24'!$C$2:$C$1621,'[2]!! -- Stock Universe 12.11.24'!$E$2:$E$1621,"")</f>
        <v/>
      </c>
    </row>
    <row r="3783" spans="1:6" x14ac:dyDescent="0.25">
      <c r="A3783" s="140">
        <v>45727.291666666664</v>
      </c>
      <c r="B3783" t="s">
        <v>5688</v>
      </c>
      <c r="C3783" t="s">
        <v>3873</v>
      </c>
      <c r="D3783" s="6" t="str">
        <f>_xlfn.XLOOKUP(B3783,Indices!$A$2:$A$2676,Indices!$B$2:$B$2676,"")</f>
        <v/>
      </c>
      <c r="E3783" t="str">
        <f>_xlfn.XLOOKUP(B3783,'2025-Q1'!$A$402:$A$448,'2025-Q1'!$A$402:$A$448,"avail")</f>
        <v>avail</v>
      </c>
      <c r="F3783" t="str">
        <f>_xlfn.XLOOKUP(B3783,'[2]!! -- Stock Universe 12.11.24'!$C$2:$C$1621,'[2]!! -- Stock Universe 12.11.24'!$E$2:$E$1621,"")</f>
        <v/>
      </c>
    </row>
    <row r="3784" spans="1:6" x14ac:dyDescent="0.25">
      <c r="A3784" s="140">
        <v>45727.291666666664</v>
      </c>
      <c r="B3784" t="s">
        <v>3902</v>
      </c>
      <c r="C3784" t="s">
        <v>3873</v>
      </c>
      <c r="D3784" s="6" t="str">
        <f>_xlfn.XLOOKUP(B3784,Indices!$A$2:$A$2676,Indices!$B$2:$B$2676,"")</f>
        <v/>
      </c>
      <c r="E3784" t="str">
        <f>_xlfn.XLOOKUP(B3784,'2025-Q1'!$A$402:$A$448,'2025-Q1'!$A$402:$A$448,"avail")</f>
        <v>avail</v>
      </c>
      <c r="F3784" t="str">
        <f>_xlfn.XLOOKUP(B3784,'[2]!! -- Stock Universe 12.11.24'!$C$2:$C$1621,'[2]!! -- Stock Universe 12.11.24'!$E$2:$E$1621,"")</f>
        <v>Healthcare</v>
      </c>
    </row>
    <row r="3785" spans="1:6" x14ac:dyDescent="0.25">
      <c r="A3785" s="140">
        <v>45727.291666666664</v>
      </c>
      <c r="B3785" t="s">
        <v>1256</v>
      </c>
      <c r="C3785" t="s">
        <v>3873</v>
      </c>
      <c r="D3785" s="6" t="str">
        <f>_xlfn.XLOOKUP(B3785,Indices!$A$2:$A$2676,Indices!$B$2:$B$2676,"")</f>
        <v>IWM</v>
      </c>
      <c r="E3785" t="str">
        <f>_xlfn.XLOOKUP(B3785,'2025-Q1'!$A$402:$A$448,'2025-Q1'!$A$402:$A$448,"avail")</f>
        <v>avail</v>
      </c>
      <c r="F3785" t="str">
        <f>_xlfn.XLOOKUP(B3785,'[2]!! -- Stock Universe 12.11.24'!$C$2:$C$1621,'[2]!! -- Stock Universe 12.11.24'!$E$2:$E$1621,"")</f>
        <v>Consumer Defensive</v>
      </c>
    </row>
    <row r="3786" spans="1:6" x14ac:dyDescent="0.25">
      <c r="A3786" s="140">
        <v>45727.291666666664</v>
      </c>
      <c r="B3786" t="s">
        <v>3903</v>
      </c>
      <c r="C3786" t="s">
        <v>3873</v>
      </c>
      <c r="D3786" s="6" t="str">
        <f>_xlfn.XLOOKUP(B3786,Indices!$A$2:$A$2676,Indices!$B$2:$B$2676,"")</f>
        <v/>
      </c>
      <c r="E3786" t="str">
        <f>_xlfn.XLOOKUP(B3786,'2025-Q1'!$A$402:$A$448,'2025-Q1'!$A$402:$A$448,"avail")</f>
        <v>avail</v>
      </c>
      <c r="F3786" t="str">
        <f>_xlfn.XLOOKUP(B3786,'[2]!! -- Stock Universe 12.11.24'!$C$2:$C$1621,'[2]!! -- Stock Universe 12.11.24'!$E$2:$E$1621,"")</f>
        <v/>
      </c>
    </row>
    <row r="3787" spans="1:6" x14ac:dyDescent="0.25">
      <c r="A3787" s="140">
        <v>45727.291666666664</v>
      </c>
      <c r="B3787" t="s">
        <v>3874</v>
      </c>
      <c r="C3787" t="s">
        <v>3873</v>
      </c>
      <c r="D3787" s="6" t="str">
        <f>_xlfn.XLOOKUP(B3787,Indices!$A$2:$A$2676,Indices!$B$2:$B$2676,"")</f>
        <v/>
      </c>
      <c r="E3787" t="str">
        <f>_xlfn.XLOOKUP(B3787,'2025-Q1'!$A$402:$A$448,'2025-Q1'!$A$402:$A$448,"avail")</f>
        <v>avail</v>
      </c>
      <c r="F3787" t="str">
        <f>_xlfn.XLOOKUP(B3787,'[2]!! -- Stock Universe 12.11.24'!$C$2:$C$1621,'[2]!! -- Stock Universe 12.11.24'!$E$2:$E$1621,"")</f>
        <v>Technology</v>
      </c>
    </row>
    <row r="3788" spans="1:6" x14ac:dyDescent="0.25">
      <c r="A3788" s="140">
        <v>45727.291666666664</v>
      </c>
      <c r="B3788" t="s">
        <v>4952</v>
      </c>
      <c r="C3788" t="s">
        <v>3873</v>
      </c>
      <c r="D3788" s="6" t="str">
        <f>_xlfn.XLOOKUP(B3788,Indices!$A$2:$A$2676,Indices!$B$2:$B$2676,"")</f>
        <v/>
      </c>
      <c r="E3788" t="str">
        <f>_xlfn.XLOOKUP(B3788,'2025-Q1'!$A$402:$A$448,'2025-Q1'!$A$402:$A$448,"avail")</f>
        <v>avail</v>
      </c>
      <c r="F3788" t="str">
        <f>_xlfn.XLOOKUP(B3788,'[2]!! -- Stock Universe 12.11.24'!$C$2:$C$1621,'[2]!! -- Stock Universe 12.11.24'!$E$2:$E$1621,"")</f>
        <v/>
      </c>
    </row>
    <row r="3789" spans="1:6" x14ac:dyDescent="0.25">
      <c r="A3789" s="140">
        <v>45727.291666666664</v>
      </c>
      <c r="B3789" t="s">
        <v>4131</v>
      </c>
      <c r="C3789" t="s">
        <v>3873</v>
      </c>
      <c r="D3789" s="6" t="str">
        <f>_xlfn.XLOOKUP(B3789,Indices!$A$2:$A$2676,Indices!$B$2:$B$2676,"")</f>
        <v/>
      </c>
      <c r="E3789" t="str">
        <f>_xlfn.XLOOKUP(B3789,'2025-Q1'!$A$402:$A$448,'2025-Q1'!$A$402:$A$448,"avail")</f>
        <v>avail</v>
      </c>
      <c r="F3789" t="str">
        <f>_xlfn.XLOOKUP(B3789,'[2]!! -- Stock Universe 12.11.24'!$C$2:$C$1621,'[2]!! -- Stock Universe 12.11.24'!$E$2:$E$1621,"")</f>
        <v/>
      </c>
    </row>
    <row r="3790" spans="1:6" x14ac:dyDescent="0.25">
      <c r="A3790" s="140">
        <v>45727.291666666664</v>
      </c>
      <c r="B3790" t="s">
        <v>3881</v>
      </c>
      <c r="C3790" t="s">
        <v>3873</v>
      </c>
      <c r="D3790" s="6" t="str">
        <f>_xlfn.XLOOKUP(B3790,Indices!$A$2:$A$2676,Indices!$B$2:$B$2676,"")</f>
        <v/>
      </c>
      <c r="E3790" t="str">
        <f>_xlfn.XLOOKUP(B3790,'2025-Q1'!$A$402:$A$448,'2025-Q1'!$A$402:$A$448,"avail")</f>
        <v>avail</v>
      </c>
      <c r="F3790" t="str">
        <f>_xlfn.XLOOKUP(B3790,'[2]!! -- Stock Universe 12.11.24'!$C$2:$C$1621,'[2]!! -- Stock Universe 12.11.24'!$E$2:$E$1621,"")</f>
        <v/>
      </c>
    </row>
    <row r="3791" spans="1:6" x14ac:dyDescent="0.25">
      <c r="A3791" s="140">
        <v>45727.291666666664</v>
      </c>
      <c r="B3791" t="s">
        <v>3443</v>
      </c>
      <c r="C3791" t="s">
        <v>3873</v>
      </c>
      <c r="D3791" s="6" t="str">
        <f>_xlfn.XLOOKUP(B3791,Indices!$A$2:$A$2676,Indices!$B$2:$B$2676,"")</f>
        <v/>
      </c>
      <c r="E3791" t="str">
        <f>_xlfn.XLOOKUP(B3791,'2025-Q1'!$A$402:$A$448,'2025-Q1'!$A$402:$A$448,"avail")</f>
        <v>avail</v>
      </c>
      <c r="F3791" t="str">
        <f>_xlfn.XLOOKUP(B3791,'[2]!! -- Stock Universe 12.11.24'!$C$2:$C$1621,'[2]!! -- Stock Universe 12.11.24'!$E$2:$E$1621,"")</f>
        <v/>
      </c>
    </row>
    <row r="3792" spans="1:6" x14ac:dyDescent="0.25">
      <c r="A3792" s="140">
        <v>45727.291666666664</v>
      </c>
      <c r="B3792" t="s">
        <v>3878</v>
      </c>
      <c r="C3792" t="s">
        <v>3873</v>
      </c>
      <c r="D3792" s="6" t="str">
        <f>_xlfn.XLOOKUP(B3792,Indices!$A$2:$A$2676,Indices!$B$2:$B$2676,"")</f>
        <v/>
      </c>
      <c r="E3792" t="str">
        <f>_xlfn.XLOOKUP(B3792,'2025-Q1'!$A$402:$A$448,'2025-Q1'!$A$402:$A$448,"avail")</f>
        <v>avail</v>
      </c>
      <c r="F3792" t="str">
        <f>_xlfn.XLOOKUP(B3792,'[2]!! -- Stock Universe 12.11.24'!$C$2:$C$1621,'[2]!! -- Stock Universe 12.11.24'!$E$2:$E$1621,"")</f>
        <v/>
      </c>
    </row>
    <row r="3793" spans="1:6" x14ac:dyDescent="0.25">
      <c r="A3793" s="140">
        <v>45727.291666666664</v>
      </c>
      <c r="B3793" t="s">
        <v>3876</v>
      </c>
      <c r="C3793" t="s">
        <v>3873</v>
      </c>
      <c r="D3793" s="6" t="str">
        <f>_xlfn.XLOOKUP(B3793,Indices!$A$2:$A$2676,Indices!$B$2:$B$2676,"")</f>
        <v/>
      </c>
      <c r="E3793" t="str">
        <f>_xlfn.XLOOKUP(B3793,'2025-Q1'!$A$402:$A$448,'2025-Q1'!$A$402:$A$448,"avail")</f>
        <v>avail</v>
      </c>
      <c r="F3793" t="str">
        <f>_xlfn.XLOOKUP(B3793,'[2]!! -- Stock Universe 12.11.24'!$C$2:$C$1621,'[2]!! -- Stock Universe 12.11.24'!$E$2:$E$1621,"")</f>
        <v>Healthcare</v>
      </c>
    </row>
    <row r="3794" spans="1:6" x14ac:dyDescent="0.25">
      <c r="A3794" s="140">
        <v>45727.291666666664</v>
      </c>
      <c r="B3794" t="s">
        <v>4217</v>
      </c>
      <c r="C3794" t="s">
        <v>3873</v>
      </c>
      <c r="D3794" s="6" t="str">
        <f>_xlfn.XLOOKUP(B3794,Indices!$A$2:$A$2676,Indices!$B$2:$B$2676,"")</f>
        <v/>
      </c>
      <c r="E3794" t="str">
        <f>_xlfn.XLOOKUP(B3794,'2025-Q1'!$A$402:$A$448,'2025-Q1'!$A$402:$A$448,"avail")</f>
        <v>avail</v>
      </c>
      <c r="F3794" t="str">
        <f>_xlfn.XLOOKUP(B3794,'[2]!! -- Stock Universe 12.11.24'!$C$2:$C$1621,'[2]!! -- Stock Universe 12.11.24'!$E$2:$E$1621,"")</f>
        <v/>
      </c>
    </row>
    <row r="3795" spans="1:6" x14ac:dyDescent="0.25">
      <c r="A3795" s="140">
        <v>45727.291666666664</v>
      </c>
      <c r="B3795" t="s">
        <v>3853</v>
      </c>
      <c r="C3795" t="s">
        <v>3873</v>
      </c>
      <c r="D3795" s="6" t="str">
        <f>_xlfn.XLOOKUP(B3795,Indices!$A$2:$A$2676,Indices!$B$2:$B$2676,"")</f>
        <v/>
      </c>
      <c r="E3795" t="str">
        <f>_xlfn.XLOOKUP(B3795,'2025-Q1'!$A$402:$A$448,'2025-Q1'!$A$402:$A$448,"avail")</f>
        <v>avail</v>
      </c>
      <c r="F3795" t="str">
        <f>_xlfn.XLOOKUP(B3795,'[2]!! -- Stock Universe 12.11.24'!$C$2:$C$1621,'[2]!! -- Stock Universe 12.11.24'!$E$2:$E$1621,"")</f>
        <v/>
      </c>
    </row>
    <row r="3796" spans="1:6" x14ac:dyDescent="0.25">
      <c r="A3796" s="140">
        <v>45727.291666666664</v>
      </c>
      <c r="B3796" t="s">
        <v>1047</v>
      </c>
      <c r="C3796" t="s">
        <v>3873</v>
      </c>
      <c r="D3796" s="6" t="str">
        <f>_xlfn.XLOOKUP(B3796,Indices!$A$2:$A$2676,Indices!$B$2:$B$2676,"")</f>
        <v>IWM</v>
      </c>
      <c r="E3796" t="str">
        <f>_xlfn.XLOOKUP(B3796,'2025-Q1'!$A$402:$A$448,'2025-Q1'!$A$402:$A$448,"avail")</f>
        <v>avail</v>
      </c>
      <c r="F3796" t="str">
        <f>_xlfn.XLOOKUP(B3796,'[2]!! -- Stock Universe 12.11.24'!$C$2:$C$1621,'[2]!! -- Stock Universe 12.11.24'!$E$2:$E$1621,"")</f>
        <v>Consumer Defensive</v>
      </c>
    </row>
    <row r="3797" spans="1:6" x14ac:dyDescent="0.25">
      <c r="A3797" s="140">
        <v>45727.291666666664</v>
      </c>
      <c r="B3797" t="s">
        <v>3889</v>
      </c>
      <c r="C3797" t="s">
        <v>3873</v>
      </c>
      <c r="D3797" s="6" t="str">
        <f>_xlfn.XLOOKUP(B3797,Indices!$A$2:$A$2676,Indices!$B$2:$B$2676,"")</f>
        <v/>
      </c>
      <c r="E3797" t="str">
        <f>_xlfn.XLOOKUP(B3797,'2025-Q1'!$A$402:$A$448,'2025-Q1'!$A$402:$A$448,"avail")</f>
        <v>avail</v>
      </c>
      <c r="F3797" t="str">
        <f>_xlfn.XLOOKUP(B3797,'[2]!! -- Stock Universe 12.11.24'!$C$2:$C$1621,'[2]!! -- Stock Universe 12.11.24'!$E$2:$E$1621,"")</f>
        <v/>
      </c>
    </row>
    <row r="3798" spans="1:6" x14ac:dyDescent="0.25">
      <c r="A3798" s="140">
        <v>45727.291666666664</v>
      </c>
      <c r="B3798" t="s">
        <v>3883</v>
      </c>
      <c r="C3798" t="s">
        <v>3873</v>
      </c>
      <c r="D3798" s="6" t="str">
        <f>_xlfn.XLOOKUP(B3798,Indices!$A$2:$A$2676,Indices!$B$2:$B$2676,"")</f>
        <v/>
      </c>
      <c r="E3798" t="str">
        <f>_xlfn.XLOOKUP(B3798,'2025-Q1'!$A$402:$A$448,'2025-Q1'!$A$402:$A$448,"avail")</f>
        <v>avail</v>
      </c>
      <c r="F3798" t="str">
        <f>_xlfn.XLOOKUP(B3798,'[2]!! -- Stock Universe 12.11.24'!$C$2:$C$1621,'[2]!! -- Stock Universe 12.11.24'!$E$2:$E$1621,"")</f>
        <v/>
      </c>
    </row>
    <row r="3799" spans="1:6" x14ac:dyDescent="0.25">
      <c r="A3799" s="140">
        <v>45727.291666666664</v>
      </c>
      <c r="B3799" t="s">
        <v>3681</v>
      </c>
      <c r="C3799" t="s">
        <v>3873</v>
      </c>
      <c r="D3799" s="6" t="str">
        <f>_xlfn.XLOOKUP(B3799,Indices!$A$2:$A$2676,Indices!$B$2:$B$2676,"")</f>
        <v/>
      </c>
      <c r="E3799" t="str">
        <f>_xlfn.XLOOKUP(B3799,'2025-Q1'!$A$402:$A$448,'2025-Q1'!$A$402:$A$448,"avail")</f>
        <v>avail</v>
      </c>
      <c r="F3799" t="str">
        <f>_xlfn.XLOOKUP(B3799,'[2]!! -- Stock Universe 12.11.24'!$C$2:$C$1621,'[2]!! -- Stock Universe 12.11.24'!$E$2:$E$1621,"")</f>
        <v/>
      </c>
    </row>
    <row r="3800" spans="1:6" x14ac:dyDescent="0.25">
      <c r="A3800" s="140">
        <v>45727.291666666664</v>
      </c>
      <c r="B3800" t="s">
        <v>3884</v>
      </c>
      <c r="C3800" t="s">
        <v>3873</v>
      </c>
      <c r="D3800" s="6" t="str">
        <f>_xlfn.XLOOKUP(B3800,Indices!$A$2:$A$2676,Indices!$B$2:$B$2676,"")</f>
        <v/>
      </c>
      <c r="E3800" t="str">
        <f>_xlfn.XLOOKUP(B3800,'2025-Q1'!$A$402:$A$448,'2025-Q1'!$A$402:$A$448,"avail")</f>
        <v>avail</v>
      </c>
      <c r="F3800" t="str">
        <f>_xlfn.XLOOKUP(B3800,'[2]!! -- Stock Universe 12.11.24'!$C$2:$C$1621,'[2]!! -- Stock Universe 12.11.24'!$E$2:$E$1621,"")</f>
        <v/>
      </c>
    </row>
    <row r="3801" spans="1:6" x14ac:dyDescent="0.25">
      <c r="A3801" s="140">
        <v>45727.458333333336</v>
      </c>
      <c r="B3801" t="s">
        <v>646</v>
      </c>
      <c r="C3801" t="s">
        <v>3905</v>
      </c>
      <c r="D3801" s="6" t="str">
        <f>_xlfn.XLOOKUP(B3801,Indices!$A$2:$A$2676,Indices!$B$2:$B$2676,"")</f>
        <v>IWM</v>
      </c>
      <c r="E3801" t="str">
        <f>_xlfn.XLOOKUP(B3801,'2025-Q1'!$A$402:$A$448,'2025-Q1'!$A$402:$A$448,"avail")</f>
        <v>avail</v>
      </c>
      <c r="F3801" t="str">
        <f>_xlfn.XLOOKUP(B3801,'[2]!! -- Stock Universe 12.11.24'!$C$2:$C$1621,'[2]!! -- Stock Universe 12.11.24'!$E$2:$E$1621,"")</f>
        <v/>
      </c>
    </row>
    <row r="3802" spans="1:6" x14ac:dyDescent="0.25">
      <c r="A3802" s="140">
        <v>45727.625</v>
      </c>
      <c r="B3802" t="s">
        <v>1250</v>
      </c>
      <c r="C3802" t="s">
        <v>3907</v>
      </c>
      <c r="D3802" s="6" t="str">
        <f>_xlfn.XLOOKUP(B3802,Indices!$A$2:$A$2676,Indices!$B$2:$B$2676,"")</f>
        <v>IWM</v>
      </c>
      <c r="E3802" t="str">
        <f>_xlfn.XLOOKUP(B3802,'2025-Q1'!$A$402:$A$448,'2025-Q1'!$A$402:$A$448,"avail")</f>
        <v>avail</v>
      </c>
      <c r="F3802" t="str">
        <f>_xlfn.XLOOKUP(B3802,'[2]!! -- Stock Universe 12.11.24'!$C$2:$C$1621,'[2]!! -- Stock Universe 12.11.24'!$E$2:$E$1621,"")</f>
        <v/>
      </c>
    </row>
    <row r="3803" spans="1:6" x14ac:dyDescent="0.25">
      <c r="A3803" s="140">
        <v>45727.625</v>
      </c>
      <c r="B3803" t="s">
        <v>3923</v>
      </c>
      <c r="C3803" t="s">
        <v>3907</v>
      </c>
      <c r="D3803" s="6" t="str">
        <f>_xlfn.XLOOKUP(B3803,Indices!$A$2:$A$2676,Indices!$B$2:$B$2676,"")</f>
        <v/>
      </c>
      <c r="E3803" t="str">
        <f>_xlfn.XLOOKUP(B3803,'2025-Q1'!$A$402:$A$448,'2025-Q1'!$A$402:$A$448,"avail")</f>
        <v>avail</v>
      </c>
      <c r="F3803" t="str">
        <f>_xlfn.XLOOKUP(B3803,'[2]!! -- Stock Universe 12.11.24'!$C$2:$C$1621,'[2]!! -- Stock Universe 12.11.24'!$E$2:$E$1621,"")</f>
        <v/>
      </c>
    </row>
    <row r="3804" spans="1:6" x14ac:dyDescent="0.25">
      <c r="A3804" s="140">
        <v>45727.625</v>
      </c>
      <c r="B3804" t="s">
        <v>3929</v>
      </c>
      <c r="C3804" t="s">
        <v>3907</v>
      </c>
      <c r="D3804" s="6" t="str">
        <f>_xlfn.XLOOKUP(B3804,Indices!$A$2:$A$2676,Indices!$B$2:$B$2676,"")</f>
        <v/>
      </c>
      <c r="E3804" t="str">
        <f>_xlfn.XLOOKUP(B3804,'2025-Q1'!$A$402:$A$448,'2025-Q1'!$A$402:$A$448,"avail")</f>
        <v>avail</v>
      </c>
      <c r="F3804" t="str">
        <f>_xlfn.XLOOKUP(B3804,'[2]!! -- Stock Universe 12.11.24'!$C$2:$C$1621,'[2]!! -- Stock Universe 12.11.24'!$E$2:$E$1621,"")</f>
        <v/>
      </c>
    </row>
    <row r="3805" spans="1:6" x14ac:dyDescent="0.25">
      <c r="A3805" s="140">
        <v>45727.625</v>
      </c>
      <c r="B3805" t="s">
        <v>3711</v>
      </c>
      <c r="C3805" t="s">
        <v>3907</v>
      </c>
      <c r="D3805" s="6" t="str">
        <f>_xlfn.XLOOKUP(B3805,Indices!$A$2:$A$2676,Indices!$B$2:$B$2676,"")</f>
        <v/>
      </c>
      <c r="E3805" t="str">
        <f>_xlfn.XLOOKUP(B3805,'2025-Q1'!$A$402:$A$448,'2025-Q1'!$A$402:$A$448,"avail")</f>
        <v>avail</v>
      </c>
      <c r="F3805" t="str">
        <f>_xlfn.XLOOKUP(B3805,'[2]!! -- Stock Universe 12.11.24'!$C$2:$C$1621,'[2]!! -- Stock Universe 12.11.24'!$E$2:$E$1621,"")</f>
        <v>Financial</v>
      </c>
    </row>
    <row r="3806" spans="1:6" x14ac:dyDescent="0.25">
      <c r="A3806" s="140">
        <v>45727.625</v>
      </c>
      <c r="B3806" t="s">
        <v>271</v>
      </c>
      <c r="C3806" t="s">
        <v>3907</v>
      </c>
      <c r="D3806" s="6" t="str">
        <f>_xlfn.XLOOKUP(B3806,Indices!$A$2:$A$2676,Indices!$B$2:$B$2676,"")</f>
        <v>IWM</v>
      </c>
      <c r="E3806" t="str">
        <f>_xlfn.XLOOKUP(B3806,'2025-Q1'!$A$402:$A$448,'2025-Q1'!$A$402:$A$448,"avail")</f>
        <v>avail</v>
      </c>
      <c r="F3806" t="str">
        <f>_xlfn.XLOOKUP(B3806,'[2]!! -- Stock Universe 12.11.24'!$C$2:$C$1621,'[2]!! -- Stock Universe 12.11.24'!$E$2:$E$1621,"")</f>
        <v>Consumer Cyclical</v>
      </c>
    </row>
    <row r="3807" spans="1:6" x14ac:dyDescent="0.25">
      <c r="A3807" s="140">
        <v>45727.625</v>
      </c>
      <c r="B3807" t="s">
        <v>4306</v>
      </c>
      <c r="C3807" t="s">
        <v>3907</v>
      </c>
      <c r="D3807" s="6" t="str">
        <f>_xlfn.XLOOKUP(B3807,Indices!$A$2:$A$2676,Indices!$B$2:$B$2676,"")</f>
        <v/>
      </c>
      <c r="E3807" t="str">
        <f>_xlfn.XLOOKUP(B3807,'2025-Q1'!$A$402:$A$448,'2025-Q1'!$A$402:$A$448,"avail")</f>
        <v>avail</v>
      </c>
      <c r="F3807" t="str">
        <f>_xlfn.XLOOKUP(B3807,'[2]!! -- Stock Universe 12.11.24'!$C$2:$C$1621,'[2]!! -- Stock Universe 12.11.24'!$E$2:$E$1621,"")</f>
        <v/>
      </c>
    </row>
    <row r="3808" spans="1:6" x14ac:dyDescent="0.25">
      <c r="A3808" s="140">
        <v>45727.625</v>
      </c>
      <c r="B3808" t="s">
        <v>3256</v>
      </c>
      <c r="C3808" t="s">
        <v>3907</v>
      </c>
      <c r="D3808" s="6" t="str">
        <f>_xlfn.XLOOKUP(B3808,Indices!$A$2:$A$2676,Indices!$B$2:$B$2676,"")</f>
        <v/>
      </c>
      <c r="E3808" t="str">
        <f>_xlfn.XLOOKUP(B3808,'2025-Q1'!$A$402:$A$448,'2025-Q1'!$A$402:$A$448,"avail")</f>
        <v>avail</v>
      </c>
      <c r="F3808" t="str">
        <f>_xlfn.XLOOKUP(B3808,'[2]!! -- Stock Universe 12.11.24'!$C$2:$C$1621,'[2]!! -- Stock Universe 12.11.24'!$E$2:$E$1621,"")</f>
        <v>Communication Services</v>
      </c>
    </row>
    <row r="3809" spans="1:6" x14ac:dyDescent="0.25">
      <c r="A3809" s="140">
        <v>45727.625</v>
      </c>
      <c r="B3809" t="s">
        <v>3933</v>
      </c>
      <c r="C3809" t="s">
        <v>3907</v>
      </c>
      <c r="D3809" s="6" t="str">
        <f>_xlfn.XLOOKUP(B3809,Indices!$A$2:$A$2676,Indices!$B$2:$B$2676,"")</f>
        <v/>
      </c>
      <c r="E3809" t="str">
        <f>_xlfn.XLOOKUP(B3809,'2025-Q1'!$A$402:$A$448,'2025-Q1'!$A$402:$A$448,"avail")</f>
        <v>avail</v>
      </c>
      <c r="F3809" t="str">
        <f>_xlfn.XLOOKUP(B3809,'[2]!! -- Stock Universe 12.11.24'!$C$2:$C$1621,'[2]!! -- Stock Universe 12.11.24'!$E$2:$E$1621,"")</f>
        <v/>
      </c>
    </row>
    <row r="3810" spans="1:6" x14ac:dyDescent="0.25">
      <c r="A3810" s="140">
        <v>45727.625</v>
      </c>
      <c r="B3810" t="s">
        <v>1206</v>
      </c>
      <c r="C3810" t="s">
        <v>3907</v>
      </c>
      <c r="D3810" s="6" t="str">
        <f>_xlfn.XLOOKUP(B3810,Indices!$A$2:$A$2676,Indices!$B$2:$B$2676,"")</f>
        <v>S&amp;P Mid</v>
      </c>
      <c r="E3810" t="str">
        <f>_xlfn.XLOOKUP(B3810,'2025-Q1'!$A$402:$A$448,'2025-Q1'!$A$402:$A$448,"avail")</f>
        <v>avail</v>
      </c>
      <c r="F3810" t="str">
        <f>_xlfn.XLOOKUP(B3810,'[2]!! -- Stock Universe 12.11.24'!$C$2:$C$1621,'[2]!! -- Stock Universe 12.11.24'!$E$2:$E$1621,"")</f>
        <v/>
      </c>
    </row>
    <row r="3811" spans="1:6" x14ac:dyDescent="0.25">
      <c r="A3811" s="140">
        <v>45727.625</v>
      </c>
      <c r="B3811" t="s">
        <v>397</v>
      </c>
      <c r="C3811" t="s">
        <v>3907</v>
      </c>
      <c r="D3811" s="6" t="str">
        <f>_xlfn.XLOOKUP(B3811,Indices!$A$2:$A$2676,Indices!$B$2:$B$2676,"")</f>
        <v>IWM</v>
      </c>
      <c r="E3811" t="str">
        <f>_xlfn.XLOOKUP(B3811,'2025-Q1'!$A$402:$A$448,'2025-Q1'!$A$402:$A$448,"avail")</f>
        <v>avail</v>
      </c>
      <c r="F3811" t="str">
        <f>_xlfn.XLOOKUP(B3811,'[2]!! -- Stock Universe 12.11.24'!$C$2:$C$1621,'[2]!! -- Stock Universe 12.11.24'!$E$2:$E$1621,"")</f>
        <v>Healthcare</v>
      </c>
    </row>
    <row r="3812" spans="1:6" x14ac:dyDescent="0.25">
      <c r="A3812" s="140">
        <v>45727.625</v>
      </c>
      <c r="B3812" t="s">
        <v>4224</v>
      </c>
      <c r="C3812" t="s">
        <v>3907</v>
      </c>
      <c r="D3812" s="6" t="str">
        <f>_xlfn.XLOOKUP(B3812,Indices!$A$2:$A$2676,Indices!$B$2:$B$2676,"")</f>
        <v/>
      </c>
      <c r="E3812" t="str">
        <f>_xlfn.XLOOKUP(B3812,'2025-Q1'!$A$402:$A$448,'2025-Q1'!$A$402:$A$448,"avail")</f>
        <v>avail</v>
      </c>
      <c r="F3812" t="str">
        <f>_xlfn.XLOOKUP(B3812,'[2]!! -- Stock Universe 12.11.24'!$C$2:$C$1621,'[2]!! -- Stock Universe 12.11.24'!$E$2:$E$1621,"")</f>
        <v/>
      </c>
    </row>
    <row r="3813" spans="1:6" x14ac:dyDescent="0.25">
      <c r="A3813" s="140">
        <v>45727.625</v>
      </c>
      <c r="B3813" t="s">
        <v>2784</v>
      </c>
      <c r="C3813" t="s">
        <v>3907</v>
      </c>
      <c r="D3813" s="6" t="str">
        <f>_xlfn.XLOOKUP(B3813,Indices!$A$2:$A$2676,Indices!$B$2:$B$2676,"")</f>
        <v/>
      </c>
      <c r="E3813" t="str">
        <f>_xlfn.XLOOKUP(B3813,'2025-Q1'!$A$402:$A$448,'2025-Q1'!$A$402:$A$448,"avail")</f>
        <v>avail</v>
      </c>
      <c r="F3813" t="str">
        <f>_xlfn.XLOOKUP(B3813,'[2]!! -- Stock Universe 12.11.24'!$C$2:$C$1621,'[2]!! -- Stock Universe 12.11.24'!$E$2:$E$1621,"")</f>
        <v/>
      </c>
    </row>
    <row r="3814" spans="1:6" x14ac:dyDescent="0.25">
      <c r="A3814" s="140">
        <v>45727.625</v>
      </c>
      <c r="B3814" t="s">
        <v>2790</v>
      </c>
      <c r="C3814" t="s">
        <v>3907</v>
      </c>
      <c r="D3814" s="6" t="str">
        <f>_xlfn.XLOOKUP(B3814,Indices!$A$2:$A$2676,Indices!$B$2:$B$2676,"")</f>
        <v/>
      </c>
      <c r="E3814" t="str">
        <f>_xlfn.XLOOKUP(B3814,'2025-Q1'!$A$402:$A$448,'2025-Q1'!$A$402:$A$448,"avail")</f>
        <v>avail</v>
      </c>
      <c r="F3814" t="str">
        <f>_xlfn.XLOOKUP(B3814,'[2]!! -- Stock Universe 12.11.24'!$C$2:$C$1621,'[2]!! -- Stock Universe 12.11.24'!$E$2:$E$1621,"")</f>
        <v/>
      </c>
    </row>
    <row r="3815" spans="1:6" x14ac:dyDescent="0.25">
      <c r="A3815" s="140">
        <v>45727.625</v>
      </c>
      <c r="B3815" t="s">
        <v>3917</v>
      </c>
      <c r="C3815" t="s">
        <v>3907</v>
      </c>
      <c r="D3815" s="6" t="str">
        <f>_xlfn.XLOOKUP(B3815,Indices!$A$2:$A$2676,Indices!$B$2:$B$2676,"")</f>
        <v/>
      </c>
      <c r="E3815" t="str">
        <f>_xlfn.XLOOKUP(B3815,'2025-Q1'!$A$402:$A$448,'2025-Q1'!$A$402:$A$448,"avail")</f>
        <v>avail</v>
      </c>
      <c r="F3815" t="str">
        <f>_xlfn.XLOOKUP(B3815,'[2]!! -- Stock Universe 12.11.24'!$C$2:$C$1621,'[2]!! -- Stock Universe 12.11.24'!$E$2:$E$1621,"")</f>
        <v/>
      </c>
    </row>
    <row r="3816" spans="1:6" x14ac:dyDescent="0.25">
      <c r="A3816" s="140">
        <v>45727.625</v>
      </c>
      <c r="B3816" t="s">
        <v>409</v>
      </c>
      <c r="C3816" t="s">
        <v>3907</v>
      </c>
      <c r="D3816" s="6" t="str">
        <f>_xlfn.XLOOKUP(B3816,Indices!$A$2:$A$2676,Indices!$B$2:$B$2676,"")</f>
        <v>IWM</v>
      </c>
      <c r="E3816" t="str">
        <f>_xlfn.XLOOKUP(B3816,'2025-Q1'!$A$402:$A$448,'2025-Q1'!$A$402:$A$448,"avail")</f>
        <v>avail</v>
      </c>
      <c r="F3816" t="str">
        <f>_xlfn.XLOOKUP(B3816,'[2]!! -- Stock Universe 12.11.24'!$C$2:$C$1621,'[2]!! -- Stock Universe 12.11.24'!$E$2:$E$1621,"")</f>
        <v/>
      </c>
    </row>
    <row r="3817" spans="1:6" x14ac:dyDescent="0.25">
      <c r="A3817" s="140">
        <v>45727.625</v>
      </c>
      <c r="B3817" t="s">
        <v>735</v>
      </c>
      <c r="C3817" t="s">
        <v>3907</v>
      </c>
      <c r="D3817" s="6" t="str">
        <f>_xlfn.XLOOKUP(B3817,Indices!$A$2:$A$2676,Indices!$B$2:$B$2676,"")</f>
        <v>IWM</v>
      </c>
      <c r="E3817" t="str">
        <f>_xlfn.XLOOKUP(B3817,'2025-Q1'!$A$402:$A$448,'2025-Q1'!$A$402:$A$448,"avail")</f>
        <v>avail</v>
      </c>
      <c r="F3817" t="str">
        <f>_xlfn.XLOOKUP(B3817,'[2]!! -- Stock Universe 12.11.24'!$C$2:$C$1621,'[2]!! -- Stock Universe 12.11.24'!$E$2:$E$1621,"")</f>
        <v/>
      </c>
    </row>
    <row r="3818" spans="1:6" x14ac:dyDescent="0.25">
      <c r="A3818" s="140">
        <v>45727.625</v>
      </c>
      <c r="B3818" t="s">
        <v>3924</v>
      </c>
      <c r="C3818" t="s">
        <v>3907</v>
      </c>
      <c r="D3818" s="6" t="str">
        <f>_xlfn.XLOOKUP(B3818,Indices!$A$2:$A$2676,Indices!$B$2:$B$2676,"")</f>
        <v/>
      </c>
      <c r="E3818" t="str">
        <f>_xlfn.XLOOKUP(B3818,'2025-Q1'!$A$402:$A$448,'2025-Q1'!$A$402:$A$448,"avail")</f>
        <v>avail</v>
      </c>
      <c r="F3818" t="str">
        <f>_xlfn.XLOOKUP(B3818,'[2]!! -- Stock Universe 12.11.24'!$C$2:$C$1621,'[2]!! -- Stock Universe 12.11.24'!$E$2:$E$1621,"")</f>
        <v/>
      </c>
    </row>
    <row r="3819" spans="1:6" x14ac:dyDescent="0.25">
      <c r="A3819" s="140">
        <v>45727.625</v>
      </c>
      <c r="B3819" t="s">
        <v>332</v>
      </c>
      <c r="C3819" t="s">
        <v>3907</v>
      </c>
      <c r="D3819" s="6" t="str">
        <f>_xlfn.XLOOKUP(B3819,Indices!$A$2:$A$2676,Indices!$B$2:$B$2676,"")</f>
        <v>IWM</v>
      </c>
      <c r="E3819" t="str">
        <f>_xlfn.XLOOKUP(B3819,'2025-Q1'!$A$402:$A$448,'2025-Q1'!$A$402:$A$448,"avail")</f>
        <v>avail</v>
      </c>
      <c r="F3819" t="str">
        <f>_xlfn.XLOOKUP(B3819,'[2]!! -- Stock Universe 12.11.24'!$C$2:$C$1621,'[2]!! -- Stock Universe 12.11.24'!$E$2:$E$1621,"")</f>
        <v/>
      </c>
    </row>
    <row r="3820" spans="1:6" x14ac:dyDescent="0.25">
      <c r="A3820" s="140">
        <v>45727.625</v>
      </c>
      <c r="B3820" t="s">
        <v>955</v>
      </c>
      <c r="C3820" t="s">
        <v>3907</v>
      </c>
      <c r="D3820" s="6" t="str">
        <f>_xlfn.XLOOKUP(B3820,Indices!$A$2:$A$2676,Indices!$B$2:$B$2676,"")</f>
        <v>IWM</v>
      </c>
      <c r="E3820" t="str">
        <f>_xlfn.XLOOKUP(B3820,'2025-Q1'!$A$402:$A$448,'2025-Q1'!$A$402:$A$448,"avail")</f>
        <v>avail</v>
      </c>
      <c r="F3820" t="str">
        <f>_xlfn.XLOOKUP(B3820,'[2]!! -- Stock Universe 12.11.24'!$C$2:$C$1621,'[2]!! -- Stock Universe 12.11.24'!$E$2:$E$1621,"")</f>
        <v>Healthcare</v>
      </c>
    </row>
    <row r="3821" spans="1:6" x14ac:dyDescent="0.25">
      <c r="A3821" s="140">
        <v>45727.625</v>
      </c>
      <c r="B3821" t="s">
        <v>3922</v>
      </c>
      <c r="C3821" t="s">
        <v>3907</v>
      </c>
      <c r="D3821" s="6" t="str">
        <f>_xlfn.XLOOKUP(B3821,Indices!$A$2:$A$2676,Indices!$B$2:$B$2676,"")</f>
        <v/>
      </c>
      <c r="E3821" t="str">
        <f>_xlfn.XLOOKUP(B3821,'2025-Q1'!$A$402:$A$448,'2025-Q1'!$A$402:$A$448,"avail")</f>
        <v>avail</v>
      </c>
      <c r="F3821" t="str">
        <f>_xlfn.XLOOKUP(B3821,'[2]!! -- Stock Universe 12.11.24'!$C$2:$C$1621,'[2]!! -- Stock Universe 12.11.24'!$E$2:$E$1621,"")</f>
        <v/>
      </c>
    </row>
    <row r="3822" spans="1:6" x14ac:dyDescent="0.25">
      <c r="A3822" s="140">
        <v>45727.625</v>
      </c>
      <c r="B3822" t="s">
        <v>3930</v>
      </c>
      <c r="C3822" t="s">
        <v>3907</v>
      </c>
      <c r="D3822" s="6" t="str">
        <f>_xlfn.XLOOKUP(B3822,Indices!$A$2:$A$2676,Indices!$B$2:$B$2676,"")</f>
        <v/>
      </c>
      <c r="E3822" t="str">
        <f>_xlfn.XLOOKUP(B3822,'2025-Q1'!$A$402:$A$448,'2025-Q1'!$A$402:$A$448,"avail")</f>
        <v>avail</v>
      </c>
      <c r="F3822" t="str">
        <f>_xlfn.XLOOKUP(B3822,'[2]!! -- Stock Universe 12.11.24'!$C$2:$C$1621,'[2]!! -- Stock Universe 12.11.24'!$E$2:$E$1621,"")</f>
        <v/>
      </c>
    </row>
    <row r="3823" spans="1:6" x14ac:dyDescent="0.25">
      <c r="A3823" s="140">
        <v>45727.625</v>
      </c>
      <c r="B3823" t="s">
        <v>3931</v>
      </c>
      <c r="C3823" t="s">
        <v>3907</v>
      </c>
      <c r="D3823" s="6" t="str">
        <f>_xlfn.XLOOKUP(B3823,Indices!$A$2:$A$2676,Indices!$B$2:$B$2676,"")</f>
        <v/>
      </c>
      <c r="E3823" t="str">
        <f>_xlfn.XLOOKUP(B3823,'2025-Q1'!$A$402:$A$448,'2025-Q1'!$A$402:$A$448,"avail")</f>
        <v>avail</v>
      </c>
      <c r="F3823" t="str">
        <f>_xlfn.XLOOKUP(B3823,'[2]!! -- Stock Universe 12.11.24'!$C$2:$C$1621,'[2]!! -- Stock Universe 12.11.24'!$E$2:$E$1621,"")</f>
        <v/>
      </c>
    </row>
    <row r="3824" spans="1:6" x14ac:dyDescent="0.25">
      <c r="A3824" s="140">
        <v>45727.625</v>
      </c>
      <c r="B3824" t="s">
        <v>3837</v>
      </c>
      <c r="C3824" t="s">
        <v>3907</v>
      </c>
      <c r="D3824" s="6" t="str">
        <f>_xlfn.XLOOKUP(B3824,Indices!$A$2:$A$2676,Indices!$B$2:$B$2676,"")</f>
        <v/>
      </c>
      <c r="E3824" t="str">
        <f>_xlfn.XLOOKUP(B3824,'2025-Q1'!$A$402:$A$448,'2025-Q1'!$A$402:$A$448,"avail")</f>
        <v>avail</v>
      </c>
      <c r="F3824" t="str">
        <f>_xlfn.XLOOKUP(B3824,'[2]!! -- Stock Universe 12.11.24'!$C$2:$C$1621,'[2]!! -- Stock Universe 12.11.24'!$E$2:$E$1621,"")</f>
        <v/>
      </c>
    </row>
    <row r="3825" spans="1:6" x14ac:dyDescent="0.25">
      <c r="A3825" s="140">
        <v>45727.625</v>
      </c>
      <c r="B3825" t="s">
        <v>116</v>
      </c>
      <c r="C3825" t="s">
        <v>3907</v>
      </c>
      <c r="D3825" s="6" t="str">
        <f>_xlfn.XLOOKUP(B3825,Indices!$A$2:$A$2676,Indices!$B$2:$B$2676,"")</f>
        <v>IWM</v>
      </c>
      <c r="E3825" t="str">
        <f>_xlfn.XLOOKUP(B3825,'2025-Q1'!$A$402:$A$448,'2025-Q1'!$A$402:$A$448,"avail")</f>
        <v>avail</v>
      </c>
      <c r="F3825" t="str">
        <f>_xlfn.XLOOKUP(B3825,'[2]!! -- Stock Universe 12.11.24'!$C$2:$C$1621,'[2]!! -- Stock Universe 12.11.24'!$E$2:$E$1621,"")</f>
        <v/>
      </c>
    </row>
    <row r="3826" spans="1:6" x14ac:dyDescent="0.25">
      <c r="A3826" s="140">
        <v>45727.625</v>
      </c>
      <c r="B3826" t="s">
        <v>2799</v>
      </c>
      <c r="C3826" t="s">
        <v>3907</v>
      </c>
      <c r="D3826" s="6" t="str">
        <f>_xlfn.XLOOKUP(B3826,Indices!$A$2:$A$2676,Indices!$B$2:$B$2676,"")</f>
        <v/>
      </c>
      <c r="E3826" t="str">
        <f>_xlfn.XLOOKUP(B3826,'2025-Q1'!$A$402:$A$448,'2025-Q1'!$A$402:$A$448,"avail")</f>
        <v>avail</v>
      </c>
      <c r="F3826" t="str">
        <f>_xlfn.XLOOKUP(B3826,'[2]!! -- Stock Universe 12.11.24'!$C$2:$C$1621,'[2]!! -- Stock Universe 12.11.24'!$E$2:$E$1621,"")</f>
        <v/>
      </c>
    </row>
    <row r="3827" spans="1:6" x14ac:dyDescent="0.25">
      <c r="A3827" s="140">
        <v>45727.625</v>
      </c>
      <c r="B3827" t="s">
        <v>3034</v>
      </c>
      <c r="C3827" t="s">
        <v>3907</v>
      </c>
      <c r="D3827" s="6" t="str">
        <f>_xlfn.XLOOKUP(B3827,Indices!$A$2:$A$2676,Indices!$B$2:$B$2676,"")</f>
        <v/>
      </c>
      <c r="E3827" t="str">
        <f>_xlfn.XLOOKUP(B3827,'2025-Q1'!$A$402:$A$448,'2025-Q1'!$A$402:$A$448,"avail")</f>
        <v>avail</v>
      </c>
      <c r="F3827" t="str">
        <f>_xlfn.XLOOKUP(B3827,'[2]!! -- Stock Universe 12.11.24'!$C$2:$C$1621,'[2]!! -- Stock Universe 12.11.24'!$E$2:$E$1621,"")</f>
        <v/>
      </c>
    </row>
    <row r="3828" spans="1:6" x14ac:dyDescent="0.25">
      <c r="A3828" s="140">
        <v>45727.625</v>
      </c>
      <c r="B3828" t="s">
        <v>3797</v>
      </c>
      <c r="C3828" t="s">
        <v>3907</v>
      </c>
      <c r="D3828" s="6" t="str">
        <f>_xlfn.XLOOKUP(B3828,Indices!$A$2:$A$2676,Indices!$B$2:$B$2676,"")</f>
        <v/>
      </c>
      <c r="E3828" t="str">
        <f>_xlfn.XLOOKUP(B3828,'2025-Q1'!$A$402:$A$448,'2025-Q1'!$A$402:$A$448,"avail")</f>
        <v>avail</v>
      </c>
      <c r="F3828" t="str">
        <f>_xlfn.XLOOKUP(B3828,'[2]!! -- Stock Universe 12.11.24'!$C$2:$C$1621,'[2]!! -- Stock Universe 12.11.24'!$E$2:$E$1621,"")</f>
        <v/>
      </c>
    </row>
    <row r="3829" spans="1:6" x14ac:dyDescent="0.25">
      <c r="A3829" s="140">
        <v>45727.625</v>
      </c>
      <c r="B3829" t="s">
        <v>3928</v>
      </c>
      <c r="C3829" t="s">
        <v>3907</v>
      </c>
      <c r="D3829" s="6" t="str">
        <f>_xlfn.XLOOKUP(B3829,Indices!$A$2:$A$2676,Indices!$B$2:$B$2676,"")</f>
        <v/>
      </c>
      <c r="E3829" t="str">
        <f>_xlfn.XLOOKUP(B3829,'2025-Q1'!$A$402:$A$448,'2025-Q1'!$A$402:$A$448,"avail")</f>
        <v>avail</v>
      </c>
      <c r="F3829" t="str">
        <f>_xlfn.XLOOKUP(B3829,'[2]!! -- Stock Universe 12.11.24'!$C$2:$C$1621,'[2]!! -- Stock Universe 12.11.24'!$E$2:$E$1621,"")</f>
        <v/>
      </c>
    </row>
    <row r="3830" spans="1:6" x14ac:dyDescent="0.25">
      <c r="A3830" s="140">
        <v>45727.625</v>
      </c>
      <c r="B3830" t="s">
        <v>738</v>
      </c>
      <c r="C3830" t="s">
        <v>3907</v>
      </c>
      <c r="D3830" s="6" t="str">
        <f>_xlfn.XLOOKUP(B3830,Indices!$A$2:$A$2676,Indices!$B$2:$B$2676,"")</f>
        <v>IWM</v>
      </c>
      <c r="E3830" t="str">
        <f>_xlfn.XLOOKUP(B3830,'2025-Q1'!$A$402:$A$448,'2025-Q1'!$A$402:$A$448,"avail")</f>
        <v>avail</v>
      </c>
      <c r="F3830" t="str">
        <f>_xlfn.XLOOKUP(B3830,'[2]!! -- Stock Universe 12.11.24'!$C$2:$C$1621,'[2]!! -- Stock Universe 12.11.24'!$E$2:$E$1621,"")</f>
        <v/>
      </c>
    </row>
    <row r="3831" spans="1:6" x14ac:dyDescent="0.25">
      <c r="A3831" s="140">
        <v>45727.625</v>
      </c>
      <c r="B3831" t="s">
        <v>747</v>
      </c>
      <c r="C3831" t="s">
        <v>3907</v>
      </c>
      <c r="D3831" s="6" t="str">
        <f>_xlfn.XLOOKUP(B3831,Indices!$A$2:$A$2676,Indices!$B$2:$B$2676,"")</f>
        <v>IWM</v>
      </c>
      <c r="E3831" t="str">
        <f>_xlfn.XLOOKUP(B3831,'2025-Q1'!$A$402:$A$448,'2025-Q1'!$A$402:$A$448,"avail")</f>
        <v>avail</v>
      </c>
      <c r="F3831" t="str">
        <f>_xlfn.XLOOKUP(B3831,'[2]!! -- Stock Universe 12.11.24'!$C$2:$C$1621,'[2]!! -- Stock Universe 12.11.24'!$E$2:$E$1621,"")</f>
        <v>Healthcare</v>
      </c>
    </row>
    <row r="3832" spans="1:6" x14ac:dyDescent="0.25">
      <c r="A3832" s="140">
        <v>45727.625</v>
      </c>
      <c r="B3832" t="s">
        <v>3921</v>
      </c>
      <c r="C3832" t="s">
        <v>3907</v>
      </c>
      <c r="D3832" s="6" t="str">
        <f>_xlfn.XLOOKUP(B3832,Indices!$A$2:$A$2676,Indices!$B$2:$B$2676,"")</f>
        <v/>
      </c>
      <c r="E3832" t="str">
        <f>_xlfn.XLOOKUP(B3832,'2025-Q1'!$A$402:$A$448,'2025-Q1'!$A$402:$A$448,"avail")</f>
        <v>avail</v>
      </c>
      <c r="F3832" t="str">
        <f>_xlfn.XLOOKUP(B3832,'[2]!! -- Stock Universe 12.11.24'!$C$2:$C$1621,'[2]!! -- Stock Universe 12.11.24'!$E$2:$E$1621,"")</f>
        <v>Communication Services</v>
      </c>
    </row>
    <row r="3833" spans="1:6" x14ac:dyDescent="0.25">
      <c r="A3833" s="140">
        <v>45727.625</v>
      </c>
      <c r="B3833" t="s">
        <v>3911</v>
      </c>
      <c r="C3833" t="s">
        <v>3907</v>
      </c>
      <c r="D3833" s="6" t="str">
        <f>_xlfn.XLOOKUP(B3833,Indices!$A$2:$A$2676,Indices!$B$2:$B$2676,"")</f>
        <v/>
      </c>
      <c r="E3833" t="str">
        <f>_xlfn.XLOOKUP(B3833,'2025-Q1'!$A$402:$A$448,'2025-Q1'!$A$402:$A$448,"avail")</f>
        <v>avail</v>
      </c>
      <c r="F3833" t="str">
        <f>_xlfn.XLOOKUP(B3833,'[2]!! -- Stock Universe 12.11.24'!$C$2:$C$1621,'[2]!! -- Stock Universe 12.11.24'!$E$2:$E$1621,"")</f>
        <v/>
      </c>
    </row>
    <row r="3834" spans="1:6" x14ac:dyDescent="0.25">
      <c r="A3834" s="140">
        <v>45727.625</v>
      </c>
      <c r="B3834" t="s">
        <v>3910</v>
      </c>
      <c r="C3834" t="s">
        <v>3907</v>
      </c>
      <c r="D3834" s="6" t="str">
        <f>_xlfn.XLOOKUP(B3834,Indices!$A$2:$A$2676,Indices!$B$2:$B$2676,"")</f>
        <v/>
      </c>
      <c r="E3834" t="str">
        <f>_xlfn.XLOOKUP(B3834,'2025-Q1'!$A$402:$A$448,'2025-Q1'!$A$402:$A$448,"avail")</f>
        <v>avail</v>
      </c>
      <c r="F3834" t="str">
        <f>_xlfn.XLOOKUP(B3834,'[2]!! -- Stock Universe 12.11.24'!$C$2:$C$1621,'[2]!! -- Stock Universe 12.11.24'!$E$2:$E$1621,"")</f>
        <v/>
      </c>
    </row>
    <row r="3835" spans="1:6" x14ac:dyDescent="0.25">
      <c r="A3835" s="140">
        <v>45727.625</v>
      </c>
      <c r="B3835" t="s">
        <v>1185</v>
      </c>
      <c r="C3835" t="s">
        <v>3907</v>
      </c>
      <c r="D3835" s="6" t="str">
        <f>_xlfn.XLOOKUP(B3835,Indices!$A$2:$A$2676,Indices!$B$2:$B$2676,"")</f>
        <v>IWM</v>
      </c>
      <c r="E3835" t="str">
        <f>_xlfn.XLOOKUP(B3835,'2025-Q1'!$A$402:$A$448,'2025-Q1'!$A$402:$A$448,"avail")</f>
        <v>avail</v>
      </c>
      <c r="F3835" t="str">
        <f>_xlfn.XLOOKUP(B3835,'[2]!! -- Stock Universe 12.11.24'!$C$2:$C$1621,'[2]!! -- Stock Universe 12.11.24'!$E$2:$E$1621,"")</f>
        <v>Consumer Cyclical</v>
      </c>
    </row>
    <row r="3836" spans="1:6" x14ac:dyDescent="0.25">
      <c r="A3836" s="140">
        <v>45727.625</v>
      </c>
      <c r="B3836" t="s">
        <v>814</v>
      </c>
      <c r="C3836" t="s">
        <v>3907</v>
      </c>
      <c r="D3836" s="6" t="str">
        <f>_xlfn.XLOOKUP(B3836,Indices!$A$2:$A$2676,Indices!$B$2:$B$2676,"")</f>
        <v>IWM</v>
      </c>
      <c r="E3836" t="str">
        <f>_xlfn.XLOOKUP(B3836,'2025-Q1'!$A$402:$A$448,'2025-Q1'!$A$402:$A$448,"avail")</f>
        <v>avail</v>
      </c>
      <c r="F3836" t="str">
        <f>_xlfn.XLOOKUP(B3836,'[2]!! -- Stock Universe 12.11.24'!$C$2:$C$1621,'[2]!! -- Stock Universe 12.11.24'!$E$2:$E$1621,"")</f>
        <v>Energy</v>
      </c>
    </row>
    <row r="3837" spans="1:6" x14ac:dyDescent="0.25">
      <c r="A3837" s="140">
        <v>45727.625</v>
      </c>
      <c r="B3837" t="s">
        <v>3926</v>
      </c>
      <c r="C3837" t="s">
        <v>3907</v>
      </c>
      <c r="D3837" s="6" t="str">
        <f>_xlfn.XLOOKUP(B3837,Indices!$A$2:$A$2676,Indices!$B$2:$B$2676,"")</f>
        <v/>
      </c>
      <c r="E3837" t="str">
        <f>_xlfn.XLOOKUP(B3837,'2025-Q1'!$A$402:$A$448,'2025-Q1'!$A$402:$A$448,"avail")</f>
        <v>avail</v>
      </c>
      <c r="F3837" t="str">
        <f>_xlfn.XLOOKUP(B3837,'[2]!! -- Stock Universe 12.11.24'!$C$2:$C$1621,'[2]!! -- Stock Universe 12.11.24'!$E$2:$E$1621,"")</f>
        <v>Technology</v>
      </c>
    </row>
    <row r="3838" spans="1:6" x14ac:dyDescent="0.25">
      <c r="A3838" s="140">
        <v>45727.625</v>
      </c>
      <c r="B3838" t="s">
        <v>3918</v>
      </c>
      <c r="C3838" t="s">
        <v>3907</v>
      </c>
      <c r="D3838" s="6" t="str">
        <f>_xlfn.XLOOKUP(B3838,Indices!$A$2:$A$2676,Indices!$B$2:$B$2676,"")</f>
        <v/>
      </c>
      <c r="E3838" t="str">
        <f>_xlfn.XLOOKUP(B3838,'2025-Q1'!$A$402:$A$448,'2025-Q1'!$A$402:$A$448,"avail")</f>
        <v>avail</v>
      </c>
      <c r="F3838" t="str">
        <f>_xlfn.XLOOKUP(B3838,'[2]!! -- Stock Universe 12.11.24'!$C$2:$C$1621,'[2]!! -- Stock Universe 12.11.24'!$E$2:$E$1621,"")</f>
        <v/>
      </c>
    </row>
    <row r="3839" spans="1:6" x14ac:dyDescent="0.25">
      <c r="A3839" s="140">
        <v>45727.625</v>
      </c>
      <c r="B3839" t="s">
        <v>417</v>
      </c>
      <c r="C3839" t="s">
        <v>3907</v>
      </c>
      <c r="D3839" s="6" t="str">
        <f>_xlfn.XLOOKUP(B3839,Indices!$A$2:$A$2676,Indices!$B$2:$B$2676,"")</f>
        <v>IWM</v>
      </c>
      <c r="E3839" t="str">
        <f>_xlfn.XLOOKUP(B3839,'2025-Q1'!$A$402:$A$448,'2025-Q1'!$A$402:$A$448,"avail")</f>
        <v>avail</v>
      </c>
      <c r="F3839" t="str">
        <f>_xlfn.XLOOKUP(B3839,'[2]!! -- Stock Universe 12.11.24'!$C$2:$C$1621,'[2]!! -- Stock Universe 12.11.24'!$E$2:$E$1621,"")</f>
        <v/>
      </c>
    </row>
    <row r="3840" spans="1:6" x14ac:dyDescent="0.25">
      <c r="A3840" s="140">
        <v>45727.625</v>
      </c>
      <c r="B3840" t="s">
        <v>457</v>
      </c>
      <c r="C3840" t="s">
        <v>3907</v>
      </c>
      <c r="D3840" s="6" t="str">
        <f>_xlfn.XLOOKUP(B3840,Indices!$A$2:$A$2676,Indices!$B$2:$B$2676,"")</f>
        <v>IWM</v>
      </c>
      <c r="E3840" t="str">
        <f>_xlfn.XLOOKUP(B3840,'2025-Q1'!$A$402:$A$448,'2025-Q1'!$A$402:$A$448,"avail")</f>
        <v>avail</v>
      </c>
      <c r="F3840" t="str">
        <f>_xlfn.XLOOKUP(B3840,'[2]!! -- Stock Universe 12.11.24'!$C$2:$C$1621,'[2]!! -- Stock Universe 12.11.24'!$E$2:$E$1621,"")</f>
        <v/>
      </c>
    </row>
    <row r="3841" spans="1:6" x14ac:dyDescent="0.25">
      <c r="A3841" s="140">
        <v>45728.291666666664</v>
      </c>
      <c r="B3841" t="s">
        <v>2791</v>
      </c>
      <c r="C3841" t="s">
        <v>3937</v>
      </c>
      <c r="D3841" s="6" t="str">
        <f>_xlfn.XLOOKUP(B3841,Indices!$A$2:$A$2676,Indices!$B$2:$B$2676,"")</f>
        <v/>
      </c>
      <c r="E3841" t="str">
        <f>_xlfn.XLOOKUP(B3841,'2025-Q1'!$A$402:$A$448,'2025-Q1'!$A$402:$A$448,"avail")</f>
        <v>avail</v>
      </c>
      <c r="F3841" t="str">
        <f>_xlfn.XLOOKUP(B3841,'[2]!! -- Stock Universe 12.11.24'!$C$2:$C$1621,'[2]!! -- Stock Universe 12.11.24'!$E$2:$E$1621,"")</f>
        <v/>
      </c>
    </row>
    <row r="3842" spans="1:6" x14ac:dyDescent="0.25">
      <c r="A3842" s="140">
        <v>45728.291666666664</v>
      </c>
      <c r="B3842" t="s">
        <v>2982</v>
      </c>
      <c r="C3842" t="s">
        <v>3937</v>
      </c>
      <c r="D3842" s="6" t="str">
        <f>_xlfn.XLOOKUP(B3842,Indices!$A$2:$A$2676,Indices!$B$2:$B$2676,"")</f>
        <v/>
      </c>
      <c r="E3842" t="str">
        <f>_xlfn.XLOOKUP(B3842,'2025-Q1'!$A$402:$A$448,'2025-Q1'!$A$402:$A$448,"avail")</f>
        <v>avail</v>
      </c>
      <c r="F3842" t="str">
        <f>_xlfn.XLOOKUP(B3842,'[2]!! -- Stock Universe 12.11.24'!$C$2:$C$1621,'[2]!! -- Stock Universe 12.11.24'!$E$2:$E$1621,"")</f>
        <v/>
      </c>
    </row>
    <row r="3843" spans="1:6" x14ac:dyDescent="0.25">
      <c r="A3843" s="140">
        <v>45728.291666666664</v>
      </c>
      <c r="B3843" t="s">
        <v>4393</v>
      </c>
      <c r="C3843" t="s">
        <v>3937</v>
      </c>
      <c r="D3843" s="6" t="str">
        <f>_xlfn.XLOOKUP(B3843,Indices!$A$2:$A$2676,Indices!$B$2:$B$2676,"")</f>
        <v/>
      </c>
      <c r="E3843" t="str">
        <f>_xlfn.XLOOKUP(B3843,'2025-Q1'!$A$402:$A$448,'2025-Q1'!$A$402:$A$448,"avail")</f>
        <v>avail</v>
      </c>
      <c r="F3843" t="str">
        <f>_xlfn.XLOOKUP(B3843,'[2]!! -- Stock Universe 12.11.24'!$C$2:$C$1621,'[2]!! -- Stock Universe 12.11.24'!$E$2:$E$1621,"")</f>
        <v/>
      </c>
    </row>
    <row r="3844" spans="1:6" x14ac:dyDescent="0.25">
      <c r="A3844" s="140">
        <v>45728.291666666664</v>
      </c>
      <c r="B3844" t="s">
        <v>3949</v>
      </c>
      <c r="C3844" t="s">
        <v>3937</v>
      </c>
      <c r="D3844" s="6" t="str">
        <f>_xlfn.XLOOKUP(B3844,Indices!$A$2:$A$2676,Indices!$B$2:$B$2676,"")</f>
        <v/>
      </c>
      <c r="E3844" t="str">
        <f>_xlfn.XLOOKUP(B3844,'2025-Q1'!$A$402:$A$448,'2025-Q1'!$A$402:$A$448,"avail")</f>
        <v>avail</v>
      </c>
      <c r="F3844" t="str">
        <f>_xlfn.XLOOKUP(B3844,'[2]!! -- Stock Universe 12.11.24'!$C$2:$C$1621,'[2]!! -- Stock Universe 12.11.24'!$E$2:$E$1621,"")</f>
        <v/>
      </c>
    </row>
    <row r="3845" spans="1:6" x14ac:dyDescent="0.25">
      <c r="A3845" s="140">
        <v>45728.291666666664</v>
      </c>
      <c r="B3845" t="s">
        <v>3746</v>
      </c>
      <c r="C3845" t="s">
        <v>3937</v>
      </c>
      <c r="D3845" s="6" t="str">
        <f>_xlfn.XLOOKUP(B3845,Indices!$A$2:$A$2676,Indices!$B$2:$B$2676,"")</f>
        <v/>
      </c>
      <c r="E3845" t="str">
        <f>_xlfn.XLOOKUP(B3845,'2025-Q1'!$A$402:$A$448,'2025-Q1'!$A$402:$A$448,"avail")</f>
        <v>avail</v>
      </c>
      <c r="F3845" t="str">
        <f>_xlfn.XLOOKUP(B3845,'[2]!! -- Stock Universe 12.11.24'!$C$2:$C$1621,'[2]!! -- Stock Universe 12.11.24'!$E$2:$E$1621,"")</f>
        <v/>
      </c>
    </row>
    <row r="3846" spans="1:6" x14ac:dyDescent="0.25">
      <c r="A3846" s="140">
        <v>45728.291666666664</v>
      </c>
      <c r="B3846" t="s">
        <v>1104</v>
      </c>
      <c r="C3846" t="s">
        <v>3937</v>
      </c>
      <c r="D3846" s="6" t="str">
        <f>_xlfn.XLOOKUP(B3846,Indices!$A$2:$A$2676,Indices!$B$2:$B$2676,"")</f>
        <v>S&amp;P Mid</v>
      </c>
      <c r="E3846" t="str">
        <f>_xlfn.XLOOKUP(B3846,'2025-Q1'!$A$402:$A$448,'2025-Q1'!$A$402:$A$448,"avail")</f>
        <v>WSM</v>
      </c>
      <c r="F3846" t="str">
        <f>_xlfn.XLOOKUP(B3846,'[2]!! -- Stock Universe 12.11.24'!$C$2:$C$1621,'[2]!! -- Stock Universe 12.11.24'!$E$2:$E$1621,"")</f>
        <v>Consumer Cyclical</v>
      </c>
    </row>
    <row r="3847" spans="1:6" x14ac:dyDescent="0.25">
      <c r="A3847" s="140">
        <v>45728.291666666664</v>
      </c>
      <c r="B3847" t="s">
        <v>3961</v>
      </c>
      <c r="C3847" t="s">
        <v>3937</v>
      </c>
      <c r="D3847" s="6" t="str">
        <f>_xlfn.XLOOKUP(B3847,Indices!$A$2:$A$2676,Indices!$B$2:$B$2676,"")</f>
        <v/>
      </c>
      <c r="E3847" t="str">
        <f>_xlfn.XLOOKUP(B3847,'2025-Q1'!$A$402:$A$448,'2025-Q1'!$A$402:$A$448,"avail")</f>
        <v>avail</v>
      </c>
      <c r="F3847" t="str">
        <f>_xlfn.XLOOKUP(B3847,'[2]!! -- Stock Universe 12.11.24'!$C$2:$C$1621,'[2]!! -- Stock Universe 12.11.24'!$E$2:$E$1621,"")</f>
        <v/>
      </c>
    </row>
    <row r="3848" spans="1:6" x14ac:dyDescent="0.25">
      <c r="A3848" s="140">
        <v>45728.291666666664</v>
      </c>
      <c r="B3848" t="s">
        <v>1269</v>
      </c>
      <c r="C3848" t="s">
        <v>3937</v>
      </c>
      <c r="D3848" s="6" t="str">
        <f>_xlfn.XLOOKUP(B3848,Indices!$A$2:$A$2676,Indices!$B$2:$B$2676,"")</f>
        <v>IWM</v>
      </c>
      <c r="E3848" t="str">
        <f>_xlfn.XLOOKUP(B3848,'2025-Q1'!$A$402:$A$448,'2025-Q1'!$A$402:$A$448,"avail")</f>
        <v>avail</v>
      </c>
      <c r="F3848" t="str">
        <f>_xlfn.XLOOKUP(B3848,'[2]!! -- Stock Universe 12.11.24'!$C$2:$C$1621,'[2]!! -- Stock Universe 12.11.24'!$E$2:$E$1621,"")</f>
        <v/>
      </c>
    </row>
    <row r="3849" spans="1:6" x14ac:dyDescent="0.25">
      <c r="A3849" s="140">
        <v>45728.291666666664</v>
      </c>
      <c r="B3849" t="s">
        <v>3405</v>
      </c>
      <c r="C3849" t="s">
        <v>3937</v>
      </c>
      <c r="D3849" s="6" t="str">
        <f>_xlfn.XLOOKUP(B3849,Indices!$A$2:$A$2676,Indices!$B$2:$B$2676,"")</f>
        <v/>
      </c>
      <c r="E3849" t="str">
        <f>_xlfn.XLOOKUP(B3849,'2025-Q1'!$A$402:$A$448,'2025-Q1'!$A$402:$A$448,"avail")</f>
        <v>avail</v>
      </c>
      <c r="F3849" t="str">
        <f>_xlfn.XLOOKUP(B3849,'[2]!! -- Stock Universe 12.11.24'!$C$2:$C$1621,'[2]!! -- Stock Universe 12.11.24'!$E$2:$E$1621,"")</f>
        <v/>
      </c>
    </row>
    <row r="3850" spans="1:6" x14ac:dyDescent="0.25">
      <c r="A3850" s="140">
        <v>45728.291666666664</v>
      </c>
      <c r="B3850" t="s">
        <v>3942</v>
      </c>
      <c r="C3850" t="s">
        <v>3937</v>
      </c>
      <c r="D3850" s="6" t="str">
        <f>_xlfn.XLOOKUP(B3850,Indices!$A$2:$A$2676,Indices!$B$2:$B$2676,"")</f>
        <v/>
      </c>
      <c r="E3850" t="str">
        <f>_xlfn.XLOOKUP(B3850,'2025-Q1'!$A$402:$A$448,'2025-Q1'!$A$402:$A$448,"avail")</f>
        <v>avail</v>
      </c>
      <c r="F3850" t="str">
        <f>_xlfn.XLOOKUP(B3850,'[2]!! -- Stock Universe 12.11.24'!$C$2:$C$1621,'[2]!! -- Stock Universe 12.11.24'!$E$2:$E$1621,"")</f>
        <v/>
      </c>
    </row>
    <row r="3851" spans="1:6" x14ac:dyDescent="0.25">
      <c r="A3851" s="140">
        <v>45728.291666666664</v>
      </c>
      <c r="B3851" t="s">
        <v>3946</v>
      </c>
      <c r="C3851" t="s">
        <v>3937</v>
      </c>
      <c r="D3851" s="6" t="str">
        <f>_xlfn.XLOOKUP(B3851,Indices!$A$2:$A$2676,Indices!$B$2:$B$2676,"")</f>
        <v/>
      </c>
      <c r="E3851" t="str">
        <f>_xlfn.XLOOKUP(B3851,'2025-Q1'!$A$402:$A$448,'2025-Q1'!$A$402:$A$448,"avail")</f>
        <v>avail</v>
      </c>
      <c r="F3851" t="str">
        <f>_xlfn.XLOOKUP(B3851,'[2]!! -- Stock Universe 12.11.24'!$C$2:$C$1621,'[2]!! -- Stock Universe 12.11.24'!$E$2:$E$1621,"")</f>
        <v/>
      </c>
    </row>
    <row r="3852" spans="1:6" x14ac:dyDescent="0.25">
      <c r="A3852" s="140">
        <v>45728.291666666664</v>
      </c>
      <c r="B3852" t="s">
        <v>893</v>
      </c>
      <c r="C3852" t="s">
        <v>3937</v>
      </c>
      <c r="D3852" s="6" t="str">
        <f>_xlfn.XLOOKUP(B3852,Indices!$A$2:$A$2676,Indices!$B$2:$B$2676,"")</f>
        <v>IWM</v>
      </c>
      <c r="E3852" t="str">
        <f>_xlfn.XLOOKUP(B3852,'2025-Q1'!$A$402:$A$448,'2025-Q1'!$A$402:$A$448,"avail")</f>
        <v>avail</v>
      </c>
      <c r="F3852" t="str">
        <f>_xlfn.XLOOKUP(B3852,'[2]!! -- Stock Universe 12.11.24'!$C$2:$C$1621,'[2]!! -- Stock Universe 12.11.24'!$E$2:$E$1621,"")</f>
        <v/>
      </c>
    </row>
    <row r="3853" spans="1:6" x14ac:dyDescent="0.25">
      <c r="A3853" s="140">
        <v>45728.291666666664</v>
      </c>
      <c r="B3853" t="s">
        <v>4092</v>
      </c>
      <c r="C3853" t="s">
        <v>3937</v>
      </c>
      <c r="D3853" s="6" t="str">
        <f>_xlfn.XLOOKUP(B3853,Indices!$A$2:$A$2676,Indices!$B$2:$B$2676,"")</f>
        <v/>
      </c>
      <c r="E3853" t="str">
        <f>_xlfn.XLOOKUP(B3853,'2025-Q1'!$A$402:$A$448,'2025-Q1'!$A$402:$A$448,"avail")</f>
        <v>avail</v>
      </c>
      <c r="F3853" t="str">
        <f>_xlfn.XLOOKUP(B3853,'[2]!! -- Stock Universe 12.11.24'!$C$2:$C$1621,'[2]!! -- Stock Universe 12.11.24'!$E$2:$E$1621,"")</f>
        <v/>
      </c>
    </row>
    <row r="3854" spans="1:6" x14ac:dyDescent="0.25">
      <c r="A3854" s="140">
        <v>45728.291666666664</v>
      </c>
      <c r="B3854" t="s">
        <v>3947</v>
      </c>
      <c r="C3854" t="s">
        <v>3937</v>
      </c>
      <c r="D3854" s="6" t="str">
        <f>_xlfn.XLOOKUP(B3854,Indices!$A$2:$A$2676,Indices!$B$2:$B$2676,"")</f>
        <v/>
      </c>
      <c r="E3854" t="str">
        <f>_xlfn.XLOOKUP(B3854,'2025-Q1'!$A$402:$A$448,'2025-Q1'!$A$402:$A$448,"avail")</f>
        <v>avail</v>
      </c>
      <c r="F3854" t="str">
        <f>_xlfn.XLOOKUP(B3854,'[2]!! -- Stock Universe 12.11.24'!$C$2:$C$1621,'[2]!! -- Stock Universe 12.11.24'!$E$2:$E$1621,"")</f>
        <v>Consumer Cyclical</v>
      </c>
    </row>
    <row r="3855" spans="1:6" x14ac:dyDescent="0.25">
      <c r="A3855" s="140">
        <v>45728.291666666664</v>
      </c>
      <c r="B3855" t="s">
        <v>3951</v>
      </c>
      <c r="C3855" t="s">
        <v>3941</v>
      </c>
      <c r="D3855" s="6" t="str">
        <f>_xlfn.XLOOKUP(B3855,Indices!$A$2:$A$2676,Indices!$B$2:$B$2676,"")</f>
        <v/>
      </c>
      <c r="E3855" t="str">
        <f>_xlfn.XLOOKUP(B3855,'2025-Q1'!$A$402:$A$448,'2025-Q1'!$A$402:$A$448,"avail")</f>
        <v>avail</v>
      </c>
      <c r="F3855" t="str">
        <f>_xlfn.XLOOKUP(B3855,'[2]!! -- Stock Universe 12.11.24'!$C$2:$C$1621,'[2]!! -- Stock Universe 12.11.24'!$E$2:$E$1621,"")</f>
        <v/>
      </c>
    </row>
    <row r="3856" spans="1:6" x14ac:dyDescent="0.25">
      <c r="A3856" s="140">
        <v>45728.291666666664</v>
      </c>
      <c r="B3856" t="s">
        <v>3938</v>
      </c>
      <c r="C3856" t="s">
        <v>3937</v>
      </c>
      <c r="D3856" s="6" t="str">
        <f>_xlfn.XLOOKUP(B3856,Indices!$A$2:$A$2676,Indices!$B$2:$B$2676,"")</f>
        <v/>
      </c>
      <c r="E3856" t="str">
        <f>_xlfn.XLOOKUP(B3856,'2025-Q1'!$A$402:$A$448,'2025-Q1'!$A$402:$A$448,"avail")</f>
        <v>avail</v>
      </c>
      <c r="F3856" t="str">
        <f>_xlfn.XLOOKUP(B3856,'[2]!! -- Stock Universe 12.11.24'!$C$2:$C$1621,'[2]!! -- Stock Universe 12.11.24'!$E$2:$E$1621,"")</f>
        <v/>
      </c>
    </row>
    <row r="3857" spans="1:6" x14ac:dyDescent="0.25">
      <c r="A3857" s="140">
        <v>45728.291666666664</v>
      </c>
      <c r="B3857" t="s">
        <v>3940</v>
      </c>
      <c r="C3857" t="s">
        <v>3941</v>
      </c>
      <c r="D3857" s="6" t="str">
        <f>_xlfn.XLOOKUP(B3857,Indices!$A$2:$A$2676,Indices!$B$2:$B$2676,"")</f>
        <v/>
      </c>
      <c r="E3857" t="str">
        <f>_xlfn.XLOOKUP(B3857,'2025-Q1'!$A$402:$A$448,'2025-Q1'!$A$402:$A$448,"avail")</f>
        <v>avail</v>
      </c>
      <c r="F3857" t="str">
        <f>_xlfn.XLOOKUP(B3857,'[2]!! -- Stock Universe 12.11.24'!$C$2:$C$1621,'[2]!! -- Stock Universe 12.11.24'!$E$2:$E$1621,"")</f>
        <v/>
      </c>
    </row>
    <row r="3858" spans="1:6" x14ac:dyDescent="0.25">
      <c r="A3858" s="140">
        <v>45728.291666666664</v>
      </c>
      <c r="B3858" t="s">
        <v>3648</v>
      </c>
      <c r="C3858" t="s">
        <v>3937</v>
      </c>
      <c r="D3858" s="6" t="str">
        <f>_xlfn.XLOOKUP(B3858,Indices!$A$2:$A$2676,Indices!$B$2:$B$2676,"")</f>
        <v/>
      </c>
      <c r="E3858" t="str">
        <f>_xlfn.XLOOKUP(B3858,'2025-Q1'!$A$402:$A$448,'2025-Q1'!$A$402:$A$448,"avail")</f>
        <v>avail</v>
      </c>
      <c r="F3858" t="str">
        <f>_xlfn.XLOOKUP(B3858,'[2]!! -- Stock Universe 12.11.24'!$C$2:$C$1621,'[2]!! -- Stock Universe 12.11.24'!$E$2:$E$1621,"")</f>
        <v/>
      </c>
    </row>
    <row r="3859" spans="1:6" x14ac:dyDescent="0.25">
      <c r="A3859" s="140">
        <v>45728.291666666664</v>
      </c>
      <c r="B3859" t="s">
        <v>3404</v>
      </c>
      <c r="C3859" t="s">
        <v>3937</v>
      </c>
      <c r="D3859" s="6" t="str">
        <f>_xlfn.XLOOKUP(B3859,Indices!$A$2:$A$2676,Indices!$B$2:$B$2676,"")</f>
        <v/>
      </c>
      <c r="E3859" t="str">
        <f>_xlfn.XLOOKUP(B3859,'2025-Q1'!$A$402:$A$448,'2025-Q1'!$A$402:$A$448,"avail")</f>
        <v>avail</v>
      </c>
      <c r="F3859" t="str">
        <f>_xlfn.XLOOKUP(B3859,'[2]!! -- Stock Universe 12.11.24'!$C$2:$C$1621,'[2]!! -- Stock Universe 12.11.24'!$E$2:$E$1621,"")</f>
        <v/>
      </c>
    </row>
    <row r="3860" spans="1:6" x14ac:dyDescent="0.25">
      <c r="A3860" s="140">
        <v>45728.291666666664</v>
      </c>
      <c r="B3860" t="s">
        <v>1213</v>
      </c>
      <c r="C3860" t="s">
        <v>3937</v>
      </c>
      <c r="D3860" s="6" t="str">
        <f>_xlfn.XLOOKUP(B3860,Indices!$A$2:$A$2676,Indices!$B$2:$B$2676,"")</f>
        <v>IWM</v>
      </c>
      <c r="E3860" t="str">
        <f>_xlfn.XLOOKUP(B3860,'2025-Q1'!$A$402:$A$448,'2025-Q1'!$A$402:$A$448,"avail")</f>
        <v>avail</v>
      </c>
      <c r="F3860" t="str">
        <f>_xlfn.XLOOKUP(B3860,'[2]!! -- Stock Universe 12.11.24'!$C$2:$C$1621,'[2]!! -- Stock Universe 12.11.24'!$E$2:$E$1621,"")</f>
        <v>Technology</v>
      </c>
    </row>
    <row r="3861" spans="1:6" x14ac:dyDescent="0.25">
      <c r="A3861" s="140">
        <v>45728.291666666664</v>
      </c>
      <c r="B3861" t="s">
        <v>3953</v>
      </c>
      <c r="C3861" t="s">
        <v>3937</v>
      </c>
      <c r="D3861" s="6" t="str">
        <f>_xlfn.XLOOKUP(B3861,Indices!$A$2:$A$2676,Indices!$B$2:$B$2676,"")</f>
        <v/>
      </c>
      <c r="E3861" t="str">
        <f>_xlfn.XLOOKUP(B3861,'2025-Q1'!$A$402:$A$448,'2025-Q1'!$A$402:$A$448,"avail")</f>
        <v>avail</v>
      </c>
      <c r="F3861" t="str">
        <f>_xlfn.XLOOKUP(B3861,'[2]!! -- Stock Universe 12.11.24'!$C$2:$C$1621,'[2]!! -- Stock Universe 12.11.24'!$E$2:$E$1621,"")</f>
        <v/>
      </c>
    </row>
    <row r="3862" spans="1:6" x14ac:dyDescent="0.25">
      <c r="A3862" s="140">
        <v>45728.291666666664</v>
      </c>
      <c r="B3862" t="s">
        <v>3939</v>
      </c>
      <c r="C3862" t="s">
        <v>3937</v>
      </c>
      <c r="D3862" s="6" t="str">
        <f>_xlfn.XLOOKUP(B3862,Indices!$A$2:$A$2676,Indices!$B$2:$B$2676,"")</f>
        <v/>
      </c>
      <c r="E3862" t="str">
        <f>_xlfn.XLOOKUP(B3862,'2025-Q1'!$A$402:$A$448,'2025-Q1'!$A$402:$A$448,"avail")</f>
        <v>avail</v>
      </c>
      <c r="F3862" t="str">
        <f>_xlfn.XLOOKUP(B3862,'[2]!! -- Stock Universe 12.11.24'!$C$2:$C$1621,'[2]!! -- Stock Universe 12.11.24'!$E$2:$E$1621,"")</f>
        <v/>
      </c>
    </row>
    <row r="3863" spans="1:6" x14ac:dyDescent="0.25">
      <c r="A3863" s="140">
        <v>45728.291666666664</v>
      </c>
      <c r="B3863" t="s">
        <v>4197</v>
      </c>
      <c r="C3863" t="s">
        <v>3937</v>
      </c>
      <c r="D3863" s="6" t="str">
        <f>_xlfn.XLOOKUP(B3863,Indices!$A$2:$A$2676,Indices!$B$2:$B$2676,"")</f>
        <v/>
      </c>
      <c r="E3863" t="str">
        <f>_xlfn.XLOOKUP(B3863,'2025-Q1'!$A$402:$A$448,'2025-Q1'!$A$402:$A$448,"avail")</f>
        <v>avail</v>
      </c>
      <c r="F3863" t="str">
        <f>_xlfn.XLOOKUP(B3863,'[2]!! -- Stock Universe 12.11.24'!$C$2:$C$1621,'[2]!! -- Stock Universe 12.11.24'!$E$2:$E$1621,"")</f>
        <v/>
      </c>
    </row>
    <row r="3864" spans="1:6" x14ac:dyDescent="0.25">
      <c r="A3864" s="140">
        <v>45728.291666666664</v>
      </c>
      <c r="B3864" t="s">
        <v>3999</v>
      </c>
      <c r="C3864" t="s">
        <v>3937</v>
      </c>
      <c r="D3864" s="6" t="str">
        <f>_xlfn.XLOOKUP(B3864,Indices!$A$2:$A$2676,Indices!$B$2:$B$2676,"")</f>
        <v/>
      </c>
      <c r="E3864" t="str">
        <f>_xlfn.XLOOKUP(B3864,'2025-Q1'!$A$402:$A$448,'2025-Q1'!$A$402:$A$448,"avail")</f>
        <v>avail</v>
      </c>
      <c r="F3864" t="str">
        <f>_xlfn.XLOOKUP(B3864,'[2]!! -- Stock Universe 12.11.24'!$C$2:$C$1621,'[2]!! -- Stock Universe 12.11.24'!$E$2:$E$1621,"")</f>
        <v/>
      </c>
    </row>
    <row r="3865" spans="1:6" x14ac:dyDescent="0.25">
      <c r="A3865" s="140">
        <v>45728.291666666664</v>
      </c>
      <c r="B3865" t="s">
        <v>4002</v>
      </c>
      <c r="C3865" t="s">
        <v>3937</v>
      </c>
      <c r="D3865" s="6" t="str">
        <f>_xlfn.XLOOKUP(B3865,Indices!$A$2:$A$2676,Indices!$B$2:$B$2676,"")</f>
        <v/>
      </c>
      <c r="E3865" t="str">
        <f>_xlfn.XLOOKUP(B3865,'2025-Q1'!$A$402:$A$448,'2025-Q1'!$A$402:$A$448,"avail")</f>
        <v>avail</v>
      </c>
      <c r="F3865" t="str">
        <f>_xlfn.XLOOKUP(B3865,'[2]!! -- Stock Universe 12.11.24'!$C$2:$C$1621,'[2]!! -- Stock Universe 12.11.24'!$E$2:$E$1621,"")</f>
        <v/>
      </c>
    </row>
    <row r="3866" spans="1:6" x14ac:dyDescent="0.25">
      <c r="A3866" s="140">
        <v>45728.291666666664</v>
      </c>
      <c r="B3866" t="s">
        <v>610</v>
      </c>
      <c r="C3866" t="s">
        <v>3937</v>
      </c>
      <c r="D3866" s="6" t="str">
        <f>_xlfn.XLOOKUP(B3866,Indices!$A$2:$A$2676,Indices!$B$2:$B$2676,"")</f>
        <v>IWM</v>
      </c>
      <c r="E3866" t="str">
        <f>_xlfn.XLOOKUP(B3866,'2025-Q1'!$A$402:$A$448,'2025-Q1'!$A$402:$A$448,"avail")</f>
        <v>avail</v>
      </c>
      <c r="F3866" t="str">
        <f>_xlfn.XLOOKUP(B3866,'[2]!! -- Stock Universe 12.11.24'!$C$2:$C$1621,'[2]!! -- Stock Universe 12.11.24'!$E$2:$E$1621,"")</f>
        <v/>
      </c>
    </row>
    <row r="3867" spans="1:6" x14ac:dyDescent="0.25">
      <c r="A3867" s="140">
        <v>45728.291666666664</v>
      </c>
      <c r="B3867" t="s">
        <v>3943</v>
      </c>
      <c r="C3867" t="s">
        <v>3937</v>
      </c>
      <c r="D3867" s="6" t="str">
        <f>_xlfn.XLOOKUP(B3867,Indices!$A$2:$A$2676,Indices!$B$2:$B$2676,"")</f>
        <v/>
      </c>
      <c r="E3867" t="str">
        <f>_xlfn.XLOOKUP(B3867,'2025-Q1'!$A$402:$A$448,'2025-Q1'!$A$402:$A$448,"avail")</f>
        <v>avail</v>
      </c>
      <c r="F3867" t="str">
        <f>_xlfn.XLOOKUP(B3867,'[2]!! -- Stock Universe 12.11.24'!$C$2:$C$1621,'[2]!! -- Stock Universe 12.11.24'!$E$2:$E$1621,"")</f>
        <v/>
      </c>
    </row>
    <row r="3868" spans="1:6" x14ac:dyDescent="0.25">
      <c r="A3868" s="140">
        <v>45728.625</v>
      </c>
      <c r="B3868" t="s">
        <v>2209</v>
      </c>
      <c r="C3868" t="s">
        <v>3956</v>
      </c>
      <c r="D3868" s="6" t="str">
        <f>_xlfn.XLOOKUP(B3868,Indices!$A$2:$A$2676,Indices!$B$2:$B$2676,"")</f>
        <v>IWM</v>
      </c>
      <c r="E3868" t="str">
        <f>_xlfn.XLOOKUP(B3868,'2025-Q1'!$A$402:$A$448,'2025-Q1'!$A$402:$A$448,"avail")</f>
        <v>avail</v>
      </c>
      <c r="F3868" t="str">
        <f>_xlfn.XLOOKUP(B3868,'[2]!! -- Stock Universe 12.11.24'!$C$2:$C$1621,'[2]!! -- Stock Universe 12.11.24'!$E$2:$E$1621,"")</f>
        <v/>
      </c>
    </row>
    <row r="3869" spans="1:6" x14ac:dyDescent="0.25">
      <c r="A3869" s="140">
        <v>45728.625</v>
      </c>
      <c r="B3869" t="s">
        <v>1205</v>
      </c>
      <c r="C3869" t="s">
        <v>3956</v>
      </c>
      <c r="D3869" s="6" t="str">
        <f>_xlfn.XLOOKUP(B3869,Indices!$A$2:$A$2676,Indices!$B$2:$B$2676,"")</f>
        <v>IWM</v>
      </c>
      <c r="E3869" t="str">
        <f>_xlfn.XLOOKUP(B3869,'2025-Q1'!$A$402:$A$448,'2025-Q1'!$A$402:$A$448,"avail")</f>
        <v>AEO</v>
      </c>
      <c r="F3869" t="str">
        <f>_xlfn.XLOOKUP(B3869,'[2]!! -- Stock Universe 12.11.24'!$C$2:$C$1621,'[2]!! -- Stock Universe 12.11.24'!$E$2:$E$1621,"")</f>
        <v>Consumer Cyclical</v>
      </c>
    </row>
    <row r="3870" spans="1:6" x14ac:dyDescent="0.25">
      <c r="A3870" s="140">
        <v>45728.625</v>
      </c>
      <c r="B3870" t="s">
        <v>3733</v>
      </c>
      <c r="C3870" t="s">
        <v>3956</v>
      </c>
      <c r="D3870" s="6" t="str">
        <f>_xlfn.XLOOKUP(B3870,Indices!$A$2:$A$2676,Indices!$B$2:$B$2676,"")</f>
        <v/>
      </c>
      <c r="E3870" t="str">
        <f>_xlfn.XLOOKUP(B3870,'2025-Q1'!$A$402:$A$448,'2025-Q1'!$A$402:$A$448,"avail")</f>
        <v>avail</v>
      </c>
      <c r="F3870" t="str">
        <f>_xlfn.XLOOKUP(B3870,'[2]!! -- Stock Universe 12.11.24'!$C$2:$C$1621,'[2]!! -- Stock Universe 12.11.24'!$E$2:$E$1621,"")</f>
        <v/>
      </c>
    </row>
    <row r="3871" spans="1:6" x14ac:dyDescent="0.25">
      <c r="A3871" s="140">
        <v>45728.625</v>
      </c>
      <c r="B3871" t="s">
        <v>1001</v>
      </c>
      <c r="C3871" t="s">
        <v>3956</v>
      </c>
      <c r="D3871" s="6" t="str">
        <f>_xlfn.XLOOKUP(B3871,Indices!$A$2:$A$2676,Indices!$B$2:$B$2676,"")</f>
        <v>IWM</v>
      </c>
      <c r="E3871" t="str">
        <f>_xlfn.XLOOKUP(B3871,'2025-Q1'!$A$402:$A$448,'2025-Q1'!$A$402:$A$448,"avail")</f>
        <v>avail</v>
      </c>
      <c r="F3871" t="str">
        <f>_xlfn.XLOOKUP(B3871,'[2]!! -- Stock Universe 12.11.24'!$C$2:$C$1621,'[2]!! -- Stock Universe 12.11.24'!$E$2:$E$1621,"")</f>
        <v/>
      </c>
    </row>
    <row r="3872" spans="1:6" x14ac:dyDescent="0.25">
      <c r="A3872" s="140">
        <v>45728.625</v>
      </c>
      <c r="B3872" t="s">
        <v>3979</v>
      </c>
      <c r="C3872" t="s">
        <v>3956</v>
      </c>
      <c r="D3872" s="6" t="str">
        <f>_xlfn.XLOOKUP(B3872,Indices!$A$2:$A$2676,Indices!$B$2:$B$2676,"")</f>
        <v/>
      </c>
      <c r="E3872" t="str">
        <f>_xlfn.XLOOKUP(B3872,'2025-Q1'!$A$402:$A$448,'2025-Q1'!$A$402:$A$448,"avail")</f>
        <v>avail</v>
      </c>
      <c r="F3872" t="str">
        <f>_xlfn.XLOOKUP(B3872,'[2]!! -- Stock Universe 12.11.24'!$C$2:$C$1621,'[2]!! -- Stock Universe 12.11.24'!$E$2:$E$1621,"")</f>
        <v/>
      </c>
    </row>
    <row r="3873" spans="1:6" x14ac:dyDescent="0.25">
      <c r="A3873" s="140">
        <v>45728.625</v>
      </c>
      <c r="B3873" t="s">
        <v>3978</v>
      </c>
      <c r="C3873" t="s">
        <v>3956</v>
      </c>
      <c r="D3873" s="6" t="str">
        <f>_xlfn.XLOOKUP(B3873,Indices!$A$2:$A$2676,Indices!$B$2:$B$2676,"")</f>
        <v/>
      </c>
      <c r="E3873" t="str">
        <f>_xlfn.XLOOKUP(B3873,'2025-Q1'!$A$402:$A$448,'2025-Q1'!$A$402:$A$448,"avail")</f>
        <v>avail</v>
      </c>
      <c r="F3873" t="str">
        <f>_xlfn.XLOOKUP(B3873,'[2]!! -- Stock Universe 12.11.24'!$C$2:$C$1621,'[2]!! -- Stock Universe 12.11.24'!$E$2:$E$1621,"")</f>
        <v/>
      </c>
    </row>
    <row r="3874" spans="1:6" x14ac:dyDescent="0.25">
      <c r="A3874" s="140">
        <v>45728.625</v>
      </c>
      <c r="B3874" t="s">
        <v>3991</v>
      </c>
      <c r="C3874" t="s">
        <v>3956</v>
      </c>
      <c r="D3874" s="6" t="str">
        <f>_xlfn.XLOOKUP(B3874,Indices!$A$2:$A$2676,Indices!$B$2:$B$2676,"")</f>
        <v/>
      </c>
      <c r="E3874" t="str">
        <f>_xlfn.XLOOKUP(B3874,'2025-Q1'!$A$402:$A$448,'2025-Q1'!$A$402:$A$448,"avail")</f>
        <v>avail</v>
      </c>
      <c r="F3874" t="str">
        <f>_xlfn.XLOOKUP(B3874,'[2]!! -- Stock Universe 12.11.24'!$C$2:$C$1621,'[2]!! -- Stock Universe 12.11.24'!$E$2:$E$1621,"")</f>
        <v/>
      </c>
    </row>
    <row r="3875" spans="1:6" x14ac:dyDescent="0.25">
      <c r="A3875" s="140">
        <v>45728.625</v>
      </c>
      <c r="B3875" t="s">
        <v>3988</v>
      </c>
      <c r="C3875" t="s">
        <v>3956</v>
      </c>
      <c r="D3875" s="6" t="str">
        <f>_xlfn.XLOOKUP(B3875,Indices!$A$2:$A$2676,Indices!$B$2:$B$2676,"")</f>
        <v/>
      </c>
      <c r="E3875" t="str">
        <f>_xlfn.XLOOKUP(B3875,'2025-Q1'!$A$402:$A$448,'2025-Q1'!$A$402:$A$448,"avail")</f>
        <v>avail</v>
      </c>
      <c r="F3875" t="str">
        <f>_xlfn.XLOOKUP(B3875,'[2]!! -- Stock Universe 12.11.24'!$C$2:$C$1621,'[2]!! -- Stock Universe 12.11.24'!$E$2:$E$1621,"")</f>
        <v/>
      </c>
    </row>
    <row r="3876" spans="1:6" x14ac:dyDescent="0.25">
      <c r="A3876" s="140">
        <v>45728.625</v>
      </c>
      <c r="B3876" t="s">
        <v>3959</v>
      </c>
      <c r="C3876" t="s">
        <v>3956</v>
      </c>
      <c r="D3876" s="6" t="str">
        <f>_xlfn.XLOOKUP(B3876,Indices!$A$2:$A$2676,Indices!$B$2:$B$2676,"")</f>
        <v/>
      </c>
      <c r="E3876" t="str">
        <f>_xlfn.XLOOKUP(B3876,'2025-Q1'!$A$402:$A$448,'2025-Q1'!$A$402:$A$448,"avail")</f>
        <v>avail</v>
      </c>
      <c r="F3876" t="str">
        <f>_xlfn.XLOOKUP(B3876,'[2]!! -- Stock Universe 12.11.24'!$C$2:$C$1621,'[2]!! -- Stock Universe 12.11.24'!$E$2:$E$1621,"")</f>
        <v/>
      </c>
    </row>
    <row r="3877" spans="1:6" x14ac:dyDescent="0.25">
      <c r="A3877" s="140">
        <v>45728.625</v>
      </c>
      <c r="B3877" t="s">
        <v>3960</v>
      </c>
      <c r="C3877" t="s">
        <v>3956</v>
      </c>
      <c r="D3877" s="6" t="str">
        <f>_xlfn.XLOOKUP(B3877,Indices!$A$2:$A$2676,Indices!$B$2:$B$2676,"")</f>
        <v/>
      </c>
      <c r="E3877" t="str">
        <f>_xlfn.XLOOKUP(B3877,'2025-Q1'!$A$402:$A$448,'2025-Q1'!$A$402:$A$448,"avail")</f>
        <v>avail</v>
      </c>
      <c r="F3877" t="str">
        <f>_xlfn.XLOOKUP(B3877,'[2]!! -- Stock Universe 12.11.24'!$C$2:$C$1621,'[2]!! -- Stock Universe 12.11.24'!$E$2:$E$1621,"")</f>
        <v/>
      </c>
    </row>
    <row r="3878" spans="1:6" x14ac:dyDescent="0.25">
      <c r="A3878" s="140">
        <v>45728.625</v>
      </c>
      <c r="B3878" t="s">
        <v>3987</v>
      </c>
      <c r="C3878" t="s">
        <v>3956</v>
      </c>
      <c r="D3878" s="6" t="str">
        <f>_xlfn.XLOOKUP(B3878,Indices!$A$2:$A$2676,Indices!$B$2:$B$2676,"")</f>
        <v/>
      </c>
      <c r="E3878" t="str">
        <f>_xlfn.XLOOKUP(B3878,'2025-Q1'!$A$402:$A$448,'2025-Q1'!$A$402:$A$448,"avail")</f>
        <v>avail</v>
      </c>
      <c r="F3878" t="str">
        <f>_xlfn.XLOOKUP(B3878,'[2]!! -- Stock Universe 12.11.24'!$C$2:$C$1621,'[2]!! -- Stock Universe 12.11.24'!$E$2:$E$1621,"")</f>
        <v/>
      </c>
    </row>
    <row r="3879" spans="1:6" x14ac:dyDescent="0.25">
      <c r="A3879" s="140">
        <v>45728.625</v>
      </c>
      <c r="B3879" t="s">
        <v>3992</v>
      </c>
      <c r="C3879" t="s">
        <v>3956</v>
      </c>
      <c r="D3879" s="6" t="str">
        <f>_xlfn.XLOOKUP(B3879,Indices!$A$2:$A$2676,Indices!$B$2:$B$2676,"")</f>
        <v/>
      </c>
      <c r="E3879" t="str">
        <f>_xlfn.XLOOKUP(B3879,'2025-Q1'!$A$402:$A$448,'2025-Q1'!$A$402:$A$448,"avail")</f>
        <v>avail</v>
      </c>
      <c r="F3879" t="str">
        <f>_xlfn.XLOOKUP(B3879,'[2]!! -- Stock Universe 12.11.24'!$C$2:$C$1621,'[2]!! -- Stock Universe 12.11.24'!$E$2:$E$1621,"")</f>
        <v/>
      </c>
    </row>
    <row r="3880" spans="1:6" x14ac:dyDescent="0.25">
      <c r="A3880" s="140">
        <v>45728.625</v>
      </c>
      <c r="B3880" t="s">
        <v>3963</v>
      </c>
      <c r="C3880" t="s">
        <v>3956</v>
      </c>
      <c r="D3880" s="6" t="str">
        <f>_xlfn.XLOOKUP(B3880,Indices!$A$2:$A$2676,Indices!$B$2:$B$2676,"")</f>
        <v/>
      </c>
      <c r="E3880" t="str">
        <f>_xlfn.XLOOKUP(B3880,'2025-Q1'!$A$402:$A$448,'2025-Q1'!$A$402:$A$448,"avail")</f>
        <v>avail</v>
      </c>
      <c r="F3880" t="str">
        <f>_xlfn.XLOOKUP(B3880,'[2]!! -- Stock Universe 12.11.24'!$C$2:$C$1621,'[2]!! -- Stock Universe 12.11.24'!$E$2:$E$1621,"")</f>
        <v>Consumer Cyclical</v>
      </c>
    </row>
    <row r="3881" spans="1:6" x14ac:dyDescent="0.25">
      <c r="A3881" s="140">
        <v>45728.625</v>
      </c>
      <c r="B3881" t="s">
        <v>3975</v>
      </c>
      <c r="C3881" t="s">
        <v>3956</v>
      </c>
      <c r="D3881" s="6" t="str">
        <f>_xlfn.XLOOKUP(B3881,Indices!$A$2:$A$2676,Indices!$B$2:$B$2676,"")</f>
        <v/>
      </c>
      <c r="E3881" t="str">
        <f>_xlfn.XLOOKUP(B3881,'2025-Q1'!$A$402:$A$448,'2025-Q1'!$A$402:$A$448,"avail")</f>
        <v>avail</v>
      </c>
      <c r="F3881" t="str">
        <f>_xlfn.XLOOKUP(B3881,'[2]!! -- Stock Universe 12.11.24'!$C$2:$C$1621,'[2]!! -- Stock Universe 12.11.24'!$E$2:$E$1621,"")</f>
        <v/>
      </c>
    </row>
    <row r="3882" spans="1:6" x14ac:dyDescent="0.25">
      <c r="A3882" s="140">
        <v>45728.625</v>
      </c>
      <c r="B3882" t="s">
        <v>4179</v>
      </c>
      <c r="C3882" t="s">
        <v>3956</v>
      </c>
      <c r="D3882" s="6" t="str">
        <f>_xlfn.XLOOKUP(B3882,Indices!$A$2:$A$2676,Indices!$B$2:$B$2676,"")</f>
        <v/>
      </c>
      <c r="E3882" t="str">
        <f>_xlfn.XLOOKUP(B3882,'2025-Q1'!$A$402:$A$448,'2025-Q1'!$A$402:$A$448,"avail")</f>
        <v>avail</v>
      </c>
      <c r="F3882" t="str">
        <f>_xlfn.XLOOKUP(B3882,'[2]!! -- Stock Universe 12.11.24'!$C$2:$C$1621,'[2]!! -- Stock Universe 12.11.24'!$E$2:$E$1621,"")</f>
        <v/>
      </c>
    </row>
    <row r="3883" spans="1:6" x14ac:dyDescent="0.25">
      <c r="A3883" s="140">
        <v>45728.625</v>
      </c>
      <c r="B3883" t="s">
        <v>4228</v>
      </c>
      <c r="C3883" t="s">
        <v>3956</v>
      </c>
      <c r="D3883" s="6" t="str">
        <f>_xlfn.XLOOKUP(B3883,Indices!$A$2:$A$2676,Indices!$B$2:$B$2676,"")</f>
        <v/>
      </c>
      <c r="E3883" t="str">
        <f>_xlfn.XLOOKUP(B3883,'2025-Q1'!$A$402:$A$448,'2025-Q1'!$A$402:$A$448,"avail")</f>
        <v>PATH</v>
      </c>
      <c r="F3883" t="str">
        <f>_xlfn.XLOOKUP(B3883,'[2]!! -- Stock Universe 12.11.24'!$C$2:$C$1621,'[2]!! -- Stock Universe 12.11.24'!$E$2:$E$1621,"")</f>
        <v>Technology</v>
      </c>
    </row>
    <row r="3884" spans="1:6" x14ac:dyDescent="0.25">
      <c r="A3884" s="140">
        <v>45728.625</v>
      </c>
      <c r="B3884" t="s">
        <v>3989</v>
      </c>
      <c r="C3884" t="s">
        <v>3956</v>
      </c>
      <c r="D3884" s="6" t="str">
        <f>_xlfn.XLOOKUP(B3884,Indices!$A$2:$A$2676,Indices!$B$2:$B$2676,"")</f>
        <v/>
      </c>
      <c r="E3884" t="str">
        <f>_xlfn.XLOOKUP(B3884,'2025-Q1'!$A$402:$A$448,'2025-Q1'!$A$402:$A$448,"avail")</f>
        <v>avail</v>
      </c>
      <c r="F3884" t="str">
        <f>_xlfn.XLOOKUP(B3884,'[2]!! -- Stock Universe 12.11.24'!$C$2:$C$1621,'[2]!! -- Stock Universe 12.11.24'!$E$2:$E$1621,"")</f>
        <v/>
      </c>
    </row>
    <row r="3885" spans="1:6" x14ac:dyDescent="0.25">
      <c r="A3885" s="140">
        <v>45728.625</v>
      </c>
      <c r="B3885" t="s">
        <v>3964</v>
      </c>
      <c r="C3885" t="s">
        <v>3956</v>
      </c>
      <c r="D3885" s="6" t="str">
        <f>_xlfn.XLOOKUP(B3885,Indices!$A$2:$A$2676,Indices!$B$2:$B$2676,"")</f>
        <v/>
      </c>
      <c r="E3885" t="str">
        <f>_xlfn.XLOOKUP(B3885,'2025-Q1'!$A$402:$A$448,'2025-Q1'!$A$402:$A$448,"avail")</f>
        <v>avail</v>
      </c>
      <c r="F3885" t="str">
        <f>_xlfn.XLOOKUP(B3885,'[2]!! -- Stock Universe 12.11.24'!$C$2:$C$1621,'[2]!! -- Stock Universe 12.11.24'!$E$2:$E$1621,"")</f>
        <v/>
      </c>
    </row>
    <row r="3886" spans="1:6" x14ac:dyDescent="0.25">
      <c r="A3886" s="140">
        <v>45728.625</v>
      </c>
      <c r="B3886" t="s">
        <v>446</v>
      </c>
      <c r="C3886" t="s">
        <v>3956</v>
      </c>
      <c r="D3886" s="6" t="str">
        <f>_xlfn.XLOOKUP(B3886,Indices!$A$2:$A$2676,Indices!$B$2:$B$2676,"")</f>
        <v>IWM</v>
      </c>
      <c r="E3886" t="str">
        <f>_xlfn.XLOOKUP(B3886,'2025-Q1'!$A$402:$A$448,'2025-Q1'!$A$402:$A$448,"avail")</f>
        <v>avail</v>
      </c>
      <c r="F3886" t="str">
        <f>_xlfn.XLOOKUP(B3886,'[2]!! -- Stock Universe 12.11.24'!$C$2:$C$1621,'[2]!! -- Stock Universe 12.11.24'!$E$2:$E$1621,"")</f>
        <v/>
      </c>
    </row>
    <row r="3887" spans="1:6" x14ac:dyDescent="0.25">
      <c r="A3887" s="140">
        <v>45728.625</v>
      </c>
      <c r="B3887" t="s">
        <v>2206</v>
      </c>
      <c r="C3887" t="s">
        <v>3956</v>
      </c>
      <c r="D3887" s="6" t="str">
        <f>_xlfn.XLOOKUP(B3887,Indices!$A$2:$A$2676,Indices!$B$2:$B$2676,"")</f>
        <v>IWM</v>
      </c>
      <c r="E3887" t="str">
        <f>_xlfn.XLOOKUP(B3887,'2025-Q1'!$A$402:$A$448,'2025-Q1'!$A$402:$A$448,"avail")</f>
        <v>avail</v>
      </c>
      <c r="F3887" t="str">
        <f>_xlfn.XLOOKUP(B3887,'[2]!! -- Stock Universe 12.11.24'!$C$2:$C$1621,'[2]!! -- Stock Universe 12.11.24'!$E$2:$E$1621,"")</f>
        <v/>
      </c>
    </row>
    <row r="3888" spans="1:6" x14ac:dyDescent="0.25">
      <c r="A3888" s="140">
        <v>45728.625</v>
      </c>
      <c r="B3888" t="s">
        <v>3968</v>
      </c>
      <c r="C3888" t="s">
        <v>3956</v>
      </c>
      <c r="D3888" s="6" t="str">
        <f>_xlfn.XLOOKUP(B3888,Indices!$A$2:$A$2676,Indices!$B$2:$B$2676,"")</f>
        <v/>
      </c>
      <c r="E3888" t="str">
        <f>_xlfn.XLOOKUP(B3888,'2025-Q1'!$A$402:$A$448,'2025-Q1'!$A$402:$A$448,"avail")</f>
        <v>avail</v>
      </c>
      <c r="F3888" t="str">
        <f>_xlfn.XLOOKUP(B3888,'[2]!! -- Stock Universe 12.11.24'!$C$2:$C$1621,'[2]!! -- Stock Universe 12.11.24'!$E$2:$E$1621,"")</f>
        <v>Technology</v>
      </c>
    </row>
    <row r="3889" spans="1:6" x14ac:dyDescent="0.25">
      <c r="A3889" s="140">
        <v>45728.625</v>
      </c>
      <c r="B3889" t="s">
        <v>3965</v>
      </c>
      <c r="C3889" t="s">
        <v>3956</v>
      </c>
      <c r="D3889" s="6" t="str">
        <f>_xlfn.XLOOKUP(B3889,Indices!$A$2:$A$2676,Indices!$B$2:$B$2676,"")</f>
        <v/>
      </c>
      <c r="E3889" t="str">
        <f>_xlfn.XLOOKUP(B3889,'2025-Q1'!$A$402:$A$448,'2025-Q1'!$A$402:$A$448,"avail")</f>
        <v>avail</v>
      </c>
      <c r="F3889" t="str">
        <f>_xlfn.XLOOKUP(B3889,'[2]!! -- Stock Universe 12.11.24'!$C$2:$C$1621,'[2]!! -- Stock Universe 12.11.24'!$E$2:$E$1621,"")</f>
        <v>Energy</v>
      </c>
    </row>
    <row r="3890" spans="1:6" x14ac:dyDescent="0.25">
      <c r="A3890" s="140">
        <v>45728.625</v>
      </c>
      <c r="B3890" t="s">
        <v>878</v>
      </c>
      <c r="C3890" t="s">
        <v>3956</v>
      </c>
      <c r="D3890" s="6" t="str">
        <f>_xlfn.XLOOKUP(B3890,Indices!$A$2:$A$2676,Indices!$B$2:$B$2676,"")</f>
        <v>IWM</v>
      </c>
      <c r="E3890" t="str">
        <f>_xlfn.XLOOKUP(B3890,'2025-Q1'!$A$402:$A$448,'2025-Q1'!$A$402:$A$448,"avail")</f>
        <v>avail</v>
      </c>
      <c r="F3890" t="str">
        <f>_xlfn.XLOOKUP(B3890,'[2]!! -- Stock Universe 12.11.24'!$C$2:$C$1621,'[2]!! -- Stock Universe 12.11.24'!$E$2:$E$1621,"")</f>
        <v>Energy</v>
      </c>
    </row>
    <row r="3891" spans="1:6" x14ac:dyDescent="0.25">
      <c r="A3891" s="140">
        <v>45728.625</v>
      </c>
      <c r="B3891" t="s">
        <v>400</v>
      </c>
      <c r="C3891" t="s">
        <v>3956</v>
      </c>
      <c r="D3891" s="6" t="str">
        <f>_xlfn.XLOOKUP(B3891,Indices!$A$2:$A$2676,Indices!$B$2:$B$2676,"")</f>
        <v>IWM</v>
      </c>
      <c r="E3891" t="str">
        <f>_xlfn.XLOOKUP(B3891,'2025-Q1'!$A$402:$A$448,'2025-Q1'!$A$402:$A$448,"avail")</f>
        <v>avail</v>
      </c>
      <c r="F3891" t="str">
        <f>_xlfn.XLOOKUP(B3891,'[2]!! -- Stock Universe 12.11.24'!$C$2:$C$1621,'[2]!! -- Stock Universe 12.11.24'!$E$2:$E$1621,"")</f>
        <v/>
      </c>
    </row>
    <row r="3892" spans="1:6" x14ac:dyDescent="0.25">
      <c r="A3892" s="140">
        <v>45728.625</v>
      </c>
      <c r="B3892" t="s">
        <v>3970</v>
      </c>
      <c r="C3892" t="s">
        <v>3956</v>
      </c>
      <c r="D3892" s="6" t="str">
        <f>_xlfn.XLOOKUP(B3892,Indices!$A$2:$A$2676,Indices!$B$2:$B$2676,"")</f>
        <v/>
      </c>
      <c r="E3892" t="str">
        <f>_xlfn.XLOOKUP(B3892,'2025-Q1'!$A$402:$A$448,'2025-Q1'!$A$402:$A$448,"avail")</f>
        <v>avail</v>
      </c>
      <c r="F3892" t="str">
        <f>_xlfn.XLOOKUP(B3892,'[2]!! -- Stock Universe 12.11.24'!$C$2:$C$1621,'[2]!! -- Stock Universe 12.11.24'!$E$2:$E$1621,"")</f>
        <v/>
      </c>
    </row>
    <row r="3893" spans="1:6" x14ac:dyDescent="0.25">
      <c r="A3893" s="140">
        <v>45728.625</v>
      </c>
      <c r="B3893" t="s">
        <v>2306</v>
      </c>
      <c r="C3893" t="s">
        <v>3956</v>
      </c>
      <c r="D3893" s="6" t="str">
        <f>_xlfn.XLOOKUP(B3893,Indices!$A$2:$A$2676,Indices!$B$2:$B$2676,"")</f>
        <v>IWM</v>
      </c>
      <c r="E3893" t="str">
        <f>_xlfn.XLOOKUP(B3893,'2025-Q1'!$A$402:$A$448,'2025-Q1'!$A$402:$A$448,"avail")</f>
        <v>avail</v>
      </c>
      <c r="F3893" t="str">
        <f>_xlfn.XLOOKUP(B3893,'[2]!! -- Stock Universe 12.11.24'!$C$2:$C$1621,'[2]!! -- Stock Universe 12.11.24'!$E$2:$E$1621,"")</f>
        <v/>
      </c>
    </row>
    <row r="3894" spans="1:6" x14ac:dyDescent="0.25">
      <c r="A3894" s="140">
        <v>45728.625</v>
      </c>
      <c r="B3894" t="s">
        <v>3973</v>
      </c>
      <c r="C3894" t="s">
        <v>3956</v>
      </c>
      <c r="D3894" s="6" t="str">
        <f>_xlfn.XLOOKUP(B3894,Indices!$A$2:$A$2676,Indices!$B$2:$B$2676,"")</f>
        <v/>
      </c>
      <c r="E3894" t="str">
        <f>_xlfn.XLOOKUP(B3894,'2025-Q1'!$A$402:$A$448,'2025-Q1'!$A$402:$A$448,"avail")</f>
        <v>avail</v>
      </c>
      <c r="F3894" t="str">
        <f>_xlfn.XLOOKUP(B3894,'[2]!! -- Stock Universe 12.11.24'!$C$2:$C$1621,'[2]!! -- Stock Universe 12.11.24'!$E$2:$E$1621,"")</f>
        <v/>
      </c>
    </row>
    <row r="3895" spans="1:6" x14ac:dyDescent="0.25">
      <c r="A3895" s="140">
        <v>45728.625</v>
      </c>
      <c r="B3895" t="s">
        <v>978</v>
      </c>
      <c r="C3895" t="s">
        <v>3956</v>
      </c>
      <c r="D3895" s="6" t="str">
        <f>_xlfn.XLOOKUP(B3895,Indices!$A$2:$A$2676,Indices!$B$2:$B$2676,"")</f>
        <v>IWM</v>
      </c>
      <c r="E3895" t="str">
        <f>_xlfn.XLOOKUP(B3895,'2025-Q1'!$A$402:$A$448,'2025-Q1'!$A$402:$A$448,"avail")</f>
        <v>avail</v>
      </c>
      <c r="F3895" t="str">
        <f>_xlfn.XLOOKUP(B3895,'[2]!! -- Stock Universe 12.11.24'!$C$2:$C$1621,'[2]!! -- Stock Universe 12.11.24'!$E$2:$E$1621,"")</f>
        <v>Energy</v>
      </c>
    </row>
    <row r="3896" spans="1:6" x14ac:dyDescent="0.25">
      <c r="A3896" s="140">
        <v>45728.625</v>
      </c>
      <c r="B3896" t="s">
        <v>4087</v>
      </c>
      <c r="C3896" t="s">
        <v>3956</v>
      </c>
      <c r="D3896" s="6" t="str">
        <f>_xlfn.XLOOKUP(B3896,Indices!$A$2:$A$2676,Indices!$B$2:$B$2676,"")</f>
        <v/>
      </c>
      <c r="E3896" t="str">
        <f>_xlfn.XLOOKUP(B3896,'2025-Q1'!$A$402:$A$448,'2025-Q1'!$A$402:$A$448,"avail")</f>
        <v>avail</v>
      </c>
      <c r="F3896" t="str">
        <f>_xlfn.XLOOKUP(B3896,'[2]!! -- Stock Universe 12.11.24'!$C$2:$C$1621,'[2]!! -- Stock Universe 12.11.24'!$E$2:$E$1621,"")</f>
        <v/>
      </c>
    </row>
    <row r="3897" spans="1:6" x14ac:dyDescent="0.25">
      <c r="A3897" s="140">
        <v>45728.625</v>
      </c>
      <c r="B3897" t="s">
        <v>3971</v>
      </c>
      <c r="C3897" t="s">
        <v>3956</v>
      </c>
      <c r="D3897" s="6" t="str">
        <f>_xlfn.XLOOKUP(B3897,Indices!$A$2:$A$2676,Indices!$B$2:$B$2676,"")</f>
        <v/>
      </c>
      <c r="E3897" t="str">
        <f>_xlfn.XLOOKUP(B3897,'2025-Q1'!$A$402:$A$448,'2025-Q1'!$A$402:$A$448,"avail")</f>
        <v>avail</v>
      </c>
      <c r="F3897" t="str">
        <f>_xlfn.XLOOKUP(B3897,'[2]!! -- Stock Universe 12.11.24'!$C$2:$C$1621,'[2]!! -- Stock Universe 12.11.24'!$E$2:$E$1621,"")</f>
        <v/>
      </c>
    </row>
    <row r="3898" spans="1:6" x14ac:dyDescent="0.25">
      <c r="A3898" s="140">
        <v>45728.625</v>
      </c>
      <c r="B3898" t="s">
        <v>3966</v>
      </c>
      <c r="C3898" t="s">
        <v>3956</v>
      </c>
      <c r="D3898" s="6" t="str">
        <f>_xlfn.XLOOKUP(B3898,Indices!$A$2:$A$2676,Indices!$B$2:$B$2676,"")</f>
        <v/>
      </c>
      <c r="E3898" t="str">
        <f>_xlfn.XLOOKUP(B3898,'2025-Q1'!$A$402:$A$448,'2025-Q1'!$A$402:$A$448,"avail")</f>
        <v>avail</v>
      </c>
      <c r="F3898" t="str">
        <f>_xlfn.XLOOKUP(B3898,'[2]!! -- Stock Universe 12.11.24'!$C$2:$C$1621,'[2]!! -- Stock Universe 12.11.24'!$E$2:$E$1621,"")</f>
        <v/>
      </c>
    </row>
    <row r="3899" spans="1:6" x14ac:dyDescent="0.25">
      <c r="A3899" s="140">
        <v>45728.625</v>
      </c>
      <c r="B3899" t="s">
        <v>1237</v>
      </c>
      <c r="C3899" t="s">
        <v>3956</v>
      </c>
      <c r="D3899" s="6" t="str">
        <f>_xlfn.XLOOKUP(B3899,Indices!$A$2:$A$2676,Indices!$B$2:$B$2676,"")</f>
        <v>IWM</v>
      </c>
      <c r="E3899" t="str">
        <f>_xlfn.XLOOKUP(B3899,'2025-Q1'!$A$402:$A$448,'2025-Q1'!$A$402:$A$448,"avail")</f>
        <v>avail</v>
      </c>
      <c r="F3899" t="str">
        <f>_xlfn.XLOOKUP(B3899,'[2]!! -- Stock Universe 12.11.24'!$C$2:$C$1621,'[2]!! -- Stock Universe 12.11.24'!$E$2:$E$1621,"")</f>
        <v>Healthcare</v>
      </c>
    </row>
    <row r="3900" spans="1:6" x14ac:dyDescent="0.25">
      <c r="A3900" s="140">
        <v>45728.625</v>
      </c>
      <c r="B3900" t="s">
        <v>3967</v>
      </c>
      <c r="C3900" t="s">
        <v>3956</v>
      </c>
      <c r="D3900" s="6" t="str">
        <f>_xlfn.XLOOKUP(B3900,Indices!$A$2:$A$2676,Indices!$B$2:$B$2676,"")</f>
        <v/>
      </c>
      <c r="E3900" t="str">
        <f>_xlfn.XLOOKUP(B3900,'2025-Q1'!$A$402:$A$448,'2025-Q1'!$A$402:$A$448,"avail")</f>
        <v>avail</v>
      </c>
      <c r="F3900" t="str">
        <f>_xlfn.XLOOKUP(B3900,'[2]!! -- Stock Universe 12.11.24'!$C$2:$C$1621,'[2]!! -- Stock Universe 12.11.24'!$E$2:$E$1621,"")</f>
        <v/>
      </c>
    </row>
    <row r="3901" spans="1:6" x14ac:dyDescent="0.25">
      <c r="A3901" s="140">
        <v>45728.625</v>
      </c>
      <c r="B3901" t="s">
        <v>3981</v>
      </c>
      <c r="C3901" t="s">
        <v>3956</v>
      </c>
      <c r="D3901" s="6" t="str">
        <f>_xlfn.XLOOKUP(B3901,Indices!$A$2:$A$2676,Indices!$B$2:$B$2676,"")</f>
        <v/>
      </c>
      <c r="E3901" t="str">
        <f>_xlfn.XLOOKUP(B3901,'2025-Q1'!$A$402:$A$448,'2025-Q1'!$A$402:$A$448,"avail")</f>
        <v>S</v>
      </c>
      <c r="F3901" t="str">
        <f>_xlfn.XLOOKUP(B3901,'[2]!! -- Stock Universe 12.11.24'!$C$2:$C$1621,'[2]!! -- Stock Universe 12.11.24'!$E$2:$E$1621,"")</f>
        <v>Technology</v>
      </c>
    </row>
    <row r="3902" spans="1:6" x14ac:dyDescent="0.25">
      <c r="A3902" s="140">
        <v>45728.625</v>
      </c>
      <c r="B3902" t="s">
        <v>3984</v>
      </c>
      <c r="C3902" t="s">
        <v>3956</v>
      </c>
      <c r="D3902" s="6" t="str">
        <f>_xlfn.XLOOKUP(B3902,Indices!$A$2:$A$2676,Indices!$B$2:$B$2676,"")</f>
        <v/>
      </c>
      <c r="E3902" t="str">
        <f>_xlfn.XLOOKUP(B3902,'2025-Q1'!$A$402:$A$448,'2025-Q1'!$A$402:$A$448,"avail")</f>
        <v>avail</v>
      </c>
      <c r="F3902" t="str">
        <f>_xlfn.XLOOKUP(B3902,'[2]!! -- Stock Universe 12.11.24'!$C$2:$C$1621,'[2]!! -- Stock Universe 12.11.24'!$E$2:$E$1621,"")</f>
        <v/>
      </c>
    </row>
    <row r="3903" spans="1:6" x14ac:dyDescent="0.25">
      <c r="A3903" s="140">
        <v>45728.625</v>
      </c>
      <c r="B3903" t="s">
        <v>3980</v>
      </c>
      <c r="C3903" t="s">
        <v>3956</v>
      </c>
      <c r="D3903" s="6" t="str">
        <f>_xlfn.XLOOKUP(B3903,Indices!$A$2:$A$2676,Indices!$B$2:$B$2676,"")</f>
        <v/>
      </c>
      <c r="E3903" t="str">
        <f>_xlfn.XLOOKUP(B3903,'2025-Q1'!$A$402:$A$448,'2025-Q1'!$A$402:$A$448,"avail")</f>
        <v>avail</v>
      </c>
      <c r="F3903" t="str">
        <f>_xlfn.XLOOKUP(B3903,'[2]!! -- Stock Universe 12.11.24'!$C$2:$C$1621,'[2]!! -- Stock Universe 12.11.24'!$E$2:$E$1621,"")</f>
        <v/>
      </c>
    </row>
    <row r="3904" spans="1:6" x14ac:dyDescent="0.25">
      <c r="A3904" s="140">
        <v>45728.625</v>
      </c>
      <c r="B3904" t="s">
        <v>3993</v>
      </c>
      <c r="C3904" t="s">
        <v>3956</v>
      </c>
      <c r="D3904" s="6" t="str">
        <f>_xlfn.XLOOKUP(B3904,Indices!$A$2:$A$2676,Indices!$B$2:$B$2676,"")</f>
        <v/>
      </c>
      <c r="E3904" t="str">
        <f>_xlfn.XLOOKUP(B3904,'2025-Q1'!$A$402:$A$448,'2025-Q1'!$A$402:$A$448,"avail")</f>
        <v>avail</v>
      </c>
      <c r="F3904" t="str">
        <f>_xlfn.XLOOKUP(B3904,'[2]!! -- Stock Universe 12.11.24'!$C$2:$C$1621,'[2]!! -- Stock Universe 12.11.24'!$E$2:$E$1621,"")</f>
        <v/>
      </c>
    </row>
    <row r="3905" spans="1:6" x14ac:dyDescent="0.25">
      <c r="A3905" s="140">
        <v>45728.625</v>
      </c>
      <c r="B3905" t="s">
        <v>1262</v>
      </c>
      <c r="C3905" t="s">
        <v>3956</v>
      </c>
      <c r="D3905" s="6" t="str">
        <f>_xlfn.XLOOKUP(B3905,Indices!$A$2:$A$2676,Indices!$B$2:$B$2676,"")</f>
        <v>SP500</v>
      </c>
      <c r="E3905" t="str">
        <f>_xlfn.XLOOKUP(B3905,'2025-Q1'!$A$402:$A$448,'2025-Q1'!$A$402:$A$448,"avail")</f>
        <v>ADBE</v>
      </c>
      <c r="F3905" t="str">
        <f>_xlfn.XLOOKUP(B3905,'[2]!! -- Stock Universe 12.11.24'!$C$2:$C$1621,'[2]!! -- Stock Universe 12.11.24'!$E$2:$E$1621,"")</f>
        <v>Technology</v>
      </c>
    </row>
    <row r="3906" spans="1:6" x14ac:dyDescent="0.25">
      <c r="A3906" s="140">
        <v>45728.625</v>
      </c>
      <c r="B3906" t="s">
        <v>3839</v>
      </c>
      <c r="C3906" t="s">
        <v>3956</v>
      </c>
      <c r="D3906" s="6" t="str">
        <f>_xlfn.XLOOKUP(B3906,Indices!$A$2:$A$2676,Indices!$B$2:$B$2676,"")</f>
        <v/>
      </c>
      <c r="E3906" t="str">
        <f>_xlfn.XLOOKUP(B3906,'2025-Q1'!$A$402:$A$448,'2025-Q1'!$A$402:$A$448,"avail")</f>
        <v>avail</v>
      </c>
      <c r="F3906" t="str">
        <f>_xlfn.XLOOKUP(B3906,'[2]!! -- Stock Universe 12.11.24'!$C$2:$C$1621,'[2]!! -- Stock Universe 12.11.24'!$E$2:$E$1621,"")</f>
        <v/>
      </c>
    </row>
    <row r="3907" spans="1:6" x14ac:dyDescent="0.25">
      <c r="A3907" s="140">
        <v>45728.625</v>
      </c>
      <c r="B3907" t="s">
        <v>3982</v>
      </c>
      <c r="C3907" t="s">
        <v>3956</v>
      </c>
      <c r="D3907" s="6" t="str">
        <f>_xlfn.XLOOKUP(B3907,Indices!$A$2:$A$2676,Indices!$B$2:$B$2676,"")</f>
        <v/>
      </c>
      <c r="E3907" t="str">
        <f>_xlfn.XLOOKUP(B3907,'2025-Q1'!$A$402:$A$448,'2025-Q1'!$A$402:$A$448,"avail")</f>
        <v>avail</v>
      </c>
      <c r="F3907" t="str">
        <f>_xlfn.XLOOKUP(B3907,'[2]!! -- Stock Universe 12.11.24'!$C$2:$C$1621,'[2]!! -- Stock Universe 12.11.24'!$E$2:$E$1621,"")</f>
        <v/>
      </c>
    </row>
    <row r="3908" spans="1:6" x14ac:dyDescent="0.25">
      <c r="A3908" s="140">
        <v>45728.625</v>
      </c>
      <c r="B3908" t="s">
        <v>4102</v>
      </c>
      <c r="C3908" t="s">
        <v>3956</v>
      </c>
      <c r="D3908" s="6" t="str">
        <f>_xlfn.XLOOKUP(B3908,Indices!$A$2:$A$2676,Indices!$B$2:$B$2676,"")</f>
        <v/>
      </c>
      <c r="E3908" t="str">
        <f>_xlfn.XLOOKUP(B3908,'2025-Q1'!$A$402:$A$448,'2025-Q1'!$A$402:$A$448,"avail")</f>
        <v>avail</v>
      </c>
      <c r="F3908" t="str">
        <f>_xlfn.XLOOKUP(B3908,'[2]!! -- Stock Universe 12.11.24'!$C$2:$C$1621,'[2]!! -- Stock Universe 12.11.24'!$E$2:$E$1621,"")</f>
        <v/>
      </c>
    </row>
    <row r="3909" spans="1:6" x14ac:dyDescent="0.25">
      <c r="A3909" s="140">
        <v>45728.625</v>
      </c>
      <c r="B3909" t="s">
        <v>4150</v>
      </c>
      <c r="C3909" t="s">
        <v>3956</v>
      </c>
      <c r="D3909" s="6" t="str">
        <f>_xlfn.XLOOKUP(B3909,Indices!$A$2:$A$2676,Indices!$B$2:$B$2676,"")</f>
        <v/>
      </c>
      <c r="E3909" t="str">
        <f>_xlfn.XLOOKUP(B3909,'2025-Q1'!$A$402:$A$448,'2025-Q1'!$A$402:$A$448,"avail")</f>
        <v>avail</v>
      </c>
      <c r="F3909" t="str">
        <f>_xlfn.XLOOKUP(B3909,'[2]!! -- Stock Universe 12.11.24'!$C$2:$C$1621,'[2]!! -- Stock Universe 12.11.24'!$E$2:$E$1621,"")</f>
        <v/>
      </c>
    </row>
    <row r="3910" spans="1:6" x14ac:dyDescent="0.25">
      <c r="A3910" s="140">
        <v>45728.625</v>
      </c>
      <c r="B3910" t="s">
        <v>1005</v>
      </c>
      <c r="C3910" t="s">
        <v>3956</v>
      </c>
      <c r="D3910" s="6" t="str">
        <f>_xlfn.XLOOKUP(B3910,Indices!$A$2:$A$2676,Indices!$B$2:$B$2676,"")</f>
        <v>IWM</v>
      </c>
      <c r="E3910" t="str">
        <f>_xlfn.XLOOKUP(B3910,'2025-Q1'!$A$402:$A$448,'2025-Q1'!$A$402:$A$448,"avail")</f>
        <v>avail</v>
      </c>
      <c r="F3910" t="str">
        <f>_xlfn.XLOOKUP(B3910,'[2]!! -- Stock Universe 12.11.24'!$C$2:$C$1621,'[2]!! -- Stock Universe 12.11.24'!$E$2:$E$1621,"")</f>
        <v/>
      </c>
    </row>
    <row r="3911" spans="1:6" x14ac:dyDescent="0.25">
      <c r="A3911" s="140">
        <v>45728.625</v>
      </c>
      <c r="B3911" t="s">
        <v>1247</v>
      </c>
      <c r="C3911" t="s">
        <v>3956</v>
      </c>
      <c r="D3911" s="6" t="str">
        <f>_xlfn.XLOOKUP(B3911,Indices!$A$2:$A$2676,Indices!$B$2:$B$2676,"")</f>
        <v>IWM</v>
      </c>
      <c r="E3911" t="str">
        <f>_xlfn.XLOOKUP(B3911,'2025-Q1'!$A$402:$A$448,'2025-Q1'!$A$402:$A$448,"avail")</f>
        <v>avail</v>
      </c>
      <c r="F3911" t="str">
        <f>_xlfn.XLOOKUP(B3911,'[2]!! -- Stock Universe 12.11.24'!$C$2:$C$1621,'[2]!! -- Stock Universe 12.11.24'!$E$2:$E$1621,"")</f>
        <v/>
      </c>
    </row>
    <row r="3912" spans="1:6" x14ac:dyDescent="0.25">
      <c r="A3912" s="140">
        <v>45728.625</v>
      </c>
      <c r="B3912" t="s">
        <v>2714</v>
      </c>
      <c r="C3912" t="s">
        <v>3956</v>
      </c>
      <c r="D3912" s="6" t="str">
        <f>_xlfn.XLOOKUP(B3912,Indices!$A$2:$A$2676,Indices!$B$2:$B$2676,"")</f>
        <v/>
      </c>
      <c r="E3912" t="str">
        <f>_xlfn.XLOOKUP(B3912,'2025-Q1'!$A$402:$A$448,'2025-Q1'!$A$402:$A$448,"avail")</f>
        <v>avail</v>
      </c>
      <c r="F3912" t="str">
        <f>_xlfn.XLOOKUP(B3912,'[2]!! -- Stock Universe 12.11.24'!$C$2:$C$1621,'[2]!! -- Stock Universe 12.11.24'!$E$2:$E$1621,"")</f>
        <v/>
      </c>
    </row>
    <row r="3913" spans="1:6" x14ac:dyDescent="0.25">
      <c r="A3913" s="140">
        <v>45728.625</v>
      </c>
      <c r="B3913" t="s">
        <v>3962</v>
      </c>
      <c r="C3913" t="s">
        <v>3956</v>
      </c>
      <c r="D3913" s="6" t="str">
        <f>_xlfn.XLOOKUP(B3913,Indices!$A$2:$A$2676,Indices!$B$2:$B$2676,"")</f>
        <v/>
      </c>
      <c r="E3913" t="str">
        <f>_xlfn.XLOOKUP(B3913,'2025-Q1'!$A$402:$A$448,'2025-Q1'!$A$402:$A$448,"avail")</f>
        <v>avail</v>
      </c>
      <c r="F3913" t="str">
        <f>_xlfn.XLOOKUP(B3913,'[2]!! -- Stock Universe 12.11.24'!$C$2:$C$1621,'[2]!! -- Stock Universe 12.11.24'!$E$2:$E$1621,"")</f>
        <v/>
      </c>
    </row>
    <row r="3914" spans="1:6" x14ac:dyDescent="0.25">
      <c r="A3914" s="140">
        <v>45728.625</v>
      </c>
      <c r="B3914" t="s">
        <v>510</v>
      </c>
      <c r="C3914" t="s">
        <v>3956</v>
      </c>
      <c r="D3914" s="6" t="str">
        <f>_xlfn.XLOOKUP(B3914,Indices!$A$2:$A$2676,Indices!$B$2:$B$2676,"")</f>
        <v>IWM</v>
      </c>
      <c r="E3914" t="str">
        <f>_xlfn.XLOOKUP(B3914,'2025-Q1'!$A$402:$A$448,'2025-Q1'!$A$402:$A$448,"avail")</f>
        <v>avail</v>
      </c>
      <c r="F3914" t="str">
        <f>_xlfn.XLOOKUP(B3914,'[2]!! -- Stock Universe 12.11.24'!$C$2:$C$1621,'[2]!! -- Stock Universe 12.11.24'!$E$2:$E$1621,"")</f>
        <v>Energy</v>
      </c>
    </row>
    <row r="3915" spans="1:6" x14ac:dyDescent="0.25">
      <c r="A3915" s="140">
        <v>45728.625</v>
      </c>
      <c r="B3915" t="s">
        <v>3976</v>
      </c>
      <c r="C3915" t="s">
        <v>3956</v>
      </c>
      <c r="D3915" s="6" t="str">
        <f>_xlfn.XLOOKUP(B3915,Indices!$A$2:$A$2676,Indices!$B$2:$B$2676,"")</f>
        <v/>
      </c>
      <c r="E3915" t="str">
        <f>_xlfn.XLOOKUP(B3915,'2025-Q1'!$A$402:$A$448,'2025-Q1'!$A$402:$A$448,"avail")</f>
        <v>avail</v>
      </c>
      <c r="F3915" t="str">
        <f>_xlfn.XLOOKUP(B3915,'[2]!! -- Stock Universe 12.11.24'!$C$2:$C$1621,'[2]!! -- Stock Universe 12.11.24'!$E$2:$E$1621,"")</f>
        <v/>
      </c>
    </row>
    <row r="3916" spans="1:6" x14ac:dyDescent="0.25">
      <c r="A3916" s="140">
        <v>45728.625</v>
      </c>
      <c r="B3916" t="s">
        <v>823</v>
      </c>
      <c r="C3916" t="s">
        <v>3956</v>
      </c>
      <c r="D3916" s="6" t="str">
        <f>_xlfn.XLOOKUP(B3916,Indices!$A$2:$A$2676,Indices!$B$2:$B$2676,"")</f>
        <v>IWM</v>
      </c>
      <c r="E3916" t="str">
        <f>_xlfn.XLOOKUP(B3916,'2025-Q1'!$A$402:$A$448,'2025-Q1'!$A$402:$A$448,"avail")</f>
        <v>avail</v>
      </c>
      <c r="F3916" t="str">
        <f>_xlfn.XLOOKUP(B3916,'[2]!! -- Stock Universe 12.11.24'!$C$2:$C$1621,'[2]!! -- Stock Universe 12.11.24'!$E$2:$E$1621,"")</f>
        <v/>
      </c>
    </row>
    <row r="3917" spans="1:6" x14ac:dyDescent="0.25">
      <c r="A3917" s="140">
        <v>45728.625</v>
      </c>
      <c r="B3917" t="s">
        <v>4056</v>
      </c>
      <c r="C3917" t="s">
        <v>3956</v>
      </c>
      <c r="D3917" s="6" t="str">
        <f>_xlfn.XLOOKUP(B3917,Indices!$A$2:$A$2676,Indices!$B$2:$B$2676,"")</f>
        <v/>
      </c>
      <c r="E3917" t="str">
        <f>_xlfn.XLOOKUP(B3917,'2025-Q1'!$A$402:$A$448,'2025-Q1'!$A$402:$A$448,"avail")</f>
        <v>avail</v>
      </c>
      <c r="F3917" t="str">
        <f>_xlfn.XLOOKUP(B3917,'[2]!! -- Stock Universe 12.11.24'!$C$2:$C$1621,'[2]!! -- Stock Universe 12.11.24'!$E$2:$E$1621,"")</f>
        <v>Communication Services</v>
      </c>
    </row>
    <row r="3918" spans="1:6" x14ac:dyDescent="0.25">
      <c r="A3918" s="140">
        <v>45728.625</v>
      </c>
      <c r="B3918" t="s">
        <v>3955</v>
      </c>
      <c r="C3918" t="s">
        <v>3956</v>
      </c>
      <c r="D3918" s="6" t="str">
        <f>_xlfn.XLOOKUP(B3918,Indices!$A$2:$A$2676,Indices!$B$2:$B$2676,"")</f>
        <v/>
      </c>
      <c r="E3918" t="str">
        <f>_xlfn.XLOOKUP(B3918,'2025-Q1'!$A$402:$A$448,'2025-Q1'!$A$402:$A$448,"avail")</f>
        <v>avail</v>
      </c>
      <c r="F3918" t="str">
        <f>_xlfn.XLOOKUP(B3918,'[2]!! -- Stock Universe 12.11.24'!$C$2:$C$1621,'[2]!! -- Stock Universe 12.11.24'!$E$2:$E$1621,"")</f>
        <v/>
      </c>
    </row>
    <row r="3919" spans="1:6" x14ac:dyDescent="0.25">
      <c r="A3919" s="140">
        <v>45728.625</v>
      </c>
      <c r="B3919" t="s">
        <v>820</v>
      </c>
      <c r="C3919" t="s">
        <v>3956</v>
      </c>
      <c r="D3919" s="6" t="str">
        <f>_xlfn.XLOOKUP(B3919,Indices!$A$2:$A$2676,Indices!$B$2:$B$2676,"")</f>
        <v>IWM</v>
      </c>
      <c r="E3919" t="str">
        <f>_xlfn.XLOOKUP(B3919,'2025-Q1'!$A$402:$A$448,'2025-Q1'!$A$402:$A$448,"avail")</f>
        <v>avail</v>
      </c>
      <c r="F3919" t="str">
        <f>_xlfn.XLOOKUP(B3919,'[2]!! -- Stock Universe 12.11.24'!$C$2:$C$1621,'[2]!! -- Stock Universe 12.11.24'!$E$2:$E$1621,"")</f>
        <v/>
      </c>
    </row>
    <row r="3920" spans="1:6" x14ac:dyDescent="0.25">
      <c r="A3920" s="140">
        <v>45728.625</v>
      </c>
      <c r="B3920" t="s">
        <v>4334</v>
      </c>
      <c r="C3920" t="s">
        <v>3956</v>
      </c>
      <c r="D3920" s="6" t="str">
        <f>_xlfn.XLOOKUP(B3920,Indices!$A$2:$A$2676,Indices!$B$2:$B$2676,"")</f>
        <v/>
      </c>
      <c r="E3920" t="str">
        <f>_xlfn.XLOOKUP(B3920,'2025-Q1'!$A$402:$A$448,'2025-Q1'!$A$402:$A$448,"avail")</f>
        <v>avail</v>
      </c>
      <c r="F3920" t="str">
        <f>_xlfn.XLOOKUP(B3920,'[2]!! -- Stock Universe 12.11.24'!$C$2:$C$1621,'[2]!! -- Stock Universe 12.11.24'!$E$2:$E$1621,"")</f>
        <v/>
      </c>
    </row>
    <row r="3921" spans="1:6" x14ac:dyDescent="0.25">
      <c r="A3921" s="140">
        <v>45728.625</v>
      </c>
      <c r="B3921" t="s">
        <v>3986</v>
      </c>
      <c r="C3921" t="s">
        <v>3956</v>
      </c>
      <c r="D3921" s="6" t="str">
        <f>_xlfn.XLOOKUP(B3921,Indices!$A$2:$A$2676,Indices!$B$2:$B$2676,"")</f>
        <v/>
      </c>
      <c r="E3921" t="str">
        <f>_xlfn.XLOOKUP(B3921,'2025-Q1'!$A$402:$A$448,'2025-Q1'!$A$402:$A$448,"avail")</f>
        <v>avail</v>
      </c>
      <c r="F3921" t="str">
        <f>_xlfn.XLOOKUP(B3921,'[2]!! -- Stock Universe 12.11.24'!$C$2:$C$1621,'[2]!! -- Stock Universe 12.11.24'!$E$2:$E$1621,"")</f>
        <v/>
      </c>
    </row>
    <row r="3922" spans="1:6" x14ac:dyDescent="0.25">
      <c r="A3922" s="140">
        <v>45728.625</v>
      </c>
      <c r="B3922" t="s">
        <v>3925</v>
      </c>
      <c r="C3922" t="s">
        <v>3956</v>
      </c>
      <c r="D3922" s="6" t="str">
        <f>_xlfn.XLOOKUP(B3922,Indices!$A$2:$A$2676,Indices!$B$2:$B$2676,"")</f>
        <v/>
      </c>
      <c r="E3922" t="str">
        <f>_xlfn.XLOOKUP(B3922,'2025-Q1'!$A$402:$A$448,'2025-Q1'!$A$402:$A$448,"avail")</f>
        <v>avail</v>
      </c>
      <c r="F3922" t="str">
        <f>_xlfn.XLOOKUP(B3922,'[2]!! -- Stock Universe 12.11.24'!$C$2:$C$1621,'[2]!! -- Stock Universe 12.11.24'!$E$2:$E$1621,"")</f>
        <v/>
      </c>
    </row>
    <row r="3923" spans="1:6" x14ac:dyDescent="0.25">
      <c r="A3923" s="140">
        <v>45728.625</v>
      </c>
      <c r="B3923" t="s">
        <v>65</v>
      </c>
      <c r="C3923" t="s">
        <v>3956</v>
      </c>
      <c r="D3923" s="6" t="str">
        <f>_xlfn.XLOOKUP(B3923,Indices!$A$2:$A$2676,Indices!$B$2:$B$2676,"")</f>
        <v>IWM</v>
      </c>
      <c r="E3923" t="str">
        <f>_xlfn.XLOOKUP(B3923,'2025-Q1'!$A$402:$A$448,'2025-Q1'!$A$402:$A$448,"avail")</f>
        <v>avail</v>
      </c>
      <c r="F3923" t="str">
        <f>_xlfn.XLOOKUP(B3923,'[2]!! -- Stock Universe 12.11.24'!$C$2:$C$1621,'[2]!! -- Stock Universe 12.11.24'!$E$2:$E$1621,"")</f>
        <v/>
      </c>
    </row>
    <row r="3924" spans="1:6" x14ac:dyDescent="0.25">
      <c r="A3924" s="140">
        <v>45728.625</v>
      </c>
      <c r="B3924" t="s">
        <v>1425</v>
      </c>
      <c r="C3924" t="s">
        <v>3956</v>
      </c>
      <c r="D3924" s="6" t="str">
        <f>_xlfn.XLOOKUP(B3924,Indices!$A$2:$A$2676,Indices!$B$2:$B$2676,"")</f>
        <v>SP500</v>
      </c>
      <c r="E3924" t="str">
        <f>_xlfn.XLOOKUP(B3924,'2025-Q1'!$A$402:$A$448,'2025-Q1'!$A$402:$A$448,"avail")</f>
        <v>avail</v>
      </c>
      <c r="F3924" t="str">
        <f>_xlfn.XLOOKUP(B3924,'[2]!! -- Stock Universe 12.11.24'!$C$2:$C$1621,'[2]!! -- Stock Universe 12.11.24'!$E$2:$E$1621,"")</f>
        <v/>
      </c>
    </row>
    <row r="3925" spans="1:6" x14ac:dyDescent="0.25">
      <c r="A3925" s="140">
        <v>45728.625</v>
      </c>
      <c r="B3925" t="s">
        <v>3974</v>
      </c>
      <c r="C3925" t="s">
        <v>3956</v>
      </c>
      <c r="D3925" s="6" t="str">
        <f>_xlfn.XLOOKUP(B3925,Indices!$A$2:$A$2676,Indices!$B$2:$B$2676,"")</f>
        <v/>
      </c>
      <c r="E3925" t="str">
        <f>_xlfn.XLOOKUP(B3925,'2025-Q1'!$A$402:$A$448,'2025-Q1'!$A$402:$A$448,"avail")</f>
        <v>avail</v>
      </c>
      <c r="F3925" t="str">
        <f>_xlfn.XLOOKUP(B3925,'[2]!! -- Stock Universe 12.11.24'!$C$2:$C$1621,'[2]!! -- Stock Universe 12.11.24'!$E$2:$E$1621,"")</f>
        <v/>
      </c>
    </row>
    <row r="3926" spans="1:6" x14ac:dyDescent="0.25">
      <c r="A3926" s="140">
        <v>45728.625</v>
      </c>
      <c r="B3926" t="s">
        <v>4239</v>
      </c>
      <c r="C3926" t="s">
        <v>3956</v>
      </c>
      <c r="D3926" s="6" t="str">
        <f>_xlfn.XLOOKUP(B3926,Indices!$A$2:$A$2676,Indices!$B$2:$B$2676,"")</f>
        <v/>
      </c>
      <c r="E3926" t="str">
        <f>_xlfn.XLOOKUP(B3926,'2025-Q1'!$A$402:$A$448,'2025-Q1'!$A$402:$A$448,"avail")</f>
        <v>avail</v>
      </c>
      <c r="F3926" t="str">
        <f>_xlfn.XLOOKUP(B3926,'[2]!! -- Stock Universe 12.11.24'!$C$2:$C$1621,'[2]!! -- Stock Universe 12.11.24'!$E$2:$E$1621,"")</f>
        <v/>
      </c>
    </row>
    <row r="3927" spans="1:6" x14ac:dyDescent="0.25">
      <c r="A3927" s="140">
        <v>45728.625</v>
      </c>
      <c r="B3927" t="s">
        <v>602</v>
      </c>
      <c r="C3927" t="s">
        <v>3956</v>
      </c>
      <c r="D3927" s="6" t="str">
        <f>_xlfn.XLOOKUP(B3927,Indices!$A$2:$A$2676,Indices!$B$2:$B$2676,"")</f>
        <v>IWM</v>
      </c>
      <c r="E3927" t="str">
        <f>_xlfn.XLOOKUP(B3927,'2025-Q1'!$A$402:$A$448,'2025-Q1'!$A$402:$A$448,"avail")</f>
        <v>avail</v>
      </c>
      <c r="F3927" t="str">
        <f>_xlfn.XLOOKUP(B3927,'[2]!! -- Stock Universe 12.11.24'!$C$2:$C$1621,'[2]!! -- Stock Universe 12.11.24'!$E$2:$E$1621,"")</f>
        <v>Energy</v>
      </c>
    </row>
    <row r="3928" spans="1:6" x14ac:dyDescent="0.25">
      <c r="A3928" s="140">
        <v>45728.625</v>
      </c>
      <c r="B3928" t="s">
        <v>3969</v>
      </c>
      <c r="C3928" t="s">
        <v>3956</v>
      </c>
      <c r="D3928" s="6" t="str">
        <f>_xlfn.XLOOKUP(B3928,Indices!$A$2:$A$2676,Indices!$B$2:$B$2676,"")</f>
        <v/>
      </c>
      <c r="E3928" t="str">
        <f>_xlfn.XLOOKUP(B3928,'2025-Q1'!$A$402:$A$448,'2025-Q1'!$A$402:$A$448,"avail")</f>
        <v>avail</v>
      </c>
      <c r="F3928" t="str">
        <f>_xlfn.XLOOKUP(B3928,'[2]!! -- Stock Universe 12.11.24'!$C$2:$C$1621,'[2]!! -- Stock Universe 12.11.24'!$E$2:$E$1621,"")</f>
        <v/>
      </c>
    </row>
    <row r="3929" spans="1:6" x14ac:dyDescent="0.25">
      <c r="A3929" s="140">
        <v>45728.625</v>
      </c>
      <c r="B3929" t="s">
        <v>3985</v>
      </c>
      <c r="C3929" t="s">
        <v>3956</v>
      </c>
      <c r="D3929" s="6" t="str">
        <f>_xlfn.XLOOKUP(B3929,Indices!$A$2:$A$2676,Indices!$B$2:$B$2676,"")</f>
        <v/>
      </c>
      <c r="E3929" t="str">
        <f>_xlfn.XLOOKUP(B3929,'2025-Q1'!$A$402:$A$448,'2025-Q1'!$A$402:$A$448,"avail")</f>
        <v>avail</v>
      </c>
      <c r="F3929" t="str">
        <f>_xlfn.XLOOKUP(B3929,'[2]!! -- Stock Universe 12.11.24'!$C$2:$C$1621,'[2]!! -- Stock Universe 12.11.24'!$E$2:$E$1621,"")</f>
        <v/>
      </c>
    </row>
    <row r="3930" spans="1:6" x14ac:dyDescent="0.25">
      <c r="A3930" s="140">
        <v>45729.291666666664</v>
      </c>
      <c r="B3930" t="s">
        <v>4034</v>
      </c>
      <c r="C3930" t="s">
        <v>3995</v>
      </c>
      <c r="D3930" s="6" t="str">
        <f>_xlfn.XLOOKUP(B3930,Indices!$A$2:$A$2676,Indices!$B$2:$B$2676,"")</f>
        <v/>
      </c>
      <c r="E3930" t="str">
        <f>_xlfn.XLOOKUP(B3930,'2025-Q1'!$A$402:$A$448,'2025-Q1'!$A$402:$A$448,"avail")</f>
        <v>avail</v>
      </c>
      <c r="F3930" t="str">
        <f>_xlfn.XLOOKUP(B3930,'[2]!! -- Stock Universe 12.11.24'!$C$2:$C$1621,'[2]!! -- Stock Universe 12.11.24'!$E$2:$E$1621,"")</f>
        <v/>
      </c>
    </row>
    <row r="3931" spans="1:6" x14ac:dyDescent="0.25">
      <c r="A3931" s="140">
        <v>45729.291666666664</v>
      </c>
      <c r="B3931" t="s">
        <v>3892</v>
      </c>
      <c r="C3931" t="s">
        <v>3995</v>
      </c>
      <c r="D3931" s="6" t="str">
        <f>_xlfn.XLOOKUP(B3931,Indices!$A$2:$A$2676,Indices!$B$2:$B$2676,"")</f>
        <v/>
      </c>
      <c r="E3931" t="str">
        <f>_xlfn.XLOOKUP(B3931,'2025-Q1'!$A$402:$A$448,'2025-Q1'!$A$402:$A$448,"avail")</f>
        <v>avail</v>
      </c>
      <c r="F3931" t="str">
        <f>_xlfn.XLOOKUP(B3931,'[2]!! -- Stock Universe 12.11.24'!$C$2:$C$1621,'[2]!! -- Stock Universe 12.11.24'!$E$2:$E$1621,"")</f>
        <v/>
      </c>
    </row>
    <row r="3932" spans="1:6" x14ac:dyDescent="0.25">
      <c r="A3932" s="140">
        <v>45729.291666666664</v>
      </c>
      <c r="B3932" t="s">
        <v>4558</v>
      </c>
      <c r="C3932" t="s">
        <v>3995</v>
      </c>
      <c r="D3932" s="6" t="str">
        <f>_xlfn.XLOOKUP(B3932,Indices!$A$2:$A$2676,Indices!$B$2:$B$2676,"")</f>
        <v/>
      </c>
      <c r="E3932" t="str">
        <f>_xlfn.XLOOKUP(B3932,'2025-Q1'!$A$402:$A$448,'2025-Q1'!$A$402:$A$448,"avail")</f>
        <v>avail</v>
      </c>
      <c r="F3932" t="str">
        <f>_xlfn.XLOOKUP(B3932,'[2]!! -- Stock Universe 12.11.24'!$C$2:$C$1621,'[2]!! -- Stock Universe 12.11.24'!$E$2:$E$1621,"")</f>
        <v>Technology</v>
      </c>
    </row>
    <row r="3933" spans="1:6" x14ac:dyDescent="0.25">
      <c r="A3933" s="140">
        <v>45729.291666666664</v>
      </c>
      <c r="B3933" t="s">
        <v>4017</v>
      </c>
      <c r="C3933" t="s">
        <v>3995</v>
      </c>
      <c r="D3933" s="6" t="str">
        <f>_xlfn.XLOOKUP(B3933,Indices!$A$2:$A$2676,Indices!$B$2:$B$2676,"")</f>
        <v/>
      </c>
      <c r="E3933" t="str">
        <f>_xlfn.XLOOKUP(B3933,'2025-Q1'!$A$402:$A$448,'2025-Q1'!$A$402:$A$448,"avail")</f>
        <v>avail</v>
      </c>
      <c r="F3933" t="str">
        <f>_xlfn.XLOOKUP(B3933,'[2]!! -- Stock Universe 12.11.24'!$C$2:$C$1621,'[2]!! -- Stock Universe 12.11.24'!$E$2:$E$1621,"")</f>
        <v/>
      </c>
    </row>
    <row r="3934" spans="1:6" x14ac:dyDescent="0.25">
      <c r="A3934" s="140">
        <v>45729.291666666664</v>
      </c>
      <c r="B3934" t="s">
        <v>4012</v>
      </c>
      <c r="C3934" t="s">
        <v>4013</v>
      </c>
      <c r="D3934" s="6" t="str">
        <f>_xlfn.XLOOKUP(B3934,Indices!$A$2:$A$2676,Indices!$B$2:$B$2676,"")</f>
        <v/>
      </c>
      <c r="E3934" t="str">
        <f>_xlfn.XLOOKUP(B3934,'2025-Q1'!$A$402:$A$448,'2025-Q1'!$A$402:$A$448,"avail")</f>
        <v>avail</v>
      </c>
      <c r="F3934" t="str">
        <f>_xlfn.XLOOKUP(B3934,'[2]!! -- Stock Universe 12.11.24'!$C$2:$C$1621,'[2]!! -- Stock Universe 12.11.24'!$E$2:$E$1621,"")</f>
        <v/>
      </c>
    </row>
    <row r="3935" spans="1:6" x14ac:dyDescent="0.25">
      <c r="A3935" s="140">
        <v>45729.291666666664</v>
      </c>
      <c r="B3935" t="s">
        <v>4262</v>
      </c>
      <c r="C3935" t="s">
        <v>3995</v>
      </c>
      <c r="D3935" s="6" t="str">
        <f>_xlfn.XLOOKUP(B3935,Indices!$A$2:$A$2676,Indices!$B$2:$B$2676,"")</f>
        <v/>
      </c>
      <c r="E3935" t="str">
        <f>_xlfn.XLOOKUP(B3935,'2025-Q1'!$A$402:$A$448,'2025-Q1'!$A$402:$A$448,"avail")</f>
        <v>avail</v>
      </c>
      <c r="F3935" t="str">
        <f>_xlfn.XLOOKUP(B3935,'[2]!! -- Stock Universe 12.11.24'!$C$2:$C$1621,'[2]!! -- Stock Universe 12.11.24'!$E$2:$E$1621,"")</f>
        <v/>
      </c>
    </row>
    <row r="3936" spans="1:6" x14ac:dyDescent="0.25">
      <c r="A3936" s="140">
        <v>45729.291666666664</v>
      </c>
      <c r="B3936" t="s">
        <v>1217</v>
      </c>
      <c r="C3936" t="s">
        <v>3995</v>
      </c>
      <c r="D3936" s="6" t="str">
        <f>_xlfn.XLOOKUP(B3936,Indices!$A$2:$A$2676,Indices!$B$2:$B$2676,"")</f>
        <v>SP500</v>
      </c>
      <c r="E3936" t="str">
        <f>_xlfn.XLOOKUP(B3936,'2025-Q1'!$A$402:$A$448,'2025-Q1'!$A$402:$A$448,"avail")</f>
        <v>DG</v>
      </c>
      <c r="F3936" t="str">
        <f>_xlfn.XLOOKUP(B3936,'[2]!! -- Stock Universe 12.11.24'!$C$2:$C$1621,'[2]!! -- Stock Universe 12.11.24'!$E$2:$E$1621,"")</f>
        <v>Consumer Defensive</v>
      </c>
    </row>
    <row r="3937" spans="1:6" x14ac:dyDescent="0.25">
      <c r="A3937" s="140">
        <v>45729.291666666664</v>
      </c>
      <c r="B3937" t="s">
        <v>588</v>
      </c>
      <c r="C3937" t="s">
        <v>3995</v>
      </c>
      <c r="D3937" s="6" t="str">
        <f>_xlfn.XLOOKUP(B3937,Indices!$A$2:$A$2676,Indices!$B$2:$B$2676,"")</f>
        <v>IWM</v>
      </c>
      <c r="E3937" t="str">
        <f>_xlfn.XLOOKUP(B3937,'2025-Q1'!$A$402:$A$448,'2025-Q1'!$A$402:$A$448,"avail")</f>
        <v>avail</v>
      </c>
      <c r="F3937" t="str">
        <f>_xlfn.XLOOKUP(B3937,'[2]!! -- Stock Universe 12.11.24'!$C$2:$C$1621,'[2]!! -- Stock Universe 12.11.24'!$E$2:$E$1621,"")</f>
        <v>Healthcare</v>
      </c>
    </row>
    <row r="3938" spans="1:6" x14ac:dyDescent="0.25">
      <c r="A3938" s="140">
        <v>45729.291666666664</v>
      </c>
      <c r="B3938" t="s">
        <v>2286</v>
      </c>
      <c r="C3938" t="s">
        <v>3995</v>
      </c>
      <c r="D3938" s="6" t="str">
        <f>_xlfn.XLOOKUP(B3938,Indices!$A$2:$A$2676,Indices!$B$2:$B$2676,"")</f>
        <v>IWM</v>
      </c>
      <c r="E3938" t="str">
        <f>_xlfn.XLOOKUP(B3938,'2025-Q1'!$A$402:$A$448,'2025-Q1'!$A$402:$A$448,"avail")</f>
        <v>avail</v>
      </c>
      <c r="F3938" t="str">
        <f>_xlfn.XLOOKUP(B3938,'[2]!! -- Stock Universe 12.11.24'!$C$2:$C$1621,'[2]!! -- Stock Universe 12.11.24'!$E$2:$E$1621,"")</f>
        <v>Healthcare</v>
      </c>
    </row>
    <row r="3939" spans="1:6" x14ac:dyDescent="0.25">
      <c r="A3939" s="140">
        <v>45729.291666666664</v>
      </c>
      <c r="B3939" t="s">
        <v>4035</v>
      </c>
      <c r="C3939" t="s">
        <v>3995</v>
      </c>
      <c r="D3939" s="6" t="str">
        <f>_xlfn.XLOOKUP(B3939,Indices!$A$2:$A$2676,Indices!$B$2:$B$2676,"")</f>
        <v/>
      </c>
      <c r="E3939" t="str">
        <f>_xlfn.XLOOKUP(B3939,'2025-Q1'!$A$402:$A$448,'2025-Q1'!$A$402:$A$448,"avail")</f>
        <v>avail</v>
      </c>
      <c r="F3939" t="str">
        <f>_xlfn.XLOOKUP(B3939,'[2]!! -- Stock Universe 12.11.24'!$C$2:$C$1621,'[2]!! -- Stock Universe 12.11.24'!$E$2:$E$1621,"")</f>
        <v/>
      </c>
    </row>
    <row r="3940" spans="1:6" x14ac:dyDescent="0.25">
      <c r="A3940" s="140">
        <v>45729.291666666664</v>
      </c>
      <c r="B3940" t="s">
        <v>4039</v>
      </c>
      <c r="C3940" t="s">
        <v>3995</v>
      </c>
      <c r="D3940" s="6" t="str">
        <f>_xlfn.XLOOKUP(B3940,Indices!$A$2:$A$2676,Indices!$B$2:$B$2676,"")</f>
        <v/>
      </c>
      <c r="E3940" t="str">
        <f>_xlfn.XLOOKUP(B3940,'2025-Q1'!$A$402:$A$448,'2025-Q1'!$A$402:$A$448,"avail")</f>
        <v>avail</v>
      </c>
      <c r="F3940" t="str">
        <f>_xlfn.XLOOKUP(B3940,'[2]!! -- Stock Universe 12.11.24'!$C$2:$C$1621,'[2]!! -- Stock Universe 12.11.24'!$E$2:$E$1621,"")</f>
        <v/>
      </c>
    </row>
    <row r="3941" spans="1:6" x14ac:dyDescent="0.25">
      <c r="A3941" s="140">
        <v>45729.291666666664</v>
      </c>
      <c r="B3941" t="s">
        <v>4014</v>
      </c>
      <c r="C3941" t="s">
        <v>3995</v>
      </c>
      <c r="D3941" s="6" t="str">
        <f>_xlfn.XLOOKUP(B3941,Indices!$A$2:$A$2676,Indices!$B$2:$B$2676,"")</f>
        <v/>
      </c>
      <c r="E3941" t="str">
        <f>_xlfn.XLOOKUP(B3941,'2025-Q1'!$A$402:$A$448,'2025-Q1'!$A$402:$A$448,"avail")</f>
        <v>avail</v>
      </c>
      <c r="F3941" t="str">
        <f>_xlfn.XLOOKUP(B3941,'[2]!! -- Stock Universe 12.11.24'!$C$2:$C$1621,'[2]!! -- Stock Universe 12.11.24'!$E$2:$E$1621,"")</f>
        <v/>
      </c>
    </row>
    <row r="3942" spans="1:6" x14ac:dyDescent="0.25">
      <c r="A3942" s="140">
        <v>45729.291666666664</v>
      </c>
      <c r="B3942" t="s">
        <v>4048</v>
      </c>
      <c r="C3942" t="s">
        <v>3995</v>
      </c>
      <c r="D3942" s="6" t="str">
        <f>_xlfn.XLOOKUP(B3942,Indices!$A$2:$A$2676,Indices!$B$2:$B$2676,"")</f>
        <v/>
      </c>
      <c r="E3942" t="str">
        <f>_xlfn.XLOOKUP(B3942,'2025-Q1'!$A$402:$A$448,'2025-Q1'!$A$402:$A$448,"avail")</f>
        <v>avail</v>
      </c>
      <c r="F3942" t="str">
        <f>_xlfn.XLOOKUP(B3942,'[2]!! -- Stock Universe 12.11.24'!$C$2:$C$1621,'[2]!! -- Stock Universe 12.11.24'!$E$2:$E$1621,"")</f>
        <v/>
      </c>
    </row>
    <row r="3943" spans="1:6" x14ac:dyDescent="0.25">
      <c r="A3943" s="140">
        <v>45729.291666666664</v>
      </c>
      <c r="B3943" t="s">
        <v>4024</v>
      </c>
      <c r="C3943" t="s">
        <v>3995</v>
      </c>
      <c r="D3943" s="6" t="str">
        <f>_xlfn.XLOOKUP(B3943,Indices!$A$2:$A$2676,Indices!$B$2:$B$2676,"")</f>
        <v/>
      </c>
      <c r="E3943" t="str">
        <f>_xlfn.XLOOKUP(B3943,'2025-Q1'!$A$402:$A$448,'2025-Q1'!$A$402:$A$448,"avail")</f>
        <v>avail</v>
      </c>
      <c r="F3943" t="str">
        <f>_xlfn.XLOOKUP(B3943,'[2]!! -- Stock Universe 12.11.24'!$C$2:$C$1621,'[2]!! -- Stock Universe 12.11.24'!$E$2:$E$1621,"")</f>
        <v/>
      </c>
    </row>
    <row r="3944" spans="1:6" x14ac:dyDescent="0.25">
      <c r="A3944" s="140">
        <v>45729.291666666664</v>
      </c>
      <c r="B3944" t="s">
        <v>4047</v>
      </c>
      <c r="C3944" t="s">
        <v>4013</v>
      </c>
      <c r="D3944" s="6" t="str">
        <f>_xlfn.XLOOKUP(B3944,Indices!$A$2:$A$2676,Indices!$B$2:$B$2676,"")</f>
        <v/>
      </c>
      <c r="E3944" t="str">
        <f>_xlfn.XLOOKUP(B3944,'2025-Q1'!$A$402:$A$448,'2025-Q1'!$A$402:$A$448,"avail")</f>
        <v>avail</v>
      </c>
      <c r="F3944" t="str">
        <f>_xlfn.XLOOKUP(B3944,'[2]!! -- Stock Universe 12.11.24'!$C$2:$C$1621,'[2]!! -- Stock Universe 12.11.24'!$E$2:$E$1621,"")</f>
        <v/>
      </c>
    </row>
    <row r="3945" spans="1:6" x14ac:dyDescent="0.25">
      <c r="A3945" s="140">
        <v>45729.291666666664</v>
      </c>
      <c r="B3945" t="s">
        <v>4045</v>
      </c>
      <c r="C3945" t="s">
        <v>3995</v>
      </c>
      <c r="D3945" s="6" t="str">
        <f>_xlfn.XLOOKUP(B3945,Indices!$A$2:$A$2676,Indices!$B$2:$B$2676,"")</f>
        <v/>
      </c>
      <c r="E3945" t="str">
        <f>_xlfn.XLOOKUP(B3945,'2025-Q1'!$A$402:$A$448,'2025-Q1'!$A$402:$A$448,"avail")</f>
        <v>avail</v>
      </c>
      <c r="F3945" t="str">
        <f>_xlfn.XLOOKUP(B3945,'[2]!! -- Stock Universe 12.11.24'!$C$2:$C$1621,'[2]!! -- Stock Universe 12.11.24'!$E$2:$E$1621,"")</f>
        <v>Energy</v>
      </c>
    </row>
    <row r="3946" spans="1:6" x14ac:dyDescent="0.25">
      <c r="A3946" s="140">
        <v>45729.291666666664</v>
      </c>
      <c r="B3946" t="s">
        <v>4006</v>
      </c>
      <c r="C3946" t="s">
        <v>3995</v>
      </c>
      <c r="D3946" s="6" t="str">
        <f>_xlfn.XLOOKUP(B3946,Indices!$A$2:$A$2676,Indices!$B$2:$B$2676,"")</f>
        <v/>
      </c>
      <c r="E3946" t="str">
        <f>_xlfn.XLOOKUP(B3946,'2025-Q1'!$A$402:$A$448,'2025-Q1'!$A$402:$A$448,"avail")</f>
        <v>avail</v>
      </c>
      <c r="F3946" t="str">
        <f>_xlfn.XLOOKUP(B3946,'[2]!! -- Stock Universe 12.11.24'!$C$2:$C$1621,'[2]!! -- Stock Universe 12.11.24'!$E$2:$E$1621,"")</f>
        <v/>
      </c>
    </row>
    <row r="3947" spans="1:6" x14ac:dyDescent="0.25">
      <c r="A3947" s="140">
        <v>45729.291666666664</v>
      </c>
      <c r="B3947" t="s">
        <v>1219</v>
      </c>
      <c r="C3947" t="s">
        <v>3995</v>
      </c>
      <c r="D3947" s="6" t="str">
        <f>_xlfn.XLOOKUP(B3947,Indices!$A$2:$A$2676,Indices!$B$2:$B$2676,"")</f>
        <v>IWM</v>
      </c>
      <c r="E3947" t="str">
        <f>_xlfn.XLOOKUP(B3947,'2025-Q1'!$A$402:$A$448,'2025-Q1'!$A$402:$A$448,"avail")</f>
        <v>avail</v>
      </c>
      <c r="F3947" t="str">
        <f>_xlfn.XLOOKUP(B3947,'[2]!! -- Stock Universe 12.11.24'!$C$2:$C$1621,'[2]!! -- Stock Universe 12.11.24'!$E$2:$E$1621,"")</f>
        <v/>
      </c>
    </row>
    <row r="3948" spans="1:6" x14ac:dyDescent="0.25">
      <c r="A3948" s="140">
        <v>45729.291666666664</v>
      </c>
      <c r="B3948" t="s">
        <v>3997</v>
      </c>
      <c r="C3948" t="s">
        <v>3995</v>
      </c>
      <c r="D3948" s="6" t="str">
        <f>_xlfn.XLOOKUP(B3948,Indices!$A$2:$A$2676,Indices!$B$2:$B$2676,"")</f>
        <v/>
      </c>
      <c r="E3948" t="str">
        <f>_xlfn.XLOOKUP(B3948,'2025-Q1'!$A$402:$A$448,'2025-Q1'!$A$402:$A$448,"avail")</f>
        <v>avail</v>
      </c>
      <c r="F3948" t="str">
        <f>_xlfn.XLOOKUP(B3948,'[2]!! -- Stock Universe 12.11.24'!$C$2:$C$1621,'[2]!! -- Stock Universe 12.11.24'!$E$2:$E$1621,"")</f>
        <v/>
      </c>
    </row>
    <row r="3949" spans="1:6" x14ac:dyDescent="0.25">
      <c r="A3949" s="140">
        <v>45729.291666666664</v>
      </c>
      <c r="B3949" t="s">
        <v>3994</v>
      </c>
      <c r="C3949" t="s">
        <v>3995</v>
      </c>
      <c r="D3949" s="6" t="str">
        <f>_xlfn.XLOOKUP(B3949,Indices!$A$2:$A$2676,Indices!$B$2:$B$2676,"")</f>
        <v/>
      </c>
      <c r="E3949" t="str">
        <f>_xlfn.XLOOKUP(B3949,'2025-Q1'!$A$402:$A$448,'2025-Q1'!$A$402:$A$448,"avail")</f>
        <v>avail</v>
      </c>
      <c r="F3949" t="str">
        <f>_xlfn.XLOOKUP(B3949,'[2]!! -- Stock Universe 12.11.24'!$C$2:$C$1621,'[2]!! -- Stock Universe 12.11.24'!$E$2:$E$1621,"")</f>
        <v/>
      </c>
    </row>
    <row r="3950" spans="1:6" x14ac:dyDescent="0.25">
      <c r="A3950" s="140">
        <v>45729.291666666664</v>
      </c>
      <c r="B3950" t="s">
        <v>1224</v>
      </c>
      <c r="C3950" t="s">
        <v>3995</v>
      </c>
      <c r="D3950" s="6" t="str">
        <f>_xlfn.XLOOKUP(B3950,Indices!$A$2:$A$2676,Indices!$B$2:$B$2676,"")</f>
        <v>IWM</v>
      </c>
      <c r="E3950" t="str">
        <f>_xlfn.XLOOKUP(B3950,'2025-Q1'!$A$402:$A$448,'2025-Q1'!$A$402:$A$448,"avail")</f>
        <v>avail</v>
      </c>
      <c r="F3950" t="str">
        <f>_xlfn.XLOOKUP(B3950,'[2]!! -- Stock Universe 12.11.24'!$C$2:$C$1621,'[2]!! -- Stock Universe 12.11.24'!$E$2:$E$1621,"")</f>
        <v/>
      </c>
    </row>
    <row r="3951" spans="1:6" x14ac:dyDescent="0.25">
      <c r="A3951" s="140">
        <v>45729.291666666664</v>
      </c>
      <c r="B3951" t="s">
        <v>4007</v>
      </c>
      <c r="C3951" t="s">
        <v>3995</v>
      </c>
      <c r="D3951" s="6" t="str">
        <f>_xlfn.XLOOKUP(B3951,Indices!$A$2:$A$2676,Indices!$B$2:$B$2676,"")</f>
        <v/>
      </c>
      <c r="E3951" t="str">
        <f>_xlfn.XLOOKUP(B3951,'2025-Q1'!$A$402:$A$448,'2025-Q1'!$A$402:$A$448,"avail")</f>
        <v>avail</v>
      </c>
      <c r="F3951" t="str">
        <f>_xlfn.XLOOKUP(B3951,'[2]!! -- Stock Universe 12.11.24'!$C$2:$C$1621,'[2]!! -- Stock Universe 12.11.24'!$E$2:$E$1621,"")</f>
        <v/>
      </c>
    </row>
    <row r="3952" spans="1:6" x14ac:dyDescent="0.25">
      <c r="A3952" s="140">
        <v>45729.291666666664</v>
      </c>
      <c r="B3952" t="s">
        <v>4058</v>
      </c>
      <c r="C3952" t="s">
        <v>3995</v>
      </c>
      <c r="D3952" s="6" t="str">
        <f>_xlfn.XLOOKUP(B3952,Indices!$A$2:$A$2676,Indices!$B$2:$B$2676,"")</f>
        <v/>
      </c>
      <c r="E3952" t="str">
        <f>_xlfn.XLOOKUP(B3952,'2025-Q1'!$A$402:$A$448,'2025-Q1'!$A$402:$A$448,"avail")</f>
        <v>avail</v>
      </c>
      <c r="F3952" t="str">
        <f>_xlfn.XLOOKUP(B3952,'[2]!! -- Stock Universe 12.11.24'!$C$2:$C$1621,'[2]!! -- Stock Universe 12.11.24'!$E$2:$E$1621,"")</f>
        <v/>
      </c>
    </row>
    <row r="3953" spans="1:6" x14ac:dyDescent="0.25">
      <c r="A3953" s="140">
        <v>45729.291666666664</v>
      </c>
      <c r="B3953" t="s">
        <v>554</v>
      </c>
      <c r="C3953" t="s">
        <v>3995</v>
      </c>
      <c r="D3953" s="6" t="str">
        <f>_xlfn.XLOOKUP(B3953,Indices!$A$2:$A$2676,Indices!$B$2:$B$2676,"")</f>
        <v>IWM</v>
      </c>
      <c r="E3953" t="str">
        <f>_xlfn.XLOOKUP(B3953,'2025-Q1'!$A$402:$A$448,'2025-Q1'!$A$402:$A$448,"avail")</f>
        <v>avail</v>
      </c>
      <c r="F3953" t="str">
        <f>_xlfn.XLOOKUP(B3953,'[2]!! -- Stock Universe 12.11.24'!$C$2:$C$1621,'[2]!! -- Stock Universe 12.11.24'!$E$2:$E$1621,"")</f>
        <v/>
      </c>
    </row>
    <row r="3954" spans="1:6" x14ac:dyDescent="0.25">
      <c r="A3954" s="140">
        <v>45729.291666666664</v>
      </c>
      <c r="B3954" t="s">
        <v>3996</v>
      </c>
      <c r="C3954" t="s">
        <v>3995</v>
      </c>
      <c r="D3954" s="6" t="str">
        <f>_xlfn.XLOOKUP(B3954,Indices!$A$2:$A$2676,Indices!$B$2:$B$2676,"")</f>
        <v/>
      </c>
      <c r="E3954" t="str">
        <f>_xlfn.XLOOKUP(B3954,'2025-Q1'!$A$402:$A$448,'2025-Q1'!$A$402:$A$448,"avail")</f>
        <v>avail</v>
      </c>
      <c r="F3954" t="str">
        <f>_xlfn.XLOOKUP(B3954,'[2]!! -- Stock Universe 12.11.24'!$C$2:$C$1621,'[2]!! -- Stock Universe 12.11.24'!$E$2:$E$1621,"")</f>
        <v/>
      </c>
    </row>
    <row r="3955" spans="1:6" x14ac:dyDescent="0.25">
      <c r="A3955" s="140">
        <v>45729.291666666664</v>
      </c>
      <c r="B3955" t="s">
        <v>4010</v>
      </c>
      <c r="C3955" t="s">
        <v>3995</v>
      </c>
      <c r="D3955" s="6" t="str">
        <f>_xlfn.XLOOKUP(B3955,Indices!$A$2:$A$2676,Indices!$B$2:$B$2676,"")</f>
        <v/>
      </c>
      <c r="E3955" t="str">
        <f>_xlfn.XLOOKUP(B3955,'2025-Q1'!$A$402:$A$448,'2025-Q1'!$A$402:$A$448,"avail")</f>
        <v>avail</v>
      </c>
      <c r="F3955" t="str">
        <f>_xlfn.XLOOKUP(B3955,'[2]!! -- Stock Universe 12.11.24'!$C$2:$C$1621,'[2]!! -- Stock Universe 12.11.24'!$E$2:$E$1621,"")</f>
        <v/>
      </c>
    </row>
    <row r="3956" spans="1:6" x14ac:dyDescent="0.25">
      <c r="A3956" s="140">
        <v>45729.291666666664</v>
      </c>
      <c r="B3956" t="s">
        <v>4044</v>
      </c>
      <c r="C3956" t="s">
        <v>4013</v>
      </c>
      <c r="D3956" s="6" t="str">
        <f>_xlfn.XLOOKUP(B3956,Indices!$A$2:$A$2676,Indices!$B$2:$B$2676,"")</f>
        <v/>
      </c>
      <c r="E3956" t="str">
        <f>_xlfn.XLOOKUP(B3956,'2025-Q1'!$A$402:$A$448,'2025-Q1'!$A$402:$A$448,"avail")</f>
        <v>avail</v>
      </c>
      <c r="F3956" t="str">
        <f>_xlfn.XLOOKUP(B3956,'[2]!! -- Stock Universe 12.11.24'!$C$2:$C$1621,'[2]!! -- Stock Universe 12.11.24'!$E$2:$E$1621,"")</f>
        <v/>
      </c>
    </row>
    <row r="3957" spans="1:6" x14ac:dyDescent="0.25">
      <c r="A3957" s="140">
        <v>45729.291666666664</v>
      </c>
      <c r="B3957" t="s">
        <v>4033</v>
      </c>
      <c r="C3957" t="s">
        <v>3995</v>
      </c>
      <c r="D3957" s="6" t="str">
        <f>_xlfn.XLOOKUP(B3957,Indices!$A$2:$A$2676,Indices!$B$2:$B$2676,"")</f>
        <v/>
      </c>
      <c r="E3957" t="str">
        <f>_xlfn.XLOOKUP(B3957,'2025-Q1'!$A$402:$A$448,'2025-Q1'!$A$402:$A$448,"avail")</f>
        <v>avail</v>
      </c>
      <c r="F3957" t="str">
        <f>_xlfn.XLOOKUP(B3957,'[2]!! -- Stock Universe 12.11.24'!$C$2:$C$1621,'[2]!! -- Stock Universe 12.11.24'!$E$2:$E$1621,"")</f>
        <v/>
      </c>
    </row>
    <row r="3958" spans="1:6" x14ac:dyDescent="0.25">
      <c r="A3958" s="140">
        <v>45729.291666666664</v>
      </c>
      <c r="B3958" t="s">
        <v>4008</v>
      </c>
      <c r="C3958" t="s">
        <v>3995</v>
      </c>
      <c r="D3958" s="6" t="str">
        <f>_xlfn.XLOOKUP(B3958,Indices!$A$2:$A$2676,Indices!$B$2:$B$2676,"")</f>
        <v/>
      </c>
      <c r="E3958" t="str">
        <f>_xlfn.XLOOKUP(B3958,'2025-Q1'!$A$402:$A$448,'2025-Q1'!$A$402:$A$448,"avail")</f>
        <v>avail</v>
      </c>
      <c r="F3958" t="str">
        <f>_xlfn.XLOOKUP(B3958,'[2]!! -- Stock Universe 12.11.24'!$C$2:$C$1621,'[2]!! -- Stock Universe 12.11.24'!$E$2:$E$1621,"")</f>
        <v/>
      </c>
    </row>
    <row r="3959" spans="1:6" x14ac:dyDescent="0.25">
      <c r="A3959" s="140">
        <v>45729.291666666664</v>
      </c>
      <c r="B3959" t="s">
        <v>4029</v>
      </c>
      <c r="C3959" t="s">
        <v>3995</v>
      </c>
      <c r="D3959" s="6" t="str">
        <f>_xlfn.XLOOKUP(B3959,Indices!$A$2:$A$2676,Indices!$B$2:$B$2676,"")</f>
        <v/>
      </c>
      <c r="E3959" t="str">
        <f>_xlfn.XLOOKUP(B3959,'2025-Q1'!$A$402:$A$448,'2025-Q1'!$A$402:$A$448,"avail")</f>
        <v>avail</v>
      </c>
      <c r="F3959" t="str">
        <f>_xlfn.XLOOKUP(B3959,'[2]!! -- Stock Universe 12.11.24'!$C$2:$C$1621,'[2]!! -- Stock Universe 12.11.24'!$E$2:$E$1621,"")</f>
        <v/>
      </c>
    </row>
    <row r="3960" spans="1:6" x14ac:dyDescent="0.25">
      <c r="A3960" s="140">
        <v>45729.291666666664</v>
      </c>
      <c r="B3960" t="s">
        <v>3743</v>
      </c>
      <c r="C3960" t="s">
        <v>3995</v>
      </c>
      <c r="D3960" s="6" t="str">
        <f>_xlfn.XLOOKUP(B3960,Indices!$A$2:$A$2676,Indices!$B$2:$B$2676,"")</f>
        <v/>
      </c>
      <c r="E3960" t="str">
        <f>_xlfn.XLOOKUP(B3960,'2025-Q1'!$A$402:$A$448,'2025-Q1'!$A$402:$A$448,"avail")</f>
        <v>avail</v>
      </c>
      <c r="F3960" t="str">
        <f>_xlfn.XLOOKUP(B3960,'[2]!! -- Stock Universe 12.11.24'!$C$2:$C$1621,'[2]!! -- Stock Universe 12.11.24'!$E$2:$E$1621,"")</f>
        <v/>
      </c>
    </row>
    <row r="3961" spans="1:6" x14ac:dyDescent="0.25">
      <c r="A3961" s="140">
        <v>45729.291666666664</v>
      </c>
      <c r="B3961" t="s">
        <v>4015</v>
      </c>
      <c r="C3961" t="s">
        <v>3995</v>
      </c>
      <c r="D3961" s="6" t="str">
        <f>_xlfn.XLOOKUP(B3961,Indices!$A$2:$A$2676,Indices!$B$2:$B$2676,"")</f>
        <v/>
      </c>
      <c r="E3961" t="str">
        <f>_xlfn.XLOOKUP(B3961,'2025-Q1'!$A$402:$A$448,'2025-Q1'!$A$402:$A$448,"avail")</f>
        <v>avail</v>
      </c>
      <c r="F3961" t="str">
        <f>_xlfn.XLOOKUP(B3961,'[2]!! -- Stock Universe 12.11.24'!$C$2:$C$1621,'[2]!! -- Stock Universe 12.11.24'!$E$2:$E$1621,"")</f>
        <v/>
      </c>
    </row>
    <row r="3962" spans="1:6" x14ac:dyDescent="0.25">
      <c r="A3962" s="140">
        <v>45729.291666666664</v>
      </c>
      <c r="B3962" t="s">
        <v>3998</v>
      </c>
      <c r="C3962" t="s">
        <v>3995</v>
      </c>
      <c r="D3962" s="6" t="str">
        <f>_xlfn.XLOOKUP(B3962,Indices!$A$2:$A$2676,Indices!$B$2:$B$2676,"")</f>
        <v/>
      </c>
      <c r="E3962" t="str">
        <f>_xlfn.XLOOKUP(B3962,'2025-Q1'!$A$402:$A$448,'2025-Q1'!$A$402:$A$448,"avail")</f>
        <v>avail</v>
      </c>
      <c r="F3962" t="str">
        <f>_xlfn.XLOOKUP(B3962,'[2]!! -- Stock Universe 12.11.24'!$C$2:$C$1621,'[2]!! -- Stock Universe 12.11.24'!$E$2:$E$1621,"")</f>
        <v/>
      </c>
    </row>
    <row r="3963" spans="1:6" x14ac:dyDescent="0.25">
      <c r="A3963" s="140">
        <v>45729.291666666664</v>
      </c>
      <c r="B3963" t="s">
        <v>4019</v>
      </c>
      <c r="C3963" t="s">
        <v>3995</v>
      </c>
      <c r="D3963" s="6" t="str">
        <f>_xlfn.XLOOKUP(B3963,Indices!$A$2:$A$2676,Indices!$B$2:$B$2676,"")</f>
        <v/>
      </c>
      <c r="E3963" t="str">
        <f>_xlfn.XLOOKUP(B3963,'2025-Q1'!$A$402:$A$448,'2025-Q1'!$A$402:$A$448,"avail")</f>
        <v>avail</v>
      </c>
      <c r="F3963" t="str">
        <f>_xlfn.XLOOKUP(B3963,'[2]!! -- Stock Universe 12.11.24'!$C$2:$C$1621,'[2]!! -- Stock Universe 12.11.24'!$E$2:$E$1621,"")</f>
        <v/>
      </c>
    </row>
    <row r="3964" spans="1:6" x14ac:dyDescent="0.25">
      <c r="A3964" s="140">
        <v>45729.291666666664</v>
      </c>
      <c r="B3964" t="s">
        <v>4340</v>
      </c>
      <c r="C3964" t="s">
        <v>3995</v>
      </c>
      <c r="D3964" s="6" t="str">
        <f>_xlfn.XLOOKUP(B3964,Indices!$A$2:$A$2676,Indices!$B$2:$B$2676,"")</f>
        <v/>
      </c>
      <c r="E3964" t="str">
        <f>_xlfn.XLOOKUP(B3964,'2025-Q1'!$A$402:$A$448,'2025-Q1'!$A$402:$A$448,"avail")</f>
        <v>avail</v>
      </c>
      <c r="F3964" t="str">
        <f>_xlfn.XLOOKUP(B3964,'[2]!! -- Stock Universe 12.11.24'!$C$2:$C$1621,'[2]!! -- Stock Universe 12.11.24'!$E$2:$E$1621,"")</f>
        <v/>
      </c>
    </row>
    <row r="3965" spans="1:6" x14ac:dyDescent="0.25">
      <c r="A3965" s="140">
        <v>45729.291666666664</v>
      </c>
      <c r="B3965" t="s">
        <v>609</v>
      </c>
      <c r="C3965" t="s">
        <v>3995</v>
      </c>
      <c r="D3965" s="6" t="str">
        <f>_xlfn.XLOOKUP(B3965,Indices!$A$2:$A$2676,Indices!$B$2:$B$2676,"")</f>
        <v>IWM</v>
      </c>
      <c r="E3965" t="str">
        <f>_xlfn.XLOOKUP(B3965,'2025-Q1'!$A$402:$A$448,'2025-Q1'!$A$402:$A$448,"avail")</f>
        <v>avail</v>
      </c>
      <c r="F3965" t="str">
        <f>_xlfn.XLOOKUP(B3965,'[2]!! -- Stock Universe 12.11.24'!$C$2:$C$1621,'[2]!! -- Stock Universe 12.11.24'!$E$2:$E$1621,"")</f>
        <v>Healthcare</v>
      </c>
    </row>
    <row r="3966" spans="1:6" x14ac:dyDescent="0.25">
      <c r="A3966" s="140">
        <v>45729.291666666664</v>
      </c>
      <c r="B3966" t="s">
        <v>3954</v>
      </c>
      <c r="C3966" t="s">
        <v>3995</v>
      </c>
      <c r="D3966" s="6" t="str">
        <f>_xlfn.XLOOKUP(B3966,Indices!$A$2:$A$2676,Indices!$B$2:$B$2676,"")</f>
        <v/>
      </c>
      <c r="E3966" t="str">
        <f>_xlfn.XLOOKUP(B3966,'2025-Q1'!$A$402:$A$448,'2025-Q1'!$A$402:$A$448,"avail")</f>
        <v>avail</v>
      </c>
      <c r="F3966" t="str">
        <f>_xlfn.XLOOKUP(B3966,'[2]!! -- Stock Universe 12.11.24'!$C$2:$C$1621,'[2]!! -- Stock Universe 12.11.24'!$E$2:$E$1621,"")</f>
        <v/>
      </c>
    </row>
    <row r="3967" spans="1:6" x14ac:dyDescent="0.25">
      <c r="A3967" s="140">
        <v>45729.291666666664</v>
      </c>
      <c r="B3967" t="s">
        <v>4027</v>
      </c>
      <c r="C3967" t="s">
        <v>3995</v>
      </c>
      <c r="D3967" s="6" t="str">
        <f>_xlfn.XLOOKUP(B3967,Indices!$A$2:$A$2676,Indices!$B$2:$B$2676,"")</f>
        <v/>
      </c>
      <c r="E3967" t="str">
        <f>_xlfn.XLOOKUP(B3967,'2025-Q1'!$A$402:$A$448,'2025-Q1'!$A$402:$A$448,"avail")</f>
        <v>avail</v>
      </c>
      <c r="F3967" t="str">
        <f>_xlfn.XLOOKUP(B3967,'[2]!! -- Stock Universe 12.11.24'!$C$2:$C$1621,'[2]!! -- Stock Universe 12.11.24'!$E$2:$E$1621,"")</f>
        <v/>
      </c>
    </row>
    <row r="3968" spans="1:6" x14ac:dyDescent="0.25">
      <c r="A3968" s="140">
        <v>45729.291666666664</v>
      </c>
      <c r="B3968" t="s">
        <v>4042</v>
      </c>
      <c r="C3968" t="s">
        <v>3995</v>
      </c>
      <c r="D3968" s="6" t="str">
        <f>_xlfn.XLOOKUP(B3968,Indices!$A$2:$A$2676,Indices!$B$2:$B$2676,"")</f>
        <v/>
      </c>
      <c r="E3968" t="str">
        <f>_xlfn.XLOOKUP(B3968,'2025-Q1'!$A$402:$A$448,'2025-Q1'!$A$402:$A$448,"avail")</f>
        <v>avail</v>
      </c>
      <c r="F3968" t="str">
        <f>_xlfn.XLOOKUP(B3968,'[2]!! -- Stock Universe 12.11.24'!$C$2:$C$1621,'[2]!! -- Stock Universe 12.11.24'!$E$2:$E$1621,"")</f>
        <v/>
      </c>
    </row>
    <row r="3969" spans="1:6" x14ac:dyDescent="0.25">
      <c r="A3969" s="140">
        <v>45729.291666666664</v>
      </c>
      <c r="B3969" t="s">
        <v>4022</v>
      </c>
      <c r="C3969" t="s">
        <v>3995</v>
      </c>
      <c r="D3969" s="6" t="str">
        <f>_xlfn.XLOOKUP(B3969,Indices!$A$2:$A$2676,Indices!$B$2:$B$2676,"")</f>
        <v/>
      </c>
      <c r="E3969" t="str">
        <f>_xlfn.XLOOKUP(B3969,'2025-Q1'!$A$402:$A$448,'2025-Q1'!$A$402:$A$448,"avail")</f>
        <v>avail</v>
      </c>
      <c r="F3969" t="str">
        <f>_xlfn.XLOOKUP(B3969,'[2]!! -- Stock Universe 12.11.24'!$C$2:$C$1621,'[2]!! -- Stock Universe 12.11.24'!$E$2:$E$1621,"")</f>
        <v>Healthcare</v>
      </c>
    </row>
    <row r="3970" spans="1:6" x14ac:dyDescent="0.25">
      <c r="A3970" s="140">
        <v>45729.291666666664</v>
      </c>
      <c r="B3970" t="s">
        <v>4041</v>
      </c>
      <c r="C3970" t="s">
        <v>3995</v>
      </c>
      <c r="D3970" s="6" t="str">
        <f>_xlfn.XLOOKUP(B3970,Indices!$A$2:$A$2676,Indices!$B$2:$B$2676,"")</f>
        <v/>
      </c>
      <c r="E3970" t="str">
        <f>_xlfn.XLOOKUP(B3970,'2025-Q1'!$A$402:$A$448,'2025-Q1'!$A$402:$A$448,"avail")</f>
        <v>avail</v>
      </c>
      <c r="F3970" t="str">
        <f>_xlfn.XLOOKUP(B3970,'[2]!! -- Stock Universe 12.11.24'!$C$2:$C$1621,'[2]!! -- Stock Universe 12.11.24'!$E$2:$E$1621,"")</f>
        <v/>
      </c>
    </row>
    <row r="3971" spans="1:6" x14ac:dyDescent="0.25">
      <c r="A3971" s="140">
        <v>45729.291666666664</v>
      </c>
      <c r="B3971" t="s">
        <v>3773</v>
      </c>
      <c r="C3971" t="s">
        <v>3995</v>
      </c>
      <c r="D3971" s="6" t="str">
        <f>_xlfn.XLOOKUP(B3971,Indices!$A$2:$A$2676,Indices!$B$2:$B$2676,"")</f>
        <v/>
      </c>
      <c r="E3971" t="str">
        <f>_xlfn.XLOOKUP(B3971,'2025-Q1'!$A$402:$A$448,'2025-Q1'!$A$402:$A$448,"avail")</f>
        <v>avail</v>
      </c>
      <c r="F3971" t="str">
        <f>_xlfn.XLOOKUP(B3971,'[2]!! -- Stock Universe 12.11.24'!$C$2:$C$1621,'[2]!! -- Stock Universe 12.11.24'!$E$2:$E$1621,"")</f>
        <v/>
      </c>
    </row>
    <row r="3972" spans="1:6" x14ac:dyDescent="0.25">
      <c r="A3972" s="140">
        <v>45729.291666666664</v>
      </c>
      <c r="B3972" t="s">
        <v>4276</v>
      </c>
      <c r="C3972" t="s">
        <v>3995</v>
      </c>
      <c r="D3972" s="6" t="str">
        <f>_xlfn.XLOOKUP(B3972,Indices!$A$2:$A$2676,Indices!$B$2:$B$2676,"")</f>
        <v/>
      </c>
      <c r="E3972" t="str">
        <f>_xlfn.XLOOKUP(B3972,'2025-Q1'!$A$402:$A$448,'2025-Q1'!$A$402:$A$448,"avail")</f>
        <v>avail</v>
      </c>
      <c r="F3972" t="str">
        <f>_xlfn.XLOOKUP(B3972,'[2]!! -- Stock Universe 12.11.24'!$C$2:$C$1621,'[2]!! -- Stock Universe 12.11.24'!$E$2:$E$1621,"")</f>
        <v/>
      </c>
    </row>
    <row r="3973" spans="1:6" x14ac:dyDescent="0.25">
      <c r="A3973" s="140">
        <v>45729.291666666664</v>
      </c>
      <c r="B3973" t="s">
        <v>4032</v>
      </c>
      <c r="C3973" t="s">
        <v>3995</v>
      </c>
      <c r="D3973" s="6" t="str">
        <f>_xlfn.XLOOKUP(B3973,Indices!$A$2:$A$2676,Indices!$B$2:$B$2676,"")</f>
        <v/>
      </c>
      <c r="E3973" t="str">
        <f>_xlfn.XLOOKUP(B3973,'2025-Q1'!$A$402:$A$448,'2025-Q1'!$A$402:$A$448,"avail")</f>
        <v>avail</v>
      </c>
      <c r="F3973" t="str">
        <f>_xlfn.XLOOKUP(B3973,'[2]!! -- Stock Universe 12.11.24'!$C$2:$C$1621,'[2]!! -- Stock Universe 12.11.24'!$E$2:$E$1621,"")</f>
        <v/>
      </c>
    </row>
    <row r="3974" spans="1:6" x14ac:dyDescent="0.25">
      <c r="A3974" s="140">
        <v>45729.291666666664</v>
      </c>
      <c r="B3974" t="s">
        <v>4038</v>
      </c>
      <c r="C3974" t="s">
        <v>4013</v>
      </c>
      <c r="D3974" s="6" t="str">
        <f>_xlfn.XLOOKUP(B3974,Indices!$A$2:$A$2676,Indices!$B$2:$B$2676,"")</f>
        <v/>
      </c>
      <c r="E3974" t="str">
        <f>_xlfn.XLOOKUP(B3974,'2025-Q1'!$A$402:$A$448,'2025-Q1'!$A$402:$A$448,"avail")</f>
        <v>avail</v>
      </c>
      <c r="F3974" t="str">
        <f>_xlfn.XLOOKUP(B3974,'[2]!! -- Stock Universe 12.11.24'!$C$2:$C$1621,'[2]!! -- Stock Universe 12.11.24'!$E$2:$E$1621,"")</f>
        <v/>
      </c>
    </row>
    <row r="3975" spans="1:6" x14ac:dyDescent="0.25">
      <c r="A3975" s="140">
        <v>45729.291666666664</v>
      </c>
      <c r="B3975" t="s">
        <v>4037</v>
      </c>
      <c r="C3975" t="s">
        <v>3995</v>
      </c>
      <c r="D3975" s="6" t="str">
        <f>_xlfn.XLOOKUP(B3975,Indices!$A$2:$A$2676,Indices!$B$2:$B$2676,"")</f>
        <v/>
      </c>
      <c r="E3975" t="str">
        <f>_xlfn.XLOOKUP(B3975,'2025-Q1'!$A$402:$A$448,'2025-Q1'!$A$402:$A$448,"avail")</f>
        <v>avail</v>
      </c>
      <c r="F3975" t="str">
        <f>_xlfn.XLOOKUP(B3975,'[2]!! -- Stock Universe 12.11.24'!$C$2:$C$1621,'[2]!! -- Stock Universe 12.11.24'!$E$2:$E$1621,"")</f>
        <v/>
      </c>
    </row>
    <row r="3976" spans="1:6" x14ac:dyDescent="0.25">
      <c r="A3976" s="140">
        <v>45729.291666666664</v>
      </c>
      <c r="B3976" t="s">
        <v>4036</v>
      </c>
      <c r="C3976" t="s">
        <v>3995</v>
      </c>
      <c r="D3976" s="6" t="str">
        <f>_xlfn.XLOOKUP(B3976,Indices!$A$2:$A$2676,Indices!$B$2:$B$2676,"")</f>
        <v/>
      </c>
      <c r="E3976" t="str">
        <f>_xlfn.XLOOKUP(B3976,'2025-Q1'!$A$402:$A$448,'2025-Q1'!$A$402:$A$448,"avail")</f>
        <v>avail</v>
      </c>
      <c r="F3976" t="str">
        <f>_xlfn.XLOOKUP(B3976,'[2]!! -- Stock Universe 12.11.24'!$C$2:$C$1621,'[2]!! -- Stock Universe 12.11.24'!$E$2:$E$1621,"")</f>
        <v/>
      </c>
    </row>
    <row r="3977" spans="1:6" x14ac:dyDescent="0.25">
      <c r="A3977" s="140">
        <v>45729.291666666664</v>
      </c>
      <c r="B3977" t="s">
        <v>4009</v>
      </c>
      <c r="C3977" t="s">
        <v>3995</v>
      </c>
      <c r="D3977" s="6" t="str">
        <f>_xlfn.XLOOKUP(B3977,Indices!$A$2:$A$2676,Indices!$B$2:$B$2676,"")</f>
        <v/>
      </c>
      <c r="E3977" t="str">
        <f>_xlfn.XLOOKUP(B3977,'2025-Q1'!$A$402:$A$448,'2025-Q1'!$A$402:$A$448,"avail")</f>
        <v>avail</v>
      </c>
      <c r="F3977" t="str">
        <f>_xlfn.XLOOKUP(B3977,'[2]!! -- Stock Universe 12.11.24'!$C$2:$C$1621,'[2]!! -- Stock Universe 12.11.24'!$E$2:$E$1621,"")</f>
        <v>Consumer Cyclical</v>
      </c>
    </row>
    <row r="3978" spans="1:6" x14ac:dyDescent="0.25">
      <c r="A3978" s="140">
        <v>45729.291666666664</v>
      </c>
      <c r="B3978" t="s">
        <v>4001</v>
      </c>
      <c r="C3978" t="s">
        <v>3995</v>
      </c>
      <c r="D3978" s="6" t="str">
        <f>_xlfn.XLOOKUP(B3978,Indices!$A$2:$A$2676,Indices!$B$2:$B$2676,"")</f>
        <v/>
      </c>
      <c r="E3978" t="str">
        <f>_xlfn.XLOOKUP(B3978,'2025-Q1'!$A$402:$A$448,'2025-Q1'!$A$402:$A$448,"avail")</f>
        <v>avail</v>
      </c>
      <c r="F3978" t="str">
        <f>_xlfn.XLOOKUP(B3978,'[2]!! -- Stock Universe 12.11.24'!$C$2:$C$1621,'[2]!! -- Stock Universe 12.11.24'!$E$2:$E$1621,"")</f>
        <v/>
      </c>
    </row>
    <row r="3979" spans="1:6" x14ac:dyDescent="0.25">
      <c r="A3979" s="140">
        <v>45729.291666666664</v>
      </c>
      <c r="B3979" t="s">
        <v>1012</v>
      </c>
      <c r="C3979" t="s">
        <v>3995</v>
      </c>
      <c r="D3979" s="6" t="str">
        <f>_xlfn.XLOOKUP(B3979,Indices!$A$2:$A$2676,Indices!$B$2:$B$2676,"")</f>
        <v>IWM</v>
      </c>
      <c r="E3979" t="str">
        <f>_xlfn.XLOOKUP(B3979,'2025-Q1'!$A$402:$A$448,'2025-Q1'!$A$402:$A$448,"avail")</f>
        <v>avail</v>
      </c>
      <c r="F3979" t="str">
        <f>_xlfn.XLOOKUP(B3979,'[2]!! -- Stock Universe 12.11.24'!$C$2:$C$1621,'[2]!! -- Stock Universe 12.11.24'!$E$2:$E$1621,"")</f>
        <v>Healthcare</v>
      </c>
    </row>
    <row r="3980" spans="1:6" x14ac:dyDescent="0.25">
      <c r="A3980" s="140">
        <v>45729.291666666664</v>
      </c>
      <c r="B3980" t="s">
        <v>1018</v>
      </c>
      <c r="C3980" t="s">
        <v>3995</v>
      </c>
      <c r="D3980" s="6" t="str">
        <f>_xlfn.XLOOKUP(B3980,Indices!$A$2:$A$2676,Indices!$B$2:$B$2676,"")</f>
        <v>IWM</v>
      </c>
      <c r="E3980" t="str">
        <f>_xlfn.XLOOKUP(B3980,'2025-Q1'!$A$402:$A$448,'2025-Q1'!$A$402:$A$448,"avail")</f>
        <v>avail</v>
      </c>
      <c r="F3980" t="str">
        <f>_xlfn.XLOOKUP(B3980,'[2]!! -- Stock Universe 12.11.24'!$C$2:$C$1621,'[2]!! -- Stock Universe 12.11.24'!$E$2:$E$1621,"")</f>
        <v/>
      </c>
    </row>
    <row r="3981" spans="1:6" x14ac:dyDescent="0.25">
      <c r="A3981" s="140">
        <v>45729.291666666664</v>
      </c>
      <c r="B3981" t="s">
        <v>4020</v>
      </c>
      <c r="C3981" t="s">
        <v>3995</v>
      </c>
      <c r="D3981" s="6" t="str">
        <f>_xlfn.XLOOKUP(B3981,Indices!$A$2:$A$2676,Indices!$B$2:$B$2676,"")</f>
        <v/>
      </c>
      <c r="E3981" t="str">
        <f>_xlfn.XLOOKUP(B3981,'2025-Q1'!$A$402:$A$448,'2025-Q1'!$A$402:$A$448,"avail")</f>
        <v>avail</v>
      </c>
      <c r="F3981" t="str">
        <f>_xlfn.XLOOKUP(B3981,'[2]!! -- Stock Universe 12.11.24'!$C$2:$C$1621,'[2]!! -- Stock Universe 12.11.24'!$E$2:$E$1621,"")</f>
        <v/>
      </c>
    </row>
    <row r="3982" spans="1:6" x14ac:dyDescent="0.25">
      <c r="A3982" s="140">
        <v>45729.291666666664</v>
      </c>
      <c r="B3982" t="s">
        <v>908</v>
      </c>
      <c r="C3982" t="s">
        <v>3995</v>
      </c>
      <c r="D3982" s="6" t="str">
        <f>_xlfn.XLOOKUP(B3982,Indices!$A$2:$A$2676,Indices!$B$2:$B$2676,"")</f>
        <v>IWM</v>
      </c>
      <c r="E3982" t="str">
        <f>_xlfn.XLOOKUP(B3982,'2025-Q1'!$A$402:$A$448,'2025-Q1'!$A$402:$A$448,"avail")</f>
        <v>avail</v>
      </c>
      <c r="F3982" t="str">
        <f>_xlfn.XLOOKUP(B3982,'[2]!! -- Stock Universe 12.11.24'!$C$2:$C$1621,'[2]!! -- Stock Universe 12.11.24'!$E$2:$E$1621,"")</f>
        <v>Healthcare</v>
      </c>
    </row>
    <row r="3983" spans="1:6" x14ac:dyDescent="0.25">
      <c r="A3983" s="140">
        <v>45729.291666666664</v>
      </c>
      <c r="B3983" t="s">
        <v>4023</v>
      </c>
      <c r="C3983" t="s">
        <v>3995</v>
      </c>
      <c r="D3983" s="6" t="str">
        <f>_xlfn.XLOOKUP(B3983,Indices!$A$2:$A$2676,Indices!$B$2:$B$2676,"")</f>
        <v/>
      </c>
      <c r="E3983" t="str">
        <f>_xlfn.XLOOKUP(B3983,'2025-Q1'!$A$402:$A$448,'2025-Q1'!$A$402:$A$448,"avail")</f>
        <v>avail</v>
      </c>
      <c r="F3983" t="str">
        <f>_xlfn.XLOOKUP(B3983,'[2]!! -- Stock Universe 12.11.24'!$C$2:$C$1621,'[2]!! -- Stock Universe 12.11.24'!$E$2:$E$1621,"")</f>
        <v/>
      </c>
    </row>
    <row r="3984" spans="1:6" x14ac:dyDescent="0.25">
      <c r="A3984" s="140">
        <v>45729.291666666664</v>
      </c>
      <c r="B3984" t="s">
        <v>4026</v>
      </c>
      <c r="C3984" t="s">
        <v>3995</v>
      </c>
      <c r="D3984" s="6" t="str">
        <f>_xlfn.XLOOKUP(B3984,Indices!$A$2:$A$2676,Indices!$B$2:$B$2676,"")</f>
        <v/>
      </c>
      <c r="E3984" t="str">
        <f>_xlfn.XLOOKUP(B3984,'2025-Q1'!$A$402:$A$448,'2025-Q1'!$A$402:$A$448,"avail")</f>
        <v>avail</v>
      </c>
      <c r="F3984" t="str">
        <f>_xlfn.XLOOKUP(B3984,'[2]!! -- Stock Universe 12.11.24'!$C$2:$C$1621,'[2]!! -- Stock Universe 12.11.24'!$E$2:$E$1621,"")</f>
        <v/>
      </c>
    </row>
    <row r="3985" spans="1:6" x14ac:dyDescent="0.25">
      <c r="A3985" s="140">
        <v>45729.291666666664</v>
      </c>
      <c r="B3985" t="s">
        <v>4000</v>
      </c>
      <c r="C3985" t="s">
        <v>3995</v>
      </c>
      <c r="D3985" s="6" t="str">
        <f>_xlfn.XLOOKUP(B3985,Indices!$A$2:$A$2676,Indices!$B$2:$B$2676,"")</f>
        <v/>
      </c>
      <c r="E3985" t="str">
        <f>_xlfn.XLOOKUP(B3985,'2025-Q1'!$A$402:$A$448,'2025-Q1'!$A$402:$A$448,"avail")</f>
        <v>avail</v>
      </c>
      <c r="F3985" t="str">
        <f>_xlfn.XLOOKUP(B3985,'[2]!! -- Stock Universe 12.11.24'!$C$2:$C$1621,'[2]!! -- Stock Universe 12.11.24'!$E$2:$E$1621,"")</f>
        <v/>
      </c>
    </row>
    <row r="3986" spans="1:6" x14ac:dyDescent="0.25">
      <c r="A3986" s="140">
        <v>45729.291666666664</v>
      </c>
      <c r="B3986" t="s">
        <v>932</v>
      </c>
      <c r="C3986" t="s">
        <v>3995</v>
      </c>
      <c r="D3986" s="6" t="str">
        <f>_xlfn.XLOOKUP(B3986,Indices!$A$2:$A$2676,Indices!$B$2:$B$2676,"")</f>
        <v>IWM</v>
      </c>
      <c r="E3986" t="str">
        <f>_xlfn.XLOOKUP(B3986,'2025-Q1'!$A$402:$A$448,'2025-Q1'!$A$402:$A$448,"avail")</f>
        <v>avail</v>
      </c>
      <c r="F3986" t="str">
        <f>_xlfn.XLOOKUP(B3986,'[2]!! -- Stock Universe 12.11.24'!$C$2:$C$1621,'[2]!! -- Stock Universe 12.11.24'!$E$2:$E$1621,"")</f>
        <v>Healthcare</v>
      </c>
    </row>
    <row r="3987" spans="1:6" x14ac:dyDescent="0.25">
      <c r="A3987" s="140">
        <v>45729.291666666664</v>
      </c>
      <c r="B3987" t="s">
        <v>3944</v>
      </c>
      <c r="C3987" t="s">
        <v>4013</v>
      </c>
      <c r="D3987" s="6" t="str">
        <f>_xlfn.XLOOKUP(B3987,Indices!$A$2:$A$2676,Indices!$B$2:$B$2676,"")</f>
        <v/>
      </c>
      <c r="E3987" t="str">
        <f>_xlfn.XLOOKUP(B3987,'2025-Q1'!$A$402:$A$448,'2025-Q1'!$A$402:$A$448,"avail")</f>
        <v>avail</v>
      </c>
      <c r="F3987" t="str">
        <f>_xlfn.XLOOKUP(B3987,'[2]!! -- Stock Universe 12.11.24'!$C$2:$C$1621,'[2]!! -- Stock Universe 12.11.24'!$E$2:$E$1621,"")</f>
        <v/>
      </c>
    </row>
    <row r="3988" spans="1:6" x14ac:dyDescent="0.25">
      <c r="A3988" s="140">
        <v>45729.291666666664</v>
      </c>
      <c r="B3988" t="s">
        <v>4040</v>
      </c>
      <c r="C3988" t="s">
        <v>3995</v>
      </c>
      <c r="D3988" s="6" t="str">
        <f>_xlfn.XLOOKUP(B3988,Indices!$A$2:$A$2676,Indices!$B$2:$B$2676,"")</f>
        <v/>
      </c>
      <c r="E3988" t="str">
        <f>_xlfn.XLOOKUP(B3988,'2025-Q1'!$A$402:$A$448,'2025-Q1'!$A$402:$A$448,"avail")</f>
        <v>avail</v>
      </c>
      <c r="F3988" t="str">
        <f>_xlfn.XLOOKUP(B3988,'[2]!! -- Stock Universe 12.11.24'!$C$2:$C$1621,'[2]!! -- Stock Universe 12.11.24'!$E$2:$E$1621,"")</f>
        <v/>
      </c>
    </row>
    <row r="3989" spans="1:6" x14ac:dyDescent="0.25">
      <c r="A3989" s="140">
        <v>45729.291666666664</v>
      </c>
      <c r="B3989" t="s">
        <v>4004</v>
      </c>
      <c r="C3989" t="s">
        <v>3995</v>
      </c>
      <c r="D3989" s="6" t="str">
        <f>_xlfn.XLOOKUP(B3989,Indices!$A$2:$A$2676,Indices!$B$2:$B$2676,"")</f>
        <v/>
      </c>
      <c r="E3989" t="str">
        <f>_xlfn.XLOOKUP(B3989,'2025-Q1'!$A$402:$A$448,'2025-Q1'!$A$402:$A$448,"avail")</f>
        <v>avail</v>
      </c>
      <c r="F3989" t="str">
        <f>_xlfn.XLOOKUP(B3989,'[2]!! -- Stock Universe 12.11.24'!$C$2:$C$1621,'[2]!! -- Stock Universe 12.11.24'!$E$2:$E$1621,"")</f>
        <v/>
      </c>
    </row>
    <row r="3990" spans="1:6" x14ac:dyDescent="0.25">
      <c r="A3990" s="140">
        <v>45729.291666666664</v>
      </c>
      <c r="B3990" t="s">
        <v>4005</v>
      </c>
      <c r="C3990" t="s">
        <v>3995</v>
      </c>
      <c r="D3990" s="6" t="str">
        <f>_xlfn.XLOOKUP(B3990,Indices!$A$2:$A$2676,Indices!$B$2:$B$2676,"")</f>
        <v/>
      </c>
      <c r="E3990" t="str">
        <f>_xlfn.XLOOKUP(B3990,'2025-Q1'!$A$402:$A$448,'2025-Q1'!$A$402:$A$448,"avail")</f>
        <v>avail</v>
      </c>
      <c r="F3990" t="str">
        <f>_xlfn.XLOOKUP(B3990,'[2]!! -- Stock Universe 12.11.24'!$C$2:$C$1621,'[2]!! -- Stock Universe 12.11.24'!$E$2:$E$1621,"")</f>
        <v/>
      </c>
    </row>
    <row r="3991" spans="1:6" x14ac:dyDescent="0.25">
      <c r="A3991" s="140">
        <v>45729.291666666664</v>
      </c>
      <c r="B3991" t="s">
        <v>912</v>
      </c>
      <c r="C3991" t="s">
        <v>3995</v>
      </c>
      <c r="D3991" s="6" t="str">
        <f>_xlfn.XLOOKUP(B3991,Indices!$A$2:$A$2676,Indices!$B$2:$B$2676,"")</f>
        <v>IWM</v>
      </c>
      <c r="E3991" t="str">
        <f>_xlfn.XLOOKUP(B3991,'2025-Q1'!$A$402:$A$448,'2025-Q1'!$A$402:$A$448,"avail")</f>
        <v>avail</v>
      </c>
      <c r="F3991" t="str">
        <f>_xlfn.XLOOKUP(B3991,'[2]!! -- Stock Universe 12.11.24'!$C$2:$C$1621,'[2]!! -- Stock Universe 12.11.24'!$E$2:$E$1621,"")</f>
        <v>Industrials</v>
      </c>
    </row>
    <row r="3992" spans="1:6" x14ac:dyDescent="0.25">
      <c r="A3992" s="140">
        <v>45729.291666666664</v>
      </c>
      <c r="B3992" t="s">
        <v>4030</v>
      </c>
      <c r="C3992" t="s">
        <v>3995</v>
      </c>
      <c r="D3992" s="6" t="str">
        <f>_xlfn.XLOOKUP(B3992,Indices!$A$2:$A$2676,Indices!$B$2:$B$2676,"")</f>
        <v/>
      </c>
      <c r="E3992" t="str">
        <f>_xlfn.XLOOKUP(B3992,'2025-Q1'!$A$402:$A$448,'2025-Q1'!$A$402:$A$448,"avail")</f>
        <v>avail</v>
      </c>
      <c r="F3992" t="str">
        <f>_xlfn.XLOOKUP(B3992,'[2]!! -- Stock Universe 12.11.24'!$C$2:$C$1621,'[2]!! -- Stock Universe 12.11.24'!$E$2:$E$1621,"")</f>
        <v/>
      </c>
    </row>
    <row r="3993" spans="1:6" x14ac:dyDescent="0.25">
      <c r="A3993" s="140">
        <v>45729.291666666664</v>
      </c>
      <c r="B3993" t="s">
        <v>4016</v>
      </c>
      <c r="C3993" t="s">
        <v>3995</v>
      </c>
      <c r="D3993" s="6" t="str">
        <f>_xlfn.XLOOKUP(B3993,Indices!$A$2:$A$2676,Indices!$B$2:$B$2676,"")</f>
        <v/>
      </c>
      <c r="E3993" t="str">
        <f>_xlfn.XLOOKUP(B3993,'2025-Q1'!$A$402:$A$448,'2025-Q1'!$A$402:$A$448,"avail")</f>
        <v>avail</v>
      </c>
      <c r="F3993" t="str">
        <f>_xlfn.XLOOKUP(B3993,'[2]!! -- Stock Universe 12.11.24'!$C$2:$C$1621,'[2]!! -- Stock Universe 12.11.24'!$E$2:$E$1621,"")</f>
        <v/>
      </c>
    </row>
    <row r="3994" spans="1:6" x14ac:dyDescent="0.25">
      <c r="A3994" s="140">
        <v>45729.625</v>
      </c>
      <c r="B3994" t="s">
        <v>4527</v>
      </c>
      <c r="C3994" t="s">
        <v>4049</v>
      </c>
      <c r="D3994" s="6" t="str">
        <f>_xlfn.XLOOKUP(B3994,Indices!$A$2:$A$2676,Indices!$B$2:$B$2676,"")</f>
        <v/>
      </c>
      <c r="E3994" t="str">
        <f>_xlfn.XLOOKUP(B3994,'2025-Q1'!$A$402:$A$448,'2025-Q1'!$A$402:$A$448,"avail")</f>
        <v>avail</v>
      </c>
      <c r="F3994" t="str">
        <f>_xlfn.XLOOKUP(B3994,'[2]!! -- Stock Universe 12.11.24'!$C$2:$C$1621,'[2]!! -- Stock Universe 12.11.24'!$E$2:$E$1621,"")</f>
        <v/>
      </c>
    </row>
    <row r="3995" spans="1:6" x14ac:dyDescent="0.25">
      <c r="A3995" s="140">
        <v>45729.625</v>
      </c>
      <c r="B3995" t="s">
        <v>4082</v>
      </c>
      <c r="C3995" t="s">
        <v>4049</v>
      </c>
      <c r="D3995" s="6" t="str">
        <f>_xlfn.XLOOKUP(B3995,Indices!$A$2:$A$2676,Indices!$B$2:$B$2676,"")</f>
        <v/>
      </c>
      <c r="E3995" t="str">
        <f>_xlfn.XLOOKUP(B3995,'2025-Q1'!$A$402:$A$448,'2025-Q1'!$A$402:$A$448,"avail")</f>
        <v>avail</v>
      </c>
      <c r="F3995" t="str">
        <f>_xlfn.XLOOKUP(B3995,'[2]!! -- Stock Universe 12.11.24'!$C$2:$C$1621,'[2]!! -- Stock Universe 12.11.24'!$E$2:$E$1621,"")</f>
        <v>Communication Services</v>
      </c>
    </row>
    <row r="3996" spans="1:6" x14ac:dyDescent="0.25">
      <c r="A3996" s="140">
        <v>45729.625</v>
      </c>
      <c r="B3996" t="s">
        <v>3936</v>
      </c>
      <c r="C3996" t="s">
        <v>4049</v>
      </c>
      <c r="D3996" s="6" t="str">
        <f>_xlfn.XLOOKUP(B3996,Indices!$A$2:$A$2676,Indices!$B$2:$B$2676,"")</f>
        <v/>
      </c>
      <c r="E3996" t="str">
        <f>_xlfn.XLOOKUP(B3996,'2025-Q1'!$A$402:$A$448,'2025-Q1'!$A$402:$A$448,"avail")</f>
        <v>avail</v>
      </c>
      <c r="F3996" t="str">
        <f>_xlfn.XLOOKUP(B3996,'[2]!! -- Stock Universe 12.11.24'!$C$2:$C$1621,'[2]!! -- Stock Universe 12.11.24'!$E$2:$E$1621,"")</f>
        <v/>
      </c>
    </row>
    <row r="3997" spans="1:6" x14ac:dyDescent="0.25">
      <c r="A3997" s="140">
        <v>45729.625</v>
      </c>
      <c r="B3997" t="s">
        <v>1235</v>
      </c>
      <c r="C3997" t="s">
        <v>4049</v>
      </c>
      <c r="D3997" s="6" t="str">
        <f>_xlfn.XLOOKUP(B3997,Indices!$A$2:$A$2676,Indices!$B$2:$B$2676,"")</f>
        <v>SP500</v>
      </c>
      <c r="E3997" t="str">
        <f>_xlfn.XLOOKUP(B3997,'2025-Q1'!$A$402:$A$448,'2025-Q1'!$A$402:$A$448,"avail")</f>
        <v>ULTA</v>
      </c>
      <c r="F3997" t="str">
        <f>_xlfn.XLOOKUP(B3997,'[2]!! -- Stock Universe 12.11.24'!$C$2:$C$1621,'[2]!! -- Stock Universe 12.11.24'!$E$2:$E$1621,"")</f>
        <v>Consumer Cyclical</v>
      </c>
    </row>
    <row r="3998" spans="1:6" x14ac:dyDescent="0.25">
      <c r="A3998" s="140">
        <v>45729.625</v>
      </c>
      <c r="B3998" t="s">
        <v>4119</v>
      </c>
      <c r="C3998" t="s">
        <v>4049</v>
      </c>
      <c r="D3998" s="6" t="str">
        <f>_xlfn.XLOOKUP(B3998,Indices!$A$2:$A$2676,Indices!$B$2:$B$2676,"")</f>
        <v/>
      </c>
      <c r="E3998" t="str">
        <f>_xlfn.XLOOKUP(B3998,'2025-Q1'!$A$402:$A$448,'2025-Q1'!$A$402:$A$448,"avail")</f>
        <v>avail</v>
      </c>
      <c r="F3998" t="str">
        <f>_xlfn.XLOOKUP(B3998,'[2]!! -- Stock Universe 12.11.24'!$C$2:$C$1621,'[2]!! -- Stock Universe 12.11.24'!$E$2:$E$1621,"")</f>
        <v/>
      </c>
    </row>
    <row r="3999" spans="1:6" x14ac:dyDescent="0.25">
      <c r="A3999" s="140">
        <v>45729.625</v>
      </c>
      <c r="B3999" t="s">
        <v>4090</v>
      </c>
      <c r="C3999" t="s">
        <v>4049</v>
      </c>
      <c r="D3999" s="6" t="str">
        <f>_xlfn.XLOOKUP(B3999,Indices!$A$2:$A$2676,Indices!$B$2:$B$2676,"")</f>
        <v/>
      </c>
      <c r="E3999" t="str">
        <f>_xlfn.XLOOKUP(B3999,'2025-Q1'!$A$402:$A$448,'2025-Q1'!$A$402:$A$448,"avail")</f>
        <v>avail</v>
      </c>
      <c r="F3999" t="str">
        <f>_xlfn.XLOOKUP(B3999,'[2]!! -- Stock Universe 12.11.24'!$C$2:$C$1621,'[2]!! -- Stock Universe 12.11.24'!$E$2:$E$1621,"")</f>
        <v/>
      </c>
    </row>
    <row r="4000" spans="1:6" x14ac:dyDescent="0.25">
      <c r="A4000" s="140">
        <v>45729.625</v>
      </c>
      <c r="B4000" t="s">
        <v>4078</v>
      </c>
      <c r="C4000" t="s">
        <v>4049</v>
      </c>
      <c r="D4000" s="6" t="str">
        <f>_xlfn.XLOOKUP(B4000,Indices!$A$2:$A$2676,Indices!$B$2:$B$2676,"")</f>
        <v/>
      </c>
      <c r="E4000" t="str">
        <f>_xlfn.XLOOKUP(B4000,'2025-Q1'!$A$402:$A$448,'2025-Q1'!$A$402:$A$448,"avail")</f>
        <v>avail</v>
      </c>
      <c r="F4000" t="str">
        <f>_xlfn.XLOOKUP(B4000,'[2]!! -- Stock Universe 12.11.24'!$C$2:$C$1621,'[2]!! -- Stock Universe 12.11.24'!$E$2:$E$1621,"")</f>
        <v>Technology</v>
      </c>
    </row>
    <row r="4001" spans="1:6" x14ac:dyDescent="0.25">
      <c r="A4001" s="140">
        <v>45729.625</v>
      </c>
      <c r="B4001" t="s">
        <v>4086</v>
      </c>
      <c r="C4001" t="s">
        <v>4049</v>
      </c>
      <c r="D4001" s="6" t="str">
        <f>_xlfn.XLOOKUP(B4001,Indices!$A$2:$A$2676,Indices!$B$2:$B$2676,"")</f>
        <v/>
      </c>
      <c r="E4001" t="str">
        <f>_xlfn.XLOOKUP(B4001,'2025-Q1'!$A$402:$A$448,'2025-Q1'!$A$402:$A$448,"avail")</f>
        <v>avail</v>
      </c>
      <c r="F4001" t="str">
        <f>_xlfn.XLOOKUP(B4001,'[2]!! -- Stock Universe 12.11.24'!$C$2:$C$1621,'[2]!! -- Stock Universe 12.11.24'!$E$2:$E$1621,"")</f>
        <v/>
      </c>
    </row>
    <row r="4002" spans="1:6" x14ac:dyDescent="0.25">
      <c r="A4002" s="140">
        <v>45729.625</v>
      </c>
      <c r="B4002" t="s">
        <v>4085</v>
      </c>
      <c r="C4002" t="s">
        <v>4049</v>
      </c>
      <c r="D4002" s="6" t="str">
        <f>_xlfn.XLOOKUP(B4002,Indices!$A$2:$A$2676,Indices!$B$2:$B$2676,"")</f>
        <v/>
      </c>
      <c r="E4002" t="str">
        <f>_xlfn.XLOOKUP(B4002,'2025-Q1'!$A$402:$A$448,'2025-Q1'!$A$402:$A$448,"avail")</f>
        <v>avail</v>
      </c>
      <c r="F4002" t="str">
        <f>_xlfn.XLOOKUP(B4002,'[2]!! -- Stock Universe 12.11.24'!$C$2:$C$1621,'[2]!! -- Stock Universe 12.11.24'!$E$2:$E$1621,"")</f>
        <v/>
      </c>
    </row>
    <row r="4003" spans="1:6" x14ac:dyDescent="0.25">
      <c r="A4003" s="140">
        <v>45729.625</v>
      </c>
      <c r="B4003" t="s">
        <v>4071</v>
      </c>
      <c r="C4003" t="s">
        <v>4049</v>
      </c>
      <c r="D4003" s="6" t="str">
        <f>_xlfn.XLOOKUP(B4003,Indices!$A$2:$A$2676,Indices!$B$2:$B$2676,"")</f>
        <v/>
      </c>
      <c r="E4003" t="str">
        <f>_xlfn.XLOOKUP(B4003,'2025-Q1'!$A$402:$A$448,'2025-Q1'!$A$402:$A$448,"avail")</f>
        <v>avail</v>
      </c>
      <c r="F4003" t="str">
        <f>_xlfn.XLOOKUP(B4003,'[2]!! -- Stock Universe 12.11.24'!$C$2:$C$1621,'[2]!! -- Stock Universe 12.11.24'!$E$2:$E$1621,"")</f>
        <v/>
      </c>
    </row>
    <row r="4004" spans="1:6" x14ac:dyDescent="0.25">
      <c r="A4004" s="140">
        <v>45729.625</v>
      </c>
      <c r="B4004" t="s">
        <v>1241</v>
      </c>
      <c r="C4004" t="s">
        <v>4049</v>
      </c>
      <c r="D4004" s="6" t="str">
        <f>_xlfn.XLOOKUP(B4004,Indices!$A$2:$A$2676,Indices!$B$2:$B$2676,"")</f>
        <v>S&amp;P Mid</v>
      </c>
      <c r="E4004" t="str">
        <f>_xlfn.XLOOKUP(B4004,'2025-Q1'!$A$402:$A$448,'2025-Q1'!$A$402:$A$448,"avail")</f>
        <v>DOCU</v>
      </c>
      <c r="F4004" t="str">
        <f>_xlfn.XLOOKUP(B4004,'[2]!! -- Stock Universe 12.11.24'!$C$2:$C$1621,'[2]!! -- Stock Universe 12.11.24'!$E$2:$E$1621,"")</f>
        <v>Technology</v>
      </c>
    </row>
    <row r="4005" spans="1:6" x14ac:dyDescent="0.25">
      <c r="A4005" s="140">
        <v>45729.625</v>
      </c>
      <c r="B4005" t="s">
        <v>4070</v>
      </c>
      <c r="C4005" t="s">
        <v>4049</v>
      </c>
      <c r="D4005" s="6" t="str">
        <f>_xlfn.XLOOKUP(B4005,Indices!$A$2:$A$2676,Indices!$B$2:$B$2676,"")</f>
        <v/>
      </c>
      <c r="E4005" t="str">
        <f>_xlfn.XLOOKUP(B4005,'2025-Q1'!$A$402:$A$448,'2025-Q1'!$A$402:$A$448,"avail")</f>
        <v>avail</v>
      </c>
      <c r="F4005" t="str">
        <f>_xlfn.XLOOKUP(B4005,'[2]!! -- Stock Universe 12.11.24'!$C$2:$C$1621,'[2]!! -- Stock Universe 12.11.24'!$E$2:$E$1621,"")</f>
        <v/>
      </c>
    </row>
    <row r="4006" spans="1:6" x14ac:dyDescent="0.25">
      <c r="A4006" s="140">
        <v>45729.625</v>
      </c>
      <c r="B4006" t="s">
        <v>4114</v>
      </c>
      <c r="C4006" t="s">
        <v>4049</v>
      </c>
      <c r="D4006" s="6" t="str">
        <f>_xlfn.XLOOKUP(B4006,Indices!$A$2:$A$2676,Indices!$B$2:$B$2676,"")</f>
        <v/>
      </c>
      <c r="E4006" t="str">
        <f>_xlfn.XLOOKUP(B4006,'2025-Q1'!$A$402:$A$448,'2025-Q1'!$A$402:$A$448,"avail")</f>
        <v>avail</v>
      </c>
      <c r="F4006" t="str">
        <f>_xlfn.XLOOKUP(B4006,'[2]!! -- Stock Universe 12.11.24'!$C$2:$C$1621,'[2]!! -- Stock Universe 12.11.24'!$E$2:$E$1621,"")</f>
        <v/>
      </c>
    </row>
    <row r="4007" spans="1:6" x14ac:dyDescent="0.25">
      <c r="A4007" s="140">
        <v>45729.625</v>
      </c>
      <c r="B4007" t="s">
        <v>4095</v>
      </c>
      <c r="C4007" t="s">
        <v>4049</v>
      </c>
      <c r="D4007" s="6" t="str">
        <f>_xlfn.XLOOKUP(B4007,Indices!$A$2:$A$2676,Indices!$B$2:$B$2676,"")</f>
        <v/>
      </c>
      <c r="E4007" t="str">
        <f>_xlfn.XLOOKUP(B4007,'2025-Q1'!$A$402:$A$448,'2025-Q1'!$A$402:$A$448,"avail")</f>
        <v>avail</v>
      </c>
      <c r="F4007" t="str">
        <f>_xlfn.XLOOKUP(B4007,'[2]!! -- Stock Universe 12.11.24'!$C$2:$C$1621,'[2]!! -- Stock Universe 12.11.24'!$E$2:$E$1621,"")</f>
        <v/>
      </c>
    </row>
    <row r="4008" spans="1:6" x14ac:dyDescent="0.25">
      <c r="A4008" s="140">
        <v>45729.625</v>
      </c>
      <c r="B4008" t="s">
        <v>4194</v>
      </c>
      <c r="C4008" t="s">
        <v>4049</v>
      </c>
      <c r="D4008" s="6" t="str">
        <f>_xlfn.XLOOKUP(B4008,Indices!$A$2:$A$2676,Indices!$B$2:$B$2676,"")</f>
        <v/>
      </c>
      <c r="E4008" t="str">
        <f>_xlfn.XLOOKUP(B4008,'2025-Q1'!$A$402:$A$448,'2025-Q1'!$A$402:$A$448,"avail")</f>
        <v>avail</v>
      </c>
      <c r="F4008" t="str">
        <f>_xlfn.XLOOKUP(B4008,'[2]!! -- Stock Universe 12.11.24'!$C$2:$C$1621,'[2]!! -- Stock Universe 12.11.24'!$E$2:$E$1621,"")</f>
        <v/>
      </c>
    </row>
    <row r="4009" spans="1:6" x14ac:dyDescent="0.25">
      <c r="A4009" s="140">
        <v>45729.625</v>
      </c>
      <c r="B4009" t="s">
        <v>3622</v>
      </c>
      <c r="C4009" t="s">
        <v>4049</v>
      </c>
      <c r="D4009" s="6" t="str">
        <f>_xlfn.XLOOKUP(B4009,Indices!$A$2:$A$2676,Indices!$B$2:$B$2676,"")</f>
        <v/>
      </c>
      <c r="E4009" t="str">
        <f>_xlfn.XLOOKUP(B4009,'2025-Q1'!$A$402:$A$448,'2025-Q1'!$A$402:$A$448,"avail")</f>
        <v>avail</v>
      </c>
      <c r="F4009" t="str">
        <f>_xlfn.XLOOKUP(B4009,'[2]!! -- Stock Universe 12.11.24'!$C$2:$C$1621,'[2]!! -- Stock Universe 12.11.24'!$E$2:$E$1621,"")</f>
        <v>Industrials</v>
      </c>
    </row>
    <row r="4010" spans="1:6" x14ac:dyDescent="0.25">
      <c r="A4010" s="140">
        <v>45729.625</v>
      </c>
      <c r="B4010" t="s">
        <v>4067</v>
      </c>
      <c r="C4010" t="s">
        <v>4049</v>
      </c>
      <c r="D4010" s="6" t="str">
        <f>_xlfn.XLOOKUP(B4010,Indices!$A$2:$A$2676,Indices!$B$2:$B$2676,"")</f>
        <v/>
      </c>
      <c r="E4010" t="str">
        <f>_xlfn.XLOOKUP(B4010,'2025-Q1'!$A$402:$A$448,'2025-Q1'!$A$402:$A$448,"avail")</f>
        <v>avail</v>
      </c>
      <c r="F4010" t="str">
        <f>_xlfn.XLOOKUP(B4010,'[2]!! -- Stock Universe 12.11.24'!$C$2:$C$1621,'[2]!! -- Stock Universe 12.11.24'!$E$2:$E$1621,"")</f>
        <v/>
      </c>
    </row>
    <row r="4011" spans="1:6" x14ac:dyDescent="0.25">
      <c r="A4011" s="140">
        <v>45729.625</v>
      </c>
      <c r="B4011" t="s">
        <v>1140</v>
      </c>
      <c r="C4011" t="s">
        <v>4049</v>
      </c>
      <c r="D4011" s="6" t="str">
        <f>_xlfn.XLOOKUP(B4011,Indices!$A$2:$A$2676,Indices!$B$2:$B$2676,"")</f>
        <v>IWM</v>
      </c>
      <c r="E4011" t="str">
        <f>_xlfn.XLOOKUP(B4011,'2025-Q1'!$A$402:$A$448,'2025-Q1'!$A$402:$A$448,"avail")</f>
        <v>SMTC</v>
      </c>
      <c r="F4011" t="str">
        <f>_xlfn.XLOOKUP(B4011,'[2]!! -- Stock Universe 12.11.24'!$C$2:$C$1621,'[2]!! -- Stock Universe 12.11.24'!$E$2:$E$1621,"")</f>
        <v>Technology</v>
      </c>
    </row>
    <row r="4012" spans="1:6" x14ac:dyDescent="0.25">
      <c r="A4012" s="140">
        <v>45729.625</v>
      </c>
      <c r="B4012" t="s">
        <v>4066</v>
      </c>
      <c r="C4012" t="s">
        <v>4049</v>
      </c>
      <c r="D4012" s="6" t="str">
        <f>_xlfn.XLOOKUP(B4012,Indices!$A$2:$A$2676,Indices!$B$2:$B$2676,"")</f>
        <v/>
      </c>
      <c r="E4012" t="str">
        <f>_xlfn.XLOOKUP(B4012,'2025-Q1'!$A$402:$A$448,'2025-Q1'!$A$402:$A$448,"avail")</f>
        <v>avail</v>
      </c>
      <c r="F4012" t="str">
        <f>_xlfn.XLOOKUP(B4012,'[2]!! -- Stock Universe 12.11.24'!$C$2:$C$1621,'[2]!! -- Stock Universe 12.11.24'!$E$2:$E$1621,"")</f>
        <v/>
      </c>
    </row>
    <row r="4013" spans="1:6" x14ac:dyDescent="0.25">
      <c r="A4013" s="140">
        <v>45729.625</v>
      </c>
      <c r="B4013" t="s">
        <v>4105</v>
      </c>
      <c r="C4013" t="s">
        <v>4049</v>
      </c>
      <c r="D4013" s="6" t="str">
        <f>_xlfn.XLOOKUP(B4013,Indices!$A$2:$A$2676,Indices!$B$2:$B$2676,"")</f>
        <v/>
      </c>
      <c r="E4013" t="str">
        <f>_xlfn.XLOOKUP(B4013,'2025-Q1'!$A$402:$A$448,'2025-Q1'!$A$402:$A$448,"avail")</f>
        <v>avail</v>
      </c>
      <c r="F4013" t="str">
        <f>_xlfn.XLOOKUP(B4013,'[2]!! -- Stock Universe 12.11.24'!$C$2:$C$1621,'[2]!! -- Stock Universe 12.11.24'!$E$2:$E$1621,"")</f>
        <v>Healthcare</v>
      </c>
    </row>
    <row r="4014" spans="1:6" x14ac:dyDescent="0.25">
      <c r="A4014" s="140">
        <v>45729.625</v>
      </c>
      <c r="B4014" t="s">
        <v>4065</v>
      </c>
      <c r="C4014" t="s">
        <v>4049</v>
      </c>
      <c r="D4014" s="6" t="str">
        <f>_xlfn.XLOOKUP(B4014,Indices!$A$2:$A$2676,Indices!$B$2:$B$2676,"")</f>
        <v/>
      </c>
      <c r="E4014" t="str">
        <f>_xlfn.XLOOKUP(B4014,'2025-Q1'!$A$402:$A$448,'2025-Q1'!$A$402:$A$448,"avail")</f>
        <v>avail</v>
      </c>
      <c r="F4014" t="str">
        <f>_xlfn.XLOOKUP(B4014,'[2]!! -- Stock Universe 12.11.24'!$C$2:$C$1621,'[2]!! -- Stock Universe 12.11.24'!$E$2:$E$1621,"")</f>
        <v/>
      </c>
    </row>
    <row r="4015" spans="1:6" x14ac:dyDescent="0.25">
      <c r="A4015" s="140">
        <v>45729.625</v>
      </c>
      <c r="B4015" t="s">
        <v>786</v>
      </c>
      <c r="C4015" t="s">
        <v>4049</v>
      </c>
      <c r="D4015" s="6" t="str">
        <f>_xlfn.XLOOKUP(B4015,Indices!$A$2:$A$2676,Indices!$B$2:$B$2676,"")</f>
        <v>IWM</v>
      </c>
      <c r="E4015" t="str">
        <f>_xlfn.XLOOKUP(B4015,'2025-Q1'!$A$402:$A$448,'2025-Q1'!$A$402:$A$448,"avail")</f>
        <v>avail</v>
      </c>
      <c r="F4015" t="str">
        <f>_xlfn.XLOOKUP(B4015,'[2]!! -- Stock Universe 12.11.24'!$C$2:$C$1621,'[2]!! -- Stock Universe 12.11.24'!$E$2:$E$1621,"")</f>
        <v/>
      </c>
    </row>
    <row r="4016" spans="1:6" x14ac:dyDescent="0.25">
      <c r="A4016" s="140">
        <v>45729.625</v>
      </c>
      <c r="B4016" t="s">
        <v>4096</v>
      </c>
      <c r="C4016" t="s">
        <v>4049</v>
      </c>
      <c r="D4016" s="6"/>
      <c r="E4016" t="str">
        <f>_xlfn.XLOOKUP(B4016,'2025-Q1'!$A$402:$A$448,'2025-Q1'!$A$402:$A$448,"avail")</f>
        <v>avail</v>
      </c>
      <c r="F4016" t="str">
        <f>_xlfn.XLOOKUP(B4016,'[2]!! -- Stock Universe 12.11.24'!$C$2:$C$1621,'[2]!! -- Stock Universe 12.11.24'!$E$2:$E$1621,"")</f>
        <v/>
      </c>
    </row>
    <row r="4017" spans="1:6" x14ac:dyDescent="0.25">
      <c r="A4017" s="140">
        <v>45729.625</v>
      </c>
      <c r="B4017" t="s">
        <v>4108</v>
      </c>
      <c r="C4017" t="s">
        <v>4049</v>
      </c>
      <c r="D4017" s="6"/>
      <c r="E4017" t="str">
        <f>_xlfn.XLOOKUP(B4017,'2025-Q1'!$A$402:$A$448,'2025-Q1'!$A$402:$A$448,"avail")</f>
        <v>avail</v>
      </c>
      <c r="F4017" t="str">
        <f>_xlfn.XLOOKUP(B4017,'[2]!! -- Stock Universe 12.11.24'!$C$2:$C$1621,'[2]!! -- Stock Universe 12.11.24'!$E$2:$E$1621,"")</f>
        <v/>
      </c>
    </row>
    <row r="4018" spans="1:6" x14ac:dyDescent="0.25">
      <c r="A4018" s="140">
        <v>45729.625</v>
      </c>
      <c r="B4018" t="s">
        <v>2792</v>
      </c>
      <c r="C4018" t="s">
        <v>4049</v>
      </c>
      <c r="D4018" s="6"/>
      <c r="E4018" t="str">
        <f>_xlfn.XLOOKUP(B4018,'2025-Q1'!$A$402:$A$448,'2025-Q1'!$A$402:$A$448,"avail")</f>
        <v>avail</v>
      </c>
      <c r="F4018" t="str">
        <f>_xlfn.XLOOKUP(B4018,'[2]!! -- Stock Universe 12.11.24'!$C$2:$C$1621,'[2]!! -- Stock Universe 12.11.24'!$E$2:$E$1621,"")</f>
        <v/>
      </c>
    </row>
    <row r="4019" spans="1:6" x14ac:dyDescent="0.25">
      <c r="A4019" s="140">
        <v>45729.625</v>
      </c>
      <c r="B4019" t="s">
        <v>6421</v>
      </c>
      <c r="C4019" t="s">
        <v>4049</v>
      </c>
      <c r="D4019" s="6"/>
      <c r="E4019" t="str">
        <f>_xlfn.XLOOKUP(B4019,'2025-Q1'!$A$402:$A$448,'2025-Q1'!$A$402:$A$448,"avail")</f>
        <v>avail</v>
      </c>
      <c r="F4019" t="str">
        <f>_xlfn.XLOOKUP(B4019,'[2]!! -- Stock Universe 12.11.24'!$C$2:$C$1621,'[2]!! -- Stock Universe 12.11.24'!$E$2:$E$1621,"")</f>
        <v>Consumer Defensive</v>
      </c>
    </row>
    <row r="4020" spans="1:6" x14ac:dyDescent="0.25">
      <c r="A4020" s="140">
        <v>45729.625</v>
      </c>
      <c r="B4020" t="s">
        <v>4053</v>
      </c>
      <c r="C4020" t="s">
        <v>4049</v>
      </c>
      <c r="D4020" s="6"/>
      <c r="E4020" t="str">
        <f>_xlfn.XLOOKUP(B4020,'2025-Q1'!$A$402:$A$448,'2025-Q1'!$A$402:$A$448,"avail")</f>
        <v>avail</v>
      </c>
      <c r="F4020" t="str">
        <f>_xlfn.XLOOKUP(B4020,'[2]!! -- Stock Universe 12.11.24'!$C$2:$C$1621,'[2]!! -- Stock Universe 12.11.24'!$E$2:$E$1621,"")</f>
        <v/>
      </c>
    </row>
    <row r="4021" spans="1:6" x14ac:dyDescent="0.25">
      <c r="A4021" s="140">
        <v>45729.625</v>
      </c>
      <c r="B4021" t="s">
        <v>1052</v>
      </c>
      <c r="C4021" t="s">
        <v>4049</v>
      </c>
      <c r="D4021" s="6"/>
      <c r="E4021" t="str">
        <f>_xlfn.XLOOKUP(B4021,'2025-Q1'!$A$402:$A$448,'2025-Q1'!$A$402:$A$448,"avail")</f>
        <v>avail</v>
      </c>
      <c r="F4021" t="str">
        <f>_xlfn.XLOOKUP(B4021,'[2]!! -- Stock Universe 12.11.24'!$C$2:$C$1621,'[2]!! -- Stock Universe 12.11.24'!$E$2:$E$1621,"")</f>
        <v/>
      </c>
    </row>
    <row r="4022" spans="1:6" x14ac:dyDescent="0.25">
      <c r="A4022" s="140">
        <v>45729.625</v>
      </c>
      <c r="B4022" t="s">
        <v>4117</v>
      </c>
      <c r="C4022" t="s">
        <v>4049</v>
      </c>
      <c r="D4022" s="6"/>
      <c r="E4022" t="str">
        <f>_xlfn.XLOOKUP(B4022,'2025-Q1'!$A$402:$A$448,'2025-Q1'!$A$402:$A$448,"avail")</f>
        <v>avail</v>
      </c>
      <c r="F4022" t="str">
        <f>_xlfn.XLOOKUP(B4022,'[2]!! -- Stock Universe 12.11.24'!$C$2:$C$1621,'[2]!! -- Stock Universe 12.11.24'!$E$2:$E$1621,"")</f>
        <v/>
      </c>
    </row>
    <row r="4023" spans="1:6" x14ac:dyDescent="0.25">
      <c r="A4023" s="140">
        <v>45729.625</v>
      </c>
      <c r="B4023" t="s">
        <v>4113</v>
      </c>
      <c r="C4023" t="s">
        <v>4049</v>
      </c>
      <c r="D4023" s="6"/>
      <c r="E4023" t="str">
        <f>_xlfn.XLOOKUP(B4023,'2025-Q1'!$A$402:$A$448,'2025-Q1'!$A$402:$A$448,"avail")</f>
        <v>avail</v>
      </c>
      <c r="F4023" t="str">
        <f>_xlfn.XLOOKUP(B4023,'[2]!! -- Stock Universe 12.11.24'!$C$2:$C$1621,'[2]!! -- Stock Universe 12.11.24'!$E$2:$E$1621,"")</f>
        <v/>
      </c>
    </row>
    <row r="4024" spans="1:6" x14ac:dyDescent="0.25">
      <c r="A4024" s="140">
        <v>45729.625</v>
      </c>
      <c r="B4024" t="s">
        <v>4152</v>
      </c>
      <c r="C4024" t="s">
        <v>4049</v>
      </c>
      <c r="D4024" s="6"/>
      <c r="E4024" t="str">
        <f>_xlfn.XLOOKUP(B4024,'2025-Q1'!$A$402:$A$448,'2025-Q1'!$A$402:$A$448,"avail")</f>
        <v>avail</v>
      </c>
      <c r="F4024" t="str">
        <f>_xlfn.XLOOKUP(B4024,'[2]!! -- Stock Universe 12.11.24'!$C$2:$C$1621,'[2]!! -- Stock Universe 12.11.24'!$E$2:$E$1621,"")</f>
        <v>Technology</v>
      </c>
    </row>
    <row r="4025" spans="1:6" x14ac:dyDescent="0.25">
      <c r="A4025" s="140">
        <v>45729.625</v>
      </c>
      <c r="B4025" t="s">
        <v>4111</v>
      </c>
      <c r="C4025" t="s">
        <v>4049</v>
      </c>
      <c r="D4025" s="6"/>
      <c r="E4025" t="str">
        <f>_xlfn.XLOOKUP(B4025,'2025-Q1'!$A$402:$A$448,'2025-Q1'!$A$402:$A$448,"avail")</f>
        <v>avail</v>
      </c>
      <c r="F4025" t="str">
        <f>_xlfn.XLOOKUP(B4025,'[2]!! -- Stock Universe 12.11.24'!$C$2:$C$1621,'[2]!! -- Stock Universe 12.11.24'!$E$2:$E$1621,"")</f>
        <v/>
      </c>
    </row>
    <row r="4026" spans="1:6" x14ac:dyDescent="0.25">
      <c r="A4026" s="140">
        <v>45729.625</v>
      </c>
      <c r="B4026" t="s">
        <v>4120</v>
      </c>
      <c r="C4026" t="s">
        <v>4049</v>
      </c>
      <c r="D4026" s="6"/>
      <c r="E4026" t="str">
        <f>_xlfn.XLOOKUP(B4026,'2025-Q1'!$A$402:$A$448,'2025-Q1'!$A$402:$A$448,"avail")</f>
        <v>avail</v>
      </c>
      <c r="F4026" t="str">
        <f>_xlfn.XLOOKUP(B4026,'[2]!! -- Stock Universe 12.11.24'!$C$2:$C$1621,'[2]!! -- Stock Universe 12.11.24'!$E$2:$E$1621,"")</f>
        <v/>
      </c>
    </row>
    <row r="4027" spans="1:6" x14ac:dyDescent="0.25">
      <c r="A4027" s="140">
        <v>45729.625</v>
      </c>
      <c r="B4027" t="s">
        <v>4171</v>
      </c>
      <c r="C4027" t="s">
        <v>4049</v>
      </c>
      <c r="D4027" s="6"/>
      <c r="E4027" t="str">
        <f>_xlfn.XLOOKUP(B4027,'2025-Q1'!$A$402:$A$448,'2025-Q1'!$A$402:$A$448,"avail")</f>
        <v>avail</v>
      </c>
      <c r="F4027" t="str">
        <f>_xlfn.XLOOKUP(B4027,'[2]!! -- Stock Universe 12.11.24'!$C$2:$C$1621,'[2]!! -- Stock Universe 12.11.24'!$E$2:$E$1621,"")</f>
        <v>Consumer Cyclical</v>
      </c>
    </row>
    <row r="4028" spans="1:6" x14ac:dyDescent="0.25">
      <c r="A4028" s="140">
        <v>45729.625</v>
      </c>
      <c r="B4028" t="s">
        <v>4118</v>
      </c>
      <c r="C4028" t="s">
        <v>4049</v>
      </c>
      <c r="D4028" s="6"/>
      <c r="E4028" t="str">
        <f>_xlfn.XLOOKUP(B4028,'2025-Q1'!$A$402:$A$448,'2025-Q1'!$A$402:$A$448,"avail")</f>
        <v>avail</v>
      </c>
      <c r="F4028" t="str">
        <f>_xlfn.XLOOKUP(B4028,'[2]!! -- Stock Universe 12.11.24'!$C$2:$C$1621,'[2]!! -- Stock Universe 12.11.24'!$E$2:$E$1621,"")</f>
        <v/>
      </c>
    </row>
    <row r="4029" spans="1:6" x14ac:dyDescent="0.25">
      <c r="A4029" s="140">
        <v>45729.625</v>
      </c>
      <c r="B4029" t="s">
        <v>4062</v>
      </c>
      <c r="C4029" t="s">
        <v>4049</v>
      </c>
      <c r="D4029" s="6"/>
      <c r="E4029" t="str">
        <f>_xlfn.XLOOKUP(B4029,'2025-Q1'!$A$402:$A$448,'2025-Q1'!$A$402:$A$448,"avail")</f>
        <v>avail</v>
      </c>
      <c r="F4029" t="str">
        <f>_xlfn.XLOOKUP(B4029,'[2]!! -- Stock Universe 12.11.24'!$C$2:$C$1621,'[2]!! -- Stock Universe 12.11.24'!$E$2:$E$1621,"")</f>
        <v/>
      </c>
    </row>
    <row r="4030" spans="1:6" x14ac:dyDescent="0.25">
      <c r="A4030" s="140">
        <v>45729.625</v>
      </c>
      <c r="B4030" t="s">
        <v>4059</v>
      </c>
      <c r="C4030" t="s">
        <v>4049</v>
      </c>
      <c r="D4030" s="6"/>
      <c r="E4030" t="str">
        <f>_xlfn.XLOOKUP(B4030,'2025-Q1'!$A$402:$A$448,'2025-Q1'!$A$402:$A$448,"avail")</f>
        <v>avail</v>
      </c>
      <c r="F4030" t="str">
        <f>_xlfn.XLOOKUP(B4030,'[2]!! -- Stock Universe 12.11.24'!$C$2:$C$1621,'[2]!! -- Stock Universe 12.11.24'!$E$2:$E$1621,"")</f>
        <v>Healthcare</v>
      </c>
    </row>
    <row r="4031" spans="1:6" x14ac:dyDescent="0.25">
      <c r="A4031" s="140">
        <v>45729.625</v>
      </c>
      <c r="B4031" t="s">
        <v>4112</v>
      </c>
      <c r="C4031" t="s">
        <v>4049</v>
      </c>
      <c r="D4031" s="6"/>
      <c r="E4031" t="str">
        <f>_xlfn.XLOOKUP(B4031,'2025-Q1'!$A$402:$A$448,'2025-Q1'!$A$402:$A$448,"avail")</f>
        <v>avail</v>
      </c>
      <c r="F4031" t="str">
        <f>_xlfn.XLOOKUP(B4031,'[2]!! -- Stock Universe 12.11.24'!$C$2:$C$1621,'[2]!! -- Stock Universe 12.11.24'!$E$2:$E$1621,"")</f>
        <v>Healthcare</v>
      </c>
    </row>
    <row r="4032" spans="1:6" x14ac:dyDescent="0.25">
      <c r="A4032" s="140">
        <v>45729.625</v>
      </c>
      <c r="B4032" t="s">
        <v>1166</v>
      </c>
      <c r="C4032" t="s">
        <v>4049</v>
      </c>
      <c r="D4032" s="6"/>
      <c r="E4032" t="str">
        <f>_xlfn.XLOOKUP(B4032,'2025-Q1'!$A$402:$A$448,'2025-Q1'!$A$402:$A$448,"avail")</f>
        <v>avail</v>
      </c>
      <c r="F4032" t="str">
        <f>_xlfn.XLOOKUP(B4032,'[2]!! -- Stock Universe 12.11.24'!$C$2:$C$1621,'[2]!! -- Stock Universe 12.11.24'!$E$2:$E$1621,"")</f>
        <v>Technology</v>
      </c>
    </row>
    <row r="4033" spans="1:6" x14ac:dyDescent="0.25">
      <c r="A4033" s="140">
        <v>45729.625</v>
      </c>
      <c r="B4033" t="s">
        <v>100</v>
      </c>
      <c r="C4033" t="s">
        <v>4049</v>
      </c>
      <c r="D4033" s="6"/>
      <c r="E4033" t="str">
        <f>_xlfn.XLOOKUP(B4033,'2025-Q1'!$A$402:$A$448,'2025-Q1'!$A$402:$A$448,"avail")</f>
        <v>avail</v>
      </c>
      <c r="F4033" t="str">
        <f>_xlfn.XLOOKUP(B4033,'[2]!! -- Stock Universe 12.11.24'!$C$2:$C$1621,'[2]!! -- Stock Universe 12.11.24'!$E$2:$E$1621,"")</f>
        <v/>
      </c>
    </row>
    <row r="4034" spans="1:6" x14ac:dyDescent="0.25">
      <c r="A4034" s="140">
        <v>45729.625</v>
      </c>
      <c r="B4034" t="s">
        <v>4074</v>
      </c>
      <c r="C4034" t="s">
        <v>4049</v>
      </c>
      <c r="D4034" s="6"/>
      <c r="E4034" t="str">
        <f>_xlfn.XLOOKUP(B4034,'2025-Q1'!$A$402:$A$448,'2025-Q1'!$A$402:$A$448,"avail")</f>
        <v>avail</v>
      </c>
      <c r="F4034" t="str">
        <f>_xlfn.XLOOKUP(B4034,'[2]!! -- Stock Universe 12.11.24'!$C$2:$C$1621,'[2]!! -- Stock Universe 12.11.24'!$E$2:$E$1621,"")</f>
        <v/>
      </c>
    </row>
    <row r="4035" spans="1:6" x14ac:dyDescent="0.25">
      <c r="A4035" s="140">
        <v>45729.625</v>
      </c>
      <c r="B4035" t="s">
        <v>1268</v>
      </c>
      <c r="C4035" t="s">
        <v>4049</v>
      </c>
      <c r="D4035" s="6"/>
      <c r="E4035" t="str">
        <f>_xlfn.XLOOKUP(B4035,'2025-Q1'!$A$402:$A$448,'2025-Q1'!$A$402:$A$448,"avail")</f>
        <v>avail</v>
      </c>
      <c r="F4035" t="str">
        <f>_xlfn.XLOOKUP(B4035,'[2]!! -- Stock Universe 12.11.24'!$C$2:$C$1621,'[2]!! -- Stock Universe 12.11.24'!$E$2:$E$1621,"")</f>
        <v/>
      </c>
    </row>
    <row r="4036" spans="1:6" x14ac:dyDescent="0.25">
      <c r="A4036" s="140">
        <v>45729.625</v>
      </c>
      <c r="B4036" t="s">
        <v>4404</v>
      </c>
      <c r="C4036" t="s">
        <v>4049</v>
      </c>
      <c r="D4036" s="6"/>
      <c r="E4036" t="str">
        <f>_xlfn.XLOOKUP(B4036,'2025-Q1'!$A$402:$A$448,'2025-Q1'!$A$402:$A$448,"avail")</f>
        <v>avail</v>
      </c>
      <c r="F4036" t="str">
        <f>_xlfn.XLOOKUP(B4036,'[2]!! -- Stock Universe 12.11.24'!$C$2:$C$1621,'[2]!! -- Stock Universe 12.11.24'!$E$2:$E$1621,"")</f>
        <v/>
      </c>
    </row>
    <row r="4037" spans="1:6" x14ac:dyDescent="0.25">
      <c r="A4037" s="140">
        <v>45729.625</v>
      </c>
      <c r="B4037" t="s">
        <v>4052</v>
      </c>
      <c r="C4037" t="s">
        <v>4049</v>
      </c>
      <c r="D4037" s="6"/>
      <c r="E4037" t="str">
        <f>_xlfn.XLOOKUP(B4037,'2025-Q1'!$A$402:$A$448,'2025-Q1'!$A$402:$A$448,"avail")</f>
        <v>avail</v>
      </c>
      <c r="F4037" t="str">
        <f>_xlfn.XLOOKUP(B4037,'[2]!! -- Stock Universe 12.11.24'!$C$2:$C$1621,'[2]!! -- Stock Universe 12.11.24'!$E$2:$E$1621,"")</f>
        <v/>
      </c>
    </row>
    <row r="4038" spans="1:6" x14ac:dyDescent="0.25">
      <c r="A4038" s="140">
        <v>45729.625</v>
      </c>
      <c r="B4038" t="s">
        <v>715</v>
      </c>
      <c r="C4038" t="s">
        <v>4049</v>
      </c>
      <c r="D4038" s="6"/>
      <c r="E4038" t="str">
        <f>_xlfn.XLOOKUP(B4038,'2025-Q1'!$A$402:$A$448,'2025-Q1'!$A$402:$A$448,"avail")</f>
        <v>avail</v>
      </c>
      <c r="F4038" t="str">
        <f>_xlfn.XLOOKUP(B4038,'[2]!! -- Stock Universe 12.11.24'!$C$2:$C$1621,'[2]!! -- Stock Universe 12.11.24'!$E$2:$E$1621,"")</f>
        <v/>
      </c>
    </row>
    <row r="4039" spans="1:6" x14ac:dyDescent="0.25">
      <c r="A4039" s="140">
        <v>45729.625</v>
      </c>
      <c r="B4039" t="s">
        <v>958</v>
      </c>
      <c r="C4039" t="s">
        <v>4049</v>
      </c>
      <c r="D4039" s="6"/>
      <c r="E4039" t="str">
        <f>_xlfn.XLOOKUP(B4039,'2025-Q1'!$A$402:$A$448,'2025-Q1'!$A$402:$A$448,"avail")</f>
        <v>avail</v>
      </c>
      <c r="F4039" t="str">
        <f>_xlfn.XLOOKUP(B4039,'[2]!! -- Stock Universe 12.11.24'!$C$2:$C$1621,'[2]!! -- Stock Universe 12.11.24'!$E$2:$E$1621,"")</f>
        <v/>
      </c>
    </row>
    <row r="4040" spans="1:6" x14ac:dyDescent="0.25">
      <c r="A4040" s="140">
        <v>45729.625</v>
      </c>
      <c r="B4040" t="s">
        <v>4226</v>
      </c>
      <c r="C4040" t="s">
        <v>4049</v>
      </c>
      <c r="D4040" s="6"/>
      <c r="E4040" t="str">
        <f>_xlfn.XLOOKUP(B4040,'2025-Q1'!$A$402:$A$448,'2025-Q1'!$A$402:$A$448,"avail")</f>
        <v>avail</v>
      </c>
      <c r="F4040" t="str">
        <f>_xlfn.XLOOKUP(B4040,'[2]!! -- Stock Universe 12.11.24'!$C$2:$C$1621,'[2]!! -- Stock Universe 12.11.24'!$E$2:$E$1621,"")</f>
        <v/>
      </c>
    </row>
    <row r="4041" spans="1:6" x14ac:dyDescent="0.25">
      <c r="A4041" s="140">
        <v>45729.625</v>
      </c>
      <c r="B4041" t="s">
        <v>4099</v>
      </c>
      <c r="C4041" t="s">
        <v>4049</v>
      </c>
      <c r="D4041" s="6"/>
      <c r="E4041" t="str">
        <f>_xlfn.XLOOKUP(B4041,'2025-Q1'!$A$402:$A$448,'2025-Q1'!$A$402:$A$448,"avail")</f>
        <v>avail</v>
      </c>
      <c r="F4041" t="str">
        <f>_xlfn.XLOOKUP(B4041,'[2]!! -- Stock Universe 12.11.24'!$C$2:$C$1621,'[2]!! -- Stock Universe 12.11.24'!$E$2:$E$1621,"")</f>
        <v/>
      </c>
    </row>
    <row r="4042" spans="1:6" x14ac:dyDescent="0.25">
      <c r="A4042" s="140">
        <v>45729.625</v>
      </c>
      <c r="B4042" t="s">
        <v>4060</v>
      </c>
      <c r="C4042" t="s">
        <v>4049</v>
      </c>
      <c r="D4042" s="6"/>
      <c r="E4042" t="str">
        <f>_xlfn.XLOOKUP(B4042,'2025-Q1'!$A$402:$A$448,'2025-Q1'!$A$402:$A$448,"avail")</f>
        <v>avail</v>
      </c>
      <c r="F4042" t="str">
        <f>_xlfn.XLOOKUP(B4042,'[2]!! -- Stock Universe 12.11.24'!$C$2:$C$1621,'[2]!! -- Stock Universe 12.11.24'!$E$2:$E$1621,"")</f>
        <v/>
      </c>
    </row>
    <row r="4043" spans="1:6" x14ac:dyDescent="0.25">
      <c r="A4043" s="140">
        <v>45729.625</v>
      </c>
      <c r="B4043" t="s">
        <v>4073</v>
      </c>
      <c r="C4043" t="s">
        <v>4049</v>
      </c>
      <c r="D4043" s="6"/>
      <c r="E4043" t="str">
        <f>_xlfn.XLOOKUP(B4043,'2025-Q1'!$A$402:$A$448,'2025-Q1'!$A$402:$A$448,"avail")</f>
        <v>avail</v>
      </c>
      <c r="F4043" t="str">
        <f>_xlfn.XLOOKUP(B4043,'[2]!! -- Stock Universe 12.11.24'!$C$2:$C$1621,'[2]!! -- Stock Universe 12.11.24'!$E$2:$E$1621,"")</f>
        <v/>
      </c>
    </row>
    <row r="4044" spans="1:6" x14ac:dyDescent="0.25">
      <c r="A4044" s="140">
        <v>45729.625</v>
      </c>
      <c r="B4044" t="s">
        <v>974</v>
      </c>
      <c r="C4044" t="s">
        <v>4049</v>
      </c>
      <c r="D4044" s="6"/>
      <c r="E4044" t="str">
        <f>_xlfn.XLOOKUP(B4044,'2025-Q1'!$A$402:$A$448,'2025-Q1'!$A$402:$A$448,"avail")</f>
        <v>avail</v>
      </c>
      <c r="F4044" t="str">
        <f>_xlfn.XLOOKUP(B4044,'[2]!! -- Stock Universe 12.11.24'!$C$2:$C$1621,'[2]!! -- Stock Universe 12.11.24'!$E$2:$E$1621,"")</f>
        <v>Healthcare</v>
      </c>
    </row>
    <row r="4045" spans="1:6" x14ac:dyDescent="0.25">
      <c r="A4045" s="140">
        <v>45729.625</v>
      </c>
      <c r="B4045" t="s">
        <v>777</v>
      </c>
      <c r="C4045" t="s">
        <v>4049</v>
      </c>
      <c r="D4045" s="6"/>
      <c r="E4045" t="str">
        <f>_xlfn.XLOOKUP(B4045,'2025-Q1'!$A$402:$A$448,'2025-Q1'!$A$402:$A$448,"avail")</f>
        <v>avail</v>
      </c>
      <c r="F4045" t="str">
        <f>_xlfn.XLOOKUP(B4045,'[2]!! -- Stock Universe 12.11.24'!$C$2:$C$1621,'[2]!! -- Stock Universe 12.11.24'!$E$2:$E$1621,"")</f>
        <v/>
      </c>
    </row>
    <row r="4046" spans="1:6" x14ac:dyDescent="0.25">
      <c r="A4046" s="140">
        <v>45729.625</v>
      </c>
      <c r="B4046" t="s">
        <v>3801</v>
      </c>
      <c r="C4046" t="s">
        <v>4049</v>
      </c>
      <c r="D4046" s="6"/>
      <c r="E4046" t="str">
        <f>_xlfn.XLOOKUP(B4046,'2025-Q1'!$A$402:$A$448,'2025-Q1'!$A$402:$A$448,"avail")</f>
        <v>avail</v>
      </c>
      <c r="F4046" t="str">
        <f>_xlfn.XLOOKUP(B4046,'[2]!! -- Stock Universe 12.11.24'!$C$2:$C$1621,'[2]!! -- Stock Universe 12.11.24'!$E$2:$E$1621,"")</f>
        <v>Technology</v>
      </c>
    </row>
    <row r="4047" spans="1:6" x14ac:dyDescent="0.25">
      <c r="A4047" s="140">
        <v>45729.625</v>
      </c>
      <c r="B4047" t="s">
        <v>4231</v>
      </c>
      <c r="C4047" t="s">
        <v>4049</v>
      </c>
      <c r="D4047" s="6"/>
      <c r="E4047" t="str">
        <f>_xlfn.XLOOKUP(B4047,'2025-Q1'!$A$402:$A$448,'2025-Q1'!$A$402:$A$448,"avail")</f>
        <v>avail</v>
      </c>
      <c r="F4047" t="str">
        <f>_xlfn.XLOOKUP(B4047,'[2]!! -- Stock Universe 12.11.24'!$C$2:$C$1621,'[2]!! -- Stock Universe 12.11.24'!$E$2:$E$1621,"")</f>
        <v/>
      </c>
    </row>
    <row r="4048" spans="1:6" x14ac:dyDescent="0.25">
      <c r="A4048" s="140">
        <v>45729.625</v>
      </c>
      <c r="B4048" t="s">
        <v>4080</v>
      </c>
      <c r="C4048" t="s">
        <v>4049</v>
      </c>
      <c r="D4048" s="6"/>
      <c r="E4048" t="str">
        <f>_xlfn.XLOOKUP(B4048,'2025-Q1'!$A$402:$A$448,'2025-Q1'!$A$402:$A$448,"avail")</f>
        <v>avail</v>
      </c>
      <c r="F4048" t="str">
        <f>_xlfn.XLOOKUP(B4048,'[2]!! -- Stock Universe 12.11.24'!$C$2:$C$1621,'[2]!! -- Stock Universe 12.11.24'!$E$2:$E$1621,"")</f>
        <v/>
      </c>
    </row>
    <row r="4049" spans="1:6" x14ac:dyDescent="0.25">
      <c r="A4049" s="140">
        <v>45729.625</v>
      </c>
      <c r="B4049" t="s">
        <v>3958</v>
      </c>
      <c r="C4049" t="s">
        <v>4049</v>
      </c>
      <c r="D4049" s="6"/>
      <c r="E4049" t="str">
        <f>_xlfn.XLOOKUP(B4049,'2025-Q1'!$A$402:$A$448,'2025-Q1'!$A$402:$A$448,"avail")</f>
        <v>avail</v>
      </c>
      <c r="F4049" t="str">
        <f>_xlfn.XLOOKUP(B4049,'[2]!! -- Stock Universe 12.11.24'!$C$2:$C$1621,'[2]!! -- Stock Universe 12.11.24'!$E$2:$E$1621,"")</f>
        <v/>
      </c>
    </row>
    <row r="4050" spans="1:6" x14ac:dyDescent="0.25">
      <c r="A4050" s="140">
        <v>45729.625</v>
      </c>
      <c r="B4050" t="s">
        <v>4069</v>
      </c>
      <c r="C4050" t="s">
        <v>4049</v>
      </c>
      <c r="D4050" s="6"/>
      <c r="E4050" t="str">
        <f>_xlfn.XLOOKUP(B4050,'2025-Q1'!$A$402:$A$448,'2025-Q1'!$A$402:$A$448,"avail")</f>
        <v>avail</v>
      </c>
      <c r="F4050" t="str">
        <f>_xlfn.XLOOKUP(B4050,'[2]!! -- Stock Universe 12.11.24'!$C$2:$C$1621,'[2]!! -- Stock Universe 12.11.24'!$E$2:$E$1621,"")</f>
        <v/>
      </c>
    </row>
    <row r="4051" spans="1:6" x14ac:dyDescent="0.25">
      <c r="A4051" s="140">
        <v>45729.625</v>
      </c>
      <c r="B4051" t="s">
        <v>1231</v>
      </c>
      <c r="C4051" t="s">
        <v>4049</v>
      </c>
      <c r="D4051" s="6"/>
      <c r="E4051" t="str">
        <f>_xlfn.XLOOKUP(B4051,'2025-Q1'!$A$402:$A$448,'2025-Q1'!$A$402:$A$448,"avail")</f>
        <v>avail</v>
      </c>
      <c r="F4051" t="str">
        <f>_xlfn.XLOOKUP(B4051,'[2]!! -- Stock Universe 12.11.24'!$C$2:$C$1621,'[2]!! -- Stock Universe 12.11.24'!$E$2:$E$1621,"")</f>
        <v/>
      </c>
    </row>
    <row r="4052" spans="1:6" x14ac:dyDescent="0.25">
      <c r="A4052" s="140">
        <v>45729.625</v>
      </c>
      <c r="B4052" t="s">
        <v>4121</v>
      </c>
      <c r="C4052" t="s">
        <v>4049</v>
      </c>
      <c r="D4052" s="6"/>
      <c r="E4052" t="str">
        <f>_xlfn.XLOOKUP(B4052,'2025-Q1'!$A$402:$A$448,'2025-Q1'!$A$402:$A$448,"avail")</f>
        <v>avail</v>
      </c>
      <c r="F4052" t="str">
        <f>_xlfn.XLOOKUP(B4052,'[2]!! -- Stock Universe 12.11.24'!$C$2:$C$1621,'[2]!! -- Stock Universe 12.11.24'!$E$2:$E$1621,"")</f>
        <v/>
      </c>
    </row>
    <row r="4053" spans="1:6" x14ac:dyDescent="0.25">
      <c r="A4053" s="140">
        <v>45729.625</v>
      </c>
      <c r="B4053" t="s">
        <v>4104</v>
      </c>
      <c r="C4053" t="s">
        <v>4049</v>
      </c>
      <c r="D4053" s="6"/>
      <c r="E4053" t="str">
        <f>_xlfn.XLOOKUP(B4053,'2025-Q1'!$A$402:$A$448,'2025-Q1'!$A$402:$A$448,"avail")</f>
        <v>avail</v>
      </c>
      <c r="F4053" t="str">
        <f>_xlfn.XLOOKUP(B4053,'[2]!! -- Stock Universe 12.11.24'!$C$2:$C$1621,'[2]!! -- Stock Universe 12.11.24'!$E$2:$E$1621,"")</f>
        <v/>
      </c>
    </row>
    <row r="4054" spans="1:6" x14ac:dyDescent="0.25">
      <c r="A4054" s="140">
        <v>45729.625</v>
      </c>
      <c r="B4054" t="s">
        <v>864</v>
      </c>
      <c r="C4054" t="s">
        <v>4049</v>
      </c>
      <c r="D4054" s="6"/>
      <c r="E4054" t="str">
        <f>_xlfn.XLOOKUP(B4054,'2025-Q1'!$A$402:$A$448,'2025-Q1'!$A$402:$A$448,"avail")</f>
        <v>avail</v>
      </c>
      <c r="F4054" t="str">
        <f>_xlfn.XLOOKUP(B4054,'[2]!! -- Stock Universe 12.11.24'!$C$2:$C$1621,'[2]!! -- Stock Universe 12.11.24'!$E$2:$E$1621,"")</f>
        <v/>
      </c>
    </row>
    <row r="4055" spans="1:6" x14ac:dyDescent="0.25">
      <c r="A4055" s="140">
        <v>45729.625</v>
      </c>
      <c r="B4055" t="s">
        <v>3977</v>
      </c>
      <c r="C4055" t="s">
        <v>4049</v>
      </c>
      <c r="D4055" s="6"/>
      <c r="E4055" t="str">
        <f>_xlfn.XLOOKUP(B4055,'2025-Q1'!$A$402:$A$448,'2025-Q1'!$A$402:$A$448,"avail")</f>
        <v>avail</v>
      </c>
      <c r="F4055" t="str">
        <f>_xlfn.XLOOKUP(B4055,'[2]!! -- Stock Universe 12.11.24'!$C$2:$C$1621,'[2]!! -- Stock Universe 12.11.24'!$E$2:$E$1621,"")</f>
        <v>Consumer Cyclical</v>
      </c>
    </row>
    <row r="4056" spans="1:6" x14ac:dyDescent="0.25">
      <c r="A4056" s="140">
        <v>45729.625</v>
      </c>
      <c r="B4056" t="s">
        <v>4098</v>
      </c>
      <c r="C4056" t="s">
        <v>4049</v>
      </c>
      <c r="D4056" s="6"/>
      <c r="E4056" t="str">
        <f>_xlfn.XLOOKUP(B4056,'2025-Q1'!$A$402:$A$448,'2025-Q1'!$A$402:$A$448,"avail")</f>
        <v>avail</v>
      </c>
      <c r="F4056" t="str">
        <f>_xlfn.XLOOKUP(B4056,'[2]!! -- Stock Universe 12.11.24'!$C$2:$C$1621,'[2]!! -- Stock Universe 12.11.24'!$E$2:$E$1621,"")</f>
        <v/>
      </c>
    </row>
    <row r="4057" spans="1:6" x14ac:dyDescent="0.25">
      <c r="A4057" s="140">
        <v>45729.625</v>
      </c>
      <c r="B4057" t="s">
        <v>989</v>
      </c>
      <c r="C4057" t="s">
        <v>4049</v>
      </c>
      <c r="D4057" s="6"/>
      <c r="E4057" t="str">
        <f>_xlfn.XLOOKUP(B4057,'2025-Q1'!$A$402:$A$448,'2025-Q1'!$A$402:$A$448,"avail")</f>
        <v>KODK</v>
      </c>
      <c r="F4057" t="str">
        <f>_xlfn.XLOOKUP(B4057,'[2]!! -- Stock Universe 12.11.24'!$C$2:$C$1621,'[2]!! -- Stock Universe 12.11.24'!$E$2:$E$1621,"")</f>
        <v>Industrials</v>
      </c>
    </row>
    <row r="4058" spans="1:6" x14ac:dyDescent="0.25">
      <c r="A4058" s="140">
        <v>45729.625</v>
      </c>
      <c r="B4058" t="s">
        <v>4093</v>
      </c>
      <c r="C4058" t="s">
        <v>4049</v>
      </c>
      <c r="D4058" s="6"/>
      <c r="E4058" t="str">
        <f>_xlfn.XLOOKUP(B4058,'2025-Q1'!$A$402:$A$448,'2025-Q1'!$A$402:$A$448,"avail")</f>
        <v>avail</v>
      </c>
      <c r="F4058" t="str">
        <f>_xlfn.XLOOKUP(B4058,'[2]!! -- Stock Universe 12.11.24'!$C$2:$C$1621,'[2]!! -- Stock Universe 12.11.24'!$E$2:$E$1621,"")</f>
        <v/>
      </c>
    </row>
    <row r="4059" spans="1:6" x14ac:dyDescent="0.25">
      <c r="A4059" s="140">
        <v>45729.625</v>
      </c>
      <c r="B4059" t="s">
        <v>4103</v>
      </c>
      <c r="C4059" t="s">
        <v>4049</v>
      </c>
      <c r="D4059" s="6"/>
      <c r="E4059" t="str">
        <f>_xlfn.XLOOKUP(B4059,'2025-Q1'!$A$402:$A$448,'2025-Q1'!$A$402:$A$448,"avail")</f>
        <v>avail</v>
      </c>
      <c r="F4059" t="str">
        <f>_xlfn.XLOOKUP(B4059,'[2]!! -- Stock Universe 12.11.24'!$C$2:$C$1621,'[2]!! -- Stock Universe 12.11.24'!$E$2:$E$1621,"")</f>
        <v/>
      </c>
    </row>
    <row r="4060" spans="1:6" x14ac:dyDescent="0.25">
      <c r="A4060" s="140">
        <v>45729.625</v>
      </c>
      <c r="B4060" t="s">
        <v>4091</v>
      </c>
      <c r="C4060" t="s">
        <v>4049</v>
      </c>
      <c r="D4060" s="6"/>
      <c r="E4060" t="str">
        <f>_xlfn.XLOOKUP(B4060,'2025-Q1'!$A$402:$A$448,'2025-Q1'!$A$402:$A$448,"avail")</f>
        <v>avail</v>
      </c>
      <c r="F4060" t="str">
        <f>_xlfn.XLOOKUP(B4060,'[2]!! -- Stock Universe 12.11.24'!$C$2:$C$1621,'[2]!! -- Stock Universe 12.11.24'!$E$2:$E$1621,"")</f>
        <v>Technology</v>
      </c>
    </row>
    <row r="4061" spans="1:6" x14ac:dyDescent="0.25">
      <c r="A4061" s="140">
        <v>45729.625</v>
      </c>
      <c r="B4061" t="s">
        <v>4084</v>
      </c>
      <c r="C4061" t="s">
        <v>4049</v>
      </c>
      <c r="D4061" s="6"/>
      <c r="E4061" t="str">
        <f>_xlfn.XLOOKUP(B4061,'2025-Q1'!$A$402:$A$448,'2025-Q1'!$A$402:$A$448,"avail")</f>
        <v>avail</v>
      </c>
      <c r="F4061" t="str">
        <f>_xlfn.XLOOKUP(B4061,'[2]!! -- Stock Universe 12.11.24'!$C$2:$C$1621,'[2]!! -- Stock Universe 12.11.24'!$E$2:$E$1621,"")</f>
        <v/>
      </c>
    </row>
    <row r="4062" spans="1:6" x14ac:dyDescent="0.25">
      <c r="A4062" s="140">
        <v>45729.625</v>
      </c>
      <c r="B4062" t="s">
        <v>504</v>
      </c>
      <c r="C4062" t="s">
        <v>4049</v>
      </c>
      <c r="D4062" s="6"/>
      <c r="E4062" t="str">
        <f>_xlfn.XLOOKUP(B4062,'2025-Q1'!$A$402:$A$448,'2025-Q1'!$A$402:$A$448,"avail")</f>
        <v>avail</v>
      </c>
      <c r="F4062" t="str">
        <f>_xlfn.XLOOKUP(B4062,'[2]!! -- Stock Universe 12.11.24'!$C$2:$C$1621,'[2]!! -- Stock Universe 12.11.24'!$E$2:$E$1621,"")</f>
        <v>Industrials</v>
      </c>
    </row>
    <row r="4063" spans="1:6" x14ac:dyDescent="0.25">
      <c r="A4063" s="140">
        <v>45729.625</v>
      </c>
      <c r="B4063" t="s">
        <v>4101</v>
      </c>
      <c r="C4063" t="s">
        <v>4049</v>
      </c>
      <c r="D4063" s="6"/>
      <c r="E4063" t="str">
        <f>_xlfn.XLOOKUP(B4063,'2025-Q1'!$A$402:$A$448,'2025-Q1'!$A$402:$A$448,"avail")</f>
        <v>avail</v>
      </c>
      <c r="F4063" t="str">
        <f>_xlfn.XLOOKUP(B4063,'[2]!! -- Stock Universe 12.11.24'!$C$2:$C$1621,'[2]!! -- Stock Universe 12.11.24'!$E$2:$E$1621,"")</f>
        <v/>
      </c>
    </row>
    <row r="4064" spans="1:6" x14ac:dyDescent="0.25">
      <c r="A4064" s="140">
        <v>45729.625</v>
      </c>
      <c r="B4064" t="s">
        <v>4106</v>
      </c>
      <c r="C4064" t="s">
        <v>4049</v>
      </c>
      <c r="D4064" s="6"/>
      <c r="E4064" t="str">
        <f>_xlfn.XLOOKUP(B4064,'2025-Q1'!$A$402:$A$448,'2025-Q1'!$A$402:$A$448,"avail")</f>
        <v>avail</v>
      </c>
      <c r="F4064" t="str">
        <f>_xlfn.XLOOKUP(B4064,'[2]!! -- Stock Universe 12.11.24'!$C$2:$C$1621,'[2]!! -- Stock Universe 12.11.24'!$E$2:$E$1621,"")</f>
        <v/>
      </c>
    </row>
    <row r="4065" spans="1:6" x14ac:dyDescent="0.25">
      <c r="A4065" s="140">
        <v>45729.625</v>
      </c>
      <c r="B4065" t="s">
        <v>3542</v>
      </c>
      <c r="C4065" t="s">
        <v>4049</v>
      </c>
      <c r="D4065" s="6"/>
      <c r="E4065" t="str">
        <f>_xlfn.XLOOKUP(B4065,'2025-Q1'!$A$402:$A$448,'2025-Q1'!$A$402:$A$448,"avail")</f>
        <v>avail</v>
      </c>
      <c r="F4065" t="str">
        <f>_xlfn.XLOOKUP(B4065,'[2]!! -- Stock Universe 12.11.24'!$C$2:$C$1621,'[2]!! -- Stock Universe 12.11.24'!$E$2:$E$1621,"")</f>
        <v/>
      </c>
    </row>
    <row r="4066" spans="1:6" x14ac:dyDescent="0.25">
      <c r="A4066" s="140">
        <v>45729.625</v>
      </c>
      <c r="B4066" t="s">
        <v>4100</v>
      </c>
      <c r="C4066" t="s">
        <v>4049</v>
      </c>
      <c r="D4066" s="6"/>
      <c r="E4066" t="str">
        <f>_xlfn.XLOOKUP(B4066,'2025-Q1'!$A$402:$A$448,'2025-Q1'!$A$402:$A$448,"avail")</f>
        <v>avail</v>
      </c>
      <c r="F4066" t="str">
        <f>_xlfn.XLOOKUP(B4066,'[2]!! -- Stock Universe 12.11.24'!$C$2:$C$1621,'[2]!! -- Stock Universe 12.11.24'!$E$2:$E$1621,"")</f>
        <v/>
      </c>
    </row>
    <row r="4067" spans="1:6" x14ac:dyDescent="0.25">
      <c r="A4067" s="140">
        <v>45729.625</v>
      </c>
      <c r="B4067" t="s">
        <v>4777</v>
      </c>
      <c r="C4067" t="s">
        <v>4049</v>
      </c>
      <c r="D4067" s="6"/>
      <c r="E4067" t="str">
        <f>_xlfn.XLOOKUP(B4067,'2025-Q1'!$A$402:$A$448,'2025-Q1'!$A$402:$A$448,"avail")</f>
        <v>avail</v>
      </c>
      <c r="F4067" t="str">
        <f>_xlfn.XLOOKUP(B4067,'[2]!! -- Stock Universe 12.11.24'!$C$2:$C$1621,'[2]!! -- Stock Universe 12.11.24'!$E$2:$E$1621,"")</f>
        <v/>
      </c>
    </row>
    <row r="4068" spans="1:6" x14ac:dyDescent="0.25">
      <c r="A4068" s="140">
        <v>45729.625</v>
      </c>
      <c r="B4068" t="s">
        <v>4097</v>
      </c>
      <c r="C4068" t="s">
        <v>4049</v>
      </c>
      <c r="D4068" s="6"/>
      <c r="E4068" t="str">
        <f>_xlfn.XLOOKUP(B4068,'2025-Q1'!$A$402:$A$448,'2025-Q1'!$A$402:$A$448,"avail")</f>
        <v>avail</v>
      </c>
      <c r="F4068" t="str">
        <f>_xlfn.XLOOKUP(B4068,'[2]!! -- Stock Universe 12.11.24'!$C$2:$C$1621,'[2]!! -- Stock Universe 12.11.24'!$E$2:$E$1621,"")</f>
        <v/>
      </c>
    </row>
    <row r="4069" spans="1:6" x14ac:dyDescent="0.25">
      <c r="A4069" s="140">
        <v>45729.625</v>
      </c>
      <c r="B4069" t="s">
        <v>4596</v>
      </c>
      <c r="C4069" t="s">
        <v>4049</v>
      </c>
      <c r="D4069" s="6"/>
      <c r="E4069" t="str">
        <f>_xlfn.XLOOKUP(B4069,'2025-Q1'!$A$402:$A$448,'2025-Q1'!$A$402:$A$448,"avail")</f>
        <v>avail</v>
      </c>
      <c r="F4069" t="str">
        <f>_xlfn.XLOOKUP(B4069,'[2]!! -- Stock Universe 12.11.24'!$C$2:$C$1621,'[2]!! -- Stock Universe 12.11.24'!$E$2:$E$1621,"")</f>
        <v/>
      </c>
    </row>
    <row r="4070" spans="1:6" x14ac:dyDescent="0.25">
      <c r="A4070" s="140">
        <v>45729.625</v>
      </c>
      <c r="B4070" t="s">
        <v>662</v>
      </c>
      <c r="C4070" t="s">
        <v>4049</v>
      </c>
      <c r="D4070" s="6"/>
      <c r="E4070" t="str">
        <f>_xlfn.XLOOKUP(B4070,'2025-Q1'!$A$402:$A$448,'2025-Q1'!$A$402:$A$448,"avail")</f>
        <v>avail</v>
      </c>
      <c r="F4070" t="str">
        <f>_xlfn.XLOOKUP(B4070,'[2]!! -- Stock Universe 12.11.24'!$C$2:$C$1621,'[2]!! -- Stock Universe 12.11.24'!$E$2:$E$1621,"")</f>
        <v/>
      </c>
    </row>
    <row r="4071" spans="1:6" x14ac:dyDescent="0.25">
      <c r="A4071" s="140">
        <v>45729.625</v>
      </c>
      <c r="B4071" t="s">
        <v>4110</v>
      </c>
      <c r="C4071" t="s">
        <v>4049</v>
      </c>
      <c r="D4071" s="6"/>
      <c r="E4071" t="str">
        <f>_xlfn.XLOOKUP(B4071,'2025-Q1'!$A$402:$A$448,'2025-Q1'!$A$402:$A$448,"avail")</f>
        <v>avail</v>
      </c>
      <c r="F4071" t="str">
        <f>_xlfn.XLOOKUP(B4071,'[2]!! -- Stock Universe 12.11.24'!$C$2:$C$1621,'[2]!! -- Stock Universe 12.11.24'!$E$2:$E$1621,"")</f>
        <v>Healthcare</v>
      </c>
    </row>
    <row r="4072" spans="1:6" x14ac:dyDescent="0.25">
      <c r="A4072" s="140">
        <v>45729.625</v>
      </c>
      <c r="B4072" t="s">
        <v>4109</v>
      </c>
      <c r="C4072" t="s">
        <v>4049</v>
      </c>
      <c r="D4072" s="6"/>
      <c r="E4072" t="str">
        <f>_xlfn.XLOOKUP(B4072,'2025-Q1'!$A$402:$A$448,'2025-Q1'!$A$402:$A$448,"avail")</f>
        <v>avail</v>
      </c>
      <c r="F4072" t="str">
        <f>_xlfn.XLOOKUP(B4072,'[2]!! -- Stock Universe 12.11.24'!$C$2:$C$1621,'[2]!! -- Stock Universe 12.11.24'!$E$2:$E$1621,"")</f>
        <v/>
      </c>
    </row>
    <row r="4073" spans="1:6" x14ac:dyDescent="0.25">
      <c r="A4073" s="140">
        <v>45729.625</v>
      </c>
      <c r="B4073" t="s">
        <v>4115</v>
      </c>
      <c r="C4073" t="s">
        <v>4049</v>
      </c>
      <c r="D4073" s="6"/>
      <c r="E4073" t="str">
        <f>_xlfn.XLOOKUP(B4073,'2025-Q1'!$A$402:$A$448,'2025-Q1'!$A$402:$A$448,"avail")</f>
        <v>avail</v>
      </c>
      <c r="F4073" t="str">
        <f>_xlfn.XLOOKUP(B4073,'[2]!! -- Stock Universe 12.11.24'!$C$2:$C$1621,'[2]!! -- Stock Universe 12.11.24'!$E$2:$E$1621,"")</f>
        <v/>
      </c>
    </row>
    <row r="4074" spans="1:6" x14ac:dyDescent="0.25">
      <c r="A4074" s="140">
        <v>45729.625</v>
      </c>
      <c r="B4074" t="s">
        <v>4107</v>
      </c>
      <c r="C4074" t="s">
        <v>4049</v>
      </c>
      <c r="D4074" s="6"/>
      <c r="E4074" t="str">
        <f>_xlfn.XLOOKUP(B4074,'2025-Q1'!$A$402:$A$448,'2025-Q1'!$A$402:$A$448,"avail")</f>
        <v>avail</v>
      </c>
      <c r="F4074" t="str">
        <f>_xlfn.XLOOKUP(B4074,'[2]!! -- Stock Universe 12.11.24'!$C$2:$C$1621,'[2]!! -- Stock Universe 12.11.24'!$E$2:$E$1621,"")</f>
        <v>Technology</v>
      </c>
    </row>
    <row r="4075" spans="1:6" x14ac:dyDescent="0.25">
      <c r="A4075" s="140">
        <v>45729.625</v>
      </c>
      <c r="B4075" t="s">
        <v>4050</v>
      </c>
      <c r="C4075" t="s">
        <v>4049</v>
      </c>
      <c r="D4075" s="6"/>
      <c r="E4075" t="str">
        <f>_xlfn.XLOOKUP(B4075,'2025-Q1'!$A$402:$A$448,'2025-Q1'!$A$402:$A$448,"avail")</f>
        <v>avail</v>
      </c>
      <c r="F4075" t="str">
        <f>_xlfn.XLOOKUP(B4075,'[2]!! -- Stock Universe 12.11.24'!$C$2:$C$1621,'[2]!! -- Stock Universe 12.11.24'!$E$2:$E$1621,"")</f>
        <v/>
      </c>
    </row>
    <row r="4076" spans="1:6" x14ac:dyDescent="0.25">
      <c r="A4076" s="140">
        <v>45729.625</v>
      </c>
      <c r="B4076" t="s">
        <v>865</v>
      </c>
      <c r="C4076" t="s">
        <v>4049</v>
      </c>
      <c r="D4076" s="6"/>
      <c r="E4076" t="str">
        <f>_xlfn.XLOOKUP(B4076,'2025-Q1'!$A$402:$A$448,'2025-Q1'!$A$402:$A$448,"avail")</f>
        <v>avail</v>
      </c>
      <c r="F4076" t="str">
        <f>_xlfn.XLOOKUP(B4076,'[2]!! -- Stock Universe 12.11.24'!$C$2:$C$1621,'[2]!! -- Stock Universe 12.11.24'!$E$2:$E$1621,"")</f>
        <v/>
      </c>
    </row>
    <row r="4077" spans="1:6" x14ac:dyDescent="0.25">
      <c r="A4077" s="140">
        <v>45729.625</v>
      </c>
      <c r="B4077" t="s">
        <v>4116</v>
      </c>
      <c r="C4077" t="s">
        <v>4049</v>
      </c>
      <c r="D4077" s="6"/>
      <c r="E4077" t="str">
        <f>_xlfn.XLOOKUP(B4077,'2025-Q1'!$A$402:$A$448,'2025-Q1'!$A$402:$A$448,"avail")</f>
        <v>avail</v>
      </c>
      <c r="F4077" t="str">
        <f>_xlfn.XLOOKUP(B4077,'[2]!! -- Stock Universe 12.11.24'!$C$2:$C$1621,'[2]!! -- Stock Universe 12.11.24'!$E$2:$E$1621,"")</f>
        <v>Industrials</v>
      </c>
    </row>
    <row r="4078" spans="1:6" x14ac:dyDescent="0.25">
      <c r="A4078" s="140">
        <v>45729.625</v>
      </c>
      <c r="B4078" t="s">
        <v>4055</v>
      </c>
      <c r="C4078" t="s">
        <v>4049</v>
      </c>
      <c r="D4078" s="6"/>
      <c r="E4078" t="str">
        <f>_xlfn.XLOOKUP(B4078,'2025-Q1'!$A$402:$A$448,'2025-Q1'!$A$402:$A$448,"avail")</f>
        <v>avail</v>
      </c>
      <c r="F4078" t="str">
        <f>_xlfn.XLOOKUP(B4078,'[2]!! -- Stock Universe 12.11.24'!$C$2:$C$1621,'[2]!! -- Stock Universe 12.11.24'!$E$2:$E$1621,"")</f>
        <v/>
      </c>
    </row>
    <row r="4079" spans="1:6" x14ac:dyDescent="0.25">
      <c r="A4079" s="140">
        <v>45729.625</v>
      </c>
      <c r="B4079" t="s">
        <v>4123</v>
      </c>
      <c r="C4079" t="s">
        <v>4049</v>
      </c>
      <c r="D4079" s="6"/>
      <c r="E4079" t="str">
        <f>_xlfn.XLOOKUP(B4079,'2025-Q1'!$A$402:$A$448,'2025-Q1'!$A$402:$A$448,"avail")</f>
        <v>avail</v>
      </c>
      <c r="F4079" t="str">
        <f>_xlfn.XLOOKUP(B4079,'[2]!! -- Stock Universe 12.11.24'!$C$2:$C$1621,'[2]!! -- Stock Universe 12.11.24'!$E$2:$E$1621,"")</f>
        <v>Healthcare</v>
      </c>
    </row>
    <row r="4080" spans="1:6" x14ac:dyDescent="0.25">
      <c r="A4080" s="140">
        <v>45729.625</v>
      </c>
      <c r="B4080" t="s">
        <v>4054</v>
      </c>
      <c r="C4080" t="s">
        <v>4049</v>
      </c>
      <c r="D4080" s="6"/>
      <c r="E4080" t="str">
        <f>_xlfn.XLOOKUP(B4080,'2025-Q1'!$A$402:$A$448,'2025-Q1'!$A$402:$A$448,"avail")</f>
        <v>avail</v>
      </c>
      <c r="F4080" t="str">
        <f>_xlfn.XLOOKUP(B4080,'[2]!! -- Stock Universe 12.11.24'!$C$2:$C$1621,'[2]!! -- Stock Universe 12.11.24'!$E$2:$E$1621,"")</f>
        <v/>
      </c>
    </row>
    <row r="4081" spans="1:6" x14ac:dyDescent="0.25">
      <c r="A4081" s="140">
        <v>45729.625</v>
      </c>
      <c r="B4081" t="s">
        <v>4051</v>
      </c>
      <c r="C4081" t="s">
        <v>4049</v>
      </c>
      <c r="D4081" s="6"/>
      <c r="E4081" t="str">
        <f>_xlfn.XLOOKUP(B4081,'2025-Q1'!$A$402:$A$448,'2025-Q1'!$A$402:$A$448,"avail")</f>
        <v>avail</v>
      </c>
      <c r="F4081" t="str">
        <f>_xlfn.XLOOKUP(B4081,'[2]!! -- Stock Universe 12.11.24'!$C$2:$C$1621,'[2]!! -- Stock Universe 12.11.24'!$E$2:$E$1621,"")</f>
        <v/>
      </c>
    </row>
    <row r="4082" spans="1:6" x14ac:dyDescent="0.25">
      <c r="A4082" s="140">
        <v>45729.625</v>
      </c>
      <c r="B4082" t="s">
        <v>4081</v>
      </c>
      <c r="C4082" t="s">
        <v>4049</v>
      </c>
      <c r="D4082" s="6"/>
      <c r="E4082" t="str">
        <f>_xlfn.XLOOKUP(B4082,'2025-Q1'!$A$402:$A$448,'2025-Q1'!$A$402:$A$448,"avail")</f>
        <v>avail</v>
      </c>
      <c r="F4082" t="str">
        <f>_xlfn.XLOOKUP(B4082,'[2]!! -- Stock Universe 12.11.24'!$C$2:$C$1621,'[2]!! -- Stock Universe 12.11.24'!$E$2:$E$1621,"")</f>
        <v/>
      </c>
    </row>
    <row r="4083" spans="1:6" x14ac:dyDescent="0.25">
      <c r="A4083" s="140">
        <v>45729.625</v>
      </c>
      <c r="B4083" t="s">
        <v>1003</v>
      </c>
      <c r="C4083" t="s">
        <v>4049</v>
      </c>
      <c r="D4083" s="6"/>
      <c r="E4083" t="str">
        <f>_xlfn.XLOOKUP(B4083,'2025-Q1'!$A$402:$A$448,'2025-Q1'!$A$402:$A$448,"avail")</f>
        <v>avail</v>
      </c>
      <c r="F4083" t="str">
        <f>_xlfn.XLOOKUP(B4083,'[2]!! -- Stock Universe 12.11.24'!$C$2:$C$1621,'[2]!! -- Stock Universe 12.11.24'!$E$2:$E$1621,"")</f>
        <v>Communication Services</v>
      </c>
    </row>
    <row r="4084" spans="1:6" x14ac:dyDescent="0.25">
      <c r="A4084" s="140">
        <v>45729.625</v>
      </c>
      <c r="B4084" t="s">
        <v>4057</v>
      </c>
      <c r="C4084" t="s">
        <v>4049</v>
      </c>
      <c r="D4084" s="6"/>
      <c r="E4084" t="str">
        <f>_xlfn.XLOOKUP(B4084,'2025-Q1'!$A$402:$A$448,'2025-Q1'!$A$402:$A$448,"avail")</f>
        <v>avail</v>
      </c>
      <c r="F4084" t="str">
        <f>_xlfn.XLOOKUP(B4084,'[2]!! -- Stock Universe 12.11.24'!$C$2:$C$1621,'[2]!! -- Stock Universe 12.11.24'!$E$2:$E$1621,"")</f>
        <v/>
      </c>
    </row>
    <row r="4085" spans="1:6" x14ac:dyDescent="0.25">
      <c r="A4085" s="140">
        <v>45729.625</v>
      </c>
      <c r="B4085" t="s">
        <v>4064</v>
      </c>
      <c r="C4085" t="s">
        <v>4049</v>
      </c>
      <c r="D4085" s="6"/>
      <c r="E4085" t="str">
        <f>_xlfn.XLOOKUP(B4085,'2025-Q1'!$A$402:$A$448,'2025-Q1'!$A$402:$A$448,"avail")</f>
        <v>avail</v>
      </c>
      <c r="F4085" t="str">
        <f>_xlfn.XLOOKUP(B4085,'[2]!! -- Stock Universe 12.11.24'!$C$2:$C$1621,'[2]!! -- Stock Universe 12.11.24'!$E$2:$E$1621,"")</f>
        <v/>
      </c>
    </row>
    <row r="4086" spans="1:6" x14ac:dyDescent="0.25">
      <c r="A4086" s="140">
        <v>45729.625</v>
      </c>
      <c r="B4086" t="s">
        <v>387</v>
      </c>
      <c r="C4086" t="s">
        <v>4049</v>
      </c>
      <c r="D4086" s="6"/>
      <c r="E4086" t="str">
        <f>_xlfn.XLOOKUP(B4086,'2025-Q1'!$A$402:$A$448,'2025-Q1'!$A$402:$A$448,"avail")</f>
        <v>avail</v>
      </c>
      <c r="F4086" t="str">
        <f>_xlfn.XLOOKUP(B4086,'[2]!! -- Stock Universe 12.11.24'!$C$2:$C$1621,'[2]!! -- Stock Universe 12.11.24'!$E$2:$E$1621,"")</f>
        <v>Healthcare</v>
      </c>
    </row>
    <row r="4087" spans="1:6" x14ac:dyDescent="0.25">
      <c r="A4087" s="140">
        <v>45729.625</v>
      </c>
      <c r="B4087" t="s">
        <v>4127</v>
      </c>
      <c r="C4087" t="s">
        <v>4049</v>
      </c>
      <c r="D4087" s="6"/>
      <c r="E4087" t="str">
        <f>_xlfn.XLOOKUP(B4087,'2025-Q1'!$A$402:$A$448,'2025-Q1'!$A$402:$A$448,"avail")</f>
        <v>avail</v>
      </c>
      <c r="F4087" t="str">
        <f>_xlfn.XLOOKUP(B4087,'[2]!! -- Stock Universe 12.11.24'!$C$2:$C$1621,'[2]!! -- Stock Universe 12.11.24'!$E$2:$E$1621,"")</f>
        <v/>
      </c>
    </row>
    <row r="4088" spans="1:6" x14ac:dyDescent="0.25">
      <c r="A4088" s="140">
        <v>45729.625</v>
      </c>
      <c r="B4088" t="s">
        <v>4075</v>
      </c>
      <c r="C4088" t="s">
        <v>4049</v>
      </c>
      <c r="D4088" s="6"/>
      <c r="E4088" t="str">
        <f>_xlfn.XLOOKUP(B4088,'2025-Q1'!$A$402:$A$448,'2025-Q1'!$A$402:$A$448,"avail")</f>
        <v>avail</v>
      </c>
      <c r="F4088" t="str">
        <f>_xlfn.XLOOKUP(B4088,'[2]!! -- Stock Universe 12.11.24'!$C$2:$C$1621,'[2]!! -- Stock Universe 12.11.24'!$E$2:$E$1621,"")</f>
        <v/>
      </c>
    </row>
    <row r="4089" spans="1:6" x14ac:dyDescent="0.25">
      <c r="A4089" s="140">
        <v>45729.625</v>
      </c>
      <c r="B4089" t="s">
        <v>4072</v>
      </c>
      <c r="C4089" t="s">
        <v>4049</v>
      </c>
      <c r="D4089" s="6"/>
      <c r="E4089" t="str">
        <f>_xlfn.XLOOKUP(B4089,'2025-Q1'!$A$402:$A$448,'2025-Q1'!$A$402:$A$448,"avail")</f>
        <v>avail</v>
      </c>
      <c r="F4089" t="str">
        <f>_xlfn.XLOOKUP(B4089,'[2]!! -- Stock Universe 12.11.24'!$C$2:$C$1621,'[2]!! -- Stock Universe 12.11.24'!$E$2:$E$1621,"")</f>
        <v/>
      </c>
    </row>
    <row r="4090" spans="1:6" x14ac:dyDescent="0.25">
      <c r="A4090" s="140">
        <v>45729.625</v>
      </c>
      <c r="B4090" t="s">
        <v>4083</v>
      </c>
      <c r="C4090" t="s">
        <v>4049</v>
      </c>
      <c r="D4090" s="6"/>
      <c r="E4090" t="str">
        <f>_xlfn.XLOOKUP(B4090,'2025-Q1'!$A$402:$A$448,'2025-Q1'!$A$402:$A$448,"avail")</f>
        <v>avail</v>
      </c>
      <c r="F4090" t="str">
        <f>_xlfn.XLOOKUP(B4090,'[2]!! -- Stock Universe 12.11.24'!$C$2:$C$1621,'[2]!! -- Stock Universe 12.11.24'!$E$2:$E$1621,"")</f>
        <v/>
      </c>
    </row>
    <row r="4091" spans="1:6" x14ac:dyDescent="0.25">
      <c r="A4091" s="140">
        <v>45729.625</v>
      </c>
      <c r="B4091" t="s">
        <v>805</v>
      </c>
      <c r="C4091" t="s">
        <v>4049</v>
      </c>
      <c r="D4091" s="6"/>
      <c r="E4091" t="str">
        <f>_xlfn.XLOOKUP(B4091,'2025-Q1'!$A$402:$A$448,'2025-Q1'!$A$402:$A$448,"avail")</f>
        <v>avail</v>
      </c>
      <c r="F4091" t="str">
        <f>_xlfn.XLOOKUP(B4091,'[2]!! -- Stock Universe 12.11.24'!$C$2:$C$1621,'[2]!! -- Stock Universe 12.11.24'!$E$2:$E$1621,"")</f>
        <v/>
      </c>
    </row>
    <row r="4092" spans="1:6" x14ac:dyDescent="0.25">
      <c r="A4092" s="140">
        <v>45729.625</v>
      </c>
      <c r="B4092" t="s">
        <v>4493</v>
      </c>
      <c r="C4092" t="s">
        <v>4049</v>
      </c>
      <c r="D4092" s="6"/>
      <c r="E4092" t="str">
        <f>_xlfn.XLOOKUP(B4092,'2025-Q1'!$A$402:$A$448,'2025-Q1'!$A$402:$A$448,"avail")</f>
        <v>avail</v>
      </c>
      <c r="F4092" t="str">
        <f>_xlfn.XLOOKUP(B4092,'[2]!! -- Stock Universe 12.11.24'!$C$2:$C$1621,'[2]!! -- Stock Universe 12.11.24'!$E$2:$E$1621,"")</f>
        <v/>
      </c>
    </row>
    <row r="4093" spans="1:6" x14ac:dyDescent="0.25">
      <c r="A4093" s="140">
        <v>45729.625</v>
      </c>
      <c r="B4093" t="s">
        <v>999</v>
      </c>
      <c r="C4093" t="s">
        <v>4049</v>
      </c>
      <c r="D4093" s="6"/>
      <c r="E4093" t="str">
        <f>_xlfn.XLOOKUP(B4093,'2025-Q1'!$A$402:$A$448,'2025-Q1'!$A$402:$A$448,"avail")</f>
        <v>avail</v>
      </c>
      <c r="F4093" t="str">
        <f>_xlfn.XLOOKUP(B4093,'[2]!! -- Stock Universe 12.11.24'!$C$2:$C$1621,'[2]!! -- Stock Universe 12.11.24'!$E$2:$E$1621,"")</f>
        <v/>
      </c>
    </row>
    <row r="4094" spans="1:6" x14ac:dyDescent="0.25">
      <c r="A4094" s="140">
        <v>45729.625</v>
      </c>
      <c r="B4094" t="s">
        <v>4077</v>
      </c>
      <c r="C4094" t="s">
        <v>4049</v>
      </c>
      <c r="D4094" s="6"/>
      <c r="E4094" t="str">
        <f>_xlfn.XLOOKUP(B4094,'2025-Q1'!$A$402:$A$448,'2025-Q1'!$A$402:$A$448,"avail")</f>
        <v>avail</v>
      </c>
      <c r="F4094" t="str">
        <f>_xlfn.XLOOKUP(B4094,'[2]!! -- Stock Universe 12.11.24'!$C$2:$C$1621,'[2]!! -- Stock Universe 12.11.24'!$E$2:$E$1621,"")</f>
        <v/>
      </c>
    </row>
    <row r="4095" spans="1:6" x14ac:dyDescent="0.25">
      <c r="A4095" s="140">
        <v>45730.291666666664</v>
      </c>
      <c r="B4095" t="s">
        <v>3513</v>
      </c>
      <c r="C4095" t="s">
        <v>4125</v>
      </c>
      <c r="D4095" s="6"/>
      <c r="E4095" t="str">
        <f>_xlfn.XLOOKUP(B4095,'2025-Q1'!$A$402:$A$448,'2025-Q1'!$A$402:$A$448,"avail")</f>
        <v>avail</v>
      </c>
      <c r="F4095" t="str">
        <f>_xlfn.XLOOKUP(B4095,'[2]!! -- Stock Universe 12.11.24'!$C$2:$C$1621,'[2]!! -- Stock Universe 12.11.24'!$E$2:$E$1621,"")</f>
        <v/>
      </c>
    </row>
    <row r="4096" spans="1:6" x14ac:dyDescent="0.25">
      <c r="A4096" s="140">
        <v>45730.291666666664</v>
      </c>
      <c r="B4096" t="s">
        <v>4136</v>
      </c>
      <c r="C4096" t="s">
        <v>4125</v>
      </c>
      <c r="D4096" s="6"/>
      <c r="E4096" t="str">
        <f>_xlfn.XLOOKUP(B4096,'2025-Q1'!$A$402:$A$448,'2025-Q1'!$A$402:$A$448,"avail")</f>
        <v>avail</v>
      </c>
      <c r="F4096" t="str">
        <f>_xlfn.XLOOKUP(B4096,'[2]!! -- Stock Universe 12.11.24'!$C$2:$C$1621,'[2]!! -- Stock Universe 12.11.24'!$E$2:$E$1621,"")</f>
        <v/>
      </c>
    </row>
    <row r="4097" spans="1:6" x14ac:dyDescent="0.25">
      <c r="A4097" s="140">
        <v>45730.291666666664</v>
      </c>
      <c r="B4097" t="s">
        <v>4135</v>
      </c>
      <c r="C4097" t="s">
        <v>4125</v>
      </c>
      <c r="D4097" s="6"/>
      <c r="E4097" t="str">
        <f>_xlfn.XLOOKUP(B4097,'2025-Q1'!$A$402:$A$448,'2025-Q1'!$A$402:$A$448,"avail")</f>
        <v>avail</v>
      </c>
      <c r="F4097" t="str">
        <f>_xlfn.XLOOKUP(B4097,'[2]!! -- Stock Universe 12.11.24'!$C$2:$C$1621,'[2]!! -- Stock Universe 12.11.24'!$E$2:$E$1621,"")</f>
        <v/>
      </c>
    </row>
    <row r="4098" spans="1:6" x14ac:dyDescent="0.25">
      <c r="A4098" s="140">
        <v>45730.291666666664</v>
      </c>
      <c r="B4098" t="s">
        <v>626</v>
      </c>
      <c r="C4098" t="s">
        <v>4125</v>
      </c>
      <c r="D4098" s="6"/>
      <c r="E4098" t="str">
        <f>_xlfn.XLOOKUP(B4098,'2025-Q1'!$A$402:$A$448,'2025-Q1'!$A$402:$A$448,"avail")</f>
        <v>avail</v>
      </c>
      <c r="F4098" t="str">
        <f>_xlfn.XLOOKUP(B4098,'[2]!! -- Stock Universe 12.11.24'!$C$2:$C$1621,'[2]!! -- Stock Universe 12.11.24'!$E$2:$E$1621,"")</f>
        <v/>
      </c>
    </row>
    <row r="4099" spans="1:6" x14ac:dyDescent="0.25">
      <c r="A4099" s="140">
        <v>45730.291666666664</v>
      </c>
      <c r="B4099" t="s">
        <v>4133</v>
      </c>
      <c r="C4099" t="s">
        <v>4125</v>
      </c>
      <c r="D4099" s="6"/>
      <c r="E4099" t="str">
        <f>_xlfn.XLOOKUP(B4099,'2025-Q1'!$A$402:$A$448,'2025-Q1'!$A$402:$A$448,"avail")</f>
        <v>avail</v>
      </c>
      <c r="F4099" t="str">
        <f>_xlfn.XLOOKUP(B4099,'[2]!! -- Stock Universe 12.11.24'!$C$2:$C$1621,'[2]!! -- Stock Universe 12.11.24'!$E$2:$E$1621,"")</f>
        <v/>
      </c>
    </row>
    <row r="4100" spans="1:6" x14ac:dyDescent="0.25">
      <c r="A4100" s="140">
        <v>45730.291666666664</v>
      </c>
      <c r="B4100" t="s">
        <v>4134</v>
      </c>
      <c r="C4100" t="s">
        <v>4125</v>
      </c>
      <c r="D4100" s="6"/>
      <c r="E4100" t="str">
        <f>_xlfn.XLOOKUP(B4100,'2025-Q1'!$A$402:$A$448,'2025-Q1'!$A$402:$A$448,"avail")</f>
        <v>avail</v>
      </c>
      <c r="F4100" t="str">
        <f>_xlfn.XLOOKUP(B4100,'[2]!! -- Stock Universe 12.11.24'!$C$2:$C$1621,'[2]!! -- Stock Universe 12.11.24'!$E$2:$E$1621,"")</f>
        <v/>
      </c>
    </row>
    <row r="4101" spans="1:6" x14ac:dyDescent="0.25">
      <c r="A4101" s="140">
        <v>45730.291666666664</v>
      </c>
      <c r="B4101" t="s">
        <v>3767</v>
      </c>
      <c r="C4101" t="s">
        <v>4125</v>
      </c>
      <c r="D4101" s="6"/>
      <c r="E4101" t="str">
        <f>_xlfn.XLOOKUP(B4101,'2025-Q1'!$A$402:$A$448,'2025-Q1'!$A$402:$A$448,"avail")</f>
        <v>avail</v>
      </c>
      <c r="F4101" t="str">
        <f>_xlfn.XLOOKUP(B4101,'[2]!! -- Stock Universe 12.11.24'!$C$2:$C$1621,'[2]!! -- Stock Universe 12.11.24'!$E$2:$E$1621,"")</f>
        <v/>
      </c>
    </row>
    <row r="4102" spans="1:6" x14ac:dyDescent="0.25">
      <c r="A4102" s="140">
        <v>45730.291666666664</v>
      </c>
      <c r="B4102" t="s">
        <v>4126</v>
      </c>
      <c r="C4102" t="s">
        <v>4125</v>
      </c>
      <c r="D4102" s="6"/>
      <c r="E4102" t="str">
        <f>_xlfn.XLOOKUP(B4102,'2025-Q1'!$A$402:$A$448,'2025-Q1'!$A$402:$A$448,"avail")</f>
        <v>avail</v>
      </c>
      <c r="F4102" t="str">
        <f>_xlfn.XLOOKUP(B4102,'[2]!! -- Stock Universe 12.11.24'!$C$2:$C$1621,'[2]!! -- Stock Universe 12.11.24'!$E$2:$E$1621,"")</f>
        <v/>
      </c>
    </row>
    <row r="4103" spans="1:6" x14ac:dyDescent="0.25">
      <c r="A4103" s="140">
        <v>45730.291666666664</v>
      </c>
      <c r="B4103" t="s">
        <v>201</v>
      </c>
      <c r="C4103" t="s">
        <v>4125</v>
      </c>
      <c r="D4103" s="6"/>
      <c r="E4103" t="str">
        <f>_xlfn.XLOOKUP(B4103,'2025-Q1'!$A$402:$A$448,'2025-Q1'!$A$402:$A$448,"avail")</f>
        <v>avail</v>
      </c>
      <c r="F4103" t="str">
        <f>_xlfn.XLOOKUP(B4103,'[2]!! -- Stock Universe 12.11.24'!$C$2:$C$1621,'[2]!! -- Stock Universe 12.11.24'!$E$2:$E$1621,"")</f>
        <v>Communication Services</v>
      </c>
    </row>
    <row r="4104" spans="1:6" x14ac:dyDescent="0.25">
      <c r="A4104" s="140">
        <v>45730.291666666664</v>
      </c>
      <c r="B4104" t="s">
        <v>4043</v>
      </c>
      <c r="C4104" t="s">
        <v>4125</v>
      </c>
      <c r="D4104" s="6"/>
      <c r="E4104" t="str">
        <f>_xlfn.XLOOKUP(B4104,'2025-Q1'!$A$402:$A$448,'2025-Q1'!$A$402:$A$448,"avail")</f>
        <v>avail</v>
      </c>
      <c r="F4104" t="str">
        <f>_xlfn.XLOOKUP(B4104,'[2]!! -- Stock Universe 12.11.24'!$C$2:$C$1621,'[2]!! -- Stock Universe 12.11.24'!$E$2:$E$1621,"")</f>
        <v/>
      </c>
    </row>
    <row r="4105" spans="1:6" x14ac:dyDescent="0.25">
      <c r="A4105" s="140">
        <v>45730.291666666664</v>
      </c>
      <c r="B4105" t="s">
        <v>4128</v>
      </c>
      <c r="C4105" t="s">
        <v>4125</v>
      </c>
      <c r="D4105" s="6"/>
      <c r="E4105" t="str">
        <f>_xlfn.XLOOKUP(B4105,'2025-Q1'!$A$402:$A$448,'2025-Q1'!$A$402:$A$448,"avail")</f>
        <v>avail</v>
      </c>
      <c r="F4105" t="str">
        <f>_xlfn.XLOOKUP(B4105,'[2]!! -- Stock Universe 12.11.24'!$C$2:$C$1621,'[2]!! -- Stock Universe 12.11.24'!$E$2:$E$1621,"")</f>
        <v/>
      </c>
    </row>
    <row r="4106" spans="1:6" x14ac:dyDescent="0.25">
      <c r="A4106" s="140">
        <v>45730.291666666664</v>
      </c>
      <c r="B4106" t="s">
        <v>3266</v>
      </c>
      <c r="C4106" t="s">
        <v>4125</v>
      </c>
      <c r="D4106" s="6"/>
      <c r="E4106" t="str">
        <f>_xlfn.XLOOKUP(B4106,'2025-Q1'!$A$402:$A$448,'2025-Q1'!$A$402:$A$448,"avail")</f>
        <v>avail</v>
      </c>
      <c r="F4106" t="str">
        <f>_xlfn.XLOOKUP(B4106,'[2]!! -- Stock Universe 12.11.24'!$C$2:$C$1621,'[2]!! -- Stock Universe 12.11.24'!$E$2:$E$1621,"")</f>
        <v/>
      </c>
    </row>
    <row r="4107" spans="1:6" x14ac:dyDescent="0.25">
      <c r="A4107" s="140">
        <v>45730.291666666664</v>
      </c>
      <c r="B4107" t="s">
        <v>4129</v>
      </c>
      <c r="C4107" t="s">
        <v>4125</v>
      </c>
      <c r="D4107" s="6"/>
      <c r="E4107" t="str">
        <f>_xlfn.XLOOKUP(B4107,'2025-Q1'!$A$402:$A$448,'2025-Q1'!$A$402:$A$448,"avail")</f>
        <v>avail</v>
      </c>
      <c r="F4107" t="str">
        <f>_xlfn.XLOOKUP(B4107,'[2]!! -- Stock Universe 12.11.24'!$C$2:$C$1621,'[2]!! -- Stock Universe 12.11.24'!$E$2:$E$1621,"")</f>
        <v/>
      </c>
    </row>
    <row r="4108" spans="1:6" x14ac:dyDescent="0.25">
      <c r="A4108" s="140">
        <v>45730.291666666664</v>
      </c>
      <c r="B4108" t="s">
        <v>1134</v>
      </c>
      <c r="C4108" t="s">
        <v>4125</v>
      </c>
      <c r="D4108" s="6"/>
      <c r="E4108" t="str">
        <f>_xlfn.XLOOKUP(B4108,'2025-Q1'!$A$402:$A$448,'2025-Q1'!$A$402:$A$448,"avail")</f>
        <v>avail</v>
      </c>
      <c r="F4108" t="str">
        <f>_xlfn.XLOOKUP(B4108,'[2]!! -- Stock Universe 12.11.24'!$C$2:$C$1621,'[2]!! -- Stock Universe 12.11.24'!$E$2:$E$1621,"")</f>
        <v/>
      </c>
    </row>
    <row r="4109" spans="1:6" x14ac:dyDescent="0.25">
      <c r="A4109" s="140">
        <v>45730.458333333336</v>
      </c>
      <c r="B4109" t="s">
        <v>4137</v>
      </c>
      <c r="C4109" t="s">
        <v>4138</v>
      </c>
      <c r="D4109" s="6"/>
      <c r="E4109" t="str">
        <f>_xlfn.XLOOKUP(B4109,'2025-Q1'!$A$402:$A$448,'2025-Q1'!$A$402:$A$448,"avail")</f>
        <v>avail</v>
      </c>
      <c r="F4109" t="str">
        <f>_xlfn.XLOOKUP(B4109,'[2]!! -- Stock Universe 12.11.24'!$C$2:$C$1621,'[2]!! -- Stock Universe 12.11.24'!$E$2:$E$1621,"")</f>
        <v/>
      </c>
    </row>
    <row r="4110" spans="1:6" x14ac:dyDescent="0.25">
      <c r="A4110" s="140">
        <v>45730.625</v>
      </c>
      <c r="B4110" t="s">
        <v>4061</v>
      </c>
      <c r="C4110" t="s">
        <v>4140</v>
      </c>
      <c r="D4110" s="6"/>
      <c r="E4110" t="str">
        <f>_xlfn.XLOOKUP(B4110,'2025-Q1'!$A$402:$A$448,'2025-Q1'!$A$402:$A$448,"avail")</f>
        <v>avail</v>
      </c>
      <c r="F4110" t="str">
        <f>_xlfn.XLOOKUP(B4110,'[2]!! -- Stock Universe 12.11.24'!$C$2:$C$1621,'[2]!! -- Stock Universe 12.11.24'!$E$2:$E$1621,"")</f>
        <v/>
      </c>
    </row>
    <row r="4111" spans="1:6" x14ac:dyDescent="0.25">
      <c r="A4111" s="140">
        <v>45730.625</v>
      </c>
      <c r="B4111" t="s">
        <v>4141</v>
      </c>
      <c r="C4111" t="s">
        <v>4140</v>
      </c>
      <c r="D4111" s="6"/>
      <c r="E4111" t="str">
        <f>_xlfn.XLOOKUP(B4111,'2025-Q1'!$A$402:$A$448,'2025-Q1'!$A$402:$A$448,"avail")</f>
        <v>avail</v>
      </c>
      <c r="F4111" t="str">
        <f>_xlfn.XLOOKUP(B4111,'[2]!! -- Stock Universe 12.11.24'!$C$2:$C$1621,'[2]!! -- Stock Universe 12.11.24'!$E$2:$E$1621,"")</f>
        <v/>
      </c>
    </row>
    <row r="4112" spans="1:6" x14ac:dyDescent="0.25">
      <c r="A4112" s="140">
        <v>45730.625</v>
      </c>
      <c r="B4112" t="s">
        <v>4142</v>
      </c>
      <c r="C4112" t="s">
        <v>4140</v>
      </c>
      <c r="D4112" s="6"/>
      <c r="E4112" t="str">
        <f>_xlfn.XLOOKUP(B4112,'2025-Q1'!$A$402:$A$448,'2025-Q1'!$A$402:$A$448,"avail")</f>
        <v>avail</v>
      </c>
      <c r="F4112" t="str">
        <f>_xlfn.XLOOKUP(B4112,'[2]!! -- Stock Universe 12.11.24'!$C$2:$C$1621,'[2]!! -- Stock Universe 12.11.24'!$E$2:$E$1621,"")</f>
        <v/>
      </c>
    </row>
    <row r="4113" spans="1:6" x14ac:dyDescent="0.25">
      <c r="A4113" s="140">
        <v>45730.625</v>
      </c>
      <c r="B4113" t="s">
        <v>4139</v>
      </c>
      <c r="C4113" t="s">
        <v>4140</v>
      </c>
      <c r="D4113" s="6"/>
      <c r="E4113" t="str">
        <f>_xlfn.XLOOKUP(B4113,'2025-Q1'!$A$402:$A$448,'2025-Q1'!$A$402:$A$448,"avail")</f>
        <v>avail</v>
      </c>
      <c r="F4113" t="str">
        <f>_xlfn.XLOOKUP(B4113,'[2]!! -- Stock Universe 12.11.24'!$C$2:$C$1621,'[2]!! -- Stock Universe 12.11.24'!$E$2:$E$1621,"")</f>
        <v/>
      </c>
    </row>
    <row r="4114" spans="1:6" x14ac:dyDescent="0.25">
      <c r="A4114" s="140">
        <v>45733.291666666664</v>
      </c>
      <c r="B4114" t="s">
        <v>4146</v>
      </c>
      <c r="C4114" t="s">
        <v>4144</v>
      </c>
      <c r="D4114" s="6"/>
      <c r="E4114" t="str">
        <f>_xlfn.XLOOKUP(B4114,'2025-Q1'!$A$402:$A$448,'2025-Q1'!$A$402:$A$448,"avail")</f>
        <v>avail</v>
      </c>
      <c r="F4114" t="str">
        <f>_xlfn.XLOOKUP(B4114,'[2]!! -- Stock Universe 12.11.24'!$C$2:$C$1621,'[2]!! -- Stock Universe 12.11.24'!$E$2:$E$1621,"")</f>
        <v/>
      </c>
    </row>
    <row r="4115" spans="1:6" x14ac:dyDescent="0.25">
      <c r="A4115" s="140">
        <v>45733.291666666664</v>
      </c>
      <c r="B4115" t="s">
        <v>2732</v>
      </c>
      <c r="C4115" t="s">
        <v>4144</v>
      </c>
      <c r="D4115" s="6"/>
      <c r="E4115" t="str">
        <f>_xlfn.XLOOKUP(B4115,'2025-Q1'!$A$402:$A$448,'2025-Q1'!$A$402:$A$448,"avail")</f>
        <v>avail</v>
      </c>
      <c r="F4115" t="str">
        <f>_xlfn.XLOOKUP(B4115,'[2]!! -- Stock Universe 12.11.24'!$C$2:$C$1621,'[2]!! -- Stock Universe 12.11.24'!$E$2:$E$1621,"")</f>
        <v/>
      </c>
    </row>
    <row r="4116" spans="1:6" x14ac:dyDescent="0.25">
      <c r="A4116" s="140">
        <v>45733.291666666664</v>
      </c>
      <c r="B4116" t="s">
        <v>4151</v>
      </c>
      <c r="C4116" t="s">
        <v>4144</v>
      </c>
      <c r="D4116" s="6"/>
      <c r="E4116" t="str">
        <f>_xlfn.XLOOKUP(B4116,'2025-Q1'!$A$402:$A$448,'2025-Q1'!$A$402:$A$448,"avail")</f>
        <v>avail</v>
      </c>
      <c r="F4116" t="str">
        <f>_xlfn.XLOOKUP(B4116,'[2]!! -- Stock Universe 12.11.24'!$C$2:$C$1621,'[2]!! -- Stock Universe 12.11.24'!$E$2:$E$1621,"")</f>
        <v>Healthcare</v>
      </c>
    </row>
    <row r="4117" spans="1:6" x14ac:dyDescent="0.25">
      <c r="A4117" s="140">
        <v>45733.291666666664</v>
      </c>
      <c r="B4117" t="s">
        <v>1176</v>
      </c>
      <c r="C4117" t="s">
        <v>4144</v>
      </c>
      <c r="D4117" s="6"/>
      <c r="E4117" t="str">
        <f>_xlfn.XLOOKUP(B4117,'2025-Q1'!$A$402:$A$448,'2025-Q1'!$A$402:$A$448,"avail")</f>
        <v>avail</v>
      </c>
      <c r="F4117" t="str">
        <f>_xlfn.XLOOKUP(B4117,'[2]!! -- Stock Universe 12.11.24'!$C$2:$C$1621,'[2]!! -- Stock Universe 12.11.24'!$E$2:$E$1621,"")</f>
        <v>Technology</v>
      </c>
    </row>
    <row r="4118" spans="1:6" x14ac:dyDescent="0.25">
      <c r="A4118" s="140">
        <v>45733.291666666664</v>
      </c>
      <c r="B4118" t="s">
        <v>1090</v>
      </c>
      <c r="C4118" t="s">
        <v>4144</v>
      </c>
      <c r="D4118" s="6"/>
      <c r="E4118" t="str">
        <f>_xlfn.XLOOKUP(B4118,'2025-Q1'!$A$402:$A$448,'2025-Q1'!$A$402:$A$448,"avail")</f>
        <v>avail</v>
      </c>
      <c r="F4118" t="str">
        <f>_xlfn.XLOOKUP(B4118,'[2]!! -- Stock Universe 12.11.24'!$C$2:$C$1621,'[2]!! -- Stock Universe 12.11.24'!$E$2:$E$1621,"")</f>
        <v>Technology</v>
      </c>
    </row>
    <row r="4119" spans="1:6" x14ac:dyDescent="0.25">
      <c r="A4119" s="140">
        <v>45733.291666666664</v>
      </c>
      <c r="B4119" t="s">
        <v>4154</v>
      </c>
      <c r="C4119" t="s">
        <v>4144</v>
      </c>
      <c r="D4119" s="6"/>
      <c r="E4119" t="str">
        <f>_xlfn.XLOOKUP(B4119,'2025-Q1'!$A$402:$A$448,'2025-Q1'!$A$402:$A$448,"avail")</f>
        <v>avail</v>
      </c>
      <c r="F4119" t="str">
        <f>_xlfn.XLOOKUP(B4119,'[2]!! -- Stock Universe 12.11.24'!$C$2:$C$1621,'[2]!! -- Stock Universe 12.11.24'!$E$2:$E$1621,"")</f>
        <v/>
      </c>
    </row>
    <row r="4120" spans="1:6" x14ac:dyDescent="0.25">
      <c r="A4120" s="140">
        <v>45733.291666666664</v>
      </c>
      <c r="B4120" t="s">
        <v>3268</v>
      </c>
      <c r="C4120" t="s">
        <v>4144</v>
      </c>
      <c r="D4120" s="6"/>
      <c r="E4120" t="str">
        <f>_xlfn.XLOOKUP(B4120,'2025-Q1'!$A$402:$A$448,'2025-Q1'!$A$402:$A$448,"avail")</f>
        <v>avail</v>
      </c>
      <c r="F4120" t="str">
        <f>_xlfn.XLOOKUP(B4120,'[2]!! -- Stock Universe 12.11.24'!$C$2:$C$1621,'[2]!! -- Stock Universe 12.11.24'!$E$2:$E$1621,"")</f>
        <v/>
      </c>
    </row>
    <row r="4121" spans="1:6" x14ac:dyDescent="0.25">
      <c r="A4121" s="140">
        <v>45733.291666666664</v>
      </c>
      <c r="B4121" t="s">
        <v>4143</v>
      </c>
      <c r="C4121" t="s">
        <v>4144</v>
      </c>
      <c r="D4121" s="6"/>
      <c r="E4121" t="str">
        <f>_xlfn.XLOOKUP(B4121,'2025-Q1'!$A$402:$A$448,'2025-Q1'!$A$402:$A$448,"avail")</f>
        <v>avail</v>
      </c>
      <c r="F4121" t="str">
        <f>_xlfn.XLOOKUP(B4121,'[2]!! -- Stock Universe 12.11.24'!$C$2:$C$1621,'[2]!! -- Stock Universe 12.11.24'!$E$2:$E$1621,"")</f>
        <v/>
      </c>
    </row>
    <row r="4122" spans="1:6" x14ac:dyDescent="0.25">
      <c r="A4122" s="140">
        <v>45733.291666666664</v>
      </c>
      <c r="B4122" t="s">
        <v>2524</v>
      </c>
      <c r="C4122" t="s">
        <v>4144</v>
      </c>
      <c r="D4122" s="6"/>
      <c r="E4122" t="str">
        <f>_xlfn.XLOOKUP(B4122,'2025-Q1'!$A$402:$A$448,'2025-Q1'!$A$402:$A$448,"avail")</f>
        <v>avail</v>
      </c>
      <c r="F4122" t="str">
        <f>_xlfn.XLOOKUP(B4122,'[2]!! -- Stock Universe 12.11.24'!$C$2:$C$1621,'[2]!! -- Stock Universe 12.11.24'!$E$2:$E$1621,"")</f>
        <v/>
      </c>
    </row>
    <row r="4123" spans="1:6" x14ac:dyDescent="0.25">
      <c r="A4123" s="140">
        <v>45733.291666666664</v>
      </c>
      <c r="B4123" t="s">
        <v>4148</v>
      </c>
      <c r="C4123" t="s">
        <v>4144</v>
      </c>
      <c r="D4123" s="6"/>
      <c r="E4123" t="str">
        <f>_xlfn.XLOOKUP(B4123,'2025-Q1'!$A$402:$A$448,'2025-Q1'!$A$402:$A$448,"avail")</f>
        <v>avail</v>
      </c>
      <c r="F4123" t="str">
        <f>_xlfn.XLOOKUP(B4123,'[2]!! -- Stock Universe 12.11.24'!$C$2:$C$1621,'[2]!! -- Stock Universe 12.11.24'!$E$2:$E$1621,"")</f>
        <v/>
      </c>
    </row>
    <row r="4124" spans="1:6" x14ac:dyDescent="0.25">
      <c r="A4124" s="140">
        <v>45733.291666666664</v>
      </c>
      <c r="B4124" t="s">
        <v>4130</v>
      </c>
      <c r="C4124" t="s">
        <v>4144</v>
      </c>
      <c r="D4124" s="6"/>
      <c r="E4124" t="str">
        <f>_xlfn.XLOOKUP(B4124,'2025-Q1'!$A$402:$A$448,'2025-Q1'!$A$402:$A$448,"avail")</f>
        <v>avail</v>
      </c>
      <c r="F4124" t="str">
        <f>_xlfn.XLOOKUP(B4124,'[2]!! -- Stock Universe 12.11.24'!$C$2:$C$1621,'[2]!! -- Stock Universe 12.11.24'!$E$2:$E$1621,"")</f>
        <v/>
      </c>
    </row>
    <row r="4125" spans="1:6" x14ac:dyDescent="0.25">
      <c r="A4125" s="140">
        <v>45733.291666666664</v>
      </c>
      <c r="B4125" t="s">
        <v>4147</v>
      </c>
      <c r="C4125" t="s">
        <v>4144</v>
      </c>
      <c r="D4125" s="6"/>
      <c r="E4125" t="str">
        <f>_xlfn.XLOOKUP(B4125,'2025-Q1'!$A$402:$A$448,'2025-Q1'!$A$402:$A$448,"avail")</f>
        <v>avail</v>
      </c>
      <c r="F4125" t="str">
        <f>_xlfn.XLOOKUP(B4125,'[2]!! -- Stock Universe 12.11.24'!$C$2:$C$1621,'[2]!! -- Stock Universe 12.11.24'!$E$2:$E$1621,"")</f>
        <v/>
      </c>
    </row>
    <row r="4126" spans="1:6" x14ac:dyDescent="0.25">
      <c r="A4126" s="140">
        <v>45733.625</v>
      </c>
      <c r="B4126" t="s">
        <v>4177</v>
      </c>
      <c r="C4126" t="s">
        <v>4156</v>
      </c>
      <c r="D4126" s="6"/>
      <c r="E4126" t="str">
        <f>_xlfn.XLOOKUP(B4126,'2025-Q1'!$A$402:$A$448,'2025-Q1'!$A$402:$A$448,"avail")</f>
        <v>avail</v>
      </c>
      <c r="F4126" t="str">
        <f>_xlfn.XLOOKUP(B4126,'[2]!! -- Stock Universe 12.11.24'!$C$2:$C$1621,'[2]!! -- Stock Universe 12.11.24'!$E$2:$E$1621,"")</f>
        <v>Industrials</v>
      </c>
    </row>
    <row r="4127" spans="1:6" x14ac:dyDescent="0.25">
      <c r="A4127" s="140">
        <v>45733.625</v>
      </c>
      <c r="B4127" t="s">
        <v>4173</v>
      </c>
      <c r="C4127" t="s">
        <v>4156</v>
      </c>
      <c r="D4127" s="6"/>
      <c r="E4127" t="str">
        <f>_xlfn.XLOOKUP(B4127,'2025-Q1'!$A$402:$A$448,'2025-Q1'!$A$402:$A$448,"avail")</f>
        <v>avail</v>
      </c>
      <c r="F4127" t="str">
        <f>_xlfn.XLOOKUP(B4127,'[2]!! -- Stock Universe 12.11.24'!$C$2:$C$1621,'[2]!! -- Stock Universe 12.11.24'!$E$2:$E$1621,"")</f>
        <v/>
      </c>
    </row>
    <row r="4128" spans="1:6" x14ac:dyDescent="0.25">
      <c r="A4128" s="140">
        <v>45733.625</v>
      </c>
      <c r="B4128" t="s">
        <v>2798</v>
      </c>
      <c r="C4128" t="s">
        <v>4156</v>
      </c>
      <c r="D4128" s="6"/>
      <c r="E4128" t="str">
        <f>_xlfn.XLOOKUP(B4128,'2025-Q1'!$A$402:$A$448,'2025-Q1'!$A$402:$A$448,"avail")</f>
        <v>avail</v>
      </c>
      <c r="F4128" t="str">
        <f>_xlfn.XLOOKUP(B4128,'[2]!! -- Stock Universe 12.11.24'!$C$2:$C$1621,'[2]!! -- Stock Universe 12.11.24'!$E$2:$E$1621,"")</f>
        <v/>
      </c>
    </row>
    <row r="4129" spans="1:6" x14ac:dyDescent="0.25">
      <c r="A4129" s="140">
        <v>45733.625</v>
      </c>
      <c r="B4129" t="s">
        <v>4169</v>
      </c>
      <c r="C4129" t="s">
        <v>4156</v>
      </c>
      <c r="D4129" s="6"/>
      <c r="E4129" t="str">
        <f>_xlfn.XLOOKUP(B4129,'2025-Q1'!$A$402:$A$448,'2025-Q1'!$A$402:$A$448,"avail")</f>
        <v>avail</v>
      </c>
      <c r="F4129" t="str">
        <f>_xlfn.XLOOKUP(B4129,'[2]!! -- Stock Universe 12.11.24'!$C$2:$C$1621,'[2]!! -- Stock Universe 12.11.24'!$E$2:$E$1621,"")</f>
        <v>Technology</v>
      </c>
    </row>
    <row r="4130" spans="1:6" x14ac:dyDescent="0.25">
      <c r="A4130" s="140">
        <v>45733.625</v>
      </c>
      <c r="B4130" t="s">
        <v>771</v>
      </c>
      <c r="C4130" t="s">
        <v>4156</v>
      </c>
      <c r="D4130" s="6"/>
      <c r="E4130" t="str">
        <f>_xlfn.XLOOKUP(B4130,'2025-Q1'!$A$402:$A$448,'2025-Q1'!$A$402:$A$448,"avail")</f>
        <v>avail</v>
      </c>
      <c r="F4130" t="str">
        <f>_xlfn.XLOOKUP(B4130,'[2]!! -- Stock Universe 12.11.24'!$C$2:$C$1621,'[2]!! -- Stock Universe 12.11.24'!$E$2:$E$1621,"")</f>
        <v/>
      </c>
    </row>
    <row r="4131" spans="1:6" x14ac:dyDescent="0.25">
      <c r="A4131" s="140">
        <v>45733.625</v>
      </c>
      <c r="B4131" t="s">
        <v>947</v>
      </c>
      <c r="C4131" t="s">
        <v>4156</v>
      </c>
      <c r="D4131" s="6"/>
      <c r="E4131" t="str">
        <f>_xlfn.XLOOKUP(B4131,'2025-Q1'!$A$402:$A$448,'2025-Q1'!$A$402:$A$448,"avail")</f>
        <v>avail</v>
      </c>
      <c r="F4131" t="str">
        <f>_xlfn.XLOOKUP(B4131,'[2]!! -- Stock Universe 12.11.24'!$C$2:$C$1621,'[2]!! -- Stock Universe 12.11.24'!$E$2:$E$1621,"")</f>
        <v/>
      </c>
    </row>
    <row r="4132" spans="1:6" x14ac:dyDescent="0.25">
      <c r="A4132" s="140">
        <v>45733.625</v>
      </c>
      <c r="B4132" t="s">
        <v>4163</v>
      </c>
      <c r="C4132" t="s">
        <v>4156</v>
      </c>
      <c r="D4132" s="6"/>
      <c r="E4132" t="str">
        <f>_xlfn.XLOOKUP(B4132,'2025-Q1'!$A$402:$A$448,'2025-Q1'!$A$402:$A$448,"avail")</f>
        <v>avail</v>
      </c>
      <c r="F4132" t="str">
        <f>_xlfn.XLOOKUP(B4132,'[2]!! -- Stock Universe 12.11.24'!$C$2:$C$1621,'[2]!! -- Stock Universe 12.11.24'!$E$2:$E$1621,"")</f>
        <v/>
      </c>
    </row>
    <row r="4133" spans="1:6" x14ac:dyDescent="0.25">
      <c r="A4133" s="140">
        <v>45733.625</v>
      </c>
      <c r="B4133" t="s">
        <v>4168</v>
      </c>
      <c r="C4133" t="s">
        <v>4156</v>
      </c>
      <c r="D4133" s="6"/>
      <c r="E4133" t="str">
        <f>_xlfn.XLOOKUP(B4133,'2025-Q1'!$A$402:$A$448,'2025-Q1'!$A$402:$A$448,"avail")</f>
        <v>avail</v>
      </c>
      <c r="F4133" t="str">
        <f>_xlfn.XLOOKUP(B4133,'[2]!! -- Stock Universe 12.11.24'!$C$2:$C$1621,'[2]!! -- Stock Universe 12.11.24'!$E$2:$E$1621,"")</f>
        <v/>
      </c>
    </row>
    <row r="4134" spans="1:6" x14ac:dyDescent="0.25">
      <c r="A4134" s="140">
        <v>45733.625</v>
      </c>
      <c r="B4134" t="s">
        <v>4955</v>
      </c>
      <c r="C4134" t="s">
        <v>4156</v>
      </c>
      <c r="D4134" s="6"/>
      <c r="E4134" t="str">
        <f>_xlfn.XLOOKUP(B4134,'2025-Q1'!$A$402:$A$448,'2025-Q1'!$A$402:$A$448,"avail")</f>
        <v>avail</v>
      </c>
      <c r="F4134" t="str">
        <f>_xlfn.XLOOKUP(B4134,'[2]!! -- Stock Universe 12.11.24'!$C$2:$C$1621,'[2]!! -- Stock Universe 12.11.24'!$E$2:$E$1621,"")</f>
        <v/>
      </c>
    </row>
    <row r="4135" spans="1:6" x14ac:dyDescent="0.25">
      <c r="A4135" s="140">
        <v>45733.625</v>
      </c>
      <c r="B4135" t="s">
        <v>4172</v>
      </c>
      <c r="C4135" t="s">
        <v>4156</v>
      </c>
      <c r="D4135" s="6"/>
      <c r="E4135" t="str">
        <f>_xlfn.XLOOKUP(B4135,'2025-Q1'!$A$402:$A$448,'2025-Q1'!$A$402:$A$448,"avail")</f>
        <v>avail</v>
      </c>
      <c r="F4135" t="str">
        <f>_xlfn.XLOOKUP(B4135,'[2]!! -- Stock Universe 12.11.24'!$C$2:$C$1621,'[2]!! -- Stock Universe 12.11.24'!$E$2:$E$1621,"")</f>
        <v/>
      </c>
    </row>
    <row r="4136" spans="1:6" x14ac:dyDescent="0.25">
      <c r="A4136" s="140">
        <v>45733.625</v>
      </c>
      <c r="B4136" t="s">
        <v>998</v>
      </c>
      <c r="C4136" t="s">
        <v>4156</v>
      </c>
      <c r="D4136" s="6"/>
      <c r="E4136" t="str">
        <f>_xlfn.XLOOKUP(B4136,'2025-Q1'!$A$402:$A$448,'2025-Q1'!$A$402:$A$448,"avail")</f>
        <v>avail</v>
      </c>
      <c r="F4136" t="str">
        <f>_xlfn.XLOOKUP(B4136,'[2]!! -- Stock Universe 12.11.24'!$C$2:$C$1621,'[2]!! -- Stock Universe 12.11.24'!$E$2:$E$1621,"")</f>
        <v/>
      </c>
    </row>
    <row r="4137" spans="1:6" x14ac:dyDescent="0.25">
      <c r="A4137" s="140">
        <v>45733.625</v>
      </c>
      <c r="B4137" t="s">
        <v>4162</v>
      </c>
      <c r="C4137" t="s">
        <v>4156</v>
      </c>
      <c r="D4137" s="6"/>
      <c r="E4137" t="str">
        <f>_xlfn.XLOOKUP(B4137,'2025-Q1'!$A$402:$A$448,'2025-Q1'!$A$402:$A$448,"avail")</f>
        <v>avail</v>
      </c>
      <c r="F4137" t="str">
        <f>_xlfn.XLOOKUP(B4137,'[2]!! -- Stock Universe 12.11.24'!$C$2:$C$1621,'[2]!! -- Stock Universe 12.11.24'!$E$2:$E$1621,"")</f>
        <v/>
      </c>
    </row>
    <row r="4138" spans="1:6" x14ac:dyDescent="0.25">
      <c r="A4138" s="140">
        <v>45733.625</v>
      </c>
      <c r="B4138" t="s">
        <v>4175</v>
      </c>
      <c r="C4138" t="s">
        <v>4156</v>
      </c>
      <c r="D4138" s="6"/>
      <c r="E4138" t="str">
        <f>_xlfn.XLOOKUP(B4138,'2025-Q1'!$A$402:$A$448,'2025-Q1'!$A$402:$A$448,"avail")</f>
        <v>avail</v>
      </c>
      <c r="F4138" t="str">
        <f>_xlfn.XLOOKUP(B4138,'[2]!! -- Stock Universe 12.11.24'!$C$2:$C$1621,'[2]!! -- Stock Universe 12.11.24'!$E$2:$E$1621,"")</f>
        <v/>
      </c>
    </row>
    <row r="4139" spans="1:6" x14ac:dyDescent="0.25">
      <c r="A4139" s="140">
        <v>45733.625</v>
      </c>
      <c r="B4139" t="s">
        <v>4180</v>
      </c>
      <c r="C4139" t="s">
        <v>4156</v>
      </c>
      <c r="D4139" s="6"/>
      <c r="E4139" t="str">
        <f>_xlfn.XLOOKUP(B4139,'2025-Q1'!$A$402:$A$448,'2025-Q1'!$A$402:$A$448,"avail")</f>
        <v>avail</v>
      </c>
      <c r="F4139" t="str">
        <f>_xlfn.XLOOKUP(B4139,'[2]!! -- Stock Universe 12.11.24'!$C$2:$C$1621,'[2]!! -- Stock Universe 12.11.24'!$E$2:$E$1621,"")</f>
        <v/>
      </c>
    </row>
    <row r="4140" spans="1:6" x14ac:dyDescent="0.25">
      <c r="A4140" s="140">
        <v>45733.625</v>
      </c>
      <c r="B4140" t="s">
        <v>4157</v>
      </c>
      <c r="C4140" t="s">
        <v>4156</v>
      </c>
      <c r="D4140" s="6"/>
      <c r="E4140" t="str">
        <f>_xlfn.XLOOKUP(B4140,'2025-Q1'!$A$402:$A$448,'2025-Q1'!$A$402:$A$448,"avail")</f>
        <v>avail</v>
      </c>
      <c r="F4140" t="str">
        <f>_xlfn.XLOOKUP(B4140,'[2]!! -- Stock Universe 12.11.24'!$C$2:$C$1621,'[2]!! -- Stock Universe 12.11.24'!$E$2:$E$1621,"")</f>
        <v/>
      </c>
    </row>
    <row r="4141" spans="1:6" x14ac:dyDescent="0.25">
      <c r="A4141" s="140">
        <v>45733.625</v>
      </c>
      <c r="B4141" t="s">
        <v>4161</v>
      </c>
      <c r="C4141" t="s">
        <v>4156</v>
      </c>
      <c r="D4141" s="6"/>
      <c r="E4141" t="str">
        <f>_xlfn.XLOOKUP(B4141,'2025-Q1'!$A$402:$A$448,'2025-Q1'!$A$402:$A$448,"avail")</f>
        <v>avail</v>
      </c>
      <c r="F4141" t="str">
        <f>_xlfn.XLOOKUP(B4141,'[2]!! -- Stock Universe 12.11.24'!$C$2:$C$1621,'[2]!! -- Stock Universe 12.11.24'!$E$2:$E$1621,"")</f>
        <v/>
      </c>
    </row>
    <row r="4142" spans="1:6" x14ac:dyDescent="0.25">
      <c r="A4142" s="140">
        <v>45733.625</v>
      </c>
      <c r="B4142" t="s">
        <v>4160</v>
      </c>
      <c r="C4142" t="s">
        <v>4156</v>
      </c>
      <c r="D4142" s="6"/>
      <c r="E4142" t="str">
        <f>_xlfn.XLOOKUP(B4142,'2025-Q1'!$A$402:$A$448,'2025-Q1'!$A$402:$A$448,"avail")</f>
        <v>avail</v>
      </c>
      <c r="F4142" t="str">
        <f>_xlfn.XLOOKUP(B4142,'[2]!! -- Stock Universe 12.11.24'!$C$2:$C$1621,'[2]!! -- Stock Universe 12.11.24'!$E$2:$E$1621,"")</f>
        <v>Healthcare</v>
      </c>
    </row>
    <row r="4143" spans="1:6" x14ac:dyDescent="0.25">
      <c r="A4143" s="140">
        <v>45733.625</v>
      </c>
      <c r="B4143" t="s">
        <v>4166</v>
      </c>
      <c r="C4143" t="s">
        <v>4156</v>
      </c>
      <c r="D4143" s="6"/>
      <c r="E4143" t="str">
        <f>_xlfn.XLOOKUP(B4143,'2025-Q1'!$A$402:$A$448,'2025-Q1'!$A$402:$A$448,"avail")</f>
        <v>avail</v>
      </c>
      <c r="F4143" t="str">
        <f>_xlfn.XLOOKUP(B4143,'[2]!! -- Stock Universe 12.11.24'!$C$2:$C$1621,'[2]!! -- Stock Universe 12.11.24'!$E$2:$E$1621,"")</f>
        <v/>
      </c>
    </row>
    <row r="4144" spans="1:6" x14ac:dyDescent="0.25">
      <c r="A4144" s="140">
        <v>45733.625</v>
      </c>
      <c r="B4144" t="s">
        <v>4167</v>
      </c>
      <c r="C4144" t="s">
        <v>4156</v>
      </c>
      <c r="D4144" s="6"/>
      <c r="E4144" t="str">
        <f>_xlfn.XLOOKUP(B4144,'2025-Q1'!$A$402:$A$448,'2025-Q1'!$A$402:$A$448,"avail")</f>
        <v>avail</v>
      </c>
      <c r="F4144" t="str">
        <f>_xlfn.XLOOKUP(B4144,'[2]!! -- Stock Universe 12.11.24'!$C$2:$C$1621,'[2]!! -- Stock Universe 12.11.24'!$E$2:$E$1621,"")</f>
        <v/>
      </c>
    </row>
    <row r="4145" spans="1:6" x14ac:dyDescent="0.25">
      <c r="A4145" s="140">
        <v>45733.625</v>
      </c>
      <c r="B4145" t="s">
        <v>4158</v>
      </c>
      <c r="C4145" t="s">
        <v>4156</v>
      </c>
      <c r="D4145" s="6"/>
      <c r="E4145" t="str">
        <f>_xlfn.XLOOKUP(B4145,'2025-Q1'!$A$402:$A$448,'2025-Q1'!$A$402:$A$448,"avail")</f>
        <v>avail</v>
      </c>
      <c r="F4145" t="str">
        <f>_xlfn.XLOOKUP(B4145,'[2]!! -- Stock Universe 12.11.24'!$C$2:$C$1621,'[2]!! -- Stock Universe 12.11.24'!$E$2:$E$1621,"")</f>
        <v/>
      </c>
    </row>
    <row r="4146" spans="1:6" x14ac:dyDescent="0.25">
      <c r="A4146" s="140">
        <v>45733.625</v>
      </c>
      <c r="B4146" t="s">
        <v>4165</v>
      </c>
      <c r="C4146" t="s">
        <v>4156</v>
      </c>
      <c r="D4146" s="6"/>
      <c r="E4146" t="str">
        <f>_xlfn.XLOOKUP(B4146,'2025-Q1'!$A$402:$A$448,'2025-Q1'!$A$402:$A$448,"avail")</f>
        <v>avail</v>
      </c>
      <c r="F4146" t="str">
        <f>_xlfn.XLOOKUP(B4146,'[2]!! -- Stock Universe 12.11.24'!$C$2:$C$1621,'[2]!! -- Stock Universe 12.11.24'!$E$2:$E$1621,"")</f>
        <v/>
      </c>
    </row>
    <row r="4147" spans="1:6" x14ac:dyDescent="0.25">
      <c r="A4147" s="140">
        <v>45734.291666666664</v>
      </c>
      <c r="B4147" t="s">
        <v>4187</v>
      </c>
      <c r="C4147" t="s">
        <v>4182</v>
      </c>
      <c r="D4147" s="6"/>
      <c r="E4147" t="str">
        <f>_xlfn.XLOOKUP(B4147,'2025-Q1'!$A$402:$A$448,'2025-Q1'!$A$402:$A$448,"avail")</f>
        <v>avail</v>
      </c>
      <c r="F4147" t="str">
        <f>_xlfn.XLOOKUP(B4147,'[2]!! -- Stock Universe 12.11.24'!$C$2:$C$1621,'[2]!! -- Stock Universe 12.11.24'!$E$2:$E$1621,"")</f>
        <v/>
      </c>
    </row>
    <row r="4148" spans="1:6" x14ac:dyDescent="0.25">
      <c r="A4148" s="140">
        <v>45734.291666666664</v>
      </c>
      <c r="B4148" t="s">
        <v>4278</v>
      </c>
      <c r="C4148" t="s">
        <v>4182</v>
      </c>
      <c r="D4148" s="6"/>
      <c r="E4148" t="str">
        <f>_xlfn.XLOOKUP(B4148,'2025-Q1'!$A$402:$A$448,'2025-Q1'!$A$402:$A$448,"avail")</f>
        <v>avail</v>
      </c>
      <c r="F4148" t="str">
        <f>_xlfn.XLOOKUP(B4148,'[2]!! -- Stock Universe 12.11.24'!$C$2:$C$1621,'[2]!! -- Stock Universe 12.11.24'!$E$2:$E$1621,"")</f>
        <v/>
      </c>
    </row>
    <row r="4149" spans="1:6" x14ac:dyDescent="0.25">
      <c r="A4149" s="140">
        <v>45734.291666666664</v>
      </c>
      <c r="B4149" t="s">
        <v>4183</v>
      </c>
      <c r="C4149" t="s">
        <v>4182</v>
      </c>
      <c r="D4149" s="6"/>
      <c r="E4149" t="str">
        <f>_xlfn.XLOOKUP(B4149,'2025-Q1'!$A$402:$A$448,'2025-Q1'!$A$402:$A$448,"avail")</f>
        <v>avail</v>
      </c>
      <c r="F4149" t="str">
        <f>_xlfn.XLOOKUP(B4149,'[2]!! -- Stock Universe 12.11.24'!$C$2:$C$1621,'[2]!! -- Stock Universe 12.11.24'!$E$2:$E$1621,"")</f>
        <v/>
      </c>
    </row>
    <row r="4150" spans="1:6" x14ac:dyDescent="0.25">
      <c r="A4150" s="140">
        <v>45734.291666666664</v>
      </c>
      <c r="B4150" t="s">
        <v>1179</v>
      </c>
      <c r="C4150" t="s">
        <v>4182</v>
      </c>
      <c r="D4150" s="6"/>
      <c r="E4150" t="str">
        <f>_xlfn.XLOOKUP(B4150,'2025-Q1'!$A$402:$A$448,'2025-Q1'!$A$402:$A$448,"avail")</f>
        <v>avail</v>
      </c>
      <c r="F4150" t="str">
        <f>_xlfn.XLOOKUP(B4150,'[2]!! -- Stock Universe 12.11.24'!$C$2:$C$1621,'[2]!! -- Stock Universe 12.11.24'!$E$2:$E$1621,"")</f>
        <v>Industrials</v>
      </c>
    </row>
    <row r="4151" spans="1:6" x14ac:dyDescent="0.25">
      <c r="A4151" s="140">
        <v>45734.291666666664</v>
      </c>
      <c r="B4151" t="s">
        <v>4185</v>
      </c>
      <c r="C4151" t="s">
        <v>4182</v>
      </c>
      <c r="D4151" s="6"/>
      <c r="E4151" t="str">
        <f>_xlfn.XLOOKUP(B4151,'2025-Q1'!$A$402:$A$448,'2025-Q1'!$A$402:$A$448,"avail")</f>
        <v>avail</v>
      </c>
      <c r="F4151" t="str">
        <f>_xlfn.XLOOKUP(B4151,'[2]!! -- Stock Universe 12.11.24'!$C$2:$C$1621,'[2]!! -- Stock Universe 12.11.24'!$E$2:$E$1621,"")</f>
        <v/>
      </c>
    </row>
    <row r="4152" spans="1:6" x14ac:dyDescent="0.25">
      <c r="A4152" s="140">
        <v>45734.291666666664</v>
      </c>
      <c r="B4152" t="s">
        <v>4366</v>
      </c>
      <c r="C4152" t="s">
        <v>4182</v>
      </c>
      <c r="D4152" s="6"/>
      <c r="E4152" t="str">
        <f>_xlfn.XLOOKUP(B4152,'2025-Q1'!$A$402:$A$448,'2025-Q1'!$A$402:$A$448,"avail")</f>
        <v>avail</v>
      </c>
      <c r="F4152" t="str">
        <f>_xlfn.XLOOKUP(B4152,'[2]!! -- Stock Universe 12.11.24'!$C$2:$C$1621,'[2]!! -- Stock Universe 12.11.24'!$E$2:$E$1621,"")</f>
        <v/>
      </c>
    </row>
    <row r="4153" spans="1:6" x14ac:dyDescent="0.25">
      <c r="A4153" s="140">
        <v>45734.291666666664</v>
      </c>
      <c r="B4153" t="s">
        <v>4186</v>
      </c>
      <c r="C4153" t="s">
        <v>4182</v>
      </c>
      <c r="D4153" s="6"/>
      <c r="E4153" t="str">
        <f>_xlfn.XLOOKUP(B4153,'2025-Q1'!$A$402:$A$448,'2025-Q1'!$A$402:$A$448,"avail")</f>
        <v>avail</v>
      </c>
      <c r="F4153" t="str">
        <f>_xlfn.XLOOKUP(B4153,'[2]!! -- Stock Universe 12.11.24'!$C$2:$C$1621,'[2]!! -- Stock Universe 12.11.24'!$E$2:$E$1621,"")</f>
        <v/>
      </c>
    </row>
    <row r="4154" spans="1:6" x14ac:dyDescent="0.25">
      <c r="A4154" s="140">
        <v>45734.291666666664</v>
      </c>
      <c r="B4154" t="s">
        <v>4188</v>
      </c>
      <c r="C4154" t="s">
        <v>4189</v>
      </c>
      <c r="D4154" s="6"/>
      <c r="E4154" t="str">
        <f>_xlfn.XLOOKUP(B4154,'2025-Q1'!$A$402:$A$448,'2025-Q1'!$A$402:$A$448,"avail")</f>
        <v>avail</v>
      </c>
      <c r="F4154" t="str">
        <f>_xlfn.XLOOKUP(B4154,'[2]!! -- Stock Universe 12.11.24'!$C$2:$C$1621,'[2]!! -- Stock Universe 12.11.24'!$E$2:$E$1621,"")</f>
        <v>Technology</v>
      </c>
    </row>
    <row r="4155" spans="1:6" x14ac:dyDescent="0.25">
      <c r="A4155" s="140">
        <v>45734.291666666664</v>
      </c>
      <c r="B4155" t="s">
        <v>1073</v>
      </c>
      <c r="C4155" t="s">
        <v>4182</v>
      </c>
      <c r="D4155" s="6"/>
      <c r="E4155" t="str">
        <f>_xlfn.XLOOKUP(B4155,'2025-Q1'!$A$402:$A$448,'2025-Q1'!$A$402:$A$448,"avail")</f>
        <v>avail</v>
      </c>
      <c r="F4155" t="str">
        <f>_xlfn.XLOOKUP(B4155,'[2]!! -- Stock Universe 12.11.24'!$C$2:$C$1621,'[2]!! -- Stock Universe 12.11.24'!$E$2:$E$1621,"")</f>
        <v>Financial</v>
      </c>
    </row>
    <row r="4156" spans="1:6" x14ac:dyDescent="0.25">
      <c r="A4156" s="140">
        <v>45734.291666666664</v>
      </c>
      <c r="B4156" t="s">
        <v>2137</v>
      </c>
      <c r="C4156" t="s">
        <v>4182</v>
      </c>
      <c r="D4156" s="6"/>
      <c r="E4156" t="str">
        <f>_xlfn.XLOOKUP(B4156,'2025-Q1'!$A$402:$A$448,'2025-Q1'!$A$402:$A$448,"avail")</f>
        <v>avail</v>
      </c>
      <c r="F4156" t="str">
        <f>_xlfn.XLOOKUP(B4156,'[2]!! -- Stock Universe 12.11.24'!$C$2:$C$1621,'[2]!! -- Stock Universe 12.11.24'!$E$2:$E$1621,"")</f>
        <v>Healthcare</v>
      </c>
    </row>
    <row r="4157" spans="1:6" x14ac:dyDescent="0.25">
      <c r="A4157" s="140">
        <v>45734.291666666664</v>
      </c>
      <c r="B4157" t="s">
        <v>4184</v>
      </c>
      <c r="C4157" t="s">
        <v>4182</v>
      </c>
      <c r="D4157" s="6"/>
      <c r="E4157" t="str">
        <f>_xlfn.XLOOKUP(B4157,'2025-Q1'!$A$402:$A$448,'2025-Q1'!$A$402:$A$448,"avail")</f>
        <v>avail</v>
      </c>
      <c r="F4157" t="str">
        <f>_xlfn.XLOOKUP(B4157,'[2]!! -- Stock Universe 12.11.24'!$C$2:$C$1621,'[2]!! -- Stock Universe 12.11.24'!$E$2:$E$1621,"")</f>
        <v/>
      </c>
    </row>
    <row r="4158" spans="1:6" x14ac:dyDescent="0.25">
      <c r="A4158" s="140">
        <v>45734.625</v>
      </c>
      <c r="B4158" t="s">
        <v>4193</v>
      </c>
      <c r="C4158" t="s">
        <v>4191</v>
      </c>
      <c r="D4158" s="6"/>
      <c r="E4158" t="str">
        <f>_xlfn.XLOOKUP(B4158,'2025-Q1'!$A$402:$A$448,'2025-Q1'!$A$402:$A$448,"avail")</f>
        <v>avail</v>
      </c>
      <c r="F4158" t="str">
        <f>_xlfn.XLOOKUP(B4158,'[2]!! -- Stock Universe 12.11.24'!$C$2:$C$1621,'[2]!! -- Stock Universe 12.11.24'!$E$2:$E$1621,"")</f>
        <v/>
      </c>
    </row>
    <row r="4159" spans="1:6" x14ac:dyDescent="0.25">
      <c r="A4159" s="140">
        <v>45734.625</v>
      </c>
      <c r="B4159" t="s">
        <v>4292</v>
      </c>
      <c r="C4159" t="s">
        <v>4191</v>
      </c>
      <c r="D4159" s="6"/>
      <c r="E4159" t="str">
        <f>_xlfn.XLOOKUP(B4159,'2025-Q1'!$A$402:$A$448,'2025-Q1'!$A$402:$A$448,"avail")</f>
        <v>avail</v>
      </c>
      <c r="F4159" t="str">
        <f>_xlfn.XLOOKUP(B4159,'[2]!! -- Stock Universe 12.11.24'!$C$2:$C$1621,'[2]!! -- Stock Universe 12.11.24'!$E$2:$E$1621,"")</f>
        <v/>
      </c>
    </row>
    <row r="4160" spans="1:6" x14ac:dyDescent="0.25">
      <c r="A4160" s="140">
        <v>45734.625</v>
      </c>
      <c r="B4160" t="s">
        <v>979</v>
      </c>
      <c r="C4160" t="s">
        <v>4191</v>
      </c>
      <c r="D4160" s="6"/>
      <c r="E4160" t="str">
        <f>_xlfn.XLOOKUP(B4160,'2025-Q1'!$A$402:$A$448,'2025-Q1'!$A$402:$A$448,"avail")</f>
        <v>avail</v>
      </c>
      <c r="F4160" t="str">
        <f>_xlfn.XLOOKUP(B4160,'[2]!! -- Stock Universe 12.11.24'!$C$2:$C$1621,'[2]!! -- Stock Universe 12.11.24'!$E$2:$E$1621,"")</f>
        <v/>
      </c>
    </row>
    <row r="4161" spans="1:6" x14ac:dyDescent="0.25">
      <c r="A4161" s="140">
        <v>45734.625</v>
      </c>
      <c r="B4161" t="s">
        <v>987</v>
      </c>
      <c r="C4161" t="s">
        <v>4191</v>
      </c>
      <c r="D4161" s="6"/>
      <c r="E4161" t="str">
        <f>_xlfn.XLOOKUP(B4161,'2025-Q1'!$A$402:$A$448,'2025-Q1'!$A$402:$A$448,"avail")</f>
        <v>avail</v>
      </c>
      <c r="F4161" t="str">
        <f>_xlfn.XLOOKUP(B4161,'[2]!! -- Stock Universe 12.11.24'!$C$2:$C$1621,'[2]!! -- Stock Universe 12.11.24'!$E$2:$E$1621,"")</f>
        <v/>
      </c>
    </row>
    <row r="4162" spans="1:6" x14ac:dyDescent="0.25">
      <c r="A4162" s="140">
        <v>45734.625</v>
      </c>
      <c r="B4162" t="s">
        <v>664</v>
      </c>
      <c r="C4162" t="s">
        <v>4191</v>
      </c>
      <c r="D4162" s="6"/>
      <c r="E4162" t="str">
        <f>_xlfn.XLOOKUP(B4162,'2025-Q1'!$A$402:$A$448,'2025-Q1'!$A$402:$A$448,"avail")</f>
        <v>avail</v>
      </c>
      <c r="F4162" t="str">
        <f>_xlfn.XLOOKUP(B4162,'[2]!! -- Stock Universe 12.11.24'!$C$2:$C$1621,'[2]!! -- Stock Universe 12.11.24'!$E$2:$E$1621,"")</f>
        <v>Healthcare</v>
      </c>
    </row>
    <row r="4163" spans="1:6" x14ac:dyDescent="0.25">
      <c r="A4163" s="140">
        <v>45734.625</v>
      </c>
      <c r="B4163" t="s">
        <v>1246</v>
      </c>
      <c r="C4163" t="s">
        <v>4191</v>
      </c>
      <c r="D4163" s="6"/>
      <c r="E4163" t="str">
        <f>_xlfn.XLOOKUP(B4163,'2025-Q1'!$A$402:$A$448,'2025-Q1'!$A$402:$A$448,"avail")</f>
        <v>HQY</v>
      </c>
      <c r="F4163" t="str">
        <f>_xlfn.XLOOKUP(B4163,'[2]!! -- Stock Universe 12.11.24'!$C$2:$C$1621,'[2]!! -- Stock Universe 12.11.24'!$E$2:$E$1621,"")</f>
        <v>Healthcare</v>
      </c>
    </row>
    <row r="4164" spans="1:6" x14ac:dyDescent="0.25">
      <c r="A4164" s="140">
        <v>45734.625</v>
      </c>
      <c r="B4164" t="s">
        <v>4192</v>
      </c>
      <c r="C4164" t="s">
        <v>4191</v>
      </c>
      <c r="D4164" s="6"/>
      <c r="E4164" t="str">
        <f>_xlfn.XLOOKUP(B4164,'2025-Q1'!$A$402:$A$448,'2025-Q1'!$A$402:$A$448,"avail")</f>
        <v>avail</v>
      </c>
      <c r="F4164" t="str">
        <f>_xlfn.XLOOKUP(B4164,'[2]!! -- Stock Universe 12.11.24'!$C$2:$C$1621,'[2]!! -- Stock Universe 12.11.24'!$E$2:$E$1621,"")</f>
        <v/>
      </c>
    </row>
    <row r="4165" spans="1:6" x14ac:dyDescent="0.25">
      <c r="A4165" s="140">
        <v>45734.625</v>
      </c>
      <c r="B4165" t="s">
        <v>4236</v>
      </c>
      <c r="C4165" t="s">
        <v>4191</v>
      </c>
      <c r="D4165" s="6"/>
      <c r="E4165" t="str">
        <f>_xlfn.XLOOKUP(B4165,'2025-Q1'!$A$402:$A$448,'2025-Q1'!$A$402:$A$448,"avail")</f>
        <v>avail</v>
      </c>
      <c r="F4165" t="str">
        <f>_xlfn.XLOOKUP(B4165,'[2]!! -- Stock Universe 12.11.24'!$C$2:$C$1621,'[2]!! -- Stock Universe 12.11.24'!$E$2:$E$1621,"")</f>
        <v/>
      </c>
    </row>
    <row r="4166" spans="1:6" x14ac:dyDescent="0.25">
      <c r="A4166" s="140">
        <v>45735.291666666664</v>
      </c>
      <c r="B4166" t="s">
        <v>4201</v>
      </c>
      <c r="C4166" t="s">
        <v>4196</v>
      </c>
      <c r="D4166" s="6"/>
      <c r="E4166" t="str">
        <f>_xlfn.XLOOKUP(B4166,'2025-Q1'!$A$402:$A$448,'2025-Q1'!$A$402:$A$448,"avail")</f>
        <v>avail</v>
      </c>
      <c r="F4166" t="str">
        <f>_xlfn.XLOOKUP(B4166,'[2]!! -- Stock Universe 12.11.24'!$C$2:$C$1621,'[2]!! -- Stock Universe 12.11.24'!$E$2:$E$1621,"")</f>
        <v/>
      </c>
    </row>
    <row r="4167" spans="1:6" x14ac:dyDescent="0.25">
      <c r="A4167" s="140">
        <v>45735.291666666664</v>
      </c>
      <c r="B4167" t="s">
        <v>4211</v>
      </c>
      <c r="C4167" t="s">
        <v>4196</v>
      </c>
      <c r="D4167" s="6"/>
      <c r="E4167" t="str">
        <f>_xlfn.XLOOKUP(B4167,'2025-Q1'!$A$402:$A$448,'2025-Q1'!$A$402:$A$448,"avail")</f>
        <v>avail</v>
      </c>
      <c r="F4167" t="str">
        <f>_xlfn.XLOOKUP(B4167,'[2]!! -- Stock Universe 12.11.24'!$C$2:$C$1621,'[2]!! -- Stock Universe 12.11.24'!$E$2:$E$1621,"")</f>
        <v/>
      </c>
    </row>
    <row r="4168" spans="1:6" x14ac:dyDescent="0.25">
      <c r="A4168" s="140">
        <v>45735.291666666664</v>
      </c>
      <c r="B4168" t="s">
        <v>1193</v>
      </c>
      <c r="C4168" t="s">
        <v>4196</v>
      </c>
      <c r="D4168" s="6"/>
      <c r="E4168" t="str">
        <f>_xlfn.XLOOKUP(B4168,'2025-Q1'!$A$402:$A$448,'2025-Q1'!$A$402:$A$448,"avail")</f>
        <v>OLLI</v>
      </c>
      <c r="F4168" t="str">
        <f>_xlfn.XLOOKUP(B4168,'[2]!! -- Stock Universe 12.11.24'!$C$2:$C$1621,'[2]!! -- Stock Universe 12.11.24'!$E$2:$E$1621,"")</f>
        <v>Consumer Defensive</v>
      </c>
    </row>
    <row r="4169" spans="1:6" x14ac:dyDescent="0.25">
      <c r="A4169" s="140">
        <v>45735.291666666664</v>
      </c>
      <c r="B4169" t="s">
        <v>1228</v>
      </c>
      <c r="C4169" t="s">
        <v>4196</v>
      </c>
      <c r="D4169" s="6"/>
      <c r="E4169" t="str">
        <f>_xlfn.XLOOKUP(B4169,'2025-Q1'!$A$402:$A$448,'2025-Q1'!$A$402:$A$448,"avail")</f>
        <v>avail</v>
      </c>
      <c r="F4169" t="str">
        <f>_xlfn.XLOOKUP(B4169,'[2]!! -- Stock Universe 12.11.24'!$C$2:$C$1621,'[2]!! -- Stock Universe 12.11.24'!$E$2:$E$1621,"")</f>
        <v/>
      </c>
    </row>
    <row r="4170" spans="1:6" x14ac:dyDescent="0.25">
      <c r="A4170" s="140">
        <v>45735.291666666664</v>
      </c>
      <c r="B4170" t="s">
        <v>3450</v>
      </c>
      <c r="C4170" t="s">
        <v>4196</v>
      </c>
      <c r="D4170" s="6"/>
      <c r="E4170" t="str">
        <f>_xlfn.XLOOKUP(B4170,'2025-Q1'!$A$402:$A$448,'2025-Q1'!$A$402:$A$448,"avail")</f>
        <v>avail</v>
      </c>
      <c r="F4170" t="str">
        <f>_xlfn.XLOOKUP(B4170,'[2]!! -- Stock Universe 12.11.24'!$C$2:$C$1621,'[2]!! -- Stock Universe 12.11.24'!$E$2:$E$1621,"")</f>
        <v/>
      </c>
    </row>
    <row r="4171" spans="1:6" x14ac:dyDescent="0.25">
      <c r="A4171" s="140">
        <v>45735.291666666664</v>
      </c>
      <c r="B4171" t="s">
        <v>4954</v>
      </c>
      <c r="C4171" t="s">
        <v>4196</v>
      </c>
      <c r="D4171" s="6"/>
      <c r="E4171" t="str">
        <f>_xlfn.XLOOKUP(B4171,'2025-Q1'!$A$402:$A$448,'2025-Q1'!$A$402:$A$448,"avail")</f>
        <v>avail</v>
      </c>
      <c r="F4171" t="str">
        <f>_xlfn.XLOOKUP(B4171,'[2]!! -- Stock Universe 12.11.24'!$C$2:$C$1621,'[2]!! -- Stock Universe 12.11.24'!$E$2:$E$1621,"")</f>
        <v/>
      </c>
    </row>
    <row r="4172" spans="1:6" x14ac:dyDescent="0.25">
      <c r="A4172" s="140">
        <v>45735.291666666664</v>
      </c>
      <c r="B4172" t="s">
        <v>4205</v>
      </c>
      <c r="C4172" t="s">
        <v>4203</v>
      </c>
      <c r="D4172" s="6"/>
      <c r="E4172" t="str">
        <f>_xlfn.XLOOKUP(B4172,'2025-Q1'!$A$402:$A$448,'2025-Q1'!$A$402:$A$448,"avail")</f>
        <v>avail</v>
      </c>
      <c r="F4172" t="str">
        <f>_xlfn.XLOOKUP(B4172,'[2]!! -- Stock Universe 12.11.24'!$C$2:$C$1621,'[2]!! -- Stock Universe 12.11.24'!$E$2:$E$1621,"")</f>
        <v/>
      </c>
    </row>
    <row r="4173" spans="1:6" x14ac:dyDescent="0.25">
      <c r="A4173" s="140">
        <v>45735.291666666664</v>
      </c>
      <c r="B4173" t="s">
        <v>4195</v>
      </c>
      <c r="C4173" t="s">
        <v>4196</v>
      </c>
      <c r="D4173" s="6"/>
      <c r="E4173" t="str">
        <f>_xlfn.XLOOKUP(B4173,'2025-Q1'!$A$402:$A$448,'2025-Q1'!$A$402:$A$448,"avail")</f>
        <v>avail</v>
      </c>
      <c r="F4173" t="str">
        <f>_xlfn.XLOOKUP(B4173,'[2]!! -- Stock Universe 12.11.24'!$C$2:$C$1621,'[2]!! -- Stock Universe 12.11.24'!$E$2:$E$1621,"")</f>
        <v>Healthcare</v>
      </c>
    </row>
    <row r="4174" spans="1:6" x14ac:dyDescent="0.25">
      <c r="A4174" s="140">
        <v>45735.291666666664</v>
      </c>
      <c r="B4174" t="s">
        <v>1225</v>
      </c>
      <c r="C4174" t="s">
        <v>4196</v>
      </c>
      <c r="D4174" s="6"/>
      <c r="E4174" t="str">
        <f>_xlfn.XLOOKUP(B4174,'2025-Q1'!$A$402:$A$448,'2025-Q1'!$A$402:$A$448,"avail")</f>
        <v>avail</v>
      </c>
      <c r="F4174" t="str">
        <f>_xlfn.XLOOKUP(B4174,'[2]!! -- Stock Universe 12.11.24'!$C$2:$C$1621,'[2]!! -- Stock Universe 12.11.24'!$E$2:$E$1621,"")</f>
        <v>Consumer Cyclical</v>
      </c>
    </row>
    <row r="4175" spans="1:6" x14ac:dyDescent="0.25">
      <c r="A4175" s="140">
        <v>45735.291666666664</v>
      </c>
      <c r="B4175" t="s">
        <v>1194</v>
      </c>
      <c r="C4175" t="s">
        <v>4196</v>
      </c>
      <c r="D4175" s="6"/>
      <c r="E4175" t="str">
        <f>_xlfn.XLOOKUP(B4175,'2025-Q1'!$A$402:$A$448,'2025-Q1'!$A$402:$A$448,"avail")</f>
        <v>DLTR</v>
      </c>
      <c r="F4175" t="str">
        <f>_xlfn.XLOOKUP(B4175,'[2]!! -- Stock Universe 12.11.24'!$C$2:$C$1621,'[2]!! -- Stock Universe 12.11.24'!$E$2:$E$1621,"")</f>
        <v>Consumer Defensive</v>
      </c>
    </row>
    <row r="4176" spans="1:6" x14ac:dyDescent="0.25">
      <c r="A4176" s="140">
        <v>45735.291666666664</v>
      </c>
      <c r="B4176" t="s">
        <v>3464</v>
      </c>
      <c r="C4176" t="s">
        <v>4196</v>
      </c>
      <c r="D4176" s="6"/>
      <c r="E4176" t="str">
        <f>_xlfn.XLOOKUP(B4176,'2025-Q1'!$A$402:$A$448,'2025-Q1'!$A$402:$A$448,"avail")</f>
        <v>avail</v>
      </c>
      <c r="F4176" t="str">
        <f>_xlfn.XLOOKUP(B4176,'[2]!! -- Stock Universe 12.11.24'!$C$2:$C$1621,'[2]!! -- Stock Universe 12.11.24'!$E$2:$E$1621,"")</f>
        <v/>
      </c>
    </row>
    <row r="4177" spans="1:6" x14ac:dyDescent="0.25">
      <c r="A4177" s="140">
        <v>45735.291666666664</v>
      </c>
      <c r="B4177" t="s">
        <v>915</v>
      </c>
      <c r="C4177" t="s">
        <v>4196</v>
      </c>
      <c r="D4177" s="6"/>
      <c r="E4177" t="str">
        <f>_xlfn.XLOOKUP(B4177,'2025-Q1'!$A$402:$A$448,'2025-Q1'!$A$402:$A$448,"avail")</f>
        <v>avail</v>
      </c>
      <c r="F4177" t="str">
        <f>_xlfn.XLOOKUP(B4177,'[2]!! -- Stock Universe 12.11.24'!$C$2:$C$1621,'[2]!! -- Stock Universe 12.11.24'!$E$2:$E$1621,"")</f>
        <v>Healthcare</v>
      </c>
    </row>
    <row r="4178" spans="1:6" x14ac:dyDescent="0.25">
      <c r="A4178" s="140">
        <v>45735.291666666664</v>
      </c>
      <c r="B4178" t="s">
        <v>4212</v>
      </c>
      <c r="C4178" t="s">
        <v>4196</v>
      </c>
      <c r="D4178" s="6"/>
      <c r="E4178" t="str">
        <f>_xlfn.XLOOKUP(B4178,'2025-Q1'!$A$402:$A$448,'2025-Q1'!$A$402:$A$448,"avail")</f>
        <v>avail</v>
      </c>
      <c r="F4178" t="str">
        <f>_xlfn.XLOOKUP(B4178,'[2]!! -- Stock Universe 12.11.24'!$C$2:$C$1621,'[2]!! -- Stock Universe 12.11.24'!$E$2:$E$1621,"")</f>
        <v/>
      </c>
    </row>
    <row r="4179" spans="1:6" x14ac:dyDescent="0.25">
      <c r="A4179" s="140">
        <v>45735.291666666664</v>
      </c>
      <c r="B4179" t="s">
        <v>4207</v>
      </c>
      <c r="C4179" t="s">
        <v>4196</v>
      </c>
      <c r="D4179" s="6"/>
      <c r="E4179" t="str">
        <f>_xlfn.XLOOKUP(B4179,'2025-Q1'!$A$402:$A$448,'2025-Q1'!$A$402:$A$448,"avail")</f>
        <v>avail</v>
      </c>
      <c r="F4179" t="str">
        <f>_xlfn.XLOOKUP(B4179,'[2]!! -- Stock Universe 12.11.24'!$C$2:$C$1621,'[2]!! -- Stock Universe 12.11.24'!$E$2:$E$1621,"")</f>
        <v/>
      </c>
    </row>
    <row r="4180" spans="1:6" x14ac:dyDescent="0.25">
      <c r="A4180" s="140">
        <v>45735.291666666664</v>
      </c>
      <c r="B4180" t="s">
        <v>1195</v>
      </c>
      <c r="C4180" t="s">
        <v>4196</v>
      </c>
      <c r="D4180" s="6"/>
      <c r="E4180" t="str">
        <f>_xlfn.XLOOKUP(B4180,'2025-Q1'!$A$402:$A$448,'2025-Q1'!$A$402:$A$448,"avail")</f>
        <v>CHWY</v>
      </c>
      <c r="F4180" t="str">
        <f>_xlfn.XLOOKUP(B4180,'[2]!! -- Stock Universe 12.11.24'!$C$2:$C$1621,'[2]!! -- Stock Universe 12.11.24'!$E$2:$E$1621,"")</f>
        <v>Consumer Cyclical</v>
      </c>
    </row>
    <row r="4181" spans="1:6" x14ac:dyDescent="0.25">
      <c r="A4181" s="140">
        <v>45735.291666666664</v>
      </c>
      <c r="B4181" t="s">
        <v>4215</v>
      </c>
      <c r="C4181" t="s">
        <v>4196</v>
      </c>
      <c r="D4181" s="6"/>
      <c r="E4181" t="str">
        <f>_xlfn.XLOOKUP(B4181,'2025-Q1'!$A$402:$A$448,'2025-Q1'!$A$402:$A$448,"avail")</f>
        <v>avail</v>
      </c>
      <c r="F4181" t="str">
        <f>_xlfn.XLOOKUP(B4181,'[2]!! -- Stock Universe 12.11.24'!$C$2:$C$1621,'[2]!! -- Stock Universe 12.11.24'!$E$2:$E$1621,"")</f>
        <v/>
      </c>
    </row>
    <row r="4182" spans="1:6" x14ac:dyDescent="0.25">
      <c r="A4182" s="140">
        <v>45735.291666666664</v>
      </c>
      <c r="B4182" t="s">
        <v>4213</v>
      </c>
      <c r="C4182" t="s">
        <v>4196</v>
      </c>
      <c r="D4182" s="6"/>
      <c r="E4182" t="str">
        <f>_xlfn.XLOOKUP(B4182,'2025-Q1'!$A$402:$A$448,'2025-Q1'!$A$402:$A$448,"avail")</f>
        <v>avail</v>
      </c>
      <c r="F4182" t="str">
        <f>_xlfn.XLOOKUP(B4182,'[2]!! -- Stock Universe 12.11.24'!$C$2:$C$1621,'[2]!! -- Stock Universe 12.11.24'!$E$2:$E$1621,"")</f>
        <v/>
      </c>
    </row>
    <row r="4183" spans="1:6" x14ac:dyDescent="0.25">
      <c r="A4183" s="140">
        <v>45735.291666666664</v>
      </c>
      <c r="B4183" t="s">
        <v>4218</v>
      </c>
      <c r="C4183" t="s">
        <v>4196</v>
      </c>
      <c r="D4183" s="6"/>
      <c r="E4183" t="str">
        <f>_xlfn.XLOOKUP(B4183,'2025-Q1'!$A$402:$A$448,'2025-Q1'!$A$402:$A$448,"avail")</f>
        <v>avail</v>
      </c>
      <c r="F4183" t="str">
        <f>_xlfn.XLOOKUP(B4183,'[2]!! -- Stock Universe 12.11.24'!$C$2:$C$1621,'[2]!! -- Stock Universe 12.11.24'!$E$2:$E$1621,"")</f>
        <v/>
      </c>
    </row>
    <row r="4184" spans="1:6" x14ac:dyDescent="0.25">
      <c r="A4184" s="140">
        <v>45735.291666666664</v>
      </c>
      <c r="B4184" t="s">
        <v>625</v>
      </c>
      <c r="C4184" t="s">
        <v>4196</v>
      </c>
      <c r="D4184" s="6"/>
      <c r="E4184" t="str">
        <f>_xlfn.XLOOKUP(B4184,'2025-Q1'!$A$402:$A$448,'2025-Q1'!$A$402:$A$448,"avail")</f>
        <v>avail</v>
      </c>
      <c r="F4184" t="str">
        <f>_xlfn.XLOOKUP(B4184,'[2]!! -- Stock Universe 12.11.24'!$C$2:$C$1621,'[2]!! -- Stock Universe 12.11.24'!$E$2:$E$1621,"")</f>
        <v/>
      </c>
    </row>
    <row r="4185" spans="1:6" x14ac:dyDescent="0.25">
      <c r="A4185" s="140">
        <v>45735.291666666664</v>
      </c>
      <c r="B4185" t="s">
        <v>4210</v>
      </c>
      <c r="C4185" t="s">
        <v>4203</v>
      </c>
      <c r="D4185" s="6"/>
      <c r="E4185" t="str">
        <f>_xlfn.XLOOKUP(B4185,'2025-Q1'!$A$402:$A$448,'2025-Q1'!$A$402:$A$448,"avail")</f>
        <v>avail</v>
      </c>
      <c r="F4185" t="str">
        <f>_xlfn.XLOOKUP(B4185,'[2]!! -- Stock Universe 12.11.24'!$C$2:$C$1621,'[2]!! -- Stock Universe 12.11.24'!$E$2:$E$1621,"")</f>
        <v/>
      </c>
    </row>
    <row r="4186" spans="1:6" x14ac:dyDescent="0.25">
      <c r="A4186" s="140">
        <v>45735.291666666664</v>
      </c>
      <c r="B4186" t="s">
        <v>4209</v>
      </c>
      <c r="C4186" t="s">
        <v>4196</v>
      </c>
      <c r="D4186" s="6"/>
      <c r="E4186" t="str">
        <f>_xlfn.XLOOKUP(B4186,'2025-Q1'!$A$402:$A$448,'2025-Q1'!$A$402:$A$448,"avail")</f>
        <v>avail</v>
      </c>
      <c r="F4186" t="str">
        <f>_xlfn.XLOOKUP(B4186,'[2]!! -- Stock Universe 12.11.24'!$C$2:$C$1621,'[2]!! -- Stock Universe 12.11.24'!$E$2:$E$1621,"")</f>
        <v/>
      </c>
    </row>
    <row r="4187" spans="1:6" x14ac:dyDescent="0.25">
      <c r="A4187" s="140">
        <v>45735.291666666664</v>
      </c>
      <c r="B4187" t="s">
        <v>4216</v>
      </c>
      <c r="C4187" t="s">
        <v>4203</v>
      </c>
      <c r="D4187" s="6"/>
      <c r="E4187" t="str">
        <f>_xlfn.XLOOKUP(B4187,'2025-Q1'!$A$402:$A$448,'2025-Q1'!$A$402:$A$448,"avail")</f>
        <v>avail</v>
      </c>
      <c r="F4187" t="str">
        <f>_xlfn.XLOOKUP(B4187,'[2]!! -- Stock Universe 12.11.24'!$C$2:$C$1621,'[2]!! -- Stock Universe 12.11.24'!$E$2:$E$1621,"")</f>
        <v/>
      </c>
    </row>
    <row r="4188" spans="1:6" x14ac:dyDescent="0.25">
      <c r="A4188" s="140">
        <v>45735.291666666664</v>
      </c>
      <c r="B4188" t="s">
        <v>4199</v>
      </c>
      <c r="C4188" t="s">
        <v>4196</v>
      </c>
      <c r="D4188" s="6"/>
      <c r="E4188" t="str">
        <f>_xlfn.XLOOKUP(B4188,'2025-Q1'!$A$402:$A$448,'2025-Q1'!$A$402:$A$448,"avail")</f>
        <v>avail</v>
      </c>
      <c r="F4188" t="str">
        <f>_xlfn.XLOOKUP(B4188,'[2]!! -- Stock Universe 12.11.24'!$C$2:$C$1621,'[2]!! -- Stock Universe 12.11.24'!$E$2:$E$1621,"")</f>
        <v/>
      </c>
    </row>
    <row r="4189" spans="1:6" x14ac:dyDescent="0.25">
      <c r="A4189" s="140">
        <v>45735.291666666664</v>
      </c>
      <c r="B4189" t="s">
        <v>4208</v>
      </c>
      <c r="C4189" t="s">
        <v>4196</v>
      </c>
      <c r="D4189" s="6"/>
      <c r="E4189" t="str">
        <f>_xlfn.XLOOKUP(B4189,'2025-Q1'!$A$402:$A$448,'2025-Q1'!$A$402:$A$448,"avail")</f>
        <v>avail</v>
      </c>
      <c r="F4189" t="str">
        <f>_xlfn.XLOOKUP(B4189,'[2]!! -- Stock Universe 12.11.24'!$C$2:$C$1621,'[2]!! -- Stock Universe 12.11.24'!$E$2:$E$1621,"")</f>
        <v/>
      </c>
    </row>
    <row r="4190" spans="1:6" x14ac:dyDescent="0.25">
      <c r="A4190" s="140">
        <v>45735.291666666664</v>
      </c>
      <c r="B4190" t="s">
        <v>4198</v>
      </c>
      <c r="C4190" t="s">
        <v>4196</v>
      </c>
      <c r="D4190" s="6"/>
      <c r="E4190" t="str">
        <f>_xlfn.XLOOKUP(B4190,'2025-Q1'!$A$402:$A$448,'2025-Q1'!$A$402:$A$448,"avail")</f>
        <v>avail</v>
      </c>
      <c r="F4190" t="str">
        <f>_xlfn.XLOOKUP(B4190,'[2]!! -- Stock Universe 12.11.24'!$C$2:$C$1621,'[2]!! -- Stock Universe 12.11.24'!$E$2:$E$1621,"")</f>
        <v/>
      </c>
    </row>
    <row r="4191" spans="1:6" x14ac:dyDescent="0.25">
      <c r="A4191" s="140">
        <v>45735.291666666664</v>
      </c>
      <c r="B4191" t="s">
        <v>4202</v>
      </c>
      <c r="C4191" t="s">
        <v>4203</v>
      </c>
      <c r="D4191" s="6"/>
      <c r="E4191" t="str">
        <f>_xlfn.XLOOKUP(B4191,'2025-Q1'!$A$402:$A$448,'2025-Q1'!$A$402:$A$448,"avail")</f>
        <v>avail</v>
      </c>
      <c r="F4191" t="str">
        <f>_xlfn.XLOOKUP(B4191,'[2]!! -- Stock Universe 12.11.24'!$C$2:$C$1621,'[2]!! -- Stock Universe 12.11.24'!$E$2:$E$1621,"")</f>
        <v/>
      </c>
    </row>
    <row r="4192" spans="1:6" x14ac:dyDescent="0.25">
      <c r="A4192" s="140">
        <v>45735.291666666664</v>
      </c>
      <c r="B4192" t="s">
        <v>4204</v>
      </c>
      <c r="C4192" t="s">
        <v>4196</v>
      </c>
      <c r="D4192" s="6"/>
      <c r="E4192" t="str">
        <f>_xlfn.XLOOKUP(B4192,'2025-Q1'!$A$402:$A$448,'2025-Q1'!$A$402:$A$448,"avail")</f>
        <v>avail</v>
      </c>
      <c r="F4192" t="str">
        <f>_xlfn.XLOOKUP(B4192,'[2]!! -- Stock Universe 12.11.24'!$C$2:$C$1621,'[2]!! -- Stock Universe 12.11.24'!$E$2:$E$1621,"")</f>
        <v/>
      </c>
    </row>
    <row r="4193" spans="1:6" x14ac:dyDescent="0.25">
      <c r="A4193" s="140">
        <v>45735.291666666664</v>
      </c>
      <c r="B4193" t="s">
        <v>1457</v>
      </c>
      <c r="C4193" t="s">
        <v>4196</v>
      </c>
      <c r="D4193" s="6"/>
      <c r="E4193" t="str">
        <f>_xlfn.XLOOKUP(B4193,'2025-Q1'!$A$402:$A$448,'2025-Q1'!$A$402:$A$448,"avail")</f>
        <v>GIS</v>
      </c>
      <c r="F4193" t="str">
        <f>_xlfn.XLOOKUP(B4193,'[2]!! -- Stock Universe 12.11.24'!$C$2:$C$1621,'[2]!! -- Stock Universe 12.11.24'!$E$2:$E$1621,"")</f>
        <v>Consumer Defensive</v>
      </c>
    </row>
    <row r="4194" spans="1:6" x14ac:dyDescent="0.25">
      <c r="A4194" s="140">
        <v>45735.291666666664</v>
      </c>
      <c r="B4194" t="s">
        <v>4214</v>
      </c>
      <c r="C4194" t="s">
        <v>4196</v>
      </c>
      <c r="D4194" s="6"/>
      <c r="E4194" t="str">
        <f>_xlfn.XLOOKUP(B4194,'2025-Q1'!$A$402:$A$448,'2025-Q1'!$A$402:$A$448,"avail")</f>
        <v>avail</v>
      </c>
      <c r="F4194" t="str">
        <f>_xlfn.XLOOKUP(B4194,'[2]!! -- Stock Universe 12.11.24'!$C$2:$C$1621,'[2]!! -- Stock Universe 12.11.24'!$E$2:$E$1621,"")</f>
        <v/>
      </c>
    </row>
    <row r="4195" spans="1:6" x14ac:dyDescent="0.25">
      <c r="A4195" s="140">
        <v>45735.291666666664</v>
      </c>
      <c r="B4195" t="s">
        <v>4206</v>
      </c>
      <c r="C4195" t="s">
        <v>4196</v>
      </c>
      <c r="D4195" s="6"/>
      <c r="E4195" t="str">
        <f>_xlfn.XLOOKUP(B4195,'2025-Q1'!$A$402:$A$448,'2025-Q1'!$A$402:$A$448,"avail")</f>
        <v>avail</v>
      </c>
      <c r="F4195" t="str">
        <f>_xlfn.XLOOKUP(B4195,'[2]!! -- Stock Universe 12.11.24'!$C$2:$C$1621,'[2]!! -- Stock Universe 12.11.24'!$E$2:$E$1621,"")</f>
        <v/>
      </c>
    </row>
    <row r="4196" spans="1:6" x14ac:dyDescent="0.25">
      <c r="A4196" s="140">
        <v>45735.458333333336</v>
      </c>
      <c r="B4196" t="s">
        <v>4219</v>
      </c>
      <c r="C4196" t="s">
        <v>4220</v>
      </c>
      <c r="D4196" s="6"/>
      <c r="E4196" t="str">
        <f>_xlfn.XLOOKUP(B4196,'2025-Q1'!$A$402:$A$448,'2025-Q1'!$A$402:$A$448,"avail")</f>
        <v>avail</v>
      </c>
      <c r="F4196" t="str">
        <f>_xlfn.XLOOKUP(B4196,'[2]!! -- Stock Universe 12.11.24'!$C$2:$C$1621,'[2]!! -- Stock Universe 12.11.24'!$E$2:$E$1621,"")</f>
        <v/>
      </c>
    </row>
    <row r="4197" spans="1:6" x14ac:dyDescent="0.25">
      <c r="A4197" s="140">
        <v>45735.625</v>
      </c>
      <c r="B4197" t="s">
        <v>4238</v>
      </c>
      <c r="C4197" t="s">
        <v>4222</v>
      </c>
      <c r="D4197" s="6"/>
      <c r="E4197" t="str">
        <f>_xlfn.XLOOKUP(B4197,'2025-Q1'!$A$402:$A$448,'2025-Q1'!$A$402:$A$448,"avail")</f>
        <v>avail</v>
      </c>
      <c r="F4197" t="str">
        <f>_xlfn.XLOOKUP(B4197,'[2]!! -- Stock Universe 12.11.24'!$C$2:$C$1621,'[2]!! -- Stock Universe 12.11.24'!$E$2:$E$1621,"")</f>
        <v/>
      </c>
    </row>
    <row r="4198" spans="1:6" x14ac:dyDescent="0.25">
      <c r="A4198" s="140">
        <v>45735.625</v>
      </c>
      <c r="B4198" t="s">
        <v>3667</v>
      </c>
      <c r="C4198" t="s">
        <v>4222</v>
      </c>
      <c r="D4198" s="6"/>
      <c r="E4198" t="str">
        <f>_xlfn.XLOOKUP(B4198,'2025-Q1'!$A$402:$A$448,'2025-Q1'!$A$402:$A$448,"avail")</f>
        <v>avail</v>
      </c>
      <c r="F4198" t="str">
        <f>_xlfn.XLOOKUP(B4198,'[2]!! -- Stock Universe 12.11.24'!$C$2:$C$1621,'[2]!! -- Stock Universe 12.11.24'!$E$2:$E$1621,"")</f>
        <v/>
      </c>
    </row>
    <row r="4199" spans="1:6" x14ac:dyDescent="0.25">
      <c r="A4199" s="140">
        <v>45735.625</v>
      </c>
      <c r="B4199" t="s">
        <v>4242</v>
      </c>
      <c r="C4199" t="s">
        <v>4222</v>
      </c>
      <c r="D4199" s="6"/>
      <c r="E4199" t="str">
        <f>_xlfn.XLOOKUP(B4199,'2025-Q1'!$A$402:$A$448,'2025-Q1'!$A$402:$A$448,"avail")</f>
        <v>avail</v>
      </c>
      <c r="F4199" t="str">
        <f>_xlfn.XLOOKUP(B4199,'[2]!! -- Stock Universe 12.11.24'!$C$2:$C$1621,'[2]!! -- Stock Universe 12.11.24'!$E$2:$E$1621,"")</f>
        <v/>
      </c>
    </row>
    <row r="4200" spans="1:6" x14ac:dyDescent="0.25">
      <c r="A4200" s="140">
        <v>45735.625</v>
      </c>
      <c r="B4200" t="s">
        <v>4241</v>
      </c>
      <c r="C4200" t="s">
        <v>4222</v>
      </c>
      <c r="D4200" s="6"/>
      <c r="E4200" t="str">
        <f>_xlfn.XLOOKUP(B4200,'2025-Q1'!$A$402:$A$448,'2025-Q1'!$A$402:$A$448,"avail")</f>
        <v>avail</v>
      </c>
      <c r="F4200" t="str">
        <f>_xlfn.XLOOKUP(B4200,'[2]!! -- Stock Universe 12.11.24'!$C$2:$C$1621,'[2]!! -- Stock Universe 12.11.24'!$E$2:$E$1621,"")</f>
        <v/>
      </c>
    </row>
    <row r="4201" spans="1:6" x14ac:dyDescent="0.25">
      <c r="A4201" s="140">
        <v>45735.625</v>
      </c>
      <c r="B4201" t="s">
        <v>1214</v>
      </c>
      <c r="C4201" t="s">
        <v>4222</v>
      </c>
      <c r="D4201" s="6"/>
      <c r="E4201" t="str">
        <f>_xlfn.XLOOKUP(B4201,'2025-Q1'!$A$402:$A$448,'2025-Q1'!$A$402:$A$448,"avail")</f>
        <v>avail</v>
      </c>
      <c r="F4201" t="str">
        <f>_xlfn.XLOOKUP(B4201,'[2]!! -- Stock Universe 12.11.24'!$C$2:$C$1621,'[2]!! -- Stock Universe 12.11.24'!$E$2:$E$1621,"")</f>
        <v>Consumer Cyclical</v>
      </c>
    </row>
    <row r="4202" spans="1:6" x14ac:dyDescent="0.25">
      <c r="A4202" s="140">
        <v>45735.625</v>
      </c>
      <c r="B4202" t="s">
        <v>4482</v>
      </c>
      <c r="C4202" t="s">
        <v>4222</v>
      </c>
      <c r="D4202" s="6"/>
      <c r="E4202" t="str">
        <f>_xlfn.XLOOKUP(B4202,'2025-Q1'!$A$402:$A$448,'2025-Q1'!$A$402:$A$448,"avail")</f>
        <v>avail</v>
      </c>
      <c r="F4202" t="str">
        <f>_xlfn.XLOOKUP(B4202,'[2]!! -- Stock Universe 12.11.24'!$C$2:$C$1621,'[2]!! -- Stock Universe 12.11.24'!$E$2:$E$1621,"")</f>
        <v/>
      </c>
    </row>
    <row r="4203" spans="1:6" x14ac:dyDescent="0.25">
      <c r="A4203" s="140">
        <v>45735.625</v>
      </c>
      <c r="B4203" t="s">
        <v>1680</v>
      </c>
      <c r="C4203" t="s">
        <v>4222</v>
      </c>
      <c r="D4203" s="6"/>
      <c r="E4203" t="str">
        <f>_xlfn.XLOOKUP(B4203,'2025-Q1'!$A$402:$A$448,'2025-Q1'!$A$402:$A$448,"avail")</f>
        <v>avail</v>
      </c>
      <c r="F4203" t="str">
        <f>_xlfn.XLOOKUP(B4203,'[2]!! -- Stock Universe 12.11.24'!$C$2:$C$1621,'[2]!! -- Stock Universe 12.11.24'!$E$2:$E$1621,"")</f>
        <v>Consumer Cyclical</v>
      </c>
    </row>
    <row r="4204" spans="1:6" x14ac:dyDescent="0.25">
      <c r="A4204" s="140">
        <v>45735.625</v>
      </c>
      <c r="B4204" t="s">
        <v>4237</v>
      </c>
      <c r="C4204" t="s">
        <v>4222</v>
      </c>
      <c r="D4204" s="6"/>
      <c r="E4204" t="str">
        <f>_xlfn.XLOOKUP(B4204,'2025-Q1'!$A$402:$A$448,'2025-Q1'!$A$402:$A$448,"avail")</f>
        <v>avail</v>
      </c>
      <c r="F4204" t="str">
        <f>_xlfn.XLOOKUP(B4204,'[2]!! -- Stock Universe 12.11.24'!$C$2:$C$1621,'[2]!! -- Stock Universe 12.11.24'!$E$2:$E$1621,"")</f>
        <v/>
      </c>
    </row>
    <row r="4205" spans="1:6" x14ac:dyDescent="0.25">
      <c r="A4205" s="140">
        <v>45735.625</v>
      </c>
      <c r="B4205" t="s">
        <v>1944</v>
      </c>
      <c r="C4205" t="s">
        <v>4222</v>
      </c>
      <c r="D4205" s="6"/>
      <c r="E4205" t="str">
        <f>_xlfn.XLOOKUP(B4205,'2025-Q1'!$A$402:$A$448,'2025-Q1'!$A$402:$A$448,"avail")</f>
        <v>avail</v>
      </c>
      <c r="F4205" t="str">
        <f>_xlfn.XLOOKUP(B4205,'[2]!! -- Stock Universe 12.11.24'!$C$2:$C$1621,'[2]!! -- Stock Universe 12.11.24'!$E$2:$E$1621,"")</f>
        <v/>
      </c>
    </row>
    <row r="4206" spans="1:6" x14ac:dyDescent="0.25">
      <c r="A4206" s="140">
        <v>45735.625</v>
      </c>
      <c r="B4206" t="s">
        <v>4225</v>
      </c>
      <c r="C4206" t="s">
        <v>4222</v>
      </c>
      <c r="D4206" s="6"/>
      <c r="E4206" t="str">
        <f>_xlfn.XLOOKUP(B4206,'2025-Q1'!$A$402:$A$448,'2025-Q1'!$A$402:$A$448,"avail")</f>
        <v>avail</v>
      </c>
      <c r="F4206" t="str">
        <f>_xlfn.XLOOKUP(B4206,'[2]!! -- Stock Universe 12.11.24'!$C$2:$C$1621,'[2]!! -- Stock Universe 12.11.24'!$E$2:$E$1621,"")</f>
        <v/>
      </c>
    </row>
    <row r="4207" spans="1:6" x14ac:dyDescent="0.25">
      <c r="A4207" s="140">
        <v>45735.625</v>
      </c>
      <c r="B4207" t="s">
        <v>4235</v>
      </c>
      <c r="C4207" t="s">
        <v>4222</v>
      </c>
      <c r="D4207" s="6"/>
      <c r="E4207" t="str">
        <f>_xlfn.XLOOKUP(B4207,'2025-Q1'!$A$402:$A$448,'2025-Q1'!$A$402:$A$448,"avail")</f>
        <v>avail</v>
      </c>
      <c r="F4207" t="str">
        <f>_xlfn.XLOOKUP(B4207,'[2]!! -- Stock Universe 12.11.24'!$C$2:$C$1621,'[2]!! -- Stock Universe 12.11.24'!$E$2:$E$1621,"")</f>
        <v/>
      </c>
    </row>
    <row r="4208" spans="1:6" x14ac:dyDescent="0.25">
      <c r="A4208" s="140">
        <v>45735.625</v>
      </c>
      <c r="B4208" t="s">
        <v>4240</v>
      </c>
      <c r="C4208" t="s">
        <v>4222</v>
      </c>
      <c r="D4208" s="6"/>
      <c r="E4208" t="str">
        <f>_xlfn.XLOOKUP(B4208,'2025-Q1'!$A$402:$A$448,'2025-Q1'!$A$402:$A$448,"avail")</f>
        <v>avail</v>
      </c>
      <c r="F4208" t="str">
        <f>_xlfn.XLOOKUP(B4208,'[2]!! -- Stock Universe 12.11.24'!$C$2:$C$1621,'[2]!! -- Stock Universe 12.11.24'!$E$2:$E$1621,"")</f>
        <v/>
      </c>
    </row>
    <row r="4209" spans="1:6" x14ac:dyDescent="0.25">
      <c r="A4209" s="140">
        <v>45735.625</v>
      </c>
      <c r="B4209" t="s">
        <v>4233</v>
      </c>
      <c r="C4209" t="s">
        <v>4222</v>
      </c>
      <c r="D4209" s="6"/>
      <c r="E4209" t="str">
        <f>_xlfn.XLOOKUP(B4209,'2025-Q1'!$A$402:$A$448,'2025-Q1'!$A$402:$A$448,"avail")</f>
        <v>avail</v>
      </c>
      <c r="F4209" t="str">
        <f>_xlfn.XLOOKUP(B4209,'[2]!! -- Stock Universe 12.11.24'!$C$2:$C$1621,'[2]!! -- Stock Universe 12.11.24'!$E$2:$E$1621,"")</f>
        <v/>
      </c>
    </row>
    <row r="4210" spans="1:6" x14ac:dyDescent="0.25">
      <c r="A4210" s="140">
        <v>45735.625</v>
      </c>
      <c r="B4210" t="s">
        <v>3423</v>
      </c>
      <c r="C4210" t="s">
        <v>4222</v>
      </c>
      <c r="D4210" s="6"/>
      <c r="E4210" t="str">
        <f>_xlfn.XLOOKUP(B4210,'2025-Q1'!$A$402:$A$448,'2025-Q1'!$A$402:$A$448,"avail")</f>
        <v>avail</v>
      </c>
      <c r="F4210" t="str">
        <f>_xlfn.XLOOKUP(B4210,'[2]!! -- Stock Universe 12.11.24'!$C$2:$C$1621,'[2]!! -- Stock Universe 12.11.24'!$E$2:$E$1621,"")</f>
        <v/>
      </c>
    </row>
    <row r="4211" spans="1:6" x14ac:dyDescent="0.25">
      <c r="A4211" s="140">
        <v>45735.625</v>
      </c>
      <c r="B4211" t="s">
        <v>2800</v>
      </c>
      <c r="C4211" t="s">
        <v>4222</v>
      </c>
      <c r="D4211" s="6"/>
      <c r="E4211" t="str">
        <f>_xlfn.XLOOKUP(B4211,'2025-Q1'!$A$402:$A$448,'2025-Q1'!$A$402:$A$448,"avail")</f>
        <v>avail</v>
      </c>
      <c r="F4211" t="str">
        <f>_xlfn.XLOOKUP(B4211,'[2]!! -- Stock Universe 12.11.24'!$C$2:$C$1621,'[2]!! -- Stock Universe 12.11.24'!$E$2:$E$1621,"")</f>
        <v>Technology</v>
      </c>
    </row>
    <row r="4212" spans="1:6" x14ac:dyDescent="0.25">
      <c r="A4212" s="140">
        <v>45735.625</v>
      </c>
      <c r="B4212" t="s">
        <v>1973</v>
      </c>
      <c r="C4212" t="s">
        <v>4222</v>
      </c>
      <c r="D4212" s="6"/>
      <c r="E4212" t="str">
        <f>_xlfn.XLOOKUP(B4212,'2025-Q1'!$A$402:$A$448,'2025-Q1'!$A$402:$A$448,"avail")</f>
        <v>avail</v>
      </c>
      <c r="F4212" t="str">
        <f>_xlfn.XLOOKUP(B4212,'[2]!! -- Stock Universe 12.11.24'!$C$2:$C$1621,'[2]!! -- Stock Universe 12.11.24'!$E$2:$E$1621,"")</f>
        <v>Consumer Cyclical</v>
      </c>
    </row>
    <row r="4213" spans="1:6" x14ac:dyDescent="0.25">
      <c r="A4213" s="140">
        <v>45735.625</v>
      </c>
      <c r="B4213" t="s">
        <v>4245</v>
      </c>
      <c r="C4213" t="s">
        <v>4222</v>
      </c>
      <c r="D4213" s="6"/>
      <c r="E4213" t="str">
        <f>_xlfn.XLOOKUP(B4213,'2025-Q1'!$A$402:$A$448,'2025-Q1'!$A$402:$A$448,"avail")</f>
        <v>avail</v>
      </c>
      <c r="F4213" t="str">
        <f>_xlfn.XLOOKUP(B4213,'[2]!! -- Stock Universe 12.11.24'!$C$2:$C$1621,'[2]!! -- Stock Universe 12.11.24'!$E$2:$E$1621,"")</f>
        <v/>
      </c>
    </row>
    <row r="4214" spans="1:6" x14ac:dyDescent="0.25">
      <c r="A4214" s="140">
        <v>45735.625</v>
      </c>
      <c r="B4214" t="s">
        <v>4244</v>
      </c>
      <c r="C4214" t="s">
        <v>4222</v>
      </c>
      <c r="D4214" s="6"/>
      <c r="E4214" t="str">
        <f>_xlfn.XLOOKUP(B4214,'2025-Q1'!$A$402:$A$448,'2025-Q1'!$A$402:$A$448,"avail")</f>
        <v>avail</v>
      </c>
      <c r="F4214" t="str">
        <f>_xlfn.XLOOKUP(B4214,'[2]!! -- Stock Universe 12.11.24'!$C$2:$C$1621,'[2]!! -- Stock Universe 12.11.24'!$E$2:$E$1621,"")</f>
        <v/>
      </c>
    </row>
    <row r="4215" spans="1:6" x14ac:dyDescent="0.25">
      <c r="A4215" s="140">
        <v>45735.625</v>
      </c>
      <c r="B4215" t="s">
        <v>1033</v>
      </c>
      <c r="C4215" t="s">
        <v>4222</v>
      </c>
      <c r="D4215" s="6"/>
      <c r="E4215" t="str">
        <f>_xlfn.XLOOKUP(B4215,'2025-Q1'!$A$402:$A$448,'2025-Q1'!$A$402:$A$448,"avail")</f>
        <v>avail</v>
      </c>
      <c r="F4215" t="str">
        <f>_xlfn.XLOOKUP(B4215,'[2]!! -- Stock Universe 12.11.24'!$C$2:$C$1621,'[2]!! -- Stock Universe 12.11.24'!$E$2:$E$1621,"")</f>
        <v>Technology</v>
      </c>
    </row>
    <row r="4216" spans="1:6" x14ac:dyDescent="0.25">
      <c r="A4216" s="140">
        <v>45735.625</v>
      </c>
      <c r="B4216" t="s">
        <v>4223</v>
      </c>
      <c r="C4216" t="s">
        <v>4222</v>
      </c>
      <c r="D4216" s="6"/>
      <c r="E4216" t="str">
        <f>_xlfn.XLOOKUP(B4216,'2025-Q1'!$A$402:$A$448,'2025-Q1'!$A$402:$A$448,"avail")</f>
        <v>avail</v>
      </c>
      <c r="F4216" t="str">
        <f>_xlfn.XLOOKUP(B4216,'[2]!! -- Stock Universe 12.11.24'!$C$2:$C$1621,'[2]!! -- Stock Universe 12.11.24'!$E$2:$E$1621,"")</f>
        <v/>
      </c>
    </row>
    <row r="4217" spans="1:6" x14ac:dyDescent="0.25">
      <c r="A4217" s="140">
        <v>45735.625</v>
      </c>
      <c r="B4217" t="s">
        <v>4227</v>
      </c>
      <c r="C4217" t="s">
        <v>4222</v>
      </c>
      <c r="D4217" s="6"/>
      <c r="E4217" t="str">
        <f>_xlfn.XLOOKUP(B4217,'2025-Q1'!$A$402:$A$448,'2025-Q1'!$A$402:$A$448,"avail")</f>
        <v>avail</v>
      </c>
      <c r="F4217" t="str">
        <f>_xlfn.XLOOKUP(B4217,'[2]!! -- Stock Universe 12.11.24'!$C$2:$C$1621,'[2]!! -- Stock Universe 12.11.24'!$E$2:$E$1621,"")</f>
        <v/>
      </c>
    </row>
    <row r="4218" spans="1:6" x14ac:dyDescent="0.25">
      <c r="A4218" s="140">
        <v>45735.625</v>
      </c>
      <c r="B4218" t="s">
        <v>4230</v>
      </c>
      <c r="C4218" t="s">
        <v>4222</v>
      </c>
      <c r="D4218" s="6"/>
      <c r="E4218" t="str">
        <f>_xlfn.XLOOKUP(B4218,'2025-Q1'!$A$402:$A$448,'2025-Q1'!$A$402:$A$448,"avail")</f>
        <v>avail</v>
      </c>
      <c r="F4218" t="str">
        <f>_xlfn.XLOOKUP(B4218,'[2]!! -- Stock Universe 12.11.24'!$C$2:$C$1621,'[2]!! -- Stock Universe 12.11.24'!$E$2:$E$1621,"")</f>
        <v/>
      </c>
    </row>
    <row r="4219" spans="1:6" x14ac:dyDescent="0.25">
      <c r="A4219" s="140">
        <v>45735.625</v>
      </c>
      <c r="B4219" t="s">
        <v>1816</v>
      </c>
      <c r="C4219" t="s">
        <v>4222</v>
      </c>
      <c r="D4219" s="6"/>
      <c r="E4219" t="str">
        <f>_xlfn.XLOOKUP(B4219,'2025-Q1'!$A$402:$A$448,'2025-Q1'!$A$402:$A$448,"avail")</f>
        <v>avail</v>
      </c>
      <c r="F4219" t="str">
        <f>_xlfn.XLOOKUP(B4219,'[2]!! -- Stock Universe 12.11.24'!$C$2:$C$1621,'[2]!! -- Stock Universe 12.11.24'!$E$2:$E$1621,"")</f>
        <v/>
      </c>
    </row>
    <row r="4220" spans="1:6" x14ac:dyDescent="0.25">
      <c r="A4220" s="140">
        <v>45735.625</v>
      </c>
      <c r="B4220" t="s">
        <v>4234</v>
      </c>
      <c r="C4220" t="s">
        <v>4222</v>
      </c>
      <c r="D4220" s="6"/>
      <c r="E4220" t="str">
        <f>_xlfn.XLOOKUP(B4220,'2025-Q1'!$A$402:$A$448,'2025-Q1'!$A$402:$A$448,"avail")</f>
        <v>avail</v>
      </c>
      <c r="F4220" t="str">
        <f>_xlfn.XLOOKUP(B4220,'[2]!! -- Stock Universe 12.11.24'!$C$2:$C$1621,'[2]!! -- Stock Universe 12.11.24'!$E$2:$E$1621,"")</f>
        <v/>
      </c>
    </row>
    <row r="4221" spans="1:6" x14ac:dyDescent="0.25">
      <c r="A4221" s="140">
        <v>45735.625</v>
      </c>
      <c r="B4221" t="s">
        <v>4229</v>
      </c>
      <c r="C4221" t="s">
        <v>4222</v>
      </c>
      <c r="D4221" s="6"/>
      <c r="E4221" t="str">
        <f>_xlfn.XLOOKUP(B4221,'2025-Q1'!$A$402:$A$448,'2025-Q1'!$A$402:$A$448,"avail")</f>
        <v>avail</v>
      </c>
      <c r="F4221" t="str">
        <f>_xlfn.XLOOKUP(B4221,'[2]!! -- Stock Universe 12.11.24'!$C$2:$C$1621,'[2]!! -- Stock Universe 12.11.24'!$E$2:$E$1621,"")</f>
        <v/>
      </c>
    </row>
    <row r="4222" spans="1:6" x14ac:dyDescent="0.25">
      <c r="A4222" s="140">
        <v>45735.625</v>
      </c>
      <c r="B4222" t="s">
        <v>1045</v>
      </c>
      <c r="C4222" t="s">
        <v>4222</v>
      </c>
      <c r="D4222" s="6"/>
      <c r="E4222" t="str">
        <f>_xlfn.XLOOKUP(B4222,'2025-Q1'!$A$402:$A$448,'2025-Q1'!$A$402:$A$448,"avail")</f>
        <v>avail</v>
      </c>
      <c r="F4222" t="str">
        <f>_xlfn.XLOOKUP(B4222,'[2]!! -- Stock Universe 12.11.24'!$C$2:$C$1621,'[2]!! -- Stock Universe 12.11.24'!$E$2:$E$1621,"")</f>
        <v>Healthcare</v>
      </c>
    </row>
    <row r="4223" spans="1:6" x14ac:dyDescent="0.25">
      <c r="A4223" s="140">
        <v>45736.291666666664</v>
      </c>
      <c r="B4223" t="s">
        <v>4275</v>
      </c>
      <c r="C4223" t="s">
        <v>4247</v>
      </c>
      <c r="D4223" s="6"/>
      <c r="E4223" t="str">
        <f>_xlfn.XLOOKUP(B4223,'2025-Q1'!$A$402:$A$448,'2025-Q1'!$A$402:$A$448,"avail")</f>
        <v>avail</v>
      </c>
      <c r="F4223" t="str">
        <f>_xlfn.XLOOKUP(B4223,'[2]!! -- Stock Universe 12.11.24'!$C$2:$C$1621,'[2]!! -- Stock Universe 12.11.24'!$E$2:$E$1621,"")</f>
        <v/>
      </c>
    </row>
    <row r="4224" spans="1:6" x14ac:dyDescent="0.25">
      <c r="A4224" s="140">
        <v>45736.291666666664</v>
      </c>
      <c r="B4224" t="s">
        <v>1639</v>
      </c>
      <c r="C4224" t="s">
        <v>4247</v>
      </c>
      <c r="D4224" s="6"/>
      <c r="E4224" t="str">
        <f>_xlfn.XLOOKUP(B4224,'2025-Q1'!$A$402:$A$448,'2025-Q1'!$A$402:$A$448,"avail")</f>
        <v>avail</v>
      </c>
      <c r="F4224" t="str">
        <f>_xlfn.XLOOKUP(B4224,'[2]!! -- Stock Universe 12.11.24'!$C$2:$C$1621,'[2]!! -- Stock Universe 12.11.24'!$E$2:$E$1621,"")</f>
        <v>Basic Materials</v>
      </c>
    </row>
    <row r="4225" spans="1:6" x14ac:dyDescent="0.25">
      <c r="A4225" s="140">
        <v>45736.291666666664</v>
      </c>
      <c r="B4225" t="s">
        <v>4269</v>
      </c>
      <c r="C4225" t="s">
        <v>4247</v>
      </c>
      <c r="D4225" s="6"/>
      <c r="E4225" t="str">
        <f>_xlfn.XLOOKUP(B4225,'2025-Q1'!$A$402:$A$448,'2025-Q1'!$A$402:$A$448,"avail")</f>
        <v>avail</v>
      </c>
      <c r="F4225" t="str">
        <f>_xlfn.XLOOKUP(B4225,'[2]!! -- Stock Universe 12.11.24'!$C$2:$C$1621,'[2]!! -- Stock Universe 12.11.24'!$E$2:$E$1621,"")</f>
        <v/>
      </c>
    </row>
    <row r="4226" spans="1:6" x14ac:dyDescent="0.25">
      <c r="A4226" s="140">
        <v>45736.291666666664</v>
      </c>
      <c r="B4226" t="s">
        <v>4265</v>
      </c>
      <c r="C4226" t="s">
        <v>4247</v>
      </c>
      <c r="D4226" s="6"/>
      <c r="E4226" t="str">
        <f>_xlfn.XLOOKUP(B4226,'2025-Q1'!$A$402:$A$448,'2025-Q1'!$A$402:$A$448,"avail")</f>
        <v>avail</v>
      </c>
      <c r="F4226" t="str">
        <f>_xlfn.XLOOKUP(B4226,'[2]!! -- Stock Universe 12.11.24'!$C$2:$C$1621,'[2]!! -- Stock Universe 12.11.24'!$E$2:$E$1621,"")</f>
        <v/>
      </c>
    </row>
    <row r="4227" spans="1:6" x14ac:dyDescent="0.25">
      <c r="A4227" s="140">
        <v>45736.291666666664</v>
      </c>
      <c r="B4227" t="s">
        <v>4268</v>
      </c>
      <c r="C4227" t="s">
        <v>4247</v>
      </c>
      <c r="D4227" s="6"/>
      <c r="E4227" t="str">
        <f>_xlfn.XLOOKUP(B4227,'2025-Q1'!$A$402:$A$448,'2025-Q1'!$A$402:$A$448,"avail")</f>
        <v>avail</v>
      </c>
      <c r="F4227" t="str">
        <f>_xlfn.XLOOKUP(B4227,'[2]!! -- Stock Universe 12.11.24'!$C$2:$C$1621,'[2]!! -- Stock Universe 12.11.24'!$E$2:$E$1621,"")</f>
        <v/>
      </c>
    </row>
    <row r="4228" spans="1:6" x14ac:dyDescent="0.25">
      <c r="A4228" s="140">
        <v>45736.291666666664</v>
      </c>
      <c r="B4228" t="s">
        <v>4274</v>
      </c>
      <c r="C4228" t="s">
        <v>4247</v>
      </c>
      <c r="D4228" s="6"/>
      <c r="E4228" t="str">
        <f>_xlfn.XLOOKUP(B4228,'2025-Q1'!$A$402:$A$448,'2025-Q1'!$A$402:$A$448,"avail")</f>
        <v>avail</v>
      </c>
      <c r="F4228" t="str">
        <f>_xlfn.XLOOKUP(B4228,'[2]!! -- Stock Universe 12.11.24'!$C$2:$C$1621,'[2]!! -- Stock Universe 12.11.24'!$E$2:$E$1621,"")</f>
        <v/>
      </c>
    </row>
    <row r="4229" spans="1:6" x14ac:dyDescent="0.25">
      <c r="A4229" s="140">
        <v>45736.291666666664</v>
      </c>
      <c r="B4229" t="s">
        <v>4266</v>
      </c>
      <c r="C4229" t="s">
        <v>4247</v>
      </c>
      <c r="D4229" s="6"/>
      <c r="E4229" t="str">
        <f>_xlfn.XLOOKUP(B4229,'2025-Q1'!$A$402:$A$448,'2025-Q1'!$A$402:$A$448,"avail")</f>
        <v>avail</v>
      </c>
      <c r="F4229" t="str">
        <f>_xlfn.XLOOKUP(B4229,'[2]!! -- Stock Universe 12.11.24'!$C$2:$C$1621,'[2]!! -- Stock Universe 12.11.24'!$E$2:$E$1621,"")</f>
        <v/>
      </c>
    </row>
    <row r="4230" spans="1:6" x14ac:dyDescent="0.25">
      <c r="A4230" s="140">
        <v>45736.291666666664</v>
      </c>
      <c r="B4230" t="s">
        <v>1298</v>
      </c>
      <c r="C4230" t="s">
        <v>4247</v>
      </c>
      <c r="D4230" s="6"/>
      <c r="E4230" t="str">
        <f>_xlfn.XLOOKUP(B4230,'2025-Q1'!$A$402:$A$448,'2025-Q1'!$A$402:$A$448,"avail")</f>
        <v>avail</v>
      </c>
      <c r="F4230" t="str">
        <f>_xlfn.XLOOKUP(B4230,'[2]!! -- Stock Universe 12.11.24'!$C$2:$C$1621,'[2]!! -- Stock Universe 12.11.24'!$E$2:$E$1621,"")</f>
        <v/>
      </c>
    </row>
    <row r="4231" spans="1:6" x14ac:dyDescent="0.25">
      <c r="A4231" s="140">
        <v>45736.291666666664</v>
      </c>
      <c r="B4231" t="s">
        <v>4279</v>
      </c>
      <c r="C4231" t="s">
        <v>4247</v>
      </c>
      <c r="D4231" s="6"/>
      <c r="E4231" t="str">
        <f>_xlfn.XLOOKUP(B4231,'2025-Q1'!$A$402:$A$448,'2025-Q1'!$A$402:$A$448,"avail")</f>
        <v>avail</v>
      </c>
      <c r="F4231" t="str">
        <f>_xlfn.XLOOKUP(B4231,'[2]!! -- Stock Universe 12.11.24'!$C$2:$C$1621,'[2]!! -- Stock Universe 12.11.24'!$E$2:$E$1621,"")</f>
        <v/>
      </c>
    </row>
    <row r="4232" spans="1:6" x14ac:dyDescent="0.25">
      <c r="A4232" s="140">
        <v>45736.291666666664</v>
      </c>
      <c r="B4232" t="s">
        <v>4252</v>
      </c>
      <c r="C4232" t="s">
        <v>4247</v>
      </c>
      <c r="D4232" s="6"/>
      <c r="E4232" t="str">
        <f>_xlfn.XLOOKUP(B4232,'2025-Q1'!$A$402:$A$448,'2025-Q1'!$A$402:$A$448,"avail")</f>
        <v>avail</v>
      </c>
      <c r="F4232" t="str">
        <f>_xlfn.XLOOKUP(B4232,'[2]!! -- Stock Universe 12.11.24'!$C$2:$C$1621,'[2]!! -- Stock Universe 12.11.24'!$E$2:$E$1621,"")</f>
        <v/>
      </c>
    </row>
    <row r="4233" spans="1:6" x14ac:dyDescent="0.25">
      <c r="A4233" s="140">
        <v>45736.291666666664</v>
      </c>
      <c r="B4233" t="s">
        <v>920</v>
      </c>
      <c r="C4233" t="s">
        <v>4247</v>
      </c>
      <c r="D4233" s="6"/>
      <c r="E4233" t="str">
        <f>_xlfn.XLOOKUP(B4233,'2025-Q1'!$A$402:$A$448,'2025-Q1'!$A$402:$A$448,"avail")</f>
        <v>avail</v>
      </c>
      <c r="F4233" t="str">
        <f>_xlfn.XLOOKUP(B4233,'[2]!! -- Stock Universe 12.11.24'!$C$2:$C$1621,'[2]!! -- Stock Universe 12.11.24'!$E$2:$E$1621,"")</f>
        <v>Healthcare</v>
      </c>
    </row>
    <row r="4234" spans="1:6" x14ac:dyDescent="0.25">
      <c r="A4234" s="140">
        <v>45736.291666666664</v>
      </c>
      <c r="B4234" t="s">
        <v>4124</v>
      </c>
      <c r="C4234" t="s">
        <v>4247</v>
      </c>
      <c r="D4234" s="6"/>
      <c r="E4234" t="str">
        <f>_xlfn.XLOOKUP(B4234,'2025-Q1'!$A$402:$A$448,'2025-Q1'!$A$402:$A$448,"avail")</f>
        <v>avail</v>
      </c>
      <c r="F4234" t="str">
        <f>_xlfn.XLOOKUP(B4234,'[2]!! -- Stock Universe 12.11.24'!$C$2:$C$1621,'[2]!! -- Stock Universe 12.11.24'!$E$2:$E$1621,"")</f>
        <v/>
      </c>
    </row>
    <row r="4235" spans="1:6" x14ac:dyDescent="0.25">
      <c r="A4235" s="140">
        <v>45736.291666666664</v>
      </c>
      <c r="B4235" t="s">
        <v>3688</v>
      </c>
      <c r="C4235" t="s">
        <v>4247</v>
      </c>
      <c r="D4235" s="6"/>
      <c r="E4235" t="str">
        <f>_xlfn.XLOOKUP(B4235,'2025-Q1'!$A$402:$A$448,'2025-Q1'!$A$402:$A$448,"avail")</f>
        <v>avail</v>
      </c>
      <c r="F4235" t="str">
        <f>_xlfn.XLOOKUP(B4235,'[2]!! -- Stock Universe 12.11.24'!$C$2:$C$1621,'[2]!! -- Stock Universe 12.11.24'!$E$2:$E$1621,"")</f>
        <v/>
      </c>
    </row>
    <row r="4236" spans="1:6" x14ac:dyDescent="0.25">
      <c r="A4236" s="140">
        <v>45736.291666666664</v>
      </c>
      <c r="B4236" t="s">
        <v>1549</v>
      </c>
      <c r="C4236" t="s">
        <v>4247</v>
      </c>
      <c r="D4236" s="6"/>
      <c r="E4236" t="str">
        <f>_xlfn.XLOOKUP(B4236,'2025-Q1'!$A$402:$A$448,'2025-Q1'!$A$402:$A$448,"avail")</f>
        <v>avail</v>
      </c>
      <c r="F4236" t="str">
        <f>_xlfn.XLOOKUP(B4236,'[2]!! -- Stock Universe 12.11.24'!$C$2:$C$1621,'[2]!! -- Stock Universe 12.11.24'!$E$2:$E$1621,"")</f>
        <v/>
      </c>
    </row>
    <row r="4237" spans="1:6" x14ac:dyDescent="0.25">
      <c r="A4237" s="140">
        <v>45736.291666666664</v>
      </c>
      <c r="B4237" t="s">
        <v>4282</v>
      </c>
      <c r="C4237" t="s">
        <v>4247</v>
      </c>
      <c r="D4237" s="6"/>
      <c r="E4237" t="str">
        <f>_xlfn.XLOOKUP(B4237,'2025-Q1'!$A$402:$A$448,'2025-Q1'!$A$402:$A$448,"avail")</f>
        <v>avail</v>
      </c>
      <c r="F4237" t="str">
        <f>_xlfn.XLOOKUP(B4237,'[2]!! -- Stock Universe 12.11.24'!$C$2:$C$1621,'[2]!! -- Stock Universe 12.11.24'!$E$2:$E$1621,"")</f>
        <v/>
      </c>
    </row>
    <row r="4238" spans="1:6" x14ac:dyDescent="0.25">
      <c r="A4238" s="140">
        <v>45736.291666666664</v>
      </c>
      <c r="B4238" t="s">
        <v>4273</v>
      </c>
      <c r="C4238" t="s">
        <v>4247</v>
      </c>
      <c r="D4238" s="6"/>
      <c r="E4238" t="str">
        <f>_xlfn.XLOOKUP(B4238,'2025-Q1'!$A$402:$A$448,'2025-Q1'!$A$402:$A$448,"avail")</f>
        <v>avail</v>
      </c>
      <c r="F4238" t="str">
        <f>_xlfn.XLOOKUP(B4238,'[2]!! -- Stock Universe 12.11.24'!$C$2:$C$1621,'[2]!! -- Stock Universe 12.11.24'!$E$2:$E$1621,"")</f>
        <v/>
      </c>
    </row>
    <row r="4239" spans="1:6" x14ac:dyDescent="0.25">
      <c r="A4239" s="140">
        <v>45736.291666666664</v>
      </c>
      <c r="B4239" t="s">
        <v>1182</v>
      </c>
      <c r="C4239" t="s">
        <v>4247</v>
      </c>
      <c r="D4239" s="6"/>
      <c r="E4239" t="str">
        <f>_xlfn.XLOOKUP(B4239,'2025-Q1'!$A$402:$A$448,'2025-Q1'!$A$402:$A$448,"avail")</f>
        <v>avail</v>
      </c>
      <c r="F4239" t="str">
        <f>_xlfn.XLOOKUP(B4239,'[2]!! -- Stock Universe 12.11.24'!$C$2:$C$1621,'[2]!! -- Stock Universe 12.11.24'!$E$2:$E$1621,"")</f>
        <v/>
      </c>
    </row>
    <row r="4240" spans="1:6" x14ac:dyDescent="0.25">
      <c r="A4240" s="140">
        <v>45736.291666666664</v>
      </c>
      <c r="B4240" t="s">
        <v>4280</v>
      </c>
      <c r="C4240" t="s">
        <v>4247</v>
      </c>
      <c r="D4240" s="6"/>
      <c r="E4240" t="str">
        <f>_xlfn.XLOOKUP(B4240,'2025-Q1'!$A$402:$A$448,'2025-Q1'!$A$402:$A$448,"avail")</f>
        <v>avail</v>
      </c>
      <c r="F4240" t="str">
        <f>_xlfn.XLOOKUP(B4240,'[2]!! -- Stock Universe 12.11.24'!$C$2:$C$1621,'[2]!! -- Stock Universe 12.11.24'!$E$2:$E$1621,"")</f>
        <v/>
      </c>
    </row>
    <row r="4241" spans="1:6" x14ac:dyDescent="0.25">
      <c r="A4241" s="140">
        <v>45736.291666666664</v>
      </c>
      <c r="B4241" t="s">
        <v>4283</v>
      </c>
      <c r="C4241" t="s">
        <v>4247</v>
      </c>
      <c r="D4241" s="6"/>
      <c r="E4241" t="str">
        <f>_xlfn.XLOOKUP(B4241,'2025-Q1'!$A$402:$A$448,'2025-Q1'!$A$402:$A$448,"avail")</f>
        <v>avail</v>
      </c>
      <c r="F4241" t="str">
        <f>_xlfn.XLOOKUP(B4241,'[2]!! -- Stock Universe 12.11.24'!$C$2:$C$1621,'[2]!! -- Stock Universe 12.11.24'!$E$2:$E$1621,"")</f>
        <v/>
      </c>
    </row>
    <row r="4242" spans="1:6" x14ac:dyDescent="0.25">
      <c r="A4242" s="140">
        <v>45736.291666666664</v>
      </c>
      <c r="B4242" t="s">
        <v>4281</v>
      </c>
      <c r="C4242" t="s">
        <v>4247</v>
      </c>
      <c r="D4242" s="6"/>
      <c r="E4242" t="str">
        <f>_xlfn.XLOOKUP(B4242,'2025-Q1'!$A$402:$A$448,'2025-Q1'!$A$402:$A$448,"avail")</f>
        <v>avail</v>
      </c>
      <c r="F4242" t="str">
        <f>_xlfn.XLOOKUP(B4242,'[2]!! -- Stock Universe 12.11.24'!$C$2:$C$1621,'[2]!! -- Stock Universe 12.11.24'!$E$2:$E$1621,"")</f>
        <v/>
      </c>
    </row>
    <row r="4243" spans="1:6" x14ac:dyDescent="0.25">
      <c r="A4243" s="140">
        <v>45736.291666666664</v>
      </c>
      <c r="B4243" t="s">
        <v>1227</v>
      </c>
      <c r="C4243" t="s">
        <v>4247</v>
      </c>
      <c r="D4243" s="6"/>
      <c r="E4243" t="str">
        <f>_xlfn.XLOOKUP(B4243,'2025-Q1'!$A$402:$A$448,'2025-Q1'!$A$402:$A$448,"avail")</f>
        <v>avail</v>
      </c>
      <c r="F4243" t="str">
        <f>_xlfn.XLOOKUP(B4243,'[2]!! -- Stock Universe 12.11.24'!$C$2:$C$1621,'[2]!! -- Stock Universe 12.11.24'!$E$2:$E$1621,"")</f>
        <v>Consumer Cyclical</v>
      </c>
    </row>
    <row r="4244" spans="1:6" x14ac:dyDescent="0.25">
      <c r="A4244" s="140">
        <v>45736.291666666664</v>
      </c>
      <c r="B4244" t="s">
        <v>4248</v>
      </c>
      <c r="C4244" t="s">
        <v>4249</v>
      </c>
      <c r="D4244" s="6"/>
      <c r="E4244" t="str">
        <f>_xlfn.XLOOKUP(B4244,'2025-Q1'!$A$402:$A$448,'2025-Q1'!$A$402:$A$448,"avail")</f>
        <v>avail</v>
      </c>
      <c r="F4244" t="str">
        <f>_xlfn.XLOOKUP(B4244,'[2]!! -- Stock Universe 12.11.24'!$C$2:$C$1621,'[2]!! -- Stock Universe 12.11.24'!$E$2:$E$1621,"")</f>
        <v/>
      </c>
    </row>
    <row r="4245" spans="1:6" x14ac:dyDescent="0.25">
      <c r="A4245" s="140">
        <v>45736.291666666664</v>
      </c>
      <c r="B4245" t="s">
        <v>4255</v>
      </c>
      <c r="C4245" t="s">
        <v>4247</v>
      </c>
      <c r="D4245" s="6"/>
      <c r="E4245" t="str">
        <f>_xlfn.XLOOKUP(B4245,'2025-Q1'!$A$402:$A$448,'2025-Q1'!$A$402:$A$448,"avail")</f>
        <v>avail</v>
      </c>
      <c r="F4245" t="str">
        <f>_xlfn.XLOOKUP(B4245,'[2]!! -- Stock Universe 12.11.24'!$C$2:$C$1621,'[2]!! -- Stock Universe 12.11.24'!$E$2:$E$1621,"")</f>
        <v/>
      </c>
    </row>
    <row r="4246" spans="1:6" x14ac:dyDescent="0.25">
      <c r="A4246" s="140">
        <v>45736.291666666664</v>
      </c>
      <c r="B4246" t="s">
        <v>1017</v>
      </c>
      <c r="C4246" t="s">
        <v>4247</v>
      </c>
      <c r="D4246" s="6"/>
      <c r="E4246" t="str">
        <f>_xlfn.XLOOKUP(B4246,'2025-Q1'!$A$402:$A$448,'2025-Q1'!$A$402:$A$448,"avail")</f>
        <v>avail</v>
      </c>
      <c r="F4246" t="str">
        <f>_xlfn.XLOOKUP(B4246,'[2]!! -- Stock Universe 12.11.24'!$C$2:$C$1621,'[2]!! -- Stock Universe 12.11.24'!$E$2:$E$1621,"")</f>
        <v/>
      </c>
    </row>
    <row r="4247" spans="1:6" x14ac:dyDescent="0.25">
      <c r="A4247" s="140">
        <v>45736.291666666664</v>
      </c>
      <c r="B4247" t="s">
        <v>4253</v>
      </c>
      <c r="C4247" t="s">
        <v>4247</v>
      </c>
      <c r="D4247" s="6"/>
      <c r="E4247" t="str">
        <f>_xlfn.XLOOKUP(B4247,'2025-Q1'!$A$402:$A$448,'2025-Q1'!$A$402:$A$448,"avail")</f>
        <v>avail</v>
      </c>
      <c r="F4247" t="str">
        <f>_xlfn.XLOOKUP(B4247,'[2]!! -- Stock Universe 12.11.24'!$C$2:$C$1621,'[2]!! -- Stock Universe 12.11.24'!$E$2:$E$1621,"")</f>
        <v/>
      </c>
    </row>
    <row r="4248" spans="1:6" x14ac:dyDescent="0.25">
      <c r="A4248" s="140">
        <v>45736.291666666664</v>
      </c>
      <c r="B4248" t="s">
        <v>1906</v>
      </c>
      <c r="C4248" t="s">
        <v>4247</v>
      </c>
      <c r="D4248" s="6"/>
      <c r="E4248" t="str">
        <f>_xlfn.XLOOKUP(B4248,'2025-Q1'!$A$402:$A$448,'2025-Q1'!$A$402:$A$448,"avail")</f>
        <v>avail</v>
      </c>
      <c r="F4248" t="str">
        <f>_xlfn.XLOOKUP(B4248,'[2]!! -- Stock Universe 12.11.24'!$C$2:$C$1621,'[2]!! -- Stock Universe 12.11.24'!$E$2:$E$1621,"")</f>
        <v>Consumer Cyclical</v>
      </c>
    </row>
    <row r="4249" spans="1:6" x14ac:dyDescent="0.25">
      <c r="A4249" s="140">
        <v>45736.291666666664</v>
      </c>
      <c r="B4249" t="s">
        <v>4260</v>
      </c>
      <c r="C4249" t="s">
        <v>4249</v>
      </c>
      <c r="D4249" s="6"/>
      <c r="E4249" t="str">
        <f>_xlfn.XLOOKUP(B4249,'2025-Q1'!$A$402:$A$448,'2025-Q1'!$A$402:$A$448,"avail")</f>
        <v>avail</v>
      </c>
      <c r="F4249" t="str">
        <f>_xlfn.XLOOKUP(B4249,'[2]!! -- Stock Universe 12.11.24'!$C$2:$C$1621,'[2]!! -- Stock Universe 12.11.24'!$E$2:$E$1621,"")</f>
        <v/>
      </c>
    </row>
    <row r="4250" spans="1:6" x14ac:dyDescent="0.25">
      <c r="A4250" s="140">
        <v>45736.291666666664</v>
      </c>
      <c r="B4250" t="s">
        <v>4257</v>
      </c>
      <c r="C4250" t="s">
        <v>4249</v>
      </c>
      <c r="D4250" s="6"/>
      <c r="E4250" t="str">
        <f>_xlfn.XLOOKUP(B4250,'2025-Q1'!$A$402:$A$448,'2025-Q1'!$A$402:$A$448,"avail")</f>
        <v>avail</v>
      </c>
      <c r="F4250" t="str">
        <f>_xlfn.XLOOKUP(B4250,'[2]!! -- Stock Universe 12.11.24'!$C$2:$C$1621,'[2]!! -- Stock Universe 12.11.24'!$E$2:$E$1621,"")</f>
        <v/>
      </c>
    </row>
    <row r="4251" spans="1:6" x14ac:dyDescent="0.25">
      <c r="A4251" s="140">
        <v>45736.291666666664</v>
      </c>
      <c r="B4251" t="s">
        <v>4267</v>
      </c>
      <c r="C4251" t="s">
        <v>4247</v>
      </c>
      <c r="D4251" s="6"/>
      <c r="E4251" t="str">
        <f>_xlfn.XLOOKUP(B4251,'2025-Q1'!$A$402:$A$448,'2025-Q1'!$A$402:$A$448,"avail")</f>
        <v>avail</v>
      </c>
      <c r="F4251" t="str">
        <f>_xlfn.XLOOKUP(B4251,'[2]!! -- Stock Universe 12.11.24'!$C$2:$C$1621,'[2]!! -- Stock Universe 12.11.24'!$E$2:$E$1621,"")</f>
        <v/>
      </c>
    </row>
    <row r="4252" spans="1:6" x14ac:dyDescent="0.25">
      <c r="A4252" s="140">
        <v>45736.291666666664</v>
      </c>
      <c r="B4252" t="s">
        <v>4263</v>
      </c>
      <c r="C4252" t="s">
        <v>4247</v>
      </c>
      <c r="D4252" s="6"/>
      <c r="E4252" t="str">
        <f>_xlfn.XLOOKUP(B4252,'2025-Q1'!$A$402:$A$448,'2025-Q1'!$A$402:$A$448,"avail")</f>
        <v>avail</v>
      </c>
      <c r="F4252" t="str">
        <f>_xlfn.XLOOKUP(B4252,'[2]!! -- Stock Universe 12.11.24'!$C$2:$C$1621,'[2]!! -- Stock Universe 12.11.24'!$E$2:$E$1621,"")</f>
        <v/>
      </c>
    </row>
    <row r="4253" spans="1:6" x14ac:dyDescent="0.25">
      <c r="A4253" s="140">
        <v>45736.291666666664</v>
      </c>
      <c r="B4253" t="s">
        <v>4270</v>
      </c>
      <c r="C4253" t="s">
        <v>4247</v>
      </c>
      <c r="D4253" s="6"/>
      <c r="E4253" t="str">
        <f>_xlfn.XLOOKUP(B4253,'2025-Q1'!$A$402:$A$448,'2025-Q1'!$A$402:$A$448,"avail")</f>
        <v>avail</v>
      </c>
      <c r="F4253" t="str">
        <f>_xlfn.XLOOKUP(B4253,'[2]!! -- Stock Universe 12.11.24'!$C$2:$C$1621,'[2]!! -- Stock Universe 12.11.24'!$E$2:$E$1621,"")</f>
        <v>Healthcare</v>
      </c>
    </row>
    <row r="4254" spans="1:6" x14ac:dyDescent="0.25">
      <c r="A4254" s="140">
        <v>45736.291666666664</v>
      </c>
      <c r="B4254" t="s">
        <v>4251</v>
      </c>
      <c r="C4254" t="s">
        <v>4247</v>
      </c>
      <c r="D4254" s="6"/>
      <c r="E4254" t="str">
        <f>_xlfn.XLOOKUP(B4254,'2025-Q1'!$A$402:$A$448,'2025-Q1'!$A$402:$A$448,"avail")</f>
        <v>avail</v>
      </c>
      <c r="F4254" t="str">
        <f>_xlfn.XLOOKUP(B4254,'[2]!! -- Stock Universe 12.11.24'!$C$2:$C$1621,'[2]!! -- Stock Universe 12.11.24'!$E$2:$E$1621,"")</f>
        <v/>
      </c>
    </row>
    <row r="4255" spans="1:6" x14ac:dyDescent="0.25">
      <c r="A4255" s="140">
        <v>45736.291666666664</v>
      </c>
      <c r="B4255" t="s">
        <v>4277</v>
      </c>
      <c r="C4255" t="s">
        <v>4247</v>
      </c>
      <c r="D4255" s="6"/>
      <c r="E4255" t="str">
        <f>_xlfn.XLOOKUP(B4255,'2025-Q1'!$A$402:$A$448,'2025-Q1'!$A$402:$A$448,"avail")</f>
        <v>avail</v>
      </c>
      <c r="F4255" t="str">
        <f>_xlfn.XLOOKUP(B4255,'[2]!! -- Stock Universe 12.11.24'!$C$2:$C$1621,'[2]!! -- Stock Universe 12.11.24'!$E$2:$E$1621,"")</f>
        <v/>
      </c>
    </row>
    <row r="4256" spans="1:6" x14ac:dyDescent="0.25">
      <c r="A4256" s="140">
        <v>45736.291666666664</v>
      </c>
      <c r="B4256" t="s">
        <v>4264</v>
      </c>
      <c r="C4256" t="s">
        <v>4249</v>
      </c>
      <c r="D4256" s="6"/>
      <c r="E4256" t="str">
        <f>_xlfn.XLOOKUP(B4256,'2025-Q1'!$A$402:$A$448,'2025-Q1'!$A$402:$A$448,"avail")</f>
        <v>avail</v>
      </c>
      <c r="F4256" t="str">
        <f>_xlfn.XLOOKUP(B4256,'[2]!! -- Stock Universe 12.11.24'!$C$2:$C$1621,'[2]!! -- Stock Universe 12.11.24'!$E$2:$E$1621,"")</f>
        <v/>
      </c>
    </row>
    <row r="4257" spans="1:6" x14ac:dyDescent="0.25">
      <c r="A4257" s="140">
        <v>45736.291666666664</v>
      </c>
      <c r="B4257" t="s">
        <v>1054</v>
      </c>
      <c r="C4257" t="s">
        <v>4247</v>
      </c>
      <c r="D4257" s="6"/>
      <c r="E4257" t="str">
        <f>_xlfn.XLOOKUP(B4257,'2025-Q1'!$A$402:$A$448,'2025-Q1'!$A$402:$A$448,"avail")</f>
        <v>avail</v>
      </c>
      <c r="F4257" t="str">
        <f>_xlfn.XLOOKUP(B4257,'[2]!! -- Stock Universe 12.11.24'!$C$2:$C$1621,'[2]!! -- Stock Universe 12.11.24'!$E$2:$E$1621,"")</f>
        <v>Industrials</v>
      </c>
    </row>
    <row r="4258" spans="1:6" x14ac:dyDescent="0.25">
      <c r="A4258" s="140">
        <v>45736.291666666664</v>
      </c>
      <c r="B4258" t="s">
        <v>918</v>
      </c>
      <c r="C4258" t="s">
        <v>4247</v>
      </c>
      <c r="D4258" s="6"/>
      <c r="E4258" t="str">
        <f>_xlfn.XLOOKUP(B4258,'2025-Q1'!$A$402:$A$448,'2025-Q1'!$A$402:$A$448,"avail")</f>
        <v>avail</v>
      </c>
      <c r="F4258" t="str">
        <f>_xlfn.XLOOKUP(B4258,'[2]!! -- Stock Universe 12.11.24'!$C$2:$C$1621,'[2]!! -- Stock Universe 12.11.24'!$E$2:$E$1621,"")</f>
        <v>Healthcare</v>
      </c>
    </row>
    <row r="4259" spans="1:6" x14ac:dyDescent="0.25">
      <c r="A4259" s="140">
        <v>45736.291666666664</v>
      </c>
      <c r="B4259" t="s">
        <v>4271</v>
      </c>
      <c r="C4259" t="s">
        <v>4247</v>
      </c>
      <c r="D4259" s="6"/>
      <c r="E4259" t="str">
        <f>_xlfn.XLOOKUP(B4259,'2025-Q1'!$A$402:$A$448,'2025-Q1'!$A$402:$A$448,"avail")</f>
        <v>avail</v>
      </c>
      <c r="F4259" t="str">
        <f>_xlfn.XLOOKUP(B4259,'[2]!! -- Stock Universe 12.11.24'!$C$2:$C$1621,'[2]!! -- Stock Universe 12.11.24'!$E$2:$E$1621,"")</f>
        <v/>
      </c>
    </row>
    <row r="4260" spans="1:6" x14ac:dyDescent="0.25">
      <c r="A4260" s="140">
        <v>45736.291666666664</v>
      </c>
      <c r="B4260" t="s">
        <v>4284</v>
      </c>
      <c r="C4260" t="s">
        <v>4247</v>
      </c>
      <c r="D4260" s="6"/>
      <c r="E4260" t="str">
        <f>_xlfn.XLOOKUP(B4260,'2025-Q1'!$A$402:$A$448,'2025-Q1'!$A$402:$A$448,"avail")</f>
        <v>avail</v>
      </c>
      <c r="F4260" t="str">
        <f>_xlfn.XLOOKUP(B4260,'[2]!! -- Stock Universe 12.11.24'!$C$2:$C$1621,'[2]!! -- Stock Universe 12.11.24'!$E$2:$E$1621,"")</f>
        <v/>
      </c>
    </row>
    <row r="4261" spans="1:6" x14ac:dyDescent="0.25">
      <c r="A4261" s="140">
        <v>45736.291666666664</v>
      </c>
      <c r="B4261" t="s">
        <v>1114</v>
      </c>
      <c r="C4261" t="s">
        <v>4247</v>
      </c>
      <c r="D4261" s="6"/>
      <c r="E4261" t="str">
        <f>_xlfn.XLOOKUP(B4261,'2025-Q1'!$A$402:$A$448,'2025-Q1'!$A$402:$A$448,"avail")</f>
        <v>avail</v>
      </c>
      <c r="F4261" t="str">
        <f>_xlfn.XLOOKUP(B4261,'[2]!! -- Stock Universe 12.11.24'!$C$2:$C$1621,'[2]!! -- Stock Universe 12.11.24'!$E$2:$E$1621,"")</f>
        <v/>
      </c>
    </row>
    <row r="4262" spans="1:6" x14ac:dyDescent="0.25">
      <c r="A4262" s="140">
        <v>45736.291666666664</v>
      </c>
      <c r="B4262" t="s">
        <v>1540</v>
      </c>
      <c r="C4262" t="s">
        <v>4247</v>
      </c>
      <c r="D4262" s="6"/>
      <c r="E4262" t="str">
        <f>_xlfn.XLOOKUP(B4262,'2025-Q1'!$A$402:$A$448,'2025-Q1'!$A$402:$A$448,"avail")</f>
        <v>avail</v>
      </c>
      <c r="F4262" t="str">
        <f>_xlfn.XLOOKUP(B4262,'[2]!! -- Stock Universe 12.11.24'!$C$2:$C$1621,'[2]!! -- Stock Universe 12.11.24'!$E$2:$E$1621,"")</f>
        <v>Consumer Cyclical</v>
      </c>
    </row>
    <row r="4263" spans="1:6" x14ac:dyDescent="0.25">
      <c r="A4263" s="140">
        <v>45736.291666666664</v>
      </c>
      <c r="B4263" t="s">
        <v>4256</v>
      </c>
      <c r="C4263" t="s">
        <v>4249</v>
      </c>
      <c r="D4263" s="6"/>
      <c r="E4263" t="str">
        <f>_xlfn.XLOOKUP(B4263,'2025-Q1'!$A$402:$A$448,'2025-Q1'!$A$402:$A$448,"avail")</f>
        <v>avail</v>
      </c>
      <c r="F4263" t="str">
        <f>_xlfn.XLOOKUP(B4263,'[2]!! -- Stock Universe 12.11.24'!$C$2:$C$1621,'[2]!! -- Stock Universe 12.11.24'!$E$2:$E$1621,"")</f>
        <v/>
      </c>
    </row>
    <row r="4264" spans="1:6" x14ac:dyDescent="0.25">
      <c r="A4264" s="140">
        <v>45736.291666666664</v>
      </c>
      <c r="B4264" t="s">
        <v>4272</v>
      </c>
      <c r="C4264" t="s">
        <v>4247</v>
      </c>
      <c r="D4264" s="6"/>
      <c r="E4264" t="str">
        <f>_xlfn.XLOOKUP(B4264,'2025-Q1'!$A$402:$A$448,'2025-Q1'!$A$402:$A$448,"avail")</f>
        <v>avail</v>
      </c>
      <c r="F4264" t="str">
        <f>_xlfn.XLOOKUP(B4264,'[2]!! -- Stock Universe 12.11.24'!$C$2:$C$1621,'[2]!! -- Stock Universe 12.11.24'!$E$2:$E$1621,"")</f>
        <v>Healthcare</v>
      </c>
    </row>
    <row r="4265" spans="1:6" x14ac:dyDescent="0.25">
      <c r="A4265" s="140">
        <v>45736.291666666664</v>
      </c>
      <c r="B4265" t="s">
        <v>4254</v>
      </c>
      <c r="C4265" t="s">
        <v>4247</v>
      </c>
      <c r="D4265" s="6"/>
      <c r="E4265" t="str">
        <f>_xlfn.XLOOKUP(B4265,'2025-Q1'!$A$402:$A$448,'2025-Q1'!$A$402:$A$448,"avail")</f>
        <v>avail</v>
      </c>
      <c r="F4265" t="str">
        <f>_xlfn.XLOOKUP(B4265,'[2]!! -- Stock Universe 12.11.24'!$C$2:$C$1621,'[2]!! -- Stock Universe 12.11.24'!$E$2:$E$1621,"")</f>
        <v/>
      </c>
    </row>
    <row r="4266" spans="1:6" x14ac:dyDescent="0.25">
      <c r="A4266" s="140">
        <v>45736.291666666664</v>
      </c>
      <c r="B4266" t="s">
        <v>1011</v>
      </c>
      <c r="C4266" t="s">
        <v>4247</v>
      </c>
      <c r="D4266" s="6"/>
      <c r="E4266" t="str">
        <f>_xlfn.XLOOKUP(B4266,'2025-Q1'!$A$402:$A$448,'2025-Q1'!$A$402:$A$448,"avail")</f>
        <v>avail</v>
      </c>
      <c r="F4266" t="str">
        <f>_xlfn.XLOOKUP(B4266,'[2]!! -- Stock Universe 12.11.24'!$C$2:$C$1621,'[2]!! -- Stock Universe 12.11.24'!$E$2:$E$1621,"")</f>
        <v>Healthcare</v>
      </c>
    </row>
    <row r="4267" spans="1:6" x14ac:dyDescent="0.25">
      <c r="A4267" s="140">
        <v>45736.291666666664</v>
      </c>
      <c r="B4267" t="s">
        <v>4250</v>
      </c>
      <c r="C4267" t="s">
        <v>4247</v>
      </c>
      <c r="D4267" s="6"/>
      <c r="E4267" t="str">
        <f>_xlfn.XLOOKUP(B4267,'2025-Q1'!$A$402:$A$448,'2025-Q1'!$A$402:$A$448,"avail")</f>
        <v>avail</v>
      </c>
      <c r="F4267" t="str">
        <f>_xlfn.XLOOKUP(B4267,'[2]!! -- Stock Universe 12.11.24'!$C$2:$C$1621,'[2]!! -- Stock Universe 12.11.24'!$E$2:$E$1621,"")</f>
        <v/>
      </c>
    </row>
    <row r="4268" spans="1:6" x14ac:dyDescent="0.25">
      <c r="A4268" s="140">
        <v>45736.291666666664</v>
      </c>
      <c r="B4268" t="s">
        <v>4246</v>
      </c>
      <c r="C4268" t="s">
        <v>4247</v>
      </c>
      <c r="D4268" s="6"/>
      <c r="E4268" t="str">
        <f>_xlfn.XLOOKUP(B4268,'2025-Q1'!$A$402:$A$448,'2025-Q1'!$A$402:$A$448,"avail")</f>
        <v>avail</v>
      </c>
      <c r="F4268" t="str">
        <f>_xlfn.XLOOKUP(B4268,'[2]!! -- Stock Universe 12.11.24'!$C$2:$C$1621,'[2]!! -- Stock Universe 12.11.24'!$E$2:$E$1621,"")</f>
        <v/>
      </c>
    </row>
    <row r="4269" spans="1:6" x14ac:dyDescent="0.25">
      <c r="A4269" s="140">
        <v>45736.291666666664</v>
      </c>
      <c r="B4269" t="s">
        <v>1158</v>
      </c>
      <c r="C4269" t="s">
        <v>4247</v>
      </c>
      <c r="D4269" s="6"/>
      <c r="E4269" t="str">
        <f>_xlfn.XLOOKUP(B4269,'2025-Q1'!$A$402:$A$448,'2025-Q1'!$A$402:$A$448,"avail")</f>
        <v>avail</v>
      </c>
      <c r="F4269" t="str">
        <f>_xlfn.XLOOKUP(B4269,'[2]!! -- Stock Universe 12.11.24'!$C$2:$C$1621,'[2]!! -- Stock Universe 12.11.24'!$E$2:$E$1621,"")</f>
        <v/>
      </c>
    </row>
    <row r="4270" spans="1:6" x14ac:dyDescent="0.25">
      <c r="A4270" s="140">
        <v>45736.291666666664</v>
      </c>
      <c r="B4270" t="s">
        <v>4258</v>
      </c>
      <c r="C4270" t="s">
        <v>4247</v>
      </c>
      <c r="D4270" s="6"/>
      <c r="E4270" t="str">
        <f>_xlfn.XLOOKUP(B4270,'2025-Q1'!$A$402:$A$448,'2025-Q1'!$A$402:$A$448,"avail")</f>
        <v>avail</v>
      </c>
      <c r="F4270" t="str">
        <f>_xlfn.XLOOKUP(B4270,'[2]!! -- Stock Universe 12.11.24'!$C$2:$C$1621,'[2]!! -- Stock Universe 12.11.24'!$E$2:$E$1621,"")</f>
        <v/>
      </c>
    </row>
    <row r="4271" spans="1:6" x14ac:dyDescent="0.25">
      <c r="A4271" s="140">
        <v>45736.291666666664</v>
      </c>
      <c r="B4271" t="s">
        <v>1122</v>
      </c>
      <c r="C4271" t="s">
        <v>4247</v>
      </c>
      <c r="D4271" s="6"/>
      <c r="E4271" t="str">
        <f>_xlfn.XLOOKUP(B4271,'2025-Q1'!$A$402:$A$448,'2025-Q1'!$A$402:$A$448,"avail")</f>
        <v>avail</v>
      </c>
      <c r="F4271" t="str">
        <f>_xlfn.XLOOKUP(B4271,'[2]!! -- Stock Universe 12.11.24'!$C$2:$C$1621,'[2]!! -- Stock Universe 12.11.24'!$E$2:$E$1621,"")</f>
        <v/>
      </c>
    </row>
    <row r="4272" spans="1:6" x14ac:dyDescent="0.25">
      <c r="A4272" s="140">
        <v>45736.291666666664</v>
      </c>
      <c r="B4272" t="s">
        <v>4259</v>
      </c>
      <c r="C4272" t="s">
        <v>4247</v>
      </c>
      <c r="D4272" s="6"/>
      <c r="E4272" t="str">
        <f>_xlfn.XLOOKUP(B4272,'2025-Q1'!$A$402:$A$448,'2025-Q1'!$A$402:$A$448,"avail")</f>
        <v>avail</v>
      </c>
      <c r="F4272" t="str">
        <f>_xlfn.XLOOKUP(B4272,'[2]!! -- Stock Universe 12.11.24'!$C$2:$C$1621,'[2]!! -- Stock Universe 12.11.24'!$E$2:$E$1621,"")</f>
        <v/>
      </c>
    </row>
    <row r="4273" spans="1:6" x14ac:dyDescent="0.25">
      <c r="A4273" s="140">
        <v>45736.625</v>
      </c>
      <c r="B4273" t="s">
        <v>672</v>
      </c>
      <c r="C4273" t="s">
        <v>4286</v>
      </c>
      <c r="D4273" s="6"/>
      <c r="E4273" t="str">
        <f>_xlfn.XLOOKUP(B4273,'2025-Q1'!$A$402:$A$448,'2025-Q1'!$A$402:$A$448,"avail")</f>
        <v>avail</v>
      </c>
      <c r="F4273" t="str">
        <f>_xlfn.XLOOKUP(B4273,'[2]!! -- Stock Universe 12.11.24'!$C$2:$C$1621,'[2]!! -- Stock Universe 12.11.24'!$E$2:$E$1621,"")</f>
        <v/>
      </c>
    </row>
    <row r="4274" spans="1:6" x14ac:dyDescent="0.25">
      <c r="A4274" s="140">
        <v>45736.625</v>
      </c>
      <c r="B4274" t="s">
        <v>4301</v>
      </c>
      <c r="C4274" t="s">
        <v>4286</v>
      </c>
      <c r="D4274" s="6"/>
      <c r="E4274" t="str">
        <f>_xlfn.XLOOKUP(B4274,'2025-Q1'!$A$402:$A$448,'2025-Q1'!$A$402:$A$448,"avail")</f>
        <v>avail</v>
      </c>
      <c r="F4274" t="str">
        <f>_xlfn.XLOOKUP(B4274,'[2]!! -- Stock Universe 12.11.24'!$C$2:$C$1621,'[2]!! -- Stock Universe 12.11.24'!$E$2:$E$1621,"")</f>
        <v/>
      </c>
    </row>
    <row r="4275" spans="1:6" x14ac:dyDescent="0.25">
      <c r="A4275" s="140">
        <v>45736.625</v>
      </c>
      <c r="B4275" t="s">
        <v>4313</v>
      </c>
      <c r="C4275" t="s">
        <v>4286</v>
      </c>
      <c r="D4275" s="6"/>
      <c r="E4275" t="str">
        <f>_xlfn.XLOOKUP(B4275,'2025-Q1'!$A$402:$A$448,'2025-Q1'!$A$402:$A$448,"avail")</f>
        <v>avail</v>
      </c>
      <c r="F4275" t="str">
        <f>_xlfn.XLOOKUP(B4275,'[2]!! -- Stock Universe 12.11.24'!$C$2:$C$1621,'[2]!! -- Stock Universe 12.11.24'!$E$2:$E$1621,"")</f>
        <v/>
      </c>
    </row>
    <row r="4276" spans="1:6" x14ac:dyDescent="0.25">
      <c r="A4276" s="140">
        <v>45736.625</v>
      </c>
      <c r="B4276" t="s">
        <v>1839</v>
      </c>
      <c r="C4276" t="s">
        <v>4286</v>
      </c>
      <c r="D4276" s="6"/>
      <c r="E4276" t="str">
        <f>_xlfn.XLOOKUP(B4276,'2025-Q1'!$A$402:$A$448,'2025-Q1'!$A$402:$A$448,"avail")</f>
        <v>avail</v>
      </c>
      <c r="F4276" t="str">
        <f>_xlfn.XLOOKUP(B4276,'[2]!! -- Stock Universe 12.11.24'!$C$2:$C$1621,'[2]!! -- Stock Universe 12.11.24'!$E$2:$E$1621,"")</f>
        <v/>
      </c>
    </row>
    <row r="4277" spans="1:6" x14ac:dyDescent="0.25">
      <c r="A4277" s="140">
        <v>45736.625</v>
      </c>
      <c r="B4277" t="s">
        <v>1234</v>
      </c>
      <c r="C4277" t="s">
        <v>4286</v>
      </c>
      <c r="D4277" s="6"/>
      <c r="E4277" t="str">
        <f>_xlfn.XLOOKUP(B4277,'2025-Q1'!$A$402:$A$448,'2025-Q1'!$A$402:$A$448,"avail")</f>
        <v>avail</v>
      </c>
      <c r="F4277" t="str">
        <f>_xlfn.XLOOKUP(B4277,'[2]!! -- Stock Universe 12.11.24'!$C$2:$C$1621,'[2]!! -- Stock Universe 12.11.24'!$E$2:$E$1621,"")</f>
        <v>Industrials</v>
      </c>
    </row>
    <row r="4278" spans="1:6" x14ac:dyDescent="0.25">
      <c r="A4278" s="140">
        <v>45736.625</v>
      </c>
      <c r="B4278" t="s">
        <v>4304</v>
      </c>
      <c r="C4278" t="s">
        <v>4286</v>
      </c>
      <c r="D4278" s="6"/>
      <c r="E4278" t="str">
        <f>_xlfn.XLOOKUP(B4278,'2025-Q1'!$A$402:$A$448,'2025-Q1'!$A$402:$A$448,"avail")</f>
        <v>avail</v>
      </c>
      <c r="F4278" t="str">
        <f>_xlfn.XLOOKUP(B4278,'[2]!! -- Stock Universe 12.11.24'!$C$2:$C$1621,'[2]!! -- Stock Universe 12.11.24'!$E$2:$E$1621,"")</f>
        <v/>
      </c>
    </row>
    <row r="4279" spans="1:6" x14ac:dyDescent="0.25">
      <c r="A4279" s="140">
        <v>45736.625</v>
      </c>
      <c r="B4279" t="s">
        <v>4296</v>
      </c>
      <c r="C4279" t="s">
        <v>4286</v>
      </c>
      <c r="D4279" s="6"/>
      <c r="E4279" t="str">
        <f>_xlfn.XLOOKUP(B4279,'2025-Q1'!$A$402:$A$448,'2025-Q1'!$A$402:$A$448,"avail")</f>
        <v>avail</v>
      </c>
      <c r="F4279" t="str">
        <f>_xlfn.XLOOKUP(B4279,'[2]!! -- Stock Universe 12.11.24'!$C$2:$C$1621,'[2]!! -- Stock Universe 12.11.24'!$E$2:$E$1621,"")</f>
        <v/>
      </c>
    </row>
    <row r="4280" spans="1:6" x14ac:dyDescent="0.25">
      <c r="A4280" s="140">
        <v>45736.625</v>
      </c>
      <c r="B4280" t="s">
        <v>4294</v>
      </c>
      <c r="C4280" t="s">
        <v>4286</v>
      </c>
      <c r="D4280" s="6"/>
      <c r="E4280" t="str">
        <f>_xlfn.XLOOKUP(B4280,'2025-Q1'!$A$402:$A$448,'2025-Q1'!$A$402:$A$448,"avail")</f>
        <v>avail</v>
      </c>
      <c r="F4280" t="str">
        <f>_xlfn.XLOOKUP(B4280,'[2]!! -- Stock Universe 12.11.24'!$C$2:$C$1621,'[2]!! -- Stock Universe 12.11.24'!$E$2:$E$1621,"")</f>
        <v/>
      </c>
    </row>
    <row r="4281" spans="1:6" x14ac:dyDescent="0.25">
      <c r="A4281" s="140">
        <v>45736.625</v>
      </c>
      <c r="B4281" t="s">
        <v>4310</v>
      </c>
      <c r="C4281" t="s">
        <v>4286</v>
      </c>
      <c r="D4281" s="6"/>
      <c r="E4281" t="str">
        <f>_xlfn.XLOOKUP(B4281,'2025-Q1'!$A$402:$A$448,'2025-Q1'!$A$402:$A$448,"avail")</f>
        <v>avail</v>
      </c>
      <c r="F4281" t="str">
        <f>_xlfn.XLOOKUP(B4281,'[2]!! -- Stock Universe 12.11.24'!$C$2:$C$1621,'[2]!! -- Stock Universe 12.11.24'!$E$2:$E$1621,"")</f>
        <v/>
      </c>
    </row>
    <row r="4282" spans="1:6" x14ac:dyDescent="0.25">
      <c r="A4282" s="140">
        <v>45736.625</v>
      </c>
      <c r="B4282" t="s">
        <v>4308</v>
      </c>
      <c r="C4282" t="s">
        <v>4286</v>
      </c>
      <c r="D4282" s="6"/>
      <c r="E4282" t="str">
        <f>_xlfn.XLOOKUP(B4282,'2025-Q1'!$A$402:$A$448,'2025-Q1'!$A$402:$A$448,"avail")</f>
        <v>avail</v>
      </c>
      <c r="F4282" t="str">
        <f>_xlfn.XLOOKUP(B4282,'[2]!! -- Stock Universe 12.11.24'!$C$2:$C$1621,'[2]!! -- Stock Universe 12.11.24'!$E$2:$E$1621,"")</f>
        <v>Technology</v>
      </c>
    </row>
    <row r="4283" spans="1:6" x14ac:dyDescent="0.25">
      <c r="A4283" s="140">
        <v>45736.625</v>
      </c>
      <c r="B4283" t="s">
        <v>4307</v>
      </c>
      <c r="C4283" t="s">
        <v>4286</v>
      </c>
      <c r="D4283" s="6"/>
      <c r="E4283" t="str">
        <f>_xlfn.XLOOKUP(B4283,'2025-Q1'!$A$402:$A$448,'2025-Q1'!$A$402:$A$448,"avail")</f>
        <v>avail</v>
      </c>
      <c r="F4283" t="str">
        <f>_xlfn.XLOOKUP(B4283,'[2]!! -- Stock Universe 12.11.24'!$C$2:$C$1621,'[2]!! -- Stock Universe 12.11.24'!$E$2:$E$1621,"")</f>
        <v/>
      </c>
    </row>
    <row r="4284" spans="1:6" x14ac:dyDescent="0.25">
      <c r="A4284" s="140">
        <v>45736.625</v>
      </c>
      <c r="B4284" t="s">
        <v>4319</v>
      </c>
      <c r="C4284" t="s">
        <v>4286</v>
      </c>
      <c r="D4284" s="6"/>
      <c r="E4284" t="str">
        <f>_xlfn.XLOOKUP(B4284,'2025-Q1'!$A$402:$A$448,'2025-Q1'!$A$402:$A$448,"avail")</f>
        <v>avail</v>
      </c>
      <c r="F4284" t="str">
        <f>_xlfn.XLOOKUP(B4284,'[2]!! -- Stock Universe 12.11.24'!$C$2:$C$1621,'[2]!! -- Stock Universe 12.11.24'!$E$2:$E$1621,"")</f>
        <v/>
      </c>
    </row>
    <row r="4285" spans="1:6" x14ac:dyDescent="0.25">
      <c r="A4285" s="140">
        <v>45736.625</v>
      </c>
      <c r="B4285" t="s">
        <v>4314</v>
      </c>
      <c r="C4285" t="s">
        <v>4286</v>
      </c>
      <c r="D4285" s="6"/>
      <c r="E4285" t="str">
        <f>_xlfn.XLOOKUP(B4285,'2025-Q1'!$A$402:$A$448,'2025-Q1'!$A$402:$A$448,"avail")</f>
        <v>avail</v>
      </c>
      <c r="F4285" t="str">
        <f>_xlfn.XLOOKUP(B4285,'[2]!! -- Stock Universe 12.11.24'!$C$2:$C$1621,'[2]!! -- Stock Universe 12.11.24'!$E$2:$E$1621,"")</f>
        <v/>
      </c>
    </row>
    <row r="4286" spans="1:6" x14ac:dyDescent="0.25">
      <c r="A4286" s="140">
        <v>45736.625</v>
      </c>
      <c r="B4286" t="s">
        <v>4290</v>
      </c>
      <c r="C4286" t="s">
        <v>4286</v>
      </c>
      <c r="D4286" s="6"/>
      <c r="E4286" t="str">
        <f>_xlfn.XLOOKUP(B4286,'2025-Q1'!$A$402:$A$448,'2025-Q1'!$A$402:$A$448,"avail")</f>
        <v>avail</v>
      </c>
      <c r="F4286" t="str">
        <f>_xlfn.XLOOKUP(B4286,'[2]!! -- Stock Universe 12.11.24'!$C$2:$C$1621,'[2]!! -- Stock Universe 12.11.24'!$E$2:$E$1621,"")</f>
        <v/>
      </c>
    </row>
    <row r="4287" spans="1:6" x14ac:dyDescent="0.25">
      <c r="A4287" s="140">
        <v>45736.625</v>
      </c>
      <c r="B4287" t="s">
        <v>1346</v>
      </c>
      <c r="C4287" t="s">
        <v>4286</v>
      </c>
      <c r="D4287" s="6"/>
      <c r="E4287" t="str">
        <f>_xlfn.XLOOKUP(B4287,'2025-Q1'!$A$402:$A$448,'2025-Q1'!$A$402:$A$448,"avail")</f>
        <v>NKE</v>
      </c>
      <c r="F4287" t="str">
        <f>_xlfn.XLOOKUP(B4287,'[2]!! -- Stock Universe 12.11.24'!$C$2:$C$1621,'[2]!! -- Stock Universe 12.11.24'!$E$2:$E$1621,"")</f>
        <v>Consumer Cyclical</v>
      </c>
    </row>
    <row r="4288" spans="1:6" x14ac:dyDescent="0.25">
      <c r="A4288" s="140">
        <v>45736.625</v>
      </c>
      <c r="B4288" t="s">
        <v>4293</v>
      </c>
      <c r="C4288" t="s">
        <v>4286</v>
      </c>
      <c r="D4288" s="6"/>
      <c r="E4288" t="str">
        <f>_xlfn.XLOOKUP(B4288,'2025-Q1'!$A$402:$A$448,'2025-Q1'!$A$402:$A$448,"avail")</f>
        <v>avail</v>
      </c>
      <c r="F4288" t="str">
        <f>_xlfn.XLOOKUP(B4288,'[2]!! -- Stock Universe 12.11.24'!$C$2:$C$1621,'[2]!! -- Stock Universe 12.11.24'!$E$2:$E$1621,"")</f>
        <v/>
      </c>
    </row>
    <row r="4289" spans="1:6" x14ac:dyDescent="0.25">
      <c r="A4289" s="140">
        <v>45736.625</v>
      </c>
      <c r="B4289" t="s">
        <v>1421</v>
      </c>
      <c r="C4289" t="s">
        <v>4286</v>
      </c>
      <c r="D4289" s="6"/>
      <c r="E4289" t="str">
        <f>_xlfn.XLOOKUP(B4289,'2025-Q1'!$A$402:$A$448,'2025-Q1'!$A$402:$A$448,"avail")</f>
        <v>LEN</v>
      </c>
      <c r="F4289" t="str">
        <f>_xlfn.XLOOKUP(B4289,'[2]!! -- Stock Universe 12.11.24'!$C$2:$C$1621,'[2]!! -- Stock Universe 12.11.24'!$E$2:$E$1621,"")</f>
        <v>Consumer Cyclical</v>
      </c>
    </row>
    <row r="4290" spans="1:6" x14ac:dyDescent="0.25">
      <c r="A4290" s="140">
        <v>45736.625</v>
      </c>
      <c r="B4290" t="s">
        <v>3869</v>
      </c>
      <c r="C4290" t="s">
        <v>4286</v>
      </c>
      <c r="D4290" s="6"/>
      <c r="E4290" t="str">
        <f>_xlfn.XLOOKUP(B4290,'2025-Q1'!$A$402:$A$448,'2025-Q1'!$A$402:$A$448,"avail")</f>
        <v>avail</v>
      </c>
      <c r="F4290" t="str">
        <f>_xlfn.XLOOKUP(B4290,'[2]!! -- Stock Universe 12.11.24'!$C$2:$C$1621,'[2]!! -- Stock Universe 12.11.24'!$E$2:$E$1621,"")</f>
        <v>Consumer Defensive</v>
      </c>
    </row>
    <row r="4291" spans="1:6" x14ac:dyDescent="0.25">
      <c r="A4291" s="140">
        <v>45736.625</v>
      </c>
      <c r="B4291" t="s">
        <v>1242</v>
      </c>
      <c r="C4291" t="s">
        <v>4286</v>
      </c>
      <c r="D4291" s="6"/>
      <c r="E4291" t="str">
        <f>_xlfn.XLOOKUP(B4291,'2025-Q1'!$A$402:$A$448,'2025-Q1'!$A$402:$A$448,"avail")</f>
        <v>avail</v>
      </c>
      <c r="F4291" t="str">
        <f>_xlfn.XLOOKUP(B4291,'[2]!! -- Stock Universe 12.11.24'!$C$2:$C$1621,'[2]!! -- Stock Universe 12.11.24'!$E$2:$E$1621,"")</f>
        <v/>
      </c>
    </row>
    <row r="4292" spans="1:6" x14ac:dyDescent="0.25">
      <c r="A4292" s="140">
        <v>45736.625</v>
      </c>
      <c r="B4292" t="s">
        <v>1071</v>
      </c>
      <c r="C4292" t="s">
        <v>4286</v>
      </c>
      <c r="D4292" s="6"/>
      <c r="E4292" t="str">
        <f>_xlfn.XLOOKUP(B4292,'2025-Q1'!$A$402:$A$448,'2025-Q1'!$A$402:$A$448,"avail")</f>
        <v>avail</v>
      </c>
      <c r="F4292" t="str">
        <f>_xlfn.XLOOKUP(B4292,'[2]!! -- Stock Universe 12.11.24'!$C$2:$C$1621,'[2]!! -- Stock Universe 12.11.24'!$E$2:$E$1621,"")</f>
        <v>Consumer Cyclical</v>
      </c>
    </row>
    <row r="4293" spans="1:6" x14ac:dyDescent="0.25">
      <c r="A4293" s="140">
        <v>45736.625</v>
      </c>
      <c r="B4293" t="s">
        <v>4289</v>
      </c>
      <c r="C4293" t="s">
        <v>4286</v>
      </c>
      <c r="D4293" s="6"/>
      <c r="E4293" t="str">
        <f>_xlfn.XLOOKUP(B4293,'2025-Q1'!$A$402:$A$448,'2025-Q1'!$A$402:$A$448,"avail")</f>
        <v>avail</v>
      </c>
      <c r="F4293" t="str">
        <f>_xlfn.XLOOKUP(B4293,'[2]!! -- Stock Universe 12.11.24'!$C$2:$C$1621,'[2]!! -- Stock Universe 12.11.24'!$E$2:$E$1621,"")</f>
        <v>Healthcare</v>
      </c>
    </row>
    <row r="4294" spans="1:6" x14ac:dyDescent="0.25">
      <c r="A4294" s="140">
        <v>45736.625</v>
      </c>
      <c r="B4294" t="s">
        <v>677</v>
      </c>
      <c r="C4294" t="s">
        <v>4286</v>
      </c>
      <c r="D4294" s="6"/>
      <c r="E4294" t="str">
        <f>_xlfn.XLOOKUP(B4294,'2025-Q1'!$A$402:$A$448,'2025-Q1'!$A$402:$A$448,"avail")</f>
        <v>avail</v>
      </c>
      <c r="F4294" t="str">
        <f>_xlfn.XLOOKUP(B4294,'[2]!! -- Stock Universe 12.11.24'!$C$2:$C$1621,'[2]!! -- Stock Universe 12.11.24'!$E$2:$E$1621,"")</f>
        <v>Healthcare</v>
      </c>
    </row>
    <row r="4295" spans="1:6" x14ac:dyDescent="0.25">
      <c r="A4295" s="140">
        <v>45736.625</v>
      </c>
      <c r="B4295" t="s">
        <v>1382</v>
      </c>
      <c r="C4295" t="s">
        <v>4286</v>
      </c>
      <c r="D4295" s="6"/>
      <c r="E4295" t="str">
        <f>_xlfn.XLOOKUP(B4295,'2025-Q1'!$A$402:$A$448,'2025-Q1'!$A$402:$A$448,"avail")</f>
        <v>avail</v>
      </c>
      <c r="F4295" t="str">
        <f>_xlfn.XLOOKUP(B4295,'[2]!! -- Stock Universe 12.11.24'!$C$2:$C$1621,'[2]!! -- Stock Universe 12.11.24'!$E$2:$E$1621,"")</f>
        <v>Industrials</v>
      </c>
    </row>
    <row r="4296" spans="1:6" x14ac:dyDescent="0.25">
      <c r="A4296" s="140">
        <v>45736.625</v>
      </c>
      <c r="B4296" t="s">
        <v>4303</v>
      </c>
      <c r="C4296" t="s">
        <v>4286</v>
      </c>
      <c r="D4296" s="6"/>
      <c r="E4296" t="str">
        <f>_xlfn.XLOOKUP(B4296,'2025-Q1'!$A$402:$A$448,'2025-Q1'!$A$402:$A$448,"avail")</f>
        <v>avail</v>
      </c>
      <c r="F4296" t="str">
        <f>_xlfn.XLOOKUP(B4296,'[2]!! -- Stock Universe 12.11.24'!$C$2:$C$1621,'[2]!! -- Stock Universe 12.11.24'!$E$2:$E$1621,"")</f>
        <v>Healthcare</v>
      </c>
    </row>
    <row r="4297" spans="1:6" x14ac:dyDescent="0.25">
      <c r="A4297" s="140">
        <v>45736.625</v>
      </c>
      <c r="B4297" t="s">
        <v>4295</v>
      </c>
      <c r="C4297" t="s">
        <v>4286</v>
      </c>
      <c r="D4297" s="6"/>
      <c r="E4297" t="str">
        <f>_xlfn.XLOOKUP(B4297,'2025-Q1'!$A$402:$A$448,'2025-Q1'!$A$402:$A$448,"avail")</f>
        <v>avail</v>
      </c>
      <c r="F4297" t="str">
        <f>_xlfn.XLOOKUP(B4297,'[2]!! -- Stock Universe 12.11.24'!$C$2:$C$1621,'[2]!! -- Stock Universe 12.11.24'!$E$2:$E$1621,"")</f>
        <v/>
      </c>
    </row>
    <row r="4298" spans="1:6" x14ac:dyDescent="0.25">
      <c r="A4298" s="140">
        <v>45736.625</v>
      </c>
      <c r="B4298" t="s">
        <v>4291</v>
      </c>
      <c r="C4298" t="s">
        <v>4286</v>
      </c>
      <c r="D4298" s="6"/>
      <c r="E4298" t="str">
        <f>_xlfn.XLOOKUP(B4298,'2025-Q1'!$A$402:$A$448,'2025-Q1'!$A$402:$A$448,"avail")</f>
        <v>avail</v>
      </c>
      <c r="F4298" t="str">
        <f>_xlfn.XLOOKUP(B4298,'[2]!! -- Stock Universe 12.11.24'!$C$2:$C$1621,'[2]!! -- Stock Universe 12.11.24'!$E$2:$E$1621,"")</f>
        <v/>
      </c>
    </row>
    <row r="4299" spans="1:6" x14ac:dyDescent="0.25">
      <c r="A4299" s="140">
        <v>45736.625</v>
      </c>
      <c r="B4299" t="s">
        <v>4309</v>
      </c>
      <c r="C4299" t="s">
        <v>4286</v>
      </c>
      <c r="D4299" s="6"/>
      <c r="E4299" t="str">
        <f>_xlfn.XLOOKUP(B4299,'2025-Q1'!$A$402:$A$448,'2025-Q1'!$A$402:$A$448,"avail")</f>
        <v>avail</v>
      </c>
      <c r="F4299" t="str">
        <f>_xlfn.XLOOKUP(B4299,'[2]!! -- Stock Universe 12.11.24'!$C$2:$C$1621,'[2]!! -- Stock Universe 12.11.24'!$E$2:$E$1621,"")</f>
        <v/>
      </c>
    </row>
    <row r="4300" spans="1:6" x14ac:dyDescent="0.25">
      <c r="A4300" s="140">
        <v>45736.625</v>
      </c>
      <c r="B4300" t="s">
        <v>4315</v>
      </c>
      <c r="C4300" t="s">
        <v>4286</v>
      </c>
      <c r="D4300" s="6"/>
      <c r="E4300" t="str">
        <f>_xlfn.XLOOKUP(B4300,'2025-Q1'!$A$402:$A$448,'2025-Q1'!$A$402:$A$448,"avail")</f>
        <v>avail</v>
      </c>
      <c r="F4300" t="str">
        <f>_xlfn.XLOOKUP(B4300,'[2]!! -- Stock Universe 12.11.24'!$C$2:$C$1621,'[2]!! -- Stock Universe 12.11.24'!$E$2:$E$1621,"")</f>
        <v/>
      </c>
    </row>
    <row r="4301" spans="1:6" x14ac:dyDescent="0.25">
      <c r="A4301" s="140">
        <v>45736.625</v>
      </c>
      <c r="B4301" t="s">
        <v>4305</v>
      </c>
      <c r="C4301" t="s">
        <v>4286</v>
      </c>
      <c r="D4301" s="6"/>
      <c r="E4301" t="str">
        <f>_xlfn.XLOOKUP(B4301,'2025-Q1'!$A$402:$A$448,'2025-Q1'!$A$402:$A$448,"avail")</f>
        <v>avail</v>
      </c>
      <c r="F4301" t="str">
        <f>_xlfn.XLOOKUP(B4301,'[2]!! -- Stock Universe 12.11.24'!$C$2:$C$1621,'[2]!! -- Stock Universe 12.11.24'!$E$2:$E$1621,"")</f>
        <v/>
      </c>
    </row>
    <row r="4302" spans="1:6" x14ac:dyDescent="0.25">
      <c r="A4302" s="140">
        <v>45736.625</v>
      </c>
      <c r="B4302" t="s">
        <v>3836</v>
      </c>
      <c r="C4302" t="s">
        <v>4286</v>
      </c>
      <c r="D4302" s="6"/>
      <c r="E4302" t="str">
        <f>_xlfn.XLOOKUP(B4302,'2025-Q1'!$A$402:$A$448,'2025-Q1'!$A$402:$A$448,"avail")</f>
        <v>avail</v>
      </c>
      <c r="F4302" t="str">
        <f>_xlfn.XLOOKUP(B4302,'[2]!! -- Stock Universe 12.11.24'!$C$2:$C$1621,'[2]!! -- Stock Universe 12.11.24'!$E$2:$E$1621,"")</f>
        <v/>
      </c>
    </row>
    <row r="4303" spans="1:6" x14ac:dyDescent="0.25">
      <c r="A4303" s="140">
        <v>45736.625</v>
      </c>
      <c r="B4303" t="s">
        <v>4316</v>
      </c>
      <c r="C4303" t="s">
        <v>4286</v>
      </c>
      <c r="D4303" s="6"/>
      <c r="E4303" t="str">
        <f>_xlfn.XLOOKUP(B4303,'2025-Q1'!$A$402:$A$448,'2025-Q1'!$A$402:$A$448,"avail")</f>
        <v>avail</v>
      </c>
      <c r="F4303" t="str">
        <f>_xlfn.XLOOKUP(B4303,'[2]!! -- Stock Universe 12.11.24'!$C$2:$C$1621,'[2]!! -- Stock Universe 12.11.24'!$E$2:$E$1621,"")</f>
        <v/>
      </c>
    </row>
    <row r="4304" spans="1:6" x14ac:dyDescent="0.25">
      <c r="A4304" s="140">
        <v>45736.625</v>
      </c>
      <c r="B4304" t="s">
        <v>4288</v>
      </c>
      <c r="C4304" t="s">
        <v>4286</v>
      </c>
      <c r="D4304" s="6"/>
      <c r="E4304" t="str">
        <f>_xlfn.XLOOKUP(B4304,'2025-Q1'!$A$402:$A$448,'2025-Q1'!$A$402:$A$448,"avail")</f>
        <v>avail</v>
      </c>
      <c r="F4304" t="str">
        <f>_xlfn.XLOOKUP(B4304,'[2]!! -- Stock Universe 12.11.24'!$C$2:$C$1621,'[2]!! -- Stock Universe 12.11.24'!$E$2:$E$1621,"")</f>
        <v/>
      </c>
    </row>
    <row r="4305" spans="1:6" x14ac:dyDescent="0.25">
      <c r="A4305" s="140">
        <v>45736.625</v>
      </c>
      <c r="B4305" t="s">
        <v>1061</v>
      </c>
      <c r="C4305" t="s">
        <v>4286</v>
      </c>
      <c r="D4305" s="6"/>
      <c r="E4305" t="str">
        <f>_xlfn.XLOOKUP(B4305,'2025-Q1'!$A$402:$A$448,'2025-Q1'!$A$402:$A$448,"avail")</f>
        <v>avail</v>
      </c>
      <c r="F4305" t="str">
        <f>_xlfn.XLOOKUP(B4305,'[2]!! -- Stock Universe 12.11.24'!$C$2:$C$1621,'[2]!! -- Stock Universe 12.11.24'!$E$2:$E$1621,"")</f>
        <v/>
      </c>
    </row>
    <row r="4306" spans="1:6" x14ac:dyDescent="0.25">
      <c r="A4306" s="140">
        <v>45736.625</v>
      </c>
      <c r="B4306" t="s">
        <v>4287</v>
      </c>
      <c r="C4306" t="s">
        <v>4286</v>
      </c>
      <c r="D4306" s="6"/>
      <c r="E4306" t="str">
        <f>_xlfn.XLOOKUP(B4306,'2025-Q1'!$A$402:$A$448,'2025-Q1'!$A$402:$A$448,"avail")</f>
        <v>avail</v>
      </c>
      <c r="F4306" t="str">
        <f>_xlfn.XLOOKUP(B4306,'[2]!! -- Stock Universe 12.11.24'!$C$2:$C$1621,'[2]!! -- Stock Universe 12.11.24'!$E$2:$E$1621,"")</f>
        <v/>
      </c>
    </row>
    <row r="4307" spans="1:6" x14ac:dyDescent="0.25">
      <c r="A4307" s="140">
        <v>45736.625</v>
      </c>
      <c r="B4307" t="s">
        <v>4311</v>
      </c>
      <c r="C4307" t="s">
        <v>4286</v>
      </c>
      <c r="D4307" s="6"/>
      <c r="E4307" t="str">
        <f>_xlfn.XLOOKUP(B4307,'2025-Q1'!$A$402:$A$448,'2025-Q1'!$A$402:$A$448,"avail")</f>
        <v>avail</v>
      </c>
      <c r="F4307" t="str">
        <f>_xlfn.XLOOKUP(B4307,'[2]!! -- Stock Universe 12.11.24'!$C$2:$C$1621,'[2]!! -- Stock Universe 12.11.24'!$E$2:$E$1621,"")</f>
        <v/>
      </c>
    </row>
    <row r="4308" spans="1:6" x14ac:dyDescent="0.25">
      <c r="A4308" s="140">
        <v>45736.625</v>
      </c>
      <c r="B4308" t="s">
        <v>4317</v>
      </c>
      <c r="C4308" t="s">
        <v>4286</v>
      </c>
      <c r="D4308" s="6"/>
      <c r="E4308" t="str">
        <f>_xlfn.XLOOKUP(B4308,'2025-Q1'!$A$402:$A$448,'2025-Q1'!$A$402:$A$448,"avail")</f>
        <v>avail</v>
      </c>
      <c r="F4308" t="str">
        <f>_xlfn.XLOOKUP(B4308,'[2]!! -- Stock Universe 12.11.24'!$C$2:$C$1621,'[2]!! -- Stock Universe 12.11.24'!$E$2:$E$1621,"")</f>
        <v/>
      </c>
    </row>
    <row r="4309" spans="1:6" x14ac:dyDescent="0.25">
      <c r="A4309" s="140">
        <v>45736.625</v>
      </c>
      <c r="B4309" t="s">
        <v>4312</v>
      </c>
      <c r="C4309" t="s">
        <v>4286</v>
      </c>
      <c r="D4309" s="6"/>
      <c r="E4309" t="str">
        <f>_xlfn.XLOOKUP(B4309,'2025-Q1'!$A$402:$A$448,'2025-Q1'!$A$402:$A$448,"avail")</f>
        <v>avail</v>
      </c>
      <c r="F4309" t="str">
        <f>_xlfn.XLOOKUP(B4309,'[2]!! -- Stock Universe 12.11.24'!$C$2:$C$1621,'[2]!! -- Stock Universe 12.11.24'!$E$2:$E$1621,"")</f>
        <v/>
      </c>
    </row>
    <row r="4310" spans="1:6" x14ac:dyDescent="0.25">
      <c r="A4310" s="140">
        <v>45736.625</v>
      </c>
      <c r="B4310" t="s">
        <v>965</v>
      </c>
      <c r="C4310" t="s">
        <v>4286</v>
      </c>
      <c r="D4310" s="6"/>
      <c r="E4310" t="str">
        <f>_xlfn.XLOOKUP(B4310,'2025-Q1'!$A$402:$A$448,'2025-Q1'!$A$402:$A$448,"avail")</f>
        <v>avail</v>
      </c>
      <c r="F4310" t="str">
        <f>_xlfn.XLOOKUP(B4310,'[2]!! -- Stock Universe 12.11.24'!$C$2:$C$1621,'[2]!! -- Stock Universe 12.11.24'!$E$2:$E$1621,"")</f>
        <v/>
      </c>
    </row>
    <row r="4311" spans="1:6" x14ac:dyDescent="0.25">
      <c r="A4311" s="140">
        <v>45736.625</v>
      </c>
      <c r="B4311" t="s">
        <v>1030</v>
      </c>
      <c r="C4311" t="s">
        <v>4286</v>
      </c>
      <c r="D4311" s="6"/>
      <c r="E4311" t="str">
        <f>_xlfn.XLOOKUP(B4311,'2025-Q1'!$A$402:$A$448,'2025-Q1'!$A$402:$A$448,"avail")</f>
        <v>avail</v>
      </c>
      <c r="F4311" t="str">
        <f>_xlfn.XLOOKUP(B4311,'[2]!! -- Stock Universe 12.11.24'!$C$2:$C$1621,'[2]!! -- Stock Universe 12.11.24'!$E$2:$E$1621,"")</f>
        <v/>
      </c>
    </row>
    <row r="4312" spans="1:6" x14ac:dyDescent="0.25">
      <c r="A4312" s="140">
        <v>45736.625</v>
      </c>
      <c r="B4312" t="s">
        <v>1347</v>
      </c>
      <c r="C4312" t="s">
        <v>4286</v>
      </c>
      <c r="D4312" s="6"/>
      <c r="E4312" t="str">
        <f>_xlfn.XLOOKUP(B4312,'2025-Q1'!$A$402:$A$448,'2025-Q1'!$A$402:$A$448,"avail")</f>
        <v>MU</v>
      </c>
      <c r="F4312" t="str">
        <f>_xlfn.XLOOKUP(B4312,'[2]!! -- Stock Universe 12.11.24'!$C$2:$C$1621,'[2]!! -- Stock Universe 12.11.24'!$E$2:$E$1621,"")</f>
        <v>Technology</v>
      </c>
    </row>
    <row r="4313" spans="1:6" x14ac:dyDescent="0.25">
      <c r="A4313" s="140">
        <v>45736.625</v>
      </c>
      <c r="B4313" t="s">
        <v>4302</v>
      </c>
      <c r="C4313" t="s">
        <v>4286</v>
      </c>
      <c r="D4313" s="6"/>
      <c r="E4313" t="str">
        <f>_xlfn.XLOOKUP(B4313,'2025-Q1'!$A$402:$A$448,'2025-Q1'!$A$402:$A$448,"avail")</f>
        <v>avail</v>
      </c>
      <c r="F4313" t="str">
        <f>_xlfn.XLOOKUP(B4313,'[2]!! -- Stock Universe 12.11.24'!$C$2:$C$1621,'[2]!! -- Stock Universe 12.11.24'!$E$2:$E$1621,"")</f>
        <v/>
      </c>
    </row>
    <row r="4314" spans="1:6" x14ac:dyDescent="0.25">
      <c r="A4314" s="140">
        <v>45736.625</v>
      </c>
      <c r="B4314" t="s">
        <v>4297</v>
      </c>
      <c r="C4314" t="s">
        <v>4286</v>
      </c>
      <c r="D4314" s="6"/>
      <c r="E4314" t="str">
        <f>_xlfn.XLOOKUP(B4314,'2025-Q1'!$A$402:$A$448,'2025-Q1'!$A$402:$A$448,"avail")</f>
        <v>avail</v>
      </c>
      <c r="F4314" t="str">
        <f>_xlfn.XLOOKUP(B4314,'[2]!! -- Stock Universe 12.11.24'!$C$2:$C$1621,'[2]!! -- Stock Universe 12.11.24'!$E$2:$E$1621,"")</f>
        <v/>
      </c>
    </row>
    <row r="4315" spans="1:6" x14ac:dyDescent="0.25">
      <c r="A4315" s="140">
        <v>45736.625</v>
      </c>
      <c r="B4315" t="s">
        <v>4300</v>
      </c>
      <c r="C4315" t="s">
        <v>4286</v>
      </c>
      <c r="D4315" s="6"/>
      <c r="E4315" t="str">
        <f>_xlfn.XLOOKUP(B4315,'2025-Q1'!$A$402:$A$448,'2025-Q1'!$A$402:$A$448,"avail")</f>
        <v>avail</v>
      </c>
      <c r="F4315" t="str">
        <f>_xlfn.XLOOKUP(B4315,'[2]!! -- Stock Universe 12.11.24'!$C$2:$C$1621,'[2]!! -- Stock Universe 12.11.24'!$E$2:$E$1621,"")</f>
        <v>Industrials</v>
      </c>
    </row>
    <row r="4316" spans="1:6" x14ac:dyDescent="0.25">
      <c r="A4316" s="140">
        <v>45736.625</v>
      </c>
      <c r="B4316" t="s">
        <v>4298</v>
      </c>
      <c r="C4316" t="s">
        <v>4286</v>
      </c>
      <c r="D4316" s="6"/>
      <c r="E4316" t="str">
        <f>_xlfn.XLOOKUP(B4316,'2025-Q1'!$A$402:$A$448,'2025-Q1'!$A$402:$A$448,"avail")</f>
        <v>avail</v>
      </c>
      <c r="F4316" t="str">
        <f>_xlfn.XLOOKUP(B4316,'[2]!! -- Stock Universe 12.11.24'!$C$2:$C$1621,'[2]!! -- Stock Universe 12.11.24'!$E$2:$E$1621,"")</f>
        <v/>
      </c>
    </row>
    <row r="4317" spans="1:6" x14ac:dyDescent="0.25">
      <c r="A4317" s="140">
        <v>45736.625</v>
      </c>
      <c r="B4317" t="s">
        <v>733</v>
      </c>
      <c r="C4317" t="s">
        <v>4286</v>
      </c>
      <c r="D4317" s="6"/>
      <c r="E4317" t="str">
        <f>_xlfn.XLOOKUP(B4317,'2025-Q1'!$A$402:$A$448,'2025-Q1'!$A$402:$A$448,"avail")</f>
        <v>avail</v>
      </c>
      <c r="F4317" t="str">
        <f>_xlfn.XLOOKUP(B4317,'[2]!! -- Stock Universe 12.11.24'!$C$2:$C$1621,'[2]!! -- Stock Universe 12.11.24'!$E$2:$E$1621,"")</f>
        <v>Technology</v>
      </c>
    </row>
    <row r="4318" spans="1:6" x14ac:dyDescent="0.25">
      <c r="A4318" s="140">
        <v>45736.625</v>
      </c>
      <c r="B4318" t="s">
        <v>4299</v>
      </c>
      <c r="C4318" t="s">
        <v>4286</v>
      </c>
      <c r="D4318" s="6"/>
      <c r="E4318" t="str">
        <f>_xlfn.XLOOKUP(B4318,'2025-Q1'!$A$402:$A$448,'2025-Q1'!$A$402:$A$448,"avail")</f>
        <v>avail</v>
      </c>
      <c r="F4318" t="str">
        <f>_xlfn.XLOOKUP(B4318,'[2]!! -- Stock Universe 12.11.24'!$C$2:$C$1621,'[2]!! -- Stock Universe 12.11.24'!$E$2:$E$1621,"")</f>
        <v/>
      </c>
    </row>
    <row r="4319" spans="1:6" x14ac:dyDescent="0.25">
      <c r="A4319" s="140">
        <v>45737.291666666664</v>
      </c>
      <c r="B4319" t="s">
        <v>4324</v>
      </c>
      <c r="C4319" t="s">
        <v>4323</v>
      </c>
      <c r="D4319" s="6"/>
      <c r="E4319" t="str">
        <f>_xlfn.XLOOKUP(B4319,'2025-Q1'!$A$402:$A$448,'2025-Q1'!$A$402:$A$448,"avail")</f>
        <v>avail</v>
      </c>
      <c r="F4319" t="str">
        <f>_xlfn.XLOOKUP(B4319,'[2]!! -- Stock Universe 12.11.24'!$C$2:$C$1621,'[2]!! -- Stock Universe 12.11.24'!$E$2:$E$1621,"")</f>
        <v/>
      </c>
    </row>
    <row r="4320" spans="1:6" x14ac:dyDescent="0.25">
      <c r="A4320" s="140">
        <v>45737.291666666664</v>
      </c>
      <c r="B4320" t="s">
        <v>4322</v>
      </c>
      <c r="C4320" t="s">
        <v>4323</v>
      </c>
      <c r="D4320" s="6"/>
      <c r="E4320" t="str">
        <f>_xlfn.XLOOKUP(B4320,'2025-Q1'!$A$402:$A$448,'2025-Q1'!$A$402:$A$448,"avail")</f>
        <v>avail</v>
      </c>
      <c r="F4320" t="str">
        <f>_xlfn.XLOOKUP(B4320,'[2]!! -- Stock Universe 12.11.24'!$C$2:$C$1621,'[2]!! -- Stock Universe 12.11.24'!$E$2:$E$1621,"")</f>
        <v/>
      </c>
    </row>
    <row r="4321" spans="1:6" x14ac:dyDescent="0.25">
      <c r="A4321" s="140">
        <v>45737.291666666664</v>
      </c>
      <c r="B4321" t="s">
        <v>1571</v>
      </c>
      <c r="C4321" t="s">
        <v>4320</v>
      </c>
      <c r="D4321" s="6"/>
      <c r="E4321" t="str">
        <f>_xlfn.XLOOKUP(B4321,'2025-Q1'!$A$402:$A$448,'2025-Q1'!$A$402:$A$448,"avail")</f>
        <v>avail</v>
      </c>
      <c r="F4321" t="str">
        <f>_xlfn.XLOOKUP(B4321,'[2]!! -- Stock Universe 12.11.24'!$C$2:$C$1621,'[2]!! -- Stock Universe 12.11.24'!$E$2:$E$1621,"")</f>
        <v>Technology</v>
      </c>
    </row>
    <row r="4322" spans="1:6" x14ac:dyDescent="0.25">
      <c r="A4322" s="140">
        <v>45737.291666666664</v>
      </c>
      <c r="B4322" t="s">
        <v>858</v>
      </c>
      <c r="C4322" t="s">
        <v>4320</v>
      </c>
      <c r="D4322" s="6"/>
      <c r="E4322" t="str">
        <f>_xlfn.XLOOKUP(B4322,'2025-Q1'!$A$402:$A$448,'2025-Q1'!$A$402:$A$448,"avail")</f>
        <v>avail</v>
      </c>
      <c r="F4322" t="str">
        <f>_xlfn.XLOOKUP(B4322,'[2]!! -- Stock Universe 12.11.24'!$C$2:$C$1621,'[2]!! -- Stock Universe 12.11.24'!$E$2:$E$1621,"")</f>
        <v>Healthcare</v>
      </c>
    </row>
    <row r="4323" spans="1:6" x14ac:dyDescent="0.25">
      <c r="A4323" s="140">
        <v>45737.291666666664</v>
      </c>
      <c r="B4323" t="s">
        <v>4321</v>
      </c>
      <c r="C4323" t="s">
        <v>4320</v>
      </c>
      <c r="D4323" s="6"/>
      <c r="E4323" t="str">
        <f>_xlfn.XLOOKUP(B4323,'2025-Q1'!$A$402:$A$448,'2025-Q1'!$A$402:$A$448,"avail")</f>
        <v>avail</v>
      </c>
      <c r="F4323" t="str">
        <f>_xlfn.XLOOKUP(B4323,'[2]!! -- Stock Universe 12.11.24'!$C$2:$C$1621,'[2]!! -- Stock Universe 12.11.24'!$E$2:$E$1621,"")</f>
        <v/>
      </c>
    </row>
    <row r="4324" spans="1:6" x14ac:dyDescent="0.25">
      <c r="A4324" s="140">
        <v>45737.625</v>
      </c>
      <c r="B4324" t="s">
        <v>4328</v>
      </c>
      <c r="C4324" t="s">
        <v>4326</v>
      </c>
      <c r="D4324" s="6"/>
      <c r="E4324" t="str">
        <f>_xlfn.XLOOKUP(B4324,'2025-Q1'!$A$402:$A$448,'2025-Q1'!$A$402:$A$448,"avail")</f>
        <v>avail</v>
      </c>
      <c r="F4324" t="str">
        <f>_xlfn.XLOOKUP(B4324,'[2]!! -- Stock Universe 12.11.24'!$C$2:$C$1621,'[2]!! -- Stock Universe 12.11.24'!$E$2:$E$1621,"")</f>
        <v/>
      </c>
    </row>
    <row r="4325" spans="1:6" x14ac:dyDescent="0.25">
      <c r="A4325" s="140">
        <v>45737.625</v>
      </c>
      <c r="B4325" t="s">
        <v>4327</v>
      </c>
      <c r="C4325" t="s">
        <v>4326</v>
      </c>
      <c r="D4325" s="6"/>
      <c r="E4325" t="str">
        <f>_xlfn.XLOOKUP(B4325,'2025-Q1'!$A$402:$A$448,'2025-Q1'!$A$402:$A$448,"avail")</f>
        <v>avail</v>
      </c>
      <c r="F4325" t="str">
        <f>_xlfn.XLOOKUP(B4325,'[2]!! -- Stock Universe 12.11.24'!$C$2:$C$1621,'[2]!! -- Stock Universe 12.11.24'!$E$2:$E$1621,"")</f>
        <v/>
      </c>
    </row>
    <row r="4326" spans="1:6" x14ac:dyDescent="0.25">
      <c r="A4326" s="140">
        <v>45737.625</v>
      </c>
      <c r="B4326" t="s">
        <v>4325</v>
      </c>
      <c r="C4326" t="s">
        <v>4326</v>
      </c>
      <c r="D4326" s="6"/>
      <c r="E4326" t="str">
        <f>_xlfn.XLOOKUP(B4326,'2025-Q1'!$A$402:$A$448,'2025-Q1'!$A$402:$A$448,"avail")</f>
        <v>avail</v>
      </c>
      <c r="F4326" t="str">
        <f>_xlfn.XLOOKUP(B4326,'[2]!! -- Stock Universe 12.11.24'!$C$2:$C$1621,'[2]!! -- Stock Universe 12.11.24'!$E$2:$E$1621,"")</f>
        <v/>
      </c>
    </row>
    <row r="4327" spans="1:6" x14ac:dyDescent="0.25">
      <c r="A4327" s="140">
        <v>45737.625</v>
      </c>
      <c r="B4327" t="s">
        <v>4376</v>
      </c>
      <c r="C4327" t="s">
        <v>4326</v>
      </c>
      <c r="D4327" s="6"/>
      <c r="E4327" t="str">
        <f>_xlfn.XLOOKUP(B4327,'2025-Q1'!$A$402:$A$448,'2025-Q1'!$A$402:$A$448,"avail")</f>
        <v>avail</v>
      </c>
      <c r="F4327" t="str">
        <f>_xlfn.XLOOKUP(B4327,'[2]!! -- Stock Universe 12.11.24'!$C$2:$C$1621,'[2]!! -- Stock Universe 12.11.24'!$E$2:$E$1621,"")</f>
        <v/>
      </c>
    </row>
    <row r="4328" spans="1:6" x14ac:dyDescent="0.25">
      <c r="A4328" s="140">
        <v>45740.291666666664</v>
      </c>
      <c r="B4328" t="s">
        <v>4339</v>
      </c>
      <c r="C4328" t="s">
        <v>4332</v>
      </c>
      <c r="D4328" s="6"/>
      <c r="E4328" t="str">
        <f>_xlfn.XLOOKUP(B4328,'2025-Q1'!$A$402:$A$448,'2025-Q1'!$A$402:$A$448,"avail")</f>
        <v>avail</v>
      </c>
      <c r="F4328" t="str">
        <f>_xlfn.XLOOKUP(B4328,'[2]!! -- Stock Universe 12.11.24'!$C$2:$C$1621,'[2]!! -- Stock Universe 12.11.24'!$E$2:$E$1621,"")</f>
        <v>Healthcare</v>
      </c>
    </row>
    <row r="4329" spans="1:6" x14ac:dyDescent="0.25">
      <c r="A4329" s="140">
        <v>45740.291666666664</v>
      </c>
      <c r="B4329" t="s">
        <v>189</v>
      </c>
      <c r="C4329" t="s">
        <v>4332</v>
      </c>
      <c r="D4329" s="6"/>
      <c r="E4329" t="str">
        <f>_xlfn.XLOOKUP(B4329,'2025-Q1'!$A$402:$A$448,'2025-Q1'!$A$402:$A$448,"avail")</f>
        <v>avail</v>
      </c>
      <c r="F4329" t="str">
        <f>_xlfn.XLOOKUP(B4329,'[2]!! -- Stock Universe 12.11.24'!$C$2:$C$1621,'[2]!! -- Stock Universe 12.11.24'!$E$2:$E$1621,"")</f>
        <v>Healthcare</v>
      </c>
    </row>
    <row r="4330" spans="1:6" x14ac:dyDescent="0.25">
      <c r="A4330" s="140">
        <v>45740.291666666664</v>
      </c>
      <c r="B4330" t="s">
        <v>4337</v>
      </c>
      <c r="C4330" t="s">
        <v>4332</v>
      </c>
      <c r="D4330" s="6"/>
      <c r="E4330" t="str">
        <f>_xlfn.XLOOKUP(B4330,'2025-Q1'!$A$402:$A$448,'2025-Q1'!$A$402:$A$448,"avail")</f>
        <v>avail</v>
      </c>
      <c r="F4330" t="str">
        <f>_xlfn.XLOOKUP(B4330,'[2]!! -- Stock Universe 12.11.24'!$C$2:$C$1621,'[2]!! -- Stock Universe 12.11.24'!$E$2:$E$1621,"")</f>
        <v>Financial</v>
      </c>
    </row>
    <row r="4331" spans="1:6" x14ac:dyDescent="0.25">
      <c r="A4331" s="140">
        <v>45740.291666666664</v>
      </c>
      <c r="B4331" t="s">
        <v>4331</v>
      </c>
      <c r="C4331" t="s">
        <v>4332</v>
      </c>
      <c r="D4331" s="6"/>
      <c r="E4331" t="str">
        <f>_xlfn.XLOOKUP(B4331,'2025-Q1'!$A$402:$A$448,'2025-Q1'!$A$402:$A$448,"avail")</f>
        <v>avail</v>
      </c>
      <c r="F4331" t="str">
        <f>_xlfn.XLOOKUP(B4331,'[2]!! -- Stock Universe 12.11.24'!$C$2:$C$1621,'[2]!! -- Stock Universe 12.11.24'!$E$2:$E$1621,"")</f>
        <v/>
      </c>
    </row>
    <row r="4332" spans="1:6" x14ac:dyDescent="0.25">
      <c r="A4332" s="140">
        <v>45740.291666666664</v>
      </c>
      <c r="B4332" t="s">
        <v>4329</v>
      </c>
      <c r="C4332" t="s">
        <v>4330</v>
      </c>
      <c r="D4332" s="6"/>
      <c r="E4332" t="str">
        <f>_xlfn.XLOOKUP(B4332,'2025-Q1'!$A$402:$A$448,'2025-Q1'!$A$402:$A$448,"avail")</f>
        <v>avail</v>
      </c>
      <c r="F4332" t="str">
        <f>_xlfn.XLOOKUP(B4332,'[2]!! -- Stock Universe 12.11.24'!$C$2:$C$1621,'[2]!! -- Stock Universe 12.11.24'!$E$2:$E$1621,"")</f>
        <v/>
      </c>
    </row>
    <row r="4333" spans="1:6" x14ac:dyDescent="0.25">
      <c r="A4333" s="140">
        <v>45740.291666666664</v>
      </c>
      <c r="B4333" t="s">
        <v>4335</v>
      </c>
      <c r="C4333" t="s">
        <v>4332</v>
      </c>
      <c r="D4333" s="6"/>
      <c r="E4333" t="str">
        <f>_xlfn.XLOOKUP(B4333,'2025-Q1'!$A$402:$A$448,'2025-Q1'!$A$402:$A$448,"avail")</f>
        <v>avail</v>
      </c>
      <c r="F4333" t="str">
        <f>_xlfn.XLOOKUP(B4333,'[2]!! -- Stock Universe 12.11.24'!$C$2:$C$1621,'[2]!! -- Stock Universe 12.11.24'!$E$2:$E$1621,"")</f>
        <v/>
      </c>
    </row>
    <row r="4334" spans="1:6" x14ac:dyDescent="0.25">
      <c r="A4334" s="140">
        <v>45740.291666666664</v>
      </c>
      <c r="B4334" t="s">
        <v>4333</v>
      </c>
      <c r="C4334" t="s">
        <v>4332</v>
      </c>
      <c r="D4334" s="6"/>
      <c r="E4334" t="str">
        <f>_xlfn.XLOOKUP(B4334,'2025-Q1'!$A$402:$A$448,'2025-Q1'!$A$402:$A$448,"avail")</f>
        <v>avail</v>
      </c>
      <c r="F4334" t="str">
        <f>_xlfn.XLOOKUP(B4334,'[2]!! -- Stock Universe 12.11.24'!$C$2:$C$1621,'[2]!! -- Stock Universe 12.11.24'!$E$2:$E$1621,"")</f>
        <v/>
      </c>
    </row>
    <row r="4335" spans="1:6" x14ac:dyDescent="0.25">
      <c r="A4335" s="140">
        <v>45740.291666666664</v>
      </c>
      <c r="B4335" t="s">
        <v>4336</v>
      </c>
      <c r="C4335" t="s">
        <v>4332</v>
      </c>
      <c r="D4335" s="6"/>
      <c r="E4335" t="str">
        <f>_xlfn.XLOOKUP(B4335,'2025-Q1'!$A$402:$A$448,'2025-Q1'!$A$402:$A$448,"avail")</f>
        <v>avail</v>
      </c>
      <c r="F4335" t="str">
        <f>_xlfn.XLOOKUP(B4335,'[2]!! -- Stock Universe 12.11.24'!$C$2:$C$1621,'[2]!! -- Stock Universe 12.11.24'!$E$2:$E$1621,"")</f>
        <v/>
      </c>
    </row>
    <row r="4336" spans="1:6" x14ac:dyDescent="0.25">
      <c r="A4336" s="140">
        <v>45740.291666666664</v>
      </c>
      <c r="B4336" t="s">
        <v>4338</v>
      </c>
      <c r="C4336" t="s">
        <v>4330</v>
      </c>
      <c r="D4336" s="6"/>
      <c r="E4336" t="str">
        <f>_xlfn.XLOOKUP(B4336,'2025-Q1'!$A$402:$A$448,'2025-Q1'!$A$402:$A$448,"avail")</f>
        <v>avail</v>
      </c>
      <c r="F4336" t="str">
        <f>_xlfn.XLOOKUP(B4336,'[2]!! -- Stock Universe 12.11.24'!$C$2:$C$1621,'[2]!! -- Stock Universe 12.11.24'!$E$2:$E$1621,"")</f>
        <v/>
      </c>
    </row>
    <row r="4337" spans="1:6" x14ac:dyDescent="0.25">
      <c r="A4337" s="140">
        <v>45740.625</v>
      </c>
      <c r="B4337" t="s">
        <v>4346</v>
      </c>
      <c r="C4337" t="s">
        <v>4342</v>
      </c>
      <c r="D4337" s="6"/>
      <c r="E4337" t="str">
        <f>_xlfn.XLOOKUP(B4337,'2025-Q1'!$A$402:$A$448,'2025-Q1'!$A$402:$A$448,"avail")</f>
        <v>avail</v>
      </c>
      <c r="F4337" t="str">
        <f>_xlfn.XLOOKUP(B4337,'[2]!! -- Stock Universe 12.11.24'!$C$2:$C$1621,'[2]!! -- Stock Universe 12.11.24'!$E$2:$E$1621,"")</f>
        <v/>
      </c>
    </row>
    <row r="4338" spans="1:6" x14ac:dyDescent="0.25">
      <c r="A4338" s="140">
        <v>45740.625</v>
      </c>
      <c r="B4338" t="s">
        <v>4343</v>
      </c>
      <c r="C4338" t="s">
        <v>4342</v>
      </c>
      <c r="D4338" s="6"/>
      <c r="E4338" t="str">
        <f>_xlfn.XLOOKUP(B4338,'2025-Q1'!$A$402:$A$448,'2025-Q1'!$A$402:$A$448,"avail")</f>
        <v>avail</v>
      </c>
      <c r="F4338" t="str">
        <f>_xlfn.XLOOKUP(B4338,'[2]!! -- Stock Universe 12.11.24'!$C$2:$C$1621,'[2]!! -- Stock Universe 12.11.24'!$E$2:$E$1621,"")</f>
        <v/>
      </c>
    </row>
    <row r="4339" spans="1:6" x14ac:dyDescent="0.25">
      <c r="A4339" s="140">
        <v>45740.625</v>
      </c>
      <c r="B4339" t="s">
        <v>4347</v>
      </c>
      <c r="C4339" t="s">
        <v>4342</v>
      </c>
      <c r="D4339" s="6"/>
      <c r="E4339" t="str">
        <f>_xlfn.XLOOKUP(B4339,'2025-Q1'!$A$402:$A$448,'2025-Q1'!$A$402:$A$448,"avail")</f>
        <v>avail</v>
      </c>
      <c r="F4339" t="str">
        <f>_xlfn.XLOOKUP(B4339,'[2]!! -- Stock Universe 12.11.24'!$C$2:$C$1621,'[2]!! -- Stock Universe 12.11.24'!$E$2:$E$1621,"")</f>
        <v/>
      </c>
    </row>
    <row r="4340" spans="1:6" x14ac:dyDescent="0.25">
      <c r="A4340" s="140">
        <v>45740.625</v>
      </c>
      <c r="B4340" t="s">
        <v>4351</v>
      </c>
      <c r="C4340" t="s">
        <v>4342</v>
      </c>
      <c r="D4340" s="6"/>
      <c r="E4340" t="str">
        <f>_xlfn.XLOOKUP(B4340,'2025-Q1'!$A$402:$A$448,'2025-Q1'!$A$402:$A$448,"avail")</f>
        <v>avail</v>
      </c>
      <c r="F4340" t="str">
        <f>_xlfn.XLOOKUP(B4340,'[2]!! -- Stock Universe 12.11.24'!$C$2:$C$1621,'[2]!! -- Stock Universe 12.11.24'!$E$2:$E$1621,"")</f>
        <v>Technology</v>
      </c>
    </row>
    <row r="4341" spans="1:6" x14ac:dyDescent="0.25">
      <c r="A4341" s="140">
        <v>45740.625</v>
      </c>
      <c r="B4341" t="s">
        <v>4341</v>
      </c>
      <c r="C4341" t="s">
        <v>4342</v>
      </c>
      <c r="D4341" s="6"/>
      <c r="E4341" t="str">
        <f>_xlfn.XLOOKUP(B4341,'2025-Q1'!$A$402:$A$448,'2025-Q1'!$A$402:$A$448,"avail")</f>
        <v>avail</v>
      </c>
      <c r="F4341" t="str">
        <f>_xlfn.XLOOKUP(B4341,'[2]!! -- Stock Universe 12.11.24'!$C$2:$C$1621,'[2]!! -- Stock Universe 12.11.24'!$E$2:$E$1621,"")</f>
        <v/>
      </c>
    </row>
    <row r="4342" spans="1:6" x14ac:dyDescent="0.25">
      <c r="A4342" s="140">
        <v>45740.625</v>
      </c>
      <c r="B4342" t="s">
        <v>4344</v>
      </c>
      <c r="C4342" t="s">
        <v>4342</v>
      </c>
      <c r="D4342" s="6"/>
      <c r="E4342" t="str">
        <f>_xlfn.XLOOKUP(B4342,'2025-Q1'!$A$402:$A$448,'2025-Q1'!$A$402:$A$448,"avail")</f>
        <v>avail</v>
      </c>
      <c r="F4342" t="str">
        <f>_xlfn.XLOOKUP(B4342,'[2]!! -- Stock Universe 12.11.24'!$C$2:$C$1621,'[2]!! -- Stock Universe 12.11.24'!$E$2:$E$1621,"")</f>
        <v/>
      </c>
    </row>
    <row r="4343" spans="1:6" x14ac:dyDescent="0.25">
      <c r="A4343" s="140">
        <v>45740.625</v>
      </c>
      <c r="B4343" t="s">
        <v>4348</v>
      </c>
      <c r="C4343" t="s">
        <v>4342</v>
      </c>
      <c r="D4343" s="6"/>
      <c r="E4343" t="str">
        <f>_xlfn.XLOOKUP(B4343,'2025-Q1'!$A$402:$A$448,'2025-Q1'!$A$402:$A$448,"avail")</f>
        <v>avail</v>
      </c>
      <c r="F4343" t="str">
        <f>_xlfn.XLOOKUP(B4343,'[2]!! -- Stock Universe 12.11.24'!$C$2:$C$1621,'[2]!! -- Stock Universe 12.11.24'!$E$2:$E$1621,"")</f>
        <v/>
      </c>
    </row>
    <row r="4344" spans="1:6" x14ac:dyDescent="0.25">
      <c r="A4344" s="140">
        <v>45740.625</v>
      </c>
      <c r="B4344" t="s">
        <v>4345</v>
      </c>
      <c r="C4344" t="s">
        <v>4342</v>
      </c>
      <c r="D4344" s="6"/>
      <c r="E4344" t="str">
        <f>_xlfn.XLOOKUP(B4344,'2025-Q1'!$A$402:$A$448,'2025-Q1'!$A$402:$A$448,"avail")</f>
        <v>avail</v>
      </c>
      <c r="F4344" t="str">
        <f>_xlfn.XLOOKUP(B4344,'[2]!! -- Stock Universe 12.11.24'!$C$2:$C$1621,'[2]!! -- Stock Universe 12.11.24'!$E$2:$E$1621,"")</f>
        <v/>
      </c>
    </row>
    <row r="4345" spans="1:6" x14ac:dyDescent="0.25">
      <c r="A4345" s="140">
        <v>45741.291666666664</v>
      </c>
      <c r="B4345" t="s">
        <v>641</v>
      </c>
      <c r="C4345" t="s">
        <v>4352</v>
      </c>
      <c r="D4345" s="6"/>
      <c r="E4345" t="str">
        <f>_xlfn.XLOOKUP(B4345,'2025-Q1'!$A$402:$A$448,'2025-Q1'!$A$402:$A$448,"avail")</f>
        <v>avail</v>
      </c>
      <c r="F4345" t="str">
        <f>_xlfn.XLOOKUP(B4345,'[2]!! -- Stock Universe 12.11.24'!$C$2:$C$1621,'[2]!! -- Stock Universe 12.11.24'!$E$2:$E$1621,"")</f>
        <v/>
      </c>
    </row>
    <row r="4346" spans="1:6" x14ac:dyDescent="0.25">
      <c r="A4346" s="140">
        <v>45741.291666666664</v>
      </c>
      <c r="B4346" t="s">
        <v>4363</v>
      </c>
      <c r="C4346" t="s">
        <v>4352</v>
      </c>
      <c r="D4346" s="6"/>
      <c r="E4346" t="str">
        <f>_xlfn.XLOOKUP(B4346,'2025-Q1'!$A$402:$A$448,'2025-Q1'!$A$402:$A$448,"avail")</f>
        <v>avail</v>
      </c>
      <c r="F4346" t="str">
        <f>_xlfn.XLOOKUP(B4346,'[2]!! -- Stock Universe 12.11.24'!$C$2:$C$1621,'[2]!! -- Stock Universe 12.11.24'!$E$2:$E$1621,"")</f>
        <v/>
      </c>
    </row>
    <row r="4347" spans="1:6" x14ac:dyDescent="0.25">
      <c r="A4347" s="140">
        <v>45741.291666666664</v>
      </c>
      <c r="B4347" t="s">
        <v>1528</v>
      </c>
      <c r="C4347" t="s">
        <v>4352</v>
      </c>
      <c r="D4347" s="6"/>
      <c r="E4347" t="str">
        <f>_xlfn.XLOOKUP(B4347,'2025-Q1'!$A$402:$A$448,'2025-Q1'!$A$402:$A$448,"avail")</f>
        <v>avail</v>
      </c>
      <c r="F4347" t="str">
        <f>_xlfn.XLOOKUP(B4347,'[2]!! -- Stock Universe 12.11.24'!$C$2:$C$1621,'[2]!! -- Stock Universe 12.11.24'!$E$2:$E$1621,"")</f>
        <v>Consumer Defensive</v>
      </c>
    </row>
    <row r="4348" spans="1:6" x14ac:dyDescent="0.25">
      <c r="A4348" s="140">
        <v>45741.291666666664</v>
      </c>
      <c r="B4348" t="s">
        <v>4364</v>
      </c>
      <c r="C4348" t="s">
        <v>4352</v>
      </c>
      <c r="D4348" s="6"/>
      <c r="E4348" t="str">
        <f>_xlfn.XLOOKUP(B4348,'2025-Q1'!$A$402:$A$448,'2025-Q1'!$A$402:$A$448,"avail")</f>
        <v>avail</v>
      </c>
      <c r="F4348" t="str">
        <f>_xlfn.XLOOKUP(B4348,'[2]!! -- Stock Universe 12.11.24'!$C$2:$C$1621,'[2]!! -- Stock Universe 12.11.24'!$E$2:$E$1621,"")</f>
        <v/>
      </c>
    </row>
    <row r="4349" spans="1:6" x14ac:dyDescent="0.25">
      <c r="A4349" s="140">
        <v>45741.291666666664</v>
      </c>
      <c r="B4349" t="s">
        <v>4365</v>
      </c>
      <c r="C4349" t="s">
        <v>4352</v>
      </c>
      <c r="D4349" s="6"/>
      <c r="E4349" t="str">
        <f>_xlfn.XLOOKUP(B4349,'2025-Q1'!$A$402:$A$448,'2025-Q1'!$A$402:$A$448,"avail")</f>
        <v>avail</v>
      </c>
      <c r="F4349" t="str">
        <f>_xlfn.XLOOKUP(B4349,'[2]!! -- Stock Universe 12.11.24'!$C$2:$C$1621,'[2]!! -- Stock Universe 12.11.24'!$E$2:$E$1621,"")</f>
        <v/>
      </c>
    </row>
    <row r="4350" spans="1:6" x14ac:dyDescent="0.25">
      <c r="A4350" s="140">
        <v>45741.291666666664</v>
      </c>
      <c r="B4350" t="s">
        <v>3633</v>
      </c>
      <c r="C4350" t="s">
        <v>4352</v>
      </c>
      <c r="D4350" s="6"/>
      <c r="E4350" t="str">
        <f>_xlfn.XLOOKUP(B4350,'2025-Q1'!$A$402:$A$448,'2025-Q1'!$A$402:$A$448,"avail")</f>
        <v>avail</v>
      </c>
      <c r="F4350" t="str">
        <f>_xlfn.XLOOKUP(B4350,'[2]!! -- Stock Universe 12.11.24'!$C$2:$C$1621,'[2]!! -- Stock Universe 12.11.24'!$E$2:$E$1621,"")</f>
        <v/>
      </c>
    </row>
    <row r="4351" spans="1:6" x14ac:dyDescent="0.25">
      <c r="A4351" s="140">
        <v>45741.291666666664</v>
      </c>
      <c r="B4351" t="s">
        <v>4356</v>
      </c>
      <c r="C4351" t="s">
        <v>4354</v>
      </c>
      <c r="D4351" s="6"/>
      <c r="E4351" t="str">
        <f>_xlfn.XLOOKUP(B4351,'2025-Q1'!$A$402:$A$448,'2025-Q1'!$A$402:$A$448,"avail")</f>
        <v>avail</v>
      </c>
      <c r="F4351" t="str">
        <f>_xlfn.XLOOKUP(B4351,'[2]!! -- Stock Universe 12.11.24'!$C$2:$C$1621,'[2]!! -- Stock Universe 12.11.24'!$E$2:$E$1621,"")</f>
        <v/>
      </c>
    </row>
    <row r="4352" spans="1:6" x14ac:dyDescent="0.25">
      <c r="A4352" s="140">
        <v>45741.291666666664</v>
      </c>
      <c r="B4352" t="s">
        <v>4468</v>
      </c>
      <c r="C4352" t="s">
        <v>4354</v>
      </c>
      <c r="D4352" s="6"/>
      <c r="E4352" t="str">
        <f>_xlfn.XLOOKUP(B4352,'2025-Q1'!$A$402:$A$448,'2025-Q1'!$A$402:$A$448,"avail")</f>
        <v>avail</v>
      </c>
      <c r="F4352" t="str">
        <f>_xlfn.XLOOKUP(B4352,'[2]!! -- Stock Universe 12.11.24'!$C$2:$C$1621,'[2]!! -- Stock Universe 12.11.24'!$E$2:$E$1621,"")</f>
        <v/>
      </c>
    </row>
    <row r="4353" spans="1:6" x14ac:dyDescent="0.25">
      <c r="A4353" s="140">
        <v>45741.291666666664</v>
      </c>
      <c r="B4353" t="s">
        <v>4355</v>
      </c>
      <c r="C4353" t="s">
        <v>4352</v>
      </c>
      <c r="D4353" s="6"/>
      <c r="E4353" t="str">
        <f>_xlfn.XLOOKUP(B4353,'2025-Q1'!$A$402:$A$448,'2025-Q1'!$A$402:$A$448,"avail")</f>
        <v>avail</v>
      </c>
      <c r="F4353" t="str">
        <f>_xlfn.XLOOKUP(B4353,'[2]!! -- Stock Universe 12.11.24'!$C$2:$C$1621,'[2]!! -- Stock Universe 12.11.24'!$E$2:$E$1621,"")</f>
        <v/>
      </c>
    </row>
    <row r="4354" spans="1:6" x14ac:dyDescent="0.25">
      <c r="A4354" s="140">
        <v>45741.291666666664</v>
      </c>
      <c r="B4354" t="s">
        <v>4358</v>
      </c>
      <c r="C4354" t="s">
        <v>4352</v>
      </c>
      <c r="D4354" s="6"/>
      <c r="E4354" t="str">
        <f>_xlfn.XLOOKUP(B4354,'2025-Q1'!$A$402:$A$448,'2025-Q1'!$A$402:$A$448,"avail")</f>
        <v>avail</v>
      </c>
      <c r="F4354" t="str">
        <f>_xlfn.XLOOKUP(B4354,'[2]!! -- Stock Universe 12.11.24'!$C$2:$C$1621,'[2]!! -- Stock Universe 12.11.24'!$E$2:$E$1621,"")</f>
        <v/>
      </c>
    </row>
    <row r="4355" spans="1:6" x14ac:dyDescent="0.25">
      <c r="A4355" s="140">
        <v>45741.291666666664</v>
      </c>
      <c r="B4355" t="s">
        <v>4018</v>
      </c>
      <c r="C4355" t="s">
        <v>4352</v>
      </c>
      <c r="D4355" s="6"/>
      <c r="E4355" t="str">
        <f>_xlfn.XLOOKUP(B4355,'2025-Q1'!$A$402:$A$448,'2025-Q1'!$A$402:$A$448,"avail")</f>
        <v>avail</v>
      </c>
      <c r="F4355" t="str">
        <f>_xlfn.XLOOKUP(B4355,'[2]!! -- Stock Universe 12.11.24'!$C$2:$C$1621,'[2]!! -- Stock Universe 12.11.24'!$E$2:$E$1621,"")</f>
        <v/>
      </c>
    </row>
    <row r="4356" spans="1:6" x14ac:dyDescent="0.25">
      <c r="A4356" s="140">
        <v>45741.291666666664</v>
      </c>
      <c r="B4356" t="s">
        <v>4360</v>
      </c>
      <c r="C4356" t="s">
        <v>4352</v>
      </c>
      <c r="D4356" s="6"/>
      <c r="E4356" t="str">
        <f>_xlfn.XLOOKUP(B4356,'2025-Q1'!$A$402:$A$448,'2025-Q1'!$A$402:$A$448,"avail")</f>
        <v>avail</v>
      </c>
      <c r="F4356" t="str">
        <f>_xlfn.XLOOKUP(B4356,'[2]!! -- Stock Universe 12.11.24'!$C$2:$C$1621,'[2]!! -- Stock Universe 12.11.24'!$E$2:$E$1621,"")</f>
        <v/>
      </c>
    </row>
    <row r="4357" spans="1:6" x14ac:dyDescent="0.25">
      <c r="A4357" s="140">
        <v>45741.291666666664</v>
      </c>
      <c r="B4357" t="s">
        <v>4361</v>
      </c>
      <c r="C4357" t="s">
        <v>4352</v>
      </c>
      <c r="D4357" s="6"/>
      <c r="E4357" t="str">
        <f>_xlfn.XLOOKUP(B4357,'2025-Q1'!$A$402:$A$448,'2025-Q1'!$A$402:$A$448,"avail")</f>
        <v>avail</v>
      </c>
      <c r="F4357" t="str">
        <f>_xlfn.XLOOKUP(B4357,'[2]!! -- Stock Universe 12.11.24'!$C$2:$C$1621,'[2]!! -- Stock Universe 12.11.24'!$E$2:$E$1621,"")</f>
        <v/>
      </c>
    </row>
    <row r="4358" spans="1:6" x14ac:dyDescent="0.25">
      <c r="A4358" s="140">
        <v>45741.291666666664</v>
      </c>
      <c r="B4358" t="s">
        <v>4362</v>
      </c>
      <c r="C4358" t="s">
        <v>4352</v>
      </c>
      <c r="D4358" s="6"/>
      <c r="E4358" t="str">
        <f>_xlfn.XLOOKUP(B4358,'2025-Q1'!$A$402:$A$448,'2025-Q1'!$A$402:$A$448,"avail")</f>
        <v>avail</v>
      </c>
      <c r="F4358" t="str">
        <f>_xlfn.XLOOKUP(B4358,'[2]!! -- Stock Universe 12.11.24'!$C$2:$C$1621,'[2]!! -- Stock Universe 12.11.24'!$E$2:$E$1621,"")</f>
        <v/>
      </c>
    </row>
    <row r="4359" spans="1:6" x14ac:dyDescent="0.25">
      <c r="A4359" s="140">
        <v>45741.291666666664</v>
      </c>
      <c r="B4359" t="s">
        <v>2428</v>
      </c>
      <c r="C4359" t="s">
        <v>4352</v>
      </c>
      <c r="D4359" s="6"/>
      <c r="E4359" t="str">
        <f>_xlfn.XLOOKUP(B4359,'2025-Q1'!$A$402:$A$448,'2025-Q1'!$A$402:$A$448,"avail")</f>
        <v>avail</v>
      </c>
      <c r="F4359" t="str">
        <f>_xlfn.XLOOKUP(B4359,'[2]!! -- Stock Universe 12.11.24'!$C$2:$C$1621,'[2]!! -- Stock Universe 12.11.24'!$E$2:$E$1621,"")</f>
        <v>Technology</v>
      </c>
    </row>
    <row r="4360" spans="1:6" x14ac:dyDescent="0.25">
      <c r="A4360" s="140">
        <v>45741.291666666664</v>
      </c>
      <c r="B4360" t="s">
        <v>3082</v>
      </c>
      <c r="C4360" t="s">
        <v>4352</v>
      </c>
      <c r="D4360" s="6"/>
      <c r="E4360" t="str">
        <f>_xlfn.XLOOKUP(B4360,'2025-Q1'!$A$402:$A$448,'2025-Q1'!$A$402:$A$448,"avail")</f>
        <v>avail</v>
      </c>
      <c r="F4360" t="str">
        <f>_xlfn.XLOOKUP(B4360,'[2]!! -- Stock Universe 12.11.24'!$C$2:$C$1621,'[2]!! -- Stock Universe 12.11.24'!$E$2:$E$1621,"")</f>
        <v/>
      </c>
    </row>
    <row r="4361" spans="1:6" x14ac:dyDescent="0.25">
      <c r="A4361" s="140">
        <v>45741.291666666664</v>
      </c>
      <c r="B4361" t="s">
        <v>4357</v>
      </c>
      <c r="C4361" t="s">
        <v>4352</v>
      </c>
      <c r="D4361" s="6"/>
      <c r="E4361" t="str">
        <f>_xlfn.XLOOKUP(B4361,'2025-Q1'!$A$402:$A$448,'2025-Q1'!$A$402:$A$448,"avail")</f>
        <v>avail</v>
      </c>
      <c r="F4361" t="str">
        <f>_xlfn.XLOOKUP(B4361,'[2]!! -- Stock Universe 12.11.24'!$C$2:$C$1621,'[2]!! -- Stock Universe 12.11.24'!$E$2:$E$1621,"")</f>
        <v/>
      </c>
    </row>
    <row r="4362" spans="1:6" x14ac:dyDescent="0.25">
      <c r="A4362" s="140">
        <v>45741.291666666664</v>
      </c>
      <c r="B4362" t="s">
        <v>4359</v>
      </c>
      <c r="C4362" t="s">
        <v>4352</v>
      </c>
      <c r="D4362" s="6"/>
      <c r="E4362" t="str">
        <f>_xlfn.XLOOKUP(B4362,'2025-Q1'!$A$402:$A$448,'2025-Q1'!$A$402:$A$448,"avail")</f>
        <v>avail</v>
      </c>
      <c r="F4362" t="str">
        <f>_xlfn.XLOOKUP(B4362,'[2]!! -- Stock Universe 12.11.24'!$C$2:$C$1621,'[2]!! -- Stock Universe 12.11.24'!$E$2:$E$1621,"")</f>
        <v/>
      </c>
    </row>
    <row r="4363" spans="1:6" x14ac:dyDescent="0.25">
      <c r="A4363" s="140">
        <v>45741.625</v>
      </c>
      <c r="B4363" t="s">
        <v>1211</v>
      </c>
      <c r="C4363" t="s">
        <v>4368</v>
      </c>
      <c r="D4363" s="6"/>
      <c r="E4363" t="str">
        <f>_xlfn.XLOOKUP(B4363,'2025-Q1'!$A$402:$A$448,'2025-Q1'!$A$402:$A$448,"avail")</f>
        <v>avail</v>
      </c>
      <c r="F4363" t="str">
        <f>_xlfn.XLOOKUP(B4363,'[2]!! -- Stock Universe 12.11.24'!$C$2:$C$1621,'[2]!! -- Stock Universe 12.11.24'!$E$2:$E$1621,"")</f>
        <v>Consumer Cyclical</v>
      </c>
    </row>
    <row r="4364" spans="1:6" x14ac:dyDescent="0.25">
      <c r="A4364" s="140">
        <v>45741.625</v>
      </c>
      <c r="B4364" t="s">
        <v>732</v>
      </c>
      <c r="C4364" t="s">
        <v>4368</v>
      </c>
      <c r="D4364" s="6"/>
      <c r="E4364" t="str">
        <f>_xlfn.XLOOKUP(B4364,'2025-Q1'!$A$402:$A$448,'2025-Q1'!$A$402:$A$448,"avail")</f>
        <v>avail</v>
      </c>
      <c r="F4364" t="str">
        <f>_xlfn.XLOOKUP(B4364,'[2]!! -- Stock Universe 12.11.24'!$C$2:$C$1621,'[2]!! -- Stock Universe 12.11.24'!$E$2:$E$1621,"")</f>
        <v/>
      </c>
    </row>
    <row r="4365" spans="1:6" x14ac:dyDescent="0.25">
      <c r="A4365" s="140">
        <v>45741.625</v>
      </c>
      <c r="B4365" t="s">
        <v>4369</v>
      </c>
      <c r="C4365" t="s">
        <v>4368</v>
      </c>
      <c r="D4365" s="6"/>
      <c r="E4365" t="str">
        <f>_xlfn.XLOOKUP(B4365,'2025-Q1'!$A$402:$A$448,'2025-Q1'!$A$402:$A$448,"avail")</f>
        <v>avail</v>
      </c>
      <c r="F4365" t="str">
        <f>_xlfn.XLOOKUP(B4365,'[2]!! -- Stock Universe 12.11.24'!$C$2:$C$1621,'[2]!! -- Stock Universe 12.11.24'!$E$2:$E$1621,"")</f>
        <v>Healthcare</v>
      </c>
    </row>
    <row r="4366" spans="1:6" x14ac:dyDescent="0.25">
      <c r="A4366" s="140">
        <v>45741.625</v>
      </c>
      <c r="B4366" t="s">
        <v>4371</v>
      </c>
      <c r="C4366" t="s">
        <v>4368</v>
      </c>
      <c r="D4366" s="6"/>
      <c r="E4366" t="str">
        <f>_xlfn.XLOOKUP(B4366,'2025-Q1'!$A$402:$A$448,'2025-Q1'!$A$402:$A$448,"avail")</f>
        <v>avail</v>
      </c>
      <c r="F4366" t="str">
        <f>_xlfn.XLOOKUP(B4366,'[2]!! -- Stock Universe 12.11.24'!$C$2:$C$1621,'[2]!! -- Stock Universe 12.11.24'!$E$2:$E$1621,"")</f>
        <v>Healthcare</v>
      </c>
    </row>
    <row r="4367" spans="1:6" x14ac:dyDescent="0.25">
      <c r="A4367" s="140">
        <v>45741.625</v>
      </c>
      <c r="B4367" t="s">
        <v>4377</v>
      </c>
      <c r="C4367" t="s">
        <v>4368</v>
      </c>
      <c r="D4367" s="6"/>
      <c r="E4367" t="str">
        <f>_xlfn.XLOOKUP(B4367,'2025-Q1'!$A$402:$A$448,'2025-Q1'!$A$402:$A$448,"avail")</f>
        <v>avail</v>
      </c>
      <c r="F4367" t="str">
        <f>_xlfn.XLOOKUP(B4367,'[2]!! -- Stock Universe 12.11.24'!$C$2:$C$1621,'[2]!! -- Stock Universe 12.11.24'!$E$2:$E$1621,"")</f>
        <v/>
      </c>
    </row>
    <row r="4368" spans="1:6" x14ac:dyDescent="0.25">
      <c r="A4368" s="140">
        <v>45741.625</v>
      </c>
      <c r="B4368" t="s">
        <v>980</v>
      </c>
      <c r="C4368" t="s">
        <v>4368</v>
      </c>
      <c r="D4368" s="6"/>
      <c r="E4368" t="str">
        <f>_xlfn.XLOOKUP(B4368,'2025-Q1'!$A$402:$A$448,'2025-Q1'!$A$402:$A$448,"avail")</f>
        <v>avail</v>
      </c>
      <c r="F4368" t="str">
        <f>_xlfn.XLOOKUP(B4368,'[2]!! -- Stock Universe 12.11.24'!$C$2:$C$1621,'[2]!! -- Stock Universe 12.11.24'!$E$2:$E$1621,"")</f>
        <v/>
      </c>
    </row>
    <row r="4369" spans="1:6" x14ac:dyDescent="0.25">
      <c r="A4369" s="140">
        <v>45741.625</v>
      </c>
      <c r="B4369" t="s">
        <v>4372</v>
      </c>
      <c r="C4369" t="s">
        <v>4368</v>
      </c>
      <c r="D4369" s="6"/>
      <c r="E4369" t="str">
        <f>_xlfn.XLOOKUP(B4369,'2025-Q1'!$A$402:$A$448,'2025-Q1'!$A$402:$A$448,"avail")</f>
        <v>avail</v>
      </c>
      <c r="F4369" t="str">
        <f>_xlfn.XLOOKUP(B4369,'[2]!! -- Stock Universe 12.11.24'!$C$2:$C$1621,'[2]!! -- Stock Universe 12.11.24'!$E$2:$E$1621,"")</f>
        <v/>
      </c>
    </row>
    <row r="4370" spans="1:6" x14ac:dyDescent="0.25">
      <c r="A4370" s="140">
        <v>45741.625</v>
      </c>
      <c r="B4370" t="s">
        <v>4375</v>
      </c>
      <c r="C4370" t="s">
        <v>4368</v>
      </c>
      <c r="D4370" s="6"/>
      <c r="E4370" t="str">
        <f>_xlfn.XLOOKUP(B4370,'2025-Q1'!$A$402:$A$448,'2025-Q1'!$A$402:$A$448,"avail")</f>
        <v>avail</v>
      </c>
      <c r="F4370" t="str">
        <f>_xlfn.XLOOKUP(B4370,'[2]!! -- Stock Universe 12.11.24'!$C$2:$C$1621,'[2]!! -- Stock Universe 12.11.24'!$E$2:$E$1621,"")</f>
        <v/>
      </c>
    </row>
    <row r="4371" spans="1:6" x14ac:dyDescent="0.25">
      <c r="A4371" s="140">
        <v>45741.625</v>
      </c>
      <c r="B4371" t="s">
        <v>1978</v>
      </c>
      <c r="C4371" t="s">
        <v>4368</v>
      </c>
      <c r="D4371" s="6"/>
      <c r="E4371" t="str">
        <f>_xlfn.XLOOKUP(B4371,'2025-Q1'!$A$402:$A$448,'2025-Q1'!$A$402:$A$448,"avail")</f>
        <v>avail</v>
      </c>
      <c r="F4371" t="str">
        <f>_xlfn.XLOOKUP(B4371,'[2]!! -- Stock Universe 12.11.24'!$C$2:$C$1621,'[2]!! -- Stock Universe 12.11.24'!$E$2:$E$1621,"")</f>
        <v/>
      </c>
    </row>
    <row r="4372" spans="1:6" x14ac:dyDescent="0.25">
      <c r="A4372" s="140">
        <v>45741.625</v>
      </c>
      <c r="B4372" t="s">
        <v>4373</v>
      </c>
      <c r="C4372" t="s">
        <v>4368</v>
      </c>
      <c r="D4372" s="6"/>
      <c r="E4372" t="str">
        <f>_xlfn.XLOOKUP(B4372,'2025-Q1'!$A$402:$A$448,'2025-Q1'!$A$402:$A$448,"avail")</f>
        <v>avail</v>
      </c>
      <c r="F4372" t="str">
        <f>_xlfn.XLOOKUP(B4372,'[2]!! -- Stock Universe 12.11.24'!$C$2:$C$1621,'[2]!! -- Stock Universe 12.11.24'!$E$2:$E$1621,"")</f>
        <v/>
      </c>
    </row>
    <row r="4373" spans="1:6" x14ac:dyDescent="0.25">
      <c r="A4373" s="140">
        <v>45741.625</v>
      </c>
      <c r="B4373" t="s">
        <v>4382</v>
      </c>
      <c r="C4373" t="s">
        <v>4368</v>
      </c>
      <c r="D4373" s="6"/>
      <c r="E4373" t="str">
        <f>_xlfn.XLOOKUP(B4373,'2025-Q1'!$A$402:$A$448,'2025-Q1'!$A$402:$A$448,"avail")</f>
        <v>avail</v>
      </c>
      <c r="F4373" t="str">
        <f>_xlfn.XLOOKUP(B4373,'[2]!! -- Stock Universe 12.11.24'!$C$2:$C$1621,'[2]!! -- Stock Universe 12.11.24'!$E$2:$E$1621,"")</f>
        <v/>
      </c>
    </row>
    <row r="4374" spans="1:6" x14ac:dyDescent="0.25">
      <c r="A4374" s="140">
        <v>45741.625</v>
      </c>
      <c r="B4374" t="s">
        <v>4380</v>
      </c>
      <c r="C4374" t="s">
        <v>4368</v>
      </c>
      <c r="D4374" s="6"/>
      <c r="E4374" t="str">
        <f>_xlfn.XLOOKUP(B4374,'2025-Q1'!$A$402:$A$448,'2025-Q1'!$A$402:$A$448,"avail")</f>
        <v>avail</v>
      </c>
      <c r="F4374" t="str">
        <f>_xlfn.XLOOKUP(B4374,'[2]!! -- Stock Universe 12.11.24'!$C$2:$C$1621,'[2]!! -- Stock Universe 12.11.24'!$E$2:$E$1621,"")</f>
        <v/>
      </c>
    </row>
    <row r="4375" spans="1:6" x14ac:dyDescent="0.25">
      <c r="A4375" s="140">
        <v>45741.625</v>
      </c>
      <c r="B4375" t="s">
        <v>4379</v>
      </c>
      <c r="C4375" t="s">
        <v>4368</v>
      </c>
      <c r="D4375" s="6"/>
      <c r="E4375" t="str">
        <f>_xlfn.XLOOKUP(B4375,'2025-Q1'!$A$402:$A$448,'2025-Q1'!$A$402:$A$448,"avail")</f>
        <v>avail</v>
      </c>
      <c r="F4375" t="str">
        <f>_xlfn.XLOOKUP(B4375,'[2]!! -- Stock Universe 12.11.24'!$C$2:$C$1621,'[2]!! -- Stock Universe 12.11.24'!$E$2:$E$1621,"")</f>
        <v/>
      </c>
    </row>
    <row r="4376" spans="1:6" x14ac:dyDescent="0.25">
      <c r="A4376" s="140">
        <v>45741.625</v>
      </c>
      <c r="B4376" t="s">
        <v>4381</v>
      </c>
      <c r="C4376" t="s">
        <v>4368</v>
      </c>
      <c r="D4376" s="6"/>
      <c r="E4376" t="str">
        <f>_xlfn.XLOOKUP(B4376,'2025-Q1'!$A$402:$A$448,'2025-Q1'!$A$402:$A$448,"avail")</f>
        <v>avail</v>
      </c>
      <c r="F4376" t="str">
        <f>_xlfn.XLOOKUP(B4376,'[2]!! -- Stock Universe 12.11.24'!$C$2:$C$1621,'[2]!! -- Stock Universe 12.11.24'!$E$2:$E$1621,"")</f>
        <v/>
      </c>
    </row>
    <row r="4377" spans="1:6" x14ac:dyDescent="0.25">
      <c r="A4377" s="140">
        <v>45741.625</v>
      </c>
      <c r="B4377" t="s">
        <v>4370</v>
      </c>
      <c r="C4377" t="s">
        <v>4368</v>
      </c>
      <c r="D4377" s="6"/>
      <c r="E4377" t="str">
        <f>_xlfn.XLOOKUP(B4377,'2025-Q1'!$A$402:$A$448,'2025-Q1'!$A$402:$A$448,"avail")</f>
        <v>avail</v>
      </c>
      <c r="F4377" t="str">
        <f>_xlfn.XLOOKUP(B4377,'[2]!! -- Stock Universe 12.11.24'!$C$2:$C$1621,'[2]!! -- Stock Universe 12.11.24'!$E$2:$E$1621,"")</f>
        <v/>
      </c>
    </row>
    <row r="4378" spans="1:6" x14ac:dyDescent="0.25">
      <c r="A4378" s="140">
        <v>45741.625</v>
      </c>
      <c r="B4378" t="s">
        <v>4374</v>
      </c>
      <c r="C4378" t="s">
        <v>4368</v>
      </c>
      <c r="D4378" s="6"/>
      <c r="E4378" t="str">
        <f>_xlfn.XLOOKUP(B4378,'2025-Q1'!$A$402:$A$448,'2025-Q1'!$A$402:$A$448,"avail")</f>
        <v>avail</v>
      </c>
      <c r="F4378" t="str">
        <f>_xlfn.XLOOKUP(B4378,'[2]!! -- Stock Universe 12.11.24'!$C$2:$C$1621,'[2]!! -- Stock Universe 12.11.24'!$E$2:$E$1621,"")</f>
        <v/>
      </c>
    </row>
    <row r="4379" spans="1:6" x14ac:dyDescent="0.25">
      <c r="A4379" s="140">
        <v>45741.625</v>
      </c>
      <c r="B4379" t="s">
        <v>4367</v>
      </c>
      <c r="C4379" t="s">
        <v>4368</v>
      </c>
      <c r="D4379" s="6"/>
      <c r="E4379" t="str">
        <f>_xlfn.XLOOKUP(B4379,'2025-Q1'!$A$402:$A$448,'2025-Q1'!$A$402:$A$448,"avail")</f>
        <v>avail</v>
      </c>
      <c r="F4379" t="str">
        <f>_xlfn.XLOOKUP(B4379,'[2]!! -- Stock Universe 12.11.24'!$C$2:$C$1621,'[2]!! -- Stock Universe 12.11.24'!$E$2:$E$1621,"")</f>
        <v/>
      </c>
    </row>
    <row r="4380" spans="1:6" x14ac:dyDescent="0.25">
      <c r="A4380" s="140">
        <v>45742.291666666664</v>
      </c>
      <c r="B4380" t="s">
        <v>4395</v>
      </c>
      <c r="C4380" t="s">
        <v>4383</v>
      </c>
      <c r="D4380" s="6"/>
      <c r="E4380" t="str">
        <f>_xlfn.XLOOKUP(B4380,'2025-Q1'!$A$402:$A$448,'2025-Q1'!$A$402:$A$448,"avail")</f>
        <v>avail</v>
      </c>
      <c r="F4380" t="str">
        <f>_xlfn.XLOOKUP(B4380,'[2]!! -- Stock Universe 12.11.24'!$C$2:$C$1621,'[2]!! -- Stock Universe 12.11.24'!$E$2:$E$1621,"")</f>
        <v/>
      </c>
    </row>
    <row r="4381" spans="1:6" x14ac:dyDescent="0.25">
      <c r="A4381" s="140">
        <v>45742.291666666664</v>
      </c>
      <c r="B4381" t="s">
        <v>4392</v>
      </c>
      <c r="C4381" t="s">
        <v>4383</v>
      </c>
      <c r="D4381" s="6"/>
      <c r="E4381" t="str">
        <f>_xlfn.XLOOKUP(B4381,'2025-Q1'!$A$402:$A$448,'2025-Q1'!$A$402:$A$448,"avail")</f>
        <v>avail</v>
      </c>
      <c r="F4381" t="str">
        <f>_xlfn.XLOOKUP(B4381,'[2]!! -- Stock Universe 12.11.24'!$C$2:$C$1621,'[2]!! -- Stock Universe 12.11.24'!$E$2:$E$1621,"")</f>
        <v/>
      </c>
    </row>
    <row r="4382" spans="1:6" x14ac:dyDescent="0.25">
      <c r="A4382" s="140">
        <v>45742.291666666664</v>
      </c>
      <c r="B4382" t="s">
        <v>4396</v>
      </c>
      <c r="C4382" t="s">
        <v>4383</v>
      </c>
      <c r="D4382" s="6"/>
      <c r="E4382" t="str">
        <f>_xlfn.XLOOKUP(B4382,'2025-Q1'!$A$402:$A$448,'2025-Q1'!$A$402:$A$448,"avail")</f>
        <v>avail</v>
      </c>
      <c r="F4382" t="str">
        <f>_xlfn.XLOOKUP(B4382,'[2]!! -- Stock Universe 12.11.24'!$C$2:$C$1621,'[2]!! -- Stock Universe 12.11.24'!$E$2:$E$1621,"")</f>
        <v/>
      </c>
    </row>
    <row r="4383" spans="1:6" x14ac:dyDescent="0.25">
      <c r="A4383" s="140">
        <v>45742.291666666664</v>
      </c>
      <c r="B4383" t="s">
        <v>4398</v>
      </c>
      <c r="C4383" t="s">
        <v>4383</v>
      </c>
      <c r="D4383" s="6"/>
      <c r="E4383" t="str">
        <f>_xlfn.XLOOKUP(B4383,'2025-Q1'!$A$402:$A$448,'2025-Q1'!$A$402:$A$448,"avail")</f>
        <v>avail</v>
      </c>
      <c r="F4383" t="str">
        <f>_xlfn.XLOOKUP(B4383,'[2]!! -- Stock Universe 12.11.24'!$C$2:$C$1621,'[2]!! -- Stock Universe 12.11.24'!$E$2:$E$1621,"")</f>
        <v/>
      </c>
    </row>
    <row r="4384" spans="1:6" x14ac:dyDescent="0.25">
      <c r="A4384" s="140">
        <v>45742.291666666664</v>
      </c>
      <c r="B4384" t="s">
        <v>4394</v>
      </c>
      <c r="C4384" t="s">
        <v>4390</v>
      </c>
      <c r="D4384" s="6"/>
      <c r="E4384" t="str">
        <f>_xlfn.XLOOKUP(B4384,'2025-Q1'!$A$402:$A$448,'2025-Q1'!$A$402:$A$448,"avail")</f>
        <v>avail</v>
      </c>
      <c r="F4384" t="str">
        <f>_xlfn.XLOOKUP(B4384,'[2]!! -- Stock Universe 12.11.24'!$C$2:$C$1621,'[2]!! -- Stock Universe 12.11.24'!$E$2:$E$1621,"")</f>
        <v/>
      </c>
    </row>
    <row r="4385" spans="1:6" x14ac:dyDescent="0.25">
      <c r="A4385" s="140">
        <v>45742.291666666664</v>
      </c>
      <c r="B4385" t="s">
        <v>1362</v>
      </c>
      <c r="C4385" t="s">
        <v>4383</v>
      </c>
      <c r="D4385" s="6"/>
      <c r="E4385" t="str">
        <f>_xlfn.XLOOKUP(B4385,'2025-Q1'!$A$402:$A$448,'2025-Q1'!$A$402:$A$448,"avail")</f>
        <v>avail</v>
      </c>
      <c r="F4385" t="str">
        <f>_xlfn.XLOOKUP(B4385,'[2]!! -- Stock Universe 12.11.24'!$C$2:$C$1621,'[2]!! -- Stock Universe 12.11.24'!$E$2:$E$1621,"")</f>
        <v>Industrials</v>
      </c>
    </row>
    <row r="4386" spans="1:6" x14ac:dyDescent="0.25">
      <c r="A4386" s="140">
        <v>45742.291666666664</v>
      </c>
      <c r="B4386" t="s">
        <v>4384</v>
      </c>
      <c r="C4386" t="s">
        <v>4383</v>
      </c>
      <c r="D4386" s="6"/>
      <c r="E4386" t="str">
        <f>_xlfn.XLOOKUP(B4386,'2025-Q1'!$A$402:$A$448,'2025-Q1'!$A$402:$A$448,"avail")</f>
        <v>avail</v>
      </c>
      <c r="F4386" t="str">
        <f>_xlfn.XLOOKUP(B4386,'[2]!! -- Stock Universe 12.11.24'!$C$2:$C$1621,'[2]!! -- Stock Universe 12.11.24'!$E$2:$E$1621,"")</f>
        <v/>
      </c>
    </row>
    <row r="4387" spans="1:6" x14ac:dyDescent="0.25">
      <c r="A4387" s="140">
        <v>45742.291666666664</v>
      </c>
      <c r="B4387" t="s">
        <v>4385</v>
      </c>
      <c r="C4387" t="s">
        <v>4383</v>
      </c>
      <c r="D4387" s="6"/>
      <c r="E4387" t="str">
        <f>_xlfn.XLOOKUP(B4387,'2025-Q1'!$A$402:$A$448,'2025-Q1'!$A$402:$A$448,"avail")</f>
        <v>avail</v>
      </c>
      <c r="F4387" t="str">
        <f>_xlfn.XLOOKUP(B4387,'[2]!! -- Stock Universe 12.11.24'!$C$2:$C$1621,'[2]!! -- Stock Universe 12.11.24'!$E$2:$E$1621,"")</f>
        <v/>
      </c>
    </row>
    <row r="4388" spans="1:6" x14ac:dyDescent="0.25">
      <c r="A4388" s="140">
        <v>45742.291666666664</v>
      </c>
      <c r="B4388" t="s">
        <v>4387</v>
      </c>
      <c r="C4388" t="s">
        <v>4383</v>
      </c>
      <c r="D4388" s="6"/>
      <c r="E4388" t="str">
        <f>_xlfn.XLOOKUP(B4388,'2025-Q1'!$A$402:$A$448,'2025-Q1'!$A$402:$A$448,"avail")</f>
        <v>avail</v>
      </c>
      <c r="F4388" t="str">
        <f>_xlfn.XLOOKUP(B4388,'[2]!! -- Stock Universe 12.11.24'!$C$2:$C$1621,'[2]!! -- Stock Universe 12.11.24'!$E$2:$E$1621,"")</f>
        <v/>
      </c>
    </row>
    <row r="4389" spans="1:6" x14ac:dyDescent="0.25">
      <c r="A4389" s="140">
        <v>45742.291666666664</v>
      </c>
      <c r="B4389" t="s">
        <v>4386</v>
      </c>
      <c r="C4389" t="s">
        <v>4383</v>
      </c>
      <c r="D4389" s="6"/>
      <c r="E4389" t="str">
        <f>_xlfn.XLOOKUP(B4389,'2025-Q1'!$A$402:$A$448,'2025-Q1'!$A$402:$A$448,"avail")</f>
        <v>avail</v>
      </c>
      <c r="F4389" t="str">
        <f>_xlfn.XLOOKUP(B4389,'[2]!! -- Stock Universe 12.11.24'!$C$2:$C$1621,'[2]!! -- Stock Universe 12.11.24'!$E$2:$E$1621,"")</f>
        <v/>
      </c>
    </row>
    <row r="4390" spans="1:6" x14ac:dyDescent="0.25">
      <c r="A4390" s="140">
        <v>45742.291666666664</v>
      </c>
      <c r="B4390" t="s">
        <v>4397</v>
      </c>
      <c r="C4390" t="s">
        <v>4390</v>
      </c>
      <c r="D4390" s="6"/>
      <c r="E4390" t="str">
        <f>_xlfn.XLOOKUP(B4390,'2025-Q1'!$A$402:$A$448,'2025-Q1'!$A$402:$A$448,"avail")</f>
        <v>avail</v>
      </c>
      <c r="F4390" t="str">
        <f>_xlfn.XLOOKUP(B4390,'[2]!! -- Stock Universe 12.11.24'!$C$2:$C$1621,'[2]!! -- Stock Universe 12.11.24'!$E$2:$E$1621,"")</f>
        <v/>
      </c>
    </row>
    <row r="4391" spans="1:6" x14ac:dyDescent="0.25">
      <c r="A4391" s="140">
        <v>45742.291666666664</v>
      </c>
      <c r="B4391" t="s">
        <v>2797</v>
      </c>
      <c r="C4391" t="s">
        <v>4383</v>
      </c>
      <c r="D4391" s="6"/>
      <c r="E4391" t="str">
        <f>_xlfn.XLOOKUP(B4391,'2025-Q1'!$A$402:$A$448,'2025-Q1'!$A$402:$A$448,"avail")</f>
        <v>avail</v>
      </c>
      <c r="F4391" t="str">
        <f>_xlfn.XLOOKUP(B4391,'[2]!! -- Stock Universe 12.11.24'!$C$2:$C$1621,'[2]!! -- Stock Universe 12.11.24'!$E$2:$E$1621,"")</f>
        <v/>
      </c>
    </row>
    <row r="4392" spans="1:6" x14ac:dyDescent="0.25">
      <c r="A4392" s="140">
        <v>45742.291666666664</v>
      </c>
      <c r="B4392" t="s">
        <v>4389</v>
      </c>
      <c r="C4392" t="s">
        <v>4390</v>
      </c>
      <c r="D4392" s="6"/>
      <c r="E4392" t="str">
        <f>_xlfn.XLOOKUP(B4392,'2025-Q1'!$A$402:$A$448,'2025-Q1'!$A$402:$A$448,"avail")</f>
        <v>avail</v>
      </c>
      <c r="F4392" t="str">
        <f>_xlfn.XLOOKUP(B4392,'[2]!! -- Stock Universe 12.11.24'!$C$2:$C$1621,'[2]!! -- Stock Universe 12.11.24'!$E$2:$E$1621,"")</f>
        <v/>
      </c>
    </row>
    <row r="4393" spans="1:6" x14ac:dyDescent="0.25">
      <c r="A4393" s="140">
        <v>45742.291666666664</v>
      </c>
      <c r="B4393" t="s">
        <v>4388</v>
      </c>
      <c r="C4393" t="s">
        <v>4383</v>
      </c>
      <c r="D4393" s="6"/>
      <c r="E4393" t="str">
        <f>_xlfn.XLOOKUP(B4393,'2025-Q1'!$A$402:$A$448,'2025-Q1'!$A$402:$A$448,"avail")</f>
        <v>avail</v>
      </c>
      <c r="F4393" t="str">
        <f>_xlfn.XLOOKUP(B4393,'[2]!! -- Stock Universe 12.11.24'!$C$2:$C$1621,'[2]!! -- Stock Universe 12.11.24'!$E$2:$E$1621,"")</f>
        <v/>
      </c>
    </row>
    <row r="4394" spans="1:6" x14ac:dyDescent="0.25">
      <c r="A4394" s="140">
        <v>45742.291666666664</v>
      </c>
      <c r="B4394" t="s">
        <v>4391</v>
      </c>
      <c r="C4394" t="s">
        <v>4383</v>
      </c>
      <c r="D4394" s="6"/>
      <c r="E4394" t="str">
        <f>_xlfn.XLOOKUP(B4394,'2025-Q1'!$A$402:$A$448,'2025-Q1'!$A$402:$A$448,"avail")</f>
        <v>avail</v>
      </c>
      <c r="F4394" t="str">
        <f>_xlfn.XLOOKUP(B4394,'[2]!! -- Stock Universe 12.11.24'!$C$2:$C$1621,'[2]!! -- Stock Universe 12.11.24'!$E$2:$E$1621,"")</f>
        <v>Healthcare</v>
      </c>
    </row>
    <row r="4395" spans="1:6" x14ac:dyDescent="0.25">
      <c r="A4395" s="140">
        <v>45742.625</v>
      </c>
      <c r="B4395" t="s">
        <v>1907</v>
      </c>
      <c r="C4395" t="s">
        <v>4400</v>
      </c>
      <c r="D4395" s="6"/>
      <c r="E4395" t="str">
        <f>_xlfn.XLOOKUP(B4395,'2025-Q1'!$A$402:$A$448,'2025-Q1'!$A$402:$A$448,"avail")</f>
        <v>avail</v>
      </c>
      <c r="F4395" t="str">
        <f>_xlfn.XLOOKUP(B4395,'[2]!! -- Stock Universe 12.11.24'!$C$2:$C$1621,'[2]!! -- Stock Universe 12.11.24'!$E$2:$E$1621,"")</f>
        <v>Consumer Cyclical</v>
      </c>
    </row>
    <row r="4396" spans="1:6" x14ac:dyDescent="0.25">
      <c r="A4396" s="140">
        <v>45742.625</v>
      </c>
      <c r="B4396" t="s">
        <v>4414</v>
      </c>
      <c r="C4396" t="s">
        <v>4400</v>
      </c>
      <c r="D4396" s="6"/>
      <c r="E4396" t="str">
        <f>_xlfn.XLOOKUP(B4396,'2025-Q1'!$A$402:$A$448,'2025-Q1'!$A$402:$A$448,"avail")</f>
        <v>avail</v>
      </c>
      <c r="F4396" t="str">
        <f>_xlfn.XLOOKUP(B4396,'[2]!! -- Stock Universe 12.11.24'!$C$2:$C$1621,'[2]!! -- Stock Universe 12.11.24'!$E$2:$E$1621,"")</f>
        <v>Healthcare</v>
      </c>
    </row>
    <row r="4397" spans="1:6" x14ac:dyDescent="0.25">
      <c r="A4397" s="140">
        <v>45742.625</v>
      </c>
      <c r="B4397" t="s">
        <v>970</v>
      </c>
      <c r="C4397" t="s">
        <v>4400</v>
      </c>
      <c r="D4397" s="6"/>
      <c r="E4397" t="str">
        <f>_xlfn.XLOOKUP(B4397,'2025-Q1'!$A$402:$A$448,'2025-Q1'!$A$402:$A$448,"avail")</f>
        <v>avail</v>
      </c>
      <c r="F4397" t="str">
        <f>_xlfn.XLOOKUP(B4397,'[2]!! -- Stock Universe 12.11.24'!$C$2:$C$1621,'[2]!! -- Stock Universe 12.11.24'!$E$2:$E$1621,"")</f>
        <v/>
      </c>
    </row>
    <row r="4398" spans="1:6" x14ac:dyDescent="0.25">
      <c r="A4398" s="140">
        <v>45742.625</v>
      </c>
      <c r="B4398" t="s">
        <v>1043</v>
      </c>
      <c r="C4398" t="s">
        <v>4400</v>
      </c>
      <c r="D4398" s="6"/>
      <c r="E4398" t="str">
        <f>_xlfn.XLOOKUP(B4398,'2025-Q1'!$A$402:$A$448,'2025-Q1'!$A$402:$A$448,"avail")</f>
        <v>avail</v>
      </c>
      <c r="F4398" t="str">
        <f>_xlfn.XLOOKUP(B4398,'[2]!! -- Stock Universe 12.11.24'!$C$2:$C$1621,'[2]!! -- Stock Universe 12.11.24'!$E$2:$E$1621,"")</f>
        <v>Healthcare</v>
      </c>
    </row>
    <row r="4399" spans="1:6" x14ac:dyDescent="0.25">
      <c r="A4399" s="140">
        <v>45742.625</v>
      </c>
      <c r="B4399" t="s">
        <v>4403</v>
      </c>
      <c r="C4399" t="s">
        <v>4400</v>
      </c>
      <c r="D4399" s="6"/>
      <c r="E4399" t="str">
        <f>_xlfn.XLOOKUP(B4399,'2025-Q1'!$A$402:$A$448,'2025-Q1'!$A$402:$A$448,"avail")</f>
        <v>avail</v>
      </c>
      <c r="F4399" t="str">
        <f>_xlfn.XLOOKUP(B4399,'[2]!! -- Stock Universe 12.11.24'!$C$2:$C$1621,'[2]!! -- Stock Universe 12.11.24'!$E$2:$E$1621,"")</f>
        <v/>
      </c>
    </row>
    <row r="4400" spans="1:6" x14ac:dyDescent="0.25">
      <c r="A4400" s="140">
        <v>45742.625</v>
      </c>
      <c r="B4400" t="s">
        <v>4410</v>
      </c>
      <c r="C4400" t="s">
        <v>4400</v>
      </c>
      <c r="D4400" s="6"/>
      <c r="E4400" t="str">
        <f>_xlfn.XLOOKUP(B4400,'2025-Q1'!$A$402:$A$448,'2025-Q1'!$A$402:$A$448,"avail")</f>
        <v>avail</v>
      </c>
      <c r="F4400" t="str">
        <f>_xlfn.XLOOKUP(B4400,'[2]!! -- Stock Universe 12.11.24'!$C$2:$C$1621,'[2]!! -- Stock Universe 12.11.24'!$E$2:$E$1621,"")</f>
        <v/>
      </c>
    </row>
    <row r="4401" spans="1:6" x14ac:dyDescent="0.25">
      <c r="A4401" s="140">
        <v>45742.625</v>
      </c>
      <c r="B4401" t="s">
        <v>4399</v>
      </c>
      <c r="C4401" t="s">
        <v>4400</v>
      </c>
      <c r="D4401" s="6"/>
      <c r="E4401" t="str">
        <f>_xlfn.XLOOKUP(B4401,'2025-Q1'!$A$402:$A$448,'2025-Q1'!$A$402:$A$448,"avail")</f>
        <v>avail</v>
      </c>
      <c r="F4401" t="str">
        <f>_xlfn.XLOOKUP(B4401,'[2]!! -- Stock Universe 12.11.24'!$C$2:$C$1621,'[2]!! -- Stock Universe 12.11.24'!$E$2:$E$1621,"")</f>
        <v/>
      </c>
    </row>
    <row r="4402" spans="1:6" x14ac:dyDescent="0.25">
      <c r="A4402" s="140">
        <v>45742.625</v>
      </c>
      <c r="B4402" t="s">
        <v>1230</v>
      </c>
      <c r="C4402" t="s">
        <v>4400</v>
      </c>
      <c r="D4402" s="6"/>
      <c r="E4402" t="str">
        <f>_xlfn.XLOOKUP(B4402,'2025-Q1'!$A$402:$A$448,'2025-Q1'!$A$402:$A$448,"avail")</f>
        <v>avail</v>
      </c>
      <c r="F4402" t="str">
        <f>_xlfn.XLOOKUP(B4402,'[2]!! -- Stock Universe 12.11.24'!$C$2:$C$1621,'[2]!! -- Stock Universe 12.11.24'!$E$2:$E$1621,"")</f>
        <v>Consumer Cyclical</v>
      </c>
    </row>
    <row r="4403" spans="1:6" x14ac:dyDescent="0.25">
      <c r="A4403" s="140">
        <v>45742.625</v>
      </c>
      <c r="B4403" t="s">
        <v>4413</v>
      </c>
      <c r="C4403" t="s">
        <v>4400</v>
      </c>
      <c r="D4403" s="6"/>
      <c r="E4403" t="str">
        <f>_xlfn.XLOOKUP(B4403,'2025-Q1'!$A$402:$A$448,'2025-Q1'!$A$402:$A$448,"avail")</f>
        <v>avail</v>
      </c>
      <c r="F4403" t="str">
        <f>_xlfn.XLOOKUP(B4403,'[2]!! -- Stock Universe 12.11.24'!$C$2:$C$1621,'[2]!! -- Stock Universe 12.11.24'!$E$2:$E$1621,"")</f>
        <v/>
      </c>
    </row>
    <row r="4404" spans="1:6" x14ac:dyDescent="0.25">
      <c r="A4404" s="140">
        <v>45742.625</v>
      </c>
      <c r="B4404" t="s">
        <v>4406</v>
      </c>
      <c r="C4404" t="s">
        <v>4400</v>
      </c>
      <c r="D4404" s="6"/>
      <c r="E4404" t="str">
        <f>_xlfn.XLOOKUP(B4404,'2025-Q1'!$A$402:$A$448,'2025-Q1'!$A$402:$A$448,"avail")</f>
        <v>avail</v>
      </c>
      <c r="F4404" t="str">
        <f>_xlfn.XLOOKUP(B4404,'[2]!! -- Stock Universe 12.11.24'!$C$2:$C$1621,'[2]!! -- Stock Universe 12.11.24'!$E$2:$E$1621,"")</f>
        <v/>
      </c>
    </row>
    <row r="4405" spans="1:6" x14ac:dyDescent="0.25">
      <c r="A4405" s="140">
        <v>45742.625</v>
      </c>
      <c r="B4405" t="s">
        <v>952</v>
      </c>
      <c r="C4405" t="s">
        <v>4400</v>
      </c>
      <c r="D4405" s="6"/>
      <c r="E4405" t="str">
        <f>_xlfn.XLOOKUP(B4405,'2025-Q1'!$A$402:$A$448,'2025-Q1'!$A$402:$A$448,"avail")</f>
        <v>avail</v>
      </c>
      <c r="F4405" t="str">
        <f>_xlfn.XLOOKUP(B4405,'[2]!! -- Stock Universe 12.11.24'!$C$2:$C$1621,'[2]!! -- Stock Universe 12.11.24'!$E$2:$E$1621,"")</f>
        <v>Healthcare</v>
      </c>
    </row>
    <row r="4406" spans="1:6" x14ac:dyDescent="0.25">
      <c r="A4406" s="140">
        <v>45742.625</v>
      </c>
      <c r="B4406" t="s">
        <v>4405</v>
      </c>
      <c r="C4406" t="s">
        <v>4400</v>
      </c>
      <c r="D4406" s="6"/>
      <c r="E4406" t="str">
        <f>_xlfn.XLOOKUP(B4406,'2025-Q1'!$A$402:$A$448,'2025-Q1'!$A$402:$A$448,"avail")</f>
        <v>avail</v>
      </c>
      <c r="F4406" t="str">
        <f>_xlfn.XLOOKUP(B4406,'[2]!! -- Stock Universe 12.11.24'!$C$2:$C$1621,'[2]!! -- Stock Universe 12.11.24'!$E$2:$E$1621,"")</f>
        <v>Technology</v>
      </c>
    </row>
    <row r="4407" spans="1:6" x14ac:dyDescent="0.25">
      <c r="A4407" s="140">
        <v>45742.625</v>
      </c>
      <c r="B4407" t="s">
        <v>4415</v>
      </c>
      <c r="C4407" t="s">
        <v>4400</v>
      </c>
      <c r="D4407" s="6"/>
      <c r="E4407" t="str">
        <f>_xlfn.XLOOKUP(B4407,'2025-Q1'!$A$402:$A$448,'2025-Q1'!$A$402:$A$448,"avail")</f>
        <v>avail</v>
      </c>
      <c r="F4407" t="str">
        <f>_xlfn.XLOOKUP(B4407,'[2]!! -- Stock Universe 12.11.24'!$C$2:$C$1621,'[2]!! -- Stock Universe 12.11.24'!$E$2:$E$1621,"")</f>
        <v/>
      </c>
    </row>
    <row r="4408" spans="1:6" x14ac:dyDescent="0.25">
      <c r="A4408" s="140">
        <v>45742.625</v>
      </c>
      <c r="B4408" t="s">
        <v>4416</v>
      </c>
      <c r="C4408" t="s">
        <v>4400</v>
      </c>
      <c r="D4408" s="6"/>
      <c r="E4408" t="str">
        <f>_xlfn.XLOOKUP(B4408,'2025-Q1'!$A$402:$A$448,'2025-Q1'!$A$402:$A$448,"avail")</f>
        <v>avail</v>
      </c>
      <c r="F4408" t="str">
        <f>_xlfn.XLOOKUP(B4408,'[2]!! -- Stock Universe 12.11.24'!$C$2:$C$1621,'[2]!! -- Stock Universe 12.11.24'!$E$2:$E$1621,"")</f>
        <v/>
      </c>
    </row>
    <row r="4409" spans="1:6" x14ac:dyDescent="0.25">
      <c r="A4409" s="140">
        <v>45742.625</v>
      </c>
      <c r="B4409" t="s">
        <v>2514</v>
      </c>
      <c r="C4409" t="s">
        <v>4400</v>
      </c>
      <c r="D4409" s="6"/>
      <c r="E4409" t="str">
        <f>_xlfn.XLOOKUP(B4409,'2025-Q1'!$A$402:$A$448,'2025-Q1'!$A$402:$A$448,"avail")</f>
        <v>avail</v>
      </c>
      <c r="F4409" t="str">
        <f>_xlfn.XLOOKUP(B4409,'[2]!! -- Stock Universe 12.11.24'!$C$2:$C$1621,'[2]!! -- Stock Universe 12.11.24'!$E$2:$E$1621,"")</f>
        <v>Technology</v>
      </c>
    </row>
    <row r="4410" spans="1:6" x14ac:dyDescent="0.25">
      <c r="A4410" s="140">
        <v>45742.625</v>
      </c>
      <c r="B4410" t="s">
        <v>4402</v>
      </c>
      <c r="C4410" t="s">
        <v>4400</v>
      </c>
      <c r="D4410" s="6"/>
      <c r="E4410" t="str">
        <f>_xlfn.XLOOKUP(B4410,'2025-Q1'!$A$402:$A$448,'2025-Q1'!$A$402:$A$448,"avail")</f>
        <v>avail</v>
      </c>
      <c r="F4410" t="str">
        <f>_xlfn.XLOOKUP(B4410,'[2]!! -- Stock Universe 12.11.24'!$C$2:$C$1621,'[2]!! -- Stock Universe 12.11.24'!$E$2:$E$1621,"")</f>
        <v/>
      </c>
    </row>
    <row r="4411" spans="1:6" x14ac:dyDescent="0.25">
      <c r="A4411" s="140">
        <v>45742.625</v>
      </c>
      <c r="B4411" t="s">
        <v>4401</v>
      </c>
      <c r="C4411" t="s">
        <v>4400</v>
      </c>
      <c r="D4411" s="6"/>
      <c r="E4411" t="str">
        <f>_xlfn.XLOOKUP(B4411,'2025-Q1'!$A$402:$A$448,'2025-Q1'!$A$402:$A$448,"avail")</f>
        <v>avail</v>
      </c>
      <c r="F4411" t="str">
        <f>_xlfn.XLOOKUP(B4411,'[2]!! -- Stock Universe 12.11.24'!$C$2:$C$1621,'[2]!! -- Stock Universe 12.11.24'!$E$2:$E$1621,"")</f>
        <v/>
      </c>
    </row>
    <row r="4412" spans="1:6" x14ac:dyDescent="0.25">
      <c r="A4412" s="140">
        <v>45742.625</v>
      </c>
      <c r="B4412" t="s">
        <v>1724</v>
      </c>
      <c r="C4412" t="s">
        <v>4400</v>
      </c>
      <c r="D4412" s="6"/>
      <c r="E4412" t="str">
        <f>_xlfn.XLOOKUP(B4412,'2025-Q1'!$A$402:$A$448,'2025-Q1'!$A$402:$A$448,"avail")</f>
        <v>avail</v>
      </c>
      <c r="F4412" t="str">
        <f>_xlfn.XLOOKUP(B4412,'[2]!! -- Stock Universe 12.11.24'!$C$2:$C$1621,'[2]!! -- Stock Universe 12.11.24'!$E$2:$E$1621,"")</f>
        <v/>
      </c>
    </row>
    <row r="4413" spans="1:6" x14ac:dyDescent="0.25">
      <c r="A4413" s="140">
        <v>45742.625</v>
      </c>
      <c r="B4413" t="s">
        <v>2390</v>
      </c>
      <c r="C4413" t="s">
        <v>4400</v>
      </c>
      <c r="D4413" s="6"/>
      <c r="E4413" t="str">
        <f>_xlfn.XLOOKUP(B4413,'2025-Q1'!$A$402:$A$448,'2025-Q1'!$A$402:$A$448,"avail")</f>
        <v>avail</v>
      </c>
      <c r="F4413" t="str">
        <f>_xlfn.XLOOKUP(B4413,'[2]!! -- Stock Universe 12.11.24'!$C$2:$C$1621,'[2]!! -- Stock Universe 12.11.24'!$E$2:$E$1621,"")</f>
        <v>Financial</v>
      </c>
    </row>
    <row r="4414" spans="1:6" x14ac:dyDescent="0.25">
      <c r="A4414" s="140">
        <v>45742.625</v>
      </c>
      <c r="B4414" t="s">
        <v>1210</v>
      </c>
      <c r="C4414" t="s">
        <v>4400</v>
      </c>
      <c r="D4414" s="6"/>
      <c r="E4414" t="str">
        <f>_xlfn.XLOOKUP(B4414,'2025-Q1'!$A$402:$A$448,'2025-Q1'!$A$402:$A$448,"avail")</f>
        <v>avail</v>
      </c>
      <c r="F4414" t="str">
        <f>_xlfn.XLOOKUP(B4414,'[2]!! -- Stock Universe 12.11.24'!$C$2:$C$1621,'[2]!! -- Stock Universe 12.11.24'!$E$2:$E$1621,"")</f>
        <v>Technology</v>
      </c>
    </row>
    <row r="4415" spans="1:6" x14ac:dyDescent="0.25">
      <c r="A4415" s="140">
        <v>45742.625</v>
      </c>
      <c r="B4415" t="s">
        <v>4407</v>
      </c>
      <c r="C4415" t="s">
        <v>4400</v>
      </c>
      <c r="D4415" s="6"/>
      <c r="E4415" t="str">
        <f>_xlfn.XLOOKUP(B4415,'2025-Q1'!$A$402:$A$448,'2025-Q1'!$A$402:$A$448,"avail")</f>
        <v>avail</v>
      </c>
      <c r="F4415" t="str">
        <f>_xlfn.XLOOKUP(B4415,'[2]!! -- Stock Universe 12.11.24'!$C$2:$C$1621,'[2]!! -- Stock Universe 12.11.24'!$E$2:$E$1621,"")</f>
        <v/>
      </c>
    </row>
    <row r="4416" spans="1:6" x14ac:dyDescent="0.25">
      <c r="A4416" s="140">
        <v>45742.625</v>
      </c>
      <c r="B4416" t="s">
        <v>4408</v>
      </c>
      <c r="C4416" t="s">
        <v>4400</v>
      </c>
      <c r="D4416" s="6"/>
      <c r="E4416" t="str">
        <f>_xlfn.XLOOKUP(B4416,'2025-Q1'!$A$402:$A$448,'2025-Q1'!$A$402:$A$448,"avail")</f>
        <v>avail</v>
      </c>
      <c r="F4416" t="str">
        <f>_xlfn.XLOOKUP(B4416,'[2]!! -- Stock Universe 12.11.24'!$C$2:$C$1621,'[2]!! -- Stock Universe 12.11.24'!$E$2:$E$1621,"")</f>
        <v/>
      </c>
    </row>
    <row r="4417" spans="1:6" x14ac:dyDescent="0.25">
      <c r="A4417" s="140">
        <v>45742.625</v>
      </c>
      <c r="B4417" t="s">
        <v>3406</v>
      </c>
      <c r="C4417" t="s">
        <v>4400</v>
      </c>
      <c r="D4417" s="6"/>
      <c r="E4417" t="str">
        <f>_xlfn.XLOOKUP(B4417,'2025-Q1'!$A$402:$A$448,'2025-Q1'!$A$402:$A$448,"avail")</f>
        <v>avail</v>
      </c>
      <c r="F4417" t="str">
        <f>_xlfn.XLOOKUP(B4417,'[2]!! -- Stock Universe 12.11.24'!$C$2:$C$1621,'[2]!! -- Stock Universe 12.11.24'!$E$2:$E$1621,"")</f>
        <v/>
      </c>
    </row>
    <row r="4418" spans="1:6" x14ac:dyDescent="0.25">
      <c r="A4418" s="140">
        <v>45742.625</v>
      </c>
      <c r="B4418" t="s">
        <v>4411</v>
      </c>
      <c r="C4418" t="s">
        <v>4400</v>
      </c>
      <c r="D4418" s="6"/>
      <c r="E4418" t="str">
        <f>_xlfn.XLOOKUP(B4418,'2025-Q1'!$A$402:$A$448,'2025-Q1'!$A$402:$A$448,"avail")</f>
        <v>avail</v>
      </c>
      <c r="F4418" t="str">
        <f>_xlfn.XLOOKUP(B4418,'[2]!! -- Stock Universe 12.11.24'!$C$2:$C$1621,'[2]!! -- Stock Universe 12.11.24'!$E$2:$E$1621,"")</f>
        <v/>
      </c>
    </row>
    <row r="4419" spans="1:6" x14ac:dyDescent="0.25">
      <c r="A4419" s="140">
        <v>45742.625</v>
      </c>
      <c r="B4419" t="s">
        <v>4412</v>
      </c>
      <c r="C4419" t="s">
        <v>4400</v>
      </c>
      <c r="D4419" s="6"/>
      <c r="E4419" t="str">
        <f>_xlfn.XLOOKUP(B4419,'2025-Q1'!$A$402:$A$448,'2025-Q1'!$A$402:$A$448,"avail")</f>
        <v>avail</v>
      </c>
      <c r="F4419" t="str">
        <f>_xlfn.XLOOKUP(B4419,'[2]!! -- Stock Universe 12.11.24'!$C$2:$C$1621,'[2]!! -- Stock Universe 12.11.24'!$E$2:$E$1621,"")</f>
        <v/>
      </c>
    </row>
    <row r="4420" spans="1:6" x14ac:dyDescent="0.25">
      <c r="A4420" s="140">
        <v>45743.291666666664</v>
      </c>
      <c r="B4420" t="s">
        <v>4466</v>
      </c>
      <c r="C4420" t="s">
        <v>4423</v>
      </c>
      <c r="D4420" s="6"/>
      <c r="E4420" t="str">
        <f>_xlfn.XLOOKUP(B4420,'2025-Q1'!$A$402:$A$448,'2025-Q1'!$A$402:$A$448,"avail")</f>
        <v>avail</v>
      </c>
      <c r="F4420" t="str">
        <f>_xlfn.XLOOKUP(B4420,'[2]!! -- Stock Universe 12.11.24'!$C$2:$C$1621,'[2]!! -- Stock Universe 12.11.24'!$E$2:$E$1621,"")</f>
        <v/>
      </c>
    </row>
    <row r="4421" spans="1:6" x14ac:dyDescent="0.25">
      <c r="A4421" s="140">
        <v>45743.291666666664</v>
      </c>
      <c r="B4421" t="s">
        <v>4444</v>
      </c>
      <c r="C4421" t="s">
        <v>4418</v>
      </c>
      <c r="D4421" s="6"/>
      <c r="E4421" t="str">
        <f>_xlfn.XLOOKUP(B4421,'2025-Q1'!$A$402:$A$448,'2025-Q1'!$A$402:$A$448,"avail")</f>
        <v>avail</v>
      </c>
      <c r="F4421" t="str">
        <f>_xlfn.XLOOKUP(B4421,'[2]!! -- Stock Universe 12.11.24'!$C$2:$C$1621,'[2]!! -- Stock Universe 12.11.24'!$E$2:$E$1621,"")</f>
        <v/>
      </c>
    </row>
    <row r="4422" spans="1:6" x14ac:dyDescent="0.25">
      <c r="A4422" s="140">
        <v>45743.291666666664</v>
      </c>
      <c r="B4422" t="s">
        <v>4441</v>
      </c>
      <c r="C4422" t="s">
        <v>4418</v>
      </c>
      <c r="D4422" s="6"/>
      <c r="E4422" t="str">
        <f>_xlfn.XLOOKUP(B4422,'2025-Q1'!$A$402:$A$448,'2025-Q1'!$A$402:$A$448,"avail")</f>
        <v>avail</v>
      </c>
      <c r="F4422" t="str">
        <f>_xlfn.XLOOKUP(B4422,'[2]!! -- Stock Universe 12.11.24'!$C$2:$C$1621,'[2]!! -- Stock Universe 12.11.24'!$E$2:$E$1621,"")</f>
        <v/>
      </c>
    </row>
    <row r="4423" spans="1:6" x14ac:dyDescent="0.25">
      <c r="A4423" s="140">
        <v>45743.291666666664</v>
      </c>
      <c r="B4423" t="s">
        <v>4422</v>
      </c>
      <c r="C4423" t="s">
        <v>4423</v>
      </c>
      <c r="D4423" s="6"/>
      <c r="E4423" t="str">
        <f>_xlfn.XLOOKUP(B4423,'2025-Q1'!$A$402:$A$448,'2025-Q1'!$A$402:$A$448,"avail")</f>
        <v>avail</v>
      </c>
      <c r="F4423" t="str">
        <f>_xlfn.XLOOKUP(B4423,'[2]!! -- Stock Universe 12.11.24'!$C$2:$C$1621,'[2]!! -- Stock Universe 12.11.24'!$E$2:$E$1621,"")</f>
        <v/>
      </c>
    </row>
    <row r="4424" spans="1:6" x14ac:dyDescent="0.25">
      <c r="A4424" s="140">
        <v>45743.291666666664</v>
      </c>
      <c r="B4424" t="s">
        <v>4449</v>
      </c>
      <c r="C4424" t="s">
        <v>4418</v>
      </c>
      <c r="D4424" s="6"/>
      <c r="E4424" t="str">
        <f>_xlfn.XLOOKUP(B4424,'2025-Q1'!$A$402:$A$448,'2025-Q1'!$A$402:$A$448,"avail")</f>
        <v>avail</v>
      </c>
      <c r="F4424" t="str">
        <f>_xlfn.XLOOKUP(B4424,'[2]!! -- Stock Universe 12.11.24'!$C$2:$C$1621,'[2]!! -- Stock Universe 12.11.24'!$E$2:$E$1621,"")</f>
        <v/>
      </c>
    </row>
    <row r="4425" spans="1:6" x14ac:dyDescent="0.25">
      <c r="A4425" s="140">
        <v>45743.291666666664</v>
      </c>
      <c r="B4425" t="s">
        <v>4448</v>
      </c>
      <c r="C4425" t="s">
        <v>4418</v>
      </c>
      <c r="D4425" s="6"/>
      <c r="E4425" t="str">
        <f>_xlfn.XLOOKUP(B4425,'2025-Q1'!$A$402:$A$448,'2025-Q1'!$A$402:$A$448,"avail")</f>
        <v>avail</v>
      </c>
      <c r="F4425" t="str">
        <f>_xlfn.XLOOKUP(B4425,'[2]!! -- Stock Universe 12.11.24'!$C$2:$C$1621,'[2]!! -- Stock Universe 12.11.24'!$E$2:$E$1621,"")</f>
        <v/>
      </c>
    </row>
    <row r="4426" spans="1:6" x14ac:dyDescent="0.25">
      <c r="A4426" s="140">
        <v>45743.291666666664</v>
      </c>
      <c r="B4426" t="s">
        <v>4463</v>
      </c>
      <c r="C4426" t="s">
        <v>4418</v>
      </c>
      <c r="D4426" s="6"/>
      <c r="E4426" t="str">
        <f>_xlfn.XLOOKUP(B4426,'2025-Q1'!$A$402:$A$448,'2025-Q1'!$A$402:$A$448,"avail")</f>
        <v>avail</v>
      </c>
      <c r="F4426" t="str">
        <f>_xlfn.XLOOKUP(B4426,'[2]!! -- Stock Universe 12.11.24'!$C$2:$C$1621,'[2]!! -- Stock Universe 12.11.24'!$E$2:$E$1621,"")</f>
        <v/>
      </c>
    </row>
    <row r="4427" spans="1:6" x14ac:dyDescent="0.25">
      <c r="A4427" s="140">
        <v>45743.291666666664</v>
      </c>
      <c r="B4427" t="s">
        <v>4459</v>
      </c>
      <c r="C4427" t="s">
        <v>4418</v>
      </c>
      <c r="D4427" s="6"/>
      <c r="E4427" t="str">
        <f>_xlfn.XLOOKUP(B4427,'2025-Q1'!$A$402:$A$448,'2025-Q1'!$A$402:$A$448,"avail")</f>
        <v>avail</v>
      </c>
      <c r="F4427" t="str">
        <f>_xlfn.XLOOKUP(B4427,'[2]!! -- Stock Universe 12.11.24'!$C$2:$C$1621,'[2]!! -- Stock Universe 12.11.24'!$E$2:$E$1621,"")</f>
        <v/>
      </c>
    </row>
    <row r="4428" spans="1:6" x14ac:dyDescent="0.25">
      <c r="A4428" s="140">
        <v>45743.291666666664</v>
      </c>
      <c r="B4428" t="s">
        <v>4458</v>
      </c>
      <c r="C4428" t="s">
        <v>4418</v>
      </c>
      <c r="D4428" s="6"/>
      <c r="E4428" t="str">
        <f>_xlfn.XLOOKUP(B4428,'2025-Q1'!$A$402:$A$448,'2025-Q1'!$A$402:$A$448,"avail")</f>
        <v>avail</v>
      </c>
      <c r="F4428" t="str">
        <f>_xlfn.XLOOKUP(B4428,'[2]!! -- Stock Universe 12.11.24'!$C$2:$C$1621,'[2]!! -- Stock Universe 12.11.24'!$E$2:$E$1621,"")</f>
        <v/>
      </c>
    </row>
    <row r="4429" spans="1:6" x14ac:dyDescent="0.25">
      <c r="A4429" s="140">
        <v>45743.291666666664</v>
      </c>
      <c r="B4429" t="s">
        <v>4456</v>
      </c>
      <c r="C4429" t="s">
        <v>4418</v>
      </c>
      <c r="D4429" s="6"/>
      <c r="E4429" t="str">
        <f>_xlfn.XLOOKUP(B4429,'2025-Q1'!$A$402:$A$448,'2025-Q1'!$A$402:$A$448,"avail")</f>
        <v>avail</v>
      </c>
      <c r="F4429" t="str">
        <f>_xlfn.XLOOKUP(B4429,'[2]!! -- Stock Universe 12.11.24'!$C$2:$C$1621,'[2]!! -- Stock Universe 12.11.24'!$E$2:$E$1621,"")</f>
        <v/>
      </c>
    </row>
    <row r="4430" spans="1:6" x14ac:dyDescent="0.25">
      <c r="A4430" s="140">
        <v>45743.291666666664</v>
      </c>
      <c r="B4430" t="s">
        <v>4460</v>
      </c>
      <c r="C4430" t="s">
        <v>4418</v>
      </c>
      <c r="D4430" s="6"/>
      <c r="E4430" t="str">
        <f>_xlfn.XLOOKUP(B4430,'2025-Q1'!$A$402:$A$448,'2025-Q1'!$A$402:$A$448,"avail")</f>
        <v>avail</v>
      </c>
      <c r="F4430" t="str">
        <f>_xlfn.XLOOKUP(B4430,'[2]!! -- Stock Universe 12.11.24'!$C$2:$C$1621,'[2]!! -- Stock Universe 12.11.24'!$E$2:$E$1621,"")</f>
        <v/>
      </c>
    </row>
    <row r="4431" spans="1:6" x14ac:dyDescent="0.25">
      <c r="A4431" s="140">
        <v>45743.291666666664</v>
      </c>
      <c r="B4431" t="s">
        <v>4455</v>
      </c>
      <c r="C4431" t="s">
        <v>4418</v>
      </c>
      <c r="D4431" s="6"/>
      <c r="E4431" t="str">
        <f>_xlfn.XLOOKUP(B4431,'2025-Q1'!$A$402:$A$448,'2025-Q1'!$A$402:$A$448,"avail")</f>
        <v>avail</v>
      </c>
      <c r="F4431" t="str">
        <f>_xlfn.XLOOKUP(B4431,'[2]!! -- Stock Universe 12.11.24'!$C$2:$C$1621,'[2]!! -- Stock Universe 12.11.24'!$E$2:$E$1621,"")</f>
        <v/>
      </c>
    </row>
    <row r="4432" spans="1:6" x14ac:dyDescent="0.25">
      <c r="A4432" s="140">
        <v>45743.291666666664</v>
      </c>
      <c r="B4432" t="s">
        <v>4470</v>
      </c>
      <c r="C4432" t="s">
        <v>4418</v>
      </c>
      <c r="D4432" s="6"/>
      <c r="E4432" t="str">
        <f>_xlfn.XLOOKUP(B4432,'2025-Q1'!$A$402:$A$448,'2025-Q1'!$A$402:$A$448,"avail")</f>
        <v>avail</v>
      </c>
      <c r="F4432" t="str">
        <f>_xlfn.XLOOKUP(B4432,'[2]!! -- Stock Universe 12.11.24'!$C$2:$C$1621,'[2]!! -- Stock Universe 12.11.24'!$E$2:$E$1621,"")</f>
        <v/>
      </c>
    </row>
    <row r="4433" spans="1:6" x14ac:dyDescent="0.25">
      <c r="A4433" s="140">
        <v>45743.291666666664</v>
      </c>
      <c r="B4433" t="s">
        <v>4462</v>
      </c>
      <c r="C4433" t="s">
        <v>4418</v>
      </c>
      <c r="D4433" s="6"/>
      <c r="E4433" t="str">
        <f>_xlfn.XLOOKUP(B4433,'2025-Q1'!$A$402:$A$448,'2025-Q1'!$A$402:$A$448,"avail")</f>
        <v>avail</v>
      </c>
      <c r="F4433" t="str">
        <f>_xlfn.XLOOKUP(B4433,'[2]!! -- Stock Universe 12.11.24'!$C$2:$C$1621,'[2]!! -- Stock Universe 12.11.24'!$E$2:$E$1621,"")</f>
        <v>Healthcare</v>
      </c>
    </row>
    <row r="4434" spans="1:6" x14ac:dyDescent="0.25">
      <c r="A4434" s="140">
        <v>45743.291666666664</v>
      </c>
      <c r="B4434" t="s">
        <v>4419</v>
      </c>
      <c r="C4434" t="s">
        <v>4418</v>
      </c>
      <c r="D4434" s="6"/>
      <c r="E4434" t="str">
        <f>_xlfn.XLOOKUP(B4434,'2025-Q1'!$A$402:$A$448,'2025-Q1'!$A$402:$A$448,"avail")</f>
        <v>avail</v>
      </c>
      <c r="F4434" t="str">
        <f>_xlfn.XLOOKUP(B4434,'[2]!! -- Stock Universe 12.11.24'!$C$2:$C$1621,'[2]!! -- Stock Universe 12.11.24'!$E$2:$E$1621,"")</f>
        <v/>
      </c>
    </row>
    <row r="4435" spans="1:6" x14ac:dyDescent="0.25">
      <c r="A4435" s="140">
        <v>45743.291666666664</v>
      </c>
      <c r="B4435" t="s">
        <v>4443</v>
      </c>
      <c r="C4435" t="s">
        <v>4418</v>
      </c>
      <c r="D4435" s="6"/>
      <c r="E4435" t="str">
        <f>_xlfn.XLOOKUP(B4435,'2025-Q1'!$A$402:$A$448,'2025-Q1'!$A$402:$A$448,"avail")</f>
        <v>avail</v>
      </c>
      <c r="F4435" t="str">
        <f>_xlfn.XLOOKUP(B4435,'[2]!! -- Stock Universe 12.11.24'!$C$2:$C$1621,'[2]!! -- Stock Universe 12.11.24'!$E$2:$E$1621,"")</f>
        <v/>
      </c>
    </row>
    <row r="4436" spans="1:6" x14ac:dyDescent="0.25">
      <c r="A4436" s="140">
        <v>45743.291666666664</v>
      </c>
      <c r="B4436" t="s">
        <v>4430</v>
      </c>
      <c r="C4436" t="s">
        <v>4423</v>
      </c>
      <c r="D4436" s="6"/>
      <c r="E4436" t="str">
        <f>_xlfn.XLOOKUP(B4436,'2025-Q1'!$A$402:$A$448,'2025-Q1'!$A$402:$A$448,"avail")</f>
        <v>avail</v>
      </c>
      <c r="F4436" t="str">
        <f>_xlfn.XLOOKUP(B4436,'[2]!! -- Stock Universe 12.11.24'!$C$2:$C$1621,'[2]!! -- Stock Universe 12.11.24'!$E$2:$E$1621,"")</f>
        <v/>
      </c>
    </row>
    <row r="4437" spans="1:6" x14ac:dyDescent="0.25">
      <c r="A4437" s="140">
        <v>45743.291666666664</v>
      </c>
      <c r="B4437" t="s">
        <v>4436</v>
      </c>
      <c r="C4437" t="s">
        <v>4418</v>
      </c>
      <c r="D4437" s="6"/>
      <c r="E4437" t="str">
        <f>_xlfn.XLOOKUP(B4437,'2025-Q1'!$A$402:$A$448,'2025-Q1'!$A$402:$A$448,"avail")</f>
        <v>avail</v>
      </c>
      <c r="F4437" t="str">
        <f>_xlfn.XLOOKUP(B4437,'[2]!! -- Stock Universe 12.11.24'!$C$2:$C$1621,'[2]!! -- Stock Universe 12.11.24'!$E$2:$E$1621,"")</f>
        <v/>
      </c>
    </row>
    <row r="4438" spans="1:6" x14ac:dyDescent="0.25">
      <c r="A4438" s="140">
        <v>45743.291666666664</v>
      </c>
      <c r="B4438" t="s">
        <v>1181</v>
      </c>
      <c r="C4438" t="s">
        <v>4418</v>
      </c>
      <c r="D4438" s="6"/>
      <c r="E4438" t="str">
        <f>_xlfn.XLOOKUP(B4438,'2025-Q1'!$A$402:$A$448,'2025-Q1'!$A$402:$A$448,"avail")</f>
        <v>avail</v>
      </c>
      <c r="F4438" t="str">
        <f>_xlfn.XLOOKUP(B4438,'[2]!! -- Stock Universe 12.11.24'!$C$2:$C$1621,'[2]!! -- Stock Universe 12.11.24'!$E$2:$E$1621,"")</f>
        <v>Consumer Cyclical</v>
      </c>
    </row>
    <row r="4439" spans="1:6" x14ac:dyDescent="0.25">
      <c r="A4439" s="140">
        <v>45743.291666666664</v>
      </c>
      <c r="B4439" t="s">
        <v>4469</v>
      </c>
      <c r="C4439" t="s">
        <v>4423</v>
      </c>
      <c r="D4439" s="6"/>
      <c r="E4439" t="str">
        <f>_xlfn.XLOOKUP(B4439,'2025-Q1'!$A$402:$A$448,'2025-Q1'!$A$402:$A$448,"avail")</f>
        <v>avail</v>
      </c>
      <c r="F4439" t="str">
        <f>_xlfn.XLOOKUP(B4439,'[2]!! -- Stock Universe 12.11.24'!$C$2:$C$1621,'[2]!! -- Stock Universe 12.11.24'!$E$2:$E$1621,"")</f>
        <v/>
      </c>
    </row>
    <row r="4440" spans="1:6" x14ac:dyDescent="0.25">
      <c r="A4440" s="140">
        <v>45743.291666666664</v>
      </c>
      <c r="B4440" t="s">
        <v>4435</v>
      </c>
      <c r="C4440" t="s">
        <v>4423</v>
      </c>
      <c r="D4440" s="6"/>
      <c r="E4440" t="str">
        <f>_xlfn.XLOOKUP(B4440,'2025-Q1'!$A$402:$A$448,'2025-Q1'!$A$402:$A$448,"avail")</f>
        <v>avail</v>
      </c>
      <c r="F4440" t="str">
        <f>_xlfn.XLOOKUP(B4440,'[2]!! -- Stock Universe 12.11.24'!$C$2:$C$1621,'[2]!! -- Stock Universe 12.11.24'!$E$2:$E$1621,"")</f>
        <v/>
      </c>
    </row>
    <row r="4441" spans="1:6" x14ac:dyDescent="0.25">
      <c r="A4441" s="140">
        <v>45743.291666666664</v>
      </c>
      <c r="B4441" t="s">
        <v>4434</v>
      </c>
      <c r="C4441" t="s">
        <v>4418</v>
      </c>
      <c r="D4441" s="6"/>
      <c r="E4441" t="str">
        <f>_xlfn.XLOOKUP(B4441,'2025-Q1'!$A$402:$A$448,'2025-Q1'!$A$402:$A$448,"avail")</f>
        <v>avail</v>
      </c>
      <c r="F4441" t="str">
        <f>_xlfn.XLOOKUP(B4441,'[2]!! -- Stock Universe 12.11.24'!$C$2:$C$1621,'[2]!! -- Stock Universe 12.11.24'!$E$2:$E$1621,"")</f>
        <v/>
      </c>
    </row>
    <row r="4442" spans="1:6" x14ac:dyDescent="0.25">
      <c r="A4442" s="140">
        <v>45743.291666666664</v>
      </c>
      <c r="B4442" t="s">
        <v>4424</v>
      </c>
      <c r="C4442" t="s">
        <v>4418</v>
      </c>
      <c r="D4442" s="6"/>
      <c r="E4442" t="str">
        <f>_xlfn.XLOOKUP(B4442,'2025-Q1'!$A$402:$A$448,'2025-Q1'!$A$402:$A$448,"avail")</f>
        <v>avail</v>
      </c>
      <c r="F4442" t="str">
        <f>_xlfn.XLOOKUP(B4442,'[2]!! -- Stock Universe 12.11.24'!$C$2:$C$1621,'[2]!! -- Stock Universe 12.11.24'!$E$2:$E$1621,"")</f>
        <v/>
      </c>
    </row>
    <row r="4443" spans="1:6" x14ac:dyDescent="0.25">
      <c r="A4443" s="140">
        <v>45743.291666666664</v>
      </c>
      <c r="B4443" t="s">
        <v>1610</v>
      </c>
      <c r="C4443" t="s">
        <v>4418</v>
      </c>
      <c r="D4443" s="6"/>
      <c r="E4443" t="str">
        <f>_xlfn.XLOOKUP(B4443,'2025-Q1'!$A$402:$A$448,'2025-Q1'!$A$402:$A$448,"avail")</f>
        <v>avail</v>
      </c>
      <c r="F4443" t="str">
        <f>_xlfn.XLOOKUP(B4443,'[2]!! -- Stock Universe 12.11.24'!$C$2:$C$1621,'[2]!! -- Stock Universe 12.11.24'!$E$2:$E$1621,"")</f>
        <v>Healthcare</v>
      </c>
    </row>
    <row r="4444" spans="1:6" x14ac:dyDescent="0.25">
      <c r="A4444" s="140">
        <v>45743.291666666664</v>
      </c>
      <c r="B4444" t="s">
        <v>4440</v>
      </c>
      <c r="C4444" t="s">
        <v>4418</v>
      </c>
      <c r="D4444" s="6"/>
      <c r="E4444" t="str">
        <f>_xlfn.XLOOKUP(B4444,'2025-Q1'!$A$402:$A$448,'2025-Q1'!$A$402:$A$448,"avail")</f>
        <v>avail</v>
      </c>
      <c r="F4444" t="str">
        <f>_xlfn.XLOOKUP(B4444,'[2]!! -- Stock Universe 12.11.24'!$C$2:$C$1621,'[2]!! -- Stock Universe 12.11.24'!$E$2:$E$1621,"")</f>
        <v/>
      </c>
    </row>
    <row r="4445" spans="1:6" x14ac:dyDescent="0.25">
      <c r="A4445" s="140">
        <v>45743.291666666664</v>
      </c>
      <c r="B4445" t="s">
        <v>2541</v>
      </c>
      <c r="C4445" t="s">
        <v>4423</v>
      </c>
      <c r="D4445" s="6"/>
      <c r="E4445" t="str">
        <f>_xlfn.XLOOKUP(B4445,'2025-Q1'!$A$402:$A$448,'2025-Q1'!$A$402:$A$448,"avail")</f>
        <v>avail</v>
      </c>
      <c r="F4445" t="str">
        <f>_xlfn.XLOOKUP(B4445,'[2]!! -- Stock Universe 12.11.24'!$C$2:$C$1621,'[2]!! -- Stock Universe 12.11.24'!$E$2:$E$1621,"")</f>
        <v/>
      </c>
    </row>
    <row r="4446" spans="1:6" x14ac:dyDescent="0.25">
      <c r="A4446" s="140">
        <v>45743.291666666664</v>
      </c>
      <c r="B4446" t="s">
        <v>4446</v>
      </c>
      <c r="C4446" t="s">
        <v>4418</v>
      </c>
      <c r="D4446" s="6"/>
      <c r="E4446" t="str">
        <f>_xlfn.XLOOKUP(B4446,'2025-Q1'!$A$402:$A$448,'2025-Q1'!$A$402:$A$448,"avail")</f>
        <v>avail</v>
      </c>
      <c r="F4446" t="str">
        <f>_xlfn.XLOOKUP(B4446,'[2]!! -- Stock Universe 12.11.24'!$C$2:$C$1621,'[2]!! -- Stock Universe 12.11.24'!$E$2:$E$1621,"")</f>
        <v/>
      </c>
    </row>
    <row r="4447" spans="1:6" x14ac:dyDescent="0.25">
      <c r="A4447" s="140">
        <v>45743.291666666664</v>
      </c>
      <c r="B4447" t="s">
        <v>4451</v>
      </c>
      <c r="C4447" t="s">
        <v>4418</v>
      </c>
      <c r="D4447" s="6"/>
      <c r="E4447" t="str">
        <f>_xlfn.XLOOKUP(B4447,'2025-Q1'!$A$402:$A$448,'2025-Q1'!$A$402:$A$448,"avail")</f>
        <v>avail</v>
      </c>
      <c r="F4447" t="str">
        <f>_xlfn.XLOOKUP(B4447,'[2]!! -- Stock Universe 12.11.24'!$C$2:$C$1621,'[2]!! -- Stock Universe 12.11.24'!$E$2:$E$1621,"")</f>
        <v/>
      </c>
    </row>
    <row r="4448" spans="1:6" x14ac:dyDescent="0.25">
      <c r="A4448" s="140">
        <v>45743.291666666664</v>
      </c>
      <c r="B4448" t="s">
        <v>4442</v>
      </c>
      <c r="C4448" t="s">
        <v>4418</v>
      </c>
      <c r="D4448" s="6"/>
      <c r="E4448" t="str">
        <f>_xlfn.XLOOKUP(B4448,'2025-Q1'!$A$402:$A$448,'2025-Q1'!$A$402:$A$448,"avail")</f>
        <v>avail</v>
      </c>
      <c r="F4448" t="str">
        <f>_xlfn.XLOOKUP(B4448,'[2]!! -- Stock Universe 12.11.24'!$C$2:$C$1621,'[2]!! -- Stock Universe 12.11.24'!$E$2:$E$1621,"")</f>
        <v/>
      </c>
    </row>
    <row r="4449" spans="1:6" x14ac:dyDescent="0.25">
      <c r="A4449" s="140">
        <v>45743.291666666664</v>
      </c>
      <c r="B4449" t="s">
        <v>4445</v>
      </c>
      <c r="C4449" t="s">
        <v>4418</v>
      </c>
      <c r="D4449" s="6"/>
      <c r="E4449" t="str">
        <f>_xlfn.XLOOKUP(B4449,'2025-Q1'!$A$402:$A$448,'2025-Q1'!$A$402:$A$448,"avail")</f>
        <v>avail</v>
      </c>
      <c r="F4449" t="str">
        <f>_xlfn.XLOOKUP(B4449,'[2]!! -- Stock Universe 12.11.24'!$C$2:$C$1621,'[2]!! -- Stock Universe 12.11.24'!$E$2:$E$1621,"")</f>
        <v/>
      </c>
    </row>
    <row r="4450" spans="1:6" x14ac:dyDescent="0.25">
      <c r="A4450" s="140">
        <v>45743.291666666664</v>
      </c>
      <c r="B4450" t="s">
        <v>4450</v>
      </c>
      <c r="C4450" t="s">
        <v>4418</v>
      </c>
      <c r="D4450" s="6"/>
      <c r="E4450" t="str">
        <f>_xlfn.XLOOKUP(B4450,'2025-Q1'!$A$402:$A$448,'2025-Q1'!$A$402:$A$448,"avail")</f>
        <v>avail</v>
      </c>
      <c r="F4450" t="str">
        <f>_xlfn.XLOOKUP(B4450,'[2]!! -- Stock Universe 12.11.24'!$C$2:$C$1621,'[2]!! -- Stock Universe 12.11.24'!$E$2:$E$1621,"")</f>
        <v/>
      </c>
    </row>
    <row r="4451" spans="1:6" x14ac:dyDescent="0.25">
      <c r="A4451" s="140">
        <v>45743.291666666664</v>
      </c>
      <c r="B4451" t="s">
        <v>4454</v>
      </c>
      <c r="C4451" t="s">
        <v>4418</v>
      </c>
      <c r="D4451" s="6"/>
      <c r="E4451" t="str">
        <f>_xlfn.XLOOKUP(B4451,'2025-Q1'!$A$402:$A$448,'2025-Q1'!$A$402:$A$448,"avail")</f>
        <v>avail</v>
      </c>
      <c r="F4451" t="str">
        <f>_xlfn.XLOOKUP(B4451,'[2]!! -- Stock Universe 12.11.24'!$C$2:$C$1621,'[2]!! -- Stock Universe 12.11.24'!$E$2:$E$1621,"")</f>
        <v/>
      </c>
    </row>
    <row r="4452" spans="1:6" x14ac:dyDescent="0.25">
      <c r="A4452" s="140">
        <v>45743.291666666664</v>
      </c>
      <c r="B4452" t="s">
        <v>4421</v>
      </c>
      <c r="C4452" t="s">
        <v>4418</v>
      </c>
      <c r="D4452" s="6"/>
      <c r="E4452" t="str">
        <f>_xlfn.XLOOKUP(B4452,'2025-Q1'!$A$402:$A$448,'2025-Q1'!$A$402:$A$448,"avail")</f>
        <v>avail</v>
      </c>
      <c r="F4452" t="str">
        <f>_xlfn.XLOOKUP(B4452,'[2]!! -- Stock Universe 12.11.24'!$C$2:$C$1621,'[2]!! -- Stock Universe 12.11.24'!$E$2:$E$1621,"")</f>
        <v/>
      </c>
    </row>
    <row r="4453" spans="1:6" x14ac:dyDescent="0.25">
      <c r="A4453" s="140">
        <v>45743.291666666664</v>
      </c>
      <c r="B4453" t="s">
        <v>4452</v>
      </c>
      <c r="C4453" t="s">
        <v>4418</v>
      </c>
      <c r="D4453" s="6"/>
      <c r="E4453" t="str">
        <f>_xlfn.XLOOKUP(B4453,'2025-Q1'!$A$402:$A$448,'2025-Q1'!$A$402:$A$448,"avail")</f>
        <v>avail</v>
      </c>
      <c r="F4453" t="str">
        <f>_xlfn.XLOOKUP(B4453,'[2]!! -- Stock Universe 12.11.24'!$C$2:$C$1621,'[2]!! -- Stock Universe 12.11.24'!$E$2:$E$1621,"")</f>
        <v/>
      </c>
    </row>
    <row r="4454" spans="1:6" x14ac:dyDescent="0.25">
      <c r="A4454" s="140">
        <v>45743.291666666664</v>
      </c>
      <c r="B4454" t="s">
        <v>4453</v>
      </c>
      <c r="C4454" t="s">
        <v>4418</v>
      </c>
      <c r="D4454" s="6"/>
      <c r="E4454" t="str">
        <f>_xlfn.XLOOKUP(B4454,'2025-Q1'!$A$402:$A$448,'2025-Q1'!$A$402:$A$448,"avail")</f>
        <v>avail</v>
      </c>
      <c r="F4454" t="str">
        <f>_xlfn.XLOOKUP(B4454,'[2]!! -- Stock Universe 12.11.24'!$C$2:$C$1621,'[2]!! -- Stock Universe 12.11.24'!$E$2:$E$1621,"")</f>
        <v/>
      </c>
    </row>
    <row r="4455" spans="1:6" x14ac:dyDescent="0.25">
      <c r="A4455" s="140">
        <v>45743.291666666664</v>
      </c>
      <c r="B4455" t="s">
        <v>4428</v>
      </c>
      <c r="C4455" t="s">
        <v>4418</v>
      </c>
      <c r="D4455" s="6"/>
      <c r="E4455" t="str">
        <f>_xlfn.XLOOKUP(B4455,'2025-Q1'!$A$402:$A$448,'2025-Q1'!$A$402:$A$448,"avail")</f>
        <v>avail</v>
      </c>
      <c r="F4455" t="str">
        <f>_xlfn.XLOOKUP(B4455,'[2]!! -- Stock Universe 12.11.24'!$C$2:$C$1621,'[2]!! -- Stock Universe 12.11.24'!$E$2:$E$1621,"")</f>
        <v/>
      </c>
    </row>
    <row r="4456" spans="1:6" x14ac:dyDescent="0.25">
      <c r="A4456" s="140">
        <v>45743.291666666664</v>
      </c>
      <c r="B4456" t="s">
        <v>4447</v>
      </c>
      <c r="C4456" t="s">
        <v>4418</v>
      </c>
      <c r="D4456" s="6"/>
      <c r="E4456" t="str">
        <f>_xlfn.XLOOKUP(B4456,'2025-Q1'!$A$402:$A$448,'2025-Q1'!$A$402:$A$448,"avail")</f>
        <v>avail</v>
      </c>
      <c r="F4456" t="str">
        <f>_xlfn.XLOOKUP(B4456,'[2]!! -- Stock Universe 12.11.24'!$C$2:$C$1621,'[2]!! -- Stock Universe 12.11.24'!$E$2:$E$1621,"")</f>
        <v/>
      </c>
    </row>
    <row r="4457" spans="1:6" x14ac:dyDescent="0.25">
      <c r="A4457" s="140">
        <v>45743.291666666664</v>
      </c>
      <c r="B4457" t="s">
        <v>4425</v>
      </c>
      <c r="C4457" t="s">
        <v>4423</v>
      </c>
      <c r="D4457" s="6"/>
      <c r="E4457" t="str">
        <f>_xlfn.XLOOKUP(B4457,'2025-Q1'!$A$402:$A$448,'2025-Q1'!$A$402:$A$448,"avail")</f>
        <v>avail</v>
      </c>
      <c r="F4457" t="str">
        <f>_xlfn.XLOOKUP(B4457,'[2]!! -- Stock Universe 12.11.24'!$C$2:$C$1621,'[2]!! -- Stock Universe 12.11.24'!$E$2:$E$1621,"")</f>
        <v/>
      </c>
    </row>
    <row r="4458" spans="1:6" x14ac:dyDescent="0.25">
      <c r="A4458" s="140">
        <v>45743.291666666664</v>
      </c>
      <c r="B4458" t="s">
        <v>4461</v>
      </c>
      <c r="C4458" t="s">
        <v>4418</v>
      </c>
      <c r="D4458" s="6"/>
      <c r="E4458" t="str">
        <f>_xlfn.XLOOKUP(B4458,'2025-Q1'!$A$402:$A$448,'2025-Q1'!$A$402:$A$448,"avail")</f>
        <v>avail</v>
      </c>
      <c r="F4458" t="str">
        <f>_xlfn.XLOOKUP(B4458,'[2]!! -- Stock Universe 12.11.24'!$C$2:$C$1621,'[2]!! -- Stock Universe 12.11.24'!$E$2:$E$1621,"")</f>
        <v/>
      </c>
    </row>
    <row r="4459" spans="1:6" x14ac:dyDescent="0.25">
      <c r="A4459" s="140">
        <v>45743.291666666664</v>
      </c>
      <c r="B4459" t="s">
        <v>4439</v>
      </c>
      <c r="C4459" t="s">
        <v>4418</v>
      </c>
      <c r="D4459" s="6"/>
      <c r="E4459" t="str">
        <f>_xlfn.XLOOKUP(B4459,'2025-Q1'!$A$402:$A$448,'2025-Q1'!$A$402:$A$448,"avail")</f>
        <v>avail</v>
      </c>
      <c r="F4459" t="str">
        <f>_xlfn.XLOOKUP(B4459,'[2]!! -- Stock Universe 12.11.24'!$C$2:$C$1621,'[2]!! -- Stock Universe 12.11.24'!$E$2:$E$1621,"")</f>
        <v/>
      </c>
    </row>
    <row r="4460" spans="1:6" x14ac:dyDescent="0.25">
      <c r="A4460" s="140">
        <v>45743.291666666664</v>
      </c>
      <c r="B4460" t="s">
        <v>1056</v>
      </c>
      <c r="C4460" t="s">
        <v>4418</v>
      </c>
      <c r="D4460" s="6"/>
      <c r="E4460" t="str">
        <f>_xlfn.XLOOKUP(B4460,'2025-Q1'!$A$402:$A$448,'2025-Q1'!$A$402:$A$448,"avail")</f>
        <v>avail</v>
      </c>
      <c r="F4460" t="str">
        <f>_xlfn.XLOOKUP(B4460,'[2]!! -- Stock Universe 12.11.24'!$C$2:$C$1621,'[2]!! -- Stock Universe 12.11.24'!$E$2:$E$1621,"")</f>
        <v/>
      </c>
    </row>
    <row r="4461" spans="1:6" x14ac:dyDescent="0.25">
      <c r="A4461" s="140">
        <v>45743.291666666664</v>
      </c>
      <c r="B4461" t="s">
        <v>4420</v>
      </c>
      <c r="C4461" t="s">
        <v>4418</v>
      </c>
      <c r="D4461" s="6"/>
      <c r="E4461" t="str">
        <f>_xlfn.XLOOKUP(B4461,'2025-Q1'!$A$402:$A$448,'2025-Q1'!$A$402:$A$448,"avail")</f>
        <v>avail</v>
      </c>
      <c r="F4461" t="str">
        <f>_xlfn.XLOOKUP(B4461,'[2]!! -- Stock Universe 12.11.24'!$C$2:$C$1621,'[2]!! -- Stock Universe 12.11.24'!$E$2:$E$1621,"")</f>
        <v/>
      </c>
    </row>
    <row r="4462" spans="1:6" x14ac:dyDescent="0.25">
      <c r="A4462" s="140">
        <v>45743.291666666664</v>
      </c>
      <c r="B4462" t="s">
        <v>4427</v>
      </c>
      <c r="C4462" t="s">
        <v>4418</v>
      </c>
      <c r="D4462" s="6"/>
      <c r="E4462" t="str">
        <f>_xlfn.XLOOKUP(B4462,'2025-Q1'!$A$402:$A$448,'2025-Q1'!$A$402:$A$448,"avail")</f>
        <v>avail</v>
      </c>
      <c r="F4462" t="str">
        <f>_xlfn.XLOOKUP(B4462,'[2]!! -- Stock Universe 12.11.24'!$C$2:$C$1621,'[2]!! -- Stock Universe 12.11.24'!$E$2:$E$1621,"")</f>
        <v/>
      </c>
    </row>
    <row r="4463" spans="1:6" x14ac:dyDescent="0.25">
      <c r="A4463" s="140">
        <v>45743.291666666664</v>
      </c>
      <c r="B4463" t="s">
        <v>4467</v>
      </c>
      <c r="C4463" t="s">
        <v>4418</v>
      </c>
      <c r="D4463" s="6"/>
      <c r="E4463" t="str">
        <f>_xlfn.XLOOKUP(B4463,'2025-Q1'!$A$402:$A$448,'2025-Q1'!$A$402:$A$448,"avail")</f>
        <v>avail</v>
      </c>
      <c r="F4463" t="str">
        <f>_xlfn.XLOOKUP(B4463,'[2]!! -- Stock Universe 12.11.24'!$C$2:$C$1621,'[2]!! -- Stock Universe 12.11.24'!$E$2:$E$1621,"")</f>
        <v/>
      </c>
    </row>
    <row r="4464" spans="1:6" x14ac:dyDescent="0.25">
      <c r="A4464" s="140">
        <v>45743.291666666664</v>
      </c>
      <c r="B4464" t="s">
        <v>4429</v>
      </c>
      <c r="C4464" t="s">
        <v>4418</v>
      </c>
      <c r="D4464" s="6"/>
      <c r="E4464" t="str">
        <f>_xlfn.XLOOKUP(B4464,'2025-Q1'!$A$402:$A$448,'2025-Q1'!$A$402:$A$448,"avail")</f>
        <v>avail</v>
      </c>
      <c r="F4464" t="str">
        <f>_xlfn.XLOOKUP(B4464,'[2]!! -- Stock Universe 12.11.24'!$C$2:$C$1621,'[2]!! -- Stock Universe 12.11.24'!$E$2:$E$1621,"")</f>
        <v/>
      </c>
    </row>
    <row r="4465" spans="1:6" x14ac:dyDescent="0.25">
      <c r="A4465" s="140">
        <v>45743.291666666664</v>
      </c>
      <c r="B4465" t="s">
        <v>2302</v>
      </c>
      <c r="C4465" t="s">
        <v>4418</v>
      </c>
      <c r="D4465" s="6"/>
      <c r="E4465" t="str">
        <f>_xlfn.XLOOKUP(B4465,'2025-Q1'!$A$402:$A$448,'2025-Q1'!$A$402:$A$448,"avail")</f>
        <v>avail</v>
      </c>
      <c r="F4465" t="str">
        <f>_xlfn.XLOOKUP(B4465,'[2]!! -- Stock Universe 12.11.24'!$C$2:$C$1621,'[2]!! -- Stock Universe 12.11.24'!$E$2:$E$1621,"")</f>
        <v/>
      </c>
    </row>
    <row r="4466" spans="1:6" x14ac:dyDescent="0.25">
      <c r="A4466" s="140">
        <v>45743.291666666664</v>
      </c>
      <c r="B4466" t="s">
        <v>4431</v>
      </c>
      <c r="C4466" t="s">
        <v>4423</v>
      </c>
      <c r="D4466" s="6"/>
      <c r="E4466" t="str">
        <f>_xlfn.XLOOKUP(B4466,'2025-Q1'!$A$402:$A$448,'2025-Q1'!$A$402:$A$448,"avail")</f>
        <v>avail</v>
      </c>
      <c r="F4466" t="str">
        <f>_xlfn.XLOOKUP(B4466,'[2]!! -- Stock Universe 12.11.24'!$C$2:$C$1621,'[2]!! -- Stock Universe 12.11.24'!$E$2:$E$1621,"")</f>
        <v/>
      </c>
    </row>
    <row r="4467" spans="1:6" x14ac:dyDescent="0.25">
      <c r="A4467" s="140">
        <v>45743.291666666664</v>
      </c>
      <c r="B4467" t="s">
        <v>4433</v>
      </c>
      <c r="C4467" t="s">
        <v>4418</v>
      </c>
      <c r="D4467" s="6"/>
      <c r="E4467" t="str">
        <f>_xlfn.XLOOKUP(B4467,'2025-Q1'!$A$402:$A$448,'2025-Q1'!$A$402:$A$448,"avail")</f>
        <v>avail</v>
      </c>
      <c r="F4467" t="str">
        <f>_xlfn.XLOOKUP(B4467,'[2]!! -- Stock Universe 12.11.24'!$C$2:$C$1621,'[2]!! -- Stock Universe 12.11.24'!$E$2:$E$1621,"")</f>
        <v/>
      </c>
    </row>
    <row r="4468" spans="1:6" x14ac:dyDescent="0.25">
      <c r="A4468" s="140">
        <v>45743.291666666664</v>
      </c>
      <c r="B4468" t="s">
        <v>923</v>
      </c>
      <c r="C4468" t="s">
        <v>4418</v>
      </c>
      <c r="D4468" s="6"/>
      <c r="E4468" t="str">
        <f>_xlfn.XLOOKUP(B4468,'2025-Q1'!$A$402:$A$448,'2025-Q1'!$A$402:$A$448,"avail")</f>
        <v>avail</v>
      </c>
      <c r="F4468" t="str">
        <f>_xlfn.XLOOKUP(B4468,'[2]!! -- Stock Universe 12.11.24'!$C$2:$C$1621,'[2]!! -- Stock Universe 12.11.24'!$E$2:$E$1621,"")</f>
        <v>Healthcare</v>
      </c>
    </row>
    <row r="4469" spans="1:6" x14ac:dyDescent="0.25">
      <c r="A4469" s="140">
        <v>45743.291666666664</v>
      </c>
      <c r="B4469" t="s">
        <v>1468</v>
      </c>
      <c r="C4469" t="s">
        <v>4418</v>
      </c>
      <c r="D4469" s="6"/>
      <c r="E4469" t="str">
        <f>_xlfn.XLOOKUP(B4469,'2025-Q1'!$A$402:$A$448,'2025-Q1'!$A$402:$A$448,"avail")</f>
        <v>CCL</v>
      </c>
      <c r="F4469" t="str">
        <f>_xlfn.XLOOKUP(B4469,'[2]!! -- Stock Universe 12.11.24'!$C$2:$C$1621,'[2]!! -- Stock Universe 12.11.24'!$E$2:$E$1621,"")</f>
        <v>Consumer Cyclical</v>
      </c>
    </row>
    <row r="4470" spans="1:6" x14ac:dyDescent="0.25">
      <c r="A4470" s="140">
        <v>45743.291666666664</v>
      </c>
      <c r="B4470" t="s">
        <v>1183</v>
      </c>
      <c r="C4470" t="s">
        <v>4418</v>
      </c>
      <c r="D4470" s="6"/>
      <c r="E4470" t="str">
        <f>_xlfn.XLOOKUP(B4470,'2025-Q1'!$A$402:$A$448,'2025-Q1'!$A$402:$A$448,"avail")</f>
        <v>avail</v>
      </c>
      <c r="F4470" t="str">
        <f>_xlfn.XLOOKUP(B4470,'[2]!! -- Stock Universe 12.11.24'!$C$2:$C$1621,'[2]!! -- Stock Universe 12.11.24'!$E$2:$E$1621,"")</f>
        <v/>
      </c>
    </row>
    <row r="4471" spans="1:6" x14ac:dyDescent="0.25">
      <c r="A4471" s="140">
        <v>45743.291666666664</v>
      </c>
      <c r="B4471" t="s">
        <v>4438</v>
      </c>
      <c r="C4471" t="s">
        <v>4418</v>
      </c>
      <c r="D4471" s="6"/>
      <c r="E4471" t="str">
        <f>_xlfn.XLOOKUP(B4471,'2025-Q1'!$A$402:$A$448,'2025-Q1'!$A$402:$A$448,"avail")</f>
        <v>avail</v>
      </c>
      <c r="F4471" t="str">
        <f>_xlfn.XLOOKUP(B4471,'[2]!! -- Stock Universe 12.11.24'!$C$2:$C$1621,'[2]!! -- Stock Universe 12.11.24'!$E$2:$E$1621,"")</f>
        <v/>
      </c>
    </row>
    <row r="4472" spans="1:6" x14ac:dyDescent="0.25">
      <c r="A4472" s="140">
        <v>45743.458333333336</v>
      </c>
      <c r="B4472" t="s">
        <v>4471</v>
      </c>
      <c r="C4472" t="s">
        <v>4472</v>
      </c>
      <c r="D4472" s="6"/>
      <c r="E4472" t="str">
        <f>_xlfn.XLOOKUP(B4472,'2025-Q1'!$A$402:$A$448,'2025-Q1'!$A$402:$A$448,"avail")</f>
        <v>avail</v>
      </c>
      <c r="F4472" t="str">
        <f>_xlfn.XLOOKUP(B4472,'[2]!! -- Stock Universe 12.11.24'!$C$2:$C$1621,'[2]!! -- Stock Universe 12.11.24'!$E$2:$E$1621,"")</f>
        <v/>
      </c>
    </row>
    <row r="4473" spans="1:6" x14ac:dyDescent="0.25">
      <c r="A4473" s="140">
        <v>45743.458333333336</v>
      </c>
      <c r="B4473" t="s">
        <v>4473</v>
      </c>
      <c r="C4473" t="s">
        <v>4472</v>
      </c>
      <c r="D4473" s="6"/>
      <c r="E4473" t="str">
        <f>_xlfn.XLOOKUP(B4473,'2025-Q1'!$A$402:$A$448,'2025-Q1'!$A$402:$A$448,"avail")</f>
        <v>avail</v>
      </c>
      <c r="F4473" t="str">
        <f>_xlfn.XLOOKUP(B4473,'[2]!! -- Stock Universe 12.11.24'!$C$2:$C$1621,'[2]!! -- Stock Universe 12.11.24'!$E$2:$E$1621,"")</f>
        <v/>
      </c>
    </row>
    <row r="4474" spans="1:6" x14ac:dyDescent="0.25">
      <c r="A4474" s="140">
        <v>45743.625</v>
      </c>
      <c r="B4474" t="s">
        <v>4496</v>
      </c>
      <c r="C4474" t="s">
        <v>4476</v>
      </c>
      <c r="D4474" s="6"/>
      <c r="E4474" t="str">
        <f>_xlfn.XLOOKUP(B4474,'2025-Q1'!$A$402:$A$448,'2025-Q1'!$A$402:$A$448,"avail")</f>
        <v>avail</v>
      </c>
      <c r="F4474" t="str">
        <f>_xlfn.XLOOKUP(B4474,'[2]!! -- Stock Universe 12.11.24'!$C$2:$C$1621,'[2]!! -- Stock Universe 12.11.24'!$E$2:$E$1621,"")</f>
        <v/>
      </c>
    </row>
    <row r="4475" spans="1:6" x14ac:dyDescent="0.25">
      <c r="A4475" s="140">
        <v>45743.625</v>
      </c>
      <c r="B4475" t="s">
        <v>4500</v>
      </c>
      <c r="C4475" t="s">
        <v>4476</v>
      </c>
      <c r="D4475" s="6"/>
      <c r="E4475" t="str">
        <f>_xlfn.XLOOKUP(B4475,'2025-Q1'!$A$402:$A$448,'2025-Q1'!$A$402:$A$448,"avail")</f>
        <v>avail</v>
      </c>
      <c r="F4475" t="str">
        <f>_xlfn.XLOOKUP(B4475,'[2]!! -- Stock Universe 12.11.24'!$C$2:$C$1621,'[2]!! -- Stock Universe 12.11.24'!$E$2:$E$1621,"")</f>
        <v/>
      </c>
    </row>
    <row r="4476" spans="1:6" x14ac:dyDescent="0.25">
      <c r="A4476" s="140">
        <v>45743.625</v>
      </c>
      <c r="B4476" t="s">
        <v>996</v>
      </c>
      <c r="C4476" t="s">
        <v>4476</v>
      </c>
      <c r="D4476" s="6"/>
      <c r="E4476" t="str">
        <f>_xlfn.XLOOKUP(B4476,'2025-Q1'!$A$402:$A$448,'2025-Q1'!$A$402:$A$448,"avail")</f>
        <v>avail</v>
      </c>
      <c r="F4476" t="str">
        <f>_xlfn.XLOOKUP(B4476,'[2]!! -- Stock Universe 12.11.24'!$C$2:$C$1621,'[2]!! -- Stock Universe 12.11.24'!$E$2:$E$1621,"")</f>
        <v/>
      </c>
    </row>
    <row r="4477" spans="1:6" x14ac:dyDescent="0.25">
      <c r="A4477" s="140">
        <v>45743.625</v>
      </c>
      <c r="B4477" t="s">
        <v>4508</v>
      </c>
      <c r="C4477" t="s">
        <v>4476</v>
      </c>
      <c r="D4477" s="6"/>
      <c r="E4477" t="str">
        <f>_xlfn.XLOOKUP(B4477,'2025-Q1'!$A$402:$A$448,'2025-Q1'!$A$402:$A$448,"avail")</f>
        <v>avail</v>
      </c>
      <c r="F4477" t="str">
        <f>_xlfn.XLOOKUP(B4477,'[2]!! -- Stock Universe 12.11.24'!$C$2:$C$1621,'[2]!! -- Stock Universe 12.11.24'!$E$2:$E$1621,"")</f>
        <v/>
      </c>
    </row>
    <row r="4478" spans="1:6" x14ac:dyDescent="0.25">
      <c r="A4478" s="140">
        <v>45743.625</v>
      </c>
      <c r="B4478" t="s">
        <v>4510</v>
      </c>
      <c r="C4478" t="s">
        <v>4476</v>
      </c>
      <c r="D4478" s="6"/>
      <c r="E4478" t="str">
        <f>_xlfn.XLOOKUP(B4478,'2025-Q1'!$A$402:$A$448,'2025-Q1'!$A$402:$A$448,"avail")</f>
        <v>avail</v>
      </c>
      <c r="F4478" t="str">
        <f>_xlfn.XLOOKUP(B4478,'[2]!! -- Stock Universe 12.11.24'!$C$2:$C$1621,'[2]!! -- Stock Universe 12.11.24'!$E$2:$E$1621,"")</f>
        <v/>
      </c>
    </row>
    <row r="4479" spans="1:6" x14ac:dyDescent="0.25">
      <c r="A4479" s="140">
        <v>45743.625</v>
      </c>
      <c r="B4479" t="s">
        <v>4516</v>
      </c>
      <c r="C4479" t="s">
        <v>4476</v>
      </c>
      <c r="D4479" s="6"/>
      <c r="E4479" t="str">
        <f>_xlfn.XLOOKUP(B4479,'2025-Q1'!$A$402:$A$448,'2025-Q1'!$A$402:$A$448,"avail")</f>
        <v>avail</v>
      </c>
      <c r="F4479" t="str">
        <f>_xlfn.XLOOKUP(B4479,'[2]!! -- Stock Universe 12.11.24'!$C$2:$C$1621,'[2]!! -- Stock Universe 12.11.24'!$E$2:$E$1621,"")</f>
        <v/>
      </c>
    </row>
    <row r="4480" spans="1:6" x14ac:dyDescent="0.25">
      <c r="A4480" s="140">
        <v>45743.625</v>
      </c>
      <c r="B4480" t="s">
        <v>4524</v>
      </c>
      <c r="C4480" t="s">
        <v>4476</v>
      </c>
      <c r="D4480" s="6"/>
      <c r="E4480" t="str">
        <f>_xlfn.XLOOKUP(B4480,'2025-Q1'!$A$402:$A$448,'2025-Q1'!$A$402:$A$448,"avail")</f>
        <v>avail</v>
      </c>
      <c r="F4480" t="str">
        <f>_xlfn.XLOOKUP(B4480,'[2]!! -- Stock Universe 12.11.24'!$C$2:$C$1621,'[2]!! -- Stock Universe 12.11.24'!$E$2:$E$1621,"")</f>
        <v/>
      </c>
    </row>
    <row r="4481" spans="1:6" x14ac:dyDescent="0.25">
      <c r="A4481" s="140">
        <v>45743.625</v>
      </c>
      <c r="B4481" t="s">
        <v>1070</v>
      </c>
      <c r="C4481" t="s">
        <v>4476</v>
      </c>
      <c r="D4481" s="6"/>
      <c r="E4481" t="str">
        <f>_xlfn.XLOOKUP(B4481,'2025-Q1'!$A$402:$A$448,'2025-Q1'!$A$402:$A$448,"avail")</f>
        <v>avail</v>
      </c>
      <c r="F4481" t="str">
        <f>_xlfn.XLOOKUP(B4481,'[2]!! -- Stock Universe 12.11.24'!$C$2:$C$1621,'[2]!! -- Stock Universe 12.11.24'!$E$2:$E$1621,"")</f>
        <v>Energy</v>
      </c>
    </row>
    <row r="4482" spans="1:6" x14ac:dyDescent="0.25">
      <c r="A4482" s="140">
        <v>45743.625</v>
      </c>
      <c r="B4482" t="s">
        <v>4518</v>
      </c>
      <c r="C4482" t="s">
        <v>4476</v>
      </c>
      <c r="D4482" s="6"/>
      <c r="E4482" t="str">
        <f>_xlfn.XLOOKUP(B4482,'2025-Q1'!$A$402:$A$448,'2025-Q1'!$A$402:$A$448,"avail")</f>
        <v>avail</v>
      </c>
      <c r="F4482" t="str">
        <f>_xlfn.XLOOKUP(B4482,'[2]!! -- Stock Universe 12.11.24'!$C$2:$C$1621,'[2]!! -- Stock Universe 12.11.24'!$E$2:$E$1621,"")</f>
        <v/>
      </c>
    </row>
    <row r="4483" spans="1:6" x14ac:dyDescent="0.25">
      <c r="A4483" s="140">
        <v>45743.625</v>
      </c>
      <c r="B4483" t="s">
        <v>4520</v>
      </c>
      <c r="C4483" t="s">
        <v>4476</v>
      </c>
      <c r="D4483" s="6"/>
      <c r="E4483" t="str">
        <f>_xlfn.XLOOKUP(B4483,'2025-Q1'!$A$402:$A$448,'2025-Q1'!$A$402:$A$448,"avail")</f>
        <v>avail</v>
      </c>
      <c r="F4483" t="str">
        <f>_xlfn.XLOOKUP(B4483,'[2]!! -- Stock Universe 12.11.24'!$C$2:$C$1621,'[2]!! -- Stock Universe 12.11.24'!$E$2:$E$1621,"")</f>
        <v/>
      </c>
    </row>
    <row r="4484" spans="1:6" x14ac:dyDescent="0.25">
      <c r="A4484" s="140">
        <v>45743.625</v>
      </c>
      <c r="B4484" t="s">
        <v>4523</v>
      </c>
      <c r="C4484" t="s">
        <v>4476</v>
      </c>
      <c r="D4484" s="6"/>
      <c r="E4484" t="str">
        <f>_xlfn.XLOOKUP(B4484,'2025-Q1'!$A$402:$A$448,'2025-Q1'!$A$402:$A$448,"avail")</f>
        <v>avail</v>
      </c>
      <c r="F4484" t="str">
        <f>_xlfn.XLOOKUP(B4484,'[2]!! -- Stock Universe 12.11.24'!$C$2:$C$1621,'[2]!! -- Stock Universe 12.11.24'!$E$2:$E$1621,"")</f>
        <v/>
      </c>
    </row>
    <row r="4485" spans="1:6" x14ac:dyDescent="0.25">
      <c r="A4485" s="140">
        <v>45743.625</v>
      </c>
      <c r="B4485" t="s">
        <v>1060</v>
      </c>
      <c r="C4485" t="s">
        <v>4476</v>
      </c>
      <c r="D4485" s="6"/>
      <c r="E4485" t="str">
        <f>_xlfn.XLOOKUP(B4485,'2025-Q1'!$A$402:$A$448,'2025-Q1'!$A$402:$A$448,"avail")</f>
        <v>avail</v>
      </c>
      <c r="F4485" t="str">
        <f>_xlfn.XLOOKUP(B4485,'[2]!! -- Stock Universe 12.11.24'!$C$2:$C$1621,'[2]!! -- Stock Universe 12.11.24'!$E$2:$E$1621,"")</f>
        <v/>
      </c>
    </row>
    <row r="4486" spans="1:6" x14ac:dyDescent="0.25">
      <c r="A4486" s="140">
        <v>45743.625</v>
      </c>
      <c r="B4486" t="s">
        <v>4521</v>
      </c>
      <c r="C4486" t="s">
        <v>4476</v>
      </c>
      <c r="D4486" s="6"/>
      <c r="E4486" t="str">
        <f>_xlfn.XLOOKUP(B4486,'2025-Q1'!$A$402:$A$448,'2025-Q1'!$A$402:$A$448,"avail")</f>
        <v>avail</v>
      </c>
      <c r="F4486" t="str">
        <f>_xlfn.XLOOKUP(B4486,'[2]!! -- Stock Universe 12.11.24'!$C$2:$C$1621,'[2]!! -- Stock Universe 12.11.24'!$E$2:$E$1621,"")</f>
        <v/>
      </c>
    </row>
    <row r="4487" spans="1:6" x14ac:dyDescent="0.25">
      <c r="A4487" s="140">
        <v>45743.625</v>
      </c>
      <c r="B4487" t="s">
        <v>4479</v>
      </c>
      <c r="C4487" t="s">
        <v>4476</v>
      </c>
      <c r="D4487" s="6"/>
      <c r="E4487" t="str">
        <f>_xlfn.XLOOKUP(B4487,'2025-Q1'!$A$402:$A$448,'2025-Q1'!$A$402:$A$448,"avail")</f>
        <v>avail</v>
      </c>
      <c r="F4487" t="str">
        <f>_xlfn.XLOOKUP(B4487,'[2]!! -- Stock Universe 12.11.24'!$C$2:$C$1621,'[2]!! -- Stock Universe 12.11.24'!$E$2:$E$1621,"")</f>
        <v/>
      </c>
    </row>
    <row r="4488" spans="1:6" x14ac:dyDescent="0.25">
      <c r="A4488" s="140">
        <v>45743.625</v>
      </c>
      <c r="B4488" t="s">
        <v>4475</v>
      </c>
      <c r="C4488" t="s">
        <v>4476</v>
      </c>
      <c r="D4488" s="6"/>
      <c r="E4488" t="str">
        <f>_xlfn.XLOOKUP(B4488,'2025-Q1'!$A$402:$A$448,'2025-Q1'!$A$402:$A$448,"avail")</f>
        <v>avail</v>
      </c>
      <c r="F4488" t="str">
        <f>_xlfn.XLOOKUP(B4488,'[2]!! -- Stock Universe 12.11.24'!$C$2:$C$1621,'[2]!! -- Stock Universe 12.11.24'!$E$2:$E$1621,"")</f>
        <v>Consumer Cyclical</v>
      </c>
    </row>
    <row r="4489" spans="1:6" x14ac:dyDescent="0.25">
      <c r="A4489" s="140">
        <v>45743.625</v>
      </c>
      <c r="B4489" t="s">
        <v>5516</v>
      </c>
      <c r="C4489" t="s">
        <v>4476</v>
      </c>
      <c r="D4489" s="6"/>
      <c r="E4489" t="str">
        <f>_xlfn.XLOOKUP(B4489,'2025-Q1'!$A$402:$A$448,'2025-Q1'!$A$402:$A$448,"avail")</f>
        <v>avail</v>
      </c>
      <c r="F4489" t="str">
        <f>_xlfn.XLOOKUP(B4489,'[2]!! -- Stock Universe 12.11.24'!$C$2:$C$1621,'[2]!! -- Stock Universe 12.11.24'!$E$2:$E$1621,"")</f>
        <v/>
      </c>
    </row>
    <row r="4490" spans="1:6" x14ac:dyDescent="0.25">
      <c r="A4490" s="140">
        <v>45743.625</v>
      </c>
      <c r="B4490" t="s">
        <v>2146</v>
      </c>
      <c r="C4490" t="s">
        <v>4476</v>
      </c>
      <c r="D4490" s="6"/>
      <c r="E4490" t="str">
        <f>_xlfn.XLOOKUP(B4490,'2025-Q1'!$A$402:$A$448,'2025-Q1'!$A$402:$A$448,"avail")</f>
        <v>avail</v>
      </c>
      <c r="F4490" t="str">
        <f>_xlfn.XLOOKUP(B4490,'[2]!! -- Stock Universe 12.11.24'!$C$2:$C$1621,'[2]!! -- Stock Universe 12.11.24'!$E$2:$E$1621,"")</f>
        <v/>
      </c>
    </row>
    <row r="4491" spans="1:6" x14ac:dyDescent="0.25">
      <c r="A4491" s="140">
        <v>45743.625</v>
      </c>
      <c r="B4491" t="s">
        <v>2259</v>
      </c>
      <c r="C4491" t="s">
        <v>4476</v>
      </c>
      <c r="D4491" s="6"/>
      <c r="E4491" t="str">
        <f>_xlfn.XLOOKUP(B4491,'2025-Q1'!$A$402:$A$448,'2025-Q1'!$A$402:$A$448,"avail")</f>
        <v>avail</v>
      </c>
      <c r="F4491" t="str">
        <f>_xlfn.XLOOKUP(B4491,'[2]!! -- Stock Universe 12.11.24'!$C$2:$C$1621,'[2]!! -- Stock Universe 12.11.24'!$E$2:$E$1621,"")</f>
        <v/>
      </c>
    </row>
    <row r="4492" spans="1:6" x14ac:dyDescent="0.25">
      <c r="A4492" s="140">
        <v>45743.625</v>
      </c>
      <c r="B4492" t="s">
        <v>4488</v>
      </c>
      <c r="C4492" t="s">
        <v>4476</v>
      </c>
      <c r="D4492" s="6"/>
      <c r="E4492" t="str">
        <f>_xlfn.XLOOKUP(B4492,'2025-Q1'!$A$402:$A$448,'2025-Q1'!$A$402:$A$448,"avail")</f>
        <v>avail</v>
      </c>
      <c r="F4492" t="str">
        <f>_xlfn.XLOOKUP(B4492,'[2]!! -- Stock Universe 12.11.24'!$C$2:$C$1621,'[2]!! -- Stock Universe 12.11.24'!$E$2:$E$1621,"")</f>
        <v/>
      </c>
    </row>
    <row r="4493" spans="1:6" x14ac:dyDescent="0.25">
      <c r="A4493" s="140">
        <v>45743.625</v>
      </c>
      <c r="B4493" t="s">
        <v>4491</v>
      </c>
      <c r="C4493" t="s">
        <v>4476</v>
      </c>
      <c r="D4493" s="6"/>
      <c r="E4493" t="str">
        <f>_xlfn.XLOOKUP(B4493,'2025-Q1'!$A$402:$A$448,'2025-Q1'!$A$402:$A$448,"avail")</f>
        <v>avail</v>
      </c>
      <c r="F4493" t="str">
        <f>_xlfn.XLOOKUP(B4493,'[2]!! -- Stock Universe 12.11.24'!$C$2:$C$1621,'[2]!! -- Stock Universe 12.11.24'!$E$2:$E$1621,"")</f>
        <v/>
      </c>
    </row>
    <row r="4494" spans="1:6" x14ac:dyDescent="0.25">
      <c r="A4494" s="140">
        <v>45743.625</v>
      </c>
      <c r="B4494" t="s">
        <v>4499</v>
      </c>
      <c r="C4494" t="s">
        <v>4476</v>
      </c>
      <c r="D4494" s="6"/>
      <c r="E4494" t="str">
        <f>_xlfn.XLOOKUP(B4494,'2025-Q1'!$A$402:$A$448,'2025-Q1'!$A$402:$A$448,"avail")</f>
        <v>avail</v>
      </c>
      <c r="F4494" t="str">
        <f>_xlfn.XLOOKUP(B4494,'[2]!! -- Stock Universe 12.11.24'!$C$2:$C$1621,'[2]!! -- Stock Universe 12.11.24'!$E$2:$E$1621,"")</f>
        <v/>
      </c>
    </row>
    <row r="4495" spans="1:6" x14ac:dyDescent="0.25">
      <c r="A4495" s="140">
        <v>45743.625</v>
      </c>
      <c r="B4495" t="s">
        <v>4497</v>
      </c>
      <c r="C4495" t="s">
        <v>4476</v>
      </c>
      <c r="D4495" s="6"/>
      <c r="E4495" t="str">
        <f>_xlfn.XLOOKUP(B4495,'2025-Q1'!$A$402:$A$448,'2025-Q1'!$A$402:$A$448,"avail")</f>
        <v>avail</v>
      </c>
      <c r="F4495" t="str">
        <f>_xlfn.XLOOKUP(B4495,'[2]!! -- Stock Universe 12.11.24'!$C$2:$C$1621,'[2]!! -- Stock Universe 12.11.24'!$E$2:$E$1621,"")</f>
        <v/>
      </c>
    </row>
    <row r="4496" spans="1:6" x14ac:dyDescent="0.25">
      <c r="A4496" s="140">
        <v>45743.625</v>
      </c>
      <c r="B4496" t="s">
        <v>4511</v>
      </c>
      <c r="C4496" t="s">
        <v>4476</v>
      </c>
      <c r="D4496" s="6"/>
      <c r="E4496" t="str">
        <f>_xlfn.XLOOKUP(B4496,'2025-Q1'!$A$402:$A$448,'2025-Q1'!$A$402:$A$448,"avail")</f>
        <v>avail</v>
      </c>
      <c r="F4496" t="str">
        <f>_xlfn.XLOOKUP(B4496,'[2]!! -- Stock Universe 12.11.24'!$C$2:$C$1621,'[2]!! -- Stock Universe 12.11.24'!$E$2:$E$1621,"")</f>
        <v/>
      </c>
    </row>
    <row r="4497" spans="1:6" x14ac:dyDescent="0.25">
      <c r="A4497" s="140">
        <v>45743.625</v>
      </c>
      <c r="B4497" t="s">
        <v>4506</v>
      </c>
      <c r="C4497" t="s">
        <v>4476</v>
      </c>
      <c r="D4497" s="6"/>
      <c r="E4497" t="str">
        <f>_xlfn.XLOOKUP(B4497,'2025-Q1'!$A$402:$A$448,'2025-Q1'!$A$402:$A$448,"avail")</f>
        <v>avail</v>
      </c>
      <c r="F4497" t="str">
        <f>_xlfn.XLOOKUP(B4497,'[2]!! -- Stock Universe 12.11.24'!$C$2:$C$1621,'[2]!! -- Stock Universe 12.11.24'!$E$2:$E$1621,"")</f>
        <v/>
      </c>
    </row>
    <row r="4498" spans="1:6" x14ac:dyDescent="0.25">
      <c r="A4498" s="140">
        <v>45743.625</v>
      </c>
      <c r="B4498" t="s">
        <v>4501</v>
      </c>
      <c r="C4498" t="s">
        <v>4476</v>
      </c>
      <c r="D4498" s="6"/>
      <c r="E4498" t="str">
        <f>_xlfn.XLOOKUP(B4498,'2025-Q1'!$A$402:$A$448,'2025-Q1'!$A$402:$A$448,"avail")</f>
        <v>avail</v>
      </c>
      <c r="F4498" t="str">
        <f>_xlfn.XLOOKUP(B4498,'[2]!! -- Stock Universe 12.11.24'!$C$2:$C$1621,'[2]!! -- Stock Universe 12.11.24'!$E$2:$E$1621,"")</f>
        <v/>
      </c>
    </row>
    <row r="4499" spans="1:6" x14ac:dyDescent="0.25">
      <c r="A4499" s="140">
        <v>45743.625</v>
      </c>
      <c r="B4499" t="s">
        <v>4504</v>
      </c>
      <c r="C4499" t="s">
        <v>4476</v>
      </c>
      <c r="D4499" s="6"/>
      <c r="E4499" t="str">
        <f>_xlfn.XLOOKUP(B4499,'2025-Q1'!$A$402:$A$448,'2025-Q1'!$A$402:$A$448,"avail")</f>
        <v>avail</v>
      </c>
      <c r="F4499" t="str">
        <f>_xlfn.XLOOKUP(B4499,'[2]!! -- Stock Universe 12.11.24'!$C$2:$C$1621,'[2]!! -- Stock Universe 12.11.24'!$E$2:$E$1621,"")</f>
        <v/>
      </c>
    </row>
    <row r="4500" spans="1:6" x14ac:dyDescent="0.25">
      <c r="A4500" s="140">
        <v>45743.625</v>
      </c>
      <c r="B4500" t="s">
        <v>4498</v>
      </c>
      <c r="C4500" t="s">
        <v>4476</v>
      </c>
      <c r="D4500" s="6"/>
      <c r="E4500" t="str">
        <f>_xlfn.XLOOKUP(B4500,'2025-Q1'!$A$402:$A$448,'2025-Q1'!$A$402:$A$448,"avail")</f>
        <v>avail</v>
      </c>
      <c r="F4500" t="str">
        <f>_xlfn.XLOOKUP(B4500,'[2]!! -- Stock Universe 12.11.24'!$C$2:$C$1621,'[2]!! -- Stock Universe 12.11.24'!$E$2:$E$1621,"")</f>
        <v/>
      </c>
    </row>
    <row r="4501" spans="1:6" x14ac:dyDescent="0.25">
      <c r="A4501" s="140">
        <v>45743.625</v>
      </c>
      <c r="B4501" t="s">
        <v>4513</v>
      </c>
      <c r="C4501" t="s">
        <v>4476</v>
      </c>
      <c r="D4501" s="6"/>
      <c r="E4501" t="str">
        <f>_xlfn.XLOOKUP(B4501,'2025-Q1'!$A$402:$A$448,'2025-Q1'!$A$402:$A$448,"avail")</f>
        <v>avail</v>
      </c>
      <c r="F4501" t="str">
        <f>_xlfn.XLOOKUP(B4501,'[2]!! -- Stock Universe 12.11.24'!$C$2:$C$1621,'[2]!! -- Stock Universe 12.11.24'!$E$2:$E$1621,"")</f>
        <v/>
      </c>
    </row>
    <row r="4502" spans="1:6" x14ac:dyDescent="0.25">
      <c r="A4502" s="140">
        <v>45743.625</v>
      </c>
      <c r="B4502" t="s">
        <v>4507</v>
      </c>
      <c r="C4502" t="s">
        <v>4476</v>
      </c>
      <c r="D4502" s="6"/>
      <c r="E4502" t="str">
        <f>_xlfn.XLOOKUP(B4502,'2025-Q1'!$A$402:$A$448,'2025-Q1'!$A$402:$A$448,"avail")</f>
        <v>avail</v>
      </c>
      <c r="F4502" t="str">
        <f>_xlfn.XLOOKUP(B4502,'[2]!! -- Stock Universe 12.11.24'!$C$2:$C$1621,'[2]!! -- Stock Universe 12.11.24'!$E$2:$E$1621,"")</f>
        <v/>
      </c>
    </row>
    <row r="4503" spans="1:6" x14ac:dyDescent="0.25">
      <c r="A4503" s="140">
        <v>45743.625</v>
      </c>
      <c r="B4503" t="s">
        <v>4480</v>
      </c>
      <c r="C4503" t="s">
        <v>4476</v>
      </c>
      <c r="D4503" s="6"/>
      <c r="E4503" t="str">
        <f>_xlfn.XLOOKUP(B4503,'2025-Q1'!$A$402:$A$448,'2025-Q1'!$A$402:$A$448,"avail")</f>
        <v>avail</v>
      </c>
      <c r="F4503" t="str">
        <f>_xlfn.XLOOKUP(B4503,'[2]!! -- Stock Universe 12.11.24'!$C$2:$C$1621,'[2]!! -- Stock Universe 12.11.24'!$E$2:$E$1621,"")</f>
        <v/>
      </c>
    </row>
    <row r="4504" spans="1:6" x14ac:dyDescent="0.25">
      <c r="A4504" s="140">
        <v>45743.625</v>
      </c>
      <c r="B4504" t="s">
        <v>4483</v>
      </c>
      <c r="C4504" t="s">
        <v>4476</v>
      </c>
      <c r="D4504" s="6"/>
      <c r="E4504" t="str">
        <f>_xlfn.XLOOKUP(B4504,'2025-Q1'!$A$402:$A$448,'2025-Q1'!$A$402:$A$448,"avail")</f>
        <v>avail</v>
      </c>
      <c r="F4504" t="str">
        <f>_xlfn.XLOOKUP(B4504,'[2]!! -- Stock Universe 12.11.24'!$C$2:$C$1621,'[2]!! -- Stock Universe 12.11.24'!$E$2:$E$1621,"")</f>
        <v/>
      </c>
    </row>
    <row r="4505" spans="1:6" x14ac:dyDescent="0.25">
      <c r="A4505" s="140">
        <v>45743.625</v>
      </c>
      <c r="B4505" t="s">
        <v>4350</v>
      </c>
      <c r="C4505" t="s">
        <v>4476</v>
      </c>
      <c r="D4505" s="6"/>
      <c r="E4505" t="str">
        <f>_xlfn.XLOOKUP(B4505,'2025-Q1'!$A$402:$A$448,'2025-Q1'!$A$402:$A$448,"avail")</f>
        <v>avail</v>
      </c>
      <c r="F4505" t="str">
        <f>_xlfn.XLOOKUP(B4505,'[2]!! -- Stock Universe 12.11.24'!$C$2:$C$1621,'[2]!! -- Stock Universe 12.11.24'!$E$2:$E$1621,"")</f>
        <v>Healthcare</v>
      </c>
    </row>
    <row r="4506" spans="1:6" x14ac:dyDescent="0.25">
      <c r="A4506" s="140">
        <v>45743.625</v>
      </c>
      <c r="B4506" t="s">
        <v>4481</v>
      </c>
      <c r="C4506" t="s">
        <v>4476</v>
      </c>
      <c r="D4506" s="6"/>
      <c r="E4506" t="str">
        <f>_xlfn.XLOOKUP(B4506,'2025-Q1'!$A$402:$A$448,'2025-Q1'!$A$402:$A$448,"avail")</f>
        <v>avail</v>
      </c>
      <c r="F4506" t="str">
        <f>_xlfn.XLOOKUP(B4506,'[2]!! -- Stock Universe 12.11.24'!$C$2:$C$1621,'[2]!! -- Stock Universe 12.11.24'!$E$2:$E$1621,"")</f>
        <v/>
      </c>
    </row>
    <row r="4507" spans="1:6" x14ac:dyDescent="0.25">
      <c r="A4507" s="140">
        <v>45743.625</v>
      </c>
      <c r="B4507" t="s">
        <v>4522</v>
      </c>
      <c r="C4507" t="s">
        <v>4476</v>
      </c>
      <c r="D4507" s="6"/>
      <c r="E4507" t="str">
        <f>_xlfn.XLOOKUP(B4507,'2025-Q1'!$A$402:$A$448,'2025-Q1'!$A$402:$A$448,"avail")</f>
        <v>avail</v>
      </c>
      <c r="F4507" t="str">
        <f>_xlfn.XLOOKUP(B4507,'[2]!! -- Stock Universe 12.11.24'!$C$2:$C$1621,'[2]!! -- Stock Universe 12.11.24'!$E$2:$E$1621,"")</f>
        <v/>
      </c>
    </row>
    <row r="4508" spans="1:6" x14ac:dyDescent="0.25">
      <c r="A4508" s="140">
        <v>45743.625</v>
      </c>
      <c r="B4508" t="s">
        <v>4525</v>
      </c>
      <c r="C4508" t="s">
        <v>4476</v>
      </c>
      <c r="D4508" s="6"/>
      <c r="E4508" t="str">
        <f>_xlfn.XLOOKUP(B4508,'2025-Q1'!$A$402:$A$448,'2025-Q1'!$A$402:$A$448,"avail")</f>
        <v>avail</v>
      </c>
      <c r="F4508" t="str">
        <f>_xlfn.XLOOKUP(B4508,'[2]!! -- Stock Universe 12.11.24'!$C$2:$C$1621,'[2]!! -- Stock Universe 12.11.24'!$E$2:$E$1621,"")</f>
        <v/>
      </c>
    </row>
    <row r="4509" spans="1:6" x14ac:dyDescent="0.25">
      <c r="A4509" s="140">
        <v>45743.625</v>
      </c>
      <c r="B4509" t="s">
        <v>4514</v>
      </c>
      <c r="C4509" t="s">
        <v>4476</v>
      </c>
      <c r="D4509" s="6"/>
      <c r="E4509" t="str">
        <f>_xlfn.XLOOKUP(B4509,'2025-Q1'!$A$402:$A$448,'2025-Q1'!$A$402:$A$448,"avail")</f>
        <v>avail</v>
      </c>
      <c r="F4509" t="str">
        <f>_xlfn.XLOOKUP(B4509,'[2]!! -- Stock Universe 12.11.24'!$C$2:$C$1621,'[2]!! -- Stock Universe 12.11.24'!$E$2:$E$1621,"")</f>
        <v/>
      </c>
    </row>
    <row r="4510" spans="1:6" x14ac:dyDescent="0.25">
      <c r="A4510" s="140">
        <v>45743.625</v>
      </c>
      <c r="B4510" t="s">
        <v>4526</v>
      </c>
      <c r="C4510" t="s">
        <v>4476</v>
      </c>
      <c r="D4510" s="6"/>
      <c r="E4510" t="str">
        <f>_xlfn.XLOOKUP(B4510,'2025-Q1'!$A$402:$A$448,'2025-Q1'!$A$402:$A$448,"avail")</f>
        <v>avail</v>
      </c>
      <c r="F4510" t="str">
        <f>_xlfn.XLOOKUP(B4510,'[2]!! -- Stock Universe 12.11.24'!$C$2:$C$1621,'[2]!! -- Stock Universe 12.11.24'!$E$2:$E$1621,"")</f>
        <v/>
      </c>
    </row>
    <row r="4511" spans="1:6" x14ac:dyDescent="0.25">
      <c r="A4511" s="140">
        <v>45743.625</v>
      </c>
      <c r="B4511" t="s">
        <v>4517</v>
      </c>
      <c r="C4511" t="s">
        <v>4476</v>
      </c>
      <c r="D4511" s="6"/>
      <c r="E4511" t="str">
        <f>_xlfn.XLOOKUP(B4511,'2025-Q1'!$A$402:$A$448,'2025-Q1'!$A$402:$A$448,"avail")</f>
        <v>avail</v>
      </c>
      <c r="F4511" t="str">
        <f>_xlfn.XLOOKUP(B4511,'[2]!! -- Stock Universe 12.11.24'!$C$2:$C$1621,'[2]!! -- Stock Universe 12.11.24'!$E$2:$E$1621,"")</f>
        <v/>
      </c>
    </row>
    <row r="4512" spans="1:6" x14ac:dyDescent="0.25">
      <c r="A4512" s="140">
        <v>45743.625</v>
      </c>
      <c r="B4512" t="s">
        <v>4502</v>
      </c>
      <c r="C4512" t="s">
        <v>4476</v>
      </c>
      <c r="D4512" s="6"/>
      <c r="E4512" t="str">
        <f>_xlfn.XLOOKUP(B4512,'2025-Q1'!$A$402:$A$448,'2025-Q1'!$A$402:$A$448,"avail")</f>
        <v>avail</v>
      </c>
      <c r="F4512" t="str">
        <f>_xlfn.XLOOKUP(B4512,'[2]!! -- Stock Universe 12.11.24'!$C$2:$C$1621,'[2]!! -- Stock Universe 12.11.24'!$E$2:$E$1621,"")</f>
        <v/>
      </c>
    </row>
    <row r="4513" spans="1:6" x14ac:dyDescent="0.25">
      <c r="A4513" s="140">
        <v>45743.625</v>
      </c>
      <c r="B4513" t="s">
        <v>4515</v>
      </c>
      <c r="C4513" t="s">
        <v>4476</v>
      </c>
      <c r="D4513" s="6"/>
      <c r="E4513" t="str">
        <f>_xlfn.XLOOKUP(B4513,'2025-Q1'!$A$402:$A$448,'2025-Q1'!$A$402:$A$448,"avail")</f>
        <v>avail</v>
      </c>
      <c r="F4513" t="str">
        <f>_xlfn.XLOOKUP(B4513,'[2]!! -- Stock Universe 12.11.24'!$C$2:$C$1621,'[2]!! -- Stock Universe 12.11.24'!$E$2:$E$1621,"")</f>
        <v>Industrials</v>
      </c>
    </row>
    <row r="4514" spans="1:6" x14ac:dyDescent="0.25">
      <c r="A4514" s="140">
        <v>45743.625</v>
      </c>
      <c r="B4514" t="s">
        <v>4519</v>
      </c>
      <c r="C4514" t="s">
        <v>4476</v>
      </c>
      <c r="D4514" s="6"/>
      <c r="E4514" t="str">
        <f>_xlfn.XLOOKUP(B4514,'2025-Q1'!$A$402:$A$448,'2025-Q1'!$A$402:$A$448,"avail")</f>
        <v>avail</v>
      </c>
      <c r="F4514" t="str">
        <f>_xlfn.XLOOKUP(B4514,'[2]!! -- Stock Universe 12.11.24'!$C$2:$C$1621,'[2]!! -- Stock Universe 12.11.24'!$E$2:$E$1621,"")</f>
        <v/>
      </c>
    </row>
    <row r="4515" spans="1:6" x14ac:dyDescent="0.25">
      <c r="A4515" s="140">
        <v>45743.625</v>
      </c>
      <c r="B4515" t="s">
        <v>1252</v>
      </c>
      <c r="C4515" t="s">
        <v>4476</v>
      </c>
      <c r="D4515" s="6"/>
      <c r="E4515" t="str">
        <f>_xlfn.XLOOKUP(B4515,'2025-Q1'!$A$402:$A$448,'2025-Q1'!$A$402:$A$448,"avail")</f>
        <v>avail</v>
      </c>
      <c r="F4515" t="str">
        <f>_xlfn.XLOOKUP(B4515,'[2]!! -- Stock Universe 12.11.24'!$C$2:$C$1621,'[2]!! -- Stock Universe 12.11.24'!$E$2:$E$1621,"")</f>
        <v>Technology</v>
      </c>
    </row>
    <row r="4516" spans="1:6" x14ac:dyDescent="0.25">
      <c r="A4516" s="140">
        <v>45743.625</v>
      </c>
      <c r="B4516" t="s">
        <v>4478</v>
      </c>
      <c r="C4516" t="s">
        <v>4476</v>
      </c>
      <c r="D4516" s="6"/>
      <c r="E4516" t="str">
        <f>_xlfn.XLOOKUP(B4516,'2025-Q1'!$A$402:$A$448,'2025-Q1'!$A$402:$A$448,"avail")</f>
        <v>avail</v>
      </c>
      <c r="F4516" t="str">
        <f>_xlfn.XLOOKUP(B4516,'[2]!! -- Stock Universe 12.11.24'!$C$2:$C$1621,'[2]!! -- Stock Universe 12.11.24'!$E$2:$E$1621,"")</f>
        <v/>
      </c>
    </row>
    <row r="4517" spans="1:6" x14ac:dyDescent="0.25">
      <c r="A4517" s="140">
        <v>45743.625</v>
      </c>
      <c r="B4517" t="s">
        <v>4484</v>
      </c>
      <c r="C4517" t="s">
        <v>4476</v>
      </c>
      <c r="D4517" s="6"/>
      <c r="E4517" t="str">
        <f>_xlfn.XLOOKUP(B4517,'2025-Q1'!$A$402:$A$448,'2025-Q1'!$A$402:$A$448,"avail")</f>
        <v>avail</v>
      </c>
      <c r="F4517" t="str">
        <f>_xlfn.XLOOKUP(B4517,'[2]!! -- Stock Universe 12.11.24'!$C$2:$C$1621,'[2]!! -- Stock Universe 12.11.24'!$E$2:$E$1621,"")</f>
        <v/>
      </c>
    </row>
    <row r="4518" spans="1:6" x14ac:dyDescent="0.25">
      <c r="A4518" s="140">
        <v>45743.625</v>
      </c>
      <c r="B4518" t="s">
        <v>4485</v>
      </c>
      <c r="C4518" t="s">
        <v>4476</v>
      </c>
      <c r="D4518" s="6"/>
      <c r="E4518" t="str">
        <f>_xlfn.XLOOKUP(B4518,'2025-Q1'!$A$402:$A$448,'2025-Q1'!$A$402:$A$448,"avail")</f>
        <v>avail</v>
      </c>
      <c r="F4518" t="str">
        <f>_xlfn.XLOOKUP(B4518,'[2]!! -- Stock Universe 12.11.24'!$C$2:$C$1621,'[2]!! -- Stock Universe 12.11.24'!$E$2:$E$1621,"")</f>
        <v/>
      </c>
    </row>
    <row r="4519" spans="1:6" x14ac:dyDescent="0.25">
      <c r="A4519" s="140">
        <v>45743.625</v>
      </c>
      <c r="B4519" t="s">
        <v>4285</v>
      </c>
      <c r="C4519" t="s">
        <v>4476</v>
      </c>
      <c r="D4519" s="6"/>
      <c r="E4519" t="str">
        <f>_xlfn.XLOOKUP(B4519,'2025-Q1'!$A$402:$A$448,'2025-Q1'!$A$402:$A$448,"avail")</f>
        <v>avail</v>
      </c>
      <c r="F4519" t="str">
        <f>_xlfn.XLOOKUP(B4519,'[2]!! -- Stock Universe 12.11.24'!$C$2:$C$1621,'[2]!! -- Stock Universe 12.11.24'!$E$2:$E$1621,"")</f>
        <v/>
      </c>
    </row>
    <row r="4520" spans="1:6" x14ac:dyDescent="0.25">
      <c r="A4520" s="140">
        <v>45743.625</v>
      </c>
      <c r="B4520" t="s">
        <v>4477</v>
      </c>
      <c r="C4520" t="s">
        <v>4476</v>
      </c>
      <c r="D4520" s="6"/>
      <c r="E4520" t="str">
        <f>_xlfn.XLOOKUP(B4520,'2025-Q1'!$A$402:$A$448,'2025-Q1'!$A$402:$A$448,"avail")</f>
        <v>avail</v>
      </c>
      <c r="F4520" t="str">
        <f>_xlfn.XLOOKUP(B4520,'[2]!! -- Stock Universe 12.11.24'!$C$2:$C$1621,'[2]!! -- Stock Universe 12.11.24'!$E$2:$E$1621,"")</f>
        <v/>
      </c>
    </row>
    <row r="4521" spans="1:6" x14ac:dyDescent="0.25">
      <c r="A4521" s="140">
        <v>45743.625</v>
      </c>
      <c r="B4521" t="s">
        <v>4487</v>
      </c>
      <c r="C4521" t="s">
        <v>4476</v>
      </c>
      <c r="D4521" s="6"/>
      <c r="E4521" t="str">
        <f>_xlfn.XLOOKUP(B4521,'2025-Q1'!$A$402:$A$448,'2025-Q1'!$A$402:$A$448,"avail")</f>
        <v>avail</v>
      </c>
      <c r="F4521" t="str">
        <f>_xlfn.XLOOKUP(B4521,'[2]!! -- Stock Universe 12.11.24'!$C$2:$C$1621,'[2]!! -- Stock Universe 12.11.24'!$E$2:$E$1621,"")</f>
        <v/>
      </c>
    </row>
    <row r="4522" spans="1:6" x14ac:dyDescent="0.25">
      <c r="A4522" s="140">
        <v>45743.625</v>
      </c>
      <c r="B4522" t="s">
        <v>1019</v>
      </c>
      <c r="C4522" t="s">
        <v>4476</v>
      </c>
      <c r="D4522" s="6"/>
      <c r="E4522" t="str">
        <f>_xlfn.XLOOKUP(B4522,'2025-Q1'!$A$402:$A$448,'2025-Q1'!$A$402:$A$448,"avail")</f>
        <v>avail</v>
      </c>
      <c r="F4522" t="str">
        <f>_xlfn.XLOOKUP(B4522,'[2]!! -- Stock Universe 12.11.24'!$C$2:$C$1621,'[2]!! -- Stock Universe 12.11.24'!$E$2:$E$1621,"")</f>
        <v>Healthcare</v>
      </c>
    </row>
    <row r="4523" spans="1:6" x14ac:dyDescent="0.25">
      <c r="A4523" s="140">
        <v>45743.625</v>
      </c>
      <c r="B4523" t="s">
        <v>4494</v>
      </c>
      <c r="C4523" t="s">
        <v>4476</v>
      </c>
      <c r="D4523" s="6"/>
      <c r="E4523" t="str">
        <f>_xlfn.XLOOKUP(B4523,'2025-Q1'!$A$402:$A$448,'2025-Q1'!$A$402:$A$448,"avail")</f>
        <v>avail</v>
      </c>
      <c r="F4523" t="str">
        <f>_xlfn.XLOOKUP(B4523,'[2]!! -- Stock Universe 12.11.24'!$C$2:$C$1621,'[2]!! -- Stock Universe 12.11.24'!$E$2:$E$1621,"")</f>
        <v/>
      </c>
    </row>
    <row r="4524" spans="1:6" x14ac:dyDescent="0.25">
      <c r="A4524" s="140">
        <v>45743.625</v>
      </c>
      <c r="B4524" t="s">
        <v>4512</v>
      </c>
      <c r="C4524" t="s">
        <v>4476</v>
      </c>
      <c r="D4524" s="6"/>
      <c r="E4524" t="str">
        <f>_xlfn.XLOOKUP(B4524,'2025-Q1'!$A$402:$A$448,'2025-Q1'!$A$402:$A$448,"avail")</f>
        <v>avail</v>
      </c>
      <c r="F4524" t="str">
        <f>_xlfn.XLOOKUP(B4524,'[2]!! -- Stock Universe 12.11.24'!$C$2:$C$1621,'[2]!! -- Stock Universe 12.11.24'!$E$2:$E$1621,"")</f>
        <v/>
      </c>
    </row>
    <row r="4525" spans="1:6" x14ac:dyDescent="0.25">
      <c r="A4525" s="140">
        <v>45743.625</v>
      </c>
      <c r="B4525" t="s">
        <v>4490</v>
      </c>
      <c r="C4525" t="s">
        <v>4476</v>
      </c>
      <c r="D4525" s="6"/>
      <c r="E4525" t="str">
        <f>_xlfn.XLOOKUP(B4525,'2025-Q1'!$A$402:$A$448,'2025-Q1'!$A$402:$A$448,"avail")</f>
        <v>avail</v>
      </c>
      <c r="F4525" t="str">
        <f>_xlfn.XLOOKUP(B4525,'[2]!! -- Stock Universe 12.11.24'!$C$2:$C$1621,'[2]!! -- Stock Universe 12.11.24'!$E$2:$E$1621,"")</f>
        <v>Healthcare</v>
      </c>
    </row>
    <row r="4526" spans="1:6" x14ac:dyDescent="0.25">
      <c r="A4526" s="140">
        <v>45743.625</v>
      </c>
      <c r="B4526" t="s">
        <v>4503</v>
      </c>
      <c r="C4526" t="s">
        <v>4476</v>
      </c>
      <c r="D4526" s="6"/>
      <c r="E4526" t="str">
        <f>_xlfn.XLOOKUP(B4526,'2025-Q1'!$A$402:$A$448,'2025-Q1'!$A$402:$A$448,"avail")</f>
        <v>avail</v>
      </c>
      <c r="F4526" t="str">
        <f>_xlfn.XLOOKUP(B4526,'[2]!! -- Stock Universe 12.11.24'!$C$2:$C$1621,'[2]!! -- Stock Universe 12.11.24'!$E$2:$E$1621,"")</f>
        <v/>
      </c>
    </row>
    <row r="4527" spans="1:6" x14ac:dyDescent="0.25">
      <c r="A4527" s="140">
        <v>45743.625</v>
      </c>
      <c r="B4527" t="s">
        <v>4495</v>
      </c>
      <c r="C4527" t="s">
        <v>4476</v>
      </c>
      <c r="D4527" s="6"/>
      <c r="E4527" t="str">
        <f>_xlfn.XLOOKUP(B4527,'2025-Q1'!$A$402:$A$448,'2025-Q1'!$A$402:$A$448,"avail")</f>
        <v>avail</v>
      </c>
      <c r="F4527" t="str">
        <f>_xlfn.XLOOKUP(B4527,'[2]!! -- Stock Universe 12.11.24'!$C$2:$C$1621,'[2]!! -- Stock Universe 12.11.24'!$E$2:$E$1621,"")</f>
        <v/>
      </c>
    </row>
    <row r="4528" spans="1:6" x14ac:dyDescent="0.25">
      <c r="A4528" s="140">
        <v>45743.625</v>
      </c>
      <c r="B4528" t="s">
        <v>4492</v>
      </c>
      <c r="C4528" t="s">
        <v>4476</v>
      </c>
      <c r="D4528" s="6"/>
      <c r="E4528" t="str">
        <f>_xlfn.XLOOKUP(B4528,'2025-Q1'!$A$402:$A$448,'2025-Q1'!$A$402:$A$448,"avail")</f>
        <v>avail</v>
      </c>
      <c r="F4528" t="str">
        <f>_xlfn.XLOOKUP(B4528,'[2]!! -- Stock Universe 12.11.24'!$C$2:$C$1621,'[2]!! -- Stock Universe 12.11.24'!$E$2:$E$1621,"")</f>
        <v/>
      </c>
    </row>
    <row r="4529" spans="1:6" x14ac:dyDescent="0.25">
      <c r="A4529" s="140">
        <v>45743.625</v>
      </c>
      <c r="B4529" t="s">
        <v>4489</v>
      </c>
      <c r="C4529" t="s">
        <v>4476</v>
      </c>
      <c r="D4529" s="6"/>
      <c r="E4529" t="str">
        <f>_xlfn.XLOOKUP(B4529,'2025-Q1'!$A$402:$A$448,'2025-Q1'!$A$402:$A$448,"avail")</f>
        <v>avail</v>
      </c>
      <c r="F4529" t="str">
        <f>_xlfn.XLOOKUP(B4529,'[2]!! -- Stock Universe 12.11.24'!$C$2:$C$1621,'[2]!! -- Stock Universe 12.11.24'!$E$2:$E$1621,"")</f>
        <v/>
      </c>
    </row>
    <row r="4530" spans="1:6" x14ac:dyDescent="0.25">
      <c r="A4530" s="140">
        <v>45744.291666666664</v>
      </c>
      <c r="B4530" t="s">
        <v>4531</v>
      </c>
      <c r="C4530" t="s">
        <v>4532</v>
      </c>
      <c r="D4530" s="6"/>
      <c r="E4530" t="str">
        <f>_xlfn.XLOOKUP(B4530,'2025-Q1'!$A$402:$A$448,'2025-Q1'!$A$402:$A$448,"avail")</f>
        <v>avail</v>
      </c>
      <c r="F4530" t="str">
        <f>_xlfn.XLOOKUP(B4530,'[2]!! -- Stock Universe 12.11.24'!$C$2:$C$1621,'[2]!! -- Stock Universe 12.11.24'!$E$2:$E$1621,"")</f>
        <v/>
      </c>
    </row>
    <row r="4531" spans="1:6" x14ac:dyDescent="0.25">
      <c r="A4531" s="140">
        <v>45744.291666666664</v>
      </c>
      <c r="B4531" t="s">
        <v>4457</v>
      </c>
      <c r="C4531" t="s">
        <v>4532</v>
      </c>
      <c r="D4531" s="6"/>
      <c r="E4531" t="str">
        <f>_xlfn.XLOOKUP(B4531,'2025-Q1'!$A$402:$A$448,'2025-Q1'!$A$402:$A$448,"avail")</f>
        <v>avail</v>
      </c>
      <c r="F4531" t="str">
        <f>_xlfn.XLOOKUP(B4531,'[2]!! -- Stock Universe 12.11.24'!$C$2:$C$1621,'[2]!! -- Stock Universe 12.11.24'!$E$2:$E$1621,"")</f>
        <v/>
      </c>
    </row>
    <row r="4532" spans="1:6" x14ac:dyDescent="0.25">
      <c r="A4532" s="140">
        <v>45744.291666666664</v>
      </c>
      <c r="B4532" t="s">
        <v>3739</v>
      </c>
      <c r="C4532" t="s">
        <v>4532</v>
      </c>
      <c r="D4532" s="6"/>
      <c r="E4532" t="str">
        <f>_xlfn.XLOOKUP(B4532,'2025-Q1'!$A$402:$A$448,'2025-Q1'!$A$402:$A$448,"avail")</f>
        <v>avail</v>
      </c>
      <c r="F4532" t="str">
        <f>_xlfn.XLOOKUP(B4532,'[2]!! -- Stock Universe 12.11.24'!$C$2:$C$1621,'[2]!! -- Stock Universe 12.11.24'!$E$2:$E$1621,"")</f>
        <v/>
      </c>
    </row>
    <row r="4533" spans="1:6" x14ac:dyDescent="0.25">
      <c r="A4533" s="140">
        <v>45744.291666666664</v>
      </c>
      <c r="B4533" t="s">
        <v>4528</v>
      </c>
      <c r="C4533" t="s">
        <v>4529</v>
      </c>
      <c r="D4533" s="6"/>
      <c r="E4533" t="str">
        <f>_xlfn.XLOOKUP(B4533,'2025-Q1'!$A$402:$A$448,'2025-Q1'!$A$402:$A$448,"avail")</f>
        <v>avail</v>
      </c>
      <c r="F4533" t="str">
        <f>_xlfn.XLOOKUP(B4533,'[2]!! -- Stock Universe 12.11.24'!$C$2:$C$1621,'[2]!! -- Stock Universe 12.11.24'!$E$2:$E$1621,"")</f>
        <v/>
      </c>
    </row>
    <row r="4534" spans="1:6" x14ac:dyDescent="0.25">
      <c r="A4534" s="140">
        <v>45744.625</v>
      </c>
      <c r="B4534" t="s">
        <v>4536</v>
      </c>
      <c r="C4534" t="s">
        <v>4534</v>
      </c>
      <c r="D4534" s="6"/>
      <c r="E4534" t="str">
        <f>_xlfn.XLOOKUP(B4534,'2025-Q1'!$A$402:$A$448,'2025-Q1'!$A$402:$A$448,"avail")</f>
        <v>avail</v>
      </c>
      <c r="F4534" t="str">
        <f>_xlfn.XLOOKUP(B4534,'[2]!! -- Stock Universe 12.11.24'!$C$2:$C$1621,'[2]!! -- Stock Universe 12.11.24'!$E$2:$E$1621,"")</f>
        <v/>
      </c>
    </row>
    <row r="4535" spans="1:6" x14ac:dyDescent="0.25">
      <c r="A4535" s="140">
        <v>45744.625</v>
      </c>
      <c r="B4535" t="s">
        <v>4533</v>
      </c>
      <c r="C4535" t="s">
        <v>4534</v>
      </c>
      <c r="D4535" s="6"/>
      <c r="E4535" t="str">
        <f>_xlfn.XLOOKUP(B4535,'2025-Q1'!$A$402:$A$448,'2025-Q1'!$A$402:$A$448,"avail")</f>
        <v>avail</v>
      </c>
      <c r="F4535" t="str">
        <f>_xlfn.XLOOKUP(B4535,'[2]!! -- Stock Universe 12.11.24'!$C$2:$C$1621,'[2]!! -- Stock Universe 12.11.24'!$E$2:$E$1621,"")</f>
        <v/>
      </c>
    </row>
    <row r="4536" spans="1:6" x14ac:dyDescent="0.25">
      <c r="A4536" s="140">
        <v>45744.625</v>
      </c>
      <c r="B4536" t="s">
        <v>4505</v>
      </c>
      <c r="C4536" t="s">
        <v>4534</v>
      </c>
      <c r="D4536" s="6"/>
      <c r="E4536" t="str">
        <f>_xlfn.XLOOKUP(B4536,'2025-Q1'!$A$402:$A$448,'2025-Q1'!$A$402:$A$448,"avail")</f>
        <v>avail</v>
      </c>
      <c r="F4536" t="str">
        <f>_xlfn.XLOOKUP(B4536,'[2]!! -- Stock Universe 12.11.24'!$C$2:$C$1621,'[2]!! -- Stock Universe 12.11.24'!$E$2:$E$1621,"")</f>
        <v/>
      </c>
    </row>
    <row r="4537" spans="1:6" x14ac:dyDescent="0.25">
      <c r="A4537" s="140">
        <v>45744.625</v>
      </c>
      <c r="B4537" t="s">
        <v>4079</v>
      </c>
      <c r="C4537" t="s">
        <v>4534</v>
      </c>
      <c r="D4537" s="6"/>
      <c r="E4537" t="str">
        <f>_xlfn.XLOOKUP(B4537,'2025-Q1'!$A$402:$A$448,'2025-Q1'!$A$402:$A$448,"avail")</f>
        <v>avail</v>
      </c>
      <c r="F4537" t="str">
        <f>_xlfn.XLOOKUP(B4537,'[2]!! -- Stock Universe 12.11.24'!$C$2:$C$1621,'[2]!! -- Stock Universe 12.11.24'!$E$2:$E$1621,"")</f>
        <v/>
      </c>
    </row>
    <row r="4538" spans="1:6" x14ac:dyDescent="0.25">
      <c r="A4538" s="140">
        <v>45744.625</v>
      </c>
      <c r="B4538" t="s">
        <v>4535</v>
      </c>
      <c r="C4538" t="s">
        <v>4534</v>
      </c>
      <c r="D4538" s="6"/>
      <c r="E4538" t="str">
        <f>_xlfn.XLOOKUP(B4538,'2025-Q1'!$A$402:$A$448,'2025-Q1'!$A$402:$A$448,"avail")</f>
        <v>avail</v>
      </c>
      <c r="F4538" t="str">
        <f>_xlfn.XLOOKUP(B4538,'[2]!! -- Stock Universe 12.11.24'!$C$2:$C$1621,'[2]!! -- Stock Universe 12.11.24'!$E$2:$E$1621,"")</f>
        <v/>
      </c>
    </row>
    <row r="4539" spans="1:6" x14ac:dyDescent="0.25">
      <c r="A4539" s="140">
        <v>45747.291666666664</v>
      </c>
      <c r="B4539" t="s">
        <v>4562</v>
      </c>
      <c r="C4539" t="s">
        <v>4538</v>
      </c>
      <c r="D4539" s="6"/>
      <c r="E4539" t="str">
        <f>_xlfn.XLOOKUP(B4539,'2025-Q1'!$A$402:$A$448,'2025-Q1'!$A$402:$A$448,"avail")</f>
        <v>avail</v>
      </c>
      <c r="F4539" t="str">
        <f>_xlfn.XLOOKUP(B4539,'[2]!! -- Stock Universe 12.11.24'!$C$2:$C$1621,'[2]!! -- Stock Universe 12.11.24'!$E$2:$E$1621,"")</f>
        <v/>
      </c>
    </row>
    <row r="4540" spans="1:6" x14ac:dyDescent="0.25">
      <c r="A4540" s="140">
        <v>45747.291666666664</v>
      </c>
      <c r="B4540" t="s">
        <v>4559</v>
      </c>
      <c r="C4540" t="s">
        <v>4538</v>
      </c>
      <c r="D4540" s="6"/>
      <c r="E4540" t="str">
        <f>_xlfn.XLOOKUP(B4540,'2025-Q1'!$A$402:$A$448,'2025-Q1'!$A$402:$A$448,"avail")</f>
        <v>avail</v>
      </c>
      <c r="F4540" t="str">
        <f>_xlfn.XLOOKUP(B4540,'[2]!! -- Stock Universe 12.11.24'!$C$2:$C$1621,'[2]!! -- Stock Universe 12.11.24'!$E$2:$E$1621,"")</f>
        <v/>
      </c>
    </row>
    <row r="4541" spans="1:6" x14ac:dyDescent="0.25">
      <c r="A4541" s="140">
        <v>45747.291666666664</v>
      </c>
      <c r="B4541" t="s">
        <v>4575</v>
      </c>
      <c r="C4541" t="s">
        <v>4538</v>
      </c>
      <c r="D4541" s="6"/>
      <c r="E4541" t="str">
        <f>_xlfn.XLOOKUP(B4541,'2025-Q1'!$A$402:$A$448,'2025-Q1'!$A$402:$A$448,"avail")</f>
        <v>avail</v>
      </c>
      <c r="F4541" t="str">
        <f>_xlfn.XLOOKUP(B4541,'[2]!! -- Stock Universe 12.11.24'!$C$2:$C$1621,'[2]!! -- Stock Universe 12.11.24'!$E$2:$E$1621,"")</f>
        <v/>
      </c>
    </row>
    <row r="4542" spans="1:6" x14ac:dyDescent="0.25">
      <c r="A4542" s="140">
        <v>45747.291666666664</v>
      </c>
      <c r="B4542" t="s">
        <v>4569</v>
      </c>
      <c r="C4542" t="s">
        <v>4538</v>
      </c>
      <c r="D4542" s="6"/>
      <c r="E4542" t="str">
        <f>_xlfn.XLOOKUP(B4542,'2025-Q1'!$A$402:$A$448,'2025-Q1'!$A$402:$A$448,"avail")</f>
        <v>avail</v>
      </c>
      <c r="F4542" t="str">
        <f>_xlfn.XLOOKUP(B4542,'[2]!! -- Stock Universe 12.11.24'!$C$2:$C$1621,'[2]!! -- Stock Universe 12.11.24'!$E$2:$E$1621,"")</f>
        <v/>
      </c>
    </row>
    <row r="4543" spans="1:6" x14ac:dyDescent="0.25">
      <c r="A4543" s="140">
        <v>45747.291666666664</v>
      </c>
      <c r="B4543" t="s">
        <v>4572</v>
      </c>
      <c r="C4543" t="s">
        <v>4538</v>
      </c>
      <c r="D4543" s="6"/>
      <c r="E4543" t="str">
        <f>_xlfn.XLOOKUP(B4543,'2025-Q1'!$A$402:$A$448,'2025-Q1'!$A$402:$A$448,"avail")</f>
        <v>avail</v>
      </c>
      <c r="F4543" t="str">
        <f>_xlfn.XLOOKUP(B4543,'[2]!! -- Stock Universe 12.11.24'!$C$2:$C$1621,'[2]!! -- Stock Universe 12.11.24'!$E$2:$E$1621,"")</f>
        <v>Industrials</v>
      </c>
    </row>
    <row r="4544" spans="1:6" x14ac:dyDescent="0.25">
      <c r="A4544" s="140">
        <v>45747.291666666664</v>
      </c>
      <c r="B4544" t="s">
        <v>4573</v>
      </c>
      <c r="C4544" t="s">
        <v>4538</v>
      </c>
      <c r="D4544" s="6"/>
      <c r="E4544" t="str">
        <f>_xlfn.XLOOKUP(B4544,'2025-Q1'!$A$402:$A$448,'2025-Q1'!$A$402:$A$448,"avail")</f>
        <v>avail</v>
      </c>
      <c r="F4544" t="str">
        <f>_xlfn.XLOOKUP(B4544,'[2]!! -- Stock Universe 12.11.24'!$C$2:$C$1621,'[2]!! -- Stock Universe 12.11.24'!$E$2:$E$1621,"")</f>
        <v/>
      </c>
    </row>
    <row r="4545" spans="1:6" x14ac:dyDescent="0.25">
      <c r="A4545" s="140">
        <v>45747.291666666664</v>
      </c>
      <c r="B4545" t="s">
        <v>4464</v>
      </c>
      <c r="C4545" t="s">
        <v>4538</v>
      </c>
      <c r="D4545" s="6"/>
      <c r="E4545" t="str">
        <f>_xlfn.XLOOKUP(B4545,'2025-Q1'!$A$402:$A$448,'2025-Q1'!$A$402:$A$448,"avail")</f>
        <v>avail</v>
      </c>
      <c r="F4545" t="str">
        <f>_xlfn.XLOOKUP(B4545,'[2]!! -- Stock Universe 12.11.24'!$C$2:$C$1621,'[2]!! -- Stock Universe 12.11.24'!$E$2:$E$1621,"")</f>
        <v/>
      </c>
    </row>
    <row r="4546" spans="1:6" x14ac:dyDescent="0.25">
      <c r="A4546" s="140">
        <v>45747.291666666664</v>
      </c>
      <c r="B4546" t="s">
        <v>4432</v>
      </c>
      <c r="C4546" t="s">
        <v>4538</v>
      </c>
      <c r="D4546" s="6"/>
      <c r="E4546" t="str">
        <f>_xlfn.XLOOKUP(B4546,'2025-Q1'!$A$402:$A$448,'2025-Q1'!$A$402:$A$448,"avail")</f>
        <v>avail</v>
      </c>
      <c r="F4546" t="str">
        <f>_xlfn.XLOOKUP(B4546,'[2]!! -- Stock Universe 12.11.24'!$C$2:$C$1621,'[2]!! -- Stock Universe 12.11.24'!$E$2:$E$1621,"")</f>
        <v/>
      </c>
    </row>
    <row r="4547" spans="1:6" x14ac:dyDescent="0.25">
      <c r="A4547" s="140">
        <v>45747.291666666664</v>
      </c>
      <c r="B4547" t="s">
        <v>6422</v>
      </c>
      <c r="C4547" t="s">
        <v>6423</v>
      </c>
      <c r="D4547" s="6"/>
      <c r="E4547" t="str">
        <f>_xlfn.XLOOKUP(B4547,'2025-Q1'!$A$402:$A$448,'2025-Q1'!$A$402:$A$448,"avail")</f>
        <v>avail</v>
      </c>
      <c r="F4547" t="str">
        <f>_xlfn.XLOOKUP(B4547,'[2]!! -- Stock Universe 12.11.24'!$C$2:$C$1621,'[2]!! -- Stock Universe 12.11.24'!$E$2:$E$1621,"")</f>
        <v/>
      </c>
    </row>
    <row r="4548" spans="1:6" x14ac:dyDescent="0.25">
      <c r="A4548" s="140">
        <v>45747.291666666664</v>
      </c>
      <c r="B4548" t="s">
        <v>4574</v>
      </c>
      <c r="C4548" t="s">
        <v>4538</v>
      </c>
      <c r="D4548" s="6"/>
      <c r="E4548" t="str">
        <f>_xlfn.XLOOKUP(B4548,'2025-Q1'!$A$402:$A$448,'2025-Q1'!$A$402:$A$448,"avail")</f>
        <v>avail</v>
      </c>
      <c r="F4548" t="str">
        <f>_xlfn.XLOOKUP(B4548,'[2]!! -- Stock Universe 12.11.24'!$C$2:$C$1621,'[2]!! -- Stock Universe 12.11.24'!$E$2:$E$1621,"")</f>
        <v/>
      </c>
    </row>
    <row r="4549" spans="1:6" x14ac:dyDescent="0.25">
      <c r="A4549" s="140">
        <v>45747.291666666664</v>
      </c>
      <c r="B4549" t="s">
        <v>4546</v>
      </c>
      <c r="C4549" t="s">
        <v>4538</v>
      </c>
      <c r="D4549" s="6"/>
      <c r="E4549" t="str">
        <f>_xlfn.XLOOKUP(B4549,'2025-Q1'!$A$402:$A$448,'2025-Q1'!$A$402:$A$448,"avail")</f>
        <v>avail</v>
      </c>
      <c r="F4549" t="str">
        <f>_xlfn.XLOOKUP(B4549,'[2]!! -- Stock Universe 12.11.24'!$C$2:$C$1621,'[2]!! -- Stock Universe 12.11.24'!$E$2:$E$1621,"")</f>
        <v/>
      </c>
    </row>
    <row r="4550" spans="1:6" x14ac:dyDescent="0.25">
      <c r="A4550" s="140">
        <v>45747.291666666664</v>
      </c>
      <c r="B4550" t="s">
        <v>4426</v>
      </c>
      <c r="C4550" t="s">
        <v>4538</v>
      </c>
      <c r="D4550" s="6"/>
      <c r="E4550" t="str">
        <f>_xlfn.XLOOKUP(B4550,'2025-Q1'!$A$402:$A$448,'2025-Q1'!$A$402:$A$448,"avail")</f>
        <v>avail</v>
      </c>
      <c r="F4550" t="str">
        <f>_xlfn.XLOOKUP(B4550,'[2]!! -- Stock Universe 12.11.24'!$C$2:$C$1621,'[2]!! -- Stock Universe 12.11.24'!$E$2:$E$1621,"")</f>
        <v/>
      </c>
    </row>
    <row r="4551" spans="1:6" x14ac:dyDescent="0.25">
      <c r="A4551" s="140">
        <v>45747.291666666664</v>
      </c>
      <c r="B4551" t="s">
        <v>4537</v>
      </c>
      <c r="C4551" t="s">
        <v>4538</v>
      </c>
      <c r="D4551" s="6"/>
      <c r="E4551" t="str">
        <f>_xlfn.XLOOKUP(B4551,'2025-Q1'!$A$402:$A$448,'2025-Q1'!$A$402:$A$448,"avail")</f>
        <v>avail</v>
      </c>
      <c r="F4551" t="str">
        <f>_xlfn.XLOOKUP(B4551,'[2]!! -- Stock Universe 12.11.24'!$C$2:$C$1621,'[2]!! -- Stock Universe 12.11.24'!$E$2:$E$1621,"")</f>
        <v/>
      </c>
    </row>
    <row r="4552" spans="1:6" x14ac:dyDescent="0.25">
      <c r="A4552" s="140">
        <v>45747.291666666664</v>
      </c>
      <c r="B4552" t="s">
        <v>4543</v>
      </c>
      <c r="C4552" t="s">
        <v>4538</v>
      </c>
      <c r="D4552" s="6"/>
      <c r="E4552" t="str">
        <f>_xlfn.XLOOKUP(B4552,'2025-Q1'!$A$402:$A$448,'2025-Q1'!$A$402:$A$448,"avail")</f>
        <v>avail</v>
      </c>
      <c r="F4552" t="str">
        <f>_xlfn.XLOOKUP(B4552,'[2]!! -- Stock Universe 12.11.24'!$C$2:$C$1621,'[2]!! -- Stock Universe 12.11.24'!$E$2:$E$1621,"")</f>
        <v/>
      </c>
    </row>
    <row r="4553" spans="1:6" x14ac:dyDescent="0.25">
      <c r="A4553" s="140">
        <v>45747.291666666664</v>
      </c>
      <c r="B4553" t="s">
        <v>4548</v>
      </c>
      <c r="C4553" t="s">
        <v>4538</v>
      </c>
      <c r="D4553" s="6"/>
      <c r="E4553" t="str">
        <f>_xlfn.XLOOKUP(B4553,'2025-Q1'!$A$402:$A$448,'2025-Q1'!$A$402:$A$448,"avail")</f>
        <v>avail</v>
      </c>
      <c r="F4553" t="str">
        <f>_xlfn.XLOOKUP(B4553,'[2]!! -- Stock Universe 12.11.24'!$C$2:$C$1621,'[2]!! -- Stock Universe 12.11.24'!$E$2:$E$1621,"")</f>
        <v/>
      </c>
    </row>
    <row r="4554" spans="1:6" x14ac:dyDescent="0.25">
      <c r="A4554" s="140">
        <v>45747.291666666664</v>
      </c>
      <c r="B4554" t="s">
        <v>4564</v>
      </c>
      <c r="C4554" t="s">
        <v>4538</v>
      </c>
      <c r="D4554" s="6"/>
      <c r="E4554" t="str">
        <f>_xlfn.XLOOKUP(B4554,'2025-Q1'!$A$402:$A$448,'2025-Q1'!$A$402:$A$448,"avail")</f>
        <v>avail</v>
      </c>
      <c r="F4554" t="str">
        <f>_xlfn.XLOOKUP(B4554,'[2]!! -- Stock Universe 12.11.24'!$C$2:$C$1621,'[2]!! -- Stock Universe 12.11.24'!$E$2:$E$1621,"")</f>
        <v/>
      </c>
    </row>
    <row r="4555" spans="1:6" x14ac:dyDescent="0.25">
      <c r="A4555" s="140">
        <v>45747.291666666664</v>
      </c>
      <c r="B4555" t="s">
        <v>4542</v>
      </c>
      <c r="C4555" t="s">
        <v>4538</v>
      </c>
      <c r="D4555" s="6"/>
      <c r="E4555" t="str">
        <f>_xlfn.XLOOKUP(B4555,'2025-Q1'!$A$402:$A$448,'2025-Q1'!$A$402:$A$448,"avail")</f>
        <v>avail</v>
      </c>
      <c r="F4555" t="str">
        <f>_xlfn.XLOOKUP(B4555,'[2]!! -- Stock Universe 12.11.24'!$C$2:$C$1621,'[2]!! -- Stock Universe 12.11.24'!$E$2:$E$1621,"")</f>
        <v/>
      </c>
    </row>
    <row r="4556" spans="1:6" x14ac:dyDescent="0.25">
      <c r="A4556" s="140">
        <v>45747.291666666664</v>
      </c>
      <c r="B4556" t="s">
        <v>4555</v>
      </c>
      <c r="C4556" t="s">
        <v>4538</v>
      </c>
      <c r="D4556" s="6"/>
      <c r="E4556" t="str">
        <f>_xlfn.XLOOKUP(B4556,'2025-Q1'!$A$402:$A$448,'2025-Q1'!$A$402:$A$448,"avail")</f>
        <v>avail</v>
      </c>
      <c r="F4556" t="str">
        <f>_xlfn.XLOOKUP(B4556,'[2]!! -- Stock Universe 12.11.24'!$C$2:$C$1621,'[2]!! -- Stock Universe 12.11.24'!$E$2:$E$1621,"")</f>
        <v/>
      </c>
    </row>
    <row r="4557" spans="1:6" x14ac:dyDescent="0.25">
      <c r="A4557" s="140">
        <v>45747.291666666664</v>
      </c>
      <c r="B4557" t="s">
        <v>4554</v>
      </c>
      <c r="C4557" t="s">
        <v>4538</v>
      </c>
      <c r="D4557" s="6"/>
      <c r="E4557" t="str">
        <f>_xlfn.XLOOKUP(B4557,'2025-Q1'!$A$402:$A$448,'2025-Q1'!$A$402:$A$448,"avail")</f>
        <v>avail</v>
      </c>
      <c r="F4557" t="str">
        <f>_xlfn.XLOOKUP(B4557,'[2]!! -- Stock Universe 12.11.24'!$C$2:$C$1621,'[2]!! -- Stock Universe 12.11.24'!$E$2:$E$1621,"")</f>
        <v/>
      </c>
    </row>
    <row r="4558" spans="1:6" x14ac:dyDescent="0.25">
      <c r="A4558" s="140">
        <v>45747.291666666664</v>
      </c>
      <c r="B4558" t="s">
        <v>4557</v>
      </c>
      <c r="C4558" t="s">
        <v>4538</v>
      </c>
      <c r="D4558" s="6"/>
      <c r="E4558" t="str">
        <f>_xlfn.XLOOKUP(B4558,'2025-Q1'!$A$402:$A$448,'2025-Q1'!$A$402:$A$448,"avail")</f>
        <v>avail</v>
      </c>
      <c r="F4558" t="str">
        <f>_xlfn.XLOOKUP(B4558,'[2]!! -- Stock Universe 12.11.24'!$C$2:$C$1621,'[2]!! -- Stock Universe 12.11.24'!$E$2:$E$1621,"")</f>
        <v/>
      </c>
    </row>
    <row r="4559" spans="1:6" x14ac:dyDescent="0.25">
      <c r="A4559" s="140">
        <v>45747.291666666664</v>
      </c>
      <c r="B4559" t="s">
        <v>4551</v>
      </c>
      <c r="C4559" t="s">
        <v>4538</v>
      </c>
      <c r="D4559" s="6"/>
      <c r="E4559" t="str">
        <f>_xlfn.XLOOKUP(B4559,'2025-Q1'!$A$402:$A$448,'2025-Q1'!$A$402:$A$448,"avail")</f>
        <v>avail</v>
      </c>
      <c r="F4559" t="str">
        <f>_xlfn.XLOOKUP(B4559,'[2]!! -- Stock Universe 12.11.24'!$C$2:$C$1621,'[2]!! -- Stock Universe 12.11.24'!$E$2:$E$1621,"")</f>
        <v/>
      </c>
    </row>
    <row r="4560" spans="1:6" x14ac:dyDescent="0.25">
      <c r="A4560" s="140">
        <v>45747.291666666664</v>
      </c>
      <c r="B4560" t="s">
        <v>4547</v>
      </c>
      <c r="C4560" t="s">
        <v>4538</v>
      </c>
      <c r="D4560" s="6"/>
      <c r="E4560" t="str">
        <f>_xlfn.XLOOKUP(B4560,'2025-Q1'!$A$402:$A$448,'2025-Q1'!$A$402:$A$448,"avail")</f>
        <v>avail</v>
      </c>
      <c r="F4560" t="str">
        <f>_xlfn.XLOOKUP(B4560,'[2]!! -- Stock Universe 12.11.24'!$C$2:$C$1621,'[2]!! -- Stock Universe 12.11.24'!$E$2:$E$1621,"")</f>
        <v/>
      </c>
    </row>
    <row r="4561" spans="1:6" x14ac:dyDescent="0.25">
      <c r="A4561" s="140">
        <v>45747.291666666664</v>
      </c>
      <c r="B4561" t="s">
        <v>4561</v>
      </c>
      <c r="C4561" t="s">
        <v>4538</v>
      </c>
      <c r="D4561" s="6"/>
      <c r="E4561" t="str">
        <f>_xlfn.XLOOKUP(B4561,'2025-Q1'!$A$402:$A$448,'2025-Q1'!$A$402:$A$448,"avail")</f>
        <v>avail</v>
      </c>
      <c r="F4561" t="str">
        <f>_xlfn.XLOOKUP(B4561,'[2]!! -- Stock Universe 12.11.24'!$C$2:$C$1621,'[2]!! -- Stock Universe 12.11.24'!$E$2:$E$1621,"")</f>
        <v/>
      </c>
    </row>
    <row r="4562" spans="1:6" x14ac:dyDescent="0.25">
      <c r="A4562" s="140">
        <v>45747.291666666664</v>
      </c>
      <c r="B4562" t="s">
        <v>4570</v>
      </c>
      <c r="C4562" t="s">
        <v>4538</v>
      </c>
      <c r="D4562" s="6"/>
      <c r="E4562" t="str">
        <f>_xlfn.XLOOKUP(B4562,'2025-Q1'!$A$402:$A$448,'2025-Q1'!$A$402:$A$448,"avail")</f>
        <v>avail</v>
      </c>
      <c r="F4562" t="str">
        <f>_xlfn.XLOOKUP(B4562,'[2]!! -- Stock Universe 12.11.24'!$C$2:$C$1621,'[2]!! -- Stock Universe 12.11.24'!$E$2:$E$1621,"")</f>
        <v/>
      </c>
    </row>
    <row r="4563" spans="1:6" x14ac:dyDescent="0.25">
      <c r="A4563" s="140">
        <v>45747.291666666664</v>
      </c>
      <c r="B4563" t="s">
        <v>4563</v>
      </c>
      <c r="C4563" t="s">
        <v>4538</v>
      </c>
      <c r="D4563" s="6"/>
      <c r="E4563" t="str">
        <f>_xlfn.XLOOKUP(B4563,'2025-Q1'!$A$402:$A$448,'2025-Q1'!$A$402:$A$448,"avail")</f>
        <v>avail</v>
      </c>
      <c r="F4563" t="str">
        <f>_xlfn.XLOOKUP(B4563,'[2]!! -- Stock Universe 12.11.24'!$C$2:$C$1621,'[2]!! -- Stock Universe 12.11.24'!$E$2:$E$1621,"")</f>
        <v/>
      </c>
    </row>
    <row r="4564" spans="1:6" x14ac:dyDescent="0.25">
      <c r="A4564" s="140">
        <v>45747.291666666664</v>
      </c>
      <c r="B4564" t="s">
        <v>4565</v>
      </c>
      <c r="C4564" t="s">
        <v>4538</v>
      </c>
      <c r="D4564" s="6"/>
      <c r="E4564" t="str">
        <f>_xlfn.XLOOKUP(B4564,'2025-Q1'!$A$402:$A$448,'2025-Q1'!$A$402:$A$448,"avail")</f>
        <v>avail</v>
      </c>
      <c r="F4564" t="str">
        <f>_xlfn.XLOOKUP(B4564,'[2]!! -- Stock Universe 12.11.24'!$C$2:$C$1621,'[2]!! -- Stock Universe 12.11.24'!$E$2:$E$1621,"")</f>
        <v/>
      </c>
    </row>
    <row r="4565" spans="1:6" x14ac:dyDescent="0.25">
      <c r="A4565" s="140">
        <v>45747.291666666664</v>
      </c>
      <c r="B4565" t="s">
        <v>4560</v>
      </c>
      <c r="C4565" t="s">
        <v>4538</v>
      </c>
      <c r="D4565" s="6"/>
      <c r="E4565" t="str">
        <f>_xlfn.XLOOKUP(B4565,'2025-Q1'!$A$402:$A$448,'2025-Q1'!$A$402:$A$448,"avail")</f>
        <v>avail</v>
      </c>
      <c r="F4565" t="str">
        <f>_xlfn.XLOOKUP(B4565,'[2]!! -- Stock Universe 12.11.24'!$C$2:$C$1621,'[2]!! -- Stock Universe 12.11.24'!$E$2:$E$1621,"")</f>
        <v/>
      </c>
    </row>
    <row r="4566" spans="1:6" x14ac:dyDescent="0.25">
      <c r="A4566" s="140">
        <v>45747.291666666664</v>
      </c>
      <c r="B4566" t="s">
        <v>4540</v>
      </c>
      <c r="C4566" t="s">
        <v>4538</v>
      </c>
      <c r="D4566" s="6"/>
      <c r="E4566" t="str">
        <f>_xlfn.XLOOKUP(B4566,'2025-Q1'!$A$402:$A$448,'2025-Q1'!$A$402:$A$448,"avail")</f>
        <v>avail</v>
      </c>
      <c r="F4566" t="str">
        <f>_xlfn.XLOOKUP(B4566,'[2]!! -- Stock Universe 12.11.24'!$C$2:$C$1621,'[2]!! -- Stock Universe 12.11.24'!$E$2:$E$1621,"")</f>
        <v/>
      </c>
    </row>
    <row r="4567" spans="1:6" x14ac:dyDescent="0.25">
      <c r="A4567" s="140">
        <v>45747.291666666664</v>
      </c>
      <c r="B4567" t="s">
        <v>4566</v>
      </c>
      <c r="C4567" t="s">
        <v>4538</v>
      </c>
      <c r="D4567" s="6"/>
      <c r="E4567" t="str">
        <f>_xlfn.XLOOKUP(B4567,'2025-Q1'!$A$402:$A$448,'2025-Q1'!$A$402:$A$448,"avail")</f>
        <v>avail</v>
      </c>
      <c r="F4567" t="str">
        <f>_xlfn.XLOOKUP(B4567,'[2]!! -- Stock Universe 12.11.24'!$C$2:$C$1621,'[2]!! -- Stock Universe 12.11.24'!$E$2:$E$1621,"")</f>
        <v/>
      </c>
    </row>
    <row r="4568" spans="1:6" x14ac:dyDescent="0.25">
      <c r="A4568" s="140">
        <v>45747.291666666664</v>
      </c>
      <c r="B4568" t="s">
        <v>4567</v>
      </c>
      <c r="C4568" t="s">
        <v>4538</v>
      </c>
      <c r="D4568" s="6"/>
      <c r="E4568" t="str">
        <f>_xlfn.XLOOKUP(B4568,'2025-Q1'!$A$402:$A$448,'2025-Q1'!$A$402:$A$448,"avail")</f>
        <v>avail</v>
      </c>
      <c r="F4568" t="str">
        <f>_xlfn.XLOOKUP(B4568,'[2]!! -- Stock Universe 12.11.24'!$C$2:$C$1621,'[2]!! -- Stock Universe 12.11.24'!$E$2:$E$1621,"")</f>
        <v/>
      </c>
    </row>
    <row r="4569" spans="1:6" x14ac:dyDescent="0.25">
      <c r="A4569" s="140">
        <v>45747.291666666664</v>
      </c>
      <c r="B4569" t="s">
        <v>4576</v>
      </c>
      <c r="C4569" t="s">
        <v>4538</v>
      </c>
      <c r="D4569" s="6"/>
      <c r="E4569" t="str">
        <f>_xlfn.XLOOKUP(B4569,'2025-Q1'!$A$402:$A$448,'2025-Q1'!$A$402:$A$448,"avail")</f>
        <v>avail</v>
      </c>
      <c r="F4569" t="str">
        <f>_xlfn.XLOOKUP(B4569,'[2]!! -- Stock Universe 12.11.24'!$C$2:$C$1621,'[2]!! -- Stock Universe 12.11.24'!$E$2:$E$1621,"")</f>
        <v/>
      </c>
    </row>
    <row r="4570" spans="1:6" x14ac:dyDescent="0.25">
      <c r="A4570" s="140">
        <v>45747.291666666664</v>
      </c>
      <c r="B4570" t="s">
        <v>4571</v>
      </c>
      <c r="C4570" t="s">
        <v>4538</v>
      </c>
      <c r="D4570" s="6"/>
      <c r="E4570" t="str">
        <f>_xlfn.XLOOKUP(B4570,'2025-Q1'!$A$402:$A$448,'2025-Q1'!$A$402:$A$448,"avail")</f>
        <v>avail</v>
      </c>
      <c r="F4570" t="str">
        <f>_xlfn.XLOOKUP(B4570,'[2]!! -- Stock Universe 12.11.24'!$C$2:$C$1621,'[2]!! -- Stock Universe 12.11.24'!$E$2:$E$1621,"")</f>
        <v/>
      </c>
    </row>
    <row r="4571" spans="1:6" x14ac:dyDescent="0.25">
      <c r="A4571" s="140">
        <v>45747.291666666664</v>
      </c>
      <c r="B4571" t="s">
        <v>4568</v>
      </c>
      <c r="C4571" t="s">
        <v>4538</v>
      </c>
      <c r="D4571" s="6"/>
      <c r="E4571" t="str">
        <f>_xlfn.XLOOKUP(B4571,'2025-Q1'!$A$402:$A$448,'2025-Q1'!$A$402:$A$448,"avail")</f>
        <v>avail</v>
      </c>
      <c r="F4571" t="str">
        <f>_xlfn.XLOOKUP(B4571,'[2]!! -- Stock Universe 12.11.24'!$C$2:$C$1621,'[2]!! -- Stock Universe 12.11.24'!$E$2:$E$1621,"")</f>
        <v/>
      </c>
    </row>
    <row r="4572" spans="1:6" x14ac:dyDescent="0.25">
      <c r="A4572" s="140">
        <v>45747.291666666664</v>
      </c>
      <c r="B4572" t="s">
        <v>4539</v>
      </c>
      <c r="C4572" t="s">
        <v>4538</v>
      </c>
      <c r="D4572" s="6"/>
      <c r="E4572" t="str">
        <f>_xlfn.XLOOKUP(B4572,'2025-Q1'!$A$402:$A$448,'2025-Q1'!$A$402:$A$448,"avail")</f>
        <v>avail</v>
      </c>
      <c r="F4572" t="str">
        <f>_xlfn.XLOOKUP(B4572,'[2]!! -- Stock Universe 12.11.24'!$C$2:$C$1621,'[2]!! -- Stock Universe 12.11.24'!$E$2:$E$1621,"")</f>
        <v/>
      </c>
    </row>
    <row r="4573" spans="1:6" x14ac:dyDescent="0.25">
      <c r="A4573" s="140">
        <v>45747.291666666664</v>
      </c>
      <c r="B4573" t="s">
        <v>4541</v>
      </c>
      <c r="C4573" t="s">
        <v>4538</v>
      </c>
      <c r="D4573" s="6"/>
      <c r="E4573" t="str">
        <f>_xlfn.XLOOKUP(B4573,'2025-Q1'!$A$402:$A$448,'2025-Q1'!$A$402:$A$448,"avail")</f>
        <v>avail</v>
      </c>
      <c r="F4573" t="str">
        <f>_xlfn.XLOOKUP(B4573,'[2]!! -- Stock Universe 12.11.24'!$C$2:$C$1621,'[2]!! -- Stock Universe 12.11.24'!$E$2:$E$1621,"")</f>
        <v/>
      </c>
    </row>
    <row r="4574" spans="1:6" x14ac:dyDescent="0.25">
      <c r="A4574" s="140">
        <v>45747.291666666664</v>
      </c>
      <c r="B4574" t="s">
        <v>4549</v>
      </c>
      <c r="C4574" t="s">
        <v>4538</v>
      </c>
      <c r="D4574" s="6"/>
      <c r="E4574" t="str">
        <f>_xlfn.XLOOKUP(B4574,'2025-Q1'!$A$402:$A$448,'2025-Q1'!$A$402:$A$448,"avail")</f>
        <v>avail</v>
      </c>
      <c r="F4574" t="str">
        <f>_xlfn.XLOOKUP(B4574,'[2]!! -- Stock Universe 12.11.24'!$C$2:$C$1621,'[2]!! -- Stock Universe 12.11.24'!$E$2:$E$1621,"")</f>
        <v/>
      </c>
    </row>
    <row r="4575" spans="1:6" x14ac:dyDescent="0.25">
      <c r="A4575" s="140">
        <v>45747.291666666664</v>
      </c>
      <c r="B4575" t="s">
        <v>4556</v>
      </c>
      <c r="C4575" t="s">
        <v>4538</v>
      </c>
      <c r="D4575" s="6"/>
      <c r="E4575" t="str">
        <f>_xlfn.XLOOKUP(B4575,'2025-Q1'!$A$402:$A$448,'2025-Q1'!$A$402:$A$448,"avail")</f>
        <v>avail</v>
      </c>
      <c r="F4575" t="str">
        <f>_xlfn.XLOOKUP(B4575,'[2]!! -- Stock Universe 12.11.24'!$C$2:$C$1621,'[2]!! -- Stock Universe 12.11.24'!$E$2:$E$1621,"")</f>
        <v/>
      </c>
    </row>
    <row r="4576" spans="1:6" x14ac:dyDescent="0.25">
      <c r="A4576" s="140">
        <v>45747.291666666664</v>
      </c>
      <c r="B4576" t="s">
        <v>4552</v>
      </c>
      <c r="C4576" t="s">
        <v>4538</v>
      </c>
      <c r="D4576" s="6"/>
      <c r="E4576" t="str">
        <f>_xlfn.XLOOKUP(B4576,'2025-Q1'!$A$402:$A$448,'2025-Q1'!$A$402:$A$448,"avail")</f>
        <v>avail</v>
      </c>
      <c r="F4576" t="str">
        <f>_xlfn.XLOOKUP(B4576,'[2]!! -- Stock Universe 12.11.24'!$C$2:$C$1621,'[2]!! -- Stock Universe 12.11.24'!$E$2:$E$1621,"")</f>
        <v/>
      </c>
    </row>
    <row r="4577" spans="1:6" x14ac:dyDescent="0.25">
      <c r="A4577" s="140">
        <v>45747.291666666664</v>
      </c>
      <c r="B4577" t="s">
        <v>4544</v>
      </c>
      <c r="C4577" t="s">
        <v>4538</v>
      </c>
      <c r="D4577" s="6"/>
      <c r="E4577" t="str">
        <f>_xlfn.XLOOKUP(B4577,'2025-Q1'!$A$402:$A$448,'2025-Q1'!$A$402:$A$448,"avail")</f>
        <v>avail</v>
      </c>
      <c r="F4577" t="str">
        <f>_xlfn.XLOOKUP(B4577,'[2]!! -- Stock Universe 12.11.24'!$C$2:$C$1621,'[2]!! -- Stock Universe 12.11.24'!$E$2:$E$1621,"")</f>
        <v/>
      </c>
    </row>
    <row r="4578" spans="1:6" x14ac:dyDescent="0.25">
      <c r="A4578" s="140">
        <v>45747.291666666664</v>
      </c>
      <c r="B4578" t="s">
        <v>4553</v>
      </c>
      <c r="C4578" t="s">
        <v>4538</v>
      </c>
      <c r="D4578" s="6"/>
      <c r="E4578" t="str">
        <f>_xlfn.XLOOKUP(B4578,'2025-Q1'!$A$402:$A$448,'2025-Q1'!$A$402:$A$448,"avail")</f>
        <v>avail</v>
      </c>
      <c r="F4578" t="str">
        <f>_xlfn.XLOOKUP(B4578,'[2]!! -- Stock Universe 12.11.24'!$C$2:$C$1621,'[2]!! -- Stock Universe 12.11.24'!$E$2:$E$1621,"")</f>
        <v/>
      </c>
    </row>
    <row r="4579" spans="1:6" x14ac:dyDescent="0.25">
      <c r="A4579" s="140">
        <v>45747.291666666664</v>
      </c>
      <c r="B4579" t="s">
        <v>4550</v>
      </c>
      <c r="C4579" t="s">
        <v>4538</v>
      </c>
      <c r="D4579" s="6"/>
      <c r="E4579" t="str">
        <f>_xlfn.XLOOKUP(B4579,'2025-Q1'!$A$402:$A$448,'2025-Q1'!$A$402:$A$448,"avail")</f>
        <v>avail</v>
      </c>
      <c r="F4579" t="str">
        <f>_xlfn.XLOOKUP(B4579,'[2]!! -- Stock Universe 12.11.24'!$C$2:$C$1621,'[2]!! -- Stock Universe 12.11.24'!$E$2:$E$1621,"")</f>
        <v/>
      </c>
    </row>
    <row r="4580" spans="1:6" x14ac:dyDescent="0.25">
      <c r="A4580" s="140">
        <v>45747.458333333336</v>
      </c>
      <c r="B4580" t="s">
        <v>4579</v>
      </c>
      <c r="C4580" t="s">
        <v>4578</v>
      </c>
      <c r="D4580" s="6"/>
      <c r="E4580" t="str">
        <f>_xlfn.XLOOKUP(B4580,'2025-Q1'!$A$402:$A$448,'2025-Q1'!$A$402:$A$448,"avail")</f>
        <v>avail</v>
      </c>
      <c r="F4580" t="str">
        <f>_xlfn.XLOOKUP(B4580,'[2]!! -- Stock Universe 12.11.24'!$C$2:$C$1621,'[2]!! -- Stock Universe 12.11.24'!$E$2:$E$1621,"")</f>
        <v/>
      </c>
    </row>
    <row r="4581" spans="1:6" x14ac:dyDescent="0.25">
      <c r="A4581" s="140">
        <v>45747.458333333336</v>
      </c>
      <c r="B4581" t="s">
        <v>4580</v>
      </c>
      <c r="C4581" t="s">
        <v>4578</v>
      </c>
      <c r="D4581" s="6"/>
      <c r="E4581" t="str">
        <f>_xlfn.XLOOKUP(B4581,'2025-Q1'!$A$402:$A$448,'2025-Q1'!$A$402:$A$448,"avail")</f>
        <v>avail</v>
      </c>
      <c r="F4581" t="str">
        <f>_xlfn.XLOOKUP(B4581,'[2]!! -- Stock Universe 12.11.24'!$C$2:$C$1621,'[2]!! -- Stock Universe 12.11.24'!$E$2:$E$1621,"")</f>
        <v/>
      </c>
    </row>
    <row r="4582" spans="1:6" x14ac:dyDescent="0.25">
      <c r="A4582" s="140">
        <v>45747.458333333336</v>
      </c>
      <c r="B4582" t="s">
        <v>4474</v>
      </c>
      <c r="C4582" t="s">
        <v>4578</v>
      </c>
      <c r="D4582" s="6"/>
      <c r="E4582" t="str">
        <f>_xlfn.XLOOKUP(B4582,'2025-Q1'!$A$402:$A$448,'2025-Q1'!$A$402:$A$448,"avail")</f>
        <v>avail</v>
      </c>
      <c r="F4582" t="str">
        <f>_xlfn.XLOOKUP(B4582,'[2]!! -- Stock Universe 12.11.24'!$C$2:$C$1621,'[2]!! -- Stock Universe 12.11.24'!$E$2:$E$1621,"")</f>
        <v/>
      </c>
    </row>
    <row r="4583" spans="1:6" x14ac:dyDescent="0.25">
      <c r="A4583" s="140">
        <v>45747.458333333336</v>
      </c>
      <c r="B4583" t="s">
        <v>4577</v>
      </c>
      <c r="C4583" t="s">
        <v>4578</v>
      </c>
      <c r="D4583" s="6"/>
      <c r="E4583" t="str">
        <f>_xlfn.XLOOKUP(B4583,'2025-Q1'!$A$402:$A$448,'2025-Q1'!$A$402:$A$448,"avail")</f>
        <v>avail</v>
      </c>
      <c r="F4583" t="str">
        <f>_xlfn.XLOOKUP(B4583,'[2]!! -- Stock Universe 12.11.24'!$C$2:$C$1621,'[2]!! -- Stock Universe 12.11.24'!$E$2:$E$1621,"")</f>
        <v/>
      </c>
    </row>
    <row r="4584" spans="1:6" x14ac:dyDescent="0.25">
      <c r="A4584" s="140">
        <v>45747.625</v>
      </c>
      <c r="B4584" t="s">
        <v>2794</v>
      </c>
      <c r="C4584" t="s">
        <v>4581</v>
      </c>
      <c r="D4584" s="6"/>
      <c r="E4584" t="str">
        <f>_xlfn.XLOOKUP(B4584,'2025-Q1'!$A$402:$A$448,'2025-Q1'!$A$402:$A$448,"avail")</f>
        <v>avail</v>
      </c>
      <c r="F4584" t="str">
        <f>_xlfn.XLOOKUP(B4584,'[2]!! -- Stock Universe 12.11.24'!$C$2:$C$1621,'[2]!! -- Stock Universe 12.11.24'!$E$2:$E$1621,"")</f>
        <v/>
      </c>
    </row>
    <row r="4585" spans="1:6" x14ac:dyDescent="0.25">
      <c r="A4585" s="140">
        <v>45747.625</v>
      </c>
      <c r="B4585" t="s">
        <v>4625</v>
      </c>
      <c r="C4585" t="s">
        <v>4581</v>
      </c>
      <c r="D4585" s="6"/>
      <c r="E4585" t="str">
        <f>_xlfn.XLOOKUP(B4585,'2025-Q1'!$A$402:$A$448,'2025-Q1'!$A$402:$A$448,"avail")</f>
        <v>avail</v>
      </c>
      <c r="F4585" t="str">
        <f>_xlfn.XLOOKUP(B4585,'[2]!! -- Stock Universe 12.11.24'!$C$2:$C$1621,'[2]!! -- Stock Universe 12.11.24'!$E$2:$E$1621,"")</f>
        <v/>
      </c>
    </row>
    <row r="4586" spans="1:6" x14ac:dyDescent="0.25">
      <c r="A4586" s="140">
        <v>45747.625</v>
      </c>
      <c r="B4586" t="s">
        <v>4646</v>
      </c>
      <c r="C4586" t="s">
        <v>4581</v>
      </c>
      <c r="D4586" s="6"/>
      <c r="E4586" t="str">
        <f>_xlfn.XLOOKUP(B4586,'2025-Q1'!$A$402:$A$448,'2025-Q1'!$A$402:$A$448,"avail")</f>
        <v>avail</v>
      </c>
      <c r="F4586" t="str">
        <f>_xlfn.XLOOKUP(B4586,'[2]!! -- Stock Universe 12.11.24'!$C$2:$C$1621,'[2]!! -- Stock Universe 12.11.24'!$E$2:$E$1621,"")</f>
        <v/>
      </c>
    </row>
    <row r="4587" spans="1:6" x14ac:dyDescent="0.25">
      <c r="A4587" s="140">
        <v>45747.625</v>
      </c>
      <c r="B4587" t="s">
        <v>4633</v>
      </c>
      <c r="C4587" t="s">
        <v>4581</v>
      </c>
      <c r="D4587" s="6"/>
      <c r="E4587" t="str">
        <f>_xlfn.XLOOKUP(B4587,'2025-Q1'!$A$402:$A$448,'2025-Q1'!$A$402:$A$448,"avail")</f>
        <v>avail</v>
      </c>
      <c r="F4587" t="str">
        <f>_xlfn.XLOOKUP(B4587,'[2]!! -- Stock Universe 12.11.24'!$C$2:$C$1621,'[2]!! -- Stock Universe 12.11.24'!$E$2:$E$1621,"")</f>
        <v/>
      </c>
    </row>
    <row r="4588" spans="1:6" x14ac:dyDescent="0.25">
      <c r="A4588" s="140">
        <v>45747.625</v>
      </c>
      <c r="B4588" t="s">
        <v>4636</v>
      </c>
      <c r="C4588" t="s">
        <v>4581</v>
      </c>
      <c r="D4588" s="6"/>
      <c r="E4588" t="str">
        <f>_xlfn.XLOOKUP(B4588,'2025-Q1'!$A$402:$A$448,'2025-Q1'!$A$402:$A$448,"avail")</f>
        <v>avail</v>
      </c>
      <c r="F4588" t="str">
        <f>_xlfn.XLOOKUP(B4588,'[2]!! -- Stock Universe 12.11.24'!$C$2:$C$1621,'[2]!! -- Stock Universe 12.11.24'!$E$2:$E$1621,"")</f>
        <v/>
      </c>
    </row>
    <row r="4589" spans="1:6" x14ac:dyDescent="0.25">
      <c r="A4589" s="140">
        <v>45747.625</v>
      </c>
      <c r="B4589" t="s">
        <v>4603</v>
      </c>
      <c r="C4589" t="s">
        <v>4581</v>
      </c>
      <c r="D4589" s="6"/>
      <c r="E4589" t="str">
        <f>_xlfn.XLOOKUP(B4589,'2025-Q1'!$A$402:$A$448,'2025-Q1'!$A$402:$A$448,"avail")</f>
        <v>avail</v>
      </c>
      <c r="F4589" t="str">
        <f>_xlfn.XLOOKUP(B4589,'[2]!! -- Stock Universe 12.11.24'!$C$2:$C$1621,'[2]!! -- Stock Universe 12.11.24'!$E$2:$E$1621,"")</f>
        <v/>
      </c>
    </row>
    <row r="4590" spans="1:6" x14ac:dyDescent="0.25">
      <c r="A4590" s="140">
        <v>45747.625</v>
      </c>
      <c r="B4590" t="s">
        <v>4606</v>
      </c>
      <c r="C4590" t="s">
        <v>4581</v>
      </c>
      <c r="D4590" s="6"/>
      <c r="E4590" t="str">
        <f>_xlfn.XLOOKUP(B4590,'2025-Q1'!$A$402:$A$448,'2025-Q1'!$A$402:$A$448,"avail")</f>
        <v>avail</v>
      </c>
      <c r="F4590" t="str">
        <f>_xlfn.XLOOKUP(B4590,'[2]!! -- Stock Universe 12.11.24'!$C$2:$C$1621,'[2]!! -- Stock Universe 12.11.24'!$E$2:$E$1621,"")</f>
        <v/>
      </c>
    </row>
    <row r="4591" spans="1:6" x14ac:dyDescent="0.25">
      <c r="A4591" s="140">
        <v>45747.625</v>
      </c>
      <c r="B4591" t="s">
        <v>4619</v>
      </c>
      <c r="C4591" t="s">
        <v>4581</v>
      </c>
      <c r="D4591" s="6"/>
      <c r="E4591" t="str">
        <f>_xlfn.XLOOKUP(B4591,'2025-Q1'!$A$402:$A$448,'2025-Q1'!$A$402:$A$448,"avail")</f>
        <v>avail</v>
      </c>
      <c r="F4591" t="str">
        <f>_xlfn.XLOOKUP(B4591,'[2]!! -- Stock Universe 12.11.24'!$C$2:$C$1621,'[2]!! -- Stock Universe 12.11.24'!$E$2:$E$1621,"")</f>
        <v/>
      </c>
    </row>
    <row r="4592" spans="1:6" x14ac:dyDescent="0.25">
      <c r="A4592" s="140">
        <v>45747.625</v>
      </c>
      <c r="B4592" t="s">
        <v>4631</v>
      </c>
      <c r="C4592" t="s">
        <v>4581</v>
      </c>
      <c r="D4592" s="6"/>
      <c r="E4592" t="str">
        <f>_xlfn.XLOOKUP(B4592,'2025-Q1'!$A$402:$A$448,'2025-Q1'!$A$402:$A$448,"avail")</f>
        <v>avail</v>
      </c>
      <c r="F4592" t="str">
        <f>_xlfn.XLOOKUP(B4592,'[2]!! -- Stock Universe 12.11.24'!$C$2:$C$1621,'[2]!! -- Stock Universe 12.11.24'!$E$2:$E$1621,"")</f>
        <v/>
      </c>
    </row>
    <row r="4593" spans="1:6" x14ac:dyDescent="0.25">
      <c r="A4593" s="140">
        <v>45747.625</v>
      </c>
      <c r="B4593" t="s">
        <v>4349</v>
      </c>
      <c r="C4593" t="s">
        <v>4581</v>
      </c>
      <c r="D4593" s="6"/>
      <c r="E4593" t="str">
        <f>_xlfn.XLOOKUP(B4593,'2025-Q1'!$A$402:$A$448,'2025-Q1'!$A$402:$A$448,"avail")</f>
        <v>avail</v>
      </c>
      <c r="F4593" t="str">
        <f>_xlfn.XLOOKUP(B4593,'[2]!! -- Stock Universe 12.11.24'!$C$2:$C$1621,'[2]!! -- Stock Universe 12.11.24'!$E$2:$E$1621,"")</f>
        <v/>
      </c>
    </row>
    <row r="4594" spans="1:6" x14ac:dyDescent="0.25">
      <c r="A4594" s="140">
        <v>45747.625</v>
      </c>
      <c r="B4594" t="s">
        <v>4641</v>
      </c>
      <c r="C4594" t="s">
        <v>4581</v>
      </c>
      <c r="D4594" s="6"/>
      <c r="E4594" t="str">
        <f>_xlfn.XLOOKUP(B4594,'2025-Q1'!$A$402:$A$448,'2025-Q1'!$A$402:$A$448,"avail")</f>
        <v>avail</v>
      </c>
      <c r="F4594" t="str">
        <f>_xlfn.XLOOKUP(B4594,'[2]!! -- Stock Universe 12.11.24'!$C$2:$C$1621,'[2]!! -- Stock Universe 12.11.24'!$E$2:$E$1621,"")</f>
        <v/>
      </c>
    </row>
    <row r="4595" spans="1:6" x14ac:dyDescent="0.25">
      <c r="A4595" s="140">
        <v>45747.625</v>
      </c>
      <c r="B4595" t="s">
        <v>4632</v>
      </c>
      <c r="C4595" t="s">
        <v>4581</v>
      </c>
      <c r="D4595" s="6"/>
      <c r="E4595" t="str">
        <f>_xlfn.XLOOKUP(B4595,'2025-Q1'!$A$402:$A$448,'2025-Q1'!$A$402:$A$448,"avail")</f>
        <v>avail</v>
      </c>
      <c r="F4595" t="str">
        <f>_xlfn.XLOOKUP(B4595,'[2]!! -- Stock Universe 12.11.24'!$C$2:$C$1621,'[2]!! -- Stock Universe 12.11.24'!$E$2:$E$1621,"")</f>
        <v/>
      </c>
    </row>
    <row r="4596" spans="1:6" x14ac:dyDescent="0.25">
      <c r="A4596" s="140">
        <v>45747.625</v>
      </c>
      <c r="B4596" t="s">
        <v>4652</v>
      </c>
      <c r="C4596" t="s">
        <v>4581</v>
      </c>
      <c r="D4596" s="6"/>
      <c r="E4596" t="str">
        <f>_xlfn.XLOOKUP(B4596,'2025-Q1'!$A$402:$A$448,'2025-Q1'!$A$402:$A$448,"avail")</f>
        <v>avail</v>
      </c>
      <c r="F4596" t="str">
        <f>_xlfn.XLOOKUP(B4596,'[2]!! -- Stock Universe 12.11.24'!$C$2:$C$1621,'[2]!! -- Stock Universe 12.11.24'!$E$2:$E$1621,"")</f>
        <v/>
      </c>
    </row>
    <row r="4597" spans="1:6" x14ac:dyDescent="0.25">
      <c r="A4597" s="140">
        <v>45747.625</v>
      </c>
      <c r="B4597" t="s">
        <v>4656</v>
      </c>
      <c r="C4597" t="s">
        <v>4581</v>
      </c>
      <c r="D4597" s="6"/>
      <c r="E4597" t="str">
        <f>_xlfn.XLOOKUP(B4597,'2025-Q1'!$A$402:$A$448,'2025-Q1'!$A$402:$A$448,"avail")</f>
        <v>avail</v>
      </c>
      <c r="F4597" t="str">
        <f>_xlfn.XLOOKUP(B4597,'[2]!! -- Stock Universe 12.11.24'!$C$2:$C$1621,'[2]!! -- Stock Universe 12.11.24'!$E$2:$E$1621,"")</f>
        <v>Healthcare</v>
      </c>
    </row>
    <row r="4598" spans="1:6" x14ac:dyDescent="0.25">
      <c r="A4598" s="140">
        <v>45747.625</v>
      </c>
      <c r="B4598" t="s">
        <v>4591</v>
      </c>
      <c r="C4598" t="s">
        <v>4581</v>
      </c>
      <c r="D4598" s="6"/>
      <c r="E4598" t="str">
        <f>_xlfn.XLOOKUP(B4598,'2025-Q1'!$A$402:$A$448,'2025-Q1'!$A$402:$A$448,"avail")</f>
        <v>avail</v>
      </c>
      <c r="F4598" t="str">
        <f>_xlfn.XLOOKUP(B4598,'[2]!! -- Stock Universe 12.11.24'!$C$2:$C$1621,'[2]!! -- Stock Universe 12.11.24'!$E$2:$E$1621,"")</f>
        <v/>
      </c>
    </row>
    <row r="4599" spans="1:6" x14ac:dyDescent="0.25">
      <c r="A4599" s="140">
        <v>45747.625</v>
      </c>
      <c r="B4599" t="s">
        <v>1058</v>
      </c>
      <c r="C4599" t="s">
        <v>4581</v>
      </c>
      <c r="D4599" s="6"/>
      <c r="E4599" t="str">
        <f>_xlfn.XLOOKUP(B4599,'2025-Q1'!$A$402:$A$448,'2025-Q1'!$A$402:$A$448,"avail")</f>
        <v>avail</v>
      </c>
      <c r="F4599" t="str">
        <f>_xlfn.XLOOKUP(B4599,'[2]!! -- Stock Universe 12.11.24'!$C$2:$C$1621,'[2]!! -- Stock Universe 12.11.24'!$E$2:$E$1621,"")</f>
        <v/>
      </c>
    </row>
    <row r="4600" spans="1:6" x14ac:dyDescent="0.25">
      <c r="A4600" s="140">
        <v>45747.625</v>
      </c>
      <c r="B4600" t="s">
        <v>1023</v>
      </c>
      <c r="C4600" t="s">
        <v>4581</v>
      </c>
      <c r="D4600" s="6"/>
      <c r="E4600" t="str">
        <f>_xlfn.XLOOKUP(B4600,'2025-Q1'!$A$402:$A$448,'2025-Q1'!$A$402:$A$448,"avail")</f>
        <v>avail</v>
      </c>
      <c r="F4600" t="str">
        <f>_xlfn.XLOOKUP(B4600,'[2]!! -- Stock Universe 12.11.24'!$C$2:$C$1621,'[2]!! -- Stock Universe 12.11.24'!$E$2:$E$1621,"")</f>
        <v>Healthcare</v>
      </c>
    </row>
    <row r="4601" spans="1:6" x14ac:dyDescent="0.25">
      <c r="A4601" s="140">
        <v>45747.625</v>
      </c>
      <c r="B4601" t="s">
        <v>6424</v>
      </c>
      <c r="C4601" t="s">
        <v>4581</v>
      </c>
      <c r="D4601" s="6"/>
      <c r="E4601" t="str">
        <f>_xlfn.XLOOKUP(B4601,'2025-Q1'!$A$402:$A$448,'2025-Q1'!$A$402:$A$448,"avail")</f>
        <v>avail</v>
      </c>
      <c r="F4601" t="str">
        <f>_xlfn.XLOOKUP(B4601,'[2]!! -- Stock Universe 12.11.24'!$C$2:$C$1621,'[2]!! -- Stock Universe 12.11.24'!$E$2:$E$1621,"")</f>
        <v/>
      </c>
    </row>
    <row r="4602" spans="1:6" x14ac:dyDescent="0.25">
      <c r="A4602" s="140">
        <v>45747.625</v>
      </c>
      <c r="B4602" t="s">
        <v>4655</v>
      </c>
      <c r="C4602" t="s">
        <v>4581</v>
      </c>
      <c r="D4602" s="6"/>
      <c r="E4602" t="str">
        <f>_xlfn.XLOOKUP(B4602,'2025-Q1'!$A$402:$A$448,'2025-Q1'!$A$402:$A$448,"avail")</f>
        <v>avail</v>
      </c>
      <c r="F4602" t="str">
        <f>_xlfn.XLOOKUP(B4602,'[2]!! -- Stock Universe 12.11.24'!$C$2:$C$1621,'[2]!! -- Stock Universe 12.11.24'!$E$2:$E$1621,"")</f>
        <v/>
      </c>
    </row>
    <row r="4603" spans="1:6" x14ac:dyDescent="0.25">
      <c r="A4603" s="140">
        <v>45747.625</v>
      </c>
      <c r="B4603" t="s">
        <v>4644</v>
      </c>
      <c r="C4603" t="s">
        <v>4581</v>
      </c>
      <c r="D4603" s="6"/>
      <c r="E4603" t="str">
        <f>_xlfn.XLOOKUP(B4603,'2025-Q1'!$A$402:$A$448,'2025-Q1'!$A$402:$A$448,"avail")</f>
        <v>avail</v>
      </c>
      <c r="F4603" t="str">
        <f>_xlfn.XLOOKUP(B4603,'[2]!! -- Stock Universe 12.11.24'!$C$2:$C$1621,'[2]!! -- Stock Universe 12.11.24'!$E$2:$E$1621,"")</f>
        <v>Healthcare</v>
      </c>
    </row>
    <row r="4604" spans="1:6" x14ac:dyDescent="0.25">
      <c r="A4604" s="140">
        <v>45747.625</v>
      </c>
      <c r="B4604" t="s">
        <v>4651</v>
      </c>
      <c r="C4604" t="s">
        <v>4581</v>
      </c>
      <c r="D4604" s="6"/>
      <c r="E4604" t="str">
        <f>_xlfn.XLOOKUP(B4604,'2025-Q1'!$A$402:$A$448,'2025-Q1'!$A$402:$A$448,"avail")</f>
        <v>avail</v>
      </c>
      <c r="F4604" t="str">
        <f>_xlfn.XLOOKUP(B4604,'[2]!! -- Stock Universe 12.11.24'!$C$2:$C$1621,'[2]!! -- Stock Universe 12.11.24'!$E$2:$E$1621,"")</f>
        <v/>
      </c>
    </row>
    <row r="4605" spans="1:6" x14ac:dyDescent="0.25">
      <c r="A4605" s="140">
        <v>45747.625</v>
      </c>
      <c r="B4605" t="s">
        <v>4650</v>
      </c>
      <c r="C4605" t="s">
        <v>4581</v>
      </c>
      <c r="D4605" s="6"/>
      <c r="E4605" t="str">
        <f>_xlfn.XLOOKUP(B4605,'2025-Q1'!$A$402:$A$448,'2025-Q1'!$A$402:$A$448,"avail")</f>
        <v>avail</v>
      </c>
      <c r="F4605" t="str">
        <f>_xlfn.XLOOKUP(B4605,'[2]!! -- Stock Universe 12.11.24'!$C$2:$C$1621,'[2]!! -- Stock Universe 12.11.24'!$E$2:$E$1621,"")</f>
        <v/>
      </c>
    </row>
    <row r="4606" spans="1:6" x14ac:dyDescent="0.25">
      <c r="A4606" s="140">
        <v>45747.625</v>
      </c>
      <c r="B4606" t="s">
        <v>4587</v>
      </c>
      <c r="C4606" t="s">
        <v>4581</v>
      </c>
      <c r="D4606" s="6"/>
      <c r="E4606" t="str">
        <f>_xlfn.XLOOKUP(B4606,'2025-Q1'!$A$402:$A$448,'2025-Q1'!$A$402:$A$448,"avail")</f>
        <v>avail</v>
      </c>
      <c r="F4606" t="str">
        <f>_xlfn.XLOOKUP(B4606,'[2]!! -- Stock Universe 12.11.24'!$C$2:$C$1621,'[2]!! -- Stock Universe 12.11.24'!$E$2:$E$1621,"")</f>
        <v/>
      </c>
    </row>
    <row r="4607" spans="1:6" x14ac:dyDescent="0.25">
      <c r="A4607" s="140">
        <v>45747.625</v>
      </c>
      <c r="B4607" t="s">
        <v>4648</v>
      </c>
      <c r="C4607" t="s">
        <v>4581</v>
      </c>
      <c r="D4607" s="6"/>
      <c r="E4607" t="str">
        <f>_xlfn.XLOOKUP(B4607,'2025-Q1'!$A$402:$A$448,'2025-Q1'!$A$402:$A$448,"avail")</f>
        <v>avail</v>
      </c>
      <c r="F4607" t="str">
        <f>_xlfn.XLOOKUP(B4607,'[2]!! -- Stock Universe 12.11.24'!$C$2:$C$1621,'[2]!! -- Stock Universe 12.11.24'!$E$2:$E$1621,"")</f>
        <v/>
      </c>
    </row>
    <row r="4608" spans="1:6" x14ac:dyDescent="0.25">
      <c r="A4608" s="140">
        <v>45747.625</v>
      </c>
      <c r="B4608" t="s">
        <v>3627</v>
      </c>
      <c r="C4608" t="s">
        <v>4581</v>
      </c>
      <c r="D4608" s="6"/>
      <c r="E4608" t="str">
        <f>_xlfn.XLOOKUP(B4608,'2025-Q1'!$A$402:$A$448,'2025-Q1'!$A$402:$A$448,"avail")</f>
        <v>avail</v>
      </c>
      <c r="F4608" t="str">
        <f>_xlfn.XLOOKUP(B4608,'[2]!! -- Stock Universe 12.11.24'!$C$2:$C$1621,'[2]!! -- Stock Universe 12.11.24'!$E$2:$E$1621,"")</f>
        <v/>
      </c>
    </row>
    <row r="4609" spans="1:6" x14ac:dyDescent="0.25">
      <c r="A4609" s="140">
        <v>45747.625</v>
      </c>
      <c r="B4609" t="s">
        <v>4647</v>
      </c>
      <c r="C4609" t="s">
        <v>4581</v>
      </c>
      <c r="D4609" s="6"/>
      <c r="E4609" t="str">
        <f>_xlfn.XLOOKUP(B4609,'2025-Q1'!$A$402:$A$448,'2025-Q1'!$A$402:$A$448,"avail")</f>
        <v>avail</v>
      </c>
      <c r="F4609" t="str">
        <f>_xlfn.XLOOKUP(B4609,'[2]!! -- Stock Universe 12.11.24'!$C$2:$C$1621,'[2]!! -- Stock Universe 12.11.24'!$E$2:$E$1621,"")</f>
        <v/>
      </c>
    </row>
    <row r="4610" spans="1:6" x14ac:dyDescent="0.25">
      <c r="A4610" s="140">
        <v>45747.625</v>
      </c>
      <c r="B4610" t="s">
        <v>4588</v>
      </c>
      <c r="C4610" t="s">
        <v>4581</v>
      </c>
      <c r="D4610" s="6"/>
      <c r="E4610" t="str">
        <f>_xlfn.XLOOKUP(B4610,'2025-Q1'!$A$402:$A$448,'2025-Q1'!$A$402:$A$448,"avail")</f>
        <v>avail</v>
      </c>
      <c r="F4610" t="str">
        <f>_xlfn.XLOOKUP(B4610,'[2]!! -- Stock Universe 12.11.24'!$C$2:$C$1621,'[2]!! -- Stock Universe 12.11.24'!$E$2:$E$1621,"")</f>
        <v/>
      </c>
    </row>
    <row r="4611" spans="1:6" x14ac:dyDescent="0.25">
      <c r="A4611" s="140">
        <v>45747.625</v>
      </c>
      <c r="B4611" t="s">
        <v>4585</v>
      </c>
      <c r="C4611" t="s">
        <v>4581</v>
      </c>
      <c r="D4611" s="6"/>
      <c r="E4611" t="str">
        <f>_xlfn.XLOOKUP(B4611,'2025-Q1'!$A$402:$A$448,'2025-Q1'!$A$402:$A$448,"avail")</f>
        <v>avail</v>
      </c>
      <c r="F4611" t="str">
        <f>_xlfn.XLOOKUP(B4611,'[2]!! -- Stock Universe 12.11.24'!$C$2:$C$1621,'[2]!! -- Stock Universe 12.11.24'!$E$2:$E$1621,"")</f>
        <v>Communication Services</v>
      </c>
    </row>
    <row r="4612" spans="1:6" x14ac:dyDescent="0.25">
      <c r="A4612" s="140">
        <v>45747.625</v>
      </c>
      <c r="B4612" t="s">
        <v>4589</v>
      </c>
      <c r="C4612" t="s">
        <v>4581</v>
      </c>
      <c r="D4612" s="6"/>
      <c r="E4612" t="str">
        <f>_xlfn.XLOOKUP(B4612,'2025-Q1'!$A$402:$A$448,'2025-Q1'!$A$402:$A$448,"avail")</f>
        <v>avail</v>
      </c>
      <c r="F4612" t="str">
        <f>_xlfn.XLOOKUP(B4612,'[2]!! -- Stock Universe 12.11.24'!$C$2:$C$1621,'[2]!! -- Stock Universe 12.11.24'!$E$2:$E$1621,"")</f>
        <v/>
      </c>
    </row>
    <row r="4613" spans="1:6" x14ac:dyDescent="0.25">
      <c r="A4613" s="140">
        <v>45747.625</v>
      </c>
      <c r="B4613" t="s">
        <v>4595</v>
      </c>
      <c r="C4613" t="s">
        <v>4581</v>
      </c>
      <c r="D4613" s="6"/>
      <c r="E4613" t="str">
        <f>_xlfn.XLOOKUP(B4613,'2025-Q1'!$A$402:$A$448,'2025-Q1'!$A$402:$A$448,"avail")</f>
        <v>avail</v>
      </c>
      <c r="F4613" t="str">
        <f>_xlfn.XLOOKUP(B4613,'[2]!! -- Stock Universe 12.11.24'!$C$2:$C$1621,'[2]!! -- Stock Universe 12.11.24'!$E$2:$E$1621,"")</f>
        <v/>
      </c>
    </row>
    <row r="4614" spans="1:6" x14ac:dyDescent="0.25">
      <c r="A4614" s="140">
        <v>45747.625</v>
      </c>
      <c r="B4614" t="s">
        <v>5689</v>
      </c>
      <c r="C4614" t="s">
        <v>4581</v>
      </c>
      <c r="D4614" s="6"/>
      <c r="E4614" t="str">
        <f>_xlfn.XLOOKUP(B4614,'2025-Q1'!$A$402:$A$448,'2025-Q1'!$A$402:$A$448,"avail")</f>
        <v>avail</v>
      </c>
      <c r="F4614" t="str">
        <f>_xlfn.XLOOKUP(B4614,'[2]!! -- Stock Universe 12.11.24'!$C$2:$C$1621,'[2]!! -- Stock Universe 12.11.24'!$E$2:$E$1621,"")</f>
        <v/>
      </c>
    </row>
    <row r="4615" spans="1:6" x14ac:dyDescent="0.25">
      <c r="A4615" s="140">
        <v>45747.625</v>
      </c>
      <c r="B4615" t="s">
        <v>4584</v>
      </c>
      <c r="C4615" t="s">
        <v>4581</v>
      </c>
      <c r="D4615" s="6"/>
      <c r="E4615" t="str">
        <f>_xlfn.XLOOKUP(B4615,'2025-Q1'!$A$402:$A$448,'2025-Q1'!$A$402:$A$448,"avail")</f>
        <v>avail</v>
      </c>
      <c r="F4615" t="str">
        <f>_xlfn.XLOOKUP(B4615,'[2]!! -- Stock Universe 12.11.24'!$C$2:$C$1621,'[2]!! -- Stock Universe 12.11.24'!$E$2:$E$1621,"")</f>
        <v/>
      </c>
    </row>
    <row r="4616" spans="1:6" x14ac:dyDescent="0.25">
      <c r="A4616" s="140">
        <v>45747.625</v>
      </c>
      <c r="B4616" t="s">
        <v>4592</v>
      </c>
      <c r="C4616" t="s">
        <v>4581</v>
      </c>
      <c r="D4616" s="6"/>
      <c r="E4616" t="str">
        <f>_xlfn.XLOOKUP(B4616,'2025-Q1'!$A$402:$A$448,'2025-Q1'!$A$402:$A$448,"avail")</f>
        <v>avail</v>
      </c>
      <c r="F4616" t="str">
        <f>_xlfn.XLOOKUP(B4616,'[2]!! -- Stock Universe 12.11.24'!$C$2:$C$1621,'[2]!! -- Stock Universe 12.11.24'!$E$2:$E$1621,"")</f>
        <v/>
      </c>
    </row>
    <row r="4617" spans="1:6" x14ac:dyDescent="0.25">
      <c r="A4617" s="140">
        <v>45747.625</v>
      </c>
      <c r="B4617" t="s">
        <v>4634</v>
      </c>
      <c r="C4617" t="s">
        <v>4581</v>
      </c>
      <c r="D4617" s="6"/>
      <c r="E4617" t="str">
        <f>_xlfn.XLOOKUP(B4617,'2025-Q1'!$A$402:$A$448,'2025-Q1'!$A$402:$A$448,"avail")</f>
        <v>avail</v>
      </c>
      <c r="F4617" t="str">
        <f>_xlfn.XLOOKUP(B4617,'[2]!! -- Stock Universe 12.11.24'!$C$2:$C$1621,'[2]!! -- Stock Universe 12.11.24'!$E$2:$E$1621,"")</f>
        <v/>
      </c>
    </row>
    <row r="4618" spans="1:6" x14ac:dyDescent="0.25">
      <c r="A4618" s="140">
        <v>45747.625</v>
      </c>
      <c r="B4618" t="s">
        <v>4621</v>
      </c>
      <c r="C4618" t="s">
        <v>4581</v>
      </c>
      <c r="D4618" s="6"/>
      <c r="E4618" t="str">
        <f>_xlfn.XLOOKUP(B4618,'2025-Q1'!$A$402:$A$448,'2025-Q1'!$A$402:$A$448,"avail")</f>
        <v>avail</v>
      </c>
      <c r="F4618" t="str">
        <f>_xlfn.XLOOKUP(B4618,'[2]!! -- Stock Universe 12.11.24'!$C$2:$C$1621,'[2]!! -- Stock Universe 12.11.24'!$E$2:$E$1621,"")</f>
        <v>Technology</v>
      </c>
    </row>
    <row r="4619" spans="1:6" x14ac:dyDescent="0.25">
      <c r="A4619" s="140">
        <v>45747.625</v>
      </c>
      <c r="B4619" t="s">
        <v>1035</v>
      </c>
      <c r="C4619" t="s">
        <v>4581</v>
      </c>
      <c r="D4619" s="6"/>
      <c r="E4619" t="str">
        <f>_xlfn.XLOOKUP(B4619,'2025-Q1'!$A$402:$A$448,'2025-Q1'!$A$402:$A$448,"avail")</f>
        <v>avail</v>
      </c>
      <c r="F4619" t="str">
        <f>_xlfn.XLOOKUP(B4619,'[2]!! -- Stock Universe 12.11.24'!$C$2:$C$1621,'[2]!! -- Stock Universe 12.11.24'!$E$2:$E$1621,"")</f>
        <v>Healthcare</v>
      </c>
    </row>
    <row r="4620" spans="1:6" x14ac:dyDescent="0.25">
      <c r="A4620" s="140">
        <v>45747.625</v>
      </c>
      <c r="B4620" t="s">
        <v>4590</v>
      </c>
      <c r="C4620" t="s">
        <v>4581</v>
      </c>
      <c r="D4620" s="6"/>
      <c r="E4620" t="str">
        <f>_xlfn.XLOOKUP(B4620,'2025-Q1'!$A$402:$A$448,'2025-Q1'!$A$402:$A$448,"avail")</f>
        <v>avail</v>
      </c>
      <c r="F4620" t="str">
        <f>_xlfn.XLOOKUP(B4620,'[2]!! -- Stock Universe 12.11.24'!$C$2:$C$1621,'[2]!! -- Stock Universe 12.11.24'!$E$2:$E$1621,"")</f>
        <v/>
      </c>
    </row>
    <row r="4621" spans="1:6" x14ac:dyDescent="0.25">
      <c r="A4621" s="140">
        <v>45747.625</v>
      </c>
      <c r="B4621" t="s">
        <v>4598</v>
      </c>
      <c r="C4621" t="s">
        <v>4581</v>
      </c>
      <c r="D4621" s="6"/>
      <c r="E4621" t="str">
        <f>_xlfn.XLOOKUP(B4621,'2025-Q1'!$A$402:$A$448,'2025-Q1'!$A$402:$A$448,"avail")</f>
        <v>avail</v>
      </c>
      <c r="F4621" t="str">
        <f>_xlfn.XLOOKUP(B4621,'[2]!! -- Stock Universe 12.11.24'!$C$2:$C$1621,'[2]!! -- Stock Universe 12.11.24'!$E$2:$E$1621,"")</f>
        <v/>
      </c>
    </row>
    <row r="4622" spans="1:6" x14ac:dyDescent="0.25">
      <c r="A4622" s="140">
        <v>45747.625</v>
      </c>
      <c r="B4622" t="s">
        <v>4605</v>
      </c>
      <c r="C4622" t="s">
        <v>4581</v>
      </c>
      <c r="D4622" s="6"/>
      <c r="E4622" t="str">
        <f>_xlfn.XLOOKUP(B4622,'2025-Q1'!$A$402:$A$448,'2025-Q1'!$A$402:$A$448,"avail")</f>
        <v>avail</v>
      </c>
      <c r="F4622" t="str">
        <f>_xlfn.XLOOKUP(B4622,'[2]!! -- Stock Universe 12.11.24'!$C$2:$C$1621,'[2]!! -- Stock Universe 12.11.24'!$E$2:$E$1621,"")</f>
        <v/>
      </c>
    </row>
    <row r="4623" spans="1:6" x14ac:dyDescent="0.25">
      <c r="A4623" s="140">
        <v>45747.625</v>
      </c>
      <c r="B4623" t="s">
        <v>4611</v>
      </c>
      <c r="C4623" t="s">
        <v>4581</v>
      </c>
      <c r="D4623" s="6"/>
      <c r="E4623" t="str">
        <f>_xlfn.XLOOKUP(B4623,'2025-Q1'!$A$402:$A$448,'2025-Q1'!$A$402:$A$448,"avail")</f>
        <v>avail</v>
      </c>
      <c r="F4623" t="str">
        <f>_xlfn.XLOOKUP(B4623,'[2]!! -- Stock Universe 12.11.24'!$C$2:$C$1621,'[2]!! -- Stock Universe 12.11.24'!$E$2:$E$1621,"")</f>
        <v/>
      </c>
    </row>
    <row r="4624" spans="1:6" x14ac:dyDescent="0.25">
      <c r="A4624" s="140">
        <v>45747.625</v>
      </c>
      <c r="B4624" t="s">
        <v>4599</v>
      </c>
      <c r="C4624" t="s">
        <v>4581</v>
      </c>
      <c r="D4624" s="6"/>
      <c r="E4624" t="str">
        <f>_xlfn.XLOOKUP(B4624,'2025-Q1'!$A$402:$A$448,'2025-Q1'!$A$402:$A$448,"avail")</f>
        <v>avail</v>
      </c>
      <c r="F4624" t="str">
        <f>_xlfn.XLOOKUP(B4624,'[2]!! -- Stock Universe 12.11.24'!$C$2:$C$1621,'[2]!! -- Stock Universe 12.11.24'!$E$2:$E$1621,"")</f>
        <v/>
      </c>
    </row>
    <row r="4625" spans="1:6" x14ac:dyDescent="0.25">
      <c r="A4625" s="140">
        <v>45747.625</v>
      </c>
      <c r="B4625" t="s">
        <v>986</v>
      </c>
      <c r="C4625" t="s">
        <v>4581</v>
      </c>
      <c r="D4625" s="6"/>
      <c r="E4625" t="str">
        <f>_xlfn.XLOOKUP(B4625,'2025-Q1'!$A$402:$A$448,'2025-Q1'!$A$402:$A$448,"avail")</f>
        <v>avail</v>
      </c>
      <c r="F4625" t="str">
        <f>_xlfn.XLOOKUP(B4625,'[2]!! -- Stock Universe 12.11.24'!$C$2:$C$1621,'[2]!! -- Stock Universe 12.11.24'!$E$2:$E$1621,"")</f>
        <v/>
      </c>
    </row>
    <row r="4626" spans="1:6" x14ac:dyDescent="0.25">
      <c r="A4626" s="140">
        <v>45747.625</v>
      </c>
      <c r="B4626" t="s">
        <v>4609</v>
      </c>
      <c r="C4626" t="s">
        <v>4581</v>
      </c>
      <c r="D4626" s="6"/>
      <c r="E4626" t="str">
        <f>_xlfn.XLOOKUP(B4626,'2025-Q1'!$A$402:$A$448,'2025-Q1'!$A$402:$A$448,"avail")</f>
        <v>avail</v>
      </c>
      <c r="F4626" t="str">
        <f>_xlfn.XLOOKUP(B4626,'[2]!! -- Stock Universe 12.11.24'!$C$2:$C$1621,'[2]!! -- Stock Universe 12.11.24'!$E$2:$E$1621,"")</f>
        <v/>
      </c>
    </row>
    <row r="4627" spans="1:6" x14ac:dyDescent="0.25">
      <c r="A4627" s="140">
        <v>45747.625</v>
      </c>
      <c r="B4627" t="s">
        <v>4616</v>
      </c>
      <c r="C4627" t="s">
        <v>4581</v>
      </c>
      <c r="D4627" s="6"/>
      <c r="E4627" t="str">
        <f>_xlfn.XLOOKUP(B4627,'2025-Q1'!$A$402:$A$448,'2025-Q1'!$A$402:$A$448,"avail")</f>
        <v>avail</v>
      </c>
      <c r="F4627" t="str">
        <f>_xlfn.XLOOKUP(B4627,'[2]!! -- Stock Universe 12.11.24'!$C$2:$C$1621,'[2]!! -- Stock Universe 12.11.24'!$E$2:$E$1621,"")</f>
        <v/>
      </c>
    </row>
    <row r="4628" spans="1:6" x14ac:dyDescent="0.25">
      <c r="A4628" s="140">
        <v>45747.625</v>
      </c>
      <c r="B4628" t="s">
        <v>4620</v>
      </c>
      <c r="C4628" t="s">
        <v>4581</v>
      </c>
      <c r="D4628" s="6"/>
      <c r="E4628" t="str">
        <f>_xlfn.XLOOKUP(B4628,'2025-Q1'!$A$402:$A$448,'2025-Q1'!$A$402:$A$448,"avail")</f>
        <v>avail</v>
      </c>
      <c r="F4628" t="str">
        <f>_xlfn.XLOOKUP(B4628,'[2]!! -- Stock Universe 12.11.24'!$C$2:$C$1621,'[2]!! -- Stock Universe 12.11.24'!$E$2:$E$1621,"")</f>
        <v/>
      </c>
    </row>
    <row r="4629" spans="1:6" x14ac:dyDescent="0.25">
      <c r="A4629" s="140">
        <v>45747.625</v>
      </c>
      <c r="B4629" t="s">
        <v>4618</v>
      </c>
      <c r="C4629" t="s">
        <v>4581</v>
      </c>
      <c r="D4629" s="6"/>
      <c r="E4629" t="str">
        <f>_xlfn.XLOOKUP(B4629,'2025-Q1'!$A$402:$A$448,'2025-Q1'!$A$402:$A$448,"avail")</f>
        <v>avail</v>
      </c>
      <c r="F4629" t="str">
        <f>_xlfn.XLOOKUP(B4629,'[2]!! -- Stock Universe 12.11.24'!$C$2:$C$1621,'[2]!! -- Stock Universe 12.11.24'!$E$2:$E$1621,"")</f>
        <v/>
      </c>
    </row>
    <row r="4630" spans="1:6" x14ac:dyDescent="0.25">
      <c r="A4630" s="140">
        <v>45747.625</v>
      </c>
      <c r="B4630" t="s">
        <v>4613</v>
      </c>
      <c r="C4630" t="s">
        <v>4581</v>
      </c>
      <c r="D4630" s="6"/>
      <c r="E4630" t="str">
        <f>_xlfn.XLOOKUP(B4630,'2025-Q1'!$A$402:$A$448,'2025-Q1'!$A$402:$A$448,"avail")</f>
        <v>avail</v>
      </c>
      <c r="F4630" t="str">
        <f>_xlfn.XLOOKUP(B4630,'[2]!! -- Stock Universe 12.11.24'!$C$2:$C$1621,'[2]!! -- Stock Universe 12.11.24'!$E$2:$E$1621,"")</f>
        <v/>
      </c>
    </row>
    <row r="4631" spans="1:6" x14ac:dyDescent="0.25">
      <c r="A4631" s="140">
        <v>45747.625</v>
      </c>
      <c r="B4631" t="s">
        <v>4617</v>
      </c>
      <c r="C4631" t="s">
        <v>4581</v>
      </c>
      <c r="D4631" s="6"/>
      <c r="E4631" t="str">
        <f>_xlfn.XLOOKUP(B4631,'2025-Q1'!$A$402:$A$448,'2025-Q1'!$A$402:$A$448,"avail")</f>
        <v>avail</v>
      </c>
      <c r="F4631" t="str">
        <f>_xlfn.XLOOKUP(B4631,'[2]!! -- Stock Universe 12.11.24'!$C$2:$C$1621,'[2]!! -- Stock Universe 12.11.24'!$E$2:$E$1621,"")</f>
        <v/>
      </c>
    </row>
    <row r="4632" spans="1:6" x14ac:dyDescent="0.25">
      <c r="A4632" s="140">
        <v>45747.625</v>
      </c>
      <c r="B4632" t="s">
        <v>4654</v>
      </c>
      <c r="C4632" t="s">
        <v>4581</v>
      </c>
      <c r="D4632" s="6"/>
      <c r="E4632" t="str">
        <f>_xlfn.XLOOKUP(B4632,'2025-Q1'!$A$402:$A$448,'2025-Q1'!$A$402:$A$448,"avail")</f>
        <v>avail</v>
      </c>
      <c r="F4632" t="str">
        <f>_xlfn.XLOOKUP(B4632,'[2]!! -- Stock Universe 12.11.24'!$C$2:$C$1621,'[2]!! -- Stock Universe 12.11.24'!$E$2:$E$1621,"")</f>
        <v/>
      </c>
    </row>
    <row r="4633" spans="1:6" x14ac:dyDescent="0.25">
      <c r="A4633" s="140">
        <v>45747.625</v>
      </c>
      <c r="B4633" t="s">
        <v>4956</v>
      </c>
      <c r="C4633" t="s">
        <v>4581</v>
      </c>
      <c r="D4633" s="6"/>
      <c r="E4633" t="str">
        <f>_xlfn.XLOOKUP(B4633,'2025-Q1'!$A$402:$A$448,'2025-Q1'!$A$402:$A$448,"avail")</f>
        <v>avail</v>
      </c>
      <c r="F4633" t="str">
        <f>_xlfn.XLOOKUP(B4633,'[2]!! -- Stock Universe 12.11.24'!$C$2:$C$1621,'[2]!! -- Stock Universe 12.11.24'!$E$2:$E$1621,"")</f>
        <v/>
      </c>
    </row>
    <row r="4634" spans="1:6" x14ac:dyDescent="0.25">
      <c r="A4634" s="140">
        <v>45747.625</v>
      </c>
      <c r="B4634" t="s">
        <v>4614</v>
      </c>
      <c r="C4634" t="s">
        <v>4581</v>
      </c>
      <c r="D4634" s="6"/>
      <c r="E4634" t="str">
        <f>_xlfn.XLOOKUP(B4634,'2025-Q1'!$A$402:$A$448,'2025-Q1'!$A$402:$A$448,"avail")</f>
        <v>avail</v>
      </c>
      <c r="F4634" t="str">
        <f>_xlfn.XLOOKUP(B4634,'[2]!! -- Stock Universe 12.11.24'!$C$2:$C$1621,'[2]!! -- Stock Universe 12.11.24'!$E$2:$E$1621,"")</f>
        <v/>
      </c>
    </row>
    <row r="4635" spans="1:6" x14ac:dyDescent="0.25">
      <c r="A4635" s="140">
        <v>45747.625</v>
      </c>
      <c r="B4635" t="s">
        <v>4623</v>
      </c>
      <c r="C4635" t="s">
        <v>4581</v>
      </c>
      <c r="D4635" s="6"/>
      <c r="E4635" t="str">
        <f>_xlfn.XLOOKUP(B4635,'2025-Q1'!$A$402:$A$448,'2025-Q1'!$A$402:$A$448,"avail")</f>
        <v>avail</v>
      </c>
      <c r="F4635" t="str">
        <f>_xlfn.XLOOKUP(B4635,'[2]!! -- Stock Universe 12.11.24'!$C$2:$C$1621,'[2]!! -- Stock Universe 12.11.24'!$E$2:$E$1621,"")</f>
        <v/>
      </c>
    </row>
    <row r="4636" spans="1:6" x14ac:dyDescent="0.25">
      <c r="A4636" s="140">
        <v>45747.625</v>
      </c>
      <c r="B4636" t="s">
        <v>4629</v>
      </c>
      <c r="C4636" t="s">
        <v>4581</v>
      </c>
      <c r="D4636" s="6"/>
      <c r="E4636" t="str">
        <f>_xlfn.XLOOKUP(B4636,'2025-Q1'!$A$402:$A$448,'2025-Q1'!$A$402:$A$448,"avail")</f>
        <v>avail</v>
      </c>
      <c r="F4636" t="str">
        <f>_xlfn.XLOOKUP(B4636,'[2]!! -- Stock Universe 12.11.24'!$C$2:$C$1621,'[2]!! -- Stock Universe 12.11.24'!$E$2:$E$1621,"")</f>
        <v/>
      </c>
    </row>
    <row r="4637" spans="1:6" x14ac:dyDescent="0.25">
      <c r="A4637" s="140">
        <v>45747.625</v>
      </c>
      <c r="B4637" t="s">
        <v>4638</v>
      </c>
      <c r="C4637" t="s">
        <v>4581</v>
      </c>
      <c r="D4637" s="6"/>
      <c r="E4637" t="str">
        <f>_xlfn.XLOOKUP(B4637,'2025-Q1'!$A$402:$A$448,'2025-Q1'!$A$402:$A$448,"avail")</f>
        <v>avail</v>
      </c>
      <c r="F4637" t="str">
        <f>_xlfn.XLOOKUP(B4637,'[2]!! -- Stock Universe 12.11.24'!$C$2:$C$1621,'[2]!! -- Stock Universe 12.11.24'!$E$2:$E$1621,"")</f>
        <v/>
      </c>
    </row>
    <row r="4638" spans="1:6" x14ac:dyDescent="0.25">
      <c r="A4638" s="140">
        <v>45747.625</v>
      </c>
      <c r="B4638" t="s">
        <v>4628</v>
      </c>
      <c r="C4638" t="s">
        <v>4581</v>
      </c>
      <c r="D4638" s="6"/>
      <c r="E4638" t="str">
        <f>_xlfn.XLOOKUP(B4638,'2025-Q1'!$A$402:$A$448,'2025-Q1'!$A$402:$A$448,"avail")</f>
        <v>avail</v>
      </c>
      <c r="F4638" t="str">
        <f>_xlfn.XLOOKUP(B4638,'[2]!! -- Stock Universe 12.11.24'!$C$2:$C$1621,'[2]!! -- Stock Universe 12.11.24'!$E$2:$E$1621,"")</f>
        <v/>
      </c>
    </row>
    <row r="4639" spans="1:6" x14ac:dyDescent="0.25">
      <c r="A4639" s="140">
        <v>45747.625</v>
      </c>
      <c r="B4639" t="s">
        <v>4627</v>
      </c>
      <c r="C4639" t="s">
        <v>4581</v>
      </c>
      <c r="D4639" s="6"/>
      <c r="E4639" t="str">
        <f>_xlfn.XLOOKUP(B4639,'2025-Q1'!$A$402:$A$448,'2025-Q1'!$A$402:$A$448,"avail")</f>
        <v>avail</v>
      </c>
      <c r="F4639" t="str">
        <f>_xlfn.XLOOKUP(B4639,'[2]!! -- Stock Universe 12.11.24'!$C$2:$C$1621,'[2]!! -- Stock Universe 12.11.24'!$E$2:$E$1621,"")</f>
        <v/>
      </c>
    </row>
    <row r="4640" spans="1:6" x14ac:dyDescent="0.25">
      <c r="A4640" s="140">
        <v>45747.625</v>
      </c>
      <c r="B4640" t="s">
        <v>4615</v>
      </c>
      <c r="C4640" t="s">
        <v>4581</v>
      </c>
      <c r="D4640" s="6"/>
      <c r="E4640" t="str">
        <f>_xlfn.XLOOKUP(B4640,'2025-Q1'!$A$402:$A$448,'2025-Q1'!$A$402:$A$448,"avail")</f>
        <v>avail</v>
      </c>
      <c r="F4640" t="str">
        <f>_xlfn.XLOOKUP(B4640,'[2]!! -- Stock Universe 12.11.24'!$C$2:$C$1621,'[2]!! -- Stock Universe 12.11.24'!$E$2:$E$1621,"")</f>
        <v/>
      </c>
    </row>
    <row r="4641" spans="1:6" x14ac:dyDescent="0.25">
      <c r="A4641" s="140">
        <v>45747.625</v>
      </c>
      <c r="B4641" t="s">
        <v>4626</v>
      </c>
      <c r="C4641" t="s">
        <v>4581</v>
      </c>
      <c r="D4641" s="6"/>
      <c r="E4641" t="str">
        <f>_xlfn.XLOOKUP(B4641,'2025-Q1'!$A$402:$A$448,'2025-Q1'!$A$402:$A$448,"avail")</f>
        <v>avail</v>
      </c>
      <c r="F4641" t="str">
        <f>_xlfn.XLOOKUP(B4641,'[2]!! -- Stock Universe 12.11.24'!$C$2:$C$1621,'[2]!! -- Stock Universe 12.11.24'!$E$2:$E$1621,"")</f>
        <v>Technology</v>
      </c>
    </row>
    <row r="4642" spans="1:6" x14ac:dyDescent="0.25">
      <c r="A4642" s="140">
        <v>45747.625</v>
      </c>
      <c r="B4642" t="s">
        <v>4624</v>
      </c>
      <c r="C4642" t="s">
        <v>4581</v>
      </c>
      <c r="D4642" s="6"/>
      <c r="E4642" t="str">
        <f>_xlfn.XLOOKUP(B4642,'2025-Q1'!$A$402:$A$448,'2025-Q1'!$A$402:$A$448,"avail")</f>
        <v>avail</v>
      </c>
      <c r="F4642" t="str">
        <f>_xlfn.XLOOKUP(B4642,'[2]!! -- Stock Universe 12.11.24'!$C$2:$C$1621,'[2]!! -- Stock Universe 12.11.24'!$E$2:$E$1621,"")</f>
        <v/>
      </c>
    </row>
    <row r="4643" spans="1:6" x14ac:dyDescent="0.25">
      <c r="A4643" s="140">
        <v>45747.625</v>
      </c>
      <c r="B4643" t="s">
        <v>4635</v>
      </c>
      <c r="C4643" t="s">
        <v>4581</v>
      </c>
      <c r="D4643" s="6"/>
      <c r="E4643" t="str">
        <f>_xlfn.XLOOKUP(B4643,'2025-Q1'!$A$402:$A$448,'2025-Q1'!$A$402:$A$448,"avail")</f>
        <v>avail</v>
      </c>
      <c r="F4643" t="str">
        <f>_xlfn.XLOOKUP(B4643,'[2]!! -- Stock Universe 12.11.24'!$C$2:$C$1621,'[2]!! -- Stock Universe 12.11.24'!$E$2:$E$1621,"")</f>
        <v/>
      </c>
    </row>
    <row r="4644" spans="1:6" x14ac:dyDescent="0.25">
      <c r="A4644" s="140">
        <v>45747.625</v>
      </c>
      <c r="B4644" t="s">
        <v>4622</v>
      </c>
      <c r="C4644" t="s">
        <v>4581</v>
      </c>
      <c r="D4644" s="6"/>
      <c r="E4644" t="str">
        <f>_xlfn.XLOOKUP(B4644,'2025-Q1'!$A$402:$A$448,'2025-Q1'!$A$402:$A$448,"avail")</f>
        <v>avail</v>
      </c>
      <c r="F4644" t="str">
        <f>_xlfn.XLOOKUP(B4644,'[2]!! -- Stock Universe 12.11.24'!$C$2:$C$1621,'[2]!! -- Stock Universe 12.11.24'!$E$2:$E$1621,"")</f>
        <v/>
      </c>
    </row>
    <row r="4645" spans="1:6" x14ac:dyDescent="0.25">
      <c r="A4645" s="140">
        <v>45747.625</v>
      </c>
      <c r="B4645" t="s">
        <v>4645</v>
      </c>
      <c r="C4645" t="s">
        <v>4581</v>
      </c>
      <c r="D4645" s="6"/>
      <c r="E4645" t="str">
        <f>_xlfn.XLOOKUP(B4645,'2025-Q1'!$A$402:$A$448,'2025-Q1'!$A$402:$A$448,"avail")</f>
        <v>avail</v>
      </c>
      <c r="F4645" t="str">
        <f>_xlfn.XLOOKUP(B4645,'[2]!! -- Stock Universe 12.11.24'!$C$2:$C$1621,'[2]!! -- Stock Universe 12.11.24'!$E$2:$E$1621,"")</f>
        <v/>
      </c>
    </row>
    <row r="4646" spans="1:6" x14ac:dyDescent="0.25">
      <c r="A4646" s="140">
        <v>45747.625</v>
      </c>
      <c r="B4646" t="s">
        <v>4640</v>
      </c>
      <c r="C4646" t="s">
        <v>4581</v>
      </c>
      <c r="D4646" s="6"/>
      <c r="E4646" t="str">
        <f>_xlfn.XLOOKUP(B4646,'2025-Q1'!$A$402:$A$448,'2025-Q1'!$A$402:$A$448,"avail")</f>
        <v>avail</v>
      </c>
      <c r="F4646" t="str">
        <f>_xlfn.XLOOKUP(B4646,'[2]!! -- Stock Universe 12.11.24'!$C$2:$C$1621,'[2]!! -- Stock Universe 12.11.24'!$E$2:$E$1621,"")</f>
        <v/>
      </c>
    </row>
    <row r="4647" spans="1:6" x14ac:dyDescent="0.25">
      <c r="A4647" s="140">
        <v>45747.625</v>
      </c>
      <c r="B4647" t="s">
        <v>4637</v>
      </c>
      <c r="C4647" t="s">
        <v>4581</v>
      </c>
      <c r="D4647" s="6"/>
      <c r="E4647" t="str">
        <f>_xlfn.XLOOKUP(B4647,'2025-Q1'!$A$402:$A$448,'2025-Q1'!$A$402:$A$448,"avail")</f>
        <v>avail</v>
      </c>
      <c r="F4647" t="str">
        <f>_xlfn.XLOOKUP(B4647,'[2]!! -- Stock Universe 12.11.24'!$C$2:$C$1621,'[2]!! -- Stock Universe 12.11.24'!$E$2:$E$1621,"")</f>
        <v/>
      </c>
    </row>
    <row r="4648" spans="1:6" x14ac:dyDescent="0.25">
      <c r="A4648" s="140">
        <v>45747.625</v>
      </c>
      <c r="B4648" t="s">
        <v>4657</v>
      </c>
      <c r="C4648" t="s">
        <v>4581</v>
      </c>
      <c r="D4648" s="6"/>
      <c r="E4648" t="str">
        <f>_xlfn.XLOOKUP(B4648,'2025-Q1'!$A$402:$A$448,'2025-Q1'!$A$402:$A$448,"avail")</f>
        <v>avail</v>
      </c>
      <c r="F4648" t="str">
        <f>_xlfn.XLOOKUP(B4648,'[2]!! -- Stock Universe 12.11.24'!$C$2:$C$1621,'[2]!! -- Stock Universe 12.11.24'!$E$2:$E$1621,"")</f>
        <v/>
      </c>
    </row>
    <row r="4649" spans="1:6" x14ac:dyDescent="0.25">
      <c r="A4649" s="140">
        <v>45747.625</v>
      </c>
      <c r="B4649" t="s">
        <v>1068</v>
      </c>
      <c r="C4649" t="s">
        <v>4581</v>
      </c>
      <c r="D4649" s="6"/>
      <c r="E4649" t="str">
        <f>_xlfn.XLOOKUP(B4649,'2025-Q1'!$A$402:$A$448,'2025-Q1'!$A$402:$A$448,"avail")</f>
        <v>avail</v>
      </c>
      <c r="F4649" t="str">
        <f>_xlfn.XLOOKUP(B4649,'[2]!! -- Stock Universe 12.11.24'!$C$2:$C$1621,'[2]!! -- Stock Universe 12.11.24'!$E$2:$E$1621,"")</f>
        <v/>
      </c>
    </row>
    <row r="4650" spans="1:6" x14ac:dyDescent="0.25">
      <c r="A4650" s="140">
        <v>45747.625</v>
      </c>
      <c r="B4650" t="s">
        <v>4639</v>
      </c>
      <c r="C4650" t="s">
        <v>4581</v>
      </c>
      <c r="D4650" s="6"/>
      <c r="E4650" t="str">
        <f>_xlfn.XLOOKUP(B4650,'2025-Q1'!$A$402:$A$448,'2025-Q1'!$A$402:$A$448,"avail")</f>
        <v>avail</v>
      </c>
      <c r="F4650" t="str">
        <f>_xlfn.XLOOKUP(B4650,'[2]!! -- Stock Universe 12.11.24'!$C$2:$C$1621,'[2]!! -- Stock Universe 12.11.24'!$E$2:$E$1621,"")</f>
        <v>Healthcare</v>
      </c>
    </row>
    <row r="4651" spans="1:6" x14ac:dyDescent="0.25">
      <c r="A4651" s="140">
        <v>45747.625</v>
      </c>
      <c r="B4651" t="s">
        <v>4642</v>
      </c>
      <c r="C4651" t="s">
        <v>4581</v>
      </c>
      <c r="D4651" s="6"/>
      <c r="E4651" t="str">
        <f>_xlfn.XLOOKUP(B4651,'2025-Q1'!$A$402:$A$448,'2025-Q1'!$A$402:$A$448,"avail")</f>
        <v>avail</v>
      </c>
      <c r="F4651" t="str">
        <f>_xlfn.XLOOKUP(B4651,'[2]!! -- Stock Universe 12.11.24'!$C$2:$C$1621,'[2]!! -- Stock Universe 12.11.24'!$E$2:$E$1621,"")</f>
        <v/>
      </c>
    </row>
    <row r="4652" spans="1:6" x14ac:dyDescent="0.25">
      <c r="A4652" s="140">
        <v>45747.625</v>
      </c>
      <c r="B4652" t="s">
        <v>4608</v>
      </c>
      <c r="C4652" t="s">
        <v>4581</v>
      </c>
      <c r="D4652" s="6"/>
      <c r="E4652" t="str">
        <f>_xlfn.XLOOKUP(B4652,'2025-Q1'!$A$402:$A$448,'2025-Q1'!$A$402:$A$448,"avail")</f>
        <v>avail</v>
      </c>
      <c r="F4652" t="str">
        <f>_xlfn.XLOOKUP(B4652,'[2]!! -- Stock Universe 12.11.24'!$C$2:$C$1621,'[2]!! -- Stock Universe 12.11.24'!$E$2:$E$1621,"")</f>
        <v/>
      </c>
    </row>
    <row r="4653" spans="1:6" x14ac:dyDescent="0.25">
      <c r="A4653" s="140">
        <v>45747.625</v>
      </c>
      <c r="B4653" t="s">
        <v>4593</v>
      </c>
      <c r="C4653" t="s">
        <v>4581</v>
      </c>
      <c r="D4653" s="6"/>
      <c r="E4653" t="str">
        <f>_xlfn.XLOOKUP(B4653,'2025-Q1'!$A$402:$A$448,'2025-Q1'!$A$402:$A$448,"avail")</f>
        <v>avail</v>
      </c>
      <c r="F4653" t="str">
        <f>_xlfn.XLOOKUP(B4653,'[2]!! -- Stock Universe 12.11.24'!$C$2:$C$1621,'[2]!! -- Stock Universe 12.11.24'!$E$2:$E$1621,"")</f>
        <v/>
      </c>
    </row>
    <row r="4654" spans="1:6" x14ac:dyDescent="0.25">
      <c r="A4654" s="140">
        <v>45747.625</v>
      </c>
      <c r="B4654" t="s">
        <v>4649</v>
      </c>
      <c r="C4654" t="s">
        <v>4581</v>
      </c>
      <c r="D4654" s="6"/>
      <c r="E4654" t="str">
        <f>_xlfn.XLOOKUP(B4654,'2025-Q1'!$A$402:$A$448,'2025-Q1'!$A$402:$A$448,"avail")</f>
        <v>avail</v>
      </c>
      <c r="F4654" t="str">
        <f>_xlfn.XLOOKUP(B4654,'[2]!! -- Stock Universe 12.11.24'!$C$2:$C$1621,'[2]!! -- Stock Universe 12.11.24'!$E$2:$E$1621,"")</f>
        <v/>
      </c>
    </row>
    <row r="4655" spans="1:6" x14ac:dyDescent="0.25">
      <c r="A4655" s="140">
        <v>45747.625</v>
      </c>
      <c r="B4655" t="s">
        <v>4957</v>
      </c>
      <c r="C4655" t="s">
        <v>4581</v>
      </c>
      <c r="D4655" s="6"/>
      <c r="E4655" t="str">
        <f>_xlfn.XLOOKUP(B4655,'2025-Q1'!$A$402:$A$448,'2025-Q1'!$A$402:$A$448,"avail")</f>
        <v>avail</v>
      </c>
      <c r="F4655" t="str">
        <f>_xlfn.XLOOKUP(B4655,'[2]!! -- Stock Universe 12.11.24'!$C$2:$C$1621,'[2]!! -- Stock Universe 12.11.24'!$E$2:$E$1621,"")</f>
        <v/>
      </c>
    </row>
    <row r="4656" spans="1:6" x14ac:dyDescent="0.25">
      <c r="A4656" s="140">
        <v>45747.625</v>
      </c>
      <c r="B4656" t="s">
        <v>4643</v>
      </c>
      <c r="C4656" t="s">
        <v>4581</v>
      </c>
      <c r="D4656" s="6"/>
      <c r="E4656" t="str">
        <f>_xlfn.XLOOKUP(B4656,'2025-Q1'!$A$402:$A$448,'2025-Q1'!$A$402:$A$448,"avail")</f>
        <v>avail</v>
      </c>
      <c r="F4656" t="str">
        <f>_xlfn.XLOOKUP(B4656,'[2]!! -- Stock Universe 12.11.24'!$C$2:$C$1621,'[2]!! -- Stock Universe 12.11.24'!$E$2:$E$1621,"")</f>
        <v/>
      </c>
    </row>
    <row r="4657" spans="1:6" x14ac:dyDescent="0.25">
      <c r="A4657" s="140">
        <v>45747.625</v>
      </c>
      <c r="B4657" t="s">
        <v>1044</v>
      </c>
      <c r="C4657" t="s">
        <v>4581</v>
      </c>
      <c r="D4657" s="6"/>
      <c r="E4657" t="str">
        <f>_xlfn.XLOOKUP(B4657,'2025-Q1'!$A$402:$A$448,'2025-Q1'!$A$402:$A$448,"avail")</f>
        <v>avail</v>
      </c>
      <c r="F4657" t="str">
        <f>_xlfn.XLOOKUP(B4657,'[2]!! -- Stock Universe 12.11.24'!$C$2:$C$1621,'[2]!! -- Stock Universe 12.11.24'!$E$2:$E$1621,"")</f>
        <v>Basic Materials</v>
      </c>
    </row>
    <row r="4658" spans="1:6" x14ac:dyDescent="0.25">
      <c r="A4658" s="140">
        <v>45747.625</v>
      </c>
      <c r="B4658" t="s">
        <v>4594</v>
      </c>
      <c r="C4658" t="s">
        <v>4581</v>
      </c>
      <c r="D4658" s="6"/>
      <c r="E4658" t="str">
        <f>_xlfn.XLOOKUP(B4658,'2025-Q1'!$A$402:$A$448,'2025-Q1'!$A$402:$A$448,"avail")</f>
        <v>avail</v>
      </c>
      <c r="F4658" t="str">
        <f>_xlfn.XLOOKUP(B4658,'[2]!! -- Stock Universe 12.11.24'!$C$2:$C$1621,'[2]!! -- Stock Universe 12.11.24'!$E$2:$E$1621,"")</f>
        <v/>
      </c>
    </row>
    <row r="4659" spans="1:6" x14ac:dyDescent="0.25">
      <c r="A4659" s="140">
        <v>45747.625</v>
      </c>
      <c r="B4659" t="s">
        <v>4582</v>
      </c>
      <c r="C4659" t="s">
        <v>4581</v>
      </c>
      <c r="D4659" s="6"/>
      <c r="E4659" t="str">
        <f>_xlfn.XLOOKUP(B4659,'2025-Q1'!$A$402:$A$448,'2025-Q1'!$A$402:$A$448,"avail")</f>
        <v>avail</v>
      </c>
      <c r="F4659" t="str">
        <f>_xlfn.XLOOKUP(B4659,'[2]!! -- Stock Universe 12.11.24'!$C$2:$C$1621,'[2]!! -- Stock Universe 12.11.24'!$E$2:$E$1621,"")</f>
        <v/>
      </c>
    </row>
    <row r="4660" spans="1:6" x14ac:dyDescent="0.25">
      <c r="A4660" s="140">
        <v>45747.625</v>
      </c>
      <c r="B4660" t="s">
        <v>4630</v>
      </c>
      <c r="C4660" t="s">
        <v>4581</v>
      </c>
      <c r="D4660" s="6"/>
      <c r="E4660" t="str">
        <f>_xlfn.XLOOKUP(B4660,'2025-Q1'!$A$402:$A$448,'2025-Q1'!$A$402:$A$448,"avail")</f>
        <v>avail</v>
      </c>
      <c r="F4660" t="str">
        <f>_xlfn.XLOOKUP(B4660,'[2]!! -- Stock Universe 12.11.24'!$C$2:$C$1621,'[2]!! -- Stock Universe 12.11.24'!$E$2:$E$1621,"")</f>
        <v/>
      </c>
    </row>
    <row r="4661" spans="1:6" x14ac:dyDescent="0.25">
      <c r="A4661" s="140">
        <v>45747.625</v>
      </c>
      <c r="B4661" t="s">
        <v>2336</v>
      </c>
      <c r="C4661" t="s">
        <v>4581</v>
      </c>
      <c r="D4661" s="6"/>
      <c r="E4661" t="str">
        <f>_xlfn.XLOOKUP(B4661,'2025-Q1'!$A$402:$A$448,'2025-Q1'!$A$402:$A$448,"avail")</f>
        <v>avail</v>
      </c>
      <c r="F4661" t="str">
        <f>_xlfn.XLOOKUP(B4661,'[2]!! -- Stock Universe 12.11.24'!$C$2:$C$1621,'[2]!! -- Stock Universe 12.11.24'!$E$2:$E$1621,"")</f>
        <v>Healthcare</v>
      </c>
    </row>
    <row r="4662" spans="1:6" x14ac:dyDescent="0.25">
      <c r="A4662" s="140">
        <v>45747.625</v>
      </c>
      <c r="B4662" t="s">
        <v>4610</v>
      </c>
      <c r="C4662" t="s">
        <v>4581</v>
      </c>
      <c r="D4662" s="6"/>
      <c r="E4662" t="str">
        <f>_xlfn.XLOOKUP(B4662,'2025-Q1'!$A$402:$A$448,'2025-Q1'!$A$402:$A$448,"avail")</f>
        <v>avail</v>
      </c>
      <c r="F4662" t="str">
        <f>_xlfn.XLOOKUP(B4662,'[2]!! -- Stock Universe 12.11.24'!$C$2:$C$1621,'[2]!! -- Stock Universe 12.11.24'!$E$2:$E$1621,"")</f>
        <v>Technology</v>
      </c>
    </row>
    <row r="4663" spans="1:6" x14ac:dyDescent="0.25">
      <c r="A4663" s="140">
        <v>45747.625</v>
      </c>
      <c r="B4663" t="s">
        <v>4597</v>
      </c>
      <c r="C4663" t="s">
        <v>4581</v>
      </c>
      <c r="D4663" s="6"/>
      <c r="E4663" t="str">
        <f>_xlfn.XLOOKUP(B4663,'2025-Q1'!$A$402:$A$448,'2025-Q1'!$A$402:$A$448,"avail")</f>
        <v>avail</v>
      </c>
      <c r="F4663" t="str">
        <f>_xlfn.XLOOKUP(B4663,'[2]!! -- Stock Universe 12.11.24'!$C$2:$C$1621,'[2]!! -- Stock Universe 12.11.24'!$E$2:$E$1621,"")</f>
        <v/>
      </c>
    </row>
    <row r="4664" spans="1:6" x14ac:dyDescent="0.25">
      <c r="A4664" s="140">
        <v>45747.625</v>
      </c>
      <c r="B4664" t="s">
        <v>4586</v>
      </c>
      <c r="C4664" t="s">
        <v>4581</v>
      </c>
      <c r="D4664" s="6"/>
      <c r="E4664" t="str">
        <f>_xlfn.XLOOKUP(B4664,'2025-Q1'!$A$402:$A$448,'2025-Q1'!$A$402:$A$448,"avail")</f>
        <v>avail</v>
      </c>
      <c r="F4664" t="str">
        <f>_xlfn.XLOOKUP(B4664,'[2]!! -- Stock Universe 12.11.24'!$C$2:$C$1621,'[2]!! -- Stock Universe 12.11.24'!$E$2:$E$1621,"")</f>
        <v/>
      </c>
    </row>
    <row r="4665" spans="1:6" x14ac:dyDescent="0.25">
      <c r="A4665" s="140">
        <v>45747.625</v>
      </c>
      <c r="B4665" t="s">
        <v>4607</v>
      </c>
      <c r="C4665" t="s">
        <v>4581</v>
      </c>
      <c r="D4665" s="6"/>
      <c r="E4665" t="str">
        <f>_xlfn.XLOOKUP(B4665,'2025-Q1'!$A$402:$A$448,'2025-Q1'!$A$402:$A$448,"avail")</f>
        <v>avail</v>
      </c>
      <c r="F4665" t="str">
        <f>_xlfn.XLOOKUP(B4665,'[2]!! -- Stock Universe 12.11.24'!$C$2:$C$1621,'[2]!! -- Stock Universe 12.11.24'!$E$2:$E$1621,"")</f>
        <v/>
      </c>
    </row>
    <row r="4666" spans="1:6" x14ac:dyDescent="0.25">
      <c r="A4666" s="140">
        <v>45747.625</v>
      </c>
      <c r="B4666" t="s">
        <v>1066</v>
      </c>
      <c r="C4666" t="s">
        <v>4581</v>
      </c>
      <c r="D4666" s="6"/>
      <c r="E4666" t="str">
        <f>_xlfn.XLOOKUP(B4666,'2025-Q1'!$A$402:$A$448,'2025-Q1'!$A$402:$A$448,"avail")</f>
        <v>avail</v>
      </c>
      <c r="F4666" t="str">
        <f>_xlfn.XLOOKUP(B4666,'[2]!! -- Stock Universe 12.11.24'!$C$2:$C$1621,'[2]!! -- Stock Universe 12.11.24'!$E$2:$E$1621,"")</f>
        <v/>
      </c>
    </row>
    <row r="4667" spans="1:6" x14ac:dyDescent="0.25">
      <c r="A4667" s="140">
        <v>45747.625</v>
      </c>
      <c r="B4667" t="s">
        <v>4601</v>
      </c>
      <c r="C4667" t="s">
        <v>4581</v>
      </c>
      <c r="D4667" s="6"/>
      <c r="E4667" t="str">
        <f>_xlfn.XLOOKUP(B4667,'2025-Q1'!$A$402:$A$448,'2025-Q1'!$A$402:$A$448,"avail")</f>
        <v>avail</v>
      </c>
      <c r="F4667" t="str">
        <f>_xlfn.XLOOKUP(B4667,'[2]!! -- Stock Universe 12.11.24'!$C$2:$C$1621,'[2]!! -- Stock Universe 12.11.24'!$E$2:$E$1621,"")</f>
        <v/>
      </c>
    </row>
    <row r="4668" spans="1:6" x14ac:dyDescent="0.25">
      <c r="A4668" s="140">
        <v>45747.625</v>
      </c>
      <c r="B4668" t="s">
        <v>941</v>
      </c>
      <c r="C4668" t="s">
        <v>4581</v>
      </c>
      <c r="D4668" s="6"/>
      <c r="E4668" t="str">
        <f>_xlfn.XLOOKUP(B4668,'2025-Q1'!$A$402:$A$448,'2025-Q1'!$A$402:$A$448,"avail")</f>
        <v>avail</v>
      </c>
      <c r="F4668" t="str">
        <f>_xlfn.XLOOKUP(B4668,'[2]!! -- Stock Universe 12.11.24'!$C$2:$C$1621,'[2]!! -- Stock Universe 12.11.24'!$E$2:$E$1621,"")</f>
        <v>Healthcare</v>
      </c>
    </row>
    <row r="4669" spans="1:6" x14ac:dyDescent="0.25">
      <c r="A4669" s="140">
        <v>45747.625</v>
      </c>
      <c r="B4669" t="s">
        <v>4600</v>
      </c>
      <c r="C4669" t="s">
        <v>4581</v>
      </c>
      <c r="D4669" s="6"/>
      <c r="E4669" t="str">
        <f>_xlfn.XLOOKUP(B4669,'2025-Q1'!$A$402:$A$448,'2025-Q1'!$A$402:$A$448,"avail")</f>
        <v>avail</v>
      </c>
      <c r="F4669" t="str">
        <f>_xlfn.XLOOKUP(B4669,'[2]!! -- Stock Universe 12.11.24'!$C$2:$C$1621,'[2]!! -- Stock Universe 12.11.24'!$E$2:$E$1621,"")</f>
        <v/>
      </c>
    </row>
    <row r="4670" spans="1:6" x14ac:dyDescent="0.25">
      <c r="A4670" s="140">
        <v>45747.625</v>
      </c>
      <c r="B4670" t="s">
        <v>4604</v>
      </c>
      <c r="C4670" t="s">
        <v>4581</v>
      </c>
      <c r="D4670" s="6"/>
      <c r="E4670" t="str">
        <f>_xlfn.XLOOKUP(B4670,'2025-Q1'!$A$402:$A$448,'2025-Q1'!$A$402:$A$448,"avail")</f>
        <v>avail</v>
      </c>
      <c r="F4670" t="str">
        <f>_xlfn.XLOOKUP(B4670,'[2]!! -- Stock Universe 12.11.24'!$C$2:$C$1621,'[2]!! -- Stock Universe 12.11.24'!$E$2:$E$1621,"")</f>
        <v/>
      </c>
    </row>
    <row r="4671" spans="1:6" x14ac:dyDescent="0.25">
      <c r="A4671" s="140">
        <v>45748.625</v>
      </c>
      <c r="B4671" t="s">
        <v>1257</v>
      </c>
      <c r="C4671" t="s">
        <v>4658</v>
      </c>
      <c r="D4671" s="6"/>
      <c r="E4671" t="str">
        <f>_xlfn.XLOOKUP(B4671,'2025-Q1'!$A$402:$A$448,'2025-Q1'!$A$402:$A$448,"avail")</f>
        <v>avail</v>
      </c>
      <c r="F4671" t="str">
        <f>_xlfn.XLOOKUP(B4671,'[2]!! -- Stock Universe 12.11.24'!$C$2:$C$1621,'[2]!! -- Stock Universe 12.11.24'!$E$2:$E$1621,"")</f>
        <v>Communication Services</v>
      </c>
    </row>
    <row r="4672" spans="1:6" x14ac:dyDescent="0.25">
      <c r="A4672" s="140">
        <v>45748.625</v>
      </c>
      <c r="B4672" t="s">
        <v>1204</v>
      </c>
      <c r="C4672" t="s">
        <v>4658</v>
      </c>
      <c r="D4672" s="6"/>
      <c r="E4672" t="str">
        <f>_xlfn.XLOOKUP(B4672,'2025-Q1'!$A$402:$A$448,'2025-Q1'!$A$402:$A$448,"avail")</f>
        <v>avail</v>
      </c>
      <c r="F4672" t="str">
        <f>_xlfn.XLOOKUP(B4672,'[2]!! -- Stock Universe 12.11.24'!$C$2:$C$1621,'[2]!! -- Stock Universe 12.11.24'!$E$2:$E$1621,"")</f>
        <v>Consumer Cyclical</v>
      </c>
    </row>
    <row r="4673" spans="1:6" x14ac:dyDescent="0.25">
      <c r="A4673" s="140">
        <v>45748.625</v>
      </c>
      <c r="B4673" t="s">
        <v>1730</v>
      </c>
      <c r="C4673" t="s">
        <v>4658</v>
      </c>
      <c r="D4673" s="6"/>
      <c r="E4673" t="str">
        <f>_xlfn.XLOOKUP(B4673,'2025-Q1'!$A$402:$A$448,'2025-Q1'!$A$402:$A$448,"avail")</f>
        <v>avail</v>
      </c>
      <c r="F4673" t="str">
        <f>_xlfn.XLOOKUP(B4673,'[2]!! -- Stock Universe 12.11.24'!$C$2:$C$1621,'[2]!! -- Stock Universe 12.11.24'!$E$2:$E$1621,"")</f>
        <v>Consumer Defensive</v>
      </c>
    </row>
    <row r="4674" spans="1:6" x14ac:dyDescent="0.25">
      <c r="A4674" s="140">
        <v>45748.625</v>
      </c>
      <c r="B4674" t="s">
        <v>4659</v>
      </c>
      <c r="C4674" t="s">
        <v>4658</v>
      </c>
      <c r="D4674" s="6"/>
      <c r="E4674" t="str">
        <f>_xlfn.XLOOKUP(B4674,'2025-Q1'!$A$402:$A$448,'2025-Q1'!$A$402:$A$448,"avail")</f>
        <v>avail</v>
      </c>
      <c r="F4674" t="str">
        <f>_xlfn.XLOOKUP(B4674,'[2]!! -- Stock Universe 12.11.24'!$C$2:$C$1621,'[2]!! -- Stock Universe 12.11.24'!$E$2:$E$1621,"")</f>
        <v>Technology</v>
      </c>
    </row>
    <row r="4675" spans="1:6" x14ac:dyDescent="0.25">
      <c r="A4675" s="140">
        <v>45748.625</v>
      </c>
      <c r="B4675" t="s">
        <v>2046</v>
      </c>
      <c r="C4675" t="s">
        <v>4658</v>
      </c>
      <c r="D4675" s="6"/>
      <c r="E4675" t="str">
        <f>_xlfn.XLOOKUP(B4675,'2025-Q1'!$A$402:$A$448,'2025-Q1'!$A$402:$A$448,"avail")</f>
        <v>avail</v>
      </c>
      <c r="F4675" t="str">
        <f>_xlfn.XLOOKUP(B4675,'[2]!! -- Stock Universe 12.11.24'!$C$2:$C$1621,'[2]!! -- Stock Universe 12.11.24'!$E$2:$E$1621,"")</f>
        <v>Technology</v>
      </c>
    </row>
    <row r="4676" spans="1:6" x14ac:dyDescent="0.25">
      <c r="A4676" s="140">
        <v>45748.625</v>
      </c>
      <c r="B4676" t="s">
        <v>1795</v>
      </c>
      <c r="C4676" t="s">
        <v>4658</v>
      </c>
      <c r="D4676" s="6"/>
      <c r="E4676" t="str">
        <f>_xlfn.XLOOKUP(B4676,'2025-Q1'!$A$402:$A$448,'2025-Q1'!$A$402:$A$448,"avail")</f>
        <v>avail</v>
      </c>
      <c r="F4676" t="str">
        <f>_xlfn.XLOOKUP(B4676,'[2]!! -- Stock Universe 12.11.24'!$C$2:$C$1621,'[2]!! -- Stock Universe 12.11.24'!$E$2:$E$1621,"")</f>
        <v>Technology</v>
      </c>
    </row>
    <row r="4677" spans="1:6" x14ac:dyDescent="0.25">
      <c r="A4677" s="140">
        <v>45749.291666666664</v>
      </c>
      <c r="B4677" t="s">
        <v>2047</v>
      </c>
      <c r="C4677" t="s">
        <v>4660</v>
      </c>
      <c r="D4677" s="6"/>
      <c r="E4677" t="str">
        <f>_xlfn.XLOOKUP(B4677,'2025-Q1'!$A$402:$A$448,'2025-Q1'!$A$402:$A$448,"avail")</f>
        <v>avail</v>
      </c>
      <c r="F4677" t="str">
        <f>_xlfn.XLOOKUP(B4677,'[2]!! -- Stock Universe 12.11.24'!$C$2:$C$1621,'[2]!! -- Stock Universe 12.11.24'!$E$2:$E$1621,"")</f>
        <v>Basic Materials</v>
      </c>
    </row>
    <row r="4678" spans="1:6" x14ac:dyDescent="0.25">
      <c r="A4678" s="140">
        <v>45749.291666666664</v>
      </c>
      <c r="B4678" t="s">
        <v>1414</v>
      </c>
      <c r="C4678" t="s">
        <v>4660</v>
      </c>
      <c r="D4678" s="6"/>
      <c r="E4678" t="str">
        <f>_xlfn.XLOOKUP(B4678,'2025-Q1'!$A$402:$A$448,'2025-Q1'!$A$402:$A$448,"avail")</f>
        <v>avail</v>
      </c>
      <c r="F4678" t="str">
        <f>_xlfn.XLOOKUP(B4678,'[2]!! -- Stock Universe 12.11.24'!$C$2:$C$1621,'[2]!! -- Stock Universe 12.11.24'!$E$2:$E$1621,"")</f>
        <v>Technology</v>
      </c>
    </row>
    <row r="4679" spans="1:6" x14ac:dyDescent="0.25">
      <c r="A4679" s="140">
        <v>45749.291666666664</v>
      </c>
      <c r="B4679" t="s">
        <v>1255</v>
      </c>
      <c r="C4679" t="s">
        <v>4660</v>
      </c>
      <c r="D4679" s="6"/>
      <c r="E4679" t="str">
        <f>_xlfn.XLOOKUP(B4679,'2025-Q1'!$A$402:$A$448,'2025-Q1'!$A$402:$A$448,"avail")</f>
        <v>avail</v>
      </c>
      <c r="F4679" t="str">
        <f>_xlfn.XLOOKUP(B4679,'[2]!! -- Stock Universe 12.11.24'!$C$2:$C$1621,'[2]!! -- Stock Universe 12.11.24'!$E$2:$E$1621,"")</f>
        <v/>
      </c>
    </row>
    <row r="4680" spans="1:6" x14ac:dyDescent="0.25">
      <c r="A4680" s="140">
        <v>45749.291666666664</v>
      </c>
      <c r="B4680" t="s">
        <v>1782</v>
      </c>
      <c r="C4680" t="s">
        <v>4660</v>
      </c>
      <c r="D4680" s="6"/>
      <c r="E4680" t="str">
        <f>_xlfn.XLOOKUP(B4680,'2025-Q1'!$A$402:$A$448,'2025-Q1'!$A$402:$A$448,"avail")</f>
        <v>avail</v>
      </c>
      <c r="F4680" t="str">
        <f>_xlfn.XLOOKUP(B4680,'[2]!! -- Stock Universe 12.11.24'!$C$2:$C$1621,'[2]!! -- Stock Universe 12.11.24'!$E$2:$E$1621,"")</f>
        <v/>
      </c>
    </row>
    <row r="4681" spans="1:6" x14ac:dyDescent="0.25">
      <c r="A4681" s="140">
        <v>45749.625</v>
      </c>
      <c r="B4681" t="s">
        <v>4662</v>
      </c>
      <c r="C4681" t="s">
        <v>4661</v>
      </c>
      <c r="D4681" s="6"/>
      <c r="E4681" t="str">
        <f>_xlfn.XLOOKUP(B4681,'2025-Q1'!$A$402:$A$448,'2025-Q1'!$A$402:$A$448,"avail")</f>
        <v>avail</v>
      </c>
      <c r="F4681" t="str">
        <f>_xlfn.XLOOKUP(B4681,'[2]!! -- Stock Universe 12.11.24'!$C$2:$C$1621,'[2]!! -- Stock Universe 12.11.24'!$E$2:$E$1621,"")</f>
        <v/>
      </c>
    </row>
    <row r="4682" spans="1:6" x14ac:dyDescent="0.25">
      <c r="A4682" s="140">
        <v>45749.625</v>
      </c>
      <c r="B4682" t="s">
        <v>2781</v>
      </c>
      <c r="C4682" t="s">
        <v>4661</v>
      </c>
      <c r="D4682" s="6"/>
      <c r="E4682" t="str">
        <f>_xlfn.XLOOKUP(B4682,'2025-Q1'!$A$402:$A$448,'2025-Q1'!$A$402:$A$448,"avail")</f>
        <v>avail</v>
      </c>
      <c r="F4682" t="str">
        <f>_xlfn.XLOOKUP(B4682,'[2]!! -- Stock Universe 12.11.24'!$C$2:$C$1621,'[2]!! -- Stock Universe 12.11.24'!$E$2:$E$1621,"")</f>
        <v/>
      </c>
    </row>
    <row r="4683" spans="1:6" x14ac:dyDescent="0.25">
      <c r="A4683" s="140">
        <v>45749.625</v>
      </c>
      <c r="B4683" t="s">
        <v>1274</v>
      </c>
      <c r="C4683" t="s">
        <v>4661</v>
      </c>
      <c r="D4683" s="6"/>
      <c r="E4683" t="str">
        <f>_xlfn.XLOOKUP(B4683,'2025-Q1'!$A$402:$A$448,'2025-Q1'!$A$402:$A$448,"avail")</f>
        <v>avail</v>
      </c>
      <c r="F4683" t="str">
        <f>_xlfn.XLOOKUP(B4683,'[2]!! -- Stock Universe 12.11.24'!$C$2:$C$1621,'[2]!! -- Stock Universe 12.11.24'!$E$2:$E$1621,"")</f>
        <v>Consumer Cyclical</v>
      </c>
    </row>
    <row r="4684" spans="1:6" x14ac:dyDescent="0.25">
      <c r="A4684" s="140">
        <v>45749.625</v>
      </c>
      <c r="B4684" t="s">
        <v>2522</v>
      </c>
      <c r="C4684" t="s">
        <v>4661</v>
      </c>
      <c r="D4684" s="6"/>
      <c r="E4684" t="str">
        <f>_xlfn.XLOOKUP(B4684,'2025-Q1'!$A$402:$A$448,'2025-Q1'!$A$402:$A$448,"avail")</f>
        <v>avail</v>
      </c>
      <c r="F4684" t="str">
        <f>_xlfn.XLOOKUP(B4684,'[2]!! -- Stock Universe 12.11.24'!$C$2:$C$1621,'[2]!! -- Stock Universe 12.11.24'!$E$2:$E$1621,"")</f>
        <v/>
      </c>
    </row>
    <row r="4685" spans="1:6" x14ac:dyDescent="0.25">
      <c r="A4685" s="140">
        <v>45749.625</v>
      </c>
      <c r="B4685" t="s">
        <v>1263</v>
      </c>
      <c r="C4685" t="s">
        <v>4661</v>
      </c>
      <c r="D4685" s="6"/>
      <c r="E4685" t="str">
        <f>_xlfn.XLOOKUP(B4685,'2025-Q1'!$A$402:$A$448,'2025-Q1'!$A$402:$A$448,"avail")</f>
        <v>avail</v>
      </c>
      <c r="F4685" t="str">
        <f>_xlfn.XLOOKUP(B4685,'[2]!! -- Stock Universe 12.11.24'!$C$2:$C$1621,'[2]!! -- Stock Universe 12.11.24'!$E$2:$E$1621,"")</f>
        <v/>
      </c>
    </row>
    <row r="4686" spans="1:6" x14ac:dyDescent="0.25">
      <c r="A4686" s="140">
        <v>45749.625</v>
      </c>
      <c r="B4686" t="s">
        <v>2529</v>
      </c>
      <c r="C4686" t="s">
        <v>4661</v>
      </c>
      <c r="D4686" s="6"/>
      <c r="E4686" t="str">
        <f>_xlfn.XLOOKUP(B4686,'2025-Q1'!$A$402:$A$448,'2025-Q1'!$A$402:$A$448,"avail")</f>
        <v>avail</v>
      </c>
      <c r="F4686" t="str">
        <f>_xlfn.XLOOKUP(B4686,'[2]!! -- Stock Universe 12.11.24'!$C$2:$C$1621,'[2]!! -- Stock Universe 12.11.24'!$E$2:$E$1621,"")</f>
        <v>Consumer Cyclical</v>
      </c>
    </row>
    <row r="4687" spans="1:6" x14ac:dyDescent="0.25">
      <c r="A4687" s="140">
        <v>45749.625</v>
      </c>
      <c r="B4687" t="s">
        <v>2215</v>
      </c>
      <c r="C4687" t="s">
        <v>4661</v>
      </c>
      <c r="D4687" s="6"/>
      <c r="E4687" t="str">
        <f>_xlfn.XLOOKUP(B4687,'2025-Q1'!$A$402:$A$448,'2025-Q1'!$A$402:$A$448,"avail")</f>
        <v>avail</v>
      </c>
      <c r="F4687" t="str">
        <f>_xlfn.XLOOKUP(B4687,'[2]!! -- Stock Universe 12.11.24'!$C$2:$C$1621,'[2]!! -- Stock Universe 12.11.24'!$E$2:$E$1621,"")</f>
        <v/>
      </c>
    </row>
    <row r="4688" spans="1:6" x14ac:dyDescent="0.25">
      <c r="A4688" s="140">
        <v>45749.625</v>
      </c>
      <c r="B4688" t="s">
        <v>363</v>
      </c>
      <c r="C4688" t="s">
        <v>4661</v>
      </c>
      <c r="D4688" s="6"/>
      <c r="E4688" t="str">
        <f>_xlfn.XLOOKUP(B4688,'2025-Q1'!$A$402:$A$448,'2025-Q1'!$A$402:$A$448,"avail")</f>
        <v>avail</v>
      </c>
      <c r="F4688" t="str">
        <f>_xlfn.XLOOKUP(B4688,'[2]!! -- Stock Universe 12.11.24'!$C$2:$C$1621,'[2]!! -- Stock Universe 12.11.24'!$E$2:$E$1621,"")</f>
        <v/>
      </c>
    </row>
    <row r="4689" spans="1:6" x14ac:dyDescent="0.25">
      <c r="A4689" s="140">
        <v>45749.625</v>
      </c>
      <c r="B4689" t="s">
        <v>2278</v>
      </c>
      <c r="C4689" t="s">
        <v>4661</v>
      </c>
      <c r="D4689" s="6"/>
      <c r="E4689" t="str">
        <f>_xlfn.XLOOKUP(B4689,'2025-Q1'!$A$402:$A$448,'2025-Q1'!$A$402:$A$448,"avail")</f>
        <v>avail</v>
      </c>
      <c r="F4689" t="str">
        <f>_xlfn.XLOOKUP(B4689,'[2]!! -- Stock Universe 12.11.24'!$C$2:$C$1621,'[2]!! -- Stock Universe 12.11.24'!$E$2:$E$1621,"")</f>
        <v/>
      </c>
    </row>
    <row r="4690" spans="1:6" x14ac:dyDescent="0.25">
      <c r="A4690" s="140">
        <v>45750.291666666664</v>
      </c>
      <c r="B4690" t="s">
        <v>1594</v>
      </c>
      <c r="C4690" t="s">
        <v>4663</v>
      </c>
      <c r="D4690" s="6"/>
      <c r="E4690" t="str">
        <f>_xlfn.XLOOKUP(B4690,'2025-Q1'!$A$402:$A$448,'2025-Q1'!$A$402:$A$448,"avail")</f>
        <v>avail</v>
      </c>
      <c r="F4690" t="str">
        <f>_xlfn.XLOOKUP(B4690,'[2]!! -- Stock Universe 12.11.24'!$C$2:$C$1621,'[2]!! -- Stock Universe 12.11.24'!$E$2:$E$1621,"")</f>
        <v>Consumer Defensive</v>
      </c>
    </row>
    <row r="4691" spans="1:6" x14ac:dyDescent="0.25">
      <c r="A4691" s="140">
        <v>45750.291666666664</v>
      </c>
      <c r="B4691" t="s">
        <v>2239</v>
      </c>
      <c r="C4691" t="s">
        <v>4663</v>
      </c>
      <c r="D4691" s="6"/>
      <c r="E4691" t="str">
        <f>_xlfn.XLOOKUP(B4691,'2025-Q1'!$A$402:$A$448,'2025-Q1'!$A$402:$A$448,"avail")</f>
        <v>avail</v>
      </c>
      <c r="F4691" t="str">
        <f>_xlfn.XLOOKUP(B4691,'[2]!! -- Stock Universe 12.11.24'!$C$2:$C$1621,'[2]!! -- Stock Universe 12.11.24'!$E$2:$E$1621,"")</f>
        <v>Industrials</v>
      </c>
    </row>
    <row r="4692" spans="1:6" x14ac:dyDescent="0.25">
      <c r="A4692" s="140">
        <v>45750.291666666664</v>
      </c>
      <c r="B4692" t="s">
        <v>4666</v>
      </c>
      <c r="C4692" t="s">
        <v>4663</v>
      </c>
      <c r="D4692" s="6"/>
      <c r="E4692" t="str">
        <f>_xlfn.XLOOKUP(B4692,'2025-Q1'!$A$402:$A$448,'2025-Q1'!$A$402:$A$448,"avail")</f>
        <v>avail</v>
      </c>
      <c r="F4692" t="str">
        <f>_xlfn.XLOOKUP(B4692,'[2]!! -- Stock Universe 12.11.24'!$C$2:$C$1621,'[2]!! -- Stock Universe 12.11.24'!$E$2:$E$1621,"")</f>
        <v/>
      </c>
    </row>
    <row r="4693" spans="1:6" x14ac:dyDescent="0.25">
      <c r="A4693" s="140">
        <v>45750.291666666664</v>
      </c>
      <c r="B4693" t="s">
        <v>1581</v>
      </c>
      <c r="C4693" t="s">
        <v>4663</v>
      </c>
      <c r="D4693" s="6"/>
      <c r="E4693" t="str">
        <f>_xlfn.XLOOKUP(B4693,'2025-Q1'!$A$402:$A$448,'2025-Q1'!$A$402:$A$448,"avail")</f>
        <v>avail</v>
      </c>
      <c r="F4693" t="str">
        <f>_xlfn.XLOOKUP(B4693,'[2]!! -- Stock Universe 12.11.24'!$C$2:$C$1621,'[2]!! -- Stock Universe 12.11.24'!$E$2:$E$1621,"")</f>
        <v>Consumer Defensive</v>
      </c>
    </row>
    <row r="4694" spans="1:6" x14ac:dyDescent="0.25">
      <c r="A4694" s="140">
        <v>45750.291666666664</v>
      </c>
      <c r="B4694" t="s">
        <v>2345</v>
      </c>
      <c r="C4694" t="s">
        <v>4663</v>
      </c>
      <c r="D4694" s="6"/>
      <c r="E4694" t="str">
        <f>_xlfn.XLOOKUP(B4694,'2025-Q1'!$A$402:$A$448,'2025-Q1'!$A$402:$A$448,"avail")</f>
        <v>avail</v>
      </c>
      <c r="F4694" t="str">
        <f>_xlfn.XLOOKUP(B4694,'[2]!! -- Stock Universe 12.11.24'!$C$2:$C$1621,'[2]!! -- Stock Universe 12.11.24'!$E$2:$E$1621,"")</f>
        <v/>
      </c>
    </row>
    <row r="4695" spans="1:6" x14ac:dyDescent="0.25">
      <c r="A4695" s="140">
        <v>45750.291666666664</v>
      </c>
      <c r="B4695" t="s">
        <v>1748</v>
      </c>
      <c r="C4695" t="s">
        <v>4663</v>
      </c>
      <c r="D4695" s="6"/>
      <c r="E4695" t="str">
        <f>_xlfn.XLOOKUP(B4695,'2025-Q1'!$A$402:$A$448,'2025-Q1'!$A$402:$A$448,"avail")</f>
        <v>avail</v>
      </c>
      <c r="F4695" t="str">
        <f>_xlfn.XLOOKUP(B4695,'[2]!! -- Stock Universe 12.11.24'!$C$2:$C$1621,'[2]!! -- Stock Universe 12.11.24'!$E$2:$E$1621,"")</f>
        <v>Consumer Defensive</v>
      </c>
    </row>
    <row r="4696" spans="1:6" x14ac:dyDescent="0.25">
      <c r="A4696" s="140">
        <v>45750.291666666664</v>
      </c>
      <c r="B4696" t="s">
        <v>4664</v>
      </c>
      <c r="C4696" t="s">
        <v>4663</v>
      </c>
      <c r="D4696" s="6"/>
      <c r="E4696" t="str">
        <f>_xlfn.XLOOKUP(B4696,'2025-Q1'!$A$402:$A$448,'2025-Q1'!$A$402:$A$448,"avail")</f>
        <v>avail</v>
      </c>
      <c r="F4696" t="str">
        <f>_xlfn.XLOOKUP(B4696,'[2]!! -- Stock Universe 12.11.24'!$C$2:$C$1621,'[2]!! -- Stock Universe 12.11.24'!$E$2:$E$1621,"")</f>
        <v/>
      </c>
    </row>
    <row r="4697" spans="1:6" x14ac:dyDescent="0.25">
      <c r="A4697" s="140">
        <v>45750.291666666664</v>
      </c>
      <c r="B4697" t="s">
        <v>2351</v>
      </c>
      <c r="C4697" t="s">
        <v>4663</v>
      </c>
      <c r="D4697" s="6"/>
      <c r="E4697" t="str">
        <f>_xlfn.XLOOKUP(B4697,'2025-Q1'!$A$402:$A$448,'2025-Q1'!$A$402:$A$448,"avail")</f>
        <v>avail</v>
      </c>
      <c r="F4697" t="str">
        <f>_xlfn.XLOOKUP(B4697,'[2]!! -- Stock Universe 12.11.24'!$C$2:$C$1621,'[2]!! -- Stock Universe 12.11.24'!$E$2:$E$1621,"")</f>
        <v>Industrials</v>
      </c>
    </row>
    <row r="4698" spans="1:6" x14ac:dyDescent="0.25">
      <c r="A4698" s="140">
        <v>45750.291666666664</v>
      </c>
      <c r="B4698" t="s">
        <v>1221</v>
      </c>
      <c r="C4698" t="s">
        <v>4663</v>
      </c>
      <c r="D4698" s="6"/>
      <c r="E4698" t="str">
        <f>_xlfn.XLOOKUP(B4698,'2025-Q1'!$A$402:$A$448,'2025-Q1'!$A$402:$A$448,"avail")</f>
        <v>avail</v>
      </c>
      <c r="F4698" t="str">
        <f>_xlfn.XLOOKUP(B4698,'[2]!! -- Stock Universe 12.11.24'!$C$2:$C$1621,'[2]!! -- Stock Universe 12.11.24'!$E$2:$E$1621,"")</f>
        <v/>
      </c>
    </row>
    <row r="4699" spans="1:6" x14ac:dyDescent="0.25">
      <c r="A4699" s="140">
        <v>45750.291666666664</v>
      </c>
      <c r="B4699" t="s">
        <v>2294</v>
      </c>
      <c r="C4699" t="s">
        <v>4663</v>
      </c>
      <c r="D4699" s="6"/>
      <c r="E4699" t="str">
        <f>_xlfn.XLOOKUP(B4699,'2025-Q1'!$A$402:$A$448,'2025-Q1'!$A$402:$A$448,"avail")</f>
        <v>avail</v>
      </c>
      <c r="F4699" t="str">
        <f>_xlfn.XLOOKUP(B4699,'[2]!! -- Stock Universe 12.11.24'!$C$2:$C$1621,'[2]!! -- Stock Universe 12.11.24'!$E$2:$E$1621,"")</f>
        <v>Healthcare</v>
      </c>
    </row>
    <row r="4700" spans="1:6" x14ac:dyDescent="0.25">
      <c r="A4700" s="140">
        <v>45750.291666666664</v>
      </c>
      <c r="B4700" t="s">
        <v>4665</v>
      </c>
      <c r="C4700" t="s">
        <v>4663</v>
      </c>
      <c r="D4700" s="6"/>
      <c r="E4700" t="str">
        <f>_xlfn.XLOOKUP(B4700,'2025-Q1'!$A$402:$A$448,'2025-Q1'!$A$402:$A$448,"avail")</f>
        <v>avail</v>
      </c>
      <c r="F4700" t="str">
        <f>_xlfn.XLOOKUP(B4700,'[2]!! -- Stock Universe 12.11.24'!$C$2:$C$1621,'[2]!! -- Stock Universe 12.11.24'!$E$2:$E$1621,"")</f>
        <v/>
      </c>
    </row>
    <row r="4701" spans="1:6" x14ac:dyDescent="0.25">
      <c r="A4701" s="140">
        <v>45750.291666666664</v>
      </c>
      <c r="B4701" t="s">
        <v>2376</v>
      </c>
      <c r="C4701" t="s">
        <v>4663</v>
      </c>
      <c r="D4701" s="6"/>
      <c r="E4701" t="str">
        <f>_xlfn.XLOOKUP(B4701,'2025-Q1'!$A$402:$A$448,'2025-Q1'!$A$402:$A$448,"avail")</f>
        <v>avail</v>
      </c>
      <c r="F4701" t="str">
        <f>_xlfn.XLOOKUP(B4701,'[2]!! -- Stock Universe 12.11.24'!$C$2:$C$1621,'[2]!! -- Stock Universe 12.11.24'!$E$2:$E$1621,"")</f>
        <v>Basic Materials</v>
      </c>
    </row>
    <row r="4702" spans="1:6" x14ac:dyDescent="0.25">
      <c r="A4702" s="140">
        <v>45750.625</v>
      </c>
      <c r="B4702" t="s">
        <v>4669</v>
      </c>
      <c r="C4702" t="s">
        <v>4668</v>
      </c>
      <c r="D4702" s="6"/>
      <c r="E4702" t="str">
        <f>_xlfn.XLOOKUP(B4702,'2025-Q1'!$A$402:$A$448,'2025-Q1'!$A$402:$A$448,"avail")</f>
        <v>avail</v>
      </c>
      <c r="F4702" t="str">
        <f>_xlfn.XLOOKUP(B4702,'[2]!! -- Stock Universe 12.11.24'!$C$2:$C$1621,'[2]!! -- Stock Universe 12.11.24'!$E$2:$E$1621,"")</f>
        <v/>
      </c>
    </row>
    <row r="4703" spans="1:6" x14ac:dyDescent="0.25">
      <c r="A4703" s="140">
        <v>45750.625</v>
      </c>
      <c r="B4703" t="s">
        <v>4667</v>
      </c>
      <c r="C4703" t="s">
        <v>4668</v>
      </c>
      <c r="D4703" s="6"/>
      <c r="E4703" t="str">
        <f>_xlfn.XLOOKUP(B4703,'2025-Q1'!$A$402:$A$448,'2025-Q1'!$A$402:$A$448,"avail")</f>
        <v>avail</v>
      </c>
      <c r="F4703" t="str">
        <f>_xlfn.XLOOKUP(B4703,'[2]!! -- Stock Universe 12.11.24'!$C$2:$C$1621,'[2]!! -- Stock Universe 12.11.24'!$E$2:$E$1621,"")</f>
        <v/>
      </c>
    </row>
    <row r="4704" spans="1:6" x14ac:dyDescent="0.25">
      <c r="A4704" s="140">
        <v>45750.625</v>
      </c>
      <c r="B4704" t="s">
        <v>4670</v>
      </c>
      <c r="C4704" t="s">
        <v>4668</v>
      </c>
      <c r="E4704" t="str">
        <f>_xlfn.XLOOKUP(B4704,'2025-Q1'!$A$402:$A$448,'2025-Q1'!$A$402:$A$448,"avail")</f>
        <v>avail</v>
      </c>
      <c r="F4704" t="str">
        <f>_xlfn.XLOOKUP(B4704,'[2]!! -- Stock Universe 12.11.24'!$C$2:$C$1621,'[2]!! -- Stock Universe 12.11.24'!$E$2:$E$1621,"")</f>
        <v/>
      </c>
    </row>
    <row r="4705" spans="1:6" x14ac:dyDescent="0.25">
      <c r="A4705" s="140">
        <v>45750.625</v>
      </c>
      <c r="B4705" t="s">
        <v>4671</v>
      </c>
      <c r="C4705" t="s">
        <v>4668</v>
      </c>
      <c r="E4705" t="str">
        <f>_xlfn.XLOOKUP(B4705,'2025-Q1'!$A$402:$A$448,'2025-Q1'!$A$402:$A$448,"avail")</f>
        <v>avail</v>
      </c>
      <c r="F4705" t="str">
        <f>_xlfn.XLOOKUP(B4705,'[2]!! -- Stock Universe 12.11.24'!$C$2:$C$1621,'[2]!! -- Stock Universe 12.11.24'!$E$2:$E$1621,"")</f>
        <v/>
      </c>
    </row>
    <row r="4706" spans="1:6" x14ac:dyDescent="0.25">
      <c r="A4706" s="140">
        <v>45750.625</v>
      </c>
      <c r="B4706" t="s">
        <v>408</v>
      </c>
      <c r="C4706" t="s">
        <v>4668</v>
      </c>
      <c r="E4706" t="str">
        <f>_xlfn.XLOOKUP(B4706,'2025-Q1'!$A$402:$A$448,'2025-Q1'!$A$402:$A$448,"avail")</f>
        <v>avail</v>
      </c>
      <c r="F4706" t="str">
        <f>_xlfn.XLOOKUP(B4706,'[2]!! -- Stock Universe 12.11.24'!$C$2:$C$1621,'[2]!! -- Stock Universe 12.11.24'!$E$2:$E$1621,"")</f>
        <v/>
      </c>
    </row>
    <row r="4707" spans="1:6" x14ac:dyDescent="0.25">
      <c r="A4707" s="140">
        <v>45750.625</v>
      </c>
      <c r="B4707" t="s">
        <v>1864</v>
      </c>
      <c r="C4707" t="s">
        <v>4668</v>
      </c>
      <c r="E4707" t="str">
        <f>_xlfn.XLOOKUP(B4707,'2025-Q1'!$A$402:$A$448,'2025-Q1'!$A$402:$A$448,"avail")</f>
        <v>avail</v>
      </c>
      <c r="F4707" t="str">
        <f>_xlfn.XLOOKUP(B4707,'[2]!! -- Stock Universe 12.11.24'!$C$2:$C$1621,'[2]!! -- Stock Universe 12.11.24'!$E$2:$E$1621,"")</f>
        <v/>
      </c>
    </row>
    <row r="4708" spans="1:6" x14ac:dyDescent="0.25">
      <c r="A4708" s="140">
        <v>45755.291666666664</v>
      </c>
      <c r="B4708" t="s">
        <v>4672</v>
      </c>
      <c r="C4708" t="s">
        <v>4673</v>
      </c>
      <c r="E4708" t="str">
        <f>_xlfn.XLOOKUP(B4708,'2025-Q1'!$A$402:$A$448,'2025-Q1'!$A$402:$A$448,"avail")</f>
        <v>avail</v>
      </c>
      <c r="F4708" t="str">
        <f>_xlfn.XLOOKUP(B4708,'[2]!! -- Stock Universe 12.11.24'!$C$2:$C$1621,'[2]!! -- Stock Universe 12.11.24'!$E$2:$E$1621,"")</f>
        <v/>
      </c>
    </row>
    <row r="4709" spans="1:6" x14ac:dyDescent="0.25">
      <c r="A4709" s="140">
        <v>45755.291666666664</v>
      </c>
      <c r="B4709" t="s">
        <v>1759</v>
      </c>
      <c r="C4709" t="s">
        <v>4673</v>
      </c>
      <c r="E4709" t="str">
        <f>_xlfn.XLOOKUP(B4709,'2025-Q1'!$A$402:$A$448,'2025-Q1'!$A$402:$A$448,"avail")</f>
        <v>avail</v>
      </c>
      <c r="F4709" t="str">
        <f>_xlfn.XLOOKUP(B4709,'[2]!! -- Stock Universe 12.11.24'!$C$2:$C$1621,'[2]!! -- Stock Universe 12.11.24'!$E$2:$E$1621,"")</f>
        <v>Healthcare</v>
      </c>
    </row>
    <row r="4710" spans="1:6" x14ac:dyDescent="0.25">
      <c r="A4710" s="140">
        <v>45755.625</v>
      </c>
      <c r="B4710" t="s">
        <v>1849</v>
      </c>
      <c r="C4710" t="s">
        <v>4674</v>
      </c>
      <c r="E4710" t="str">
        <f>_xlfn.XLOOKUP(B4710,'2025-Q1'!$A$402:$A$448,'2025-Q1'!$A$402:$A$448,"avail")</f>
        <v>avail</v>
      </c>
      <c r="F4710" t="str">
        <f>_xlfn.XLOOKUP(B4710,'[2]!! -- Stock Universe 12.11.24'!$C$2:$C$1621,'[2]!! -- Stock Universe 12.11.24'!$E$2:$E$1621,"")</f>
        <v/>
      </c>
    </row>
    <row r="4711" spans="1:6" x14ac:dyDescent="0.25">
      <c r="A4711" s="140">
        <v>45756.291666666664</v>
      </c>
      <c r="B4711" t="s">
        <v>1957</v>
      </c>
      <c r="C4711" t="s">
        <v>4676</v>
      </c>
      <c r="E4711" t="str">
        <f>_xlfn.XLOOKUP(B4711,'2025-Q1'!$A$402:$A$448,'2025-Q1'!$A$402:$A$448,"avail")</f>
        <v>avail</v>
      </c>
      <c r="F4711" t="str">
        <f>_xlfn.XLOOKUP(B4711,'[2]!! -- Stock Universe 12.11.24'!$C$2:$C$1621,'[2]!! -- Stock Universe 12.11.24'!$E$2:$E$1621,"")</f>
        <v/>
      </c>
    </row>
    <row r="4712" spans="1:6" x14ac:dyDescent="0.25">
      <c r="A4712" s="140">
        <v>45756.291666666664</v>
      </c>
      <c r="B4712" t="s">
        <v>1439</v>
      </c>
      <c r="C4712" t="s">
        <v>4676</v>
      </c>
      <c r="E4712" t="str">
        <f>_xlfn.XLOOKUP(B4712,'2025-Q1'!$A$402:$A$448,'2025-Q1'!$A$402:$A$448,"avail")</f>
        <v>avail</v>
      </c>
      <c r="F4712" t="str">
        <f>_xlfn.XLOOKUP(B4712,'[2]!! -- Stock Universe 12.11.24'!$C$2:$C$1621,'[2]!! -- Stock Universe 12.11.24'!$E$2:$E$1621,"")</f>
        <v>Industrials</v>
      </c>
    </row>
    <row r="4713" spans="1:6" x14ac:dyDescent="0.25">
      <c r="A4713" s="140">
        <v>45756.291666666664</v>
      </c>
      <c r="B4713" t="s">
        <v>4675</v>
      </c>
      <c r="C4713" t="s">
        <v>4676</v>
      </c>
      <c r="E4713" t="str">
        <f>_xlfn.XLOOKUP(B4713,'2025-Q1'!$A$402:$A$448,'2025-Q1'!$A$402:$A$448,"avail")</f>
        <v>avail</v>
      </c>
      <c r="F4713" t="str">
        <f>_xlfn.XLOOKUP(B4713,'[2]!! -- Stock Universe 12.11.24'!$C$2:$C$1621,'[2]!! -- Stock Universe 12.11.24'!$E$2:$E$1621,"")</f>
        <v/>
      </c>
    </row>
    <row r="4714" spans="1:6" x14ac:dyDescent="0.25">
      <c r="A4714" s="140">
        <v>45756.291666666664</v>
      </c>
      <c r="B4714" t="s">
        <v>2788</v>
      </c>
      <c r="C4714" t="s">
        <v>4676</v>
      </c>
      <c r="E4714" t="str">
        <f>_xlfn.XLOOKUP(B4714,'2025-Q1'!$A$402:$A$448,'2025-Q1'!$A$402:$A$448,"avail")</f>
        <v>avail</v>
      </c>
      <c r="F4714" t="str">
        <f>_xlfn.XLOOKUP(B4714,'[2]!! -- Stock Universe 12.11.24'!$C$2:$C$1621,'[2]!! -- Stock Universe 12.11.24'!$E$2:$E$1621,"")</f>
        <v/>
      </c>
    </row>
    <row r="4715" spans="1:6" x14ac:dyDescent="0.25">
      <c r="A4715" s="140">
        <v>45756.291666666664</v>
      </c>
      <c r="B4715" t="s">
        <v>2726</v>
      </c>
      <c r="C4715" t="s">
        <v>4676</v>
      </c>
      <c r="E4715" t="str">
        <f>_xlfn.XLOOKUP(B4715,'2025-Q1'!$A$402:$A$448,'2025-Q1'!$A$402:$A$448,"avail")</f>
        <v>avail</v>
      </c>
      <c r="F4715" t="str">
        <f>_xlfn.XLOOKUP(B4715,'[2]!! -- Stock Universe 12.11.24'!$C$2:$C$1621,'[2]!! -- Stock Universe 12.11.24'!$E$2:$E$1621,"")</f>
        <v/>
      </c>
    </row>
    <row r="4716" spans="1:6" x14ac:dyDescent="0.25">
      <c r="A4716" s="140">
        <v>45756.291666666664</v>
      </c>
      <c r="B4716" t="s">
        <v>2785</v>
      </c>
      <c r="C4716" t="s">
        <v>5690</v>
      </c>
      <c r="E4716" t="str">
        <f>_xlfn.XLOOKUP(B4716,'2025-Q1'!$A$402:$A$448,'2025-Q1'!$A$402:$A$448,"avail")</f>
        <v>avail</v>
      </c>
      <c r="F4716" t="str">
        <f>_xlfn.XLOOKUP(B4716,'[2]!! -- Stock Universe 12.11.24'!$C$2:$C$1621,'[2]!! -- Stock Universe 12.11.24'!$E$2:$E$1621,"")</f>
        <v/>
      </c>
    </row>
    <row r="4717" spans="1:6" x14ac:dyDescent="0.25">
      <c r="A4717" s="140">
        <v>45756.625</v>
      </c>
      <c r="B4717" t="s">
        <v>2782</v>
      </c>
      <c r="C4717" t="s">
        <v>5692</v>
      </c>
      <c r="E4717" t="str">
        <f>_xlfn.XLOOKUP(B4717,'2025-Q1'!$A$402:$A$448,'2025-Q1'!$A$402:$A$448,"avail")</f>
        <v>avail</v>
      </c>
      <c r="F4717" t="str">
        <f>_xlfn.XLOOKUP(B4717,'[2]!! -- Stock Universe 12.11.24'!$C$2:$C$1621,'[2]!! -- Stock Universe 12.11.24'!$E$2:$E$1621,"")</f>
        <v/>
      </c>
    </row>
    <row r="4718" spans="1:6" x14ac:dyDescent="0.25">
      <c r="A4718" s="140">
        <v>45756.625</v>
      </c>
      <c r="B4718" t="s">
        <v>1734</v>
      </c>
      <c r="C4718" t="s">
        <v>5692</v>
      </c>
      <c r="E4718" t="str">
        <f>_xlfn.XLOOKUP(B4718,'2025-Q1'!$A$402:$A$448,'2025-Q1'!$A$402:$A$448,"avail")</f>
        <v>avail</v>
      </c>
      <c r="F4718" t="str">
        <f>_xlfn.XLOOKUP(B4718,'[2]!! -- Stock Universe 12.11.24'!$C$2:$C$1621,'[2]!! -- Stock Universe 12.11.24'!$E$2:$E$1621,"")</f>
        <v/>
      </c>
    </row>
    <row r="4719" spans="1:6" x14ac:dyDescent="0.25">
      <c r="A4719" s="140">
        <v>45756.625</v>
      </c>
      <c r="B4719" t="s">
        <v>5693</v>
      </c>
      <c r="C4719" t="s">
        <v>5692</v>
      </c>
      <c r="E4719" t="str">
        <f>_xlfn.XLOOKUP(B4719,'2025-Q1'!$A$402:$A$448,'2025-Q1'!$A$402:$A$448,"avail")</f>
        <v>avail</v>
      </c>
      <c r="F4719" t="str">
        <f>_xlfn.XLOOKUP(B4719,'[2]!! -- Stock Universe 12.11.24'!$C$2:$C$1621,'[2]!! -- Stock Universe 12.11.24'!$E$2:$E$1621,"")</f>
        <v/>
      </c>
    </row>
    <row r="4720" spans="1:6" x14ac:dyDescent="0.25">
      <c r="A4720" s="140">
        <v>45756.625</v>
      </c>
      <c r="B4720" t="s">
        <v>1940</v>
      </c>
      <c r="C4720" t="s">
        <v>5692</v>
      </c>
      <c r="E4720" t="str">
        <f>_xlfn.XLOOKUP(B4720,'2025-Q1'!$A$402:$A$448,'2025-Q1'!$A$402:$A$448,"avail")</f>
        <v>avail</v>
      </c>
      <c r="F4720" t="str">
        <f>_xlfn.XLOOKUP(B4720,'[2]!! -- Stock Universe 12.11.24'!$C$2:$C$1621,'[2]!! -- Stock Universe 12.11.24'!$E$2:$E$1621,"")</f>
        <v>Healthcare</v>
      </c>
    </row>
    <row r="4721" spans="1:6" x14ac:dyDescent="0.25">
      <c r="A4721" s="140">
        <v>45756.625</v>
      </c>
      <c r="B4721" t="s">
        <v>1046</v>
      </c>
      <c r="C4721" t="s">
        <v>5692</v>
      </c>
      <c r="E4721" t="str">
        <f>_xlfn.XLOOKUP(B4721,'2025-Q1'!$A$402:$A$448,'2025-Q1'!$A$402:$A$448,"avail")</f>
        <v>avail</v>
      </c>
      <c r="F4721" t="str">
        <f>_xlfn.XLOOKUP(B4721,'[2]!! -- Stock Universe 12.11.24'!$C$2:$C$1621,'[2]!! -- Stock Universe 12.11.24'!$E$2:$E$1621,"")</f>
        <v/>
      </c>
    </row>
    <row r="4722" spans="1:6" x14ac:dyDescent="0.25">
      <c r="A4722" s="140">
        <v>45756.625</v>
      </c>
      <c r="B4722" t="s">
        <v>2197</v>
      </c>
      <c r="C4722" t="s">
        <v>5692</v>
      </c>
      <c r="E4722" t="str">
        <f>_xlfn.XLOOKUP(B4722,'2025-Q1'!$A$402:$A$448,'2025-Q1'!$A$402:$A$448,"avail")</f>
        <v>avail</v>
      </c>
      <c r="F4722" t="str">
        <f>_xlfn.XLOOKUP(B4722,'[2]!! -- Stock Universe 12.11.24'!$C$2:$C$1621,'[2]!! -- Stock Universe 12.11.24'!$E$2:$E$1621,"")</f>
        <v/>
      </c>
    </row>
    <row r="4723" spans="1:6" x14ac:dyDescent="0.25">
      <c r="A4723" s="140">
        <v>45756.625</v>
      </c>
      <c r="B4723" t="s">
        <v>5691</v>
      </c>
      <c r="C4723" t="s">
        <v>5692</v>
      </c>
      <c r="E4723" t="str">
        <f>_xlfn.XLOOKUP(B4723,'2025-Q1'!$A$402:$A$448,'2025-Q1'!$A$402:$A$448,"avail")</f>
        <v>avail</v>
      </c>
      <c r="F4723" t="str">
        <f>_xlfn.XLOOKUP(B4723,'[2]!! -- Stock Universe 12.11.24'!$C$2:$C$1621,'[2]!! -- Stock Universe 12.11.24'!$E$2:$E$1621,"")</f>
        <v/>
      </c>
    </row>
    <row r="4724" spans="1:6" x14ac:dyDescent="0.25">
      <c r="A4724" s="140">
        <v>45757.291666666664</v>
      </c>
      <c r="B4724" t="s">
        <v>2787</v>
      </c>
      <c r="C4724" t="s">
        <v>5695</v>
      </c>
      <c r="E4724" t="str">
        <f>_xlfn.XLOOKUP(B4724,'2025-Q1'!$A$402:$A$448,'2025-Q1'!$A$402:$A$448,"avail")</f>
        <v>avail</v>
      </c>
      <c r="F4724" t="str">
        <f>_xlfn.XLOOKUP(B4724,'[2]!! -- Stock Universe 12.11.24'!$C$2:$C$1621,'[2]!! -- Stock Universe 12.11.24'!$E$2:$E$1621,"")</f>
        <v/>
      </c>
    </row>
    <row r="4725" spans="1:6" x14ac:dyDescent="0.25">
      <c r="A4725" s="140">
        <v>45757.291666666664</v>
      </c>
      <c r="B4725" t="s">
        <v>5694</v>
      </c>
      <c r="C4725" t="s">
        <v>4677</v>
      </c>
      <c r="E4725" t="str">
        <f>_xlfn.XLOOKUP(B4725,'2025-Q1'!$A$402:$A$448,'2025-Q1'!$A$402:$A$448,"avail")</f>
        <v>avail</v>
      </c>
      <c r="F4725" t="str">
        <f>_xlfn.XLOOKUP(B4725,'[2]!! -- Stock Universe 12.11.24'!$C$2:$C$1621,'[2]!! -- Stock Universe 12.11.24'!$E$2:$E$1621,"")</f>
        <v/>
      </c>
    </row>
    <row r="4726" spans="1:6" x14ac:dyDescent="0.25">
      <c r="A4726" s="140">
        <v>45757.291666666664</v>
      </c>
      <c r="B4726" t="s">
        <v>2786</v>
      </c>
      <c r="C4726" t="s">
        <v>5695</v>
      </c>
      <c r="E4726" t="str">
        <f>_xlfn.XLOOKUP(B4726,'2025-Q1'!$A$402:$A$448,'2025-Q1'!$A$402:$A$448,"avail")</f>
        <v>avail</v>
      </c>
      <c r="F4726" t="str">
        <f>_xlfn.XLOOKUP(B4726,'[2]!! -- Stock Universe 12.11.24'!$C$2:$C$1621,'[2]!! -- Stock Universe 12.11.24'!$E$2:$E$1621,"")</f>
        <v/>
      </c>
    </row>
    <row r="4727" spans="1:6" x14ac:dyDescent="0.25">
      <c r="A4727" s="140">
        <v>45757.291666666664</v>
      </c>
      <c r="B4727" t="s">
        <v>1220</v>
      </c>
      <c r="C4727" t="s">
        <v>4677</v>
      </c>
      <c r="E4727" t="str">
        <f>_xlfn.XLOOKUP(B4727,'2025-Q1'!$A$402:$A$448,'2025-Q1'!$A$402:$A$448,"avail")</f>
        <v>avail</v>
      </c>
      <c r="F4727" t="str">
        <f>_xlfn.XLOOKUP(B4727,'[2]!! -- Stock Universe 12.11.24'!$C$2:$C$1621,'[2]!! -- Stock Universe 12.11.24'!$E$2:$E$1621,"")</f>
        <v/>
      </c>
    </row>
    <row r="4728" spans="1:6" x14ac:dyDescent="0.25">
      <c r="A4728" s="140">
        <v>45757.291666666664</v>
      </c>
      <c r="B4728" t="s">
        <v>1325</v>
      </c>
      <c r="C4728" t="s">
        <v>4677</v>
      </c>
      <c r="E4728" t="str">
        <f>_xlfn.XLOOKUP(B4728,'2025-Q1'!$A$402:$A$448,'2025-Q1'!$A$402:$A$448,"avail")</f>
        <v>avail</v>
      </c>
      <c r="F4728" t="str">
        <f>_xlfn.XLOOKUP(B4728,'[2]!! -- Stock Universe 12.11.24'!$C$2:$C$1621,'[2]!! -- Stock Universe 12.11.24'!$E$2:$E$1621,"")</f>
        <v>Financial</v>
      </c>
    </row>
    <row r="4729" spans="1:6" x14ac:dyDescent="0.25">
      <c r="A4729" s="140">
        <v>45757.291666666664</v>
      </c>
      <c r="B4729" t="s">
        <v>5696</v>
      </c>
      <c r="C4729" t="s">
        <v>4677</v>
      </c>
      <c r="E4729" t="str">
        <f>_xlfn.XLOOKUP(B4729,'2025-Q1'!$A$402:$A$448,'2025-Q1'!$A$402:$A$448,"avail")</f>
        <v>avail</v>
      </c>
      <c r="F4729" t="str">
        <f>_xlfn.XLOOKUP(B4729,'[2]!! -- Stock Universe 12.11.24'!$C$2:$C$1621,'[2]!! -- Stock Universe 12.11.24'!$E$2:$E$1621,"")</f>
        <v/>
      </c>
    </row>
    <row r="4730" spans="1:6" x14ac:dyDescent="0.25">
      <c r="A4730" s="140">
        <v>45757.291666666664</v>
      </c>
      <c r="B4730" t="s">
        <v>1588</v>
      </c>
      <c r="C4730" t="s">
        <v>4677</v>
      </c>
      <c r="E4730" t="str">
        <f>_xlfn.XLOOKUP(B4730,'2025-Q1'!$A$402:$A$448,'2025-Q1'!$A$402:$A$448,"avail")</f>
        <v>avail</v>
      </c>
      <c r="F4730" t="str">
        <f>_xlfn.XLOOKUP(B4730,'[2]!! -- Stock Universe 12.11.24'!$C$2:$C$1621,'[2]!! -- Stock Universe 12.11.24'!$E$2:$E$1621,"")</f>
        <v>Consumer Cyclical</v>
      </c>
    </row>
    <row r="4731" spans="1:6" x14ac:dyDescent="0.25">
      <c r="A4731" s="140">
        <v>45757.291666666664</v>
      </c>
      <c r="B4731" t="s">
        <v>1433</v>
      </c>
      <c r="C4731" t="s">
        <v>4677</v>
      </c>
      <c r="E4731" t="str">
        <f>_xlfn.XLOOKUP(B4731,'2025-Q1'!$A$402:$A$448,'2025-Q1'!$A$402:$A$448,"avail")</f>
        <v>avail</v>
      </c>
      <c r="F4731" t="str">
        <f>_xlfn.XLOOKUP(B4731,'[2]!! -- Stock Universe 12.11.24'!$C$2:$C$1621,'[2]!! -- Stock Universe 12.11.24'!$E$2:$E$1621,"")</f>
        <v>Consumer Defensive</v>
      </c>
    </row>
    <row r="4732" spans="1:6" x14ac:dyDescent="0.25">
      <c r="A4732" s="140">
        <v>45757.625</v>
      </c>
      <c r="B4732" t="s">
        <v>1212</v>
      </c>
      <c r="C4732" t="s">
        <v>5697</v>
      </c>
      <c r="E4732" t="str">
        <f>_xlfn.XLOOKUP(B4732,'2025-Q1'!$A$402:$A$448,'2025-Q1'!$A$402:$A$448,"avail")</f>
        <v>avail</v>
      </c>
      <c r="F4732" t="str">
        <f>_xlfn.XLOOKUP(B4732,'[2]!! -- Stock Universe 12.11.24'!$C$2:$C$1621,'[2]!! -- Stock Universe 12.11.24'!$E$2:$E$1621,"")</f>
        <v/>
      </c>
    </row>
    <row r="4733" spans="1:6" x14ac:dyDescent="0.25">
      <c r="A4733" s="140">
        <v>45757.625</v>
      </c>
      <c r="B4733" t="s">
        <v>2002</v>
      </c>
      <c r="C4733" t="s">
        <v>5697</v>
      </c>
      <c r="E4733" t="str">
        <f>_xlfn.XLOOKUP(B4733,'2025-Q1'!$A$402:$A$448,'2025-Q1'!$A$402:$A$448,"avail")</f>
        <v>avail</v>
      </c>
      <c r="F4733" t="str">
        <f>_xlfn.XLOOKUP(B4733,'[2]!! -- Stock Universe 12.11.24'!$C$2:$C$1621,'[2]!! -- Stock Universe 12.11.24'!$E$2:$E$1621,"")</f>
        <v>Technology</v>
      </c>
    </row>
    <row r="4734" spans="1:6" x14ac:dyDescent="0.25">
      <c r="A4734" s="140">
        <v>45757.625</v>
      </c>
      <c r="B4734" t="s">
        <v>2783</v>
      </c>
      <c r="C4734" t="s">
        <v>5697</v>
      </c>
      <c r="E4734" t="str">
        <f>_xlfn.XLOOKUP(B4734,'2025-Q1'!$A$402:$A$448,'2025-Q1'!$A$402:$A$448,"avail")</f>
        <v>avail</v>
      </c>
      <c r="F4734" t="str">
        <f>_xlfn.XLOOKUP(B4734,'[2]!! -- Stock Universe 12.11.24'!$C$2:$C$1621,'[2]!! -- Stock Universe 12.11.24'!$E$2:$E$1621,"")</f>
        <v/>
      </c>
    </row>
    <row r="4735" spans="1:6" x14ac:dyDescent="0.25">
      <c r="A4735" s="140">
        <v>45757.625</v>
      </c>
      <c r="B4735" t="s">
        <v>2796</v>
      </c>
      <c r="C4735" t="s">
        <v>5697</v>
      </c>
      <c r="E4735" t="str">
        <f>_xlfn.XLOOKUP(B4735,'2025-Q1'!$A$402:$A$448,'2025-Q1'!$A$402:$A$448,"avail")</f>
        <v>avail</v>
      </c>
      <c r="F4735" t="str">
        <f>_xlfn.XLOOKUP(B4735,'[2]!! -- Stock Universe 12.11.24'!$C$2:$C$1621,'[2]!! -- Stock Universe 12.11.24'!$E$2:$E$1621,"")</f>
        <v/>
      </c>
    </row>
  </sheetData>
  <autoFilter ref="A1:D4735" xr:uid="{99B2C00A-D7F8-4B9D-B5EB-FB5B93C4C8E9}"/>
  <conditionalFormatting sqref="D2:D4703">
    <cfRule type="containsText" dxfId="36" priority="1" operator="containsText" text="500">
      <formula>NOT(ISERROR(SEARCH("500",D2)))</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5B52-3EE0-4074-AF25-F6027C33DFA2}">
  <sheetPr>
    <tabColor rgb="FF92D050"/>
  </sheetPr>
  <dimension ref="A1"/>
  <sheetViews>
    <sheetView showGridLines="0" zoomScale="140" zoomScaleNormal="140" workbookViewId="0">
      <selection activeCell="N18" sqref="N18"/>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1244-E068-401E-BE08-6D247EA630DC}">
  <sheetPr>
    <tabColor rgb="FF92D050"/>
  </sheetPr>
  <dimension ref="C1:Q47"/>
  <sheetViews>
    <sheetView showGridLines="0" topLeftCell="A7" workbookViewId="0">
      <selection activeCell="X34" sqref="X34"/>
    </sheetView>
  </sheetViews>
  <sheetFormatPr defaultRowHeight="15" x14ac:dyDescent="0.25"/>
  <cols>
    <col min="3" max="3" width="9.42578125" bestFit="1" customWidth="1"/>
  </cols>
  <sheetData>
    <row r="1" spans="3:17" x14ac:dyDescent="0.25">
      <c r="D1" s="147" t="s">
        <v>4724</v>
      </c>
      <c r="E1" s="148" t="s">
        <v>4722</v>
      </c>
      <c r="F1" s="216" t="s">
        <v>4721</v>
      </c>
      <c r="G1" s="42" t="s">
        <v>4727</v>
      </c>
      <c r="H1" s="146" t="s">
        <v>4720</v>
      </c>
      <c r="I1" s="145" t="s">
        <v>4725</v>
      </c>
      <c r="J1" s="215" t="s">
        <v>4728</v>
      </c>
      <c r="K1" s="44" t="s">
        <v>4719</v>
      </c>
      <c r="L1" s="142" t="s">
        <v>4723</v>
      </c>
      <c r="M1" s="43" t="s">
        <v>4718</v>
      </c>
      <c r="N1" s="45" t="s">
        <v>4726</v>
      </c>
      <c r="O1" s="143" t="s">
        <v>4773</v>
      </c>
      <c r="P1" s="144" t="s">
        <v>4775</v>
      </c>
      <c r="Q1" s="225" t="s">
        <v>5009</v>
      </c>
    </row>
    <row r="2" spans="3:17" x14ac:dyDescent="0.25">
      <c r="C2" s="46">
        <v>45667</v>
      </c>
      <c r="D2" s="226">
        <f>COUNTIFS('2025-Q1'!$E$4:$E$448,'SPDR Chart'!D$1,'2025-Q1'!$F$4:$F$448,'SPDR Chart'!$C2)</f>
        <v>2</v>
      </c>
      <c r="E2" s="226">
        <f>COUNTIFS('2025-Q1'!$E$4:$E$448,'SPDR Chart'!E$1,'2025-Q1'!$F$4:$F$448,'SPDR Chart'!$C2)</f>
        <v>1</v>
      </c>
      <c r="F2" s="226">
        <f>COUNTIFS('2025-Q1'!$E$4:$E$448,'SPDR Chart'!F$1,'2025-Q1'!$F$4:$F$448,'SPDR Chart'!$C2)</f>
        <v>0</v>
      </c>
      <c r="G2" s="226">
        <f>COUNTIFS('2025-Q1'!$E$4:$E$448,'SPDR Chart'!G$1,'2025-Q1'!$F$4:$F$448,'SPDR Chart'!$C2)</f>
        <v>0</v>
      </c>
      <c r="H2" s="226">
        <f>COUNTIFS('2025-Q1'!$E$4:$E$448,'SPDR Chart'!H$1,'2025-Q1'!$F$4:$F$448,'SPDR Chart'!$C2)</f>
        <v>0</v>
      </c>
      <c r="I2" s="226">
        <f>COUNTIFS('2025-Q1'!$E$4:$E$448,'SPDR Chart'!I$1,'2025-Q1'!$F$4:$F$448,'SPDR Chart'!$C2)</f>
        <v>0</v>
      </c>
      <c r="J2" s="226">
        <f>COUNTIFS('2025-Q1'!$E$4:$E$448,'SPDR Chart'!J$1,'2025-Q1'!$F$4:$F$448,'SPDR Chart'!$C2)</f>
        <v>0</v>
      </c>
      <c r="K2" s="226">
        <f>COUNTIFS('2025-Q1'!$E$4:$E$448,'SPDR Chart'!K$1,'2025-Q1'!$F$4:$F$448,'SPDR Chart'!$C2)</f>
        <v>0</v>
      </c>
      <c r="L2" s="226">
        <f>COUNTIFS('2025-Q1'!$E$4:$E$448,'SPDR Chart'!L$1,'2025-Q1'!$F$4:$F$448,'SPDR Chart'!$C2)</f>
        <v>0</v>
      </c>
      <c r="M2" s="226">
        <f>COUNTIFS('2025-Q1'!$E$4:$E$448,'SPDR Chart'!M$1,'2025-Q1'!$F$4:$F$448,'SPDR Chart'!$C2)</f>
        <v>0</v>
      </c>
      <c r="N2" s="226">
        <f>COUNTIFS('2025-Q1'!$E$4:$E$448,'SPDR Chart'!N$1,'2025-Q1'!$F$4:$F$448,'SPDR Chart'!$C2)</f>
        <v>0</v>
      </c>
      <c r="O2" s="226">
        <f>COUNTIFS('2025-Q1'!$E$4:$E$448,'SPDR Chart'!O$1,'2025-Q1'!$F$4:$F$448,'SPDR Chart'!$C2)</f>
        <v>0</v>
      </c>
      <c r="P2" s="226">
        <f>COUNTIFS('2025-Q1'!$E$4:$E$448,'SPDR Chart'!P$1,'2025-Q1'!$F$4:$F$448,'SPDR Chart'!$C2)</f>
        <v>0</v>
      </c>
      <c r="Q2" s="226">
        <f>COUNTIFS('2025-Q1'!$E$4:$E$448,'SPDR Chart'!Q$1,'2025-Q1'!$F$4:$F$448,'SPDR Chart'!$C2)</f>
        <v>0</v>
      </c>
    </row>
    <row r="3" spans="3:17" x14ac:dyDescent="0.25">
      <c r="C3" s="46">
        <v>45672</v>
      </c>
      <c r="D3" s="226">
        <f>COUNTIFS('2025-Q1'!$E$4:$E$448,'SPDR Chart'!D$1,'2025-Q1'!$F$4:$F$448,'SPDR Chart'!$C3)</f>
        <v>0</v>
      </c>
      <c r="E3" s="226">
        <f>COUNTIFS('2025-Q1'!$E$4:$E$448,'SPDR Chart'!E$1,'2025-Q1'!$F$4:$F$448,'SPDR Chart'!$C3)</f>
        <v>0</v>
      </c>
      <c r="F3" s="226">
        <f>COUNTIFS('2025-Q1'!$E$4:$E$448,'SPDR Chart'!F$1,'2025-Q1'!$F$4:$F$448,'SPDR Chart'!$C3)</f>
        <v>6</v>
      </c>
      <c r="G3" s="226">
        <f>COUNTIFS('2025-Q1'!$E$4:$E$448,'SPDR Chart'!G$1,'2025-Q1'!$F$4:$F$448,'SPDR Chart'!$C3)</f>
        <v>0</v>
      </c>
      <c r="H3" s="226">
        <f>COUNTIFS('2025-Q1'!$E$4:$E$448,'SPDR Chart'!H$1,'2025-Q1'!$F$4:$F$448,'SPDR Chart'!$C3)</f>
        <v>0</v>
      </c>
      <c r="I3" s="226">
        <f>COUNTIFS('2025-Q1'!$E$4:$E$448,'SPDR Chart'!I$1,'2025-Q1'!$F$4:$F$448,'SPDR Chart'!$C3)</f>
        <v>0</v>
      </c>
      <c r="J3" s="226">
        <f>COUNTIFS('2025-Q1'!$E$4:$E$448,'SPDR Chart'!J$1,'2025-Q1'!$F$4:$F$448,'SPDR Chart'!$C3)</f>
        <v>0</v>
      </c>
      <c r="K3" s="226">
        <f>COUNTIFS('2025-Q1'!$E$4:$E$448,'SPDR Chart'!K$1,'2025-Q1'!$F$4:$F$448,'SPDR Chart'!$C3)</f>
        <v>0</v>
      </c>
      <c r="L3" s="226">
        <f>COUNTIFS('2025-Q1'!$E$4:$E$448,'SPDR Chart'!L$1,'2025-Q1'!$F$4:$F$448,'SPDR Chart'!$C3)</f>
        <v>0</v>
      </c>
      <c r="M3" s="226">
        <f>COUNTIFS('2025-Q1'!$E$4:$E$448,'SPDR Chart'!M$1,'2025-Q1'!$F$4:$F$448,'SPDR Chart'!$C3)</f>
        <v>0</v>
      </c>
      <c r="N3" s="226">
        <f>COUNTIFS('2025-Q1'!$E$4:$E$448,'SPDR Chart'!N$1,'2025-Q1'!$F$4:$F$448,'SPDR Chart'!$C3)</f>
        <v>0</v>
      </c>
      <c r="O3" s="226">
        <f>COUNTIFS('2025-Q1'!$E$4:$E$448,'SPDR Chart'!O$1,'2025-Q1'!$F$4:$F$448,'SPDR Chart'!$C3)</f>
        <v>0</v>
      </c>
      <c r="P3" s="226">
        <f>COUNTIFS('2025-Q1'!$E$4:$E$448,'SPDR Chart'!P$1,'2025-Q1'!$F$4:$F$448,'SPDR Chart'!$C3)</f>
        <v>0</v>
      </c>
      <c r="Q3" s="226">
        <f>COUNTIFS('2025-Q1'!$E$4:$E$448,'SPDR Chart'!Q$1,'2025-Q1'!$F$4:$F$448,'SPDR Chart'!$C3)</f>
        <v>0</v>
      </c>
    </row>
    <row r="4" spans="3:17" x14ac:dyDescent="0.25">
      <c r="C4" s="46">
        <v>45673</v>
      </c>
      <c r="D4" s="226">
        <f>COUNTIFS('2025-Q1'!$E$4:$E$448,'SPDR Chart'!D$1,'2025-Q1'!$F$4:$F$448,'SPDR Chart'!$C4)</f>
        <v>0</v>
      </c>
      <c r="E4" s="226">
        <f>COUNTIFS('2025-Q1'!$E$4:$E$448,'SPDR Chart'!E$1,'2025-Q1'!$F$4:$F$448,'SPDR Chart'!$C4)</f>
        <v>1</v>
      </c>
      <c r="F4" s="226">
        <f>COUNTIFS('2025-Q1'!$E$4:$E$448,'SPDR Chart'!F$1,'2025-Q1'!$F$4:$F$448,'SPDR Chart'!$C4)</f>
        <v>5</v>
      </c>
      <c r="G4" s="226">
        <f>COUNTIFS('2025-Q1'!$E$4:$E$448,'SPDR Chart'!G$1,'2025-Q1'!$F$4:$F$448,'SPDR Chart'!$C4)</f>
        <v>0</v>
      </c>
      <c r="H4" s="226">
        <f>COUNTIFS('2025-Q1'!$E$4:$E$448,'SPDR Chart'!H$1,'2025-Q1'!$F$4:$F$448,'SPDR Chart'!$C4)</f>
        <v>0</v>
      </c>
      <c r="I4" s="226">
        <f>COUNTIFS('2025-Q1'!$E$4:$E$448,'SPDR Chart'!I$1,'2025-Q1'!$F$4:$F$448,'SPDR Chart'!$C4)</f>
        <v>0</v>
      </c>
      <c r="J4" s="226">
        <f>COUNTIFS('2025-Q1'!$E$4:$E$448,'SPDR Chart'!J$1,'2025-Q1'!$F$4:$F$448,'SPDR Chart'!$C4)</f>
        <v>0</v>
      </c>
      <c r="K4" s="226">
        <f>COUNTIFS('2025-Q1'!$E$4:$E$448,'SPDR Chart'!K$1,'2025-Q1'!$F$4:$F$448,'SPDR Chart'!$C4)</f>
        <v>0</v>
      </c>
      <c r="L4" s="226">
        <f>COUNTIFS('2025-Q1'!$E$4:$E$448,'SPDR Chart'!L$1,'2025-Q1'!$F$4:$F$448,'SPDR Chart'!$C4)</f>
        <v>0</v>
      </c>
      <c r="M4" s="226">
        <f>COUNTIFS('2025-Q1'!$E$4:$E$448,'SPDR Chart'!M$1,'2025-Q1'!$F$4:$F$448,'SPDR Chart'!$C4)</f>
        <v>0</v>
      </c>
      <c r="N4" s="226">
        <f>COUNTIFS('2025-Q1'!$E$4:$E$448,'SPDR Chart'!N$1,'2025-Q1'!$F$4:$F$448,'SPDR Chart'!$C4)</f>
        <v>0</v>
      </c>
      <c r="O4" s="226">
        <f>COUNTIFS('2025-Q1'!$E$4:$E$448,'SPDR Chart'!O$1,'2025-Q1'!$F$4:$F$448,'SPDR Chart'!$C4)</f>
        <v>0</v>
      </c>
      <c r="P4" s="226">
        <f>COUNTIFS('2025-Q1'!$E$4:$E$448,'SPDR Chart'!P$1,'2025-Q1'!$F$4:$F$448,'SPDR Chart'!$C4)</f>
        <v>0</v>
      </c>
      <c r="Q4" s="226">
        <f>COUNTIFS('2025-Q1'!$E$4:$E$448,'SPDR Chart'!Q$1,'2025-Q1'!$F$4:$F$448,'SPDR Chart'!$C4)</f>
        <v>0</v>
      </c>
    </row>
    <row r="5" spans="3:17" x14ac:dyDescent="0.25">
      <c r="C5" s="46">
        <v>45674</v>
      </c>
      <c r="D5" s="226">
        <f>COUNTIFS('2025-Q1'!$E$4:$E$448,'SPDR Chart'!D$1,'2025-Q1'!$F$4:$F$448,'SPDR Chart'!$C5)</f>
        <v>0</v>
      </c>
      <c r="E5" s="226">
        <f>COUNTIFS('2025-Q1'!$E$4:$E$448,'SPDR Chart'!E$1,'2025-Q1'!$F$4:$F$448,'SPDR Chart'!$C5)</f>
        <v>1</v>
      </c>
      <c r="F5" s="226">
        <f>COUNTIFS('2025-Q1'!$E$4:$E$448,'SPDR Chart'!F$1,'2025-Q1'!$F$4:$F$448,'SPDR Chart'!$C5)</f>
        <v>5</v>
      </c>
      <c r="G5" s="226">
        <f>COUNTIFS('2025-Q1'!$E$4:$E$448,'SPDR Chart'!G$1,'2025-Q1'!$F$4:$F$448,'SPDR Chart'!$C5)</f>
        <v>0</v>
      </c>
      <c r="H5" s="226">
        <f>COUNTIFS('2025-Q1'!$E$4:$E$448,'SPDR Chart'!H$1,'2025-Q1'!$F$4:$F$448,'SPDR Chart'!$C5)</f>
        <v>1</v>
      </c>
      <c r="I5" s="226">
        <f>COUNTIFS('2025-Q1'!$E$4:$E$448,'SPDR Chart'!I$1,'2025-Q1'!$F$4:$F$448,'SPDR Chart'!$C5)</f>
        <v>0</v>
      </c>
      <c r="J5" s="226">
        <f>COUNTIFS('2025-Q1'!$E$4:$E$448,'SPDR Chart'!J$1,'2025-Q1'!$F$4:$F$448,'SPDR Chart'!$C5)</f>
        <v>0</v>
      </c>
      <c r="K5" s="226">
        <f>COUNTIFS('2025-Q1'!$E$4:$E$448,'SPDR Chart'!K$1,'2025-Q1'!$F$4:$F$448,'SPDR Chart'!$C5)</f>
        <v>0</v>
      </c>
      <c r="L5" s="226">
        <f>COUNTIFS('2025-Q1'!$E$4:$E$448,'SPDR Chart'!L$1,'2025-Q1'!$F$4:$F$448,'SPDR Chart'!$C5)</f>
        <v>0</v>
      </c>
      <c r="M5" s="226">
        <f>COUNTIFS('2025-Q1'!$E$4:$E$448,'SPDR Chart'!M$1,'2025-Q1'!$F$4:$F$448,'SPDR Chart'!$C5)</f>
        <v>0</v>
      </c>
      <c r="N5" s="226">
        <f>COUNTIFS('2025-Q1'!$E$4:$E$448,'SPDR Chart'!N$1,'2025-Q1'!$F$4:$F$448,'SPDR Chart'!$C5)</f>
        <v>0</v>
      </c>
      <c r="O5" s="226">
        <f>COUNTIFS('2025-Q1'!$E$4:$E$448,'SPDR Chart'!O$1,'2025-Q1'!$F$4:$F$448,'SPDR Chart'!$C5)</f>
        <v>0</v>
      </c>
      <c r="P5" s="226">
        <f>COUNTIFS('2025-Q1'!$E$4:$E$448,'SPDR Chart'!P$1,'2025-Q1'!$F$4:$F$448,'SPDR Chart'!$C5)</f>
        <v>0</v>
      </c>
      <c r="Q5" s="226">
        <f>COUNTIFS('2025-Q1'!$E$4:$E$448,'SPDR Chart'!Q$1,'2025-Q1'!$F$4:$F$448,'SPDR Chart'!$C5)</f>
        <v>0</v>
      </c>
    </row>
    <row r="6" spans="3:17" x14ac:dyDescent="0.25">
      <c r="C6" s="46">
        <v>45678</v>
      </c>
      <c r="D6" s="226">
        <f>COUNTIFS('2025-Q1'!$E$4:$E$448,'SPDR Chart'!D$1,'2025-Q1'!$F$4:$F$448,'SPDR Chart'!$C6)</f>
        <v>0</v>
      </c>
      <c r="E6" s="226">
        <f>COUNTIFS('2025-Q1'!$E$4:$E$448,'SPDR Chart'!E$1,'2025-Q1'!$F$4:$F$448,'SPDR Chart'!$C6)</f>
        <v>2</v>
      </c>
      <c r="F6" s="226">
        <f>COUNTIFS('2025-Q1'!$E$4:$E$448,'SPDR Chart'!F$1,'2025-Q1'!$F$4:$F$448,'SPDR Chart'!$C6)</f>
        <v>4</v>
      </c>
      <c r="G6" s="226">
        <f>COUNTIFS('2025-Q1'!$E$4:$E$448,'SPDR Chart'!G$1,'2025-Q1'!$F$4:$F$448,'SPDR Chart'!$C6)</f>
        <v>0</v>
      </c>
      <c r="H6" s="226">
        <f>COUNTIFS('2025-Q1'!$E$4:$E$448,'SPDR Chart'!H$1,'2025-Q1'!$F$4:$F$448,'SPDR Chart'!$C6)</f>
        <v>0</v>
      </c>
      <c r="I6" s="226">
        <f>COUNTIFS('2025-Q1'!$E$4:$E$448,'SPDR Chart'!I$1,'2025-Q1'!$F$4:$F$448,'SPDR Chart'!$C6)</f>
        <v>0</v>
      </c>
      <c r="J6" s="226">
        <f>COUNTIFS('2025-Q1'!$E$4:$E$448,'SPDR Chart'!J$1,'2025-Q1'!$F$4:$F$448,'SPDR Chart'!$C6)</f>
        <v>0</v>
      </c>
      <c r="K6" s="226">
        <f>COUNTIFS('2025-Q1'!$E$4:$E$448,'SPDR Chart'!K$1,'2025-Q1'!$F$4:$F$448,'SPDR Chart'!$C6)</f>
        <v>1</v>
      </c>
      <c r="L6" s="226">
        <f>COUNTIFS('2025-Q1'!$E$4:$E$448,'SPDR Chart'!L$1,'2025-Q1'!$F$4:$F$448,'SPDR Chart'!$C6)</f>
        <v>1</v>
      </c>
      <c r="M6" s="226">
        <f>COUNTIFS('2025-Q1'!$E$4:$E$448,'SPDR Chart'!M$1,'2025-Q1'!$F$4:$F$448,'SPDR Chart'!$C6)</f>
        <v>0</v>
      </c>
      <c r="N6" s="226">
        <f>COUNTIFS('2025-Q1'!$E$4:$E$448,'SPDR Chart'!N$1,'2025-Q1'!$F$4:$F$448,'SPDR Chart'!$C6)</f>
        <v>0</v>
      </c>
      <c r="O6" s="226">
        <f>COUNTIFS('2025-Q1'!$E$4:$E$448,'SPDR Chart'!O$1,'2025-Q1'!$F$4:$F$448,'SPDR Chart'!$C6)</f>
        <v>0</v>
      </c>
      <c r="P6" s="226">
        <f>COUNTIFS('2025-Q1'!$E$4:$E$448,'SPDR Chart'!P$1,'2025-Q1'!$F$4:$F$448,'SPDR Chart'!$C6)</f>
        <v>0</v>
      </c>
      <c r="Q6" s="226">
        <f>COUNTIFS('2025-Q1'!$E$4:$E$448,'SPDR Chart'!Q$1,'2025-Q1'!$F$4:$F$448,'SPDR Chart'!$C6)</f>
        <v>0</v>
      </c>
    </row>
    <row r="7" spans="3:17" x14ac:dyDescent="0.25">
      <c r="C7" s="46">
        <v>45679</v>
      </c>
      <c r="D7" s="226">
        <f>COUNTIFS('2025-Q1'!$E$4:$E$448,'SPDR Chart'!D$1,'2025-Q1'!$F$4:$F$448,'SPDR Chart'!$C7)</f>
        <v>1</v>
      </c>
      <c r="E7" s="226">
        <f>COUNTIFS('2025-Q1'!$E$4:$E$448,'SPDR Chart'!E$1,'2025-Q1'!$F$4:$F$448,'SPDR Chart'!$C7)</f>
        <v>2</v>
      </c>
      <c r="F7" s="226">
        <f>COUNTIFS('2025-Q1'!$E$4:$E$448,'SPDR Chart'!F$1,'2025-Q1'!$F$4:$F$448,'SPDR Chart'!$C7)</f>
        <v>1</v>
      </c>
      <c r="G7" s="226">
        <f>COUNTIFS('2025-Q1'!$E$4:$E$448,'SPDR Chart'!G$1,'2025-Q1'!$F$4:$F$448,'SPDR Chart'!$C7)</f>
        <v>2</v>
      </c>
      <c r="H7" s="226">
        <f>COUNTIFS('2025-Q1'!$E$4:$E$448,'SPDR Chart'!H$1,'2025-Q1'!$F$4:$F$448,'SPDR Chart'!$C7)</f>
        <v>2</v>
      </c>
      <c r="I7" s="226">
        <f>COUNTIFS('2025-Q1'!$E$4:$E$448,'SPDR Chart'!I$1,'2025-Q1'!$F$4:$F$448,'SPDR Chart'!$C7)</f>
        <v>0</v>
      </c>
      <c r="J7" s="226">
        <f>COUNTIFS('2025-Q1'!$E$4:$E$448,'SPDR Chart'!J$1,'2025-Q1'!$F$4:$F$448,'SPDR Chart'!$C7)</f>
        <v>0</v>
      </c>
      <c r="K7" s="226">
        <f>COUNTIFS('2025-Q1'!$E$4:$E$448,'SPDR Chart'!K$1,'2025-Q1'!$F$4:$F$448,'SPDR Chart'!$C7)</f>
        <v>0</v>
      </c>
      <c r="L7" s="226">
        <f>COUNTIFS('2025-Q1'!$E$4:$E$448,'SPDR Chart'!L$1,'2025-Q1'!$F$4:$F$448,'SPDR Chart'!$C7)</f>
        <v>3</v>
      </c>
      <c r="M7" s="226">
        <f>COUNTIFS('2025-Q1'!$E$4:$E$448,'SPDR Chart'!M$1,'2025-Q1'!$F$4:$F$448,'SPDR Chart'!$C7)</f>
        <v>1</v>
      </c>
      <c r="N7" s="226">
        <f>COUNTIFS('2025-Q1'!$E$4:$E$448,'SPDR Chart'!N$1,'2025-Q1'!$F$4:$F$448,'SPDR Chart'!$C7)</f>
        <v>0</v>
      </c>
      <c r="O7" s="226">
        <f>COUNTIFS('2025-Q1'!$E$4:$E$448,'SPDR Chart'!O$1,'2025-Q1'!$F$4:$F$448,'SPDR Chart'!$C7)</f>
        <v>0</v>
      </c>
      <c r="P7" s="226">
        <f>COUNTIFS('2025-Q1'!$E$4:$E$448,'SPDR Chart'!P$1,'2025-Q1'!$F$4:$F$448,'SPDR Chart'!$C7)</f>
        <v>1</v>
      </c>
      <c r="Q7" s="226">
        <f>COUNTIFS('2025-Q1'!$E$4:$E$448,'SPDR Chart'!Q$1,'2025-Q1'!$F$4:$F$448,'SPDR Chart'!$C7)</f>
        <v>0</v>
      </c>
    </row>
    <row r="8" spans="3:17" x14ac:dyDescent="0.25">
      <c r="C8" s="46">
        <v>45680</v>
      </c>
      <c r="D8" s="226">
        <f>COUNTIFS('2025-Q1'!$E$4:$E$448,'SPDR Chart'!D$1,'2025-Q1'!$F$4:$F$448,'SPDR Chart'!$C8)</f>
        <v>1</v>
      </c>
      <c r="E8" s="226">
        <f>COUNTIFS('2025-Q1'!$E$4:$E$448,'SPDR Chart'!E$1,'2025-Q1'!$F$4:$F$448,'SPDR Chart'!$C8)</f>
        <v>3</v>
      </c>
      <c r="F8" s="226">
        <f>COUNTIFS('2025-Q1'!$E$4:$E$448,'SPDR Chart'!F$1,'2025-Q1'!$F$4:$F$448,'SPDR Chart'!$C8)</f>
        <v>1</v>
      </c>
      <c r="G8" s="226">
        <f>COUNTIFS('2025-Q1'!$E$4:$E$448,'SPDR Chart'!G$1,'2025-Q1'!$F$4:$F$448,'SPDR Chart'!$C8)</f>
        <v>1</v>
      </c>
      <c r="H8" s="226">
        <f>COUNTIFS('2025-Q1'!$E$4:$E$448,'SPDR Chart'!H$1,'2025-Q1'!$F$4:$F$448,'SPDR Chart'!$C8)</f>
        <v>0</v>
      </c>
      <c r="I8" s="226">
        <f>COUNTIFS('2025-Q1'!$E$4:$E$448,'SPDR Chart'!I$1,'2025-Q1'!$F$4:$F$448,'SPDR Chart'!$C8)</f>
        <v>0</v>
      </c>
      <c r="J8" s="226">
        <f>COUNTIFS('2025-Q1'!$E$4:$E$448,'SPDR Chart'!J$1,'2025-Q1'!$F$4:$F$448,'SPDR Chart'!$C8)</f>
        <v>0</v>
      </c>
      <c r="K8" s="226">
        <f>COUNTIFS('2025-Q1'!$E$4:$E$448,'SPDR Chart'!K$1,'2025-Q1'!$F$4:$F$448,'SPDR Chart'!$C8)</f>
        <v>0</v>
      </c>
      <c r="L8" s="226">
        <f>COUNTIFS('2025-Q1'!$E$4:$E$448,'SPDR Chart'!L$1,'2025-Q1'!$F$4:$F$448,'SPDR Chart'!$C8)</f>
        <v>0</v>
      </c>
      <c r="M8" s="226">
        <f>COUNTIFS('2025-Q1'!$E$4:$E$448,'SPDR Chart'!M$1,'2025-Q1'!$F$4:$F$448,'SPDR Chart'!$C8)</f>
        <v>1</v>
      </c>
      <c r="N8" s="226">
        <f>COUNTIFS('2025-Q1'!$E$4:$E$448,'SPDR Chart'!N$1,'2025-Q1'!$F$4:$F$448,'SPDR Chart'!$C8)</f>
        <v>0</v>
      </c>
      <c r="O8" s="226">
        <f>COUNTIFS('2025-Q1'!$E$4:$E$448,'SPDR Chart'!O$1,'2025-Q1'!$F$4:$F$448,'SPDR Chart'!$C8)</f>
        <v>1</v>
      </c>
      <c r="P8" s="226">
        <f>COUNTIFS('2025-Q1'!$E$4:$E$448,'SPDR Chart'!P$1,'2025-Q1'!$F$4:$F$448,'SPDR Chart'!$C8)</f>
        <v>0</v>
      </c>
      <c r="Q8" s="226">
        <f>COUNTIFS('2025-Q1'!$E$4:$E$448,'SPDR Chart'!Q$1,'2025-Q1'!$F$4:$F$448,'SPDR Chart'!$C8)</f>
        <v>0</v>
      </c>
    </row>
    <row r="9" spans="3:17" x14ac:dyDescent="0.25">
      <c r="C9" s="46">
        <v>45681</v>
      </c>
      <c r="D9" s="226">
        <f>COUNTIFS('2025-Q1'!$E$4:$E$448,'SPDR Chart'!D$1,'2025-Q1'!$F$4:$F$448,'SPDR Chart'!$C9)</f>
        <v>0</v>
      </c>
      <c r="E9" s="226">
        <f>COUNTIFS('2025-Q1'!$E$4:$E$448,'SPDR Chart'!E$1,'2025-Q1'!$F$4:$F$448,'SPDR Chart'!$C9)</f>
        <v>0</v>
      </c>
      <c r="F9" s="226">
        <f>COUNTIFS('2025-Q1'!$E$4:$E$448,'SPDR Chart'!F$1,'2025-Q1'!$F$4:$F$448,'SPDR Chart'!$C9)</f>
        <v>1</v>
      </c>
      <c r="G9" s="226">
        <f>COUNTIFS('2025-Q1'!$E$4:$E$448,'SPDR Chart'!G$1,'2025-Q1'!$F$4:$F$448,'SPDR Chart'!$C9)</f>
        <v>1</v>
      </c>
      <c r="H9" s="226">
        <f>COUNTIFS('2025-Q1'!$E$4:$E$448,'SPDR Chart'!H$1,'2025-Q1'!$F$4:$F$448,'SPDR Chart'!$C9)</f>
        <v>0</v>
      </c>
      <c r="I9" s="226">
        <f>COUNTIFS('2025-Q1'!$E$4:$E$448,'SPDR Chart'!I$1,'2025-Q1'!$F$4:$F$448,'SPDR Chart'!$C9)</f>
        <v>0</v>
      </c>
      <c r="J9" s="226">
        <f>COUNTIFS('2025-Q1'!$E$4:$E$448,'SPDR Chart'!J$1,'2025-Q1'!$F$4:$F$448,'SPDR Chart'!$C9)</f>
        <v>0</v>
      </c>
      <c r="K9" s="226">
        <f>COUNTIFS('2025-Q1'!$E$4:$E$448,'SPDR Chart'!K$1,'2025-Q1'!$F$4:$F$448,'SPDR Chart'!$C9)</f>
        <v>1</v>
      </c>
      <c r="L9" s="226">
        <f>COUNTIFS('2025-Q1'!$E$4:$E$448,'SPDR Chart'!L$1,'2025-Q1'!$F$4:$F$448,'SPDR Chart'!$C9)</f>
        <v>0</v>
      </c>
      <c r="M9" s="226">
        <f>COUNTIFS('2025-Q1'!$E$4:$E$448,'SPDR Chart'!M$1,'2025-Q1'!$F$4:$F$448,'SPDR Chart'!$C9)</f>
        <v>0</v>
      </c>
      <c r="N9" s="226">
        <f>COUNTIFS('2025-Q1'!$E$4:$E$448,'SPDR Chart'!N$1,'2025-Q1'!$F$4:$F$448,'SPDR Chart'!$C9)</f>
        <v>0</v>
      </c>
      <c r="O9" s="226">
        <f>COUNTIFS('2025-Q1'!$E$4:$E$448,'SPDR Chart'!O$1,'2025-Q1'!$F$4:$F$448,'SPDR Chart'!$C9)</f>
        <v>0</v>
      </c>
      <c r="P9" s="226">
        <f>COUNTIFS('2025-Q1'!$E$4:$E$448,'SPDR Chart'!P$1,'2025-Q1'!$F$4:$F$448,'SPDR Chart'!$C9)</f>
        <v>0</v>
      </c>
      <c r="Q9" s="226">
        <f>COUNTIFS('2025-Q1'!$E$4:$E$448,'SPDR Chart'!Q$1,'2025-Q1'!$F$4:$F$448,'SPDR Chart'!$C9)</f>
        <v>0</v>
      </c>
    </row>
    <row r="10" spans="3:17" x14ac:dyDescent="0.25">
      <c r="C10" s="46">
        <v>45684</v>
      </c>
      <c r="D10" s="226">
        <f>COUNTIFS('2025-Q1'!$E$4:$E$448,'SPDR Chart'!D$1,'2025-Q1'!$F$4:$F$448,'SPDR Chart'!$C10)</f>
        <v>0</v>
      </c>
      <c r="E10" s="226">
        <f>COUNTIFS('2025-Q1'!$E$4:$E$448,'SPDR Chart'!E$1,'2025-Q1'!$F$4:$F$448,'SPDR Chart'!$C10)</f>
        <v>0</v>
      </c>
      <c r="F10" s="226">
        <f>COUNTIFS('2025-Q1'!$E$4:$E$448,'SPDR Chart'!F$1,'2025-Q1'!$F$4:$F$448,'SPDR Chart'!$C10)</f>
        <v>0</v>
      </c>
      <c r="G10" s="226">
        <f>COUNTIFS('2025-Q1'!$E$4:$E$448,'SPDR Chart'!G$1,'2025-Q1'!$F$4:$F$448,'SPDR Chart'!$C10)</f>
        <v>0</v>
      </c>
      <c r="H10" s="226">
        <f>COUNTIFS('2025-Q1'!$E$4:$E$448,'SPDR Chart'!H$1,'2025-Q1'!$F$4:$F$448,'SPDR Chart'!$C10)</f>
        <v>0</v>
      </c>
      <c r="I10" s="226">
        <f>COUNTIFS('2025-Q1'!$E$4:$E$448,'SPDR Chart'!I$1,'2025-Q1'!$F$4:$F$448,'SPDR Chart'!$C10)</f>
        <v>0</v>
      </c>
      <c r="J10" s="226">
        <f>COUNTIFS('2025-Q1'!$E$4:$E$448,'SPDR Chart'!J$1,'2025-Q1'!$F$4:$F$448,'SPDR Chart'!$C10)</f>
        <v>0</v>
      </c>
      <c r="K10" s="226">
        <f>COUNTIFS('2025-Q1'!$E$4:$E$448,'SPDR Chart'!K$1,'2025-Q1'!$F$4:$F$448,'SPDR Chart'!$C10)</f>
        <v>1</v>
      </c>
      <c r="L10" s="226">
        <f>COUNTIFS('2025-Q1'!$E$4:$E$448,'SPDR Chart'!L$1,'2025-Q1'!$F$4:$F$448,'SPDR Chart'!$C10)</f>
        <v>0</v>
      </c>
      <c r="M10" s="226">
        <f>COUNTIFS('2025-Q1'!$E$4:$E$448,'SPDR Chart'!M$1,'2025-Q1'!$F$4:$F$448,'SPDR Chart'!$C10)</f>
        <v>1</v>
      </c>
      <c r="N10" s="226">
        <f>COUNTIFS('2025-Q1'!$E$4:$E$448,'SPDR Chart'!N$1,'2025-Q1'!$F$4:$F$448,'SPDR Chart'!$C10)</f>
        <v>0</v>
      </c>
      <c r="O10" s="226">
        <f>COUNTIFS('2025-Q1'!$E$4:$E$448,'SPDR Chart'!O$1,'2025-Q1'!$F$4:$F$448,'SPDR Chart'!$C10)</f>
        <v>0</v>
      </c>
      <c r="P10" s="226">
        <f>COUNTIFS('2025-Q1'!$E$4:$E$448,'SPDR Chart'!P$1,'2025-Q1'!$F$4:$F$448,'SPDR Chart'!$C10)</f>
        <v>2</v>
      </c>
      <c r="Q10" s="226">
        <f>COUNTIFS('2025-Q1'!$E$4:$E$448,'SPDR Chart'!Q$1,'2025-Q1'!$F$4:$F$448,'SPDR Chart'!$C10)</f>
        <v>0</v>
      </c>
    </row>
    <row r="11" spans="3:17" x14ac:dyDescent="0.25">
      <c r="C11" s="46">
        <v>45685</v>
      </c>
      <c r="D11" s="226">
        <f>COUNTIFS('2025-Q1'!$E$4:$E$448,'SPDR Chart'!D$1,'2025-Q1'!$F$4:$F$448,'SPDR Chart'!$C11)</f>
        <v>2</v>
      </c>
      <c r="E11" s="226">
        <f>COUNTIFS('2025-Q1'!$E$4:$E$448,'SPDR Chart'!E$1,'2025-Q1'!$F$4:$F$448,'SPDR Chart'!$C11)</f>
        <v>4</v>
      </c>
      <c r="F11" s="226">
        <f>COUNTIFS('2025-Q1'!$E$4:$E$448,'SPDR Chart'!F$1,'2025-Q1'!$F$4:$F$448,'SPDR Chart'!$C11)</f>
        <v>2</v>
      </c>
      <c r="G11" s="226">
        <f>COUNTIFS('2025-Q1'!$E$4:$E$448,'SPDR Chart'!G$1,'2025-Q1'!$F$4:$F$448,'SPDR Chart'!$C11)</f>
        <v>1</v>
      </c>
      <c r="H11" s="226">
        <f>COUNTIFS('2025-Q1'!$E$4:$E$448,'SPDR Chart'!H$1,'2025-Q1'!$F$4:$F$448,'SPDR Chart'!$C11)</f>
        <v>0</v>
      </c>
      <c r="I11" s="226">
        <f>COUNTIFS('2025-Q1'!$E$4:$E$448,'SPDR Chart'!I$1,'2025-Q1'!$F$4:$F$448,'SPDR Chart'!$C11)</f>
        <v>0</v>
      </c>
      <c r="J11" s="226">
        <f>COUNTIFS('2025-Q1'!$E$4:$E$448,'SPDR Chart'!J$1,'2025-Q1'!$F$4:$F$448,'SPDR Chart'!$C11)</f>
        <v>3</v>
      </c>
      <c r="K11" s="226">
        <f>COUNTIFS('2025-Q1'!$E$4:$E$448,'SPDR Chart'!K$1,'2025-Q1'!$F$4:$F$448,'SPDR Chart'!$C11)</f>
        <v>0</v>
      </c>
      <c r="L11" s="226">
        <f>COUNTIFS('2025-Q1'!$E$4:$E$448,'SPDR Chart'!L$1,'2025-Q1'!$F$4:$F$448,'SPDR Chart'!$C11)</f>
        <v>1</v>
      </c>
      <c r="M11" s="226">
        <f>COUNTIFS('2025-Q1'!$E$4:$E$448,'SPDR Chart'!M$1,'2025-Q1'!$F$4:$F$448,'SPDR Chart'!$C11)</f>
        <v>1</v>
      </c>
      <c r="N11" s="226">
        <f>COUNTIFS('2025-Q1'!$E$4:$E$448,'SPDR Chart'!N$1,'2025-Q1'!$F$4:$F$448,'SPDR Chart'!$C11)</f>
        <v>0</v>
      </c>
      <c r="O11" s="226">
        <f>COUNTIFS('2025-Q1'!$E$4:$E$448,'SPDR Chart'!O$1,'2025-Q1'!$F$4:$F$448,'SPDR Chart'!$C11)</f>
        <v>0</v>
      </c>
      <c r="P11" s="226">
        <f>COUNTIFS('2025-Q1'!$E$4:$E$448,'SPDR Chart'!P$1,'2025-Q1'!$F$4:$F$448,'SPDR Chart'!$C11)</f>
        <v>1</v>
      </c>
      <c r="Q11" s="226">
        <f>COUNTIFS('2025-Q1'!$E$4:$E$448,'SPDR Chart'!Q$1,'2025-Q1'!$F$4:$F$448,'SPDR Chart'!$C11)</f>
        <v>0</v>
      </c>
    </row>
    <row r="12" spans="3:17" x14ac:dyDescent="0.25">
      <c r="C12" s="46">
        <v>45686</v>
      </c>
      <c r="D12" s="226">
        <f>COUNTIFS('2025-Q1'!$E$4:$E$448,'SPDR Chart'!D$1,'2025-Q1'!$F$4:$F$448,'SPDR Chart'!$C12)</f>
        <v>0</v>
      </c>
      <c r="E12" s="226">
        <f>COUNTIFS('2025-Q1'!$E$4:$E$448,'SPDR Chart'!E$1,'2025-Q1'!$F$4:$F$448,'SPDR Chart'!$C12)</f>
        <v>7</v>
      </c>
      <c r="F12" s="226">
        <f>COUNTIFS('2025-Q1'!$E$4:$E$448,'SPDR Chart'!F$1,'2025-Q1'!$F$4:$F$448,'SPDR Chart'!$C12)</f>
        <v>3</v>
      </c>
      <c r="G12" s="226">
        <f>COUNTIFS('2025-Q1'!$E$4:$E$448,'SPDR Chart'!G$1,'2025-Q1'!$F$4:$F$448,'SPDR Chart'!$C12)</f>
        <v>1</v>
      </c>
      <c r="H12" s="226">
        <f>COUNTIFS('2025-Q1'!$E$4:$E$448,'SPDR Chart'!H$1,'2025-Q1'!$F$4:$F$448,'SPDR Chart'!$C12)</f>
        <v>0</v>
      </c>
      <c r="I12" s="226">
        <f>COUNTIFS('2025-Q1'!$E$4:$E$448,'SPDR Chart'!I$1,'2025-Q1'!$F$4:$F$448,'SPDR Chart'!$C12)</f>
        <v>0</v>
      </c>
      <c r="J12" s="226">
        <f>COUNTIFS('2025-Q1'!$E$4:$E$448,'SPDR Chart'!J$1,'2025-Q1'!$F$4:$F$448,'SPDR Chart'!$C12)</f>
        <v>2</v>
      </c>
      <c r="K12" s="226">
        <f>COUNTIFS('2025-Q1'!$E$4:$E$448,'SPDR Chart'!K$1,'2025-Q1'!$F$4:$F$448,'SPDR Chart'!$C12)</f>
        <v>2</v>
      </c>
      <c r="L12" s="226">
        <f>COUNTIFS('2025-Q1'!$E$4:$E$448,'SPDR Chart'!L$1,'2025-Q1'!$F$4:$F$448,'SPDR Chart'!$C12)</f>
        <v>4</v>
      </c>
      <c r="M12" s="226">
        <f>COUNTIFS('2025-Q1'!$E$4:$E$448,'SPDR Chart'!M$1,'2025-Q1'!$F$4:$F$448,'SPDR Chart'!$C12)</f>
        <v>0</v>
      </c>
      <c r="N12" s="226">
        <f>COUNTIFS('2025-Q1'!$E$4:$E$448,'SPDR Chart'!N$1,'2025-Q1'!$F$4:$F$448,'SPDR Chart'!$C12)</f>
        <v>0</v>
      </c>
      <c r="O12" s="226">
        <f>COUNTIFS('2025-Q1'!$E$4:$E$448,'SPDR Chart'!O$1,'2025-Q1'!$F$4:$F$448,'SPDR Chart'!$C12)</f>
        <v>2</v>
      </c>
      <c r="P12" s="226">
        <f>COUNTIFS('2025-Q1'!$E$4:$E$448,'SPDR Chart'!P$1,'2025-Q1'!$F$4:$F$448,'SPDR Chart'!$C12)</f>
        <v>1</v>
      </c>
      <c r="Q12" s="226">
        <f>COUNTIFS('2025-Q1'!$E$4:$E$448,'SPDR Chart'!Q$1,'2025-Q1'!$F$4:$F$448,'SPDR Chart'!$C12)</f>
        <v>1</v>
      </c>
    </row>
    <row r="13" spans="3:17" x14ac:dyDescent="0.25">
      <c r="C13" s="46">
        <v>45687</v>
      </c>
      <c r="D13" s="226">
        <f>COUNTIFS('2025-Q1'!$E$4:$E$448,'SPDR Chart'!D$1,'2025-Q1'!$F$4:$F$448,'SPDR Chart'!$C13)</f>
        <v>1</v>
      </c>
      <c r="E13" s="226">
        <f>COUNTIFS('2025-Q1'!$E$4:$E$448,'SPDR Chart'!E$1,'2025-Q1'!$F$4:$F$448,'SPDR Chart'!$C13)</f>
        <v>8</v>
      </c>
      <c r="F13" s="226">
        <f>COUNTIFS('2025-Q1'!$E$4:$E$448,'SPDR Chart'!F$1,'2025-Q1'!$F$4:$F$448,'SPDR Chart'!$C13)</f>
        <v>3</v>
      </c>
      <c r="G13" s="226">
        <f>COUNTIFS('2025-Q1'!$E$4:$E$448,'SPDR Chart'!G$1,'2025-Q1'!$F$4:$F$448,'SPDR Chart'!$C13)</f>
        <v>4</v>
      </c>
      <c r="H13" s="226">
        <f>COUNTIFS('2025-Q1'!$E$4:$E$448,'SPDR Chart'!H$1,'2025-Q1'!$F$4:$F$448,'SPDR Chart'!$C13)</f>
        <v>2</v>
      </c>
      <c r="I13" s="226">
        <f>COUNTIFS('2025-Q1'!$E$4:$E$448,'SPDR Chart'!I$1,'2025-Q1'!$F$4:$F$448,'SPDR Chart'!$C13)</f>
        <v>0</v>
      </c>
      <c r="J13" s="226">
        <f>COUNTIFS('2025-Q1'!$E$4:$E$448,'SPDR Chart'!J$1,'2025-Q1'!$F$4:$F$448,'SPDR Chart'!$C13)</f>
        <v>2</v>
      </c>
      <c r="K13" s="226">
        <f>COUNTIFS('2025-Q1'!$E$4:$E$448,'SPDR Chart'!K$1,'2025-Q1'!$F$4:$F$448,'SPDR Chart'!$C13)</f>
        <v>1</v>
      </c>
      <c r="L13" s="226">
        <f>COUNTIFS('2025-Q1'!$E$4:$E$448,'SPDR Chart'!L$1,'2025-Q1'!$F$4:$F$448,'SPDR Chart'!$C13)</f>
        <v>2</v>
      </c>
      <c r="M13" s="226">
        <f>COUNTIFS('2025-Q1'!$E$4:$E$448,'SPDR Chart'!M$1,'2025-Q1'!$F$4:$F$448,'SPDR Chart'!$C13)</f>
        <v>6</v>
      </c>
      <c r="N13" s="226">
        <f>COUNTIFS('2025-Q1'!$E$4:$E$448,'SPDR Chart'!N$1,'2025-Q1'!$F$4:$F$448,'SPDR Chart'!$C13)</f>
        <v>0</v>
      </c>
      <c r="O13" s="226">
        <f>COUNTIFS('2025-Q1'!$E$4:$E$448,'SPDR Chart'!O$1,'2025-Q1'!$F$4:$F$448,'SPDR Chart'!$C13)</f>
        <v>2</v>
      </c>
      <c r="P13" s="226">
        <f>COUNTIFS('2025-Q1'!$E$4:$E$448,'SPDR Chart'!P$1,'2025-Q1'!$F$4:$F$448,'SPDR Chart'!$C13)</f>
        <v>3</v>
      </c>
      <c r="Q13" s="226">
        <f>COUNTIFS('2025-Q1'!$E$4:$E$448,'SPDR Chart'!Q$1,'2025-Q1'!$F$4:$F$448,'SPDR Chart'!$C13)</f>
        <v>5</v>
      </c>
    </row>
    <row r="14" spans="3:17" x14ac:dyDescent="0.25">
      <c r="C14" s="46">
        <v>45688</v>
      </c>
      <c r="D14" s="226">
        <f>COUNTIFS('2025-Q1'!$E$4:$E$448,'SPDR Chart'!D$1,'2025-Q1'!$F$4:$F$448,'SPDR Chart'!$C14)</f>
        <v>2</v>
      </c>
      <c r="E14" s="226">
        <f>COUNTIFS('2025-Q1'!$E$4:$E$448,'SPDR Chart'!E$1,'2025-Q1'!$F$4:$F$448,'SPDR Chart'!$C14)</f>
        <v>3</v>
      </c>
      <c r="F14" s="226">
        <f>COUNTIFS('2025-Q1'!$E$4:$E$448,'SPDR Chart'!F$1,'2025-Q1'!$F$4:$F$448,'SPDR Chart'!$C14)</f>
        <v>1</v>
      </c>
      <c r="G14" s="226">
        <f>COUNTIFS('2025-Q1'!$E$4:$E$448,'SPDR Chart'!G$1,'2025-Q1'!$F$4:$F$448,'SPDR Chart'!$C14)</f>
        <v>2</v>
      </c>
      <c r="H14" s="226">
        <f>COUNTIFS('2025-Q1'!$E$4:$E$448,'SPDR Chart'!H$1,'2025-Q1'!$F$4:$F$448,'SPDR Chart'!$C14)</f>
        <v>3</v>
      </c>
      <c r="I14" s="226">
        <f>COUNTIFS('2025-Q1'!$E$4:$E$448,'SPDR Chart'!I$1,'2025-Q1'!$F$4:$F$448,'SPDR Chart'!$C14)</f>
        <v>0</v>
      </c>
      <c r="J14" s="226">
        <f>COUNTIFS('2025-Q1'!$E$4:$E$448,'SPDR Chart'!J$1,'2025-Q1'!$F$4:$F$448,'SPDR Chart'!$C14)</f>
        <v>0</v>
      </c>
      <c r="K14" s="226">
        <f>COUNTIFS('2025-Q1'!$E$4:$E$448,'SPDR Chart'!K$1,'2025-Q1'!$F$4:$F$448,'SPDR Chart'!$C14)</f>
        <v>1</v>
      </c>
      <c r="L14" s="226">
        <f>COUNTIFS('2025-Q1'!$E$4:$E$448,'SPDR Chart'!L$1,'2025-Q1'!$F$4:$F$448,'SPDR Chart'!$C14)</f>
        <v>0</v>
      </c>
      <c r="M14" s="226">
        <f>COUNTIFS('2025-Q1'!$E$4:$E$448,'SPDR Chart'!M$1,'2025-Q1'!$F$4:$F$448,'SPDR Chart'!$C14)</f>
        <v>1</v>
      </c>
      <c r="N14" s="226">
        <f>COUNTIFS('2025-Q1'!$E$4:$E$448,'SPDR Chart'!N$1,'2025-Q1'!$F$4:$F$448,'SPDR Chart'!$C14)</f>
        <v>0</v>
      </c>
      <c r="O14" s="226">
        <f>COUNTIFS('2025-Q1'!$E$4:$E$448,'SPDR Chart'!O$1,'2025-Q1'!$F$4:$F$448,'SPDR Chart'!$C14)</f>
        <v>0</v>
      </c>
      <c r="P14" s="226">
        <f>COUNTIFS('2025-Q1'!$E$4:$E$448,'SPDR Chart'!P$1,'2025-Q1'!$F$4:$F$448,'SPDR Chart'!$C14)</f>
        <v>1</v>
      </c>
      <c r="Q14" s="226">
        <f>COUNTIFS('2025-Q1'!$E$4:$E$448,'SPDR Chart'!Q$1,'2025-Q1'!$F$4:$F$448,'SPDR Chart'!$C14)</f>
        <v>0</v>
      </c>
    </row>
    <row r="15" spans="3:17" x14ac:dyDescent="0.25">
      <c r="C15" s="46">
        <v>45691</v>
      </c>
      <c r="D15" s="226">
        <f>COUNTIFS('2025-Q1'!$E$4:$E$448,'SPDR Chart'!D$1,'2025-Q1'!$F$4:$F$448,'SPDR Chart'!$C15)</f>
        <v>2</v>
      </c>
      <c r="E15" s="226">
        <f>COUNTIFS('2025-Q1'!$E$4:$E$448,'SPDR Chart'!E$1,'2025-Q1'!$F$4:$F$448,'SPDR Chart'!$C15)</f>
        <v>0</v>
      </c>
      <c r="F15" s="226">
        <f>COUNTIFS('2025-Q1'!$E$4:$E$448,'SPDR Chart'!F$1,'2025-Q1'!$F$4:$F$448,'SPDR Chart'!$C15)</f>
        <v>1</v>
      </c>
      <c r="G15" s="226">
        <f>COUNTIFS('2025-Q1'!$E$4:$E$448,'SPDR Chart'!G$1,'2025-Q1'!$F$4:$F$448,'SPDR Chart'!$C15)</f>
        <v>1</v>
      </c>
      <c r="H15" s="226">
        <f>COUNTIFS('2025-Q1'!$E$4:$E$448,'SPDR Chart'!H$1,'2025-Q1'!$F$4:$F$448,'SPDR Chart'!$C15)</f>
        <v>0</v>
      </c>
      <c r="I15" s="226">
        <f>COUNTIFS('2025-Q1'!$E$4:$E$448,'SPDR Chart'!I$1,'2025-Q1'!$F$4:$F$448,'SPDR Chart'!$C15)</f>
        <v>0</v>
      </c>
      <c r="J15" s="226">
        <f>COUNTIFS('2025-Q1'!$E$4:$E$448,'SPDR Chart'!J$1,'2025-Q1'!$F$4:$F$448,'SPDR Chart'!$C15)</f>
        <v>0</v>
      </c>
      <c r="K15" s="226">
        <f>COUNTIFS('2025-Q1'!$E$4:$E$448,'SPDR Chart'!K$1,'2025-Q1'!$F$4:$F$448,'SPDR Chart'!$C15)</f>
        <v>0</v>
      </c>
      <c r="L15" s="226">
        <f>COUNTIFS('2025-Q1'!$E$4:$E$448,'SPDR Chart'!L$1,'2025-Q1'!$F$4:$F$448,'SPDR Chart'!$C15)</f>
        <v>0</v>
      </c>
      <c r="M15" s="226">
        <f>COUNTIFS('2025-Q1'!$E$4:$E$448,'SPDR Chart'!M$1,'2025-Q1'!$F$4:$F$448,'SPDR Chart'!$C15)</f>
        <v>0</v>
      </c>
      <c r="N15" s="226">
        <f>COUNTIFS('2025-Q1'!$E$4:$E$448,'SPDR Chart'!N$1,'2025-Q1'!$F$4:$F$448,'SPDR Chart'!$C15)</f>
        <v>0</v>
      </c>
      <c r="O15" s="226">
        <f>COUNTIFS('2025-Q1'!$E$4:$E$448,'SPDR Chart'!O$1,'2025-Q1'!$F$4:$F$448,'SPDR Chart'!$C15)</f>
        <v>1</v>
      </c>
      <c r="P15" s="226">
        <f>COUNTIFS('2025-Q1'!$E$4:$E$448,'SPDR Chart'!P$1,'2025-Q1'!$F$4:$F$448,'SPDR Chart'!$C15)</f>
        <v>0</v>
      </c>
      <c r="Q15" s="226">
        <f>COUNTIFS('2025-Q1'!$E$4:$E$448,'SPDR Chart'!Q$1,'2025-Q1'!$F$4:$F$448,'SPDR Chart'!$C15)</f>
        <v>1</v>
      </c>
    </row>
    <row r="16" spans="3:17" x14ac:dyDescent="0.25">
      <c r="C16" s="46">
        <v>45692</v>
      </c>
      <c r="D16" s="226">
        <f>COUNTIFS('2025-Q1'!$E$4:$E$448,'SPDR Chart'!D$1,'2025-Q1'!$F$4:$F$448,'SPDR Chart'!$C16)</f>
        <v>4</v>
      </c>
      <c r="E16" s="226">
        <f>COUNTIFS('2025-Q1'!$E$4:$E$448,'SPDR Chart'!E$1,'2025-Q1'!$F$4:$F$448,'SPDR Chart'!$C16)</f>
        <v>8</v>
      </c>
      <c r="F16" s="226">
        <f>COUNTIFS('2025-Q1'!$E$4:$E$448,'SPDR Chart'!F$1,'2025-Q1'!$F$4:$F$448,'SPDR Chart'!$C16)</f>
        <v>4</v>
      </c>
      <c r="G16" s="226">
        <f>COUNTIFS('2025-Q1'!$E$4:$E$448,'SPDR Chart'!G$1,'2025-Q1'!$F$4:$F$448,'SPDR Chart'!$C16)</f>
        <v>4</v>
      </c>
      <c r="H16" s="226">
        <f>COUNTIFS('2025-Q1'!$E$4:$E$448,'SPDR Chart'!H$1,'2025-Q1'!$F$4:$F$448,'SPDR Chart'!$C16)</f>
        <v>1</v>
      </c>
      <c r="I16" s="226">
        <f>COUNTIFS('2025-Q1'!$E$4:$E$448,'SPDR Chart'!I$1,'2025-Q1'!$F$4:$F$448,'SPDR Chart'!$C16)</f>
        <v>0</v>
      </c>
      <c r="J16" s="226">
        <f>COUNTIFS('2025-Q1'!$E$4:$E$448,'SPDR Chart'!J$1,'2025-Q1'!$F$4:$F$448,'SPDR Chart'!$C16)</f>
        <v>1</v>
      </c>
      <c r="K16" s="226">
        <f>COUNTIFS('2025-Q1'!$E$4:$E$448,'SPDR Chart'!K$1,'2025-Q1'!$F$4:$F$448,'SPDR Chart'!$C16)</f>
        <v>4</v>
      </c>
      <c r="L16" s="226">
        <f>COUNTIFS('2025-Q1'!$E$4:$E$448,'SPDR Chart'!L$1,'2025-Q1'!$F$4:$F$448,'SPDR Chart'!$C16)</f>
        <v>2</v>
      </c>
      <c r="M16" s="226">
        <f>COUNTIFS('2025-Q1'!$E$4:$E$448,'SPDR Chart'!M$1,'2025-Q1'!$F$4:$F$448,'SPDR Chart'!$C16)</f>
        <v>3</v>
      </c>
      <c r="N16" s="226">
        <f>COUNTIFS('2025-Q1'!$E$4:$E$448,'SPDR Chart'!N$1,'2025-Q1'!$F$4:$F$448,'SPDR Chart'!$C16)</f>
        <v>0</v>
      </c>
      <c r="O16" s="226">
        <f>COUNTIFS('2025-Q1'!$E$4:$E$448,'SPDR Chart'!O$1,'2025-Q1'!$F$4:$F$448,'SPDR Chart'!$C16)</f>
        <v>1</v>
      </c>
      <c r="P16" s="226">
        <f>COUNTIFS('2025-Q1'!$E$4:$E$448,'SPDR Chart'!P$1,'2025-Q1'!$F$4:$F$448,'SPDR Chart'!$C16)</f>
        <v>1</v>
      </c>
      <c r="Q16" s="226">
        <f>COUNTIFS('2025-Q1'!$E$4:$E$448,'SPDR Chart'!Q$1,'2025-Q1'!$F$4:$F$448,'SPDR Chart'!$C16)</f>
        <v>5</v>
      </c>
    </row>
    <row r="17" spans="3:17" x14ac:dyDescent="0.25">
      <c r="C17" s="46">
        <v>45693</v>
      </c>
      <c r="D17" s="226">
        <f>COUNTIFS('2025-Q1'!$E$4:$E$448,'SPDR Chart'!D$1,'2025-Q1'!$F$4:$F$448,'SPDR Chart'!$C17)</f>
        <v>1</v>
      </c>
      <c r="E17" s="226">
        <f>COUNTIFS('2025-Q1'!$E$4:$E$448,'SPDR Chart'!E$1,'2025-Q1'!$F$4:$F$448,'SPDR Chart'!$C17)</f>
        <v>6</v>
      </c>
      <c r="F17" s="226">
        <f>COUNTIFS('2025-Q1'!$E$4:$E$448,'SPDR Chart'!F$1,'2025-Q1'!$F$4:$F$448,'SPDR Chart'!$C17)</f>
        <v>3</v>
      </c>
      <c r="G17" s="226">
        <f>COUNTIFS('2025-Q1'!$E$4:$E$448,'SPDR Chart'!G$1,'2025-Q1'!$F$4:$F$448,'SPDR Chart'!$C17)</f>
        <v>8</v>
      </c>
      <c r="H17" s="226">
        <f>COUNTIFS('2025-Q1'!$E$4:$E$448,'SPDR Chart'!H$1,'2025-Q1'!$F$4:$F$448,'SPDR Chart'!$C17)</f>
        <v>0</v>
      </c>
      <c r="I17" s="226">
        <f>COUNTIFS('2025-Q1'!$E$4:$E$448,'SPDR Chart'!I$1,'2025-Q1'!$F$4:$F$448,'SPDR Chart'!$C17)</f>
        <v>0</v>
      </c>
      <c r="J17" s="226">
        <f>COUNTIFS('2025-Q1'!$E$4:$E$448,'SPDR Chart'!J$1,'2025-Q1'!$F$4:$F$448,'SPDR Chart'!$C17)</f>
        <v>1</v>
      </c>
      <c r="K17" s="226">
        <f>COUNTIFS('2025-Q1'!$E$4:$E$448,'SPDR Chart'!K$1,'2025-Q1'!$F$4:$F$448,'SPDR Chart'!$C17)</f>
        <v>2</v>
      </c>
      <c r="L17" s="226">
        <f>COUNTIFS('2025-Q1'!$E$4:$E$448,'SPDR Chart'!L$1,'2025-Q1'!$F$4:$F$448,'SPDR Chart'!$C17)</f>
        <v>2</v>
      </c>
      <c r="M17" s="226">
        <f>COUNTIFS('2025-Q1'!$E$4:$E$448,'SPDR Chart'!M$1,'2025-Q1'!$F$4:$F$448,'SPDR Chart'!$C17)</f>
        <v>1</v>
      </c>
      <c r="N17" s="226">
        <f>COUNTIFS('2025-Q1'!$E$4:$E$448,'SPDR Chart'!N$1,'2025-Q1'!$F$4:$F$448,'SPDR Chart'!$C17)</f>
        <v>0</v>
      </c>
      <c r="O17" s="226">
        <f>COUNTIFS('2025-Q1'!$E$4:$E$448,'SPDR Chart'!O$1,'2025-Q1'!$F$4:$F$448,'SPDR Chart'!$C17)</f>
        <v>2</v>
      </c>
      <c r="P17" s="226">
        <f>COUNTIFS('2025-Q1'!$E$4:$E$448,'SPDR Chart'!P$1,'2025-Q1'!$F$4:$F$448,'SPDR Chart'!$C17)</f>
        <v>4</v>
      </c>
      <c r="Q17" s="226">
        <f>COUNTIFS('2025-Q1'!$E$4:$E$448,'SPDR Chart'!Q$1,'2025-Q1'!$F$4:$F$448,'SPDR Chart'!$C17)</f>
        <v>3</v>
      </c>
    </row>
    <row r="18" spans="3:17" x14ac:dyDescent="0.25">
      <c r="C18" s="46">
        <v>45694</v>
      </c>
      <c r="D18" s="226">
        <f>COUNTIFS('2025-Q1'!$E$4:$E$448,'SPDR Chart'!D$1,'2025-Q1'!$F$4:$F$448,'SPDR Chart'!$C18)</f>
        <v>3</v>
      </c>
      <c r="E18" s="226">
        <f>COUNTIFS('2025-Q1'!$E$4:$E$448,'SPDR Chart'!E$1,'2025-Q1'!$F$4:$F$448,'SPDR Chart'!$C18)</f>
        <v>4</v>
      </c>
      <c r="F18" s="226">
        <f>COUNTIFS('2025-Q1'!$E$4:$E$448,'SPDR Chart'!F$1,'2025-Q1'!$F$4:$F$448,'SPDR Chart'!$C18)</f>
        <v>3</v>
      </c>
      <c r="G18" s="226">
        <f>COUNTIFS('2025-Q1'!$E$4:$E$448,'SPDR Chart'!G$1,'2025-Q1'!$F$4:$F$448,'SPDR Chart'!$C18)</f>
        <v>7</v>
      </c>
      <c r="H18" s="226">
        <f>COUNTIFS('2025-Q1'!$E$4:$E$448,'SPDR Chart'!H$1,'2025-Q1'!$F$4:$F$448,'SPDR Chart'!$C18)</f>
        <v>1</v>
      </c>
      <c r="I18" s="226">
        <f>COUNTIFS('2025-Q1'!$E$4:$E$448,'SPDR Chart'!I$1,'2025-Q1'!$F$4:$F$448,'SPDR Chart'!$C18)</f>
        <v>0</v>
      </c>
      <c r="J18" s="226">
        <f>COUNTIFS('2025-Q1'!$E$4:$E$448,'SPDR Chart'!J$1,'2025-Q1'!$F$4:$F$448,'SPDR Chart'!$C18)</f>
        <v>9</v>
      </c>
      <c r="K18" s="226">
        <f>COUNTIFS('2025-Q1'!$E$4:$E$448,'SPDR Chart'!K$1,'2025-Q1'!$F$4:$F$448,'SPDR Chart'!$C18)</f>
        <v>0</v>
      </c>
      <c r="L18" s="226">
        <f>COUNTIFS('2025-Q1'!$E$4:$E$448,'SPDR Chart'!L$1,'2025-Q1'!$F$4:$F$448,'SPDR Chart'!$C18)</f>
        <v>1</v>
      </c>
      <c r="M18" s="226">
        <f>COUNTIFS('2025-Q1'!$E$4:$E$448,'SPDR Chart'!M$1,'2025-Q1'!$F$4:$F$448,'SPDR Chart'!$C18)</f>
        <v>2</v>
      </c>
      <c r="N18" s="226">
        <f>COUNTIFS('2025-Q1'!$E$4:$E$448,'SPDR Chart'!N$1,'2025-Q1'!$F$4:$F$448,'SPDR Chart'!$C18)</f>
        <v>0</v>
      </c>
      <c r="O18" s="226">
        <f>COUNTIFS('2025-Q1'!$E$4:$E$448,'SPDR Chart'!O$1,'2025-Q1'!$F$4:$F$448,'SPDR Chart'!$C18)</f>
        <v>2</v>
      </c>
      <c r="P18" s="226">
        <f>COUNTIFS('2025-Q1'!$E$4:$E$448,'SPDR Chart'!P$1,'2025-Q1'!$F$4:$F$448,'SPDR Chart'!$C18)</f>
        <v>1</v>
      </c>
      <c r="Q18" s="226">
        <f>COUNTIFS('2025-Q1'!$E$4:$E$448,'SPDR Chart'!Q$1,'2025-Q1'!$F$4:$F$448,'SPDR Chart'!$C18)</f>
        <v>2</v>
      </c>
    </row>
    <row r="19" spans="3:17" x14ac:dyDescent="0.25">
      <c r="C19" s="46">
        <v>45695</v>
      </c>
      <c r="D19" s="226">
        <f>COUNTIFS('2025-Q1'!$E$4:$E$448,'SPDR Chart'!D$1,'2025-Q1'!$F$4:$F$448,'SPDR Chart'!$C19)</f>
        <v>0</v>
      </c>
      <c r="E19" s="226">
        <f>COUNTIFS('2025-Q1'!$E$4:$E$448,'SPDR Chart'!E$1,'2025-Q1'!$F$4:$F$448,'SPDR Chart'!$C19)</f>
        <v>1</v>
      </c>
      <c r="F19" s="226">
        <f>COUNTIFS('2025-Q1'!$E$4:$E$448,'SPDR Chart'!F$1,'2025-Q1'!$F$4:$F$448,'SPDR Chart'!$C19)</f>
        <v>0</v>
      </c>
      <c r="G19" s="226">
        <f>COUNTIFS('2025-Q1'!$E$4:$E$448,'SPDR Chart'!G$1,'2025-Q1'!$F$4:$F$448,'SPDR Chart'!$C19)</f>
        <v>0</v>
      </c>
      <c r="H19" s="226">
        <f>COUNTIFS('2025-Q1'!$E$4:$E$448,'SPDR Chart'!H$1,'2025-Q1'!$F$4:$F$448,'SPDR Chart'!$C19)</f>
        <v>0</v>
      </c>
      <c r="I19" s="226">
        <f>COUNTIFS('2025-Q1'!$E$4:$E$448,'SPDR Chart'!I$1,'2025-Q1'!$F$4:$F$448,'SPDR Chart'!$C19)</f>
        <v>0</v>
      </c>
      <c r="J19" s="226">
        <f>COUNTIFS('2025-Q1'!$E$4:$E$448,'SPDR Chart'!J$1,'2025-Q1'!$F$4:$F$448,'SPDR Chart'!$C19)</f>
        <v>0</v>
      </c>
      <c r="K19" s="226">
        <f>COUNTIFS('2025-Q1'!$E$4:$E$448,'SPDR Chart'!K$1,'2025-Q1'!$F$4:$F$448,'SPDR Chart'!$C19)</f>
        <v>0</v>
      </c>
      <c r="L19" s="226">
        <f>COUNTIFS('2025-Q1'!$E$4:$E$448,'SPDR Chart'!L$1,'2025-Q1'!$F$4:$F$448,'SPDR Chart'!$C19)</f>
        <v>0</v>
      </c>
      <c r="M19" s="226">
        <f>COUNTIFS('2025-Q1'!$E$4:$E$448,'SPDR Chart'!M$1,'2025-Q1'!$F$4:$F$448,'SPDR Chart'!$C19)</f>
        <v>0</v>
      </c>
      <c r="N19" s="226">
        <f>COUNTIFS('2025-Q1'!$E$4:$E$448,'SPDR Chart'!N$1,'2025-Q1'!$F$4:$F$448,'SPDR Chart'!$C19)</f>
        <v>0</v>
      </c>
      <c r="O19" s="226">
        <f>COUNTIFS('2025-Q1'!$E$4:$E$448,'SPDR Chart'!O$1,'2025-Q1'!$F$4:$F$448,'SPDR Chart'!$C19)</f>
        <v>0</v>
      </c>
      <c r="P19" s="226">
        <f>COUNTIFS('2025-Q1'!$E$4:$E$448,'SPDR Chart'!P$1,'2025-Q1'!$F$4:$F$448,'SPDR Chart'!$C19)</f>
        <v>0</v>
      </c>
      <c r="Q19" s="226">
        <f>COUNTIFS('2025-Q1'!$E$4:$E$448,'SPDR Chart'!Q$1,'2025-Q1'!$F$4:$F$448,'SPDR Chart'!$C19)</f>
        <v>0</v>
      </c>
    </row>
    <row r="20" spans="3:17" x14ac:dyDescent="0.25">
      <c r="C20" s="46">
        <v>45698</v>
      </c>
      <c r="D20" s="226">
        <f>COUNTIFS('2025-Q1'!$E$4:$E$448,'SPDR Chart'!D$1,'2025-Q1'!$F$4:$F$448,'SPDR Chart'!$C20)</f>
        <v>0</v>
      </c>
      <c r="E20" s="226">
        <f>COUNTIFS('2025-Q1'!$E$4:$E$448,'SPDR Chart'!E$1,'2025-Q1'!$F$4:$F$448,'SPDR Chart'!$C20)</f>
        <v>0</v>
      </c>
      <c r="F20" s="226">
        <f>COUNTIFS('2025-Q1'!$E$4:$E$448,'SPDR Chart'!F$1,'2025-Q1'!$F$4:$F$448,'SPDR Chart'!$C20)</f>
        <v>0</v>
      </c>
      <c r="G20" s="226">
        <f>COUNTIFS('2025-Q1'!$E$4:$E$448,'SPDR Chart'!G$1,'2025-Q1'!$F$4:$F$448,'SPDR Chart'!$C20)</f>
        <v>1</v>
      </c>
      <c r="H20" s="226">
        <f>COUNTIFS('2025-Q1'!$E$4:$E$448,'SPDR Chart'!H$1,'2025-Q1'!$F$4:$F$448,'SPDR Chart'!$C20)</f>
        <v>0</v>
      </c>
      <c r="I20" s="226">
        <f>COUNTIFS('2025-Q1'!$E$4:$E$448,'SPDR Chart'!I$1,'2025-Q1'!$F$4:$F$448,'SPDR Chart'!$C20)</f>
        <v>0</v>
      </c>
      <c r="J20" s="226">
        <f>COUNTIFS('2025-Q1'!$E$4:$E$448,'SPDR Chart'!J$1,'2025-Q1'!$F$4:$F$448,'SPDR Chart'!$C20)</f>
        <v>1</v>
      </c>
      <c r="K20" s="226">
        <f>COUNTIFS('2025-Q1'!$E$4:$E$448,'SPDR Chart'!K$1,'2025-Q1'!$F$4:$F$448,'SPDR Chart'!$C20)</f>
        <v>0</v>
      </c>
      <c r="L20" s="226">
        <f>COUNTIFS('2025-Q1'!$E$4:$E$448,'SPDR Chart'!L$1,'2025-Q1'!$F$4:$F$448,'SPDR Chart'!$C20)</f>
        <v>0</v>
      </c>
      <c r="M20" s="226">
        <f>COUNTIFS('2025-Q1'!$E$4:$E$448,'SPDR Chart'!M$1,'2025-Q1'!$F$4:$F$448,'SPDR Chart'!$C20)</f>
        <v>0</v>
      </c>
      <c r="N20" s="226">
        <f>COUNTIFS('2025-Q1'!$E$4:$E$448,'SPDR Chart'!N$1,'2025-Q1'!$F$4:$F$448,'SPDR Chart'!$C20)</f>
        <v>0</v>
      </c>
      <c r="O20" s="226">
        <f>COUNTIFS('2025-Q1'!$E$4:$E$448,'SPDR Chart'!O$1,'2025-Q1'!$F$4:$F$448,'SPDR Chart'!$C20)</f>
        <v>1</v>
      </c>
      <c r="P20" s="226">
        <f>COUNTIFS('2025-Q1'!$E$4:$E$448,'SPDR Chart'!P$1,'2025-Q1'!$F$4:$F$448,'SPDR Chart'!$C20)</f>
        <v>3</v>
      </c>
      <c r="Q20" s="226">
        <f>COUNTIFS('2025-Q1'!$E$4:$E$448,'SPDR Chart'!Q$1,'2025-Q1'!$F$4:$F$448,'SPDR Chart'!$C20)</f>
        <v>0</v>
      </c>
    </row>
    <row r="21" spans="3:17" x14ac:dyDescent="0.25">
      <c r="C21" s="46">
        <v>45699</v>
      </c>
      <c r="D21" s="226">
        <f>COUNTIFS('2025-Q1'!$E$4:$E$448,'SPDR Chart'!D$1,'2025-Q1'!$F$4:$F$448,'SPDR Chart'!$C21)</f>
        <v>1</v>
      </c>
      <c r="E21" s="226">
        <f>COUNTIFS('2025-Q1'!$E$4:$E$448,'SPDR Chart'!E$1,'2025-Q1'!$F$4:$F$448,'SPDR Chart'!$C21)</f>
        <v>1</v>
      </c>
      <c r="F21" s="226">
        <f>COUNTIFS('2025-Q1'!$E$4:$E$448,'SPDR Chart'!F$1,'2025-Q1'!$F$4:$F$448,'SPDR Chart'!$C21)</f>
        <v>2</v>
      </c>
      <c r="G21" s="226">
        <f>COUNTIFS('2025-Q1'!$E$4:$E$448,'SPDR Chart'!G$1,'2025-Q1'!$F$4:$F$448,'SPDR Chart'!$C21)</f>
        <v>2</v>
      </c>
      <c r="H21" s="226">
        <f>COUNTIFS('2025-Q1'!$E$4:$E$448,'SPDR Chart'!H$1,'2025-Q1'!$F$4:$F$448,'SPDR Chart'!$C21)</f>
        <v>0</v>
      </c>
      <c r="I21" s="226">
        <f>COUNTIFS('2025-Q1'!$E$4:$E$448,'SPDR Chart'!I$1,'2025-Q1'!$F$4:$F$448,'SPDR Chart'!$C21)</f>
        <v>0</v>
      </c>
      <c r="J21" s="226">
        <f>COUNTIFS('2025-Q1'!$E$4:$E$448,'SPDR Chart'!J$1,'2025-Q1'!$F$4:$F$448,'SPDR Chart'!$C21)</f>
        <v>1</v>
      </c>
      <c r="K21" s="226">
        <f>COUNTIFS('2025-Q1'!$E$4:$E$448,'SPDR Chart'!K$1,'2025-Q1'!$F$4:$F$448,'SPDR Chart'!$C21)</f>
        <v>0</v>
      </c>
      <c r="L21" s="226">
        <f>COUNTIFS('2025-Q1'!$E$4:$E$448,'SPDR Chart'!L$1,'2025-Q1'!$F$4:$F$448,'SPDR Chart'!$C21)</f>
        <v>0</v>
      </c>
      <c r="M21" s="226">
        <f>COUNTIFS('2025-Q1'!$E$4:$E$448,'SPDR Chart'!M$1,'2025-Q1'!$F$4:$F$448,'SPDR Chart'!$C21)</f>
        <v>2</v>
      </c>
      <c r="N21" s="226">
        <f>COUNTIFS('2025-Q1'!$E$4:$E$448,'SPDR Chart'!N$1,'2025-Q1'!$F$4:$F$448,'SPDR Chart'!$C21)</f>
        <v>0</v>
      </c>
      <c r="O21" s="226">
        <f>COUNTIFS('2025-Q1'!$E$4:$E$448,'SPDR Chart'!O$1,'2025-Q1'!$F$4:$F$448,'SPDR Chart'!$C21)</f>
        <v>0</v>
      </c>
      <c r="P21" s="226">
        <f>COUNTIFS('2025-Q1'!$E$4:$E$448,'SPDR Chart'!P$1,'2025-Q1'!$F$4:$F$448,'SPDR Chart'!$C21)</f>
        <v>2</v>
      </c>
      <c r="Q21" s="226">
        <f>COUNTIFS('2025-Q1'!$E$4:$E$448,'SPDR Chart'!Q$1,'2025-Q1'!$F$4:$F$448,'SPDR Chart'!$C21)</f>
        <v>2</v>
      </c>
    </row>
    <row r="22" spans="3:17" x14ac:dyDescent="0.25">
      <c r="C22" s="46">
        <v>45700</v>
      </c>
      <c r="D22" s="226">
        <f>COUNTIFS('2025-Q1'!$E$4:$E$448,'SPDR Chart'!D$1,'2025-Q1'!$F$4:$F$448,'SPDR Chart'!$C22)</f>
        <v>1</v>
      </c>
      <c r="E22" s="226">
        <f>COUNTIFS('2025-Q1'!$E$4:$E$448,'SPDR Chart'!E$1,'2025-Q1'!$F$4:$F$448,'SPDR Chart'!$C22)</f>
        <v>4</v>
      </c>
      <c r="F22" s="226">
        <f>COUNTIFS('2025-Q1'!$E$4:$E$448,'SPDR Chart'!F$1,'2025-Q1'!$F$4:$F$448,'SPDR Chart'!$C22)</f>
        <v>1</v>
      </c>
      <c r="G22" s="226">
        <f>COUNTIFS('2025-Q1'!$E$4:$E$448,'SPDR Chart'!G$1,'2025-Q1'!$F$4:$F$448,'SPDR Chart'!$C22)</f>
        <v>3</v>
      </c>
      <c r="H22" s="226">
        <f>COUNTIFS('2025-Q1'!$E$4:$E$448,'SPDR Chart'!H$1,'2025-Q1'!$F$4:$F$448,'SPDR Chart'!$C22)</f>
        <v>1</v>
      </c>
      <c r="I22" s="226">
        <f>COUNTIFS('2025-Q1'!$E$4:$E$448,'SPDR Chart'!I$1,'2025-Q1'!$F$4:$F$448,'SPDR Chart'!$C22)</f>
        <v>0</v>
      </c>
      <c r="J22" s="226">
        <f>COUNTIFS('2025-Q1'!$E$4:$E$448,'SPDR Chart'!J$1,'2025-Q1'!$F$4:$F$448,'SPDR Chart'!$C22)</f>
        <v>1</v>
      </c>
      <c r="K22" s="226">
        <f>COUNTIFS('2025-Q1'!$E$4:$E$448,'SPDR Chart'!K$1,'2025-Q1'!$F$4:$F$448,'SPDR Chart'!$C22)</f>
        <v>1</v>
      </c>
      <c r="L22" s="226">
        <f>COUNTIFS('2025-Q1'!$E$4:$E$448,'SPDR Chart'!L$1,'2025-Q1'!$F$4:$F$448,'SPDR Chart'!$C22)</f>
        <v>1</v>
      </c>
      <c r="M22" s="226">
        <f>COUNTIFS('2025-Q1'!$E$4:$E$448,'SPDR Chart'!M$1,'2025-Q1'!$F$4:$F$448,'SPDR Chart'!$C22)</f>
        <v>3</v>
      </c>
      <c r="N22" s="226">
        <f>COUNTIFS('2025-Q1'!$E$4:$E$448,'SPDR Chart'!N$1,'2025-Q1'!$F$4:$F$448,'SPDR Chart'!$C22)</f>
        <v>0</v>
      </c>
      <c r="O22" s="226">
        <f>COUNTIFS('2025-Q1'!$E$4:$E$448,'SPDR Chart'!O$1,'2025-Q1'!$F$4:$F$448,'SPDR Chart'!$C22)</f>
        <v>0</v>
      </c>
      <c r="P22" s="226">
        <f>COUNTIFS('2025-Q1'!$E$4:$E$448,'SPDR Chart'!P$1,'2025-Q1'!$F$4:$F$448,'SPDR Chart'!$C22)</f>
        <v>0</v>
      </c>
      <c r="Q22" s="226">
        <f>COUNTIFS('2025-Q1'!$E$4:$E$448,'SPDR Chart'!Q$1,'2025-Q1'!$F$4:$F$448,'SPDR Chart'!$C22)</f>
        <v>1</v>
      </c>
    </row>
    <row r="23" spans="3:17" x14ac:dyDescent="0.25">
      <c r="C23" s="46">
        <v>45701</v>
      </c>
      <c r="D23" s="226">
        <f>COUNTIFS('2025-Q1'!$E$4:$E$448,'SPDR Chart'!D$1,'2025-Q1'!$F$4:$F$448,'SPDR Chart'!$C23)</f>
        <v>1</v>
      </c>
      <c r="E23" s="226">
        <f>COUNTIFS('2025-Q1'!$E$4:$E$448,'SPDR Chart'!E$1,'2025-Q1'!$F$4:$F$448,'SPDR Chart'!$C23)</f>
        <v>4</v>
      </c>
      <c r="F23" s="226">
        <f>COUNTIFS('2025-Q1'!$E$4:$E$448,'SPDR Chart'!F$1,'2025-Q1'!$F$4:$F$448,'SPDR Chart'!$C23)</f>
        <v>2</v>
      </c>
      <c r="G23" s="226">
        <f>COUNTIFS('2025-Q1'!$E$4:$E$448,'SPDR Chart'!G$1,'2025-Q1'!$F$4:$F$448,'SPDR Chart'!$C23)</f>
        <v>5</v>
      </c>
      <c r="H23" s="226">
        <f>COUNTIFS('2025-Q1'!$E$4:$E$448,'SPDR Chart'!H$1,'2025-Q1'!$F$4:$F$448,'SPDR Chart'!$C23)</f>
        <v>0</v>
      </c>
      <c r="I23" s="226">
        <f>COUNTIFS('2025-Q1'!$E$4:$E$448,'SPDR Chart'!I$1,'2025-Q1'!$F$4:$F$448,'SPDR Chart'!$C23)</f>
        <v>0</v>
      </c>
      <c r="J23" s="226">
        <f>COUNTIFS('2025-Q1'!$E$4:$E$448,'SPDR Chart'!J$1,'2025-Q1'!$F$4:$F$448,'SPDR Chart'!$C23)</f>
        <v>2</v>
      </c>
      <c r="K23" s="226">
        <f>COUNTIFS('2025-Q1'!$E$4:$E$448,'SPDR Chart'!K$1,'2025-Q1'!$F$4:$F$448,'SPDR Chart'!$C23)</f>
        <v>0</v>
      </c>
      <c r="L23" s="226">
        <f>COUNTIFS('2025-Q1'!$E$4:$E$448,'SPDR Chart'!L$1,'2025-Q1'!$F$4:$F$448,'SPDR Chart'!$C23)</f>
        <v>3</v>
      </c>
      <c r="M23" s="226">
        <f>COUNTIFS('2025-Q1'!$E$4:$E$448,'SPDR Chart'!M$1,'2025-Q1'!$F$4:$F$448,'SPDR Chart'!$C23)</f>
        <v>0</v>
      </c>
      <c r="N23" s="226">
        <f>COUNTIFS('2025-Q1'!$E$4:$E$448,'SPDR Chart'!N$1,'2025-Q1'!$F$4:$F$448,'SPDR Chart'!$C23)</f>
        <v>0</v>
      </c>
      <c r="O23" s="226">
        <f>COUNTIFS('2025-Q1'!$E$4:$E$448,'SPDR Chart'!O$1,'2025-Q1'!$F$4:$F$448,'SPDR Chart'!$C23)</f>
        <v>1</v>
      </c>
      <c r="P23" s="226">
        <f>COUNTIFS('2025-Q1'!$E$4:$E$448,'SPDR Chart'!P$1,'2025-Q1'!$F$4:$F$448,'SPDR Chart'!$C23)</f>
        <v>0</v>
      </c>
      <c r="Q23" s="226">
        <f>COUNTIFS('2025-Q1'!$E$4:$E$448,'SPDR Chart'!Q$1,'2025-Q1'!$F$4:$F$448,'SPDR Chart'!$C23)</f>
        <v>3</v>
      </c>
    </row>
    <row r="24" spans="3:17" x14ac:dyDescent="0.25">
      <c r="C24" s="46">
        <v>45702</v>
      </c>
      <c r="D24" s="226">
        <f>COUNTIFS('2025-Q1'!$E$4:$E$448,'SPDR Chart'!D$1,'2025-Q1'!$F$4:$F$448,'SPDR Chart'!$C24)</f>
        <v>0</v>
      </c>
      <c r="E24" s="226">
        <f>COUNTIFS('2025-Q1'!$E$4:$E$448,'SPDR Chart'!E$1,'2025-Q1'!$F$4:$F$448,'SPDR Chart'!$C24)</f>
        <v>0</v>
      </c>
      <c r="F24" s="226">
        <f>COUNTIFS('2025-Q1'!$E$4:$E$448,'SPDR Chart'!F$1,'2025-Q1'!$F$4:$F$448,'SPDR Chart'!$C24)</f>
        <v>0</v>
      </c>
      <c r="G24" s="226">
        <f>COUNTIFS('2025-Q1'!$E$4:$E$448,'SPDR Chart'!G$1,'2025-Q1'!$F$4:$F$448,'SPDR Chart'!$C24)</f>
        <v>1</v>
      </c>
      <c r="H24" s="226">
        <f>COUNTIFS('2025-Q1'!$E$4:$E$448,'SPDR Chart'!H$1,'2025-Q1'!$F$4:$F$448,'SPDR Chart'!$C24)</f>
        <v>0</v>
      </c>
      <c r="I24" s="226">
        <f>COUNTIFS('2025-Q1'!$E$4:$E$448,'SPDR Chart'!I$1,'2025-Q1'!$F$4:$F$448,'SPDR Chart'!$C24)</f>
        <v>0</v>
      </c>
      <c r="J24" s="226">
        <f>COUNTIFS('2025-Q1'!$E$4:$E$448,'SPDR Chart'!J$1,'2025-Q1'!$F$4:$F$448,'SPDR Chart'!$C24)</f>
        <v>0</v>
      </c>
      <c r="K24" s="226">
        <f>COUNTIFS('2025-Q1'!$E$4:$E$448,'SPDR Chart'!K$1,'2025-Q1'!$F$4:$F$448,'SPDR Chart'!$C24)</f>
        <v>0</v>
      </c>
      <c r="L24" s="226">
        <f>COUNTIFS('2025-Q1'!$E$4:$E$448,'SPDR Chart'!L$1,'2025-Q1'!$F$4:$F$448,'SPDR Chart'!$C24)</f>
        <v>0</v>
      </c>
      <c r="M24" s="226">
        <f>COUNTIFS('2025-Q1'!$E$4:$E$448,'SPDR Chart'!M$1,'2025-Q1'!$F$4:$F$448,'SPDR Chart'!$C24)</f>
        <v>0</v>
      </c>
      <c r="N24" s="226">
        <f>COUNTIFS('2025-Q1'!$E$4:$E$448,'SPDR Chart'!N$1,'2025-Q1'!$F$4:$F$448,'SPDR Chart'!$C24)</f>
        <v>0</v>
      </c>
      <c r="O24" s="226">
        <f>COUNTIFS('2025-Q1'!$E$4:$E$448,'SPDR Chart'!O$1,'2025-Q1'!$F$4:$F$448,'SPDR Chart'!$C24)</f>
        <v>0</v>
      </c>
      <c r="P24" s="226">
        <f>COUNTIFS('2025-Q1'!$E$4:$E$448,'SPDR Chart'!P$1,'2025-Q1'!$F$4:$F$448,'SPDR Chart'!$C24)</f>
        <v>0</v>
      </c>
      <c r="Q24" s="226">
        <f>COUNTIFS('2025-Q1'!$E$4:$E$448,'SPDR Chart'!Q$1,'2025-Q1'!$F$4:$F$448,'SPDR Chart'!$C24)</f>
        <v>0</v>
      </c>
    </row>
    <row r="25" spans="3:17" x14ac:dyDescent="0.25">
      <c r="C25" s="46">
        <v>45705</v>
      </c>
      <c r="D25" s="226">
        <f>COUNTIFS('2025-Q1'!$E$4:$E$448,'SPDR Chart'!D$1,'2025-Q1'!$F$4:$F$448,'SPDR Chart'!$C25)</f>
        <v>0</v>
      </c>
      <c r="E25" s="226">
        <f>COUNTIFS('2025-Q1'!$E$4:$E$448,'SPDR Chart'!E$1,'2025-Q1'!$F$4:$F$448,'SPDR Chart'!$C25)</f>
        <v>0</v>
      </c>
      <c r="F25" s="226">
        <f>COUNTIFS('2025-Q1'!$E$4:$E$448,'SPDR Chart'!F$1,'2025-Q1'!$F$4:$F$448,'SPDR Chart'!$C25)</f>
        <v>0</v>
      </c>
      <c r="G25" s="226">
        <f>COUNTIFS('2025-Q1'!$E$4:$E$448,'SPDR Chart'!G$1,'2025-Q1'!$F$4:$F$448,'SPDR Chart'!$C25)</f>
        <v>0</v>
      </c>
      <c r="H25" s="226">
        <f>COUNTIFS('2025-Q1'!$E$4:$E$448,'SPDR Chart'!H$1,'2025-Q1'!$F$4:$F$448,'SPDR Chart'!$C25)</f>
        <v>0</v>
      </c>
      <c r="I25" s="226">
        <f>COUNTIFS('2025-Q1'!$E$4:$E$448,'SPDR Chart'!I$1,'2025-Q1'!$F$4:$F$448,'SPDR Chart'!$C25)</f>
        <v>0</v>
      </c>
      <c r="J25" s="226">
        <f>COUNTIFS('2025-Q1'!$E$4:$E$448,'SPDR Chart'!J$1,'2025-Q1'!$F$4:$F$448,'SPDR Chart'!$C25)</f>
        <v>0</v>
      </c>
      <c r="K25" s="226">
        <f>COUNTIFS('2025-Q1'!$E$4:$E$448,'SPDR Chart'!K$1,'2025-Q1'!$F$4:$F$448,'SPDR Chart'!$C25)</f>
        <v>0</v>
      </c>
      <c r="L25" s="226">
        <f>COUNTIFS('2025-Q1'!$E$4:$E$448,'SPDR Chart'!L$1,'2025-Q1'!$F$4:$F$448,'SPDR Chart'!$C25)</f>
        <v>0</v>
      </c>
      <c r="M25" s="226">
        <f>COUNTIFS('2025-Q1'!$E$4:$E$448,'SPDR Chart'!M$1,'2025-Q1'!$F$4:$F$448,'SPDR Chart'!$C25)</f>
        <v>0</v>
      </c>
      <c r="N25" s="226">
        <f>COUNTIFS('2025-Q1'!$E$4:$E$448,'SPDR Chart'!N$1,'2025-Q1'!$F$4:$F$448,'SPDR Chart'!$C25)</f>
        <v>0</v>
      </c>
      <c r="O25" s="226">
        <f>COUNTIFS('2025-Q1'!$E$4:$E$448,'SPDR Chart'!O$1,'2025-Q1'!$F$4:$F$448,'SPDR Chart'!$C25)</f>
        <v>0</v>
      </c>
      <c r="P25" s="226">
        <f>COUNTIFS('2025-Q1'!$E$4:$E$448,'SPDR Chart'!P$1,'2025-Q1'!$F$4:$F$448,'SPDR Chart'!$C25)</f>
        <v>0</v>
      </c>
      <c r="Q25" s="226">
        <f>COUNTIFS('2025-Q1'!$E$4:$E$448,'SPDR Chart'!Q$1,'2025-Q1'!$F$4:$F$448,'SPDR Chart'!$C25)</f>
        <v>0</v>
      </c>
    </row>
    <row r="26" spans="3:17" x14ac:dyDescent="0.25">
      <c r="C26" s="46">
        <v>45706</v>
      </c>
      <c r="D26" s="226">
        <f>COUNTIFS('2025-Q1'!$E$4:$E$448,'SPDR Chart'!D$1,'2025-Q1'!$F$4:$F$448,'SPDR Chart'!$C26)</f>
        <v>0</v>
      </c>
      <c r="E26" s="226">
        <f>COUNTIFS('2025-Q1'!$E$4:$E$448,'SPDR Chart'!E$1,'2025-Q1'!$F$4:$F$448,'SPDR Chart'!$C26)</f>
        <v>1</v>
      </c>
      <c r="F26" s="226">
        <f>COUNTIFS('2025-Q1'!$E$4:$E$448,'SPDR Chart'!F$1,'2025-Q1'!$F$4:$F$448,'SPDR Chart'!$C26)</f>
        <v>0</v>
      </c>
      <c r="G26" s="226">
        <f>COUNTIFS('2025-Q1'!$E$4:$E$448,'SPDR Chart'!G$1,'2025-Q1'!$F$4:$F$448,'SPDR Chart'!$C26)</f>
        <v>1</v>
      </c>
      <c r="H26" s="226">
        <f>COUNTIFS('2025-Q1'!$E$4:$E$448,'SPDR Chart'!H$1,'2025-Q1'!$F$4:$F$448,'SPDR Chart'!$C26)</f>
        <v>1</v>
      </c>
      <c r="I26" s="226">
        <f>COUNTIFS('2025-Q1'!$E$4:$E$448,'SPDR Chart'!I$1,'2025-Q1'!$F$4:$F$448,'SPDR Chart'!$C26)</f>
        <v>0</v>
      </c>
      <c r="J26" s="226">
        <f>COUNTIFS('2025-Q1'!$E$4:$E$448,'SPDR Chart'!J$1,'2025-Q1'!$F$4:$F$448,'SPDR Chart'!$C26)</f>
        <v>1</v>
      </c>
      <c r="K26" s="226">
        <f>COUNTIFS('2025-Q1'!$E$4:$E$448,'SPDR Chart'!K$1,'2025-Q1'!$F$4:$F$448,'SPDR Chart'!$C26)</f>
        <v>0</v>
      </c>
      <c r="L26" s="226">
        <f>COUNTIFS('2025-Q1'!$E$4:$E$448,'SPDR Chart'!L$1,'2025-Q1'!$F$4:$F$448,'SPDR Chart'!$C26)</f>
        <v>1</v>
      </c>
      <c r="M26" s="226">
        <f>COUNTIFS('2025-Q1'!$E$4:$E$448,'SPDR Chart'!M$1,'2025-Q1'!$F$4:$F$448,'SPDR Chart'!$C26)</f>
        <v>3</v>
      </c>
      <c r="N26" s="226">
        <f>COUNTIFS('2025-Q1'!$E$4:$E$448,'SPDR Chart'!N$1,'2025-Q1'!$F$4:$F$448,'SPDR Chart'!$C26)</f>
        <v>0</v>
      </c>
      <c r="O26" s="226">
        <f>COUNTIFS('2025-Q1'!$E$4:$E$448,'SPDR Chart'!O$1,'2025-Q1'!$F$4:$F$448,'SPDR Chart'!$C26)</f>
        <v>1</v>
      </c>
      <c r="P26" s="226">
        <f>COUNTIFS('2025-Q1'!$E$4:$E$448,'SPDR Chart'!P$1,'2025-Q1'!$F$4:$F$448,'SPDR Chart'!$C26)</f>
        <v>0</v>
      </c>
      <c r="Q26" s="226">
        <f>COUNTIFS('2025-Q1'!$E$4:$E$448,'SPDR Chart'!Q$1,'2025-Q1'!$F$4:$F$448,'SPDR Chart'!$C26)</f>
        <v>0</v>
      </c>
    </row>
    <row r="27" spans="3:17" x14ac:dyDescent="0.25">
      <c r="C27" s="46">
        <v>45707</v>
      </c>
      <c r="D27" s="226">
        <f>COUNTIFS('2025-Q1'!$E$4:$E$448,'SPDR Chart'!D$1,'2025-Q1'!$F$4:$F$448,'SPDR Chart'!$C27)</f>
        <v>0</v>
      </c>
      <c r="E27" s="226">
        <f>COUNTIFS('2025-Q1'!$E$4:$E$448,'SPDR Chart'!E$1,'2025-Q1'!$F$4:$F$448,'SPDR Chart'!$C27)</f>
        <v>1</v>
      </c>
      <c r="F27" s="226">
        <f>COUNTIFS('2025-Q1'!$E$4:$E$448,'SPDR Chart'!F$1,'2025-Q1'!$F$4:$F$448,'SPDR Chart'!$C27)</f>
        <v>0</v>
      </c>
      <c r="G27" s="226">
        <f>COUNTIFS('2025-Q1'!$E$4:$E$448,'SPDR Chart'!G$1,'2025-Q1'!$F$4:$F$448,'SPDR Chart'!$C27)</f>
        <v>1</v>
      </c>
      <c r="H27" s="226">
        <f>COUNTIFS('2025-Q1'!$E$4:$E$448,'SPDR Chart'!H$1,'2025-Q1'!$F$4:$F$448,'SPDR Chart'!$C27)</f>
        <v>0</v>
      </c>
      <c r="I27" s="226">
        <f>COUNTIFS('2025-Q1'!$E$4:$E$448,'SPDR Chart'!I$1,'2025-Q1'!$F$4:$F$448,'SPDR Chart'!$C27)</f>
        <v>0</v>
      </c>
      <c r="J27" s="226">
        <f>COUNTIFS('2025-Q1'!$E$4:$E$448,'SPDR Chart'!J$1,'2025-Q1'!$F$4:$F$448,'SPDR Chart'!$C27)</f>
        <v>1</v>
      </c>
      <c r="K27" s="226">
        <f>COUNTIFS('2025-Q1'!$E$4:$E$448,'SPDR Chart'!K$1,'2025-Q1'!$F$4:$F$448,'SPDR Chart'!$C27)</f>
        <v>0</v>
      </c>
      <c r="L27" s="226">
        <f>COUNTIFS('2025-Q1'!$E$4:$E$448,'SPDR Chart'!L$1,'2025-Q1'!$F$4:$F$448,'SPDR Chart'!$C27)</f>
        <v>1</v>
      </c>
      <c r="M27" s="226">
        <f>COUNTIFS('2025-Q1'!$E$4:$E$448,'SPDR Chart'!M$1,'2025-Q1'!$F$4:$F$448,'SPDR Chart'!$C27)</f>
        <v>1</v>
      </c>
      <c r="N27" s="226">
        <f>COUNTIFS('2025-Q1'!$E$4:$E$448,'SPDR Chart'!N$1,'2025-Q1'!$F$4:$F$448,'SPDR Chart'!$C27)</f>
        <v>0</v>
      </c>
      <c r="O27" s="226">
        <f>COUNTIFS('2025-Q1'!$E$4:$E$448,'SPDR Chart'!O$1,'2025-Q1'!$F$4:$F$448,'SPDR Chart'!$C27)</f>
        <v>1</v>
      </c>
      <c r="P27" s="226">
        <f>COUNTIFS('2025-Q1'!$E$4:$E$448,'SPDR Chart'!P$1,'2025-Q1'!$F$4:$F$448,'SPDR Chart'!$C27)</f>
        <v>0</v>
      </c>
      <c r="Q27" s="226">
        <f>COUNTIFS('2025-Q1'!$E$4:$E$448,'SPDR Chart'!Q$1,'2025-Q1'!$F$4:$F$448,'SPDR Chart'!$C27)</f>
        <v>2</v>
      </c>
    </row>
    <row r="28" spans="3:17" x14ac:dyDescent="0.25">
      <c r="C28" s="46">
        <v>45708</v>
      </c>
      <c r="D28" s="226">
        <f>COUNTIFS('2025-Q1'!$E$4:$E$448,'SPDR Chart'!D$1,'2025-Q1'!$F$4:$F$448,'SPDR Chart'!$C28)</f>
        <v>1</v>
      </c>
      <c r="E28" s="226">
        <f>COUNTIFS('2025-Q1'!$E$4:$E$448,'SPDR Chart'!E$1,'2025-Q1'!$F$4:$F$448,'SPDR Chart'!$C28)</f>
        <v>2</v>
      </c>
      <c r="F28" s="226">
        <f>COUNTIFS('2025-Q1'!$E$4:$E$448,'SPDR Chart'!F$1,'2025-Q1'!$F$4:$F$448,'SPDR Chart'!$C28)</f>
        <v>0</v>
      </c>
      <c r="G28" s="226">
        <f>COUNTIFS('2025-Q1'!$E$4:$E$448,'SPDR Chart'!G$1,'2025-Q1'!$F$4:$F$448,'SPDR Chart'!$C28)</f>
        <v>2</v>
      </c>
      <c r="H28" s="226">
        <f>COUNTIFS('2025-Q1'!$E$4:$E$448,'SPDR Chart'!H$1,'2025-Q1'!$F$4:$F$448,'SPDR Chart'!$C28)</f>
        <v>1</v>
      </c>
      <c r="I28" s="226">
        <f>COUNTIFS('2025-Q1'!$E$4:$E$448,'SPDR Chart'!I$1,'2025-Q1'!$F$4:$F$448,'SPDR Chart'!$C28)</f>
        <v>0</v>
      </c>
      <c r="J28" s="226">
        <f>COUNTIFS('2025-Q1'!$E$4:$E$448,'SPDR Chart'!J$1,'2025-Q1'!$F$4:$F$448,'SPDR Chart'!$C28)</f>
        <v>3</v>
      </c>
      <c r="K28" s="226">
        <f>COUNTIFS('2025-Q1'!$E$4:$E$448,'SPDR Chart'!K$1,'2025-Q1'!$F$4:$F$448,'SPDR Chart'!$C28)</f>
        <v>1</v>
      </c>
      <c r="L28" s="226">
        <f>COUNTIFS('2025-Q1'!$E$4:$E$448,'SPDR Chart'!L$1,'2025-Q1'!$F$4:$F$448,'SPDR Chart'!$C28)</f>
        <v>2</v>
      </c>
      <c r="M28" s="226">
        <f>COUNTIFS('2025-Q1'!$E$4:$E$448,'SPDR Chart'!M$1,'2025-Q1'!$F$4:$F$448,'SPDR Chart'!$C28)</f>
        <v>0</v>
      </c>
      <c r="N28" s="226">
        <f>COUNTIFS('2025-Q1'!$E$4:$E$448,'SPDR Chart'!N$1,'2025-Q1'!$F$4:$F$448,'SPDR Chart'!$C28)</f>
        <v>0</v>
      </c>
      <c r="O28" s="226">
        <f>COUNTIFS('2025-Q1'!$E$4:$E$448,'SPDR Chart'!O$1,'2025-Q1'!$F$4:$F$448,'SPDR Chart'!$C28)</f>
        <v>0</v>
      </c>
      <c r="P28" s="226">
        <f>COUNTIFS('2025-Q1'!$E$4:$E$448,'SPDR Chart'!P$1,'2025-Q1'!$F$4:$F$448,'SPDR Chart'!$C28)</f>
        <v>0</v>
      </c>
      <c r="Q28" s="226">
        <f>COUNTIFS('2025-Q1'!$E$4:$E$448,'SPDR Chart'!Q$1,'2025-Q1'!$F$4:$F$448,'SPDR Chart'!$C28)</f>
        <v>2</v>
      </c>
    </row>
    <row r="29" spans="3:17" x14ac:dyDescent="0.25">
      <c r="C29" s="46">
        <v>45712</v>
      </c>
      <c r="D29" s="226">
        <f>COUNTIFS('2025-Q1'!$E$4:$E$448,'SPDR Chart'!D$1,'2025-Q1'!$F$4:$F$448,'SPDR Chart'!$C29)</f>
        <v>0</v>
      </c>
      <c r="E29" s="226">
        <f>COUNTIFS('2025-Q1'!$E$4:$E$448,'SPDR Chart'!E$1,'2025-Q1'!$F$4:$F$448,'SPDR Chart'!$C29)</f>
        <v>0</v>
      </c>
      <c r="F29" s="226">
        <f>COUNTIFS('2025-Q1'!$E$4:$E$448,'SPDR Chart'!F$1,'2025-Q1'!$F$4:$F$448,'SPDR Chart'!$C29)</f>
        <v>0</v>
      </c>
      <c r="G29" s="226">
        <f>COUNTIFS('2025-Q1'!$E$4:$E$448,'SPDR Chart'!G$1,'2025-Q1'!$F$4:$F$448,'SPDR Chart'!$C29)</f>
        <v>0</v>
      </c>
      <c r="H29" s="226">
        <f>COUNTIFS('2025-Q1'!$E$4:$E$448,'SPDR Chart'!H$1,'2025-Q1'!$F$4:$F$448,'SPDR Chart'!$C29)</f>
        <v>0</v>
      </c>
      <c r="I29" s="226">
        <f>COUNTIFS('2025-Q1'!$E$4:$E$448,'SPDR Chart'!I$1,'2025-Q1'!$F$4:$F$448,'SPDR Chart'!$C29)</f>
        <v>0</v>
      </c>
      <c r="J29" s="226">
        <f>COUNTIFS('2025-Q1'!$E$4:$E$448,'SPDR Chart'!J$1,'2025-Q1'!$F$4:$F$448,'SPDR Chart'!$C29)</f>
        <v>0</v>
      </c>
      <c r="K29" s="226">
        <f>COUNTIFS('2025-Q1'!$E$4:$E$448,'SPDR Chart'!K$1,'2025-Q1'!$F$4:$F$448,'SPDR Chart'!$C29)</f>
        <v>0</v>
      </c>
      <c r="L29" s="226">
        <f>COUNTIFS('2025-Q1'!$E$4:$E$448,'SPDR Chart'!L$1,'2025-Q1'!$F$4:$F$448,'SPDR Chart'!$C29)</f>
        <v>0</v>
      </c>
      <c r="M29" s="226">
        <f>COUNTIFS('2025-Q1'!$E$4:$E$448,'SPDR Chart'!M$1,'2025-Q1'!$F$4:$F$448,'SPDR Chart'!$C29)</f>
        <v>0</v>
      </c>
      <c r="N29" s="226">
        <f>COUNTIFS('2025-Q1'!$E$4:$E$448,'SPDR Chart'!N$1,'2025-Q1'!$F$4:$F$448,'SPDR Chart'!$C29)</f>
        <v>0</v>
      </c>
      <c r="O29" s="226">
        <f>COUNTIFS('2025-Q1'!$E$4:$E$448,'SPDR Chart'!O$1,'2025-Q1'!$F$4:$F$448,'SPDR Chart'!$C29)</f>
        <v>0</v>
      </c>
      <c r="P29" s="226">
        <f>COUNTIFS('2025-Q1'!$E$4:$E$448,'SPDR Chart'!P$1,'2025-Q1'!$F$4:$F$448,'SPDR Chart'!$C29)</f>
        <v>0</v>
      </c>
      <c r="Q29" s="226">
        <f>COUNTIFS('2025-Q1'!$E$4:$E$448,'SPDR Chart'!Q$1,'2025-Q1'!$F$4:$F$448,'SPDR Chart'!$C29)</f>
        <v>0</v>
      </c>
    </row>
    <row r="30" spans="3:17" x14ac:dyDescent="0.25">
      <c r="C30" s="46">
        <v>45713</v>
      </c>
      <c r="D30" s="226">
        <f>COUNTIFS('2025-Q1'!$E$4:$E$448,'SPDR Chart'!D$1,'2025-Q1'!$F$4:$F$448,'SPDR Chart'!$C30)</f>
        <v>1</v>
      </c>
      <c r="E30" s="226">
        <f>COUNTIFS('2025-Q1'!$E$4:$E$448,'SPDR Chart'!E$1,'2025-Q1'!$F$4:$F$448,'SPDR Chart'!$C30)</f>
        <v>1</v>
      </c>
      <c r="F30" s="226">
        <f>COUNTIFS('2025-Q1'!$E$4:$E$448,'SPDR Chart'!F$1,'2025-Q1'!$F$4:$F$448,'SPDR Chart'!$C30)</f>
        <v>0</v>
      </c>
      <c r="G30" s="226">
        <f>COUNTIFS('2025-Q1'!$E$4:$E$448,'SPDR Chart'!G$1,'2025-Q1'!$F$4:$F$448,'SPDR Chart'!$C30)</f>
        <v>1</v>
      </c>
      <c r="H30" s="226">
        <f>COUNTIFS('2025-Q1'!$E$4:$E$448,'SPDR Chart'!H$1,'2025-Q1'!$F$4:$F$448,'SPDR Chart'!$C30)</f>
        <v>0</v>
      </c>
      <c r="I30" s="226">
        <f>COUNTIFS('2025-Q1'!$E$4:$E$448,'SPDR Chart'!I$1,'2025-Q1'!$F$4:$F$448,'SPDR Chart'!$C30)</f>
        <v>0</v>
      </c>
      <c r="J30" s="226">
        <f>COUNTIFS('2025-Q1'!$E$4:$E$448,'SPDR Chart'!J$1,'2025-Q1'!$F$4:$F$448,'SPDR Chart'!$C30)</f>
        <v>3</v>
      </c>
      <c r="K30" s="226">
        <f>COUNTIFS('2025-Q1'!$E$4:$E$448,'SPDR Chart'!K$1,'2025-Q1'!$F$4:$F$448,'SPDR Chart'!$C30)</f>
        <v>0</v>
      </c>
      <c r="L30" s="226">
        <f>COUNTIFS('2025-Q1'!$E$4:$E$448,'SPDR Chart'!L$1,'2025-Q1'!$F$4:$F$448,'SPDR Chart'!$C30)</f>
        <v>1</v>
      </c>
      <c r="M30" s="226">
        <f>COUNTIFS('2025-Q1'!$E$4:$E$448,'SPDR Chart'!M$1,'2025-Q1'!$F$4:$F$448,'SPDR Chart'!$C30)</f>
        <v>0</v>
      </c>
      <c r="N30" s="226">
        <f>COUNTIFS('2025-Q1'!$E$4:$E$448,'SPDR Chart'!N$1,'2025-Q1'!$F$4:$F$448,'SPDR Chart'!$C30)</f>
        <v>0</v>
      </c>
      <c r="O30" s="226">
        <f>COUNTIFS('2025-Q1'!$E$4:$E$448,'SPDR Chart'!O$1,'2025-Q1'!$F$4:$F$448,'SPDR Chart'!$C30)</f>
        <v>0</v>
      </c>
      <c r="P30" s="226">
        <f>COUNTIFS('2025-Q1'!$E$4:$E$448,'SPDR Chart'!P$1,'2025-Q1'!$F$4:$F$448,'SPDR Chart'!$C30)</f>
        <v>0</v>
      </c>
      <c r="Q30" s="226">
        <f>COUNTIFS('2025-Q1'!$E$4:$E$448,'SPDR Chart'!Q$1,'2025-Q1'!$F$4:$F$448,'SPDR Chart'!$C30)</f>
        <v>2</v>
      </c>
    </row>
    <row r="31" spans="3:17" x14ac:dyDescent="0.25">
      <c r="C31" s="46">
        <v>45714</v>
      </c>
      <c r="D31" s="226">
        <f>COUNTIFS('2025-Q1'!$E$4:$E$448,'SPDR Chart'!D$1,'2025-Q1'!$F$4:$F$448,'SPDR Chart'!$C31)</f>
        <v>0</v>
      </c>
      <c r="E31" s="226">
        <f>COUNTIFS('2025-Q1'!$E$4:$E$448,'SPDR Chart'!E$1,'2025-Q1'!$F$4:$F$448,'SPDR Chart'!$C31)</f>
        <v>1</v>
      </c>
      <c r="F31" s="226">
        <f>COUNTIFS('2025-Q1'!$E$4:$E$448,'SPDR Chart'!F$1,'2025-Q1'!$F$4:$F$448,'SPDR Chart'!$C31)</f>
        <v>0</v>
      </c>
      <c r="G31" s="226">
        <f>COUNTIFS('2025-Q1'!$E$4:$E$448,'SPDR Chart'!G$1,'2025-Q1'!$F$4:$F$448,'SPDR Chart'!$C31)</f>
        <v>2</v>
      </c>
      <c r="H31" s="226">
        <f>COUNTIFS('2025-Q1'!$E$4:$E$448,'SPDR Chart'!H$1,'2025-Q1'!$F$4:$F$448,'SPDR Chart'!$C31)</f>
        <v>0</v>
      </c>
      <c r="I31" s="226">
        <f>COUNTIFS('2025-Q1'!$E$4:$E$448,'SPDR Chart'!I$1,'2025-Q1'!$F$4:$F$448,'SPDR Chart'!$C31)</f>
        <v>0</v>
      </c>
      <c r="J31" s="226">
        <f>COUNTIFS('2025-Q1'!$E$4:$E$448,'SPDR Chart'!J$1,'2025-Q1'!$F$4:$F$448,'SPDR Chart'!$C31)</f>
        <v>3</v>
      </c>
      <c r="K31" s="226">
        <f>COUNTIFS('2025-Q1'!$E$4:$E$448,'SPDR Chart'!K$1,'2025-Q1'!$F$4:$F$448,'SPDR Chart'!$C31)</f>
        <v>1</v>
      </c>
      <c r="L31" s="226">
        <f>COUNTIFS('2025-Q1'!$E$4:$E$448,'SPDR Chart'!L$1,'2025-Q1'!$F$4:$F$448,'SPDR Chart'!$C31)</f>
        <v>0</v>
      </c>
      <c r="M31" s="226">
        <f>COUNTIFS('2025-Q1'!$E$4:$E$448,'SPDR Chart'!M$1,'2025-Q1'!$F$4:$F$448,'SPDR Chart'!$C31)</f>
        <v>0</v>
      </c>
      <c r="N31" s="226">
        <f>COUNTIFS('2025-Q1'!$E$4:$E$448,'SPDR Chart'!N$1,'2025-Q1'!$F$4:$F$448,'SPDR Chart'!$C31)</f>
        <v>0</v>
      </c>
      <c r="O31" s="226">
        <f>COUNTIFS('2025-Q1'!$E$4:$E$448,'SPDR Chart'!O$1,'2025-Q1'!$F$4:$F$448,'SPDR Chart'!$C31)</f>
        <v>2</v>
      </c>
      <c r="P31" s="226">
        <f>COUNTIFS('2025-Q1'!$E$4:$E$448,'SPDR Chart'!P$1,'2025-Q1'!$F$4:$F$448,'SPDR Chart'!$C31)</f>
        <v>0</v>
      </c>
      <c r="Q31" s="226">
        <f>COUNTIFS('2025-Q1'!$E$4:$E$448,'SPDR Chart'!Q$1,'2025-Q1'!$F$4:$F$448,'SPDR Chart'!$C31)</f>
        <v>3</v>
      </c>
    </row>
    <row r="32" spans="3:17" x14ac:dyDescent="0.25">
      <c r="C32" s="46">
        <v>45715</v>
      </c>
      <c r="D32" s="226">
        <f>COUNTIFS('2025-Q1'!$E$4:$E$448,'SPDR Chart'!D$1,'2025-Q1'!$F$4:$F$448,'SPDR Chart'!$C32)</f>
        <v>3</v>
      </c>
      <c r="E32" s="226">
        <f>COUNTIFS('2025-Q1'!$E$4:$E$448,'SPDR Chart'!E$1,'2025-Q1'!$F$4:$F$448,'SPDR Chart'!$C32)</f>
        <v>0</v>
      </c>
      <c r="F32" s="226">
        <f>COUNTIFS('2025-Q1'!$E$4:$E$448,'SPDR Chart'!F$1,'2025-Q1'!$F$4:$F$448,'SPDR Chart'!$C32)</f>
        <v>1</v>
      </c>
      <c r="G32" s="226">
        <f>COUNTIFS('2025-Q1'!$E$4:$E$448,'SPDR Chart'!G$1,'2025-Q1'!$F$4:$F$448,'SPDR Chart'!$C32)</f>
        <v>2</v>
      </c>
      <c r="H32" s="226">
        <f>COUNTIFS('2025-Q1'!$E$4:$E$448,'SPDR Chart'!H$1,'2025-Q1'!$F$4:$F$448,'SPDR Chart'!$C32)</f>
        <v>0</v>
      </c>
      <c r="I32" s="226">
        <f>COUNTIFS('2025-Q1'!$E$4:$E$448,'SPDR Chart'!I$1,'2025-Q1'!$F$4:$F$448,'SPDR Chart'!$C32)</f>
        <v>0</v>
      </c>
      <c r="J32" s="226">
        <f>COUNTIFS('2025-Q1'!$E$4:$E$448,'SPDR Chart'!J$1,'2025-Q1'!$F$4:$F$448,'SPDR Chart'!$C32)</f>
        <v>0</v>
      </c>
      <c r="K32" s="226">
        <f>COUNTIFS('2025-Q1'!$E$4:$E$448,'SPDR Chart'!K$1,'2025-Q1'!$F$4:$F$448,'SPDR Chart'!$C32)</f>
        <v>1</v>
      </c>
      <c r="L32" s="226">
        <f>COUNTIFS('2025-Q1'!$E$4:$E$448,'SPDR Chart'!L$1,'2025-Q1'!$F$4:$F$448,'SPDR Chart'!$C32)</f>
        <v>3</v>
      </c>
      <c r="M32" s="226">
        <f>COUNTIFS('2025-Q1'!$E$4:$E$448,'SPDR Chart'!M$1,'2025-Q1'!$F$4:$F$448,'SPDR Chart'!$C32)</f>
        <v>1</v>
      </c>
      <c r="N32" s="226">
        <f>COUNTIFS('2025-Q1'!$E$4:$E$448,'SPDR Chart'!N$1,'2025-Q1'!$F$4:$F$448,'SPDR Chart'!$C32)</f>
        <v>0</v>
      </c>
      <c r="O32" s="226">
        <f>COUNTIFS('2025-Q1'!$E$4:$E$448,'SPDR Chart'!O$1,'2025-Q1'!$F$4:$F$448,'SPDR Chart'!$C32)</f>
        <v>0</v>
      </c>
      <c r="P32" s="226">
        <f>COUNTIFS('2025-Q1'!$E$4:$E$448,'SPDR Chart'!P$1,'2025-Q1'!$F$4:$F$448,'SPDR Chart'!$C32)</f>
        <v>0</v>
      </c>
      <c r="Q32" s="226">
        <f>COUNTIFS('2025-Q1'!$E$4:$E$448,'SPDR Chart'!Q$1,'2025-Q1'!$F$4:$F$448,'SPDR Chart'!$C32)</f>
        <v>2</v>
      </c>
    </row>
    <row r="33" spans="3:17" x14ac:dyDescent="0.25">
      <c r="C33" s="46">
        <v>45719</v>
      </c>
      <c r="D33" s="226">
        <f>COUNTIFS('2025-Q1'!$E$4:$E$448,'SPDR Chart'!D$1,'2025-Q1'!$F$4:$F$448,'SPDR Chart'!$C33)</f>
        <v>0</v>
      </c>
      <c r="E33" s="226">
        <f>COUNTIFS('2025-Q1'!$E$4:$E$448,'SPDR Chart'!E$1,'2025-Q1'!$F$4:$F$448,'SPDR Chart'!$C33)</f>
        <v>0</v>
      </c>
      <c r="F33" s="226">
        <f>COUNTIFS('2025-Q1'!$E$4:$E$448,'SPDR Chart'!F$1,'2025-Q1'!$F$4:$F$448,'SPDR Chart'!$C33)</f>
        <v>0</v>
      </c>
      <c r="G33" s="226">
        <f>COUNTIFS('2025-Q1'!$E$4:$E$448,'SPDR Chart'!G$1,'2025-Q1'!$F$4:$F$448,'SPDR Chart'!$C33)</f>
        <v>0</v>
      </c>
      <c r="H33" s="226">
        <f>COUNTIFS('2025-Q1'!$E$4:$E$448,'SPDR Chart'!H$1,'2025-Q1'!$F$4:$F$448,'SPDR Chart'!$C33)</f>
        <v>0</v>
      </c>
      <c r="I33" s="226">
        <f>COUNTIFS('2025-Q1'!$E$4:$E$448,'SPDR Chart'!I$1,'2025-Q1'!$F$4:$F$448,'SPDR Chart'!$C33)</f>
        <v>0</v>
      </c>
      <c r="J33" s="226">
        <f>COUNTIFS('2025-Q1'!$E$4:$E$448,'SPDR Chart'!J$1,'2025-Q1'!$F$4:$F$448,'SPDR Chart'!$C33)</f>
        <v>0</v>
      </c>
      <c r="K33" s="226">
        <f>COUNTIFS('2025-Q1'!$E$4:$E$448,'SPDR Chart'!K$1,'2025-Q1'!$F$4:$F$448,'SPDR Chart'!$C33)</f>
        <v>0</v>
      </c>
      <c r="L33" s="226">
        <f>COUNTIFS('2025-Q1'!$E$4:$E$448,'SPDR Chart'!L$1,'2025-Q1'!$F$4:$F$448,'SPDR Chart'!$C33)</f>
        <v>2</v>
      </c>
      <c r="M33" s="226">
        <f>COUNTIFS('2025-Q1'!$E$4:$E$448,'SPDR Chart'!M$1,'2025-Q1'!$F$4:$F$448,'SPDR Chart'!$C33)</f>
        <v>0</v>
      </c>
      <c r="N33" s="226">
        <f>COUNTIFS('2025-Q1'!$E$4:$E$448,'SPDR Chart'!N$1,'2025-Q1'!$F$4:$F$448,'SPDR Chart'!$C33)</f>
        <v>0</v>
      </c>
      <c r="O33" s="226">
        <f>COUNTIFS('2025-Q1'!$E$4:$E$448,'SPDR Chart'!O$1,'2025-Q1'!$F$4:$F$448,'SPDR Chart'!$C33)</f>
        <v>0</v>
      </c>
      <c r="P33" s="226">
        <f>COUNTIFS('2025-Q1'!$E$4:$E$448,'SPDR Chart'!P$1,'2025-Q1'!$F$4:$F$448,'SPDR Chart'!$C33)</f>
        <v>0</v>
      </c>
      <c r="Q33" s="226">
        <f>COUNTIFS('2025-Q1'!$E$4:$E$448,'SPDR Chart'!Q$1,'2025-Q1'!$F$4:$F$448,'SPDR Chart'!$C33)</f>
        <v>1</v>
      </c>
    </row>
    <row r="34" spans="3:17" x14ac:dyDescent="0.25">
      <c r="C34" s="46">
        <v>45720</v>
      </c>
      <c r="D34" s="226">
        <f>COUNTIFS('2025-Q1'!$E$4:$E$448,'SPDR Chart'!D$1,'2025-Q1'!$F$4:$F$448,'SPDR Chart'!$C34)</f>
        <v>1</v>
      </c>
      <c r="E34" s="226">
        <f>COUNTIFS('2025-Q1'!$E$4:$E$448,'SPDR Chart'!E$1,'2025-Q1'!$F$4:$F$448,'SPDR Chart'!$C34)</f>
        <v>0</v>
      </c>
      <c r="F34" s="226">
        <f>COUNTIFS('2025-Q1'!$E$4:$E$448,'SPDR Chart'!F$1,'2025-Q1'!$F$4:$F$448,'SPDR Chart'!$C34)</f>
        <v>0</v>
      </c>
      <c r="G34" s="226">
        <f>COUNTIFS('2025-Q1'!$E$4:$E$448,'SPDR Chart'!G$1,'2025-Q1'!$F$4:$F$448,'SPDR Chart'!$C34)</f>
        <v>0</v>
      </c>
      <c r="H34" s="226">
        <f>COUNTIFS('2025-Q1'!$E$4:$E$448,'SPDR Chart'!H$1,'2025-Q1'!$F$4:$F$448,'SPDR Chart'!$C34)</f>
        <v>0</v>
      </c>
      <c r="I34" s="226">
        <f>COUNTIFS('2025-Q1'!$E$4:$E$448,'SPDR Chart'!I$1,'2025-Q1'!$F$4:$F$448,'SPDR Chart'!$C34)</f>
        <v>0</v>
      </c>
      <c r="J34" s="226">
        <f>COUNTIFS('2025-Q1'!$E$4:$E$448,'SPDR Chart'!J$1,'2025-Q1'!$F$4:$F$448,'SPDR Chart'!$C34)</f>
        <v>2</v>
      </c>
      <c r="K34" s="226">
        <f>COUNTIFS('2025-Q1'!$E$4:$E$448,'SPDR Chart'!K$1,'2025-Q1'!$F$4:$F$448,'SPDR Chart'!$C34)</f>
        <v>0</v>
      </c>
      <c r="L34" s="226">
        <f>COUNTIFS('2025-Q1'!$E$4:$E$448,'SPDR Chart'!L$1,'2025-Q1'!$F$4:$F$448,'SPDR Chart'!$C34)</f>
        <v>0</v>
      </c>
      <c r="M34" s="226">
        <f>COUNTIFS('2025-Q1'!$E$4:$E$448,'SPDR Chart'!M$1,'2025-Q1'!$F$4:$F$448,'SPDR Chart'!$C34)</f>
        <v>0</v>
      </c>
      <c r="N34" s="226">
        <f>COUNTIFS('2025-Q1'!$E$4:$E$448,'SPDR Chart'!N$1,'2025-Q1'!$F$4:$F$448,'SPDR Chart'!$C34)</f>
        <v>0</v>
      </c>
      <c r="O34" s="226">
        <f>COUNTIFS('2025-Q1'!$E$4:$E$448,'SPDR Chart'!O$1,'2025-Q1'!$F$4:$F$448,'SPDR Chart'!$C34)</f>
        <v>0</v>
      </c>
      <c r="P34" s="226">
        <f>COUNTIFS('2025-Q1'!$E$4:$E$448,'SPDR Chart'!P$1,'2025-Q1'!$F$4:$F$448,'SPDR Chart'!$C34)</f>
        <v>0</v>
      </c>
      <c r="Q34" s="226">
        <f>COUNTIFS('2025-Q1'!$E$4:$E$448,'SPDR Chart'!Q$1,'2025-Q1'!$F$4:$F$448,'SPDR Chart'!$C34)</f>
        <v>2</v>
      </c>
    </row>
    <row r="35" spans="3:17" x14ac:dyDescent="0.25">
      <c r="C35" s="46">
        <v>45721</v>
      </c>
      <c r="D35" s="226">
        <f>COUNTIFS('2025-Q1'!$E$4:$E$448,'SPDR Chart'!D$1,'2025-Q1'!$F$4:$F$448,'SPDR Chart'!$C35)</f>
        <v>1</v>
      </c>
      <c r="E35" s="226">
        <f>COUNTIFS('2025-Q1'!$E$4:$E$448,'SPDR Chart'!E$1,'2025-Q1'!$F$4:$F$448,'SPDR Chart'!$C35)</f>
        <v>1</v>
      </c>
      <c r="F35" s="226">
        <f>COUNTIFS('2025-Q1'!$E$4:$E$448,'SPDR Chart'!F$1,'2025-Q1'!$F$4:$F$448,'SPDR Chart'!$C35)</f>
        <v>0</v>
      </c>
      <c r="G35" s="226">
        <f>COUNTIFS('2025-Q1'!$E$4:$E$448,'SPDR Chart'!G$1,'2025-Q1'!$F$4:$F$448,'SPDR Chart'!$C35)</f>
        <v>0</v>
      </c>
      <c r="H35" s="226">
        <f>COUNTIFS('2025-Q1'!$E$4:$E$448,'SPDR Chart'!H$1,'2025-Q1'!$F$4:$F$448,'SPDR Chart'!$C35)</f>
        <v>0</v>
      </c>
      <c r="I35" s="226">
        <f>COUNTIFS('2025-Q1'!$E$4:$E$448,'SPDR Chart'!I$1,'2025-Q1'!$F$4:$F$448,'SPDR Chart'!$C35)</f>
        <v>0</v>
      </c>
      <c r="J35" s="226">
        <f>COUNTIFS('2025-Q1'!$E$4:$E$448,'SPDR Chart'!J$1,'2025-Q1'!$F$4:$F$448,'SPDR Chart'!$C35)</f>
        <v>3</v>
      </c>
      <c r="K35" s="226">
        <f>COUNTIFS('2025-Q1'!$E$4:$E$448,'SPDR Chart'!K$1,'2025-Q1'!$F$4:$F$448,'SPDR Chart'!$C35)</f>
        <v>0</v>
      </c>
      <c r="L35" s="226">
        <f>COUNTIFS('2025-Q1'!$E$4:$E$448,'SPDR Chart'!L$1,'2025-Q1'!$F$4:$F$448,'SPDR Chart'!$C35)</f>
        <v>1</v>
      </c>
      <c r="M35" s="226">
        <f>COUNTIFS('2025-Q1'!$E$4:$E$448,'SPDR Chart'!M$1,'2025-Q1'!$F$4:$F$448,'SPDR Chart'!$C35)</f>
        <v>0</v>
      </c>
      <c r="N35" s="226">
        <f>COUNTIFS('2025-Q1'!$E$4:$E$448,'SPDR Chart'!N$1,'2025-Q1'!$F$4:$F$448,'SPDR Chart'!$C35)</f>
        <v>0</v>
      </c>
      <c r="O35" s="226">
        <f>COUNTIFS('2025-Q1'!$E$4:$E$448,'SPDR Chart'!O$1,'2025-Q1'!$F$4:$F$448,'SPDR Chart'!$C35)</f>
        <v>0</v>
      </c>
      <c r="P35" s="226">
        <f>COUNTIFS('2025-Q1'!$E$4:$E$448,'SPDR Chart'!P$1,'2025-Q1'!$F$4:$F$448,'SPDR Chart'!$C35)</f>
        <v>0</v>
      </c>
      <c r="Q35" s="226">
        <f>COUNTIFS('2025-Q1'!$E$4:$E$448,'SPDR Chart'!Q$1,'2025-Q1'!$F$4:$F$448,'SPDR Chart'!$C35)</f>
        <v>1</v>
      </c>
    </row>
    <row r="36" spans="3:17" x14ac:dyDescent="0.25">
      <c r="C36" s="46">
        <v>45722</v>
      </c>
      <c r="D36" s="226">
        <f>COUNTIFS('2025-Q1'!$E$4:$E$448,'SPDR Chart'!D$1,'2025-Q1'!$F$4:$F$448,'SPDR Chart'!$C36)</f>
        <v>2</v>
      </c>
      <c r="E36" s="226">
        <f>COUNTIFS('2025-Q1'!$E$4:$E$448,'SPDR Chart'!E$1,'2025-Q1'!$F$4:$F$448,'SPDR Chart'!$C36)</f>
        <v>1</v>
      </c>
      <c r="F36" s="226">
        <f>COUNTIFS('2025-Q1'!$E$4:$E$448,'SPDR Chart'!F$1,'2025-Q1'!$F$4:$F$448,'SPDR Chart'!$C36)</f>
        <v>0</v>
      </c>
      <c r="G36" s="226">
        <f>COUNTIFS('2025-Q1'!$E$4:$E$448,'SPDR Chart'!G$1,'2025-Q1'!$F$4:$F$448,'SPDR Chart'!$C36)</f>
        <v>1</v>
      </c>
      <c r="H36" s="226">
        <f>COUNTIFS('2025-Q1'!$E$4:$E$448,'SPDR Chart'!H$1,'2025-Q1'!$F$4:$F$448,'SPDR Chart'!$C36)</f>
        <v>0</v>
      </c>
      <c r="I36" s="226">
        <f>COUNTIFS('2025-Q1'!$E$4:$E$448,'SPDR Chart'!I$1,'2025-Q1'!$F$4:$F$448,'SPDR Chart'!$C36)</f>
        <v>0</v>
      </c>
      <c r="J36" s="226">
        <f>COUNTIFS('2025-Q1'!$E$4:$E$448,'SPDR Chart'!J$1,'2025-Q1'!$F$4:$F$448,'SPDR Chart'!$C36)</f>
        <v>3</v>
      </c>
      <c r="K36" s="226">
        <f>COUNTIFS('2025-Q1'!$E$4:$E$448,'SPDR Chart'!K$1,'2025-Q1'!$F$4:$F$448,'SPDR Chart'!$C36)</f>
        <v>0</v>
      </c>
      <c r="L36" s="226">
        <f>COUNTIFS('2025-Q1'!$E$4:$E$448,'SPDR Chart'!L$1,'2025-Q1'!$F$4:$F$448,'SPDR Chart'!$C36)</f>
        <v>1</v>
      </c>
      <c r="M36" s="226">
        <f>COUNTIFS('2025-Q1'!$E$4:$E$448,'SPDR Chart'!M$1,'2025-Q1'!$F$4:$F$448,'SPDR Chart'!$C36)</f>
        <v>0</v>
      </c>
      <c r="N36" s="226">
        <f>COUNTIFS('2025-Q1'!$E$4:$E$448,'SPDR Chart'!N$1,'2025-Q1'!$F$4:$F$448,'SPDR Chart'!$C36)</f>
        <v>0</v>
      </c>
      <c r="O36" s="226">
        <f>COUNTIFS('2025-Q1'!$E$4:$E$448,'SPDR Chart'!O$1,'2025-Q1'!$F$4:$F$448,'SPDR Chart'!$C36)</f>
        <v>1</v>
      </c>
      <c r="P36" s="226">
        <f>COUNTIFS('2025-Q1'!$E$4:$E$448,'SPDR Chart'!P$1,'2025-Q1'!$F$4:$F$448,'SPDR Chart'!$C36)</f>
        <v>0</v>
      </c>
      <c r="Q36" s="226">
        <f>COUNTIFS('2025-Q1'!$E$4:$E$448,'SPDR Chart'!Q$1,'2025-Q1'!$F$4:$F$448,'SPDR Chart'!$C36)</f>
        <v>0</v>
      </c>
    </row>
    <row r="37" spans="3:17" x14ac:dyDescent="0.25">
      <c r="C37" s="46">
        <v>45726</v>
      </c>
      <c r="D37" s="226">
        <f>COUNTIFS('2025-Q1'!$E$4:$E$448,'SPDR Chart'!D$1,'2025-Q1'!$F$4:$F$448,'SPDR Chart'!$C37)</f>
        <v>0</v>
      </c>
      <c r="E37" s="226">
        <f>COUNTIFS('2025-Q1'!$E$4:$E$448,'SPDR Chart'!E$1,'2025-Q1'!$F$4:$F$448,'SPDR Chart'!$C37)</f>
        <v>0</v>
      </c>
      <c r="F37" s="226">
        <f>COUNTIFS('2025-Q1'!$E$4:$E$448,'SPDR Chart'!F$1,'2025-Q1'!$F$4:$F$448,'SPDR Chart'!$C37)</f>
        <v>0</v>
      </c>
      <c r="G37" s="226">
        <f>COUNTIFS('2025-Q1'!$E$4:$E$448,'SPDR Chart'!G$1,'2025-Q1'!$F$4:$F$448,'SPDR Chart'!$C37)</f>
        <v>0</v>
      </c>
      <c r="H37" s="226">
        <f>COUNTIFS('2025-Q1'!$E$4:$E$448,'SPDR Chart'!H$1,'2025-Q1'!$F$4:$F$448,'SPDR Chart'!$C37)</f>
        <v>0</v>
      </c>
      <c r="I37" s="226">
        <f>COUNTIFS('2025-Q1'!$E$4:$E$448,'SPDR Chart'!I$1,'2025-Q1'!$F$4:$F$448,'SPDR Chart'!$C37)</f>
        <v>0</v>
      </c>
      <c r="J37" s="226">
        <f>COUNTIFS('2025-Q1'!$E$4:$E$448,'SPDR Chart'!J$1,'2025-Q1'!$F$4:$F$448,'SPDR Chart'!$C37)</f>
        <v>0</v>
      </c>
      <c r="K37" s="226">
        <f>COUNTIFS('2025-Q1'!$E$4:$E$448,'SPDR Chart'!K$1,'2025-Q1'!$F$4:$F$448,'SPDR Chart'!$C37)</f>
        <v>0</v>
      </c>
      <c r="L37" s="226">
        <f>COUNTIFS('2025-Q1'!$E$4:$E$448,'SPDR Chart'!L$1,'2025-Q1'!$F$4:$F$448,'SPDR Chart'!$C37)</f>
        <v>0</v>
      </c>
      <c r="M37" s="226">
        <f>COUNTIFS('2025-Q1'!$E$4:$E$448,'SPDR Chart'!M$1,'2025-Q1'!$F$4:$F$448,'SPDR Chart'!$C37)</f>
        <v>0</v>
      </c>
      <c r="N37" s="226">
        <f>COUNTIFS('2025-Q1'!$E$4:$E$448,'SPDR Chart'!N$1,'2025-Q1'!$F$4:$F$448,'SPDR Chart'!$C37)</f>
        <v>0</v>
      </c>
      <c r="O37" s="226">
        <f>COUNTIFS('2025-Q1'!$E$4:$E$448,'SPDR Chart'!O$1,'2025-Q1'!$F$4:$F$448,'SPDR Chart'!$C37)</f>
        <v>0</v>
      </c>
      <c r="P37" s="226">
        <f>COUNTIFS('2025-Q1'!$E$4:$E$448,'SPDR Chart'!P$1,'2025-Q1'!$F$4:$F$448,'SPDR Chart'!$C37)</f>
        <v>0</v>
      </c>
      <c r="Q37" s="226">
        <f>COUNTIFS('2025-Q1'!$E$4:$E$448,'SPDR Chart'!Q$1,'2025-Q1'!$F$4:$F$448,'SPDR Chart'!$C37)</f>
        <v>2</v>
      </c>
    </row>
    <row r="38" spans="3:17" x14ac:dyDescent="0.25">
      <c r="C38" s="46">
        <v>45728</v>
      </c>
      <c r="D38" s="226">
        <f>COUNTIFS('2025-Q1'!$E$4:$E$448,'SPDR Chart'!D$1,'2025-Q1'!$F$4:$F$448,'SPDR Chart'!$C38)</f>
        <v>0</v>
      </c>
      <c r="E38" s="226">
        <f>COUNTIFS('2025-Q1'!$E$4:$E$448,'SPDR Chart'!E$1,'2025-Q1'!$F$4:$F$448,'SPDR Chart'!$C38)</f>
        <v>0</v>
      </c>
      <c r="F38" s="226">
        <f>COUNTIFS('2025-Q1'!$E$4:$E$448,'SPDR Chart'!F$1,'2025-Q1'!$F$4:$F$448,'SPDR Chart'!$C38)</f>
        <v>0</v>
      </c>
      <c r="G38" s="226">
        <f>COUNTIFS('2025-Q1'!$E$4:$E$448,'SPDR Chart'!G$1,'2025-Q1'!$F$4:$F$448,'SPDR Chart'!$C38)</f>
        <v>0</v>
      </c>
      <c r="H38" s="226">
        <f>COUNTIFS('2025-Q1'!$E$4:$E$448,'SPDR Chart'!H$1,'2025-Q1'!$F$4:$F$448,'SPDR Chart'!$C38)</f>
        <v>0</v>
      </c>
      <c r="I38" s="226">
        <f>COUNTIFS('2025-Q1'!$E$4:$E$448,'SPDR Chart'!I$1,'2025-Q1'!$F$4:$F$448,'SPDR Chart'!$C38)</f>
        <v>0</v>
      </c>
      <c r="J38" s="226">
        <f>COUNTIFS('2025-Q1'!$E$4:$E$448,'SPDR Chart'!J$1,'2025-Q1'!$F$4:$F$448,'SPDR Chart'!$C38)</f>
        <v>1</v>
      </c>
      <c r="K38" s="226">
        <f>COUNTIFS('2025-Q1'!$E$4:$E$448,'SPDR Chart'!K$1,'2025-Q1'!$F$4:$F$448,'SPDR Chart'!$C38)</f>
        <v>0</v>
      </c>
      <c r="L38" s="226">
        <f>COUNTIFS('2025-Q1'!$E$4:$E$448,'SPDR Chart'!L$1,'2025-Q1'!$F$4:$F$448,'SPDR Chart'!$C38)</f>
        <v>0</v>
      </c>
      <c r="M38" s="226">
        <f>COUNTIFS('2025-Q1'!$E$4:$E$448,'SPDR Chart'!M$1,'2025-Q1'!$F$4:$F$448,'SPDR Chart'!$C38)</f>
        <v>0</v>
      </c>
      <c r="N38" s="226">
        <f>COUNTIFS('2025-Q1'!$E$4:$E$448,'SPDR Chart'!N$1,'2025-Q1'!$F$4:$F$448,'SPDR Chart'!$C38)</f>
        <v>0</v>
      </c>
      <c r="O38" s="226">
        <f>COUNTIFS('2025-Q1'!$E$4:$E$448,'SPDR Chart'!O$1,'2025-Q1'!$F$4:$F$448,'SPDR Chart'!$C38)</f>
        <v>0</v>
      </c>
      <c r="P38" s="226">
        <f>COUNTIFS('2025-Q1'!$E$4:$E$448,'SPDR Chart'!P$1,'2025-Q1'!$F$4:$F$448,'SPDR Chart'!$C38)</f>
        <v>0</v>
      </c>
      <c r="Q38" s="226">
        <f>COUNTIFS('2025-Q1'!$E$4:$E$448,'SPDR Chart'!Q$1,'2025-Q1'!$F$4:$F$448,'SPDR Chart'!$C38)</f>
        <v>3</v>
      </c>
    </row>
    <row r="39" spans="3:17" x14ac:dyDescent="0.25">
      <c r="C39" s="46">
        <v>45729</v>
      </c>
      <c r="D39" s="226">
        <f>COUNTIFS('2025-Q1'!$E$4:$E$448,'SPDR Chart'!D$1,'2025-Q1'!$F$4:$F$448,'SPDR Chart'!$C39)</f>
        <v>1</v>
      </c>
      <c r="E39" s="226">
        <f>COUNTIFS('2025-Q1'!$E$4:$E$448,'SPDR Chart'!E$1,'2025-Q1'!$F$4:$F$448,'SPDR Chart'!$C39)</f>
        <v>0</v>
      </c>
      <c r="F39" s="226">
        <f>COUNTIFS('2025-Q1'!$E$4:$E$448,'SPDR Chart'!F$1,'2025-Q1'!$F$4:$F$448,'SPDR Chart'!$C39)</f>
        <v>0</v>
      </c>
      <c r="G39" s="226">
        <f>COUNTIFS('2025-Q1'!$E$4:$E$448,'SPDR Chart'!G$1,'2025-Q1'!$F$4:$F$448,'SPDR Chart'!$C39)</f>
        <v>0</v>
      </c>
      <c r="H39" s="226">
        <f>COUNTIFS('2025-Q1'!$E$4:$E$448,'SPDR Chart'!H$1,'2025-Q1'!$F$4:$F$448,'SPDR Chart'!$C39)</f>
        <v>0</v>
      </c>
      <c r="I39" s="226">
        <f>COUNTIFS('2025-Q1'!$E$4:$E$448,'SPDR Chart'!I$1,'2025-Q1'!$F$4:$F$448,'SPDR Chart'!$C39)</f>
        <v>0</v>
      </c>
      <c r="J39" s="226">
        <f>COUNTIFS('2025-Q1'!$E$4:$E$448,'SPDR Chart'!J$1,'2025-Q1'!$F$4:$F$448,'SPDR Chart'!$C39)</f>
        <v>1</v>
      </c>
      <c r="K39" s="226">
        <f>COUNTIFS('2025-Q1'!$E$4:$E$448,'SPDR Chart'!K$1,'2025-Q1'!$F$4:$F$448,'SPDR Chart'!$C39)</f>
        <v>0</v>
      </c>
      <c r="L39" s="226">
        <f>COUNTIFS('2025-Q1'!$E$4:$E$448,'SPDR Chart'!L$1,'2025-Q1'!$F$4:$F$448,'SPDR Chart'!$C39)</f>
        <v>0</v>
      </c>
      <c r="M39" s="226">
        <f>COUNTIFS('2025-Q1'!$E$4:$E$448,'SPDR Chart'!M$1,'2025-Q1'!$F$4:$F$448,'SPDR Chart'!$C39)</f>
        <v>0</v>
      </c>
      <c r="N39" s="226">
        <f>COUNTIFS('2025-Q1'!$E$4:$E$448,'SPDR Chart'!N$1,'2025-Q1'!$F$4:$F$448,'SPDR Chart'!$C39)</f>
        <v>0</v>
      </c>
      <c r="O39" s="226">
        <f>COUNTIFS('2025-Q1'!$E$4:$E$448,'SPDR Chart'!O$1,'2025-Q1'!$F$4:$F$448,'SPDR Chart'!$C39)</f>
        <v>1</v>
      </c>
      <c r="P39" s="226">
        <f>COUNTIFS('2025-Q1'!$E$4:$E$448,'SPDR Chart'!P$1,'2025-Q1'!$F$4:$F$448,'SPDR Chart'!$C39)</f>
        <v>0</v>
      </c>
      <c r="Q39" s="226">
        <f>COUNTIFS('2025-Q1'!$E$4:$E$448,'SPDR Chart'!Q$1,'2025-Q1'!$F$4:$F$448,'SPDR Chart'!$C39)</f>
        <v>1</v>
      </c>
    </row>
    <row r="40" spans="3:17" x14ac:dyDescent="0.25">
      <c r="C40" s="46">
        <v>45735</v>
      </c>
      <c r="D40" s="226">
        <f>COUNTIFS('2025-Q1'!$E$4:$E$448,'SPDR Chart'!D$1,'2025-Q1'!$F$4:$F$448,'SPDR Chart'!$C40)</f>
        <v>2</v>
      </c>
      <c r="E40" s="226">
        <f>COUNTIFS('2025-Q1'!$E$4:$E$448,'SPDR Chart'!E$1,'2025-Q1'!$F$4:$F$448,'SPDR Chart'!$C40)</f>
        <v>0</v>
      </c>
      <c r="F40" s="226">
        <f>COUNTIFS('2025-Q1'!$E$4:$E$448,'SPDR Chart'!F$1,'2025-Q1'!$F$4:$F$448,'SPDR Chart'!$C40)</f>
        <v>0</v>
      </c>
      <c r="G40" s="226">
        <f>COUNTIFS('2025-Q1'!$E$4:$E$448,'SPDR Chart'!G$1,'2025-Q1'!$F$4:$F$448,'SPDR Chart'!$C40)</f>
        <v>0</v>
      </c>
      <c r="H40" s="226">
        <f>COUNTIFS('2025-Q1'!$E$4:$E$448,'SPDR Chart'!H$1,'2025-Q1'!$F$4:$F$448,'SPDR Chart'!$C40)</f>
        <v>0</v>
      </c>
      <c r="I40" s="226">
        <f>COUNTIFS('2025-Q1'!$E$4:$E$448,'SPDR Chart'!I$1,'2025-Q1'!$F$4:$F$448,'SPDR Chart'!$C40)</f>
        <v>0</v>
      </c>
      <c r="J40" s="226">
        <f>COUNTIFS('2025-Q1'!$E$4:$E$448,'SPDR Chart'!J$1,'2025-Q1'!$F$4:$F$448,'SPDR Chart'!$C40)</f>
        <v>1</v>
      </c>
      <c r="K40" s="226">
        <f>COUNTIFS('2025-Q1'!$E$4:$E$448,'SPDR Chart'!K$1,'2025-Q1'!$F$4:$F$448,'SPDR Chart'!$C40)</f>
        <v>0</v>
      </c>
      <c r="L40" s="226">
        <f>COUNTIFS('2025-Q1'!$E$4:$E$448,'SPDR Chart'!L$1,'2025-Q1'!$F$4:$F$448,'SPDR Chart'!$C40)</f>
        <v>0</v>
      </c>
      <c r="M40" s="226">
        <f>COUNTIFS('2025-Q1'!$E$4:$E$448,'SPDR Chart'!M$1,'2025-Q1'!$F$4:$F$448,'SPDR Chart'!$C40)</f>
        <v>0</v>
      </c>
      <c r="N40" s="226">
        <f>COUNTIFS('2025-Q1'!$E$4:$E$448,'SPDR Chart'!N$1,'2025-Q1'!$F$4:$F$448,'SPDR Chart'!$C40)</f>
        <v>0</v>
      </c>
      <c r="O40" s="226">
        <f>COUNTIFS('2025-Q1'!$E$4:$E$448,'SPDR Chart'!O$1,'2025-Q1'!$F$4:$F$448,'SPDR Chart'!$C40)</f>
        <v>0</v>
      </c>
      <c r="P40" s="226">
        <f>COUNTIFS('2025-Q1'!$E$4:$E$448,'SPDR Chart'!P$1,'2025-Q1'!$F$4:$F$448,'SPDR Chart'!$C40)</f>
        <v>0</v>
      </c>
      <c r="Q40" s="226">
        <f>COUNTIFS('2025-Q1'!$E$4:$E$448,'SPDR Chart'!Q$1,'2025-Q1'!$F$4:$F$448,'SPDR Chart'!$C40)</f>
        <v>0</v>
      </c>
    </row>
    <row r="41" spans="3:17" x14ac:dyDescent="0.25">
      <c r="C41" s="46">
        <v>45736</v>
      </c>
      <c r="D41" s="226">
        <f>COUNTIFS('2025-Q1'!$E$4:$E$448,'SPDR Chart'!D$1,'2025-Q1'!$F$4:$F$448,'SPDR Chart'!$C41)</f>
        <v>0</v>
      </c>
      <c r="E41" s="226">
        <f>COUNTIFS('2025-Q1'!$E$4:$E$448,'SPDR Chart'!E$1,'2025-Q1'!$F$4:$F$448,'SPDR Chart'!$C41)</f>
        <v>0</v>
      </c>
      <c r="F41" s="226">
        <f>COUNTIFS('2025-Q1'!$E$4:$E$448,'SPDR Chart'!F$1,'2025-Q1'!$F$4:$F$448,'SPDR Chart'!$C41)</f>
        <v>0</v>
      </c>
      <c r="G41" s="226">
        <f>COUNTIFS('2025-Q1'!$E$4:$E$448,'SPDR Chart'!G$1,'2025-Q1'!$F$4:$F$448,'SPDR Chart'!$C41)</f>
        <v>0</v>
      </c>
      <c r="H41" s="226">
        <f>COUNTIFS('2025-Q1'!$E$4:$E$448,'SPDR Chart'!H$1,'2025-Q1'!$F$4:$F$448,'SPDR Chart'!$C41)</f>
        <v>0</v>
      </c>
      <c r="I41" s="226">
        <f>COUNTIFS('2025-Q1'!$E$4:$E$448,'SPDR Chart'!I$1,'2025-Q1'!$F$4:$F$448,'SPDR Chart'!$C41)</f>
        <v>0</v>
      </c>
      <c r="J41" s="226">
        <f>COUNTIFS('2025-Q1'!$E$4:$E$448,'SPDR Chart'!J$1,'2025-Q1'!$F$4:$F$448,'SPDR Chart'!$C41)</f>
        <v>1</v>
      </c>
      <c r="K41" s="226">
        <f>COUNTIFS('2025-Q1'!$E$4:$E$448,'SPDR Chart'!K$1,'2025-Q1'!$F$4:$F$448,'SPDR Chart'!$C41)</f>
        <v>0</v>
      </c>
      <c r="L41" s="226">
        <f>COUNTIFS('2025-Q1'!$E$4:$E$448,'SPDR Chart'!L$1,'2025-Q1'!$F$4:$F$448,'SPDR Chart'!$C41)</f>
        <v>0</v>
      </c>
      <c r="M41" s="226">
        <f>COUNTIFS('2025-Q1'!$E$4:$E$448,'SPDR Chart'!M$1,'2025-Q1'!$F$4:$F$448,'SPDR Chart'!$C41)</f>
        <v>0</v>
      </c>
      <c r="N41" s="226">
        <f>COUNTIFS('2025-Q1'!$E$4:$E$448,'SPDR Chart'!N$1,'2025-Q1'!$F$4:$F$448,'SPDR Chart'!$C41)</f>
        <v>0</v>
      </c>
      <c r="O41" s="226">
        <f>COUNTIFS('2025-Q1'!$E$4:$E$448,'SPDR Chart'!O$1,'2025-Q1'!$F$4:$F$448,'SPDR Chart'!$C41)</f>
        <v>1</v>
      </c>
      <c r="P41" s="226">
        <f>COUNTIFS('2025-Q1'!$E$4:$E$448,'SPDR Chart'!P$1,'2025-Q1'!$F$4:$F$448,'SPDR Chart'!$C41)</f>
        <v>0</v>
      </c>
      <c r="Q41" s="226">
        <f>COUNTIFS('2025-Q1'!$E$4:$E$448,'SPDR Chart'!Q$1,'2025-Q1'!$F$4:$F$448,'SPDR Chart'!$C41)</f>
        <v>0</v>
      </c>
    </row>
    <row r="42" spans="3:17" x14ac:dyDescent="0.25">
      <c r="C42" s="46">
        <v>45737</v>
      </c>
      <c r="D42" s="226">
        <f>COUNTIFS('2025-Q1'!$E$4:$E$448,'SPDR Chart'!D$1,'2025-Q1'!$F$4:$F$448,'SPDR Chart'!$C42)</f>
        <v>0</v>
      </c>
      <c r="E42" s="226">
        <f>COUNTIFS('2025-Q1'!$E$4:$E$448,'SPDR Chart'!E$1,'2025-Q1'!$F$4:$F$448,'SPDR Chart'!$C42)</f>
        <v>0</v>
      </c>
      <c r="F42" s="226">
        <f>COUNTIFS('2025-Q1'!$E$4:$E$448,'SPDR Chart'!F$1,'2025-Q1'!$F$4:$F$448,'SPDR Chart'!$C42)</f>
        <v>0</v>
      </c>
      <c r="G42" s="226">
        <f>COUNTIFS('2025-Q1'!$E$4:$E$448,'SPDR Chart'!G$1,'2025-Q1'!$F$4:$F$448,'SPDR Chart'!$C42)</f>
        <v>0</v>
      </c>
      <c r="H42" s="226">
        <f>COUNTIFS('2025-Q1'!$E$4:$E$448,'SPDR Chart'!H$1,'2025-Q1'!$F$4:$F$448,'SPDR Chart'!$C42)</f>
        <v>0</v>
      </c>
      <c r="I42" s="226">
        <f>COUNTIFS('2025-Q1'!$E$4:$E$448,'SPDR Chart'!I$1,'2025-Q1'!$F$4:$F$448,'SPDR Chart'!$C42)</f>
        <v>0</v>
      </c>
      <c r="J42" s="226">
        <f>COUNTIFS('2025-Q1'!$E$4:$E$448,'SPDR Chart'!J$1,'2025-Q1'!$F$4:$F$448,'SPDR Chart'!$C42)</f>
        <v>1</v>
      </c>
      <c r="K42" s="226">
        <f>COUNTIFS('2025-Q1'!$E$4:$E$448,'SPDR Chart'!K$1,'2025-Q1'!$F$4:$F$448,'SPDR Chart'!$C42)</f>
        <v>0</v>
      </c>
      <c r="L42" s="226">
        <f>COUNTIFS('2025-Q1'!$E$4:$E$448,'SPDR Chart'!L$1,'2025-Q1'!$F$4:$F$448,'SPDR Chart'!$C42)</f>
        <v>0</v>
      </c>
      <c r="M42" s="226">
        <f>COUNTIFS('2025-Q1'!$E$4:$E$448,'SPDR Chart'!M$1,'2025-Q1'!$F$4:$F$448,'SPDR Chart'!$C42)</f>
        <v>0</v>
      </c>
      <c r="N42" s="226">
        <f>COUNTIFS('2025-Q1'!$E$4:$E$448,'SPDR Chart'!N$1,'2025-Q1'!$F$4:$F$448,'SPDR Chart'!$C42)</f>
        <v>0</v>
      </c>
      <c r="O42" s="226">
        <f>COUNTIFS('2025-Q1'!$E$4:$E$448,'SPDR Chart'!O$1,'2025-Q1'!$F$4:$F$448,'SPDR Chart'!$C42)</f>
        <v>0</v>
      </c>
      <c r="P42" s="226">
        <f>COUNTIFS('2025-Q1'!$E$4:$E$448,'SPDR Chart'!P$1,'2025-Q1'!$F$4:$F$448,'SPDR Chart'!$C42)</f>
        <v>0</v>
      </c>
      <c r="Q42" s="226">
        <f>COUNTIFS('2025-Q1'!$E$4:$E$448,'SPDR Chart'!Q$1,'2025-Q1'!$F$4:$F$448,'SPDR Chart'!$C42)</f>
        <v>0</v>
      </c>
    </row>
    <row r="43" spans="3:17" x14ac:dyDescent="0.25">
      <c r="C43" s="46">
        <v>45742</v>
      </c>
      <c r="D43" s="226">
        <f>COUNTIFS('2025-Q1'!$E$4:$E$448,'SPDR Chart'!D$1,'2025-Q1'!$F$4:$F$448,'SPDR Chart'!$C43)</f>
        <v>1</v>
      </c>
      <c r="E43" s="226">
        <f>COUNTIFS('2025-Q1'!$E$4:$E$448,'SPDR Chart'!E$1,'2025-Q1'!$F$4:$F$448,'SPDR Chart'!$C43)</f>
        <v>0</v>
      </c>
      <c r="F43" s="226">
        <f>COUNTIFS('2025-Q1'!$E$4:$E$448,'SPDR Chart'!F$1,'2025-Q1'!$F$4:$F$448,'SPDR Chart'!$C43)</f>
        <v>0</v>
      </c>
      <c r="G43" s="226">
        <f>COUNTIFS('2025-Q1'!$E$4:$E$448,'SPDR Chart'!G$1,'2025-Q1'!$F$4:$F$448,'SPDR Chart'!$C43)</f>
        <v>0</v>
      </c>
      <c r="H43" s="226">
        <f>COUNTIFS('2025-Q1'!$E$4:$E$448,'SPDR Chart'!H$1,'2025-Q1'!$F$4:$F$448,'SPDR Chart'!$C43)</f>
        <v>0</v>
      </c>
      <c r="I43" s="226">
        <f>COUNTIFS('2025-Q1'!$E$4:$E$448,'SPDR Chart'!I$1,'2025-Q1'!$F$4:$F$448,'SPDR Chart'!$C43)</f>
        <v>0</v>
      </c>
      <c r="J43" s="226">
        <f>COUNTIFS('2025-Q1'!$E$4:$E$448,'SPDR Chart'!J$1,'2025-Q1'!$F$4:$F$448,'SPDR Chart'!$C43)</f>
        <v>1</v>
      </c>
      <c r="K43" s="226">
        <f>COUNTIFS('2025-Q1'!$E$4:$E$448,'SPDR Chart'!K$1,'2025-Q1'!$F$4:$F$448,'SPDR Chart'!$C43)</f>
        <v>0</v>
      </c>
      <c r="L43" s="226">
        <f>COUNTIFS('2025-Q1'!$E$4:$E$448,'SPDR Chart'!L$1,'2025-Q1'!$F$4:$F$448,'SPDR Chart'!$C43)</f>
        <v>0</v>
      </c>
      <c r="M43" s="226">
        <f>COUNTIFS('2025-Q1'!$E$4:$E$448,'SPDR Chart'!M$1,'2025-Q1'!$F$4:$F$448,'SPDR Chart'!$C43)</f>
        <v>0</v>
      </c>
      <c r="N43" s="226">
        <f>COUNTIFS('2025-Q1'!$E$4:$E$448,'SPDR Chart'!N$1,'2025-Q1'!$F$4:$F$448,'SPDR Chart'!$C43)</f>
        <v>0</v>
      </c>
      <c r="O43" s="226">
        <f>COUNTIFS('2025-Q1'!$E$4:$E$448,'SPDR Chart'!O$1,'2025-Q1'!$F$4:$F$448,'SPDR Chart'!$C43)</f>
        <v>0</v>
      </c>
      <c r="P43" s="226">
        <f>COUNTIFS('2025-Q1'!$E$4:$E$448,'SPDR Chart'!P$1,'2025-Q1'!$F$4:$F$448,'SPDR Chart'!$C43)</f>
        <v>0</v>
      </c>
      <c r="Q43" s="226">
        <f>COUNTIFS('2025-Q1'!$E$4:$E$448,'SPDR Chart'!Q$1,'2025-Q1'!$F$4:$F$448,'SPDR Chart'!$C43)</f>
        <v>0</v>
      </c>
    </row>
    <row r="44" spans="3:17" x14ac:dyDescent="0.25">
      <c r="C44" s="46">
        <v>45743</v>
      </c>
      <c r="D44" s="226">
        <f>COUNTIFS('2025-Q1'!$E$4:$E$448,'SPDR Chart'!D$1,'2025-Q1'!$F$4:$F$448,'SPDR Chart'!$C44)</f>
        <v>0</v>
      </c>
      <c r="E44" s="226">
        <f>COUNTIFS('2025-Q1'!$E$4:$E$448,'SPDR Chart'!E$1,'2025-Q1'!$F$4:$F$448,'SPDR Chart'!$C44)</f>
        <v>0</v>
      </c>
      <c r="F44" s="226">
        <f>COUNTIFS('2025-Q1'!$E$4:$E$448,'SPDR Chart'!F$1,'2025-Q1'!$F$4:$F$448,'SPDR Chart'!$C44)</f>
        <v>0</v>
      </c>
      <c r="G44" s="226">
        <f>COUNTIFS('2025-Q1'!$E$4:$E$448,'SPDR Chart'!G$1,'2025-Q1'!$F$4:$F$448,'SPDR Chart'!$C44)</f>
        <v>0</v>
      </c>
      <c r="H44" s="226">
        <f>COUNTIFS('2025-Q1'!$E$4:$E$448,'SPDR Chart'!H$1,'2025-Q1'!$F$4:$F$448,'SPDR Chart'!$C44)</f>
        <v>0</v>
      </c>
      <c r="I44" s="226">
        <f>COUNTIFS('2025-Q1'!$E$4:$E$448,'SPDR Chart'!I$1,'2025-Q1'!$F$4:$F$448,'SPDR Chart'!$C44)</f>
        <v>0</v>
      </c>
      <c r="J44" s="226">
        <f>COUNTIFS('2025-Q1'!$E$4:$E$448,'SPDR Chart'!J$1,'2025-Q1'!$F$4:$F$448,'SPDR Chart'!$C44)</f>
        <v>0</v>
      </c>
      <c r="K44" s="226">
        <f>COUNTIFS('2025-Q1'!$E$4:$E$448,'SPDR Chart'!K$1,'2025-Q1'!$F$4:$F$448,'SPDR Chart'!$C44)</f>
        <v>0</v>
      </c>
      <c r="L44" s="226">
        <f>COUNTIFS('2025-Q1'!$E$4:$E$448,'SPDR Chart'!L$1,'2025-Q1'!$F$4:$F$448,'SPDR Chart'!$C44)</f>
        <v>0</v>
      </c>
      <c r="M44" s="226">
        <f>COUNTIFS('2025-Q1'!$E$4:$E$448,'SPDR Chart'!M$1,'2025-Q1'!$F$4:$F$448,'SPDR Chart'!$C44)</f>
        <v>0</v>
      </c>
      <c r="N44" s="226">
        <f>COUNTIFS('2025-Q1'!$E$4:$E$448,'SPDR Chart'!N$1,'2025-Q1'!$F$4:$F$448,'SPDR Chart'!$C44)</f>
        <v>0</v>
      </c>
      <c r="O44" s="226">
        <f>COUNTIFS('2025-Q1'!$E$4:$E$448,'SPDR Chart'!O$1,'2025-Q1'!$F$4:$F$448,'SPDR Chart'!$C44)</f>
        <v>0</v>
      </c>
      <c r="P44" s="226">
        <f>COUNTIFS('2025-Q1'!$E$4:$E$448,'SPDR Chart'!P$1,'2025-Q1'!$F$4:$F$448,'SPDR Chart'!$C44)</f>
        <v>0</v>
      </c>
      <c r="Q44" s="226">
        <f>COUNTIFS('2025-Q1'!$E$4:$E$448,'SPDR Chart'!Q$1,'2025-Q1'!$F$4:$F$448,'SPDR Chart'!$C44)</f>
        <v>0</v>
      </c>
    </row>
    <row r="45" spans="3:17" x14ac:dyDescent="0.25">
      <c r="C45" s="46">
        <v>45749</v>
      </c>
      <c r="D45" s="226">
        <f>COUNTIFS('2025-Q1'!$E$4:$E$448,'SPDR Chart'!D$1,'2025-Q1'!$F$4:$F$448,'SPDR Chart'!$C45)</f>
        <v>0</v>
      </c>
      <c r="E45" s="226">
        <f>COUNTIFS('2025-Q1'!$E$4:$E$448,'SPDR Chart'!E$1,'2025-Q1'!$F$4:$F$448,'SPDR Chart'!$C45)</f>
        <v>0</v>
      </c>
      <c r="F45" s="226">
        <f>COUNTIFS('2025-Q1'!$E$4:$E$448,'SPDR Chart'!F$1,'2025-Q1'!$F$4:$F$448,'SPDR Chart'!$C45)</f>
        <v>0</v>
      </c>
      <c r="G45" s="226">
        <f>COUNTIFS('2025-Q1'!$E$4:$E$448,'SPDR Chart'!G$1,'2025-Q1'!$F$4:$F$448,'SPDR Chart'!$C45)</f>
        <v>0</v>
      </c>
      <c r="H45" s="226">
        <f>COUNTIFS('2025-Q1'!$E$4:$E$448,'SPDR Chart'!H$1,'2025-Q1'!$F$4:$F$448,'SPDR Chart'!$C45)</f>
        <v>0</v>
      </c>
      <c r="I45" s="226">
        <f>COUNTIFS('2025-Q1'!$E$4:$E$448,'SPDR Chart'!I$1,'2025-Q1'!$F$4:$F$448,'SPDR Chart'!$C45)</f>
        <v>0</v>
      </c>
      <c r="J45" s="226">
        <f>COUNTIFS('2025-Q1'!$E$4:$E$448,'SPDR Chart'!J$1,'2025-Q1'!$F$4:$F$448,'SPDR Chart'!$C45)</f>
        <v>0</v>
      </c>
      <c r="K45" s="226">
        <f>COUNTIFS('2025-Q1'!$E$4:$E$448,'SPDR Chart'!K$1,'2025-Q1'!$F$4:$F$448,'SPDR Chart'!$C45)</f>
        <v>0</v>
      </c>
      <c r="L45" s="226">
        <f>COUNTIFS('2025-Q1'!$E$4:$E$448,'SPDR Chart'!L$1,'2025-Q1'!$F$4:$F$448,'SPDR Chart'!$C45)</f>
        <v>0</v>
      </c>
      <c r="M45" s="226">
        <f>COUNTIFS('2025-Q1'!$E$4:$E$448,'SPDR Chart'!M$1,'2025-Q1'!$F$4:$F$448,'SPDR Chart'!$C45)</f>
        <v>0</v>
      </c>
      <c r="N45" s="226">
        <f>COUNTIFS('2025-Q1'!$E$4:$E$448,'SPDR Chart'!N$1,'2025-Q1'!$F$4:$F$448,'SPDR Chart'!$C45)</f>
        <v>0</v>
      </c>
      <c r="O45" s="226">
        <f>COUNTIFS('2025-Q1'!$E$4:$E$448,'SPDR Chart'!O$1,'2025-Q1'!$F$4:$F$448,'SPDR Chart'!$C45)</f>
        <v>0</v>
      </c>
      <c r="P45" s="226">
        <f>COUNTIFS('2025-Q1'!$E$4:$E$448,'SPDR Chart'!P$1,'2025-Q1'!$F$4:$F$448,'SPDR Chart'!$C45)</f>
        <v>0</v>
      </c>
      <c r="Q45" s="226">
        <f>COUNTIFS('2025-Q1'!$E$4:$E$448,'SPDR Chart'!Q$1,'2025-Q1'!$F$4:$F$448,'SPDR Chart'!$C45)</f>
        <v>0</v>
      </c>
    </row>
    <row r="46" spans="3:17" x14ac:dyDescent="0.25">
      <c r="C46" s="46">
        <v>45750</v>
      </c>
      <c r="D46" s="226">
        <f>COUNTIFS('2025-Q1'!$E$4:$E$448,'SPDR Chart'!D$1,'2025-Q1'!$F$4:$F$448,'SPDR Chart'!$C46)</f>
        <v>0</v>
      </c>
      <c r="E46" s="226">
        <f>COUNTIFS('2025-Q1'!$E$4:$E$448,'SPDR Chart'!E$1,'2025-Q1'!$F$4:$F$448,'SPDR Chart'!$C46)</f>
        <v>0</v>
      </c>
      <c r="F46" s="226">
        <f>COUNTIFS('2025-Q1'!$E$4:$E$448,'SPDR Chart'!F$1,'2025-Q1'!$F$4:$F$448,'SPDR Chart'!$C46)</f>
        <v>0</v>
      </c>
      <c r="G46" s="226">
        <f>COUNTIFS('2025-Q1'!$E$4:$E$448,'SPDR Chart'!G$1,'2025-Q1'!$F$4:$F$448,'SPDR Chart'!$C46)</f>
        <v>0</v>
      </c>
      <c r="H46" s="226">
        <f>COUNTIFS('2025-Q1'!$E$4:$E$448,'SPDR Chart'!H$1,'2025-Q1'!$F$4:$F$448,'SPDR Chart'!$C46)</f>
        <v>0</v>
      </c>
      <c r="I46" s="226">
        <f>COUNTIFS('2025-Q1'!$E$4:$E$448,'SPDR Chart'!I$1,'2025-Q1'!$F$4:$F$448,'SPDR Chart'!$C46)</f>
        <v>0</v>
      </c>
      <c r="J46" s="226">
        <f>COUNTIFS('2025-Q1'!$E$4:$E$448,'SPDR Chart'!J$1,'2025-Q1'!$F$4:$F$448,'SPDR Chart'!$C46)</f>
        <v>0</v>
      </c>
      <c r="K46" s="226">
        <f>COUNTIFS('2025-Q1'!$E$4:$E$448,'SPDR Chart'!K$1,'2025-Q1'!$F$4:$F$448,'SPDR Chart'!$C46)</f>
        <v>0</v>
      </c>
      <c r="L46" s="226">
        <f>COUNTIFS('2025-Q1'!$E$4:$E$448,'SPDR Chart'!L$1,'2025-Q1'!$F$4:$F$448,'SPDR Chart'!$C46)</f>
        <v>0</v>
      </c>
      <c r="M46" s="226">
        <f>COUNTIFS('2025-Q1'!$E$4:$E$448,'SPDR Chart'!M$1,'2025-Q1'!$F$4:$F$448,'SPDR Chart'!$C46)</f>
        <v>0</v>
      </c>
      <c r="N46" s="226">
        <f>COUNTIFS('2025-Q1'!$E$4:$E$448,'SPDR Chart'!N$1,'2025-Q1'!$F$4:$F$448,'SPDR Chart'!$C46)</f>
        <v>0</v>
      </c>
      <c r="O46" s="226">
        <f>COUNTIFS('2025-Q1'!$E$4:$E$448,'SPDR Chart'!O$1,'2025-Q1'!$F$4:$F$448,'SPDR Chart'!$C46)</f>
        <v>0</v>
      </c>
      <c r="P46" s="226">
        <f>COUNTIFS('2025-Q1'!$E$4:$E$448,'SPDR Chart'!P$1,'2025-Q1'!$F$4:$F$448,'SPDR Chart'!$C46)</f>
        <v>0</v>
      </c>
      <c r="Q46" s="226">
        <f>COUNTIFS('2025-Q1'!$E$4:$E$448,'SPDR Chart'!Q$1,'2025-Q1'!$F$4:$F$448,'SPDR Chart'!$C46)</f>
        <v>0</v>
      </c>
    </row>
    <row r="47" spans="3:17" x14ac:dyDescent="0.25">
      <c r="C47" s="46">
        <v>45757</v>
      </c>
      <c r="D47" s="226">
        <f>COUNTIFS('2025-Q1'!$E$4:$E$448,'SPDR Chart'!D$1,'2025-Q1'!$F$4:$F$448,'SPDR Chart'!$C47)</f>
        <v>0</v>
      </c>
      <c r="E47" s="226">
        <f>COUNTIFS('2025-Q1'!$E$4:$E$448,'SPDR Chart'!E$1,'2025-Q1'!$F$4:$F$448,'SPDR Chart'!$C47)</f>
        <v>0</v>
      </c>
      <c r="F47" s="226">
        <f>COUNTIFS('2025-Q1'!$E$4:$E$448,'SPDR Chart'!F$1,'2025-Q1'!$F$4:$F$448,'SPDR Chart'!$C47)</f>
        <v>0</v>
      </c>
      <c r="G47" s="226">
        <f>COUNTIFS('2025-Q1'!$E$4:$E$448,'SPDR Chart'!G$1,'2025-Q1'!$F$4:$F$448,'SPDR Chart'!$C47)</f>
        <v>0</v>
      </c>
      <c r="H47" s="226">
        <f>COUNTIFS('2025-Q1'!$E$4:$E$448,'SPDR Chart'!H$1,'2025-Q1'!$F$4:$F$448,'SPDR Chart'!$C47)</f>
        <v>0</v>
      </c>
      <c r="I47" s="226">
        <f>COUNTIFS('2025-Q1'!$E$4:$E$448,'SPDR Chart'!I$1,'2025-Q1'!$F$4:$F$448,'SPDR Chart'!$C47)</f>
        <v>0</v>
      </c>
      <c r="J47" s="226">
        <f>COUNTIFS('2025-Q1'!$E$4:$E$448,'SPDR Chart'!J$1,'2025-Q1'!$F$4:$F$448,'SPDR Chart'!$C47)</f>
        <v>0</v>
      </c>
      <c r="K47" s="226">
        <f>COUNTIFS('2025-Q1'!$E$4:$E$448,'SPDR Chart'!K$1,'2025-Q1'!$F$4:$F$448,'SPDR Chart'!$C47)</f>
        <v>0</v>
      </c>
      <c r="L47" s="226">
        <f>COUNTIFS('2025-Q1'!$E$4:$E$448,'SPDR Chart'!L$1,'2025-Q1'!$F$4:$F$448,'SPDR Chart'!$C47)</f>
        <v>0</v>
      </c>
      <c r="M47" s="226">
        <f>COUNTIFS('2025-Q1'!$E$4:$E$448,'SPDR Chart'!M$1,'2025-Q1'!$F$4:$F$448,'SPDR Chart'!$C47)</f>
        <v>0</v>
      </c>
      <c r="N47" s="226">
        <f>COUNTIFS('2025-Q1'!$E$4:$E$448,'SPDR Chart'!N$1,'2025-Q1'!$F$4:$F$448,'SPDR Chart'!$C47)</f>
        <v>0</v>
      </c>
      <c r="O47" s="226">
        <f>COUNTIFS('2025-Q1'!$E$4:$E$448,'SPDR Chart'!O$1,'2025-Q1'!$F$4:$F$448,'SPDR Chart'!$C47)</f>
        <v>0</v>
      </c>
      <c r="P47" s="226">
        <f>COUNTIFS('2025-Q1'!$E$4:$E$448,'SPDR Chart'!P$1,'2025-Q1'!$F$4:$F$448,'SPDR Chart'!$C47)</f>
        <v>0</v>
      </c>
      <c r="Q47" s="226">
        <f>COUNTIFS('2025-Q1'!$E$4:$E$448,'SPDR Chart'!Q$1,'2025-Q1'!$F$4:$F$448,'SPDR Chart'!$C47)</f>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F850-B7EB-4C06-8076-9FC45ECE1B50}">
  <sheetPr>
    <tabColor rgb="FF92D050"/>
  </sheetPr>
  <dimension ref="A43:AB510"/>
  <sheetViews>
    <sheetView showGridLines="0" topLeftCell="D145" zoomScaleNormal="100" workbookViewId="0">
      <selection activeCell="O66" sqref="O66"/>
    </sheetView>
  </sheetViews>
  <sheetFormatPr defaultRowHeight="15" x14ac:dyDescent="0.25"/>
  <cols>
    <col min="3" max="3" width="8" customWidth="1"/>
    <col min="4" max="4" width="10.42578125" customWidth="1"/>
  </cols>
  <sheetData>
    <row r="43" spans="28:28" x14ac:dyDescent="0.25">
      <c r="AB43" t="s">
        <v>5073</v>
      </c>
    </row>
    <row r="441" spans="1:4" x14ac:dyDescent="0.25">
      <c r="A441" s="569" t="s">
        <v>6432</v>
      </c>
      <c r="B441" s="569"/>
      <c r="C441" s="569"/>
      <c r="D441" s="569"/>
    </row>
    <row r="442" spans="1:4" x14ac:dyDescent="0.25">
      <c r="A442" s="381" t="s">
        <v>4717</v>
      </c>
      <c r="B442" s="381" t="s">
        <v>4965</v>
      </c>
      <c r="C442" s="395" t="s">
        <v>6428</v>
      </c>
      <c r="D442" s="382" t="s">
        <v>5700</v>
      </c>
    </row>
    <row r="443" spans="1:4" x14ac:dyDescent="0.25">
      <c r="A443" s="15" t="s">
        <v>4723</v>
      </c>
      <c r="B443" s="384">
        <f>_xlfn.XLOOKUP('Rev Curves'!$A443,'Stats Roll Up'!$B$4:$B$20,'Stats Roll Up'!$F$4:$F$20)</f>
        <v>10</v>
      </c>
      <c r="C443" s="17">
        <f>_xlfn.XLOOKUP('Rev Curves'!$A443,'Stats Roll Up'!$B$4:$B$20,'Stats Roll Up'!$G$4:$G$20)</f>
        <v>0.7</v>
      </c>
      <c r="D443" s="385">
        <f>_xlfn.XLOOKUP(A443,Expectancy!$P$3:$P$19,Expectancy!$Q$3:$Q$19)</f>
        <v>0.35290544702120547</v>
      </c>
    </row>
    <row r="444" spans="1:4" x14ac:dyDescent="0.25">
      <c r="A444" s="15" t="s">
        <v>4719</v>
      </c>
      <c r="B444" s="384">
        <f>_xlfn.XLOOKUP('Rev Curves'!A444,'Stats Roll Up'!$B$4:$B$20,'Stats Roll Up'!$F$4:$F$20)</f>
        <v>6</v>
      </c>
      <c r="C444" s="17">
        <f>_xlfn.XLOOKUP('Rev Curves'!$A444,'Stats Roll Up'!$B$4:$B$20,'Stats Roll Up'!$G$4:$G$20)</f>
        <v>0.83333333333333337</v>
      </c>
      <c r="D444" s="385">
        <f>_xlfn.XLOOKUP(A444,Expectancy!$P$3:$P$19,Expectancy!$Q$3:$Q$19)</f>
        <v>0.43526476867969371</v>
      </c>
    </row>
    <row r="445" spans="1:4" x14ac:dyDescent="0.25">
      <c r="A445" s="15" t="s">
        <v>5009</v>
      </c>
      <c r="B445" s="384">
        <f>_xlfn.XLOOKUP('Rev Curves'!A445,'Stats Roll Up'!$B$4:$B$20,'Stats Roll Up'!$F$4:$F$20)</f>
        <v>10</v>
      </c>
      <c r="C445" s="17">
        <f>_xlfn.XLOOKUP('Rev Curves'!$A445,'Stats Roll Up'!$B$4:$B$20,'Stats Roll Up'!$G$4:$G$20)</f>
        <v>0.7</v>
      </c>
      <c r="D445" s="385">
        <f>_xlfn.XLOOKUP(A445,Expectancy!$P$3:$P$19,Expectancy!$Q$3:$Q$19)</f>
        <v>1.0051961559281768</v>
      </c>
    </row>
    <row r="446" spans="1:4" x14ac:dyDescent="0.25">
      <c r="A446" s="15" t="s">
        <v>4773</v>
      </c>
      <c r="B446" s="384">
        <f>_xlfn.XLOOKUP('Rev Curves'!A446,'Stats Roll Up'!$B$4:$B$20,'Stats Roll Up'!$F$4:$F$20)</f>
        <v>0</v>
      </c>
      <c r="C446" s="17">
        <f>_xlfn.XLOOKUP('Rev Curves'!$A446,'Stats Roll Up'!$B$4:$B$20,'Stats Roll Up'!$G$4:$G$20)</f>
        <v>0</v>
      </c>
      <c r="D446" s="385">
        <f>_xlfn.XLOOKUP(A446,Expectancy!$P$3:$P$19,Expectancy!$Q$3:$Q$19)</f>
        <v>0</v>
      </c>
    </row>
    <row r="447" spans="1:4" x14ac:dyDescent="0.25">
      <c r="A447" s="15" t="s">
        <v>4722</v>
      </c>
      <c r="B447" s="384">
        <f>_xlfn.XLOOKUP('Rev Curves'!A447,'Stats Roll Up'!$B$4:$B$20,'Stats Roll Up'!$F$4:$F$20)</f>
        <v>15</v>
      </c>
      <c r="C447" s="17">
        <f>_xlfn.XLOOKUP('Rev Curves'!$A447,'Stats Roll Up'!$B$4:$B$20,'Stats Roll Up'!$G$4:$G$20)</f>
        <v>0.6</v>
      </c>
      <c r="D447" s="385">
        <f>_xlfn.XLOOKUP(A447,Expectancy!$P$3:$P$19,Expectancy!$Q$3:$Q$19)</f>
        <v>-4.1762476788754908E-2</v>
      </c>
    </row>
    <row r="448" spans="1:4" x14ac:dyDescent="0.25">
      <c r="A448" s="15" t="s">
        <v>4728</v>
      </c>
      <c r="B448" s="384">
        <f>_xlfn.XLOOKUP('Rev Curves'!A448,'Stats Roll Up'!$B$4:$B$20,'Stats Roll Up'!$F$4:$F$20)</f>
        <v>9</v>
      </c>
      <c r="C448" s="17">
        <f>_xlfn.XLOOKUP('Rev Curves'!$A448,'Stats Roll Up'!$B$4:$B$20,'Stats Roll Up'!$G$4:$G$20)</f>
        <v>0.33333333333333331</v>
      </c>
      <c r="D448" s="385">
        <f>_xlfn.XLOOKUP(A448,Expectancy!$P$3:$P$19,Expectancy!$Q$3:$Q$19)</f>
        <v>9.4642213510490861E-2</v>
      </c>
    </row>
    <row r="449" spans="1:4" x14ac:dyDescent="0.25">
      <c r="A449" s="15" t="s">
        <v>4724</v>
      </c>
      <c r="B449" s="384">
        <f>_xlfn.XLOOKUP('Rev Curves'!A449,'Stats Roll Up'!$B$4:$B$20,'Stats Roll Up'!$F$4:$F$20)</f>
        <v>4</v>
      </c>
      <c r="C449" s="17">
        <f>_xlfn.XLOOKUP('Rev Curves'!$A449,'Stats Roll Up'!$B$4:$B$20,'Stats Roll Up'!$G$4:$G$20)</f>
        <v>0.5</v>
      </c>
      <c r="D449" s="385">
        <f>_xlfn.XLOOKUP(A449,Expectancy!$P$3:$P$19,Expectancy!$Q$3:$Q$19)</f>
        <v>0.264760236699845</v>
      </c>
    </row>
    <row r="450" spans="1:4" x14ac:dyDescent="0.25">
      <c r="A450" s="15" t="s">
        <v>4721</v>
      </c>
      <c r="B450" s="384">
        <f>_xlfn.XLOOKUP('Rev Curves'!A450,'Stats Roll Up'!$B$4:$B$20,'Stats Roll Up'!$F$4:$F$20)</f>
        <v>28</v>
      </c>
      <c r="C450" s="17">
        <f>_xlfn.XLOOKUP('Rev Curves'!$A450,'Stats Roll Up'!$B$4:$B$20,'Stats Roll Up'!$G$4:$G$20)</f>
        <v>0.5</v>
      </c>
      <c r="D450" s="385">
        <f>_xlfn.XLOOKUP(A450,Expectancy!$P$3:$P$19,Expectancy!$Q$3:$Q$19)</f>
        <v>-7.9483352726509887E-2</v>
      </c>
    </row>
    <row r="451" spans="1:4" x14ac:dyDescent="0.25">
      <c r="A451" s="15" t="s">
        <v>4727</v>
      </c>
      <c r="B451" s="384">
        <f>_xlfn.XLOOKUP('Rev Curves'!A451,'Stats Roll Up'!$B$4:$B$20,'Stats Roll Up'!$F$4:$F$20)</f>
        <v>13</v>
      </c>
      <c r="C451" s="17">
        <f>_xlfn.XLOOKUP('Rev Curves'!$A451,'Stats Roll Up'!$B$4:$B$20,'Stats Roll Up'!$G$4:$G$20)</f>
        <v>0.23076923076923078</v>
      </c>
      <c r="D451" s="385">
        <f>_xlfn.XLOOKUP(A451,Expectancy!$P$3:$P$19,Expectancy!$Q$3:$Q$19)</f>
        <v>-0.45514116799985843</v>
      </c>
    </row>
    <row r="452" spans="1:4" x14ac:dyDescent="0.25">
      <c r="A452" s="15" t="s">
        <v>4718</v>
      </c>
      <c r="B452" s="384">
        <f>_xlfn.XLOOKUP('Rev Curves'!A452,'Stats Roll Up'!$B$4:$B$20,'Stats Roll Up'!$F$4:$F$20)</f>
        <v>2</v>
      </c>
      <c r="C452" s="17">
        <f>_xlfn.XLOOKUP('Rev Curves'!$A452,'Stats Roll Up'!$B$4:$B$20,'Stats Roll Up'!$G$4:$G$20)</f>
        <v>0</v>
      </c>
      <c r="D452" s="385">
        <f>_xlfn.XLOOKUP(A452,Expectancy!$P$3:$P$19,Expectancy!$Q$3:$Q$19)</f>
        <v>-0.11318819365066257</v>
      </c>
    </row>
    <row r="453" spans="1:4" x14ac:dyDescent="0.25">
      <c r="A453" s="379" t="s">
        <v>1413</v>
      </c>
      <c r="B453" s="379">
        <f>_xlfn.XLOOKUP('Rev Curves'!A453,'Stats Roll Up'!$B$4:$B$20,'Stats Roll Up'!$F$4:$F$20)</f>
        <v>101</v>
      </c>
      <c r="C453" s="380">
        <f>_xlfn.XLOOKUP('Rev Curves'!$A453,'Stats Roll Up'!$B$4:$B$20,'Stats Roll Up'!$G$4:$G$20)</f>
        <v>0.52475247524752477</v>
      </c>
      <c r="D453" s="383">
        <f>_xlfn.XLOOKUP(A453,Expectancy!$P$3:$P$19,Expectancy!$Q$3:$Q$19)</f>
        <v>9.910276695196775E-2</v>
      </c>
    </row>
    <row r="469" spans="1:4" x14ac:dyDescent="0.25">
      <c r="A469" s="569" t="s">
        <v>6431</v>
      </c>
      <c r="B469" s="569"/>
      <c r="C469" s="569"/>
      <c r="D469" s="569"/>
    </row>
    <row r="470" spans="1:4" x14ac:dyDescent="0.25">
      <c r="A470" s="381" t="s">
        <v>4717</v>
      </c>
      <c r="B470" s="381" t="s">
        <v>4965</v>
      </c>
      <c r="C470" s="395" t="s">
        <v>6429</v>
      </c>
      <c r="D470" s="382" t="s">
        <v>5700</v>
      </c>
    </row>
    <row r="471" spans="1:4" x14ac:dyDescent="0.25">
      <c r="A471" s="15" t="s">
        <v>4723</v>
      </c>
      <c r="B471" s="384">
        <f>_xlfn.XLOOKUP('Rev Curves'!$A471,'Stats Roll Up'!$B$4:$B$20,'Stats Roll Up'!$J$4:$J$20)</f>
        <v>7</v>
      </c>
      <c r="C471" s="17">
        <f>_xlfn.XLOOKUP('Rev Curves'!$A471,'Stats Roll Up'!$B$4:$B$20,'Stats Roll Up'!$Y$4:$Y$20)</f>
        <v>0.5714285714285714</v>
      </c>
      <c r="D471" s="385">
        <f>_xlfn.XLOOKUP(A471,Expectancy!$P$3:$P$19,Expectancy!$R$3:$R$19)</f>
        <v>1.1895734332751575</v>
      </c>
    </row>
    <row r="472" spans="1:4" x14ac:dyDescent="0.25">
      <c r="A472" s="15" t="s">
        <v>4719</v>
      </c>
      <c r="B472" s="384">
        <f>_xlfn.XLOOKUP('Rev Curves'!A472,'Stats Roll Up'!$B$4:$B$20,'Stats Roll Up'!$J$4:$J$20)</f>
        <v>5</v>
      </c>
      <c r="C472" s="17">
        <f>_xlfn.XLOOKUP('Rev Curves'!$A472,'Stats Roll Up'!$B$4:$B$20,'Stats Roll Up'!$Y$4:$Y$20)</f>
        <v>0.4</v>
      </c>
      <c r="D472" s="385">
        <f>_xlfn.XLOOKUP(A472,Expectancy!$P$3:$P$19,Expectancy!$R$3:$R$19)</f>
        <v>-4.003891381455995E-2</v>
      </c>
    </row>
    <row r="473" spans="1:4" x14ac:dyDescent="0.25">
      <c r="A473" s="15" t="s">
        <v>5009</v>
      </c>
      <c r="B473" s="384">
        <f>_xlfn.XLOOKUP('Rev Curves'!A473,'Stats Roll Up'!$B$4:$B$20,'Stats Roll Up'!$J$4:$J$20)</f>
        <v>11</v>
      </c>
      <c r="C473" s="17">
        <f>_xlfn.XLOOKUP('Rev Curves'!$A473,'Stats Roll Up'!$B$4:$B$20,'Stats Roll Up'!$Y$4:$Y$20)</f>
        <v>0.72727272727272729</v>
      </c>
      <c r="D473" s="385">
        <f>_xlfn.XLOOKUP(A473,Expectancy!$P$3:$P$19,Expectancy!$R$3:$R$19)</f>
        <v>0.78642334455186147</v>
      </c>
    </row>
    <row r="474" spans="1:4" x14ac:dyDescent="0.25">
      <c r="A474" s="15" t="s">
        <v>4773</v>
      </c>
      <c r="B474" s="384">
        <f>_xlfn.XLOOKUP('Rev Curves'!A474,'Stats Roll Up'!$B$4:$B$20,'Stats Roll Up'!$J$4:$J$20)</f>
        <v>6</v>
      </c>
      <c r="C474" s="17">
        <f>_xlfn.XLOOKUP('Rev Curves'!$A474,'Stats Roll Up'!$B$4:$B$20,'Stats Roll Up'!$Y$4:$Y$20)</f>
        <v>0.66666666666666663</v>
      </c>
      <c r="D474" s="385">
        <f>_xlfn.XLOOKUP(A474,Expectancy!$P$3:$P$19,Expectancy!$R$3:$R$19)</f>
        <v>0.6915396365341927</v>
      </c>
    </row>
    <row r="475" spans="1:4" x14ac:dyDescent="0.25">
      <c r="A475" s="15" t="s">
        <v>4722</v>
      </c>
      <c r="B475" s="384">
        <f>_xlfn.XLOOKUP('Rev Curves'!A475,'Stats Roll Up'!$B$4:$B$20,'Stats Roll Up'!$J$4:$J$20)</f>
        <v>15</v>
      </c>
      <c r="C475" s="17">
        <f>_xlfn.XLOOKUP('Rev Curves'!$A475,'Stats Roll Up'!$B$4:$B$20,'Stats Roll Up'!$Y$4:$Y$20)</f>
        <v>0.66666666666666663</v>
      </c>
      <c r="D475" s="385">
        <f>_xlfn.XLOOKUP(A475,Expectancy!$P$3:$P$19,Expectancy!$R$3:$R$19)</f>
        <v>0.3117803024854584</v>
      </c>
    </row>
    <row r="476" spans="1:4" x14ac:dyDescent="0.25">
      <c r="A476" s="15" t="s">
        <v>4728</v>
      </c>
      <c r="B476" s="384">
        <f>_xlfn.XLOOKUP('Rev Curves'!A476,'Stats Roll Up'!$B$4:$B$20,'Stats Roll Up'!$J$4:$J$20)</f>
        <v>17</v>
      </c>
      <c r="C476" s="17">
        <f>_xlfn.XLOOKUP('Rev Curves'!$A476,'Stats Roll Up'!$B$4:$B$20,'Stats Roll Up'!$Y$4:$Y$20)</f>
        <v>0.47058823529411764</v>
      </c>
      <c r="D476" s="385">
        <f>_xlfn.XLOOKUP(A476,Expectancy!$P$3:$P$19,Expectancy!$R$3:$R$19)</f>
        <v>-9.4786290791818092E-2</v>
      </c>
    </row>
    <row r="477" spans="1:4" x14ac:dyDescent="0.25">
      <c r="A477" s="15" t="s">
        <v>4724</v>
      </c>
      <c r="B477" s="384">
        <f>_xlfn.XLOOKUP('Rev Curves'!A477,'Stats Roll Up'!$B$4:$B$20,'Stats Roll Up'!$J$4:$J$20)</f>
        <v>20</v>
      </c>
      <c r="C477" s="17">
        <f>_xlfn.XLOOKUP('Rev Curves'!$A477,'Stats Roll Up'!$B$4:$B$20,'Stats Roll Up'!$Y$4:$Y$20)</f>
        <v>0.7</v>
      </c>
      <c r="D477" s="385">
        <f>_xlfn.XLOOKUP(A477,Expectancy!$P$3:$P$19,Expectancy!$R$3:$R$19)</f>
        <v>0.30769020202715358</v>
      </c>
    </row>
    <row r="478" spans="1:4" x14ac:dyDescent="0.25">
      <c r="A478" s="15" t="s">
        <v>4721</v>
      </c>
      <c r="B478" s="384">
        <f>_xlfn.XLOOKUP('Rev Curves'!A478,'Stats Roll Up'!$B$4:$B$20,'Stats Roll Up'!$J$4:$J$20)</f>
        <v>3</v>
      </c>
      <c r="C478" s="17">
        <f>_xlfn.XLOOKUP('Rev Curves'!$A478,'Stats Roll Up'!$B$4:$B$20,'Stats Roll Up'!$Y$4:$Y$20)</f>
        <v>0</v>
      </c>
      <c r="D478" s="385">
        <f>_xlfn.XLOOKUP(A478,Expectancy!$P$3:$P$19,Expectancy!$R$3:$R$19)</f>
        <v>-0.57605218740440378</v>
      </c>
    </row>
    <row r="479" spans="1:4" x14ac:dyDescent="0.25">
      <c r="A479" s="15" t="s">
        <v>4727</v>
      </c>
      <c r="B479" s="384">
        <f>_xlfn.XLOOKUP('Rev Curves'!A479,'Stats Roll Up'!$B$4:$B$20,'Stats Roll Up'!$J$4:$J$20)</f>
        <v>13</v>
      </c>
      <c r="C479" s="17">
        <f>_xlfn.XLOOKUP('Rev Curves'!$A479,'Stats Roll Up'!$B$4:$B$20,'Stats Roll Up'!$Y$4:$Y$20)</f>
        <v>0.61538461538461542</v>
      </c>
      <c r="D479" s="385">
        <f>_xlfn.XLOOKUP(A479,Expectancy!$P$3:$P$19,Expectancy!$R$3:$R$19)</f>
        <v>0.18997806194873415</v>
      </c>
    </row>
    <row r="480" spans="1:4" x14ac:dyDescent="0.25">
      <c r="A480" s="15" t="s">
        <v>4718</v>
      </c>
      <c r="B480" s="384">
        <f>_xlfn.XLOOKUP('Rev Curves'!A480,'Stats Roll Up'!$B$4:$B$20,'Stats Roll Up'!$J$4:$J$20)</f>
        <v>14</v>
      </c>
      <c r="C480" s="17">
        <f>_xlfn.XLOOKUP('Rev Curves'!$A480,'Stats Roll Up'!$B$4:$B$20,'Stats Roll Up'!$Y$4:$Y$20)</f>
        <v>0.6428571428571429</v>
      </c>
      <c r="D480" s="385">
        <f>_xlfn.XLOOKUP(A480,Expectancy!$P$3:$P$19,Expectancy!$R$3:$R$19)</f>
        <v>0.73529829292760662</v>
      </c>
    </row>
    <row r="481" spans="1:4" x14ac:dyDescent="0.25">
      <c r="A481" s="379" t="s">
        <v>1413</v>
      </c>
      <c r="B481" s="379">
        <f>_xlfn.XLOOKUP('Rev Curves'!A481,'Stats Roll Up'!$B$4:$B$20,'Stats Roll Up'!$J$4:$J$20)</f>
        <v>128</v>
      </c>
      <c r="C481" s="380">
        <f>_xlfn.XLOOKUP('Rev Curves'!$A481,'Stats Roll Up'!$B$4:$B$20,'Stats Roll Up'!$Y$4:$Y$20)</f>
        <v>0.59375</v>
      </c>
      <c r="D481" s="383">
        <f>_xlfn.XLOOKUP(A481,Expectancy!$P$3:$P$19,Expectancy!$R$3:$R$19)</f>
        <v>0.33981949109309956</v>
      </c>
    </row>
    <row r="498" spans="1:4" x14ac:dyDescent="0.25">
      <c r="A498" s="569" t="s">
        <v>6430</v>
      </c>
      <c r="B498" s="569"/>
      <c r="C498" s="569"/>
      <c r="D498" s="569"/>
    </row>
    <row r="499" spans="1:4" x14ac:dyDescent="0.25">
      <c r="A499" s="381" t="s">
        <v>4717</v>
      </c>
      <c r="B499" s="381" t="s">
        <v>4965</v>
      </c>
      <c r="C499" s="395" t="s">
        <v>6428</v>
      </c>
      <c r="D499" s="382" t="s">
        <v>5700</v>
      </c>
    </row>
    <row r="500" spans="1:4" x14ac:dyDescent="0.25">
      <c r="A500" s="15" t="s">
        <v>4723</v>
      </c>
      <c r="B500" s="384">
        <f>_xlfn.XLOOKUP('Rev Curves'!$A500,'Stats Roll Up'!$B$4:$B$20,'Stats Roll Up'!$N$4:$N$20)</f>
        <v>16</v>
      </c>
      <c r="C500" s="17">
        <f>_xlfn.XLOOKUP('Rev Curves'!$A500,'Stats Roll Up'!$B$4:$B$20,'Stats Roll Up'!$O$4:$O$20)</f>
        <v>0.5</v>
      </c>
      <c r="D500" s="385">
        <f>_xlfn.XLOOKUP(A500,Expectancy!$P$3:$P$19,Expectancy!$S$3:$S$19)</f>
        <v>-0.17081772033279666</v>
      </c>
    </row>
    <row r="501" spans="1:4" x14ac:dyDescent="0.25">
      <c r="A501" s="15" t="s">
        <v>4719</v>
      </c>
      <c r="B501" s="384">
        <f>_xlfn.XLOOKUP('Rev Curves'!A501,'Stats Roll Up'!$B$4:$B$20,'Stats Roll Up'!$N$4:$N$20)</f>
        <v>6</v>
      </c>
      <c r="C501" s="17">
        <f>_xlfn.XLOOKUP('Rev Curves'!$A501,'Stats Roll Up'!$B$4:$B$20,'Stats Roll Up'!$O$4:$O$20)</f>
        <v>0.66666666666666663</v>
      </c>
      <c r="D501" s="385">
        <f>_xlfn.XLOOKUP(A501,Expectancy!$P$3:$P$19,Expectancy!$S$3:$S$19)</f>
        <v>0.70195709060766942</v>
      </c>
    </row>
    <row r="502" spans="1:4" x14ac:dyDescent="0.25">
      <c r="A502" s="15" t="s">
        <v>5009</v>
      </c>
      <c r="B502" s="384">
        <f>_xlfn.XLOOKUP('Rev Curves'!A502,'Stats Roll Up'!$B$4:$B$20,'Stats Roll Up'!$N$4:$N$20)</f>
        <v>23</v>
      </c>
      <c r="C502" s="17">
        <f>_xlfn.XLOOKUP('Rev Curves'!$A502,'Stats Roll Up'!$B$4:$B$20,'Stats Roll Up'!$O$4:$O$20)</f>
        <v>0.47826086956521741</v>
      </c>
      <c r="D502" s="385">
        <f>_xlfn.XLOOKUP(A502,Expectancy!$P$3:$P$19,Expectancy!$S$3:$S$19)</f>
        <v>0.27741610538114203</v>
      </c>
    </row>
    <row r="503" spans="1:4" x14ac:dyDescent="0.25">
      <c r="A503" s="15" t="s">
        <v>4773</v>
      </c>
      <c r="B503" s="384">
        <f>_xlfn.XLOOKUP('Rev Curves'!A503,'Stats Roll Up'!$B$4:$B$20,'Stats Roll Up'!$N$4:$N$20)</f>
        <v>14</v>
      </c>
      <c r="C503" s="17">
        <f>_xlfn.XLOOKUP('Rev Curves'!$A503,'Stats Roll Up'!$B$4:$B$20,'Stats Roll Up'!$O$4:$O$20)</f>
        <v>0.5714285714285714</v>
      </c>
      <c r="D503" s="385">
        <f>_xlfn.XLOOKUP(A503,Expectancy!$P$3:$P$19,Expectancy!$S$3:$S$19)</f>
        <v>-0.16876070792161713</v>
      </c>
    </row>
    <row r="504" spans="1:4" x14ac:dyDescent="0.25">
      <c r="A504" s="15" t="s">
        <v>4722</v>
      </c>
      <c r="B504" s="384">
        <f>_xlfn.XLOOKUP('Rev Curves'!A504,'Stats Roll Up'!$B$4:$B$20,'Stats Roll Up'!$N$4:$N$20)</f>
        <v>38</v>
      </c>
      <c r="C504" s="17">
        <f>_xlfn.XLOOKUP('Rev Curves'!$A504,'Stats Roll Up'!$B$4:$B$20,'Stats Roll Up'!$O$4:$O$20)</f>
        <v>0.47368421052631576</v>
      </c>
      <c r="D504" s="385">
        <f>_xlfn.XLOOKUP(A504,Expectancy!$P$3:$P$19,Expectancy!$S$3:$S$19)</f>
        <v>2.40735201201209E-2</v>
      </c>
    </row>
    <row r="505" spans="1:4" x14ac:dyDescent="0.25">
      <c r="A505" s="15" t="s">
        <v>4728</v>
      </c>
      <c r="B505" s="384">
        <f>_xlfn.XLOOKUP('Rev Curves'!A505,'Stats Roll Up'!$B$4:$B$20,'Stats Roll Up'!$N$4:$N$20)</f>
        <v>23</v>
      </c>
      <c r="C505" s="17">
        <f>_xlfn.XLOOKUP('Rev Curves'!$A505,'Stats Roll Up'!$B$4:$B$20,'Stats Roll Up'!$O$4:$O$20)</f>
        <v>0.73913043478260865</v>
      </c>
      <c r="D505" s="385">
        <f>_xlfn.XLOOKUP(A505,Expectancy!$P$3:$P$19,Expectancy!$S$3:$S$19)</f>
        <v>0.48685636958953199</v>
      </c>
    </row>
    <row r="506" spans="1:4" x14ac:dyDescent="0.25">
      <c r="A506" s="15" t="s">
        <v>4724</v>
      </c>
      <c r="B506" s="384">
        <f>_xlfn.XLOOKUP('Rev Curves'!A506,'Stats Roll Up'!$B$4:$B$20,'Stats Roll Up'!$N$4:$N$20)</f>
        <v>11</v>
      </c>
      <c r="C506" s="17">
        <f>_xlfn.XLOOKUP('Rev Curves'!$A506,'Stats Roll Up'!$B$4:$B$20,'Stats Roll Up'!$O$4:$O$20)</f>
        <v>0.54545454545454541</v>
      </c>
      <c r="D506" s="385">
        <f>_xlfn.XLOOKUP(A506,Expectancy!$P$3:$P$19,Expectancy!$S$3:$S$19)</f>
        <v>0.40561946259505821</v>
      </c>
    </row>
    <row r="507" spans="1:4" x14ac:dyDescent="0.25">
      <c r="A507" s="15" t="s">
        <v>4721</v>
      </c>
      <c r="B507" s="384">
        <f>_xlfn.XLOOKUP('Rev Curves'!A507,'Stats Roll Up'!$B$4:$B$20,'Stats Roll Up'!$N$4:$N$20)</f>
        <v>18</v>
      </c>
      <c r="C507" s="17">
        <f>_xlfn.XLOOKUP('Rev Curves'!$A507,'Stats Roll Up'!$B$4:$B$20,'Stats Roll Up'!$O$4:$O$20)</f>
        <v>0.61111111111111116</v>
      </c>
      <c r="D507" s="385">
        <f>_xlfn.XLOOKUP(A507,Expectancy!$P$3:$P$19,Expectancy!$S$3:$S$19)</f>
        <v>9.9793136114217987E-2</v>
      </c>
    </row>
    <row r="508" spans="1:4" x14ac:dyDescent="0.25">
      <c r="A508" s="15" t="s">
        <v>4727</v>
      </c>
      <c r="B508" s="384">
        <f>_xlfn.XLOOKUP('Rev Curves'!A508,'Stats Roll Up'!$B$4:$B$20,'Stats Roll Up'!$N$4:$N$20)</f>
        <v>29</v>
      </c>
      <c r="C508" s="17">
        <f>_xlfn.XLOOKUP('Rev Curves'!$A508,'Stats Roll Up'!$B$4:$B$20,'Stats Roll Up'!$O$4:$O$20)</f>
        <v>0.44827586206896552</v>
      </c>
      <c r="D508" s="385">
        <f>_xlfn.XLOOKUP(A508,Expectancy!$P$3:$P$19,Expectancy!$S$3:$S$19)</f>
        <v>-0.15084750675779673</v>
      </c>
    </row>
    <row r="509" spans="1:4" x14ac:dyDescent="0.25">
      <c r="A509" s="15" t="s">
        <v>4718</v>
      </c>
      <c r="B509" s="384">
        <f>_xlfn.XLOOKUP('Rev Curves'!A509,'Stats Roll Up'!$B$4:$B$20,'Stats Roll Up'!$N$4:$N$20)</f>
        <v>10</v>
      </c>
      <c r="C509" s="17">
        <f>_xlfn.XLOOKUP('Rev Curves'!$A509,'Stats Roll Up'!$B$4:$B$20,'Stats Roll Up'!$O$4:$O$20)</f>
        <v>0.3</v>
      </c>
      <c r="D509" s="385">
        <f>_xlfn.XLOOKUP(A509,Expectancy!$P$3:$P$19,Expectancy!$S$3:$S$19)</f>
        <v>-0.22212962098938482</v>
      </c>
    </row>
    <row r="510" spans="1:4" x14ac:dyDescent="0.25">
      <c r="A510" s="379" t="s">
        <v>1413</v>
      </c>
      <c r="B510" s="379">
        <f>_xlfn.XLOOKUP('Rev Curves'!A510,'Stats Roll Up'!$B$4:$B$20,'Stats Roll Up'!$N$4:$N$20)</f>
        <v>215</v>
      </c>
      <c r="C510" s="380">
        <f>_xlfn.XLOOKUP('Rev Curves'!$A510,'Stats Roll Up'!$B$4:$B$20,'Stats Roll Up'!$O$4:$O$20)</f>
        <v>0.51162790697674421</v>
      </c>
      <c r="D510" s="383">
        <f>_xlfn.XLOOKUP(A510,Expectancy!$P$3:$P$19,Expectancy!$S$3:$S$19)</f>
        <v>7.0355977508744005E-2</v>
      </c>
    </row>
  </sheetData>
  <mergeCells count="3">
    <mergeCell ref="A441:D441"/>
    <mergeCell ref="A469:D469"/>
    <mergeCell ref="A498:D498"/>
  </mergeCells>
  <conditionalFormatting sqref="B443:B452">
    <cfRule type="dataBar" priority="14">
      <dataBar>
        <cfvo type="min"/>
        <cfvo type="max"/>
        <color rgb="FF63C384"/>
      </dataBar>
      <extLst>
        <ext xmlns:x14="http://schemas.microsoft.com/office/spreadsheetml/2009/9/main" uri="{B025F937-C7B1-47D3-B67F-A62EFF666E3E}">
          <x14:id>{D2B63396-FD81-4EE0-972D-EF41A8729E3B}</x14:id>
        </ext>
      </extLst>
    </cfRule>
  </conditionalFormatting>
  <conditionalFormatting sqref="B471:B480">
    <cfRule type="dataBar" priority="8">
      <dataBar>
        <cfvo type="min"/>
        <cfvo type="max"/>
        <color rgb="FF63C384"/>
      </dataBar>
      <extLst>
        <ext xmlns:x14="http://schemas.microsoft.com/office/spreadsheetml/2009/9/main" uri="{B025F937-C7B1-47D3-B67F-A62EFF666E3E}">
          <x14:id>{7D69C0A6-1002-4277-8FDD-B2369B017D63}</x14:id>
        </ext>
      </extLst>
    </cfRule>
  </conditionalFormatting>
  <conditionalFormatting sqref="B500:B509">
    <cfRule type="dataBar" priority="4">
      <dataBar>
        <cfvo type="min"/>
        <cfvo type="max"/>
        <color rgb="FF63C384"/>
      </dataBar>
      <extLst>
        <ext xmlns:x14="http://schemas.microsoft.com/office/spreadsheetml/2009/9/main" uri="{B025F937-C7B1-47D3-B67F-A62EFF666E3E}">
          <x14:id>{1C5273AB-EF2A-40DA-BCF4-7A358B097895}</x14:id>
        </ext>
      </extLst>
    </cfRule>
  </conditionalFormatting>
  <conditionalFormatting sqref="C443:C452">
    <cfRule type="dataBar" priority="9">
      <dataBar>
        <cfvo type="min"/>
        <cfvo type="max"/>
        <color rgb="FF63C384"/>
      </dataBar>
      <extLst>
        <ext xmlns:x14="http://schemas.microsoft.com/office/spreadsheetml/2009/9/main" uri="{B025F937-C7B1-47D3-B67F-A62EFF666E3E}">
          <x14:id>{05C155BC-A524-4350-B065-34EDE84C86A0}</x14:id>
        </ext>
      </extLst>
    </cfRule>
    <cfRule type="iconSet" priority="10">
      <iconSet iconSet="3Symbols">
        <cfvo type="percent" val="0"/>
        <cfvo type="num" val="0.45"/>
        <cfvo type="num" val="0.55000000000000004"/>
      </iconSet>
    </cfRule>
  </conditionalFormatting>
  <conditionalFormatting sqref="C471:C480">
    <cfRule type="dataBar" priority="5">
      <dataBar>
        <cfvo type="min"/>
        <cfvo type="max"/>
        <color rgb="FF63C384"/>
      </dataBar>
      <extLst>
        <ext xmlns:x14="http://schemas.microsoft.com/office/spreadsheetml/2009/9/main" uri="{B025F937-C7B1-47D3-B67F-A62EFF666E3E}">
          <x14:id>{6B866C91-0E53-4DAB-8689-BD4F238C91BA}</x14:id>
        </ext>
      </extLst>
    </cfRule>
    <cfRule type="iconSet" priority="6">
      <iconSet iconSet="3Symbols">
        <cfvo type="percent" val="0"/>
        <cfvo type="num" val="0.45"/>
        <cfvo type="num" val="0.55000000000000004"/>
      </iconSet>
    </cfRule>
  </conditionalFormatting>
  <conditionalFormatting sqref="C500:C509">
    <cfRule type="dataBar" priority="1">
      <dataBar>
        <cfvo type="min"/>
        <cfvo type="max"/>
        <color rgb="FF63C384"/>
      </dataBar>
      <extLst>
        <ext xmlns:x14="http://schemas.microsoft.com/office/spreadsheetml/2009/9/main" uri="{B025F937-C7B1-47D3-B67F-A62EFF666E3E}">
          <x14:id>{D256C759-EA95-4EA2-9035-BC1E6F380FD2}</x14:id>
        </ext>
      </extLst>
    </cfRule>
    <cfRule type="iconSet" priority="2">
      <iconSet iconSet="3Symbols">
        <cfvo type="percent" val="0"/>
        <cfvo type="num" val="0.45"/>
        <cfvo type="num" val="0.55000000000000004"/>
      </iconSet>
    </cfRule>
  </conditionalFormatting>
  <conditionalFormatting sqref="D443:D452">
    <cfRule type="dataBar" priority="11">
      <dataBar>
        <cfvo type="min"/>
        <cfvo type="max"/>
        <color rgb="FF63C384"/>
      </dataBar>
      <extLst>
        <ext xmlns:x14="http://schemas.microsoft.com/office/spreadsheetml/2009/9/main" uri="{B025F937-C7B1-47D3-B67F-A62EFF666E3E}">
          <x14:id>{09BEF4EC-D83B-4CC2-AE46-FB874D90E703}</x14:id>
        </ext>
      </extLst>
    </cfRule>
  </conditionalFormatting>
  <conditionalFormatting sqref="D471:D480">
    <cfRule type="dataBar" priority="7">
      <dataBar>
        <cfvo type="min"/>
        <cfvo type="max"/>
        <color rgb="FF63C384"/>
      </dataBar>
      <extLst>
        <ext xmlns:x14="http://schemas.microsoft.com/office/spreadsheetml/2009/9/main" uri="{B025F937-C7B1-47D3-B67F-A62EFF666E3E}">
          <x14:id>{FF9158C3-E107-4BFD-941B-D66811BDFA4B}</x14:id>
        </ext>
      </extLst>
    </cfRule>
  </conditionalFormatting>
  <conditionalFormatting sqref="D500:D509">
    <cfRule type="dataBar" priority="3">
      <dataBar>
        <cfvo type="min"/>
        <cfvo type="max"/>
        <color rgb="FF63C384"/>
      </dataBar>
      <extLst>
        <ext xmlns:x14="http://schemas.microsoft.com/office/spreadsheetml/2009/9/main" uri="{B025F937-C7B1-47D3-B67F-A62EFF666E3E}">
          <x14:id>{1427D29B-BEA0-4504-8B00-67BE1FC17AB2}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2B63396-FD81-4EE0-972D-EF41A8729E3B}">
            <x14:dataBar minLength="0" maxLength="100" gradient="0">
              <x14:cfvo type="autoMin"/>
              <x14:cfvo type="autoMax"/>
              <x14:negativeFillColor rgb="FFFF0000"/>
              <x14:axisColor rgb="FF000000"/>
            </x14:dataBar>
          </x14:cfRule>
          <xm:sqref>B443:B452</xm:sqref>
        </x14:conditionalFormatting>
        <x14:conditionalFormatting xmlns:xm="http://schemas.microsoft.com/office/excel/2006/main">
          <x14:cfRule type="dataBar" id="{7D69C0A6-1002-4277-8FDD-B2369B017D63}">
            <x14:dataBar minLength="0" maxLength="100" gradient="0">
              <x14:cfvo type="autoMin"/>
              <x14:cfvo type="autoMax"/>
              <x14:negativeFillColor rgb="FFFF0000"/>
              <x14:axisColor rgb="FF000000"/>
            </x14:dataBar>
          </x14:cfRule>
          <xm:sqref>B471:B480</xm:sqref>
        </x14:conditionalFormatting>
        <x14:conditionalFormatting xmlns:xm="http://schemas.microsoft.com/office/excel/2006/main">
          <x14:cfRule type="dataBar" id="{1C5273AB-EF2A-40DA-BCF4-7A358B097895}">
            <x14:dataBar minLength="0" maxLength="100" gradient="0">
              <x14:cfvo type="autoMin"/>
              <x14:cfvo type="autoMax"/>
              <x14:negativeFillColor rgb="FFFF0000"/>
              <x14:axisColor rgb="FF000000"/>
            </x14:dataBar>
          </x14:cfRule>
          <xm:sqref>B500:B509</xm:sqref>
        </x14:conditionalFormatting>
        <x14:conditionalFormatting xmlns:xm="http://schemas.microsoft.com/office/excel/2006/main">
          <x14:cfRule type="dataBar" id="{05C155BC-A524-4350-B065-34EDE84C86A0}">
            <x14:dataBar minLength="0" maxLength="100" gradient="0">
              <x14:cfvo type="autoMin"/>
              <x14:cfvo type="autoMax"/>
              <x14:negativeFillColor rgb="FFFF0000"/>
              <x14:axisColor rgb="FF000000"/>
            </x14:dataBar>
          </x14:cfRule>
          <xm:sqref>C443:C452</xm:sqref>
        </x14:conditionalFormatting>
        <x14:conditionalFormatting xmlns:xm="http://schemas.microsoft.com/office/excel/2006/main">
          <x14:cfRule type="dataBar" id="{6B866C91-0E53-4DAB-8689-BD4F238C91BA}">
            <x14:dataBar minLength="0" maxLength="100" gradient="0">
              <x14:cfvo type="autoMin"/>
              <x14:cfvo type="autoMax"/>
              <x14:negativeFillColor rgb="FFFF0000"/>
              <x14:axisColor rgb="FF000000"/>
            </x14:dataBar>
          </x14:cfRule>
          <xm:sqref>C471:C480</xm:sqref>
        </x14:conditionalFormatting>
        <x14:conditionalFormatting xmlns:xm="http://schemas.microsoft.com/office/excel/2006/main">
          <x14:cfRule type="dataBar" id="{D256C759-EA95-4EA2-9035-BC1E6F380FD2}">
            <x14:dataBar minLength="0" maxLength="100" gradient="0">
              <x14:cfvo type="autoMin"/>
              <x14:cfvo type="autoMax"/>
              <x14:negativeFillColor rgb="FFFF0000"/>
              <x14:axisColor rgb="FF000000"/>
            </x14:dataBar>
          </x14:cfRule>
          <xm:sqref>C500:C509</xm:sqref>
        </x14:conditionalFormatting>
        <x14:conditionalFormatting xmlns:xm="http://schemas.microsoft.com/office/excel/2006/main">
          <x14:cfRule type="dataBar" id="{09BEF4EC-D83B-4CC2-AE46-FB874D90E703}">
            <x14:dataBar minLength="0" maxLength="100" gradient="0">
              <x14:cfvo type="autoMin"/>
              <x14:cfvo type="autoMax"/>
              <x14:negativeFillColor rgb="FFFF0000"/>
              <x14:axisColor rgb="FF000000"/>
            </x14:dataBar>
          </x14:cfRule>
          <xm:sqref>D443:D452</xm:sqref>
        </x14:conditionalFormatting>
        <x14:conditionalFormatting xmlns:xm="http://schemas.microsoft.com/office/excel/2006/main">
          <x14:cfRule type="dataBar" id="{FF9158C3-E107-4BFD-941B-D66811BDFA4B}">
            <x14:dataBar minLength="0" maxLength="100" gradient="0" axisPosition="middle">
              <x14:cfvo type="autoMin"/>
              <x14:cfvo type="autoMax"/>
              <x14:negativeFillColor rgb="FFFF0000"/>
              <x14:axisColor rgb="FF000000"/>
            </x14:dataBar>
          </x14:cfRule>
          <xm:sqref>D471:D480</xm:sqref>
        </x14:conditionalFormatting>
        <x14:conditionalFormatting xmlns:xm="http://schemas.microsoft.com/office/excel/2006/main">
          <x14:cfRule type="dataBar" id="{1427D29B-BEA0-4504-8B00-67BE1FC17AB2}">
            <x14:dataBar minLength="0" maxLength="100" gradient="0">
              <x14:cfvo type="autoMin"/>
              <x14:cfvo type="autoMax"/>
              <x14:negativeFillColor rgb="FFFF0000"/>
              <x14:axisColor rgb="FF000000"/>
            </x14:dataBar>
          </x14:cfRule>
          <xm:sqref>D500:D509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F57E-F17E-4C8C-887B-42C8EE61E231}">
  <sheetPr>
    <tabColor rgb="FF00FF00"/>
  </sheetPr>
  <dimension ref="A1:IA454"/>
  <sheetViews>
    <sheetView showGridLines="0" tabSelected="1" topLeftCell="FT1" zoomScaleNormal="100" workbookViewId="0">
      <pane ySplit="3" topLeftCell="A75" activePane="bottomLeft" state="frozen"/>
      <selection activeCell="E14" sqref="E14"/>
      <selection pane="bottomLeft" activeCell="HO90" sqref="HO90"/>
    </sheetView>
  </sheetViews>
  <sheetFormatPr defaultRowHeight="15" x14ac:dyDescent="0.25"/>
  <cols>
    <col min="1" max="1" width="9" customWidth="1"/>
    <col min="2" max="2" width="27.28515625" hidden="1" customWidth="1"/>
    <col min="3" max="3" width="5.42578125" style="7" hidden="1" customWidth="1"/>
    <col min="4" max="4" width="5" customWidth="1"/>
    <col min="5" max="5" width="6.85546875" customWidth="1"/>
    <col min="6" max="6" width="8" style="7" customWidth="1"/>
    <col min="7" max="7" width="6.42578125" style="1" customWidth="1"/>
    <col min="8" max="8" width="3.7109375" style="1" customWidth="1"/>
    <col min="9" max="10" width="6.5703125" style="1" customWidth="1"/>
    <col min="11" max="11" width="5.7109375" style="1" customWidth="1"/>
    <col min="12" max="12" width="6" style="1" customWidth="1"/>
    <col min="13" max="13" width="7.85546875" customWidth="1"/>
    <col min="14" max="137" width="10.5703125" hidden="1" customWidth="1"/>
    <col min="138" max="138" width="5.85546875" customWidth="1"/>
    <col min="139" max="139" width="6.42578125" bestFit="1" customWidth="1"/>
    <col min="140" max="140" width="7" customWidth="1"/>
    <col min="141" max="141" width="7.140625" style="196" customWidth="1"/>
    <col min="142" max="157" width="7.140625" style="196" hidden="1" customWidth="1"/>
    <col min="158" max="158" width="8.28515625" style="196" hidden="1" customWidth="1"/>
    <col min="159" max="171" width="7.140625" style="196" hidden="1" customWidth="1"/>
    <col min="172" max="172" width="5.85546875" style="196" customWidth="1"/>
    <col min="173" max="176" width="5.42578125" style="196" customWidth="1"/>
    <col min="177" max="177" width="8" customWidth="1"/>
    <col min="178" max="178" width="6.28515625" customWidth="1"/>
    <col min="179" max="179" width="7" customWidth="1"/>
    <col min="180" max="180" width="10" hidden="1" customWidth="1"/>
    <col min="181" max="181" width="11.42578125" hidden="1" customWidth="1"/>
    <col min="182" max="182" width="9.140625" hidden="1" customWidth="1"/>
    <col min="183" max="183" width="20.5703125" hidden="1" customWidth="1"/>
    <col min="184" max="184" width="9.140625" hidden="1" customWidth="1"/>
    <col min="185" max="185" width="11.85546875" hidden="1" customWidth="1"/>
    <col min="186" max="186" width="9.140625" hidden="1" customWidth="1"/>
    <col min="187" max="187" width="7.5703125" customWidth="1"/>
    <col min="188" max="188" width="6.28515625" customWidth="1"/>
    <col min="189" max="189" width="7" customWidth="1"/>
    <col min="190" max="190" width="7.42578125" customWidth="1"/>
    <col min="191" max="191" width="6" customWidth="1"/>
    <col min="193" max="193" width="10.5703125" customWidth="1"/>
    <col min="194" max="194" width="7.85546875" customWidth="1"/>
    <col min="195" max="206" width="7.85546875" hidden="1" customWidth="1"/>
    <col min="207" max="207" width="6.42578125" hidden="1" customWidth="1"/>
    <col min="208" max="208" width="8.28515625" customWidth="1"/>
    <col min="209" max="209" width="6" customWidth="1"/>
    <col min="210" max="211" width="5.42578125" style="1" customWidth="1"/>
    <col min="212" max="212" width="7" customWidth="1"/>
    <col min="213" max="213" width="5.85546875" customWidth="1"/>
    <col min="214" max="214" width="7.140625" customWidth="1"/>
    <col min="215" max="215" width="7.5703125" style="7" customWidth="1"/>
    <col min="216" max="216" width="6.28515625" style="7" customWidth="1"/>
    <col min="217" max="217" width="4.5703125" customWidth="1"/>
    <col min="218" max="219" width="6.5703125" customWidth="1"/>
    <col min="220" max="220" width="6.7109375" bestFit="1" customWidth="1"/>
    <col min="221" max="221" width="7.7109375" customWidth="1"/>
    <col min="222" max="226" width="6.5703125" customWidth="1"/>
    <col min="227" max="227" width="6.7109375" bestFit="1" customWidth="1"/>
    <col min="228" max="229" width="7.7109375" customWidth="1"/>
    <col min="230" max="230" width="7.140625" customWidth="1"/>
    <col min="231" max="231" width="7.28515625" customWidth="1"/>
    <col min="232" max="233" width="8.28515625" customWidth="1"/>
  </cols>
  <sheetData>
    <row r="1" spans="1:235" ht="33.75" customHeight="1" x14ac:dyDescent="0.25">
      <c r="A1" s="217" t="s">
        <v>4971</v>
      </c>
      <c r="B1" s="184" t="str" cm="1">
        <f t="array" ref="B1">IFERROR(_xlfn.XLOOKUP(A4,Earnings!$B$2:$B$9985,LEFT(Earnings!$C$2:$C$9985,37)),"Can't Find Date***")</f>
        <v>on 1/10/25, 7:30 AM Before Market Eas</v>
      </c>
      <c r="C1" s="370"/>
      <c r="D1" s="370"/>
      <c r="E1" s="218" t="e">
        <f>_xlfn.XLOOKUP(A1,[1]SP500!$A$2:$A$655,[1]SP500!$B$2:$B$655)</f>
        <v>#N/A</v>
      </c>
      <c r="F1" s="218" t="str">
        <f>IFERROR(TRIM(MID(B1,FIND("/",B1,1)-2,8)),"")</f>
        <v>1/10/25</v>
      </c>
      <c r="G1" s="183"/>
      <c r="H1" s="183"/>
      <c r="I1" s="525" t="s">
        <v>4980</v>
      </c>
      <c r="J1" s="526"/>
      <c r="K1" s="526"/>
      <c r="L1" s="526"/>
      <c r="M1" s="527"/>
      <c r="N1" s="528" t="s">
        <v>4978</v>
      </c>
      <c r="O1" s="530"/>
      <c r="P1" s="530"/>
      <c r="Q1" s="530"/>
      <c r="R1" s="530"/>
      <c r="S1" s="530"/>
      <c r="T1" s="528" t="s">
        <v>4978</v>
      </c>
      <c r="U1" s="530"/>
      <c r="V1" s="530"/>
      <c r="W1" s="530"/>
      <c r="X1" s="530"/>
      <c r="Y1" s="530"/>
      <c r="Z1" s="528" t="s">
        <v>4996</v>
      </c>
      <c r="AA1" s="528"/>
      <c r="AB1" s="528"/>
      <c r="AC1" s="528"/>
      <c r="AD1" s="528"/>
      <c r="AE1" s="528"/>
      <c r="AF1" s="529"/>
      <c r="AG1" s="528" t="s">
        <v>4996</v>
      </c>
      <c r="AH1" s="528"/>
      <c r="AI1" s="528"/>
      <c r="AJ1" s="528"/>
      <c r="AK1" s="528"/>
      <c r="AL1" s="528"/>
      <c r="AM1" s="529"/>
      <c r="AN1" s="528" t="s">
        <v>4996</v>
      </c>
      <c r="AO1" s="528"/>
      <c r="AP1" s="528"/>
      <c r="AQ1" s="528"/>
      <c r="AR1" s="528"/>
      <c r="AS1" s="528"/>
      <c r="AT1" s="529"/>
      <c r="AU1" s="528" t="s">
        <v>4996</v>
      </c>
      <c r="AV1" s="528"/>
      <c r="AW1" s="528"/>
      <c r="AX1" s="528"/>
      <c r="AY1" s="528"/>
      <c r="AZ1" s="528"/>
      <c r="BA1" s="529"/>
      <c r="BB1" s="528" t="s">
        <v>4996</v>
      </c>
      <c r="BC1" s="528"/>
      <c r="BD1" s="528"/>
      <c r="BE1" s="528"/>
      <c r="BF1" s="528"/>
      <c r="BG1" s="528"/>
      <c r="BH1" s="529"/>
      <c r="BI1" s="528" t="s">
        <v>4996</v>
      </c>
      <c r="BJ1" s="528"/>
      <c r="BK1" s="528"/>
      <c r="BL1" s="528"/>
      <c r="BM1" s="528"/>
      <c r="BN1" s="528"/>
      <c r="BO1" s="529"/>
      <c r="BP1" s="528" t="s">
        <v>4996</v>
      </c>
      <c r="BQ1" s="528"/>
      <c r="BR1" s="528"/>
      <c r="BS1" s="528"/>
      <c r="BT1" s="528"/>
      <c r="BU1" s="528"/>
      <c r="BV1" s="529"/>
      <c r="BW1" s="528" t="s">
        <v>4996</v>
      </c>
      <c r="BX1" s="528"/>
      <c r="BY1" s="528"/>
      <c r="BZ1" s="528"/>
      <c r="CA1" s="528"/>
      <c r="CB1" s="528"/>
      <c r="CC1" s="529"/>
      <c r="CD1" s="528" t="s">
        <v>4996</v>
      </c>
      <c r="CE1" s="528"/>
      <c r="CF1" s="528"/>
      <c r="CG1" s="528"/>
      <c r="CH1" s="528"/>
      <c r="CI1" s="528"/>
      <c r="CJ1" s="529"/>
      <c r="CK1" s="528" t="s">
        <v>4996</v>
      </c>
      <c r="CL1" s="528"/>
      <c r="CM1" s="528"/>
      <c r="CN1" s="528"/>
      <c r="CO1" s="528"/>
      <c r="CP1" s="528"/>
      <c r="CQ1" s="529"/>
      <c r="CR1" s="528" t="s">
        <v>4996</v>
      </c>
      <c r="CS1" s="528"/>
      <c r="CT1" s="528"/>
      <c r="CU1" s="528"/>
      <c r="CV1" s="528"/>
      <c r="CW1" s="528"/>
      <c r="CX1" s="529"/>
      <c r="CY1" s="528" t="s">
        <v>4996</v>
      </c>
      <c r="CZ1" s="528"/>
      <c r="DA1" s="528"/>
      <c r="DB1" s="528"/>
      <c r="DC1" s="528"/>
      <c r="DD1" s="528"/>
      <c r="DE1" s="529"/>
      <c r="DF1" s="528" t="s">
        <v>4996</v>
      </c>
      <c r="DG1" s="528"/>
      <c r="DH1" s="528"/>
      <c r="DI1" s="528"/>
      <c r="DJ1" s="528"/>
      <c r="DK1" s="528"/>
      <c r="DL1" s="529"/>
      <c r="DM1" s="528" t="s">
        <v>4996</v>
      </c>
      <c r="DN1" s="528"/>
      <c r="DO1" s="528"/>
      <c r="DP1" s="528"/>
      <c r="DQ1" s="528"/>
      <c r="DR1" s="528"/>
      <c r="DS1" s="529"/>
      <c r="DT1" s="528" t="s">
        <v>4996</v>
      </c>
      <c r="DU1" s="528"/>
      <c r="DV1" s="528"/>
      <c r="DW1" s="528"/>
      <c r="DX1" s="528"/>
      <c r="DY1" s="528"/>
      <c r="DZ1" s="529"/>
      <c r="EA1" s="528" t="s">
        <v>4996</v>
      </c>
      <c r="EB1" s="528"/>
      <c r="EC1" s="528"/>
      <c r="ED1" s="528"/>
      <c r="EE1" s="528"/>
      <c r="EF1" s="528"/>
      <c r="EG1" s="529"/>
      <c r="EH1" s="531" t="s">
        <v>4981</v>
      </c>
      <c r="EI1" s="532"/>
      <c r="EJ1" s="532"/>
      <c r="EK1" s="532"/>
      <c r="EL1" s="532"/>
      <c r="EM1" s="532"/>
      <c r="EN1" s="532"/>
      <c r="EO1" s="532"/>
      <c r="EP1" s="532"/>
      <c r="EQ1" s="532"/>
      <c r="ER1" s="532"/>
      <c r="ES1" s="532"/>
      <c r="ET1" s="532"/>
      <c r="EU1" s="532"/>
      <c r="EV1" s="532"/>
      <c r="EW1" s="532"/>
      <c r="EX1" s="532"/>
      <c r="EY1" s="532"/>
      <c r="EZ1" s="532"/>
      <c r="FA1" s="532"/>
      <c r="FB1" s="532"/>
      <c r="FC1" s="532"/>
      <c r="FD1" s="532"/>
      <c r="FE1" s="532"/>
      <c r="FF1" s="532"/>
      <c r="FG1" s="532"/>
      <c r="FH1" s="532"/>
      <c r="FI1" s="532"/>
      <c r="FJ1" s="532"/>
      <c r="FK1" s="532"/>
      <c r="FL1" s="532"/>
      <c r="FM1" s="532"/>
      <c r="FN1" s="532"/>
      <c r="FO1" s="532"/>
      <c r="FP1" s="532"/>
      <c r="FQ1" s="532"/>
      <c r="FR1" s="532"/>
      <c r="FS1" s="532"/>
      <c r="FT1" s="532"/>
      <c r="FU1" s="533"/>
      <c r="FV1" s="180"/>
      <c r="FW1" s="180"/>
      <c r="FX1" s="545" t="s">
        <v>4969</v>
      </c>
      <c r="FY1" s="545"/>
      <c r="FZ1" s="545"/>
      <c r="GA1" s="545"/>
      <c r="GB1" s="545"/>
      <c r="GC1" s="545"/>
      <c r="GD1" s="545"/>
      <c r="GE1" s="509"/>
      <c r="GF1" s="509"/>
      <c r="GG1" s="180"/>
      <c r="GH1" s="181"/>
      <c r="GI1" s="182"/>
      <c r="GJ1" s="180"/>
      <c r="GK1" s="180"/>
      <c r="GL1" s="539" t="s">
        <v>4985</v>
      </c>
      <c r="GM1" s="540"/>
      <c r="GN1" s="540"/>
      <c r="GO1" s="540"/>
      <c r="GP1" s="540"/>
      <c r="GQ1" s="540"/>
      <c r="GR1" s="540"/>
      <c r="GS1" s="540"/>
      <c r="GT1" s="540"/>
      <c r="GU1" s="540"/>
      <c r="GV1" s="540"/>
      <c r="GW1" s="540"/>
      <c r="GX1" s="540"/>
      <c r="GY1" s="540"/>
      <c r="GZ1" s="540"/>
      <c r="HA1" s="541"/>
      <c r="HB1" s="542" t="s">
        <v>2778</v>
      </c>
      <c r="HC1" s="543"/>
      <c r="HD1" s="543"/>
      <c r="HE1" s="543"/>
      <c r="HF1" s="543"/>
      <c r="HG1" s="544"/>
      <c r="HH1" s="327"/>
      <c r="HJ1" s="538" t="s">
        <v>5058</v>
      </c>
      <c r="HK1" s="538"/>
      <c r="HL1" s="538"/>
      <c r="HM1" s="538"/>
      <c r="HN1" s="538" t="s">
        <v>5063</v>
      </c>
      <c r="HO1" s="538"/>
      <c r="HP1" s="538"/>
      <c r="HQ1" s="546" t="s">
        <v>5061</v>
      </c>
      <c r="HR1" s="546"/>
      <c r="HS1" s="546"/>
      <c r="HT1" s="546"/>
      <c r="HU1" s="546"/>
      <c r="HV1" s="546"/>
      <c r="HW1" s="546"/>
      <c r="HX1" s="537" t="s">
        <v>5700</v>
      </c>
      <c r="HY1" s="537"/>
      <c r="HZ1" s="534" t="s">
        <v>6489</v>
      </c>
      <c r="IA1" s="534"/>
    </row>
    <row r="2" spans="1:235" ht="15" customHeight="1" x14ac:dyDescent="0.25">
      <c r="A2" s="188" t="s">
        <v>4979</v>
      </c>
      <c r="B2" s="388" t="s">
        <v>5030</v>
      </c>
      <c r="C2" s="388" t="s">
        <v>5030</v>
      </c>
      <c r="D2" s="241"/>
      <c r="E2" s="187" t="s">
        <v>4975</v>
      </c>
      <c r="F2" s="187" t="s">
        <v>4975</v>
      </c>
      <c r="G2" s="187" t="s">
        <v>4975</v>
      </c>
      <c r="H2" s="187" t="s">
        <v>5024</v>
      </c>
      <c r="I2" s="186" t="s">
        <v>4976</v>
      </c>
      <c r="J2" s="186" t="s">
        <v>4976</v>
      </c>
      <c r="K2" s="187" t="s">
        <v>4975</v>
      </c>
      <c r="L2" s="187" t="s">
        <v>4975</v>
      </c>
      <c r="M2" s="187" t="s">
        <v>4975</v>
      </c>
      <c r="N2" s="164" t="s">
        <v>4975</v>
      </c>
      <c r="O2" s="164" t="s">
        <v>4975</v>
      </c>
      <c r="P2" s="164" t="s">
        <v>4975</v>
      </c>
      <c r="Q2" s="164" t="s">
        <v>4975</v>
      </c>
      <c r="R2" s="164" t="s">
        <v>4975</v>
      </c>
      <c r="S2" s="164" t="s">
        <v>4975</v>
      </c>
      <c r="T2" s="164" t="s">
        <v>4975</v>
      </c>
      <c r="U2" s="164" t="s">
        <v>4975</v>
      </c>
      <c r="V2" s="164" t="s">
        <v>4975</v>
      </c>
      <c r="W2" s="164" t="s">
        <v>4975</v>
      </c>
      <c r="X2" s="164" t="s">
        <v>4975</v>
      </c>
      <c r="Y2" s="164" t="s">
        <v>4975</v>
      </c>
      <c r="Z2" s="193" t="s">
        <v>4723</v>
      </c>
      <c r="AA2" s="164" t="s">
        <v>4975</v>
      </c>
      <c r="AB2" s="164" t="s">
        <v>4975</v>
      </c>
      <c r="AC2" s="164" t="s">
        <v>4975</v>
      </c>
      <c r="AD2" s="164" t="s">
        <v>4975</v>
      </c>
      <c r="AE2" s="164" t="s">
        <v>4975</v>
      </c>
      <c r="AF2" s="164" t="s">
        <v>4975</v>
      </c>
      <c r="AG2" s="193" t="s">
        <v>5009</v>
      </c>
      <c r="AH2" s="164" t="s">
        <v>4975</v>
      </c>
      <c r="AI2" s="164" t="s">
        <v>4975</v>
      </c>
      <c r="AJ2" s="164" t="s">
        <v>4975</v>
      </c>
      <c r="AK2" s="164" t="s">
        <v>4975</v>
      </c>
      <c r="AL2" s="164" t="s">
        <v>4975</v>
      </c>
      <c r="AM2" s="164" t="s">
        <v>4975</v>
      </c>
      <c r="AN2" s="193" t="s">
        <v>4728</v>
      </c>
      <c r="AO2" s="164" t="s">
        <v>4975</v>
      </c>
      <c r="AP2" s="164" t="s">
        <v>4975</v>
      </c>
      <c r="AQ2" s="164" t="s">
        <v>4975</v>
      </c>
      <c r="AR2" s="164" t="s">
        <v>4975</v>
      </c>
      <c r="AS2" s="164" t="s">
        <v>4975</v>
      </c>
      <c r="AT2" s="164" t="s">
        <v>4975</v>
      </c>
      <c r="AU2" s="193" t="s">
        <v>4724</v>
      </c>
      <c r="AV2" s="164" t="s">
        <v>4975</v>
      </c>
      <c r="AW2" s="164" t="s">
        <v>4975</v>
      </c>
      <c r="AX2" s="164" t="s">
        <v>4975</v>
      </c>
      <c r="AY2" s="164" t="s">
        <v>4975</v>
      </c>
      <c r="AZ2" s="164" t="s">
        <v>4975</v>
      </c>
      <c r="BA2" s="164" t="s">
        <v>4975</v>
      </c>
      <c r="BB2" s="193" t="s">
        <v>4719</v>
      </c>
      <c r="BC2" s="164" t="s">
        <v>4975</v>
      </c>
      <c r="BD2" s="164" t="s">
        <v>4975</v>
      </c>
      <c r="BE2" s="164" t="s">
        <v>4975</v>
      </c>
      <c r="BF2" s="164" t="s">
        <v>4975</v>
      </c>
      <c r="BG2" s="164" t="s">
        <v>4975</v>
      </c>
      <c r="BH2" s="164" t="s">
        <v>4975</v>
      </c>
      <c r="BI2" s="193" t="s">
        <v>4721</v>
      </c>
      <c r="BJ2" s="164" t="s">
        <v>4975</v>
      </c>
      <c r="BK2" s="164" t="s">
        <v>4975</v>
      </c>
      <c r="BL2" s="164" t="s">
        <v>4975</v>
      </c>
      <c r="BM2" s="164" t="s">
        <v>4975</v>
      </c>
      <c r="BN2" s="164" t="s">
        <v>4975</v>
      </c>
      <c r="BO2" s="164" t="s">
        <v>4975</v>
      </c>
      <c r="BP2" s="193" t="s">
        <v>4722</v>
      </c>
      <c r="BQ2" s="164" t="s">
        <v>4975</v>
      </c>
      <c r="BR2" s="164" t="s">
        <v>4975</v>
      </c>
      <c r="BS2" s="164" t="s">
        <v>4975</v>
      </c>
      <c r="BT2" s="164" t="s">
        <v>4975</v>
      </c>
      <c r="BU2" s="164" t="s">
        <v>4975</v>
      </c>
      <c r="BV2" s="164" t="s">
        <v>4975</v>
      </c>
      <c r="BW2" s="193" t="s">
        <v>4727</v>
      </c>
      <c r="BX2" s="164" t="s">
        <v>4975</v>
      </c>
      <c r="BY2" s="164" t="s">
        <v>4975</v>
      </c>
      <c r="BZ2" s="164" t="s">
        <v>4975</v>
      </c>
      <c r="CA2" s="164" t="s">
        <v>4975</v>
      </c>
      <c r="CB2" s="164" t="s">
        <v>4975</v>
      </c>
      <c r="CC2" s="164" t="s">
        <v>4975</v>
      </c>
      <c r="CD2" s="193" t="s">
        <v>4718</v>
      </c>
      <c r="CE2" s="164" t="s">
        <v>4975</v>
      </c>
      <c r="CF2" s="164" t="s">
        <v>4975</v>
      </c>
      <c r="CG2" s="164" t="s">
        <v>4975</v>
      </c>
      <c r="CH2" s="164" t="s">
        <v>4975</v>
      </c>
      <c r="CI2" s="164" t="s">
        <v>4975</v>
      </c>
      <c r="CJ2" s="164" t="s">
        <v>4975</v>
      </c>
      <c r="CK2" s="193" t="s">
        <v>4773</v>
      </c>
      <c r="CL2" s="164" t="s">
        <v>4975</v>
      </c>
      <c r="CM2" s="164" t="s">
        <v>4975</v>
      </c>
      <c r="CN2" s="164" t="s">
        <v>4975</v>
      </c>
      <c r="CO2" s="164" t="s">
        <v>4975</v>
      </c>
      <c r="CP2" s="164" t="s">
        <v>4975</v>
      </c>
      <c r="CQ2" s="164" t="s">
        <v>4975</v>
      </c>
      <c r="CR2" s="193" t="s">
        <v>4720</v>
      </c>
      <c r="CS2" s="164" t="s">
        <v>4975</v>
      </c>
      <c r="CT2" s="164" t="s">
        <v>4975</v>
      </c>
      <c r="CU2" s="164" t="s">
        <v>4975</v>
      </c>
      <c r="CV2" s="164" t="s">
        <v>4975</v>
      </c>
      <c r="CW2" s="164" t="s">
        <v>4975</v>
      </c>
      <c r="CX2" s="164" t="s">
        <v>4975</v>
      </c>
      <c r="CY2" s="193" t="s">
        <v>4726</v>
      </c>
      <c r="CZ2" s="164" t="s">
        <v>4975</v>
      </c>
      <c r="DA2" s="164" t="s">
        <v>4975</v>
      </c>
      <c r="DB2" s="164" t="s">
        <v>4975</v>
      </c>
      <c r="DC2" s="164" t="s">
        <v>4975</v>
      </c>
      <c r="DD2" s="164" t="s">
        <v>4975</v>
      </c>
      <c r="DE2" s="164" t="s">
        <v>4975</v>
      </c>
      <c r="DF2" s="193" t="s">
        <v>4725</v>
      </c>
      <c r="DG2" s="164" t="s">
        <v>4975</v>
      </c>
      <c r="DH2" s="164" t="s">
        <v>4975</v>
      </c>
      <c r="DI2" s="164" t="s">
        <v>4975</v>
      </c>
      <c r="DJ2" s="164" t="s">
        <v>4975</v>
      </c>
      <c r="DK2" s="164" t="s">
        <v>4975</v>
      </c>
      <c r="DL2" s="164" t="s">
        <v>4975</v>
      </c>
      <c r="DM2" s="193" t="s">
        <v>4775</v>
      </c>
      <c r="DN2" s="164" t="s">
        <v>4975</v>
      </c>
      <c r="DO2" s="164" t="s">
        <v>4975</v>
      </c>
      <c r="DP2" s="164" t="s">
        <v>4975</v>
      </c>
      <c r="DQ2" s="164" t="s">
        <v>4975</v>
      </c>
      <c r="DR2" s="164" t="s">
        <v>4975</v>
      </c>
      <c r="DS2" s="164" t="s">
        <v>4975</v>
      </c>
      <c r="DT2" s="193" t="s">
        <v>4774</v>
      </c>
      <c r="DU2" s="164" t="s">
        <v>4975</v>
      </c>
      <c r="DV2" s="164" t="s">
        <v>4975</v>
      </c>
      <c r="DW2" s="164" t="s">
        <v>4975</v>
      </c>
      <c r="DX2" s="164" t="s">
        <v>4975</v>
      </c>
      <c r="DY2" s="164" t="s">
        <v>4975</v>
      </c>
      <c r="DZ2" s="164" t="s">
        <v>4975</v>
      </c>
      <c r="EA2" s="193" t="s">
        <v>4964</v>
      </c>
      <c r="EB2" s="164" t="s">
        <v>4975</v>
      </c>
      <c r="EC2" s="164" t="s">
        <v>4975</v>
      </c>
      <c r="ED2" s="164" t="s">
        <v>4975</v>
      </c>
      <c r="EE2" s="164" t="s">
        <v>4975</v>
      </c>
      <c r="EF2" s="164" t="s">
        <v>4975</v>
      </c>
      <c r="EG2" s="164" t="s">
        <v>4975</v>
      </c>
      <c r="EH2" s="185" t="s">
        <v>4975</v>
      </c>
      <c r="EI2" s="185" t="s">
        <v>4975</v>
      </c>
      <c r="EJ2" s="185" t="s">
        <v>4975</v>
      </c>
      <c r="EK2" s="185" t="s">
        <v>4975</v>
      </c>
      <c r="EL2" s="470" t="s">
        <v>5698</v>
      </c>
      <c r="EM2" s="470" t="s">
        <v>5698</v>
      </c>
      <c r="EN2" s="470" t="s">
        <v>5698</v>
      </c>
      <c r="EO2" s="470" t="s">
        <v>5698</v>
      </c>
      <c r="EP2" s="470" t="s">
        <v>5698</v>
      </c>
      <c r="EQ2" s="470" t="s">
        <v>5698</v>
      </c>
      <c r="ER2" s="470" t="s">
        <v>5698</v>
      </c>
      <c r="ES2" s="470" t="s">
        <v>5698</v>
      </c>
      <c r="ET2" s="459" t="s">
        <v>6459</v>
      </c>
      <c r="EU2" s="459" t="s">
        <v>6459</v>
      </c>
      <c r="EV2" s="459" t="s">
        <v>6459</v>
      </c>
      <c r="EW2" s="459" t="s">
        <v>6459</v>
      </c>
      <c r="EX2" s="459" t="s">
        <v>6459</v>
      </c>
      <c r="EY2" s="459" t="s">
        <v>6459</v>
      </c>
      <c r="EZ2" s="459" t="s">
        <v>6459</v>
      </c>
      <c r="FA2" s="459" t="s">
        <v>6459</v>
      </c>
      <c r="FB2" s="535" t="s">
        <v>5069</v>
      </c>
      <c r="FC2" s="536"/>
      <c r="FD2" s="535" t="s">
        <v>5068</v>
      </c>
      <c r="FE2" s="536"/>
      <c r="FF2" s="535" t="s">
        <v>5067</v>
      </c>
      <c r="FG2" s="536"/>
      <c r="FH2" s="535" t="s">
        <v>5066</v>
      </c>
      <c r="FI2" s="536"/>
      <c r="FJ2" s="535" t="s">
        <v>5070</v>
      </c>
      <c r="FK2" s="536"/>
      <c r="FL2" s="535" t="s">
        <v>5071</v>
      </c>
      <c r="FM2" s="536"/>
      <c r="FN2" s="189" t="s">
        <v>5030</v>
      </c>
      <c r="FO2" s="189" t="s">
        <v>5030</v>
      </c>
      <c r="FP2" s="185" t="s">
        <v>4975</v>
      </c>
      <c r="FQ2" s="185" t="s">
        <v>4975</v>
      </c>
      <c r="FR2" s="185" t="s">
        <v>4975</v>
      </c>
      <c r="FS2" s="189" t="s">
        <v>5030</v>
      </c>
      <c r="FT2" s="189" t="s">
        <v>5030</v>
      </c>
      <c r="FU2" s="185" t="s">
        <v>4975</v>
      </c>
      <c r="FV2" s="187" t="s">
        <v>4975</v>
      </c>
      <c r="FW2" s="186" t="s">
        <v>4976</v>
      </c>
      <c r="FX2" s="163"/>
      <c r="FY2" s="163"/>
      <c r="FZ2" s="163"/>
      <c r="GA2" s="163"/>
      <c r="GB2" s="163"/>
      <c r="GC2" s="163"/>
      <c r="GD2" s="163"/>
      <c r="GE2" s="187" t="s">
        <v>4975</v>
      </c>
      <c r="GF2" s="186" t="s">
        <v>4976</v>
      </c>
      <c r="GG2" s="197" t="s">
        <v>4983</v>
      </c>
      <c r="GH2" s="187" t="s">
        <v>4975</v>
      </c>
      <c r="GI2" s="186" t="s">
        <v>4976</v>
      </c>
      <c r="GJ2" s="186" t="s">
        <v>4976</v>
      </c>
      <c r="GK2" s="187" t="s">
        <v>4975</v>
      </c>
      <c r="GL2" s="191" t="s">
        <v>4975</v>
      </c>
      <c r="GM2" s="302" t="s">
        <v>4987</v>
      </c>
      <c r="GN2" s="302" t="s">
        <v>4987</v>
      </c>
      <c r="GO2" s="302" t="s">
        <v>4987</v>
      </c>
      <c r="GP2" s="302" t="s">
        <v>4987</v>
      </c>
      <c r="GQ2" s="302" t="s">
        <v>4987</v>
      </c>
      <c r="GR2" s="302" t="s">
        <v>4987</v>
      </c>
      <c r="GS2" s="189" t="s">
        <v>4987</v>
      </c>
      <c r="GT2" s="189" t="s">
        <v>4987</v>
      </c>
      <c r="GU2" s="189" t="s">
        <v>4987</v>
      </c>
      <c r="GV2" s="189" t="s">
        <v>4987</v>
      </c>
      <c r="GW2" s="189" t="s">
        <v>4987</v>
      </c>
      <c r="GX2" s="189" t="s">
        <v>4987</v>
      </c>
      <c r="GY2" s="189" t="s">
        <v>4987</v>
      </c>
      <c r="GZ2" s="186" t="s">
        <v>4976</v>
      </c>
      <c r="HA2" s="191" t="s">
        <v>4975</v>
      </c>
      <c r="HB2" s="186" t="s">
        <v>4976</v>
      </c>
      <c r="HC2" s="206" t="s">
        <v>4975</v>
      </c>
      <c r="HD2" s="206" t="s">
        <v>4975</v>
      </c>
      <c r="HE2" s="206" t="s">
        <v>4975</v>
      </c>
      <c r="HF2" s="206" t="s">
        <v>4975</v>
      </c>
      <c r="HG2" s="206" t="s">
        <v>4975</v>
      </c>
      <c r="HH2" s="328"/>
      <c r="HJ2" s="332" t="s">
        <v>4730</v>
      </c>
      <c r="HK2" s="333" t="s">
        <v>4731</v>
      </c>
      <c r="HL2" s="333" t="s">
        <v>5057</v>
      </c>
      <c r="HM2" s="334" t="s">
        <v>5060</v>
      </c>
      <c r="HN2" s="332" t="s">
        <v>5055</v>
      </c>
      <c r="HO2" s="333" t="s">
        <v>5056</v>
      </c>
      <c r="HP2" s="332" t="s">
        <v>5059</v>
      </c>
      <c r="HQ2" s="332" t="s">
        <v>4730</v>
      </c>
      <c r="HR2" s="333" t="s">
        <v>4731</v>
      </c>
      <c r="HS2" s="333" t="s">
        <v>5057</v>
      </c>
      <c r="HT2" s="334" t="s">
        <v>5062</v>
      </c>
      <c r="HU2" s="413" t="s">
        <v>6434</v>
      </c>
      <c r="HV2" s="377" t="s">
        <v>5698</v>
      </c>
      <c r="HW2" s="377" t="s">
        <v>5699</v>
      </c>
      <c r="HX2" s="376" t="s">
        <v>5698</v>
      </c>
      <c r="HY2" s="376" t="s">
        <v>5699</v>
      </c>
      <c r="HZ2" s="495" t="s">
        <v>5698</v>
      </c>
      <c r="IA2" s="496" t="s">
        <v>5699</v>
      </c>
    </row>
    <row r="3" spans="1:235" ht="36.75" customHeight="1" x14ac:dyDescent="0.25">
      <c r="A3" s="228" t="s">
        <v>1615</v>
      </c>
      <c r="B3" s="228" t="s">
        <v>2536</v>
      </c>
      <c r="C3" s="228" t="s">
        <v>6425</v>
      </c>
      <c r="D3" s="228" t="s">
        <v>5701</v>
      </c>
      <c r="E3" s="228" t="s">
        <v>4717</v>
      </c>
      <c r="F3" s="228" t="s">
        <v>2537</v>
      </c>
      <c r="G3" s="228" t="s">
        <v>4732</v>
      </c>
      <c r="H3" s="228" t="s">
        <v>5022</v>
      </c>
      <c r="I3" s="229" t="s">
        <v>5048</v>
      </c>
      <c r="J3" s="229" t="s">
        <v>2538</v>
      </c>
      <c r="K3" s="229" t="s">
        <v>5049</v>
      </c>
      <c r="L3" s="229" t="s">
        <v>4974</v>
      </c>
      <c r="M3" s="229" t="s">
        <v>4977</v>
      </c>
      <c r="N3" s="156" t="s">
        <v>5003</v>
      </c>
      <c r="O3" s="156" t="s">
        <v>5004</v>
      </c>
      <c r="P3" s="170" t="s">
        <v>5005</v>
      </c>
      <c r="Q3" s="170" t="s">
        <v>5006</v>
      </c>
      <c r="R3" s="157" t="s">
        <v>5007</v>
      </c>
      <c r="S3" s="157" t="s">
        <v>5008</v>
      </c>
      <c r="T3" s="278" t="s">
        <v>5039</v>
      </c>
      <c r="U3" s="278" t="s">
        <v>5004</v>
      </c>
      <c r="V3" s="279" t="s">
        <v>5040</v>
      </c>
      <c r="W3" s="279" t="s">
        <v>5006</v>
      </c>
      <c r="X3" s="280" t="s">
        <v>5041</v>
      </c>
      <c r="Y3" s="280" t="s">
        <v>5008</v>
      </c>
      <c r="Z3" s="156" t="s">
        <v>5003</v>
      </c>
      <c r="AA3" s="156" t="s">
        <v>5004</v>
      </c>
      <c r="AB3" s="170" t="s">
        <v>5005</v>
      </c>
      <c r="AC3" s="170" t="s">
        <v>5006</v>
      </c>
      <c r="AD3" s="157" t="s">
        <v>5007</v>
      </c>
      <c r="AE3" s="157" t="s">
        <v>5008</v>
      </c>
      <c r="AF3" s="157" t="s">
        <v>4995</v>
      </c>
      <c r="AG3" s="156" t="s">
        <v>5003</v>
      </c>
      <c r="AH3" s="156" t="s">
        <v>5004</v>
      </c>
      <c r="AI3" s="170" t="s">
        <v>5005</v>
      </c>
      <c r="AJ3" s="170" t="s">
        <v>5006</v>
      </c>
      <c r="AK3" s="157" t="s">
        <v>5007</v>
      </c>
      <c r="AL3" s="157" t="s">
        <v>5008</v>
      </c>
      <c r="AM3" s="157" t="s">
        <v>4995</v>
      </c>
      <c r="AN3" s="156" t="s">
        <v>5003</v>
      </c>
      <c r="AO3" s="156" t="s">
        <v>5004</v>
      </c>
      <c r="AP3" s="170" t="s">
        <v>5005</v>
      </c>
      <c r="AQ3" s="170" t="s">
        <v>5006</v>
      </c>
      <c r="AR3" s="157" t="s">
        <v>5007</v>
      </c>
      <c r="AS3" s="157" t="s">
        <v>5008</v>
      </c>
      <c r="AT3" s="157" t="s">
        <v>4995</v>
      </c>
      <c r="AU3" s="156" t="s">
        <v>5003</v>
      </c>
      <c r="AV3" s="156" t="s">
        <v>5004</v>
      </c>
      <c r="AW3" s="170" t="s">
        <v>5005</v>
      </c>
      <c r="AX3" s="170" t="s">
        <v>5006</v>
      </c>
      <c r="AY3" s="157" t="s">
        <v>5007</v>
      </c>
      <c r="AZ3" s="157" t="s">
        <v>5008</v>
      </c>
      <c r="BA3" s="157" t="s">
        <v>4995</v>
      </c>
      <c r="BB3" s="156" t="s">
        <v>5003</v>
      </c>
      <c r="BC3" s="156" t="s">
        <v>5004</v>
      </c>
      <c r="BD3" s="170" t="s">
        <v>5005</v>
      </c>
      <c r="BE3" s="170" t="s">
        <v>5006</v>
      </c>
      <c r="BF3" s="157" t="s">
        <v>5007</v>
      </c>
      <c r="BG3" s="157" t="s">
        <v>5008</v>
      </c>
      <c r="BH3" s="157" t="s">
        <v>4995</v>
      </c>
      <c r="BI3" s="156" t="s">
        <v>5003</v>
      </c>
      <c r="BJ3" s="156" t="s">
        <v>5004</v>
      </c>
      <c r="BK3" s="170" t="s">
        <v>5005</v>
      </c>
      <c r="BL3" s="170" t="s">
        <v>5006</v>
      </c>
      <c r="BM3" s="157" t="s">
        <v>5007</v>
      </c>
      <c r="BN3" s="157" t="s">
        <v>5008</v>
      </c>
      <c r="BO3" s="157" t="s">
        <v>4995</v>
      </c>
      <c r="BP3" s="156" t="s">
        <v>5003</v>
      </c>
      <c r="BQ3" s="156" t="s">
        <v>5004</v>
      </c>
      <c r="BR3" s="170" t="s">
        <v>5005</v>
      </c>
      <c r="BS3" s="170" t="s">
        <v>5006</v>
      </c>
      <c r="BT3" s="157" t="s">
        <v>5007</v>
      </c>
      <c r="BU3" s="157" t="s">
        <v>5008</v>
      </c>
      <c r="BV3" s="157" t="s">
        <v>4995</v>
      </c>
      <c r="BW3" s="156" t="s">
        <v>5003</v>
      </c>
      <c r="BX3" s="156" t="s">
        <v>5004</v>
      </c>
      <c r="BY3" s="170" t="s">
        <v>5005</v>
      </c>
      <c r="BZ3" s="170" t="s">
        <v>5006</v>
      </c>
      <c r="CA3" s="157" t="s">
        <v>5007</v>
      </c>
      <c r="CB3" s="157" t="s">
        <v>5008</v>
      </c>
      <c r="CC3" s="157" t="s">
        <v>4995</v>
      </c>
      <c r="CD3" s="156" t="s">
        <v>5003</v>
      </c>
      <c r="CE3" s="156" t="s">
        <v>5004</v>
      </c>
      <c r="CF3" s="170" t="s">
        <v>5005</v>
      </c>
      <c r="CG3" s="170" t="s">
        <v>5006</v>
      </c>
      <c r="CH3" s="157" t="s">
        <v>5007</v>
      </c>
      <c r="CI3" s="157" t="s">
        <v>5008</v>
      </c>
      <c r="CJ3" s="157" t="s">
        <v>4995</v>
      </c>
      <c r="CK3" s="156" t="s">
        <v>5003</v>
      </c>
      <c r="CL3" s="156" t="s">
        <v>5004</v>
      </c>
      <c r="CM3" s="170" t="s">
        <v>5005</v>
      </c>
      <c r="CN3" s="170" t="s">
        <v>5006</v>
      </c>
      <c r="CO3" s="157" t="s">
        <v>5007</v>
      </c>
      <c r="CP3" s="157" t="s">
        <v>5008</v>
      </c>
      <c r="CQ3" s="157" t="s">
        <v>4995</v>
      </c>
      <c r="CR3" s="156" t="s">
        <v>5003</v>
      </c>
      <c r="CS3" s="156" t="s">
        <v>5004</v>
      </c>
      <c r="CT3" s="170" t="s">
        <v>5005</v>
      </c>
      <c r="CU3" s="170" t="s">
        <v>5006</v>
      </c>
      <c r="CV3" s="157" t="s">
        <v>5007</v>
      </c>
      <c r="CW3" s="157" t="s">
        <v>5008</v>
      </c>
      <c r="CX3" s="157" t="s">
        <v>4995</v>
      </c>
      <c r="CY3" s="156" t="s">
        <v>5003</v>
      </c>
      <c r="CZ3" s="156" t="s">
        <v>5004</v>
      </c>
      <c r="DA3" s="170" t="s">
        <v>5005</v>
      </c>
      <c r="DB3" s="170" t="s">
        <v>5006</v>
      </c>
      <c r="DC3" s="157" t="s">
        <v>5007</v>
      </c>
      <c r="DD3" s="157" t="s">
        <v>5008</v>
      </c>
      <c r="DE3" s="157" t="s">
        <v>4995</v>
      </c>
      <c r="DF3" s="156" t="s">
        <v>5003</v>
      </c>
      <c r="DG3" s="156" t="s">
        <v>5004</v>
      </c>
      <c r="DH3" s="170" t="s">
        <v>5005</v>
      </c>
      <c r="DI3" s="170" t="s">
        <v>5006</v>
      </c>
      <c r="DJ3" s="157" t="s">
        <v>5007</v>
      </c>
      <c r="DK3" s="157" t="s">
        <v>5008</v>
      </c>
      <c r="DL3" s="157" t="s">
        <v>4995</v>
      </c>
      <c r="DM3" s="156" t="s">
        <v>5003</v>
      </c>
      <c r="DN3" s="156" t="s">
        <v>5004</v>
      </c>
      <c r="DO3" s="170" t="s">
        <v>5005</v>
      </c>
      <c r="DP3" s="170" t="s">
        <v>5006</v>
      </c>
      <c r="DQ3" s="157" t="s">
        <v>5007</v>
      </c>
      <c r="DR3" s="157" t="s">
        <v>5008</v>
      </c>
      <c r="DS3" s="157" t="s">
        <v>4995</v>
      </c>
      <c r="DT3" s="156" t="s">
        <v>5003</v>
      </c>
      <c r="DU3" s="156" t="s">
        <v>5004</v>
      </c>
      <c r="DV3" s="170" t="s">
        <v>5005</v>
      </c>
      <c r="DW3" s="170" t="s">
        <v>5006</v>
      </c>
      <c r="DX3" s="157" t="s">
        <v>5007</v>
      </c>
      <c r="DY3" s="157" t="s">
        <v>5008</v>
      </c>
      <c r="DZ3" s="157" t="s">
        <v>4995</v>
      </c>
      <c r="EA3" s="156" t="s">
        <v>5003</v>
      </c>
      <c r="EB3" s="156" t="s">
        <v>5004</v>
      </c>
      <c r="EC3" s="170" t="s">
        <v>5005</v>
      </c>
      <c r="ED3" s="170" t="s">
        <v>5006</v>
      </c>
      <c r="EE3" s="157" t="s">
        <v>5007</v>
      </c>
      <c r="EF3" s="157" t="s">
        <v>5008</v>
      </c>
      <c r="EG3" s="157" t="s">
        <v>4995</v>
      </c>
      <c r="EH3" s="195" t="s">
        <v>4997</v>
      </c>
      <c r="EI3" s="195" t="s">
        <v>5002</v>
      </c>
      <c r="EJ3" s="195" t="s">
        <v>5011</v>
      </c>
      <c r="EK3" s="195" t="s">
        <v>5010</v>
      </c>
      <c r="EL3" s="471" t="s">
        <v>6457</v>
      </c>
      <c r="EM3" s="471" t="s">
        <v>6458</v>
      </c>
      <c r="EN3" s="471" t="s">
        <v>6468</v>
      </c>
      <c r="EO3" s="471" t="s">
        <v>6469</v>
      </c>
      <c r="EP3" s="471" t="s">
        <v>6470</v>
      </c>
      <c r="EQ3" s="471" t="s">
        <v>6471</v>
      </c>
      <c r="ER3" s="471" t="s">
        <v>6467</v>
      </c>
      <c r="ES3" s="471" t="s">
        <v>6472</v>
      </c>
      <c r="ET3" s="460" t="s">
        <v>6457</v>
      </c>
      <c r="EU3" s="460" t="s">
        <v>6458</v>
      </c>
      <c r="EV3" s="460" t="s">
        <v>6468</v>
      </c>
      <c r="EW3" s="460" t="s">
        <v>6469</v>
      </c>
      <c r="EX3" s="460" t="s">
        <v>6470</v>
      </c>
      <c r="EY3" s="460" t="s">
        <v>6471</v>
      </c>
      <c r="EZ3" s="460" t="s">
        <v>6467</v>
      </c>
      <c r="FA3" s="460" t="s">
        <v>6472</v>
      </c>
      <c r="FB3" s="237" t="s">
        <v>5064</v>
      </c>
      <c r="FC3" s="237" t="s">
        <v>5065</v>
      </c>
      <c r="FD3" s="237" t="s">
        <v>5064</v>
      </c>
      <c r="FE3" s="237" t="s">
        <v>5065</v>
      </c>
      <c r="FF3" s="237" t="s">
        <v>5037</v>
      </c>
      <c r="FG3" s="237" t="s">
        <v>5038</v>
      </c>
      <c r="FH3" s="237" t="s">
        <v>5064</v>
      </c>
      <c r="FI3" s="237" t="s">
        <v>5065</v>
      </c>
      <c r="FJ3" s="237" t="s">
        <v>5037</v>
      </c>
      <c r="FK3" s="237" t="s">
        <v>5038</v>
      </c>
      <c r="FL3" s="237" t="s">
        <v>5064</v>
      </c>
      <c r="FM3" s="237" t="s">
        <v>5065</v>
      </c>
      <c r="FN3" s="237" t="s">
        <v>5037</v>
      </c>
      <c r="FO3" s="237" t="s">
        <v>5038</v>
      </c>
      <c r="FP3" s="195" t="s">
        <v>5026</v>
      </c>
      <c r="FQ3" s="195" t="s">
        <v>4999</v>
      </c>
      <c r="FR3" s="195" t="s">
        <v>5031</v>
      </c>
      <c r="FS3" s="237" t="s">
        <v>5033</v>
      </c>
      <c r="FT3" s="237" t="s">
        <v>5032</v>
      </c>
      <c r="FU3" s="194" t="s">
        <v>5012</v>
      </c>
      <c r="FV3" s="228" t="s">
        <v>4745</v>
      </c>
      <c r="FW3" s="228" t="s">
        <v>6474</v>
      </c>
      <c r="FX3" s="230" t="s">
        <v>2735</v>
      </c>
      <c r="FY3" s="230" t="s">
        <v>2738</v>
      </c>
      <c r="FZ3" s="230" t="s">
        <v>2740</v>
      </c>
      <c r="GA3" s="231" t="s">
        <v>4968</v>
      </c>
      <c r="GB3" s="230" t="s">
        <v>2745</v>
      </c>
      <c r="GC3" s="230" t="s">
        <v>2746</v>
      </c>
      <c r="GD3" s="230" t="s">
        <v>2747</v>
      </c>
      <c r="GE3" s="232" t="s">
        <v>2777</v>
      </c>
      <c r="GF3" s="233" t="s">
        <v>4982</v>
      </c>
      <c r="GG3" s="228" t="s">
        <v>4737</v>
      </c>
      <c r="GH3" s="228" t="s">
        <v>4972</v>
      </c>
      <c r="GI3" s="234" t="s">
        <v>4738</v>
      </c>
      <c r="GJ3" s="235" t="s">
        <v>4984</v>
      </c>
      <c r="GK3" s="190" t="s">
        <v>4973</v>
      </c>
      <c r="GL3" s="236" t="s">
        <v>6437</v>
      </c>
      <c r="GM3" s="303" t="s">
        <v>5042</v>
      </c>
      <c r="GN3" s="303" t="s">
        <v>5043</v>
      </c>
      <c r="GO3" s="303" t="s">
        <v>5044</v>
      </c>
      <c r="GP3" s="303" t="s">
        <v>5045</v>
      </c>
      <c r="GQ3" s="303" t="s">
        <v>5046</v>
      </c>
      <c r="GR3" s="303" t="s">
        <v>5047</v>
      </c>
      <c r="GS3" s="237" t="s">
        <v>4989</v>
      </c>
      <c r="GT3" s="237" t="s">
        <v>4991</v>
      </c>
      <c r="GU3" s="237" t="s">
        <v>4990</v>
      </c>
      <c r="GV3" s="237" t="s">
        <v>4992</v>
      </c>
      <c r="GW3" s="237" t="s">
        <v>4993</v>
      </c>
      <c r="GX3" s="237" t="s">
        <v>4994</v>
      </c>
      <c r="GY3" s="237" t="s">
        <v>4988</v>
      </c>
      <c r="GZ3" s="236" t="s">
        <v>4736</v>
      </c>
      <c r="HA3" s="236" t="s">
        <v>4986</v>
      </c>
      <c r="HB3" s="238" t="s">
        <v>4733</v>
      </c>
      <c r="HC3" s="239" t="s">
        <v>6426</v>
      </c>
      <c r="HD3" s="389" t="s">
        <v>4998</v>
      </c>
      <c r="HE3" s="238" t="s">
        <v>4999</v>
      </c>
      <c r="HF3" s="240" t="s">
        <v>5000</v>
      </c>
      <c r="HG3" s="238" t="s">
        <v>5001</v>
      </c>
      <c r="HH3" s="329" t="s">
        <v>6518</v>
      </c>
      <c r="HJ3" s="91">
        <f>AVERAGEIF($EH$4:$EH$448,"&gt;0")</f>
        <v>49.334695816042377</v>
      </c>
      <c r="HK3" s="91">
        <f>AVERAGEIF($EH$4:$EH$448,"&lt;0")</f>
        <v>-45.175087556137683</v>
      </c>
      <c r="HL3" s="92">
        <f>HJ3/-HK3</f>
        <v>1.0920774808623377</v>
      </c>
      <c r="HM3" s="396">
        <f>(HN3*HJ3)+(HO3*HK3)</f>
        <v>2530.0993510259032</v>
      </c>
      <c r="HN3" s="90">
        <f>COUNTIF($EH$4:$EH$448,"&gt;0")</f>
        <v>239</v>
      </c>
      <c r="HO3" s="90">
        <f>COUNTIF($EH$4:$EH$448,"&lt;0")</f>
        <v>205</v>
      </c>
      <c r="HP3" s="330">
        <f>HN3/(HN3+HO3)</f>
        <v>0.53828828828828834</v>
      </c>
      <c r="HQ3" s="331">
        <f>AVERAGEIF($FP$4:$FP$448,"&gt;0")</f>
        <v>0.92852474409122543</v>
      </c>
      <c r="HR3" s="92">
        <f>AVERAGEIF($FP$4:$FP$448,"&lt;0")</f>
        <v>-0.74772977732369472</v>
      </c>
      <c r="HS3" s="92">
        <f>HQ3/-HR3</f>
        <v>1.2417918508135914</v>
      </c>
      <c r="HT3" s="247">
        <f>(HN3*HQ3)+(HR3*HO3)</f>
        <v>68.632809486445467</v>
      </c>
      <c r="HU3" s="247">
        <f>SUMIFS($FP$4:$FP$448,$H$4:$H$448,"o")</f>
        <v>37.44013935000411</v>
      </c>
      <c r="HV3" s="368">
        <f>SUMIFS($FP$4:$FP$448,$D$4:$D$448,"Y")</f>
        <v>25.097747448600412</v>
      </c>
      <c r="HW3" s="368">
        <f>SUMIFS($FP$4:$FP$448,$D$4:$D$448,"N")</f>
        <v>43.535062037845044</v>
      </c>
      <c r="HX3" s="378">
        <f>SUMIFS($FP$4:$FP$448,$D$4:$D$448,"Y")/COUNTIF($D$4:$D$448,"Y")</f>
        <v>6.4353198586154903E-2</v>
      </c>
      <c r="HY3" s="378">
        <f>SUMIFS($FP$4:$FP$448,$D$4:$D$448,"N")/COUNTIF($D$4:$D$448,"N")</f>
        <v>0.79154658250627352</v>
      </c>
      <c r="HZ3" s="494">
        <f>COUNTIF($D$4:$D$448,"Y")</f>
        <v>390</v>
      </c>
      <c r="IA3" s="494">
        <f>COUNTIF($D$4:$D$448,"N")</f>
        <v>55</v>
      </c>
    </row>
    <row r="4" spans="1:235" x14ac:dyDescent="0.25">
      <c r="A4" s="57" t="s">
        <v>1433</v>
      </c>
      <c r="B4" s="58" t="s">
        <v>5079</v>
      </c>
      <c r="C4" s="386">
        <f t="shared" ref="C4:C67" si="0">IF(FV4="Dwn",2,IF(FV4="Up",1,IF(FV4="SW",3,"x")))</f>
        <v>2</v>
      </c>
      <c r="D4" s="371" t="str">
        <f>_xlfn.XLOOKUP(A4,[1]SP500!$A$2:$A$502,[1]SP500!$D$2:$D$502,"N")</f>
        <v>Y</v>
      </c>
      <c r="E4" s="57" t="str">
        <f>_xlfn.XLOOKUP(A4,[1]SP500!$A$2:$A$655,[1]SP500!$B$2:$B$655)</f>
        <v>XLP</v>
      </c>
      <c r="F4" s="59">
        <v>45667</v>
      </c>
      <c r="G4" s="57" t="str">
        <f t="shared" ref="G4:G67" si="1">IF(ISNUMBER(FIND("After",B4,1)),"AMC",IF(ISNUMBER(FIND("Before",B4,1)),"BMO","err"))</f>
        <v>BMO</v>
      </c>
      <c r="H4" s="57" t="str">
        <f t="shared" ref="H4:H67" si="2">IF(HB4="other","o",IF(HB4="Skip","o",IF(OR(FV4="",GF4=""),"",IF(AND(FV4="Dwn",GF4="Short"),"s",IF(AND(FV4="Up",GF4="Long"),"s",IF(AND(FV4="SW",GF4="Long"),"s","o"))))))</f>
        <v>o</v>
      </c>
      <c r="I4" s="158">
        <v>219.28</v>
      </c>
      <c r="J4" s="158">
        <v>203.11</v>
      </c>
      <c r="K4" s="61">
        <f t="shared" ref="K4:K67" si="3">IF(J4="","",(J4-I4)/I4)</f>
        <v>-7.3741335279095169E-2</v>
      </c>
      <c r="L4" s="87">
        <f t="shared" ref="L4:L67" si="4">IF(OR($GI4="",J4=""),"",IF($GF4="Long",(($J4*$GI4)-$GH4),($GH4-($J4*$GI4))))</f>
        <v>29.496534111638084</v>
      </c>
      <c r="M4" s="63" t="str">
        <f t="shared" ref="M4:M35" si="5">IF(L4="","",IF(HG4="","",HG4-L4))</f>
        <v/>
      </c>
      <c r="N4" s="219" t="str">
        <f t="shared" ref="N4:N67" si="6">IF(AND($FV4="Up",$GA4="Long"),$EH4,"")</f>
        <v/>
      </c>
      <c r="O4" s="219">
        <f>IF($J4="",#N/A,SUM(N$4:N4))</f>
        <v>0</v>
      </c>
      <c r="P4" s="220">
        <f t="shared" ref="P4:P67" si="7">IF(AND($FV4="Dwn",$GA4="Short"),$EH4,"")</f>
        <v>29.496534111638084</v>
      </c>
      <c r="Q4" s="220">
        <f>IF($J4="",#N/A,SUM(P$4:P4))</f>
        <v>29.496534111638084</v>
      </c>
      <c r="R4" s="221" t="str">
        <f t="shared" ref="R4:R67" si="8">IF(AND($FV4="SW",$GA4="Long"),$EH4,"")</f>
        <v/>
      </c>
      <c r="S4" s="222">
        <f>IF($J4="",#N/A,SUM(R$4:R4))</f>
        <v>0</v>
      </c>
      <c r="T4" s="281" t="str">
        <f t="shared" ref="T4:T67" si="9">IF(AND($FV4="Up",$GA4="Long"),$FP4,"")</f>
        <v/>
      </c>
      <c r="U4" s="281">
        <f>IF($J4="",#N/A,SUM(T$4:T4))</f>
        <v>0</v>
      </c>
      <c r="V4" s="282">
        <f t="shared" ref="V4:V67" si="10">IF(AND($FV4="Dwn",$GA4="Short"),$FP4,"")</f>
        <v>1.2290222546515868</v>
      </c>
      <c r="W4" s="282">
        <f>IF($J4="",#N/A,SUM(V$4:V4))</f>
        <v>1.2290222546515868</v>
      </c>
      <c r="X4" s="283" t="str">
        <f t="shared" ref="X4:X67" si="11">IF(AND($FV4="SW",$GA4="Long"),$FP4,"")</f>
        <v/>
      </c>
      <c r="Y4" s="283">
        <f>IF($J4="",#N/A,SUM(X$4:X4))</f>
        <v>0</v>
      </c>
      <c r="Z4" s="304" t="str">
        <f t="shared" ref="Z4:Z67" si="12">IF(AND($FV4="Up",$GA4="Long",$E4=Z$2),$FP4,"")</f>
        <v/>
      </c>
      <c r="AA4" s="304">
        <f>IF($J4="",#N/A,SUM(Z$4:Z4))</f>
        <v>0</v>
      </c>
      <c r="AB4" s="305" t="str">
        <f t="shared" ref="AB4:AB67" si="13">IF(AND($FV4="Dwn",$GA4="Short",$E4=Z$2),$FP4,"")</f>
        <v/>
      </c>
      <c r="AC4" s="305">
        <f>IF($J4="",#N/A,SUM(AB$4:AB4))</f>
        <v>0</v>
      </c>
      <c r="AD4" s="306" t="str">
        <f t="shared" ref="AD4:AD67" si="14">IF(AND($FV4="SW",$GA4="Long",$E4=Z$2),$FP4,"")</f>
        <v/>
      </c>
      <c r="AE4" s="306">
        <f>IF($J4="",#N/A,SUM(AD$4:AD4))</f>
        <v>0</v>
      </c>
      <c r="AF4" s="306">
        <f>IF($J4="",#N/A,SUM(AD$4:AD4,AB$4:AB4,Z$4:Z4))</f>
        <v>0</v>
      </c>
      <c r="AG4" s="304" t="str">
        <f t="shared" ref="AG4:AG67" si="15">IF(AND($FV4="Up",$GA4="Long",$E4=AG$2),$FP4,"")</f>
        <v/>
      </c>
      <c r="AH4" s="304">
        <f>IF($J4="",#N/A,SUM(AG$4:AG4))</f>
        <v>0</v>
      </c>
      <c r="AI4" s="305" t="str">
        <f t="shared" ref="AI4:AI67" si="16">IF(AND($FV4="Dwn",$GA4="Short",$E4=AG$2),$FP4,"")</f>
        <v/>
      </c>
      <c r="AJ4" s="305">
        <f>IF($J4="",#N/A,SUM(AI$4:AI4))</f>
        <v>0</v>
      </c>
      <c r="AK4" s="306" t="str">
        <f t="shared" ref="AK4:AK67" si="17">IF(AND($FV4="SW",$GA4="Long",$E4=AG$2),$FP4,"")</f>
        <v/>
      </c>
      <c r="AL4" s="306">
        <f>IF($J4="",#N/A,SUM(AK$4:AK4))</f>
        <v>0</v>
      </c>
      <c r="AM4" s="306">
        <f>IF($J4="",#N/A,SUM(AK$4:AK4,AI$4:AI4,AG$4:AG4))</f>
        <v>0</v>
      </c>
      <c r="AN4" s="304" t="str">
        <f t="shared" ref="AN4:AN67" si="18">IF(AND($FV4="Up",$GA4="Long",$E4=AN$2),$FP4,"")</f>
        <v/>
      </c>
      <c r="AO4" s="304">
        <f>IF($J4="",#N/A,SUM(AN$4:AN4))</f>
        <v>0</v>
      </c>
      <c r="AP4" s="305" t="str">
        <f t="shared" ref="AP4:AP67" si="19">IF(AND($FV4="Dwn",$GA4="Short",$E4=AN$2),$FP4,"")</f>
        <v/>
      </c>
      <c r="AQ4" s="305">
        <f>IF($J4="",#N/A,SUM(AP$4:AP4))</f>
        <v>0</v>
      </c>
      <c r="AR4" s="306" t="str">
        <f t="shared" ref="AR4:AR67" si="20">IF(AND($FV4="SW",$GA4="Long",$E4=AN$2),$FP4,"")</f>
        <v/>
      </c>
      <c r="AS4" s="306">
        <f>IF($J4="",#N/A,SUM(AR$4:AR4))</f>
        <v>0</v>
      </c>
      <c r="AT4" s="306">
        <f>IF($J4="",#N/A,SUM(AR$4:AR4,AP$4:AP4,AN$4:AN4))</f>
        <v>0</v>
      </c>
      <c r="AU4" s="304" t="str">
        <f t="shared" ref="AU4:AU67" si="21">IF(AND($FV4="Up",$GA4="Long",$E4=AU$2),$FP4,"")</f>
        <v/>
      </c>
      <c r="AV4" s="304">
        <f>IF($J4="",#N/A,SUM(AU$4:AU4))</f>
        <v>0</v>
      </c>
      <c r="AW4" s="305">
        <f t="shared" ref="AW4:AW67" si="22">IF(AND($FV4="Dwn",$GA4="Short",$E4=AU$2),$FP4,"")</f>
        <v>1.2290222546515868</v>
      </c>
      <c r="AX4" s="305">
        <f>IF($J4="",#N/A,SUM(AW$4:AW4))</f>
        <v>1.2290222546515868</v>
      </c>
      <c r="AY4" s="306" t="str">
        <f t="shared" ref="AY4:AY67" si="23">IF(AND($FV4="SW",$GA4="Long",$E4=AU$2),$FP4,"")</f>
        <v/>
      </c>
      <c r="AZ4" s="306">
        <f>IF($J4="",#N/A,SUM(AY$4:AY4))</f>
        <v>0</v>
      </c>
      <c r="BA4" s="306">
        <f>IF($J4="",#N/A,SUM(AY$4:AY4,AW$4:AW4,AU$4:AU4))</f>
        <v>1.2290222546515868</v>
      </c>
      <c r="BB4" s="304" t="str">
        <f t="shared" ref="BB4:BB67" si="24">IF(AND($FV4="Up",$GA4="Long",$E4=BB$2),$FP4,"")</f>
        <v/>
      </c>
      <c r="BC4" s="304">
        <f>IF($J4="",#N/A,SUM(BB$4:BB4))</f>
        <v>0</v>
      </c>
      <c r="BD4" s="305" t="str">
        <f t="shared" ref="BD4:BD67" si="25">IF(AND($FV4="Dwn",$GA4="Short",$E4=BB$2),$FP4,"")</f>
        <v/>
      </c>
      <c r="BE4" s="305">
        <f>IF($J4="",#N/A,SUM(BD$4:BD4))</f>
        <v>0</v>
      </c>
      <c r="BF4" s="306" t="str">
        <f t="shared" ref="BF4:BF67" si="26">IF(AND($FV4="SW",$GA4="Long",$E4=BB$2),$FP4,"")</f>
        <v/>
      </c>
      <c r="BG4" s="306">
        <f>IF($J4="",#N/A,SUM(BF$4:BF4))</f>
        <v>0</v>
      </c>
      <c r="BH4" s="306">
        <f>IF($J4="",#N/A,SUM(BF$4:BF4,BD$4:BD4,BB$4:BB4))</f>
        <v>0</v>
      </c>
      <c r="BI4" s="304" t="str">
        <f t="shared" ref="BI4:BI67" si="27">IF(AND($FV4="Up",$GA4="Long",$E4=BI$2),$FP4,"")</f>
        <v/>
      </c>
      <c r="BJ4" s="304">
        <f>IF($J4="",#N/A,SUM(BI$4:BI4))</f>
        <v>0</v>
      </c>
      <c r="BK4" s="305" t="str">
        <f t="shared" ref="BK4:BK67" si="28">IF(AND($FV4="Dwn",$GA4="Short",$E4=BI$2),$FP4,"")</f>
        <v/>
      </c>
      <c r="BL4" s="305">
        <f>IF($J4="",#N/A,SUM(BK$4:BK4))</f>
        <v>0</v>
      </c>
      <c r="BM4" s="306" t="str">
        <f t="shared" ref="BM4:BM67" si="29">IF(AND($FV4="SW",$GA4="Long",$E4=BI$2),$FP4,"")</f>
        <v/>
      </c>
      <c r="BN4" s="306">
        <f>IF($J4="",#N/A,SUM(BM$4:BM4))</f>
        <v>0</v>
      </c>
      <c r="BO4" s="306">
        <f>IF($J4="",#N/A,SUM(BM$4:BM4,BK$4:BK4,BI$4:BI4))</f>
        <v>0</v>
      </c>
      <c r="BP4" s="304" t="str">
        <f t="shared" ref="BP4:BP67" si="30">IF(AND($FV4="Up",$GA4="Long",$E4=BP$2),$FP4,"")</f>
        <v/>
      </c>
      <c r="BQ4" s="304">
        <f>IF($J4="",#N/A,SUM(BP$4:BP4))</f>
        <v>0</v>
      </c>
      <c r="BR4" s="305" t="str">
        <f t="shared" ref="BR4:BR67" si="31">IF(AND($FV4="Dwn",$GA4="Short",$E4=BP$2),$FP4,"")</f>
        <v/>
      </c>
      <c r="BS4" s="305">
        <f>IF($J4="",#N/A,SUM(BR$4:BR4))</f>
        <v>0</v>
      </c>
      <c r="BT4" s="306" t="str">
        <f t="shared" ref="BT4:BT67" si="32">IF(AND($FV4="SW",$GA4="Long",$E4=BP$2),$FP4,"")</f>
        <v/>
      </c>
      <c r="BU4" s="306">
        <f>IF($J4="",#N/A,SUM(BT$4:BT4))</f>
        <v>0</v>
      </c>
      <c r="BV4" s="306">
        <f>IF($J4="",#N/A,SUM(BT$4:BT4,BR$4:BR4,BP$4:BP4))</f>
        <v>0</v>
      </c>
      <c r="BW4" s="304" t="str">
        <f t="shared" ref="BW4:BW67" si="33">IF(AND($FV4="Up",$GA4="Long",$E4=BW$2),$FP4,"")</f>
        <v/>
      </c>
      <c r="BX4" s="304">
        <f>IF($J4="",#N/A,SUM(BW$4:BW4))</f>
        <v>0</v>
      </c>
      <c r="BY4" s="305" t="str">
        <f t="shared" ref="BY4:BY67" si="34">IF(AND($FV4="Dwn",$GA4="Short",$E4=BW$2),$FP4,"")</f>
        <v/>
      </c>
      <c r="BZ4" s="305">
        <f>IF($J4="",#N/A,SUM(BY$4:BY4))</f>
        <v>0</v>
      </c>
      <c r="CA4" s="306" t="str">
        <f t="shared" ref="CA4:CA67" si="35">IF(AND($FV4="SW",$GA4="Long",$E4=BW$2),$FP4,"")</f>
        <v/>
      </c>
      <c r="CB4" s="306">
        <f>IF($J4="",#N/A,SUM(CA$4:CA4))</f>
        <v>0</v>
      </c>
      <c r="CC4" s="306">
        <f>IF($J4="",#N/A,SUM(CA$4:CA4,BY$4:BY4,BW$4:BW4))</f>
        <v>0</v>
      </c>
      <c r="CD4" s="304" t="str">
        <f t="shared" ref="CD4:CD67" si="36">IF(AND($FV4="Up",$GA4="Long",$E4=CD$2),$FP4,"")</f>
        <v/>
      </c>
      <c r="CE4" s="304">
        <f>IF($J4="",#N/A,SUM(CD$4:CD4))</f>
        <v>0</v>
      </c>
      <c r="CF4" s="305" t="str">
        <f t="shared" ref="CF4:CF67" si="37">IF(AND($FV4="Dwn",$GA4="Short",$E4=CD$2),$FP4,"")</f>
        <v/>
      </c>
      <c r="CG4" s="305">
        <f>IF($J4="",#N/A,SUM(CF$4:CF4))</f>
        <v>0</v>
      </c>
      <c r="CH4" s="306" t="str">
        <f t="shared" ref="CH4:CH67" si="38">IF(AND($FV4="SW",$GA4="Long",$E4=CD$2),$FP4,"")</f>
        <v/>
      </c>
      <c r="CI4" s="306">
        <f>IF($J4="",#N/A,SUM(CH$4:CH4))</f>
        <v>0</v>
      </c>
      <c r="CJ4" s="306">
        <f>IF($J4="",#N/A,SUM(CH$4:CH4,CF$4:CF4,CD$4:CD4))</f>
        <v>0</v>
      </c>
      <c r="CK4" s="304" t="str">
        <f t="shared" ref="CK4:CK67" si="39">IF(AND($FV4="Up",$GA4="Long",$E4=CK$2),$FP4,"")</f>
        <v/>
      </c>
      <c r="CL4" s="304">
        <f>IF($J4="",#N/A,SUM(CK$4:CK4))</f>
        <v>0</v>
      </c>
      <c r="CM4" s="305" t="str">
        <f t="shared" ref="CM4:CM67" si="40">IF(AND($FV4="Dwn",$GA4="Short",$E4=CK$2),$FP4,"")</f>
        <v/>
      </c>
      <c r="CN4" s="305">
        <f>IF($J4="",#N/A,SUM(CM$4:CM4))</f>
        <v>0</v>
      </c>
      <c r="CO4" s="306" t="str">
        <f t="shared" ref="CO4:CO67" si="41">IF(AND($FV4="SW",$GA4="Long",$E4=CK$2),$FP4,"")</f>
        <v/>
      </c>
      <c r="CP4" s="306">
        <f>IF($J4="",#N/A,SUM(CO$4:CO4))</f>
        <v>0</v>
      </c>
      <c r="CQ4" s="306">
        <f>IF($J4="",#N/A,SUM(CO$4:CO4,CM$4:CM4,CK$4:CK4))</f>
        <v>0</v>
      </c>
      <c r="CR4" s="304" t="str">
        <f t="shared" ref="CR4:CR67" si="42">IF(AND($FV4="Up",$GA4="Long",$E4=CR$2),$FP4,"")</f>
        <v/>
      </c>
      <c r="CS4" s="304">
        <f>IF($J4="",#N/A,SUM(CR$4:CR4))</f>
        <v>0</v>
      </c>
      <c r="CT4" s="305" t="str">
        <f t="shared" ref="CT4:CT67" si="43">IF(AND($FV4="Dwn",$GA4="Short",$E4=CR$2),$FP4,"")</f>
        <v/>
      </c>
      <c r="CU4" s="305">
        <f>IF($J4="",#N/A,SUM(CT$4:CT4))</f>
        <v>0</v>
      </c>
      <c r="CV4" s="306" t="str">
        <f t="shared" ref="CV4:CV67" si="44">IF(AND($FV4="SW",$GA4="Long",$E4=CR$2),$FP4,"")</f>
        <v/>
      </c>
      <c r="CW4" s="306">
        <f>IF($J4="",#N/A,SUM(CV$4:CV4))</f>
        <v>0</v>
      </c>
      <c r="CX4" s="306">
        <f>IF($J4="",#N/A,SUM(CV$4:CV4,CT$4:CT4,CR$4:CR4))</f>
        <v>0</v>
      </c>
      <c r="CY4" s="304" t="str">
        <f t="shared" ref="CY4:CY67" si="45">IF(AND($FV4="Up",$GA4="Long",$E4=CY$2),$FP4,"")</f>
        <v/>
      </c>
      <c r="CZ4" s="304">
        <f>IF($J4="",#N/A,SUM(CY$4:CY4))</f>
        <v>0</v>
      </c>
      <c r="DA4" s="305" t="str">
        <f t="shared" ref="DA4:DA67" si="46">IF(AND($FV4="Dwn",$GA4="Short",$E4=CY$2),$FP4,"")</f>
        <v/>
      </c>
      <c r="DB4" s="305">
        <f>IF($J4="",#N/A,SUM(DA$4:DA4))</f>
        <v>0</v>
      </c>
      <c r="DC4" s="306" t="str">
        <f t="shared" ref="DC4:DC67" si="47">IF(AND($FV4="SW",$GA4="Long",$E4=CY$2),$FP4,"")</f>
        <v/>
      </c>
      <c r="DD4" s="306">
        <f>IF($J4="",#N/A,SUM(DC$4:DC4))</f>
        <v>0</v>
      </c>
      <c r="DE4" s="306">
        <f>IF($J4="",#N/A,SUM(DC$4:DC4,DA$4:DA4,CY$4:CY4))</f>
        <v>0</v>
      </c>
      <c r="DF4" s="304" t="str">
        <f t="shared" ref="DF4:DF67" si="48">IF(AND($FV4="Up",$GA4="Long",$E4=DF$2),$FP4,"")</f>
        <v/>
      </c>
      <c r="DG4" s="304">
        <f>IF($J4="",#N/A,SUM(DF$4:DF4))</f>
        <v>0</v>
      </c>
      <c r="DH4" s="305" t="str">
        <f t="shared" ref="DH4:DH67" si="49">IF(AND($FV4="Dwn",$GA4="Short",$E4=DF$2),$FP4,"")</f>
        <v/>
      </c>
      <c r="DI4" s="305">
        <f>IF($J4="",#N/A,SUM(DH$4:DH4))</f>
        <v>0</v>
      </c>
      <c r="DJ4" s="306" t="str">
        <f t="shared" ref="DJ4:DJ67" si="50">IF(AND($FV4="SW",$GA4="Long",$E4=DF$2),$FP4,"")</f>
        <v/>
      </c>
      <c r="DK4" s="306">
        <f>IF($J4="",#N/A,SUM(DJ$4:DJ4))</f>
        <v>0</v>
      </c>
      <c r="DL4" s="306">
        <f>IF($J4="",#N/A,SUM(DJ$4:DJ4,DH$4:DH4,DF$4:DF4))</f>
        <v>0</v>
      </c>
      <c r="DM4" s="304" t="str">
        <f t="shared" ref="DM4:DM67" si="51">IF(AND($FV4="Up",$GA4="Long",$E4=DM$2),$FP4,"")</f>
        <v/>
      </c>
      <c r="DN4" s="304">
        <f>IF($J4="",#N/A,SUM(DM$4:DM4))</f>
        <v>0</v>
      </c>
      <c r="DO4" s="305" t="str">
        <f t="shared" ref="DO4:DO67" si="52">IF(AND($FV4="Dwn",$GA4="Short",$E4=DM$2),$FP4,"")</f>
        <v/>
      </c>
      <c r="DP4" s="305">
        <f>IF($J4="",#N/A,SUM(DO$4:DO4))</f>
        <v>0</v>
      </c>
      <c r="DQ4" s="306" t="str">
        <f t="shared" ref="DQ4:DQ67" si="53">IF(AND($FV4="SW",$GA4="Long",$E4=DM$2),$FP4,"")</f>
        <v/>
      </c>
      <c r="DR4" s="306">
        <f>IF($J4="",#N/A,SUM(DQ$4:DQ4))</f>
        <v>0</v>
      </c>
      <c r="DS4" s="306">
        <f>IF($J4="",#N/A,SUM(DQ$4:DQ4,DO$4:DO4,DM$4:DM4))</f>
        <v>0</v>
      </c>
      <c r="DT4" s="304" t="str">
        <f t="shared" ref="DT4:DT67" si="54">IF(AND($FV4="Up",$GA4="Long",$E4=DT$2),$FP4,"")</f>
        <v/>
      </c>
      <c r="DU4" s="304">
        <f>IF($J4="",#N/A,SUM(DT$4:DT4))</f>
        <v>0</v>
      </c>
      <c r="DV4" s="305" t="str">
        <f t="shared" ref="DV4:DV67" si="55">IF(AND($FV4="Dwn",$GA4="Short",$E4=DT$2),$FP4,"")</f>
        <v/>
      </c>
      <c r="DW4" s="305">
        <f>IF($J4="",#N/A,SUM(DV$4:DV4))</f>
        <v>0</v>
      </c>
      <c r="DX4" s="306" t="str">
        <f t="shared" ref="DX4:DX67" si="56">IF(AND($FV4="SW",$GA4="Long",$E4=DT$2),$FP4,"")</f>
        <v/>
      </c>
      <c r="DY4" s="306">
        <f>IF($J4="",#N/A,SUM(DX$4:DX4))</f>
        <v>0</v>
      </c>
      <c r="DZ4" s="306">
        <f>IF($J4="",#N/A,SUM(DX$4:DX4,DV$4:DV4,DT$4:DT4))</f>
        <v>0</v>
      </c>
      <c r="EA4" s="304" t="str">
        <f t="shared" ref="EA4:EA67" si="57">IF(AND($FV4="Up",$GA4="Long",$E4=EA$2),$FP4,"")</f>
        <v/>
      </c>
      <c r="EB4" s="304">
        <f>IF($J4="",#N/A,SUM(EA$4:EA4))</f>
        <v>0</v>
      </c>
      <c r="EC4" s="305" t="str">
        <f t="shared" ref="EC4:EC67" si="58">IF(AND($FV4="Dwn",$GA4="Short",$E4=EA$2),$FP4,"")</f>
        <v/>
      </c>
      <c r="ED4" s="305">
        <f>IF($J4="",#N/A,SUM(EC$4:EC4))</f>
        <v>0</v>
      </c>
      <c r="EE4" s="306" t="str">
        <f t="shared" ref="EE4:EE67" si="59">IF(AND($FV4="SW",$GA4="Long",$E4=EA$2),$FP4,"")</f>
        <v/>
      </c>
      <c r="EF4" s="306">
        <f>IF($J4="",#N/A,SUM(EE$4:EE4))</f>
        <v>0</v>
      </c>
      <c r="EG4" s="306">
        <f>IF($J4="",#N/A,SUM(EE$4:EE4,EC$4:EC4,EA$4:EA4))</f>
        <v>0</v>
      </c>
      <c r="EH4" s="223">
        <f t="shared" ref="EH4:EH67" si="60">IF(OR($GI4="",L4=""),"",IF($GA4="Long",(($J4*$GI4)-$GH4),($GH4-($J4*$GI4))))</f>
        <v>29.496534111638084</v>
      </c>
      <c r="EI4" s="224">
        <f>IF($EH4="",#N/A,SUM($EH$4:EH4))</f>
        <v>29.496534111638084</v>
      </c>
      <c r="EJ4" s="223">
        <f t="shared" ref="EJ4:EJ67" si="61">IF(GZ4="","",IF(OR($GI4="",AM4=""),"",IF($GA4="Long",(($GZ4*$GI4)-$GH4),($GH4-($GZ4*$GI4)))))</f>
        <v>68.350966800437789</v>
      </c>
      <c r="EK4" s="63">
        <f>IF($GZ4="",#N/A,SUM(EJ$4:EJ4))</f>
        <v>68.350966800437789</v>
      </c>
      <c r="EL4" s="60">
        <f>IF($J4="","",IF($D4="Y",$FP4,""))</f>
        <v>1.2290222546515868</v>
      </c>
      <c r="EM4" s="60">
        <f>IF(EL4="",NA(),SUM($EL$4:EL4))</f>
        <v>1.2290222546515868</v>
      </c>
      <c r="EN4" s="60" t="str">
        <f t="shared" ref="EN4:EN67" si="62">IF(AND($FV4="Up",$GA4="Long",$D4="Y"),$EL4,"")</f>
        <v/>
      </c>
      <c r="EO4" s="60" t="e">
        <f>IF(EN4="",NA(),SUM($EN$4:EN4))</f>
        <v>#N/A</v>
      </c>
      <c r="EP4" s="60" t="str">
        <f t="shared" ref="EP4:EP67" si="63">IF(AND($FV4="SW",$GA4="Long",$D4="Y"),$EL4,"")</f>
        <v/>
      </c>
      <c r="EQ4" s="60" t="e">
        <f>IF(EP4="",NA(),SUM($EP$4:EP4))</f>
        <v>#N/A</v>
      </c>
      <c r="ER4" s="60">
        <f t="shared" ref="ER4:ER67" si="64">IF(AND($FV4="Dwn",$GA4="Short",$D4="Y"),$EL4,"")</f>
        <v>1.2290222546515868</v>
      </c>
      <c r="ES4" s="60">
        <f>IF(ER4="",NA(),SUM($ER$4:ER4))</f>
        <v>1.2290222546515868</v>
      </c>
      <c r="ET4" s="60" t="str">
        <f t="shared" ref="ET4:ET67" si="65">IF($J4="","",IF($D4="N",$FP4,""))</f>
        <v/>
      </c>
      <c r="EU4" s="60" t="e">
        <f>IF(ET4="",NA(),SUM($ET$4:ET4))</f>
        <v>#N/A</v>
      </c>
      <c r="EV4" s="60" t="str">
        <f t="shared" ref="EV4:EV67" si="66">IF(AND($FV4="Up",$GA4="Long",$D4="N"),$ET4,"")</f>
        <v/>
      </c>
      <c r="EW4" s="60" t="e">
        <f>IF(EV4="",NA(),SUM($EV$4:EV4))</f>
        <v>#N/A</v>
      </c>
      <c r="EX4" s="60" t="str">
        <f t="shared" ref="EX4:EX67" si="67">IF(AND($FV4="SW",$GA4="Long",$D4="N"),$ET4,"")</f>
        <v/>
      </c>
      <c r="EY4" s="60" t="e">
        <f>IF(EX4="",NA(),SUM($EX$4:EX4))</f>
        <v>#N/A</v>
      </c>
      <c r="EZ4" s="60" t="str">
        <f t="shared" ref="EZ4:EZ67" si="68">IF(AND($FV4="Dwn",$GA4="Short",$D4="N"),$ET4,"")</f>
        <v/>
      </c>
      <c r="FA4" s="60" t="e">
        <f>IF(EZ4="",NA(),SUM($EZ$4:EZ4))</f>
        <v>#N/A</v>
      </c>
      <c r="FB4" s="246">
        <f>IF($GZ4="","",IF(AND($FV4="Dwn",$K4&lt;0),$FN4-$FP4,""))</f>
        <v>1.6189346953666546</v>
      </c>
      <c r="FC4" s="269">
        <f>IF($FB4="",#N/A,SUM(FB$4:$FB4))</f>
        <v>1.6189346953666546</v>
      </c>
      <c r="FD4" s="60" t="str">
        <f t="shared" ref="FD4:FD67" si="69">IF($GZ4="","",IF(AND($FV4="Dwn",$K4&gt;0),$FN4-$FP4,""))</f>
        <v/>
      </c>
      <c r="FE4" s="335" t="e">
        <f>IF($FD4="",#N/A,SUM($FD$4:FD4))</f>
        <v>#N/A</v>
      </c>
      <c r="FF4" s="246" t="str">
        <f t="shared" ref="FF4:FF67" si="70">IF($GZ4="","",IF(AND($FV4="Up",$K4&gt;0),$FN4-$FP4,""))</f>
        <v/>
      </c>
      <c r="FG4" s="269" t="e">
        <f>IF($FF4="",#N/A,SUM($FF$4:FF4))</f>
        <v>#N/A</v>
      </c>
      <c r="FH4" s="60" t="str">
        <f t="shared" ref="FH4:FH67" si="71">IF($GZ4="","",IF(AND($FV4="Up",$K4&lt;0),$FN4-$FP4,""))</f>
        <v/>
      </c>
      <c r="FI4" s="335" t="e">
        <f>IF($FH4="",#N/A,SUM($FH$4:FH4))</f>
        <v>#N/A</v>
      </c>
      <c r="FJ4" s="60" t="str">
        <f t="shared" ref="FJ4:FJ67" si="72">IF($GZ4="","",IF(AND($FV4="SW",$K4&gt;0),$FN4-$FP4,""))</f>
        <v/>
      </c>
      <c r="FK4" s="60" t="e">
        <f>IF($FJ4="",#N/A,SUM($FJ$4:FJ4))</f>
        <v>#N/A</v>
      </c>
      <c r="FL4" s="60" t="str">
        <f t="shared" ref="FL4:FL67" si="73">IF($GZ4="","",IF(AND($FV4="SW",$K4&lt;0),$FN4-$FP4,""))</f>
        <v/>
      </c>
      <c r="FM4" s="335" t="e">
        <f>IF($FL4="",#N/A,SUM($FL$4:FL4))</f>
        <v>#N/A</v>
      </c>
      <c r="FN4" s="269">
        <f t="shared" ref="FN4:FN67" si="74">IF(OR($GI4="",$GZ4=""),"",IF($GA4="Long",(($GZ4*$GI4)-$GH4)/($GH4*0.06),($GH4-($GZ4*$GI4))/($GH4*0.06)))</f>
        <v>2.8479569500182413</v>
      </c>
      <c r="FO4" s="269">
        <f>IF($FN4="",#N/A,SUM(FN$4:$FN4))</f>
        <v>2.8479569500182413</v>
      </c>
      <c r="FP4" s="269">
        <f>IF(OR($GI4="",$L4=""),"",IF($GA4="Long",(($J4*$GI4)-$GH4)/($GH4*0.06),($GH4-($J4*$GI4))/($GH4*0.06)))</f>
        <v>1.2290222546515868</v>
      </c>
      <c r="FQ4" s="270">
        <f>IF($EH4="",#N/A,SUM($FP$4:FP4))</f>
        <v>1.2290222546515868</v>
      </c>
      <c r="FR4" s="273"/>
      <c r="FS4" s="273"/>
      <c r="FT4" s="273"/>
      <c r="FU4" s="82" t="e">
        <v>#N/A</v>
      </c>
      <c r="FV4" s="57" t="str">
        <f t="shared" ref="FV4:FV67" si="75">IF(FW4="Down","Dwn",IF(FW4="Up","Up",IF(AND(FW4="",K4=""),"",IF(AND(K4&lt;0,FW4="Yes"),"Dwn",IF(AND(K4&gt;0,FW4="Yes"),"Up",IF(AND(K4&lt;0,FW4="No"),"Up",IF(AND(K4&gt;0,FW4="No"),"Dwn",IF(FW4="NA","SW","err"))))))))</f>
        <v>Dwn</v>
      </c>
      <c r="FW4" s="57" t="s">
        <v>2733</v>
      </c>
      <c r="FX4" s="57" t="str">
        <f t="shared" ref="FX4:FX67" si="76">IF(K4="","",IF(AND(K4&gt;0,FW4="Yes"),1,""))</f>
        <v/>
      </c>
      <c r="FY4" s="57" t="str">
        <f t="shared" ref="FY4:FY67" si="77">IF(K4="","",IF(AND($K4&gt;0,$FW4="No"),1,""))</f>
        <v/>
      </c>
      <c r="FZ4" s="57" t="str">
        <f t="shared" ref="FZ4:FZ67" si="78">IF(K4="","",IF(AND($K4&gt;0,$FW4="NA"),1,""))</f>
        <v/>
      </c>
      <c r="GA4" s="57" t="str">
        <f t="shared" ref="GA4:GA67" si="79">IF(FV4="Dwn","Short","Long")</f>
        <v>Short</v>
      </c>
      <c r="GB4" s="57">
        <f t="shared" ref="GB4:GB67" si="80">IF(K4="","",IF(AND($K4&lt;0,$FW4="Yes"),1,""))</f>
        <v>1</v>
      </c>
      <c r="GC4" s="57" t="str">
        <f t="shared" ref="GC4:GC67" si="81">IF(K4="","",IF(AND($K4&lt;0,$FW4="No"),1,""))</f>
        <v/>
      </c>
      <c r="GD4" s="57" t="str">
        <f t="shared" ref="GD4:GD67" si="82">IF(K4="","",IF(AND($K4&lt;0,$FW4="NA"),1,""))</f>
        <v/>
      </c>
      <c r="GE4" s="62">
        <f t="shared" ref="GE4:GE35" si="83">I4</f>
        <v>219.28</v>
      </c>
      <c r="GF4" s="62" t="s">
        <v>2780</v>
      </c>
      <c r="GG4" s="199">
        <f t="shared" ref="GG4:GG35" si="84">400/I4</f>
        <v>1.8241517694272162</v>
      </c>
      <c r="GH4" s="207">
        <f t="shared" ref="GH4:GH67" si="85">IF(GG4="","",GE4*GG4)</f>
        <v>400</v>
      </c>
      <c r="GI4" s="199">
        <f t="shared" ref="GI4:GI35" si="86">GG4</f>
        <v>1.8241517694272162</v>
      </c>
      <c r="GJ4" s="200">
        <f t="shared" ref="GJ4:GJ35" si="87">J4</f>
        <v>203.11</v>
      </c>
      <c r="GK4" s="63">
        <f t="shared" ref="GK4:GK67" si="88">IF($GI4="","",IF($GF4="Long",(($GJ4*$GI4)-$GH4),($GH4-($GJ4*$GI4))))</f>
        <v>29.496534111638084</v>
      </c>
      <c r="GL4" s="63">
        <f t="shared" ref="GL4:GL35" si="89">IF($GI4="","",IF($GF4="Long",(($GZ4*$GI4)-$GH4),($GH4-($GZ4*$GI4))))</f>
        <v>68.350966800437789</v>
      </c>
      <c r="GM4" s="82" t="str">
        <f t="shared" ref="GM4:GM67" si="90">IF(AND($FV4="SW",$GA4="Long"),$FN4,"")</f>
        <v/>
      </c>
      <c r="GN4" s="82">
        <f>IF($GZ4="",#N/A,SUM(GM$4:GM4))</f>
        <v>0</v>
      </c>
      <c r="GO4" s="82" t="str">
        <f t="shared" ref="GO4:GO67" si="91">IF(AND($FV4="UP",$GA4="Long"),$FN4,"")</f>
        <v/>
      </c>
      <c r="GP4" s="82">
        <f>IF($GZ4="",#N/A,SUM(GO$4:GO4))</f>
        <v>0</v>
      </c>
      <c r="GQ4" s="82">
        <f t="shared" ref="GQ4:GQ67" si="92">IF(AND($FV4="Dwn",$GA4="Short"),$FN4,"")</f>
        <v>2.8479569500182413</v>
      </c>
      <c r="GR4" s="82">
        <f>IF($GZ4="",#N/A,SUM(GQ$4:GQ4))</f>
        <v>2.8479569500182413</v>
      </c>
      <c r="GS4" s="63" t="str">
        <f>IF(AND($FV4="SW",$GA4="Long"),$EJ4,"")</f>
        <v/>
      </c>
      <c r="GT4" s="63">
        <f>IF($GZ4="",#N/A,SUM(GS$4:GS4))</f>
        <v>0</v>
      </c>
      <c r="GU4" s="63" t="str">
        <f>IF(AND($FV4="UP",$GA4="Long"),$EJ4,"")</f>
        <v/>
      </c>
      <c r="GV4" s="63">
        <f>IF($GZ4="",#N/A,SUM(GU$4:GU4))</f>
        <v>0</v>
      </c>
      <c r="GW4" s="63">
        <f>IF(AND($FV4="Dwn",$GA4="Short"),$EJ4,"")</f>
        <v>68.350966800437789</v>
      </c>
      <c r="GX4" s="63">
        <f>IF($GZ4="",#N/A,SUM(GW$4:GW4))</f>
        <v>68.350966800437789</v>
      </c>
      <c r="GY4" s="87">
        <f>IF($EJ4="",#N/A,SUM($EJ$4:$EJ4))</f>
        <v>68.350966800437789</v>
      </c>
      <c r="GZ4" s="159">
        <v>181.81</v>
      </c>
      <c r="HA4" s="63">
        <f t="shared" ref="HA4:HA67" si="93">IF(OR(GL4="",GZ4=""),"",GL4-EH4)</f>
        <v>38.854432688799704</v>
      </c>
      <c r="HB4" s="62" t="s">
        <v>4970</v>
      </c>
      <c r="HC4" s="60">
        <f>IFERROR(VLOOKUP(E4,Expectancy!$P$4:$S$19,1+C4,FALSE),"")</f>
        <v>0.30769020202715358</v>
      </c>
      <c r="HD4" s="60" t="str">
        <f t="shared" ref="HD4:HD67" si="94">IF(AND(HB4="MOC",GZ4=""),"",IF(GI4="","",IF(HB4="Skip","",IF(HG4=0,0,HG4/(GH4*0.06)))))</f>
        <v/>
      </c>
      <c r="HE4" s="60" t="e">
        <f>IF(HD4="",#N/A,SUM($HD4:HD$4))</f>
        <v>#N/A</v>
      </c>
      <c r="HF4" s="64" t="e">
        <f>IF(HD4="",#N/A,IF(HB4="Skip",#N/A,SUM($HG$4:HG4)))</f>
        <v>#N/A</v>
      </c>
      <c r="HG4" s="63" t="str">
        <f t="shared" ref="HG4:HG67" si="95">IF(HB4="","",IF(HB4="Skip","",IF(OR(HB4="open",HB4="Other"),GK4,IF(HB4="MOC",GL4,"Err"))))</f>
        <v/>
      </c>
      <c r="HH4" s="82">
        <f t="shared" ref="HH4:HH67" si="96">IF(OR($GI4="",$L4=""),"",IF($GA4="Long",(($GZ4*$GI4)-$GH4)/($GH4*0.06),($GH4-($GZ4*$GI4))/($GH4*0.06)))</f>
        <v>2.8479569500182413</v>
      </c>
    </row>
    <row r="5" spans="1:235" x14ac:dyDescent="0.25">
      <c r="A5" s="65" t="s">
        <v>1439</v>
      </c>
      <c r="B5" s="58" t="s">
        <v>5080</v>
      </c>
      <c r="C5" s="386">
        <f t="shared" si="0"/>
        <v>1</v>
      </c>
      <c r="D5" s="372" t="str">
        <f>_xlfn.XLOOKUP(A5,[1]SP500!$A$2:$A$502,[1]SP500!$D$2:$D$502,"N")</f>
        <v>Y</v>
      </c>
      <c r="E5" s="57" t="str">
        <f>_xlfn.XLOOKUP(A5,[1]SP500!$A$2:$A$655,[1]SP500!$B$2:$B$655)</f>
        <v>XLI</v>
      </c>
      <c r="F5" s="59">
        <v>45667</v>
      </c>
      <c r="G5" s="57" t="str">
        <f t="shared" si="1"/>
        <v>BMO</v>
      </c>
      <c r="H5" s="57" t="str">
        <f t="shared" si="2"/>
        <v>o</v>
      </c>
      <c r="I5" s="158">
        <v>61.42</v>
      </c>
      <c r="J5" s="158">
        <v>64.989999999999995</v>
      </c>
      <c r="K5" s="61">
        <f t="shared" si="3"/>
        <v>5.812438944969054E-2</v>
      </c>
      <c r="L5" s="87">
        <f t="shared" si="4"/>
        <v>23.249755779876182</v>
      </c>
      <c r="M5" s="63" t="str">
        <f t="shared" si="5"/>
        <v/>
      </c>
      <c r="N5" s="219">
        <f t="shared" si="6"/>
        <v>23.249755779876182</v>
      </c>
      <c r="O5" s="219">
        <f>IF($J5="",#N/A,SUM($N$4:N5))</f>
        <v>23.249755779876182</v>
      </c>
      <c r="P5" s="220" t="str">
        <f t="shared" si="7"/>
        <v/>
      </c>
      <c r="Q5" s="220">
        <f>IF($J5="",#N/A,SUM($P$4:P5))</f>
        <v>29.496534111638084</v>
      </c>
      <c r="R5" s="221" t="str">
        <f t="shared" si="8"/>
        <v/>
      </c>
      <c r="S5" s="222">
        <f>IF($J5="",#N/A,SUM($R$4:R5))</f>
        <v>0</v>
      </c>
      <c r="T5" s="281">
        <f t="shared" si="9"/>
        <v>0.96873982416150761</v>
      </c>
      <c r="U5" s="281">
        <f>IF($J5="",#N/A,SUM($T$4:T5))</f>
        <v>0.96873982416150761</v>
      </c>
      <c r="V5" s="282" t="str">
        <f t="shared" si="10"/>
        <v/>
      </c>
      <c r="W5" s="282">
        <f>IF($J5="",#N/A,SUM($V$4:V5))</f>
        <v>1.2290222546515868</v>
      </c>
      <c r="X5" s="283" t="str">
        <f t="shared" si="11"/>
        <v/>
      </c>
      <c r="Y5" s="283">
        <f>IF($J5="",#N/A,SUM($X$4:X5))</f>
        <v>0</v>
      </c>
      <c r="Z5" s="304" t="str">
        <f t="shared" si="12"/>
        <v/>
      </c>
      <c r="AA5" s="304">
        <f>IF($J5="",#N/A,SUM(Z$4:Z5))</f>
        <v>0</v>
      </c>
      <c r="AB5" s="305" t="str">
        <f t="shared" si="13"/>
        <v/>
      </c>
      <c r="AC5" s="305">
        <f>IF($J5="",#N/A,SUM(AB$4:AB5))</f>
        <v>0</v>
      </c>
      <c r="AD5" s="306" t="str">
        <f t="shared" si="14"/>
        <v/>
      </c>
      <c r="AE5" s="306">
        <f>IF($J5="",#N/A,SUM(AD$4:AD5))</f>
        <v>0</v>
      </c>
      <c r="AF5" s="306">
        <f>IF($J5="",#N/A,SUM(AD$4:AD5,AB$4:AB5,Z$4:Z5))</f>
        <v>0</v>
      </c>
      <c r="AG5" s="304" t="str">
        <f t="shared" si="15"/>
        <v/>
      </c>
      <c r="AH5" s="304">
        <f>IF($J5="",#N/A,SUM(AG$4:AG5))</f>
        <v>0</v>
      </c>
      <c r="AI5" s="305" t="str">
        <f t="shared" si="16"/>
        <v/>
      </c>
      <c r="AJ5" s="305">
        <f>IF($J5="",#N/A,SUM(AI$4:AI5))</f>
        <v>0</v>
      </c>
      <c r="AK5" s="306" t="str">
        <f t="shared" si="17"/>
        <v/>
      </c>
      <c r="AL5" s="306">
        <f>IF($J5="",#N/A,SUM(AK$4:AK5))</f>
        <v>0</v>
      </c>
      <c r="AM5" s="306">
        <f>IF($J5="",#N/A,SUM(AK$4:AK5,AI$4:AI5,AG$4:AG5))</f>
        <v>0</v>
      </c>
      <c r="AN5" s="304" t="str">
        <f t="shared" si="18"/>
        <v/>
      </c>
      <c r="AO5" s="304">
        <f>IF($J5="",#N/A,SUM(AN$4:AN5))</f>
        <v>0</v>
      </c>
      <c r="AP5" s="305" t="str">
        <f t="shared" si="19"/>
        <v/>
      </c>
      <c r="AQ5" s="305">
        <f>IF($J5="",#N/A,SUM(AP$4:AP5))</f>
        <v>0</v>
      </c>
      <c r="AR5" s="306" t="str">
        <f t="shared" si="20"/>
        <v/>
      </c>
      <c r="AS5" s="306">
        <f>IF($J5="",#N/A,SUM(AR$4:AR5))</f>
        <v>0</v>
      </c>
      <c r="AT5" s="306">
        <f>IF($J5="",#N/A,SUM(AR$4:AR5,AP$4:AP5,AN$4:AN5))</f>
        <v>0</v>
      </c>
      <c r="AU5" s="304" t="str">
        <f t="shared" si="21"/>
        <v/>
      </c>
      <c r="AV5" s="304">
        <f>IF($J5="",#N/A,SUM(AU$4:AU5))</f>
        <v>0</v>
      </c>
      <c r="AW5" s="305" t="str">
        <f t="shared" si="22"/>
        <v/>
      </c>
      <c r="AX5" s="305">
        <f>IF($J5="",#N/A,SUM(AW$4:AW5))</f>
        <v>1.2290222546515868</v>
      </c>
      <c r="AY5" s="306" t="str">
        <f t="shared" si="23"/>
        <v/>
      </c>
      <c r="AZ5" s="306">
        <f>IF($J5="",#N/A,SUM(AY$4:AY5))</f>
        <v>0</v>
      </c>
      <c r="BA5" s="306">
        <f>IF($J5="",#N/A,SUM(AY$4:AY5,AW$4:AW5,AU$4:AU5))</f>
        <v>1.2290222546515868</v>
      </c>
      <c r="BB5" s="304" t="str">
        <f t="shared" si="24"/>
        <v/>
      </c>
      <c r="BC5" s="304">
        <f>IF($J5="",#N/A,SUM(BB$4:BB5))</f>
        <v>0</v>
      </c>
      <c r="BD5" s="305" t="str">
        <f t="shared" si="25"/>
        <v/>
      </c>
      <c r="BE5" s="305">
        <f>IF($J5="",#N/A,SUM(BD$4:BD5))</f>
        <v>0</v>
      </c>
      <c r="BF5" s="306" t="str">
        <f t="shared" si="26"/>
        <v/>
      </c>
      <c r="BG5" s="306">
        <f>IF($J5="",#N/A,SUM(BF$4:BF5))</f>
        <v>0</v>
      </c>
      <c r="BH5" s="306">
        <f>IF($J5="",#N/A,SUM(BF$4:BF5,BD$4:BD5,BB$4:BB5))</f>
        <v>0</v>
      </c>
      <c r="BI5" s="304" t="str">
        <f t="shared" si="27"/>
        <v/>
      </c>
      <c r="BJ5" s="304">
        <f>IF($J5="",#N/A,SUM(BI$4:BI5))</f>
        <v>0</v>
      </c>
      <c r="BK5" s="305" t="str">
        <f t="shared" si="28"/>
        <v/>
      </c>
      <c r="BL5" s="305">
        <f>IF($J5="",#N/A,SUM(BK$4:BK5))</f>
        <v>0</v>
      </c>
      <c r="BM5" s="306" t="str">
        <f t="shared" si="29"/>
        <v/>
      </c>
      <c r="BN5" s="306">
        <f>IF($J5="",#N/A,SUM(BM$4:BM5))</f>
        <v>0</v>
      </c>
      <c r="BO5" s="306">
        <f>IF($J5="",#N/A,SUM(BM$4:BM5,BK$4:BK5,BI$4:BI5))</f>
        <v>0</v>
      </c>
      <c r="BP5" s="304">
        <f t="shared" si="30"/>
        <v>0.96873982416150761</v>
      </c>
      <c r="BQ5" s="304">
        <f>IF($J5="",#N/A,SUM(BP$4:BP5))</f>
        <v>0.96873982416150761</v>
      </c>
      <c r="BR5" s="305" t="str">
        <f t="shared" si="31"/>
        <v/>
      </c>
      <c r="BS5" s="305">
        <f>IF($J5="",#N/A,SUM(BR$4:BR5))</f>
        <v>0</v>
      </c>
      <c r="BT5" s="306" t="str">
        <f t="shared" si="32"/>
        <v/>
      </c>
      <c r="BU5" s="306">
        <f>IF($J5="",#N/A,SUM(BT$4:BT5))</f>
        <v>0</v>
      </c>
      <c r="BV5" s="306">
        <f>IF($J5="",#N/A,SUM(BT$4:BT5,BR$4:BR5,BP$4:BP5))</f>
        <v>0.96873982416150761</v>
      </c>
      <c r="BW5" s="304" t="str">
        <f t="shared" si="33"/>
        <v/>
      </c>
      <c r="BX5" s="304">
        <f>IF($J5="",#N/A,SUM(BW$4:BW5))</f>
        <v>0</v>
      </c>
      <c r="BY5" s="305" t="str">
        <f t="shared" si="34"/>
        <v/>
      </c>
      <c r="BZ5" s="305">
        <f>IF($J5="",#N/A,SUM(BY$4:BY5))</f>
        <v>0</v>
      </c>
      <c r="CA5" s="306" t="str">
        <f t="shared" si="35"/>
        <v/>
      </c>
      <c r="CB5" s="306">
        <f>IF($J5="",#N/A,SUM(CA$4:CA5))</f>
        <v>0</v>
      </c>
      <c r="CC5" s="306">
        <f>IF($J5="",#N/A,SUM(CA$4:CA5,BY$4:BY5,BW$4:BW5))</f>
        <v>0</v>
      </c>
      <c r="CD5" s="304" t="str">
        <f t="shared" si="36"/>
        <v/>
      </c>
      <c r="CE5" s="304">
        <f>IF($J5="",#N/A,SUM(CD$4:CD5))</f>
        <v>0</v>
      </c>
      <c r="CF5" s="305" t="str">
        <f t="shared" si="37"/>
        <v/>
      </c>
      <c r="CG5" s="305">
        <f>IF($J5="",#N/A,SUM(CF$4:CF5))</f>
        <v>0</v>
      </c>
      <c r="CH5" s="306" t="str">
        <f t="shared" si="38"/>
        <v/>
      </c>
      <c r="CI5" s="306">
        <f>IF($J5="",#N/A,SUM(CH$4:CH5))</f>
        <v>0</v>
      </c>
      <c r="CJ5" s="306">
        <f>IF($J5="",#N/A,SUM(CH$4:CH5,CF$4:CF5,CD$4:CD5))</f>
        <v>0</v>
      </c>
      <c r="CK5" s="304" t="str">
        <f t="shared" si="39"/>
        <v/>
      </c>
      <c r="CL5" s="304">
        <f>IF($J5="",#N/A,SUM(CK$4:CK5))</f>
        <v>0</v>
      </c>
      <c r="CM5" s="305" t="str">
        <f t="shared" si="40"/>
        <v/>
      </c>
      <c r="CN5" s="305">
        <f>IF($J5="",#N/A,SUM(CM$4:CM5))</f>
        <v>0</v>
      </c>
      <c r="CO5" s="306" t="str">
        <f t="shared" si="41"/>
        <v/>
      </c>
      <c r="CP5" s="306">
        <f>IF($J5="",#N/A,SUM(CO$4:CO5))</f>
        <v>0</v>
      </c>
      <c r="CQ5" s="306">
        <f>IF($J5="",#N/A,SUM(CO$4:CO5,CM$4:CM5,CK$4:CK5))</f>
        <v>0</v>
      </c>
      <c r="CR5" s="304" t="str">
        <f t="shared" si="42"/>
        <v/>
      </c>
      <c r="CS5" s="304">
        <f>IF($J5="",#N/A,SUM(CR$4:CR5))</f>
        <v>0</v>
      </c>
      <c r="CT5" s="305" t="str">
        <f t="shared" si="43"/>
        <v/>
      </c>
      <c r="CU5" s="305">
        <f>IF($J5="",#N/A,SUM(CT$4:CT5))</f>
        <v>0</v>
      </c>
      <c r="CV5" s="306" t="str">
        <f t="shared" si="44"/>
        <v/>
      </c>
      <c r="CW5" s="306">
        <f>IF($J5="",#N/A,SUM(CV$4:CV5))</f>
        <v>0</v>
      </c>
      <c r="CX5" s="306">
        <f>IF($J5="",#N/A,SUM(CV$4:CV5,CT$4:CT5,CR$4:CR5))</f>
        <v>0</v>
      </c>
      <c r="CY5" s="304" t="str">
        <f t="shared" si="45"/>
        <v/>
      </c>
      <c r="CZ5" s="304">
        <f>IF($J5="",#N/A,SUM(CY$4:CY5))</f>
        <v>0</v>
      </c>
      <c r="DA5" s="305" t="str">
        <f t="shared" si="46"/>
        <v/>
      </c>
      <c r="DB5" s="305">
        <f>IF($J5="",#N/A,SUM(DA$4:DA5))</f>
        <v>0</v>
      </c>
      <c r="DC5" s="306" t="str">
        <f t="shared" si="47"/>
        <v/>
      </c>
      <c r="DD5" s="306">
        <f>IF($J5="",#N/A,SUM(DC$4:DC5))</f>
        <v>0</v>
      </c>
      <c r="DE5" s="306">
        <f>IF($J5="",#N/A,SUM(DC$4:DC5,DA$4:DA5,CY$4:CY5))</f>
        <v>0</v>
      </c>
      <c r="DF5" s="304" t="str">
        <f t="shared" si="48"/>
        <v/>
      </c>
      <c r="DG5" s="304">
        <f>IF($J5="",#N/A,SUM(DF$4:DF5))</f>
        <v>0</v>
      </c>
      <c r="DH5" s="305" t="str">
        <f t="shared" si="49"/>
        <v/>
      </c>
      <c r="DI5" s="305">
        <f>IF($J5="",#N/A,SUM(DH$4:DH5))</f>
        <v>0</v>
      </c>
      <c r="DJ5" s="306" t="str">
        <f t="shared" si="50"/>
        <v/>
      </c>
      <c r="DK5" s="306">
        <f>IF($J5="",#N/A,SUM(DJ$4:DJ5))</f>
        <v>0</v>
      </c>
      <c r="DL5" s="306">
        <f>IF($J5="",#N/A,SUM(DJ$4:DJ5,DH$4:DH5,DF$4:DF5))</f>
        <v>0</v>
      </c>
      <c r="DM5" s="304" t="str">
        <f t="shared" si="51"/>
        <v/>
      </c>
      <c r="DN5" s="304">
        <f>IF($J5="",#N/A,SUM(DM$4:DM5))</f>
        <v>0</v>
      </c>
      <c r="DO5" s="305" t="str">
        <f t="shared" si="52"/>
        <v/>
      </c>
      <c r="DP5" s="305">
        <f>IF($J5="",#N/A,SUM(DO$4:DO5))</f>
        <v>0</v>
      </c>
      <c r="DQ5" s="306" t="str">
        <f t="shared" si="53"/>
        <v/>
      </c>
      <c r="DR5" s="306">
        <f>IF($J5="",#N/A,SUM(DQ$4:DQ5))</f>
        <v>0</v>
      </c>
      <c r="DS5" s="306">
        <f>IF($J5="",#N/A,SUM(DQ$4:DQ5,DO$4:DO5,DM$4:DM5))</f>
        <v>0</v>
      </c>
      <c r="DT5" s="304" t="str">
        <f t="shared" si="54"/>
        <v/>
      </c>
      <c r="DU5" s="304">
        <f>IF($J5="",#N/A,SUM(DT$4:DT5))</f>
        <v>0</v>
      </c>
      <c r="DV5" s="305" t="str">
        <f t="shared" si="55"/>
        <v/>
      </c>
      <c r="DW5" s="305">
        <f>IF($J5="",#N/A,SUM(DV$4:DV5))</f>
        <v>0</v>
      </c>
      <c r="DX5" s="306" t="str">
        <f t="shared" si="56"/>
        <v/>
      </c>
      <c r="DY5" s="306">
        <f>IF($J5="",#N/A,SUM(DX$4:DX5))</f>
        <v>0</v>
      </c>
      <c r="DZ5" s="306">
        <f>IF($J5="",#N/A,SUM(DX$4:DX5,DV$4:DV5,DT$4:DT5))</f>
        <v>0</v>
      </c>
      <c r="EA5" s="304" t="str">
        <f t="shared" si="57"/>
        <v/>
      </c>
      <c r="EB5" s="304">
        <f>IF($J5="",#N/A,SUM(EA$4:EA5))</f>
        <v>0</v>
      </c>
      <c r="EC5" s="305" t="str">
        <f t="shared" si="58"/>
        <v/>
      </c>
      <c r="ED5" s="305">
        <f>IF($J5="",#N/A,SUM(EC$4:EC5))</f>
        <v>0</v>
      </c>
      <c r="EE5" s="306" t="str">
        <f t="shared" si="59"/>
        <v/>
      </c>
      <c r="EF5" s="306">
        <f>IF($J5="",#N/A,SUM(EE$4:EE5))</f>
        <v>0</v>
      </c>
      <c r="EG5" s="306">
        <f>IF($J5="",#N/A,SUM(EE$4:EE5,EC$4:EC5,EA$4:EA5))</f>
        <v>0</v>
      </c>
      <c r="EH5" s="223">
        <f t="shared" si="60"/>
        <v>23.249755779876182</v>
      </c>
      <c r="EI5" s="224">
        <f>IF(EH5="",#N/A,SUM($EH$4:EH5))</f>
        <v>52.746289891514266</v>
      </c>
      <c r="EJ5" s="223">
        <f t="shared" si="61"/>
        <v>36.014327580592635</v>
      </c>
      <c r="EK5" s="63">
        <f>IF($GZ5="",#N/A,SUM(EJ$4:EJ5))</f>
        <v>104.36529438103042</v>
      </c>
      <c r="EL5" s="60">
        <f t="shared" ref="EL5:EL68" si="97">IF(J5="","",IF(D5="Y",FP5,""))</f>
        <v>0.96873982416150761</v>
      </c>
      <c r="EM5" s="60">
        <f>IF(EL5="",NA(),SUM($EL$4:EL5))</f>
        <v>2.1977620788130943</v>
      </c>
      <c r="EN5" s="60">
        <f t="shared" si="62"/>
        <v>0.96873982416150761</v>
      </c>
      <c r="EO5" s="60">
        <f>IF(EN5="",NA(),SUM($EN$4:EN5))</f>
        <v>0.96873982416150761</v>
      </c>
      <c r="EP5" s="60" t="str">
        <f t="shared" si="63"/>
        <v/>
      </c>
      <c r="EQ5" s="60" t="e">
        <f>IF(EP5="",NA(),SUM($EP$4:EP5))</f>
        <v>#N/A</v>
      </c>
      <c r="ER5" s="60" t="str">
        <f t="shared" si="64"/>
        <v/>
      </c>
      <c r="ES5" s="60" t="e">
        <f>IF(ER5="",NA(),SUM($ER$4:ER5))</f>
        <v>#N/A</v>
      </c>
      <c r="ET5" s="60" t="str">
        <f t="shared" si="65"/>
        <v/>
      </c>
      <c r="EU5" s="60" t="e">
        <f>IF(ET5="",NA(),SUM($ET$4:ET5))</f>
        <v>#N/A</v>
      </c>
      <c r="EV5" s="60" t="str">
        <f t="shared" si="66"/>
        <v/>
      </c>
      <c r="EW5" s="60" t="e">
        <f>IF(EV5="",NA(),SUM($EV$4:EV5))</f>
        <v>#N/A</v>
      </c>
      <c r="EX5" s="60" t="str">
        <f t="shared" si="67"/>
        <v/>
      </c>
      <c r="EY5" s="60" t="e">
        <f>IF(EX5="",NA(),SUM($EX$4:EX5))</f>
        <v>#N/A</v>
      </c>
      <c r="EZ5" s="60" t="str">
        <f t="shared" si="68"/>
        <v/>
      </c>
      <c r="FA5" s="60" t="e">
        <f>IF(EZ5="",NA(),SUM($EZ$4:EZ5))</f>
        <v>#N/A</v>
      </c>
      <c r="FB5" s="246" t="str">
        <f t="shared" ref="FB5:FB68" si="98">IF($GZ5="","",IF(AND($FV5="Dwn",$K5&lt;0),$FN5-FP5,""))</f>
        <v/>
      </c>
      <c r="FC5" s="269" t="e">
        <f>IF($FB5="",#N/A,SUM(FB$4:$FB5))</f>
        <v>#N/A</v>
      </c>
      <c r="FD5" s="60" t="str">
        <f t="shared" si="69"/>
        <v/>
      </c>
      <c r="FE5" s="60" t="e">
        <f>IF($FD5="",#N/A,SUM($FD$4:FD5))</f>
        <v>#N/A</v>
      </c>
      <c r="FF5" s="60">
        <f t="shared" si="70"/>
        <v>0.53185715836318559</v>
      </c>
      <c r="FG5" s="60">
        <f>IF($FF5="",#N/A,SUM($FF$4:FF5))</f>
        <v>0.53185715836318559</v>
      </c>
      <c r="FH5" s="60" t="str">
        <f t="shared" si="71"/>
        <v/>
      </c>
      <c r="FI5" s="60" t="e">
        <f>IF($FH5="",#N/A,SUM($FH$4:FH5))</f>
        <v>#N/A</v>
      </c>
      <c r="FJ5" s="60" t="str">
        <f t="shared" si="72"/>
        <v/>
      </c>
      <c r="FK5" s="60" t="e">
        <f>IF($FJ5="",#N/A,SUM($FJ$4:FJ5))</f>
        <v>#N/A</v>
      </c>
      <c r="FL5" s="60" t="str">
        <f t="shared" si="73"/>
        <v/>
      </c>
      <c r="FM5" s="60" t="e">
        <f>IF($FL5="",#N/A,SUM($FL$4:FL5))</f>
        <v>#N/A</v>
      </c>
      <c r="FN5" s="82">
        <f t="shared" si="74"/>
        <v>1.5005969825246932</v>
      </c>
      <c r="FO5" s="82">
        <f>IF($FN5="",#N/A,SUM(FN$4:$FN5))</f>
        <v>4.3485539325429343</v>
      </c>
      <c r="FP5" s="82">
        <f t="shared" ref="FP5:FP68" si="99">IF(OR($GI5="",L5=""),"",IF($GA5="Long",(($J5*$GI5)-$GH5)/(GH5*0.06),($GH5-($J5*$GI5))/(GH5*0.06)))</f>
        <v>0.96873982416150761</v>
      </c>
      <c r="FQ5" s="246">
        <f>IF($EH5="",#N/A,SUM($FP$4:FP5))</f>
        <v>2.1977620788130943</v>
      </c>
      <c r="FR5" s="273"/>
      <c r="FS5" s="273"/>
      <c r="FT5" s="273"/>
      <c r="FU5" s="82" t="e">
        <v>#N/A</v>
      </c>
      <c r="FV5" s="57" t="str">
        <f t="shared" si="75"/>
        <v>Up</v>
      </c>
      <c r="FW5" s="57" t="s">
        <v>2733</v>
      </c>
      <c r="FX5" s="57">
        <f t="shared" si="76"/>
        <v>1</v>
      </c>
      <c r="FY5" s="57" t="str">
        <f t="shared" si="77"/>
        <v/>
      </c>
      <c r="FZ5" s="57" t="str">
        <f t="shared" si="78"/>
        <v/>
      </c>
      <c r="GA5" s="57" t="str">
        <f t="shared" si="79"/>
        <v>Long</v>
      </c>
      <c r="GB5" s="57" t="str">
        <f t="shared" si="80"/>
        <v/>
      </c>
      <c r="GC5" s="57" t="str">
        <f t="shared" si="81"/>
        <v/>
      </c>
      <c r="GD5" s="57" t="str">
        <f t="shared" si="82"/>
        <v/>
      </c>
      <c r="GE5" s="62">
        <f t="shared" si="83"/>
        <v>61.42</v>
      </c>
      <c r="GF5" s="62" t="s">
        <v>2779</v>
      </c>
      <c r="GG5" s="199">
        <f t="shared" si="84"/>
        <v>6.5125366330185601</v>
      </c>
      <c r="GH5" s="207">
        <f t="shared" si="85"/>
        <v>400</v>
      </c>
      <c r="GI5" s="199">
        <f t="shared" si="86"/>
        <v>6.5125366330185601</v>
      </c>
      <c r="GJ5" s="200">
        <f t="shared" si="87"/>
        <v>64.989999999999995</v>
      </c>
      <c r="GK5" s="63">
        <f t="shared" si="88"/>
        <v>23.249755779876182</v>
      </c>
      <c r="GL5" s="63">
        <f t="shared" si="89"/>
        <v>36.014327580592635</v>
      </c>
      <c r="GM5" s="82" t="str">
        <f t="shared" si="90"/>
        <v/>
      </c>
      <c r="GN5" s="82">
        <f>IF($GZ5="",#N/A,SUM(GM$4:GM5))</f>
        <v>0</v>
      </c>
      <c r="GO5" s="82">
        <f t="shared" si="91"/>
        <v>1.5005969825246932</v>
      </c>
      <c r="GP5" s="82">
        <f>IF($GZ5="",#N/A,SUM(GO$4:GO5))</f>
        <v>1.5005969825246932</v>
      </c>
      <c r="GQ5" s="82" t="str">
        <f t="shared" si="92"/>
        <v/>
      </c>
      <c r="GR5" s="82">
        <f>IF($GZ5="",#N/A,SUM(GQ$4:GQ5))</f>
        <v>2.8479569500182413</v>
      </c>
      <c r="GS5" s="63" t="str">
        <f t="shared" ref="GS5:GS68" si="100">IF(AND(FV5="SW",GA5="Long"),$EJ5,"")</f>
        <v/>
      </c>
      <c r="GT5" s="63">
        <f>IF($GZ5="",#N/A,SUM(GS$4:GS5))</f>
        <v>0</v>
      </c>
      <c r="GU5" s="63">
        <f t="shared" ref="GU5:GU68" si="101">IF(AND(FV5="UP",GA5="Long"),$EJ5,"")</f>
        <v>36.014327580592635</v>
      </c>
      <c r="GV5" s="63">
        <f>IF($GZ5="",#N/A,SUM(GU$4:GU5))</f>
        <v>36.014327580592635</v>
      </c>
      <c r="GW5" s="62" t="str">
        <f t="shared" ref="GW5:GW68" si="102">IF(AND(FV5="Dwn",GA5="Short"),$EJ5,"")</f>
        <v/>
      </c>
      <c r="GX5" s="63">
        <f>IF($GZ5="",#N/A,SUM(GW$4:GW5))</f>
        <v>68.350966800437789</v>
      </c>
      <c r="GY5" s="63">
        <f>IF(EJ5="",#N/A,SUM($EJ$4:EJ5))</f>
        <v>104.36529438103042</v>
      </c>
      <c r="GZ5" s="159">
        <v>66.95</v>
      </c>
      <c r="HA5" s="63">
        <f t="shared" si="93"/>
        <v>12.764571800716453</v>
      </c>
      <c r="HB5" s="62" t="s">
        <v>4970</v>
      </c>
      <c r="HC5" s="60">
        <f>IFERROR(VLOOKUP(E5,Expectancy!$P$4:$S$19,1+C5,FALSE),"")</f>
        <v>-4.1762476788754908E-2</v>
      </c>
      <c r="HD5" s="60" t="str">
        <f t="shared" si="94"/>
        <v/>
      </c>
      <c r="HE5" s="60" t="e">
        <f>IF(HD5="",#N/A,SUM($HD$4:HD5))</f>
        <v>#N/A</v>
      </c>
      <c r="HF5" s="64" t="e">
        <f>IF(HD5="",#N/A,IF(HB5="Skip",#N/A,SUM($HG$4:HG5)))</f>
        <v>#N/A</v>
      </c>
      <c r="HG5" s="63" t="str">
        <f t="shared" si="95"/>
        <v/>
      </c>
      <c r="HH5" s="82">
        <f t="shared" si="96"/>
        <v>1.5005969825246932</v>
      </c>
    </row>
    <row r="6" spans="1:235" x14ac:dyDescent="0.25">
      <c r="A6" s="57" t="s">
        <v>1610</v>
      </c>
      <c r="B6" s="58" t="s">
        <v>5081</v>
      </c>
      <c r="C6" s="386">
        <f t="shared" si="0"/>
        <v>3</v>
      </c>
      <c r="D6" s="372" t="str">
        <f>_xlfn.XLOOKUP(A6,[1]SP500!$A$2:$A$502,[1]SP500!$D$2:$D$502,"N")</f>
        <v>Y</v>
      </c>
      <c r="E6" s="57" t="str">
        <f>_xlfn.XLOOKUP(A6,[1]SP500!$A$2:$A$655,[1]SP500!$B$2:$B$655)</f>
        <v>XLP</v>
      </c>
      <c r="F6" s="59">
        <v>45667</v>
      </c>
      <c r="G6" s="57" t="str">
        <f t="shared" si="1"/>
        <v>BMO</v>
      </c>
      <c r="H6" s="57" t="str">
        <f t="shared" si="2"/>
        <v>o</v>
      </c>
      <c r="I6" s="158">
        <v>9.2200000000000006</v>
      </c>
      <c r="J6" s="158">
        <v>10.6</v>
      </c>
      <c r="K6" s="61">
        <f t="shared" si="3"/>
        <v>0.14967462039045543</v>
      </c>
      <c r="L6" s="87">
        <f t="shared" si="4"/>
        <v>59.869848156182172</v>
      </c>
      <c r="M6" s="63" t="str">
        <f t="shared" si="5"/>
        <v/>
      </c>
      <c r="N6" s="219" t="str">
        <f t="shared" si="6"/>
        <v/>
      </c>
      <c r="O6" s="219">
        <f>IF($J6="",#N/A,SUM($N$4:N6))</f>
        <v>23.249755779876182</v>
      </c>
      <c r="P6" s="220" t="str">
        <f t="shared" si="7"/>
        <v/>
      </c>
      <c r="Q6" s="220">
        <f>IF($J6="",#N/A,SUM($P$4:P6))</f>
        <v>29.496534111638084</v>
      </c>
      <c r="R6" s="221">
        <f t="shared" si="8"/>
        <v>59.869848156182172</v>
      </c>
      <c r="S6" s="222">
        <f>IF($J6="",#N/A,SUM($R$4:R6))</f>
        <v>59.869848156182172</v>
      </c>
      <c r="T6" s="281" t="str">
        <f t="shared" si="9"/>
        <v/>
      </c>
      <c r="U6" s="281">
        <f>IF($J6="",#N/A,SUM($T$4:T6))</f>
        <v>0.96873982416150761</v>
      </c>
      <c r="V6" s="282" t="str">
        <f t="shared" si="10"/>
        <v/>
      </c>
      <c r="W6" s="282">
        <f>IF($J6="",#N/A,SUM($V$4:V6))</f>
        <v>1.2290222546515868</v>
      </c>
      <c r="X6" s="283">
        <f t="shared" si="11"/>
        <v>2.4945770065075905</v>
      </c>
      <c r="Y6" s="283">
        <f>IF($J6="",#N/A,SUM($X$4:X6))</f>
        <v>2.4945770065075905</v>
      </c>
      <c r="Z6" s="304" t="str">
        <f t="shared" si="12"/>
        <v/>
      </c>
      <c r="AA6" s="304">
        <f>IF($J6="",#N/A,SUM(Z$4:Z6))</f>
        <v>0</v>
      </c>
      <c r="AB6" s="305" t="str">
        <f t="shared" si="13"/>
        <v/>
      </c>
      <c r="AC6" s="305">
        <f>IF($J6="",#N/A,SUM(AB$4:AB6))</f>
        <v>0</v>
      </c>
      <c r="AD6" s="306" t="str">
        <f t="shared" si="14"/>
        <v/>
      </c>
      <c r="AE6" s="306">
        <f>IF($J6="",#N/A,SUM(AD$4:AD6))</f>
        <v>0</v>
      </c>
      <c r="AF6" s="306">
        <f>IF($J6="",#N/A,SUM(AD$4:AD6,AB$4:AB6,Z$4:Z6))</f>
        <v>0</v>
      </c>
      <c r="AG6" s="304" t="str">
        <f t="shared" si="15"/>
        <v/>
      </c>
      <c r="AH6" s="304">
        <f>IF($J6="",#N/A,SUM(AG$4:AG6))</f>
        <v>0</v>
      </c>
      <c r="AI6" s="305" t="str">
        <f t="shared" si="16"/>
        <v/>
      </c>
      <c r="AJ6" s="305">
        <f>IF($J6="",#N/A,SUM(AI$4:AI6))</f>
        <v>0</v>
      </c>
      <c r="AK6" s="306" t="str">
        <f t="shared" si="17"/>
        <v/>
      </c>
      <c r="AL6" s="306">
        <f>IF($J6="",#N/A,SUM(AK$4:AK6))</f>
        <v>0</v>
      </c>
      <c r="AM6" s="306">
        <f>IF($J6="",#N/A,SUM(AK$4:AK6,AI$4:AI6,AG$4:AG6))</f>
        <v>0</v>
      </c>
      <c r="AN6" s="304" t="str">
        <f t="shared" si="18"/>
        <v/>
      </c>
      <c r="AO6" s="304">
        <f>IF($J6="",#N/A,SUM(AN$4:AN6))</f>
        <v>0</v>
      </c>
      <c r="AP6" s="305" t="str">
        <f t="shared" si="19"/>
        <v/>
      </c>
      <c r="AQ6" s="305">
        <f>IF($J6="",#N/A,SUM(AP$4:AP6))</f>
        <v>0</v>
      </c>
      <c r="AR6" s="306" t="str">
        <f t="shared" si="20"/>
        <v/>
      </c>
      <c r="AS6" s="306">
        <f>IF($J6="",#N/A,SUM(AR$4:AR6))</f>
        <v>0</v>
      </c>
      <c r="AT6" s="306">
        <f>IF($J6="",#N/A,SUM(AR$4:AR6,AP$4:AP6,AN$4:AN6))</f>
        <v>0</v>
      </c>
      <c r="AU6" s="304" t="str">
        <f t="shared" si="21"/>
        <v/>
      </c>
      <c r="AV6" s="304">
        <f>IF($J6="",#N/A,SUM(AU$4:AU6))</f>
        <v>0</v>
      </c>
      <c r="AW6" s="305" t="str">
        <f t="shared" si="22"/>
        <v/>
      </c>
      <c r="AX6" s="305">
        <f>IF($J6="",#N/A,SUM(AW$4:AW6))</f>
        <v>1.2290222546515868</v>
      </c>
      <c r="AY6" s="306">
        <f t="shared" si="23"/>
        <v>2.4945770065075905</v>
      </c>
      <c r="AZ6" s="306">
        <f>IF($J6="",#N/A,SUM(AY$4:AY6))</f>
        <v>2.4945770065075905</v>
      </c>
      <c r="BA6" s="306">
        <f>IF($J6="",#N/A,SUM(AY$4:AY6,AW$4:AW6,AU$4:AU6))</f>
        <v>3.7235992611591771</v>
      </c>
      <c r="BB6" s="304" t="str">
        <f t="shared" si="24"/>
        <v/>
      </c>
      <c r="BC6" s="304">
        <f>IF($J6="",#N/A,SUM(BB$4:BB6))</f>
        <v>0</v>
      </c>
      <c r="BD6" s="305" t="str">
        <f t="shared" si="25"/>
        <v/>
      </c>
      <c r="BE6" s="305">
        <f>IF($J6="",#N/A,SUM(BD$4:BD6))</f>
        <v>0</v>
      </c>
      <c r="BF6" s="306" t="str">
        <f t="shared" si="26"/>
        <v/>
      </c>
      <c r="BG6" s="306">
        <f>IF($J6="",#N/A,SUM(BF$4:BF6))</f>
        <v>0</v>
      </c>
      <c r="BH6" s="306">
        <f>IF($J6="",#N/A,SUM(BF$4:BF6,BD$4:BD6,BB$4:BB6))</f>
        <v>0</v>
      </c>
      <c r="BI6" s="304" t="str">
        <f t="shared" si="27"/>
        <v/>
      </c>
      <c r="BJ6" s="304">
        <f>IF($J6="",#N/A,SUM(BI$4:BI6))</f>
        <v>0</v>
      </c>
      <c r="BK6" s="305" t="str">
        <f t="shared" si="28"/>
        <v/>
      </c>
      <c r="BL6" s="305">
        <f>IF($J6="",#N/A,SUM(BK$4:BK6))</f>
        <v>0</v>
      </c>
      <c r="BM6" s="306" t="str">
        <f t="shared" si="29"/>
        <v/>
      </c>
      <c r="BN6" s="306">
        <f>IF($J6="",#N/A,SUM(BM$4:BM6))</f>
        <v>0</v>
      </c>
      <c r="BO6" s="306">
        <f>IF($J6="",#N/A,SUM(BM$4:BM6,BK$4:BK6,BI$4:BI6))</f>
        <v>0</v>
      </c>
      <c r="BP6" s="304" t="str">
        <f t="shared" si="30"/>
        <v/>
      </c>
      <c r="BQ6" s="304">
        <f>IF($J6="",#N/A,SUM(BP$4:BP6))</f>
        <v>0.96873982416150761</v>
      </c>
      <c r="BR6" s="305" t="str">
        <f t="shared" si="31"/>
        <v/>
      </c>
      <c r="BS6" s="305">
        <f>IF($J6="",#N/A,SUM(BR$4:BR6))</f>
        <v>0</v>
      </c>
      <c r="BT6" s="306" t="str">
        <f t="shared" si="32"/>
        <v/>
      </c>
      <c r="BU6" s="306">
        <f>IF($J6="",#N/A,SUM(BT$4:BT6))</f>
        <v>0</v>
      </c>
      <c r="BV6" s="306">
        <f>IF($J6="",#N/A,SUM(BT$4:BT6,BR$4:BR6,BP$4:BP6))</f>
        <v>0.96873982416150761</v>
      </c>
      <c r="BW6" s="304" t="str">
        <f t="shared" si="33"/>
        <v/>
      </c>
      <c r="BX6" s="304">
        <f>IF($J6="",#N/A,SUM(BW$4:BW6))</f>
        <v>0</v>
      </c>
      <c r="BY6" s="305" t="str">
        <f t="shared" si="34"/>
        <v/>
      </c>
      <c r="BZ6" s="305">
        <f>IF($J6="",#N/A,SUM(BY$4:BY6))</f>
        <v>0</v>
      </c>
      <c r="CA6" s="306" t="str">
        <f t="shared" si="35"/>
        <v/>
      </c>
      <c r="CB6" s="306">
        <f>IF($J6="",#N/A,SUM(CA$4:CA6))</f>
        <v>0</v>
      </c>
      <c r="CC6" s="306">
        <f>IF($J6="",#N/A,SUM(CA$4:CA6,BY$4:BY6,BW$4:BW6))</f>
        <v>0</v>
      </c>
      <c r="CD6" s="304" t="str">
        <f t="shared" si="36"/>
        <v/>
      </c>
      <c r="CE6" s="304">
        <f>IF($J6="",#N/A,SUM(CD$4:CD6))</f>
        <v>0</v>
      </c>
      <c r="CF6" s="305" t="str">
        <f t="shared" si="37"/>
        <v/>
      </c>
      <c r="CG6" s="305">
        <f>IF($J6="",#N/A,SUM(CF$4:CF6))</f>
        <v>0</v>
      </c>
      <c r="CH6" s="306" t="str">
        <f t="shared" si="38"/>
        <v/>
      </c>
      <c r="CI6" s="306">
        <f>IF($J6="",#N/A,SUM(CH$4:CH6))</f>
        <v>0</v>
      </c>
      <c r="CJ6" s="306">
        <f>IF($J6="",#N/A,SUM(CH$4:CH6,CF$4:CF6,CD$4:CD6))</f>
        <v>0</v>
      </c>
      <c r="CK6" s="304" t="str">
        <f t="shared" si="39"/>
        <v/>
      </c>
      <c r="CL6" s="304">
        <f>IF($J6="",#N/A,SUM(CK$4:CK6))</f>
        <v>0</v>
      </c>
      <c r="CM6" s="305" t="str">
        <f t="shared" si="40"/>
        <v/>
      </c>
      <c r="CN6" s="305">
        <f>IF($J6="",#N/A,SUM(CM$4:CM6))</f>
        <v>0</v>
      </c>
      <c r="CO6" s="306" t="str">
        <f t="shared" si="41"/>
        <v/>
      </c>
      <c r="CP6" s="306">
        <f>IF($J6="",#N/A,SUM(CO$4:CO6))</f>
        <v>0</v>
      </c>
      <c r="CQ6" s="306">
        <f>IF($J6="",#N/A,SUM(CO$4:CO6,CM$4:CM6,CK$4:CK6))</f>
        <v>0</v>
      </c>
      <c r="CR6" s="304" t="str">
        <f t="shared" si="42"/>
        <v/>
      </c>
      <c r="CS6" s="304">
        <f>IF($J6="",#N/A,SUM(CR$4:CR6))</f>
        <v>0</v>
      </c>
      <c r="CT6" s="305" t="str">
        <f t="shared" si="43"/>
        <v/>
      </c>
      <c r="CU6" s="305">
        <f>IF($J6="",#N/A,SUM(CT$4:CT6))</f>
        <v>0</v>
      </c>
      <c r="CV6" s="306" t="str">
        <f t="shared" si="44"/>
        <v/>
      </c>
      <c r="CW6" s="306">
        <f>IF($J6="",#N/A,SUM(CV$4:CV6))</f>
        <v>0</v>
      </c>
      <c r="CX6" s="306">
        <f>IF($J6="",#N/A,SUM(CV$4:CV6,CT$4:CT6,CR$4:CR6))</f>
        <v>0</v>
      </c>
      <c r="CY6" s="304" t="str">
        <f t="shared" si="45"/>
        <v/>
      </c>
      <c r="CZ6" s="304">
        <f>IF($J6="",#N/A,SUM(CY$4:CY6))</f>
        <v>0</v>
      </c>
      <c r="DA6" s="305" t="str">
        <f t="shared" si="46"/>
        <v/>
      </c>
      <c r="DB6" s="305">
        <f>IF($J6="",#N/A,SUM(DA$4:DA6))</f>
        <v>0</v>
      </c>
      <c r="DC6" s="306" t="str">
        <f t="shared" si="47"/>
        <v/>
      </c>
      <c r="DD6" s="306">
        <f>IF($J6="",#N/A,SUM(DC$4:DC6))</f>
        <v>0</v>
      </c>
      <c r="DE6" s="306">
        <f>IF($J6="",#N/A,SUM(DC$4:DC6,DA$4:DA6,CY$4:CY6))</f>
        <v>0</v>
      </c>
      <c r="DF6" s="304" t="str">
        <f t="shared" si="48"/>
        <v/>
      </c>
      <c r="DG6" s="304">
        <f>IF($J6="",#N/A,SUM(DF$4:DF6))</f>
        <v>0</v>
      </c>
      <c r="DH6" s="305" t="str">
        <f t="shared" si="49"/>
        <v/>
      </c>
      <c r="DI6" s="305">
        <f>IF($J6="",#N/A,SUM(DH$4:DH6))</f>
        <v>0</v>
      </c>
      <c r="DJ6" s="306" t="str">
        <f t="shared" si="50"/>
        <v/>
      </c>
      <c r="DK6" s="306">
        <f>IF($J6="",#N/A,SUM(DJ$4:DJ6))</f>
        <v>0</v>
      </c>
      <c r="DL6" s="306">
        <f>IF($J6="",#N/A,SUM(DJ$4:DJ6,DH$4:DH6,DF$4:DF6))</f>
        <v>0</v>
      </c>
      <c r="DM6" s="304" t="str">
        <f t="shared" si="51"/>
        <v/>
      </c>
      <c r="DN6" s="304">
        <f>IF($J6="",#N/A,SUM(DM$4:DM6))</f>
        <v>0</v>
      </c>
      <c r="DO6" s="305" t="str">
        <f t="shared" si="52"/>
        <v/>
      </c>
      <c r="DP6" s="305">
        <f>IF($J6="",#N/A,SUM(DO$4:DO6))</f>
        <v>0</v>
      </c>
      <c r="DQ6" s="306" t="str">
        <f t="shared" si="53"/>
        <v/>
      </c>
      <c r="DR6" s="306">
        <f>IF($J6="",#N/A,SUM(DQ$4:DQ6))</f>
        <v>0</v>
      </c>
      <c r="DS6" s="306">
        <f>IF($J6="",#N/A,SUM(DQ$4:DQ6,DO$4:DO6,DM$4:DM6))</f>
        <v>0</v>
      </c>
      <c r="DT6" s="304" t="str">
        <f t="shared" si="54"/>
        <v/>
      </c>
      <c r="DU6" s="304">
        <f>IF($J6="",#N/A,SUM(DT$4:DT6))</f>
        <v>0</v>
      </c>
      <c r="DV6" s="305" t="str">
        <f t="shared" si="55"/>
        <v/>
      </c>
      <c r="DW6" s="305">
        <f>IF($J6="",#N/A,SUM(DV$4:DV6))</f>
        <v>0</v>
      </c>
      <c r="DX6" s="306" t="str">
        <f t="shared" si="56"/>
        <v/>
      </c>
      <c r="DY6" s="306">
        <f>IF($J6="",#N/A,SUM(DX$4:DX6))</f>
        <v>0</v>
      </c>
      <c r="DZ6" s="306">
        <f>IF($J6="",#N/A,SUM(DX$4:DX6,DV$4:DV6,DT$4:DT6))</f>
        <v>0</v>
      </c>
      <c r="EA6" s="304" t="str">
        <f t="shared" si="57"/>
        <v/>
      </c>
      <c r="EB6" s="304">
        <f>IF($J6="",#N/A,SUM(EA$4:EA6))</f>
        <v>0</v>
      </c>
      <c r="EC6" s="305" t="str">
        <f t="shared" si="58"/>
        <v/>
      </c>
      <c r="ED6" s="305">
        <f>IF($J6="",#N/A,SUM(EC$4:EC6))</f>
        <v>0</v>
      </c>
      <c r="EE6" s="306" t="str">
        <f t="shared" si="59"/>
        <v/>
      </c>
      <c r="EF6" s="306">
        <f>IF($J6="",#N/A,SUM(EE$4:EE6))</f>
        <v>0</v>
      </c>
      <c r="EG6" s="306">
        <f>IF($J6="",#N/A,SUM(EE$4:EE6,EC$4:EC6,EA$4:EA6))</f>
        <v>0</v>
      </c>
      <c r="EH6" s="223">
        <f t="shared" si="60"/>
        <v>59.869848156182172</v>
      </c>
      <c r="EI6" s="224">
        <f>IF(EH6="",#N/A,SUM($EH$4:EH6))</f>
        <v>112.61613804769644</v>
      </c>
      <c r="EJ6" s="223">
        <f t="shared" si="61"/>
        <v>110.19522776572666</v>
      </c>
      <c r="EK6" s="63">
        <f>IF($GZ6="",#N/A,SUM(EJ$4:EJ6))</f>
        <v>214.56052214675708</v>
      </c>
      <c r="EL6" s="60">
        <f t="shared" si="97"/>
        <v>2.4945770065075905</v>
      </c>
      <c r="EM6" s="60">
        <f>IF(EL6="",NA(),SUM($EL$4:EL6))</f>
        <v>4.6923390853206843</v>
      </c>
      <c r="EN6" s="60" t="str">
        <f t="shared" si="62"/>
        <v/>
      </c>
      <c r="EO6" s="60" t="e">
        <f>IF(EN6="",NA(),SUM($EN$4:EN6))</f>
        <v>#N/A</v>
      </c>
      <c r="EP6" s="60">
        <f t="shared" si="63"/>
        <v>2.4945770065075905</v>
      </c>
      <c r="EQ6" s="60">
        <f>IF(EP6="",NA(),SUM($EP$4:EP6))</f>
        <v>2.4945770065075905</v>
      </c>
      <c r="ER6" s="60" t="str">
        <f t="shared" si="64"/>
        <v/>
      </c>
      <c r="ES6" s="60" t="e">
        <f>IF(ER6="",NA(),SUM($ER$4:ER6))</f>
        <v>#N/A</v>
      </c>
      <c r="ET6" s="60" t="str">
        <f t="shared" si="65"/>
        <v/>
      </c>
      <c r="EU6" s="60" t="e">
        <f>IF(ET6="",NA(),SUM($ET$4:ET6))</f>
        <v>#N/A</v>
      </c>
      <c r="EV6" s="60" t="str">
        <f t="shared" si="66"/>
        <v/>
      </c>
      <c r="EW6" s="60" t="e">
        <f>IF(EV6="",NA(),SUM($EV$4:EV6))</f>
        <v>#N/A</v>
      </c>
      <c r="EX6" s="60" t="str">
        <f t="shared" si="67"/>
        <v/>
      </c>
      <c r="EY6" s="60" t="e">
        <f>IF(EX6="",NA(),SUM($EX$4:EX6))</f>
        <v>#N/A</v>
      </c>
      <c r="EZ6" s="60" t="str">
        <f t="shared" si="68"/>
        <v/>
      </c>
      <c r="FA6" s="60" t="e">
        <f>IF(EZ6="",NA(),SUM($EZ$4:EZ6))</f>
        <v>#N/A</v>
      </c>
      <c r="FB6" s="246" t="str">
        <f t="shared" si="98"/>
        <v/>
      </c>
      <c r="FC6" s="269" t="e">
        <f>IF($FB6="",#N/A,SUM(FB$4:$FB6))</f>
        <v>#N/A</v>
      </c>
      <c r="FD6" s="60" t="str">
        <f t="shared" si="69"/>
        <v/>
      </c>
      <c r="FE6" s="60" t="e">
        <f>IF($FD6="",#N/A,SUM($FD$4:FD6))</f>
        <v>#N/A</v>
      </c>
      <c r="FF6" s="60" t="str">
        <f t="shared" si="70"/>
        <v/>
      </c>
      <c r="FG6" s="60" t="e">
        <f>IF($FF6="",#N/A,SUM($FF$4:FF6))</f>
        <v>#N/A</v>
      </c>
      <c r="FH6" s="60" t="str">
        <f t="shared" si="71"/>
        <v/>
      </c>
      <c r="FI6" s="60" t="e">
        <f>IF($FH6="",#N/A,SUM($FH$4:FH6))</f>
        <v>#N/A</v>
      </c>
      <c r="FJ6" s="60">
        <f t="shared" si="72"/>
        <v>2.0968908170643532</v>
      </c>
      <c r="FK6" s="60">
        <f>IF($FJ6="",#N/A,SUM($FJ$4:FJ6))</f>
        <v>2.0968908170643532</v>
      </c>
      <c r="FL6" s="60" t="str">
        <f t="shared" si="73"/>
        <v/>
      </c>
      <c r="FM6" s="60" t="e">
        <f>IF($FL6="",#N/A,SUM($FL$4:FL6))</f>
        <v>#N/A</v>
      </c>
      <c r="FN6" s="82">
        <f t="shared" si="74"/>
        <v>4.5914678235719437</v>
      </c>
      <c r="FO6" s="82">
        <f>IF($FN6="",#N/A,SUM(FN$4:$FN6))</f>
        <v>8.9400217561148771</v>
      </c>
      <c r="FP6" s="82">
        <f t="shared" si="99"/>
        <v>2.4945770065075905</v>
      </c>
      <c r="FQ6" s="246">
        <f>IF($EH6="",#N/A,SUM($FP$4:FP6))</f>
        <v>4.6923390853206843</v>
      </c>
      <c r="FR6" s="273"/>
      <c r="FS6" s="273"/>
      <c r="FT6" s="273"/>
      <c r="FU6" s="82" t="e">
        <v>#N/A</v>
      </c>
      <c r="FV6" s="57" t="str">
        <f t="shared" si="75"/>
        <v>SW</v>
      </c>
      <c r="FW6" s="57" t="s">
        <v>2732</v>
      </c>
      <c r="FX6" s="57" t="str">
        <f t="shared" si="76"/>
        <v/>
      </c>
      <c r="FY6" s="57" t="str">
        <f t="shared" si="77"/>
        <v/>
      </c>
      <c r="FZ6" s="57">
        <f t="shared" si="78"/>
        <v>1</v>
      </c>
      <c r="GA6" s="57" t="str">
        <f t="shared" si="79"/>
        <v>Long</v>
      </c>
      <c r="GB6" s="57" t="str">
        <f t="shared" si="80"/>
        <v/>
      </c>
      <c r="GC6" s="57" t="str">
        <f t="shared" si="81"/>
        <v/>
      </c>
      <c r="GD6" s="57" t="str">
        <f t="shared" si="82"/>
        <v/>
      </c>
      <c r="GE6" s="62">
        <f t="shared" si="83"/>
        <v>9.2200000000000006</v>
      </c>
      <c r="GF6" s="62" t="s">
        <v>2779</v>
      </c>
      <c r="GG6" s="199">
        <f t="shared" si="84"/>
        <v>43.38394793926247</v>
      </c>
      <c r="GH6" s="207">
        <f t="shared" si="85"/>
        <v>400</v>
      </c>
      <c r="GI6" s="199">
        <f t="shared" si="86"/>
        <v>43.38394793926247</v>
      </c>
      <c r="GJ6" s="200">
        <f t="shared" si="87"/>
        <v>10.6</v>
      </c>
      <c r="GK6" s="63">
        <f t="shared" si="88"/>
        <v>59.869848156182172</v>
      </c>
      <c r="GL6" s="63">
        <f t="shared" si="89"/>
        <v>110.19522776572666</v>
      </c>
      <c r="GM6" s="82">
        <f t="shared" si="90"/>
        <v>4.5914678235719437</v>
      </c>
      <c r="GN6" s="82">
        <f>IF($GZ6="",#N/A,SUM(GM$4:GM6))</f>
        <v>4.5914678235719437</v>
      </c>
      <c r="GO6" s="82" t="str">
        <f t="shared" si="91"/>
        <v/>
      </c>
      <c r="GP6" s="82">
        <f>IF($GZ6="",#N/A,SUM(GO$4:GO6))</f>
        <v>1.5005969825246932</v>
      </c>
      <c r="GQ6" s="82" t="str">
        <f t="shared" si="92"/>
        <v/>
      </c>
      <c r="GR6" s="82">
        <f>IF($GZ6="",#N/A,SUM(GQ$4:GQ6))</f>
        <v>2.8479569500182413</v>
      </c>
      <c r="GS6" s="63">
        <f t="shared" si="100"/>
        <v>110.19522776572666</v>
      </c>
      <c r="GT6" s="63">
        <f>IF($GZ6="",#N/A,SUM(GS$4:GS6))</f>
        <v>110.19522776572666</v>
      </c>
      <c r="GU6" s="63" t="str">
        <f t="shared" si="101"/>
        <v/>
      </c>
      <c r="GV6" s="63">
        <f>IF($GZ6="",#N/A,SUM(GU$4:GU6))</f>
        <v>36.014327580592635</v>
      </c>
      <c r="GW6" s="62" t="str">
        <f t="shared" si="102"/>
        <v/>
      </c>
      <c r="GX6" s="63">
        <f>IF($GZ6="",#N/A,SUM(GW$4:GW6))</f>
        <v>68.350966800437789</v>
      </c>
      <c r="GY6" s="63">
        <f>IF(EJ6="",#N/A,SUM($EJ$4:EJ6))</f>
        <v>214.56052214675708</v>
      </c>
      <c r="GZ6" s="159">
        <v>11.76</v>
      </c>
      <c r="HA6" s="63">
        <f t="shared" si="93"/>
        <v>50.325379609544484</v>
      </c>
      <c r="HB6" s="62" t="s">
        <v>4970</v>
      </c>
      <c r="HC6" s="60">
        <f>IFERROR(VLOOKUP(E6,Expectancy!$P$4:$S$19,1+C6,FALSE),"")</f>
        <v>0.40561946259505821</v>
      </c>
      <c r="HD6" s="60" t="str">
        <f t="shared" si="94"/>
        <v/>
      </c>
      <c r="HE6" s="60" t="e">
        <f>IF(HD6="",#N/A,SUM($HD$4:HD6))</f>
        <v>#N/A</v>
      </c>
      <c r="HF6" s="64" t="e">
        <f>IF(HD6="",#N/A,IF(HB6="Skip",#N/A,SUM($HG$4:HG6)))</f>
        <v>#N/A</v>
      </c>
      <c r="HG6" s="63" t="str">
        <f t="shared" si="95"/>
        <v/>
      </c>
      <c r="HH6" s="82">
        <f t="shared" si="96"/>
        <v>4.5914678235719437</v>
      </c>
    </row>
    <row r="7" spans="1:235" x14ac:dyDescent="0.25">
      <c r="A7" s="65" t="s">
        <v>1283</v>
      </c>
      <c r="B7" s="58" t="s">
        <v>5082</v>
      </c>
      <c r="C7" s="386">
        <f t="shared" si="0"/>
        <v>1</v>
      </c>
      <c r="D7" s="372" t="str">
        <f>_xlfn.XLOOKUP(A7,[1]SP500!$A$2:$A$502,[1]SP500!$D$2:$D$502,"N")</f>
        <v>Y</v>
      </c>
      <c r="E7" s="57" t="str">
        <f>_xlfn.XLOOKUP(A7,[1]SP500!$A$2:$A$655,[1]SP500!$B$2:$B$655)</f>
        <v>XLF</v>
      </c>
      <c r="F7" s="59">
        <v>45672</v>
      </c>
      <c r="G7" s="57" t="str">
        <f t="shared" si="1"/>
        <v>BMO</v>
      </c>
      <c r="H7" s="57" t="str">
        <f t="shared" si="2"/>
        <v>o</v>
      </c>
      <c r="I7" s="158">
        <v>247.47</v>
      </c>
      <c r="J7" s="158">
        <v>250.4</v>
      </c>
      <c r="K7" s="61">
        <f t="shared" si="3"/>
        <v>1.183981896795574E-2</v>
      </c>
      <c r="L7" s="87">
        <f t="shared" si="4"/>
        <v>4.7359275871822888</v>
      </c>
      <c r="M7" s="63" t="str">
        <f t="shared" si="5"/>
        <v/>
      </c>
      <c r="N7" s="219">
        <f t="shared" si="6"/>
        <v>4.7359275871822888</v>
      </c>
      <c r="O7" s="219">
        <f>IF($J7="",#N/A,SUM($N$4:N7))</f>
        <v>27.985683367058471</v>
      </c>
      <c r="P7" s="220" t="str">
        <f t="shared" si="7"/>
        <v/>
      </c>
      <c r="Q7" s="220">
        <f>IF($J7="",#N/A,SUM($P$4:P7))</f>
        <v>29.496534111638084</v>
      </c>
      <c r="R7" s="221" t="str">
        <f t="shared" si="8"/>
        <v/>
      </c>
      <c r="S7" s="222">
        <f>IF($J7="",#N/A,SUM($R$4:R7))</f>
        <v>59.869848156182172</v>
      </c>
      <c r="T7" s="281">
        <f t="shared" si="9"/>
        <v>0.19733031613259536</v>
      </c>
      <c r="U7" s="281">
        <f>IF($J7="",#N/A,SUM($T$4:T7))</f>
        <v>1.1660701402941029</v>
      </c>
      <c r="V7" s="282" t="str">
        <f t="shared" si="10"/>
        <v/>
      </c>
      <c r="W7" s="282">
        <f>IF($J7="",#N/A,SUM($V$4:V7))</f>
        <v>1.2290222546515868</v>
      </c>
      <c r="X7" s="283" t="str">
        <f t="shared" si="11"/>
        <v/>
      </c>
      <c r="Y7" s="283">
        <f>IF($J7="",#N/A,SUM($X$4:X7))</f>
        <v>2.4945770065075905</v>
      </c>
      <c r="Z7" s="304" t="str">
        <f t="shared" si="12"/>
        <v/>
      </c>
      <c r="AA7" s="304">
        <f>IF($J7="",#N/A,SUM(Z$4:Z7))</f>
        <v>0</v>
      </c>
      <c r="AB7" s="305" t="str">
        <f t="shared" si="13"/>
        <v/>
      </c>
      <c r="AC7" s="305">
        <f>IF($J7="",#N/A,SUM(AB$4:AB7))</f>
        <v>0</v>
      </c>
      <c r="AD7" s="306" t="str">
        <f t="shared" si="14"/>
        <v/>
      </c>
      <c r="AE7" s="306">
        <f>IF($J7="",#N/A,SUM(AD$4:AD7))</f>
        <v>0</v>
      </c>
      <c r="AF7" s="306">
        <f>IF($J7="",#N/A,SUM(AD$4:AD7,AB$4:AB7,Z$4:Z7))</f>
        <v>0</v>
      </c>
      <c r="AG7" s="304" t="str">
        <f t="shared" si="15"/>
        <v/>
      </c>
      <c r="AH7" s="304">
        <f>IF($J7="",#N/A,SUM(AG$4:AG7))</f>
        <v>0</v>
      </c>
      <c r="AI7" s="305" t="str">
        <f t="shared" si="16"/>
        <v/>
      </c>
      <c r="AJ7" s="305">
        <f>IF($J7="",#N/A,SUM(AI$4:AI7))</f>
        <v>0</v>
      </c>
      <c r="AK7" s="306" t="str">
        <f t="shared" si="17"/>
        <v/>
      </c>
      <c r="AL7" s="306">
        <f>IF($J7="",#N/A,SUM(AK$4:AK7))</f>
        <v>0</v>
      </c>
      <c r="AM7" s="306">
        <f>IF($J7="",#N/A,SUM(AK$4:AK7,AI$4:AI7,AG$4:AG7))</f>
        <v>0</v>
      </c>
      <c r="AN7" s="304" t="str">
        <f t="shared" si="18"/>
        <v/>
      </c>
      <c r="AO7" s="304">
        <f>IF($J7="",#N/A,SUM(AN$4:AN7))</f>
        <v>0</v>
      </c>
      <c r="AP7" s="305" t="str">
        <f t="shared" si="19"/>
        <v/>
      </c>
      <c r="AQ7" s="305">
        <f>IF($J7="",#N/A,SUM(AP$4:AP7))</f>
        <v>0</v>
      </c>
      <c r="AR7" s="306" t="str">
        <f t="shared" si="20"/>
        <v/>
      </c>
      <c r="AS7" s="306">
        <f>IF($J7="",#N/A,SUM(AR$4:AR7))</f>
        <v>0</v>
      </c>
      <c r="AT7" s="306">
        <f>IF($J7="",#N/A,SUM(AR$4:AR7,AP$4:AP7,AN$4:AN7))</f>
        <v>0</v>
      </c>
      <c r="AU7" s="304" t="str">
        <f t="shared" si="21"/>
        <v/>
      </c>
      <c r="AV7" s="304">
        <f>IF($J7="",#N/A,SUM(AU$4:AU7))</f>
        <v>0</v>
      </c>
      <c r="AW7" s="305" t="str">
        <f t="shared" si="22"/>
        <v/>
      </c>
      <c r="AX7" s="305">
        <f>IF($J7="",#N/A,SUM(AW$4:AW7))</f>
        <v>1.2290222546515868</v>
      </c>
      <c r="AY7" s="306" t="str">
        <f t="shared" si="23"/>
        <v/>
      </c>
      <c r="AZ7" s="306">
        <f>IF($J7="",#N/A,SUM(AY$4:AY7))</f>
        <v>2.4945770065075905</v>
      </c>
      <c r="BA7" s="306">
        <f>IF($J7="",#N/A,SUM(AY$4:AY7,AW$4:AW7,AU$4:AU7))</f>
        <v>3.7235992611591771</v>
      </c>
      <c r="BB7" s="304" t="str">
        <f t="shared" si="24"/>
        <v/>
      </c>
      <c r="BC7" s="304">
        <f>IF($J7="",#N/A,SUM(BB$4:BB7))</f>
        <v>0</v>
      </c>
      <c r="BD7" s="305" t="str">
        <f t="shared" si="25"/>
        <v/>
      </c>
      <c r="BE7" s="305">
        <f>IF($J7="",#N/A,SUM(BD$4:BD7))</f>
        <v>0</v>
      </c>
      <c r="BF7" s="306" t="str">
        <f t="shared" si="26"/>
        <v/>
      </c>
      <c r="BG7" s="306">
        <f>IF($J7="",#N/A,SUM(BF$4:BF7))</f>
        <v>0</v>
      </c>
      <c r="BH7" s="306">
        <f>IF($J7="",#N/A,SUM(BF$4:BF7,BD$4:BD7,BB$4:BB7))</f>
        <v>0</v>
      </c>
      <c r="BI7" s="304">
        <f t="shared" si="27"/>
        <v>0.19733031613259536</v>
      </c>
      <c r="BJ7" s="304">
        <f>IF($J7="",#N/A,SUM(BI$4:BI7))</f>
        <v>0.19733031613259536</v>
      </c>
      <c r="BK7" s="305" t="str">
        <f t="shared" si="28"/>
        <v/>
      </c>
      <c r="BL7" s="305">
        <f>IF($J7="",#N/A,SUM(BK$4:BK7))</f>
        <v>0</v>
      </c>
      <c r="BM7" s="306" t="str">
        <f t="shared" si="29"/>
        <v/>
      </c>
      <c r="BN7" s="306">
        <f>IF($J7="",#N/A,SUM(BM$4:BM7))</f>
        <v>0</v>
      </c>
      <c r="BO7" s="306">
        <f>IF($J7="",#N/A,SUM(BM$4:BM7,BK$4:BK7,BI$4:BI7))</f>
        <v>0.19733031613259536</v>
      </c>
      <c r="BP7" s="304" t="str">
        <f t="shared" si="30"/>
        <v/>
      </c>
      <c r="BQ7" s="304">
        <f>IF($J7="",#N/A,SUM(BP$4:BP7))</f>
        <v>0.96873982416150761</v>
      </c>
      <c r="BR7" s="305" t="str">
        <f t="shared" si="31"/>
        <v/>
      </c>
      <c r="BS7" s="305">
        <f>IF($J7="",#N/A,SUM(BR$4:BR7))</f>
        <v>0</v>
      </c>
      <c r="BT7" s="306" t="str">
        <f t="shared" si="32"/>
        <v/>
      </c>
      <c r="BU7" s="306">
        <f>IF($J7="",#N/A,SUM(BT$4:BT7))</f>
        <v>0</v>
      </c>
      <c r="BV7" s="306">
        <f>IF($J7="",#N/A,SUM(BT$4:BT7,BR$4:BR7,BP$4:BP7))</f>
        <v>0.96873982416150761</v>
      </c>
      <c r="BW7" s="304" t="str">
        <f t="shared" si="33"/>
        <v/>
      </c>
      <c r="BX7" s="304">
        <f>IF($J7="",#N/A,SUM(BW$4:BW7))</f>
        <v>0</v>
      </c>
      <c r="BY7" s="305" t="str">
        <f t="shared" si="34"/>
        <v/>
      </c>
      <c r="BZ7" s="305">
        <f>IF($J7="",#N/A,SUM(BY$4:BY7))</f>
        <v>0</v>
      </c>
      <c r="CA7" s="306" t="str">
        <f t="shared" si="35"/>
        <v/>
      </c>
      <c r="CB7" s="306">
        <f>IF($J7="",#N/A,SUM(CA$4:CA7))</f>
        <v>0</v>
      </c>
      <c r="CC7" s="306">
        <f>IF($J7="",#N/A,SUM(CA$4:CA7,BY$4:BY7,BW$4:BW7))</f>
        <v>0</v>
      </c>
      <c r="CD7" s="304" t="str">
        <f t="shared" si="36"/>
        <v/>
      </c>
      <c r="CE7" s="304">
        <f>IF($J7="",#N/A,SUM(CD$4:CD7))</f>
        <v>0</v>
      </c>
      <c r="CF7" s="305" t="str">
        <f t="shared" si="37"/>
        <v/>
      </c>
      <c r="CG7" s="305">
        <f>IF($J7="",#N/A,SUM(CF$4:CF7))</f>
        <v>0</v>
      </c>
      <c r="CH7" s="306" t="str">
        <f t="shared" si="38"/>
        <v/>
      </c>
      <c r="CI7" s="306">
        <f>IF($J7="",#N/A,SUM(CH$4:CH7))</f>
        <v>0</v>
      </c>
      <c r="CJ7" s="306">
        <f>IF($J7="",#N/A,SUM(CH$4:CH7,CF$4:CF7,CD$4:CD7))</f>
        <v>0</v>
      </c>
      <c r="CK7" s="304" t="str">
        <f t="shared" si="39"/>
        <v/>
      </c>
      <c r="CL7" s="304">
        <f>IF($J7="",#N/A,SUM(CK$4:CK7))</f>
        <v>0</v>
      </c>
      <c r="CM7" s="305" t="str">
        <f t="shared" si="40"/>
        <v/>
      </c>
      <c r="CN7" s="305">
        <f>IF($J7="",#N/A,SUM(CM$4:CM7))</f>
        <v>0</v>
      </c>
      <c r="CO7" s="306" t="str">
        <f t="shared" si="41"/>
        <v/>
      </c>
      <c r="CP7" s="306">
        <f>IF($J7="",#N/A,SUM(CO$4:CO7))</f>
        <v>0</v>
      </c>
      <c r="CQ7" s="306">
        <f>IF($J7="",#N/A,SUM(CO$4:CO7,CM$4:CM7,CK$4:CK7))</f>
        <v>0</v>
      </c>
      <c r="CR7" s="304" t="str">
        <f t="shared" si="42"/>
        <v/>
      </c>
      <c r="CS7" s="304">
        <f>IF($J7="",#N/A,SUM(CR$4:CR7))</f>
        <v>0</v>
      </c>
      <c r="CT7" s="305" t="str">
        <f t="shared" si="43"/>
        <v/>
      </c>
      <c r="CU7" s="305">
        <f>IF($J7="",#N/A,SUM(CT$4:CT7))</f>
        <v>0</v>
      </c>
      <c r="CV7" s="306" t="str">
        <f t="shared" si="44"/>
        <v/>
      </c>
      <c r="CW7" s="306">
        <f>IF($J7="",#N/A,SUM(CV$4:CV7))</f>
        <v>0</v>
      </c>
      <c r="CX7" s="306">
        <f>IF($J7="",#N/A,SUM(CV$4:CV7,CT$4:CT7,CR$4:CR7))</f>
        <v>0</v>
      </c>
      <c r="CY7" s="304" t="str">
        <f t="shared" si="45"/>
        <v/>
      </c>
      <c r="CZ7" s="304">
        <f>IF($J7="",#N/A,SUM(CY$4:CY7))</f>
        <v>0</v>
      </c>
      <c r="DA7" s="305" t="str">
        <f t="shared" si="46"/>
        <v/>
      </c>
      <c r="DB7" s="305">
        <f>IF($J7="",#N/A,SUM(DA$4:DA7))</f>
        <v>0</v>
      </c>
      <c r="DC7" s="306" t="str">
        <f t="shared" si="47"/>
        <v/>
      </c>
      <c r="DD7" s="306">
        <f>IF($J7="",#N/A,SUM(DC$4:DC7))</f>
        <v>0</v>
      </c>
      <c r="DE7" s="306">
        <f>IF($J7="",#N/A,SUM(DC$4:DC7,DA$4:DA7,CY$4:CY7))</f>
        <v>0</v>
      </c>
      <c r="DF7" s="304" t="str">
        <f t="shared" si="48"/>
        <v/>
      </c>
      <c r="DG7" s="304">
        <f>IF($J7="",#N/A,SUM(DF$4:DF7))</f>
        <v>0</v>
      </c>
      <c r="DH7" s="305" t="str">
        <f t="shared" si="49"/>
        <v/>
      </c>
      <c r="DI7" s="305">
        <f>IF($J7="",#N/A,SUM(DH$4:DH7))</f>
        <v>0</v>
      </c>
      <c r="DJ7" s="306" t="str">
        <f t="shared" si="50"/>
        <v/>
      </c>
      <c r="DK7" s="306">
        <f>IF($J7="",#N/A,SUM(DJ$4:DJ7))</f>
        <v>0</v>
      </c>
      <c r="DL7" s="306">
        <f>IF($J7="",#N/A,SUM(DJ$4:DJ7,DH$4:DH7,DF$4:DF7))</f>
        <v>0</v>
      </c>
      <c r="DM7" s="304" t="str">
        <f t="shared" si="51"/>
        <v/>
      </c>
      <c r="DN7" s="304">
        <f>IF($J7="",#N/A,SUM(DM$4:DM7))</f>
        <v>0</v>
      </c>
      <c r="DO7" s="305" t="str">
        <f t="shared" si="52"/>
        <v/>
      </c>
      <c r="DP7" s="305">
        <f>IF($J7="",#N/A,SUM(DO$4:DO7))</f>
        <v>0</v>
      </c>
      <c r="DQ7" s="306" t="str">
        <f t="shared" si="53"/>
        <v/>
      </c>
      <c r="DR7" s="306">
        <f>IF($J7="",#N/A,SUM(DQ$4:DQ7))</f>
        <v>0</v>
      </c>
      <c r="DS7" s="306">
        <f>IF($J7="",#N/A,SUM(DQ$4:DQ7,DO$4:DO7,DM$4:DM7))</f>
        <v>0</v>
      </c>
      <c r="DT7" s="304" t="str">
        <f t="shared" si="54"/>
        <v/>
      </c>
      <c r="DU7" s="304">
        <f>IF($J7="",#N/A,SUM(DT$4:DT7))</f>
        <v>0</v>
      </c>
      <c r="DV7" s="305" t="str">
        <f t="shared" si="55"/>
        <v/>
      </c>
      <c r="DW7" s="305">
        <f>IF($J7="",#N/A,SUM(DV$4:DV7))</f>
        <v>0</v>
      </c>
      <c r="DX7" s="306" t="str">
        <f t="shared" si="56"/>
        <v/>
      </c>
      <c r="DY7" s="306">
        <f>IF($J7="",#N/A,SUM(DX$4:DX7))</f>
        <v>0</v>
      </c>
      <c r="DZ7" s="306">
        <f>IF($J7="",#N/A,SUM(DX$4:DX7,DV$4:DV7,DT$4:DT7))</f>
        <v>0</v>
      </c>
      <c r="EA7" s="304" t="str">
        <f t="shared" si="57"/>
        <v/>
      </c>
      <c r="EB7" s="304">
        <f>IF($J7="",#N/A,SUM(EA$4:EA7))</f>
        <v>0</v>
      </c>
      <c r="EC7" s="305" t="str">
        <f t="shared" si="58"/>
        <v/>
      </c>
      <c r="ED7" s="305">
        <f>IF($J7="",#N/A,SUM(EC$4:EC7))</f>
        <v>0</v>
      </c>
      <c r="EE7" s="306" t="str">
        <f t="shared" si="59"/>
        <v/>
      </c>
      <c r="EF7" s="306">
        <f>IF($J7="",#N/A,SUM(EE$4:EE7))</f>
        <v>0</v>
      </c>
      <c r="EG7" s="306">
        <f>IF($J7="",#N/A,SUM(EE$4:EE7,EC$4:EC7,EA$4:EA7))</f>
        <v>0</v>
      </c>
      <c r="EH7" s="223">
        <f t="shared" si="60"/>
        <v>4.7359275871822888</v>
      </c>
      <c r="EI7" s="224">
        <f>IF(EH7="",#N/A,SUM($EH$4:EH7))</f>
        <v>117.35206563487873</v>
      </c>
      <c r="EJ7" s="223">
        <f t="shared" si="61"/>
        <v>7.8878247868428275</v>
      </c>
      <c r="EK7" s="63">
        <f>IF($GZ7="",#N/A,SUM(EJ$4:EJ7))</f>
        <v>222.44834693359991</v>
      </c>
      <c r="EL7" s="60">
        <f t="shared" si="97"/>
        <v>0.19733031613259536</v>
      </c>
      <c r="EM7" s="60">
        <f>IF(EL7="",NA(),SUM($EL$4:EL7))</f>
        <v>4.88966940145328</v>
      </c>
      <c r="EN7" s="60">
        <f t="shared" si="62"/>
        <v>0.19733031613259536</v>
      </c>
      <c r="EO7" s="60">
        <f>IF(EN7="",NA(),SUM($EN$4:EN7))</f>
        <v>1.1660701402941029</v>
      </c>
      <c r="EP7" s="60" t="str">
        <f t="shared" si="63"/>
        <v/>
      </c>
      <c r="EQ7" s="60" t="e">
        <f>IF(EP7="",NA(),SUM($EP$4:EP7))</f>
        <v>#N/A</v>
      </c>
      <c r="ER7" s="60" t="str">
        <f t="shared" si="64"/>
        <v/>
      </c>
      <c r="ES7" s="60" t="e">
        <f>IF(ER7="",NA(),SUM($ER$4:ER7))</f>
        <v>#N/A</v>
      </c>
      <c r="ET7" s="60" t="str">
        <f t="shared" si="65"/>
        <v/>
      </c>
      <c r="EU7" s="60" t="e">
        <f>IF(ET7="",NA(),SUM($ET$4:ET7))</f>
        <v>#N/A</v>
      </c>
      <c r="EV7" s="60" t="str">
        <f t="shared" si="66"/>
        <v/>
      </c>
      <c r="EW7" s="60" t="e">
        <f>IF(EV7="",NA(),SUM($EV$4:EV7))</f>
        <v>#N/A</v>
      </c>
      <c r="EX7" s="60" t="str">
        <f t="shared" si="67"/>
        <v/>
      </c>
      <c r="EY7" s="60" t="e">
        <f>IF(EX7="",NA(),SUM($EX$4:EX7))</f>
        <v>#N/A</v>
      </c>
      <c r="EZ7" s="60" t="str">
        <f t="shared" si="68"/>
        <v/>
      </c>
      <c r="FA7" s="60" t="e">
        <f>IF(EZ7="",NA(),SUM($EZ$4:EZ7))</f>
        <v>#N/A</v>
      </c>
      <c r="FB7" s="246" t="str">
        <f t="shared" si="98"/>
        <v/>
      </c>
      <c r="FC7" s="269" t="e">
        <f>IF($FB7="",#N/A,SUM(FB$4:$FB7))</f>
        <v>#N/A</v>
      </c>
      <c r="FD7" s="60" t="str">
        <f t="shared" si="69"/>
        <v/>
      </c>
      <c r="FE7" s="60" t="e">
        <f>IF($FD7="",#N/A,SUM($FD$4:FD7))</f>
        <v>#N/A</v>
      </c>
      <c r="FF7" s="60">
        <f t="shared" si="70"/>
        <v>0.13132904998585579</v>
      </c>
      <c r="FG7" s="60">
        <f>IF($FF7="",#N/A,SUM($FF$4:FF7))</f>
        <v>0.66318620834904141</v>
      </c>
      <c r="FH7" s="60" t="str">
        <f t="shared" si="71"/>
        <v/>
      </c>
      <c r="FI7" s="60" t="e">
        <f>IF($FH7="",#N/A,SUM($FH$4:FH7))</f>
        <v>#N/A</v>
      </c>
      <c r="FJ7" s="60" t="str">
        <f t="shared" si="72"/>
        <v/>
      </c>
      <c r="FK7" s="60" t="e">
        <f>IF($FJ7="",#N/A,SUM($FJ$4:FJ7))</f>
        <v>#N/A</v>
      </c>
      <c r="FL7" s="60" t="str">
        <f t="shared" si="73"/>
        <v/>
      </c>
      <c r="FM7" s="60" t="e">
        <f>IF($FL7="",#N/A,SUM($FL$4:FL7))</f>
        <v>#N/A</v>
      </c>
      <c r="FN7" s="82">
        <f t="shared" si="74"/>
        <v>0.32865936611845115</v>
      </c>
      <c r="FO7" s="82">
        <f>IF($FN7="",#N/A,SUM(FN$4:$FN7))</f>
        <v>9.2686811222333283</v>
      </c>
      <c r="FP7" s="82">
        <f t="shared" si="99"/>
        <v>0.19733031613259536</v>
      </c>
      <c r="FQ7" s="246">
        <f>IF($EH7="",#N/A,SUM($FP$4:FP7))</f>
        <v>4.88966940145328</v>
      </c>
      <c r="FR7" s="273"/>
      <c r="FS7" s="273"/>
      <c r="FT7" s="273"/>
      <c r="FU7" s="82" t="e">
        <v>#N/A</v>
      </c>
      <c r="FV7" s="57" t="str">
        <f t="shared" si="75"/>
        <v>Up</v>
      </c>
      <c r="FW7" s="57" t="s">
        <v>2733</v>
      </c>
      <c r="FX7" s="57">
        <f t="shared" si="76"/>
        <v>1</v>
      </c>
      <c r="FY7" s="57" t="str">
        <f t="shared" si="77"/>
        <v/>
      </c>
      <c r="FZ7" s="57" t="str">
        <f t="shared" si="78"/>
        <v/>
      </c>
      <c r="GA7" s="57" t="str">
        <f t="shared" si="79"/>
        <v>Long</v>
      </c>
      <c r="GB7" s="57" t="str">
        <f t="shared" si="80"/>
        <v/>
      </c>
      <c r="GC7" s="57" t="str">
        <f t="shared" si="81"/>
        <v/>
      </c>
      <c r="GD7" s="57" t="str">
        <f t="shared" si="82"/>
        <v/>
      </c>
      <c r="GE7" s="62">
        <f t="shared" si="83"/>
        <v>247.47</v>
      </c>
      <c r="GF7" s="62" t="s">
        <v>2779</v>
      </c>
      <c r="GG7" s="199">
        <f t="shared" si="84"/>
        <v>1.6163575382874691</v>
      </c>
      <c r="GH7" s="207">
        <f t="shared" si="85"/>
        <v>400</v>
      </c>
      <c r="GI7" s="199">
        <f t="shared" si="86"/>
        <v>1.6163575382874691</v>
      </c>
      <c r="GJ7" s="200">
        <f t="shared" si="87"/>
        <v>250.4</v>
      </c>
      <c r="GK7" s="63">
        <f t="shared" si="88"/>
        <v>4.7359275871822888</v>
      </c>
      <c r="GL7" s="63">
        <f t="shared" si="89"/>
        <v>7.8878247868428275</v>
      </c>
      <c r="GM7" s="82" t="str">
        <f t="shared" si="90"/>
        <v/>
      </c>
      <c r="GN7" s="82">
        <f>IF($GZ7="",#N/A,SUM(GM$4:GM7))</f>
        <v>4.5914678235719437</v>
      </c>
      <c r="GO7" s="82">
        <f t="shared" si="91"/>
        <v>0.32865936611845115</v>
      </c>
      <c r="GP7" s="82">
        <f>IF($GZ7="",#N/A,SUM(GO$4:GO7))</f>
        <v>1.8292563486431443</v>
      </c>
      <c r="GQ7" s="82" t="str">
        <f t="shared" si="92"/>
        <v/>
      </c>
      <c r="GR7" s="82">
        <f>IF($GZ7="",#N/A,SUM(GQ$4:GQ7))</f>
        <v>2.8479569500182413</v>
      </c>
      <c r="GS7" s="63" t="str">
        <f t="shared" si="100"/>
        <v/>
      </c>
      <c r="GT7" s="63">
        <f>IF($GZ7="",#N/A,SUM(GS$4:GS7))</f>
        <v>110.19522776572666</v>
      </c>
      <c r="GU7" s="63">
        <f t="shared" si="101"/>
        <v>7.8878247868428275</v>
      </c>
      <c r="GV7" s="63">
        <f>IF($GZ7="",#N/A,SUM(GU$4:GU7))</f>
        <v>43.902152367435463</v>
      </c>
      <c r="GW7" s="62" t="str">
        <f t="shared" si="102"/>
        <v/>
      </c>
      <c r="GX7" s="63">
        <f>IF($GZ7="",#N/A,SUM(GW$4:GW7))</f>
        <v>68.350966800437789</v>
      </c>
      <c r="GY7" s="63">
        <f>IF(EJ7="",#N/A,SUM($EJ$4:EJ7))</f>
        <v>222.44834693359991</v>
      </c>
      <c r="GZ7" s="159">
        <v>252.35</v>
      </c>
      <c r="HA7" s="63">
        <f t="shared" si="93"/>
        <v>3.1518971996605387</v>
      </c>
      <c r="HB7" s="62" t="s">
        <v>4970</v>
      </c>
      <c r="HC7" s="60">
        <f>IFERROR(VLOOKUP(E7,Expectancy!$P$4:$S$19,1+C7,FALSE),"")</f>
        <v>-7.9483352726509887E-2</v>
      </c>
      <c r="HD7" s="60" t="str">
        <f t="shared" si="94"/>
        <v/>
      </c>
      <c r="HE7" s="60" t="e">
        <f>IF(HD7="",#N/A,SUM($HD$4:HD7))</f>
        <v>#N/A</v>
      </c>
      <c r="HF7" s="64" t="e">
        <f>IF(HD7="",#N/A,IF(HB7="Skip",#N/A,SUM($HG$4:HG7)))</f>
        <v>#N/A</v>
      </c>
      <c r="HG7" s="63" t="str">
        <f t="shared" si="95"/>
        <v/>
      </c>
      <c r="HH7" s="82">
        <f t="shared" si="96"/>
        <v>0.32865936611845115</v>
      </c>
    </row>
    <row r="8" spans="1:235" x14ac:dyDescent="0.25">
      <c r="A8" s="57" t="s">
        <v>1296</v>
      </c>
      <c r="B8" s="58" t="s">
        <v>5082</v>
      </c>
      <c r="C8" s="386">
        <f t="shared" si="0"/>
        <v>1</v>
      </c>
      <c r="D8" s="372" t="str">
        <f>_xlfn.XLOOKUP(A8,[1]SP500!$A$2:$A$502,[1]SP500!$D$2:$D$502,"N")</f>
        <v>Y</v>
      </c>
      <c r="E8" s="57" t="str">
        <f>_xlfn.XLOOKUP(A8,[1]SP500!$A$2:$A$655,[1]SP500!$B$2:$B$655)</f>
        <v>XLF</v>
      </c>
      <c r="F8" s="59">
        <v>45672</v>
      </c>
      <c r="G8" s="57" t="str">
        <f t="shared" si="1"/>
        <v>BMO</v>
      </c>
      <c r="H8" s="57" t="str">
        <f t="shared" si="2"/>
        <v>o</v>
      </c>
      <c r="I8" s="158">
        <v>71.19</v>
      </c>
      <c r="J8" s="158">
        <v>75.36</v>
      </c>
      <c r="K8" s="61">
        <f t="shared" si="3"/>
        <v>5.8575642646439136E-2</v>
      </c>
      <c r="L8" s="87">
        <f t="shared" si="4"/>
        <v>23.430257058575648</v>
      </c>
      <c r="M8" s="63" t="str">
        <f t="shared" si="5"/>
        <v/>
      </c>
      <c r="N8" s="219">
        <f t="shared" si="6"/>
        <v>23.430257058575648</v>
      </c>
      <c r="O8" s="219">
        <f>IF($J8="",#N/A,SUM($N$4:N8))</f>
        <v>51.415940425634119</v>
      </c>
      <c r="P8" s="220" t="str">
        <f t="shared" si="7"/>
        <v/>
      </c>
      <c r="Q8" s="220">
        <f>IF($J8="",#N/A,SUM($P$4:P8))</f>
        <v>29.496534111638084</v>
      </c>
      <c r="R8" s="221" t="str">
        <f t="shared" si="8"/>
        <v/>
      </c>
      <c r="S8" s="222">
        <f>IF($J8="",#N/A,SUM($R$4:R8))</f>
        <v>59.869848156182172</v>
      </c>
      <c r="T8" s="281">
        <f t="shared" si="9"/>
        <v>0.97626071077398535</v>
      </c>
      <c r="U8" s="281">
        <f>IF($J8="",#N/A,SUM($T$4:T8))</f>
        <v>2.1423308510680883</v>
      </c>
      <c r="V8" s="282" t="str">
        <f t="shared" si="10"/>
        <v/>
      </c>
      <c r="W8" s="282">
        <f>IF($J8="",#N/A,SUM($V$4:V8))</f>
        <v>1.2290222546515868</v>
      </c>
      <c r="X8" s="283" t="str">
        <f t="shared" si="11"/>
        <v/>
      </c>
      <c r="Y8" s="283">
        <f>IF($J8="",#N/A,SUM($X$4:X8))</f>
        <v>2.4945770065075905</v>
      </c>
      <c r="Z8" s="304" t="str">
        <f t="shared" si="12"/>
        <v/>
      </c>
      <c r="AA8" s="304">
        <f>IF($J8="",#N/A,SUM(Z$4:Z8))</f>
        <v>0</v>
      </c>
      <c r="AB8" s="305" t="str">
        <f t="shared" si="13"/>
        <v/>
      </c>
      <c r="AC8" s="305">
        <f>IF($J8="",#N/A,SUM(AB$4:AB8))</f>
        <v>0</v>
      </c>
      <c r="AD8" s="306" t="str">
        <f t="shared" si="14"/>
        <v/>
      </c>
      <c r="AE8" s="306">
        <f>IF($J8="",#N/A,SUM(AD$4:AD8))</f>
        <v>0</v>
      </c>
      <c r="AF8" s="306">
        <f>IF($J8="",#N/A,SUM(AD$4:AD8,AB$4:AB8,Z$4:Z8))</f>
        <v>0</v>
      </c>
      <c r="AG8" s="304" t="str">
        <f t="shared" si="15"/>
        <v/>
      </c>
      <c r="AH8" s="304">
        <f>IF($J8="",#N/A,SUM(AG$4:AG8))</f>
        <v>0</v>
      </c>
      <c r="AI8" s="305" t="str">
        <f t="shared" si="16"/>
        <v/>
      </c>
      <c r="AJ8" s="305">
        <f>IF($J8="",#N/A,SUM(AI$4:AI8))</f>
        <v>0</v>
      </c>
      <c r="AK8" s="306" t="str">
        <f t="shared" si="17"/>
        <v/>
      </c>
      <c r="AL8" s="306">
        <f>IF($J8="",#N/A,SUM(AK$4:AK8))</f>
        <v>0</v>
      </c>
      <c r="AM8" s="306">
        <f>IF($J8="",#N/A,SUM(AK$4:AK8,AI$4:AI8,AG$4:AG8))</f>
        <v>0</v>
      </c>
      <c r="AN8" s="304" t="str">
        <f t="shared" si="18"/>
        <v/>
      </c>
      <c r="AO8" s="304">
        <f>IF($J8="",#N/A,SUM(AN$4:AN8))</f>
        <v>0</v>
      </c>
      <c r="AP8" s="305" t="str">
        <f t="shared" si="19"/>
        <v/>
      </c>
      <c r="AQ8" s="305">
        <f>IF($J8="",#N/A,SUM(AP$4:AP8))</f>
        <v>0</v>
      </c>
      <c r="AR8" s="306" t="str">
        <f t="shared" si="20"/>
        <v/>
      </c>
      <c r="AS8" s="306">
        <f>IF($J8="",#N/A,SUM(AR$4:AR8))</f>
        <v>0</v>
      </c>
      <c r="AT8" s="306">
        <f>IF($J8="",#N/A,SUM(AR$4:AR8,AP$4:AP8,AN$4:AN8))</f>
        <v>0</v>
      </c>
      <c r="AU8" s="304" t="str">
        <f t="shared" si="21"/>
        <v/>
      </c>
      <c r="AV8" s="304">
        <f>IF($J8="",#N/A,SUM(AU$4:AU8))</f>
        <v>0</v>
      </c>
      <c r="AW8" s="305" t="str">
        <f t="shared" si="22"/>
        <v/>
      </c>
      <c r="AX8" s="305">
        <f>IF($J8="",#N/A,SUM(AW$4:AW8))</f>
        <v>1.2290222546515868</v>
      </c>
      <c r="AY8" s="306" t="str">
        <f t="shared" si="23"/>
        <v/>
      </c>
      <c r="AZ8" s="306">
        <f>IF($J8="",#N/A,SUM(AY$4:AY8))</f>
        <v>2.4945770065075905</v>
      </c>
      <c r="BA8" s="306">
        <f>IF($J8="",#N/A,SUM(AY$4:AY8,AW$4:AW8,AU$4:AU8))</f>
        <v>3.7235992611591771</v>
      </c>
      <c r="BB8" s="304" t="str">
        <f t="shared" si="24"/>
        <v/>
      </c>
      <c r="BC8" s="304">
        <f>IF($J8="",#N/A,SUM(BB$4:BB8))</f>
        <v>0</v>
      </c>
      <c r="BD8" s="305" t="str">
        <f t="shared" si="25"/>
        <v/>
      </c>
      <c r="BE8" s="305">
        <f>IF($J8="",#N/A,SUM(BD$4:BD8))</f>
        <v>0</v>
      </c>
      <c r="BF8" s="306" t="str">
        <f t="shared" si="26"/>
        <v/>
      </c>
      <c r="BG8" s="306">
        <f>IF($J8="",#N/A,SUM(BF$4:BF8))</f>
        <v>0</v>
      </c>
      <c r="BH8" s="306">
        <f>IF($J8="",#N/A,SUM(BF$4:BF8,BD$4:BD8,BB$4:BB8))</f>
        <v>0</v>
      </c>
      <c r="BI8" s="304">
        <f t="shared" si="27"/>
        <v>0.97626071077398535</v>
      </c>
      <c r="BJ8" s="304">
        <f>IF($J8="",#N/A,SUM(BI$4:BI8))</f>
        <v>1.1735910269065808</v>
      </c>
      <c r="BK8" s="305" t="str">
        <f t="shared" si="28"/>
        <v/>
      </c>
      <c r="BL8" s="305">
        <f>IF($J8="",#N/A,SUM(BK$4:BK8))</f>
        <v>0</v>
      </c>
      <c r="BM8" s="306" t="str">
        <f t="shared" si="29"/>
        <v/>
      </c>
      <c r="BN8" s="306">
        <f>IF($J8="",#N/A,SUM(BM$4:BM8))</f>
        <v>0</v>
      </c>
      <c r="BO8" s="306">
        <f>IF($J8="",#N/A,SUM(BM$4:BM8,BK$4:BK8,BI$4:BI8))</f>
        <v>1.1735910269065808</v>
      </c>
      <c r="BP8" s="304" t="str">
        <f t="shared" si="30"/>
        <v/>
      </c>
      <c r="BQ8" s="304">
        <f>IF($J8="",#N/A,SUM(BP$4:BP8))</f>
        <v>0.96873982416150761</v>
      </c>
      <c r="BR8" s="305" t="str">
        <f t="shared" si="31"/>
        <v/>
      </c>
      <c r="BS8" s="305">
        <f>IF($J8="",#N/A,SUM(BR$4:BR8))</f>
        <v>0</v>
      </c>
      <c r="BT8" s="306" t="str">
        <f t="shared" si="32"/>
        <v/>
      </c>
      <c r="BU8" s="306">
        <f>IF($J8="",#N/A,SUM(BT$4:BT8))</f>
        <v>0</v>
      </c>
      <c r="BV8" s="306">
        <f>IF($J8="",#N/A,SUM(BT$4:BT8,BR$4:BR8,BP$4:BP8))</f>
        <v>0.96873982416150761</v>
      </c>
      <c r="BW8" s="304" t="str">
        <f t="shared" si="33"/>
        <v/>
      </c>
      <c r="BX8" s="304">
        <f>IF($J8="",#N/A,SUM(BW$4:BW8))</f>
        <v>0</v>
      </c>
      <c r="BY8" s="305" t="str">
        <f t="shared" si="34"/>
        <v/>
      </c>
      <c r="BZ8" s="305">
        <f>IF($J8="",#N/A,SUM(BY$4:BY8))</f>
        <v>0</v>
      </c>
      <c r="CA8" s="306" t="str">
        <f t="shared" si="35"/>
        <v/>
      </c>
      <c r="CB8" s="306">
        <f>IF($J8="",#N/A,SUM(CA$4:CA8))</f>
        <v>0</v>
      </c>
      <c r="CC8" s="306">
        <f>IF($J8="",#N/A,SUM(CA$4:CA8,BY$4:BY8,BW$4:BW8))</f>
        <v>0</v>
      </c>
      <c r="CD8" s="304" t="str">
        <f t="shared" si="36"/>
        <v/>
      </c>
      <c r="CE8" s="304">
        <f>IF($J8="",#N/A,SUM(CD$4:CD8))</f>
        <v>0</v>
      </c>
      <c r="CF8" s="305" t="str">
        <f t="shared" si="37"/>
        <v/>
      </c>
      <c r="CG8" s="305">
        <f>IF($J8="",#N/A,SUM(CF$4:CF8))</f>
        <v>0</v>
      </c>
      <c r="CH8" s="306" t="str">
        <f t="shared" si="38"/>
        <v/>
      </c>
      <c r="CI8" s="306">
        <f>IF($J8="",#N/A,SUM(CH$4:CH8))</f>
        <v>0</v>
      </c>
      <c r="CJ8" s="306">
        <f>IF($J8="",#N/A,SUM(CH$4:CH8,CF$4:CF8,CD$4:CD8))</f>
        <v>0</v>
      </c>
      <c r="CK8" s="304" t="str">
        <f t="shared" si="39"/>
        <v/>
      </c>
      <c r="CL8" s="304">
        <f>IF($J8="",#N/A,SUM(CK$4:CK8))</f>
        <v>0</v>
      </c>
      <c r="CM8" s="305" t="str">
        <f t="shared" si="40"/>
        <v/>
      </c>
      <c r="CN8" s="305">
        <f>IF($J8="",#N/A,SUM(CM$4:CM8))</f>
        <v>0</v>
      </c>
      <c r="CO8" s="306" t="str">
        <f t="shared" si="41"/>
        <v/>
      </c>
      <c r="CP8" s="306">
        <f>IF($J8="",#N/A,SUM(CO$4:CO8))</f>
        <v>0</v>
      </c>
      <c r="CQ8" s="306">
        <f>IF($J8="",#N/A,SUM(CO$4:CO8,CM$4:CM8,CK$4:CK8))</f>
        <v>0</v>
      </c>
      <c r="CR8" s="304" t="str">
        <f t="shared" si="42"/>
        <v/>
      </c>
      <c r="CS8" s="304">
        <f>IF($J8="",#N/A,SUM(CR$4:CR8))</f>
        <v>0</v>
      </c>
      <c r="CT8" s="305" t="str">
        <f t="shared" si="43"/>
        <v/>
      </c>
      <c r="CU8" s="305">
        <f>IF($J8="",#N/A,SUM(CT$4:CT8))</f>
        <v>0</v>
      </c>
      <c r="CV8" s="306" t="str">
        <f t="shared" si="44"/>
        <v/>
      </c>
      <c r="CW8" s="306">
        <f>IF($J8="",#N/A,SUM(CV$4:CV8))</f>
        <v>0</v>
      </c>
      <c r="CX8" s="306">
        <f>IF($J8="",#N/A,SUM(CV$4:CV8,CT$4:CT8,CR$4:CR8))</f>
        <v>0</v>
      </c>
      <c r="CY8" s="304" t="str">
        <f t="shared" si="45"/>
        <v/>
      </c>
      <c r="CZ8" s="304">
        <f>IF($J8="",#N/A,SUM(CY$4:CY8))</f>
        <v>0</v>
      </c>
      <c r="DA8" s="305" t="str">
        <f t="shared" si="46"/>
        <v/>
      </c>
      <c r="DB8" s="305">
        <f>IF($J8="",#N/A,SUM(DA$4:DA8))</f>
        <v>0</v>
      </c>
      <c r="DC8" s="306" t="str">
        <f t="shared" si="47"/>
        <v/>
      </c>
      <c r="DD8" s="306">
        <f>IF($J8="",#N/A,SUM(DC$4:DC8))</f>
        <v>0</v>
      </c>
      <c r="DE8" s="306">
        <f>IF($J8="",#N/A,SUM(DC$4:DC8,DA$4:DA8,CY$4:CY8))</f>
        <v>0</v>
      </c>
      <c r="DF8" s="304" t="str">
        <f t="shared" si="48"/>
        <v/>
      </c>
      <c r="DG8" s="304">
        <f>IF($J8="",#N/A,SUM(DF$4:DF8))</f>
        <v>0</v>
      </c>
      <c r="DH8" s="305" t="str">
        <f t="shared" si="49"/>
        <v/>
      </c>
      <c r="DI8" s="305">
        <f>IF($J8="",#N/A,SUM(DH$4:DH8))</f>
        <v>0</v>
      </c>
      <c r="DJ8" s="306" t="str">
        <f t="shared" si="50"/>
        <v/>
      </c>
      <c r="DK8" s="306">
        <f>IF($J8="",#N/A,SUM(DJ$4:DJ8))</f>
        <v>0</v>
      </c>
      <c r="DL8" s="306">
        <f>IF($J8="",#N/A,SUM(DJ$4:DJ8,DH$4:DH8,DF$4:DF8))</f>
        <v>0</v>
      </c>
      <c r="DM8" s="304" t="str">
        <f t="shared" si="51"/>
        <v/>
      </c>
      <c r="DN8" s="304">
        <f>IF($J8="",#N/A,SUM(DM$4:DM8))</f>
        <v>0</v>
      </c>
      <c r="DO8" s="305" t="str">
        <f t="shared" si="52"/>
        <v/>
      </c>
      <c r="DP8" s="305">
        <f>IF($J8="",#N/A,SUM(DO$4:DO8))</f>
        <v>0</v>
      </c>
      <c r="DQ8" s="306" t="str">
        <f t="shared" si="53"/>
        <v/>
      </c>
      <c r="DR8" s="306">
        <f>IF($J8="",#N/A,SUM(DQ$4:DQ8))</f>
        <v>0</v>
      </c>
      <c r="DS8" s="306">
        <f>IF($J8="",#N/A,SUM(DQ$4:DQ8,DO$4:DO8,DM$4:DM8))</f>
        <v>0</v>
      </c>
      <c r="DT8" s="304" t="str">
        <f t="shared" si="54"/>
        <v/>
      </c>
      <c r="DU8" s="304">
        <f>IF($J8="",#N/A,SUM(DT$4:DT8))</f>
        <v>0</v>
      </c>
      <c r="DV8" s="305" t="str">
        <f t="shared" si="55"/>
        <v/>
      </c>
      <c r="DW8" s="305">
        <f>IF($J8="",#N/A,SUM(DV$4:DV8))</f>
        <v>0</v>
      </c>
      <c r="DX8" s="306" t="str">
        <f t="shared" si="56"/>
        <v/>
      </c>
      <c r="DY8" s="306">
        <f>IF($J8="",#N/A,SUM(DX$4:DX8))</f>
        <v>0</v>
      </c>
      <c r="DZ8" s="306">
        <f>IF($J8="",#N/A,SUM(DX$4:DX8,DV$4:DV8,DT$4:DT8))</f>
        <v>0</v>
      </c>
      <c r="EA8" s="304" t="str">
        <f t="shared" si="57"/>
        <v/>
      </c>
      <c r="EB8" s="304">
        <f>IF($J8="",#N/A,SUM(EA$4:EA8))</f>
        <v>0</v>
      </c>
      <c r="EC8" s="305" t="str">
        <f t="shared" si="58"/>
        <v/>
      </c>
      <c r="ED8" s="305">
        <f>IF($J8="",#N/A,SUM(EC$4:EC8))</f>
        <v>0</v>
      </c>
      <c r="EE8" s="306" t="str">
        <f t="shared" si="59"/>
        <v/>
      </c>
      <c r="EF8" s="306">
        <f>IF($J8="",#N/A,SUM(EE$4:EE8))</f>
        <v>0</v>
      </c>
      <c r="EG8" s="306">
        <f>IF($J8="",#N/A,SUM(EE$4:EE8,EC$4:EC8,EA$4:EA8))</f>
        <v>0</v>
      </c>
      <c r="EH8" s="223">
        <f t="shared" si="60"/>
        <v>23.430257058575648</v>
      </c>
      <c r="EI8" s="224">
        <f>IF(EH8="",#N/A,SUM($EH$4:EH8))</f>
        <v>140.78232269345438</v>
      </c>
      <c r="EJ8" s="223">
        <f t="shared" si="61"/>
        <v>26.745329400196681</v>
      </c>
      <c r="EK8" s="63">
        <f>IF($GZ8="",#N/A,SUM(EJ$4:EJ8))</f>
        <v>249.19367633379659</v>
      </c>
      <c r="EL8" s="60">
        <f t="shared" si="97"/>
        <v>0.97626071077398535</v>
      </c>
      <c r="EM8" s="60">
        <f>IF(EL8="",NA(),SUM($EL$4:EL8))</f>
        <v>5.8659301122272653</v>
      </c>
      <c r="EN8" s="60">
        <f t="shared" si="62"/>
        <v>0.97626071077398535</v>
      </c>
      <c r="EO8" s="60">
        <f>IF(EN8="",NA(),SUM($EN$4:EN8))</f>
        <v>2.1423308510680883</v>
      </c>
      <c r="EP8" s="60" t="str">
        <f t="shared" si="63"/>
        <v/>
      </c>
      <c r="EQ8" s="60" t="e">
        <f>IF(EP8="",NA(),SUM($EP$4:EP8))</f>
        <v>#N/A</v>
      </c>
      <c r="ER8" s="60" t="str">
        <f t="shared" si="64"/>
        <v/>
      </c>
      <c r="ES8" s="60" t="e">
        <f>IF(ER8="",NA(),SUM($ER$4:ER8))</f>
        <v>#N/A</v>
      </c>
      <c r="ET8" s="60" t="str">
        <f t="shared" si="65"/>
        <v/>
      </c>
      <c r="EU8" s="60" t="e">
        <f>IF(ET8="",NA(),SUM($ET$4:ET8))</f>
        <v>#N/A</v>
      </c>
      <c r="EV8" s="60" t="str">
        <f t="shared" si="66"/>
        <v/>
      </c>
      <c r="EW8" s="60" t="e">
        <f>IF(EV8="",NA(),SUM($EV$4:EV8))</f>
        <v>#N/A</v>
      </c>
      <c r="EX8" s="60" t="str">
        <f t="shared" si="67"/>
        <v/>
      </c>
      <c r="EY8" s="60" t="e">
        <f>IF(EX8="",NA(),SUM($EX$4:EX8))</f>
        <v>#N/A</v>
      </c>
      <c r="EZ8" s="60" t="str">
        <f t="shared" si="68"/>
        <v/>
      </c>
      <c r="FA8" s="60" t="e">
        <f>IF(EZ8="",NA(),SUM($EZ$4:EZ8))</f>
        <v>#N/A</v>
      </c>
      <c r="FB8" s="246" t="str">
        <f t="shared" si="98"/>
        <v/>
      </c>
      <c r="FC8" s="269" t="e">
        <f>IF($FB8="",#N/A,SUM(FB$4:$FB8))</f>
        <v>#N/A</v>
      </c>
      <c r="FD8" s="60" t="str">
        <f t="shared" si="69"/>
        <v/>
      </c>
      <c r="FE8" s="60" t="e">
        <f>IF($FD8="",#N/A,SUM($FD$4:FD8))</f>
        <v>#N/A</v>
      </c>
      <c r="FF8" s="60">
        <f t="shared" si="70"/>
        <v>0.13812801423420962</v>
      </c>
      <c r="FG8" s="60">
        <f>IF($FF8="",#N/A,SUM($FF$4:FF8))</f>
        <v>0.80131422258325102</v>
      </c>
      <c r="FH8" s="60" t="str">
        <f t="shared" si="71"/>
        <v/>
      </c>
      <c r="FI8" s="60" t="e">
        <f>IF($FH8="",#N/A,SUM($FH$4:FH8))</f>
        <v>#N/A</v>
      </c>
      <c r="FJ8" s="60" t="str">
        <f t="shared" si="72"/>
        <v/>
      </c>
      <c r="FK8" s="60" t="e">
        <f>IF($FJ8="",#N/A,SUM($FJ$4:FJ8))</f>
        <v>#N/A</v>
      </c>
      <c r="FL8" s="60" t="str">
        <f t="shared" si="73"/>
        <v/>
      </c>
      <c r="FM8" s="60" t="e">
        <f>IF($FL8="",#N/A,SUM($FL$4:FL8))</f>
        <v>#N/A</v>
      </c>
      <c r="FN8" s="82">
        <f t="shared" si="74"/>
        <v>1.114388725008195</v>
      </c>
      <c r="FO8" s="82">
        <f>IF($FN8="",#N/A,SUM(FN$4:$FN8))</f>
        <v>10.383069847241524</v>
      </c>
      <c r="FP8" s="82">
        <f t="shared" si="99"/>
        <v>0.97626071077398535</v>
      </c>
      <c r="FQ8" s="246">
        <f>IF($EH8="",#N/A,SUM($FP$4:FP8))</f>
        <v>5.8659301122272653</v>
      </c>
      <c r="FR8" s="273"/>
      <c r="FS8" s="273"/>
      <c r="FT8" s="273"/>
      <c r="FU8" s="82" t="e">
        <v>#N/A</v>
      </c>
      <c r="FV8" s="57" t="str">
        <f t="shared" si="75"/>
        <v>Up</v>
      </c>
      <c r="FW8" s="57" t="s">
        <v>2733</v>
      </c>
      <c r="FX8" s="57">
        <f t="shared" si="76"/>
        <v>1</v>
      </c>
      <c r="FY8" s="57" t="str">
        <f t="shared" si="77"/>
        <v/>
      </c>
      <c r="FZ8" s="57" t="str">
        <f t="shared" si="78"/>
        <v/>
      </c>
      <c r="GA8" s="57" t="str">
        <f t="shared" si="79"/>
        <v>Long</v>
      </c>
      <c r="GB8" s="57" t="str">
        <f t="shared" si="80"/>
        <v/>
      </c>
      <c r="GC8" s="57" t="str">
        <f t="shared" si="81"/>
        <v/>
      </c>
      <c r="GD8" s="57" t="str">
        <f t="shared" si="82"/>
        <v/>
      </c>
      <c r="GE8" s="62">
        <f t="shared" si="83"/>
        <v>71.19</v>
      </c>
      <c r="GF8" s="62" t="s">
        <v>2779</v>
      </c>
      <c r="GG8" s="199">
        <f t="shared" si="84"/>
        <v>5.6187666807135832</v>
      </c>
      <c r="GH8" s="207">
        <f t="shared" si="85"/>
        <v>400</v>
      </c>
      <c r="GI8" s="199">
        <f t="shared" si="86"/>
        <v>5.6187666807135832</v>
      </c>
      <c r="GJ8" s="200">
        <f t="shared" si="87"/>
        <v>75.36</v>
      </c>
      <c r="GK8" s="63">
        <f t="shared" si="88"/>
        <v>23.430257058575648</v>
      </c>
      <c r="GL8" s="63">
        <f t="shared" si="89"/>
        <v>26.745329400196681</v>
      </c>
      <c r="GM8" s="82" t="str">
        <f t="shared" si="90"/>
        <v/>
      </c>
      <c r="GN8" s="82">
        <f>IF($GZ8="",#N/A,SUM(GM$4:GM8))</f>
        <v>4.5914678235719437</v>
      </c>
      <c r="GO8" s="82">
        <f t="shared" si="91"/>
        <v>1.114388725008195</v>
      </c>
      <c r="GP8" s="82">
        <f>IF($GZ8="",#N/A,SUM(GO$4:GO8))</f>
        <v>2.9436450736513393</v>
      </c>
      <c r="GQ8" s="82" t="str">
        <f t="shared" si="92"/>
        <v/>
      </c>
      <c r="GR8" s="82">
        <f>IF($GZ8="",#N/A,SUM(GQ$4:GQ8))</f>
        <v>2.8479569500182413</v>
      </c>
      <c r="GS8" s="63" t="str">
        <f t="shared" si="100"/>
        <v/>
      </c>
      <c r="GT8" s="63">
        <f>IF($GZ8="",#N/A,SUM(GS$4:GS8))</f>
        <v>110.19522776572666</v>
      </c>
      <c r="GU8" s="63">
        <f t="shared" si="101"/>
        <v>26.745329400196681</v>
      </c>
      <c r="GV8" s="63">
        <f>IF($GZ8="",#N/A,SUM(GU$4:GU8))</f>
        <v>70.647481767632144</v>
      </c>
      <c r="GW8" s="62" t="str">
        <f t="shared" si="102"/>
        <v/>
      </c>
      <c r="GX8" s="63">
        <f>IF($GZ8="",#N/A,SUM(GW$4:GW8))</f>
        <v>68.350966800437789</v>
      </c>
      <c r="GY8" s="63">
        <f>IF(EJ8="",#N/A,SUM($EJ$4:EJ8))</f>
        <v>249.19367633379659</v>
      </c>
      <c r="GZ8" s="159">
        <v>75.95</v>
      </c>
      <c r="HA8" s="63">
        <f t="shared" si="93"/>
        <v>3.3150723416210326</v>
      </c>
      <c r="HB8" s="62" t="s">
        <v>4970</v>
      </c>
      <c r="HC8" s="60">
        <f>IFERROR(VLOOKUP(E8,Expectancy!$P$4:$S$19,1+C8,FALSE),"")</f>
        <v>-7.9483352726509887E-2</v>
      </c>
      <c r="HD8" s="60" t="str">
        <f t="shared" si="94"/>
        <v/>
      </c>
      <c r="HE8" s="60" t="e">
        <f>IF(HD8="",#N/A,SUM($HD$4:HD8))</f>
        <v>#N/A</v>
      </c>
      <c r="HF8" s="64" t="e">
        <f>IF(HD8="",#N/A,IF(HB8="Skip",#N/A,SUM($HG$4:HG8)))</f>
        <v>#N/A</v>
      </c>
      <c r="HG8" s="63" t="str">
        <f t="shared" si="95"/>
        <v/>
      </c>
      <c r="HH8" s="82">
        <f t="shared" si="96"/>
        <v>1.114388725008195</v>
      </c>
    </row>
    <row r="9" spans="1:235" x14ac:dyDescent="0.25">
      <c r="A9" s="57" t="s">
        <v>1312</v>
      </c>
      <c r="B9" s="58" t="s">
        <v>5082</v>
      </c>
      <c r="C9" s="386">
        <f t="shared" si="0"/>
        <v>1</v>
      </c>
      <c r="D9" s="372" t="str">
        <f>_xlfn.XLOOKUP(A9,[1]SP500!$A$2:$A$502,[1]SP500!$D$2:$D$502,"N")</f>
        <v>Y</v>
      </c>
      <c r="E9" s="57" t="str">
        <f>_xlfn.XLOOKUP(A9,[1]SP500!$A$2:$A$655,[1]SP500!$B$2:$B$655)</f>
        <v>XLF</v>
      </c>
      <c r="F9" s="59">
        <v>45672</v>
      </c>
      <c r="G9" s="57" t="str">
        <f t="shared" si="1"/>
        <v>BMO</v>
      </c>
      <c r="H9" s="57" t="str">
        <f t="shared" si="2"/>
        <v>o</v>
      </c>
      <c r="I9" s="158">
        <v>571.53</v>
      </c>
      <c r="J9" s="158">
        <v>598</v>
      </c>
      <c r="K9" s="61">
        <f t="shared" si="3"/>
        <v>4.6314279215439312E-2</v>
      </c>
      <c r="L9" s="87">
        <f t="shared" si="4"/>
        <v>18.525711686175669</v>
      </c>
      <c r="M9" s="63" t="str">
        <f t="shared" si="5"/>
        <v/>
      </c>
      <c r="N9" s="219">
        <f t="shared" si="6"/>
        <v>18.525711686175669</v>
      </c>
      <c r="O9" s="219">
        <f>IF($J9="",#N/A,SUM($N$4:N9))</f>
        <v>69.941652111809788</v>
      </c>
      <c r="P9" s="220" t="str">
        <f t="shared" si="7"/>
        <v/>
      </c>
      <c r="Q9" s="220">
        <f>IF($J9="",#N/A,SUM($P$4:P9))</f>
        <v>29.496534111638084</v>
      </c>
      <c r="R9" s="221" t="str">
        <f t="shared" si="8"/>
        <v/>
      </c>
      <c r="S9" s="222">
        <f>IF($J9="",#N/A,SUM($R$4:R9))</f>
        <v>59.869848156182172</v>
      </c>
      <c r="T9" s="281">
        <f t="shared" si="9"/>
        <v>0.77190465359065286</v>
      </c>
      <c r="U9" s="281">
        <f>IF($J9="",#N/A,SUM($T$4:T9))</f>
        <v>2.9142355046587411</v>
      </c>
      <c r="V9" s="282" t="str">
        <f t="shared" si="10"/>
        <v/>
      </c>
      <c r="W9" s="282">
        <f>IF($J9="",#N/A,SUM($V$4:V9))</f>
        <v>1.2290222546515868</v>
      </c>
      <c r="X9" s="283" t="str">
        <f t="shared" si="11"/>
        <v/>
      </c>
      <c r="Y9" s="283">
        <f>IF($J9="",#N/A,SUM($X$4:X9))</f>
        <v>2.4945770065075905</v>
      </c>
      <c r="Z9" s="304" t="str">
        <f t="shared" si="12"/>
        <v/>
      </c>
      <c r="AA9" s="304">
        <f>IF($J9="",#N/A,SUM(Z$4:Z9))</f>
        <v>0</v>
      </c>
      <c r="AB9" s="305" t="str">
        <f t="shared" si="13"/>
        <v/>
      </c>
      <c r="AC9" s="305">
        <f>IF($J9="",#N/A,SUM(AB$4:AB9))</f>
        <v>0</v>
      </c>
      <c r="AD9" s="306" t="str">
        <f t="shared" si="14"/>
        <v/>
      </c>
      <c r="AE9" s="306">
        <f>IF($J9="",#N/A,SUM(AD$4:AD9))</f>
        <v>0</v>
      </c>
      <c r="AF9" s="306">
        <f>IF($J9="",#N/A,SUM(AD$4:AD9,AB$4:AB9,Z$4:Z9))</f>
        <v>0</v>
      </c>
      <c r="AG9" s="304" t="str">
        <f t="shared" si="15"/>
        <v/>
      </c>
      <c r="AH9" s="304">
        <f>IF($J9="",#N/A,SUM(AG$4:AG9))</f>
        <v>0</v>
      </c>
      <c r="AI9" s="305" t="str">
        <f t="shared" si="16"/>
        <v/>
      </c>
      <c r="AJ9" s="305">
        <f>IF($J9="",#N/A,SUM(AI$4:AI9))</f>
        <v>0</v>
      </c>
      <c r="AK9" s="306" t="str">
        <f t="shared" si="17"/>
        <v/>
      </c>
      <c r="AL9" s="306">
        <f>IF($J9="",#N/A,SUM(AK$4:AK9))</f>
        <v>0</v>
      </c>
      <c r="AM9" s="306">
        <f>IF($J9="",#N/A,SUM(AK$4:AK9,AI$4:AI9,AG$4:AG9))</f>
        <v>0</v>
      </c>
      <c r="AN9" s="304" t="str">
        <f t="shared" si="18"/>
        <v/>
      </c>
      <c r="AO9" s="304">
        <f>IF($J9="",#N/A,SUM(AN$4:AN9))</f>
        <v>0</v>
      </c>
      <c r="AP9" s="305" t="str">
        <f t="shared" si="19"/>
        <v/>
      </c>
      <c r="AQ9" s="305">
        <f>IF($J9="",#N/A,SUM(AP$4:AP9))</f>
        <v>0</v>
      </c>
      <c r="AR9" s="306" t="str">
        <f t="shared" si="20"/>
        <v/>
      </c>
      <c r="AS9" s="306">
        <f>IF($J9="",#N/A,SUM(AR$4:AR9))</f>
        <v>0</v>
      </c>
      <c r="AT9" s="306">
        <f>IF($J9="",#N/A,SUM(AR$4:AR9,AP$4:AP9,AN$4:AN9))</f>
        <v>0</v>
      </c>
      <c r="AU9" s="304" t="str">
        <f t="shared" si="21"/>
        <v/>
      </c>
      <c r="AV9" s="304">
        <f>IF($J9="",#N/A,SUM(AU$4:AU9))</f>
        <v>0</v>
      </c>
      <c r="AW9" s="305" t="str">
        <f t="shared" si="22"/>
        <v/>
      </c>
      <c r="AX9" s="305">
        <f>IF($J9="",#N/A,SUM(AW$4:AW9))</f>
        <v>1.2290222546515868</v>
      </c>
      <c r="AY9" s="306" t="str">
        <f t="shared" si="23"/>
        <v/>
      </c>
      <c r="AZ9" s="306">
        <f>IF($J9="",#N/A,SUM(AY$4:AY9))</f>
        <v>2.4945770065075905</v>
      </c>
      <c r="BA9" s="306">
        <f>IF($J9="",#N/A,SUM(AY$4:AY9,AW$4:AW9,AU$4:AU9))</f>
        <v>3.7235992611591771</v>
      </c>
      <c r="BB9" s="304" t="str">
        <f t="shared" si="24"/>
        <v/>
      </c>
      <c r="BC9" s="304">
        <f>IF($J9="",#N/A,SUM(BB$4:BB9))</f>
        <v>0</v>
      </c>
      <c r="BD9" s="305" t="str">
        <f t="shared" si="25"/>
        <v/>
      </c>
      <c r="BE9" s="305">
        <f>IF($J9="",#N/A,SUM(BD$4:BD9))</f>
        <v>0</v>
      </c>
      <c r="BF9" s="306" t="str">
        <f t="shared" si="26"/>
        <v/>
      </c>
      <c r="BG9" s="306">
        <f>IF($J9="",#N/A,SUM(BF$4:BF9))</f>
        <v>0</v>
      </c>
      <c r="BH9" s="306">
        <f>IF($J9="",#N/A,SUM(BF$4:BF9,BD$4:BD9,BB$4:BB9))</f>
        <v>0</v>
      </c>
      <c r="BI9" s="304">
        <f t="shared" si="27"/>
        <v>0.77190465359065286</v>
      </c>
      <c r="BJ9" s="304">
        <f>IF($J9="",#N/A,SUM(BI$4:BI9))</f>
        <v>1.9454956804972336</v>
      </c>
      <c r="BK9" s="305" t="str">
        <f t="shared" si="28"/>
        <v/>
      </c>
      <c r="BL9" s="305">
        <f>IF($J9="",#N/A,SUM(BK$4:BK9))</f>
        <v>0</v>
      </c>
      <c r="BM9" s="306" t="str">
        <f t="shared" si="29"/>
        <v/>
      </c>
      <c r="BN9" s="306">
        <f>IF($J9="",#N/A,SUM(BM$4:BM9))</f>
        <v>0</v>
      </c>
      <c r="BO9" s="306">
        <f>IF($J9="",#N/A,SUM(BM$4:BM9,BK$4:BK9,BI$4:BI9))</f>
        <v>1.9454956804972336</v>
      </c>
      <c r="BP9" s="304" t="str">
        <f t="shared" si="30"/>
        <v/>
      </c>
      <c r="BQ9" s="304">
        <f>IF($J9="",#N/A,SUM(BP$4:BP9))</f>
        <v>0.96873982416150761</v>
      </c>
      <c r="BR9" s="305" t="str">
        <f t="shared" si="31"/>
        <v/>
      </c>
      <c r="BS9" s="305">
        <f>IF($J9="",#N/A,SUM(BR$4:BR9))</f>
        <v>0</v>
      </c>
      <c r="BT9" s="306" t="str">
        <f t="shared" si="32"/>
        <v/>
      </c>
      <c r="BU9" s="306">
        <f>IF($J9="",#N/A,SUM(BT$4:BT9))</f>
        <v>0</v>
      </c>
      <c r="BV9" s="306">
        <f>IF($J9="",#N/A,SUM(BT$4:BT9,BR$4:BR9,BP$4:BP9))</f>
        <v>0.96873982416150761</v>
      </c>
      <c r="BW9" s="304" t="str">
        <f t="shared" si="33"/>
        <v/>
      </c>
      <c r="BX9" s="304">
        <f>IF($J9="",#N/A,SUM(BW$4:BW9))</f>
        <v>0</v>
      </c>
      <c r="BY9" s="305" t="str">
        <f t="shared" si="34"/>
        <v/>
      </c>
      <c r="BZ9" s="305">
        <f>IF($J9="",#N/A,SUM(BY$4:BY9))</f>
        <v>0</v>
      </c>
      <c r="CA9" s="306" t="str">
        <f t="shared" si="35"/>
        <v/>
      </c>
      <c r="CB9" s="306">
        <f>IF($J9="",#N/A,SUM(CA$4:CA9))</f>
        <v>0</v>
      </c>
      <c r="CC9" s="306">
        <f>IF($J9="",#N/A,SUM(CA$4:CA9,BY$4:BY9,BW$4:BW9))</f>
        <v>0</v>
      </c>
      <c r="CD9" s="304" t="str">
        <f t="shared" si="36"/>
        <v/>
      </c>
      <c r="CE9" s="304">
        <f>IF($J9="",#N/A,SUM(CD$4:CD9))</f>
        <v>0</v>
      </c>
      <c r="CF9" s="305" t="str">
        <f t="shared" si="37"/>
        <v/>
      </c>
      <c r="CG9" s="305">
        <f>IF($J9="",#N/A,SUM(CF$4:CF9))</f>
        <v>0</v>
      </c>
      <c r="CH9" s="306" t="str">
        <f t="shared" si="38"/>
        <v/>
      </c>
      <c r="CI9" s="306">
        <f>IF($J9="",#N/A,SUM(CH$4:CH9))</f>
        <v>0</v>
      </c>
      <c r="CJ9" s="306">
        <f>IF($J9="",#N/A,SUM(CH$4:CH9,CF$4:CF9,CD$4:CD9))</f>
        <v>0</v>
      </c>
      <c r="CK9" s="304" t="str">
        <f t="shared" si="39"/>
        <v/>
      </c>
      <c r="CL9" s="304">
        <f>IF($J9="",#N/A,SUM(CK$4:CK9))</f>
        <v>0</v>
      </c>
      <c r="CM9" s="305" t="str">
        <f t="shared" si="40"/>
        <v/>
      </c>
      <c r="CN9" s="305">
        <f>IF($J9="",#N/A,SUM(CM$4:CM9))</f>
        <v>0</v>
      </c>
      <c r="CO9" s="306" t="str">
        <f t="shared" si="41"/>
        <v/>
      </c>
      <c r="CP9" s="306">
        <f>IF($J9="",#N/A,SUM(CO$4:CO9))</f>
        <v>0</v>
      </c>
      <c r="CQ9" s="306">
        <f>IF($J9="",#N/A,SUM(CO$4:CO9,CM$4:CM9,CK$4:CK9))</f>
        <v>0</v>
      </c>
      <c r="CR9" s="304" t="str">
        <f t="shared" si="42"/>
        <v/>
      </c>
      <c r="CS9" s="304">
        <f>IF($J9="",#N/A,SUM(CR$4:CR9))</f>
        <v>0</v>
      </c>
      <c r="CT9" s="305" t="str">
        <f t="shared" si="43"/>
        <v/>
      </c>
      <c r="CU9" s="305">
        <f>IF($J9="",#N/A,SUM(CT$4:CT9))</f>
        <v>0</v>
      </c>
      <c r="CV9" s="306" t="str">
        <f t="shared" si="44"/>
        <v/>
      </c>
      <c r="CW9" s="306">
        <f>IF($J9="",#N/A,SUM(CV$4:CV9))</f>
        <v>0</v>
      </c>
      <c r="CX9" s="306">
        <f>IF($J9="",#N/A,SUM(CV$4:CV9,CT$4:CT9,CR$4:CR9))</f>
        <v>0</v>
      </c>
      <c r="CY9" s="304" t="str">
        <f t="shared" si="45"/>
        <v/>
      </c>
      <c r="CZ9" s="304">
        <f>IF($J9="",#N/A,SUM(CY$4:CY9))</f>
        <v>0</v>
      </c>
      <c r="DA9" s="305" t="str">
        <f t="shared" si="46"/>
        <v/>
      </c>
      <c r="DB9" s="305">
        <f>IF($J9="",#N/A,SUM(DA$4:DA9))</f>
        <v>0</v>
      </c>
      <c r="DC9" s="306" t="str">
        <f t="shared" si="47"/>
        <v/>
      </c>
      <c r="DD9" s="306">
        <f>IF($J9="",#N/A,SUM(DC$4:DC9))</f>
        <v>0</v>
      </c>
      <c r="DE9" s="306">
        <f>IF($J9="",#N/A,SUM(DC$4:DC9,DA$4:DA9,CY$4:CY9))</f>
        <v>0</v>
      </c>
      <c r="DF9" s="304" t="str">
        <f t="shared" si="48"/>
        <v/>
      </c>
      <c r="DG9" s="304">
        <f>IF($J9="",#N/A,SUM(DF$4:DF9))</f>
        <v>0</v>
      </c>
      <c r="DH9" s="305" t="str">
        <f t="shared" si="49"/>
        <v/>
      </c>
      <c r="DI9" s="305">
        <f>IF($J9="",#N/A,SUM(DH$4:DH9))</f>
        <v>0</v>
      </c>
      <c r="DJ9" s="306" t="str">
        <f t="shared" si="50"/>
        <v/>
      </c>
      <c r="DK9" s="306">
        <f>IF($J9="",#N/A,SUM(DJ$4:DJ9))</f>
        <v>0</v>
      </c>
      <c r="DL9" s="306">
        <f>IF($J9="",#N/A,SUM(DJ$4:DJ9,DH$4:DH9,DF$4:DF9))</f>
        <v>0</v>
      </c>
      <c r="DM9" s="304" t="str">
        <f t="shared" si="51"/>
        <v/>
      </c>
      <c r="DN9" s="304">
        <f>IF($J9="",#N/A,SUM(DM$4:DM9))</f>
        <v>0</v>
      </c>
      <c r="DO9" s="305" t="str">
        <f t="shared" si="52"/>
        <v/>
      </c>
      <c r="DP9" s="305">
        <f>IF($J9="",#N/A,SUM(DO$4:DO9))</f>
        <v>0</v>
      </c>
      <c r="DQ9" s="306" t="str">
        <f t="shared" si="53"/>
        <v/>
      </c>
      <c r="DR9" s="306">
        <f>IF($J9="",#N/A,SUM(DQ$4:DQ9))</f>
        <v>0</v>
      </c>
      <c r="DS9" s="306">
        <f>IF($J9="",#N/A,SUM(DQ$4:DQ9,DO$4:DO9,DM$4:DM9))</f>
        <v>0</v>
      </c>
      <c r="DT9" s="304" t="str">
        <f t="shared" si="54"/>
        <v/>
      </c>
      <c r="DU9" s="304">
        <f>IF($J9="",#N/A,SUM(DT$4:DT9))</f>
        <v>0</v>
      </c>
      <c r="DV9" s="305" t="str">
        <f t="shared" si="55"/>
        <v/>
      </c>
      <c r="DW9" s="305">
        <f>IF($J9="",#N/A,SUM(DV$4:DV9))</f>
        <v>0</v>
      </c>
      <c r="DX9" s="306" t="str">
        <f t="shared" si="56"/>
        <v/>
      </c>
      <c r="DY9" s="306">
        <f>IF($J9="",#N/A,SUM(DX$4:DX9))</f>
        <v>0</v>
      </c>
      <c r="DZ9" s="306">
        <f>IF($J9="",#N/A,SUM(DX$4:DX9,DV$4:DV9,DT$4:DT9))</f>
        <v>0</v>
      </c>
      <c r="EA9" s="304" t="str">
        <f t="shared" si="57"/>
        <v/>
      </c>
      <c r="EB9" s="304">
        <f>IF($J9="",#N/A,SUM(EA$4:EA9))</f>
        <v>0</v>
      </c>
      <c r="EC9" s="305" t="str">
        <f t="shared" si="58"/>
        <v/>
      </c>
      <c r="ED9" s="305">
        <f>IF($J9="",#N/A,SUM(EC$4:EC9))</f>
        <v>0</v>
      </c>
      <c r="EE9" s="306" t="str">
        <f t="shared" si="59"/>
        <v/>
      </c>
      <c r="EF9" s="306">
        <f>IF($J9="",#N/A,SUM(EE$4:EE9))</f>
        <v>0</v>
      </c>
      <c r="EG9" s="306">
        <f>IF($J9="",#N/A,SUM(EE$4:EE9,EC$4:EC9,EA$4:EA9))</f>
        <v>0</v>
      </c>
      <c r="EH9" s="223">
        <f t="shared" si="60"/>
        <v>18.525711686175669</v>
      </c>
      <c r="EI9" s="224">
        <f>IF(EH9="",#N/A,SUM($EH$4:EH9))</f>
        <v>159.30803437963004</v>
      </c>
      <c r="EJ9" s="223">
        <f t="shared" si="61"/>
        <v>24.068727800815338</v>
      </c>
      <c r="EK9" s="63">
        <f>IF($GZ9="",#N/A,SUM(EJ$4:EJ9))</f>
        <v>273.26240413461193</v>
      </c>
      <c r="EL9" s="60">
        <f t="shared" si="97"/>
        <v>0.77190465359065286</v>
      </c>
      <c r="EM9" s="60">
        <f>IF(EL9="",NA(),SUM($EL$4:EL9))</f>
        <v>6.6378347658179182</v>
      </c>
      <c r="EN9" s="60">
        <f t="shared" si="62"/>
        <v>0.77190465359065286</v>
      </c>
      <c r="EO9" s="60">
        <f>IF(EN9="",NA(),SUM($EN$4:EN9))</f>
        <v>2.9142355046587411</v>
      </c>
      <c r="EP9" s="60" t="str">
        <f t="shared" si="63"/>
        <v/>
      </c>
      <c r="EQ9" s="60" t="e">
        <f>IF(EP9="",NA(),SUM($EP$4:EP9))</f>
        <v>#N/A</v>
      </c>
      <c r="ER9" s="60" t="str">
        <f t="shared" si="64"/>
        <v/>
      </c>
      <c r="ES9" s="60" t="e">
        <f>IF(ER9="",NA(),SUM($ER$4:ER9))</f>
        <v>#N/A</v>
      </c>
      <c r="ET9" s="60" t="str">
        <f t="shared" si="65"/>
        <v/>
      </c>
      <c r="EU9" s="60" t="e">
        <f>IF(ET9="",NA(),SUM($ET$4:ET9))</f>
        <v>#N/A</v>
      </c>
      <c r="EV9" s="60" t="str">
        <f t="shared" si="66"/>
        <v/>
      </c>
      <c r="EW9" s="60" t="e">
        <f>IF(EV9="",NA(),SUM($EV$4:EV9))</f>
        <v>#N/A</v>
      </c>
      <c r="EX9" s="60" t="str">
        <f t="shared" si="67"/>
        <v/>
      </c>
      <c r="EY9" s="60" t="e">
        <f>IF(EX9="",NA(),SUM($EX$4:EX9))</f>
        <v>#N/A</v>
      </c>
      <c r="EZ9" s="60" t="str">
        <f t="shared" si="68"/>
        <v/>
      </c>
      <c r="FA9" s="60" t="e">
        <f>IF(EZ9="",NA(),SUM($EZ$4:EZ9))</f>
        <v>#N/A</v>
      </c>
      <c r="FB9" s="246" t="str">
        <f t="shared" si="98"/>
        <v/>
      </c>
      <c r="FC9" s="269" t="e">
        <f>IF($FB9="",#N/A,SUM(FB$4:$FB9))</f>
        <v>#N/A</v>
      </c>
      <c r="FD9" s="60" t="str">
        <f t="shared" si="69"/>
        <v/>
      </c>
      <c r="FE9" s="60" t="e">
        <f>IF($FD9="",#N/A,SUM($FD$4:FD9))</f>
        <v>#N/A</v>
      </c>
      <c r="FF9" s="60">
        <f t="shared" si="70"/>
        <v>0.23095900477665299</v>
      </c>
      <c r="FG9" s="60">
        <f>IF($FF9="",#N/A,SUM($FF$4:FF9))</f>
        <v>1.032273227359904</v>
      </c>
      <c r="FH9" s="60" t="str">
        <f t="shared" si="71"/>
        <v/>
      </c>
      <c r="FI9" s="60" t="e">
        <f>IF($FH9="",#N/A,SUM($FH$4:FH9))</f>
        <v>#N/A</v>
      </c>
      <c r="FJ9" s="60" t="str">
        <f t="shared" si="72"/>
        <v/>
      </c>
      <c r="FK9" s="60" t="e">
        <f>IF($FJ9="",#N/A,SUM($FJ$4:FJ9))</f>
        <v>#N/A</v>
      </c>
      <c r="FL9" s="60" t="str">
        <f t="shared" si="73"/>
        <v/>
      </c>
      <c r="FM9" s="60" t="e">
        <f>IF($FL9="",#N/A,SUM($FL$4:FL9))</f>
        <v>#N/A</v>
      </c>
      <c r="FN9" s="82">
        <f t="shared" si="74"/>
        <v>1.0028636583673058</v>
      </c>
      <c r="FO9" s="82">
        <f>IF($FN9="",#N/A,SUM(FN$4:$FN9))</f>
        <v>11.385933505608829</v>
      </c>
      <c r="FP9" s="82">
        <f t="shared" si="99"/>
        <v>0.77190465359065286</v>
      </c>
      <c r="FQ9" s="246">
        <f>IF($EH9="",#N/A,SUM($FP$4:FP9))</f>
        <v>6.6378347658179182</v>
      </c>
      <c r="FR9" s="273"/>
      <c r="FS9" s="273"/>
      <c r="FT9" s="273"/>
      <c r="FU9" s="82" t="e">
        <v>#N/A</v>
      </c>
      <c r="FV9" s="57" t="str">
        <f t="shared" si="75"/>
        <v>Up</v>
      </c>
      <c r="FW9" s="57" t="s">
        <v>2733</v>
      </c>
      <c r="FX9" s="57">
        <f t="shared" si="76"/>
        <v>1</v>
      </c>
      <c r="FY9" s="57" t="str">
        <f t="shared" si="77"/>
        <v/>
      </c>
      <c r="FZ9" s="57" t="str">
        <f t="shared" si="78"/>
        <v/>
      </c>
      <c r="GA9" s="57" t="str">
        <f t="shared" si="79"/>
        <v>Long</v>
      </c>
      <c r="GB9" s="57" t="str">
        <f t="shared" si="80"/>
        <v/>
      </c>
      <c r="GC9" s="57" t="str">
        <f t="shared" si="81"/>
        <v/>
      </c>
      <c r="GD9" s="57" t="str">
        <f t="shared" si="82"/>
        <v/>
      </c>
      <c r="GE9" s="62">
        <f t="shared" si="83"/>
        <v>571.53</v>
      </c>
      <c r="GF9" s="62" t="s">
        <v>2779</v>
      </c>
      <c r="GG9" s="199">
        <f t="shared" si="84"/>
        <v>0.69987577205046103</v>
      </c>
      <c r="GH9" s="207">
        <f t="shared" si="85"/>
        <v>400</v>
      </c>
      <c r="GI9" s="199">
        <f t="shared" si="86"/>
        <v>0.69987577205046103</v>
      </c>
      <c r="GJ9" s="200">
        <f t="shared" si="87"/>
        <v>598</v>
      </c>
      <c r="GK9" s="63">
        <f t="shared" si="88"/>
        <v>18.525711686175669</v>
      </c>
      <c r="GL9" s="63">
        <f t="shared" si="89"/>
        <v>24.068727800815338</v>
      </c>
      <c r="GM9" s="82" t="str">
        <f t="shared" si="90"/>
        <v/>
      </c>
      <c r="GN9" s="82">
        <f>IF($GZ9="",#N/A,SUM(GM$4:GM9))</f>
        <v>4.5914678235719437</v>
      </c>
      <c r="GO9" s="82">
        <f t="shared" si="91"/>
        <v>1.0028636583673058</v>
      </c>
      <c r="GP9" s="82">
        <f>IF($GZ9="",#N/A,SUM(GO$4:GO9))</f>
        <v>3.9465087320186454</v>
      </c>
      <c r="GQ9" s="82" t="str">
        <f t="shared" si="92"/>
        <v/>
      </c>
      <c r="GR9" s="82">
        <f>IF($GZ9="",#N/A,SUM(GQ$4:GQ9))</f>
        <v>2.8479569500182413</v>
      </c>
      <c r="GS9" s="63" t="str">
        <f t="shared" si="100"/>
        <v/>
      </c>
      <c r="GT9" s="63">
        <f>IF($GZ9="",#N/A,SUM(GS$4:GS9))</f>
        <v>110.19522776572666</v>
      </c>
      <c r="GU9" s="63">
        <f t="shared" si="101"/>
        <v>24.068727800815338</v>
      </c>
      <c r="GV9" s="63">
        <f>IF($GZ9="",#N/A,SUM(GU$4:GU9))</f>
        <v>94.716209568447482</v>
      </c>
      <c r="GW9" s="62" t="str">
        <f t="shared" si="102"/>
        <v/>
      </c>
      <c r="GX9" s="63">
        <f>IF($GZ9="",#N/A,SUM(GW$4:GW9))</f>
        <v>68.350966800437789</v>
      </c>
      <c r="GY9" s="63">
        <f>IF(EJ9="",#N/A,SUM($EJ$4:EJ9))</f>
        <v>273.26240413461193</v>
      </c>
      <c r="GZ9" s="159">
        <v>605.91999999999996</v>
      </c>
      <c r="HA9" s="63">
        <f t="shared" si="93"/>
        <v>5.5430161146396699</v>
      </c>
      <c r="HB9" s="62" t="s">
        <v>4970</v>
      </c>
      <c r="HC9" s="60">
        <f>IFERROR(VLOOKUP(E9,Expectancy!$P$4:$S$19,1+C9,FALSE),"")</f>
        <v>-7.9483352726509887E-2</v>
      </c>
      <c r="HD9" s="60" t="str">
        <f t="shared" si="94"/>
        <v/>
      </c>
      <c r="HE9" s="60" t="e">
        <f>IF(HD9="",#N/A,SUM($HD$4:HD9))</f>
        <v>#N/A</v>
      </c>
      <c r="HF9" s="64" t="e">
        <f>IF(HD9="",#N/A,IF(HB9="Skip",#N/A,SUM($HG$4:HG9)))</f>
        <v>#N/A</v>
      </c>
      <c r="HG9" s="63" t="str">
        <f t="shared" si="95"/>
        <v/>
      </c>
      <c r="HH9" s="82">
        <f t="shared" si="96"/>
        <v>1.0028636583673058</v>
      </c>
    </row>
    <row r="10" spans="1:235" x14ac:dyDescent="0.25">
      <c r="A10" s="57" t="s">
        <v>1320</v>
      </c>
      <c r="B10" s="58" t="s">
        <v>5083</v>
      </c>
      <c r="C10" s="386">
        <f t="shared" si="0"/>
        <v>3</v>
      </c>
      <c r="D10" s="372" t="str">
        <f>_xlfn.XLOOKUP(A10,[1]SP500!$A$2:$A$502,[1]SP500!$D$2:$D$502,"N")</f>
        <v>Y</v>
      </c>
      <c r="E10" s="57" t="str">
        <f>_xlfn.XLOOKUP(A10,[1]SP500!$A$2:$A$655,[1]SP500!$B$2:$B$655)</f>
        <v>XLF</v>
      </c>
      <c r="F10" s="59">
        <v>45672</v>
      </c>
      <c r="G10" s="57" t="str">
        <f t="shared" si="1"/>
        <v>BMO</v>
      </c>
      <c r="H10" s="57" t="str">
        <f t="shared" si="2"/>
        <v>o</v>
      </c>
      <c r="I10" s="158">
        <v>963.17</v>
      </c>
      <c r="J10" s="158">
        <v>1019.77</v>
      </c>
      <c r="K10" s="61">
        <f t="shared" si="3"/>
        <v>5.8764288754840813E-2</v>
      </c>
      <c r="L10" s="87">
        <f t="shared" si="4"/>
        <v>23.505715501936322</v>
      </c>
      <c r="M10" s="63" t="str">
        <f t="shared" si="5"/>
        <v/>
      </c>
      <c r="N10" s="219" t="str">
        <f t="shared" si="6"/>
        <v/>
      </c>
      <c r="O10" s="219">
        <f>IF($J10="",#N/A,SUM($N$4:N10))</f>
        <v>69.941652111809788</v>
      </c>
      <c r="P10" s="220" t="str">
        <f t="shared" si="7"/>
        <v/>
      </c>
      <c r="Q10" s="220">
        <f>IF($J10="",#N/A,SUM($P$4:P10))</f>
        <v>29.496534111638084</v>
      </c>
      <c r="R10" s="221">
        <f t="shared" si="8"/>
        <v>23.505715501936322</v>
      </c>
      <c r="S10" s="222">
        <f>IF($J10="",#N/A,SUM($R$4:R10))</f>
        <v>83.375563658118494</v>
      </c>
      <c r="T10" s="281" t="str">
        <f t="shared" si="9"/>
        <v/>
      </c>
      <c r="U10" s="281">
        <f>IF($J10="",#N/A,SUM($T$4:T10))</f>
        <v>2.9142355046587411</v>
      </c>
      <c r="V10" s="282" t="str">
        <f t="shared" si="10"/>
        <v/>
      </c>
      <c r="W10" s="282">
        <f>IF($J10="",#N/A,SUM($V$4:V10))</f>
        <v>1.2290222546515868</v>
      </c>
      <c r="X10" s="283">
        <f t="shared" si="11"/>
        <v>0.97940481258068013</v>
      </c>
      <c r="Y10" s="283">
        <f>IF($J10="",#N/A,SUM($X$4:X10))</f>
        <v>3.4739818190882708</v>
      </c>
      <c r="Z10" s="304" t="str">
        <f t="shared" si="12"/>
        <v/>
      </c>
      <c r="AA10" s="304">
        <f>IF($J10="",#N/A,SUM(Z$4:Z10))</f>
        <v>0</v>
      </c>
      <c r="AB10" s="305" t="str">
        <f t="shared" si="13"/>
        <v/>
      </c>
      <c r="AC10" s="305">
        <f>IF($J10="",#N/A,SUM(AB$4:AB10))</f>
        <v>0</v>
      </c>
      <c r="AD10" s="306" t="str">
        <f t="shared" si="14"/>
        <v/>
      </c>
      <c r="AE10" s="306">
        <f>IF($J10="",#N/A,SUM(AD$4:AD10))</f>
        <v>0</v>
      </c>
      <c r="AF10" s="306">
        <f>IF($J10="",#N/A,SUM(AD$4:AD10,AB$4:AB10,Z$4:Z10))</f>
        <v>0</v>
      </c>
      <c r="AG10" s="304" t="str">
        <f t="shared" si="15"/>
        <v/>
      </c>
      <c r="AH10" s="304">
        <f>IF($J10="",#N/A,SUM(AG$4:AG10))</f>
        <v>0</v>
      </c>
      <c r="AI10" s="305" t="str">
        <f t="shared" si="16"/>
        <v/>
      </c>
      <c r="AJ10" s="305">
        <f>IF($J10="",#N/A,SUM(AI$4:AI10))</f>
        <v>0</v>
      </c>
      <c r="AK10" s="306" t="str">
        <f t="shared" si="17"/>
        <v/>
      </c>
      <c r="AL10" s="306">
        <f>IF($J10="",#N/A,SUM(AK$4:AK10))</f>
        <v>0</v>
      </c>
      <c r="AM10" s="306">
        <f>IF($J10="",#N/A,SUM(AK$4:AK10,AI$4:AI10,AG$4:AG10))</f>
        <v>0</v>
      </c>
      <c r="AN10" s="304" t="str">
        <f t="shared" si="18"/>
        <v/>
      </c>
      <c r="AO10" s="304">
        <f>IF($J10="",#N/A,SUM(AN$4:AN10))</f>
        <v>0</v>
      </c>
      <c r="AP10" s="305" t="str">
        <f t="shared" si="19"/>
        <v/>
      </c>
      <c r="AQ10" s="305">
        <f>IF($J10="",#N/A,SUM(AP$4:AP10))</f>
        <v>0</v>
      </c>
      <c r="AR10" s="306" t="str">
        <f t="shared" si="20"/>
        <v/>
      </c>
      <c r="AS10" s="306">
        <f>IF($J10="",#N/A,SUM(AR$4:AR10))</f>
        <v>0</v>
      </c>
      <c r="AT10" s="306">
        <f>IF($J10="",#N/A,SUM(AR$4:AR10,AP$4:AP10,AN$4:AN10))</f>
        <v>0</v>
      </c>
      <c r="AU10" s="304" t="str">
        <f t="shared" si="21"/>
        <v/>
      </c>
      <c r="AV10" s="304">
        <f>IF($J10="",#N/A,SUM(AU$4:AU10))</f>
        <v>0</v>
      </c>
      <c r="AW10" s="305" t="str">
        <f t="shared" si="22"/>
        <v/>
      </c>
      <c r="AX10" s="305">
        <f>IF($J10="",#N/A,SUM(AW$4:AW10))</f>
        <v>1.2290222546515868</v>
      </c>
      <c r="AY10" s="306" t="str">
        <f t="shared" si="23"/>
        <v/>
      </c>
      <c r="AZ10" s="306">
        <f>IF($J10="",#N/A,SUM(AY$4:AY10))</f>
        <v>2.4945770065075905</v>
      </c>
      <c r="BA10" s="306">
        <f>IF($J10="",#N/A,SUM(AY$4:AY10,AW$4:AW10,AU$4:AU10))</f>
        <v>3.7235992611591771</v>
      </c>
      <c r="BB10" s="304" t="str">
        <f t="shared" si="24"/>
        <v/>
      </c>
      <c r="BC10" s="304">
        <f>IF($J10="",#N/A,SUM(BB$4:BB10))</f>
        <v>0</v>
      </c>
      <c r="BD10" s="305" t="str">
        <f t="shared" si="25"/>
        <v/>
      </c>
      <c r="BE10" s="305">
        <f>IF($J10="",#N/A,SUM(BD$4:BD10))</f>
        <v>0</v>
      </c>
      <c r="BF10" s="306" t="str">
        <f t="shared" si="26"/>
        <v/>
      </c>
      <c r="BG10" s="306">
        <f>IF($J10="",#N/A,SUM(BF$4:BF10))</f>
        <v>0</v>
      </c>
      <c r="BH10" s="306">
        <f>IF($J10="",#N/A,SUM(BF$4:BF10,BD$4:BD10,BB$4:BB10))</f>
        <v>0</v>
      </c>
      <c r="BI10" s="304" t="str">
        <f t="shared" si="27"/>
        <v/>
      </c>
      <c r="BJ10" s="304">
        <f>IF($J10="",#N/A,SUM(BI$4:BI10))</f>
        <v>1.9454956804972336</v>
      </c>
      <c r="BK10" s="305" t="str">
        <f t="shared" si="28"/>
        <v/>
      </c>
      <c r="BL10" s="305">
        <f>IF($J10="",#N/A,SUM(BK$4:BK10))</f>
        <v>0</v>
      </c>
      <c r="BM10" s="306">
        <f t="shared" si="29"/>
        <v>0.97940481258068013</v>
      </c>
      <c r="BN10" s="306">
        <f>IF($J10="",#N/A,SUM(BM$4:BM10))</f>
        <v>0.97940481258068013</v>
      </c>
      <c r="BO10" s="306">
        <f>IF($J10="",#N/A,SUM(BM$4:BM10,BK$4:BK10,BI$4:BI10))</f>
        <v>2.9249004930779137</v>
      </c>
      <c r="BP10" s="304" t="str">
        <f t="shared" si="30"/>
        <v/>
      </c>
      <c r="BQ10" s="304">
        <f>IF($J10="",#N/A,SUM(BP$4:BP10))</f>
        <v>0.96873982416150761</v>
      </c>
      <c r="BR10" s="305" t="str">
        <f t="shared" si="31"/>
        <v/>
      </c>
      <c r="BS10" s="305">
        <f>IF($J10="",#N/A,SUM(BR$4:BR10))</f>
        <v>0</v>
      </c>
      <c r="BT10" s="306" t="str">
        <f t="shared" si="32"/>
        <v/>
      </c>
      <c r="BU10" s="306">
        <f>IF($J10="",#N/A,SUM(BT$4:BT10))</f>
        <v>0</v>
      </c>
      <c r="BV10" s="306">
        <f>IF($J10="",#N/A,SUM(BT$4:BT10,BR$4:BR10,BP$4:BP10))</f>
        <v>0.96873982416150761</v>
      </c>
      <c r="BW10" s="304" t="str">
        <f t="shared" si="33"/>
        <v/>
      </c>
      <c r="BX10" s="304">
        <f>IF($J10="",#N/A,SUM(BW$4:BW10))</f>
        <v>0</v>
      </c>
      <c r="BY10" s="305" t="str">
        <f t="shared" si="34"/>
        <v/>
      </c>
      <c r="BZ10" s="305">
        <f>IF($J10="",#N/A,SUM(BY$4:BY10))</f>
        <v>0</v>
      </c>
      <c r="CA10" s="306" t="str">
        <f t="shared" si="35"/>
        <v/>
      </c>
      <c r="CB10" s="306">
        <f>IF($J10="",#N/A,SUM(CA$4:CA10))</f>
        <v>0</v>
      </c>
      <c r="CC10" s="306">
        <f>IF($J10="",#N/A,SUM(CA$4:CA10,BY$4:BY10,BW$4:BW10))</f>
        <v>0</v>
      </c>
      <c r="CD10" s="304" t="str">
        <f t="shared" si="36"/>
        <v/>
      </c>
      <c r="CE10" s="304">
        <f>IF($J10="",#N/A,SUM(CD$4:CD10))</f>
        <v>0</v>
      </c>
      <c r="CF10" s="305" t="str">
        <f t="shared" si="37"/>
        <v/>
      </c>
      <c r="CG10" s="305">
        <f>IF($J10="",#N/A,SUM(CF$4:CF10))</f>
        <v>0</v>
      </c>
      <c r="CH10" s="306" t="str">
        <f t="shared" si="38"/>
        <v/>
      </c>
      <c r="CI10" s="306">
        <f>IF($J10="",#N/A,SUM(CH$4:CH10))</f>
        <v>0</v>
      </c>
      <c r="CJ10" s="306">
        <f>IF($J10="",#N/A,SUM(CH$4:CH10,CF$4:CF10,CD$4:CD10))</f>
        <v>0</v>
      </c>
      <c r="CK10" s="304" t="str">
        <f t="shared" si="39"/>
        <v/>
      </c>
      <c r="CL10" s="304">
        <f>IF($J10="",#N/A,SUM(CK$4:CK10))</f>
        <v>0</v>
      </c>
      <c r="CM10" s="305" t="str">
        <f t="shared" si="40"/>
        <v/>
      </c>
      <c r="CN10" s="305">
        <f>IF($J10="",#N/A,SUM(CM$4:CM10))</f>
        <v>0</v>
      </c>
      <c r="CO10" s="306" t="str">
        <f t="shared" si="41"/>
        <v/>
      </c>
      <c r="CP10" s="306">
        <f>IF($J10="",#N/A,SUM(CO$4:CO10))</f>
        <v>0</v>
      </c>
      <c r="CQ10" s="306">
        <f>IF($J10="",#N/A,SUM(CO$4:CO10,CM$4:CM10,CK$4:CK10))</f>
        <v>0</v>
      </c>
      <c r="CR10" s="304" t="str">
        <f t="shared" si="42"/>
        <v/>
      </c>
      <c r="CS10" s="304">
        <f>IF($J10="",#N/A,SUM(CR$4:CR10))</f>
        <v>0</v>
      </c>
      <c r="CT10" s="305" t="str">
        <f t="shared" si="43"/>
        <v/>
      </c>
      <c r="CU10" s="305">
        <f>IF($J10="",#N/A,SUM(CT$4:CT10))</f>
        <v>0</v>
      </c>
      <c r="CV10" s="306" t="str">
        <f t="shared" si="44"/>
        <v/>
      </c>
      <c r="CW10" s="306">
        <f>IF($J10="",#N/A,SUM(CV$4:CV10))</f>
        <v>0</v>
      </c>
      <c r="CX10" s="306">
        <f>IF($J10="",#N/A,SUM(CV$4:CV10,CT$4:CT10,CR$4:CR10))</f>
        <v>0</v>
      </c>
      <c r="CY10" s="304" t="str">
        <f t="shared" si="45"/>
        <v/>
      </c>
      <c r="CZ10" s="304">
        <f>IF($J10="",#N/A,SUM(CY$4:CY10))</f>
        <v>0</v>
      </c>
      <c r="DA10" s="305" t="str">
        <f t="shared" si="46"/>
        <v/>
      </c>
      <c r="DB10" s="305">
        <f>IF($J10="",#N/A,SUM(DA$4:DA10))</f>
        <v>0</v>
      </c>
      <c r="DC10" s="306" t="str">
        <f t="shared" si="47"/>
        <v/>
      </c>
      <c r="DD10" s="306">
        <f>IF($J10="",#N/A,SUM(DC$4:DC10))</f>
        <v>0</v>
      </c>
      <c r="DE10" s="306">
        <f>IF($J10="",#N/A,SUM(DC$4:DC10,DA$4:DA10,CY$4:CY10))</f>
        <v>0</v>
      </c>
      <c r="DF10" s="304" t="str">
        <f t="shared" si="48"/>
        <v/>
      </c>
      <c r="DG10" s="304">
        <f>IF($J10="",#N/A,SUM(DF$4:DF10))</f>
        <v>0</v>
      </c>
      <c r="DH10" s="305" t="str">
        <f t="shared" si="49"/>
        <v/>
      </c>
      <c r="DI10" s="305">
        <f>IF($J10="",#N/A,SUM(DH$4:DH10))</f>
        <v>0</v>
      </c>
      <c r="DJ10" s="306" t="str">
        <f t="shared" si="50"/>
        <v/>
      </c>
      <c r="DK10" s="306">
        <f>IF($J10="",#N/A,SUM(DJ$4:DJ10))</f>
        <v>0</v>
      </c>
      <c r="DL10" s="306">
        <f>IF($J10="",#N/A,SUM(DJ$4:DJ10,DH$4:DH10,DF$4:DF10))</f>
        <v>0</v>
      </c>
      <c r="DM10" s="304" t="str">
        <f t="shared" si="51"/>
        <v/>
      </c>
      <c r="DN10" s="304">
        <f>IF($J10="",#N/A,SUM(DM$4:DM10))</f>
        <v>0</v>
      </c>
      <c r="DO10" s="305" t="str">
        <f t="shared" si="52"/>
        <v/>
      </c>
      <c r="DP10" s="305">
        <f>IF($J10="",#N/A,SUM(DO$4:DO10))</f>
        <v>0</v>
      </c>
      <c r="DQ10" s="306" t="str">
        <f t="shared" si="53"/>
        <v/>
      </c>
      <c r="DR10" s="306">
        <f>IF($J10="",#N/A,SUM(DQ$4:DQ10))</f>
        <v>0</v>
      </c>
      <c r="DS10" s="306">
        <f>IF($J10="",#N/A,SUM(DQ$4:DQ10,DO$4:DO10,DM$4:DM10))</f>
        <v>0</v>
      </c>
      <c r="DT10" s="304" t="str">
        <f t="shared" si="54"/>
        <v/>
      </c>
      <c r="DU10" s="304">
        <f>IF($J10="",#N/A,SUM(DT$4:DT10))</f>
        <v>0</v>
      </c>
      <c r="DV10" s="305" t="str">
        <f t="shared" si="55"/>
        <v/>
      </c>
      <c r="DW10" s="305">
        <f>IF($J10="",#N/A,SUM(DV$4:DV10))</f>
        <v>0</v>
      </c>
      <c r="DX10" s="306" t="str">
        <f t="shared" si="56"/>
        <v/>
      </c>
      <c r="DY10" s="306">
        <f>IF($J10="",#N/A,SUM(DX$4:DX10))</f>
        <v>0</v>
      </c>
      <c r="DZ10" s="306">
        <f>IF($J10="",#N/A,SUM(DX$4:DX10,DV$4:DV10,DT$4:DT10))</f>
        <v>0</v>
      </c>
      <c r="EA10" s="304" t="str">
        <f t="shared" si="57"/>
        <v/>
      </c>
      <c r="EB10" s="304">
        <f>IF($J10="",#N/A,SUM(EA$4:EA10))</f>
        <v>0</v>
      </c>
      <c r="EC10" s="305" t="str">
        <f t="shared" si="58"/>
        <v/>
      </c>
      <c r="ED10" s="305">
        <f>IF($J10="",#N/A,SUM(EC$4:EC10))</f>
        <v>0</v>
      </c>
      <c r="EE10" s="306" t="str">
        <f t="shared" si="59"/>
        <v/>
      </c>
      <c r="EF10" s="306">
        <f>IF($J10="",#N/A,SUM(EE$4:EE10))</f>
        <v>0</v>
      </c>
      <c r="EG10" s="306">
        <f>IF($J10="",#N/A,SUM(EE$4:EE10,EC$4:EC10,EA$4:EA10))</f>
        <v>0</v>
      </c>
      <c r="EH10" s="223">
        <f t="shared" si="60"/>
        <v>23.505715501936322</v>
      </c>
      <c r="EI10" s="224">
        <f>IF(EH10="",#N/A,SUM($EH$4:EH10))</f>
        <v>182.81374988156637</v>
      </c>
      <c r="EJ10" s="223">
        <f t="shared" si="61"/>
        <v>20.768919297735579</v>
      </c>
      <c r="EK10" s="63">
        <f>IF($GZ10="",#N/A,SUM(EJ$4:EJ10))</f>
        <v>294.03132343234751</v>
      </c>
      <c r="EL10" s="60">
        <f t="shared" si="97"/>
        <v>0.97940481258068013</v>
      </c>
      <c r="EM10" s="60">
        <f>IF(EL10="",NA(),SUM($EL$4:EL10))</f>
        <v>7.617239578398598</v>
      </c>
      <c r="EN10" s="60" t="str">
        <f t="shared" si="62"/>
        <v/>
      </c>
      <c r="EO10" s="60" t="e">
        <f>IF(EN10="",NA(),SUM($EN$4:EN10))</f>
        <v>#N/A</v>
      </c>
      <c r="EP10" s="60">
        <f t="shared" si="63"/>
        <v>0.97940481258068013</v>
      </c>
      <c r="EQ10" s="60">
        <f>IF(EP10="",NA(),SUM($EP$4:EP10))</f>
        <v>3.4739818190882708</v>
      </c>
      <c r="ER10" s="60" t="str">
        <f t="shared" si="64"/>
        <v/>
      </c>
      <c r="ES10" s="60" t="e">
        <f>IF(ER10="",NA(),SUM($ER$4:ER10))</f>
        <v>#N/A</v>
      </c>
      <c r="ET10" s="60" t="str">
        <f t="shared" si="65"/>
        <v/>
      </c>
      <c r="EU10" s="60" t="e">
        <f>IF(ET10="",NA(),SUM($ET$4:ET10))</f>
        <v>#N/A</v>
      </c>
      <c r="EV10" s="60" t="str">
        <f t="shared" si="66"/>
        <v/>
      </c>
      <c r="EW10" s="60" t="e">
        <f>IF(EV10="",NA(),SUM($EV$4:EV10))</f>
        <v>#N/A</v>
      </c>
      <c r="EX10" s="60" t="str">
        <f t="shared" si="67"/>
        <v/>
      </c>
      <c r="EY10" s="60" t="e">
        <f>IF(EX10="",NA(),SUM($EX$4:EX10))</f>
        <v>#N/A</v>
      </c>
      <c r="EZ10" s="60" t="str">
        <f t="shared" si="68"/>
        <v/>
      </c>
      <c r="FA10" s="60" t="e">
        <f>IF(EZ10="",NA(),SUM($EZ$4:EZ10))</f>
        <v>#N/A</v>
      </c>
      <c r="FB10" s="246" t="str">
        <f t="shared" si="98"/>
        <v/>
      </c>
      <c r="FC10" s="269" t="e">
        <f>IF($FB10="",#N/A,SUM(FB$4:$FB10))</f>
        <v>#N/A</v>
      </c>
      <c r="FD10" s="60" t="str">
        <f t="shared" si="69"/>
        <v/>
      </c>
      <c r="FE10" s="60" t="e">
        <f>IF($FD10="",#N/A,SUM($FD$4:FD10))</f>
        <v>#N/A</v>
      </c>
      <c r="FF10" s="60" t="str">
        <f t="shared" si="70"/>
        <v/>
      </c>
      <c r="FG10" s="60" t="e">
        <f>IF($FF10="",#N/A,SUM($FF$4:FF10))</f>
        <v>#N/A</v>
      </c>
      <c r="FH10" s="60" t="str">
        <f t="shared" si="71"/>
        <v/>
      </c>
      <c r="FI10" s="60" t="e">
        <f>IF($FH10="",#N/A,SUM($FH$4:FH10))</f>
        <v>#N/A</v>
      </c>
      <c r="FJ10" s="60">
        <f t="shared" si="72"/>
        <v>-0.11403317517503098</v>
      </c>
      <c r="FK10" s="60">
        <f>IF($FJ10="",#N/A,SUM($FJ$4:FJ10))</f>
        <v>1.9828576418893222</v>
      </c>
      <c r="FL10" s="60" t="str">
        <f t="shared" si="73"/>
        <v/>
      </c>
      <c r="FM10" s="60" t="e">
        <f>IF($FL10="",#N/A,SUM($FL$4:FL10))</f>
        <v>#N/A</v>
      </c>
      <c r="FN10" s="82">
        <f t="shared" si="74"/>
        <v>0.86537163740564915</v>
      </c>
      <c r="FO10" s="82">
        <f>IF($FN10="",#N/A,SUM(FN$4:$FN10))</f>
        <v>12.251305143014479</v>
      </c>
      <c r="FP10" s="82">
        <f t="shared" si="99"/>
        <v>0.97940481258068013</v>
      </c>
      <c r="FQ10" s="246">
        <f>IF($EH10="",#N/A,SUM($FP$4:FP10))</f>
        <v>7.617239578398598</v>
      </c>
      <c r="FR10" s="273"/>
      <c r="FS10" s="273"/>
      <c r="FT10" s="273"/>
      <c r="FU10" s="82" t="e">
        <v>#N/A</v>
      </c>
      <c r="FV10" s="57" t="str">
        <f t="shared" si="75"/>
        <v>SW</v>
      </c>
      <c r="FW10" s="57" t="s">
        <v>2732</v>
      </c>
      <c r="FX10" s="57" t="str">
        <f t="shared" si="76"/>
        <v/>
      </c>
      <c r="FY10" s="57" t="str">
        <f t="shared" si="77"/>
        <v/>
      </c>
      <c r="FZ10" s="57">
        <f t="shared" si="78"/>
        <v>1</v>
      </c>
      <c r="GA10" s="57" t="str">
        <f t="shared" si="79"/>
        <v>Long</v>
      </c>
      <c r="GB10" s="57" t="str">
        <f t="shared" si="80"/>
        <v/>
      </c>
      <c r="GC10" s="57" t="str">
        <f t="shared" si="81"/>
        <v/>
      </c>
      <c r="GD10" s="57" t="str">
        <f t="shared" si="82"/>
        <v/>
      </c>
      <c r="GE10" s="62">
        <f t="shared" si="83"/>
        <v>963.17</v>
      </c>
      <c r="GF10" s="62" t="s">
        <v>2779</v>
      </c>
      <c r="GG10" s="199">
        <f t="shared" si="84"/>
        <v>0.41529532688933418</v>
      </c>
      <c r="GH10" s="207">
        <f t="shared" si="85"/>
        <v>400</v>
      </c>
      <c r="GI10" s="199">
        <f t="shared" si="86"/>
        <v>0.41529532688933418</v>
      </c>
      <c r="GJ10" s="200">
        <f t="shared" si="87"/>
        <v>1019.77</v>
      </c>
      <c r="GK10" s="63">
        <f t="shared" si="88"/>
        <v>23.505715501936322</v>
      </c>
      <c r="GL10" s="63">
        <f t="shared" si="89"/>
        <v>20.768919297735579</v>
      </c>
      <c r="GM10" s="82">
        <f t="shared" si="90"/>
        <v>0.86537163740564915</v>
      </c>
      <c r="GN10" s="82">
        <f>IF($GZ10="",#N/A,SUM(GM$4:GM10))</f>
        <v>5.4568394609775925</v>
      </c>
      <c r="GO10" s="82" t="str">
        <f t="shared" si="91"/>
        <v/>
      </c>
      <c r="GP10" s="82">
        <f>IF($GZ10="",#N/A,SUM(GO$4:GO10))</f>
        <v>3.9465087320186454</v>
      </c>
      <c r="GQ10" s="82" t="str">
        <f t="shared" si="92"/>
        <v/>
      </c>
      <c r="GR10" s="82">
        <f>IF($GZ10="",#N/A,SUM(GQ$4:GQ10))</f>
        <v>2.8479569500182413</v>
      </c>
      <c r="GS10" s="63">
        <f t="shared" si="100"/>
        <v>20.768919297735579</v>
      </c>
      <c r="GT10" s="63">
        <f>IF($GZ10="",#N/A,SUM(GS$4:GS10))</f>
        <v>130.96414706346224</v>
      </c>
      <c r="GU10" s="63" t="str">
        <f t="shared" si="101"/>
        <v/>
      </c>
      <c r="GV10" s="63">
        <f>IF($GZ10="",#N/A,SUM(GU$4:GU10))</f>
        <v>94.716209568447482</v>
      </c>
      <c r="GW10" s="62" t="str">
        <f t="shared" si="102"/>
        <v/>
      </c>
      <c r="GX10" s="63">
        <f>IF($GZ10="",#N/A,SUM(GW$4:GW10))</f>
        <v>68.350966800437789</v>
      </c>
      <c r="GY10" s="63">
        <f>IF(EJ10="",#N/A,SUM($EJ$4:EJ10))</f>
        <v>294.03132343234751</v>
      </c>
      <c r="GZ10" s="159">
        <v>1013.18</v>
      </c>
      <c r="HA10" s="63">
        <f t="shared" si="93"/>
        <v>-2.7367962042007434</v>
      </c>
      <c r="HB10" s="62" t="s">
        <v>4970</v>
      </c>
      <c r="HC10" s="60">
        <f>IFERROR(VLOOKUP(E10,Expectancy!$P$4:$S$19,1+C10,FALSE),"")</f>
        <v>9.9793136114217987E-2</v>
      </c>
      <c r="HD10" s="60" t="str">
        <f t="shared" si="94"/>
        <v/>
      </c>
      <c r="HE10" s="60" t="e">
        <f>IF(HD10="",#N/A,SUM($HD$4:HD10))</f>
        <v>#N/A</v>
      </c>
      <c r="HF10" s="64" t="e">
        <f>IF(HD10="",#N/A,IF(HB10="Skip",#N/A,SUM($HG$4:HG10)))</f>
        <v>#N/A</v>
      </c>
      <c r="HG10" s="63" t="str">
        <f t="shared" si="95"/>
        <v/>
      </c>
      <c r="HH10" s="82">
        <f t="shared" si="96"/>
        <v>0.86537163740564915</v>
      </c>
    </row>
    <row r="11" spans="1:235" x14ac:dyDescent="0.25">
      <c r="A11" s="57" t="s">
        <v>1336</v>
      </c>
      <c r="B11" s="58" t="s">
        <v>5082</v>
      </c>
      <c r="C11" s="386">
        <f t="shared" si="0"/>
        <v>1</v>
      </c>
      <c r="D11" s="372" t="str">
        <f>_xlfn.XLOOKUP(A11,[1]SP500!$A$2:$A$502,[1]SP500!$D$2:$D$502,"N")</f>
        <v>Y</v>
      </c>
      <c r="E11" s="57" t="str">
        <f>_xlfn.XLOOKUP(A11,[1]SP500!$A$2:$A$655,[1]SP500!$B$2:$B$655)</f>
        <v>XLF</v>
      </c>
      <c r="F11" s="59">
        <v>45672</v>
      </c>
      <c r="G11" s="57" t="str">
        <f t="shared" si="1"/>
        <v>BMO</v>
      </c>
      <c r="H11" s="57" t="str">
        <f t="shared" si="2"/>
        <v>o</v>
      </c>
      <c r="I11" s="158">
        <v>73.5</v>
      </c>
      <c r="J11" s="158">
        <v>76.2</v>
      </c>
      <c r="K11" s="61">
        <f t="shared" si="3"/>
        <v>3.6734693877551058E-2</v>
      </c>
      <c r="L11" s="87">
        <f t="shared" si="4"/>
        <v>14.693877551020421</v>
      </c>
      <c r="M11" s="63" t="str">
        <f t="shared" si="5"/>
        <v/>
      </c>
      <c r="N11" s="219">
        <f t="shared" si="6"/>
        <v>14.693877551020421</v>
      </c>
      <c r="O11" s="219">
        <f>IF($J11="",#N/A,SUM($N$4:N11))</f>
        <v>84.635529662830209</v>
      </c>
      <c r="P11" s="220" t="str">
        <f t="shared" si="7"/>
        <v/>
      </c>
      <c r="Q11" s="220">
        <f>IF($J11="",#N/A,SUM($P$4:P11))</f>
        <v>29.496534111638084</v>
      </c>
      <c r="R11" s="221" t="str">
        <f t="shared" si="8"/>
        <v/>
      </c>
      <c r="S11" s="222">
        <f>IF($J11="",#N/A,SUM($R$4:R11))</f>
        <v>83.375563658118494</v>
      </c>
      <c r="T11" s="281">
        <f t="shared" si="9"/>
        <v>0.61224489795918424</v>
      </c>
      <c r="U11" s="281">
        <f>IF($J11="",#N/A,SUM($T$4:T11))</f>
        <v>3.5264804026179255</v>
      </c>
      <c r="V11" s="282" t="str">
        <f t="shared" si="10"/>
        <v/>
      </c>
      <c r="W11" s="282">
        <f>IF($J11="",#N/A,SUM($V$4:V11))</f>
        <v>1.2290222546515868</v>
      </c>
      <c r="X11" s="283" t="str">
        <f t="shared" si="11"/>
        <v/>
      </c>
      <c r="Y11" s="283">
        <f>IF($J11="",#N/A,SUM($X$4:X11))</f>
        <v>3.4739818190882708</v>
      </c>
      <c r="Z11" s="304" t="str">
        <f t="shared" si="12"/>
        <v/>
      </c>
      <c r="AA11" s="304">
        <f>IF($J11="",#N/A,SUM(Z$4:Z11))</f>
        <v>0</v>
      </c>
      <c r="AB11" s="305" t="str">
        <f t="shared" si="13"/>
        <v/>
      </c>
      <c r="AC11" s="305">
        <f>IF($J11="",#N/A,SUM(AB$4:AB11))</f>
        <v>0</v>
      </c>
      <c r="AD11" s="306" t="str">
        <f t="shared" si="14"/>
        <v/>
      </c>
      <c r="AE11" s="306">
        <f>IF($J11="",#N/A,SUM(AD$4:AD11))</f>
        <v>0</v>
      </c>
      <c r="AF11" s="306">
        <f>IF($J11="",#N/A,SUM(AD$4:AD11,AB$4:AB11,Z$4:Z11))</f>
        <v>0</v>
      </c>
      <c r="AG11" s="304" t="str">
        <f t="shared" si="15"/>
        <v/>
      </c>
      <c r="AH11" s="304">
        <f>IF($J11="",#N/A,SUM(AG$4:AG11))</f>
        <v>0</v>
      </c>
      <c r="AI11" s="305" t="str">
        <f t="shared" si="16"/>
        <v/>
      </c>
      <c r="AJ11" s="305">
        <f>IF($J11="",#N/A,SUM(AI$4:AI11))</f>
        <v>0</v>
      </c>
      <c r="AK11" s="306" t="str">
        <f t="shared" si="17"/>
        <v/>
      </c>
      <c r="AL11" s="306">
        <f>IF($J11="",#N/A,SUM(AK$4:AK11))</f>
        <v>0</v>
      </c>
      <c r="AM11" s="306">
        <f>IF($J11="",#N/A,SUM(AK$4:AK11,AI$4:AI11,AG$4:AG11))</f>
        <v>0</v>
      </c>
      <c r="AN11" s="304" t="str">
        <f t="shared" si="18"/>
        <v/>
      </c>
      <c r="AO11" s="304">
        <f>IF($J11="",#N/A,SUM(AN$4:AN11))</f>
        <v>0</v>
      </c>
      <c r="AP11" s="305" t="str">
        <f t="shared" si="19"/>
        <v/>
      </c>
      <c r="AQ11" s="305">
        <f>IF($J11="",#N/A,SUM(AP$4:AP11))</f>
        <v>0</v>
      </c>
      <c r="AR11" s="306" t="str">
        <f t="shared" si="20"/>
        <v/>
      </c>
      <c r="AS11" s="306">
        <f>IF($J11="",#N/A,SUM(AR$4:AR11))</f>
        <v>0</v>
      </c>
      <c r="AT11" s="306">
        <f>IF($J11="",#N/A,SUM(AR$4:AR11,AP$4:AP11,AN$4:AN11))</f>
        <v>0</v>
      </c>
      <c r="AU11" s="304" t="str">
        <f t="shared" si="21"/>
        <v/>
      </c>
      <c r="AV11" s="304">
        <f>IF($J11="",#N/A,SUM(AU$4:AU11))</f>
        <v>0</v>
      </c>
      <c r="AW11" s="305" t="str">
        <f t="shared" si="22"/>
        <v/>
      </c>
      <c r="AX11" s="305">
        <f>IF($J11="",#N/A,SUM(AW$4:AW11))</f>
        <v>1.2290222546515868</v>
      </c>
      <c r="AY11" s="306" t="str">
        <f t="shared" si="23"/>
        <v/>
      </c>
      <c r="AZ11" s="306">
        <f>IF($J11="",#N/A,SUM(AY$4:AY11))</f>
        <v>2.4945770065075905</v>
      </c>
      <c r="BA11" s="306">
        <f>IF($J11="",#N/A,SUM(AY$4:AY11,AW$4:AW11,AU$4:AU11))</f>
        <v>3.7235992611591771</v>
      </c>
      <c r="BB11" s="304" t="str">
        <f t="shared" si="24"/>
        <v/>
      </c>
      <c r="BC11" s="304">
        <f>IF($J11="",#N/A,SUM(BB$4:BB11))</f>
        <v>0</v>
      </c>
      <c r="BD11" s="305" t="str">
        <f t="shared" si="25"/>
        <v/>
      </c>
      <c r="BE11" s="305">
        <f>IF($J11="",#N/A,SUM(BD$4:BD11))</f>
        <v>0</v>
      </c>
      <c r="BF11" s="306" t="str">
        <f t="shared" si="26"/>
        <v/>
      </c>
      <c r="BG11" s="306">
        <f>IF($J11="",#N/A,SUM(BF$4:BF11))</f>
        <v>0</v>
      </c>
      <c r="BH11" s="306">
        <f>IF($J11="",#N/A,SUM(BF$4:BF11,BD$4:BD11,BB$4:BB11))</f>
        <v>0</v>
      </c>
      <c r="BI11" s="304">
        <f t="shared" si="27"/>
        <v>0.61224489795918424</v>
      </c>
      <c r="BJ11" s="304">
        <f>IF($J11="",#N/A,SUM(BI$4:BI11))</f>
        <v>2.5577405784564178</v>
      </c>
      <c r="BK11" s="305" t="str">
        <f t="shared" si="28"/>
        <v/>
      </c>
      <c r="BL11" s="305">
        <f>IF($J11="",#N/A,SUM(BK$4:BK11))</f>
        <v>0</v>
      </c>
      <c r="BM11" s="306" t="str">
        <f t="shared" si="29"/>
        <v/>
      </c>
      <c r="BN11" s="306">
        <f>IF($J11="",#N/A,SUM(BM$4:BM11))</f>
        <v>0.97940481258068013</v>
      </c>
      <c r="BO11" s="306">
        <f>IF($J11="",#N/A,SUM(BM$4:BM11,BK$4:BK11,BI$4:BI11))</f>
        <v>3.537145391037098</v>
      </c>
      <c r="BP11" s="304" t="str">
        <f t="shared" si="30"/>
        <v/>
      </c>
      <c r="BQ11" s="304">
        <f>IF($J11="",#N/A,SUM(BP$4:BP11))</f>
        <v>0.96873982416150761</v>
      </c>
      <c r="BR11" s="305" t="str">
        <f t="shared" si="31"/>
        <v/>
      </c>
      <c r="BS11" s="305">
        <f>IF($J11="",#N/A,SUM(BR$4:BR11))</f>
        <v>0</v>
      </c>
      <c r="BT11" s="306" t="str">
        <f t="shared" si="32"/>
        <v/>
      </c>
      <c r="BU11" s="306">
        <f>IF($J11="",#N/A,SUM(BT$4:BT11))</f>
        <v>0</v>
      </c>
      <c r="BV11" s="306">
        <f>IF($J11="",#N/A,SUM(BT$4:BT11,BR$4:BR11,BP$4:BP11))</f>
        <v>0.96873982416150761</v>
      </c>
      <c r="BW11" s="304" t="str">
        <f t="shared" si="33"/>
        <v/>
      </c>
      <c r="BX11" s="304">
        <f>IF($J11="",#N/A,SUM(BW$4:BW11))</f>
        <v>0</v>
      </c>
      <c r="BY11" s="305" t="str">
        <f t="shared" si="34"/>
        <v/>
      </c>
      <c r="BZ11" s="305">
        <f>IF($J11="",#N/A,SUM(BY$4:BY11))</f>
        <v>0</v>
      </c>
      <c r="CA11" s="306" t="str">
        <f t="shared" si="35"/>
        <v/>
      </c>
      <c r="CB11" s="306">
        <f>IF($J11="",#N/A,SUM(CA$4:CA11))</f>
        <v>0</v>
      </c>
      <c r="CC11" s="306">
        <f>IF($J11="",#N/A,SUM(CA$4:CA11,BY$4:BY11,BW$4:BW11))</f>
        <v>0</v>
      </c>
      <c r="CD11" s="304" t="str">
        <f t="shared" si="36"/>
        <v/>
      </c>
      <c r="CE11" s="304">
        <f>IF($J11="",#N/A,SUM(CD$4:CD11))</f>
        <v>0</v>
      </c>
      <c r="CF11" s="305" t="str">
        <f t="shared" si="37"/>
        <v/>
      </c>
      <c r="CG11" s="305">
        <f>IF($J11="",#N/A,SUM(CF$4:CF11))</f>
        <v>0</v>
      </c>
      <c r="CH11" s="306" t="str">
        <f t="shared" si="38"/>
        <v/>
      </c>
      <c r="CI11" s="306">
        <f>IF($J11="",#N/A,SUM(CH$4:CH11))</f>
        <v>0</v>
      </c>
      <c r="CJ11" s="306">
        <f>IF($J11="",#N/A,SUM(CH$4:CH11,CF$4:CF11,CD$4:CD11))</f>
        <v>0</v>
      </c>
      <c r="CK11" s="304" t="str">
        <f t="shared" si="39"/>
        <v/>
      </c>
      <c r="CL11" s="304">
        <f>IF($J11="",#N/A,SUM(CK$4:CK11))</f>
        <v>0</v>
      </c>
      <c r="CM11" s="305" t="str">
        <f t="shared" si="40"/>
        <v/>
      </c>
      <c r="CN11" s="305">
        <f>IF($J11="",#N/A,SUM(CM$4:CM11))</f>
        <v>0</v>
      </c>
      <c r="CO11" s="306" t="str">
        <f t="shared" si="41"/>
        <v/>
      </c>
      <c r="CP11" s="306">
        <f>IF($J11="",#N/A,SUM(CO$4:CO11))</f>
        <v>0</v>
      </c>
      <c r="CQ11" s="306">
        <f>IF($J11="",#N/A,SUM(CO$4:CO11,CM$4:CM11,CK$4:CK11))</f>
        <v>0</v>
      </c>
      <c r="CR11" s="304" t="str">
        <f t="shared" si="42"/>
        <v/>
      </c>
      <c r="CS11" s="304">
        <f>IF($J11="",#N/A,SUM(CR$4:CR11))</f>
        <v>0</v>
      </c>
      <c r="CT11" s="305" t="str">
        <f t="shared" si="43"/>
        <v/>
      </c>
      <c r="CU11" s="305">
        <f>IF($J11="",#N/A,SUM(CT$4:CT11))</f>
        <v>0</v>
      </c>
      <c r="CV11" s="306" t="str">
        <f t="shared" si="44"/>
        <v/>
      </c>
      <c r="CW11" s="306">
        <f>IF($J11="",#N/A,SUM(CV$4:CV11))</f>
        <v>0</v>
      </c>
      <c r="CX11" s="306">
        <f>IF($J11="",#N/A,SUM(CV$4:CV11,CT$4:CT11,CR$4:CR11))</f>
        <v>0</v>
      </c>
      <c r="CY11" s="304" t="str">
        <f t="shared" si="45"/>
        <v/>
      </c>
      <c r="CZ11" s="304">
        <f>IF($J11="",#N/A,SUM(CY$4:CY11))</f>
        <v>0</v>
      </c>
      <c r="DA11" s="305" t="str">
        <f t="shared" si="46"/>
        <v/>
      </c>
      <c r="DB11" s="305">
        <f>IF($J11="",#N/A,SUM(DA$4:DA11))</f>
        <v>0</v>
      </c>
      <c r="DC11" s="306" t="str">
        <f t="shared" si="47"/>
        <v/>
      </c>
      <c r="DD11" s="306">
        <f>IF($J11="",#N/A,SUM(DC$4:DC11))</f>
        <v>0</v>
      </c>
      <c r="DE11" s="306">
        <f>IF($J11="",#N/A,SUM(DC$4:DC11,DA$4:DA11,CY$4:CY11))</f>
        <v>0</v>
      </c>
      <c r="DF11" s="304" t="str">
        <f t="shared" si="48"/>
        <v/>
      </c>
      <c r="DG11" s="304">
        <f>IF($J11="",#N/A,SUM(DF$4:DF11))</f>
        <v>0</v>
      </c>
      <c r="DH11" s="305" t="str">
        <f t="shared" si="49"/>
        <v/>
      </c>
      <c r="DI11" s="305">
        <f>IF($J11="",#N/A,SUM(DH$4:DH11))</f>
        <v>0</v>
      </c>
      <c r="DJ11" s="306" t="str">
        <f t="shared" si="50"/>
        <v/>
      </c>
      <c r="DK11" s="306">
        <f>IF($J11="",#N/A,SUM(DJ$4:DJ11))</f>
        <v>0</v>
      </c>
      <c r="DL11" s="306">
        <f>IF($J11="",#N/A,SUM(DJ$4:DJ11,DH$4:DH11,DF$4:DF11))</f>
        <v>0</v>
      </c>
      <c r="DM11" s="304" t="str">
        <f t="shared" si="51"/>
        <v/>
      </c>
      <c r="DN11" s="304">
        <f>IF($J11="",#N/A,SUM(DM$4:DM11))</f>
        <v>0</v>
      </c>
      <c r="DO11" s="305" t="str">
        <f t="shared" si="52"/>
        <v/>
      </c>
      <c r="DP11" s="305">
        <f>IF($J11="",#N/A,SUM(DO$4:DO11))</f>
        <v>0</v>
      </c>
      <c r="DQ11" s="306" t="str">
        <f t="shared" si="53"/>
        <v/>
      </c>
      <c r="DR11" s="306">
        <f>IF($J11="",#N/A,SUM(DQ$4:DQ11))</f>
        <v>0</v>
      </c>
      <c r="DS11" s="306">
        <f>IF($J11="",#N/A,SUM(DQ$4:DQ11,DO$4:DO11,DM$4:DM11))</f>
        <v>0</v>
      </c>
      <c r="DT11" s="304" t="str">
        <f t="shared" si="54"/>
        <v/>
      </c>
      <c r="DU11" s="304">
        <f>IF($J11="",#N/A,SUM(DT$4:DT11))</f>
        <v>0</v>
      </c>
      <c r="DV11" s="305" t="str">
        <f t="shared" si="55"/>
        <v/>
      </c>
      <c r="DW11" s="305">
        <f>IF($J11="",#N/A,SUM(DV$4:DV11))</f>
        <v>0</v>
      </c>
      <c r="DX11" s="306" t="str">
        <f t="shared" si="56"/>
        <v/>
      </c>
      <c r="DY11" s="306">
        <f>IF($J11="",#N/A,SUM(DX$4:DX11))</f>
        <v>0</v>
      </c>
      <c r="DZ11" s="306">
        <f>IF($J11="",#N/A,SUM(DX$4:DX11,DV$4:DV11,DT$4:DT11))</f>
        <v>0</v>
      </c>
      <c r="EA11" s="304" t="str">
        <f t="shared" si="57"/>
        <v/>
      </c>
      <c r="EB11" s="304">
        <f>IF($J11="",#N/A,SUM(EA$4:EA11))</f>
        <v>0</v>
      </c>
      <c r="EC11" s="305" t="str">
        <f t="shared" si="58"/>
        <v/>
      </c>
      <c r="ED11" s="305">
        <f>IF($J11="",#N/A,SUM(EC$4:EC11))</f>
        <v>0</v>
      </c>
      <c r="EE11" s="306" t="str">
        <f t="shared" si="59"/>
        <v/>
      </c>
      <c r="EF11" s="306">
        <f>IF($J11="",#N/A,SUM(EE$4:EE11))</f>
        <v>0</v>
      </c>
      <c r="EG11" s="306">
        <f>IF($J11="",#N/A,SUM(EE$4:EE11,EC$4:EC11,EA$4:EA11))</f>
        <v>0</v>
      </c>
      <c r="EH11" s="223">
        <f t="shared" si="60"/>
        <v>14.693877551020421</v>
      </c>
      <c r="EI11" s="224">
        <f>IF(EH11="",#N/A,SUM($EH$4:EH11))</f>
        <v>197.50762743258679</v>
      </c>
      <c r="EJ11" s="223">
        <f t="shared" si="61"/>
        <v>25.95918367346934</v>
      </c>
      <c r="EK11" s="63">
        <f>IF($GZ11="",#N/A,SUM(EJ$4:EJ11))</f>
        <v>319.99050710581685</v>
      </c>
      <c r="EL11" s="60">
        <f t="shared" si="97"/>
        <v>0.61224489795918424</v>
      </c>
      <c r="EM11" s="60">
        <f>IF(EL11="",NA(),SUM($EL$4:EL11))</f>
        <v>8.2294844763577828</v>
      </c>
      <c r="EN11" s="60">
        <f t="shared" si="62"/>
        <v>0.61224489795918424</v>
      </c>
      <c r="EO11" s="60">
        <f>IF(EN11="",NA(),SUM($EN$4:EN11))</f>
        <v>3.5264804026179255</v>
      </c>
      <c r="EP11" s="60" t="str">
        <f t="shared" si="63"/>
        <v/>
      </c>
      <c r="EQ11" s="60" t="e">
        <f>IF(EP11="",NA(),SUM($EP$4:EP11))</f>
        <v>#N/A</v>
      </c>
      <c r="ER11" s="60" t="str">
        <f t="shared" si="64"/>
        <v/>
      </c>
      <c r="ES11" s="60" t="e">
        <f>IF(ER11="",NA(),SUM($ER$4:ER11))</f>
        <v>#N/A</v>
      </c>
      <c r="ET11" s="60" t="str">
        <f t="shared" si="65"/>
        <v/>
      </c>
      <c r="EU11" s="60" t="e">
        <f>IF(ET11="",NA(),SUM($ET$4:ET11))</f>
        <v>#N/A</v>
      </c>
      <c r="EV11" s="60" t="str">
        <f t="shared" si="66"/>
        <v/>
      </c>
      <c r="EW11" s="60" t="e">
        <f>IF(EV11="",NA(),SUM($EV$4:EV11))</f>
        <v>#N/A</v>
      </c>
      <c r="EX11" s="60" t="str">
        <f t="shared" si="67"/>
        <v/>
      </c>
      <c r="EY11" s="60" t="e">
        <f>IF(EX11="",NA(),SUM($EX$4:EX11))</f>
        <v>#N/A</v>
      </c>
      <c r="EZ11" s="60" t="str">
        <f t="shared" si="68"/>
        <v/>
      </c>
      <c r="FA11" s="60" t="e">
        <f>IF(EZ11="",NA(),SUM($EZ$4:EZ11))</f>
        <v>#N/A</v>
      </c>
      <c r="FB11" s="246" t="str">
        <f t="shared" si="98"/>
        <v/>
      </c>
      <c r="FC11" s="269" t="e">
        <f>IF($FB11="",#N/A,SUM(FB$4:$FB11))</f>
        <v>#N/A</v>
      </c>
      <c r="FD11" s="60" t="str">
        <f t="shared" si="69"/>
        <v/>
      </c>
      <c r="FE11" s="60" t="e">
        <f>IF($FD11="",#N/A,SUM($FD$4:FD11))</f>
        <v>#N/A</v>
      </c>
      <c r="FF11" s="60">
        <f t="shared" si="70"/>
        <v>0.46938775510203834</v>
      </c>
      <c r="FG11" s="60">
        <f>IF($FF11="",#N/A,SUM($FF$4:FF11))</f>
        <v>1.5016609824619422</v>
      </c>
      <c r="FH11" s="60" t="str">
        <f t="shared" si="71"/>
        <v/>
      </c>
      <c r="FI11" s="60" t="e">
        <f>IF($FH11="",#N/A,SUM($FH$4:FH11))</f>
        <v>#N/A</v>
      </c>
      <c r="FJ11" s="60" t="str">
        <f t="shared" si="72"/>
        <v/>
      </c>
      <c r="FK11" s="60" t="e">
        <f>IF($FJ11="",#N/A,SUM($FJ$4:FJ11))</f>
        <v>#N/A</v>
      </c>
      <c r="FL11" s="60" t="str">
        <f t="shared" si="73"/>
        <v/>
      </c>
      <c r="FM11" s="60" t="e">
        <f>IF($FL11="",#N/A,SUM($FL$4:FL11))</f>
        <v>#N/A</v>
      </c>
      <c r="FN11" s="82">
        <f t="shared" si="74"/>
        <v>1.0816326530612226</v>
      </c>
      <c r="FO11" s="82">
        <f>IF($FN11="",#N/A,SUM(FN$4:$FN11))</f>
        <v>13.332937796075701</v>
      </c>
      <c r="FP11" s="82">
        <f t="shared" si="99"/>
        <v>0.61224489795918424</v>
      </c>
      <c r="FQ11" s="246">
        <f>IF($EH11="",#N/A,SUM($FP$4:FP11))</f>
        <v>8.2294844763577828</v>
      </c>
      <c r="FR11" s="273"/>
      <c r="FS11" s="273"/>
      <c r="FT11" s="273"/>
      <c r="FU11" s="82" t="e">
        <v>#N/A</v>
      </c>
      <c r="FV11" s="57" t="str">
        <f t="shared" si="75"/>
        <v>Up</v>
      </c>
      <c r="FW11" s="57" t="s">
        <v>2733</v>
      </c>
      <c r="FX11" s="57">
        <f t="shared" si="76"/>
        <v>1</v>
      </c>
      <c r="FY11" s="57" t="str">
        <f t="shared" si="77"/>
        <v/>
      </c>
      <c r="FZ11" s="57" t="str">
        <f t="shared" si="78"/>
        <v/>
      </c>
      <c r="GA11" s="57" t="str">
        <f t="shared" si="79"/>
        <v>Long</v>
      </c>
      <c r="GB11" s="57" t="str">
        <f t="shared" si="80"/>
        <v/>
      </c>
      <c r="GC11" s="57" t="str">
        <f t="shared" si="81"/>
        <v/>
      </c>
      <c r="GD11" s="57" t="str">
        <f t="shared" si="82"/>
        <v/>
      </c>
      <c r="GE11" s="62">
        <f t="shared" si="83"/>
        <v>73.5</v>
      </c>
      <c r="GF11" s="62" t="s">
        <v>2779</v>
      </c>
      <c r="GG11" s="199">
        <f t="shared" si="84"/>
        <v>5.4421768707482991</v>
      </c>
      <c r="GH11" s="207">
        <f t="shared" si="85"/>
        <v>400</v>
      </c>
      <c r="GI11" s="199">
        <f t="shared" si="86"/>
        <v>5.4421768707482991</v>
      </c>
      <c r="GJ11" s="200">
        <f t="shared" si="87"/>
        <v>76.2</v>
      </c>
      <c r="GK11" s="63">
        <f t="shared" si="88"/>
        <v>14.693877551020421</v>
      </c>
      <c r="GL11" s="63">
        <f t="shared" si="89"/>
        <v>25.95918367346934</v>
      </c>
      <c r="GM11" s="82" t="str">
        <f t="shared" si="90"/>
        <v/>
      </c>
      <c r="GN11" s="82">
        <f>IF($GZ11="",#N/A,SUM(GM$4:GM11))</f>
        <v>5.4568394609775925</v>
      </c>
      <c r="GO11" s="82">
        <f t="shared" si="91"/>
        <v>1.0816326530612226</v>
      </c>
      <c r="GP11" s="82">
        <f>IF($GZ11="",#N/A,SUM(GO$4:GO11))</f>
        <v>5.0281413850798682</v>
      </c>
      <c r="GQ11" s="82" t="str">
        <f t="shared" si="92"/>
        <v/>
      </c>
      <c r="GR11" s="82">
        <f>IF($GZ11="",#N/A,SUM(GQ$4:GQ11))</f>
        <v>2.8479569500182413</v>
      </c>
      <c r="GS11" s="63" t="str">
        <f t="shared" si="100"/>
        <v/>
      </c>
      <c r="GT11" s="63">
        <f>IF($GZ11="",#N/A,SUM(GS$4:GS11))</f>
        <v>130.96414706346224</v>
      </c>
      <c r="GU11" s="63">
        <f t="shared" si="101"/>
        <v>25.95918367346934</v>
      </c>
      <c r="GV11" s="63">
        <f>IF($GZ11="",#N/A,SUM(GU$4:GU11))</f>
        <v>120.67539324191682</v>
      </c>
      <c r="GW11" s="62" t="str">
        <f t="shared" si="102"/>
        <v/>
      </c>
      <c r="GX11" s="63">
        <f>IF($GZ11="",#N/A,SUM(GW$4:GW11))</f>
        <v>68.350966800437789</v>
      </c>
      <c r="GY11" s="63">
        <f>IF(EJ11="",#N/A,SUM($EJ$4:EJ11))</f>
        <v>319.99050710581685</v>
      </c>
      <c r="GZ11" s="159">
        <v>78.27</v>
      </c>
      <c r="HA11" s="63">
        <f t="shared" si="93"/>
        <v>11.265306122448919</v>
      </c>
      <c r="HB11" s="62" t="s">
        <v>4970</v>
      </c>
      <c r="HC11" s="60">
        <f>IFERROR(VLOOKUP(E11,Expectancy!$P$4:$S$19,1+C11,FALSE),"")</f>
        <v>-7.9483352726509887E-2</v>
      </c>
      <c r="HD11" s="60" t="str">
        <f t="shared" si="94"/>
        <v/>
      </c>
      <c r="HE11" s="60" t="e">
        <f>IF(HD11="",#N/A,SUM($HD$4:HD11))</f>
        <v>#N/A</v>
      </c>
      <c r="HF11" s="64" t="e">
        <f>IF(HD11="",#N/A,IF(HB11="Skip",#N/A,SUM($HG$4:HG11)))</f>
        <v>#N/A</v>
      </c>
      <c r="HG11" s="63" t="str">
        <f t="shared" si="95"/>
        <v/>
      </c>
      <c r="HH11" s="82">
        <f t="shared" si="96"/>
        <v>1.0816326530612226</v>
      </c>
    </row>
    <row r="12" spans="1:235" x14ac:dyDescent="0.25">
      <c r="A12" s="57" t="s">
        <v>1408</v>
      </c>
      <c r="B12" s="58" t="s">
        <v>5082</v>
      </c>
      <c r="C12" s="386">
        <f t="shared" si="0"/>
        <v>3</v>
      </c>
      <c r="D12" s="372" t="str">
        <f>_xlfn.XLOOKUP(A12,[1]SP500!$A$2:$A$502,[1]SP500!$D$2:$D$502,"N")</f>
        <v>Y</v>
      </c>
      <c r="E12" s="57" t="str">
        <f>_xlfn.XLOOKUP(A12,[1]SP500!$A$2:$A$655,[1]SP500!$B$2:$B$655)</f>
        <v>XLF</v>
      </c>
      <c r="F12" s="59">
        <v>45672</v>
      </c>
      <c r="G12" s="57" t="str">
        <f t="shared" si="1"/>
        <v>BMO</v>
      </c>
      <c r="H12" s="57" t="str">
        <f t="shared" si="2"/>
        <v>o</v>
      </c>
      <c r="I12" s="159">
        <v>75.94</v>
      </c>
      <c r="J12" s="159">
        <v>79.099999999999994</v>
      </c>
      <c r="K12" s="61">
        <f t="shared" si="3"/>
        <v>4.1611798788517208E-2</v>
      </c>
      <c r="L12" s="87">
        <f t="shared" si="4"/>
        <v>16.644719515406905</v>
      </c>
      <c r="M12" s="63" t="str">
        <f t="shared" si="5"/>
        <v/>
      </c>
      <c r="N12" s="219" t="str">
        <f t="shared" si="6"/>
        <v/>
      </c>
      <c r="O12" s="219">
        <f>IF($J12="",#N/A,SUM($N$4:N12))</f>
        <v>84.635529662830209</v>
      </c>
      <c r="P12" s="220" t="str">
        <f t="shared" si="7"/>
        <v/>
      </c>
      <c r="Q12" s="220">
        <f>IF($J12="",#N/A,SUM($P$4:P12))</f>
        <v>29.496534111638084</v>
      </c>
      <c r="R12" s="221">
        <f t="shared" si="8"/>
        <v>16.644719515406905</v>
      </c>
      <c r="S12" s="222">
        <f>IF($J12="",#N/A,SUM($R$4:R12))</f>
        <v>100.0202831735254</v>
      </c>
      <c r="T12" s="281" t="str">
        <f t="shared" si="9"/>
        <v/>
      </c>
      <c r="U12" s="281">
        <f>IF($J12="",#N/A,SUM($T$4:T12))</f>
        <v>3.5264804026179255</v>
      </c>
      <c r="V12" s="282" t="str">
        <f t="shared" si="10"/>
        <v/>
      </c>
      <c r="W12" s="282">
        <f>IF($J12="",#N/A,SUM($V$4:V12))</f>
        <v>1.2290222546515868</v>
      </c>
      <c r="X12" s="283">
        <f t="shared" si="11"/>
        <v>0.69352997980862108</v>
      </c>
      <c r="Y12" s="283">
        <f>IF($J12="",#N/A,SUM($X$4:X12))</f>
        <v>4.1675117988968919</v>
      </c>
      <c r="Z12" s="304" t="str">
        <f t="shared" si="12"/>
        <v/>
      </c>
      <c r="AA12" s="304">
        <f>IF($J12="",#N/A,SUM(Z$4:Z12))</f>
        <v>0</v>
      </c>
      <c r="AB12" s="305" t="str">
        <f t="shared" si="13"/>
        <v/>
      </c>
      <c r="AC12" s="305">
        <f>IF($J12="",#N/A,SUM(AB$4:AB12))</f>
        <v>0</v>
      </c>
      <c r="AD12" s="306" t="str">
        <f t="shared" si="14"/>
        <v/>
      </c>
      <c r="AE12" s="306">
        <f>IF($J12="",#N/A,SUM(AD$4:AD12))</f>
        <v>0</v>
      </c>
      <c r="AF12" s="306">
        <f>IF($J12="",#N/A,SUM(AD$4:AD12,AB$4:AB12,Z$4:Z12))</f>
        <v>0</v>
      </c>
      <c r="AG12" s="304" t="str">
        <f t="shared" si="15"/>
        <v/>
      </c>
      <c r="AH12" s="304">
        <f>IF($J12="",#N/A,SUM(AG$4:AG12))</f>
        <v>0</v>
      </c>
      <c r="AI12" s="305" t="str">
        <f t="shared" si="16"/>
        <v/>
      </c>
      <c r="AJ12" s="305">
        <f>IF($J12="",#N/A,SUM(AI$4:AI12))</f>
        <v>0</v>
      </c>
      <c r="AK12" s="306" t="str">
        <f t="shared" si="17"/>
        <v/>
      </c>
      <c r="AL12" s="306">
        <f>IF($J12="",#N/A,SUM(AK$4:AK12))</f>
        <v>0</v>
      </c>
      <c r="AM12" s="306">
        <f>IF($J12="",#N/A,SUM(AK$4:AK12,AI$4:AI12,AG$4:AG12))</f>
        <v>0</v>
      </c>
      <c r="AN12" s="304" t="str">
        <f t="shared" si="18"/>
        <v/>
      </c>
      <c r="AO12" s="304">
        <f>IF($J12="",#N/A,SUM(AN$4:AN12))</f>
        <v>0</v>
      </c>
      <c r="AP12" s="305" t="str">
        <f t="shared" si="19"/>
        <v/>
      </c>
      <c r="AQ12" s="305">
        <f>IF($J12="",#N/A,SUM(AP$4:AP12))</f>
        <v>0</v>
      </c>
      <c r="AR12" s="306" t="str">
        <f t="shared" si="20"/>
        <v/>
      </c>
      <c r="AS12" s="306">
        <f>IF($J12="",#N/A,SUM(AR$4:AR12))</f>
        <v>0</v>
      </c>
      <c r="AT12" s="306">
        <f>IF($J12="",#N/A,SUM(AR$4:AR12,AP$4:AP12,AN$4:AN12))</f>
        <v>0</v>
      </c>
      <c r="AU12" s="304" t="str">
        <f t="shared" si="21"/>
        <v/>
      </c>
      <c r="AV12" s="304">
        <f>IF($J12="",#N/A,SUM(AU$4:AU12))</f>
        <v>0</v>
      </c>
      <c r="AW12" s="305" t="str">
        <f t="shared" si="22"/>
        <v/>
      </c>
      <c r="AX12" s="305">
        <f>IF($J12="",#N/A,SUM(AW$4:AW12))</f>
        <v>1.2290222546515868</v>
      </c>
      <c r="AY12" s="306" t="str">
        <f t="shared" si="23"/>
        <v/>
      </c>
      <c r="AZ12" s="306">
        <f>IF($J12="",#N/A,SUM(AY$4:AY12))</f>
        <v>2.4945770065075905</v>
      </c>
      <c r="BA12" s="306">
        <f>IF($J12="",#N/A,SUM(AY$4:AY12,AW$4:AW12,AU$4:AU12))</f>
        <v>3.7235992611591771</v>
      </c>
      <c r="BB12" s="304" t="str">
        <f t="shared" si="24"/>
        <v/>
      </c>
      <c r="BC12" s="304">
        <f>IF($J12="",#N/A,SUM(BB$4:BB12))</f>
        <v>0</v>
      </c>
      <c r="BD12" s="305" t="str">
        <f t="shared" si="25"/>
        <v/>
      </c>
      <c r="BE12" s="305">
        <f>IF($J12="",#N/A,SUM(BD$4:BD12))</f>
        <v>0</v>
      </c>
      <c r="BF12" s="306" t="str">
        <f t="shared" si="26"/>
        <v/>
      </c>
      <c r="BG12" s="306">
        <f>IF($J12="",#N/A,SUM(BF$4:BF12))</f>
        <v>0</v>
      </c>
      <c r="BH12" s="306">
        <f>IF($J12="",#N/A,SUM(BF$4:BF12,BD$4:BD12,BB$4:BB12))</f>
        <v>0</v>
      </c>
      <c r="BI12" s="304" t="str">
        <f t="shared" si="27"/>
        <v/>
      </c>
      <c r="BJ12" s="304">
        <f>IF($J12="",#N/A,SUM(BI$4:BI12))</f>
        <v>2.5577405784564178</v>
      </c>
      <c r="BK12" s="305" t="str">
        <f t="shared" si="28"/>
        <v/>
      </c>
      <c r="BL12" s="305">
        <f>IF($J12="",#N/A,SUM(BK$4:BK12))</f>
        <v>0</v>
      </c>
      <c r="BM12" s="306">
        <f t="shared" si="29"/>
        <v>0.69352997980862108</v>
      </c>
      <c r="BN12" s="306">
        <f>IF($J12="",#N/A,SUM(BM$4:BM12))</f>
        <v>1.6729347923893012</v>
      </c>
      <c r="BO12" s="306">
        <f>IF($J12="",#N/A,SUM(BM$4:BM12,BK$4:BK12,BI$4:BI12))</f>
        <v>4.2306753708457192</v>
      </c>
      <c r="BP12" s="304" t="str">
        <f t="shared" si="30"/>
        <v/>
      </c>
      <c r="BQ12" s="304">
        <f>IF($J12="",#N/A,SUM(BP$4:BP12))</f>
        <v>0.96873982416150761</v>
      </c>
      <c r="BR12" s="305" t="str">
        <f t="shared" si="31"/>
        <v/>
      </c>
      <c r="BS12" s="305">
        <f>IF($J12="",#N/A,SUM(BR$4:BR12))</f>
        <v>0</v>
      </c>
      <c r="BT12" s="306" t="str">
        <f t="shared" si="32"/>
        <v/>
      </c>
      <c r="BU12" s="306">
        <f>IF($J12="",#N/A,SUM(BT$4:BT12))</f>
        <v>0</v>
      </c>
      <c r="BV12" s="306">
        <f>IF($J12="",#N/A,SUM(BT$4:BT12,BR$4:BR12,BP$4:BP12))</f>
        <v>0.96873982416150761</v>
      </c>
      <c r="BW12" s="304" t="str">
        <f t="shared" si="33"/>
        <v/>
      </c>
      <c r="BX12" s="304">
        <f>IF($J12="",#N/A,SUM(BW$4:BW12))</f>
        <v>0</v>
      </c>
      <c r="BY12" s="305" t="str">
        <f t="shared" si="34"/>
        <v/>
      </c>
      <c r="BZ12" s="305">
        <f>IF($J12="",#N/A,SUM(BY$4:BY12))</f>
        <v>0</v>
      </c>
      <c r="CA12" s="306" t="str">
        <f t="shared" si="35"/>
        <v/>
      </c>
      <c r="CB12" s="306">
        <f>IF($J12="",#N/A,SUM(CA$4:CA12))</f>
        <v>0</v>
      </c>
      <c r="CC12" s="306">
        <f>IF($J12="",#N/A,SUM(CA$4:CA12,BY$4:BY12,BW$4:BW12))</f>
        <v>0</v>
      </c>
      <c r="CD12" s="304" t="str">
        <f t="shared" si="36"/>
        <v/>
      </c>
      <c r="CE12" s="304">
        <f>IF($J12="",#N/A,SUM(CD$4:CD12))</f>
        <v>0</v>
      </c>
      <c r="CF12" s="305" t="str">
        <f t="shared" si="37"/>
        <v/>
      </c>
      <c r="CG12" s="305">
        <f>IF($J12="",#N/A,SUM(CF$4:CF12))</f>
        <v>0</v>
      </c>
      <c r="CH12" s="306" t="str">
        <f t="shared" si="38"/>
        <v/>
      </c>
      <c r="CI12" s="306">
        <f>IF($J12="",#N/A,SUM(CH$4:CH12))</f>
        <v>0</v>
      </c>
      <c r="CJ12" s="306">
        <f>IF($J12="",#N/A,SUM(CH$4:CH12,CF$4:CF12,CD$4:CD12))</f>
        <v>0</v>
      </c>
      <c r="CK12" s="304" t="str">
        <f t="shared" si="39"/>
        <v/>
      </c>
      <c r="CL12" s="304">
        <f>IF($J12="",#N/A,SUM(CK$4:CK12))</f>
        <v>0</v>
      </c>
      <c r="CM12" s="305" t="str">
        <f t="shared" si="40"/>
        <v/>
      </c>
      <c r="CN12" s="305">
        <f>IF($J12="",#N/A,SUM(CM$4:CM12))</f>
        <v>0</v>
      </c>
      <c r="CO12" s="306" t="str">
        <f t="shared" si="41"/>
        <v/>
      </c>
      <c r="CP12" s="306">
        <f>IF($J12="",#N/A,SUM(CO$4:CO12))</f>
        <v>0</v>
      </c>
      <c r="CQ12" s="306">
        <f>IF($J12="",#N/A,SUM(CO$4:CO12,CM$4:CM12,CK$4:CK12))</f>
        <v>0</v>
      </c>
      <c r="CR12" s="304" t="str">
        <f t="shared" si="42"/>
        <v/>
      </c>
      <c r="CS12" s="304">
        <f>IF($J12="",#N/A,SUM(CR$4:CR12))</f>
        <v>0</v>
      </c>
      <c r="CT12" s="305" t="str">
        <f t="shared" si="43"/>
        <v/>
      </c>
      <c r="CU12" s="305">
        <f>IF($J12="",#N/A,SUM(CT$4:CT12))</f>
        <v>0</v>
      </c>
      <c r="CV12" s="306" t="str">
        <f t="shared" si="44"/>
        <v/>
      </c>
      <c r="CW12" s="306">
        <f>IF($J12="",#N/A,SUM(CV$4:CV12))</f>
        <v>0</v>
      </c>
      <c r="CX12" s="306">
        <f>IF($J12="",#N/A,SUM(CV$4:CV12,CT$4:CT12,CR$4:CR12))</f>
        <v>0</v>
      </c>
      <c r="CY12" s="304" t="str">
        <f t="shared" si="45"/>
        <v/>
      </c>
      <c r="CZ12" s="304">
        <f>IF($J12="",#N/A,SUM(CY$4:CY12))</f>
        <v>0</v>
      </c>
      <c r="DA12" s="305" t="str">
        <f t="shared" si="46"/>
        <v/>
      </c>
      <c r="DB12" s="305">
        <f>IF($J12="",#N/A,SUM(DA$4:DA12))</f>
        <v>0</v>
      </c>
      <c r="DC12" s="306" t="str">
        <f t="shared" si="47"/>
        <v/>
      </c>
      <c r="DD12" s="306">
        <f>IF($J12="",#N/A,SUM(DC$4:DC12))</f>
        <v>0</v>
      </c>
      <c r="DE12" s="306">
        <f>IF($J12="",#N/A,SUM(DC$4:DC12,DA$4:DA12,CY$4:CY12))</f>
        <v>0</v>
      </c>
      <c r="DF12" s="304" t="str">
        <f t="shared" si="48"/>
        <v/>
      </c>
      <c r="DG12" s="304">
        <f>IF($J12="",#N/A,SUM(DF$4:DF12))</f>
        <v>0</v>
      </c>
      <c r="DH12" s="305" t="str">
        <f t="shared" si="49"/>
        <v/>
      </c>
      <c r="DI12" s="305">
        <f>IF($J12="",#N/A,SUM(DH$4:DH12))</f>
        <v>0</v>
      </c>
      <c r="DJ12" s="306" t="str">
        <f t="shared" si="50"/>
        <v/>
      </c>
      <c r="DK12" s="306">
        <f>IF($J12="",#N/A,SUM(DJ$4:DJ12))</f>
        <v>0</v>
      </c>
      <c r="DL12" s="306">
        <f>IF($J12="",#N/A,SUM(DJ$4:DJ12,DH$4:DH12,DF$4:DF12))</f>
        <v>0</v>
      </c>
      <c r="DM12" s="304" t="str">
        <f t="shared" si="51"/>
        <v/>
      </c>
      <c r="DN12" s="304">
        <f>IF($J12="",#N/A,SUM(DM$4:DM12))</f>
        <v>0</v>
      </c>
      <c r="DO12" s="305" t="str">
        <f t="shared" si="52"/>
        <v/>
      </c>
      <c r="DP12" s="305">
        <f>IF($J12="",#N/A,SUM(DO$4:DO12))</f>
        <v>0</v>
      </c>
      <c r="DQ12" s="306" t="str">
        <f t="shared" si="53"/>
        <v/>
      </c>
      <c r="DR12" s="306">
        <f>IF($J12="",#N/A,SUM(DQ$4:DQ12))</f>
        <v>0</v>
      </c>
      <c r="DS12" s="306">
        <f>IF($J12="",#N/A,SUM(DQ$4:DQ12,DO$4:DO12,DM$4:DM12))</f>
        <v>0</v>
      </c>
      <c r="DT12" s="304" t="str">
        <f t="shared" si="54"/>
        <v/>
      </c>
      <c r="DU12" s="304">
        <f>IF($J12="",#N/A,SUM(DT$4:DT12))</f>
        <v>0</v>
      </c>
      <c r="DV12" s="305" t="str">
        <f t="shared" si="55"/>
        <v/>
      </c>
      <c r="DW12" s="305">
        <f>IF($J12="",#N/A,SUM(DV$4:DV12))</f>
        <v>0</v>
      </c>
      <c r="DX12" s="306" t="str">
        <f t="shared" si="56"/>
        <v/>
      </c>
      <c r="DY12" s="306">
        <f>IF($J12="",#N/A,SUM(DX$4:DX12))</f>
        <v>0</v>
      </c>
      <c r="DZ12" s="306">
        <f>IF($J12="",#N/A,SUM(DX$4:DX12,DV$4:DV12,DT$4:DT12))</f>
        <v>0</v>
      </c>
      <c r="EA12" s="304" t="str">
        <f t="shared" si="57"/>
        <v/>
      </c>
      <c r="EB12" s="304">
        <f>IF($J12="",#N/A,SUM(EA$4:EA12))</f>
        <v>0</v>
      </c>
      <c r="EC12" s="305" t="str">
        <f t="shared" si="58"/>
        <v/>
      </c>
      <c r="ED12" s="305">
        <f>IF($J12="",#N/A,SUM(EC$4:EC12))</f>
        <v>0</v>
      </c>
      <c r="EE12" s="306" t="str">
        <f t="shared" si="59"/>
        <v/>
      </c>
      <c r="EF12" s="306">
        <f>IF($J12="",#N/A,SUM(EE$4:EE12))</f>
        <v>0</v>
      </c>
      <c r="EG12" s="306">
        <f>IF($J12="",#N/A,SUM(EE$4:EE12,EC$4:EC12,EA$4:EA12))</f>
        <v>0</v>
      </c>
      <c r="EH12" s="223">
        <f t="shared" si="60"/>
        <v>16.644719515406905</v>
      </c>
      <c r="EI12" s="224">
        <f>IF(EH12="",#N/A,SUM($EH$4:EH12))</f>
        <v>214.15234694799369</v>
      </c>
      <c r="EJ12" s="223">
        <f t="shared" si="61"/>
        <v>32.130629444298222</v>
      </c>
      <c r="EK12" s="63">
        <f>IF($GZ12="",#N/A,SUM(EJ$4:EJ12))</f>
        <v>352.12113655011507</v>
      </c>
      <c r="EL12" s="60">
        <f t="shared" si="97"/>
        <v>0.69352997980862108</v>
      </c>
      <c r="EM12" s="60">
        <f>IF(EL12="",NA(),SUM($EL$4:EL12))</f>
        <v>8.9230144561664044</v>
      </c>
      <c r="EN12" s="60" t="str">
        <f t="shared" si="62"/>
        <v/>
      </c>
      <c r="EO12" s="60" t="e">
        <f>IF(EN12="",NA(),SUM($EN$4:EN12))</f>
        <v>#N/A</v>
      </c>
      <c r="EP12" s="60">
        <f t="shared" si="63"/>
        <v>0.69352997980862108</v>
      </c>
      <c r="EQ12" s="60">
        <f>IF(EP12="",NA(),SUM($EP$4:EP12))</f>
        <v>4.1675117988968919</v>
      </c>
      <c r="ER12" s="60" t="str">
        <f t="shared" si="64"/>
        <v/>
      </c>
      <c r="ES12" s="60" t="e">
        <f>IF(ER12="",NA(),SUM($ER$4:ER12))</f>
        <v>#N/A</v>
      </c>
      <c r="ET12" s="60" t="str">
        <f t="shared" si="65"/>
        <v/>
      </c>
      <c r="EU12" s="60" t="e">
        <f>IF(ET12="",NA(),SUM($ET$4:ET12))</f>
        <v>#N/A</v>
      </c>
      <c r="EV12" s="60" t="str">
        <f t="shared" si="66"/>
        <v/>
      </c>
      <c r="EW12" s="60" t="e">
        <f>IF(EV12="",NA(),SUM($EV$4:EV12))</f>
        <v>#N/A</v>
      </c>
      <c r="EX12" s="60" t="str">
        <f t="shared" si="67"/>
        <v/>
      </c>
      <c r="EY12" s="60" t="e">
        <f>IF(EX12="",NA(),SUM($EX$4:EX12))</f>
        <v>#N/A</v>
      </c>
      <c r="EZ12" s="60" t="str">
        <f t="shared" si="68"/>
        <v/>
      </c>
      <c r="FA12" s="60" t="e">
        <f>IF(EZ12="",NA(),SUM($EZ$4:EZ12))</f>
        <v>#N/A</v>
      </c>
      <c r="FB12" s="246" t="str">
        <f t="shared" si="98"/>
        <v/>
      </c>
      <c r="FC12" s="269" t="e">
        <f>IF($FB12="",#N/A,SUM(FB$4:$FB12))</f>
        <v>#N/A</v>
      </c>
      <c r="FD12" s="60" t="str">
        <f t="shared" si="69"/>
        <v/>
      </c>
      <c r="FE12" s="60" t="e">
        <f>IF($FD12="",#N/A,SUM($FD$4:FD12))</f>
        <v>#N/A</v>
      </c>
      <c r="FF12" s="60" t="str">
        <f t="shared" si="70"/>
        <v/>
      </c>
      <c r="FG12" s="60" t="e">
        <f>IF($FF12="",#N/A,SUM($FF$4:FF12))</f>
        <v>#N/A</v>
      </c>
      <c r="FH12" s="60" t="str">
        <f t="shared" si="71"/>
        <v/>
      </c>
      <c r="FI12" s="60" t="e">
        <f>IF($FH12="",#N/A,SUM($FH$4:FH12))</f>
        <v>#N/A</v>
      </c>
      <c r="FJ12" s="60">
        <f t="shared" si="72"/>
        <v>0.64524624703713818</v>
      </c>
      <c r="FK12" s="60">
        <f>IF($FJ12="",#N/A,SUM($FJ$4:FJ12))</f>
        <v>2.6281038889264603</v>
      </c>
      <c r="FL12" s="60" t="str">
        <f t="shared" si="73"/>
        <v/>
      </c>
      <c r="FM12" s="60" t="e">
        <f>IF($FL12="",#N/A,SUM($FL$4:FL12))</f>
        <v>#N/A</v>
      </c>
      <c r="FN12" s="82">
        <f t="shared" si="74"/>
        <v>1.3387762268457593</v>
      </c>
      <c r="FO12" s="82">
        <f>IF($FN12="",#N/A,SUM(FN$4:$FN12))</f>
        <v>14.67171402292146</v>
      </c>
      <c r="FP12" s="82">
        <f t="shared" si="99"/>
        <v>0.69352997980862108</v>
      </c>
      <c r="FQ12" s="246">
        <f>IF($EH12="",#N/A,SUM($FP$4:FP12))</f>
        <v>8.9230144561664044</v>
      </c>
      <c r="FR12" s="273"/>
      <c r="FS12" s="273"/>
      <c r="FT12" s="273"/>
      <c r="FU12" s="82" t="e">
        <v>#N/A</v>
      </c>
      <c r="FV12" s="57" t="str">
        <f t="shared" si="75"/>
        <v>SW</v>
      </c>
      <c r="FW12" s="57" t="s">
        <v>2732</v>
      </c>
      <c r="FX12" s="57" t="str">
        <f t="shared" si="76"/>
        <v/>
      </c>
      <c r="FY12" s="57" t="str">
        <f t="shared" si="77"/>
        <v/>
      </c>
      <c r="FZ12" s="57">
        <f t="shared" si="78"/>
        <v>1</v>
      </c>
      <c r="GA12" s="57" t="str">
        <f t="shared" si="79"/>
        <v>Long</v>
      </c>
      <c r="GB12" s="57" t="str">
        <f t="shared" si="80"/>
        <v/>
      </c>
      <c r="GC12" s="57" t="str">
        <f t="shared" si="81"/>
        <v/>
      </c>
      <c r="GD12" s="57" t="str">
        <f t="shared" si="82"/>
        <v/>
      </c>
      <c r="GE12" s="62">
        <f t="shared" si="83"/>
        <v>75.94</v>
      </c>
      <c r="GF12" s="62" t="s">
        <v>2779</v>
      </c>
      <c r="GG12" s="199">
        <f t="shared" si="84"/>
        <v>5.2673163023439562</v>
      </c>
      <c r="GH12" s="207">
        <f t="shared" si="85"/>
        <v>400</v>
      </c>
      <c r="GI12" s="199">
        <f t="shared" si="86"/>
        <v>5.2673163023439562</v>
      </c>
      <c r="GJ12" s="200">
        <f t="shared" si="87"/>
        <v>79.099999999999994</v>
      </c>
      <c r="GK12" s="63">
        <f t="shared" si="88"/>
        <v>16.644719515406905</v>
      </c>
      <c r="GL12" s="63">
        <f t="shared" si="89"/>
        <v>32.130629444298222</v>
      </c>
      <c r="GM12" s="82">
        <f t="shared" si="90"/>
        <v>1.3387762268457593</v>
      </c>
      <c r="GN12" s="82">
        <f>IF($GZ12="",#N/A,SUM(GM$4:GM12))</f>
        <v>6.7956156878233518</v>
      </c>
      <c r="GO12" s="82" t="str">
        <f t="shared" si="91"/>
        <v/>
      </c>
      <c r="GP12" s="82">
        <f>IF($GZ12="",#N/A,SUM(GO$4:GO12))</f>
        <v>5.0281413850798682</v>
      </c>
      <c r="GQ12" s="82" t="str">
        <f t="shared" si="92"/>
        <v/>
      </c>
      <c r="GR12" s="82">
        <f>IF($GZ12="",#N/A,SUM(GQ$4:GQ12))</f>
        <v>2.8479569500182413</v>
      </c>
      <c r="GS12" s="63">
        <f t="shared" si="100"/>
        <v>32.130629444298222</v>
      </c>
      <c r="GT12" s="63">
        <f>IF($GZ12="",#N/A,SUM(GS$4:GS12))</f>
        <v>163.09477650776046</v>
      </c>
      <c r="GU12" s="63" t="str">
        <f t="shared" si="101"/>
        <v/>
      </c>
      <c r="GV12" s="63">
        <f>IF($GZ12="",#N/A,SUM(GU$4:GU12))</f>
        <v>120.67539324191682</v>
      </c>
      <c r="GW12" s="62" t="str">
        <f t="shared" si="102"/>
        <v/>
      </c>
      <c r="GX12" s="63">
        <f>IF($GZ12="",#N/A,SUM(GW$4:GW12))</f>
        <v>68.350966800437789</v>
      </c>
      <c r="GY12" s="63">
        <f>IF(EJ12="",#N/A,SUM($EJ$4:EJ12))</f>
        <v>352.12113655011507</v>
      </c>
      <c r="GZ12" s="159">
        <v>82.04</v>
      </c>
      <c r="HA12" s="63">
        <f t="shared" si="93"/>
        <v>15.485909928891317</v>
      </c>
      <c r="HB12" s="62" t="s">
        <v>4970</v>
      </c>
      <c r="HC12" s="60">
        <f>IFERROR(VLOOKUP(E12,Expectancy!$P$4:$S$19,1+C12,FALSE),"")</f>
        <v>9.9793136114217987E-2</v>
      </c>
      <c r="HD12" s="60" t="str">
        <f t="shared" si="94"/>
        <v/>
      </c>
      <c r="HE12" s="60" t="e">
        <f>IF(HD12="",#N/A,SUM($HD$4:HD12))</f>
        <v>#N/A</v>
      </c>
      <c r="HF12" s="64" t="e">
        <f>IF(HD12="",#N/A,IF(HB12="Skip",#N/A,SUM($HG$4:HG12)))</f>
        <v>#N/A</v>
      </c>
      <c r="HG12" s="63" t="str">
        <f t="shared" si="95"/>
        <v/>
      </c>
      <c r="HH12" s="82">
        <f t="shared" si="96"/>
        <v>1.3387762268457593</v>
      </c>
    </row>
    <row r="13" spans="1:235" x14ac:dyDescent="0.25">
      <c r="A13" s="57" t="s">
        <v>1286</v>
      </c>
      <c r="B13" s="58" t="s">
        <v>5084</v>
      </c>
      <c r="C13" s="386">
        <f t="shared" si="0"/>
        <v>2</v>
      </c>
      <c r="D13" s="372" t="str">
        <f>_xlfn.XLOOKUP(A13,[1]SP500!$A$2:$A$502,[1]SP500!$D$2:$D$502,"N")</f>
        <v>Y</v>
      </c>
      <c r="E13" s="57" t="str">
        <f>_xlfn.XLOOKUP(A13,[1]SP500!$A$2:$A$655,[1]SP500!$B$2:$B$655)</f>
        <v>H-INS</v>
      </c>
      <c r="F13" s="59">
        <v>45673</v>
      </c>
      <c r="G13" s="57" t="str">
        <f t="shared" si="1"/>
        <v>BMO</v>
      </c>
      <c r="H13" s="57" t="str">
        <f t="shared" si="2"/>
        <v>o</v>
      </c>
      <c r="I13" s="159">
        <v>543.41999999999996</v>
      </c>
      <c r="J13" s="159">
        <v>530.35</v>
      </c>
      <c r="K13" s="61">
        <f t="shared" si="3"/>
        <v>-2.4051378307754476E-2</v>
      </c>
      <c r="L13" s="87">
        <f t="shared" si="4"/>
        <v>9.6205513231018358</v>
      </c>
      <c r="M13" s="63" t="str">
        <f t="shared" si="5"/>
        <v/>
      </c>
      <c r="N13" s="219" t="str">
        <f t="shared" si="6"/>
        <v/>
      </c>
      <c r="O13" s="219">
        <f>IF($J13="",#N/A,SUM($N$4:N13))</f>
        <v>84.635529662830209</v>
      </c>
      <c r="P13" s="220">
        <f t="shared" si="7"/>
        <v>9.6205513231018358</v>
      </c>
      <c r="Q13" s="220">
        <f>IF($J13="",#N/A,SUM($P$4:P13))</f>
        <v>39.11708543473992</v>
      </c>
      <c r="R13" s="221" t="str">
        <f t="shared" si="8"/>
        <v/>
      </c>
      <c r="S13" s="222">
        <f>IF($J13="",#N/A,SUM($R$4:R13))</f>
        <v>100.0202831735254</v>
      </c>
      <c r="T13" s="281" t="str">
        <f t="shared" si="9"/>
        <v/>
      </c>
      <c r="U13" s="281">
        <f>IF($J13="",#N/A,SUM($T$4:T13))</f>
        <v>3.5264804026179255</v>
      </c>
      <c r="V13" s="282">
        <f t="shared" si="10"/>
        <v>0.40085630512924314</v>
      </c>
      <c r="W13" s="282">
        <f>IF($J13="",#N/A,SUM($V$4:V13))</f>
        <v>1.6298785597808298</v>
      </c>
      <c r="X13" s="283" t="str">
        <f t="shared" si="11"/>
        <v/>
      </c>
      <c r="Y13" s="283">
        <f>IF($J13="",#N/A,SUM($X$4:X13))</f>
        <v>4.1675117988968919</v>
      </c>
      <c r="Z13" s="304" t="str">
        <f t="shared" si="12"/>
        <v/>
      </c>
      <c r="AA13" s="304">
        <f>IF($J13="",#N/A,SUM(Z$4:Z13))</f>
        <v>0</v>
      </c>
      <c r="AB13" s="305" t="str">
        <f t="shared" si="13"/>
        <v/>
      </c>
      <c r="AC13" s="305">
        <f>IF($J13="",#N/A,SUM(AB$4:AB13))</f>
        <v>0</v>
      </c>
      <c r="AD13" s="306" t="str">
        <f t="shared" si="14"/>
        <v/>
      </c>
      <c r="AE13" s="306">
        <f>IF($J13="",#N/A,SUM(AD$4:AD13))</f>
        <v>0</v>
      </c>
      <c r="AF13" s="306">
        <f>IF($J13="",#N/A,SUM(AD$4:AD13,AB$4:AB13,Z$4:Z13))</f>
        <v>0</v>
      </c>
      <c r="AG13" s="304" t="str">
        <f t="shared" si="15"/>
        <v/>
      </c>
      <c r="AH13" s="304">
        <f>IF($J13="",#N/A,SUM(AG$4:AG13))</f>
        <v>0</v>
      </c>
      <c r="AI13" s="305" t="str">
        <f t="shared" si="16"/>
        <v/>
      </c>
      <c r="AJ13" s="305">
        <f>IF($J13="",#N/A,SUM(AI$4:AI13))</f>
        <v>0</v>
      </c>
      <c r="AK13" s="306" t="str">
        <f t="shared" si="17"/>
        <v/>
      </c>
      <c r="AL13" s="306">
        <f>IF($J13="",#N/A,SUM(AK$4:AK13))</f>
        <v>0</v>
      </c>
      <c r="AM13" s="306">
        <f>IF($J13="",#N/A,SUM(AK$4:AK13,AI$4:AI13,AG$4:AG13))</f>
        <v>0</v>
      </c>
      <c r="AN13" s="304" t="str">
        <f t="shared" si="18"/>
        <v/>
      </c>
      <c r="AO13" s="304">
        <f>IF($J13="",#N/A,SUM(AN$4:AN13))</f>
        <v>0</v>
      </c>
      <c r="AP13" s="305" t="str">
        <f t="shared" si="19"/>
        <v/>
      </c>
      <c r="AQ13" s="305">
        <f>IF($J13="",#N/A,SUM(AP$4:AP13))</f>
        <v>0</v>
      </c>
      <c r="AR13" s="306" t="str">
        <f t="shared" si="20"/>
        <v/>
      </c>
      <c r="AS13" s="306">
        <f>IF($J13="",#N/A,SUM(AR$4:AR13))</f>
        <v>0</v>
      </c>
      <c r="AT13" s="306">
        <f>IF($J13="",#N/A,SUM(AR$4:AR13,AP$4:AP13,AN$4:AN13))</f>
        <v>0</v>
      </c>
      <c r="AU13" s="304" t="str">
        <f t="shared" si="21"/>
        <v/>
      </c>
      <c r="AV13" s="304">
        <f>IF($J13="",#N/A,SUM(AU$4:AU13))</f>
        <v>0</v>
      </c>
      <c r="AW13" s="305" t="str">
        <f t="shared" si="22"/>
        <v/>
      </c>
      <c r="AX13" s="305">
        <f>IF($J13="",#N/A,SUM(AW$4:AW13))</f>
        <v>1.2290222546515868</v>
      </c>
      <c r="AY13" s="306" t="str">
        <f t="shared" si="23"/>
        <v/>
      </c>
      <c r="AZ13" s="306">
        <f>IF($J13="",#N/A,SUM(AY$4:AY13))</f>
        <v>2.4945770065075905</v>
      </c>
      <c r="BA13" s="306">
        <f>IF($J13="",#N/A,SUM(AY$4:AY13,AW$4:AW13,AU$4:AU13))</f>
        <v>3.7235992611591771</v>
      </c>
      <c r="BB13" s="304" t="str">
        <f t="shared" si="24"/>
        <v/>
      </c>
      <c r="BC13" s="304">
        <f>IF($J13="",#N/A,SUM(BB$4:BB13))</f>
        <v>0</v>
      </c>
      <c r="BD13" s="305" t="str">
        <f t="shared" si="25"/>
        <v/>
      </c>
      <c r="BE13" s="305">
        <f>IF($J13="",#N/A,SUM(BD$4:BD13))</f>
        <v>0</v>
      </c>
      <c r="BF13" s="306" t="str">
        <f t="shared" si="26"/>
        <v/>
      </c>
      <c r="BG13" s="306">
        <f>IF($J13="",#N/A,SUM(BF$4:BF13))</f>
        <v>0</v>
      </c>
      <c r="BH13" s="306">
        <f>IF($J13="",#N/A,SUM(BF$4:BF13,BD$4:BD13,BB$4:BB13))</f>
        <v>0</v>
      </c>
      <c r="BI13" s="304" t="str">
        <f t="shared" si="27"/>
        <v/>
      </c>
      <c r="BJ13" s="304">
        <f>IF($J13="",#N/A,SUM(BI$4:BI13))</f>
        <v>2.5577405784564178</v>
      </c>
      <c r="BK13" s="305" t="str">
        <f t="shared" si="28"/>
        <v/>
      </c>
      <c r="BL13" s="305">
        <f>IF($J13="",#N/A,SUM(BK$4:BK13))</f>
        <v>0</v>
      </c>
      <c r="BM13" s="306" t="str">
        <f t="shared" si="29"/>
        <v/>
      </c>
      <c r="BN13" s="306">
        <f>IF($J13="",#N/A,SUM(BM$4:BM13))</f>
        <v>1.6729347923893012</v>
      </c>
      <c r="BO13" s="306">
        <f>IF($J13="",#N/A,SUM(BM$4:BM13,BK$4:BK13,BI$4:BI13))</f>
        <v>4.2306753708457192</v>
      </c>
      <c r="BP13" s="304" t="str">
        <f t="shared" si="30"/>
        <v/>
      </c>
      <c r="BQ13" s="304">
        <f>IF($J13="",#N/A,SUM(BP$4:BP13))</f>
        <v>0.96873982416150761</v>
      </c>
      <c r="BR13" s="305" t="str">
        <f t="shared" si="31"/>
        <v/>
      </c>
      <c r="BS13" s="305">
        <f>IF($J13="",#N/A,SUM(BR$4:BR13))</f>
        <v>0</v>
      </c>
      <c r="BT13" s="306" t="str">
        <f t="shared" si="32"/>
        <v/>
      </c>
      <c r="BU13" s="306">
        <f>IF($J13="",#N/A,SUM(BT$4:BT13))</f>
        <v>0</v>
      </c>
      <c r="BV13" s="306">
        <f>IF($J13="",#N/A,SUM(BT$4:BT13,BR$4:BR13,BP$4:BP13))</f>
        <v>0.96873982416150761</v>
      </c>
      <c r="BW13" s="304" t="str">
        <f t="shared" si="33"/>
        <v/>
      </c>
      <c r="BX13" s="304">
        <f>IF($J13="",#N/A,SUM(BW$4:BW13))</f>
        <v>0</v>
      </c>
      <c r="BY13" s="305" t="str">
        <f t="shared" si="34"/>
        <v/>
      </c>
      <c r="BZ13" s="305">
        <f>IF($J13="",#N/A,SUM(BY$4:BY13))</f>
        <v>0</v>
      </c>
      <c r="CA13" s="306" t="str">
        <f t="shared" si="35"/>
        <v/>
      </c>
      <c r="CB13" s="306">
        <f>IF($J13="",#N/A,SUM(CA$4:CA13))</f>
        <v>0</v>
      </c>
      <c r="CC13" s="306">
        <f>IF($J13="",#N/A,SUM(CA$4:CA13,BY$4:BY13,BW$4:BW13))</f>
        <v>0</v>
      </c>
      <c r="CD13" s="304" t="str">
        <f t="shared" si="36"/>
        <v/>
      </c>
      <c r="CE13" s="304">
        <f>IF($J13="",#N/A,SUM(CD$4:CD13))</f>
        <v>0</v>
      </c>
      <c r="CF13" s="305" t="str">
        <f t="shared" si="37"/>
        <v/>
      </c>
      <c r="CG13" s="305">
        <f>IF($J13="",#N/A,SUM(CF$4:CF13))</f>
        <v>0</v>
      </c>
      <c r="CH13" s="306" t="str">
        <f t="shared" si="38"/>
        <v/>
      </c>
      <c r="CI13" s="306">
        <f>IF($J13="",#N/A,SUM(CH$4:CH13))</f>
        <v>0</v>
      </c>
      <c r="CJ13" s="306">
        <f>IF($J13="",#N/A,SUM(CH$4:CH13,CF$4:CF13,CD$4:CD13))</f>
        <v>0</v>
      </c>
      <c r="CK13" s="304" t="str">
        <f t="shared" si="39"/>
        <v/>
      </c>
      <c r="CL13" s="304">
        <f>IF($J13="",#N/A,SUM(CK$4:CK13))</f>
        <v>0</v>
      </c>
      <c r="CM13" s="305" t="str">
        <f t="shared" si="40"/>
        <v/>
      </c>
      <c r="CN13" s="305">
        <f>IF($J13="",#N/A,SUM(CM$4:CM13))</f>
        <v>0</v>
      </c>
      <c r="CO13" s="306" t="str">
        <f t="shared" si="41"/>
        <v/>
      </c>
      <c r="CP13" s="306">
        <f>IF($J13="",#N/A,SUM(CO$4:CO13))</f>
        <v>0</v>
      </c>
      <c r="CQ13" s="306">
        <f>IF($J13="",#N/A,SUM(CO$4:CO13,CM$4:CM13,CK$4:CK13))</f>
        <v>0</v>
      </c>
      <c r="CR13" s="304" t="str">
        <f t="shared" si="42"/>
        <v/>
      </c>
      <c r="CS13" s="304">
        <f>IF($J13="",#N/A,SUM(CR$4:CR13))</f>
        <v>0</v>
      </c>
      <c r="CT13" s="305" t="str">
        <f t="shared" si="43"/>
        <v/>
      </c>
      <c r="CU13" s="305">
        <f>IF($J13="",#N/A,SUM(CT$4:CT13))</f>
        <v>0</v>
      </c>
      <c r="CV13" s="306" t="str">
        <f t="shared" si="44"/>
        <v/>
      </c>
      <c r="CW13" s="306">
        <f>IF($J13="",#N/A,SUM(CV$4:CV13))</f>
        <v>0</v>
      </c>
      <c r="CX13" s="306">
        <f>IF($J13="",#N/A,SUM(CV$4:CV13,CT$4:CT13,CR$4:CR13))</f>
        <v>0</v>
      </c>
      <c r="CY13" s="304" t="str">
        <f t="shared" si="45"/>
        <v/>
      </c>
      <c r="CZ13" s="304">
        <f>IF($J13="",#N/A,SUM(CY$4:CY13))</f>
        <v>0</v>
      </c>
      <c r="DA13" s="305" t="str">
        <f t="shared" si="46"/>
        <v/>
      </c>
      <c r="DB13" s="305">
        <f>IF($J13="",#N/A,SUM(DA$4:DA13))</f>
        <v>0</v>
      </c>
      <c r="DC13" s="306" t="str">
        <f t="shared" si="47"/>
        <v/>
      </c>
      <c r="DD13" s="306">
        <f>IF($J13="",#N/A,SUM(DC$4:DC13))</f>
        <v>0</v>
      </c>
      <c r="DE13" s="306">
        <f>IF($J13="",#N/A,SUM(DC$4:DC13,DA$4:DA13,CY$4:CY13))</f>
        <v>0</v>
      </c>
      <c r="DF13" s="304" t="str">
        <f t="shared" si="48"/>
        <v/>
      </c>
      <c r="DG13" s="304">
        <f>IF($J13="",#N/A,SUM(DF$4:DF13))</f>
        <v>0</v>
      </c>
      <c r="DH13" s="305" t="str">
        <f t="shared" si="49"/>
        <v/>
      </c>
      <c r="DI13" s="305">
        <f>IF($J13="",#N/A,SUM(DH$4:DH13))</f>
        <v>0</v>
      </c>
      <c r="DJ13" s="306" t="str">
        <f t="shared" si="50"/>
        <v/>
      </c>
      <c r="DK13" s="306">
        <f>IF($J13="",#N/A,SUM(DJ$4:DJ13))</f>
        <v>0</v>
      </c>
      <c r="DL13" s="306">
        <f>IF($J13="",#N/A,SUM(DJ$4:DJ13,DH$4:DH13,DF$4:DF13))</f>
        <v>0</v>
      </c>
      <c r="DM13" s="304" t="str">
        <f t="shared" si="51"/>
        <v/>
      </c>
      <c r="DN13" s="304">
        <f>IF($J13="",#N/A,SUM(DM$4:DM13))</f>
        <v>0</v>
      </c>
      <c r="DO13" s="305" t="str">
        <f t="shared" si="52"/>
        <v/>
      </c>
      <c r="DP13" s="305">
        <f>IF($J13="",#N/A,SUM(DO$4:DO13))</f>
        <v>0</v>
      </c>
      <c r="DQ13" s="306" t="str">
        <f t="shared" si="53"/>
        <v/>
      </c>
      <c r="DR13" s="306">
        <f>IF($J13="",#N/A,SUM(DQ$4:DQ13))</f>
        <v>0</v>
      </c>
      <c r="DS13" s="306">
        <f>IF($J13="",#N/A,SUM(DQ$4:DQ13,DO$4:DO13,DM$4:DM13))</f>
        <v>0</v>
      </c>
      <c r="DT13" s="304" t="str">
        <f t="shared" si="54"/>
        <v/>
      </c>
      <c r="DU13" s="304">
        <f>IF($J13="",#N/A,SUM(DT$4:DT13))</f>
        <v>0</v>
      </c>
      <c r="DV13" s="305">
        <f t="shared" si="55"/>
        <v>0.40085630512924314</v>
      </c>
      <c r="DW13" s="305">
        <f>IF($J13="",#N/A,SUM(DV$4:DV13))</f>
        <v>0.40085630512924314</v>
      </c>
      <c r="DX13" s="306" t="str">
        <f t="shared" si="56"/>
        <v/>
      </c>
      <c r="DY13" s="306">
        <f>IF($J13="",#N/A,SUM(DX$4:DX13))</f>
        <v>0</v>
      </c>
      <c r="DZ13" s="306">
        <f>IF($J13="",#N/A,SUM(DX$4:DX13,DV$4:DV13,DT$4:DT13))</f>
        <v>0.40085630512924314</v>
      </c>
      <c r="EA13" s="304" t="str">
        <f t="shared" si="57"/>
        <v/>
      </c>
      <c r="EB13" s="304">
        <f>IF($J13="",#N/A,SUM(EA$4:EA13))</f>
        <v>0</v>
      </c>
      <c r="EC13" s="305" t="str">
        <f t="shared" si="58"/>
        <v/>
      </c>
      <c r="ED13" s="305">
        <f>IF($J13="",#N/A,SUM(EC$4:EC13))</f>
        <v>0</v>
      </c>
      <c r="EE13" s="306" t="str">
        <f t="shared" si="59"/>
        <v/>
      </c>
      <c r="EF13" s="306">
        <f>IF($J13="",#N/A,SUM(EE$4:EE13))</f>
        <v>0</v>
      </c>
      <c r="EG13" s="306">
        <f>IF($J13="",#N/A,SUM(EE$4:EE13,EC$4:EC13,EA$4:EA13))</f>
        <v>0</v>
      </c>
      <c r="EH13" s="223">
        <f t="shared" si="60"/>
        <v>9.6205513231018358</v>
      </c>
      <c r="EI13" s="224">
        <f>IF(EH13="",#N/A,SUM($EH$4:EH13))</f>
        <v>223.77289827109553</v>
      </c>
      <c r="EJ13" s="223">
        <f t="shared" si="61"/>
        <v>24.165470538441753</v>
      </c>
      <c r="EK13" s="63">
        <f>IF($GZ13="",#N/A,SUM(EJ$4:EJ13))</f>
        <v>376.28660708855682</v>
      </c>
      <c r="EL13" s="60">
        <f t="shared" si="97"/>
        <v>0.40085630512924314</v>
      </c>
      <c r="EM13" s="60">
        <f>IF(EL13="",NA(),SUM($EL$4:EL13))</f>
        <v>9.3238707612956482</v>
      </c>
      <c r="EN13" s="60" t="str">
        <f t="shared" si="62"/>
        <v/>
      </c>
      <c r="EO13" s="60" t="e">
        <f>IF(EN13="",NA(),SUM($EN$4:EN13))</f>
        <v>#N/A</v>
      </c>
      <c r="EP13" s="60" t="str">
        <f t="shared" si="63"/>
        <v/>
      </c>
      <c r="EQ13" s="60" t="e">
        <f>IF(EP13="",NA(),SUM($EP$4:EP13))</f>
        <v>#N/A</v>
      </c>
      <c r="ER13" s="60">
        <f t="shared" si="64"/>
        <v>0.40085630512924314</v>
      </c>
      <c r="ES13" s="60">
        <f>IF(ER13="",NA(),SUM($ER$4:ER13))</f>
        <v>1.6298785597808298</v>
      </c>
      <c r="ET13" s="60" t="str">
        <f t="shared" si="65"/>
        <v/>
      </c>
      <c r="EU13" s="60" t="e">
        <f>IF(ET13="",NA(),SUM($ET$4:ET13))</f>
        <v>#N/A</v>
      </c>
      <c r="EV13" s="60" t="str">
        <f t="shared" si="66"/>
        <v/>
      </c>
      <c r="EW13" s="60" t="e">
        <f>IF(EV13="",NA(),SUM($EV$4:EV13))</f>
        <v>#N/A</v>
      </c>
      <c r="EX13" s="60" t="str">
        <f t="shared" si="67"/>
        <v/>
      </c>
      <c r="EY13" s="60" t="e">
        <f>IF(EX13="",NA(),SUM($EX$4:EX13))</f>
        <v>#N/A</v>
      </c>
      <c r="EZ13" s="60" t="str">
        <f t="shared" si="68"/>
        <v/>
      </c>
      <c r="FA13" s="60" t="e">
        <f>IF(EZ13="",NA(),SUM($EZ$4:EZ13))</f>
        <v>#N/A</v>
      </c>
      <c r="FB13" s="246">
        <f t="shared" si="98"/>
        <v>0.6060383006391632</v>
      </c>
      <c r="FC13" s="269">
        <f>IF($FB13="",#N/A,SUM(FB$4:$FB13))</f>
        <v>2.2249729960058175</v>
      </c>
      <c r="FD13" s="60" t="str">
        <f t="shared" si="69"/>
        <v/>
      </c>
      <c r="FE13" s="60" t="e">
        <f>IF($FD13="",#N/A,SUM($FD$4:FD13))</f>
        <v>#N/A</v>
      </c>
      <c r="FF13" s="60" t="str">
        <f t="shared" si="70"/>
        <v/>
      </c>
      <c r="FG13" s="60" t="e">
        <f>IF($FF13="",#N/A,SUM($FF$4:FF13))</f>
        <v>#N/A</v>
      </c>
      <c r="FH13" s="60" t="str">
        <f t="shared" si="71"/>
        <v/>
      </c>
      <c r="FI13" s="60" t="e">
        <f>IF($FH13="",#N/A,SUM($FH$4:FH13))</f>
        <v>#N/A</v>
      </c>
      <c r="FJ13" s="60" t="str">
        <f t="shared" si="72"/>
        <v/>
      </c>
      <c r="FK13" s="60" t="e">
        <f>IF($FJ13="",#N/A,SUM($FJ$4:FJ13))</f>
        <v>#N/A</v>
      </c>
      <c r="FL13" s="60" t="str">
        <f t="shared" si="73"/>
        <v/>
      </c>
      <c r="FM13" s="60" t="e">
        <f>IF($FL13="",#N/A,SUM($FL$4:FL13))</f>
        <v>#N/A</v>
      </c>
      <c r="FN13" s="82">
        <f t="shared" si="74"/>
        <v>1.0068946057684063</v>
      </c>
      <c r="FO13" s="82">
        <f>IF($FN13="",#N/A,SUM(FN$4:$FN13))</f>
        <v>15.678608628689867</v>
      </c>
      <c r="FP13" s="82">
        <f t="shared" si="99"/>
        <v>0.40085630512924314</v>
      </c>
      <c r="FQ13" s="246">
        <f>IF($EH13="",#N/A,SUM($FP$4:FP13))</f>
        <v>9.3238707612956482</v>
      </c>
      <c r="FR13" s="273"/>
      <c r="FS13" s="273"/>
      <c r="FT13" s="273"/>
      <c r="FU13" s="82" t="e">
        <v>#N/A</v>
      </c>
      <c r="FV13" s="57" t="str">
        <f t="shared" si="75"/>
        <v>Dwn</v>
      </c>
      <c r="FW13" s="57" t="s">
        <v>2733</v>
      </c>
      <c r="FX13" s="57" t="str">
        <f t="shared" si="76"/>
        <v/>
      </c>
      <c r="FY13" s="57" t="str">
        <f t="shared" si="77"/>
        <v/>
      </c>
      <c r="FZ13" s="57" t="str">
        <f t="shared" si="78"/>
        <v/>
      </c>
      <c r="GA13" s="57" t="str">
        <f t="shared" si="79"/>
        <v>Short</v>
      </c>
      <c r="GB13" s="57">
        <f t="shared" si="80"/>
        <v>1</v>
      </c>
      <c r="GC13" s="57" t="str">
        <f t="shared" si="81"/>
        <v/>
      </c>
      <c r="GD13" s="57" t="str">
        <f t="shared" si="82"/>
        <v/>
      </c>
      <c r="GE13" s="62">
        <f t="shared" si="83"/>
        <v>543.41999999999996</v>
      </c>
      <c r="GF13" s="62" t="s">
        <v>2780</v>
      </c>
      <c r="GG13" s="199">
        <f t="shared" si="84"/>
        <v>0.73607890765890105</v>
      </c>
      <c r="GH13" s="207">
        <f t="shared" si="85"/>
        <v>400</v>
      </c>
      <c r="GI13" s="199">
        <f t="shared" si="86"/>
        <v>0.73607890765890105</v>
      </c>
      <c r="GJ13" s="200">
        <f t="shared" si="87"/>
        <v>530.35</v>
      </c>
      <c r="GK13" s="63">
        <f t="shared" si="88"/>
        <v>9.6205513231018358</v>
      </c>
      <c r="GL13" s="63">
        <f t="shared" si="89"/>
        <v>24.165470538441753</v>
      </c>
      <c r="GM13" s="82" t="str">
        <f t="shared" si="90"/>
        <v/>
      </c>
      <c r="GN13" s="82">
        <f>IF($GZ13="",#N/A,SUM(GM$4:GM13))</f>
        <v>6.7956156878233518</v>
      </c>
      <c r="GO13" s="82" t="str">
        <f t="shared" si="91"/>
        <v/>
      </c>
      <c r="GP13" s="82">
        <f>IF($GZ13="",#N/A,SUM(GO$4:GO13))</f>
        <v>5.0281413850798682</v>
      </c>
      <c r="GQ13" s="82">
        <f t="shared" si="92"/>
        <v>1.0068946057684063</v>
      </c>
      <c r="GR13" s="82">
        <f>IF($GZ13="",#N/A,SUM(GQ$4:GQ13))</f>
        <v>3.8548515557866478</v>
      </c>
      <c r="GS13" s="63" t="str">
        <f t="shared" si="100"/>
        <v/>
      </c>
      <c r="GT13" s="63">
        <f>IF($GZ13="",#N/A,SUM(GS$4:GS13))</f>
        <v>163.09477650776046</v>
      </c>
      <c r="GU13" s="63" t="str">
        <f t="shared" si="101"/>
        <v/>
      </c>
      <c r="GV13" s="63">
        <f>IF($GZ13="",#N/A,SUM(GU$4:GU13))</f>
        <v>120.67539324191682</v>
      </c>
      <c r="GW13" s="62">
        <f t="shared" si="102"/>
        <v>24.165470538441753</v>
      </c>
      <c r="GX13" s="63">
        <f>IF($GZ13="",#N/A,SUM(GW$4:GW13))</f>
        <v>92.516437338879541</v>
      </c>
      <c r="GY13" s="63">
        <f>IF(EJ13="",#N/A,SUM($EJ$4:EJ13))</f>
        <v>376.28660708855682</v>
      </c>
      <c r="GZ13" s="159">
        <v>510.59</v>
      </c>
      <c r="HA13" s="63">
        <f t="shared" si="93"/>
        <v>14.544919215339917</v>
      </c>
      <c r="HB13" s="62" t="s">
        <v>4970</v>
      </c>
      <c r="HC13" s="60">
        <f>IFERROR(VLOOKUP(E13,Expectancy!$P$4:$S$19,1+C13,FALSE),"")</f>
        <v>0.50993626802888359</v>
      </c>
      <c r="HD13" s="60" t="str">
        <f t="shared" si="94"/>
        <v/>
      </c>
      <c r="HE13" s="60" t="e">
        <f>IF(HD13="",#N/A,SUM($HD$4:HD13))</f>
        <v>#N/A</v>
      </c>
      <c r="HF13" s="64" t="e">
        <f>IF(HD13="",#N/A,IF(HB13="Skip",#N/A,SUM($HG$4:HG13)))</f>
        <v>#N/A</v>
      </c>
      <c r="HG13" s="63" t="str">
        <f t="shared" si="95"/>
        <v/>
      </c>
      <c r="HH13" s="82">
        <f t="shared" si="96"/>
        <v>1.0068946057684063</v>
      </c>
    </row>
    <row r="14" spans="1:235" x14ac:dyDescent="0.25">
      <c r="A14" s="57" t="s">
        <v>1291</v>
      </c>
      <c r="B14" s="58" t="s">
        <v>5085</v>
      </c>
      <c r="C14" s="386">
        <f t="shared" si="0"/>
        <v>1</v>
      </c>
      <c r="D14" s="372" t="str">
        <f>_xlfn.XLOOKUP(A14,[1]SP500!$A$2:$A$502,[1]SP500!$D$2:$D$502,"N")</f>
        <v>Y</v>
      </c>
      <c r="E14" s="57" t="str">
        <f>_xlfn.XLOOKUP(A14,[1]SP500!$A$2:$A$655,[1]SP500!$B$2:$B$655)</f>
        <v>XLF</v>
      </c>
      <c r="F14" s="59">
        <v>45673</v>
      </c>
      <c r="G14" s="57" t="str">
        <f t="shared" si="1"/>
        <v>BMO</v>
      </c>
      <c r="H14" s="57" t="str">
        <f t="shared" si="2"/>
        <v>o</v>
      </c>
      <c r="I14" s="158">
        <v>47.1</v>
      </c>
      <c r="J14" s="158">
        <v>47</v>
      </c>
      <c r="K14" s="61">
        <f t="shared" si="3"/>
        <v>-2.1231422505308159E-3</v>
      </c>
      <c r="L14" s="87">
        <f t="shared" si="4"/>
        <v>-0.84925690021231048</v>
      </c>
      <c r="M14" s="63" t="str">
        <f t="shared" si="5"/>
        <v/>
      </c>
      <c r="N14" s="219">
        <f t="shared" si="6"/>
        <v>-0.84925690021231048</v>
      </c>
      <c r="O14" s="219">
        <f>IF($J14="",#N/A,SUM($N$4:N14))</f>
        <v>83.786272762617898</v>
      </c>
      <c r="P14" s="220" t="str">
        <f t="shared" si="7"/>
        <v/>
      </c>
      <c r="Q14" s="220">
        <f>IF($J14="",#N/A,SUM($P$4:P14))</f>
        <v>39.11708543473992</v>
      </c>
      <c r="R14" s="221" t="str">
        <f t="shared" si="8"/>
        <v/>
      </c>
      <c r="S14" s="222">
        <f>IF($J14="",#N/A,SUM($R$4:R14))</f>
        <v>100.0202831735254</v>
      </c>
      <c r="T14" s="281">
        <f t="shared" si="9"/>
        <v>-3.5385704175512935E-2</v>
      </c>
      <c r="U14" s="281">
        <f>IF($J14="",#N/A,SUM($T$4:T14))</f>
        <v>3.4910946984424127</v>
      </c>
      <c r="V14" s="282" t="str">
        <f t="shared" si="10"/>
        <v/>
      </c>
      <c r="W14" s="282">
        <f>IF($J14="",#N/A,SUM($V$4:V14))</f>
        <v>1.6298785597808298</v>
      </c>
      <c r="X14" s="283" t="str">
        <f t="shared" si="11"/>
        <v/>
      </c>
      <c r="Y14" s="283">
        <f>IF($J14="",#N/A,SUM($X$4:X14))</f>
        <v>4.1675117988968919</v>
      </c>
      <c r="Z14" s="304" t="str">
        <f t="shared" si="12"/>
        <v/>
      </c>
      <c r="AA14" s="304">
        <f>IF($J14="",#N/A,SUM(Z$4:Z14))</f>
        <v>0</v>
      </c>
      <c r="AB14" s="305" t="str">
        <f t="shared" si="13"/>
        <v/>
      </c>
      <c r="AC14" s="305">
        <f>IF($J14="",#N/A,SUM(AB$4:AB14))</f>
        <v>0</v>
      </c>
      <c r="AD14" s="306" t="str">
        <f t="shared" si="14"/>
        <v/>
      </c>
      <c r="AE14" s="306">
        <f>IF($J14="",#N/A,SUM(AD$4:AD14))</f>
        <v>0</v>
      </c>
      <c r="AF14" s="306">
        <f>IF($J14="",#N/A,SUM(AD$4:AD14,AB$4:AB14,Z$4:Z14))</f>
        <v>0</v>
      </c>
      <c r="AG14" s="304" t="str">
        <f t="shared" si="15"/>
        <v/>
      </c>
      <c r="AH14" s="304">
        <f>IF($J14="",#N/A,SUM(AG$4:AG14))</f>
        <v>0</v>
      </c>
      <c r="AI14" s="305" t="str">
        <f t="shared" si="16"/>
        <v/>
      </c>
      <c r="AJ14" s="305">
        <f>IF($J14="",#N/A,SUM(AI$4:AI14))</f>
        <v>0</v>
      </c>
      <c r="AK14" s="306" t="str">
        <f t="shared" si="17"/>
        <v/>
      </c>
      <c r="AL14" s="306">
        <f>IF($J14="",#N/A,SUM(AK$4:AK14))</f>
        <v>0</v>
      </c>
      <c r="AM14" s="306">
        <f>IF($J14="",#N/A,SUM(AK$4:AK14,AI$4:AI14,AG$4:AG14))</f>
        <v>0</v>
      </c>
      <c r="AN14" s="304" t="str">
        <f t="shared" si="18"/>
        <v/>
      </c>
      <c r="AO14" s="304">
        <f>IF($J14="",#N/A,SUM(AN$4:AN14))</f>
        <v>0</v>
      </c>
      <c r="AP14" s="305" t="str">
        <f t="shared" si="19"/>
        <v/>
      </c>
      <c r="AQ14" s="305">
        <f>IF($J14="",#N/A,SUM(AP$4:AP14))</f>
        <v>0</v>
      </c>
      <c r="AR14" s="306" t="str">
        <f t="shared" si="20"/>
        <v/>
      </c>
      <c r="AS14" s="306">
        <f>IF($J14="",#N/A,SUM(AR$4:AR14))</f>
        <v>0</v>
      </c>
      <c r="AT14" s="306">
        <f>IF($J14="",#N/A,SUM(AR$4:AR14,AP$4:AP14,AN$4:AN14))</f>
        <v>0</v>
      </c>
      <c r="AU14" s="304" t="str">
        <f t="shared" si="21"/>
        <v/>
      </c>
      <c r="AV14" s="304">
        <f>IF($J14="",#N/A,SUM(AU$4:AU14))</f>
        <v>0</v>
      </c>
      <c r="AW14" s="305" t="str">
        <f t="shared" si="22"/>
        <v/>
      </c>
      <c r="AX14" s="305">
        <f>IF($J14="",#N/A,SUM(AW$4:AW14))</f>
        <v>1.2290222546515868</v>
      </c>
      <c r="AY14" s="306" t="str">
        <f t="shared" si="23"/>
        <v/>
      </c>
      <c r="AZ14" s="306">
        <f>IF($J14="",#N/A,SUM(AY$4:AY14))</f>
        <v>2.4945770065075905</v>
      </c>
      <c r="BA14" s="306">
        <f>IF($J14="",#N/A,SUM(AY$4:AY14,AW$4:AW14,AU$4:AU14))</f>
        <v>3.7235992611591771</v>
      </c>
      <c r="BB14" s="304" t="str">
        <f t="shared" si="24"/>
        <v/>
      </c>
      <c r="BC14" s="304">
        <f>IF($J14="",#N/A,SUM(BB$4:BB14))</f>
        <v>0</v>
      </c>
      <c r="BD14" s="305" t="str">
        <f t="shared" si="25"/>
        <v/>
      </c>
      <c r="BE14" s="305">
        <f>IF($J14="",#N/A,SUM(BD$4:BD14))</f>
        <v>0</v>
      </c>
      <c r="BF14" s="306" t="str">
        <f t="shared" si="26"/>
        <v/>
      </c>
      <c r="BG14" s="306">
        <f>IF($J14="",#N/A,SUM(BF$4:BF14))</f>
        <v>0</v>
      </c>
      <c r="BH14" s="306">
        <f>IF($J14="",#N/A,SUM(BF$4:BF14,BD$4:BD14,BB$4:BB14))</f>
        <v>0</v>
      </c>
      <c r="BI14" s="304">
        <f t="shared" si="27"/>
        <v>-3.5385704175512935E-2</v>
      </c>
      <c r="BJ14" s="304">
        <f>IF($J14="",#N/A,SUM(BI$4:BI14))</f>
        <v>2.522354874280905</v>
      </c>
      <c r="BK14" s="305" t="str">
        <f t="shared" si="28"/>
        <v/>
      </c>
      <c r="BL14" s="305">
        <f>IF($J14="",#N/A,SUM(BK$4:BK14))</f>
        <v>0</v>
      </c>
      <c r="BM14" s="306" t="str">
        <f t="shared" si="29"/>
        <v/>
      </c>
      <c r="BN14" s="306">
        <f>IF($J14="",#N/A,SUM(BM$4:BM14))</f>
        <v>1.6729347923893012</v>
      </c>
      <c r="BO14" s="306">
        <f>IF($J14="",#N/A,SUM(BM$4:BM14,BK$4:BK14,BI$4:BI14))</f>
        <v>4.195289666670206</v>
      </c>
      <c r="BP14" s="304" t="str">
        <f t="shared" si="30"/>
        <v/>
      </c>
      <c r="BQ14" s="304">
        <f>IF($J14="",#N/A,SUM(BP$4:BP14))</f>
        <v>0.96873982416150761</v>
      </c>
      <c r="BR14" s="305" t="str">
        <f t="shared" si="31"/>
        <v/>
      </c>
      <c r="BS14" s="305">
        <f>IF($J14="",#N/A,SUM(BR$4:BR14))</f>
        <v>0</v>
      </c>
      <c r="BT14" s="306" t="str">
        <f t="shared" si="32"/>
        <v/>
      </c>
      <c r="BU14" s="306">
        <f>IF($J14="",#N/A,SUM(BT$4:BT14))</f>
        <v>0</v>
      </c>
      <c r="BV14" s="306">
        <f>IF($J14="",#N/A,SUM(BT$4:BT14,BR$4:BR14,BP$4:BP14))</f>
        <v>0.96873982416150761</v>
      </c>
      <c r="BW14" s="304" t="str">
        <f t="shared" si="33"/>
        <v/>
      </c>
      <c r="BX14" s="304">
        <f>IF($J14="",#N/A,SUM(BW$4:BW14))</f>
        <v>0</v>
      </c>
      <c r="BY14" s="305" t="str">
        <f t="shared" si="34"/>
        <v/>
      </c>
      <c r="BZ14" s="305">
        <f>IF($J14="",#N/A,SUM(BY$4:BY14))</f>
        <v>0</v>
      </c>
      <c r="CA14" s="306" t="str">
        <f t="shared" si="35"/>
        <v/>
      </c>
      <c r="CB14" s="306">
        <f>IF($J14="",#N/A,SUM(CA$4:CA14))</f>
        <v>0</v>
      </c>
      <c r="CC14" s="306">
        <f>IF($J14="",#N/A,SUM(CA$4:CA14,BY$4:BY14,BW$4:BW14))</f>
        <v>0</v>
      </c>
      <c r="CD14" s="304" t="str">
        <f t="shared" si="36"/>
        <v/>
      </c>
      <c r="CE14" s="304">
        <f>IF($J14="",#N/A,SUM(CD$4:CD14))</f>
        <v>0</v>
      </c>
      <c r="CF14" s="305" t="str">
        <f t="shared" si="37"/>
        <v/>
      </c>
      <c r="CG14" s="305">
        <f>IF($J14="",#N/A,SUM(CF$4:CF14))</f>
        <v>0</v>
      </c>
      <c r="CH14" s="306" t="str">
        <f t="shared" si="38"/>
        <v/>
      </c>
      <c r="CI14" s="306">
        <f>IF($J14="",#N/A,SUM(CH$4:CH14))</f>
        <v>0</v>
      </c>
      <c r="CJ14" s="306">
        <f>IF($J14="",#N/A,SUM(CH$4:CH14,CF$4:CF14,CD$4:CD14))</f>
        <v>0</v>
      </c>
      <c r="CK14" s="304" t="str">
        <f t="shared" si="39"/>
        <v/>
      </c>
      <c r="CL14" s="304">
        <f>IF($J14="",#N/A,SUM(CK$4:CK14))</f>
        <v>0</v>
      </c>
      <c r="CM14" s="305" t="str">
        <f t="shared" si="40"/>
        <v/>
      </c>
      <c r="CN14" s="305">
        <f>IF($J14="",#N/A,SUM(CM$4:CM14))</f>
        <v>0</v>
      </c>
      <c r="CO14" s="306" t="str">
        <f t="shared" si="41"/>
        <v/>
      </c>
      <c r="CP14" s="306">
        <f>IF($J14="",#N/A,SUM(CO$4:CO14))</f>
        <v>0</v>
      </c>
      <c r="CQ14" s="306">
        <f>IF($J14="",#N/A,SUM(CO$4:CO14,CM$4:CM14,CK$4:CK14))</f>
        <v>0</v>
      </c>
      <c r="CR14" s="304" t="str">
        <f t="shared" si="42"/>
        <v/>
      </c>
      <c r="CS14" s="304">
        <f>IF($J14="",#N/A,SUM(CR$4:CR14))</f>
        <v>0</v>
      </c>
      <c r="CT14" s="305" t="str">
        <f t="shared" si="43"/>
        <v/>
      </c>
      <c r="CU14" s="305">
        <f>IF($J14="",#N/A,SUM(CT$4:CT14))</f>
        <v>0</v>
      </c>
      <c r="CV14" s="306" t="str">
        <f t="shared" si="44"/>
        <v/>
      </c>
      <c r="CW14" s="306">
        <f>IF($J14="",#N/A,SUM(CV$4:CV14))</f>
        <v>0</v>
      </c>
      <c r="CX14" s="306">
        <f>IF($J14="",#N/A,SUM(CV$4:CV14,CT$4:CT14,CR$4:CR14))</f>
        <v>0</v>
      </c>
      <c r="CY14" s="304" t="str">
        <f t="shared" si="45"/>
        <v/>
      </c>
      <c r="CZ14" s="304">
        <f>IF($J14="",#N/A,SUM(CY$4:CY14))</f>
        <v>0</v>
      </c>
      <c r="DA14" s="305" t="str">
        <f t="shared" si="46"/>
        <v/>
      </c>
      <c r="DB14" s="305">
        <f>IF($J14="",#N/A,SUM(DA$4:DA14))</f>
        <v>0</v>
      </c>
      <c r="DC14" s="306" t="str">
        <f t="shared" si="47"/>
        <v/>
      </c>
      <c r="DD14" s="306">
        <f>IF($J14="",#N/A,SUM(DC$4:DC14))</f>
        <v>0</v>
      </c>
      <c r="DE14" s="306">
        <f>IF($J14="",#N/A,SUM(DC$4:DC14,DA$4:DA14,CY$4:CY14))</f>
        <v>0</v>
      </c>
      <c r="DF14" s="304" t="str">
        <f t="shared" si="48"/>
        <v/>
      </c>
      <c r="DG14" s="304">
        <f>IF($J14="",#N/A,SUM(DF$4:DF14))</f>
        <v>0</v>
      </c>
      <c r="DH14" s="305" t="str">
        <f t="shared" si="49"/>
        <v/>
      </c>
      <c r="DI14" s="305">
        <f>IF($J14="",#N/A,SUM(DH$4:DH14))</f>
        <v>0</v>
      </c>
      <c r="DJ14" s="306" t="str">
        <f t="shared" si="50"/>
        <v/>
      </c>
      <c r="DK14" s="306">
        <f>IF($J14="",#N/A,SUM(DJ$4:DJ14))</f>
        <v>0</v>
      </c>
      <c r="DL14" s="306">
        <f>IF($J14="",#N/A,SUM(DJ$4:DJ14,DH$4:DH14,DF$4:DF14))</f>
        <v>0</v>
      </c>
      <c r="DM14" s="304" t="str">
        <f t="shared" si="51"/>
        <v/>
      </c>
      <c r="DN14" s="304">
        <f>IF($J14="",#N/A,SUM(DM$4:DM14))</f>
        <v>0</v>
      </c>
      <c r="DO14" s="305" t="str">
        <f t="shared" si="52"/>
        <v/>
      </c>
      <c r="DP14" s="305">
        <f>IF($J14="",#N/A,SUM(DO$4:DO14))</f>
        <v>0</v>
      </c>
      <c r="DQ14" s="306" t="str">
        <f t="shared" si="53"/>
        <v/>
      </c>
      <c r="DR14" s="306">
        <f>IF($J14="",#N/A,SUM(DQ$4:DQ14))</f>
        <v>0</v>
      </c>
      <c r="DS14" s="306">
        <f>IF($J14="",#N/A,SUM(DQ$4:DQ14,DO$4:DO14,DM$4:DM14))</f>
        <v>0</v>
      </c>
      <c r="DT14" s="304" t="str">
        <f t="shared" si="54"/>
        <v/>
      </c>
      <c r="DU14" s="304">
        <f>IF($J14="",#N/A,SUM(DT$4:DT14))</f>
        <v>0</v>
      </c>
      <c r="DV14" s="305" t="str">
        <f t="shared" si="55"/>
        <v/>
      </c>
      <c r="DW14" s="305">
        <f>IF($J14="",#N/A,SUM(DV$4:DV14))</f>
        <v>0.40085630512924314</v>
      </c>
      <c r="DX14" s="306" t="str">
        <f t="shared" si="56"/>
        <v/>
      </c>
      <c r="DY14" s="306">
        <f>IF($J14="",#N/A,SUM(DX$4:DX14))</f>
        <v>0</v>
      </c>
      <c r="DZ14" s="306">
        <f>IF($J14="",#N/A,SUM(DX$4:DX14,DV$4:DV14,DT$4:DT14))</f>
        <v>0.40085630512924314</v>
      </c>
      <c r="EA14" s="304" t="str">
        <f t="shared" si="57"/>
        <v/>
      </c>
      <c r="EB14" s="304">
        <f>IF($J14="",#N/A,SUM(EA$4:EA14))</f>
        <v>0</v>
      </c>
      <c r="EC14" s="305" t="str">
        <f t="shared" si="58"/>
        <v/>
      </c>
      <c r="ED14" s="305">
        <f>IF($J14="",#N/A,SUM(EC$4:EC14))</f>
        <v>0</v>
      </c>
      <c r="EE14" s="306" t="str">
        <f t="shared" si="59"/>
        <v/>
      </c>
      <c r="EF14" s="306">
        <f>IF($J14="",#N/A,SUM(EE$4:EE14))</f>
        <v>0</v>
      </c>
      <c r="EG14" s="306">
        <f>IF($J14="",#N/A,SUM(EE$4:EE14,EC$4:EC14,EA$4:EA14))</f>
        <v>0</v>
      </c>
      <c r="EH14" s="223">
        <f t="shared" si="60"/>
        <v>-0.84925690021231048</v>
      </c>
      <c r="EI14" s="224">
        <f>IF(EH14="",#N/A,SUM($EH$4:EH14))</f>
        <v>222.92364137088322</v>
      </c>
      <c r="EJ14" s="223">
        <f t="shared" si="61"/>
        <v>0</v>
      </c>
      <c r="EK14" s="63">
        <f>IF($GZ14="",#N/A,SUM(EJ$4:EJ14))</f>
        <v>376.28660708855682</v>
      </c>
      <c r="EL14" s="60">
        <f t="shared" si="97"/>
        <v>-3.5385704175512935E-2</v>
      </c>
      <c r="EM14" s="60">
        <f>IF(EL14="",NA(),SUM($EL$4:EL14))</f>
        <v>9.2884850571201358</v>
      </c>
      <c r="EN14" s="60">
        <f t="shared" si="62"/>
        <v>-3.5385704175512935E-2</v>
      </c>
      <c r="EO14" s="60">
        <f>IF(EN14="",NA(),SUM($EN$4:EN14))</f>
        <v>3.4910946984424127</v>
      </c>
      <c r="EP14" s="60" t="str">
        <f t="shared" si="63"/>
        <v/>
      </c>
      <c r="EQ14" s="60" t="e">
        <f>IF(EP14="",NA(),SUM($EP$4:EP14))</f>
        <v>#N/A</v>
      </c>
      <c r="ER14" s="60" t="str">
        <f t="shared" si="64"/>
        <v/>
      </c>
      <c r="ES14" s="60" t="e">
        <f>IF(ER14="",NA(),SUM($ER$4:ER14))</f>
        <v>#N/A</v>
      </c>
      <c r="ET14" s="60" t="str">
        <f t="shared" si="65"/>
        <v/>
      </c>
      <c r="EU14" s="60" t="e">
        <f>IF(ET14="",NA(),SUM($ET$4:ET14))</f>
        <v>#N/A</v>
      </c>
      <c r="EV14" s="60" t="str">
        <f t="shared" si="66"/>
        <v/>
      </c>
      <c r="EW14" s="60" t="e">
        <f>IF(EV14="",NA(),SUM($EV$4:EV14))</f>
        <v>#N/A</v>
      </c>
      <c r="EX14" s="60" t="str">
        <f t="shared" si="67"/>
        <v/>
      </c>
      <c r="EY14" s="60" t="e">
        <f>IF(EX14="",NA(),SUM($EX$4:EX14))</f>
        <v>#N/A</v>
      </c>
      <c r="EZ14" s="60" t="str">
        <f t="shared" si="68"/>
        <v/>
      </c>
      <c r="FA14" s="60" t="e">
        <f>IF(EZ14="",NA(),SUM($EZ$4:EZ14))</f>
        <v>#N/A</v>
      </c>
      <c r="FB14" s="246" t="str">
        <f t="shared" si="98"/>
        <v/>
      </c>
      <c r="FC14" s="269" t="e">
        <f>IF($FB14="",#N/A,SUM(FB$4:$FB14))</f>
        <v>#N/A</v>
      </c>
      <c r="FD14" s="60" t="str">
        <f t="shared" si="69"/>
        <v/>
      </c>
      <c r="FE14" s="60" t="e">
        <f>IF($FD14="",#N/A,SUM($FD$4:FD14))</f>
        <v>#N/A</v>
      </c>
      <c r="FF14" s="60" t="str">
        <f t="shared" si="70"/>
        <v/>
      </c>
      <c r="FG14" s="60" t="e">
        <f>IF($FF14="",#N/A,SUM($FF$4:FF14))</f>
        <v>#N/A</v>
      </c>
      <c r="FH14" s="60">
        <f t="shared" si="71"/>
        <v>3.5385704175512935E-2</v>
      </c>
      <c r="FI14" s="60">
        <f>IF($FH14="",#N/A,SUM($FH$4:FH14))</f>
        <v>3.5385704175512935E-2</v>
      </c>
      <c r="FJ14" s="60" t="str">
        <f t="shared" si="72"/>
        <v/>
      </c>
      <c r="FK14" s="60" t="e">
        <f>IF($FJ14="",#N/A,SUM($FJ$4:FJ14))</f>
        <v>#N/A</v>
      </c>
      <c r="FL14" s="60" t="str">
        <f t="shared" si="73"/>
        <v/>
      </c>
      <c r="FM14" s="60" t="e">
        <f>IF($FL14="",#N/A,SUM($FL$4:FL14))</f>
        <v>#N/A</v>
      </c>
      <c r="FN14" s="82">
        <f t="shared" si="74"/>
        <v>0</v>
      </c>
      <c r="FO14" s="82">
        <f>IF($FN14="",#N/A,SUM(FN$4:$FN14))</f>
        <v>15.678608628689867</v>
      </c>
      <c r="FP14" s="82">
        <f t="shared" si="99"/>
        <v>-3.5385704175512935E-2</v>
      </c>
      <c r="FQ14" s="246">
        <f>IF($EH14="",#N/A,SUM($FP$4:FP14))</f>
        <v>9.2884850571201358</v>
      </c>
      <c r="FR14" s="273"/>
      <c r="FS14" s="273"/>
      <c r="FT14" s="273"/>
      <c r="FU14" s="82" t="e">
        <v>#N/A</v>
      </c>
      <c r="FV14" s="57" t="str">
        <f t="shared" si="75"/>
        <v>Up</v>
      </c>
      <c r="FW14" s="57" t="s">
        <v>2734</v>
      </c>
      <c r="FX14" s="57" t="str">
        <f t="shared" si="76"/>
        <v/>
      </c>
      <c r="FY14" s="57" t="str">
        <f t="shared" si="77"/>
        <v/>
      </c>
      <c r="FZ14" s="57" t="str">
        <f t="shared" si="78"/>
        <v/>
      </c>
      <c r="GA14" s="57" t="str">
        <f t="shared" si="79"/>
        <v>Long</v>
      </c>
      <c r="GB14" s="57" t="str">
        <f t="shared" si="80"/>
        <v/>
      </c>
      <c r="GC14" s="57">
        <f t="shared" si="81"/>
        <v>1</v>
      </c>
      <c r="GD14" s="57" t="str">
        <f t="shared" si="82"/>
        <v/>
      </c>
      <c r="GE14" s="62">
        <f t="shared" si="83"/>
        <v>47.1</v>
      </c>
      <c r="GF14" s="62" t="s">
        <v>2779</v>
      </c>
      <c r="GG14" s="199">
        <f t="shared" si="84"/>
        <v>8.4925690021231421</v>
      </c>
      <c r="GH14" s="207">
        <f t="shared" si="85"/>
        <v>400</v>
      </c>
      <c r="GI14" s="199">
        <f t="shared" si="86"/>
        <v>8.4925690021231421</v>
      </c>
      <c r="GJ14" s="200">
        <f t="shared" si="87"/>
        <v>47</v>
      </c>
      <c r="GK14" s="63">
        <f t="shared" si="88"/>
        <v>-0.84925690021231048</v>
      </c>
      <c r="GL14" s="63">
        <f t="shared" si="89"/>
        <v>0</v>
      </c>
      <c r="GM14" s="82" t="str">
        <f t="shared" si="90"/>
        <v/>
      </c>
      <c r="GN14" s="82">
        <f>IF($GZ14="",#N/A,SUM(GM$4:GM14))</f>
        <v>6.7956156878233518</v>
      </c>
      <c r="GO14" s="82">
        <f t="shared" si="91"/>
        <v>0</v>
      </c>
      <c r="GP14" s="82">
        <f>IF($GZ14="",#N/A,SUM(GO$4:GO14))</f>
        <v>5.0281413850798682</v>
      </c>
      <c r="GQ14" s="82" t="str">
        <f t="shared" si="92"/>
        <v/>
      </c>
      <c r="GR14" s="82">
        <f>IF($GZ14="",#N/A,SUM(GQ$4:GQ14))</f>
        <v>3.8548515557866478</v>
      </c>
      <c r="GS14" s="63" t="str">
        <f t="shared" si="100"/>
        <v/>
      </c>
      <c r="GT14" s="63">
        <f>IF($GZ14="",#N/A,SUM(GS$4:GS14))</f>
        <v>163.09477650776046</v>
      </c>
      <c r="GU14" s="63">
        <f t="shared" si="101"/>
        <v>0</v>
      </c>
      <c r="GV14" s="63">
        <f>IF($GZ14="",#N/A,SUM(GU$4:GU14))</f>
        <v>120.67539324191682</v>
      </c>
      <c r="GW14" s="62" t="str">
        <f t="shared" si="102"/>
        <v/>
      </c>
      <c r="GX14" s="63">
        <f>IF($GZ14="",#N/A,SUM(GW$4:GW14))</f>
        <v>92.516437338879541</v>
      </c>
      <c r="GY14" s="63">
        <f>IF(EJ14="",#N/A,SUM($EJ$4:EJ14))</f>
        <v>376.28660708855682</v>
      </c>
      <c r="GZ14" s="159">
        <v>47.1</v>
      </c>
      <c r="HA14" s="63">
        <f t="shared" si="93"/>
        <v>0.84925690021231048</v>
      </c>
      <c r="HB14" s="62" t="s">
        <v>4970</v>
      </c>
      <c r="HC14" s="60">
        <f>IFERROR(VLOOKUP(E14,Expectancy!$P$4:$S$19,1+C14,FALSE),"")</f>
        <v>-7.9483352726509887E-2</v>
      </c>
      <c r="HD14" s="60" t="str">
        <f t="shared" si="94"/>
        <v/>
      </c>
      <c r="HE14" s="60" t="e">
        <f>IF(HD14="",#N/A,SUM($HD$4:HD14))</f>
        <v>#N/A</v>
      </c>
      <c r="HF14" s="64" t="e">
        <f>IF(HD14="",#N/A,IF(HB14="Skip",#N/A,SUM($HG$4:HG14)))</f>
        <v>#N/A</v>
      </c>
      <c r="HG14" s="63" t="str">
        <f t="shared" si="95"/>
        <v/>
      </c>
      <c r="HH14" s="82">
        <f t="shared" si="96"/>
        <v>0</v>
      </c>
    </row>
    <row r="15" spans="1:235" x14ac:dyDescent="0.25">
      <c r="A15" s="57" t="s">
        <v>1302</v>
      </c>
      <c r="B15" s="58" t="s">
        <v>5086</v>
      </c>
      <c r="C15" s="386">
        <f t="shared" si="0"/>
        <v>3</v>
      </c>
      <c r="D15" s="372" t="str">
        <f>_xlfn.XLOOKUP(A15,[1]SP500!$A$2:$A$502,[1]SP500!$D$2:$D$502,"N")</f>
        <v>Y</v>
      </c>
      <c r="E15" s="57" t="str">
        <f>_xlfn.XLOOKUP(A15,[1]SP500!$A$2:$A$655,[1]SP500!$B$2:$B$655)</f>
        <v>XLF</v>
      </c>
      <c r="F15" s="59">
        <v>45673</v>
      </c>
      <c r="G15" s="57" t="str">
        <f t="shared" si="1"/>
        <v>BMO</v>
      </c>
      <c r="H15" s="57" t="str">
        <f t="shared" si="2"/>
        <v>o</v>
      </c>
      <c r="I15" s="159">
        <v>124.62</v>
      </c>
      <c r="J15" s="159">
        <v>132.35</v>
      </c>
      <c r="K15" s="61">
        <f t="shared" si="3"/>
        <v>6.2028566843203251E-2</v>
      </c>
      <c r="L15" s="87">
        <f t="shared" si="4"/>
        <v>24.811426737281295</v>
      </c>
      <c r="M15" s="63" t="str">
        <f t="shared" si="5"/>
        <v/>
      </c>
      <c r="N15" s="219" t="str">
        <f t="shared" si="6"/>
        <v/>
      </c>
      <c r="O15" s="219">
        <f>IF($J15="",#N/A,SUM($N$4:N15))</f>
        <v>83.786272762617898</v>
      </c>
      <c r="P15" s="220" t="str">
        <f t="shared" si="7"/>
        <v/>
      </c>
      <c r="Q15" s="220">
        <f>IF($J15="",#N/A,SUM($P$4:P15))</f>
        <v>39.11708543473992</v>
      </c>
      <c r="R15" s="221">
        <f t="shared" si="8"/>
        <v>24.811426737281295</v>
      </c>
      <c r="S15" s="222">
        <f>IF($J15="",#N/A,SUM($R$4:R15))</f>
        <v>124.83170991080669</v>
      </c>
      <c r="T15" s="281" t="str">
        <f t="shared" si="9"/>
        <v/>
      </c>
      <c r="U15" s="281">
        <f>IF($J15="",#N/A,SUM($T$4:T15))</f>
        <v>3.4910946984424127</v>
      </c>
      <c r="V15" s="282" t="str">
        <f t="shared" si="10"/>
        <v/>
      </c>
      <c r="W15" s="282">
        <f>IF($J15="",#N/A,SUM($V$4:V15))</f>
        <v>1.6298785597808298</v>
      </c>
      <c r="X15" s="283">
        <f t="shared" si="11"/>
        <v>1.0338094473867205</v>
      </c>
      <c r="Y15" s="283">
        <f>IF($J15="",#N/A,SUM($X$4:X15))</f>
        <v>5.2013212462836123</v>
      </c>
      <c r="Z15" s="304" t="str">
        <f t="shared" si="12"/>
        <v/>
      </c>
      <c r="AA15" s="304">
        <f>IF($J15="",#N/A,SUM(Z$4:Z15))</f>
        <v>0</v>
      </c>
      <c r="AB15" s="305" t="str">
        <f t="shared" si="13"/>
        <v/>
      </c>
      <c r="AC15" s="305">
        <f>IF($J15="",#N/A,SUM(AB$4:AB15))</f>
        <v>0</v>
      </c>
      <c r="AD15" s="306" t="str">
        <f t="shared" si="14"/>
        <v/>
      </c>
      <c r="AE15" s="306">
        <f>IF($J15="",#N/A,SUM(AD$4:AD15))</f>
        <v>0</v>
      </c>
      <c r="AF15" s="306">
        <f>IF($J15="",#N/A,SUM(AD$4:AD15,AB$4:AB15,Z$4:Z15))</f>
        <v>0</v>
      </c>
      <c r="AG15" s="304" t="str">
        <f t="shared" si="15"/>
        <v/>
      </c>
      <c r="AH15" s="304">
        <f>IF($J15="",#N/A,SUM(AG$4:AG15))</f>
        <v>0</v>
      </c>
      <c r="AI15" s="305" t="str">
        <f t="shared" si="16"/>
        <v/>
      </c>
      <c r="AJ15" s="305">
        <f>IF($J15="",#N/A,SUM(AI$4:AI15))</f>
        <v>0</v>
      </c>
      <c r="AK15" s="306" t="str">
        <f t="shared" si="17"/>
        <v/>
      </c>
      <c r="AL15" s="306">
        <f>IF($J15="",#N/A,SUM(AK$4:AK15))</f>
        <v>0</v>
      </c>
      <c r="AM15" s="306">
        <f>IF($J15="",#N/A,SUM(AK$4:AK15,AI$4:AI15,AG$4:AG15))</f>
        <v>0</v>
      </c>
      <c r="AN15" s="304" t="str">
        <f t="shared" si="18"/>
        <v/>
      </c>
      <c r="AO15" s="304">
        <f>IF($J15="",#N/A,SUM(AN$4:AN15))</f>
        <v>0</v>
      </c>
      <c r="AP15" s="305" t="str">
        <f t="shared" si="19"/>
        <v/>
      </c>
      <c r="AQ15" s="305">
        <f>IF($J15="",#N/A,SUM(AP$4:AP15))</f>
        <v>0</v>
      </c>
      <c r="AR15" s="306" t="str">
        <f t="shared" si="20"/>
        <v/>
      </c>
      <c r="AS15" s="306">
        <f>IF($J15="",#N/A,SUM(AR$4:AR15))</f>
        <v>0</v>
      </c>
      <c r="AT15" s="306">
        <f>IF($J15="",#N/A,SUM(AR$4:AR15,AP$4:AP15,AN$4:AN15))</f>
        <v>0</v>
      </c>
      <c r="AU15" s="304" t="str">
        <f t="shared" si="21"/>
        <v/>
      </c>
      <c r="AV15" s="304">
        <f>IF($J15="",#N/A,SUM(AU$4:AU15))</f>
        <v>0</v>
      </c>
      <c r="AW15" s="305" t="str">
        <f t="shared" si="22"/>
        <v/>
      </c>
      <c r="AX15" s="305">
        <f>IF($J15="",#N/A,SUM(AW$4:AW15))</f>
        <v>1.2290222546515868</v>
      </c>
      <c r="AY15" s="306" t="str">
        <f t="shared" si="23"/>
        <v/>
      </c>
      <c r="AZ15" s="306">
        <f>IF($J15="",#N/A,SUM(AY$4:AY15))</f>
        <v>2.4945770065075905</v>
      </c>
      <c r="BA15" s="306">
        <f>IF($J15="",#N/A,SUM(AY$4:AY15,AW$4:AW15,AU$4:AU15))</f>
        <v>3.7235992611591771</v>
      </c>
      <c r="BB15" s="304" t="str">
        <f t="shared" si="24"/>
        <v/>
      </c>
      <c r="BC15" s="304">
        <f>IF($J15="",#N/A,SUM(BB$4:BB15))</f>
        <v>0</v>
      </c>
      <c r="BD15" s="305" t="str">
        <f t="shared" si="25"/>
        <v/>
      </c>
      <c r="BE15" s="305">
        <f>IF($J15="",#N/A,SUM(BD$4:BD15))</f>
        <v>0</v>
      </c>
      <c r="BF15" s="306" t="str">
        <f t="shared" si="26"/>
        <v/>
      </c>
      <c r="BG15" s="306">
        <f>IF($J15="",#N/A,SUM(BF$4:BF15))</f>
        <v>0</v>
      </c>
      <c r="BH15" s="306">
        <f>IF($J15="",#N/A,SUM(BF$4:BF15,BD$4:BD15,BB$4:BB15))</f>
        <v>0</v>
      </c>
      <c r="BI15" s="304" t="str">
        <f t="shared" si="27"/>
        <v/>
      </c>
      <c r="BJ15" s="304">
        <f>IF($J15="",#N/A,SUM(BI$4:BI15))</f>
        <v>2.522354874280905</v>
      </c>
      <c r="BK15" s="305" t="str">
        <f t="shared" si="28"/>
        <v/>
      </c>
      <c r="BL15" s="305">
        <f>IF($J15="",#N/A,SUM(BK$4:BK15))</f>
        <v>0</v>
      </c>
      <c r="BM15" s="306">
        <f t="shared" si="29"/>
        <v>1.0338094473867205</v>
      </c>
      <c r="BN15" s="306">
        <f>IF($J15="",#N/A,SUM(BM$4:BM15))</f>
        <v>2.7067442397760217</v>
      </c>
      <c r="BO15" s="306">
        <f>IF($J15="",#N/A,SUM(BM$4:BM15,BK$4:BK15,BI$4:BI15))</f>
        <v>5.2290991140569254</v>
      </c>
      <c r="BP15" s="304" t="str">
        <f t="shared" si="30"/>
        <v/>
      </c>
      <c r="BQ15" s="304">
        <f>IF($J15="",#N/A,SUM(BP$4:BP15))</f>
        <v>0.96873982416150761</v>
      </c>
      <c r="BR15" s="305" t="str">
        <f t="shared" si="31"/>
        <v/>
      </c>
      <c r="BS15" s="305">
        <f>IF($J15="",#N/A,SUM(BR$4:BR15))</f>
        <v>0</v>
      </c>
      <c r="BT15" s="306" t="str">
        <f t="shared" si="32"/>
        <v/>
      </c>
      <c r="BU15" s="306">
        <f>IF($J15="",#N/A,SUM(BT$4:BT15))</f>
        <v>0</v>
      </c>
      <c r="BV15" s="306">
        <f>IF($J15="",#N/A,SUM(BT$4:BT15,BR$4:BR15,BP$4:BP15))</f>
        <v>0.96873982416150761</v>
      </c>
      <c r="BW15" s="304" t="str">
        <f t="shared" si="33"/>
        <v/>
      </c>
      <c r="BX15" s="304">
        <f>IF($J15="",#N/A,SUM(BW$4:BW15))</f>
        <v>0</v>
      </c>
      <c r="BY15" s="305" t="str">
        <f t="shared" si="34"/>
        <v/>
      </c>
      <c r="BZ15" s="305">
        <f>IF($J15="",#N/A,SUM(BY$4:BY15))</f>
        <v>0</v>
      </c>
      <c r="CA15" s="306" t="str">
        <f t="shared" si="35"/>
        <v/>
      </c>
      <c r="CB15" s="306">
        <f>IF($J15="",#N/A,SUM(CA$4:CA15))</f>
        <v>0</v>
      </c>
      <c r="CC15" s="306">
        <f>IF($J15="",#N/A,SUM(CA$4:CA15,BY$4:BY15,BW$4:BW15))</f>
        <v>0</v>
      </c>
      <c r="CD15" s="304" t="str">
        <f t="shared" si="36"/>
        <v/>
      </c>
      <c r="CE15" s="304">
        <f>IF($J15="",#N/A,SUM(CD$4:CD15))</f>
        <v>0</v>
      </c>
      <c r="CF15" s="305" t="str">
        <f t="shared" si="37"/>
        <v/>
      </c>
      <c r="CG15" s="305">
        <f>IF($J15="",#N/A,SUM(CF$4:CF15))</f>
        <v>0</v>
      </c>
      <c r="CH15" s="306" t="str">
        <f t="shared" si="38"/>
        <v/>
      </c>
      <c r="CI15" s="306">
        <f>IF($J15="",#N/A,SUM(CH$4:CH15))</f>
        <v>0</v>
      </c>
      <c r="CJ15" s="306">
        <f>IF($J15="",#N/A,SUM(CH$4:CH15,CF$4:CF15,CD$4:CD15))</f>
        <v>0</v>
      </c>
      <c r="CK15" s="304" t="str">
        <f t="shared" si="39"/>
        <v/>
      </c>
      <c r="CL15" s="304">
        <f>IF($J15="",#N/A,SUM(CK$4:CK15))</f>
        <v>0</v>
      </c>
      <c r="CM15" s="305" t="str">
        <f t="shared" si="40"/>
        <v/>
      </c>
      <c r="CN15" s="305">
        <f>IF($J15="",#N/A,SUM(CM$4:CM15))</f>
        <v>0</v>
      </c>
      <c r="CO15" s="306" t="str">
        <f t="shared" si="41"/>
        <v/>
      </c>
      <c r="CP15" s="306">
        <f>IF($J15="",#N/A,SUM(CO$4:CO15))</f>
        <v>0</v>
      </c>
      <c r="CQ15" s="306">
        <f>IF($J15="",#N/A,SUM(CO$4:CO15,CM$4:CM15,CK$4:CK15))</f>
        <v>0</v>
      </c>
      <c r="CR15" s="304" t="str">
        <f t="shared" si="42"/>
        <v/>
      </c>
      <c r="CS15" s="304">
        <f>IF($J15="",#N/A,SUM(CR$4:CR15))</f>
        <v>0</v>
      </c>
      <c r="CT15" s="305" t="str">
        <f t="shared" si="43"/>
        <v/>
      </c>
      <c r="CU15" s="305">
        <f>IF($J15="",#N/A,SUM(CT$4:CT15))</f>
        <v>0</v>
      </c>
      <c r="CV15" s="306" t="str">
        <f t="shared" si="44"/>
        <v/>
      </c>
      <c r="CW15" s="306">
        <f>IF($J15="",#N/A,SUM(CV$4:CV15))</f>
        <v>0</v>
      </c>
      <c r="CX15" s="306">
        <f>IF($J15="",#N/A,SUM(CV$4:CV15,CT$4:CT15,CR$4:CR15))</f>
        <v>0</v>
      </c>
      <c r="CY15" s="304" t="str">
        <f t="shared" si="45"/>
        <v/>
      </c>
      <c r="CZ15" s="304">
        <f>IF($J15="",#N/A,SUM(CY$4:CY15))</f>
        <v>0</v>
      </c>
      <c r="DA15" s="305" t="str">
        <f t="shared" si="46"/>
        <v/>
      </c>
      <c r="DB15" s="305">
        <f>IF($J15="",#N/A,SUM(DA$4:DA15))</f>
        <v>0</v>
      </c>
      <c r="DC15" s="306" t="str">
        <f t="shared" si="47"/>
        <v/>
      </c>
      <c r="DD15" s="306">
        <f>IF($J15="",#N/A,SUM(DC$4:DC15))</f>
        <v>0</v>
      </c>
      <c r="DE15" s="306">
        <f>IF($J15="",#N/A,SUM(DC$4:DC15,DA$4:DA15,CY$4:CY15))</f>
        <v>0</v>
      </c>
      <c r="DF15" s="304" t="str">
        <f t="shared" si="48"/>
        <v/>
      </c>
      <c r="DG15" s="304">
        <f>IF($J15="",#N/A,SUM(DF$4:DF15))</f>
        <v>0</v>
      </c>
      <c r="DH15" s="305" t="str">
        <f t="shared" si="49"/>
        <v/>
      </c>
      <c r="DI15" s="305">
        <f>IF($J15="",#N/A,SUM(DH$4:DH15))</f>
        <v>0</v>
      </c>
      <c r="DJ15" s="306" t="str">
        <f t="shared" si="50"/>
        <v/>
      </c>
      <c r="DK15" s="306">
        <f>IF($J15="",#N/A,SUM(DJ$4:DJ15))</f>
        <v>0</v>
      </c>
      <c r="DL15" s="306">
        <f>IF($J15="",#N/A,SUM(DJ$4:DJ15,DH$4:DH15,DF$4:DF15))</f>
        <v>0</v>
      </c>
      <c r="DM15" s="304" t="str">
        <f t="shared" si="51"/>
        <v/>
      </c>
      <c r="DN15" s="304">
        <f>IF($J15="",#N/A,SUM(DM$4:DM15))</f>
        <v>0</v>
      </c>
      <c r="DO15" s="305" t="str">
        <f t="shared" si="52"/>
        <v/>
      </c>
      <c r="DP15" s="305">
        <f>IF($J15="",#N/A,SUM(DO$4:DO15))</f>
        <v>0</v>
      </c>
      <c r="DQ15" s="306" t="str">
        <f t="shared" si="53"/>
        <v/>
      </c>
      <c r="DR15" s="306">
        <f>IF($J15="",#N/A,SUM(DQ$4:DQ15))</f>
        <v>0</v>
      </c>
      <c r="DS15" s="306">
        <f>IF($J15="",#N/A,SUM(DQ$4:DQ15,DO$4:DO15,DM$4:DM15))</f>
        <v>0</v>
      </c>
      <c r="DT15" s="304" t="str">
        <f t="shared" si="54"/>
        <v/>
      </c>
      <c r="DU15" s="304">
        <f>IF($J15="",#N/A,SUM(DT$4:DT15))</f>
        <v>0</v>
      </c>
      <c r="DV15" s="305" t="str">
        <f t="shared" si="55"/>
        <v/>
      </c>
      <c r="DW15" s="305">
        <f>IF($J15="",#N/A,SUM(DV$4:DV15))</f>
        <v>0.40085630512924314</v>
      </c>
      <c r="DX15" s="306" t="str">
        <f t="shared" si="56"/>
        <v/>
      </c>
      <c r="DY15" s="306">
        <f>IF($J15="",#N/A,SUM(DX$4:DX15))</f>
        <v>0</v>
      </c>
      <c r="DZ15" s="306">
        <f>IF($J15="",#N/A,SUM(DX$4:DX15,DV$4:DV15,DT$4:DT15))</f>
        <v>0.40085630512924314</v>
      </c>
      <c r="EA15" s="304" t="str">
        <f t="shared" si="57"/>
        <v/>
      </c>
      <c r="EB15" s="304">
        <f>IF($J15="",#N/A,SUM(EA$4:EA15))</f>
        <v>0</v>
      </c>
      <c r="EC15" s="305" t="str">
        <f t="shared" si="58"/>
        <v/>
      </c>
      <c r="ED15" s="305">
        <f>IF($J15="",#N/A,SUM(EC$4:EC15))</f>
        <v>0</v>
      </c>
      <c r="EE15" s="306" t="str">
        <f t="shared" si="59"/>
        <v/>
      </c>
      <c r="EF15" s="306">
        <f>IF($J15="",#N/A,SUM(EE$4:EE15))</f>
        <v>0</v>
      </c>
      <c r="EG15" s="306">
        <f>IF($J15="",#N/A,SUM(EE$4:EE15,EC$4:EC15,EA$4:EA15))</f>
        <v>0</v>
      </c>
      <c r="EH15" s="223">
        <f t="shared" si="60"/>
        <v>24.811426737281295</v>
      </c>
      <c r="EI15" s="224">
        <f>IF(EH15="",#N/A,SUM($EH$4:EH15))</f>
        <v>247.73506810816451</v>
      </c>
      <c r="EJ15" s="223">
        <f t="shared" si="61"/>
        <v>35.917188252286962</v>
      </c>
      <c r="EK15" s="63">
        <f>IF($GZ15="",#N/A,SUM(EJ$4:EJ15))</f>
        <v>412.20379534084378</v>
      </c>
      <c r="EL15" s="60">
        <f t="shared" si="97"/>
        <v>1.0338094473867205</v>
      </c>
      <c r="EM15" s="60">
        <f>IF(EL15="",NA(),SUM($EL$4:EL15))</f>
        <v>10.322294504506857</v>
      </c>
      <c r="EN15" s="60" t="str">
        <f t="shared" si="62"/>
        <v/>
      </c>
      <c r="EO15" s="60" t="e">
        <f>IF(EN15="",NA(),SUM($EN$4:EN15))</f>
        <v>#N/A</v>
      </c>
      <c r="EP15" s="60">
        <f t="shared" si="63"/>
        <v>1.0338094473867205</v>
      </c>
      <c r="EQ15" s="60">
        <f>IF(EP15="",NA(),SUM($EP$4:EP15))</f>
        <v>5.2013212462836123</v>
      </c>
      <c r="ER15" s="60" t="str">
        <f t="shared" si="64"/>
        <v/>
      </c>
      <c r="ES15" s="60" t="e">
        <f>IF(ER15="",NA(),SUM($ER$4:ER15))</f>
        <v>#N/A</v>
      </c>
      <c r="ET15" s="60" t="str">
        <f t="shared" si="65"/>
        <v/>
      </c>
      <c r="EU15" s="60" t="e">
        <f>IF(ET15="",NA(),SUM($ET$4:ET15))</f>
        <v>#N/A</v>
      </c>
      <c r="EV15" s="60" t="str">
        <f t="shared" si="66"/>
        <v/>
      </c>
      <c r="EW15" s="60" t="e">
        <f>IF(EV15="",NA(),SUM($EV$4:EV15))</f>
        <v>#N/A</v>
      </c>
      <c r="EX15" s="60" t="str">
        <f t="shared" si="67"/>
        <v/>
      </c>
      <c r="EY15" s="60" t="e">
        <f>IF(EX15="",NA(),SUM($EX$4:EX15))</f>
        <v>#N/A</v>
      </c>
      <c r="EZ15" s="60" t="str">
        <f t="shared" si="68"/>
        <v/>
      </c>
      <c r="FA15" s="60" t="e">
        <f>IF(EZ15="",NA(),SUM($EZ$4:EZ15))</f>
        <v>#N/A</v>
      </c>
      <c r="FB15" s="246" t="str">
        <f t="shared" si="98"/>
        <v/>
      </c>
      <c r="FC15" s="269" t="e">
        <f>IF($FB15="",#N/A,SUM(FB$4:$FB15))</f>
        <v>#N/A</v>
      </c>
      <c r="FD15" s="60" t="str">
        <f t="shared" si="69"/>
        <v/>
      </c>
      <c r="FE15" s="60" t="e">
        <f>IF($FD15="",#N/A,SUM($FD$4:FD15))</f>
        <v>#N/A</v>
      </c>
      <c r="FF15" s="60" t="str">
        <f t="shared" si="70"/>
        <v/>
      </c>
      <c r="FG15" s="60" t="e">
        <f>IF($FF15="",#N/A,SUM($FF$4:FF15))</f>
        <v>#N/A</v>
      </c>
      <c r="FH15" s="60" t="str">
        <f t="shared" si="71"/>
        <v/>
      </c>
      <c r="FI15" s="60" t="e">
        <f>IF($FH15="",#N/A,SUM($FH$4:FH15))</f>
        <v>#N/A</v>
      </c>
      <c r="FJ15" s="60">
        <f t="shared" si="72"/>
        <v>0.4627400631252363</v>
      </c>
      <c r="FK15" s="60">
        <f>IF($FJ15="",#N/A,SUM($FJ$4:FJ15))</f>
        <v>3.0908439520516966</v>
      </c>
      <c r="FL15" s="60" t="str">
        <f t="shared" si="73"/>
        <v/>
      </c>
      <c r="FM15" s="60" t="e">
        <f>IF($FL15="",#N/A,SUM($FL$4:FL15))</f>
        <v>#N/A</v>
      </c>
      <c r="FN15" s="82">
        <f t="shared" si="74"/>
        <v>1.4965495105119568</v>
      </c>
      <c r="FO15" s="82">
        <f>IF($FN15="",#N/A,SUM(FN$4:$FN15))</f>
        <v>17.175158139201823</v>
      </c>
      <c r="FP15" s="82">
        <f t="shared" si="99"/>
        <v>1.0338094473867205</v>
      </c>
      <c r="FQ15" s="246">
        <f>IF($EH15="",#N/A,SUM($FP$4:FP15))</f>
        <v>10.322294504506857</v>
      </c>
      <c r="FR15" s="99"/>
      <c r="FS15" s="99"/>
      <c r="FT15" s="99"/>
      <c r="FU15" s="82" t="e">
        <v>#N/A</v>
      </c>
      <c r="FV15" s="57" t="str">
        <f t="shared" si="75"/>
        <v>SW</v>
      </c>
      <c r="FW15" s="57" t="s">
        <v>2732</v>
      </c>
      <c r="FX15" s="57" t="str">
        <f t="shared" si="76"/>
        <v/>
      </c>
      <c r="FY15" s="57" t="str">
        <f t="shared" si="77"/>
        <v/>
      </c>
      <c r="FZ15" s="57">
        <f t="shared" si="78"/>
        <v>1</v>
      </c>
      <c r="GA15" s="57" t="str">
        <f t="shared" si="79"/>
        <v>Long</v>
      </c>
      <c r="GB15" s="57" t="str">
        <f t="shared" si="80"/>
        <v/>
      </c>
      <c r="GC15" s="57" t="str">
        <f t="shared" si="81"/>
        <v/>
      </c>
      <c r="GD15" s="57" t="str">
        <f t="shared" si="82"/>
        <v/>
      </c>
      <c r="GE15" s="62">
        <f t="shared" si="83"/>
        <v>124.62</v>
      </c>
      <c r="GF15" s="62" t="s">
        <v>2779</v>
      </c>
      <c r="GG15" s="199">
        <f t="shared" si="84"/>
        <v>3.2097576632964211</v>
      </c>
      <c r="GH15" s="207">
        <f t="shared" si="85"/>
        <v>400</v>
      </c>
      <c r="GI15" s="199">
        <f t="shared" si="86"/>
        <v>3.2097576632964211</v>
      </c>
      <c r="GJ15" s="200">
        <f t="shared" si="87"/>
        <v>132.35</v>
      </c>
      <c r="GK15" s="63">
        <f t="shared" si="88"/>
        <v>24.811426737281295</v>
      </c>
      <c r="GL15" s="63">
        <f t="shared" si="89"/>
        <v>35.917188252286962</v>
      </c>
      <c r="GM15" s="82">
        <f t="shared" si="90"/>
        <v>1.4965495105119568</v>
      </c>
      <c r="GN15" s="82">
        <f>IF($GZ15="",#N/A,SUM(GM$4:GM15))</f>
        <v>8.292165198335308</v>
      </c>
      <c r="GO15" s="82" t="str">
        <f t="shared" si="91"/>
        <v/>
      </c>
      <c r="GP15" s="82">
        <f>IF($GZ15="",#N/A,SUM(GO$4:GO15))</f>
        <v>5.0281413850798682</v>
      </c>
      <c r="GQ15" s="82" t="str">
        <f t="shared" si="92"/>
        <v/>
      </c>
      <c r="GR15" s="82">
        <f>IF($GZ15="",#N/A,SUM(GQ$4:GQ15))</f>
        <v>3.8548515557866478</v>
      </c>
      <c r="GS15" s="63">
        <f t="shared" si="100"/>
        <v>35.917188252286962</v>
      </c>
      <c r="GT15" s="63">
        <f>IF($GZ15="",#N/A,SUM(GS$4:GS15))</f>
        <v>199.01196476004742</v>
      </c>
      <c r="GU15" s="63" t="str">
        <f t="shared" si="101"/>
        <v/>
      </c>
      <c r="GV15" s="63">
        <f>IF($GZ15="",#N/A,SUM(GU$4:GU15))</f>
        <v>120.67539324191682</v>
      </c>
      <c r="GW15" s="62" t="str">
        <f t="shared" si="102"/>
        <v/>
      </c>
      <c r="GX15" s="63">
        <f>IF($GZ15="",#N/A,SUM(GW$4:GW15))</f>
        <v>92.516437338879541</v>
      </c>
      <c r="GY15" s="63">
        <f>IF(EJ15="",#N/A,SUM($EJ$4:EJ15))</f>
        <v>412.20379534084378</v>
      </c>
      <c r="GZ15" s="159">
        <v>135.81</v>
      </c>
      <c r="HA15" s="63">
        <f t="shared" si="93"/>
        <v>11.105761515005668</v>
      </c>
      <c r="HB15" s="62" t="s">
        <v>4970</v>
      </c>
      <c r="HC15" s="60">
        <f>IFERROR(VLOOKUP(E15,Expectancy!$P$4:$S$19,1+C15,FALSE),"")</f>
        <v>9.9793136114217987E-2</v>
      </c>
      <c r="HD15" s="60" t="str">
        <f t="shared" si="94"/>
        <v/>
      </c>
      <c r="HE15" s="60" t="e">
        <f>IF(HD15="",#N/A,SUM($HD$4:HD15))</f>
        <v>#N/A</v>
      </c>
      <c r="HF15" s="64" t="e">
        <f>IF(HD15="",#N/A,IF(HB15="Skip",#N/A,SUM($HG$4:HG15)))</f>
        <v>#N/A</v>
      </c>
      <c r="HG15" s="63" t="str">
        <f t="shared" si="95"/>
        <v/>
      </c>
      <c r="HH15" s="82">
        <f t="shared" si="96"/>
        <v>1.4965495105119568</v>
      </c>
    </row>
    <row r="16" spans="1:235" x14ac:dyDescent="0.25">
      <c r="A16" s="57" t="s">
        <v>1374</v>
      </c>
      <c r="B16" s="58" t="s">
        <v>5087</v>
      </c>
      <c r="C16" s="386">
        <f t="shared" si="0"/>
        <v>1</v>
      </c>
      <c r="D16" s="372" t="str">
        <f>_xlfn.XLOOKUP(A16,[1]SP500!$A$2:$A$502,[1]SP500!$D$2:$D$502,"N")</f>
        <v>Y</v>
      </c>
      <c r="E16" s="57" t="str">
        <f>_xlfn.XLOOKUP(A16,[1]SP500!$A$2:$A$655,[1]SP500!$B$2:$B$655)</f>
        <v>XLF</v>
      </c>
      <c r="F16" s="59">
        <v>45673</v>
      </c>
      <c r="G16" s="57" t="str">
        <f t="shared" si="1"/>
        <v>BMO</v>
      </c>
      <c r="H16" s="57" t="str">
        <f t="shared" si="2"/>
        <v>o</v>
      </c>
      <c r="I16" s="159">
        <v>200.44</v>
      </c>
      <c r="J16" s="158">
        <v>185.5</v>
      </c>
      <c r="K16" s="61">
        <f t="shared" si="3"/>
        <v>-7.4536020754340446E-2</v>
      </c>
      <c r="L16" s="87">
        <f t="shared" si="4"/>
        <v>-29.814408301736194</v>
      </c>
      <c r="M16" s="63" t="str">
        <f t="shared" si="5"/>
        <v/>
      </c>
      <c r="N16" s="219">
        <f t="shared" si="6"/>
        <v>-29.814408301736194</v>
      </c>
      <c r="O16" s="219">
        <f>IF($J16="",#N/A,SUM($N$4:N16))</f>
        <v>53.971864460881704</v>
      </c>
      <c r="P16" s="220" t="str">
        <f t="shared" si="7"/>
        <v/>
      </c>
      <c r="Q16" s="220">
        <f>IF($J16="",#N/A,SUM($P$4:P16))</f>
        <v>39.11708543473992</v>
      </c>
      <c r="R16" s="221" t="str">
        <f t="shared" si="8"/>
        <v/>
      </c>
      <c r="S16" s="222">
        <f>IF($J16="",#N/A,SUM($R$4:R16))</f>
        <v>124.83170991080669</v>
      </c>
      <c r="T16" s="281">
        <f t="shared" si="9"/>
        <v>-1.2422670125723414</v>
      </c>
      <c r="U16" s="281">
        <f>IF($J16="",#N/A,SUM($T$4:T16))</f>
        <v>2.2488276858700713</v>
      </c>
      <c r="V16" s="282" t="str">
        <f t="shared" si="10"/>
        <v/>
      </c>
      <c r="W16" s="282">
        <f>IF($J16="",#N/A,SUM($V$4:V16))</f>
        <v>1.6298785597808298</v>
      </c>
      <c r="X16" s="283" t="str">
        <f t="shared" si="11"/>
        <v/>
      </c>
      <c r="Y16" s="283">
        <f>IF($J16="",#N/A,SUM($X$4:X16))</f>
        <v>5.2013212462836123</v>
      </c>
      <c r="Z16" s="304" t="str">
        <f t="shared" si="12"/>
        <v/>
      </c>
      <c r="AA16" s="304">
        <f>IF($J16="",#N/A,SUM(Z$4:Z16))</f>
        <v>0</v>
      </c>
      <c r="AB16" s="305" t="str">
        <f t="shared" si="13"/>
        <v/>
      </c>
      <c r="AC16" s="305">
        <f>IF($J16="",#N/A,SUM(AB$4:AB16))</f>
        <v>0</v>
      </c>
      <c r="AD16" s="306" t="str">
        <f t="shared" si="14"/>
        <v/>
      </c>
      <c r="AE16" s="306">
        <f>IF($J16="",#N/A,SUM(AD$4:AD16))</f>
        <v>0</v>
      </c>
      <c r="AF16" s="306">
        <f>IF($J16="",#N/A,SUM(AD$4:AD16,AB$4:AB16,Z$4:Z16))</f>
        <v>0</v>
      </c>
      <c r="AG16" s="304" t="str">
        <f t="shared" si="15"/>
        <v/>
      </c>
      <c r="AH16" s="304">
        <f>IF($J16="",#N/A,SUM(AG$4:AG16))</f>
        <v>0</v>
      </c>
      <c r="AI16" s="305" t="str">
        <f t="shared" si="16"/>
        <v/>
      </c>
      <c r="AJ16" s="305">
        <f>IF($J16="",#N/A,SUM(AI$4:AI16))</f>
        <v>0</v>
      </c>
      <c r="AK16" s="306" t="str">
        <f t="shared" si="17"/>
        <v/>
      </c>
      <c r="AL16" s="306">
        <f>IF($J16="",#N/A,SUM(AK$4:AK16))</f>
        <v>0</v>
      </c>
      <c r="AM16" s="306">
        <f>IF($J16="",#N/A,SUM(AK$4:AK16,AI$4:AI16,AG$4:AG16))</f>
        <v>0</v>
      </c>
      <c r="AN16" s="304" t="str">
        <f t="shared" si="18"/>
        <v/>
      </c>
      <c r="AO16" s="304">
        <f>IF($J16="",#N/A,SUM(AN$4:AN16))</f>
        <v>0</v>
      </c>
      <c r="AP16" s="305" t="str">
        <f t="shared" si="19"/>
        <v/>
      </c>
      <c r="AQ16" s="305">
        <f>IF($J16="",#N/A,SUM(AP$4:AP16))</f>
        <v>0</v>
      </c>
      <c r="AR16" s="306" t="str">
        <f t="shared" si="20"/>
        <v/>
      </c>
      <c r="AS16" s="306">
        <f>IF($J16="",#N/A,SUM(AR$4:AR16))</f>
        <v>0</v>
      </c>
      <c r="AT16" s="306">
        <f>IF($J16="",#N/A,SUM(AR$4:AR16,AP$4:AP16,AN$4:AN16))</f>
        <v>0</v>
      </c>
      <c r="AU16" s="304" t="str">
        <f t="shared" si="21"/>
        <v/>
      </c>
      <c r="AV16" s="304">
        <f>IF($J16="",#N/A,SUM(AU$4:AU16))</f>
        <v>0</v>
      </c>
      <c r="AW16" s="305" t="str">
        <f t="shared" si="22"/>
        <v/>
      </c>
      <c r="AX16" s="305">
        <f>IF($J16="",#N/A,SUM(AW$4:AW16))</f>
        <v>1.2290222546515868</v>
      </c>
      <c r="AY16" s="306" t="str">
        <f t="shared" si="23"/>
        <v/>
      </c>
      <c r="AZ16" s="306">
        <f>IF($J16="",#N/A,SUM(AY$4:AY16))</f>
        <v>2.4945770065075905</v>
      </c>
      <c r="BA16" s="306">
        <f>IF($J16="",#N/A,SUM(AY$4:AY16,AW$4:AW16,AU$4:AU16))</f>
        <v>3.7235992611591771</v>
      </c>
      <c r="BB16" s="304" t="str">
        <f t="shared" si="24"/>
        <v/>
      </c>
      <c r="BC16" s="304">
        <f>IF($J16="",#N/A,SUM(BB$4:BB16))</f>
        <v>0</v>
      </c>
      <c r="BD16" s="305" t="str">
        <f t="shared" si="25"/>
        <v/>
      </c>
      <c r="BE16" s="305">
        <f>IF($J16="",#N/A,SUM(BD$4:BD16))</f>
        <v>0</v>
      </c>
      <c r="BF16" s="306" t="str">
        <f t="shared" si="26"/>
        <v/>
      </c>
      <c r="BG16" s="306">
        <f>IF($J16="",#N/A,SUM(BF$4:BF16))</f>
        <v>0</v>
      </c>
      <c r="BH16" s="306">
        <f>IF($J16="",#N/A,SUM(BF$4:BF16,BD$4:BD16,BB$4:BB16))</f>
        <v>0</v>
      </c>
      <c r="BI16" s="304">
        <f t="shared" si="27"/>
        <v>-1.2422670125723414</v>
      </c>
      <c r="BJ16" s="304">
        <f>IF($J16="",#N/A,SUM(BI$4:BI16))</f>
        <v>1.2800878617085636</v>
      </c>
      <c r="BK16" s="305" t="str">
        <f t="shared" si="28"/>
        <v/>
      </c>
      <c r="BL16" s="305">
        <f>IF($J16="",#N/A,SUM(BK$4:BK16))</f>
        <v>0</v>
      </c>
      <c r="BM16" s="306" t="str">
        <f t="shared" si="29"/>
        <v/>
      </c>
      <c r="BN16" s="306">
        <f>IF($J16="",#N/A,SUM(BM$4:BM16))</f>
        <v>2.7067442397760217</v>
      </c>
      <c r="BO16" s="306">
        <f>IF($J16="",#N/A,SUM(BM$4:BM16,BK$4:BK16,BI$4:BI16))</f>
        <v>3.986832101484584</v>
      </c>
      <c r="BP16" s="304" t="str">
        <f t="shared" si="30"/>
        <v/>
      </c>
      <c r="BQ16" s="304">
        <f>IF($J16="",#N/A,SUM(BP$4:BP16))</f>
        <v>0.96873982416150761</v>
      </c>
      <c r="BR16" s="305" t="str">
        <f t="shared" si="31"/>
        <v/>
      </c>
      <c r="BS16" s="305">
        <f>IF($J16="",#N/A,SUM(BR$4:BR16))</f>
        <v>0</v>
      </c>
      <c r="BT16" s="306" t="str">
        <f t="shared" si="32"/>
        <v/>
      </c>
      <c r="BU16" s="306">
        <f>IF($J16="",#N/A,SUM(BT$4:BT16))</f>
        <v>0</v>
      </c>
      <c r="BV16" s="306">
        <f>IF($J16="",#N/A,SUM(BT$4:BT16,BR$4:BR16,BP$4:BP16))</f>
        <v>0.96873982416150761</v>
      </c>
      <c r="BW16" s="304" t="str">
        <f t="shared" si="33"/>
        <v/>
      </c>
      <c r="BX16" s="304">
        <f>IF($J16="",#N/A,SUM(BW$4:BW16))</f>
        <v>0</v>
      </c>
      <c r="BY16" s="305" t="str">
        <f t="shared" si="34"/>
        <v/>
      </c>
      <c r="BZ16" s="305">
        <f>IF($J16="",#N/A,SUM(BY$4:BY16))</f>
        <v>0</v>
      </c>
      <c r="CA16" s="306" t="str">
        <f t="shared" si="35"/>
        <v/>
      </c>
      <c r="CB16" s="306">
        <f>IF($J16="",#N/A,SUM(CA$4:CA16))</f>
        <v>0</v>
      </c>
      <c r="CC16" s="306">
        <f>IF($J16="",#N/A,SUM(CA$4:CA16,BY$4:BY16,BW$4:BW16))</f>
        <v>0</v>
      </c>
      <c r="CD16" s="304" t="str">
        <f t="shared" si="36"/>
        <v/>
      </c>
      <c r="CE16" s="304">
        <f>IF($J16="",#N/A,SUM(CD$4:CD16))</f>
        <v>0</v>
      </c>
      <c r="CF16" s="305" t="str">
        <f t="shared" si="37"/>
        <v/>
      </c>
      <c r="CG16" s="305">
        <f>IF($J16="",#N/A,SUM(CF$4:CF16))</f>
        <v>0</v>
      </c>
      <c r="CH16" s="306" t="str">
        <f t="shared" si="38"/>
        <v/>
      </c>
      <c r="CI16" s="306">
        <f>IF($J16="",#N/A,SUM(CH$4:CH16))</f>
        <v>0</v>
      </c>
      <c r="CJ16" s="306">
        <f>IF($J16="",#N/A,SUM(CH$4:CH16,CF$4:CF16,CD$4:CD16))</f>
        <v>0</v>
      </c>
      <c r="CK16" s="304" t="str">
        <f t="shared" si="39"/>
        <v/>
      </c>
      <c r="CL16" s="304">
        <f>IF($J16="",#N/A,SUM(CK$4:CK16))</f>
        <v>0</v>
      </c>
      <c r="CM16" s="305" t="str">
        <f t="shared" si="40"/>
        <v/>
      </c>
      <c r="CN16" s="305">
        <f>IF($J16="",#N/A,SUM(CM$4:CM16))</f>
        <v>0</v>
      </c>
      <c r="CO16" s="306" t="str">
        <f t="shared" si="41"/>
        <v/>
      </c>
      <c r="CP16" s="306">
        <f>IF($J16="",#N/A,SUM(CO$4:CO16))</f>
        <v>0</v>
      </c>
      <c r="CQ16" s="306">
        <f>IF($J16="",#N/A,SUM(CO$4:CO16,CM$4:CM16,CK$4:CK16))</f>
        <v>0</v>
      </c>
      <c r="CR16" s="304" t="str">
        <f t="shared" si="42"/>
        <v/>
      </c>
      <c r="CS16" s="304">
        <f>IF($J16="",#N/A,SUM(CR$4:CR16))</f>
        <v>0</v>
      </c>
      <c r="CT16" s="305" t="str">
        <f t="shared" si="43"/>
        <v/>
      </c>
      <c r="CU16" s="305">
        <f>IF($J16="",#N/A,SUM(CT$4:CT16))</f>
        <v>0</v>
      </c>
      <c r="CV16" s="306" t="str">
        <f t="shared" si="44"/>
        <v/>
      </c>
      <c r="CW16" s="306">
        <f>IF($J16="",#N/A,SUM(CV$4:CV16))</f>
        <v>0</v>
      </c>
      <c r="CX16" s="306">
        <f>IF($J16="",#N/A,SUM(CV$4:CV16,CT$4:CT16,CR$4:CR16))</f>
        <v>0</v>
      </c>
      <c r="CY16" s="304" t="str">
        <f t="shared" si="45"/>
        <v/>
      </c>
      <c r="CZ16" s="304">
        <f>IF($J16="",#N/A,SUM(CY$4:CY16))</f>
        <v>0</v>
      </c>
      <c r="DA16" s="305" t="str">
        <f t="shared" si="46"/>
        <v/>
      </c>
      <c r="DB16" s="305">
        <f>IF($J16="",#N/A,SUM(DA$4:DA16))</f>
        <v>0</v>
      </c>
      <c r="DC16" s="306" t="str">
        <f t="shared" si="47"/>
        <v/>
      </c>
      <c r="DD16" s="306">
        <f>IF($J16="",#N/A,SUM(DC$4:DC16))</f>
        <v>0</v>
      </c>
      <c r="DE16" s="306">
        <f>IF($J16="",#N/A,SUM(DC$4:DC16,DA$4:DA16,CY$4:CY16))</f>
        <v>0</v>
      </c>
      <c r="DF16" s="304" t="str">
        <f t="shared" si="48"/>
        <v/>
      </c>
      <c r="DG16" s="304">
        <f>IF($J16="",#N/A,SUM(DF$4:DF16))</f>
        <v>0</v>
      </c>
      <c r="DH16" s="305" t="str">
        <f t="shared" si="49"/>
        <v/>
      </c>
      <c r="DI16" s="305">
        <f>IF($J16="",#N/A,SUM(DH$4:DH16))</f>
        <v>0</v>
      </c>
      <c r="DJ16" s="306" t="str">
        <f t="shared" si="50"/>
        <v/>
      </c>
      <c r="DK16" s="306">
        <f>IF($J16="",#N/A,SUM(DJ$4:DJ16))</f>
        <v>0</v>
      </c>
      <c r="DL16" s="306">
        <f>IF($J16="",#N/A,SUM(DJ$4:DJ16,DH$4:DH16,DF$4:DF16))</f>
        <v>0</v>
      </c>
      <c r="DM16" s="304" t="str">
        <f t="shared" si="51"/>
        <v/>
      </c>
      <c r="DN16" s="304">
        <f>IF($J16="",#N/A,SUM(DM$4:DM16))</f>
        <v>0</v>
      </c>
      <c r="DO16" s="305" t="str">
        <f t="shared" si="52"/>
        <v/>
      </c>
      <c r="DP16" s="305">
        <f>IF($J16="",#N/A,SUM(DO$4:DO16))</f>
        <v>0</v>
      </c>
      <c r="DQ16" s="306" t="str">
        <f t="shared" si="53"/>
        <v/>
      </c>
      <c r="DR16" s="306">
        <f>IF($J16="",#N/A,SUM(DQ$4:DQ16))</f>
        <v>0</v>
      </c>
      <c r="DS16" s="306">
        <f>IF($J16="",#N/A,SUM(DQ$4:DQ16,DO$4:DO16,DM$4:DM16))</f>
        <v>0</v>
      </c>
      <c r="DT16" s="304" t="str">
        <f t="shared" si="54"/>
        <v/>
      </c>
      <c r="DU16" s="304">
        <f>IF($J16="",#N/A,SUM(DT$4:DT16))</f>
        <v>0</v>
      </c>
      <c r="DV16" s="305" t="str">
        <f t="shared" si="55"/>
        <v/>
      </c>
      <c r="DW16" s="305">
        <f>IF($J16="",#N/A,SUM(DV$4:DV16))</f>
        <v>0.40085630512924314</v>
      </c>
      <c r="DX16" s="306" t="str">
        <f t="shared" si="56"/>
        <v/>
      </c>
      <c r="DY16" s="306">
        <f>IF($J16="",#N/A,SUM(DX$4:DX16))</f>
        <v>0</v>
      </c>
      <c r="DZ16" s="306">
        <f>IF($J16="",#N/A,SUM(DX$4:DX16,DV$4:DV16,DT$4:DT16))</f>
        <v>0.40085630512924314</v>
      </c>
      <c r="EA16" s="304" t="str">
        <f t="shared" si="57"/>
        <v/>
      </c>
      <c r="EB16" s="304">
        <f>IF($J16="",#N/A,SUM(EA$4:EA16))</f>
        <v>0</v>
      </c>
      <c r="EC16" s="305" t="str">
        <f t="shared" si="58"/>
        <v/>
      </c>
      <c r="ED16" s="305">
        <f>IF($J16="",#N/A,SUM(EC$4:EC16))</f>
        <v>0</v>
      </c>
      <c r="EE16" s="306" t="str">
        <f t="shared" si="59"/>
        <v/>
      </c>
      <c r="EF16" s="306">
        <f>IF($J16="",#N/A,SUM(EE$4:EE16))</f>
        <v>0</v>
      </c>
      <c r="EG16" s="306">
        <f>IF($J16="",#N/A,SUM(EE$4:EE16,EC$4:EC16,EA$4:EA16))</f>
        <v>0</v>
      </c>
      <c r="EH16" s="223">
        <f t="shared" si="60"/>
        <v>-29.814408301736194</v>
      </c>
      <c r="EI16" s="224">
        <f>IF(EH16="",#N/A,SUM($EH$4:EH16))</f>
        <v>217.92065980642832</v>
      </c>
      <c r="EJ16" s="223">
        <f t="shared" si="61"/>
        <v>-7.7828776691279131</v>
      </c>
      <c r="EK16" s="63">
        <f>IF($GZ16="",#N/A,SUM(EJ$4:EJ16))</f>
        <v>404.42091767171587</v>
      </c>
      <c r="EL16" s="60">
        <f t="shared" si="97"/>
        <v>-1.2422670125723414</v>
      </c>
      <c r="EM16" s="60">
        <f>IF(EL16="",NA(),SUM($EL$4:EL16))</f>
        <v>9.0800274919345156</v>
      </c>
      <c r="EN16" s="60">
        <f t="shared" si="62"/>
        <v>-1.2422670125723414</v>
      </c>
      <c r="EO16" s="60">
        <f>IF(EN16="",NA(),SUM($EN$4:EN16))</f>
        <v>2.2488276858700713</v>
      </c>
      <c r="EP16" s="60" t="str">
        <f t="shared" si="63"/>
        <v/>
      </c>
      <c r="EQ16" s="60" t="e">
        <f>IF(EP16="",NA(),SUM($EP$4:EP16))</f>
        <v>#N/A</v>
      </c>
      <c r="ER16" s="60" t="str">
        <f t="shared" si="64"/>
        <v/>
      </c>
      <c r="ES16" s="60" t="e">
        <f>IF(ER16="",NA(),SUM($ER$4:ER16))</f>
        <v>#N/A</v>
      </c>
      <c r="ET16" s="60" t="str">
        <f t="shared" si="65"/>
        <v/>
      </c>
      <c r="EU16" s="60" t="e">
        <f>IF(ET16="",NA(),SUM($ET$4:ET16))</f>
        <v>#N/A</v>
      </c>
      <c r="EV16" s="60" t="str">
        <f t="shared" si="66"/>
        <v/>
      </c>
      <c r="EW16" s="60" t="e">
        <f>IF(EV16="",NA(),SUM($EV$4:EV16))</f>
        <v>#N/A</v>
      </c>
      <c r="EX16" s="60" t="str">
        <f t="shared" si="67"/>
        <v/>
      </c>
      <c r="EY16" s="60" t="e">
        <f>IF(EX16="",NA(),SUM($EX$4:EX16))</f>
        <v>#N/A</v>
      </c>
      <c r="EZ16" s="60" t="str">
        <f t="shared" si="68"/>
        <v/>
      </c>
      <c r="FA16" s="60" t="e">
        <f>IF(EZ16="",NA(),SUM($EZ$4:EZ16))</f>
        <v>#N/A</v>
      </c>
      <c r="FB16" s="246" t="str">
        <f t="shared" si="98"/>
        <v/>
      </c>
      <c r="FC16" s="269" t="e">
        <f>IF($FB16="",#N/A,SUM(FB$4:$FB16))</f>
        <v>#N/A</v>
      </c>
      <c r="FD16" s="60" t="str">
        <f t="shared" si="69"/>
        <v/>
      </c>
      <c r="FE16" s="60" t="e">
        <f>IF($FD16="",#N/A,SUM($FD$4:FD16))</f>
        <v>#N/A</v>
      </c>
      <c r="FF16" s="60" t="str">
        <f t="shared" si="70"/>
        <v/>
      </c>
      <c r="FG16" s="60" t="e">
        <f>IF($FF16="",#N/A,SUM($FF$4:FF16))</f>
        <v>#N/A</v>
      </c>
      <c r="FH16" s="60">
        <f t="shared" si="71"/>
        <v>0.91798044302534509</v>
      </c>
      <c r="FI16" s="60">
        <f>IF($FH16="",#N/A,SUM($FH$4:FH16))</f>
        <v>0.95336614720085799</v>
      </c>
      <c r="FJ16" s="60" t="str">
        <f t="shared" si="72"/>
        <v/>
      </c>
      <c r="FK16" s="60" t="e">
        <f>IF($FJ16="",#N/A,SUM($FJ$4:FJ16))</f>
        <v>#N/A</v>
      </c>
      <c r="FL16" s="60" t="str">
        <f t="shared" si="73"/>
        <v/>
      </c>
      <c r="FM16" s="60" t="e">
        <f>IF($FL16="",#N/A,SUM($FL$4:FL16))</f>
        <v>#N/A</v>
      </c>
      <c r="FN16" s="82">
        <f t="shared" si="74"/>
        <v>-0.32428656954699636</v>
      </c>
      <c r="FO16" s="82">
        <f>IF($FN16="",#N/A,SUM(FN$4:$FN16))</f>
        <v>16.850871569654828</v>
      </c>
      <c r="FP16" s="82">
        <f t="shared" si="99"/>
        <v>-1.2422670125723414</v>
      </c>
      <c r="FQ16" s="246">
        <f>IF($EH16="",#N/A,SUM($FP$4:FP16))</f>
        <v>9.0800274919345156</v>
      </c>
      <c r="FR16" s="99"/>
      <c r="FS16" s="99"/>
      <c r="FT16" s="99"/>
      <c r="FU16" s="82" t="e">
        <v>#N/A</v>
      </c>
      <c r="FV16" s="57" t="str">
        <f t="shared" si="75"/>
        <v>Up</v>
      </c>
      <c r="FW16" s="57" t="s">
        <v>2734</v>
      </c>
      <c r="FX16" s="57" t="str">
        <f t="shared" si="76"/>
        <v/>
      </c>
      <c r="FY16" s="57" t="str">
        <f t="shared" si="77"/>
        <v/>
      </c>
      <c r="FZ16" s="57" t="str">
        <f t="shared" si="78"/>
        <v/>
      </c>
      <c r="GA16" s="57" t="str">
        <f t="shared" si="79"/>
        <v>Long</v>
      </c>
      <c r="GB16" s="57" t="str">
        <f t="shared" si="80"/>
        <v/>
      </c>
      <c r="GC16" s="57">
        <f t="shared" si="81"/>
        <v>1</v>
      </c>
      <c r="GD16" s="57" t="str">
        <f t="shared" si="82"/>
        <v/>
      </c>
      <c r="GE16" s="62">
        <f t="shared" si="83"/>
        <v>200.44</v>
      </c>
      <c r="GF16" s="62" t="s">
        <v>2779</v>
      </c>
      <c r="GG16" s="199">
        <f t="shared" si="84"/>
        <v>1.9956096587507484</v>
      </c>
      <c r="GH16" s="207">
        <f t="shared" si="85"/>
        <v>400</v>
      </c>
      <c r="GI16" s="199">
        <f t="shared" si="86"/>
        <v>1.9956096587507484</v>
      </c>
      <c r="GJ16" s="200">
        <f t="shared" si="87"/>
        <v>185.5</v>
      </c>
      <c r="GK16" s="63">
        <f t="shared" si="88"/>
        <v>-29.814408301736194</v>
      </c>
      <c r="GL16" s="63">
        <f t="shared" si="89"/>
        <v>-7.7828776691279131</v>
      </c>
      <c r="GM16" s="82" t="str">
        <f t="shared" si="90"/>
        <v/>
      </c>
      <c r="GN16" s="82">
        <f>IF($GZ16="",#N/A,SUM(GM$4:GM16))</f>
        <v>8.292165198335308</v>
      </c>
      <c r="GO16" s="82">
        <f t="shared" si="91"/>
        <v>-0.32428656954699636</v>
      </c>
      <c r="GP16" s="82">
        <f>IF($GZ16="",#N/A,SUM(GO$4:GO16))</f>
        <v>4.7038548155328721</v>
      </c>
      <c r="GQ16" s="82" t="str">
        <f t="shared" si="92"/>
        <v/>
      </c>
      <c r="GR16" s="82">
        <f>IF($GZ16="",#N/A,SUM(GQ$4:GQ16))</f>
        <v>3.8548515557866478</v>
      </c>
      <c r="GS16" s="63" t="str">
        <f t="shared" si="100"/>
        <v/>
      </c>
      <c r="GT16" s="63">
        <f>IF($GZ16="",#N/A,SUM(GS$4:GS16))</f>
        <v>199.01196476004742</v>
      </c>
      <c r="GU16" s="63">
        <f t="shared" si="101"/>
        <v>-7.7828776691279131</v>
      </c>
      <c r="GV16" s="63">
        <f>IF($GZ16="",#N/A,SUM(GU$4:GU16))</f>
        <v>112.89251557278891</v>
      </c>
      <c r="GW16" s="62" t="str">
        <f t="shared" si="102"/>
        <v/>
      </c>
      <c r="GX16" s="63">
        <f>IF($GZ16="",#N/A,SUM(GW$4:GW16))</f>
        <v>92.516437338879541</v>
      </c>
      <c r="GY16" s="63">
        <f>IF(EJ16="",#N/A,SUM($EJ$4:EJ16))</f>
        <v>404.42091767171587</v>
      </c>
      <c r="GZ16" s="159">
        <v>196.54</v>
      </c>
      <c r="HA16" s="63">
        <f t="shared" si="93"/>
        <v>22.03153063260828</v>
      </c>
      <c r="HB16" s="62" t="s">
        <v>4970</v>
      </c>
      <c r="HC16" s="60">
        <f>IFERROR(VLOOKUP(E16,Expectancy!$P$4:$S$19,1+C16,FALSE),"")</f>
        <v>-7.9483352726509887E-2</v>
      </c>
      <c r="HD16" s="60" t="str">
        <f t="shared" si="94"/>
        <v/>
      </c>
      <c r="HE16" s="60" t="e">
        <f>IF(HD16="",#N/A,SUM($HD$4:HD16))</f>
        <v>#N/A</v>
      </c>
      <c r="HF16" s="64" t="e">
        <f>IF(HD16="",#N/A,IF(HB16="Skip",#N/A,SUM($HG$4:HG16)))</f>
        <v>#N/A</v>
      </c>
      <c r="HG16" s="63" t="str">
        <f t="shared" si="95"/>
        <v/>
      </c>
      <c r="HH16" s="82">
        <f t="shared" si="96"/>
        <v>-0.32428656954699636</v>
      </c>
    </row>
    <row r="17" spans="1:216" x14ac:dyDescent="0.25">
      <c r="A17" s="57" t="s">
        <v>1377</v>
      </c>
      <c r="B17" s="58" t="s">
        <v>5086</v>
      </c>
      <c r="C17" s="386">
        <f t="shared" si="0"/>
        <v>1</v>
      </c>
      <c r="D17" s="372" t="str">
        <f>_xlfn.XLOOKUP(A17,[1]SP500!$A$2:$A$502,[1]SP500!$D$2:$D$502,"N")</f>
        <v>Y</v>
      </c>
      <c r="E17" s="57" t="str">
        <f>_xlfn.XLOOKUP(A17,[1]SP500!$A$2:$A$655,[1]SP500!$B$2:$B$655)</f>
        <v>XLF</v>
      </c>
      <c r="F17" s="59">
        <v>45673</v>
      </c>
      <c r="G17" s="57" t="str">
        <f t="shared" si="1"/>
        <v>BMO</v>
      </c>
      <c r="H17" s="57" t="str">
        <f t="shared" si="2"/>
        <v>o</v>
      </c>
      <c r="I17" s="158">
        <v>50.9</v>
      </c>
      <c r="J17" s="159">
        <v>47.89</v>
      </c>
      <c r="K17" s="61">
        <f t="shared" si="3"/>
        <v>-5.9135559921414498E-2</v>
      </c>
      <c r="L17" s="87">
        <f t="shared" si="4"/>
        <v>-23.654223968565816</v>
      </c>
      <c r="M17" s="63" t="str">
        <f t="shared" si="5"/>
        <v/>
      </c>
      <c r="N17" s="219">
        <f t="shared" si="6"/>
        <v>-23.654223968565816</v>
      </c>
      <c r="O17" s="219">
        <f>IF($J17="",#N/A,SUM($N$4:N17))</f>
        <v>30.317640492315888</v>
      </c>
      <c r="P17" s="220" t="str">
        <f t="shared" si="7"/>
        <v/>
      </c>
      <c r="Q17" s="220">
        <f>IF($J17="",#N/A,SUM($P$4:P17))</f>
        <v>39.11708543473992</v>
      </c>
      <c r="R17" s="221" t="str">
        <f t="shared" si="8"/>
        <v/>
      </c>
      <c r="S17" s="222">
        <f>IF($J17="",#N/A,SUM($R$4:R17))</f>
        <v>124.83170991080669</v>
      </c>
      <c r="T17" s="281">
        <f t="shared" si="9"/>
        <v>-0.98559266535690904</v>
      </c>
      <c r="U17" s="281">
        <f>IF($J17="",#N/A,SUM($T$4:T17))</f>
        <v>1.2632350205131622</v>
      </c>
      <c r="V17" s="282" t="str">
        <f t="shared" si="10"/>
        <v/>
      </c>
      <c r="W17" s="282">
        <f>IF($J17="",#N/A,SUM($V$4:V17))</f>
        <v>1.6298785597808298</v>
      </c>
      <c r="X17" s="283" t="str">
        <f t="shared" si="11"/>
        <v/>
      </c>
      <c r="Y17" s="283">
        <f>IF($J17="",#N/A,SUM($X$4:X17))</f>
        <v>5.2013212462836123</v>
      </c>
      <c r="Z17" s="304" t="str">
        <f t="shared" si="12"/>
        <v/>
      </c>
      <c r="AA17" s="304">
        <f>IF($J17="",#N/A,SUM(Z$4:Z17))</f>
        <v>0</v>
      </c>
      <c r="AB17" s="305" t="str">
        <f t="shared" si="13"/>
        <v/>
      </c>
      <c r="AC17" s="305">
        <f>IF($J17="",#N/A,SUM(AB$4:AB17))</f>
        <v>0</v>
      </c>
      <c r="AD17" s="306" t="str">
        <f t="shared" si="14"/>
        <v/>
      </c>
      <c r="AE17" s="306">
        <f>IF($J17="",#N/A,SUM(AD$4:AD17))</f>
        <v>0</v>
      </c>
      <c r="AF17" s="306">
        <f>IF($J17="",#N/A,SUM(AD$4:AD17,AB$4:AB17,Z$4:Z17))</f>
        <v>0</v>
      </c>
      <c r="AG17" s="304" t="str">
        <f t="shared" si="15"/>
        <v/>
      </c>
      <c r="AH17" s="304">
        <f>IF($J17="",#N/A,SUM(AG$4:AG17))</f>
        <v>0</v>
      </c>
      <c r="AI17" s="305" t="str">
        <f t="shared" si="16"/>
        <v/>
      </c>
      <c r="AJ17" s="305">
        <f>IF($J17="",#N/A,SUM(AI$4:AI17))</f>
        <v>0</v>
      </c>
      <c r="AK17" s="306" t="str">
        <f t="shared" si="17"/>
        <v/>
      </c>
      <c r="AL17" s="306">
        <f>IF($J17="",#N/A,SUM(AK$4:AK17))</f>
        <v>0</v>
      </c>
      <c r="AM17" s="306">
        <f>IF($J17="",#N/A,SUM(AK$4:AK17,AI$4:AI17,AG$4:AG17))</f>
        <v>0</v>
      </c>
      <c r="AN17" s="304" t="str">
        <f t="shared" si="18"/>
        <v/>
      </c>
      <c r="AO17" s="304">
        <f>IF($J17="",#N/A,SUM(AN$4:AN17))</f>
        <v>0</v>
      </c>
      <c r="AP17" s="305" t="str">
        <f t="shared" si="19"/>
        <v/>
      </c>
      <c r="AQ17" s="305">
        <f>IF($J17="",#N/A,SUM(AP$4:AP17))</f>
        <v>0</v>
      </c>
      <c r="AR17" s="306" t="str">
        <f t="shared" si="20"/>
        <v/>
      </c>
      <c r="AS17" s="306">
        <f>IF($J17="",#N/A,SUM(AR$4:AR17))</f>
        <v>0</v>
      </c>
      <c r="AT17" s="306">
        <f>IF($J17="",#N/A,SUM(AR$4:AR17,AP$4:AP17,AN$4:AN17))</f>
        <v>0</v>
      </c>
      <c r="AU17" s="304" t="str">
        <f t="shared" si="21"/>
        <v/>
      </c>
      <c r="AV17" s="304">
        <f>IF($J17="",#N/A,SUM(AU$4:AU17))</f>
        <v>0</v>
      </c>
      <c r="AW17" s="305" t="str">
        <f t="shared" si="22"/>
        <v/>
      </c>
      <c r="AX17" s="305">
        <f>IF($J17="",#N/A,SUM(AW$4:AW17))</f>
        <v>1.2290222546515868</v>
      </c>
      <c r="AY17" s="306" t="str">
        <f t="shared" si="23"/>
        <v/>
      </c>
      <c r="AZ17" s="306">
        <f>IF($J17="",#N/A,SUM(AY$4:AY17))</f>
        <v>2.4945770065075905</v>
      </c>
      <c r="BA17" s="306">
        <f>IF($J17="",#N/A,SUM(AY$4:AY17,AW$4:AW17,AU$4:AU17))</f>
        <v>3.7235992611591771</v>
      </c>
      <c r="BB17" s="304" t="str">
        <f t="shared" si="24"/>
        <v/>
      </c>
      <c r="BC17" s="304">
        <f>IF($J17="",#N/A,SUM(BB$4:BB17))</f>
        <v>0</v>
      </c>
      <c r="BD17" s="305" t="str">
        <f t="shared" si="25"/>
        <v/>
      </c>
      <c r="BE17" s="305">
        <f>IF($J17="",#N/A,SUM(BD$4:BD17))</f>
        <v>0</v>
      </c>
      <c r="BF17" s="306" t="str">
        <f t="shared" si="26"/>
        <v/>
      </c>
      <c r="BG17" s="306">
        <f>IF($J17="",#N/A,SUM(BF$4:BF17))</f>
        <v>0</v>
      </c>
      <c r="BH17" s="306">
        <f>IF($J17="",#N/A,SUM(BF$4:BF17,BD$4:BD17,BB$4:BB17))</f>
        <v>0</v>
      </c>
      <c r="BI17" s="304">
        <f t="shared" si="27"/>
        <v>-0.98559266535690904</v>
      </c>
      <c r="BJ17" s="304">
        <f>IF($J17="",#N/A,SUM(BI$4:BI17))</f>
        <v>0.29449519635165455</v>
      </c>
      <c r="BK17" s="305" t="str">
        <f t="shared" si="28"/>
        <v/>
      </c>
      <c r="BL17" s="305">
        <f>IF($J17="",#N/A,SUM(BK$4:BK17))</f>
        <v>0</v>
      </c>
      <c r="BM17" s="306" t="str">
        <f t="shared" si="29"/>
        <v/>
      </c>
      <c r="BN17" s="306">
        <f>IF($J17="",#N/A,SUM(BM$4:BM17))</f>
        <v>2.7067442397760217</v>
      </c>
      <c r="BO17" s="306">
        <f>IF($J17="",#N/A,SUM(BM$4:BM17,BK$4:BK17,BI$4:BI17))</f>
        <v>3.0012394361276749</v>
      </c>
      <c r="BP17" s="304" t="str">
        <f t="shared" si="30"/>
        <v/>
      </c>
      <c r="BQ17" s="304">
        <f>IF($J17="",#N/A,SUM(BP$4:BP17))</f>
        <v>0.96873982416150761</v>
      </c>
      <c r="BR17" s="305" t="str">
        <f t="shared" si="31"/>
        <v/>
      </c>
      <c r="BS17" s="305">
        <f>IF($J17="",#N/A,SUM(BR$4:BR17))</f>
        <v>0</v>
      </c>
      <c r="BT17" s="306" t="str">
        <f t="shared" si="32"/>
        <v/>
      </c>
      <c r="BU17" s="306">
        <f>IF($J17="",#N/A,SUM(BT$4:BT17))</f>
        <v>0</v>
      </c>
      <c r="BV17" s="306">
        <f>IF($J17="",#N/A,SUM(BT$4:BT17,BR$4:BR17,BP$4:BP17))</f>
        <v>0.96873982416150761</v>
      </c>
      <c r="BW17" s="304" t="str">
        <f t="shared" si="33"/>
        <v/>
      </c>
      <c r="BX17" s="304">
        <f>IF($J17="",#N/A,SUM(BW$4:BW17))</f>
        <v>0</v>
      </c>
      <c r="BY17" s="305" t="str">
        <f t="shared" si="34"/>
        <v/>
      </c>
      <c r="BZ17" s="305">
        <f>IF($J17="",#N/A,SUM(BY$4:BY17))</f>
        <v>0</v>
      </c>
      <c r="CA17" s="306" t="str">
        <f t="shared" si="35"/>
        <v/>
      </c>
      <c r="CB17" s="306">
        <f>IF($J17="",#N/A,SUM(CA$4:CA17))</f>
        <v>0</v>
      </c>
      <c r="CC17" s="306">
        <f>IF($J17="",#N/A,SUM(CA$4:CA17,BY$4:BY17,BW$4:BW17))</f>
        <v>0</v>
      </c>
      <c r="CD17" s="304" t="str">
        <f t="shared" si="36"/>
        <v/>
      </c>
      <c r="CE17" s="304">
        <f>IF($J17="",#N/A,SUM(CD$4:CD17))</f>
        <v>0</v>
      </c>
      <c r="CF17" s="305" t="str">
        <f t="shared" si="37"/>
        <v/>
      </c>
      <c r="CG17" s="305">
        <f>IF($J17="",#N/A,SUM(CF$4:CF17))</f>
        <v>0</v>
      </c>
      <c r="CH17" s="306" t="str">
        <f t="shared" si="38"/>
        <v/>
      </c>
      <c r="CI17" s="306">
        <f>IF($J17="",#N/A,SUM(CH$4:CH17))</f>
        <v>0</v>
      </c>
      <c r="CJ17" s="306">
        <f>IF($J17="",#N/A,SUM(CH$4:CH17,CF$4:CF17,CD$4:CD17))</f>
        <v>0</v>
      </c>
      <c r="CK17" s="304" t="str">
        <f t="shared" si="39"/>
        <v/>
      </c>
      <c r="CL17" s="304">
        <f>IF($J17="",#N/A,SUM(CK$4:CK17))</f>
        <v>0</v>
      </c>
      <c r="CM17" s="305" t="str">
        <f t="shared" si="40"/>
        <v/>
      </c>
      <c r="CN17" s="305">
        <f>IF($J17="",#N/A,SUM(CM$4:CM17))</f>
        <v>0</v>
      </c>
      <c r="CO17" s="306" t="str">
        <f t="shared" si="41"/>
        <v/>
      </c>
      <c r="CP17" s="306">
        <f>IF($J17="",#N/A,SUM(CO$4:CO17))</f>
        <v>0</v>
      </c>
      <c r="CQ17" s="306">
        <f>IF($J17="",#N/A,SUM(CO$4:CO17,CM$4:CM17,CK$4:CK17))</f>
        <v>0</v>
      </c>
      <c r="CR17" s="304" t="str">
        <f t="shared" si="42"/>
        <v/>
      </c>
      <c r="CS17" s="304">
        <f>IF($J17="",#N/A,SUM(CR$4:CR17))</f>
        <v>0</v>
      </c>
      <c r="CT17" s="305" t="str">
        <f t="shared" si="43"/>
        <v/>
      </c>
      <c r="CU17" s="305">
        <f>IF($J17="",#N/A,SUM(CT$4:CT17))</f>
        <v>0</v>
      </c>
      <c r="CV17" s="306" t="str">
        <f t="shared" si="44"/>
        <v/>
      </c>
      <c r="CW17" s="306">
        <f>IF($J17="",#N/A,SUM(CV$4:CV17))</f>
        <v>0</v>
      </c>
      <c r="CX17" s="306">
        <f>IF($J17="",#N/A,SUM(CV$4:CV17,CT$4:CT17,CR$4:CR17))</f>
        <v>0</v>
      </c>
      <c r="CY17" s="304" t="str">
        <f t="shared" si="45"/>
        <v/>
      </c>
      <c r="CZ17" s="304">
        <f>IF($J17="",#N/A,SUM(CY$4:CY17))</f>
        <v>0</v>
      </c>
      <c r="DA17" s="305" t="str">
        <f t="shared" si="46"/>
        <v/>
      </c>
      <c r="DB17" s="305">
        <f>IF($J17="",#N/A,SUM(DA$4:DA17))</f>
        <v>0</v>
      </c>
      <c r="DC17" s="306" t="str">
        <f t="shared" si="47"/>
        <v/>
      </c>
      <c r="DD17" s="306">
        <f>IF($J17="",#N/A,SUM(DC$4:DC17))</f>
        <v>0</v>
      </c>
      <c r="DE17" s="306">
        <f>IF($J17="",#N/A,SUM(DC$4:DC17,DA$4:DA17,CY$4:CY17))</f>
        <v>0</v>
      </c>
      <c r="DF17" s="304" t="str">
        <f t="shared" si="48"/>
        <v/>
      </c>
      <c r="DG17" s="304">
        <f>IF($J17="",#N/A,SUM(DF$4:DF17))</f>
        <v>0</v>
      </c>
      <c r="DH17" s="305" t="str">
        <f t="shared" si="49"/>
        <v/>
      </c>
      <c r="DI17" s="305">
        <f>IF($J17="",#N/A,SUM(DH$4:DH17))</f>
        <v>0</v>
      </c>
      <c r="DJ17" s="306" t="str">
        <f t="shared" si="50"/>
        <v/>
      </c>
      <c r="DK17" s="306">
        <f>IF($J17="",#N/A,SUM(DJ$4:DJ17))</f>
        <v>0</v>
      </c>
      <c r="DL17" s="306">
        <f>IF($J17="",#N/A,SUM(DJ$4:DJ17,DH$4:DH17,DF$4:DF17))</f>
        <v>0</v>
      </c>
      <c r="DM17" s="304" t="str">
        <f t="shared" si="51"/>
        <v/>
      </c>
      <c r="DN17" s="304">
        <f>IF($J17="",#N/A,SUM(DM$4:DM17))</f>
        <v>0</v>
      </c>
      <c r="DO17" s="305" t="str">
        <f t="shared" si="52"/>
        <v/>
      </c>
      <c r="DP17" s="305">
        <f>IF($J17="",#N/A,SUM(DO$4:DO17))</f>
        <v>0</v>
      </c>
      <c r="DQ17" s="306" t="str">
        <f t="shared" si="53"/>
        <v/>
      </c>
      <c r="DR17" s="306">
        <f>IF($J17="",#N/A,SUM(DQ$4:DQ17))</f>
        <v>0</v>
      </c>
      <c r="DS17" s="306">
        <f>IF($J17="",#N/A,SUM(DQ$4:DQ17,DO$4:DO17,DM$4:DM17))</f>
        <v>0</v>
      </c>
      <c r="DT17" s="304" t="str">
        <f t="shared" si="54"/>
        <v/>
      </c>
      <c r="DU17" s="304">
        <f>IF($J17="",#N/A,SUM(DT$4:DT17))</f>
        <v>0</v>
      </c>
      <c r="DV17" s="305" t="str">
        <f t="shared" si="55"/>
        <v/>
      </c>
      <c r="DW17" s="305">
        <f>IF($J17="",#N/A,SUM(DV$4:DV17))</f>
        <v>0.40085630512924314</v>
      </c>
      <c r="DX17" s="306" t="str">
        <f t="shared" si="56"/>
        <v/>
      </c>
      <c r="DY17" s="306">
        <f>IF($J17="",#N/A,SUM(DX$4:DX17))</f>
        <v>0</v>
      </c>
      <c r="DZ17" s="306">
        <f>IF($J17="",#N/A,SUM(DX$4:DX17,DV$4:DV17,DT$4:DT17))</f>
        <v>0.40085630512924314</v>
      </c>
      <c r="EA17" s="304" t="str">
        <f t="shared" si="57"/>
        <v/>
      </c>
      <c r="EB17" s="304">
        <f>IF($J17="",#N/A,SUM(EA$4:EA17))</f>
        <v>0</v>
      </c>
      <c r="EC17" s="305" t="str">
        <f t="shared" si="58"/>
        <v/>
      </c>
      <c r="ED17" s="305">
        <f>IF($J17="",#N/A,SUM(EC$4:EC17))</f>
        <v>0</v>
      </c>
      <c r="EE17" s="306" t="str">
        <f t="shared" si="59"/>
        <v/>
      </c>
      <c r="EF17" s="306">
        <f>IF($J17="",#N/A,SUM(EE$4:EE17))</f>
        <v>0</v>
      </c>
      <c r="EG17" s="306">
        <f>IF($J17="",#N/A,SUM(EE$4:EE17,EC$4:EC17,EA$4:EA17))</f>
        <v>0</v>
      </c>
      <c r="EH17" s="223">
        <f t="shared" si="60"/>
        <v>-23.654223968565816</v>
      </c>
      <c r="EI17" s="224">
        <f>IF(EH17="",#N/A,SUM($EH$4:EH17))</f>
        <v>194.2664358378625</v>
      </c>
      <c r="EJ17" s="223">
        <f t="shared" si="61"/>
        <v>-22.554027504911573</v>
      </c>
      <c r="EK17" s="63">
        <f>IF($GZ17="",#N/A,SUM(EJ$4:EJ17))</f>
        <v>381.8668901668043</v>
      </c>
      <c r="EL17" s="60">
        <f t="shared" si="97"/>
        <v>-0.98559266535690904</v>
      </c>
      <c r="EM17" s="60">
        <f>IF(EL17="",NA(),SUM($EL$4:EL17))</f>
        <v>8.094434826577606</v>
      </c>
      <c r="EN17" s="60">
        <f t="shared" si="62"/>
        <v>-0.98559266535690904</v>
      </c>
      <c r="EO17" s="60">
        <f>IF(EN17="",NA(),SUM($EN$4:EN17))</f>
        <v>1.2632350205131622</v>
      </c>
      <c r="EP17" s="60" t="str">
        <f t="shared" si="63"/>
        <v/>
      </c>
      <c r="EQ17" s="60" t="e">
        <f>IF(EP17="",NA(),SUM($EP$4:EP17))</f>
        <v>#N/A</v>
      </c>
      <c r="ER17" s="60" t="str">
        <f t="shared" si="64"/>
        <v/>
      </c>
      <c r="ES17" s="60" t="e">
        <f>IF(ER17="",NA(),SUM($ER$4:ER17))</f>
        <v>#N/A</v>
      </c>
      <c r="ET17" s="60" t="str">
        <f t="shared" si="65"/>
        <v/>
      </c>
      <c r="EU17" s="60" t="e">
        <f>IF(ET17="",NA(),SUM($ET$4:ET17))</f>
        <v>#N/A</v>
      </c>
      <c r="EV17" s="60" t="str">
        <f t="shared" si="66"/>
        <v/>
      </c>
      <c r="EW17" s="60" t="e">
        <f>IF(EV17="",NA(),SUM($EV$4:EV17))</f>
        <v>#N/A</v>
      </c>
      <c r="EX17" s="60" t="str">
        <f t="shared" si="67"/>
        <v/>
      </c>
      <c r="EY17" s="60" t="e">
        <f>IF(EX17="",NA(),SUM($EX$4:EX17))</f>
        <v>#N/A</v>
      </c>
      <c r="EZ17" s="60" t="str">
        <f t="shared" si="68"/>
        <v/>
      </c>
      <c r="FA17" s="60" t="e">
        <f>IF(EZ17="",NA(),SUM($EZ$4:EZ17))</f>
        <v>#N/A</v>
      </c>
      <c r="FB17" s="246" t="str">
        <f t="shared" si="98"/>
        <v/>
      </c>
      <c r="FC17" s="269" t="e">
        <f>IF($FB17="",#N/A,SUM(FB$4:$FB17))</f>
        <v>#N/A</v>
      </c>
      <c r="FD17" s="60" t="str">
        <f t="shared" si="69"/>
        <v/>
      </c>
      <c r="FE17" s="60" t="e">
        <f>IF($FD17="",#N/A,SUM($FD$4:FD17))</f>
        <v>#N/A</v>
      </c>
      <c r="FF17" s="60" t="str">
        <f t="shared" si="70"/>
        <v/>
      </c>
      <c r="FG17" s="60" t="e">
        <f>IF($FF17="",#N/A,SUM($FF$4:FF17))</f>
        <v>#N/A</v>
      </c>
      <c r="FH17" s="60">
        <f t="shared" si="71"/>
        <v>4.5841519318926771E-2</v>
      </c>
      <c r="FI17" s="60">
        <f>IF($FH17="",#N/A,SUM($FH$4:FH17))</f>
        <v>0.99920766651978477</v>
      </c>
      <c r="FJ17" s="60" t="str">
        <f t="shared" si="72"/>
        <v/>
      </c>
      <c r="FK17" s="60" t="e">
        <f>IF($FJ17="",#N/A,SUM($FJ$4:FJ17))</f>
        <v>#N/A</v>
      </c>
      <c r="FL17" s="60" t="str">
        <f t="shared" si="73"/>
        <v/>
      </c>
      <c r="FM17" s="60" t="e">
        <f>IF($FL17="",#N/A,SUM($FL$4:FL17))</f>
        <v>#N/A</v>
      </c>
      <c r="FN17" s="82">
        <f t="shared" si="74"/>
        <v>-0.93975114603798227</v>
      </c>
      <c r="FO17" s="82">
        <f>IF($FN17="",#N/A,SUM(FN$4:$FN17))</f>
        <v>15.911120423616845</v>
      </c>
      <c r="FP17" s="82">
        <f t="shared" si="99"/>
        <v>-0.98559266535690904</v>
      </c>
      <c r="FQ17" s="246">
        <f>IF($EH17="",#N/A,SUM($FP$4:FP17))</f>
        <v>8.094434826577606</v>
      </c>
      <c r="FR17" s="99"/>
      <c r="FS17" s="99"/>
      <c r="FT17" s="99"/>
      <c r="FU17" s="82" t="e">
        <v>#N/A</v>
      </c>
      <c r="FV17" s="57" t="str">
        <f t="shared" si="75"/>
        <v>Up</v>
      </c>
      <c r="FW17" s="57" t="s">
        <v>2734</v>
      </c>
      <c r="FX17" s="57" t="str">
        <f t="shared" si="76"/>
        <v/>
      </c>
      <c r="FY17" s="57" t="str">
        <f t="shared" si="77"/>
        <v/>
      </c>
      <c r="FZ17" s="57" t="str">
        <f t="shared" si="78"/>
        <v/>
      </c>
      <c r="GA17" s="57" t="str">
        <f t="shared" si="79"/>
        <v>Long</v>
      </c>
      <c r="GB17" s="57" t="str">
        <f t="shared" si="80"/>
        <v/>
      </c>
      <c r="GC17" s="57">
        <f t="shared" si="81"/>
        <v>1</v>
      </c>
      <c r="GD17" s="57" t="str">
        <f t="shared" si="82"/>
        <v/>
      </c>
      <c r="GE17" s="62">
        <f t="shared" si="83"/>
        <v>50.9</v>
      </c>
      <c r="GF17" s="62" t="s">
        <v>2779</v>
      </c>
      <c r="GG17" s="199">
        <f t="shared" si="84"/>
        <v>7.8585461689587426</v>
      </c>
      <c r="GH17" s="207">
        <f t="shared" si="85"/>
        <v>400</v>
      </c>
      <c r="GI17" s="199">
        <f t="shared" si="86"/>
        <v>7.8585461689587426</v>
      </c>
      <c r="GJ17" s="200">
        <f t="shared" si="87"/>
        <v>47.89</v>
      </c>
      <c r="GK17" s="63">
        <f t="shared" si="88"/>
        <v>-23.654223968565816</v>
      </c>
      <c r="GL17" s="63">
        <f t="shared" si="89"/>
        <v>-22.554027504911573</v>
      </c>
      <c r="GM17" s="82" t="str">
        <f t="shared" si="90"/>
        <v/>
      </c>
      <c r="GN17" s="82">
        <f>IF($GZ17="",#N/A,SUM(GM$4:GM17))</f>
        <v>8.292165198335308</v>
      </c>
      <c r="GO17" s="82">
        <f t="shared" si="91"/>
        <v>-0.93975114603798227</v>
      </c>
      <c r="GP17" s="82">
        <f>IF($GZ17="",#N/A,SUM(GO$4:GO17))</f>
        <v>3.7641036694948897</v>
      </c>
      <c r="GQ17" s="82" t="str">
        <f t="shared" si="92"/>
        <v/>
      </c>
      <c r="GR17" s="82">
        <f>IF($GZ17="",#N/A,SUM(GQ$4:GQ17))</f>
        <v>3.8548515557866478</v>
      </c>
      <c r="GS17" s="63" t="str">
        <f t="shared" si="100"/>
        <v/>
      </c>
      <c r="GT17" s="63">
        <f>IF($GZ17="",#N/A,SUM(GS$4:GS17))</f>
        <v>199.01196476004742</v>
      </c>
      <c r="GU17" s="63">
        <f t="shared" si="101"/>
        <v>-22.554027504911573</v>
      </c>
      <c r="GV17" s="63">
        <f>IF($GZ17="",#N/A,SUM(GU$4:GU17))</f>
        <v>90.338488067877336</v>
      </c>
      <c r="GW17" s="62" t="str">
        <f t="shared" si="102"/>
        <v/>
      </c>
      <c r="GX17" s="63">
        <f>IF($GZ17="",#N/A,SUM(GW$4:GW17))</f>
        <v>92.516437338879541</v>
      </c>
      <c r="GY17" s="63">
        <f>IF(EJ17="",#N/A,SUM($EJ$4:EJ17))</f>
        <v>381.8668901668043</v>
      </c>
      <c r="GZ17" s="159">
        <v>48.03</v>
      </c>
      <c r="HA17" s="63">
        <f t="shared" si="93"/>
        <v>1.1001964636542425</v>
      </c>
      <c r="HB17" s="62" t="s">
        <v>4970</v>
      </c>
      <c r="HC17" s="60">
        <f>IFERROR(VLOOKUP(E17,Expectancy!$P$4:$S$19,1+C17,FALSE),"")</f>
        <v>-7.9483352726509887E-2</v>
      </c>
      <c r="HD17" s="60" t="str">
        <f t="shared" si="94"/>
        <v/>
      </c>
      <c r="HE17" s="60" t="e">
        <f>IF(HD17="",#N/A,SUM($HD$4:HD17))</f>
        <v>#N/A</v>
      </c>
      <c r="HF17" s="64" t="e">
        <f>IF(HD17="",#N/A,IF(HB17="Skip",#N/A,SUM($HG$4:HG17)))</f>
        <v>#N/A</v>
      </c>
      <c r="HG17" s="63" t="str">
        <f t="shared" si="95"/>
        <v/>
      </c>
      <c r="HH17" s="82">
        <f t="shared" si="96"/>
        <v>-0.93975114603798227</v>
      </c>
    </row>
    <row r="18" spans="1:216" x14ac:dyDescent="0.25">
      <c r="A18" s="57" t="s">
        <v>1456</v>
      </c>
      <c r="B18" s="58" t="s">
        <v>5088</v>
      </c>
      <c r="C18" s="386">
        <f t="shared" si="0"/>
        <v>1</v>
      </c>
      <c r="D18" s="372" t="str">
        <f>_xlfn.XLOOKUP(A18,[1]SP500!$A$2:$A$502,[1]SP500!$D$2:$D$502,"N")</f>
        <v>Y</v>
      </c>
      <c r="E18" s="57" t="str">
        <f>_xlfn.XLOOKUP(A18,[1]SP500!$A$2:$A$655,[1]SP500!$B$2:$B$655)</f>
        <v>XLF</v>
      </c>
      <c r="F18" s="59">
        <v>45673</v>
      </c>
      <c r="G18" s="57" t="str">
        <f t="shared" si="1"/>
        <v>BMO</v>
      </c>
      <c r="H18" s="57" t="str">
        <f t="shared" si="2"/>
        <v>o</v>
      </c>
      <c r="I18" s="159">
        <v>200.87</v>
      </c>
      <c r="J18" s="159">
        <v>195.71</v>
      </c>
      <c r="K18" s="61">
        <f t="shared" si="3"/>
        <v>-2.5688256086025769E-2</v>
      </c>
      <c r="L18" s="87">
        <f t="shared" si="4"/>
        <v>-10.275302434410321</v>
      </c>
      <c r="M18" s="63" t="str">
        <f t="shared" si="5"/>
        <v/>
      </c>
      <c r="N18" s="219">
        <f t="shared" si="6"/>
        <v>-10.275302434410321</v>
      </c>
      <c r="O18" s="219">
        <f>IF($J18="",#N/A,SUM($N$4:N18))</f>
        <v>20.042338057905567</v>
      </c>
      <c r="P18" s="220" t="str">
        <f t="shared" si="7"/>
        <v/>
      </c>
      <c r="Q18" s="220">
        <f>IF($J18="",#N/A,SUM($P$4:P18))</f>
        <v>39.11708543473992</v>
      </c>
      <c r="R18" s="221" t="str">
        <f t="shared" si="8"/>
        <v/>
      </c>
      <c r="S18" s="222">
        <f>IF($J18="",#N/A,SUM($R$4:R18))</f>
        <v>124.83170991080669</v>
      </c>
      <c r="T18" s="281">
        <f t="shared" si="9"/>
        <v>-0.42813760143376339</v>
      </c>
      <c r="U18" s="281">
        <f>IF($J18="",#N/A,SUM($T$4:T18))</f>
        <v>0.83509741907939872</v>
      </c>
      <c r="V18" s="282" t="str">
        <f t="shared" si="10"/>
        <v/>
      </c>
      <c r="W18" s="282">
        <f>IF($J18="",#N/A,SUM($V$4:V18))</f>
        <v>1.6298785597808298</v>
      </c>
      <c r="X18" s="283" t="str">
        <f t="shared" si="11"/>
        <v/>
      </c>
      <c r="Y18" s="283">
        <f>IF($J18="",#N/A,SUM($X$4:X18))</f>
        <v>5.2013212462836123</v>
      </c>
      <c r="Z18" s="304" t="str">
        <f t="shared" si="12"/>
        <v/>
      </c>
      <c r="AA18" s="304">
        <f>IF($J18="",#N/A,SUM(Z$4:Z18))</f>
        <v>0</v>
      </c>
      <c r="AB18" s="305" t="str">
        <f t="shared" si="13"/>
        <v/>
      </c>
      <c r="AC18" s="305">
        <f>IF($J18="",#N/A,SUM(AB$4:AB18))</f>
        <v>0</v>
      </c>
      <c r="AD18" s="306" t="str">
        <f t="shared" si="14"/>
        <v/>
      </c>
      <c r="AE18" s="306">
        <f>IF($J18="",#N/A,SUM(AD$4:AD18))</f>
        <v>0</v>
      </c>
      <c r="AF18" s="306">
        <f>IF($J18="",#N/A,SUM(AD$4:AD18,AB$4:AB18,Z$4:Z18))</f>
        <v>0</v>
      </c>
      <c r="AG18" s="304" t="str">
        <f t="shared" si="15"/>
        <v/>
      </c>
      <c r="AH18" s="304">
        <f>IF($J18="",#N/A,SUM(AG$4:AG18))</f>
        <v>0</v>
      </c>
      <c r="AI18" s="305" t="str">
        <f t="shared" si="16"/>
        <v/>
      </c>
      <c r="AJ18" s="305">
        <f>IF($J18="",#N/A,SUM(AI$4:AI18))</f>
        <v>0</v>
      </c>
      <c r="AK18" s="306" t="str">
        <f t="shared" si="17"/>
        <v/>
      </c>
      <c r="AL18" s="306">
        <f>IF($J18="",#N/A,SUM(AK$4:AK18))</f>
        <v>0</v>
      </c>
      <c r="AM18" s="306">
        <f>IF($J18="",#N/A,SUM(AK$4:AK18,AI$4:AI18,AG$4:AG18))</f>
        <v>0</v>
      </c>
      <c r="AN18" s="304" t="str">
        <f t="shared" si="18"/>
        <v/>
      </c>
      <c r="AO18" s="304">
        <f>IF($J18="",#N/A,SUM(AN$4:AN18))</f>
        <v>0</v>
      </c>
      <c r="AP18" s="305" t="str">
        <f t="shared" si="19"/>
        <v/>
      </c>
      <c r="AQ18" s="305">
        <f>IF($J18="",#N/A,SUM(AP$4:AP18))</f>
        <v>0</v>
      </c>
      <c r="AR18" s="306" t="str">
        <f t="shared" si="20"/>
        <v/>
      </c>
      <c r="AS18" s="306">
        <f>IF($J18="",#N/A,SUM(AR$4:AR18))</f>
        <v>0</v>
      </c>
      <c r="AT18" s="306">
        <f>IF($J18="",#N/A,SUM(AR$4:AR18,AP$4:AP18,AN$4:AN18))</f>
        <v>0</v>
      </c>
      <c r="AU18" s="304" t="str">
        <f t="shared" si="21"/>
        <v/>
      </c>
      <c r="AV18" s="304">
        <f>IF($J18="",#N/A,SUM(AU$4:AU18))</f>
        <v>0</v>
      </c>
      <c r="AW18" s="305" t="str">
        <f t="shared" si="22"/>
        <v/>
      </c>
      <c r="AX18" s="305">
        <f>IF($J18="",#N/A,SUM(AW$4:AW18))</f>
        <v>1.2290222546515868</v>
      </c>
      <c r="AY18" s="306" t="str">
        <f t="shared" si="23"/>
        <v/>
      </c>
      <c r="AZ18" s="306">
        <f>IF($J18="",#N/A,SUM(AY$4:AY18))</f>
        <v>2.4945770065075905</v>
      </c>
      <c r="BA18" s="306">
        <f>IF($J18="",#N/A,SUM(AY$4:AY18,AW$4:AW18,AU$4:AU18))</f>
        <v>3.7235992611591771</v>
      </c>
      <c r="BB18" s="304" t="str">
        <f t="shared" si="24"/>
        <v/>
      </c>
      <c r="BC18" s="304">
        <f>IF($J18="",#N/A,SUM(BB$4:BB18))</f>
        <v>0</v>
      </c>
      <c r="BD18" s="305" t="str">
        <f t="shared" si="25"/>
        <v/>
      </c>
      <c r="BE18" s="305">
        <f>IF($J18="",#N/A,SUM(BD$4:BD18))</f>
        <v>0</v>
      </c>
      <c r="BF18" s="306" t="str">
        <f t="shared" si="26"/>
        <v/>
      </c>
      <c r="BG18" s="306">
        <f>IF($J18="",#N/A,SUM(BF$4:BF18))</f>
        <v>0</v>
      </c>
      <c r="BH18" s="306">
        <f>IF($J18="",#N/A,SUM(BF$4:BF18,BD$4:BD18,BB$4:BB18))</f>
        <v>0</v>
      </c>
      <c r="BI18" s="304">
        <f t="shared" si="27"/>
        <v>-0.42813760143376339</v>
      </c>
      <c r="BJ18" s="304">
        <f>IF($J18="",#N/A,SUM(BI$4:BI18))</f>
        <v>-0.13364240508210884</v>
      </c>
      <c r="BK18" s="305" t="str">
        <f t="shared" si="28"/>
        <v/>
      </c>
      <c r="BL18" s="305">
        <f>IF($J18="",#N/A,SUM(BK$4:BK18))</f>
        <v>0</v>
      </c>
      <c r="BM18" s="306" t="str">
        <f t="shared" si="29"/>
        <v/>
      </c>
      <c r="BN18" s="306">
        <f>IF($J18="",#N/A,SUM(BM$4:BM18))</f>
        <v>2.7067442397760217</v>
      </c>
      <c r="BO18" s="306">
        <f>IF($J18="",#N/A,SUM(BM$4:BM18,BK$4:BK18,BI$4:BI18))</f>
        <v>2.5731018346939116</v>
      </c>
      <c r="BP18" s="304" t="str">
        <f t="shared" si="30"/>
        <v/>
      </c>
      <c r="BQ18" s="304">
        <f>IF($J18="",#N/A,SUM(BP$4:BP18))</f>
        <v>0.96873982416150761</v>
      </c>
      <c r="BR18" s="305" t="str">
        <f t="shared" si="31"/>
        <v/>
      </c>
      <c r="BS18" s="305">
        <f>IF($J18="",#N/A,SUM(BR$4:BR18))</f>
        <v>0</v>
      </c>
      <c r="BT18" s="306" t="str">
        <f t="shared" si="32"/>
        <v/>
      </c>
      <c r="BU18" s="306">
        <f>IF($J18="",#N/A,SUM(BT$4:BT18))</f>
        <v>0</v>
      </c>
      <c r="BV18" s="306">
        <f>IF($J18="",#N/A,SUM(BT$4:BT18,BR$4:BR18,BP$4:BP18))</f>
        <v>0.96873982416150761</v>
      </c>
      <c r="BW18" s="304" t="str">
        <f t="shared" si="33"/>
        <v/>
      </c>
      <c r="BX18" s="304">
        <f>IF($J18="",#N/A,SUM(BW$4:BW18))</f>
        <v>0</v>
      </c>
      <c r="BY18" s="305" t="str">
        <f t="shared" si="34"/>
        <v/>
      </c>
      <c r="BZ18" s="305">
        <f>IF($J18="",#N/A,SUM(BY$4:BY18))</f>
        <v>0</v>
      </c>
      <c r="CA18" s="306" t="str">
        <f t="shared" si="35"/>
        <v/>
      </c>
      <c r="CB18" s="306">
        <f>IF($J18="",#N/A,SUM(CA$4:CA18))</f>
        <v>0</v>
      </c>
      <c r="CC18" s="306">
        <f>IF($J18="",#N/A,SUM(CA$4:CA18,BY$4:BY18,BW$4:BW18))</f>
        <v>0</v>
      </c>
      <c r="CD18" s="304" t="str">
        <f t="shared" si="36"/>
        <v/>
      </c>
      <c r="CE18" s="304">
        <f>IF($J18="",#N/A,SUM(CD$4:CD18))</f>
        <v>0</v>
      </c>
      <c r="CF18" s="305" t="str">
        <f t="shared" si="37"/>
        <v/>
      </c>
      <c r="CG18" s="305">
        <f>IF($J18="",#N/A,SUM(CF$4:CF18))</f>
        <v>0</v>
      </c>
      <c r="CH18" s="306" t="str">
        <f t="shared" si="38"/>
        <v/>
      </c>
      <c r="CI18" s="306">
        <f>IF($J18="",#N/A,SUM(CH$4:CH18))</f>
        <v>0</v>
      </c>
      <c r="CJ18" s="306">
        <f>IF($J18="",#N/A,SUM(CH$4:CH18,CF$4:CF18,CD$4:CD18))</f>
        <v>0</v>
      </c>
      <c r="CK18" s="304" t="str">
        <f t="shared" si="39"/>
        <v/>
      </c>
      <c r="CL18" s="304">
        <f>IF($J18="",#N/A,SUM(CK$4:CK18))</f>
        <v>0</v>
      </c>
      <c r="CM18" s="305" t="str">
        <f t="shared" si="40"/>
        <v/>
      </c>
      <c r="CN18" s="305">
        <f>IF($J18="",#N/A,SUM(CM$4:CM18))</f>
        <v>0</v>
      </c>
      <c r="CO18" s="306" t="str">
        <f t="shared" si="41"/>
        <v/>
      </c>
      <c r="CP18" s="306">
        <f>IF($J18="",#N/A,SUM(CO$4:CO18))</f>
        <v>0</v>
      </c>
      <c r="CQ18" s="306">
        <f>IF($J18="",#N/A,SUM(CO$4:CO18,CM$4:CM18,CK$4:CK18))</f>
        <v>0</v>
      </c>
      <c r="CR18" s="304" t="str">
        <f t="shared" si="42"/>
        <v/>
      </c>
      <c r="CS18" s="304">
        <f>IF($J18="",#N/A,SUM(CR$4:CR18))</f>
        <v>0</v>
      </c>
      <c r="CT18" s="305" t="str">
        <f t="shared" si="43"/>
        <v/>
      </c>
      <c r="CU18" s="305">
        <f>IF($J18="",#N/A,SUM(CT$4:CT18))</f>
        <v>0</v>
      </c>
      <c r="CV18" s="306" t="str">
        <f t="shared" si="44"/>
        <v/>
      </c>
      <c r="CW18" s="306">
        <f>IF($J18="",#N/A,SUM(CV$4:CV18))</f>
        <v>0</v>
      </c>
      <c r="CX18" s="306">
        <f>IF($J18="",#N/A,SUM(CV$4:CV18,CT$4:CT18,CR$4:CR18))</f>
        <v>0</v>
      </c>
      <c r="CY18" s="304" t="str">
        <f t="shared" si="45"/>
        <v/>
      </c>
      <c r="CZ18" s="304">
        <f>IF($J18="",#N/A,SUM(CY$4:CY18))</f>
        <v>0</v>
      </c>
      <c r="DA18" s="305" t="str">
        <f t="shared" si="46"/>
        <v/>
      </c>
      <c r="DB18" s="305">
        <f>IF($J18="",#N/A,SUM(DA$4:DA18))</f>
        <v>0</v>
      </c>
      <c r="DC18" s="306" t="str">
        <f t="shared" si="47"/>
        <v/>
      </c>
      <c r="DD18" s="306">
        <f>IF($J18="",#N/A,SUM(DC$4:DC18))</f>
        <v>0</v>
      </c>
      <c r="DE18" s="306">
        <f>IF($J18="",#N/A,SUM(DC$4:DC18,DA$4:DA18,CY$4:CY18))</f>
        <v>0</v>
      </c>
      <c r="DF18" s="304" t="str">
        <f t="shared" si="48"/>
        <v/>
      </c>
      <c r="DG18" s="304">
        <f>IF($J18="",#N/A,SUM(DF$4:DF18))</f>
        <v>0</v>
      </c>
      <c r="DH18" s="305" t="str">
        <f t="shared" si="49"/>
        <v/>
      </c>
      <c r="DI18" s="305">
        <f>IF($J18="",#N/A,SUM(DH$4:DH18))</f>
        <v>0</v>
      </c>
      <c r="DJ18" s="306" t="str">
        <f t="shared" si="50"/>
        <v/>
      </c>
      <c r="DK18" s="306">
        <f>IF($J18="",#N/A,SUM(DJ$4:DJ18))</f>
        <v>0</v>
      </c>
      <c r="DL18" s="306">
        <f>IF($J18="",#N/A,SUM(DJ$4:DJ18,DH$4:DH18,DF$4:DF18))</f>
        <v>0</v>
      </c>
      <c r="DM18" s="304" t="str">
        <f t="shared" si="51"/>
        <v/>
      </c>
      <c r="DN18" s="304">
        <f>IF($J18="",#N/A,SUM(DM$4:DM18))</f>
        <v>0</v>
      </c>
      <c r="DO18" s="305" t="str">
        <f t="shared" si="52"/>
        <v/>
      </c>
      <c r="DP18" s="305">
        <f>IF($J18="",#N/A,SUM(DO$4:DO18))</f>
        <v>0</v>
      </c>
      <c r="DQ18" s="306" t="str">
        <f t="shared" si="53"/>
        <v/>
      </c>
      <c r="DR18" s="306">
        <f>IF($J18="",#N/A,SUM(DQ$4:DQ18))</f>
        <v>0</v>
      </c>
      <c r="DS18" s="306">
        <f>IF($J18="",#N/A,SUM(DQ$4:DQ18,DO$4:DO18,DM$4:DM18))</f>
        <v>0</v>
      </c>
      <c r="DT18" s="304" t="str">
        <f t="shared" si="54"/>
        <v/>
      </c>
      <c r="DU18" s="304">
        <f>IF($J18="",#N/A,SUM(DT$4:DT18))</f>
        <v>0</v>
      </c>
      <c r="DV18" s="305" t="str">
        <f t="shared" si="55"/>
        <v/>
      </c>
      <c r="DW18" s="305">
        <f>IF($J18="",#N/A,SUM(DV$4:DV18))</f>
        <v>0.40085630512924314</v>
      </c>
      <c r="DX18" s="306" t="str">
        <f t="shared" si="56"/>
        <v/>
      </c>
      <c r="DY18" s="306">
        <f>IF($J18="",#N/A,SUM(DX$4:DX18))</f>
        <v>0</v>
      </c>
      <c r="DZ18" s="306">
        <f>IF($J18="",#N/A,SUM(DX$4:DX18,DV$4:DV18,DT$4:DT18))</f>
        <v>0.40085630512924314</v>
      </c>
      <c r="EA18" s="304" t="str">
        <f t="shared" si="57"/>
        <v/>
      </c>
      <c r="EB18" s="304">
        <f>IF($J18="",#N/A,SUM(EA$4:EA18))</f>
        <v>0</v>
      </c>
      <c r="EC18" s="305" t="str">
        <f t="shared" si="58"/>
        <v/>
      </c>
      <c r="ED18" s="305">
        <f>IF($J18="",#N/A,SUM(EC$4:EC18))</f>
        <v>0</v>
      </c>
      <c r="EE18" s="306" t="str">
        <f t="shared" si="59"/>
        <v/>
      </c>
      <c r="EF18" s="306">
        <f>IF($J18="",#N/A,SUM(EE$4:EE18))</f>
        <v>0</v>
      </c>
      <c r="EG18" s="306">
        <f>IF($J18="",#N/A,SUM(EE$4:EE18,EC$4:EC18,EA$4:EA18))</f>
        <v>0</v>
      </c>
      <c r="EH18" s="223">
        <f t="shared" si="60"/>
        <v>-10.275302434410321</v>
      </c>
      <c r="EI18" s="224">
        <f>IF(EH18="",#N/A,SUM($EH$4:EH18))</f>
        <v>183.99113340345218</v>
      </c>
      <c r="EJ18" s="223">
        <f t="shared" si="61"/>
        <v>-9.4986807387863337</v>
      </c>
      <c r="EK18" s="63">
        <f>IF($GZ18="",#N/A,SUM(EJ$4:EJ18))</f>
        <v>372.36820942801796</v>
      </c>
      <c r="EL18" s="60">
        <f t="shared" si="97"/>
        <v>-0.42813760143376339</v>
      </c>
      <c r="EM18" s="60">
        <f>IF(EL18="",NA(),SUM($EL$4:EL18))</f>
        <v>7.6662972251438424</v>
      </c>
      <c r="EN18" s="60">
        <f t="shared" si="62"/>
        <v>-0.42813760143376339</v>
      </c>
      <c r="EO18" s="60">
        <f>IF(EN18="",NA(),SUM($EN$4:EN18))</f>
        <v>0.83509741907939872</v>
      </c>
      <c r="EP18" s="60" t="str">
        <f t="shared" si="63"/>
        <v/>
      </c>
      <c r="EQ18" s="60" t="e">
        <f>IF(EP18="",NA(),SUM($EP$4:EP18))</f>
        <v>#N/A</v>
      </c>
      <c r="ER18" s="60" t="str">
        <f t="shared" si="64"/>
        <v/>
      </c>
      <c r="ES18" s="60" t="e">
        <f>IF(ER18="",NA(),SUM($ER$4:ER18))</f>
        <v>#N/A</v>
      </c>
      <c r="ET18" s="60" t="str">
        <f t="shared" si="65"/>
        <v/>
      </c>
      <c r="EU18" s="60" t="e">
        <f>IF(ET18="",NA(),SUM($ET$4:ET18))</f>
        <v>#N/A</v>
      </c>
      <c r="EV18" s="60" t="str">
        <f t="shared" si="66"/>
        <v/>
      </c>
      <c r="EW18" s="60" t="e">
        <f>IF(EV18="",NA(),SUM($EV$4:EV18))</f>
        <v>#N/A</v>
      </c>
      <c r="EX18" s="60" t="str">
        <f t="shared" si="67"/>
        <v/>
      </c>
      <c r="EY18" s="60" t="e">
        <f>IF(EX18="",NA(),SUM($EX$4:EX18))</f>
        <v>#N/A</v>
      </c>
      <c r="EZ18" s="60" t="str">
        <f t="shared" si="68"/>
        <v/>
      </c>
      <c r="FA18" s="60" t="e">
        <f>IF(EZ18="",NA(),SUM($EZ$4:EZ18))</f>
        <v>#N/A</v>
      </c>
      <c r="FB18" s="246" t="str">
        <f t="shared" si="98"/>
        <v/>
      </c>
      <c r="FC18" s="269" t="e">
        <f>IF($FB18="",#N/A,SUM(FB$4:$FB18))</f>
        <v>#N/A</v>
      </c>
      <c r="FD18" s="60" t="str">
        <f t="shared" si="69"/>
        <v/>
      </c>
      <c r="FE18" s="60" t="e">
        <f>IF($FD18="",#N/A,SUM($FD$4:FD18))</f>
        <v>#N/A</v>
      </c>
      <c r="FF18" s="60" t="str">
        <f t="shared" si="70"/>
        <v/>
      </c>
      <c r="FG18" s="60" t="e">
        <f>IF($FF18="",#N/A,SUM($FF$4:FF18))</f>
        <v>#N/A</v>
      </c>
      <c r="FH18" s="60">
        <f t="shared" si="71"/>
        <v>3.2359237317666156E-2</v>
      </c>
      <c r="FI18" s="60">
        <f>IF($FH18="",#N/A,SUM($FH$4:FH18))</f>
        <v>1.0315669038374509</v>
      </c>
      <c r="FJ18" s="60" t="str">
        <f t="shared" si="72"/>
        <v/>
      </c>
      <c r="FK18" s="60" t="e">
        <f>IF($FJ18="",#N/A,SUM($FJ$4:FJ18))</f>
        <v>#N/A</v>
      </c>
      <c r="FL18" s="60" t="str">
        <f t="shared" si="73"/>
        <v/>
      </c>
      <c r="FM18" s="60" t="e">
        <f>IF($FL18="",#N/A,SUM($FL$4:FL18))</f>
        <v>#N/A</v>
      </c>
      <c r="FN18" s="82">
        <f t="shared" si="74"/>
        <v>-0.39577836411609724</v>
      </c>
      <c r="FO18" s="82">
        <f>IF($FN18="",#N/A,SUM(FN$4:$FN18))</f>
        <v>15.515342059500748</v>
      </c>
      <c r="FP18" s="82">
        <f t="shared" si="99"/>
        <v>-0.42813760143376339</v>
      </c>
      <c r="FQ18" s="246">
        <f>IF($EH18="",#N/A,SUM($FP$4:FP18))</f>
        <v>7.6662972251438424</v>
      </c>
      <c r="FR18" s="99"/>
      <c r="FS18" s="99"/>
      <c r="FT18" s="99"/>
      <c r="FU18" s="82" t="e">
        <v>#N/A</v>
      </c>
      <c r="FV18" s="57" t="str">
        <f t="shared" si="75"/>
        <v>Up</v>
      </c>
      <c r="FW18" s="57" t="s">
        <v>2734</v>
      </c>
      <c r="FX18" s="57" t="str">
        <f t="shared" si="76"/>
        <v/>
      </c>
      <c r="FY18" s="57" t="str">
        <f t="shared" si="77"/>
        <v/>
      </c>
      <c r="FZ18" s="57" t="str">
        <f t="shared" si="78"/>
        <v/>
      </c>
      <c r="GA18" s="57" t="str">
        <f t="shared" si="79"/>
        <v>Long</v>
      </c>
      <c r="GB18" s="57" t="str">
        <f t="shared" si="80"/>
        <v/>
      </c>
      <c r="GC18" s="57">
        <f t="shared" si="81"/>
        <v>1</v>
      </c>
      <c r="GD18" s="57" t="str">
        <f t="shared" si="82"/>
        <v/>
      </c>
      <c r="GE18" s="62">
        <f t="shared" si="83"/>
        <v>200.87</v>
      </c>
      <c r="GF18" s="62" t="s">
        <v>2779</v>
      </c>
      <c r="GG18" s="199">
        <f t="shared" si="84"/>
        <v>1.9913376810872703</v>
      </c>
      <c r="GH18" s="207">
        <f t="shared" si="85"/>
        <v>400</v>
      </c>
      <c r="GI18" s="199">
        <f t="shared" si="86"/>
        <v>1.9913376810872703</v>
      </c>
      <c r="GJ18" s="200">
        <f t="shared" si="87"/>
        <v>195.71</v>
      </c>
      <c r="GK18" s="63">
        <f t="shared" si="88"/>
        <v>-10.275302434410321</v>
      </c>
      <c r="GL18" s="63">
        <f t="shared" si="89"/>
        <v>-9.4986807387863337</v>
      </c>
      <c r="GM18" s="82" t="str">
        <f t="shared" si="90"/>
        <v/>
      </c>
      <c r="GN18" s="82">
        <f>IF($GZ18="",#N/A,SUM(GM$4:GM18))</f>
        <v>8.292165198335308</v>
      </c>
      <c r="GO18" s="82">
        <f t="shared" si="91"/>
        <v>-0.39577836411609724</v>
      </c>
      <c r="GP18" s="82">
        <f>IF($GZ18="",#N/A,SUM(GO$4:GO18))</f>
        <v>3.3683253053787925</v>
      </c>
      <c r="GQ18" s="82" t="str">
        <f t="shared" si="92"/>
        <v/>
      </c>
      <c r="GR18" s="82">
        <f>IF($GZ18="",#N/A,SUM(GQ$4:GQ18))</f>
        <v>3.8548515557866478</v>
      </c>
      <c r="GS18" s="63" t="str">
        <f t="shared" si="100"/>
        <v/>
      </c>
      <c r="GT18" s="63">
        <f>IF($GZ18="",#N/A,SUM(GS$4:GS18))</f>
        <v>199.01196476004742</v>
      </c>
      <c r="GU18" s="63">
        <f t="shared" si="101"/>
        <v>-9.4986807387863337</v>
      </c>
      <c r="GV18" s="63">
        <f>IF($GZ18="",#N/A,SUM(GU$4:GU18))</f>
        <v>80.839807329091002</v>
      </c>
      <c r="GW18" s="62" t="str">
        <f t="shared" si="102"/>
        <v/>
      </c>
      <c r="GX18" s="63">
        <f>IF($GZ18="",#N/A,SUM(GW$4:GW18))</f>
        <v>92.516437338879541</v>
      </c>
      <c r="GY18" s="63">
        <f>IF(EJ18="",#N/A,SUM($EJ$4:EJ18))</f>
        <v>372.36820942801796</v>
      </c>
      <c r="GZ18" s="159">
        <v>196.1</v>
      </c>
      <c r="HA18" s="63">
        <f t="shared" si="93"/>
        <v>0.77662169562398731</v>
      </c>
      <c r="HB18" s="62" t="s">
        <v>4970</v>
      </c>
      <c r="HC18" s="60">
        <f>IFERROR(VLOOKUP(E18,Expectancy!$P$4:$S$19,1+C18,FALSE),"")</f>
        <v>-7.9483352726509887E-2</v>
      </c>
      <c r="HD18" s="60" t="str">
        <f t="shared" si="94"/>
        <v/>
      </c>
      <c r="HE18" s="60" t="e">
        <f>IF(HD18="",#N/A,SUM($HD$4:HD18))</f>
        <v>#N/A</v>
      </c>
      <c r="HF18" s="64" t="e">
        <f>IF(HD18="",#N/A,IF(HB18="Skip",#N/A,SUM($HG$4:HG18)))</f>
        <v>#N/A</v>
      </c>
      <c r="HG18" s="63" t="str">
        <f t="shared" si="95"/>
        <v/>
      </c>
      <c r="HH18" s="82">
        <f t="shared" si="96"/>
        <v>-0.39577836411609724</v>
      </c>
    </row>
    <row r="19" spans="1:216" x14ac:dyDescent="0.25">
      <c r="A19" s="57" t="s">
        <v>1546</v>
      </c>
      <c r="B19" s="58" t="s">
        <v>5089</v>
      </c>
      <c r="C19" s="386">
        <f t="shared" si="0"/>
        <v>3</v>
      </c>
      <c r="D19" s="372" t="str">
        <f>_xlfn.XLOOKUP(A19,[1]SP500!$A$2:$A$502,[1]SP500!$D$2:$D$502,"N")</f>
        <v>Y</v>
      </c>
      <c r="E19" s="57" t="str">
        <f>_xlfn.XLOOKUP(A19,[1]SP500!$A$2:$A$655,[1]SP500!$B$2:$B$655)</f>
        <v>XLI</v>
      </c>
      <c r="F19" s="59">
        <v>45673</v>
      </c>
      <c r="G19" s="57" t="str">
        <f t="shared" si="1"/>
        <v>AMC</v>
      </c>
      <c r="H19" s="57" t="str">
        <f t="shared" si="2"/>
        <v>o</v>
      </c>
      <c r="I19" s="158">
        <v>186.2</v>
      </c>
      <c r="J19" s="158">
        <v>175</v>
      </c>
      <c r="K19" s="61">
        <f t="shared" si="3"/>
        <v>-6.0150375939849565E-2</v>
      </c>
      <c r="L19" s="87">
        <f t="shared" si="4"/>
        <v>-24.060150375939827</v>
      </c>
      <c r="M19" s="63" t="str">
        <f t="shared" si="5"/>
        <v/>
      </c>
      <c r="N19" s="219" t="str">
        <f t="shared" si="6"/>
        <v/>
      </c>
      <c r="O19" s="219">
        <f>IF($J19="",#N/A,SUM($N$4:N19))</f>
        <v>20.042338057905567</v>
      </c>
      <c r="P19" s="220" t="str">
        <f t="shared" si="7"/>
        <v/>
      </c>
      <c r="Q19" s="220">
        <f>IF($J19="",#N/A,SUM($P$4:P19))</f>
        <v>39.11708543473992</v>
      </c>
      <c r="R19" s="221">
        <f t="shared" si="8"/>
        <v>-24.060150375939827</v>
      </c>
      <c r="S19" s="222">
        <f>IF($J19="",#N/A,SUM($R$4:R19))</f>
        <v>100.77155953486687</v>
      </c>
      <c r="T19" s="281" t="str">
        <f t="shared" si="9"/>
        <v/>
      </c>
      <c r="U19" s="281">
        <f>IF($J19="",#N/A,SUM($T$4:T19))</f>
        <v>0.83509741907939872</v>
      </c>
      <c r="V19" s="282" t="str">
        <f t="shared" si="10"/>
        <v/>
      </c>
      <c r="W19" s="282">
        <f>IF($J19="",#N/A,SUM($V$4:V19))</f>
        <v>1.6298785597808298</v>
      </c>
      <c r="X19" s="283">
        <f t="shared" si="11"/>
        <v>-1.0025062656641595</v>
      </c>
      <c r="Y19" s="283">
        <f>IF($J19="",#N/A,SUM($X$4:X19))</f>
        <v>4.1988149806194528</v>
      </c>
      <c r="Z19" s="304" t="str">
        <f t="shared" si="12"/>
        <v/>
      </c>
      <c r="AA19" s="304">
        <f>IF($J19="",#N/A,SUM(Z$4:Z19))</f>
        <v>0</v>
      </c>
      <c r="AB19" s="305" t="str">
        <f t="shared" si="13"/>
        <v/>
      </c>
      <c r="AC19" s="305">
        <f>IF($J19="",#N/A,SUM(AB$4:AB19))</f>
        <v>0</v>
      </c>
      <c r="AD19" s="306" t="str">
        <f t="shared" si="14"/>
        <v/>
      </c>
      <c r="AE19" s="306">
        <f>IF($J19="",#N/A,SUM(AD$4:AD19))</f>
        <v>0</v>
      </c>
      <c r="AF19" s="306">
        <f>IF($J19="",#N/A,SUM(AD$4:AD19,AB$4:AB19,Z$4:Z19))</f>
        <v>0</v>
      </c>
      <c r="AG19" s="304" t="str">
        <f t="shared" si="15"/>
        <v/>
      </c>
      <c r="AH19" s="304">
        <f>IF($J19="",#N/A,SUM(AG$4:AG19))</f>
        <v>0</v>
      </c>
      <c r="AI19" s="305" t="str">
        <f t="shared" si="16"/>
        <v/>
      </c>
      <c r="AJ19" s="305">
        <f>IF($J19="",#N/A,SUM(AI$4:AI19))</f>
        <v>0</v>
      </c>
      <c r="AK19" s="306" t="str">
        <f t="shared" si="17"/>
        <v/>
      </c>
      <c r="AL19" s="306">
        <f>IF($J19="",#N/A,SUM(AK$4:AK19))</f>
        <v>0</v>
      </c>
      <c r="AM19" s="306">
        <f>IF($J19="",#N/A,SUM(AK$4:AK19,AI$4:AI19,AG$4:AG19))</f>
        <v>0</v>
      </c>
      <c r="AN19" s="304" t="str">
        <f t="shared" si="18"/>
        <v/>
      </c>
      <c r="AO19" s="304">
        <f>IF($J19="",#N/A,SUM(AN$4:AN19))</f>
        <v>0</v>
      </c>
      <c r="AP19" s="305" t="str">
        <f t="shared" si="19"/>
        <v/>
      </c>
      <c r="AQ19" s="305">
        <f>IF($J19="",#N/A,SUM(AP$4:AP19))</f>
        <v>0</v>
      </c>
      <c r="AR19" s="306" t="str">
        <f t="shared" si="20"/>
        <v/>
      </c>
      <c r="AS19" s="306">
        <f>IF($J19="",#N/A,SUM(AR$4:AR19))</f>
        <v>0</v>
      </c>
      <c r="AT19" s="306">
        <f>IF($J19="",#N/A,SUM(AR$4:AR19,AP$4:AP19,AN$4:AN19))</f>
        <v>0</v>
      </c>
      <c r="AU19" s="304" t="str">
        <f t="shared" si="21"/>
        <v/>
      </c>
      <c r="AV19" s="304">
        <f>IF($J19="",#N/A,SUM(AU$4:AU19))</f>
        <v>0</v>
      </c>
      <c r="AW19" s="305" t="str">
        <f t="shared" si="22"/>
        <v/>
      </c>
      <c r="AX19" s="305">
        <f>IF($J19="",#N/A,SUM(AW$4:AW19))</f>
        <v>1.2290222546515868</v>
      </c>
      <c r="AY19" s="306" t="str">
        <f t="shared" si="23"/>
        <v/>
      </c>
      <c r="AZ19" s="306">
        <f>IF($J19="",#N/A,SUM(AY$4:AY19))</f>
        <v>2.4945770065075905</v>
      </c>
      <c r="BA19" s="306">
        <f>IF($J19="",#N/A,SUM(AY$4:AY19,AW$4:AW19,AU$4:AU19))</f>
        <v>3.7235992611591771</v>
      </c>
      <c r="BB19" s="304" t="str">
        <f t="shared" si="24"/>
        <v/>
      </c>
      <c r="BC19" s="304">
        <f>IF($J19="",#N/A,SUM(BB$4:BB19))</f>
        <v>0</v>
      </c>
      <c r="BD19" s="305" t="str">
        <f t="shared" si="25"/>
        <v/>
      </c>
      <c r="BE19" s="305">
        <f>IF($J19="",#N/A,SUM(BD$4:BD19))</f>
        <v>0</v>
      </c>
      <c r="BF19" s="306" t="str">
        <f t="shared" si="26"/>
        <v/>
      </c>
      <c r="BG19" s="306">
        <f>IF($J19="",#N/A,SUM(BF$4:BF19))</f>
        <v>0</v>
      </c>
      <c r="BH19" s="306">
        <f>IF($J19="",#N/A,SUM(BF$4:BF19,BD$4:BD19,BB$4:BB19))</f>
        <v>0</v>
      </c>
      <c r="BI19" s="304" t="str">
        <f t="shared" si="27"/>
        <v/>
      </c>
      <c r="BJ19" s="304">
        <f>IF($J19="",#N/A,SUM(BI$4:BI19))</f>
        <v>-0.13364240508210884</v>
      </c>
      <c r="BK19" s="305" t="str">
        <f t="shared" si="28"/>
        <v/>
      </c>
      <c r="BL19" s="305">
        <f>IF($J19="",#N/A,SUM(BK$4:BK19))</f>
        <v>0</v>
      </c>
      <c r="BM19" s="306" t="str">
        <f t="shared" si="29"/>
        <v/>
      </c>
      <c r="BN19" s="306">
        <f>IF($J19="",#N/A,SUM(BM$4:BM19))</f>
        <v>2.7067442397760217</v>
      </c>
      <c r="BO19" s="306">
        <f>IF($J19="",#N/A,SUM(BM$4:BM19,BK$4:BK19,BI$4:BI19))</f>
        <v>2.5731018346939116</v>
      </c>
      <c r="BP19" s="304" t="str">
        <f t="shared" si="30"/>
        <v/>
      </c>
      <c r="BQ19" s="304">
        <f>IF($J19="",#N/A,SUM(BP$4:BP19))</f>
        <v>0.96873982416150761</v>
      </c>
      <c r="BR19" s="305" t="str">
        <f t="shared" si="31"/>
        <v/>
      </c>
      <c r="BS19" s="305">
        <f>IF($J19="",#N/A,SUM(BR$4:BR19))</f>
        <v>0</v>
      </c>
      <c r="BT19" s="306">
        <f t="shared" si="32"/>
        <v>-1.0025062656641595</v>
      </c>
      <c r="BU19" s="306">
        <f>IF($J19="",#N/A,SUM(BT$4:BT19))</f>
        <v>-1.0025062656641595</v>
      </c>
      <c r="BV19" s="306">
        <f>IF($J19="",#N/A,SUM(BT$4:BT19,BR$4:BR19,BP$4:BP19))</f>
        <v>-3.3766441502651845E-2</v>
      </c>
      <c r="BW19" s="304" t="str">
        <f t="shared" si="33"/>
        <v/>
      </c>
      <c r="BX19" s="304">
        <f>IF($J19="",#N/A,SUM(BW$4:BW19))</f>
        <v>0</v>
      </c>
      <c r="BY19" s="305" t="str">
        <f t="shared" si="34"/>
        <v/>
      </c>
      <c r="BZ19" s="305">
        <f>IF($J19="",#N/A,SUM(BY$4:BY19))</f>
        <v>0</v>
      </c>
      <c r="CA19" s="306" t="str">
        <f t="shared" si="35"/>
        <v/>
      </c>
      <c r="CB19" s="306">
        <f>IF($J19="",#N/A,SUM(CA$4:CA19))</f>
        <v>0</v>
      </c>
      <c r="CC19" s="306">
        <f>IF($J19="",#N/A,SUM(CA$4:CA19,BY$4:BY19,BW$4:BW19))</f>
        <v>0</v>
      </c>
      <c r="CD19" s="304" t="str">
        <f t="shared" si="36"/>
        <v/>
      </c>
      <c r="CE19" s="304">
        <f>IF($J19="",#N/A,SUM(CD$4:CD19))</f>
        <v>0</v>
      </c>
      <c r="CF19" s="305" t="str">
        <f t="shared" si="37"/>
        <v/>
      </c>
      <c r="CG19" s="305">
        <f>IF($J19="",#N/A,SUM(CF$4:CF19))</f>
        <v>0</v>
      </c>
      <c r="CH19" s="306" t="str">
        <f t="shared" si="38"/>
        <v/>
      </c>
      <c r="CI19" s="306">
        <f>IF($J19="",#N/A,SUM(CH$4:CH19))</f>
        <v>0</v>
      </c>
      <c r="CJ19" s="306">
        <f>IF($J19="",#N/A,SUM(CH$4:CH19,CF$4:CF19,CD$4:CD19))</f>
        <v>0</v>
      </c>
      <c r="CK19" s="304" t="str">
        <f t="shared" si="39"/>
        <v/>
      </c>
      <c r="CL19" s="304">
        <f>IF($J19="",#N/A,SUM(CK$4:CK19))</f>
        <v>0</v>
      </c>
      <c r="CM19" s="305" t="str">
        <f t="shared" si="40"/>
        <v/>
      </c>
      <c r="CN19" s="305">
        <f>IF($J19="",#N/A,SUM(CM$4:CM19))</f>
        <v>0</v>
      </c>
      <c r="CO19" s="306" t="str">
        <f t="shared" si="41"/>
        <v/>
      </c>
      <c r="CP19" s="306">
        <f>IF($J19="",#N/A,SUM(CO$4:CO19))</f>
        <v>0</v>
      </c>
      <c r="CQ19" s="306">
        <f>IF($J19="",#N/A,SUM(CO$4:CO19,CM$4:CM19,CK$4:CK19))</f>
        <v>0</v>
      </c>
      <c r="CR19" s="304" t="str">
        <f t="shared" si="42"/>
        <v/>
      </c>
      <c r="CS19" s="304">
        <f>IF($J19="",#N/A,SUM(CR$4:CR19))</f>
        <v>0</v>
      </c>
      <c r="CT19" s="305" t="str">
        <f t="shared" si="43"/>
        <v/>
      </c>
      <c r="CU19" s="305">
        <f>IF($J19="",#N/A,SUM(CT$4:CT19))</f>
        <v>0</v>
      </c>
      <c r="CV19" s="306" t="str">
        <f t="shared" si="44"/>
        <v/>
      </c>
      <c r="CW19" s="306">
        <f>IF($J19="",#N/A,SUM(CV$4:CV19))</f>
        <v>0</v>
      </c>
      <c r="CX19" s="306">
        <f>IF($J19="",#N/A,SUM(CV$4:CV19,CT$4:CT19,CR$4:CR19))</f>
        <v>0</v>
      </c>
      <c r="CY19" s="304" t="str">
        <f t="shared" si="45"/>
        <v/>
      </c>
      <c r="CZ19" s="304">
        <f>IF($J19="",#N/A,SUM(CY$4:CY19))</f>
        <v>0</v>
      </c>
      <c r="DA19" s="305" t="str">
        <f t="shared" si="46"/>
        <v/>
      </c>
      <c r="DB19" s="305">
        <f>IF($J19="",#N/A,SUM(DA$4:DA19))</f>
        <v>0</v>
      </c>
      <c r="DC19" s="306" t="str">
        <f t="shared" si="47"/>
        <v/>
      </c>
      <c r="DD19" s="306">
        <f>IF($J19="",#N/A,SUM(DC$4:DC19))</f>
        <v>0</v>
      </c>
      <c r="DE19" s="306">
        <f>IF($J19="",#N/A,SUM(DC$4:DC19,DA$4:DA19,CY$4:CY19))</f>
        <v>0</v>
      </c>
      <c r="DF19" s="304" t="str">
        <f t="shared" si="48"/>
        <v/>
      </c>
      <c r="DG19" s="304">
        <f>IF($J19="",#N/A,SUM(DF$4:DF19))</f>
        <v>0</v>
      </c>
      <c r="DH19" s="305" t="str">
        <f t="shared" si="49"/>
        <v/>
      </c>
      <c r="DI19" s="305">
        <f>IF($J19="",#N/A,SUM(DH$4:DH19))</f>
        <v>0</v>
      </c>
      <c r="DJ19" s="306" t="str">
        <f t="shared" si="50"/>
        <v/>
      </c>
      <c r="DK19" s="306">
        <f>IF($J19="",#N/A,SUM(DJ$4:DJ19))</f>
        <v>0</v>
      </c>
      <c r="DL19" s="306">
        <f>IF($J19="",#N/A,SUM(DJ$4:DJ19,DH$4:DH19,DF$4:DF19))</f>
        <v>0</v>
      </c>
      <c r="DM19" s="304" t="str">
        <f t="shared" si="51"/>
        <v/>
      </c>
      <c r="DN19" s="304">
        <f>IF($J19="",#N/A,SUM(DM$4:DM19))</f>
        <v>0</v>
      </c>
      <c r="DO19" s="305" t="str">
        <f t="shared" si="52"/>
        <v/>
      </c>
      <c r="DP19" s="305">
        <f>IF($J19="",#N/A,SUM(DO$4:DO19))</f>
        <v>0</v>
      </c>
      <c r="DQ19" s="306" t="str">
        <f t="shared" si="53"/>
        <v/>
      </c>
      <c r="DR19" s="306">
        <f>IF($J19="",#N/A,SUM(DQ$4:DQ19))</f>
        <v>0</v>
      </c>
      <c r="DS19" s="306">
        <f>IF($J19="",#N/A,SUM(DQ$4:DQ19,DO$4:DO19,DM$4:DM19))</f>
        <v>0</v>
      </c>
      <c r="DT19" s="304" t="str">
        <f t="shared" si="54"/>
        <v/>
      </c>
      <c r="DU19" s="304">
        <f>IF($J19="",#N/A,SUM(DT$4:DT19))</f>
        <v>0</v>
      </c>
      <c r="DV19" s="305" t="str">
        <f t="shared" si="55"/>
        <v/>
      </c>
      <c r="DW19" s="305">
        <f>IF($J19="",#N/A,SUM(DV$4:DV19))</f>
        <v>0.40085630512924314</v>
      </c>
      <c r="DX19" s="306" t="str">
        <f t="shared" si="56"/>
        <v/>
      </c>
      <c r="DY19" s="306">
        <f>IF($J19="",#N/A,SUM(DX$4:DX19))</f>
        <v>0</v>
      </c>
      <c r="DZ19" s="306">
        <f>IF($J19="",#N/A,SUM(DX$4:DX19,DV$4:DV19,DT$4:DT19))</f>
        <v>0.40085630512924314</v>
      </c>
      <c r="EA19" s="304" t="str">
        <f t="shared" si="57"/>
        <v/>
      </c>
      <c r="EB19" s="304">
        <f>IF($J19="",#N/A,SUM(EA$4:EA19))</f>
        <v>0</v>
      </c>
      <c r="EC19" s="305" t="str">
        <f t="shared" si="58"/>
        <v/>
      </c>
      <c r="ED19" s="305">
        <f>IF($J19="",#N/A,SUM(EC$4:EC19))</f>
        <v>0</v>
      </c>
      <c r="EE19" s="306" t="str">
        <f t="shared" si="59"/>
        <v/>
      </c>
      <c r="EF19" s="306">
        <f>IF($J19="",#N/A,SUM(EE$4:EE19))</f>
        <v>0</v>
      </c>
      <c r="EG19" s="306">
        <f>IF($J19="",#N/A,SUM(EE$4:EE19,EC$4:EC19,EA$4:EA19))</f>
        <v>0</v>
      </c>
      <c r="EH19" s="223">
        <f t="shared" si="60"/>
        <v>-24.060150375939827</v>
      </c>
      <c r="EI19" s="224">
        <f>IF(EH19="",#N/A,SUM($EH$4:EH19))</f>
        <v>159.93098302751235</v>
      </c>
      <c r="EJ19" s="223">
        <f t="shared" si="61"/>
        <v>-29.538131041890438</v>
      </c>
      <c r="EK19" s="63">
        <f>IF($GZ19="",#N/A,SUM(EJ$4:EJ19))</f>
        <v>342.83007838612752</v>
      </c>
      <c r="EL19" s="60">
        <f t="shared" si="97"/>
        <v>-1.0025062656641595</v>
      </c>
      <c r="EM19" s="60">
        <f>IF(EL19="",NA(),SUM($EL$4:EL19))</f>
        <v>6.6637909594796829</v>
      </c>
      <c r="EN19" s="60" t="str">
        <f t="shared" si="62"/>
        <v/>
      </c>
      <c r="EO19" s="60" t="e">
        <f>IF(EN19="",NA(),SUM($EN$4:EN19))</f>
        <v>#N/A</v>
      </c>
      <c r="EP19" s="60">
        <f t="shared" si="63"/>
        <v>-1.0025062656641595</v>
      </c>
      <c r="EQ19" s="60">
        <f>IF(EP19="",NA(),SUM($EP$4:EP19))</f>
        <v>4.1988149806194528</v>
      </c>
      <c r="ER19" s="60" t="str">
        <f t="shared" si="64"/>
        <v/>
      </c>
      <c r="ES19" s="60" t="e">
        <f>IF(ER19="",NA(),SUM($ER$4:ER19))</f>
        <v>#N/A</v>
      </c>
      <c r="ET19" s="60" t="str">
        <f t="shared" si="65"/>
        <v/>
      </c>
      <c r="EU19" s="60" t="e">
        <f>IF(ET19="",NA(),SUM($ET$4:ET19))</f>
        <v>#N/A</v>
      </c>
      <c r="EV19" s="60" t="str">
        <f t="shared" si="66"/>
        <v/>
      </c>
      <c r="EW19" s="60" t="e">
        <f>IF(EV19="",NA(),SUM($EV$4:EV19))</f>
        <v>#N/A</v>
      </c>
      <c r="EX19" s="60" t="str">
        <f t="shared" si="67"/>
        <v/>
      </c>
      <c r="EY19" s="60" t="e">
        <f>IF(EX19="",NA(),SUM($EX$4:EX19))</f>
        <v>#N/A</v>
      </c>
      <c r="EZ19" s="60" t="str">
        <f t="shared" si="68"/>
        <v/>
      </c>
      <c r="FA19" s="60" t="e">
        <f>IF(EZ19="",NA(),SUM($EZ$4:EZ19))</f>
        <v>#N/A</v>
      </c>
      <c r="FB19" s="246" t="str">
        <f t="shared" si="98"/>
        <v/>
      </c>
      <c r="FC19" s="269" t="e">
        <f>IF($FB19="",#N/A,SUM(FB$4:$FB19))</f>
        <v>#N/A</v>
      </c>
      <c r="FD19" s="60" t="str">
        <f t="shared" si="69"/>
        <v/>
      </c>
      <c r="FE19" s="60" t="e">
        <f>IF($FD19="",#N/A,SUM($FD$4:FD19))</f>
        <v>#N/A</v>
      </c>
      <c r="FF19" s="60" t="str">
        <f t="shared" si="70"/>
        <v/>
      </c>
      <c r="FG19" s="60" t="e">
        <f>IF($FF19="",#N/A,SUM($FF$4:FF19))</f>
        <v>#N/A</v>
      </c>
      <c r="FH19" s="60" t="str">
        <f t="shared" si="71"/>
        <v/>
      </c>
      <c r="FI19" s="60" t="e">
        <f>IF($FH19="",#N/A,SUM($FH$4:FH19))</f>
        <v>#N/A</v>
      </c>
      <c r="FJ19" s="60" t="str">
        <f t="shared" si="72"/>
        <v/>
      </c>
      <c r="FK19" s="60" t="e">
        <f>IF($FJ19="",#N/A,SUM($FJ$4:FJ19))</f>
        <v>#N/A</v>
      </c>
      <c r="FL19" s="60">
        <f t="shared" si="73"/>
        <v>-0.22824919441460878</v>
      </c>
      <c r="FM19" s="60">
        <f>IF($FL19="",#N/A,SUM($FL$4:FL19))</f>
        <v>-0.22824919441460878</v>
      </c>
      <c r="FN19" s="82">
        <f t="shared" si="74"/>
        <v>-1.2307554600787682</v>
      </c>
      <c r="FO19" s="82">
        <f>IF($FN19="",#N/A,SUM(FN$4:$FN19))</f>
        <v>14.28458659942198</v>
      </c>
      <c r="FP19" s="82">
        <f t="shared" si="99"/>
        <v>-1.0025062656641595</v>
      </c>
      <c r="FQ19" s="246">
        <f>IF($EH19="",#N/A,SUM($FP$4:FP19))</f>
        <v>6.6637909594796829</v>
      </c>
      <c r="FR19" s="99"/>
      <c r="FS19" s="99"/>
      <c r="FT19" s="99"/>
      <c r="FU19" s="82" t="e">
        <v>#N/A</v>
      </c>
      <c r="FV19" s="57" t="str">
        <f t="shared" si="75"/>
        <v>SW</v>
      </c>
      <c r="FW19" s="57" t="s">
        <v>2732</v>
      </c>
      <c r="FX19" s="57" t="str">
        <f t="shared" si="76"/>
        <v/>
      </c>
      <c r="FY19" s="57" t="str">
        <f t="shared" si="77"/>
        <v/>
      </c>
      <c r="FZ19" s="57" t="str">
        <f t="shared" si="78"/>
        <v/>
      </c>
      <c r="GA19" s="57" t="str">
        <f t="shared" si="79"/>
        <v>Long</v>
      </c>
      <c r="GB19" s="57" t="str">
        <f t="shared" si="80"/>
        <v/>
      </c>
      <c r="GC19" s="57" t="str">
        <f t="shared" si="81"/>
        <v/>
      </c>
      <c r="GD19" s="57">
        <f t="shared" si="82"/>
        <v>1</v>
      </c>
      <c r="GE19" s="62">
        <f t="shared" si="83"/>
        <v>186.2</v>
      </c>
      <c r="GF19" s="62" t="s">
        <v>2779</v>
      </c>
      <c r="GG19" s="199">
        <f t="shared" si="84"/>
        <v>2.1482277121374866</v>
      </c>
      <c r="GH19" s="207">
        <f t="shared" si="85"/>
        <v>400</v>
      </c>
      <c r="GI19" s="199">
        <f t="shared" si="86"/>
        <v>2.1482277121374866</v>
      </c>
      <c r="GJ19" s="200">
        <f t="shared" si="87"/>
        <v>175</v>
      </c>
      <c r="GK19" s="63">
        <f t="shared" si="88"/>
        <v>-24.060150375939827</v>
      </c>
      <c r="GL19" s="63">
        <f t="shared" si="89"/>
        <v>-29.538131041890438</v>
      </c>
      <c r="GM19" s="82">
        <f t="shared" si="90"/>
        <v>-1.2307554600787682</v>
      </c>
      <c r="GN19" s="82">
        <f>IF($GZ19="",#N/A,SUM(GM$4:GM19))</f>
        <v>7.0614097382565397</v>
      </c>
      <c r="GO19" s="82" t="str">
        <f t="shared" si="91"/>
        <v/>
      </c>
      <c r="GP19" s="82">
        <f>IF($GZ19="",#N/A,SUM(GO$4:GO19))</f>
        <v>3.3683253053787925</v>
      </c>
      <c r="GQ19" s="82" t="str">
        <f t="shared" si="92"/>
        <v/>
      </c>
      <c r="GR19" s="82">
        <f>IF($GZ19="",#N/A,SUM(GQ$4:GQ19))</f>
        <v>3.8548515557866478</v>
      </c>
      <c r="GS19" s="63">
        <f t="shared" si="100"/>
        <v>-29.538131041890438</v>
      </c>
      <c r="GT19" s="63">
        <f>IF($GZ19="",#N/A,SUM(GS$4:GS19))</f>
        <v>169.47383371815698</v>
      </c>
      <c r="GU19" s="63" t="str">
        <f t="shared" si="101"/>
        <v/>
      </c>
      <c r="GV19" s="63">
        <f>IF($GZ19="",#N/A,SUM(GU$4:GU19))</f>
        <v>80.839807329091002</v>
      </c>
      <c r="GW19" s="62" t="str">
        <f t="shared" si="102"/>
        <v/>
      </c>
      <c r="GX19" s="63">
        <f>IF($GZ19="",#N/A,SUM(GW$4:GW19))</f>
        <v>92.516437338879541</v>
      </c>
      <c r="GY19" s="63">
        <f>IF(EJ19="",#N/A,SUM($EJ$4:EJ19))</f>
        <v>342.83007838612752</v>
      </c>
      <c r="GZ19" s="159">
        <v>172.45</v>
      </c>
      <c r="HA19" s="63">
        <f t="shared" si="93"/>
        <v>-5.4779806659506107</v>
      </c>
      <c r="HB19" s="62" t="s">
        <v>4970</v>
      </c>
      <c r="HC19" s="60">
        <f>IFERROR(VLOOKUP(E19,Expectancy!$P$4:$S$19,1+C19,FALSE),"")</f>
        <v>2.40735201201209E-2</v>
      </c>
      <c r="HD19" s="60" t="str">
        <f t="shared" si="94"/>
        <v/>
      </c>
      <c r="HE19" s="60" t="e">
        <f>IF(HD19="",#N/A,SUM($HD$4:HD19))</f>
        <v>#N/A</v>
      </c>
      <c r="HF19" s="64" t="e">
        <f>IF(HD19="",#N/A,IF(HB19="Skip",#N/A,SUM($HG$4:HG19)))</f>
        <v>#N/A</v>
      </c>
      <c r="HG19" s="63" t="str">
        <f t="shared" si="95"/>
        <v/>
      </c>
      <c r="HH19" s="82">
        <f t="shared" si="96"/>
        <v>-1.2307554600787682</v>
      </c>
    </row>
    <row r="20" spans="1:216" x14ac:dyDescent="0.25">
      <c r="A20" s="57" t="s">
        <v>1396</v>
      </c>
      <c r="B20" s="58" t="s">
        <v>5090</v>
      </c>
      <c r="C20" s="386">
        <f t="shared" si="0"/>
        <v>3</v>
      </c>
      <c r="D20" s="372" t="str">
        <f>_xlfn.XLOOKUP(A20,[1]SP500!$A$2:$A$502,[1]SP500!$D$2:$D$502,"N")</f>
        <v>Y</v>
      </c>
      <c r="E20" s="57" t="str">
        <f>_xlfn.XLOOKUP(A20,[1]SP500!$A$2:$A$655,[1]SP500!$B$2:$B$655)</f>
        <v>XLF</v>
      </c>
      <c r="F20" s="59">
        <v>45674</v>
      </c>
      <c r="G20" s="57" t="str">
        <f t="shared" si="1"/>
        <v>BMO</v>
      </c>
      <c r="H20" s="57" t="str">
        <f t="shared" si="2"/>
        <v>o</v>
      </c>
      <c r="I20" s="159">
        <v>44.98</v>
      </c>
      <c r="J20" s="159">
        <v>47.02</v>
      </c>
      <c r="K20" s="61">
        <f t="shared" si="3"/>
        <v>4.5353490440195786E-2</v>
      </c>
      <c r="L20" s="87">
        <f t="shared" si="4"/>
        <v>18.141396176078274</v>
      </c>
      <c r="M20" s="63" t="str">
        <f t="shared" si="5"/>
        <v/>
      </c>
      <c r="N20" s="219" t="str">
        <f t="shared" si="6"/>
        <v/>
      </c>
      <c r="O20" s="219">
        <f>IF($J20="",#N/A,SUM($N$4:N20))</f>
        <v>20.042338057905567</v>
      </c>
      <c r="P20" s="220" t="str">
        <f t="shared" si="7"/>
        <v/>
      </c>
      <c r="Q20" s="220">
        <f>IF($J20="",#N/A,SUM($P$4:P20))</f>
        <v>39.11708543473992</v>
      </c>
      <c r="R20" s="221">
        <f t="shared" si="8"/>
        <v>18.141396176078274</v>
      </c>
      <c r="S20" s="222">
        <f>IF($J20="",#N/A,SUM($R$4:R20))</f>
        <v>118.91295571094514</v>
      </c>
      <c r="T20" s="281" t="str">
        <f t="shared" si="9"/>
        <v/>
      </c>
      <c r="U20" s="281">
        <f>IF($J20="",#N/A,SUM($T$4:T20))</f>
        <v>0.83509741907939872</v>
      </c>
      <c r="V20" s="282" t="str">
        <f t="shared" si="10"/>
        <v/>
      </c>
      <c r="W20" s="282">
        <f>IF($J20="",#N/A,SUM($V$4:V20))</f>
        <v>1.6298785597808298</v>
      </c>
      <c r="X20" s="283">
        <f t="shared" si="11"/>
        <v>0.75589150733659471</v>
      </c>
      <c r="Y20" s="283">
        <f>IF($J20="",#N/A,SUM($X$4:X20))</f>
        <v>4.9547064879560478</v>
      </c>
      <c r="Z20" s="304" t="str">
        <f t="shared" si="12"/>
        <v/>
      </c>
      <c r="AA20" s="304">
        <f>IF($J20="",#N/A,SUM(Z$4:Z20))</f>
        <v>0</v>
      </c>
      <c r="AB20" s="305" t="str">
        <f t="shared" si="13"/>
        <v/>
      </c>
      <c r="AC20" s="305">
        <f>IF($J20="",#N/A,SUM(AB$4:AB20))</f>
        <v>0</v>
      </c>
      <c r="AD20" s="306" t="str">
        <f t="shared" si="14"/>
        <v/>
      </c>
      <c r="AE20" s="306">
        <f>IF($J20="",#N/A,SUM(AD$4:AD20))</f>
        <v>0</v>
      </c>
      <c r="AF20" s="306">
        <f>IF($J20="",#N/A,SUM(AD$4:AD20,AB$4:AB20,Z$4:Z20))</f>
        <v>0</v>
      </c>
      <c r="AG20" s="304" t="str">
        <f t="shared" si="15"/>
        <v/>
      </c>
      <c r="AH20" s="304">
        <f>IF($J20="",#N/A,SUM(AG$4:AG20))</f>
        <v>0</v>
      </c>
      <c r="AI20" s="305" t="str">
        <f t="shared" si="16"/>
        <v/>
      </c>
      <c r="AJ20" s="305">
        <f>IF($J20="",#N/A,SUM(AI$4:AI20))</f>
        <v>0</v>
      </c>
      <c r="AK20" s="306" t="str">
        <f t="shared" si="17"/>
        <v/>
      </c>
      <c r="AL20" s="306">
        <f>IF($J20="",#N/A,SUM(AK$4:AK20))</f>
        <v>0</v>
      </c>
      <c r="AM20" s="306">
        <f>IF($J20="",#N/A,SUM(AK$4:AK20,AI$4:AI20,AG$4:AG20))</f>
        <v>0</v>
      </c>
      <c r="AN20" s="304" t="str">
        <f t="shared" si="18"/>
        <v/>
      </c>
      <c r="AO20" s="304">
        <f>IF($J20="",#N/A,SUM(AN$4:AN20))</f>
        <v>0</v>
      </c>
      <c r="AP20" s="305" t="str">
        <f t="shared" si="19"/>
        <v/>
      </c>
      <c r="AQ20" s="305">
        <f>IF($J20="",#N/A,SUM(AP$4:AP20))</f>
        <v>0</v>
      </c>
      <c r="AR20" s="306" t="str">
        <f t="shared" si="20"/>
        <v/>
      </c>
      <c r="AS20" s="306">
        <f>IF($J20="",#N/A,SUM(AR$4:AR20))</f>
        <v>0</v>
      </c>
      <c r="AT20" s="306">
        <f>IF($J20="",#N/A,SUM(AR$4:AR20,AP$4:AP20,AN$4:AN20))</f>
        <v>0</v>
      </c>
      <c r="AU20" s="304" t="str">
        <f t="shared" si="21"/>
        <v/>
      </c>
      <c r="AV20" s="304">
        <f>IF($J20="",#N/A,SUM(AU$4:AU20))</f>
        <v>0</v>
      </c>
      <c r="AW20" s="305" t="str">
        <f t="shared" si="22"/>
        <v/>
      </c>
      <c r="AX20" s="305">
        <f>IF($J20="",#N/A,SUM(AW$4:AW20))</f>
        <v>1.2290222546515868</v>
      </c>
      <c r="AY20" s="306" t="str">
        <f t="shared" si="23"/>
        <v/>
      </c>
      <c r="AZ20" s="306">
        <f>IF($J20="",#N/A,SUM(AY$4:AY20))</f>
        <v>2.4945770065075905</v>
      </c>
      <c r="BA20" s="306">
        <f>IF($J20="",#N/A,SUM(AY$4:AY20,AW$4:AW20,AU$4:AU20))</f>
        <v>3.7235992611591771</v>
      </c>
      <c r="BB20" s="304" t="str">
        <f t="shared" si="24"/>
        <v/>
      </c>
      <c r="BC20" s="304">
        <f>IF($J20="",#N/A,SUM(BB$4:BB20))</f>
        <v>0</v>
      </c>
      <c r="BD20" s="305" t="str">
        <f t="shared" si="25"/>
        <v/>
      </c>
      <c r="BE20" s="305">
        <f>IF($J20="",#N/A,SUM(BD$4:BD20))</f>
        <v>0</v>
      </c>
      <c r="BF20" s="306" t="str">
        <f t="shared" si="26"/>
        <v/>
      </c>
      <c r="BG20" s="306">
        <f>IF($J20="",#N/A,SUM(BF$4:BF20))</f>
        <v>0</v>
      </c>
      <c r="BH20" s="306">
        <f>IF($J20="",#N/A,SUM(BF$4:BF20,BD$4:BD20,BB$4:BB20))</f>
        <v>0</v>
      </c>
      <c r="BI20" s="304" t="str">
        <f t="shared" si="27"/>
        <v/>
      </c>
      <c r="BJ20" s="304">
        <f>IF($J20="",#N/A,SUM(BI$4:BI20))</f>
        <v>-0.13364240508210884</v>
      </c>
      <c r="BK20" s="305" t="str">
        <f t="shared" si="28"/>
        <v/>
      </c>
      <c r="BL20" s="305">
        <f>IF($J20="",#N/A,SUM(BK$4:BK20))</f>
        <v>0</v>
      </c>
      <c r="BM20" s="306">
        <f t="shared" si="29"/>
        <v>0.75589150733659471</v>
      </c>
      <c r="BN20" s="306">
        <f>IF($J20="",#N/A,SUM(BM$4:BM20))</f>
        <v>3.4626357471126163</v>
      </c>
      <c r="BO20" s="306">
        <f>IF($J20="",#N/A,SUM(BM$4:BM20,BK$4:BK20,BI$4:BI20))</f>
        <v>3.3289933420305067</v>
      </c>
      <c r="BP20" s="304" t="str">
        <f t="shared" si="30"/>
        <v/>
      </c>
      <c r="BQ20" s="304">
        <f>IF($J20="",#N/A,SUM(BP$4:BP20))</f>
        <v>0.96873982416150761</v>
      </c>
      <c r="BR20" s="305" t="str">
        <f t="shared" si="31"/>
        <v/>
      </c>
      <c r="BS20" s="305">
        <f>IF($J20="",#N/A,SUM(BR$4:BR20))</f>
        <v>0</v>
      </c>
      <c r="BT20" s="306" t="str">
        <f t="shared" si="32"/>
        <v/>
      </c>
      <c r="BU20" s="306">
        <f>IF($J20="",#N/A,SUM(BT$4:BT20))</f>
        <v>-1.0025062656641595</v>
      </c>
      <c r="BV20" s="306">
        <f>IF($J20="",#N/A,SUM(BT$4:BT20,BR$4:BR20,BP$4:BP20))</f>
        <v>-3.3766441502651845E-2</v>
      </c>
      <c r="BW20" s="304" t="str">
        <f t="shared" si="33"/>
        <v/>
      </c>
      <c r="BX20" s="304">
        <f>IF($J20="",#N/A,SUM(BW$4:BW20))</f>
        <v>0</v>
      </c>
      <c r="BY20" s="305" t="str">
        <f t="shared" si="34"/>
        <v/>
      </c>
      <c r="BZ20" s="305">
        <f>IF($J20="",#N/A,SUM(BY$4:BY20))</f>
        <v>0</v>
      </c>
      <c r="CA20" s="306" t="str">
        <f t="shared" si="35"/>
        <v/>
      </c>
      <c r="CB20" s="306">
        <f>IF($J20="",#N/A,SUM(CA$4:CA20))</f>
        <v>0</v>
      </c>
      <c r="CC20" s="306">
        <f>IF($J20="",#N/A,SUM(CA$4:CA20,BY$4:BY20,BW$4:BW20))</f>
        <v>0</v>
      </c>
      <c r="CD20" s="304" t="str">
        <f t="shared" si="36"/>
        <v/>
      </c>
      <c r="CE20" s="304">
        <f>IF($J20="",#N/A,SUM(CD$4:CD20))</f>
        <v>0</v>
      </c>
      <c r="CF20" s="305" t="str">
        <f t="shared" si="37"/>
        <v/>
      </c>
      <c r="CG20" s="305">
        <f>IF($J20="",#N/A,SUM(CF$4:CF20))</f>
        <v>0</v>
      </c>
      <c r="CH20" s="306" t="str">
        <f t="shared" si="38"/>
        <v/>
      </c>
      <c r="CI20" s="306">
        <f>IF($J20="",#N/A,SUM(CH$4:CH20))</f>
        <v>0</v>
      </c>
      <c r="CJ20" s="306">
        <f>IF($J20="",#N/A,SUM(CH$4:CH20,CF$4:CF20,CD$4:CD20))</f>
        <v>0</v>
      </c>
      <c r="CK20" s="304" t="str">
        <f t="shared" si="39"/>
        <v/>
      </c>
      <c r="CL20" s="304">
        <f>IF($J20="",#N/A,SUM(CK$4:CK20))</f>
        <v>0</v>
      </c>
      <c r="CM20" s="305" t="str">
        <f t="shared" si="40"/>
        <v/>
      </c>
      <c r="CN20" s="305">
        <f>IF($J20="",#N/A,SUM(CM$4:CM20))</f>
        <v>0</v>
      </c>
      <c r="CO20" s="306" t="str">
        <f t="shared" si="41"/>
        <v/>
      </c>
      <c r="CP20" s="306">
        <f>IF($J20="",#N/A,SUM(CO$4:CO20))</f>
        <v>0</v>
      </c>
      <c r="CQ20" s="306">
        <f>IF($J20="",#N/A,SUM(CO$4:CO20,CM$4:CM20,CK$4:CK20))</f>
        <v>0</v>
      </c>
      <c r="CR20" s="304" t="str">
        <f t="shared" si="42"/>
        <v/>
      </c>
      <c r="CS20" s="304">
        <f>IF($J20="",#N/A,SUM(CR$4:CR20))</f>
        <v>0</v>
      </c>
      <c r="CT20" s="305" t="str">
        <f t="shared" si="43"/>
        <v/>
      </c>
      <c r="CU20" s="305">
        <f>IF($J20="",#N/A,SUM(CT$4:CT20))</f>
        <v>0</v>
      </c>
      <c r="CV20" s="306" t="str">
        <f t="shared" si="44"/>
        <v/>
      </c>
      <c r="CW20" s="306">
        <f>IF($J20="",#N/A,SUM(CV$4:CV20))</f>
        <v>0</v>
      </c>
      <c r="CX20" s="306">
        <f>IF($J20="",#N/A,SUM(CV$4:CV20,CT$4:CT20,CR$4:CR20))</f>
        <v>0</v>
      </c>
      <c r="CY20" s="304" t="str">
        <f t="shared" si="45"/>
        <v/>
      </c>
      <c r="CZ20" s="304">
        <f>IF($J20="",#N/A,SUM(CY$4:CY20))</f>
        <v>0</v>
      </c>
      <c r="DA20" s="305" t="str">
        <f t="shared" si="46"/>
        <v/>
      </c>
      <c r="DB20" s="305">
        <f>IF($J20="",#N/A,SUM(DA$4:DA20))</f>
        <v>0</v>
      </c>
      <c r="DC20" s="306" t="str">
        <f t="shared" si="47"/>
        <v/>
      </c>
      <c r="DD20" s="306">
        <f>IF($J20="",#N/A,SUM(DC$4:DC20))</f>
        <v>0</v>
      </c>
      <c r="DE20" s="306">
        <f>IF($J20="",#N/A,SUM(DC$4:DC20,DA$4:DA20,CY$4:CY20))</f>
        <v>0</v>
      </c>
      <c r="DF20" s="304" t="str">
        <f t="shared" si="48"/>
        <v/>
      </c>
      <c r="DG20" s="304">
        <f>IF($J20="",#N/A,SUM(DF$4:DF20))</f>
        <v>0</v>
      </c>
      <c r="DH20" s="305" t="str">
        <f t="shared" si="49"/>
        <v/>
      </c>
      <c r="DI20" s="305">
        <f>IF($J20="",#N/A,SUM(DH$4:DH20))</f>
        <v>0</v>
      </c>
      <c r="DJ20" s="306" t="str">
        <f t="shared" si="50"/>
        <v/>
      </c>
      <c r="DK20" s="306">
        <f>IF($J20="",#N/A,SUM(DJ$4:DJ20))</f>
        <v>0</v>
      </c>
      <c r="DL20" s="306">
        <f>IF($J20="",#N/A,SUM(DJ$4:DJ20,DH$4:DH20,DF$4:DF20))</f>
        <v>0</v>
      </c>
      <c r="DM20" s="304" t="str">
        <f t="shared" si="51"/>
        <v/>
      </c>
      <c r="DN20" s="304">
        <f>IF($J20="",#N/A,SUM(DM$4:DM20))</f>
        <v>0</v>
      </c>
      <c r="DO20" s="305" t="str">
        <f t="shared" si="52"/>
        <v/>
      </c>
      <c r="DP20" s="305">
        <f>IF($J20="",#N/A,SUM(DO$4:DO20))</f>
        <v>0</v>
      </c>
      <c r="DQ20" s="306" t="str">
        <f t="shared" si="53"/>
        <v/>
      </c>
      <c r="DR20" s="306">
        <f>IF($J20="",#N/A,SUM(DQ$4:DQ20))</f>
        <v>0</v>
      </c>
      <c r="DS20" s="306">
        <f>IF($J20="",#N/A,SUM(DQ$4:DQ20,DO$4:DO20,DM$4:DM20))</f>
        <v>0</v>
      </c>
      <c r="DT20" s="304" t="str">
        <f t="shared" si="54"/>
        <v/>
      </c>
      <c r="DU20" s="304">
        <f>IF($J20="",#N/A,SUM(DT$4:DT20))</f>
        <v>0</v>
      </c>
      <c r="DV20" s="305" t="str">
        <f t="shared" si="55"/>
        <v/>
      </c>
      <c r="DW20" s="305">
        <f>IF($J20="",#N/A,SUM(DV$4:DV20))</f>
        <v>0.40085630512924314</v>
      </c>
      <c r="DX20" s="306" t="str">
        <f t="shared" si="56"/>
        <v/>
      </c>
      <c r="DY20" s="306">
        <f>IF($J20="",#N/A,SUM(DX$4:DX20))</f>
        <v>0</v>
      </c>
      <c r="DZ20" s="306">
        <f>IF($J20="",#N/A,SUM(DX$4:DX20,DV$4:DV20,DT$4:DT20))</f>
        <v>0.40085630512924314</v>
      </c>
      <c r="EA20" s="304" t="str">
        <f t="shared" si="57"/>
        <v/>
      </c>
      <c r="EB20" s="304">
        <f>IF($J20="",#N/A,SUM(EA$4:EA20))</f>
        <v>0</v>
      </c>
      <c r="EC20" s="305" t="str">
        <f t="shared" si="58"/>
        <v/>
      </c>
      <c r="ED20" s="305">
        <f>IF($J20="",#N/A,SUM(EC$4:EC20))</f>
        <v>0</v>
      </c>
      <c r="EE20" s="306" t="str">
        <f t="shared" si="59"/>
        <v/>
      </c>
      <c r="EF20" s="306">
        <f>IF($J20="",#N/A,SUM(EE$4:EE20))</f>
        <v>0</v>
      </c>
      <c r="EG20" s="306">
        <f>IF($J20="",#N/A,SUM(EE$4:EE20,EC$4:EC20,EA$4:EA20))</f>
        <v>0</v>
      </c>
      <c r="EH20" s="223">
        <f t="shared" si="60"/>
        <v>18.141396176078274</v>
      </c>
      <c r="EI20" s="224">
        <f>IF(EH20="",#N/A,SUM($EH$4:EH20))</f>
        <v>178.07237920359063</v>
      </c>
      <c r="EJ20" s="223">
        <f t="shared" si="61"/>
        <v>23.743886171631857</v>
      </c>
      <c r="EK20" s="63">
        <f>IF($GZ20="",#N/A,SUM(EJ$4:EJ20))</f>
        <v>366.57396455775938</v>
      </c>
      <c r="EL20" s="60">
        <f t="shared" si="97"/>
        <v>0.75589150733659471</v>
      </c>
      <c r="EM20" s="60">
        <f>IF(EL20="",NA(),SUM($EL$4:EL20))</f>
        <v>7.419682466816278</v>
      </c>
      <c r="EN20" s="60" t="str">
        <f t="shared" si="62"/>
        <v/>
      </c>
      <c r="EO20" s="60" t="e">
        <f>IF(EN20="",NA(),SUM($EN$4:EN20))</f>
        <v>#N/A</v>
      </c>
      <c r="EP20" s="60">
        <f t="shared" si="63"/>
        <v>0.75589150733659471</v>
      </c>
      <c r="EQ20" s="60">
        <f>IF(EP20="",NA(),SUM($EP$4:EP20))</f>
        <v>4.9547064879560478</v>
      </c>
      <c r="ER20" s="60" t="str">
        <f t="shared" si="64"/>
        <v/>
      </c>
      <c r="ES20" s="60" t="e">
        <f>IF(ER20="",NA(),SUM($ER$4:ER20))</f>
        <v>#N/A</v>
      </c>
      <c r="ET20" s="60" t="str">
        <f t="shared" si="65"/>
        <v/>
      </c>
      <c r="EU20" s="60" t="e">
        <f>IF(ET20="",NA(),SUM($ET$4:ET20))</f>
        <v>#N/A</v>
      </c>
      <c r="EV20" s="60" t="str">
        <f t="shared" si="66"/>
        <v/>
      </c>
      <c r="EW20" s="60" t="e">
        <f>IF(EV20="",NA(),SUM($EV$4:EV20))</f>
        <v>#N/A</v>
      </c>
      <c r="EX20" s="60" t="str">
        <f t="shared" si="67"/>
        <v/>
      </c>
      <c r="EY20" s="60" t="e">
        <f>IF(EX20="",NA(),SUM($EX$4:EX20))</f>
        <v>#N/A</v>
      </c>
      <c r="EZ20" s="60" t="str">
        <f t="shared" si="68"/>
        <v/>
      </c>
      <c r="FA20" s="60" t="e">
        <f>IF(EZ20="",NA(),SUM($EZ$4:EZ20))</f>
        <v>#N/A</v>
      </c>
      <c r="FB20" s="246" t="str">
        <f t="shared" si="98"/>
        <v/>
      </c>
      <c r="FC20" s="269" t="e">
        <f>IF($FB20="",#N/A,SUM(FB$4:$FB20))</f>
        <v>#N/A</v>
      </c>
      <c r="FD20" s="60" t="str">
        <f t="shared" si="69"/>
        <v/>
      </c>
      <c r="FE20" s="60" t="e">
        <f>IF($FD20="",#N/A,SUM($FD$4:FD20))</f>
        <v>#N/A</v>
      </c>
      <c r="FF20" s="60" t="str">
        <f t="shared" si="70"/>
        <v/>
      </c>
      <c r="FG20" s="60" t="e">
        <f>IF($FF20="",#N/A,SUM($FF$4:FF20))</f>
        <v>#N/A</v>
      </c>
      <c r="FH20" s="60" t="str">
        <f t="shared" si="71"/>
        <v/>
      </c>
      <c r="FI20" s="60" t="e">
        <f>IF($FH20="",#N/A,SUM($FH$4:FH20))</f>
        <v>#N/A</v>
      </c>
      <c r="FJ20" s="60">
        <f t="shared" si="72"/>
        <v>0.23343708314806599</v>
      </c>
      <c r="FK20" s="60">
        <f>IF($FJ20="",#N/A,SUM($FJ$4:FJ20))</f>
        <v>3.3242810351997627</v>
      </c>
      <c r="FL20" s="60" t="str">
        <f t="shared" si="73"/>
        <v/>
      </c>
      <c r="FM20" s="60" t="e">
        <f>IF($FL20="",#N/A,SUM($FL$4:FL20))</f>
        <v>#N/A</v>
      </c>
      <c r="FN20" s="82">
        <f t="shared" si="74"/>
        <v>0.98932859048466071</v>
      </c>
      <c r="FO20" s="82">
        <f>IF($FN20="",#N/A,SUM(FN$4:$FN20))</f>
        <v>15.27391518990664</v>
      </c>
      <c r="FP20" s="82">
        <f t="shared" si="99"/>
        <v>0.75589150733659471</v>
      </c>
      <c r="FQ20" s="246">
        <f>IF($EH20="",#N/A,SUM($FP$4:FP20))</f>
        <v>7.419682466816278</v>
      </c>
      <c r="FR20" s="99"/>
      <c r="FS20" s="99"/>
      <c r="FT20" s="99"/>
      <c r="FU20" s="82" t="e">
        <v>#N/A</v>
      </c>
      <c r="FV20" s="57" t="str">
        <f t="shared" si="75"/>
        <v>SW</v>
      </c>
      <c r="FW20" s="57" t="s">
        <v>2732</v>
      </c>
      <c r="FX20" s="57" t="str">
        <f t="shared" si="76"/>
        <v/>
      </c>
      <c r="FY20" s="57" t="str">
        <f t="shared" si="77"/>
        <v/>
      </c>
      <c r="FZ20" s="57">
        <f t="shared" si="78"/>
        <v>1</v>
      </c>
      <c r="GA20" s="57" t="str">
        <f t="shared" si="79"/>
        <v>Long</v>
      </c>
      <c r="GB20" s="57" t="str">
        <f t="shared" si="80"/>
        <v/>
      </c>
      <c r="GC20" s="57" t="str">
        <f t="shared" si="81"/>
        <v/>
      </c>
      <c r="GD20" s="57" t="str">
        <f t="shared" si="82"/>
        <v/>
      </c>
      <c r="GE20" s="62">
        <f t="shared" si="83"/>
        <v>44.98</v>
      </c>
      <c r="GF20" s="62" t="s">
        <v>2779</v>
      </c>
      <c r="GG20" s="199">
        <f t="shared" si="84"/>
        <v>8.8928412627834597</v>
      </c>
      <c r="GH20" s="207">
        <f t="shared" si="85"/>
        <v>400</v>
      </c>
      <c r="GI20" s="199">
        <f t="shared" si="86"/>
        <v>8.8928412627834597</v>
      </c>
      <c r="GJ20" s="200">
        <f t="shared" si="87"/>
        <v>47.02</v>
      </c>
      <c r="GK20" s="63">
        <f t="shared" si="88"/>
        <v>18.141396176078274</v>
      </c>
      <c r="GL20" s="63">
        <f t="shared" si="89"/>
        <v>23.743886171631857</v>
      </c>
      <c r="GM20" s="82">
        <f t="shared" si="90"/>
        <v>0.98932859048466071</v>
      </c>
      <c r="GN20" s="82">
        <f>IF($GZ20="",#N/A,SUM(GM$4:GM20))</f>
        <v>8.0507383287412004</v>
      </c>
      <c r="GO20" s="82" t="str">
        <f t="shared" si="91"/>
        <v/>
      </c>
      <c r="GP20" s="82">
        <f>IF($GZ20="",#N/A,SUM(GO$4:GO20))</f>
        <v>3.3683253053787925</v>
      </c>
      <c r="GQ20" s="82" t="str">
        <f t="shared" si="92"/>
        <v/>
      </c>
      <c r="GR20" s="82">
        <f>IF($GZ20="",#N/A,SUM(GQ$4:GQ20))</f>
        <v>3.8548515557866478</v>
      </c>
      <c r="GS20" s="63">
        <f t="shared" si="100"/>
        <v>23.743886171631857</v>
      </c>
      <c r="GT20" s="63">
        <f>IF($GZ20="",#N/A,SUM(GS$4:GS20))</f>
        <v>193.21771988978884</v>
      </c>
      <c r="GU20" s="63" t="str">
        <f t="shared" si="101"/>
        <v/>
      </c>
      <c r="GV20" s="63">
        <f>IF($GZ20="",#N/A,SUM(GU$4:GU20))</f>
        <v>80.839807329091002</v>
      </c>
      <c r="GW20" s="62" t="str">
        <f t="shared" si="102"/>
        <v/>
      </c>
      <c r="GX20" s="63">
        <f>IF($GZ20="",#N/A,SUM(GW$4:GW20))</f>
        <v>92.516437338879541</v>
      </c>
      <c r="GY20" s="63">
        <f>IF(EJ20="",#N/A,SUM($EJ$4:EJ20))</f>
        <v>366.57396455775938</v>
      </c>
      <c r="GZ20" s="159">
        <v>47.65</v>
      </c>
      <c r="HA20" s="63">
        <f t="shared" si="93"/>
        <v>5.602489995553583</v>
      </c>
      <c r="HB20" s="62" t="s">
        <v>4970</v>
      </c>
      <c r="HC20" s="60">
        <f>IFERROR(VLOOKUP(E20,Expectancy!$P$4:$S$19,1+C20,FALSE),"")</f>
        <v>9.9793136114217987E-2</v>
      </c>
      <c r="HD20" s="60" t="str">
        <f t="shared" si="94"/>
        <v/>
      </c>
      <c r="HE20" s="60" t="e">
        <f>IF(HD20="",#N/A,SUM($HD$4:HD20))</f>
        <v>#N/A</v>
      </c>
      <c r="HF20" s="64" t="e">
        <f>IF(HD20="",#N/A,IF(HB20="Skip",#N/A,SUM($HG$4:HG20)))</f>
        <v>#N/A</v>
      </c>
      <c r="HG20" s="63" t="str">
        <f t="shared" si="95"/>
        <v/>
      </c>
      <c r="HH20" s="82">
        <f t="shared" si="96"/>
        <v>0.98932859048466071</v>
      </c>
    </row>
    <row r="21" spans="1:216" x14ac:dyDescent="0.25">
      <c r="A21" s="57" t="s">
        <v>1398</v>
      </c>
      <c r="B21" s="58" t="s">
        <v>5091</v>
      </c>
      <c r="C21" s="386">
        <f t="shared" si="0"/>
        <v>2</v>
      </c>
      <c r="D21" s="372" t="str">
        <f>_xlfn.XLOOKUP(A21,[1]SP500!$A$2:$A$502,[1]SP500!$D$2:$D$502,"N")</f>
        <v>Y</v>
      </c>
      <c r="E21" s="57" t="str">
        <f>_xlfn.XLOOKUP(A21,[1]SP500!$A$2:$A$655,[1]SP500!$B$2:$B$655)</f>
        <v>XLE</v>
      </c>
      <c r="F21" s="59">
        <v>45674</v>
      </c>
      <c r="G21" s="57" t="str">
        <f t="shared" si="1"/>
        <v>BMO</v>
      </c>
      <c r="H21" s="57" t="str">
        <f t="shared" si="2"/>
        <v>o</v>
      </c>
      <c r="I21" s="159">
        <v>41.09</v>
      </c>
      <c r="J21" s="159">
        <v>42.15</v>
      </c>
      <c r="K21" s="61">
        <f t="shared" si="3"/>
        <v>2.5797030907763325E-2</v>
      </c>
      <c r="L21" s="87">
        <f t="shared" si="4"/>
        <v>-10.318812363105337</v>
      </c>
      <c r="M21" s="63" t="str">
        <f t="shared" si="5"/>
        <v/>
      </c>
      <c r="N21" s="219" t="str">
        <f t="shared" si="6"/>
        <v/>
      </c>
      <c r="O21" s="219">
        <f>IF($J21="",#N/A,SUM($N$4:N21))</f>
        <v>20.042338057905567</v>
      </c>
      <c r="P21" s="220">
        <f t="shared" si="7"/>
        <v>-10.318812363105337</v>
      </c>
      <c r="Q21" s="220">
        <f>IF($J21="",#N/A,SUM($P$4:P21))</f>
        <v>28.798273071634583</v>
      </c>
      <c r="R21" s="221" t="str">
        <f t="shared" si="8"/>
        <v/>
      </c>
      <c r="S21" s="222">
        <f>IF($J21="",#N/A,SUM($R$4:R21))</f>
        <v>118.91295571094514</v>
      </c>
      <c r="T21" s="281" t="str">
        <f t="shared" si="9"/>
        <v/>
      </c>
      <c r="U21" s="281">
        <f>IF($J21="",#N/A,SUM($T$4:T21))</f>
        <v>0.83509741907939872</v>
      </c>
      <c r="V21" s="282">
        <f t="shared" si="10"/>
        <v>-0.42995051512938903</v>
      </c>
      <c r="W21" s="282">
        <f>IF($J21="",#N/A,SUM($V$4:V21))</f>
        <v>1.1999280446514409</v>
      </c>
      <c r="X21" s="283" t="str">
        <f t="shared" si="11"/>
        <v/>
      </c>
      <c r="Y21" s="283">
        <f>IF($J21="",#N/A,SUM($X$4:X21))</f>
        <v>4.9547064879560478</v>
      </c>
      <c r="Z21" s="304" t="str">
        <f t="shared" si="12"/>
        <v/>
      </c>
      <c r="AA21" s="304">
        <f>IF($J21="",#N/A,SUM(Z$4:Z21))</f>
        <v>0</v>
      </c>
      <c r="AB21" s="305" t="str">
        <f t="shared" si="13"/>
        <v/>
      </c>
      <c r="AC21" s="305">
        <f>IF($J21="",#N/A,SUM(AB$4:AB21))</f>
        <v>0</v>
      </c>
      <c r="AD21" s="306" t="str">
        <f t="shared" si="14"/>
        <v/>
      </c>
      <c r="AE21" s="306">
        <f>IF($J21="",#N/A,SUM(AD$4:AD21))</f>
        <v>0</v>
      </c>
      <c r="AF21" s="306">
        <f>IF($J21="",#N/A,SUM(AD$4:AD21,AB$4:AB21,Z$4:Z21))</f>
        <v>0</v>
      </c>
      <c r="AG21" s="304" t="str">
        <f t="shared" si="15"/>
        <v/>
      </c>
      <c r="AH21" s="304">
        <f>IF($J21="",#N/A,SUM(AG$4:AG21))</f>
        <v>0</v>
      </c>
      <c r="AI21" s="305" t="str">
        <f t="shared" si="16"/>
        <v/>
      </c>
      <c r="AJ21" s="305">
        <f>IF($J21="",#N/A,SUM(AI$4:AI21))</f>
        <v>0</v>
      </c>
      <c r="AK21" s="306" t="str">
        <f t="shared" si="17"/>
        <v/>
      </c>
      <c r="AL21" s="306">
        <f>IF($J21="",#N/A,SUM(AK$4:AK21))</f>
        <v>0</v>
      </c>
      <c r="AM21" s="306">
        <f>IF($J21="",#N/A,SUM(AK$4:AK21,AI$4:AI21,AG$4:AG21))</f>
        <v>0</v>
      </c>
      <c r="AN21" s="304" t="str">
        <f t="shared" si="18"/>
        <v/>
      </c>
      <c r="AO21" s="304">
        <f>IF($J21="",#N/A,SUM(AN$4:AN21))</f>
        <v>0</v>
      </c>
      <c r="AP21" s="305" t="str">
        <f t="shared" si="19"/>
        <v/>
      </c>
      <c r="AQ21" s="305">
        <f>IF($J21="",#N/A,SUM(AP$4:AP21))</f>
        <v>0</v>
      </c>
      <c r="AR21" s="306" t="str">
        <f t="shared" si="20"/>
        <v/>
      </c>
      <c r="AS21" s="306">
        <f>IF($J21="",#N/A,SUM(AR$4:AR21))</f>
        <v>0</v>
      </c>
      <c r="AT21" s="306">
        <f>IF($J21="",#N/A,SUM(AR$4:AR21,AP$4:AP21,AN$4:AN21))</f>
        <v>0</v>
      </c>
      <c r="AU21" s="304" t="str">
        <f t="shared" si="21"/>
        <v/>
      </c>
      <c r="AV21" s="304">
        <f>IF($J21="",#N/A,SUM(AU$4:AU21))</f>
        <v>0</v>
      </c>
      <c r="AW21" s="305" t="str">
        <f t="shared" si="22"/>
        <v/>
      </c>
      <c r="AX21" s="305">
        <f>IF($J21="",#N/A,SUM(AW$4:AW21))</f>
        <v>1.2290222546515868</v>
      </c>
      <c r="AY21" s="306" t="str">
        <f t="shared" si="23"/>
        <v/>
      </c>
      <c r="AZ21" s="306">
        <f>IF($J21="",#N/A,SUM(AY$4:AY21))</f>
        <v>2.4945770065075905</v>
      </c>
      <c r="BA21" s="306">
        <f>IF($J21="",#N/A,SUM(AY$4:AY21,AW$4:AW21,AU$4:AU21))</f>
        <v>3.7235992611591771</v>
      </c>
      <c r="BB21" s="304" t="str">
        <f t="shared" si="24"/>
        <v/>
      </c>
      <c r="BC21" s="304">
        <f>IF($J21="",#N/A,SUM(BB$4:BB21))</f>
        <v>0</v>
      </c>
      <c r="BD21" s="305" t="str">
        <f t="shared" si="25"/>
        <v/>
      </c>
      <c r="BE21" s="305">
        <f>IF($J21="",#N/A,SUM(BD$4:BD21))</f>
        <v>0</v>
      </c>
      <c r="BF21" s="306" t="str">
        <f t="shared" si="26"/>
        <v/>
      </c>
      <c r="BG21" s="306">
        <f>IF($J21="",#N/A,SUM(BF$4:BF21))</f>
        <v>0</v>
      </c>
      <c r="BH21" s="306">
        <f>IF($J21="",#N/A,SUM(BF$4:BF21,BD$4:BD21,BB$4:BB21))</f>
        <v>0</v>
      </c>
      <c r="BI21" s="304" t="str">
        <f t="shared" si="27"/>
        <v/>
      </c>
      <c r="BJ21" s="304">
        <f>IF($J21="",#N/A,SUM(BI$4:BI21))</f>
        <v>-0.13364240508210884</v>
      </c>
      <c r="BK21" s="305" t="str">
        <f t="shared" si="28"/>
        <v/>
      </c>
      <c r="BL21" s="305">
        <f>IF($J21="",#N/A,SUM(BK$4:BK21))</f>
        <v>0</v>
      </c>
      <c r="BM21" s="306" t="str">
        <f t="shared" si="29"/>
        <v/>
      </c>
      <c r="BN21" s="306">
        <f>IF($J21="",#N/A,SUM(BM$4:BM21))</f>
        <v>3.4626357471126163</v>
      </c>
      <c r="BO21" s="306">
        <f>IF($J21="",#N/A,SUM(BM$4:BM21,BK$4:BK21,BI$4:BI21))</f>
        <v>3.3289933420305067</v>
      </c>
      <c r="BP21" s="304" t="str">
        <f t="shared" si="30"/>
        <v/>
      </c>
      <c r="BQ21" s="304">
        <f>IF($J21="",#N/A,SUM(BP$4:BP21))</f>
        <v>0.96873982416150761</v>
      </c>
      <c r="BR21" s="305" t="str">
        <f t="shared" si="31"/>
        <v/>
      </c>
      <c r="BS21" s="305">
        <f>IF($J21="",#N/A,SUM(BR$4:BR21))</f>
        <v>0</v>
      </c>
      <c r="BT21" s="306" t="str">
        <f t="shared" si="32"/>
        <v/>
      </c>
      <c r="BU21" s="306">
        <f>IF($J21="",#N/A,SUM(BT$4:BT21))</f>
        <v>-1.0025062656641595</v>
      </c>
      <c r="BV21" s="306">
        <f>IF($J21="",#N/A,SUM(BT$4:BT21,BR$4:BR21,BP$4:BP21))</f>
        <v>-3.3766441502651845E-2</v>
      </c>
      <c r="BW21" s="304" t="str">
        <f t="shared" si="33"/>
        <v/>
      </c>
      <c r="BX21" s="304">
        <f>IF($J21="",#N/A,SUM(BW$4:BW21))</f>
        <v>0</v>
      </c>
      <c r="BY21" s="305" t="str">
        <f t="shared" si="34"/>
        <v/>
      </c>
      <c r="BZ21" s="305">
        <f>IF($J21="",#N/A,SUM(BY$4:BY21))</f>
        <v>0</v>
      </c>
      <c r="CA21" s="306" t="str">
        <f t="shared" si="35"/>
        <v/>
      </c>
      <c r="CB21" s="306">
        <f>IF($J21="",#N/A,SUM(CA$4:CA21))</f>
        <v>0</v>
      </c>
      <c r="CC21" s="306">
        <f>IF($J21="",#N/A,SUM(CA$4:CA21,BY$4:BY21,BW$4:BW21))</f>
        <v>0</v>
      </c>
      <c r="CD21" s="304" t="str">
        <f t="shared" si="36"/>
        <v/>
      </c>
      <c r="CE21" s="304">
        <f>IF($J21="",#N/A,SUM(CD$4:CD21))</f>
        <v>0</v>
      </c>
      <c r="CF21" s="305" t="str">
        <f t="shared" si="37"/>
        <v/>
      </c>
      <c r="CG21" s="305">
        <f>IF($J21="",#N/A,SUM(CF$4:CF21))</f>
        <v>0</v>
      </c>
      <c r="CH21" s="306" t="str">
        <f t="shared" si="38"/>
        <v/>
      </c>
      <c r="CI21" s="306">
        <f>IF($J21="",#N/A,SUM(CH$4:CH21))</f>
        <v>0</v>
      </c>
      <c r="CJ21" s="306">
        <f>IF($J21="",#N/A,SUM(CH$4:CH21,CF$4:CF21,CD$4:CD21))</f>
        <v>0</v>
      </c>
      <c r="CK21" s="304" t="str">
        <f t="shared" si="39"/>
        <v/>
      </c>
      <c r="CL21" s="304">
        <f>IF($J21="",#N/A,SUM(CK$4:CK21))</f>
        <v>0</v>
      </c>
      <c r="CM21" s="305" t="str">
        <f t="shared" si="40"/>
        <v/>
      </c>
      <c r="CN21" s="305">
        <f>IF($J21="",#N/A,SUM(CM$4:CM21))</f>
        <v>0</v>
      </c>
      <c r="CO21" s="306" t="str">
        <f t="shared" si="41"/>
        <v/>
      </c>
      <c r="CP21" s="306">
        <f>IF($J21="",#N/A,SUM(CO$4:CO21))</f>
        <v>0</v>
      </c>
      <c r="CQ21" s="306">
        <f>IF($J21="",#N/A,SUM(CO$4:CO21,CM$4:CM21,CK$4:CK21))</f>
        <v>0</v>
      </c>
      <c r="CR21" s="304" t="str">
        <f t="shared" si="42"/>
        <v/>
      </c>
      <c r="CS21" s="304">
        <f>IF($J21="",#N/A,SUM(CR$4:CR21))</f>
        <v>0</v>
      </c>
      <c r="CT21" s="305">
        <f t="shared" si="43"/>
        <v>-0.42995051512938903</v>
      </c>
      <c r="CU21" s="305">
        <f>IF($J21="",#N/A,SUM(CT$4:CT21))</f>
        <v>-0.42995051512938903</v>
      </c>
      <c r="CV21" s="306" t="str">
        <f t="shared" si="44"/>
        <v/>
      </c>
      <c r="CW21" s="306">
        <f>IF($J21="",#N/A,SUM(CV$4:CV21))</f>
        <v>0</v>
      </c>
      <c r="CX21" s="306">
        <f>IF($J21="",#N/A,SUM(CV$4:CV21,CT$4:CT21,CR$4:CR21))</f>
        <v>-0.42995051512938903</v>
      </c>
      <c r="CY21" s="304" t="str">
        <f t="shared" si="45"/>
        <v/>
      </c>
      <c r="CZ21" s="304">
        <f>IF($J21="",#N/A,SUM(CY$4:CY21))</f>
        <v>0</v>
      </c>
      <c r="DA21" s="305" t="str">
        <f t="shared" si="46"/>
        <v/>
      </c>
      <c r="DB21" s="305">
        <f>IF($J21="",#N/A,SUM(DA$4:DA21))</f>
        <v>0</v>
      </c>
      <c r="DC21" s="306" t="str">
        <f t="shared" si="47"/>
        <v/>
      </c>
      <c r="DD21" s="306">
        <f>IF($J21="",#N/A,SUM(DC$4:DC21))</f>
        <v>0</v>
      </c>
      <c r="DE21" s="306">
        <f>IF($J21="",#N/A,SUM(DC$4:DC21,DA$4:DA21,CY$4:CY21))</f>
        <v>0</v>
      </c>
      <c r="DF21" s="304" t="str">
        <f t="shared" si="48"/>
        <v/>
      </c>
      <c r="DG21" s="304">
        <f>IF($J21="",#N/A,SUM(DF$4:DF21))</f>
        <v>0</v>
      </c>
      <c r="DH21" s="305" t="str">
        <f t="shared" si="49"/>
        <v/>
      </c>
      <c r="DI21" s="305">
        <f>IF($J21="",#N/A,SUM(DH$4:DH21))</f>
        <v>0</v>
      </c>
      <c r="DJ21" s="306" t="str">
        <f t="shared" si="50"/>
        <v/>
      </c>
      <c r="DK21" s="306">
        <f>IF($J21="",#N/A,SUM(DJ$4:DJ21))</f>
        <v>0</v>
      </c>
      <c r="DL21" s="306">
        <f>IF($J21="",#N/A,SUM(DJ$4:DJ21,DH$4:DH21,DF$4:DF21))</f>
        <v>0</v>
      </c>
      <c r="DM21" s="304" t="str">
        <f t="shared" si="51"/>
        <v/>
      </c>
      <c r="DN21" s="304">
        <f>IF($J21="",#N/A,SUM(DM$4:DM21))</f>
        <v>0</v>
      </c>
      <c r="DO21" s="305" t="str">
        <f t="shared" si="52"/>
        <v/>
      </c>
      <c r="DP21" s="305">
        <f>IF($J21="",#N/A,SUM(DO$4:DO21))</f>
        <v>0</v>
      </c>
      <c r="DQ21" s="306" t="str">
        <f t="shared" si="53"/>
        <v/>
      </c>
      <c r="DR21" s="306">
        <f>IF($J21="",#N/A,SUM(DQ$4:DQ21))</f>
        <v>0</v>
      </c>
      <c r="DS21" s="306">
        <f>IF($J21="",#N/A,SUM(DQ$4:DQ21,DO$4:DO21,DM$4:DM21))</f>
        <v>0</v>
      </c>
      <c r="DT21" s="304" t="str">
        <f t="shared" si="54"/>
        <v/>
      </c>
      <c r="DU21" s="304">
        <f>IF($J21="",#N/A,SUM(DT$4:DT21))</f>
        <v>0</v>
      </c>
      <c r="DV21" s="305" t="str">
        <f t="shared" si="55"/>
        <v/>
      </c>
      <c r="DW21" s="305">
        <f>IF($J21="",#N/A,SUM(DV$4:DV21))</f>
        <v>0.40085630512924314</v>
      </c>
      <c r="DX21" s="306" t="str">
        <f t="shared" si="56"/>
        <v/>
      </c>
      <c r="DY21" s="306">
        <f>IF($J21="",#N/A,SUM(DX$4:DX21))</f>
        <v>0</v>
      </c>
      <c r="DZ21" s="306">
        <f>IF($J21="",#N/A,SUM(DX$4:DX21,DV$4:DV21,DT$4:DT21))</f>
        <v>0.40085630512924314</v>
      </c>
      <c r="EA21" s="304" t="str">
        <f t="shared" si="57"/>
        <v/>
      </c>
      <c r="EB21" s="304">
        <f>IF($J21="",#N/A,SUM(EA$4:EA21))</f>
        <v>0</v>
      </c>
      <c r="EC21" s="305" t="str">
        <f t="shared" si="58"/>
        <v/>
      </c>
      <c r="ED21" s="305">
        <f>IF($J21="",#N/A,SUM(EC$4:EC21))</f>
        <v>0</v>
      </c>
      <c r="EE21" s="306" t="str">
        <f t="shared" si="59"/>
        <v/>
      </c>
      <c r="EF21" s="306">
        <f>IF($J21="",#N/A,SUM(EE$4:EE21))</f>
        <v>0</v>
      </c>
      <c r="EG21" s="306">
        <f>IF($J21="",#N/A,SUM(EE$4:EE21,EC$4:EC21,EA$4:EA21))</f>
        <v>0</v>
      </c>
      <c r="EH21" s="223">
        <f t="shared" si="60"/>
        <v>-10.318812363105337</v>
      </c>
      <c r="EI21" s="224">
        <f>IF(EH21="",#N/A,SUM($EH$4:EH21))</f>
        <v>167.75356684048529</v>
      </c>
      <c r="EJ21" s="223">
        <f t="shared" si="61"/>
        <v>-24.239474324653145</v>
      </c>
      <c r="EK21" s="63">
        <f>IF($GZ21="",#N/A,SUM(EJ$4:EJ21))</f>
        <v>342.33449023310624</v>
      </c>
      <c r="EL21" s="60">
        <f t="shared" si="97"/>
        <v>-0.42995051512938903</v>
      </c>
      <c r="EM21" s="60">
        <f>IF(EL21="",NA(),SUM($EL$4:EL21))</f>
        <v>6.9897319516868892</v>
      </c>
      <c r="EN21" s="60" t="str">
        <f t="shared" si="62"/>
        <v/>
      </c>
      <c r="EO21" s="60" t="e">
        <f>IF(EN21="",NA(),SUM($EN$4:EN21))</f>
        <v>#N/A</v>
      </c>
      <c r="EP21" s="60" t="str">
        <f t="shared" si="63"/>
        <v/>
      </c>
      <c r="EQ21" s="60" t="e">
        <f>IF(EP21="",NA(),SUM($EP$4:EP21))</f>
        <v>#N/A</v>
      </c>
      <c r="ER21" s="60">
        <f t="shared" si="64"/>
        <v>-0.42995051512938903</v>
      </c>
      <c r="ES21" s="60">
        <f>IF(ER21="",NA(),SUM($ER$4:ER21))</f>
        <v>1.1999280446514409</v>
      </c>
      <c r="ET21" s="60" t="str">
        <f t="shared" si="65"/>
        <v/>
      </c>
      <c r="EU21" s="60" t="e">
        <f>IF(ET21="",NA(),SUM($ET$4:ET21))</f>
        <v>#N/A</v>
      </c>
      <c r="EV21" s="60" t="str">
        <f t="shared" si="66"/>
        <v/>
      </c>
      <c r="EW21" s="60" t="e">
        <f>IF(EV21="",NA(),SUM($EV$4:EV21))</f>
        <v>#N/A</v>
      </c>
      <c r="EX21" s="60" t="str">
        <f t="shared" si="67"/>
        <v/>
      </c>
      <c r="EY21" s="60" t="e">
        <f>IF(EX21="",NA(),SUM($EX$4:EX21))</f>
        <v>#N/A</v>
      </c>
      <c r="EZ21" s="60" t="str">
        <f t="shared" si="68"/>
        <v/>
      </c>
      <c r="FA21" s="60" t="e">
        <f>IF(EZ21="",NA(),SUM($EZ$4:EZ21))</f>
        <v>#N/A</v>
      </c>
      <c r="FB21" s="246" t="str">
        <f t="shared" si="98"/>
        <v/>
      </c>
      <c r="FC21" s="270" t="e">
        <f>IF($FB21="",#N/A,SUM(FB$4:$FB21))</f>
        <v>#N/A</v>
      </c>
      <c r="FD21" s="60">
        <f t="shared" si="69"/>
        <v>-0.58002758173115865</v>
      </c>
      <c r="FE21" s="60">
        <f>IF($FD21="",#N/A,SUM($FD$4:FD21))</f>
        <v>-0.58002758173115865</v>
      </c>
      <c r="FF21" s="60" t="str">
        <f t="shared" si="70"/>
        <v/>
      </c>
      <c r="FG21" s="60" t="e">
        <f>IF($FF21="",#N/A,SUM($FF$4:FF21))</f>
        <v>#N/A</v>
      </c>
      <c r="FH21" s="60" t="str">
        <f t="shared" si="71"/>
        <v/>
      </c>
      <c r="FI21" s="60" t="e">
        <f>IF($FH21="",#N/A,SUM($FH$4:FH21))</f>
        <v>#N/A</v>
      </c>
      <c r="FJ21" s="60" t="str">
        <f t="shared" si="72"/>
        <v/>
      </c>
      <c r="FK21" s="60" t="e">
        <f>IF($FJ21="",#N/A,SUM($FJ$4:FJ21))</f>
        <v>#N/A</v>
      </c>
      <c r="FL21" s="60" t="str">
        <f t="shared" si="73"/>
        <v/>
      </c>
      <c r="FM21" s="60" t="e">
        <f>IF($FL21="",#N/A,SUM($FL$4:FL21))</f>
        <v>#N/A</v>
      </c>
      <c r="FN21" s="82">
        <f t="shared" si="74"/>
        <v>-1.0099780968605476</v>
      </c>
      <c r="FO21" s="82">
        <f>IF($FN21="",#N/A,SUM(FN$4:$FN21))</f>
        <v>14.263937093046092</v>
      </c>
      <c r="FP21" s="82">
        <f t="shared" si="99"/>
        <v>-0.42995051512938903</v>
      </c>
      <c r="FQ21" s="246">
        <f>IF($EH21="",#N/A,SUM($FP$4:FP21))</f>
        <v>6.9897319516868892</v>
      </c>
      <c r="FR21" s="99"/>
      <c r="FS21" s="99"/>
      <c r="FT21" s="99"/>
      <c r="FU21" s="82" t="e">
        <v>#N/A</v>
      </c>
      <c r="FV21" s="57" t="str">
        <f t="shared" si="75"/>
        <v>Dwn</v>
      </c>
      <c r="FW21" s="57" t="s">
        <v>2734</v>
      </c>
      <c r="FX21" s="57" t="str">
        <f t="shared" si="76"/>
        <v/>
      </c>
      <c r="FY21" s="57">
        <f t="shared" si="77"/>
        <v>1</v>
      </c>
      <c r="FZ21" s="57" t="str">
        <f t="shared" si="78"/>
        <v/>
      </c>
      <c r="GA21" s="57" t="str">
        <f t="shared" si="79"/>
        <v>Short</v>
      </c>
      <c r="GB21" s="57" t="str">
        <f t="shared" si="80"/>
        <v/>
      </c>
      <c r="GC21" s="57" t="str">
        <f t="shared" si="81"/>
        <v/>
      </c>
      <c r="GD21" s="57" t="str">
        <f t="shared" si="82"/>
        <v/>
      </c>
      <c r="GE21" s="62">
        <f t="shared" si="83"/>
        <v>41.09</v>
      </c>
      <c r="GF21" s="62" t="s">
        <v>2780</v>
      </c>
      <c r="GG21" s="199">
        <f t="shared" si="84"/>
        <v>9.734728644439036</v>
      </c>
      <c r="GH21" s="207">
        <f t="shared" si="85"/>
        <v>400</v>
      </c>
      <c r="GI21" s="199">
        <f t="shared" si="86"/>
        <v>9.734728644439036</v>
      </c>
      <c r="GJ21" s="200">
        <f t="shared" si="87"/>
        <v>42.15</v>
      </c>
      <c r="GK21" s="63">
        <f t="shared" si="88"/>
        <v>-10.318812363105337</v>
      </c>
      <c r="GL21" s="63">
        <f t="shared" si="89"/>
        <v>-24.239474324653145</v>
      </c>
      <c r="GM21" s="82" t="str">
        <f t="shared" si="90"/>
        <v/>
      </c>
      <c r="GN21" s="82">
        <f>IF($GZ21="",#N/A,SUM(GM$4:GM21))</f>
        <v>8.0507383287412004</v>
      </c>
      <c r="GO21" s="82" t="str">
        <f t="shared" si="91"/>
        <v/>
      </c>
      <c r="GP21" s="82">
        <f>IF($GZ21="",#N/A,SUM(GO$4:GO21))</f>
        <v>3.3683253053787925</v>
      </c>
      <c r="GQ21" s="82">
        <f t="shared" si="92"/>
        <v>-1.0099780968605476</v>
      </c>
      <c r="GR21" s="82">
        <f>IF($GZ21="",#N/A,SUM(GQ$4:GQ21))</f>
        <v>2.8448734589261004</v>
      </c>
      <c r="GS21" s="63" t="str">
        <f t="shared" si="100"/>
        <v/>
      </c>
      <c r="GT21" s="63">
        <f>IF($GZ21="",#N/A,SUM(GS$4:GS21))</f>
        <v>193.21771988978884</v>
      </c>
      <c r="GU21" s="63" t="str">
        <f t="shared" si="101"/>
        <v/>
      </c>
      <c r="GV21" s="63">
        <f>IF($GZ21="",#N/A,SUM(GU$4:GU21))</f>
        <v>80.839807329091002</v>
      </c>
      <c r="GW21" s="62">
        <f t="shared" si="102"/>
        <v>-24.239474324653145</v>
      </c>
      <c r="GX21" s="63">
        <f>IF($GZ21="",#N/A,SUM(GW$4:GW21))</f>
        <v>68.276963014226396</v>
      </c>
      <c r="GY21" s="63">
        <f>IF(EJ21="",#N/A,SUM($EJ$4:EJ21))</f>
        <v>342.33449023310624</v>
      </c>
      <c r="GZ21" s="159">
        <v>43.58</v>
      </c>
      <c r="HA21" s="63">
        <f t="shared" si="93"/>
        <v>-13.920661961547808</v>
      </c>
      <c r="HB21" s="62" t="s">
        <v>4970</v>
      </c>
      <c r="HC21" s="60">
        <f>IFERROR(VLOOKUP(E21,Expectancy!$P$4:$S$19,1+C21,FALSE),"")</f>
        <v>-3.2156442930017966E-2</v>
      </c>
      <c r="HD21" s="60" t="str">
        <f t="shared" si="94"/>
        <v/>
      </c>
      <c r="HE21" s="60" t="e">
        <f>IF(HD21="",#N/A,SUM($HD$4:HD21))</f>
        <v>#N/A</v>
      </c>
      <c r="HF21" s="64" t="e">
        <f>IF(HD21="",#N/A,IF(HB21="Skip",#N/A,SUM($HG$4:HG21)))</f>
        <v>#N/A</v>
      </c>
      <c r="HG21" s="63" t="str">
        <f t="shared" si="95"/>
        <v/>
      </c>
      <c r="HH21" s="82">
        <f t="shared" si="96"/>
        <v>-1.0099780968605476</v>
      </c>
    </row>
    <row r="22" spans="1:216" x14ac:dyDescent="0.25">
      <c r="A22" s="57" t="s">
        <v>1417</v>
      </c>
      <c r="B22" s="58" t="s">
        <v>5091</v>
      </c>
      <c r="C22" s="386">
        <f t="shared" si="0"/>
        <v>2</v>
      </c>
      <c r="D22" s="372" t="str">
        <f>_xlfn.XLOOKUP(A22,[1]SP500!$A$2:$A$502,[1]SP500!$D$2:$D$502,"N")</f>
        <v>Y</v>
      </c>
      <c r="E22" s="57" t="str">
        <f>_xlfn.XLOOKUP(A22,[1]SP500!$A$2:$A$655,[1]SP500!$B$2:$B$655)</f>
        <v>XLI</v>
      </c>
      <c r="F22" s="59">
        <v>45674</v>
      </c>
      <c r="G22" s="57" t="str">
        <f t="shared" si="1"/>
        <v>BMO</v>
      </c>
      <c r="H22" s="57" t="str">
        <f t="shared" si="2"/>
        <v>o</v>
      </c>
      <c r="I22" s="159">
        <v>74.77</v>
      </c>
      <c r="J22" s="159">
        <v>76.33</v>
      </c>
      <c r="K22" s="61">
        <f t="shared" si="3"/>
        <v>2.0863982880834592E-2</v>
      </c>
      <c r="L22" s="87">
        <f t="shared" si="4"/>
        <v>-8.3455931523338336</v>
      </c>
      <c r="M22" s="63" t="str">
        <f t="shared" si="5"/>
        <v/>
      </c>
      <c r="N22" s="219" t="str">
        <f t="shared" si="6"/>
        <v/>
      </c>
      <c r="O22" s="219">
        <f>IF($J22="",#N/A,SUM($N$4:N22))</f>
        <v>20.042338057905567</v>
      </c>
      <c r="P22" s="220">
        <f t="shared" si="7"/>
        <v>-8.3455931523338336</v>
      </c>
      <c r="Q22" s="220">
        <f>IF($J22="",#N/A,SUM($P$4:P22))</f>
        <v>20.452679919300749</v>
      </c>
      <c r="R22" s="221" t="str">
        <f t="shared" si="8"/>
        <v/>
      </c>
      <c r="S22" s="222">
        <f>IF($J22="",#N/A,SUM($R$4:R22))</f>
        <v>118.91295571094514</v>
      </c>
      <c r="T22" s="281" t="str">
        <f t="shared" si="9"/>
        <v/>
      </c>
      <c r="U22" s="281">
        <f>IF($J22="",#N/A,SUM($T$4:T22))</f>
        <v>0.83509741907939872</v>
      </c>
      <c r="V22" s="282">
        <f t="shared" si="10"/>
        <v>-0.34773304801390975</v>
      </c>
      <c r="W22" s="282">
        <f>IF($J22="",#N/A,SUM($V$4:V22))</f>
        <v>0.85219499663753107</v>
      </c>
      <c r="X22" s="283" t="str">
        <f t="shared" si="11"/>
        <v/>
      </c>
      <c r="Y22" s="283">
        <f>IF($J22="",#N/A,SUM($X$4:X22))</f>
        <v>4.9547064879560478</v>
      </c>
      <c r="Z22" s="304" t="str">
        <f t="shared" si="12"/>
        <v/>
      </c>
      <c r="AA22" s="304">
        <f>IF($J22="",#N/A,SUM(Z$4:Z22))</f>
        <v>0</v>
      </c>
      <c r="AB22" s="305" t="str">
        <f t="shared" si="13"/>
        <v/>
      </c>
      <c r="AC22" s="305">
        <f>IF($J22="",#N/A,SUM(AB$4:AB22))</f>
        <v>0</v>
      </c>
      <c r="AD22" s="306" t="str">
        <f t="shared" si="14"/>
        <v/>
      </c>
      <c r="AE22" s="306">
        <f>IF($J22="",#N/A,SUM(AD$4:AD22))</f>
        <v>0</v>
      </c>
      <c r="AF22" s="306">
        <f>IF($J22="",#N/A,SUM(AD$4:AD22,AB$4:AB22,Z$4:Z22))</f>
        <v>0</v>
      </c>
      <c r="AG22" s="304" t="str">
        <f t="shared" si="15"/>
        <v/>
      </c>
      <c r="AH22" s="304">
        <f>IF($J22="",#N/A,SUM(AG$4:AG22))</f>
        <v>0</v>
      </c>
      <c r="AI22" s="305" t="str">
        <f t="shared" si="16"/>
        <v/>
      </c>
      <c r="AJ22" s="305">
        <f>IF($J22="",#N/A,SUM(AI$4:AI22))</f>
        <v>0</v>
      </c>
      <c r="AK22" s="306" t="str">
        <f t="shared" si="17"/>
        <v/>
      </c>
      <c r="AL22" s="306">
        <f>IF($J22="",#N/A,SUM(AK$4:AK22))</f>
        <v>0</v>
      </c>
      <c r="AM22" s="306">
        <f>IF($J22="",#N/A,SUM(AK$4:AK22,AI$4:AI22,AG$4:AG22))</f>
        <v>0</v>
      </c>
      <c r="AN22" s="304" t="str">
        <f t="shared" si="18"/>
        <v/>
      </c>
      <c r="AO22" s="304">
        <f>IF($J22="",#N/A,SUM(AN$4:AN22))</f>
        <v>0</v>
      </c>
      <c r="AP22" s="305" t="str">
        <f t="shared" si="19"/>
        <v/>
      </c>
      <c r="AQ22" s="305">
        <f>IF($J22="",#N/A,SUM(AP$4:AP22))</f>
        <v>0</v>
      </c>
      <c r="AR22" s="306" t="str">
        <f t="shared" si="20"/>
        <v/>
      </c>
      <c r="AS22" s="306">
        <f>IF($J22="",#N/A,SUM(AR$4:AR22))</f>
        <v>0</v>
      </c>
      <c r="AT22" s="306">
        <f>IF($J22="",#N/A,SUM(AR$4:AR22,AP$4:AP22,AN$4:AN22))</f>
        <v>0</v>
      </c>
      <c r="AU22" s="304" t="str">
        <f t="shared" si="21"/>
        <v/>
      </c>
      <c r="AV22" s="304">
        <f>IF($J22="",#N/A,SUM(AU$4:AU22))</f>
        <v>0</v>
      </c>
      <c r="AW22" s="305" t="str">
        <f t="shared" si="22"/>
        <v/>
      </c>
      <c r="AX22" s="305">
        <f>IF($J22="",#N/A,SUM(AW$4:AW22))</f>
        <v>1.2290222546515868</v>
      </c>
      <c r="AY22" s="306" t="str">
        <f t="shared" si="23"/>
        <v/>
      </c>
      <c r="AZ22" s="306">
        <f>IF($J22="",#N/A,SUM(AY$4:AY22))</f>
        <v>2.4945770065075905</v>
      </c>
      <c r="BA22" s="306">
        <f>IF($J22="",#N/A,SUM(AY$4:AY22,AW$4:AW22,AU$4:AU22))</f>
        <v>3.7235992611591771</v>
      </c>
      <c r="BB22" s="304" t="str">
        <f t="shared" si="24"/>
        <v/>
      </c>
      <c r="BC22" s="304">
        <f>IF($J22="",#N/A,SUM(BB$4:BB22))</f>
        <v>0</v>
      </c>
      <c r="BD22" s="305" t="str">
        <f t="shared" si="25"/>
        <v/>
      </c>
      <c r="BE22" s="305">
        <f>IF($J22="",#N/A,SUM(BD$4:BD22))</f>
        <v>0</v>
      </c>
      <c r="BF22" s="306" t="str">
        <f t="shared" si="26"/>
        <v/>
      </c>
      <c r="BG22" s="306">
        <f>IF($J22="",#N/A,SUM(BF$4:BF22))</f>
        <v>0</v>
      </c>
      <c r="BH22" s="306">
        <f>IF($J22="",#N/A,SUM(BF$4:BF22,BD$4:BD22,BB$4:BB22))</f>
        <v>0</v>
      </c>
      <c r="BI22" s="304" t="str">
        <f t="shared" si="27"/>
        <v/>
      </c>
      <c r="BJ22" s="304">
        <f>IF($J22="",#N/A,SUM(BI$4:BI22))</f>
        <v>-0.13364240508210884</v>
      </c>
      <c r="BK22" s="305" t="str">
        <f t="shared" si="28"/>
        <v/>
      </c>
      <c r="BL22" s="305">
        <f>IF($J22="",#N/A,SUM(BK$4:BK22))</f>
        <v>0</v>
      </c>
      <c r="BM22" s="306" t="str">
        <f t="shared" si="29"/>
        <v/>
      </c>
      <c r="BN22" s="306">
        <f>IF($J22="",#N/A,SUM(BM$4:BM22))</f>
        <v>3.4626357471126163</v>
      </c>
      <c r="BO22" s="306">
        <f>IF($J22="",#N/A,SUM(BM$4:BM22,BK$4:BK22,BI$4:BI22))</f>
        <v>3.3289933420305067</v>
      </c>
      <c r="BP22" s="304" t="str">
        <f t="shared" si="30"/>
        <v/>
      </c>
      <c r="BQ22" s="304">
        <f>IF($J22="",#N/A,SUM(BP$4:BP22))</f>
        <v>0.96873982416150761</v>
      </c>
      <c r="BR22" s="305">
        <f t="shared" si="31"/>
        <v>-0.34773304801390975</v>
      </c>
      <c r="BS22" s="305">
        <f>IF($J22="",#N/A,SUM(BR$4:BR22))</f>
        <v>-0.34773304801390975</v>
      </c>
      <c r="BT22" s="306" t="str">
        <f t="shared" si="32"/>
        <v/>
      </c>
      <c r="BU22" s="306">
        <f>IF($J22="",#N/A,SUM(BT$4:BT22))</f>
        <v>-1.0025062656641595</v>
      </c>
      <c r="BV22" s="306">
        <f>IF($J22="",#N/A,SUM(BT$4:BT22,BR$4:BR22,BP$4:BP22))</f>
        <v>-0.38149948951656165</v>
      </c>
      <c r="BW22" s="304" t="str">
        <f t="shared" si="33"/>
        <v/>
      </c>
      <c r="BX22" s="304">
        <f>IF($J22="",#N/A,SUM(BW$4:BW22))</f>
        <v>0</v>
      </c>
      <c r="BY22" s="305" t="str">
        <f t="shared" si="34"/>
        <v/>
      </c>
      <c r="BZ22" s="305">
        <f>IF($J22="",#N/A,SUM(BY$4:BY22))</f>
        <v>0</v>
      </c>
      <c r="CA22" s="306" t="str">
        <f t="shared" si="35"/>
        <v/>
      </c>
      <c r="CB22" s="306">
        <f>IF($J22="",#N/A,SUM(CA$4:CA22))</f>
        <v>0</v>
      </c>
      <c r="CC22" s="306">
        <f>IF($J22="",#N/A,SUM(CA$4:CA22,BY$4:BY22,BW$4:BW22))</f>
        <v>0</v>
      </c>
      <c r="CD22" s="304" t="str">
        <f t="shared" si="36"/>
        <v/>
      </c>
      <c r="CE22" s="304">
        <f>IF($J22="",#N/A,SUM(CD$4:CD22))</f>
        <v>0</v>
      </c>
      <c r="CF22" s="305" t="str">
        <f t="shared" si="37"/>
        <v/>
      </c>
      <c r="CG22" s="305">
        <f>IF($J22="",#N/A,SUM(CF$4:CF22))</f>
        <v>0</v>
      </c>
      <c r="CH22" s="306" t="str">
        <f t="shared" si="38"/>
        <v/>
      </c>
      <c r="CI22" s="306">
        <f>IF($J22="",#N/A,SUM(CH$4:CH22))</f>
        <v>0</v>
      </c>
      <c r="CJ22" s="306">
        <f>IF($J22="",#N/A,SUM(CH$4:CH22,CF$4:CF22,CD$4:CD22))</f>
        <v>0</v>
      </c>
      <c r="CK22" s="304" t="str">
        <f t="shared" si="39"/>
        <v/>
      </c>
      <c r="CL22" s="304">
        <f>IF($J22="",#N/A,SUM(CK$4:CK22))</f>
        <v>0</v>
      </c>
      <c r="CM22" s="305" t="str">
        <f t="shared" si="40"/>
        <v/>
      </c>
      <c r="CN22" s="305">
        <f>IF($J22="",#N/A,SUM(CM$4:CM22))</f>
        <v>0</v>
      </c>
      <c r="CO22" s="306" t="str">
        <f t="shared" si="41"/>
        <v/>
      </c>
      <c r="CP22" s="306">
        <f>IF($J22="",#N/A,SUM(CO$4:CO22))</f>
        <v>0</v>
      </c>
      <c r="CQ22" s="306">
        <f>IF($J22="",#N/A,SUM(CO$4:CO22,CM$4:CM22,CK$4:CK22))</f>
        <v>0</v>
      </c>
      <c r="CR22" s="304" t="str">
        <f t="shared" si="42"/>
        <v/>
      </c>
      <c r="CS22" s="304">
        <f>IF($J22="",#N/A,SUM(CR$4:CR22))</f>
        <v>0</v>
      </c>
      <c r="CT22" s="305" t="str">
        <f t="shared" si="43"/>
        <v/>
      </c>
      <c r="CU22" s="305">
        <f>IF($J22="",#N/A,SUM(CT$4:CT22))</f>
        <v>-0.42995051512938903</v>
      </c>
      <c r="CV22" s="306" t="str">
        <f t="shared" si="44"/>
        <v/>
      </c>
      <c r="CW22" s="306">
        <f>IF($J22="",#N/A,SUM(CV$4:CV22))</f>
        <v>0</v>
      </c>
      <c r="CX22" s="306">
        <f>IF($J22="",#N/A,SUM(CV$4:CV22,CT$4:CT22,CR$4:CR22))</f>
        <v>-0.42995051512938903</v>
      </c>
      <c r="CY22" s="304" t="str">
        <f t="shared" si="45"/>
        <v/>
      </c>
      <c r="CZ22" s="304">
        <f>IF($J22="",#N/A,SUM(CY$4:CY22))</f>
        <v>0</v>
      </c>
      <c r="DA22" s="305" t="str">
        <f t="shared" si="46"/>
        <v/>
      </c>
      <c r="DB22" s="305">
        <f>IF($J22="",#N/A,SUM(DA$4:DA22))</f>
        <v>0</v>
      </c>
      <c r="DC22" s="306" t="str">
        <f t="shared" si="47"/>
        <v/>
      </c>
      <c r="DD22" s="306">
        <f>IF($J22="",#N/A,SUM(DC$4:DC22))</f>
        <v>0</v>
      </c>
      <c r="DE22" s="306">
        <f>IF($J22="",#N/A,SUM(DC$4:DC22,DA$4:DA22,CY$4:CY22))</f>
        <v>0</v>
      </c>
      <c r="DF22" s="304" t="str">
        <f t="shared" si="48"/>
        <v/>
      </c>
      <c r="DG22" s="304">
        <f>IF($J22="",#N/A,SUM(DF$4:DF22))</f>
        <v>0</v>
      </c>
      <c r="DH22" s="305" t="str">
        <f t="shared" si="49"/>
        <v/>
      </c>
      <c r="DI22" s="305">
        <f>IF($J22="",#N/A,SUM(DH$4:DH22))</f>
        <v>0</v>
      </c>
      <c r="DJ22" s="306" t="str">
        <f t="shared" si="50"/>
        <v/>
      </c>
      <c r="DK22" s="306">
        <f>IF($J22="",#N/A,SUM(DJ$4:DJ22))</f>
        <v>0</v>
      </c>
      <c r="DL22" s="306">
        <f>IF($J22="",#N/A,SUM(DJ$4:DJ22,DH$4:DH22,DF$4:DF22))</f>
        <v>0</v>
      </c>
      <c r="DM22" s="304" t="str">
        <f t="shared" si="51"/>
        <v/>
      </c>
      <c r="DN22" s="304">
        <f>IF($J22="",#N/A,SUM(DM$4:DM22))</f>
        <v>0</v>
      </c>
      <c r="DO22" s="305" t="str">
        <f t="shared" si="52"/>
        <v/>
      </c>
      <c r="DP22" s="305">
        <f>IF($J22="",#N/A,SUM(DO$4:DO22))</f>
        <v>0</v>
      </c>
      <c r="DQ22" s="306" t="str">
        <f t="shared" si="53"/>
        <v/>
      </c>
      <c r="DR22" s="306">
        <f>IF($J22="",#N/A,SUM(DQ$4:DQ22))</f>
        <v>0</v>
      </c>
      <c r="DS22" s="306">
        <f>IF($J22="",#N/A,SUM(DQ$4:DQ22,DO$4:DO22,DM$4:DM22))</f>
        <v>0</v>
      </c>
      <c r="DT22" s="304" t="str">
        <f t="shared" si="54"/>
        <v/>
      </c>
      <c r="DU22" s="304">
        <f>IF($J22="",#N/A,SUM(DT$4:DT22))</f>
        <v>0</v>
      </c>
      <c r="DV22" s="305" t="str">
        <f t="shared" si="55"/>
        <v/>
      </c>
      <c r="DW22" s="305">
        <f>IF($J22="",#N/A,SUM(DV$4:DV22))</f>
        <v>0.40085630512924314</v>
      </c>
      <c r="DX22" s="306" t="str">
        <f t="shared" si="56"/>
        <v/>
      </c>
      <c r="DY22" s="306">
        <f>IF($J22="",#N/A,SUM(DX$4:DX22))</f>
        <v>0</v>
      </c>
      <c r="DZ22" s="306">
        <f>IF($J22="",#N/A,SUM(DX$4:DX22,DV$4:DV22,DT$4:DT22))</f>
        <v>0.40085630512924314</v>
      </c>
      <c r="EA22" s="304" t="str">
        <f t="shared" si="57"/>
        <v/>
      </c>
      <c r="EB22" s="304">
        <f>IF($J22="",#N/A,SUM(EA$4:EA22))</f>
        <v>0</v>
      </c>
      <c r="EC22" s="305" t="str">
        <f t="shared" si="58"/>
        <v/>
      </c>
      <c r="ED22" s="305">
        <f>IF($J22="",#N/A,SUM(EC$4:EC22))</f>
        <v>0</v>
      </c>
      <c r="EE22" s="306" t="str">
        <f t="shared" si="59"/>
        <v/>
      </c>
      <c r="EF22" s="306">
        <f>IF($J22="",#N/A,SUM(EE$4:EE22))</f>
        <v>0</v>
      </c>
      <c r="EG22" s="306">
        <f>IF($J22="",#N/A,SUM(EE$4:EE22,EC$4:EC22,EA$4:EA22))</f>
        <v>0</v>
      </c>
      <c r="EH22" s="223">
        <f t="shared" si="60"/>
        <v>-8.3455931523338336</v>
      </c>
      <c r="EI22" s="224">
        <f>IF(EH22="",#N/A,SUM($EH$4:EH22))</f>
        <v>159.40797368815146</v>
      </c>
      <c r="EJ22" s="223">
        <f t="shared" si="61"/>
        <v>-7.0081583522803612</v>
      </c>
      <c r="EK22" s="63">
        <f>IF($GZ22="",#N/A,SUM(EJ$4:EJ22))</f>
        <v>335.32633188082588</v>
      </c>
      <c r="EL22" s="60">
        <f t="shared" si="97"/>
        <v>-0.34773304801390975</v>
      </c>
      <c r="EM22" s="60">
        <f>IF(EL22="",NA(),SUM($EL$4:EL22))</f>
        <v>6.6419989036729792</v>
      </c>
      <c r="EN22" s="60" t="str">
        <f t="shared" si="62"/>
        <v/>
      </c>
      <c r="EO22" s="60" t="e">
        <f>IF(EN22="",NA(),SUM($EN$4:EN22))</f>
        <v>#N/A</v>
      </c>
      <c r="EP22" s="60" t="str">
        <f t="shared" si="63"/>
        <v/>
      </c>
      <c r="EQ22" s="60" t="e">
        <f>IF(EP22="",NA(),SUM($EP$4:EP22))</f>
        <v>#N/A</v>
      </c>
      <c r="ER22" s="60">
        <f t="shared" si="64"/>
        <v>-0.34773304801390975</v>
      </c>
      <c r="ES22" s="60">
        <f>IF(ER22="",NA(),SUM($ER$4:ER22))</f>
        <v>0.85219499663753107</v>
      </c>
      <c r="ET22" s="60" t="str">
        <f t="shared" si="65"/>
        <v/>
      </c>
      <c r="EU22" s="60" t="e">
        <f>IF(ET22="",NA(),SUM($ET$4:ET22))</f>
        <v>#N/A</v>
      </c>
      <c r="EV22" s="60" t="str">
        <f t="shared" si="66"/>
        <v/>
      </c>
      <c r="EW22" s="60" t="e">
        <f>IF(EV22="",NA(),SUM($EV$4:EV22))</f>
        <v>#N/A</v>
      </c>
      <c r="EX22" s="60" t="str">
        <f t="shared" si="67"/>
        <v/>
      </c>
      <c r="EY22" s="60" t="e">
        <f>IF(EX22="",NA(),SUM($EX$4:EX22))</f>
        <v>#N/A</v>
      </c>
      <c r="EZ22" s="60" t="str">
        <f t="shared" si="68"/>
        <v/>
      </c>
      <c r="FA22" s="60" t="e">
        <f>IF(EZ22="",NA(),SUM($EZ$4:EZ22))</f>
        <v>#N/A</v>
      </c>
      <c r="FB22" s="246" t="str">
        <f t="shared" si="98"/>
        <v/>
      </c>
      <c r="FC22" s="246" t="e">
        <f>IF($FB22="",#N/A,SUM(FB$4:$FB22))</f>
        <v>#N/A</v>
      </c>
      <c r="FD22" s="60">
        <f t="shared" si="69"/>
        <v>5.5726450002228034E-2</v>
      </c>
      <c r="FE22" s="60">
        <f>IF($FD22="",#N/A,SUM($FD$4:FD22))</f>
        <v>-0.52430113172893056</v>
      </c>
      <c r="FF22" s="60" t="str">
        <f t="shared" si="70"/>
        <v/>
      </c>
      <c r="FG22" s="60" t="e">
        <f>IF($FF22="",#N/A,SUM($FF$4:FF22))</f>
        <v>#N/A</v>
      </c>
      <c r="FH22" s="60" t="str">
        <f t="shared" si="71"/>
        <v/>
      </c>
      <c r="FI22" s="60" t="e">
        <f>IF($FH22="",#N/A,SUM($FH$4:FH22))</f>
        <v>#N/A</v>
      </c>
      <c r="FJ22" s="60" t="str">
        <f t="shared" si="72"/>
        <v/>
      </c>
      <c r="FK22" s="60" t="e">
        <f>IF($FJ22="",#N/A,SUM($FJ$4:FJ22))</f>
        <v>#N/A</v>
      </c>
      <c r="FL22" s="60" t="str">
        <f t="shared" si="73"/>
        <v/>
      </c>
      <c r="FM22" s="60" t="e">
        <f>IF($FL22="",#N/A,SUM($FL$4:FL22))</f>
        <v>#N/A</v>
      </c>
      <c r="FN22" s="82">
        <f t="shared" si="74"/>
        <v>-0.29200659801168172</v>
      </c>
      <c r="FO22" s="82">
        <f>IF($FN22="",#N/A,SUM(FN$4:$FN22))</f>
        <v>13.97193049503441</v>
      </c>
      <c r="FP22" s="82">
        <f t="shared" si="99"/>
        <v>-0.34773304801390975</v>
      </c>
      <c r="FQ22" s="246">
        <f>IF($EH22="",#N/A,SUM($FP$4:FP22))</f>
        <v>6.6419989036729792</v>
      </c>
      <c r="FR22" s="99"/>
      <c r="FS22" s="99"/>
      <c r="FT22" s="99"/>
      <c r="FU22" s="82" t="e">
        <v>#N/A</v>
      </c>
      <c r="FV22" s="57" t="str">
        <f t="shared" si="75"/>
        <v>Dwn</v>
      </c>
      <c r="FW22" s="57" t="s">
        <v>2734</v>
      </c>
      <c r="FX22" s="57" t="str">
        <f t="shared" si="76"/>
        <v/>
      </c>
      <c r="FY22" s="57">
        <f t="shared" si="77"/>
        <v>1</v>
      </c>
      <c r="FZ22" s="57" t="str">
        <f t="shared" si="78"/>
        <v/>
      </c>
      <c r="GA22" s="57" t="str">
        <f t="shared" si="79"/>
        <v>Short</v>
      </c>
      <c r="GB22" s="57" t="str">
        <f t="shared" si="80"/>
        <v/>
      </c>
      <c r="GC22" s="57" t="str">
        <f t="shared" si="81"/>
        <v/>
      </c>
      <c r="GD22" s="57" t="str">
        <f t="shared" si="82"/>
        <v/>
      </c>
      <c r="GE22" s="62">
        <f t="shared" si="83"/>
        <v>74.77</v>
      </c>
      <c r="GF22" s="62" t="s">
        <v>2780</v>
      </c>
      <c r="GG22" s="199">
        <f t="shared" si="84"/>
        <v>5.3497392002139899</v>
      </c>
      <c r="GH22" s="207">
        <f t="shared" si="85"/>
        <v>400</v>
      </c>
      <c r="GI22" s="199">
        <f t="shared" si="86"/>
        <v>5.3497392002139899</v>
      </c>
      <c r="GJ22" s="200">
        <f t="shared" si="87"/>
        <v>76.33</v>
      </c>
      <c r="GK22" s="63">
        <f t="shared" si="88"/>
        <v>-8.3455931523338336</v>
      </c>
      <c r="GL22" s="63">
        <f t="shared" si="89"/>
        <v>-7.0081583522803612</v>
      </c>
      <c r="GM22" s="82" t="str">
        <f t="shared" si="90"/>
        <v/>
      </c>
      <c r="GN22" s="82">
        <f>IF($GZ22="",#N/A,SUM(GM$4:GM22))</f>
        <v>8.0507383287412004</v>
      </c>
      <c r="GO22" s="82" t="str">
        <f t="shared" si="91"/>
        <v/>
      </c>
      <c r="GP22" s="82">
        <f>IF($GZ22="",#N/A,SUM(GO$4:GO22))</f>
        <v>3.3683253053787925</v>
      </c>
      <c r="GQ22" s="82">
        <f t="shared" si="92"/>
        <v>-0.29200659801168172</v>
      </c>
      <c r="GR22" s="82">
        <f>IF($GZ22="",#N/A,SUM(GQ$4:GQ22))</f>
        <v>2.5528668609144187</v>
      </c>
      <c r="GS22" s="63" t="str">
        <f t="shared" si="100"/>
        <v/>
      </c>
      <c r="GT22" s="63">
        <f>IF($GZ22="",#N/A,SUM(GS$4:GS22))</f>
        <v>193.21771988978884</v>
      </c>
      <c r="GU22" s="63" t="str">
        <f t="shared" si="101"/>
        <v/>
      </c>
      <c r="GV22" s="63">
        <f>IF($GZ22="",#N/A,SUM(GU$4:GU22))</f>
        <v>80.839807329091002</v>
      </c>
      <c r="GW22" s="62">
        <f t="shared" si="102"/>
        <v>-7.0081583522803612</v>
      </c>
      <c r="GX22" s="63">
        <f>IF($GZ22="",#N/A,SUM(GW$4:GW22))</f>
        <v>61.268804661946035</v>
      </c>
      <c r="GY22" s="63">
        <f>IF(EJ22="",#N/A,SUM($EJ$4:EJ22))</f>
        <v>335.32633188082588</v>
      </c>
      <c r="GZ22" s="159">
        <v>76.08</v>
      </c>
      <c r="HA22" s="63">
        <f t="shared" si="93"/>
        <v>1.3374348000534724</v>
      </c>
      <c r="HB22" s="62" t="s">
        <v>4970</v>
      </c>
      <c r="HC22" s="60">
        <f>IFERROR(VLOOKUP(E22,Expectancy!$P$4:$S$19,1+C22,FALSE),"")</f>
        <v>0.3117803024854584</v>
      </c>
      <c r="HD22" s="60" t="str">
        <f t="shared" si="94"/>
        <v/>
      </c>
      <c r="HE22" s="60" t="e">
        <f>IF(HD22="",#N/A,SUM($HD$4:HD22))</f>
        <v>#N/A</v>
      </c>
      <c r="HF22" s="64" t="e">
        <f>IF(HD22="",#N/A,IF(HB22="Skip",#N/A,SUM($HG$4:HG22)))</f>
        <v>#N/A</v>
      </c>
      <c r="HG22" s="63" t="str">
        <f t="shared" si="95"/>
        <v/>
      </c>
      <c r="HH22" s="82">
        <f t="shared" si="96"/>
        <v>-0.29200659801168172</v>
      </c>
    </row>
    <row r="23" spans="1:216" x14ac:dyDescent="0.25">
      <c r="A23" s="57" t="s">
        <v>1488</v>
      </c>
      <c r="B23" s="58" t="s">
        <v>5090</v>
      </c>
      <c r="C23" s="386">
        <f t="shared" si="0"/>
        <v>1</v>
      </c>
      <c r="D23" s="372" t="str">
        <f>_xlfn.XLOOKUP(A23,[1]SP500!$A$2:$A$502,[1]SP500!$D$2:$D$502,"N")</f>
        <v>Y</v>
      </c>
      <c r="E23" s="57" t="str">
        <f>_xlfn.XLOOKUP(A23,[1]SP500!$A$2:$A$655,[1]SP500!$B$2:$B$655)</f>
        <v>XLF</v>
      </c>
      <c r="F23" s="59">
        <v>45674</v>
      </c>
      <c r="G23" s="57" t="str">
        <f t="shared" si="1"/>
        <v>BMO</v>
      </c>
      <c r="H23" s="57" t="str">
        <f t="shared" si="2"/>
        <v>o</v>
      </c>
      <c r="I23" s="159">
        <v>100.49</v>
      </c>
      <c r="J23" s="159">
        <v>95.66</v>
      </c>
      <c r="K23" s="61">
        <f t="shared" si="3"/>
        <v>-4.8064484028261502E-2</v>
      </c>
      <c r="L23" s="87">
        <f t="shared" si="4"/>
        <v>-19.225793611304596</v>
      </c>
      <c r="M23" s="63" t="str">
        <f t="shared" si="5"/>
        <v/>
      </c>
      <c r="N23" s="219">
        <f t="shared" si="6"/>
        <v>-19.225793611304596</v>
      </c>
      <c r="O23" s="219">
        <f>IF($J23="",#N/A,SUM($N$4:N23))</f>
        <v>0.8165444466009717</v>
      </c>
      <c r="P23" s="220" t="str">
        <f t="shared" si="7"/>
        <v/>
      </c>
      <c r="Q23" s="220">
        <f>IF($J23="",#N/A,SUM($P$4:P23))</f>
        <v>20.452679919300749</v>
      </c>
      <c r="R23" s="221" t="str">
        <f t="shared" si="8"/>
        <v/>
      </c>
      <c r="S23" s="222">
        <f>IF($J23="",#N/A,SUM($R$4:R23))</f>
        <v>118.91295571094514</v>
      </c>
      <c r="T23" s="281">
        <f t="shared" si="9"/>
        <v>-0.80107473380435812</v>
      </c>
      <c r="U23" s="281">
        <f>IF($J23="",#N/A,SUM($T$4:T23))</f>
        <v>3.4022685275040598E-2</v>
      </c>
      <c r="V23" s="282" t="str">
        <f t="shared" si="10"/>
        <v/>
      </c>
      <c r="W23" s="282">
        <f>IF($J23="",#N/A,SUM($V$4:V23))</f>
        <v>0.85219499663753107</v>
      </c>
      <c r="X23" s="283" t="str">
        <f t="shared" si="11"/>
        <v/>
      </c>
      <c r="Y23" s="283">
        <f>IF($J23="",#N/A,SUM($X$4:X23))</f>
        <v>4.9547064879560478</v>
      </c>
      <c r="Z23" s="304" t="str">
        <f t="shared" si="12"/>
        <v/>
      </c>
      <c r="AA23" s="304">
        <f>IF($J23="",#N/A,SUM(Z$4:Z23))</f>
        <v>0</v>
      </c>
      <c r="AB23" s="305" t="str">
        <f t="shared" si="13"/>
        <v/>
      </c>
      <c r="AC23" s="305">
        <f>IF($J23="",#N/A,SUM(AB$4:AB23))</f>
        <v>0</v>
      </c>
      <c r="AD23" s="306" t="str">
        <f t="shared" si="14"/>
        <v/>
      </c>
      <c r="AE23" s="306">
        <f>IF($J23="",#N/A,SUM(AD$4:AD23))</f>
        <v>0</v>
      </c>
      <c r="AF23" s="306">
        <f>IF($J23="",#N/A,SUM(AD$4:AD23,AB$4:AB23,Z$4:Z23))</f>
        <v>0</v>
      </c>
      <c r="AG23" s="304" t="str">
        <f t="shared" si="15"/>
        <v/>
      </c>
      <c r="AH23" s="304">
        <f>IF($J23="",#N/A,SUM(AG$4:AG23))</f>
        <v>0</v>
      </c>
      <c r="AI23" s="305" t="str">
        <f t="shared" si="16"/>
        <v/>
      </c>
      <c r="AJ23" s="305">
        <f>IF($J23="",#N/A,SUM(AI$4:AI23))</f>
        <v>0</v>
      </c>
      <c r="AK23" s="306" t="str">
        <f t="shared" si="17"/>
        <v/>
      </c>
      <c r="AL23" s="306">
        <f>IF($J23="",#N/A,SUM(AK$4:AK23))</f>
        <v>0</v>
      </c>
      <c r="AM23" s="306">
        <f>IF($J23="",#N/A,SUM(AK$4:AK23,AI$4:AI23,AG$4:AG23))</f>
        <v>0</v>
      </c>
      <c r="AN23" s="304" t="str">
        <f t="shared" si="18"/>
        <v/>
      </c>
      <c r="AO23" s="304">
        <f>IF($J23="",#N/A,SUM(AN$4:AN23))</f>
        <v>0</v>
      </c>
      <c r="AP23" s="305" t="str">
        <f t="shared" si="19"/>
        <v/>
      </c>
      <c r="AQ23" s="305">
        <f>IF($J23="",#N/A,SUM(AP$4:AP23))</f>
        <v>0</v>
      </c>
      <c r="AR23" s="306" t="str">
        <f t="shared" si="20"/>
        <v/>
      </c>
      <c r="AS23" s="306">
        <f>IF($J23="",#N/A,SUM(AR$4:AR23))</f>
        <v>0</v>
      </c>
      <c r="AT23" s="306">
        <f>IF($J23="",#N/A,SUM(AR$4:AR23,AP$4:AP23,AN$4:AN23))</f>
        <v>0</v>
      </c>
      <c r="AU23" s="304" t="str">
        <f t="shared" si="21"/>
        <v/>
      </c>
      <c r="AV23" s="304">
        <f>IF($J23="",#N/A,SUM(AU$4:AU23))</f>
        <v>0</v>
      </c>
      <c r="AW23" s="305" t="str">
        <f t="shared" si="22"/>
        <v/>
      </c>
      <c r="AX23" s="305">
        <f>IF($J23="",#N/A,SUM(AW$4:AW23))</f>
        <v>1.2290222546515868</v>
      </c>
      <c r="AY23" s="306" t="str">
        <f t="shared" si="23"/>
        <v/>
      </c>
      <c r="AZ23" s="306">
        <f>IF($J23="",#N/A,SUM(AY$4:AY23))</f>
        <v>2.4945770065075905</v>
      </c>
      <c r="BA23" s="306">
        <f>IF($J23="",#N/A,SUM(AY$4:AY23,AW$4:AW23,AU$4:AU23))</f>
        <v>3.7235992611591771</v>
      </c>
      <c r="BB23" s="304" t="str">
        <f t="shared" si="24"/>
        <v/>
      </c>
      <c r="BC23" s="304">
        <f>IF($J23="",#N/A,SUM(BB$4:BB23))</f>
        <v>0</v>
      </c>
      <c r="BD23" s="305" t="str">
        <f t="shared" si="25"/>
        <v/>
      </c>
      <c r="BE23" s="305">
        <f>IF($J23="",#N/A,SUM(BD$4:BD23))</f>
        <v>0</v>
      </c>
      <c r="BF23" s="306" t="str">
        <f t="shared" si="26"/>
        <v/>
      </c>
      <c r="BG23" s="306">
        <f>IF($J23="",#N/A,SUM(BF$4:BF23))</f>
        <v>0</v>
      </c>
      <c r="BH23" s="306">
        <f>IF($J23="",#N/A,SUM(BF$4:BF23,BD$4:BD23,BB$4:BB23))</f>
        <v>0</v>
      </c>
      <c r="BI23" s="304">
        <f t="shared" si="27"/>
        <v>-0.80107473380435812</v>
      </c>
      <c r="BJ23" s="304">
        <f>IF($J23="",#N/A,SUM(BI$4:BI23))</f>
        <v>-0.93471713888646701</v>
      </c>
      <c r="BK23" s="305" t="str">
        <f t="shared" si="28"/>
        <v/>
      </c>
      <c r="BL23" s="305">
        <f>IF($J23="",#N/A,SUM(BK$4:BK23))</f>
        <v>0</v>
      </c>
      <c r="BM23" s="306" t="str">
        <f t="shared" si="29"/>
        <v/>
      </c>
      <c r="BN23" s="306">
        <f>IF($J23="",#N/A,SUM(BM$4:BM23))</f>
        <v>3.4626357471126163</v>
      </c>
      <c r="BO23" s="306">
        <f>IF($J23="",#N/A,SUM(BM$4:BM23,BK$4:BK23,BI$4:BI23))</f>
        <v>2.5279186082261487</v>
      </c>
      <c r="BP23" s="304" t="str">
        <f t="shared" si="30"/>
        <v/>
      </c>
      <c r="BQ23" s="304">
        <f>IF($J23="",#N/A,SUM(BP$4:BP23))</f>
        <v>0.96873982416150761</v>
      </c>
      <c r="BR23" s="305" t="str">
        <f t="shared" si="31"/>
        <v/>
      </c>
      <c r="BS23" s="305">
        <f>IF($J23="",#N/A,SUM(BR$4:BR23))</f>
        <v>-0.34773304801390975</v>
      </c>
      <c r="BT23" s="306" t="str">
        <f t="shared" si="32"/>
        <v/>
      </c>
      <c r="BU23" s="306">
        <f>IF($J23="",#N/A,SUM(BT$4:BT23))</f>
        <v>-1.0025062656641595</v>
      </c>
      <c r="BV23" s="306">
        <f>IF($J23="",#N/A,SUM(BT$4:BT23,BR$4:BR23,BP$4:BP23))</f>
        <v>-0.38149948951656165</v>
      </c>
      <c r="BW23" s="304" t="str">
        <f t="shared" si="33"/>
        <v/>
      </c>
      <c r="BX23" s="304">
        <f>IF($J23="",#N/A,SUM(BW$4:BW23))</f>
        <v>0</v>
      </c>
      <c r="BY23" s="305" t="str">
        <f t="shared" si="34"/>
        <v/>
      </c>
      <c r="BZ23" s="305">
        <f>IF($J23="",#N/A,SUM(BY$4:BY23))</f>
        <v>0</v>
      </c>
      <c r="CA23" s="306" t="str">
        <f t="shared" si="35"/>
        <v/>
      </c>
      <c r="CB23" s="306">
        <f>IF($J23="",#N/A,SUM(CA$4:CA23))</f>
        <v>0</v>
      </c>
      <c r="CC23" s="306">
        <f>IF($J23="",#N/A,SUM(CA$4:CA23,BY$4:BY23,BW$4:BW23))</f>
        <v>0</v>
      </c>
      <c r="CD23" s="304" t="str">
        <f t="shared" si="36"/>
        <v/>
      </c>
      <c r="CE23" s="304">
        <f>IF($J23="",#N/A,SUM(CD$4:CD23))</f>
        <v>0</v>
      </c>
      <c r="CF23" s="305" t="str">
        <f t="shared" si="37"/>
        <v/>
      </c>
      <c r="CG23" s="305">
        <f>IF($J23="",#N/A,SUM(CF$4:CF23))</f>
        <v>0</v>
      </c>
      <c r="CH23" s="306" t="str">
        <f t="shared" si="38"/>
        <v/>
      </c>
      <c r="CI23" s="306">
        <f>IF($J23="",#N/A,SUM(CH$4:CH23))</f>
        <v>0</v>
      </c>
      <c r="CJ23" s="306">
        <f>IF($J23="",#N/A,SUM(CH$4:CH23,CF$4:CF23,CD$4:CD23))</f>
        <v>0</v>
      </c>
      <c r="CK23" s="304" t="str">
        <f t="shared" si="39"/>
        <v/>
      </c>
      <c r="CL23" s="304">
        <f>IF($J23="",#N/A,SUM(CK$4:CK23))</f>
        <v>0</v>
      </c>
      <c r="CM23" s="305" t="str">
        <f t="shared" si="40"/>
        <v/>
      </c>
      <c r="CN23" s="305">
        <f>IF($J23="",#N/A,SUM(CM$4:CM23))</f>
        <v>0</v>
      </c>
      <c r="CO23" s="306" t="str">
        <f t="shared" si="41"/>
        <v/>
      </c>
      <c r="CP23" s="306">
        <f>IF($J23="",#N/A,SUM(CO$4:CO23))</f>
        <v>0</v>
      </c>
      <c r="CQ23" s="306">
        <f>IF($J23="",#N/A,SUM(CO$4:CO23,CM$4:CM23,CK$4:CK23))</f>
        <v>0</v>
      </c>
      <c r="CR23" s="304" t="str">
        <f t="shared" si="42"/>
        <v/>
      </c>
      <c r="CS23" s="304">
        <f>IF($J23="",#N/A,SUM(CR$4:CR23))</f>
        <v>0</v>
      </c>
      <c r="CT23" s="305" t="str">
        <f t="shared" si="43"/>
        <v/>
      </c>
      <c r="CU23" s="305">
        <f>IF($J23="",#N/A,SUM(CT$4:CT23))</f>
        <v>-0.42995051512938903</v>
      </c>
      <c r="CV23" s="306" t="str">
        <f t="shared" si="44"/>
        <v/>
      </c>
      <c r="CW23" s="306">
        <f>IF($J23="",#N/A,SUM(CV$4:CV23))</f>
        <v>0</v>
      </c>
      <c r="CX23" s="306">
        <f>IF($J23="",#N/A,SUM(CV$4:CV23,CT$4:CT23,CR$4:CR23))</f>
        <v>-0.42995051512938903</v>
      </c>
      <c r="CY23" s="304" t="str">
        <f t="shared" si="45"/>
        <v/>
      </c>
      <c r="CZ23" s="304">
        <f>IF($J23="",#N/A,SUM(CY$4:CY23))</f>
        <v>0</v>
      </c>
      <c r="DA23" s="305" t="str">
        <f t="shared" si="46"/>
        <v/>
      </c>
      <c r="DB23" s="305">
        <f>IF($J23="",#N/A,SUM(DA$4:DA23))</f>
        <v>0</v>
      </c>
      <c r="DC23" s="306" t="str">
        <f t="shared" si="47"/>
        <v/>
      </c>
      <c r="DD23" s="306">
        <f>IF($J23="",#N/A,SUM(DC$4:DC23))</f>
        <v>0</v>
      </c>
      <c r="DE23" s="306">
        <f>IF($J23="",#N/A,SUM(DC$4:DC23,DA$4:DA23,CY$4:CY23))</f>
        <v>0</v>
      </c>
      <c r="DF23" s="304" t="str">
        <f t="shared" si="48"/>
        <v/>
      </c>
      <c r="DG23" s="304">
        <f>IF($J23="",#N/A,SUM(DF$4:DF23))</f>
        <v>0</v>
      </c>
      <c r="DH23" s="305" t="str">
        <f t="shared" si="49"/>
        <v/>
      </c>
      <c r="DI23" s="305">
        <f>IF($J23="",#N/A,SUM(DH$4:DH23))</f>
        <v>0</v>
      </c>
      <c r="DJ23" s="306" t="str">
        <f t="shared" si="50"/>
        <v/>
      </c>
      <c r="DK23" s="306">
        <f>IF($J23="",#N/A,SUM(DJ$4:DJ23))</f>
        <v>0</v>
      </c>
      <c r="DL23" s="306">
        <f>IF($J23="",#N/A,SUM(DJ$4:DJ23,DH$4:DH23,DF$4:DF23))</f>
        <v>0</v>
      </c>
      <c r="DM23" s="304" t="str">
        <f t="shared" si="51"/>
        <v/>
      </c>
      <c r="DN23" s="304">
        <f>IF($J23="",#N/A,SUM(DM$4:DM23))</f>
        <v>0</v>
      </c>
      <c r="DO23" s="305" t="str">
        <f t="shared" si="52"/>
        <v/>
      </c>
      <c r="DP23" s="305">
        <f>IF($J23="",#N/A,SUM(DO$4:DO23))</f>
        <v>0</v>
      </c>
      <c r="DQ23" s="306" t="str">
        <f t="shared" si="53"/>
        <v/>
      </c>
      <c r="DR23" s="306">
        <f>IF($J23="",#N/A,SUM(DQ$4:DQ23))</f>
        <v>0</v>
      </c>
      <c r="DS23" s="306">
        <f>IF($J23="",#N/A,SUM(DQ$4:DQ23,DO$4:DO23,DM$4:DM23))</f>
        <v>0</v>
      </c>
      <c r="DT23" s="304" t="str">
        <f t="shared" si="54"/>
        <v/>
      </c>
      <c r="DU23" s="304">
        <f>IF($J23="",#N/A,SUM(DT$4:DT23))</f>
        <v>0</v>
      </c>
      <c r="DV23" s="305" t="str">
        <f t="shared" si="55"/>
        <v/>
      </c>
      <c r="DW23" s="305">
        <f>IF($J23="",#N/A,SUM(DV$4:DV23))</f>
        <v>0.40085630512924314</v>
      </c>
      <c r="DX23" s="306" t="str">
        <f t="shared" si="56"/>
        <v/>
      </c>
      <c r="DY23" s="306">
        <f>IF($J23="",#N/A,SUM(DX$4:DX23))</f>
        <v>0</v>
      </c>
      <c r="DZ23" s="306">
        <f>IF($J23="",#N/A,SUM(DX$4:DX23,DV$4:DV23,DT$4:DT23))</f>
        <v>0.40085630512924314</v>
      </c>
      <c r="EA23" s="304" t="str">
        <f t="shared" si="57"/>
        <v/>
      </c>
      <c r="EB23" s="304">
        <f>IF($J23="",#N/A,SUM(EA$4:EA23))</f>
        <v>0</v>
      </c>
      <c r="EC23" s="305" t="str">
        <f t="shared" si="58"/>
        <v/>
      </c>
      <c r="ED23" s="305">
        <f>IF($J23="",#N/A,SUM(EC$4:EC23))</f>
        <v>0</v>
      </c>
      <c r="EE23" s="306" t="str">
        <f t="shared" si="59"/>
        <v/>
      </c>
      <c r="EF23" s="306">
        <f>IF($J23="",#N/A,SUM(EE$4:EE23))</f>
        <v>0</v>
      </c>
      <c r="EG23" s="306">
        <f>IF($J23="",#N/A,SUM(EE$4:EE23,EC$4:EC23,EA$4:EA23))</f>
        <v>0</v>
      </c>
      <c r="EH23" s="223">
        <f t="shared" si="60"/>
        <v>-19.225793611304596</v>
      </c>
      <c r="EI23" s="224">
        <f>IF(EH23="",#N/A,SUM($EH$4:EH23))</f>
        <v>140.18218007684686</v>
      </c>
      <c r="EJ23" s="223">
        <f t="shared" si="61"/>
        <v>-11.384217335058224</v>
      </c>
      <c r="EK23" s="63">
        <f>IF($GZ23="",#N/A,SUM(EJ$4:EJ23))</f>
        <v>323.94211454576765</v>
      </c>
      <c r="EL23" s="60">
        <f t="shared" si="97"/>
        <v>-0.80107473380435812</v>
      </c>
      <c r="EM23" s="60">
        <f>IF(EL23="",NA(),SUM($EL$4:EL23))</f>
        <v>5.8409241698686207</v>
      </c>
      <c r="EN23" s="60">
        <f t="shared" si="62"/>
        <v>-0.80107473380435812</v>
      </c>
      <c r="EO23" s="60">
        <f>IF(EN23="",NA(),SUM($EN$4:EN23))</f>
        <v>3.4022685275040598E-2</v>
      </c>
      <c r="EP23" s="60" t="str">
        <f t="shared" si="63"/>
        <v/>
      </c>
      <c r="EQ23" s="60" t="e">
        <f>IF(EP23="",NA(),SUM($EP$4:EP23))</f>
        <v>#N/A</v>
      </c>
      <c r="ER23" s="60" t="str">
        <f t="shared" si="64"/>
        <v/>
      </c>
      <c r="ES23" s="60" t="e">
        <f>IF(ER23="",NA(),SUM($ER$4:ER23))</f>
        <v>#N/A</v>
      </c>
      <c r="ET23" s="60" t="str">
        <f t="shared" si="65"/>
        <v/>
      </c>
      <c r="EU23" s="60" t="e">
        <f>IF(ET23="",NA(),SUM($ET$4:ET23))</f>
        <v>#N/A</v>
      </c>
      <c r="EV23" s="60" t="str">
        <f t="shared" si="66"/>
        <v/>
      </c>
      <c r="EW23" s="60" t="e">
        <f>IF(EV23="",NA(),SUM($EV$4:EV23))</f>
        <v>#N/A</v>
      </c>
      <c r="EX23" s="60" t="str">
        <f t="shared" si="67"/>
        <v/>
      </c>
      <c r="EY23" s="60" t="e">
        <f>IF(EX23="",NA(),SUM($EX$4:EX23))</f>
        <v>#N/A</v>
      </c>
      <c r="EZ23" s="60" t="str">
        <f t="shared" si="68"/>
        <v/>
      </c>
      <c r="FA23" s="60" t="e">
        <f>IF(EZ23="",NA(),SUM($EZ$4:EZ23))</f>
        <v>#N/A</v>
      </c>
      <c r="FB23" s="246" t="str">
        <f t="shared" si="98"/>
        <v/>
      </c>
      <c r="FC23" s="246" t="e">
        <f>IF($FB23="",#N/A,SUM(FB$4:$FB23))</f>
        <v>#N/A</v>
      </c>
      <c r="FD23" s="60" t="str">
        <f t="shared" si="69"/>
        <v/>
      </c>
      <c r="FE23" s="60" t="e">
        <f>IF($FD23="",#N/A,SUM($FD$4:FD23))</f>
        <v>#N/A</v>
      </c>
      <c r="FF23" s="60" t="str">
        <f t="shared" si="70"/>
        <v/>
      </c>
      <c r="FG23" s="60" t="e">
        <f>IF($FF23="",#N/A,SUM($FF$4:FF23))</f>
        <v>#N/A</v>
      </c>
      <c r="FH23" s="60">
        <f t="shared" si="71"/>
        <v>0.32673234484359875</v>
      </c>
      <c r="FI23" s="60">
        <f>IF($FH23="",#N/A,SUM($FH$4:FH23))</f>
        <v>1.3582992486810497</v>
      </c>
      <c r="FJ23" s="60" t="str">
        <f t="shared" si="72"/>
        <v/>
      </c>
      <c r="FK23" s="60" t="e">
        <f>IF($FJ23="",#N/A,SUM($FJ$4:FJ23))</f>
        <v>#N/A</v>
      </c>
      <c r="FL23" s="60" t="str">
        <f t="shared" si="73"/>
        <v/>
      </c>
      <c r="FM23" s="60" t="e">
        <f>IF($FL23="",#N/A,SUM($FL$4:FL23))</f>
        <v>#N/A</v>
      </c>
      <c r="FN23" s="82">
        <f t="shared" si="74"/>
        <v>-0.47434238896075936</v>
      </c>
      <c r="FO23" s="82">
        <f>IF($FN23="",#N/A,SUM(FN$4:$FN23))</f>
        <v>13.497588106073652</v>
      </c>
      <c r="FP23" s="82">
        <f t="shared" si="99"/>
        <v>-0.80107473380435812</v>
      </c>
      <c r="FQ23" s="246">
        <f>IF($EH23="",#N/A,SUM($FP$4:FP23))</f>
        <v>5.8409241698686207</v>
      </c>
      <c r="FR23" s="99"/>
      <c r="FS23" s="99"/>
      <c r="FT23" s="99"/>
      <c r="FU23" s="82" t="e">
        <v>#N/A</v>
      </c>
      <c r="FV23" s="57" t="str">
        <f t="shared" si="75"/>
        <v>Up</v>
      </c>
      <c r="FW23" s="57" t="s">
        <v>2734</v>
      </c>
      <c r="FX23" s="57" t="str">
        <f t="shared" si="76"/>
        <v/>
      </c>
      <c r="FY23" s="57" t="str">
        <f t="shared" si="77"/>
        <v/>
      </c>
      <c r="FZ23" s="57" t="str">
        <f t="shared" si="78"/>
        <v/>
      </c>
      <c r="GA23" s="57" t="str">
        <f t="shared" si="79"/>
        <v>Long</v>
      </c>
      <c r="GB23" s="57" t="str">
        <f t="shared" si="80"/>
        <v/>
      </c>
      <c r="GC23" s="57">
        <f t="shared" si="81"/>
        <v>1</v>
      </c>
      <c r="GD23" s="57" t="str">
        <f t="shared" si="82"/>
        <v/>
      </c>
      <c r="GE23" s="62">
        <f t="shared" si="83"/>
        <v>100.49</v>
      </c>
      <c r="GF23" s="62" t="s">
        <v>2779</v>
      </c>
      <c r="GG23" s="199">
        <f t="shared" si="84"/>
        <v>3.9804955716986767</v>
      </c>
      <c r="GH23" s="207">
        <f t="shared" si="85"/>
        <v>400</v>
      </c>
      <c r="GI23" s="199">
        <f t="shared" si="86"/>
        <v>3.9804955716986767</v>
      </c>
      <c r="GJ23" s="200">
        <f t="shared" si="87"/>
        <v>95.66</v>
      </c>
      <c r="GK23" s="63">
        <f t="shared" si="88"/>
        <v>-19.225793611304596</v>
      </c>
      <c r="GL23" s="63">
        <f t="shared" si="89"/>
        <v>-11.384217335058224</v>
      </c>
      <c r="GM23" s="82" t="str">
        <f t="shared" si="90"/>
        <v/>
      </c>
      <c r="GN23" s="82">
        <f>IF($GZ23="",#N/A,SUM(GM$4:GM23))</f>
        <v>8.0507383287412004</v>
      </c>
      <c r="GO23" s="82">
        <f t="shared" si="91"/>
        <v>-0.47434238896075936</v>
      </c>
      <c r="GP23" s="82">
        <f>IF($GZ23="",#N/A,SUM(GO$4:GO23))</f>
        <v>2.8939829164180333</v>
      </c>
      <c r="GQ23" s="82" t="str">
        <f t="shared" si="92"/>
        <v/>
      </c>
      <c r="GR23" s="82">
        <f>IF($GZ23="",#N/A,SUM(GQ$4:GQ23))</f>
        <v>2.5528668609144187</v>
      </c>
      <c r="GS23" s="63" t="str">
        <f t="shared" si="100"/>
        <v/>
      </c>
      <c r="GT23" s="63">
        <f>IF($GZ23="",#N/A,SUM(GS$4:GS23))</f>
        <v>193.21771988978884</v>
      </c>
      <c r="GU23" s="63">
        <f t="shared" si="101"/>
        <v>-11.384217335058224</v>
      </c>
      <c r="GV23" s="63">
        <f>IF($GZ23="",#N/A,SUM(GU$4:GU23))</f>
        <v>69.455589994032778</v>
      </c>
      <c r="GW23" s="62" t="str">
        <f t="shared" si="102"/>
        <v/>
      </c>
      <c r="GX23" s="63">
        <f>IF($GZ23="",#N/A,SUM(GW$4:GW23))</f>
        <v>61.268804661946035</v>
      </c>
      <c r="GY23" s="63">
        <f>IF(EJ23="",#N/A,SUM($EJ$4:EJ23))</f>
        <v>323.94211454576765</v>
      </c>
      <c r="GZ23" s="159">
        <v>97.63</v>
      </c>
      <c r="HA23" s="63">
        <f t="shared" si="93"/>
        <v>7.8415762762463714</v>
      </c>
      <c r="HB23" s="62" t="s">
        <v>4970</v>
      </c>
      <c r="HC23" s="60">
        <f>IFERROR(VLOOKUP(E23,Expectancy!$P$4:$S$19,1+C23,FALSE),"")</f>
        <v>-7.9483352726509887E-2</v>
      </c>
      <c r="HD23" s="60" t="str">
        <f t="shared" si="94"/>
        <v/>
      </c>
      <c r="HE23" s="60" t="e">
        <f>IF(HD23="",#N/A,SUM($HD$4:HD23))</f>
        <v>#N/A</v>
      </c>
      <c r="HF23" s="64" t="e">
        <f>IF(HD23="",#N/A,IF(HB23="Skip",#N/A,SUM($HG$4:HG23)))</f>
        <v>#N/A</v>
      </c>
      <c r="HG23" s="63" t="str">
        <f t="shared" si="95"/>
        <v/>
      </c>
      <c r="HH23" s="82">
        <f t="shared" si="96"/>
        <v>-0.47434238896075936</v>
      </c>
    </row>
    <row r="24" spans="1:216" x14ac:dyDescent="0.25">
      <c r="A24" s="57" t="s">
        <v>1502</v>
      </c>
      <c r="B24" s="58" t="s">
        <v>5092</v>
      </c>
      <c r="C24" s="386">
        <f t="shared" si="0"/>
        <v>3</v>
      </c>
      <c r="D24" s="372" t="str">
        <f>_xlfn.XLOOKUP(A24,[1]SP500!$A$2:$A$502,[1]SP500!$D$2:$D$502,"N")</f>
        <v>Y</v>
      </c>
      <c r="E24" s="57" t="str">
        <f>_xlfn.XLOOKUP(A24,[1]SP500!$A$2:$A$655,[1]SP500!$B$2:$B$655)</f>
        <v>XLF</v>
      </c>
      <c r="F24" s="59">
        <v>45674</v>
      </c>
      <c r="G24" s="57" t="str">
        <f t="shared" si="1"/>
        <v>BMO</v>
      </c>
      <c r="H24" s="57" t="str">
        <f t="shared" si="2"/>
        <v>o</v>
      </c>
      <c r="I24" s="159">
        <v>16.84</v>
      </c>
      <c r="J24" s="158">
        <v>17</v>
      </c>
      <c r="K24" s="61">
        <f t="shared" si="3"/>
        <v>9.5011876484560661E-3</v>
      </c>
      <c r="L24" s="87">
        <f t="shared" si="4"/>
        <v>3.8004750593824497</v>
      </c>
      <c r="M24" s="63" t="str">
        <f t="shared" si="5"/>
        <v/>
      </c>
      <c r="N24" s="219" t="str">
        <f t="shared" si="6"/>
        <v/>
      </c>
      <c r="O24" s="219">
        <f>IF($J24="",#N/A,SUM($N$4:N24))</f>
        <v>0.8165444466009717</v>
      </c>
      <c r="P24" s="220" t="str">
        <f t="shared" si="7"/>
        <v/>
      </c>
      <c r="Q24" s="220">
        <f>IF($J24="",#N/A,SUM($P$4:P24))</f>
        <v>20.452679919300749</v>
      </c>
      <c r="R24" s="221">
        <f t="shared" si="8"/>
        <v>3.8004750593824497</v>
      </c>
      <c r="S24" s="222">
        <f>IF($J24="",#N/A,SUM($R$4:R24))</f>
        <v>122.71343077032759</v>
      </c>
      <c r="T24" s="281" t="str">
        <f t="shared" si="9"/>
        <v/>
      </c>
      <c r="U24" s="281">
        <f>IF($J24="",#N/A,SUM($T$4:T24))</f>
        <v>3.4022685275040598E-2</v>
      </c>
      <c r="V24" s="282" t="str">
        <f t="shared" si="10"/>
        <v/>
      </c>
      <c r="W24" s="282">
        <f>IF($J24="",#N/A,SUM($V$4:V24))</f>
        <v>0.85219499663753107</v>
      </c>
      <c r="X24" s="283">
        <f t="shared" si="11"/>
        <v>0.15835312747426875</v>
      </c>
      <c r="Y24" s="283">
        <f>IF($J24="",#N/A,SUM($X$4:X24))</f>
        <v>5.1130596154303163</v>
      </c>
      <c r="Z24" s="304" t="str">
        <f t="shared" si="12"/>
        <v/>
      </c>
      <c r="AA24" s="304">
        <f>IF($J24="",#N/A,SUM(Z$4:Z24))</f>
        <v>0</v>
      </c>
      <c r="AB24" s="305" t="str">
        <f t="shared" si="13"/>
        <v/>
      </c>
      <c r="AC24" s="305">
        <f>IF($J24="",#N/A,SUM(AB$4:AB24))</f>
        <v>0</v>
      </c>
      <c r="AD24" s="306" t="str">
        <f t="shared" si="14"/>
        <v/>
      </c>
      <c r="AE24" s="306">
        <f>IF($J24="",#N/A,SUM(AD$4:AD24))</f>
        <v>0</v>
      </c>
      <c r="AF24" s="306">
        <f>IF($J24="",#N/A,SUM(AD$4:AD24,AB$4:AB24,Z$4:Z24))</f>
        <v>0</v>
      </c>
      <c r="AG24" s="304" t="str">
        <f t="shared" si="15"/>
        <v/>
      </c>
      <c r="AH24" s="304">
        <f>IF($J24="",#N/A,SUM(AG$4:AG24))</f>
        <v>0</v>
      </c>
      <c r="AI24" s="305" t="str">
        <f t="shared" si="16"/>
        <v/>
      </c>
      <c r="AJ24" s="305">
        <f>IF($J24="",#N/A,SUM(AI$4:AI24))</f>
        <v>0</v>
      </c>
      <c r="AK24" s="306" t="str">
        <f t="shared" si="17"/>
        <v/>
      </c>
      <c r="AL24" s="306">
        <f>IF($J24="",#N/A,SUM(AK$4:AK24))</f>
        <v>0</v>
      </c>
      <c r="AM24" s="306">
        <f>IF($J24="",#N/A,SUM(AK$4:AK24,AI$4:AI24,AG$4:AG24))</f>
        <v>0</v>
      </c>
      <c r="AN24" s="304" t="str">
        <f t="shared" si="18"/>
        <v/>
      </c>
      <c r="AO24" s="304">
        <f>IF($J24="",#N/A,SUM(AN$4:AN24))</f>
        <v>0</v>
      </c>
      <c r="AP24" s="305" t="str">
        <f t="shared" si="19"/>
        <v/>
      </c>
      <c r="AQ24" s="305">
        <f>IF($J24="",#N/A,SUM(AP$4:AP24))</f>
        <v>0</v>
      </c>
      <c r="AR24" s="306" t="str">
        <f t="shared" si="20"/>
        <v/>
      </c>
      <c r="AS24" s="306">
        <f>IF($J24="",#N/A,SUM(AR$4:AR24))</f>
        <v>0</v>
      </c>
      <c r="AT24" s="306">
        <f>IF($J24="",#N/A,SUM(AR$4:AR24,AP$4:AP24,AN$4:AN24))</f>
        <v>0</v>
      </c>
      <c r="AU24" s="304" t="str">
        <f t="shared" si="21"/>
        <v/>
      </c>
      <c r="AV24" s="304">
        <f>IF($J24="",#N/A,SUM(AU$4:AU24))</f>
        <v>0</v>
      </c>
      <c r="AW24" s="305" t="str">
        <f t="shared" si="22"/>
        <v/>
      </c>
      <c r="AX24" s="305">
        <f>IF($J24="",#N/A,SUM(AW$4:AW24))</f>
        <v>1.2290222546515868</v>
      </c>
      <c r="AY24" s="306" t="str">
        <f t="shared" si="23"/>
        <v/>
      </c>
      <c r="AZ24" s="306">
        <f>IF($J24="",#N/A,SUM(AY$4:AY24))</f>
        <v>2.4945770065075905</v>
      </c>
      <c r="BA24" s="306">
        <f>IF($J24="",#N/A,SUM(AY$4:AY24,AW$4:AW24,AU$4:AU24))</f>
        <v>3.7235992611591771</v>
      </c>
      <c r="BB24" s="304" t="str">
        <f t="shared" si="24"/>
        <v/>
      </c>
      <c r="BC24" s="304">
        <f>IF($J24="",#N/A,SUM(BB$4:BB24))</f>
        <v>0</v>
      </c>
      <c r="BD24" s="305" t="str">
        <f t="shared" si="25"/>
        <v/>
      </c>
      <c r="BE24" s="305">
        <f>IF($J24="",#N/A,SUM(BD$4:BD24))</f>
        <v>0</v>
      </c>
      <c r="BF24" s="306" t="str">
        <f t="shared" si="26"/>
        <v/>
      </c>
      <c r="BG24" s="306">
        <f>IF($J24="",#N/A,SUM(BF$4:BF24))</f>
        <v>0</v>
      </c>
      <c r="BH24" s="306">
        <f>IF($J24="",#N/A,SUM(BF$4:BF24,BD$4:BD24,BB$4:BB24))</f>
        <v>0</v>
      </c>
      <c r="BI24" s="304" t="str">
        <f t="shared" si="27"/>
        <v/>
      </c>
      <c r="BJ24" s="304">
        <f>IF($J24="",#N/A,SUM(BI$4:BI24))</f>
        <v>-0.93471713888646701</v>
      </c>
      <c r="BK24" s="305" t="str">
        <f t="shared" si="28"/>
        <v/>
      </c>
      <c r="BL24" s="305">
        <f>IF($J24="",#N/A,SUM(BK$4:BK24))</f>
        <v>0</v>
      </c>
      <c r="BM24" s="306">
        <f t="shared" si="29"/>
        <v>0.15835312747426875</v>
      </c>
      <c r="BN24" s="306">
        <f>IF($J24="",#N/A,SUM(BM$4:BM24))</f>
        <v>3.6209888745868852</v>
      </c>
      <c r="BO24" s="306">
        <f>IF($J24="",#N/A,SUM(BM$4:BM24,BK$4:BK24,BI$4:BI24))</f>
        <v>2.6862717357004171</v>
      </c>
      <c r="BP24" s="304" t="str">
        <f t="shared" si="30"/>
        <v/>
      </c>
      <c r="BQ24" s="304">
        <f>IF($J24="",#N/A,SUM(BP$4:BP24))</f>
        <v>0.96873982416150761</v>
      </c>
      <c r="BR24" s="305" t="str">
        <f t="shared" si="31"/>
        <v/>
      </c>
      <c r="BS24" s="305">
        <f>IF($J24="",#N/A,SUM(BR$4:BR24))</f>
        <v>-0.34773304801390975</v>
      </c>
      <c r="BT24" s="306" t="str">
        <f t="shared" si="32"/>
        <v/>
      </c>
      <c r="BU24" s="306">
        <f>IF($J24="",#N/A,SUM(BT$4:BT24))</f>
        <v>-1.0025062656641595</v>
      </c>
      <c r="BV24" s="306">
        <f>IF($J24="",#N/A,SUM(BT$4:BT24,BR$4:BR24,BP$4:BP24))</f>
        <v>-0.38149948951656165</v>
      </c>
      <c r="BW24" s="304" t="str">
        <f t="shared" si="33"/>
        <v/>
      </c>
      <c r="BX24" s="304">
        <f>IF($J24="",#N/A,SUM(BW$4:BW24))</f>
        <v>0</v>
      </c>
      <c r="BY24" s="305" t="str">
        <f t="shared" si="34"/>
        <v/>
      </c>
      <c r="BZ24" s="305">
        <f>IF($J24="",#N/A,SUM(BY$4:BY24))</f>
        <v>0</v>
      </c>
      <c r="CA24" s="306" t="str">
        <f t="shared" si="35"/>
        <v/>
      </c>
      <c r="CB24" s="306">
        <f>IF($J24="",#N/A,SUM(CA$4:CA24))</f>
        <v>0</v>
      </c>
      <c r="CC24" s="306">
        <f>IF($J24="",#N/A,SUM(CA$4:CA24,BY$4:BY24,BW$4:BW24))</f>
        <v>0</v>
      </c>
      <c r="CD24" s="304" t="str">
        <f t="shared" si="36"/>
        <v/>
      </c>
      <c r="CE24" s="304">
        <f>IF($J24="",#N/A,SUM(CD$4:CD24))</f>
        <v>0</v>
      </c>
      <c r="CF24" s="305" t="str">
        <f t="shared" si="37"/>
        <v/>
      </c>
      <c r="CG24" s="305">
        <f>IF($J24="",#N/A,SUM(CF$4:CF24))</f>
        <v>0</v>
      </c>
      <c r="CH24" s="306" t="str">
        <f t="shared" si="38"/>
        <v/>
      </c>
      <c r="CI24" s="306">
        <f>IF($J24="",#N/A,SUM(CH$4:CH24))</f>
        <v>0</v>
      </c>
      <c r="CJ24" s="306">
        <f>IF($J24="",#N/A,SUM(CH$4:CH24,CF$4:CF24,CD$4:CD24))</f>
        <v>0</v>
      </c>
      <c r="CK24" s="304" t="str">
        <f t="shared" si="39"/>
        <v/>
      </c>
      <c r="CL24" s="304">
        <f>IF($J24="",#N/A,SUM(CK$4:CK24))</f>
        <v>0</v>
      </c>
      <c r="CM24" s="305" t="str">
        <f t="shared" si="40"/>
        <v/>
      </c>
      <c r="CN24" s="305">
        <f>IF($J24="",#N/A,SUM(CM$4:CM24))</f>
        <v>0</v>
      </c>
      <c r="CO24" s="306" t="str">
        <f t="shared" si="41"/>
        <v/>
      </c>
      <c r="CP24" s="306">
        <f>IF($J24="",#N/A,SUM(CO$4:CO24))</f>
        <v>0</v>
      </c>
      <c r="CQ24" s="306">
        <f>IF($J24="",#N/A,SUM(CO$4:CO24,CM$4:CM24,CK$4:CK24))</f>
        <v>0</v>
      </c>
      <c r="CR24" s="304" t="str">
        <f t="shared" si="42"/>
        <v/>
      </c>
      <c r="CS24" s="304">
        <f>IF($J24="",#N/A,SUM(CR$4:CR24))</f>
        <v>0</v>
      </c>
      <c r="CT24" s="305" t="str">
        <f t="shared" si="43"/>
        <v/>
      </c>
      <c r="CU24" s="305">
        <f>IF($J24="",#N/A,SUM(CT$4:CT24))</f>
        <v>-0.42995051512938903</v>
      </c>
      <c r="CV24" s="306" t="str">
        <f t="shared" si="44"/>
        <v/>
      </c>
      <c r="CW24" s="306">
        <f>IF($J24="",#N/A,SUM(CV$4:CV24))</f>
        <v>0</v>
      </c>
      <c r="CX24" s="306">
        <f>IF($J24="",#N/A,SUM(CV$4:CV24,CT$4:CT24,CR$4:CR24))</f>
        <v>-0.42995051512938903</v>
      </c>
      <c r="CY24" s="304" t="str">
        <f t="shared" si="45"/>
        <v/>
      </c>
      <c r="CZ24" s="304">
        <f>IF($J24="",#N/A,SUM(CY$4:CY24))</f>
        <v>0</v>
      </c>
      <c r="DA24" s="305" t="str">
        <f t="shared" si="46"/>
        <v/>
      </c>
      <c r="DB24" s="305">
        <f>IF($J24="",#N/A,SUM(DA$4:DA24))</f>
        <v>0</v>
      </c>
      <c r="DC24" s="306" t="str">
        <f t="shared" si="47"/>
        <v/>
      </c>
      <c r="DD24" s="306">
        <f>IF($J24="",#N/A,SUM(DC$4:DC24))</f>
        <v>0</v>
      </c>
      <c r="DE24" s="306">
        <f>IF($J24="",#N/A,SUM(DC$4:DC24,DA$4:DA24,CY$4:CY24))</f>
        <v>0</v>
      </c>
      <c r="DF24" s="304" t="str">
        <f t="shared" si="48"/>
        <v/>
      </c>
      <c r="DG24" s="304">
        <f>IF($J24="",#N/A,SUM(DF$4:DF24))</f>
        <v>0</v>
      </c>
      <c r="DH24" s="305" t="str">
        <f t="shared" si="49"/>
        <v/>
      </c>
      <c r="DI24" s="305">
        <f>IF($J24="",#N/A,SUM(DH$4:DH24))</f>
        <v>0</v>
      </c>
      <c r="DJ24" s="306" t="str">
        <f t="shared" si="50"/>
        <v/>
      </c>
      <c r="DK24" s="306">
        <f>IF($J24="",#N/A,SUM(DJ$4:DJ24))</f>
        <v>0</v>
      </c>
      <c r="DL24" s="306">
        <f>IF($J24="",#N/A,SUM(DJ$4:DJ24,DH$4:DH24,DF$4:DF24))</f>
        <v>0</v>
      </c>
      <c r="DM24" s="304" t="str">
        <f t="shared" si="51"/>
        <v/>
      </c>
      <c r="DN24" s="304">
        <f>IF($J24="",#N/A,SUM(DM$4:DM24))</f>
        <v>0</v>
      </c>
      <c r="DO24" s="305" t="str">
        <f t="shared" si="52"/>
        <v/>
      </c>
      <c r="DP24" s="305">
        <f>IF($J24="",#N/A,SUM(DO$4:DO24))</f>
        <v>0</v>
      </c>
      <c r="DQ24" s="306" t="str">
        <f t="shared" si="53"/>
        <v/>
      </c>
      <c r="DR24" s="306">
        <f>IF($J24="",#N/A,SUM(DQ$4:DQ24))</f>
        <v>0</v>
      </c>
      <c r="DS24" s="306">
        <f>IF($J24="",#N/A,SUM(DQ$4:DQ24,DO$4:DO24,DM$4:DM24))</f>
        <v>0</v>
      </c>
      <c r="DT24" s="304" t="str">
        <f t="shared" si="54"/>
        <v/>
      </c>
      <c r="DU24" s="304">
        <f>IF($J24="",#N/A,SUM(DT$4:DT24))</f>
        <v>0</v>
      </c>
      <c r="DV24" s="305" t="str">
        <f t="shared" si="55"/>
        <v/>
      </c>
      <c r="DW24" s="305">
        <f>IF($J24="",#N/A,SUM(DV$4:DV24))</f>
        <v>0.40085630512924314</v>
      </c>
      <c r="DX24" s="306" t="str">
        <f t="shared" si="56"/>
        <v/>
      </c>
      <c r="DY24" s="306">
        <f>IF($J24="",#N/A,SUM(DX$4:DX24))</f>
        <v>0</v>
      </c>
      <c r="DZ24" s="306">
        <f>IF($J24="",#N/A,SUM(DX$4:DX24,DV$4:DV24,DT$4:DT24))</f>
        <v>0.40085630512924314</v>
      </c>
      <c r="EA24" s="304" t="str">
        <f t="shared" si="57"/>
        <v/>
      </c>
      <c r="EB24" s="304">
        <f>IF($J24="",#N/A,SUM(EA$4:EA24))</f>
        <v>0</v>
      </c>
      <c r="EC24" s="305" t="str">
        <f t="shared" si="58"/>
        <v/>
      </c>
      <c r="ED24" s="305">
        <f>IF($J24="",#N/A,SUM(EC$4:EC24))</f>
        <v>0</v>
      </c>
      <c r="EE24" s="306" t="str">
        <f t="shared" si="59"/>
        <v/>
      </c>
      <c r="EF24" s="306">
        <f>IF($J24="",#N/A,SUM(EE$4:EE24))</f>
        <v>0</v>
      </c>
      <c r="EG24" s="306">
        <f>IF($J24="",#N/A,SUM(EE$4:EE24,EC$4:EC24,EA$4:EA24))</f>
        <v>0</v>
      </c>
      <c r="EH24" s="223">
        <f t="shared" si="60"/>
        <v>3.8004750593824497</v>
      </c>
      <c r="EI24" s="224">
        <f>IF(EH24="",#N/A,SUM($EH$4:EH24))</f>
        <v>143.98265513622931</v>
      </c>
      <c r="EJ24" s="223">
        <f t="shared" si="61"/>
        <v>4.0380047505938705</v>
      </c>
      <c r="EK24" s="63">
        <f>IF($GZ24="",#N/A,SUM(EJ$4:EJ24))</f>
        <v>327.98011929636152</v>
      </c>
      <c r="EL24" s="60">
        <f t="shared" si="97"/>
        <v>0.15835312747426875</v>
      </c>
      <c r="EM24" s="60">
        <f>IF(EL24="",NA(),SUM($EL$4:EL24))</f>
        <v>5.9992772973428892</v>
      </c>
      <c r="EN24" s="60" t="str">
        <f t="shared" si="62"/>
        <v/>
      </c>
      <c r="EO24" s="60" t="e">
        <f>IF(EN24="",NA(),SUM($EN$4:EN24))</f>
        <v>#N/A</v>
      </c>
      <c r="EP24" s="60">
        <f t="shared" si="63"/>
        <v>0.15835312747426875</v>
      </c>
      <c r="EQ24" s="60">
        <f>IF(EP24="",NA(),SUM($EP$4:EP24))</f>
        <v>5.1130596154303163</v>
      </c>
      <c r="ER24" s="60" t="str">
        <f t="shared" si="64"/>
        <v/>
      </c>
      <c r="ES24" s="60" t="e">
        <f>IF(ER24="",NA(),SUM($ER$4:ER24))</f>
        <v>#N/A</v>
      </c>
      <c r="ET24" s="60" t="str">
        <f t="shared" si="65"/>
        <v/>
      </c>
      <c r="EU24" s="60" t="e">
        <f>IF(ET24="",NA(),SUM($ET$4:ET24))</f>
        <v>#N/A</v>
      </c>
      <c r="EV24" s="60" t="str">
        <f t="shared" si="66"/>
        <v/>
      </c>
      <c r="EW24" s="60" t="e">
        <f>IF(EV24="",NA(),SUM($EV$4:EV24))</f>
        <v>#N/A</v>
      </c>
      <c r="EX24" s="60" t="str">
        <f t="shared" si="67"/>
        <v/>
      </c>
      <c r="EY24" s="60" t="e">
        <f>IF(EX24="",NA(),SUM($EX$4:EX24))</f>
        <v>#N/A</v>
      </c>
      <c r="EZ24" s="60" t="str">
        <f t="shared" si="68"/>
        <v/>
      </c>
      <c r="FA24" s="60" t="e">
        <f>IF(EZ24="",NA(),SUM($EZ$4:EZ24))</f>
        <v>#N/A</v>
      </c>
      <c r="FB24" s="246" t="str">
        <f t="shared" si="98"/>
        <v/>
      </c>
      <c r="FC24" s="246" t="e">
        <f>IF($FB24="",#N/A,SUM(FB$4:$FB24))</f>
        <v>#N/A</v>
      </c>
      <c r="FD24" s="60" t="str">
        <f t="shared" si="69"/>
        <v/>
      </c>
      <c r="FE24" s="60" t="e">
        <f>IF($FD24="",#N/A,SUM($FD$4:FD24))</f>
        <v>#N/A</v>
      </c>
      <c r="FF24" s="60" t="str">
        <f t="shared" si="70"/>
        <v/>
      </c>
      <c r="FG24" s="60" t="e">
        <f>IF($FF24="",#N/A,SUM($FF$4:FF24))</f>
        <v>#N/A</v>
      </c>
      <c r="FH24" s="60" t="str">
        <f t="shared" si="71"/>
        <v/>
      </c>
      <c r="FI24" s="60" t="e">
        <f>IF($FH24="",#N/A,SUM($FH$4:FH24))</f>
        <v>#N/A</v>
      </c>
      <c r="FJ24" s="60">
        <f t="shared" si="72"/>
        <v>9.8970704671425269E-3</v>
      </c>
      <c r="FK24" s="60">
        <f>IF($FJ24="",#N/A,SUM($FJ$4:FJ24))</f>
        <v>3.3341781056669051</v>
      </c>
      <c r="FL24" s="60" t="str">
        <f t="shared" si="73"/>
        <v/>
      </c>
      <c r="FM24" s="60" t="e">
        <f>IF($FL24="",#N/A,SUM($FL$4:FL24))</f>
        <v>#N/A</v>
      </c>
      <c r="FN24" s="82">
        <f t="shared" si="74"/>
        <v>0.16825019794141127</v>
      </c>
      <c r="FO24" s="82">
        <f>IF($FN24="",#N/A,SUM(FN$4:$FN24))</f>
        <v>13.665838304015063</v>
      </c>
      <c r="FP24" s="82">
        <f t="shared" si="99"/>
        <v>0.15835312747426875</v>
      </c>
      <c r="FQ24" s="246">
        <f>IF($EH24="",#N/A,SUM($FP$4:FP24))</f>
        <v>5.9992772973428892</v>
      </c>
      <c r="FR24" s="99"/>
      <c r="FS24" s="99"/>
      <c r="FT24" s="99"/>
      <c r="FU24" s="82" t="e">
        <v>#N/A</v>
      </c>
      <c r="FV24" s="57" t="str">
        <f t="shared" si="75"/>
        <v>SW</v>
      </c>
      <c r="FW24" s="57" t="s">
        <v>2732</v>
      </c>
      <c r="FX24" s="57" t="str">
        <f t="shared" si="76"/>
        <v/>
      </c>
      <c r="FY24" s="57" t="str">
        <f t="shared" si="77"/>
        <v/>
      </c>
      <c r="FZ24" s="57">
        <f t="shared" si="78"/>
        <v>1</v>
      </c>
      <c r="GA24" s="57" t="str">
        <f t="shared" si="79"/>
        <v>Long</v>
      </c>
      <c r="GB24" s="57" t="str">
        <f t="shared" si="80"/>
        <v/>
      </c>
      <c r="GC24" s="57" t="str">
        <f t="shared" si="81"/>
        <v/>
      </c>
      <c r="GD24" s="57" t="str">
        <f t="shared" si="82"/>
        <v/>
      </c>
      <c r="GE24" s="62">
        <f t="shared" si="83"/>
        <v>16.84</v>
      </c>
      <c r="GF24" s="62" t="s">
        <v>2779</v>
      </c>
      <c r="GG24" s="199">
        <f t="shared" si="84"/>
        <v>23.752969121140143</v>
      </c>
      <c r="GH24" s="207">
        <f t="shared" si="85"/>
        <v>400</v>
      </c>
      <c r="GI24" s="199">
        <f t="shared" si="86"/>
        <v>23.752969121140143</v>
      </c>
      <c r="GJ24" s="200">
        <f t="shared" si="87"/>
        <v>17</v>
      </c>
      <c r="GK24" s="63">
        <f t="shared" si="88"/>
        <v>3.8004750593824497</v>
      </c>
      <c r="GL24" s="63">
        <f t="shared" si="89"/>
        <v>4.0380047505938705</v>
      </c>
      <c r="GM24" s="82">
        <f t="shared" si="90"/>
        <v>0.16825019794141127</v>
      </c>
      <c r="GN24" s="82">
        <f>IF($GZ24="",#N/A,SUM(GM$4:GM24))</f>
        <v>8.2189885266826117</v>
      </c>
      <c r="GO24" s="82" t="str">
        <f t="shared" si="91"/>
        <v/>
      </c>
      <c r="GP24" s="82">
        <f>IF($GZ24="",#N/A,SUM(GO$4:GO24))</f>
        <v>2.8939829164180333</v>
      </c>
      <c r="GQ24" s="82" t="str">
        <f t="shared" si="92"/>
        <v/>
      </c>
      <c r="GR24" s="82">
        <f>IF($GZ24="",#N/A,SUM(GQ$4:GQ24))</f>
        <v>2.5528668609144187</v>
      </c>
      <c r="GS24" s="63">
        <f t="shared" si="100"/>
        <v>4.0380047505938705</v>
      </c>
      <c r="GT24" s="63">
        <f>IF($GZ24="",#N/A,SUM(GS$4:GS24))</f>
        <v>197.25572464038271</v>
      </c>
      <c r="GU24" s="63" t="str">
        <f t="shared" si="101"/>
        <v/>
      </c>
      <c r="GV24" s="63">
        <f>IF($GZ24="",#N/A,SUM(GU$4:GU24))</f>
        <v>69.455589994032778</v>
      </c>
      <c r="GW24" s="62" t="str">
        <f t="shared" si="102"/>
        <v/>
      </c>
      <c r="GX24" s="63">
        <f>IF($GZ24="",#N/A,SUM(GW$4:GW24))</f>
        <v>61.268804661946035</v>
      </c>
      <c r="GY24" s="63">
        <f>IF(EJ24="",#N/A,SUM($EJ$4:EJ24))</f>
        <v>327.98011929636152</v>
      </c>
      <c r="GZ24" s="159">
        <v>17.010000000000002</v>
      </c>
      <c r="HA24" s="63">
        <f t="shared" si="93"/>
        <v>0.23752969121142087</v>
      </c>
      <c r="HB24" s="62" t="s">
        <v>4970</v>
      </c>
      <c r="HC24" s="60">
        <f>IFERROR(VLOOKUP(E24,Expectancy!$P$4:$S$19,1+C24,FALSE),"")</f>
        <v>9.9793136114217987E-2</v>
      </c>
      <c r="HD24" s="60" t="str">
        <f t="shared" si="94"/>
        <v/>
      </c>
      <c r="HE24" s="60" t="e">
        <f>IF(HD24="",#N/A,SUM($HD$4:HD24))</f>
        <v>#N/A</v>
      </c>
      <c r="HF24" s="64" t="e">
        <f>IF(HD24="",#N/A,IF(HB24="Skip",#N/A,SUM($HG$4:HG24)))</f>
        <v>#N/A</v>
      </c>
      <c r="HG24" s="63" t="str">
        <f t="shared" si="95"/>
        <v/>
      </c>
      <c r="HH24" s="82">
        <f t="shared" si="96"/>
        <v>0.16825019794141127</v>
      </c>
    </row>
    <row r="25" spans="1:216" x14ac:dyDescent="0.25">
      <c r="A25" s="57" t="s">
        <v>1507</v>
      </c>
      <c r="B25" s="58" t="s">
        <v>5093</v>
      </c>
      <c r="C25" s="386">
        <f t="shared" si="0"/>
        <v>3</v>
      </c>
      <c r="D25" s="372" t="str">
        <f>_xlfn.XLOOKUP(A25,[1]SP500!$A$2:$A$502,[1]SP500!$D$2:$D$502,"N")</f>
        <v>Y</v>
      </c>
      <c r="E25" s="57" t="str">
        <f>_xlfn.XLOOKUP(A25,[1]SP500!$A$2:$A$655,[1]SP500!$B$2:$B$655)</f>
        <v>XLF</v>
      </c>
      <c r="F25" s="59">
        <v>45674</v>
      </c>
      <c r="G25" s="57" t="str">
        <f t="shared" si="1"/>
        <v>BMO</v>
      </c>
      <c r="H25" s="57" t="str">
        <f t="shared" si="2"/>
        <v>o</v>
      </c>
      <c r="I25" s="159">
        <v>24.52</v>
      </c>
      <c r="J25" s="159">
        <v>25.12</v>
      </c>
      <c r="K25" s="61">
        <f t="shared" si="3"/>
        <v>2.4469820554649323E-2</v>
      </c>
      <c r="L25" s="87">
        <f t="shared" si="4"/>
        <v>9.7879282218597154</v>
      </c>
      <c r="M25" s="63" t="str">
        <f t="shared" si="5"/>
        <v/>
      </c>
      <c r="N25" s="219" t="str">
        <f t="shared" si="6"/>
        <v/>
      </c>
      <c r="O25" s="219">
        <f>IF($J25="",#N/A,SUM($N$4:N25))</f>
        <v>0.8165444466009717</v>
      </c>
      <c r="P25" s="220" t="str">
        <f t="shared" si="7"/>
        <v/>
      </c>
      <c r="Q25" s="220">
        <f>IF($J25="",#N/A,SUM($P$4:P25))</f>
        <v>20.452679919300749</v>
      </c>
      <c r="R25" s="221">
        <f t="shared" si="8"/>
        <v>9.7879282218597154</v>
      </c>
      <c r="S25" s="222">
        <f>IF($J25="",#N/A,SUM($R$4:R25))</f>
        <v>132.50135899218731</v>
      </c>
      <c r="T25" s="281" t="str">
        <f t="shared" si="9"/>
        <v/>
      </c>
      <c r="U25" s="281">
        <f>IF($J25="",#N/A,SUM($T$4:T25))</f>
        <v>3.4022685275040598E-2</v>
      </c>
      <c r="V25" s="282" t="str">
        <f t="shared" si="10"/>
        <v/>
      </c>
      <c r="W25" s="282">
        <f>IF($J25="",#N/A,SUM($V$4:V25))</f>
        <v>0.85219499663753107</v>
      </c>
      <c r="X25" s="283">
        <f t="shared" si="11"/>
        <v>0.40783034257748813</v>
      </c>
      <c r="Y25" s="283">
        <f>IF($J25="",#N/A,SUM($X$4:X25))</f>
        <v>5.5208899580078041</v>
      </c>
      <c r="Z25" s="304" t="str">
        <f t="shared" si="12"/>
        <v/>
      </c>
      <c r="AA25" s="304">
        <f>IF($J25="",#N/A,SUM(Z$4:Z25))</f>
        <v>0</v>
      </c>
      <c r="AB25" s="305" t="str">
        <f t="shared" si="13"/>
        <v/>
      </c>
      <c r="AC25" s="305">
        <f>IF($J25="",#N/A,SUM(AB$4:AB25))</f>
        <v>0</v>
      </c>
      <c r="AD25" s="306" t="str">
        <f t="shared" si="14"/>
        <v/>
      </c>
      <c r="AE25" s="306">
        <f>IF($J25="",#N/A,SUM(AD$4:AD25))</f>
        <v>0</v>
      </c>
      <c r="AF25" s="306">
        <f>IF($J25="",#N/A,SUM(AD$4:AD25,AB$4:AB25,Z$4:Z25))</f>
        <v>0</v>
      </c>
      <c r="AG25" s="304" t="str">
        <f t="shared" si="15"/>
        <v/>
      </c>
      <c r="AH25" s="304">
        <f>IF($J25="",#N/A,SUM(AG$4:AG25))</f>
        <v>0</v>
      </c>
      <c r="AI25" s="305" t="str">
        <f t="shared" si="16"/>
        <v/>
      </c>
      <c r="AJ25" s="305">
        <f>IF($J25="",#N/A,SUM(AI$4:AI25))</f>
        <v>0</v>
      </c>
      <c r="AK25" s="306" t="str">
        <f t="shared" si="17"/>
        <v/>
      </c>
      <c r="AL25" s="306">
        <f>IF($J25="",#N/A,SUM(AK$4:AK25))</f>
        <v>0</v>
      </c>
      <c r="AM25" s="306">
        <f>IF($J25="",#N/A,SUM(AK$4:AK25,AI$4:AI25,AG$4:AG25))</f>
        <v>0</v>
      </c>
      <c r="AN25" s="304" t="str">
        <f t="shared" si="18"/>
        <v/>
      </c>
      <c r="AO25" s="304">
        <f>IF($J25="",#N/A,SUM(AN$4:AN25))</f>
        <v>0</v>
      </c>
      <c r="AP25" s="305" t="str">
        <f t="shared" si="19"/>
        <v/>
      </c>
      <c r="AQ25" s="305">
        <f>IF($J25="",#N/A,SUM(AP$4:AP25))</f>
        <v>0</v>
      </c>
      <c r="AR25" s="306" t="str">
        <f t="shared" si="20"/>
        <v/>
      </c>
      <c r="AS25" s="306">
        <f>IF($J25="",#N/A,SUM(AR$4:AR25))</f>
        <v>0</v>
      </c>
      <c r="AT25" s="306">
        <f>IF($J25="",#N/A,SUM(AR$4:AR25,AP$4:AP25,AN$4:AN25))</f>
        <v>0</v>
      </c>
      <c r="AU25" s="304" t="str">
        <f t="shared" si="21"/>
        <v/>
      </c>
      <c r="AV25" s="304">
        <f>IF($J25="",#N/A,SUM(AU$4:AU25))</f>
        <v>0</v>
      </c>
      <c r="AW25" s="305" t="str">
        <f t="shared" si="22"/>
        <v/>
      </c>
      <c r="AX25" s="305">
        <f>IF($J25="",#N/A,SUM(AW$4:AW25))</f>
        <v>1.2290222546515868</v>
      </c>
      <c r="AY25" s="306" t="str">
        <f t="shared" si="23"/>
        <v/>
      </c>
      <c r="AZ25" s="306">
        <f>IF($J25="",#N/A,SUM(AY$4:AY25))</f>
        <v>2.4945770065075905</v>
      </c>
      <c r="BA25" s="306">
        <f>IF($J25="",#N/A,SUM(AY$4:AY25,AW$4:AW25,AU$4:AU25))</f>
        <v>3.7235992611591771</v>
      </c>
      <c r="BB25" s="304" t="str">
        <f t="shared" si="24"/>
        <v/>
      </c>
      <c r="BC25" s="304">
        <f>IF($J25="",#N/A,SUM(BB$4:BB25))</f>
        <v>0</v>
      </c>
      <c r="BD25" s="305" t="str">
        <f t="shared" si="25"/>
        <v/>
      </c>
      <c r="BE25" s="305">
        <f>IF($J25="",#N/A,SUM(BD$4:BD25))</f>
        <v>0</v>
      </c>
      <c r="BF25" s="306" t="str">
        <f t="shared" si="26"/>
        <v/>
      </c>
      <c r="BG25" s="306">
        <f>IF($J25="",#N/A,SUM(BF$4:BF25))</f>
        <v>0</v>
      </c>
      <c r="BH25" s="306">
        <f>IF($J25="",#N/A,SUM(BF$4:BF25,BD$4:BD25,BB$4:BB25))</f>
        <v>0</v>
      </c>
      <c r="BI25" s="304" t="str">
        <f t="shared" si="27"/>
        <v/>
      </c>
      <c r="BJ25" s="304">
        <f>IF($J25="",#N/A,SUM(BI$4:BI25))</f>
        <v>-0.93471713888646701</v>
      </c>
      <c r="BK25" s="305" t="str">
        <f t="shared" si="28"/>
        <v/>
      </c>
      <c r="BL25" s="305">
        <f>IF($J25="",#N/A,SUM(BK$4:BK25))</f>
        <v>0</v>
      </c>
      <c r="BM25" s="306">
        <f t="shared" si="29"/>
        <v>0.40783034257748813</v>
      </c>
      <c r="BN25" s="306">
        <f>IF($J25="",#N/A,SUM(BM$4:BM25))</f>
        <v>4.0288192171643731</v>
      </c>
      <c r="BO25" s="306">
        <f>IF($J25="",#N/A,SUM(BM$4:BM25,BK$4:BK25,BI$4:BI25))</f>
        <v>3.0941020782779063</v>
      </c>
      <c r="BP25" s="304" t="str">
        <f t="shared" si="30"/>
        <v/>
      </c>
      <c r="BQ25" s="304">
        <f>IF($J25="",#N/A,SUM(BP$4:BP25))</f>
        <v>0.96873982416150761</v>
      </c>
      <c r="BR25" s="305" t="str">
        <f t="shared" si="31"/>
        <v/>
      </c>
      <c r="BS25" s="305">
        <f>IF($J25="",#N/A,SUM(BR$4:BR25))</f>
        <v>-0.34773304801390975</v>
      </c>
      <c r="BT25" s="306" t="str">
        <f t="shared" si="32"/>
        <v/>
      </c>
      <c r="BU25" s="306">
        <f>IF($J25="",#N/A,SUM(BT$4:BT25))</f>
        <v>-1.0025062656641595</v>
      </c>
      <c r="BV25" s="306">
        <f>IF($J25="",#N/A,SUM(BT$4:BT25,BR$4:BR25,BP$4:BP25))</f>
        <v>-0.38149948951656165</v>
      </c>
      <c r="BW25" s="304" t="str">
        <f t="shared" si="33"/>
        <v/>
      </c>
      <c r="BX25" s="304">
        <f>IF($J25="",#N/A,SUM(BW$4:BW25))</f>
        <v>0</v>
      </c>
      <c r="BY25" s="305" t="str">
        <f t="shared" si="34"/>
        <v/>
      </c>
      <c r="BZ25" s="305">
        <f>IF($J25="",#N/A,SUM(BY$4:BY25))</f>
        <v>0</v>
      </c>
      <c r="CA25" s="306" t="str">
        <f t="shared" si="35"/>
        <v/>
      </c>
      <c r="CB25" s="306">
        <f>IF($J25="",#N/A,SUM(CA$4:CA25))</f>
        <v>0</v>
      </c>
      <c r="CC25" s="306">
        <f>IF($J25="",#N/A,SUM(CA$4:CA25,BY$4:BY25,BW$4:BW25))</f>
        <v>0</v>
      </c>
      <c r="CD25" s="304" t="str">
        <f t="shared" si="36"/>
        <v/>
      </c>
      <c r="CE25" s="304">
        <f>IF($J25="",#N/A,SUM(CD$4:CD25))</f>
        <v>0</v>
      </c>
      <c r="CF25" s="305" t="str">
        <f t="shared" si="37"/>
        <v/>
      </c>
      <c r="CG25" s="305">
        <f>IF($J25="",#N/A,SUM(CF$4:CF25))</f>
        <v>0</v>
      </c>
      <c r="CH25" s="306" t="str">
        <f t="shared" si="38"/>
        <v/>
      </c>
      <c r="CI25" s="306">
        <f>IF($J25="",#N/A,SUM(CH$4:CH25))</f>
        <v>0</v>
      </c>
      <c r="CJ25" s="306">
        <f>IF($J25="",#N/A,SUM(CH$4:CH25,CF$4:CF25,CD$4:CD25))</f>
        <v>0</v>
      </c>
      <c r="CK25" s="304" t="str">
        <f t="shared" si="39"/>
        <v/>
      </c>
      <c r="CL25" s="304">
        <f>IF($J25="",#N/A,SUM(CK$4:CK25))</f>
        <v>0</v>
      </c>
      <c r="CM25" s="305" t="str">
        <f t="shared" si="40"/>
        <v/>
      </c>
      <c r="CN25" s="305">
        <f>IF($J25="",#N/A,SUM(CM$4:CM25))</f>
        <v>0</v>
      </c>
      <c r="CO25" s="306" t="str">
        <f t="shared" si="41"/>
        <v/>
      </c>
      <c r="CP25" s="306">
        <f>IF($J25="",#N/A,SUM(CO$4:CO25))</f>
        <v>0</v>
      </c>
      <c r="CQ25" s="306">
        <f>IF($J25="",#N/A,SUM(CO$4:CO25,CM$4:CM25,CK$4:CK25))</f>
        <v>0</v>
      </c>
      <c r="CR25" s="304" t="str">
        <f t="shared" si="42"/>
        <v/>
      </c>
      <c r="CS25" s="304">
        <f>IF($J25="",#N/A,SUM(CR$4:CR25))</f>
        <v>0</v>
      </c>
      <c r="CT25" s="305" t="str">
        <f t="shared" si="43"/>
        <v/>
      </c>
      <c r="CU25" s="305">
        <f>IF($J25="",#N/A,SUM(CT$4:CT25))</f>
        <v>-0.42995051512938903</v>
      </c>
      <c r="CV25" s="306" t="str">
        <f t="shared" si="44"/>
        <v/>
      </c>
      <c r="CW25" s="306">
        <f>IF($J25="",#N/A,SUM(CV$4:CV25))</f>
        <v>0</v>
      </c>
      <c r="CX25" s="306">
        <f>IF($J25="",#N/A,SUM(CV$4:CV25,CT$4:CT25,CR$4:CR25))</f>
        <v>-0.42995051512938903</v>
      </c>
      <c r="CY25" s="304" t="str">
        <f t="shared" si="45"/>
        <v/>
      </c>
      <c r="CZ25" s="304">
        <f>IF($J25="",#N/A,SUM(CY$4:CY25))</f>
        <v>0</v>
      </c>
      <c r="DA25" s="305" t="str">
        <f t="shared" si="46"/>
        <v/>
      </c>
      <c r="DB25" s="305">
        <f>IF($J25="",#N/A,SUM(DA$4:DA25))</f>
        <v>0</v>
      </c>
      <c r="DC25" s="306" t="str">
        <f t="shared" si="47"/>
        <v/>
      </c>
      <c r="DD25" s="306">
        <f>IF($J25="",#N/A,SUM(DC$4:DC25))</f>
        <v>0</v>
      </c>
      <c r="DE25" s="306">
        <f>IF($J25="",#N/A,SUM(DC$4:DC25,DA$4:DA25,CY$4:CY25))</f>
        <v>0</v>
      </c>
      <c r="DF25" s="304" t="str">
        <f t="shared" si="48"/>
        <v/>
      </c>
      <c r="DG25" s="304">
        <f>IF($J25="",#N/A,SUM(DF$4:DF25))</f>
        <v>0</v>
      </c>
      <c r="DH25" s="305" t="str">
        <f t="shared" si="49"/>
        <v/>
      </c>
      <c r="DI25" s="305">
        <f>IF($J25="",#N/A,SUM(DH$4:DH25))</f>
        <v>0</v>
      </c>
      <c r="DJ25" s="306" t="str">
        <f t="shared" si="50"/>
        <v/>
      </c>
      <c r="DK25" s="306">
        <f>IF($J25="",#N/A,SUM(DJ$4:DJ25))</f>
        <v>0</v>
      </c>
      <c r="DL25" s="306">
        <f>IF($J25="",#N/A,SUM(DJ$4:DJ25,DH$4:DH25,DF$4:DF25))</f>
        <v>0</v>
      </c>
      <c r="DM25" s="304" t="str">
        <f t="shared" si="51"/>
        <v/>
      </c>
      <c r="DN25" s="304">
        <f>IF($J25="",#N/A,SUM(DM$4:DM25))</f>
        <v>0</v>
      </c>
      <c r="DO25" s="305" t="str">
        <f t="shared" si="52"/>
        <v/>
      </c>
      <c r="DP25" s="305">
        <f>IF($J25="",#N/A,SUM(DO$4:DO25))</f>
        <v>0</v>
      </c>
      <c r="DQ25" s="306" t="str">
        <f t="shared" si="53"/>
        <v/>
      </c>
      <c r="DR25" s="306">
        <f>IF($J25="",#N/A,SUM(DQ$4:DQ25))</f>
        <v>0</v>
      </c>
      <c r="DS25" s="306">
        <f>IF($J25="",#N/A,SUM(DQ$4:DQ25,DO$4:DO25,DM$4:DM25))</f>
        <v>0</v>
      </c>
      <c r="DT25" s="304" t="str">
        <f t="shared" si="54"/>
        <v/>
      </c>
      <c r="DU25" s="304">
        <f>IF($J25="",#N/A,SUM(DT$4:DT25))</f>
        <v>0</v>
      </c>
      <c r="DV25" s="305" t="str">
        <f t="shared" si="55"/>
        <v/>
      </c>
      <c r="DW25" s="305">
        <f>IF($J25="",#N/A,SUM(DV$4:DV25))</f>
        <v>0.40085630512924314</v>
      </c>
      <c r="DX25" s="306" t="str">
        <f t="shared" si="56"/>
        <v/>
      </c>
      <c r="DY25" s="306">
        <f>IF($J25="",#N/A,SUM(DX$4:DX25))</f>
        <v>0</v>
      </c>
      <c r="DZ25" s="306">
        <f>IF($J25="",#N/A,SUM(DX$4:DX25,DV$4:DV25,DT$4:DT25))</f>
        <v>0.40085630512924314</v>
      </c>
      <c r="EA25" s="304" t="str">
        <f t="shared" si="57"/>
        <v/>
      </c>
      <c r="EB25" s="304">
        <f>IF($J25="",#N/A,SUM(EA$4:EA25))</f>
        <v>0</v>
      </c>
      <c r="EC25" s="305" t="str">
        <f t="shared" si="58"/>
        <v/>
      </c>
      <c r="ED25" s="305">
        <f>IF($J25="",#N/A,SUM(EC$4:EC25))</f>
        <v>0</v>
      </c>
      <c r="EE25" s="306" t="str">
        <f t="shared" si="59"/>
        <v/>
      </c>
      <c r="EF25" s="306">
        <f>IF($J25="",#N/A,SUM(EE$4:EE25))</f>
        <v>0</v>
      </c>
      <c r="EG25" s="306">
        <f>IF($J25="",#N/A,SUM(EE$4:EE25,EC$4:EC25,EA$4:EA25))</f>
        <v>0</v>
      </c>
      <c r="EH25" s="223">
        <f t="shared" si="60"/>
        <v>9.7879282218597154</v>
      </c>
      <c r="EI25" s="224">
        <f>IF(EH25="",#N/A,SUM($EH$4:EH25))</f>
        <v>153.77058335808903</v>
      </c>
      <c r="EJ25" s="223">
        <f t="shared" si="61"/>
        <v>-5.2202283849918558</v>
      </c>
      <c r="EK25" s="63">
        <f>IF($GZ25="",#N/A,SUM(EJ$4:EJ25))</f>
        <v>322.75989091136967</v>
      </c>
      <c r="EL25" s="60">
        <f t="shared" si="97"/>
        <v>0.40783034257748813</v>
      </c>
      <c r="EM25" s="60">
        <f>IF(EL25="",NA(),SUM($EL$4:EL25))</f>
        <v>6.407107639920377</v>
      </c>
      <c r="EN25" s="60" t="str">
        <f t="shared" si="62"/>
        <v/>
      </c>
      <c r="EO25" s="60" t="e">
        <f>IF(EN25="",NA(),SUM($EN$4:EN25))</f>
        <v>#N/A</v>
      </c>
      <c r="EP25" s="60">
        <f t="shared" si="63"/>
        <v>0.40783034257748813</v>
      </c>
      <c r="EQ25" s="60">
        <f>IF(EP25="",NA(),SUM($EP$4:EP25))</f>
        <v>5.5208899580078041</v>
      </c>
      <c r="ER25" s="60" t="str">
        <f t="shared" si="64"/>
        <v/>
      </c>
      <c r="ES25" s="60" t="e">
        <f>IF(ER25="",NA(),SUM($ER$4:ER25))</f>
        <v>#N/A</v>
      </c>
      <c r="ET25" s="60" t="str">
        <f t="shared" si="65"/>
        <v/>
      </c>
      <c r="EU25" s="60" t="e">
        <f>IF(ET25="",NA(),SUM($ET$4:ET25))</f>
        <v>#N/A</v>
      </c>
      <c r="EV25" s="60" t="str">
        <f t="shared" si="66"/>
        <v/>
      </c>
      <c r="EW25" s="60" t="e">
        <f>IF(EV25="",NA(),SUM($EV$4:EV25))</f>
        <v>#N/A</v>
      </c>
      <c r="EX25" s="60" t="str">
        <f t="shared" si="67"/>
        <v/>
      </c>
      <c r="EY25" s="60" t="e">
        <f>IF(EX25="",NA(),SUM($EX$4:EX25))</f>
        <v>#N/A</v>
      </c>
      <c r="EZ25" s="60" t="str">
        <f t="shared" si="68"/>
        <v/>
      </c>
      <c r="FA25" s="60" t="e">
        <f>IF(EZ25="",NA(),SUM($EZ$4:EZ25))</f>
        <v>#N/A</v>
      </c>
      <c r="FB25" s="246" t="str">
        <f t="shared" si="98"/>
        <v/>
      </c>
      <c r="FC25" s="246" t="e">
        <f>IF($FB25="",#N/A,SUM(FB$4:$FB25))</f>
        <v>#N/A</v>
      </c>
      <c r="FD25" s="60" t="str">
        <f t="shared" si="69"/>
        <v/>
      </c>
      <c r="FE25" s="60" t="e">
        <f>IF($FD25="",#N/A,SUM($FD$4:FD25))</f>
        <v>#N/A</v>
      </c>
      <c r="FF25" s="60" t="str">
        <f t="shared" si="70"/>
        <v/>
      </c>
      <c r="FG25" s="60" t="e">
        <f>IF($FF25="",#N/A,SUM($FF$4:FF25))</f>
        <v>#N/A</v>
      </c>
      <c r="FH25" s="60" t="str">
        <f t="shared" si="71"/>
        <v/>
      </c>
      <c r="FI25" s="60" t="e">
        <f>IF($FH25="",#N/A,SUM($FH$4:FH25))</f>
        <v>#N/A</v>
      </c>
      <c r="FJ25" s="60">
        <f t="shared" si="72"/>
        <v>-0.62533985861881547</v>
      </c>
      <c r="FK25" s="60">
        <f>IF($FJ25="",#N/A,SUM($FJ$4:FJ25))</f>
        <v>2.7088382470480896</v>
      </c>
      <c r="FL25" s="60" t="str">
        <f t="shared" si="73"/>
        <v/>
      </c>
      <c r="FM25" s="60" t="e">
        <f>IF($FL25="",#N/A,SUM($FL$4:FL25))</f>
        <v>#N/A</v>
      </c>
      <c r="FN25" s="82">
        <f t="shared" si="74"/>
        <v>-0.21750951604132732</v>
      </c>
      <c r="FO25" s="82">
        <f>IF($FN25="",#N/A,SUM(FN$4:$FN25))</f>
        <v>13.448328787973736</v>
      </c>
      <c r="FP25" s="82">
        <f t="shared" si="99"/>
        <v>0.40783034257748813</v>
      </c>
      <c r="FQ25" s="246">
        <f>IF($EH25="",#N/A,SUM($FP$4:FP25))</f>
        <v>6.407107639920377</v>
      </c>
      <c r="FR25" s="99"/>
      <c r="FS25" s="99"/>
      <c r="FT25" s="99"/>
      <c r="FU25" s="82" t="e">
        <v>#N/A</v>
      </c>
      <c r="FV25" s="57" t="str">
        <f t="shared" si="75"/>
        <v>SW</v>
      </c>
      <c r="FW25" s="57" t="s">
        <v>2732</v>
      </c>
      <c r="FX25" s="57" t="str">
        <f t="shared" si="76"/>
        <v/>
      </c>
      <c r="FY25" s="57" t="str">
        <f t="shared" si="77"/>
        <v/>
      </c>
      <c r="FZ25" s="57">
        <f t="shared" si="78"/>
        <v>1</v>
      </c>
      <c r="GA25" s="57" t="str">
        <f t="shared" si="79"/>
        <v>Long</v>
      </c>
      <c r="GB25" s="57" t="str">
        <f t="shared" si="80"/>
        <v/>
      </c>
      <c r="GC25" s="57" t="str">
        <f t="shared" si="81"/>
        <v/>
      </c>
      <c r="GD25" s="57" t="str">
        <f t="shared" si="82"/>
        <v/>
      </c>
      <c r="GE25" s="62">
        <f t="shared" si="83"/>
        <v>24.52</v>
      </c>
      <c r="GF25" s="62" t="s">
        <v>2779</v>
      </c>
      <c r="GG25" s="199">
        <f t="shared" si="84"/>
        <v>16.31321370309951</v>
      </c>
      <c r="GH25" s="207">
        <f t="shared" si="85"/>
        <v>400</v>
      </c>
      <c r="GI25" s="199">
        <f t="shared" si="86"/>
        <v>16.31321370309951</v>
      </c>
      <c r="GJ25" s="200">
        <f t="shared" si="87"/>
        <v>25.12</v>
      </c>
      <c r="GK25" s="63">
        <f t="shared" si="88"/>
        <v>9.7879282218597154</v>
      </c>
      <c r="GL25" s="63">
        <f t="shared" si="89"/>
        <v>-5.2202283849918558</v>
      </c>
      <c r="GM25" s="82">
        <f t="shared" si="90"/>
        <v>-0.21750951604132732</v>
      </c>
      <c r="GN25" s="82">
        <f>IF($GZ25="",#N/A,SUM(GM$4:GM25))</f>
        <v>8.001479010641285</v>
      </c>
      <c r="GO25" s="82" t="str">
        <f t="shared" si="91"/>
        <v/>
      </c>
      <c r="GP25" s="82">
        <f>IF($GZ25="",#N/A,SUM(GO$4:GO25))</f>
        <v>2.8939829164180333</v>
      </c>
      <c r="GQ25" s="82" t="str">
        <f t="shared" si="92"/>
        <v/>
      </c>
      <c r="GR25" s="82">
        <f>IF($GZ25="",#N/A,SUM(GQ$4:GQ25))</f>
        <v>2.5528668609144187</v>
      </c>
      <c r="GS25" s="63">
        <f t="shared" si="100"/>
        <v>-5.2202283849918558</v>
      </c>
      <c r="GT25" s="63">
        <f>IF($GZ25="",#N/A,SUM(GS$4:GS25))</f>
        <v>192.03549625539085</v>
      </c>
      <c r="GU25" s="63" t="str">
        <f t="shared" si="101"/>
        <v/>
      </c>
      <c r="GV25" s="63">
        <f>IF($GZ25="",#N/A,SUM(GU$4:GU25))</f>
        <v>69.455589994032778</v>
      </c>
      <c r="GW25" s="62" t="str">
        <f t="shared" si="102"/>
        <v/>
      </c>
      <c r="GX25" s="63">
        <f>IF($GZ25="",#N/A,SUM(GW$4:GW25))</f>
        <v>61.268804661946035</v>
      </c>
      <c r="GY25" s="63">
        <f>IF(EJ25="",#N/A,SUM($EJ$4:EJ25))</f>
        <v>322.75989091136967</v>
      </c>
      <c r="GZ25" s="159">
        <v>24.2</v>
      </c>
      <c r="HA25" s="63">
        <f t="shared" si="93"/>
        <v>-15.008156606851571</v>
      </c>
      <c r="HB25" s="62" t="s">
        <v>4970</v>
      </c>
      <c r="HC25" s="60">
        <f>IFERROR(VLOOKUP(E25,Expectancy!$P$4:$S$19,1+C25,FALSE),"")</f>
        <v>9.9793136114217987E-2</v>
      </c>
      <c r="HD25" s="60" t="str">
        <f t="shared" si="94"/>
        <v/>
      </c>
      <c r="HE25" s="60" t="e">
        <f>IF(HD25="",#N/A,SUM($HD$4:HD25))</f>
        <v>#N/A</v>
      </c>
      <c r="HF25" s="64" t="e">
        <f>IF(HD25="",#N/A,IF(HB25="Skip",#N/A,SUM($HG$4:HG25)))</f>
        <v>#N/A</v>
      </c>
      <c r="HG25" s="63" t="str">
        <f t="shared" si="95"/>
        <v/>
      </c>
      <c r="HH25" s="82">
        <f t="shared" si="96"/>
        <v>-0.21750951604132732</v>
      </c>
    </row>
    <row r="26" spans="1:216" x14ac:dyDescent="0.25">
      <c r="A26" s="57" t="s">
        <v>1532</v>
      </c>
      <c r="B26" s="58" t="s">
        <v>5094</v>
      </c>
      <c r="C26" s="386">
        <f t="shared" si="0"/>
        <v>3</v>
      </c>
      <c r="D26" s="372" t="str">
        <f>_xlfn.XLOOKUP(A26,[1]SP500!$A$2:$A$502,[1]SP500!$D$2:$D$502,"N")</f>
        <v>Y</v>
      </c>
      <c r="E26" s="57" t="str">
        <f>_xlfn.XLOOKUP(A26,[1]SP500!$A$2:$A$655,[1]SP500!$B$2:$B$655)</f>
        <v>XLF</v>
      </c>
      <c r="F26" s="59">
        <v>45674</v>
      </c>
      <c r="G26" s="57" t="str">
        <f t="shared" si="1"/>
        <v>BMO</v>
      </c>
      <c r="H26" s="57" t="str">
        <f t="shared" si="2"/>
        <v>o</v>
      </c>
      <c r="I26" s="158">
        <v>46.8</v>
      </c>
      <c r="J26" s="159">
        <v>46.29</v>
      </c>
      <c r="K26" s="61">
        <f t="shared" si="3"/>
        <v>-1.0897435897435855E-2</v>
      </c>
      <c r="L26" s="87">
        <f t="shared" si="4"/>
        <v>-4.358974358974308</v>
      </c>
      <c r="M26" s="63" t="str">
        <f t="shared" si="5"/>
        <v/>
      </c>
      <c r="N26" s="219" t="str">
        <f t="shared" si="6"/>
        <v/>
      </c>
      <c r="O26" s="219">
        <f>IF($J26="",#N/A,SUM($N$4:N26))</f>
        <v>0.8165444466009717</v>
      </c>
      <c r="P26" s="220" t="str">
        <f t="shared" si="7"/>
        <v/>
      </c>
      <c r="Q26" s="220">
        <f>IF($J26="",#N/A,SUM($P$4:P26))</f>
        <v>20.452679919300749</v>
      </c>
      <c r="R26" s="221">
        <f t="shared" si="8"/>
        <v>-4.358974358974308</v>
      </c>
      <c r="S26" s="222">
        <f>IF($J26="",#N/A,SUM($R$4:R26))</f>
        <v>128.142384633213</v>
      </c>
      <c r="T26" s="281" t="str">
        <f t="shared" si="9"/>
        <v/>
      </c>
      <c r="U26" s="281">
        <f>IF($J26="",#N/A,SUM($T$4:T26))</f>
        <v>3.4022685275040598E-2</v>
      </c>
      <c r="V26" s="282" t="str">
        <f t="shared" si="10"/>
        <v/>
      </c>
      <c r="W26" s="282">
        <f>IF($J26="",#N/A,SUM($V$4:V26))</f>
        <v>0.85219499663753107</v>
      </c>
      <c r="X26" s="283">
        <f t="shared" si="11"/>
        <v>-0.18162393162392954</v>
      </c>
      <c r="Y26" s="283">
        <f>IF($J26="",#N/A,SUM($X$4:X26))</f>
        <v>5.3392660263838749</v>
      </c>
      <c r="Z26" s="304" t="str">
        <f t="shared" si="12"/>
        <v/>
      </c>
      <c r="AA26" s="304">
        <f>IF($J26="",#N/A,SUM(Z$4:Z26))</f>
        <v>0</v>
      </c>
      <c r="AB26" s="305" t="str">
        <f t="shared" si="13"/>
        <v/>
      </c>
      <c r="AC26" s="305">
        <f>IF($J26="",#N/A,SUM(AB$4:AB26))</f>
        <v>0</v>
      </c>
      <c r="AD26" s="306" t="str">
        <f t="shared" si="14"/>
        <v/>
      </c>
      <c r="AE26" s="306">
        <f>IF($J26="",#N/A,SUM(AD$4:AD26))</f>
        <v>0</v>
      </c>
      <c r="AF26" s="306">
        <f>IF($J26="",#N/A,SUM(AD$4:AD26,AB$4:AB26,Z$4:Z26))</f>
        <v>0</v>
      </c>
      <c r="AG26" s="304" t="str">
        <f t="shared" si="15"/>
        <v/>
      </c>
      <c r="AH26" s="304">
        <f>IF($J26="",#N/A,SUM(AG$4:AG26))</f>
        <v>0</v>
      </c>
      <c r="AI26" s="305" t="str">
        <f t="shared" si="16"/>
        <v/>
      </c>
      <c r="AJ26" s="305">
        <f>IF($J26="",#N/A,SUM(AI$4:AI26))</f>
        <v>0</v>
      </c>
      <c r="AK26" s="306" t="str">
        <f t="shared" si="17"/>
        <v/>
      </c>
      <c r="AL26" s="306">
        <f>IF($J26="",#N/A,SUM(AK$4:AK26))</f>
        <v>0</v>
      </c>
      <c r="AM26" s="306">
        <f>IF($J26="",#N/A,SUM(AK$4:AK26,AI$4:AI26,AG$4:AG26))</f>
        <v>0</v>
      </c>
      <c r="AN26" s="304" t="str">
        <f t="shared" si="18"/>
        <v/>
      </c>
      <c r="AO26" s="304">
        <f>IF($J26="",#N/A,SUM(AN$4:AN26))</f>
        <v>0</v>
      </c>
      <c r="AP26" s="305" t="str">
        <f t="shared" si="19"/>
        <v/>
      </c>
      <c r="AQ26" s="305">
        <f>IF($J26="",#N/A,SUM(AP$4:AP26))</f>
        <v>0</v>
      </c>
      <c r="AR26" s="306" t="str">
        <f t="shared" si="20"/>
        <v/>
      </c>
      <c r="AS26" s="306">
        <f>IF($J26="",#N/A,SUM(AR$4:AR26))</f>
        <v>0</v>
      </c>
      <c r="AT26" s="306">
        <f>IF($J26="",#N/A,SUM(AR$4:AR26,AP$4:AP26,AN$4:AN26))</f>
        <v>0</v>
      </c>
      <c r="AU26" s="304" t="str">
        <f t="shared" si="21"/>
        <v/>
      </c>
      <c r="AV26" s="304">
        <f>IF($J26="",#N/A,SUM(AU$4:AU26))</f>
        <v>0</v>
      </c>
      <c r="AW26" s="305" t="str">
        <f t="shared" si="22"/>
        <v/>
      </c>
      <c r="AX26" s="305">
        <f>IF($J26="",#N/A,SUM(AW$4:AW26))</f>
        <v>1.2290222546515868</v>
      </c>
      <c r="AY26" s="306" t="str">
        <f t="shared" si="23"/>
        <v/>
      </c>
      <c r="AZ26" s="306">
        <f>IF($J26="",#N/A,SUM(AY$4:AY26))</f>
        <v>2.4945770065075905</v>
      </c>
      <c r="BA26" s="306">
        <f>IF($J26="",#N/A,SUM(AY$4:AY26,AW$4:AW26,AU$4:AU26))</f>
        <v>3.7235992611591771</v>
      </c>
      <c r="BB26" s="304" t="str">
        <f t="shared" si="24"/>
        <v/>
      </c>
      <c r="BC26" s="304">
        <f>IF($J26="",#N/A,SUM(BB$4:BB26))</f>
        <v>0</v>
      </c>
      <c r="BD26" s="305" t="str">
        <f t="shared" si="25"/>
        <v/>
      </c>
      <c r="BE26" s="305">
        <f>IF($J26="",#N/A,SUM(BD$4:BD26))</f>
        <v>0</v>
      </c>
      <c r="BF26" s="306" t="str">
        <f t="shared" si="26"/>
        <v/>
      </c>
      <c r="BG26" s="306">
        <f>IF($J26="",#N/A,SUM(BF$4:BF26))</f>
        <v>0</v>
      </c>
      <c r="BH26" s="306">
        <f>IF($J26="",#N/A,SUM(BF$4:BF26,BD$4:BD26,BB$4:BB26))</f>
        <v>0</v>
      </c>
      <c r="BI26" s="304" t="str">
        <f t="shared" si="27"/>
        <v/>
      </c>
      <c r="BJ26" s="304">
        <f>IF($J26="",#N/A,SUM(BI$4:BI26))</f>
        <v>-0.93471713888646701</v>
      </c>
      <c r="BK26" s="305" t="str">
        <f t="shared" si="28"/>
        <v/>
      </c>
      <c r="BL26" s="305">
        <f>IF($J26="",#N/A,SUM(BK$4:BK26))</f>
        <v>0</v>
      </c>
      <c r="BM26" s="306">
        <f t="shared" si="29"/>
        <v>-0.18162393162392954</v>
      </c>
      <c r="BN26" s="306">
        <f>IF($J26="",#N/A,SUM(BM$4:BM26))</f>
        <v>3.8471952855404434</v>
      </c>
      <c r="BO26" s="306">
        <f>IF($J26="",#N/A,SUM(BM$4:BM26,BK$4:BK26,BI$4:BI26))</f>
        <v>2.9124781466539762</v>
      </c>
      <c r="BP26" s="304" t="str">
        <f t="shared" si="30"/>
        <v/>
      </c>
      <c r="BQ26" s="304">
        <f>IF($J26="",#N/A,SUM(BP$4:BP26))</f>
        <v>0.96873982416150761</v>
      </c>
      <c r="BR26" s="305" t="str">
        <f t="shared" si="31"/>
        <v/>
      </c>
      <c r="BS26" s="305">
        <f>IF($J26="",#N/A,SUM(BR$4:BR26))</f>
        <v>-0.34773304801390975</v>
      </c>
      <c r="BT26" s="306" t="str">
        <f t="shared" si="32"/>
        <v/>
      </c>
      <c r="BU26" s="306">
        <f>IF($J26="",#N/A,SUM(BT$4:BT26))</f>
        <v>-1.0025062656641595</v>
      </c>
      <c r="BV26" s="306">
        <f>IF($J26="",#N/A,SUM(BT$4:BT26,BR$4:BR26,BP$4:BP26))</f>
        <v>-0.38149948951656165</v>
      </c>
      <c r="BW26" s="304" t="str">
        <f t="shared" si="33"/>
        <v/>
      </c>
      <c r="BX26" s="304">
        <f>IF($J26="",#N/A,SUM(BW$4:BW26))</f>
        <v>0</v>
      </c>
      <c r="BY26" s="305" t="str">
        <f t="shared" si="34"/>
        <v/>
      </c>
      <c r="BZ26" s="305">
        <f>IF($J26="",#N/A,SUM(BY$4:BY26))</f>
        <v>0</v>
      </c>
      <c r="CA26" s="306" t="str">
        <f t="shared" si="35"/>
        <v/>
      </c>
      <c r="CB26" s="306">
        <f>IF($J26="",#N/A,SUM(CA$4:CA26))</f>
        <v>0</v>
      </c>
      <c r="CC26" s="306">
        <f>IF($J26="",#N/A,SUM(CA$4:CA26,BY$4:BY26,BW$4:BW26))</f>
        <v>0</v>
      </c>
      <c r="CD26" s="304" t="str">
        <f t="shared" si="36"/>
        <v/>
      </c>
      <c r="CE26" s="304">
        <f>IF($J26="",#N/A,SUM(CD$4:CD26))</f>
        <v>0</v>
      </c>
      <c r="CF26" s="305" t="str">
        <f t="shared" si="37"/>
        <v/>
      </c>
      <c r="CG26" s="305">
        <f>IF($J26="",#N/A,SUM(CF$4:CF26))</f>
        <v>0</v>
      </c>
      <c r="CH26" s="306" t="str">
        <f t="shared" si="38"/>
        <v/>
      </c>
      <c r="CI26" s="306">
        <f>IF($J26="",#N/A,SUM(CH$4:CH26))</f>
        <v>0</v>
      </c>
      <c r="CJ26" s="306">
        <f>IF($J26="",#N/A,SUM(CH$4:CH26,CF$4:CF26,CD$4:CD26))</f>
        <v>0</v>
      </c>
      <c r="CK26" s="304" t="str">
        <f t="shared" si="39"/>
        <v/>
      </c>
      <c r="CL26" s="304">
        <f>IF($J26="",#N/A,SUM(CK$4:CK26))</f>
        <v>0</v>
      </c>
      <c r="CM26" s="305" t="str">
        <f t="shared" si="40"/>
        <v/>
      </c>
      <c r="CN26" s="305">
        <f>IF($J26="",#N/A,SUM(CM$4:CM26))</f>
        <v>0</v>
      </c>
      <c r="CO26" s="306" t="str">
        <f t="shared" si="41"/>
        <v/>
      </c>
      <c r="CP26" s="306">
        <f>IF($J26="",#N/A,SUM(CO$4:CO26))</f>
        <v>0</v>
      </c>
      <c r="CQ26" s="306">
        <f>IF($J26="",#N/A,SUM(CO$4:CO26,CM$4:CM26,CK$4:CK26))</f>
        <v>0</v>
      </c>
      <c r="CR26" s="304" t="str">
        <f t="shared" si="42"/>
        <v/>
      </c>
      <c r="CS26" s="304">
        <f>IF($J26="",#N/A,SUM(CR$4:CR26))</f>
        <v>0</v>
      </c>
      <c r="CT26" s="305" t="str">
        <f t="shared" si="43"/>
        <v/>
      </c>
      <c r="CU26" s="305">
        <f>IF($J26="",#N/A,SUM(CT$4:CT26))</f>
        <v>-0.42995051512938903</v>
      </c>
      <c r="CV26" s="306" t="str">
        <f t="shared" si="44"/>
        <v/>
      </c>
      <c r="CW26" s="306">
        <f>IF($J26="",#N/A,SUM(CV$4:CV26))</f>
        <v>0</v>
      </c>
      <c r="CX26" s="306">
        <f>IF($J26="",#N/A,SUM(CV$4:CV26,CT$4:CT26,CR$4:CR26))</f>
        <v>-0.42995051512938903</v>
      </c>
      <c r="CY26" s="304" t="str">
        <f t="shared" si="45"/>
        <v/>
      </c>
      <c r="CZ26" s="304">
        <f>IF($J26="",#N/A,SUM(CY$4:CY26))</f>
        <v>0</v>
      </c>
      <c r="DA26" s="305" t="str">
        <f t="shared" si="46"/>
        <v/>
      </c>
      <c r="DB26" s="305">
        <f>IF($J26="",#N/A,SUM(DA$4:DA26))</f>
        <v>0</v>
      </c>
      <c r="DC26" s="306" t="str">
        <f t="shared" si="47"/>
        <v/>
      </c>
      <c r="DD26" s="306">
        <f>IF($J26="",#N/A,SUM(DC$4:DC26))</f>
        <v>0</v>
      </c>
      <c r="DE26" s="306">
        <f>IF($J26="",#N/A,SUM(DC$4:DC26,DA$4:DA26,CY$4:CY26))</f>
        <v>0</v>
      </c>
      <c r="DF26" s="304" t="str">
        <f t="shared" si="48"/>
        <v/>
      </c>
      <c r="DG26" s="304">
        <f>IF($J26="",#N/A,SUM(DF$4:DF26))</f>
        <v>0</v>
      </c>
      <c r="DH26" s="305" t="str">
        <f t="shared" si="49"/>
        <v/>
      </c>
      <c r="DI26" s="305">
        <f>IF($J26="",#N/A,SUM(DH$4:DH26))</f>
        <v>0</v>
      </c>
      <c r="DJ26" s="306" t="str">
        <f t="shared" si="50"/>
        <v/>
      </c>
      <c r="DK26" s="306">
        <f>IF($J26="",#N/A,SUM(DJ$4:DJ26))</f>
        <v>0</v>
      </c>
      <c r="DL26" s="306">
        <f>IF($J26="",#N/A,SUM(DJ$4:DJ26,DH$4:DH26,DF$4:DF26))</f>
        <v>0</v>
      </c>
      <c r="DM26" s="304" t="str">
        <f t="shared" si="51"/>
        <v/>
      </c>
      <c r="DN26" s="304">
        <f>IF($J26="",#N/A,SUM(DM$4:DM26))</f>
        <v>0</v>
      </c>
      <c r="DO26" s="305" t="str">
        <f t="shared" si="52"/>
        <v/>
      </c>
      <c r="DP26" s="305">
        <f>IF($J26="",#N/A,SUM(DO$4:DO26))</f>
        <v>0</v>
      </c>
      <c r="DQ26" s="306" t="str">
        <f t="shared" si="53"/>
        <v/>
      </c>
      <c r="DR26" s="306">
        <f>IF($J26="",#N/A,SUM(DQ$4:DQ26))</f>
        <v>0</v>
      </c>
      <c r="DS26" s="306">
        <f>IF($J26="",#N/A,SUM(DQ$4:DQ26,DO$4:DO26,DM$4:DM26))</f>
        <v>0</v>
      </c>
      <c r="DT26" s="304" t="str">
        <f t="shared" si="54"/>
        <v/>
      </c>
      <c r="DU26" s="304">
        <f>IF($J26="",#N/A,SUM(DT$4:DT26))</f>
        <v>0</v>
      </c>
      <c r="DV26" s="305" t="str">
        <f t="shared" si="55"/>
        <v/>
      </c>
      <c r="DW26" s="305">
        <f>IF($J26="",#N/A,SUM(DV$4:DV26))</f>
        <v>0.40085630512924314</v>
      </c>
      <c r="DX26" s="306" t="str">
        <f t="shared" si="56"/>
        <v/>
      </c>
      <c r="DY26" s="306">
        <f>IF($J26="",#N/A,SUM(DX$4:DX26))</f>
        <v>0</v>
      </c>
      <c r="DZ26" s="306">
        <f>IF($J26="",#N/A,SUM(DX$4:DX26,DV$4:DV26,DT$4:DT26))</f>
        <v>0.40085630512924314</v>
      </c>
      <c r="EA26" s="304" t="str">
        <f t="shared" si="57"/>
        <v/>
      </c>
      <c r="EB26" s="304">
        <f>IF($J26="",#N/A,SUM(EA$4:EA26))</f>
        <v>0</v>
      </c>
      <c r="EC26" s="305" t="str">
        <f t="shared" si="58"/>
        <v/>
      </c>
      <c r="ED26" s="305">
        <f>IF($J26="",#N/A,SUM(EC$4:EC26))</f>
        <v>0</v>
      </c>
      <c r="EE26" s="306" t="str">
        <f t="shared" si="59"/>
        <v/>
      </c>
      <c r="EF26" s="306">
        <f>IF($J26="",#N/A,SUM(EE$4:EE26))</f>
        <v>0</v>
      </c>
      <c r="EG26" s="306">
        <f>IF($J26="",#N/A,SUM(EE$4:EE26,EC$4:EC26,EA$4:EA26))</f>
        <v>0</v>
      </c>
      <c r="EH26" s="223">
        <f t="shared" si="60"/>
        <v>-4.358974358974308</v>
      </c>
      <c r="EI26" s="224">
        <f>IF(EH26="",#N/A,SUM($EH$4:EH26))</f>
        <v>149.41160899911472</v>
      </c>
      <c r="EJ26" s="223">
        <f t="shared" si="61"/>
        <v>6.3247863247863734</v>
      </c>
      <c r="EK26" s="63">
        <f>IF($GZ26="",#N/A,SUM(EJ$4:EJ26))</f>
        <v>329.08467723615604</v>
      </c>
      <c r="EL26" s="60">
        <f t="shared" si="97"/>
        <v>-0.18162393162392954</v>
      </c>
      <c r="EM26" s="60">
        <f>IF(EL26="",NA(),SUM($EL$4:EL26))</f>
        <v>6.2254837082964478</v>
      </c>
      <c r="EN26" s="60" t="str">
        <f t="shared" si="62"/>
        <v/>
      </c>
      <c r="EO26" s="60" t="e">
        <f>IF(EN26="",NA(),SUM($EN$4:EN26))</f>
        <v>#N/A</v>
      </c>
      <c r="EP26" s="60">
        <f t="shared" si="63"/>
        <v>-0.18162393162392954</v>
      </c>
      <c r="EQ26" s="60">
        <f>IF(EP26="",NA(),SUM($EP$4:EP26))</f>
        <v>5.3392660263838749</v>
      </c>
      <c r="ER26" s="60" t="str">
        <f t="shared" si="64"/>
        <v/>
      </c>
      <c r="ES26" s="60" t="e">
        <f>IF(ER26="",NA(),SUM($ER$4:ER26))</f>
        <v>#N/A</v>
      </c>
      <c r="ET26" s="60" t="str">
        <f t="shared" si="65"/>
        <v/>
      </c>
      <c r="EU26" s="60" t="e">
        <f>IF(ET26="",NA(),SUM($ET$4:ET26))</f>
        <v>#N/A</v>
      </c>
      <c r="EV26" s="60" t="str">
        <f t="shared" si="66"/>
        <v/>
      </c>
      <c r="EW26" s="60" t="e">
        <f>IF(EV26="",NA(),SUM($EV$4:EV26))</f>
        <v>#N/A</v>
      </c>
      <c r="EX26" s="60" t="str">
        <f t="shared" si="67"/>
        <v/>
      </c>
      <c r="EY26" s="60" t="e">
        <f>IF(EX26="",NA(),SUM($EX$4:EX26))</f>
        <v>#N/A</v>
      </c>
      <c r="EZ26" s="60" t="str">
        <f t="shared" si="68"/>
        <v/>
      </c>
      <c r="FA26" s="60" t="e">
        <f>IF(EZ26="",NA(),SUM($EZ$4:EZ26))</f>
        <v>#N/A</v>
      </c>
      <c r="FB26" s="246" t="str">
        <f t="shared" si="98"/>
        <v/>
      </c>
      <c r="FC26" s="246" t="e">
        <f>IF($FB26="",#N/A,SUM(FB$4:$FB26))</f>
        <v>#N/A</v>
      </c>
      <c r="FD26" s="60" t="str">
        <f t="shared" si="69"/>
        <v/>
      </c>
      <c r="FE26" s="60" t="e">
        <f>IF($FD26="",#N/A,SUM($FD$4:FD26))</f>
        <v>#N/A</v>
      </c>
      <c r="FF26" s="60" t="str">
        <f t="shared" si="70"/>
        <v/>
      </c>
      <c r="FG26" s="60" t="e">
        <f>IF($FF26="",#N/A,SUM($FF$4:FF26))</f>
        <v>#N/A</v>
      </c>
      <c r="FH26" s="60" t="str">
        <f t="shared" si="71"/>
        <v/>
      </c>
      <c r="FI26" s="60" t="e">
        <f>IF($FH26="",#N/A,SUM($FH$4:FH26))</f>
        <v>#N/A</v>
      </c>
      <c r="FJ26" s="60" t="str">
        <f t="shared" si="72"/>
        <v/>
      </c>
      <c r="FK26" s="60" t="e">
        <f>IF($FJ26="",#N/A,SUM($FJ$4:FJ26))</f>
        <v>#N/A</v>
      </c>
      <c r="FL26" s="60">
        <f t="shared" si="73"/>
        <v>0.44515669515669515</v>
      </c>
      <c r="FM26" s="60">
        <f>IF($FL26="",#N/A,SUM($FL$4:FL26))</f>
        <v>0.21690750074208637</v>
      </c>
      <c r="FN26" s="82">
        <f t="shared" si="74"/>
        <v>0.26353276353276561</v>
      </c>
      <c r="FO26" s="82">
        <f>IF($FN26="",#N/A,SUM(FN$4:$FN26))</f>
        <v>13.711861551506502</v>
      </c>
      <c r="FP26" s="82">
        <f t="shared" si="99"/>
        <v>-0.18162393162392954</v>
      </c>
      <c r="FQ26" s="246">
        <f>IF($EH26="",#N/A,SUM($FP$4:FP26))</f>
        <v>6.2254837082964478</v>
      </c>
      <c r="FR26" s="99"/>
      <c r="FS26" s="99"/>
      <c r="FT26" s="99"/>
      <c r="FU26" s="82" t="e">
        <v>#N/A</v>
      </c>
      <c r="FV26" s="57" t="str">
        <f t="shared" si="75"/>
        <v>SW</v>
      </c>
      <c r="FW26" s="57" t="s">
        <v>2732</v>
      </c>
      <c r="FX26" s="57" t="str">
        <f t="shared" si="76"/>
        <v/>
      </c>
      <c r="FY26" s="57" t="str">
        <f t="shared" si="77"/>
        <v/>
      </c>
      <c r="FZ26" s="57" t="str">
        <f t="shared" si="78"/>
        <v/>
      </c>
      <c r="GA26" s="57" t="str">
        <f t="shared" si="79"/>
        <v>Long</v>
      </c>
      <c r="GB26" s="57" t="str">
        <f t="shared" si="80"/>
        <v/>
      </c>
      <c r="GC26" s="57" t="str">
        <f t="shared" si="81"/>
        <v/>
      </c>
      <c r="GD26" s="57">
        <f t="shared" si="82"/>
        <v>1</v>
      </c>
      <c r="GE26" s="62">
        <f t="shared" si="83"/>
        <v>46.8</v>
      </c>
      <c r="GF26" s="62" t="s">
        <v>2779</v>
      </c>
      <c r="GG26" s="199">
        <f t="shared" si="84"/>
        <v>8.5470085470085468</v>
      </c>
      <c r="GH26" s="207">
        <f t="shared" si="85"/>
        <v>399.99999999999994</v>
      </c>
      <c r="GI26" s="199">
        <f t="shared" si="86"/>
        <v>8.5470085470085468</v>
      </c>
      <c r="GJ26" s="200">
        <f t="shared" si="87"/>
        <v>46.29</v>
      </c>
      <c r="GK26" s="63">
        <f t="shared" si="88"/>
        <v>-4.358974358974308</v>
      </c>
      <c r="GL26" s="63">
        <f t="shared" si="89"/>
        <v>6.3247863247863734</v>
      </c>
      <c r="GM26" s="82">
        <f t="shared" si="90"/>
        <v>0.26353276353276561</v>
      </c>
      <c r="GN26" s="82">
        <f>IF($GZ26="",#N/A,SUM(GM$4:GM26))</f>
        <v>8.2650117741740505</v>
      </c>
      <c r="GO26" s="82" t="str">
        <f t="shared" si="91"/>
        <v/>
      </c>
      <c r="GP26" s="82">
        <f>IF($GZ26="",#N/A,SUM(GO$4:GO26))</f>
        <v>2.8939829164180333</v>
      </c>
      <c r="GQ26" s="82" t="str">
        <f t="shared" si="92"/>
        <v/>
      </c>
      <c r="GR26" s="82">
        <f>IF($GZ26="",#N/A,SUM(GQ$4:GQ26))</f>
        <v>2.5528668609144187</v>
      </c>
      <c r="GS26" s="63">
        <f t="shared" si="100"/>
        <v>6.3247863247863734</v>
      </c>
      <c r="GT26" s="63">
        <f>IF($GZ26="",#N/A,SUM(GS$4:GS26))</f>
        <v>198.36028258017723</v>
      </c>
      <c r="GU26" s="63" t="str">
        <f t="shared" si="101"/>
        <v/>
      </c>
      <c r="GV26" s="63">
        <f>IF($GZ26="",#N/A,SUM(GU$4:GU26))</f>
        <v>69.455589994032778</v>
      </c>
      <c r="GW26" s="62" t="str">
        <f t="shared" si="102"/>
        <v/>
      </c>
      <c r="GX26" s="63">
        <f>IF($GZ26="",#N/A,SUM(GW$4:GW26))</f>
        <v>61.268804661946035</v>
      </c>
      <c r="GY26" s="63">
        <f>IF(EJ26="",#N/A,SUM($EJ$4:EJ26))</f>
        <v>329.08467723615604</v>
      </c>
      <c r="GZ26" s="159">
        <v>47.54</v>
      </c>
      <c r="HA26" s="63">
        <f t="shared" si="93"/>
        <v>10.683760683760681</v>
      </c>
      <c r="HB26" s="62" t="s">
        <v>4970</v>
      </c>
      <c r="HC26" s="60">
        <f>IFERROR(VLOOKUP(E26,Expectancy!$P$4:$S$19,1+C26,FALSE),"")</f>
        <v>9.9793136114217987E-2</v>
      </c>
      <c r="HD26" s="60" t="str">
        <f t="shared" si="94"/>
        <v/>
      </c>
      <c r="HE26" s="60" t="e">
        <f>IF(HD26="",#N/A,SUM($HD$4:HD26))</f>
        <v>#N/A</v>
      </c>
      <c r="HF26" s="64" t="e">
        <f>IF(HD26="",#N/A,IF(HB26="Skip",#N/A,SUM($HG$4:HG26)))</f>
        <v>#N/A</v>
      </c>
      <c r="HG26" s="63" t="str">
        <f t="shared" si="95"/>
        <v/>
      </c>
      <c r="HH26" s="82">
        <f t="shared" si="96"/>
        <v>0.26353276353276561</v>
      </c>
    </row>
    <row r="27" spans="1:216" x14ac:dyDescent="0.25">
      <c r="A27" s="57" t="s">
        <v>1327</v>
      </c>
      <c r="B27" s="58" t="s">
        <v>5095</v>
      </c>
      <c r="C27" s="386">
        <f t="shared" si="0"/>
        <v>3</v>
      </c>
      <c r="D27" s="372" t="str">
        <f>_xlfn.XLOOKUP(A27,[1]SP500!$A$2:$A$502,[1]SP500!$D$2:$D$502,"N")</f>
        <v>Y</v>
      </c>
      <c r="E27" s="57" t="str">
        <f>_xlfn.XLOOKUP(A27,[1]SP500!$A$2:$A$655,[1]SP500!$B$2:$B$655)</f>
        <v>XLF</v>
      </c>
      <c r="F27" s="59">
        <v>45678</v>
      </c>
      <c r="G27" s="57" t="str">
        <f t="shared" si="1"/>
        <v>BMO</v>
      </c>
      <c r="H27" s="57" t="str">
        <f t="shared" si="2"/>
        <v>o</v>
      </c>
      <c r="I27" s="159">
        <v>76.41</v>
      </c>
      <c r="J27" s="159">
        <v>78.83</v>
      </c>
      <c r="K27" s="61">
        <f t="shared" si="3"/>
        <v>3.167124721895042E-2</v>
      </c>
      <c r="L27" s="87">
        <f t="shared" si="4"/>
        <v>12.668498887580199</v>
      </c>
      <c r="M27" s="63" t="str">
        <f t="shared" si="5"/>
        <v/>
      </c>
      <c r="N27" s="219" t="str">
        <f t="shared" si="6"/>
        <v/>
      </c>
      <c r="O27" s="219">
        <f>IF($J27="",#N/A,SUM($N$4:N27))</f>
        <v>0.8165444466009717</v>
      </c>
      <c r="P27" s="220" t="str">
        <f t="shared" si="7"/>
        <v/>
      </c>
      <c r="Q27" s="220">
        <f>IF($J27="",#N/A,SUM($P$4:P27))</f>
        <v>20.452679919300749</v>
      </c>
      <c r="R27" s="221">
        <f t="shared" si="8"/>
        <v>12.668498887580199</v>
      </c>
      <c r="S27" s="222">
        <f>IF($J27="",#N/A,SUM($R$4:R27))</f>
        <v>140.8108835207932</v>
      </c>
      <c r="T27" s="281" t="str">
        <f t="shared" si="9"/>
        <v/>
      </c>
      <c r="U27" s="281">
        <f>IF($J27="",#N/A,SUM($T$4:T27))</f>
        <v>3.4022685275040598E-2</v>
      </c>
      <c r="V27" s="282" t="str">
        <f t="shared" si="10"/>
        <v/>
      </c>
      <c r="W27" s="282">
        <f>IF($J27="",#N/A,SUM($V$4:V27))</f>
        <v>0.85219499663753107</v>
      </c>
      <c r="X27" s="283">
        <f t="shared" si="11"/>
        <v>0.52785412031584167</v>
      </c>
      <c r="Y27" s="283">
        <f>IF($J27="",#N/A,SUM($X$4:X27))</f>
        <v>5.8671201466997163</v>
      </c>
      <c r="Z27" s="304" t="str">
        <f t="shared" si="12"/>
        <v/>
      </c>
      <c r="AA27" s="304">
        <f>IF($J27="",#N/A,SUM(Z$4:Z27))</f>
        <v>0</v>
      </c>
      <c r="AB27" s="305" t="str">
        <f t="shared" si="13"/>
        <v/>
      </c>
      <c r="AC27" s="305">
        <f>IF($J27="",#N/A,SUM(AB$4:AB27))</f>
        <v>0</v>
      </c>
      <c r="AD27" s="306" t="str">
        <f t="shared" si="14"/>
        <v/>
      </c>
      <c r="AE27" s="306">
        <f>IF($J27="",#N/A,SUM(AD$4:AD27))</f>
        <v>0</v>
      </c>
      <c r="AF27" s="306">
        <f>IF($J27="",#N/A,SUM(AD$4:AD27,AB$4:AB27,Z$4:Z27))</f>
        <v>0</v>
      </c>
      <c r="AG27" s="304" t="str">
        <f t="shared" si="15"/>
        <v/>
      </c>
      <c r="AH27" s="304">
        <f>IF($J27="",#N/A,SUM(AG$4:AG27))</f>
        <v>0</v>
      </c>
      <c r="AI27" s="305" t="str">
        <f t="shared" si="16"/>
        <v/>
      </c>
      <c r="AJ27" s="305">
        <f>IF($J27="",#N/A,SUM(AI$4:AI27))</f>
        <v>0</v>
      </c>
      <c r="AK27" s="306" t="str">
        <f t="shared" si="17"/>
        <v/>
      </c>
      <c r="AL27" s="306">
        <f>IF($J27="",#N/A,SUM(AK$4:AK27))</f>
        <v>0</v>
      </c>
      <c r="AM27" s="306">
        <f>IF($J27="",#N/A,SUM(AK$4:AK27,AI$4:AI27,AG$4:AG27))</f>
        <v>0</v>
      </c>
      <c r="AN27" s="304" t="str">
        <f t="shared" si="18"/>
        <v/>
      </c>
      <c r="AO27" s="304">
        <f>IF($J27="",#N/A,SUM(AN$4:AN27))</f>
        <v>0</v>
      </c>
      <c r="AP27" s="305" t="str">
        <f t="shared" si="19"/>
        <v/>
      </c>
      <c r="AQ27" s="305">
        <f>IF($J27="",#N/A,SUM(AP$4:AP27))</f>
        <v>0</v>
      </c>
      <c r="AR27" s="306" t="str">
        <f t="shared" si="20"/>
        <v/>
      </c>
      <c r="AS27" s="306">
        <f>IF($J27="",#N/A,SUM(AR$4:AR27))</f>
        <v>0</v>
      </c>
      <c r="AT27" s="306">
        <f>IF($J27="",#N/A,SUM(AR$4:AR27,AP$4:AP27,AN$4:AN27))</f>
        <v>0</v>
      </c>
      <c r="AU27" s="304" t="str">
        <f t="shared" si="21"/>
        <v/>
      </c>
      <c r="AV27" s="304">
        <f>IF($J27="",#N/A,SUM(AU$4:AU27))</f>
        <v>0</v>
      </c>
      <c r="AW27" s="305" t="str">
        <f t="shared" si="22"/>
        <v/>
      </c>
      <c r="AX27" s="305">
        <f>IF($J27="",#N/A,SUM(AW$4:AW27))</f>
        <v>1.2290222546515868</v>
      </c>
      <c r="AY27" s="306" t="str">
        <f t="shared" si="23"/>
        <v/>
      </c>
      <c r="AZ27" s="306">
        <f>IF($J27="",#N/A,SUM(AY$4:AY27))</f>
        <v>2.4945770065075905</v>
      </c>
      <c r="BA27" s="306">
        <f>IF($J27="",#N/A,SUM(AY$4:AY27,AW$4:AW27,AU$4:AU27))</f>
        <v>3.7235992611591771</v>
      </c>
      <c r="BB27" s="304" t="str">
        <f t="shared" si="24"/>
        <v/>
      </c>
      <c r="BC27" s="304">
        <f>IF($J27="",#N/A,SUM(BB$4:BB27))</f>
        <v>0</v>
      </c>
      <c r="BD27" s="305" t="str">
        <f t="shared" si="25"/>
        <v/>
      </c>
      <c r="BE27" s="305">
        <f>IF($J27="",#N/A,SUM(BD$4:BD27))</f>
        <v>0</v>
      </c>
      <c r="BF27" s="306" t="str">
        <f t="shared" si="26"/>
        <v/>
      </c>
      <c r="BG27" s="306">
        <f>IF($J27="",#N/A,SUM(BF$4:BF27))</f>
        <v>0</v>
      </c>
      <c r="BH27" s="306">
        <f>IF($J27="",#N/A,SUM(BF$4:BF27,BD$4:BD27,BB$4:BB27))</f>
        <v>0</v>
      </c>
      <c r="BI27" s="304" t="str">
        <f t="shared" si="27"/>
        <v/>
      </c>
      <c r="BJ27" s="304">
        <f>IF($J27="",#N/A,SUM(BI$4:BI27))</f>
        <v>-0.93471713888646701</v>
      </c>
      <c r="BK27" s="305" t="str">
        <f t="shared" si="28"/>
        <v/>
      </c>
      <c r="BL27" s="305">
        <f>IF($J27="",#N/A,SUM(BK$4:BK27))</f>
        <v>0</v>
      </c>
      <c r="BM27" s="306">
        <f t="shared" si="29"/>
        <v>0.52785412031584167</v>
      </c>
      <c r="BN27" s="306">
        <f>IF($J27="",#N/A,SUM(BM$4:BM27))</f>
        <v>4.3750494058562852</v>
      </c>
      <c r="BO27" s="306">
        <f>IF($J27="",#N/A,SUM(BM$4:BM27,BK$4:BK27,BI$4:BI27))</f>
        <v>3.440332266969818</v>
      </c>
      <c r="BP27" s="304" t="str">
        <f t="shared" si="30"/>
        <v/>
      </c>
      <c r="BQ27" s="304">
        <f>IF($J27="",#N/A,SUM(BP$4:BP27))</f>
        <v>0.96873982416150761</v>
      </c>
      <c r="BR27" s="305" t="str">
        <f t="shared" si="31"/>
        <v/>
      </c>
      <c r="BS27" s="305">
        <f>IF($J27="",#N/A,SUM(BR$4:BR27))</f>
        <v>-0.34773304801390975</v>
      </c>
      <c r="BT27" s="306" t="str">
        <f t="shared" si="32"/>
        <v/>
      </c>
      <c r="BU27" s="306">
        <f>IF($J27="",#N/A,SUM(BT$4:BT27))</f>
        <v>-1.0025062656641595</v>
      </c>
      <c r="BV27" s="306">
        <f>IF($J27="",#N/A,SUM(BT$4:BT27,BR$4:BR27,BP$4:BP27))</f>
        <v>-0.38149948951656165</v>
      </c>
      <c r="BW27" s="304" t="str">
        <f t="shared" si="33"/>
        <v/>
      </c>
      <c r="BX27" s="304">
        <f>IF($J27="",#N/A,SUM(BW$4:BW27))</f>
        <v>0</v>
      </c>
      <c r="BY27" s="305" t="str">
        <f t="shared" si="34"/>
        <v/>
      </c>
      <c r="BZ27" s="305">
        <f>IF($J27="",#N/A,SUM(BY$4:BY27))</f>
        <v>0</v>
      </c>
      <c r="CA27" s="306" t="str">
        <f t="shared" si="35"/>
        <v/>
      </c>
      <c r="CB27" s="306">
        <f>IF($J27="",#N/A,SUM(CA$4:CA27))</f>
        <v>0</v>
      </c>
      <c r="CC27" s="306">
        <f>IF($J27="",#N/A,SUM(CA$4:CA27,BY$4:BY27,BW$4:BW27))</f>
        <v>0</v>
      </c>
      <c r="CD27" s="304" t="str">
        <f t="shared" si="36"/>
        <v/>
      </c>
      <c r="CE27" s="304">
        <f>IF($J27="",#N/A,SUM(CD$4:CD27))</f>
        <v>0</v>
      </c>
      <c r="CF27" s="305" t="str">
        <f t="shared" si="37"/>
        <v/>
      </c>
      <c r="CG27" s="305">
        <f>IF($J27="",#N/A,SUM(CF$4:CF27))</f>
        <v>0</v>
      </c>
      <c r="CH27" s="306" t="str">
        <f t="shared" si="38"/>
        <v/>
      </c>
      <c r="CI27" s="306">
        <f>IF($J27="",#N/A,SUM(CH$4:CH27))</f>
        <v>0</v>
      </c>
      <c r="CJ27" s="306">
        <f>IF($J27="",#N/A,SUM(CH$4:CH27,CF$4:CF27,CD$4:CD27))</f>
        <v>0</v>
      </c>
      <c r="CK27" s="304" t="str">
        <f t="shared" si="39"/>
        <v/>
      </c>
      <c r="CL27" s="304">
        <f>IF($J27="",#N/A,SUM(CK$4:CK27))</f>
        <v>0</v>
      </c>
      <c r="CM27" s="305" t="str">
        <f t="shared" si="40"/>
        <v/>
      </c>
      <c r="CN27" s="305">
        <f>IF($J27="",#N/A,SUM(CM$4:CM27))</f>
        <v>0</v>
      </c>
      <c r="CO27" s="306" t="str">
        <f t="shared" si="41"/>
        <v/>
      </c>
      <c r="CP27" s="306">
        <f>IF($J27="",#N/A,SUM(CO$4:CO27))</f>
        <v>0</v>
      </c>
      <c r="CQ27" s="306">
        <f>IF($J27="",#N/A,SUM(CO$4:CO27,CM$4:CM27,CK$4:CK27))</f>
        <v>0</v>
      </c>
      <c r="CR27" s="304" t="str">
        <f t="shared" si="42"/>
        <v/>
      </c>
      <c r="CS27" s="304">
        <f>IF($J27="",#N/A,SUM(CR$4:CR27))</f>
        <v>0</v>
      </c>
      <c r="CT27" s="305" t="str">
        <f t="shared" si="43"/>
        <v/>
      </c>
      <c r="CU27" s="305">
        <f>IF($J27="",#N/A,SUM(CT$4:CT27))</f>
        <v>-0.42995051512938903</v>
      </c>
      <c r="CV27" s="306" t="str">
        <f t="shared" si="44"/>
        <v/>
      </c>
      <c r="CW27" s="306">
        <f>IF($J27="",#N/A,SUM(CV$4:CV27))</f>
        <v>0</v>
      </c>
      <c r="CX27" s="306">
        <f>IF($J27="",#N/A,SUM(CV$4:CV27,CT$4:CT27,CR$4:CR27))</f>
        <v>-0.42995051512938903</v>
      </c>
      <c r="CY27" s="304" t="str">
        <f t="shared" si="45"/>
        <v/>
      </c>
      <c r="CZ27" s="304">
        <f>IF($J27="",#N/A,SUM(CY$4:CY27))</f>
        <v>0</v>
      </c>
      <c r="DA27" s="305" t="str">
        <f t="shared" si="46"/>
        <v/>
      </c>
      <c r="DB27" s="305">
        <f>IF($J27="",#N/A,SUM(DA$4:DA27))</f>
        <v>0</v>
      </c>
      <c r="DC27" s="306" t="str">
        <f t="shared" si="47"/>
        <v/>
      </c>
      <c r="DD27" s="306">
        <f>IF($J27="",#N/A,SUM(DC$4:DC27))</f>
        <v>0</v>
      </c>
      <c r="DE27" s="306">
        <f>IF($J27="",#N/A,SUM(DC$4:DC27,DA$4:DA27,CY$4:CY27))</f>
        <v>0</v>
      </c>
      <c r="DF27" s="304" t="str">
        <f t="shared" si="48"/>
        <v/>
      </c>
      <c r="DG27" s="304">
        <f>IF($J27="",#N/A,SUM(DF$4:DF27))</f>
        <v>0</v>
      </c>
      <c r="DH27" s="305" t="str">
        <f t="shared" si="49"/>
        <v/>
      </c>
      <c r="DI27" s="305">
        <f>IF($J27="",#N/A,SUM(DH$4:DH27))</f>
        <v>0</v>
      </c>
      <c r="DJ27" s="306" t="str">
        <f t="shared" si="50"/>
        <v/>
      </c>
      <c r="DK27" s="306">
        <f>IF($J27="",#N/A,SUM(DJ$4:DJ27))</f>
        <v>0</v>
      </c>
      <c r="DL27" s="306">
        <f>IF($J27="",#N/A,SUM(DJ$4:DJ27,DH$4:DH27,DF$4:DF27))</f>
        <v>0</v>
      </c>
      <c r="DM27" s="304" t="str">
        <f t="shared" si="51"/>
        <v/>
      </c>
      <c r="DN27" s="304">
        <f>IF($J27="",#N/A,SUM(DM$4:DM27))</f>
        <v>0</v>
      </c>
      <c r="DO27" s="305" t="str">
        <f t="shared" si="52"/>
        <v/>
      </c>
      <c r="DP27" s="305">
        <f>IF($J27="",#N/A,SUM(DO$4:DO27))</f>
        <v>0</v>
      </c>
      <c r="DQ27" s="306" t="str">
        <f t="shared" si="53"/>
        <v/>
      </c>
      <c r="DR27" s="306">
        <f>IF($J27="",#N/A,SUM(DQ$4:DQ27))</f>
        <v>0</v>
      </c>
      <c r="DS27" s="306">
        <f>IF($J27="",#N/A,SUM(DQ$4:DQ27,DO$4:DO27,DM$4:DM27))</f>
        <v>0</v>
      </c>
      <c r="DT27" s="304" t="str">
        <f t="shared" si="54"/>
        <v/>
      </c>
      <c r="DU27" s="304">
        <f>IF($J27="",#N/A,SUM(DT$4:DT27))</f>
        <v>0</v>
      </c>
      <c r="DV27" s="305" t="str">
        <f t="shared" si="55"/>
        <v/>
      </c>
      <c r="DW27" s="305">
        <f>IF($J27="",#N/A,SUM(DV$4:DV27))</f>
        <v>0.40085630512924314</v>
      </c>
      <c r="DX27" s="306" t="str">
        <f t="shared" si="56"/>
        <v/>
      </c>
      <c r="DY27" s="306">
        <f>IF($J27="",#N/A,SUM(DX$4:DX27))</f>
        <v>0</v>
      </c>
      <c r="DZ27" s="306">
        <f>IF($J27="",#N/A,SUM(DX$4:DX27,DV$4:DV27,DT$4:DT27))</f>
        <v>0.40085630512924314</v>
      </c>
      <c r="EA27" s="304" t="str">
        <f t="shared" si="57"/>
        <v/>
      </c>
      <c r="EB27" s="304">
        <f>IF($J27="",#N/A,SUM(EA$4:EA27))</f>
        <v>0</v>
      </c>
      <c r="EC27" s="305" t="str">
        <f t="shared" si="58"/>
        <v/>
      </c>
      <c r="ED27" s="305">
        <f>IF($J27="",#N/A,SUM(EC$4:EC27))</f>
        <v>0</v>
      </c>
      <c r="EE27" s="306" t="str">
        <f t="shared" si="59"/>
        <v/>
      </c>
      <c r="EF27" s="306">
        <f>IF($J27="",#N/A,SUM(EE$4:EE27))</f>
        <v>0</v>
      </c>
      <c r="EG27" s="306">
        <f>IF($J27="",#N/A,SUM(EE$4:EE27,EC$4:EC27,EA$4:EA27))</f>
        <v>0</v>
      </c>
      <c r="EH27" s="223">
        <f t="shared" si="60"/>
        <v>12.668498887580199</v>
      </c>
      <c r="EI27" s="224">
        <f>IF(EH27="",#N/A,SUM($EH$4:EH27))</f>
        <v>162.08010788669492</v>
      </c>
      <c r="EJ27" s="223">
        <f t="shared" si="61"/>
        <v>23.661824368538248</v>
      </c>
      <c r="EK27" s="63">
        <f>IF($GZ27="",#N/A,SUM(EJ$4:EJ27))</f>
        <v>352.74650160469429</v>
      </c>
      <c r="EL27" s="60">
        <f t="shared" si="97"/>
        <v>0.52785412031584167</v>
      </c>
      <c r="EM27" s="60">
        <f>IF(EL27="",NA(),SUM($EL$4:EL27))</f>
        <v>6.7533378286122892</v>
      </c>
      <c r="EN27" s="60" t="str">
        <f t="shared" si="62"/>
        <v/>
      </c>
      <c r="EO27" s="60" t="e">
        <f>IF(EN27="",NA(),SUM($EN$4:EN27))</f>
        <v>#N/A</v>
      </c>
      <c r="EP27" s="60">
        <f t="shared" si="63"/>
        <v>0.52785412031584167</v>
      </c>
      <c r="EQ27" s="60">
        <f>IF(EP27="",NA(),SUM($EP$4:EP27))</f>
        <v>5.8671201466997163</v>
      </c>
      <c r="ER27" s="60" t="str">
        <f t="shared" si="64"/>
        <v/>
      </c>
      <c r="ES27" s="60" t="e">
        <f>IF(ER27="",NA(),SUM($ER$4:ER27))</f>
        <v>#N/A</v>
      </c>
      <c r="ET27" s="60" t="str">
        <f t="shared" si="65"/>
        <v/>
      </c>
      <c r="EU27" s="60" t="e">
        <f>IF(ET27="",NA(),SUM($ET$4:ET27))</f>
        <v>#N/A</v>
      </c>
      <c r="EV27" s="60" t="str">
        <f t="shared" si="66"/>
        <v/>
      </c>
      <c r="EW27" s="60" t="e">
        <f>IF(EV27="",NA(),SUM($EV$4:EV27))</f>
        <v>#N/A</v>
      </c>
      <c r="EX27" s="60" t="str">
        <f t="shared" si="67"/>
        <v/>
      </c>
      <c r="EY27" s="60" t="e">
        <f>IF(EX27="",NA(),SUM($EX$4:EX27))</f>
        <v>#N/A</v>
      </c>
      <c r="EZ27" s="60" t="str">
        <f t="shared" si="68"/>
        <v/>
      </c>
      <c r="FA27" s="60" t="e">
        <f>IF(EZ27="",NA(),SUM($EZ$4:EZ27))</f>
        <v>#N/A</v>
      </c>
      <c r="FB27" s="246" t="str">
        <f t="shared" si="98"/>
        <v/>
      </c>
      <c r="FC27" s="246" t="e">
        <f>IF($FB27="",#N/A,SUM(FB$4:$FB27))</f>
        <v>#N/A</v>
      </c>
      <c r="FD27" s="60" t="str">
        <f t="shared" si="69"/>
        <v/>
      </c>
      <c r="FE27" s="60" t="e">
        <f>IF($FD27="",#N/A,SUM($FD$4:FD27))</f>
        <v>#N/A</v>
      </c>
      <c r="FF27" s="60" t="str">
        <f t="shared" si="70"/>
        <v/>
      </c>
      <c r="FG27" s="60" t="e">
        <f>IF($FF27="",#N/A,SUM($FF$4:FF27))</f>
        <v>#N/A</v>
      </c>
      <c r="FH27" s="60" t="str">
        <f t="shared" si="71"/>
        <v/>
      </c>
      <c r="FI27" s="60" t="e">
        <f>IF($FH27="",#N/A,SUM($FH$4:FH27))</f>
        <v>#N/A</v>
      </c>
      <c r="FJ27" s="60">
        <f t="shared" si="72"/>
        <v>0.45805522837325219</v>
      </c>
      <c r="FK27" s="60">
        <f>IF($FJ27="",#N/A,SUM($FJ$4:FJ27))</f>
        <v>3.1668934754213418</v>
      </c>
      <c r="FL27" s="60" t="str">
        <f t="shared" si="73"/>
        <v/>
      </c>
      <c r="FM27" s="60" t="e">
        <f>IF($FL27="",#N/A,SUM($FL$4:FL27))</f>
        <v>#N/A</v>
      </c>
      <c r="FN27" s="82">
        <f t="shared" si="74"/>
        <v>0.98590934868909386</v>
      </c>
      <c r="FO27" s="82">
        <f>IF($FN27="",#N/A,SUM(FN$4:$FN27))</f>
        <v>14.697770900195595</v>
      </c>
      <c r="FP27" s="82">
        <f t="shared" si="99"/>
        <v>0.52785412031584167</v>
      </c>
      <c r="FQ27" s="246">
        <f>IF($EH27="",#N/A,SUM($FP$4:FP27))</f>
        <v>6.7533378286122892</v>
      </c>
      <c r="FR27" s="99"/>
      <c r="FS27" s="99"/>
      <c r="FT27" s="99"/>
      <c r="FU27" s="82" t="e">
        <v>#N/A</v>
      </c>
      <c r="FV27" s="57" t="str">
        <f t="shared" si="75"/>
        <v>SW</v>
      </c>
      <c r="FW27" s="57" t="s">
        <v>2732</v>
      </c>
      <c r="FX27" s="57" t="str">
        <f t="shared" si="76"/>
        <v/>
      </c>
      <c r="FY27" s="57" t="str">
        <f t="shared" si="77"/>
        <v/>
      </c>
      <c r="FZ27" s="57">
        <f t="shared" si="78"/>
        <v>1</v>
      </c>
      <c r="GA27" s="57" t="str">
        <f t="shared" si="79"/>
        <v>Long</v>
      </c>
      <c r="GB27" s="57" t="str">
        <f t="shared" si="80"/>
        <v/>
      </c>
      <c r="GC27" s="57" t="str">
        <f t="shared" si="81"/>
        <v/>
      </c>
      <c r="GD27" s="57" t="str">
        <f t="shared" si="82"/>
        <v/>
      </c>
      <c r="GE27" s="62">
        <f t="shared" si="83"/>
        <v>76.41</v>
      </c>
      <c r="GF27" s="62" t="s">
        <v>2779</v>
      </c>
      <c r="GG27" s="199">
        <f t="shared" si="84"/>
        <v>5.2349168956942806</v>
      </c>
      <c r="GH27" s="207">
        <f t="shared" si="85"/>
        <v>399.99999999999994</v>
      </c>
      <c r="GI27" s="199">
        <f t="shared" si="86"/>
        <v>5.2349168956942806</v>
      </c>
      <c r="GJ27" s="200">
        <f t="shared" si="87"/>
        <v>78.83</v>
      </c>
      <c r="GK27" s="63">
        <f t="shared" si="88"/>
        <v>12.668498887580199</v>
      </c>
      <c r="GL27" s="63">
        <f t="shared" si="89"/>
        <v>23.661824368538248</v>
      </c>
      <c r="GM27" s="82">
        <f t="shared" si="90"/>
        <v>0.98590934868909386</v>
      </c>
      <c r="GN27" s="82">
        <f>IF($GZ27="",#N/A,SUM(GM$4:GM27))</f>
        <v>9.2509211228631436</v>
      </c>
      <c r="GO27" s="82" t="str">
        <f t="shared" si="91"/>
        <v/>
      </c>
      <c r="GP27" s="82">
        <f>IF($GZ27="",#N/A,SUM(GO$4:GO27))</f>
        <v>2.8939829164180333</v>
      </c>
      <c r="GQ27" s="82" t="str">
        <f t="shared" si="92"/>
        <v/>
      </c>
      <c r="GR27" s="82">
        <f>IF($GZ27="",#N/A,SUM(GQ$4:GQ27))</f>
        <v>2.5528668609144187</v>
      </c>
      <c r="GS27" s="63">
        <f t="shared" si="100"/>
        <v>23.661824368538248</v>
      </c>
      <c r="GT27" s="63">
        <f>IF($GZ27="",#N/A,SUM(GS$4:GS27))</f>
        <v>222.02210694871548</v>
      </c>
      <c r="GU27" s="63" t="str">
        <f t="shared" si="101"/>
        <v/>
      </c>
      <c r="GV27" s="63">
        <f>IF($GZ27="",#N/A,SUM(GU$4:GU27))</f>
        <v>69.455589994032778</v>
      </c>
      <c r="GW27" s="62" t="str">
        <f t="shared" si="102"/>
        <v/>
      </c>
      <c r="GX27" s="63">
        <f>IF($GZ27="",#N/A,SUM(GW$4:GW27))</f>
        <v>61.268804661946035</v>
      </c>
      <c r="GY27" s="63">
        <f>IF(EJ27="",#N/A,SUM($EJ$4:EJ27))</f>
        <v>352.74650160469429</v>
      </c>
      <c r="GZ27" s="159">
        <v>80.930000000000007</v>
      </c>
      <c r="HA27" s="63">
        <f t="shared" si="93"/>
        <v>10.993325480958049</v>
      </c>
      <c r="HB27" s="62" t="s">
        <v>4970</v>
      </c>
      <c r="HC27" s="60">
        <f>IFERROR(VLOOKUP(E27,Expectancy!$P$4:$S$19,1+C27,FALSE),"")</f>
        <v>9.9793136114217987E-2</v>
      </c>
      <c r="HD27" s="60" t="str">
        <f t="shared" si="94"/>
        <v/>
      </c>
      <c r="HE27" s="60" t="e">
        <f>IF(HD27="",#N/A,SUM($HD$4:HD27))</f>
        <v>#N/A</v>
      </c>
      <c r="HF27" s="64" t="e">
        <f>IF(HD27="",#N/A,IF(HB27="Skip",#N/A,SUM($HG$4:HG27)))</f>
        <v>#N/A</v>
      </c>
      <c r="HG27" s="63" t="str">
        <f t="shared" si="95"/>
        <v/>
      </c>
      <c r="HH27" s="82">
        <f t="shared" si="96"/>
        <v>0.98590934868909386</v>
      </c>
    </row>
    <row r="28" spans="1:216" x14ac:dyDescent="0.25">
      <c r="A28" s="65" t="s">
        <v>1383</v>
      </c>
      <c r="B28" s="58" t="s">
        <v>5096</v>
      </c>
      <c r="C28" s="386">
        <f t="shared" si="0"/>
        <v>1</v>
      </c>
      <c r="D28" s="372" t="str">
        <f>_xlfn.XLOOKUP(A28,[1]SP500!$A$2:$A$502,[1]SP500!$D$2:$D$502,"N")</f>
        <v>Y</v>
      </c>
      <c r="E28" s="57" t="str">
        <f>_xlfn.XLOOKUP(A28,[1]SP500!$A$2:$A$655,[1]SP500!$B$2:$B$655)</f>
        <v>XLI</v>
      </c>
      <c r="F28" s="59">
        <v>45678</v>
      </c>
      <c r="G28" s="57" t="str">
        <f t="shared" si="1"/>
        <v>BMO</v>
      </c>
      <c r="H28" s="57" t="str">
        <f t="shared" si="2"/>
        <v>o</v>
      </c>
      <c r="I28" s="159">
        <v>141.03</v>
      </c>
      <c r="J28" s="158">
        <v>145.5</v>
      </c>
      <c r="K28" s="61">
        <f t="shared" si="3"/>
        <v>3.1695383960859386E-2</v>
      </c>
      <c r="L28" s="87">
        <f t="shared" si="4"/>
        <v>12.678153584343704</v>
      </c>
      <c r="M28" s="63" t="str">
        <f t="shared" si="5"/>
        <v/>
      </c>
      <c r="N28" s="219">
        <f t="shared" si="6"/>
        <v>12.678153584343704</v>
      </c>
      <c r="O28" s="219">
        <f>IF($J28="",#N/A,SUM($N$4:N28))</f>
        <v>13.494698030944676</v>
      </c>
      <c r="P28" s="220" t="str">
        <f t="shared" si="7"/>
        <v/>
      </c>
      <c r="Q28" s="220">
        <f>IF($J28="",#N/A,SUM($P$4:P28))</f>
        <v>20.452679919300749</v>
      </c>
      <c r="R28" s="221" t="str">
        <f t="shared" si="8"/>
        <v/>
      </c>
      <c r="S28" s="222">
        <f>IF($J28="",#N/A,SUM($R$4:R28))</f>
        <v>140.8108835207932</v>
      </c>
      <c r="T28" s="281">
        <f t="shared" si="9"/>
        <v>0.52825639934765434</v>
      </c>
      <c r="U28" s="281">
        <f>IF($J28="",#N/A,SUM($T$4:T28))</f>
        <v>0.56227908462269494</v>
      </c>
      <c r="V28" s="282" t="str">
        <f t="shared" si="10"/>
        <v/>
      </c>
      <c r="W28" s="282">
        <f>IF($J28="",#N/A,SUM($V$4:V28))</f>
        <v>0.85219499663753107</v>
      </c>
      <c r="X28" s="283" t="str">
        <f t="shared" si="11"/>
        <v/>
      </c>
      <c r="Y28" s="283">
        <f>IF($J28="",#N/A,SUM($X$4:X28))</f>
        <v>5.8671201466997163</v>
      </c>
      <c r="Z28" s="304" t="str">
        <f t="shared" si="12"/>
        <v/>
      </c>
      <c r="AA28" s="304">
        <f>IF($J28="",#N/A,SUM(Z$4:Z28))</f>
        <v>0</v>
      </c>
      <c r="AB28" s="305" t="str">
        <f t="shared" si="13"/>
        <v/>
      </c>
      <c r="AC28" s="305">
        <f>IF($J28="",#N/A,SUM(AB$4:AB28))</f>
        <v>0</v>
      </c>
      <c r="AD28" s="306" t="str">
        <f t="shared" si="14"/>
        <v/>
      </c>
      <c r="AE28" s="306">
        <f>IF($J28="",#N/A,SUM(AD$4:AD28))</f>
        <v>0</v>
      </c>
      <c r="AF28" s="306">
        <f>IF($J28="",#N/A,SUM(AD$4:AD28,AB$4:AB28,Z$4:Z28))</f>
        <v>0</v>
      </c>
      <c r="AG28" s="304" t="str">
        <f t="shared" si="15"/>
        <v/>
      </c>
      <c r="AH28" s="304">
        <f>IF($J28="",#N/A,SUM(AG$4:AG28))</f>
        <v>0</v>
      </c>
      <c r="AI28" s="305" t="str">
        <f t="shared" si="16"/>
        <v/>
      </c>
      <c r="AJ28" s="305">
        <f>IF($J28="",#N/A,SUM(AI$4:AI28))</f>
        <v>0</v>
      </c>
      <c r="AK28" s="306" t="str">
        <f t="shared" si="17"/>
        <v/>
      </c>
      <c r="AL28" s="306">
        <f>IF($J28="",#N/A,SUM(AK$4:AK28))</f>
        <v>0</v>
      </c>
      <c r="AM28" s="306">
        <f>IF($J28="",#N/A,SUM(AK$4:AK28,AI$4:AI28,AG$4:AG28))</f>
        <v>0</v>
      </c>
      <c r="AN28" s="304" t="str">
        <f t="shared" si="18"/>
        <v/>
      </c>
      <c r="AO28" s="304">
        <f>IF($J28="",#N/A,SUM(AN$4:AN28))</f>
        <v>0</v>
      </c>
      <c r="AP28" s="305" t="str">
        <f t="shared" si="19"/>
        <v/>
      </c>
      <c r="AQ28" s="305">
        <f>IF($J28="",#N/A,SUM(AP$4:AP28))</f>
        <v>0</v>
      </c>
      <c r="AR28" s="306" t="str">
        <f t="shared" si="20"/>
        <v/>
      </c>
      <c r="AS28" s="306">
        <f>IF($J28="",#N/A,SUM(AR$4:AR28))</f>
        <v>0</v>
      </c>
      <c r="AT28" s="306">
        <f>IF($J28="",#N/A,SUM(AR$4:AR28,AP$4:AP28,AN$4:AN28))</f>
        <v>0</v>
      </c>
      <c r="AU28" s="304" t="str">
        <f t="shared" si="21"/>
        <v/>
      </c>
      <c r="AV28" s="304">
        <f>IF($J28="",#N/A,SUM(AU$4:AU28))</f>
        <v>0</v>
      </c>
      <c r="AW28" s="305" t="str">
        <f t="shared" si="22"/>
        <v/>
      </c>
      <c r="AX28" s="305">
        <f>IF($J28="",#N/A,SUM(AW$4:AW28))</f>
        <v>1.2290222546515868</v>
      </c>
      <c r="AY28" s="306" t="str">
        <f t="shared" si="23"/>
        <v/>
      </c>
      <c r="AZ28" s="306">
        <f>IF($J28="",#N/A,SUM(AY$4:AY28))</f>
        <v>2.4945770065075905</v>
      </c>
      <c r="BA28" s="306">
        <f>IF($J28="",#N/A,SUM(AY$4:AY28,AW$4:AW28,AU$4:AU28))</f>
        <v>3.7235992611591771</v>
      </c>
      <c r="BB28" s="304" t="str">
        <f t="shared" si="24"/>
        <v/>
      </c>
      <c r="BC28" s="304">
        <f>IF($J28="",#N/A,SUM(BB$4:BB28))</f>
        <v>0</v>
      </c>
      <c r="BD28" s="305" t="str">
        <f t="shared" si="25"/>
        <v/>
      </c>
      <c r="BE28" s="305">
        <f>IF($J28="",#N/A,SUM(BD$4:BD28))</f>
        <v>0</v>
      </c>
      <c r="BF28" s="306" t="str">
        <f t="shared" si="26"/>
        <v/>
      </c>
      <c r="BG28" s="306">
        <f>IF($J28="",#N/A,SUM(BF$4:BF28))</f>
        <v>0</v>
      </c>
      <c r="BH28" s="306">
        <f>IF($J28="",#N/A,SUM(BF$4:BF28,BD$4:BD28,BB$4:BB28))</f>
        <v>0</v>
      </c>
      <c r="BI28" s="304" t="str">
        <f t="shared" si="27"/>
        <v/>
      </c>
      <c r="BJ28" s="304">
        <f>IF($J28="",#N/A,SUM(BI$4:BI28))</f>
        <v>-0.93471713888646701</v>
      </c>
      <c r="BK28" s="305" t="str">
        <f t="shared" si="28"/>
        <v/>
      </c>
      <c r="BL28" s="305">
        <f>IF($J28="",#N/A,SUM(BK$4:BK28))</f>
        <v>0</v>
      </c>
      <c r="BM28" s="306" t="str">
        <f t="shared" si="29"/>
        <v/>
      </c>
      <c r="BN28" s="306">
        <f>IF($J28="",#N/A,SUM(BM$4:BM28))</f>
        <v>4.3750494058562852</v>
      </c>
      <c r="BO28" s="306">
        <f>IF($J28="",#N/A,SUM(BM$4:BM28,BK$4:BK28,BI$4:BI28))</f>
        <v>3.440332266969818</v>
      </c>
      <c r="BP28" s="304">
        <f t="shared" si="30"/>
        <v>0.52825639934765434</v>
      </c>
      <c r="BQ28" s="304">
        <f>IF($J28="",#N/A,SUM(BP$4:BP28))</f>
        <v>1.4969962235091621</v>
      </c>
      <c r="BR28" s="305" t="str">
        <f t="shared" si="31"/>
        <v/>
      </c>
      <c r="BS28" s="305">
        <f>IF($J28="",#N/A,SUM(BR$4:BR28))</f>
        <v>-0.34773304801390975</v>
      </c>
      <c r="BT28" s="306" t="str">
        <f t="shared" si="32"/>
        <v/>
      </c>
      <c r="BU28" s="306">
        <f>IF($J28="",#N/A,SUM(BT$4:BT28))</f>
        <v>-1.0025062656641595</v>
      </c>
      <c r="BV28" s="306">
        <f>IF($J28="",#N/A,SUM(BT$4:BT28,BR$4:BR28,BP$4:BP28))</f>
        <v>0.14675690983109269</v>
      </c>
      <c r="BW28" s="304" t="str">
        <f t="shared" si="33"/>
        <v/>
      </c>
      <c r="BX28" s="304">
        <f>IF($J28="",#N/A,SUM(BW$4:BW28))</f>
        <v>0</v>
      </c>
      <c r="BY28" s="305" t="str">
        <f t="shared" si="34"/>
        <v/>
      </c>
      <c r="BZ28" s="305">
        <f>IF($J28="",#N/A,SUM(BY$4:BY28))</f>
        <v>0</v>
      </c>
      <c r="CA28" s="306" t="str">
        <f t="shared" si="35"/>
        <v/>
      </c>
      <c r="CB28" s="306">
        <f>IF($J28="",#N/A,SUM(CA$4:CA28))</f>
        <v>0</v>
      </c>
      <c r="CC28" s="306">
        <f>IF($J28="",#N/A,SUM(CA$4:CA28,BY$4:BY28,BW$4:BW28))</f>
        <v>0</v>
      </c>
      <c r="CD28" s="304" t="str">
        <f t="shared" si="36"/>
        <v/>
      </c>
      <c r="CE28" s="304">
        <f>IF($J28="",#N/A,SUM(CD$4:CD28))</f>
        <v>0</v>
      </c>
      <c r="CF28" s="305" t="str">
        <f t="shared" si="37"/>
        <v/>
      </c>
      <c r="CG28" s="305">
        <f>IF($J28="",#N/A,SUM(CF$4:CF28))</f>
        <v>0</v>
      </c>
      <c r="CH28" s="306" t="str">
        <f t="shared" si="38"/>
        <v/>
      </c>
      <c r="CI28" s="306">
        <f>IF($J28="",#N/A,SUM(CH$4:CH28))</f>
        <v>0</v>
      </c>
      <c r="CJ28" s="306">
        <f>IF($J28="",#N/A,SUM(CH$4:CH28,CF$4:CF28,CD$4:CD28))</f>
        <v>0</v>
      </c>
      <c r="CK28" s="304" t="str">
        <f t="shared" si="39"/>
        <v/>
      </c>
      <c r="CL28" s="304">
        <f>IF($J28="",#N/A,SUM(CK$4:CK28))</f>
        <v>0</v>
      </c>
      <c r="CM28" s="305" t="str">
        <f t="shared" si="40"/>
        <v/>
      </c>
      <c r="CN28" s="305">
        <f>IF($J28="",#N/A,SUM(CM$4:CM28))</f>
        <v>0</v>
      </c>
      <c r="CO28" s="306" t="str">
        <f t="shared" si="41"/>
        <v/>
      </c>
      <c r="CP28" s="306">
        <f>IF($J28="",#N/A,SUM(CO$4:CO28))</f>
        <v>0</v>
      </c>
      <c r="CQ28" s="306">
        <f>IF($J28="",#N/A,SUM(CO$4:CO28,CM$4:CM28,CK$4:CK28))</f>
        <v>0</v>
      </c>
      <c r="CR28" s="304" t="str">
        <f t="shared" si="42"/>
        <v/>
      </c>
      <c r="CS28" s="304">
        <f>IF($J28="",#N/A,SUM(CR$4:CR28))</f>
        <v>0</v>
      </c>
      <c r="CT28" s="305" t="str">
        <f t="shared" si="43"/>
        <v/>
      </c>
      <c r="CU28" s="305">
        <f>IF($J28="",#N/A,SUM(CT$4:CT28))</f>
        <v>-0.42995051512938903</v>
      </c>
      <c r="CV28" s="306" t="str">
        <f t="shared" si="44"/>
        <v/>
      </c>
      <c r="CW28" s="306">
        <f>IF($J28="",#N/A,SUM(CV$4:CV28))</f>
        <v>0</v>
      </c>
      <c r="CX28" s="306">
        <f>IF($J28="",#N/A,SUM(CV$4:CV28,CT$4:CT28,CR$4:CR28))</f>
        <v>-0.42995051512938903</v>
      </c>
      <c r="CY28" s="304" t="str">
        <f t="shared" si="45"/>
        <v/>
      </c>
      <c r="CZ28" s="304">
        <f>IF($J28="",#N/A,SUM(CY$4:CY28))</f>
        <v>0</v>
      </c>
      <c r="DA28" s="305" t="str">
        <f t="shared" si="46"/>
        <v/>
      </c>
      <c r="DB28" s="305">
        <f>IF($J28="",#N/A,SUM(DA$4:DA28))</f>
        <v>0</v>
      </c>
      <c r="DC28" s="306" t="str">
        <f t="shared" si="47"/>
        <v/>
      </c>
      <c r="DD28" s="306">
        <f>IF($J28="",#N/A,SUM(DC$4:DC28))</f>
        <v>0</v>
      </c>
      <c r="DE28" s="306">
        <f>IF($J28="",#N/A,SUM(DC$4:DC28,DA$4:DA28,CY$4:CY28))</f>
        <v>0</v>
      </c>
      <c r="DF28" s="304" t="str">
        <f t="shared" si="48"/>
        <v/>
      </c>
      <c r="DG28" s="304">
        <f>IF($J28="",#N/A,SUM(DF$4:DF28))</f>
        <v>0</v>
      </c>
      <c r="DH28" s="305" t="str">
        <f t="shared" si="49"/>
        <v/>
      </c>
      <c r="DI28" s="305">
        <f>IF($J28="",#N/A,SUM(DH$4:DH28))</f>
        <v>0</v>
      </c>
      <c r="DJ28" s="306" t="str">
        <f t="shared" si="50"/>
        <v/>
      </c>
      <c r="DK28" s="306">
        <f>IF($J28="",#N/A,SUM(DJ$4:DJ28))</f>
        <v>0</v>
      </c>
      <c r="DL28" s="306">
        <f>IF($J28="",#N/A,SUM(DJ$4:DJ28,DH$4:DH28,DF$4:DF28))</f>
        <v>0</v>
      </c>
      <c r="DM28" s="304" t="str">
        <f t="shared" si="51"/>
        <v/>
      </c>
      <c r="DN28" s="304">
        <f>IF($J28="",#N/A,SUM(DM$4:DM28))</f>
        <v>0</v>
      </c>
      <c r="DO28" s="305" t="str">
        <f t="shared" si="52"/>
        <v/>
      </c>
      <c r="DP28" s="305">
        <f>IF($J28="",#N/A,SUM(DO$4:DO28))</f>
        <v>0</v>
      </c>
      <c r="DQ28" s="306" t="str">
        <f t="shared" si="53"/>
        <v/>
      </c>
      <c r="DR28" s="306">
        <f>IF($J28="",#N/A,SUM(DQ$4:DQ28))</f>
        <v>0</v>
      </c>
      <c r="DS28" s="306">
        <f>IF($J28="",#N/A,SUM(DQ$4:DQ28,DO$4:DO28,DM$4:DM28))</f>
        <v>0</v>
      </c>
      <c r="DT28" s="304" t="str">
        <f t="shared" si="54"/>
        <v/>
      </c>
      <c r="DU28" s="304">
        <f>IF($J28="",#N/A,SUM(DT$4:DT28))</f>
        <v>0</v>
      </c>
      <c r="DV28" s="305" t="str">
        <f t="shared" si="55"/>
        <v/>
      </c>
      <c r="DW28" s="305">
        <f>IF($J28="",#N/A,SUM(DV$4:DV28))</f>
        <v>0.40085630512924314</v>
      </c>
      <c r="DX28" s="306" t="str">
        <f t="shared" si="56"/>
        <v/>
      </c>
      <c r="DY28" s="306">
        <f>IF($J28="",#N/A,SUM(DX$4:DX28))</f>
        <v>0</v>
      </c>
      <c r="DZ28" s="306">
        <f>IF($J28="",#N/A,SUM(DX$4:DX28,DV$4:DV28,DT$4:DT28))</f>
        <v>0.40085630512924314</v>
      </c>
      <c r="EA28" s="304" t="str">
        <f t="shared" si="57"/>
        <v/>
      </c>
      <c r="EB28" s="304">
        <f>IF($J28="",#N/A,SUM(EA$4:EA28))</f>
        <v>0</v>
      </c>
      <c r="EC28" s="305" t="str">
        <f t="shared" si="58"/>
        <v/>
      </c>
      <c r="ED28" s="305">
        <f>IF($J28="",#N/A,SUM(EC$4:EC28))</f>
        <v>0</v>
      </c>
      <c r="EE28" s="306" t="str">
        <f t="shared" si="59"/>
        <v/>
      </c>
      <c r="EF28" s="306">
        <f>IF($J28="",#N/A,SUM(EE$4:EE28))</f>
        <v>0</v>
      </c>
      <c r="EG28" s="306">
        <f>IF($J28="",#N/A,SUM(EE$4:EE28,EC$4:EC28,EA$4:EA28))</f>
        <v>0</v>
      </c>
      <c r="EH28" s="223">
        <f t="shared" si="60"/>
        <v>12.678153584343704</v>
      </c>
      <c r="EI28" s="224">
        <f>IF(EH28="",#N/A,SUM($EH$4:EH28))</f>
        <v>174.75826147103862</v>
      </c>
      <c r="EJ28" s="223">
        <f t="shared" si="61"/>
        <v>16.620577182159764</v>
      </c>
      <c r="EK28" s="63">
        <f>IF($GZ28="",#N/A,SUM(EJ$4:EJ28))</f>
        <v>369.36707878685405</v>
      </c>
      <c r="EL28" s="60">
        <f t="shared" si="97"/>
        <v>0.52825639934765434</v>
      </c>
      <c r="EM28" s="60">
        <f>IF(EL28="",NA(),SUM($EL$4:EL28))</f>
        <v>7.2815942279599435</v>
      </c>
      <c r="EN28" s="60">
        <f t="shared" si="62"/>
        <v>0.52825639934765434</v>
      </c>
      <c r="EO28" s="60">
        <f>IF(EN28="",NA(),SUM($EN$4:EN28))</f>
        <v>0.56227908462269494</v>
      </c>
      <c r="EP28" s="60" t="str">
        <f t="shared" si="63"/>
        <v/>
      </c>
      <c r="EQ28" s="60" t="e">
        <f>IF(EP28="",NA(),SUM($EP$4:EP28))</f>
        <v>#N/A</v>
      </c>
      <c r="ER28" s="60" t="str">
        <f t="shared" si="64"/>
        <v/>
      </c>
      <c r="ES28" s="60" t="e">
        <f>IF(ER28="",NA(),SUM($ER$4:ER28))</f>
        <v>#N/A</v>
      </c>
      <c r="ET28" s="60" t="str">
        <f t="shared" si="65"/>
        <v/>
      </c>
      <c r="EU28" s="60" t="e">
        <f>IF(ET28="",NA(),SUM($ET$4:ET28))</f>
        <v>#N/A</v>
      </c>
      <c r="EV28" s="60" t="str">
        <f t="shared" si="66"/>
        <v/>
      </c>
      <c r="EW28" s="60" t="e">
        <f>IF(EV28="",NA(),SUM($EV$4:EV28))</f>
        <v>#N/A</v>
      </c>
      <c r="EX28" s="60" t="str">
        <f t="shared" si="67"/>
        <v/>
      </c>
      <c r="EY28" s="60" t="e">
        <f>IF(EX28="",NA(),SUM($EX$4:EX28))</f>
        <v>#N/A</v>
      </c>
      <c r="EZ28" s="60" t="str">
        <f t="shared" si="68"/>
        <v/>
      </c>
      <c r="FA28" s="60" t="e">
        <f>IF(EZ28="",NA(),SUM($EZ$4:EZ28))</f>
        <v>#N/A</v>
      </c>
      <c r="FB28" s="246" t="str">
        <f t="shared" si="98"/>
        <v/>
      </c>
      <c r="FC28" s="246" t="e">
        <f>IF($FB28="",#N/A,SUM(FB$4:$FB28))</f>
        <v>#N/A</v>
      </c>
      <c r="FD28" s="60" t="str">
        <f t="shared" si="69"/>
        <v/>
      </c>
      <c r="FE28" s="60" t="e">
        <f>IF($FD28="",#N/A,SUM($FD$4:FD28))</f>
        <v>#N/A</v>
      </c>
      <c r="FF28" s="60">
        <f t="shared" si="70"/>
        <v>0.16426764990900244</v>
      </c>
      <c r="FG28" s="60">
        <f>IF($FF28="",#N/A,SUM($FF$4:FF28))</f>
        <v>1.6659286323709446</v>
      </c>
      <c r="FH28" s="60" t="str">
        <f t="shared" si="71"/>
        <v/>
      </c>
      <c r="FI28" s="60" t="e">
        <f>IF($FH28="",#N/A,SUM($FH$4:FH28))</f>
        <v>#N/A</v>
      </c>
      <c r="FJ28" s="60" t="str">
        <f t="shared" si="72"/>
        <v/>
      </c>
      <c r="FK28" s="60" t="e">
        <f>IF($FJ28="",#N/A,SUM($FJ$4:FJ28))</f>
        <v>#N/A</v>
      </c>
      <c r="FL28" s="60" t="str">
        <f t="shared" si="73"/>
        <v/>
      </c>
      <c r="FM28" s="60" t="e">
        <f>IF($FL28="",#N/A,SUM($FL$4:FL28))</f>
        <v>#N/A</v>
      </c>
      <c r="FN28" s="82">
        <f t="shared" si="74"/>
        <v>0.69252404925665678</v>
      </c>
      <c r="FO28" s="82">
        <f>IF($FN28="",#N/A,SUM(FN$4:$FN28))</f>
        <v>15.390294949452251</v>
      </c>
      <c r="FP28" s="82">
        <f t="shared" si="99"/>
        <v>0.52825639934765434</v>
      </c>
      <c r="FQ28" s="246">
        <f>IF($EH28="",#N/A,SUM($FP$4:FP28))</f>
        <v>7.2815942279599435</v>
      </c>
      <c r="FR28" s="82">
        <f>IFERROR(FQ28/COUNTA($J$4:J28),#N/A)</f>
        <v>0.29126376911839774</v>
      </c>
      <c r="FS28" s="99"/>
      <c r="FT28" s="82">
        <f t="shared" ref="FT28:FT52" si="103">IFERROR(($FQ28-$FQ4)/COUNTA($J4:$J28),#N/A)</f>
        <v>0.24210287893233429</v>
      </c>
      <c r="FU28" s="82" t="e">
        <v>#N/A</v>
      </c>
      <c r="FV28" s="57" t="str">
        <f t="shared" si="75"/>
        <v>Up</v>
      </c>
      <c r="FW28" s="57" t="s">
        <v>2733</v>
      </c>
      <c r="FX28" s="57">
        <f t="shared" si="76"/>
        <v>1</v>
      </c>
      <c r="FY28" s="57" t="str">
        <f t="shared" si="77"/>
        <v/>
      </c>
      <c r="FZ28" s="57" t="str">
        <f t="shared" si="78"/>
        <v/>
      </c>
      <c r="GA28" s="57" t="str">
        <f t="shared" si="79"/>
        <v>Long</v>
      </c>
      <c r="GB28" s="57" t="str">
        <f t="shared" si="80"/>
        <v/>
      </c>
      <c r="GC28" s="57" t="str">
        <f t="shared" si="81"/>
        <v/>
      </c>
      <c r="GD28" s="57" t="str">
        <f t="shared" si="82"/>
        <v/>
      </c>
      <c r="GE28" s="62">
        <f t="shared" si="83"/>
        <v>141.03</v>
      </c>
      <c r="GF28" s="62" t="s">
        <v>2779</v>
      </c>
      <c r="GG28" s="199">
        <f t="shared" si="84"/>
        <v>2.8362759696518469</v>
      </c>
      <c r="GH28" s="207">
        <f t="shared" si="85"/>
        <v>400</v>
      </c>
      <c r="GI28" s="199">
        <f t="shared" si="86"/>
        <v>2.8362759696518469</v>
      </c>
      <c r="GJ28" s="200">
        <f t="shared" si="87"/>
        <v>145.5</v>
      </c>
      <c r="GK28" s="63">
        <f t="shared" si="88"/>
        <v>12.678153584343704</v>
      </c>
      <c r="GL28" s="63">
        <f t="shared" si="89"/>
        <v>16.620577182159764</v>
      </c>
      <c r="GM28" s="82" t="str">
        <f t="shared" si="90"/>
        <v/>
      </c>
      <c r="GN28" s="82">
        <f>IF($GZ28="",#N/A,SUM(GM$4:GM28))</f>
        <v>9.2509211228631436</v>
      </c>
      <c r="GO28" s="82">
        <f t="shared" si="91"/>
        <v>0.69252404925665678</v>
      </c>
      <c r="GP28" s="82">
        <f>IF($GZ28="",#N/A,SUM(GO$4:GO28))</f>
        <v>3.58650696567469</v>
      </c>
      <c r="GQ28" s="82" t="str">
        <f t="shared" si="92"/>
        <v/>
      </c>
      <c r="GR28" s="82">
        <f>IF($GZ28="",#N/A,SUM(GQ$4:GQ28))</f>
        <v>2.5528668609144187</v>
      </c>
      <c r="GS28" s="63" t="str">
        <f t="shared" si="100"/>
        <v/>
      </c>
      <c r="GT28" s="63">
        <f>IF($GZ28="",#N/A,SUM(GS$4:GS28))</f>
        <v>222.02210694871548</v>
      </c>
      <c r="GU28" s="63">
        <f t="shared" si="101"/>
        <v>16.620577182159764</v>
      </c>
      <c r="GV28" s="63">
        <f>IF($GZ28="",#N/A,SUM(GU$4:GU28))</f>
        <v>86.076167176192541</v>
      </c>
      <c r="GW28" s="62" t="str">
        <f t="shared" si="102"/>
        <v/>
      </c>
      <c r="GX28" s="63">
        <f>IF($GZ28="",#N/A,SUM(GW$4:GW28))</f>
        <v>61.268804661946035</v>
      </c>
      <c r="GY28" s="63">
        <f>IF(EJ28="",#N/A,SUM($EJ$4:EJ28))</f>
        <v>369.36707878685405</v>
      </c>
      <c r="GZ28" s="159">
        <v>146.88999999999999</v>
      </c>
      <c r="HA28" s="63">
        <f t="shared" si="93"/>
        <v>3.9424235978160596</v>
      </c>
      <c r="HB28" s="62" t="s">
        <v>4970</v>
      </c>
      <c r="HC28" s="60">
        <f>IFERROR(VLOOKUP(E28,Expectancy!$P$4:$S$19,1+C28,FALSE),"")</f>
        <v>-4.1762476788754908E-2</v>
      </c>
      <c r="HD28" s="60" t="str">
        <f t="shared" si="94"/>
        <v/>
      </c>
      <c r="HE28" s="60" t="e">
        <f>IF(HD28="",#N/A,SUM($HD$4:HD28))</f>
        <v>#N/A</v>
      </c>
      <c r="HF28" s="64" t="e">
        <f>IF(HD28="",#N/A,IF(HB28="Skip",#N/A,SUM($HG$4:HG28)))</f>
        <v>#N/A</v>
      </c>
      <c r="HG28" s="63" t="str">
        <f t="shared" si="95"/>
        <v/>
      </c>
      <c r="HH28" s="82">
        <f t="shared" si="96"/>
        <v>0.69252404925665678</v>
      </c>
    </row>
    <row r="29" spans="1:216" x14ac:dyDescent="0.25">
      <c r="A29" s="57" t="s">
        <v>1412</v>
      </c>
      <c r="B29" s="58" t="s">
        <v>5096</v>
      </c>
      <c r="C29" s="386">
        <f t="shared" si="0"/>
        <v>2</v>
      </c>
      <c r="D29" s="372" t="str">
        <f>_xlfn.XLOOKUP(A29,[1]SP500!$A$2:$A$502,[1]SP500!$D$2:$D$502,"N")</f>
        <v>Y</v>
      </c>
      <c r="E29" s="57" t="str">
        <f>_xlfn.XLOOKUP(A29,[1]SP500!$A$2:$A$655,[1]SP500!$B$2:$B$655)</f>
        <v>XHB</v>
      </c>
      <c r="F29" s="59">
        <v>45678</v>
      </c>
      <c r="G29" s="57" t="str">
        <f t="shared" si="1"/>
        <v>BMO</v>
      </c>
      <c r="H29" s="57" t="str">
        <f t="shared" si="2"/>
        <v>o</v>
      </c>
      <c r="I29" s="159">
        <v>147.65</v>
      </c>
      <c r="J29" s="159">
        <v>151.9</v>
      </c>
      <c r="K29" s="61">
        <f t="shared" si="3"/>
        <v>2.8784287165594311E-2</v>
      </c>
      <c r="L29" s="87">
        <f t="shared" si="4"/>
        <v>-11.513714866237763</v>
      </c>
      <c r="M29" s="63" t="str">
        <f t="shared" si="5"/>
        <v/>
      </c>
      <c r="N29" s="219" t="str">
        <f t="shared" si="6"/>
        <v/>
      </c>
      <c r="O29" s="219">
        <f>IF($J29="",#N/A,SUM($N$4:N29))</f>
        <v>13.494698030944676</v>
      </c>
      <c r="P29" s="220">
        <f t="shared" si="7"/>
        <v>-11.513714866237763</v>
      </c>
      <c r="Q29" s="220">
        <f>IF($J29="",#N/A,SUM($P$4:P29))</f>
        <v>8.9389650530629865</v>
      </c>
      <c r="R29" s="221" t="str">
        <f t="shared" si="8"/>
        <v/>
      </c>
      <c r="S29" s="222">
        <f>IF($J29="",#N/A,SUM($R$4:R29))</f>
        <v>140.8108835207932</v>
      </c>
      <c r="T29" s="281" t="str">
        <f t="shared" si="9"/>
        <v/>
      </c>
      <c r="U29" s="281">
        <f>IF($J29="",#N/A,SUM($T$4:T29))</f>
        <v>0.56227908462269494</v>
      </c>
      <c r="V29" s="282">
        <f t="shared" si="10"/>
        <v>-0.47973811942657352</v>
      </c>
      <c r="W29" s="282">
        <f>IF($J29="",#N/A,SUM($V$4:V29))</f>
        <v>0.37245687721095755</v>
      </c>
      <c r="X29" s="283" t="str">
        <f t="shared" si="11"/>
        <v/>
      </c>
      <c r="Y29" s="283">
        <f>IF($J29="",#N/A,SUM($X$4:X29))</f>
        <v>5.8671201466997163</v>
      </c>
      <c r="Z29" s="304" t="str">
        <f t="shared" si="12"/>
        <v/>
      </c>
      <c r="AA29" s="304">
        <f>IF($J29="",#N/A,SUM(Z$4:Z29))</f>
        <v>0</v>
      </c>
      <c r="AB29" s="305" t="str">
        <f t="shared" si="13"/>
        <v/>
      </c>
      <c r="AC29" s="305">
        <f>IF($J29="",#N/A,SUM(AB$4:AB29))</f>
        <v>0</v>
      </c>
      <c r="AD29" s="306" t="str">
        <f t="shared" si="14"/>
        <v/>
      </c>
      <c r="AE29" s="306">
        <f>IF($J29="",#N/A,SUM(AD$4:AD29))</f>
        <v>0</v>
      </c>
      <c r="AF29" s="306">
        <f>IF($J29="",#N/A,SUM(AD$4:AD29,AB$4:AB29,Z$4:Z29))</f>
        <v>0</v>
      </c>
      <c r="AG29" s="304" t="str">
        <f t="shared" si="15"/>
        <v/>
      </c>
      <c r="AH29" s="304">
        <f>IF($J29="",#N/A,SUM(AG$4:AG29))</f>
        <v>0</v>
      </c>
      <c r="AI29" s="305" t="str">
        <f t="shared" si="16"/>
        <v/>
      </c>
      <c r="AJ29" s="305">
        <f>IF($J29="",#N/A,SUM(AI$4:AI29))</f>
        <v>0</v>
      </c>
      <c r="AK29" s="306" t="str">
        <f t="shared" si="17"/>
        <v/>
      </c>
      <c r="AL29" s="306">
        <f>IF($J29="",#N/A,SUM(AK$4:AK29))</f>
        <v>0</v>
      </c>
      <c r="AM29" s="306">
        <f>IF($J29="",#N/A,SUM(AK$4:AK29,AI$4:AI29,AG$4:AG29))</f>
        <v>0</v>
      </c>
      <c r="AN29" s="304" t="str">
        <f t="shared" si="18"/>
        <v/>
      </c>
      <c r="AO29" s="304">
        <f>IF($J29="",#N/A,SUM(AN$4:AN29))</f>
        <v>0</v>
      </c>
      <c r="AP29" s="305" t="str">
        <f t="shared" si="19"/>
        <v/>
      </c>
      <c r="AQ29" s="305">
        <f>IF($J29="",#N/A,SUM(AP$4:AP29))</f>
        <v>0</v>
      </c>
      <c r="AR29" s="306" t="str">
        <f t="shared" si="20"/>
        <v/>
      </c>
      <c r="AS29" s="306">
        <f>IF($J29="",#N/A,SUM(AR$4:AR29))</f>
        <v>0</v>
      </c>
      <c r="AT29" s="306">
        <f>IF($J29="",#N/A,SUM(AR$4:AR29,AP$4:AP29,AN$4:AN29))</f>
        <v>0</v>
      </c>
      <c r="AU29" s="304" t="str">
        <f t="shared" si="21"/>
        <v/>
      </c>
      <c r="AV29" s="304">
        <f>IF($J29="",#N/A,SUM(AU$4:AU29))</f>
        <v>0</v>
      </c>
      <c r="AW29" s="305" t="str">
        <f t="shared" si="22"/>
        <v/>
      </c>
      <c r="AX29" s="305">
        <f>IF($J29="",#N/A,SUM(AW$4:AW29))</f>
        <v>1.2290222546515868</v>
      </c>
      <c r="AY29" s="306" t="str">
        <f t="shared" si="23"/>
        <v/>
      </c>
      <c r="AZ29" s="306">
        <f>IF($J29="",#N/A,SUM(AY$4:AY29))</f>
        <v>2.4945770065075905</v>
      </c>
      <c r="BA29" s="306">
        <f>IF($J29="",#N/A,SUM(AY$4:AY29,AW$4:AW29,AU$4:AU29))</f>
        <v>3.7235992611591771</v>
      </c>
      <c r="BB29" s="304" t="str">
        <f t="shared" si="24"/>
        <v/>
      </c>
      <c r="BC29" s="304">
        <f>IF($J29="",#N/A,SUM(BB$4:BB29))</f>
        <v>0</v>
      </c>
      <c r="BD29" s="305" t="str">
        <f t="shared" si="25"/>
        <v/>
      </c>
      <c r="BE29" s="305">
        <f>IF($J29="",#N/A,SUM(BD$4:BD29))</f>
        <v>0</v>
      </c>
      <c r="BF29" s="306" t="str">
        <f t="shared" si="26"/>
        <v/>
      </c>
      <c r="BG29" s="306">
        <f>IF($J29="",#N/A,SUM(BF$4:BF29))</f>
        <v>0</v>
      </c>
      <c r="BH29" s="306">
        <f>IF($J29="",#N/A,SUM(BF$4:BF29,BD$4:BD29,BB$4:BB29))</f>
        <v>0</v>
      </c>
      <c r="BI29" s="304" t="str">
        <f t="shared" si="27"/>
        <v/>
      </c>
      <c r="BJ29" s="304">
        <f>IF($J29="",#N/A,SUM(BI$4:BI29))</f>
        <v>-0.93471713888646701</v>
      </c>
      <c r="BK29" s="305" t="str">
        <f t="shared" si="28"/>
        <v/>
      </c>
      <c r="BL29" s="305">
        <f>IF($J29="",#N/A,SUM(BK$4:BK29))</f>
        <v>0</v>
      </c>
      <c r="BM29" s="306" t="str">
        <f t="shared" si="29"/>
        <v/>
      </c>
      <c r="BN29" s="306">
        <f>IF($J29="",#N/A,SUM(BM$4:BM29))</f>
        <v>4.3750494058562852</v>
      </c>
      <c r="BO29" s="306">
        <f>IF($J29="",#N/A,SUM(BM$4:BM29,BK$4:BK29,BI$4:BI29))</f>
        <v>3.440332266969818</v>
      </c>
      <c r="BP29" s="304" t="str">
        <f t="shared" si="30"/>
        <v/>
      </c>
      <c r="BQ29" s="304">
        <f>IF($J29="",#N/A,SUM(BP$4:BP29))</f>
        <v>1.4969962235091621</v>
      </c>
      <c r="BR29" s="305" t="str">
        <f t="shared" si="31"/>
        <v/>
      </c>
      <c r="BS29" s="305">
        <f>IF($J29="",#N/A,SUM(BR$4:BR29))</f>
        <v>-0.34773304801390975</v>
      </c>
      <c r="BT29" s="306" t="str">
        <f t="shared" si="32"/>
        <v/>
      </c>
      <c r="BU29" s="306">
        <f>IF($J29="",#N/A,SUM(BT$4:BT29))</f>
        <v>-1.0025062656641595</v>
      </c>
      <c r="BV29" s="306">
        <f>IF($J29="",#N/A,SUM(BT$4:BT29,BR$4:BR29,BP$4:BP29))</f>
        <v>0.14675690983109269</v>
      </c>
      <c r="BW29" s="304" t="str">
        <f t="shared" si="33"/>
        <v/>
      </c>
      <c r="BX29" s="304">
        <f>IF($J29="",#N/A,SUM(BW$4:BW29))</f>
        <v>0</v>
      </c>
      <c r="BY29" s="305" t="str">
        <f t="shared" si="34"/>
        <v/>
      </c>
      <c r="BZ29" s="305">
        <f>IF($J29="",#N/A,SUM(BY$4:BY29))</f>
        <v>0</v>
      </c>
      <c r="CA29" s="306" t="str">
        <f t="shared" si="35"/>
        <v/>
      </c>
      <c r="CB29" s="306">
        <f>IF($J29="",#N/A,SUM(CA$4:CA29))</f>
        <v>0</v>
      </c>
      <c r="CC29" s="306">
        <f>IF($J29="",#N/A,SUM(CA$4:CA29,BY$4:BY29,BW$4:BW29))</f>
        <v>0</v>
      </c>
      <c r="CD29" s="304" t="str">
        <f t="shared" si="36"/>
        <v/>
      </c>
      <c r="CE29" s="304">
        <f>IF($J29="",#N/A,SUM(CD$4:CD29))</f>
        <v>0</v>
      </c>
      <c r="CF29" s="305" t="str">
        <f t="shared" si="37"/>
        <v/>
      </c>
      <c r="CG29" s="305">
        <f>IF($J29="",#N/A,SUM(CF$4:CF29))</f>
        <v>0</v>
      </c>
      <c r="CH29" s="306" t="str">
        <f t="shared" si="38"/>
        <v/>
      </c>
      <c r="CI29" s="306">
        <f>IF($J29="",#N/A,SUM(CH$4:CH29))</f>
        <v>0</v>
      </c>
      <c r="CJ29" s="306">
        <f>IF($J29="",#N/A,SUM(CH$4:CH29,CF$4:CF29,CD$4:CD29))</f>
        <v>0</v>
      </c>
      <c r="CK29" s="304" t="str">
        <f t="shared" si="39"/>
        <v/>
      </c>
      <c r="CL29" s="304">
        <f>IF($J29="",#N/A,SUM(CK$4:CK29))</f>
        <v>0</v>
      </c>
      <c r="CM29" s="305" t="str">
        <f t="shared" si="40"/>
        <v/>
      </c>
      <c r="CN29" s="305">
        <f>IF($J29="",#N/A,SUM(CM$4:CM29))</f>
        <v>0</v>
      </c>
      <c r="CO29" s="306" t="str">
        <f t="shared" si="41"/>
        <v/>
      </c>
      <c r="CP29" s="306">
        <f>IF($J29="",#N/A,SUM(CO$4:CO29))</f>
        <v>0</v>
      </c>
      <c r="CQ29" s="306">
        <f>IF($J29="",#N/A,SUM(CO$4:CO29,CM$4:CM29,CK$4:CK29))</f>
        <v>0</v>
      </c>
      <c r="CR29" s="304" t="str">
        <f t="shared" si="42"/>
        <v/>
      </c>
      <c r="CS29" s="304">
        <f>IF($J29="",#N/A,SUM(CR$4:CR29))</f>
        <v>0</v>
      </c>
      <c r="CT29" s="305" t="str">
        <f t="shared" si="43"/>
        <v/>
      </c>
      <c r="CU29" s="305">
        <f>IF($J29="",#N/A,SUM(CT$4:CT29))</f>
        <v>-0.42995051512938903</v>
      </c>
      <c r="CV29" s="306" t="str">
        <f t="shared" si="44"/>
        <v/>
      </c>
      <c r="CW29" s="306">
        <f>IF($J29="",#N/A,SUM(CV$4:CV29))</f>
        <v>0</v>
      </c>
      <c r="CX29" s="306">
        <f>IF($J29="",#N/A,SUM(CV$4:CV29,CT$4:CT29,CR$4:CR29))</f>
        <v>-0.42995051512938903</v>
      </c>
      <c r="CY29" s="304" t="str">
        <f t="shared" si="45"/>
        <v/>
      </c>
      <c r="CZ29" s="304">
        <f>IF($J29="",#N/A,SUM(CY$4:CY29))</f>
        <v>0</v>
      </c>
      <c r="DA29" s="305" t="str">
        <f t="shared" si="46"/>
        <v/>
      </c>
      <c r="DB29" s="305">
        <f>IF($J29="",#N/A,SUM(DA$4:DA29))</f>
        <v>0</v>
      </c>
      <c r="DC29" s="306" t="str">
        <f t="shared" si="47"/>
        <v/>
      </c>
      <c r="DD29" s="306">
        <f>IF($J29="",#N/A,SUM(DC$4:DC29))</f>
        <v>0</v>
      </c>
      <c r="DE29" s="306">
        <f>IF($J29="",#N/A,SUM(DC$4:DC29,DA$4:DA29,CY$4:CY29))</f>
        <v>0</v>
      </c>
      <c r="DF29" s="304" t="str">
        <f t="shared" si="48"/>
        <v/>
      </c>
      <c r="DG29" s="304">
        <f>IF($J29="",#N/A,SUM(DF$4:DF29))</f>
        <v>0</v>
      </c>
      <c r="DH29" s="305" t="str">
        <f t="shared" si="49"/>
        <v/>
      </c>
      <c r="DI29" s="305">
        <f>IF($J29="",#N/A,SUM(DH$4:DH29))</f>
        <v>0</v>
      </c>
      <c r="DJ29" s="306" t="str">
        <f t="shared" si="50"/>
        <v/>
      </c>
      <c r="DK29" s="306">
        <f>IF($J29="",#N/A,SUM(DJ$4:DJ29))</f>
        <v>0</v>
      </c>
      <c r="DL29" s="306">
        <f>IF($J29="",#N/A,SUM(DJ$4:DJ29,DH$4:DH29,DF$4:DF29))</f>
        <v>0</v>
      </c>
      <c r="DM29" s="304" t="str">
        <f t="shared" si="51"/>
        <v/>
      </c>
      <c r="DN29" s="304">
        <f>IF($J29="",#N/A,SUM(DM$4:DM29))</f>
        <v>0</v>
      </c>
      <c r="DO29" s="305" t="str">
        <f t="shared" si="52"/>
        <v/>
      </c>
      <c r="DP29" s="305">
        <f>IF($J29="",#N/A,SUM(DO$4:DO29))</f>
        <v>0</v>
      </c>
      <c r="DQ29" s="306" t="str">
        <f t="shared" si="53"/>
        <v/>
      </c>
      <c r="DR29" s="306">
        <f>IF($J29="",#N/A,SUM(DQ$4:DQ29))</f>
        <v>0</v>
      </c>
      <c r="DS29" s="306">
        <f>IF($J29="",#N/A,SUM(DQ$4:DQ29,DO$4:DO29,DM$4:DM29))</f>
        <v>0</v>
      </c>
      <c r="DT29" s="304" t="str">
        <f t="shared" si="54"/>
        <v/>
      </c>
      <c r="DU29" s="304">
        <f>IF($J29="",#N/A,SUM(DT$4:DT29))</f>
        <v>0</v>
      </c>
      <c r="DV29" s="305" t="str">
        <f t="shared" si="55"/>
        <v/>
      </c>
      <c r="DW29" s="305">
        <f>IF($J29="",#N/A,SUM(DV$4:DV29))</f>
        <v>0.40085630512924314</v>
      </c>
      <c r="DX29" s="306" t="str">
        <f t="shared" si="56"/>
        <v/>
      </c>
      <c r="DY29" s="306">
        <f>IF($J29="",#N/A,SUM(DX$4:DX29))</f>
        <v>0</v>
      </c>
      <c r="DZ29" s="306">
        <f>IF($J29="",#N/A,SUM(DX$4:DX29,DV$4:DV29,DT$4:DT29))</f>
        <v>0.40085630512924314</v>
      </c>
      <c r="EA29" s="304" t="str">
        <f t="shared" si="57"/>
        <v/>
      </c>
      <c r="EB29" s="304">
        <f>IF($J29="",#N/A,SUM(EA$4:EA29))</f>
        <v>0</v>
      </c>
      <c r="EC29" s="305">
        <f t="shared" si="58"/>
        <v>-0.47973811942657352</v>
      </c>
      <c r="ED29" s="305">
        <f>IF($J29="",#N/A,SUM(EC$4:EC29))</f>
        <v>-0.47973811942657352</v>
      </c>
      <c r="EE29" s="306" t="str">
        <f t="shared" si="59"/>
        <v/>
      </c>
      <c r="EF29" s="306">
        <f>IF($J29="",#N/A,SUM(EE$4:EE29))</f>
        <v>0</v>
      </c>
      <c r="EG29" s="306">
        <f>IF($J29="",#N/A,SUM(EE$4:EE29,EC$4:EC29,EA$4:EA29))</f>
        <v>-0.47973811942657352</v>
      </c>
      <c r="EH29" s="223">
        <f t="shared" si="60"/>
        <v>-11.513714866237763</v>
      </c>
      <c r="EI29" s="224">
        <f>IF(EH29="",#N/A,SUM($EH$4:EH29))</f>
        <v>163.24454660480086</v>
      </c>
      <c r="EJ29" s="223">
        <f t="shared" si="61"/>
        <v>10.70098205215038</v>
      </c>
      <c r="EK29" s="63">
        <f>IF($GZ29="",#N/A,SUM(EJ$4:EJ29))</f>
        <v>380.06806083900443</v>
      </c>
      <c r="EL29" s="60">
        <f t="shared" si="97"/>
        <v>-0.47973811942657352</v>
      </c>
      <c r="EM29" s="60">
        <f>IF(EL29="",NA(),SUM($EL$4:EL29))</f>
        <v>6.8018561085333697</v>
      </c>
      <c r="EN29" s="60" t="str">
        <f t="shared" si="62"/>
        <v/>
      </c>
      <c r="EO29" s="60" t="e">
        <f>IF(EN29="",NA(),SUM($EN$4:EN29))</f>
        <v>#N/A</v>
      </c>
      <c r="EP29" s="60" t="str">
        <f t="shared" si="63"/>
        <v/>
      </c>
      <c r="EQ29" s="60" t="e">
        <f>IF(EP29="",NA(),SUM($EP$4:EP29))</f>
        <v>#N/A</v>
      </c>
      <c r="ER29" s="60">
        <f t="shared" si="64"/>
        <v>-0.47973811942657352</v>
      </c>
      <c r="ES29" s="60">
        <f>IF(ER29="",NA(),SUM($ER$4:ER29))</f>
        <v>0.37245687721095755</v>
      </c>
      <c r="ET29" s="60" t="str">
        <f t="shared" si="65"/>
        <v/>
      </c>
      <c r="EU29" s="60" t="e">
        <f>IF(ET29="",NA(),SUM($ET$4:ET29))</f>
        <v>#N/A</v>
      </c>
      <c r="EV29" s="60" t="str">
        <f t="shared" si="66"/>
        <v/>
      </c>
      <c r="EW29" s="60" t="e">
        <f>IF(EV29="",NA(),SUM($EV$4:EV29))</f>
        <v>#N/A</v>
      </c>
      <c r="EX29" s="60" t="str">
        <f t="shared" si="67"/>
        <v/>
      </c>
      <c r="EY29" s="60" t="e">
        <f>IF(EX29="",NA(),SUM($EX$4:EX29))</f>
        <v>#N/A</v>
      </c>
      <c r="EZ29" s="60" t="str">
        <f t="shared" si="68"/>
        <v/>
      </c>
      <c r="FA29" s="60" t="e">
        <f>IF(EZ29="",NA(),SUM($EZ$4:EZ29))</f>
        <v>#N/A</v>
      </c>
      <c r="FB29" s="246" t="str">
        <f t="shared" si="98"/>
        <v/>
      </c>
      <c r="FC29" s="246" t="e">
        <f>IF($FB29="",#N/A,SUM(FB$4:$FB29))</f>
        <v>#N/A</v>
      </c>
      <c r="FD29" s="60">
        <f t="shared" si="69"/>
        <v>0.92561237159950616</v>
      </c>
      <c r="FE29" s="60">
        <f>IF($FD29="",#N/A,SUM($FD$4:FD29))</f>
        <v>0.4013112398705756</v>
      </c>
      <c r="FF29" s="60" t="str">
        <f t="shared" si="70"/>
        <v/>
      </c>
      <c r="FG29" s="60" t="e">
        <f>IF($FF29="",#N/A,SUM($FF$4:FF29))</f>
        <v>#N/A</v>
      </c>
      <c r="FH29" s="60" t="str">
        <f t="shared" si="71"/>
        <v/>
      </c>
      <c r="FI29" s="60" t="e">
        <f>IF($FH29="",#N/A,SUM($FH$4:FH29))</f>
        <v>#N/A</v>
      </c>
      <c r="FJ29" s="60" t="str">
        <f t="shared" si="72"/>
        <v/>
      </c>
      <c r="FK29" s="60" t="e">
        <f>IF($FJ29="",#N/A,SUM($FJ$4:FJ29))</f>
        <v>#N/A</v>
      </c>
      <c r="FL29" s="60" t="str">
        <f t="shared" si="73"/>
        <v/>
      </c>
      <c r="FM29" s="60" t="e">
        <f>IF($FL29="",#N/A,SUM($FL$4:FL29))</f>
        <v>#N/A</v>
      </c>
      <c r="FN29" s="82">
        <f t="shared" si="74"/>
        <v>0.44587425217293258</v>
      </c>
      <c r="FO29" s="82">
        <f>IF($FN29="",#N/A,SUM(FN$4:$FN29))</f>
        <v>15.836169201625184</v>
      </c>
      <c r="FP29" s="82">
        <f t="shared" si="99"/>
        <v>-0.47973811942657352</v>
      </c>
      <c r="FQ29" s="246">
        <f>IF($EH29="",#N/A,SUM($FP$4:FP29))</f>
        <v>6.8018561085333697</v>
      </c>
      <c r="FR29" s="82">
        <f>IFERROR(FQ29/COUNTA($J$4:J29),#N/A)</f>
        <v>0.26160985032820655</v>
      </c>
      <c r="FS29" s="99"/>
      <c r="FT29" s="82">
        <f t="shared" si="103"/>
        <v>0.18416376118881103</v>
      </c>
      <c r="FU29" s="82" t="e">
        <v>#N/A</v>
      </c>
      <c r="FV29" s="57" t="str">
        <f t="shared" si="75"/>
        <v>Dwn</v>
      </c>
      <c r="FW29" s="57" t="s">
        <v>2734</v>
      </c>
      <c r="FX29" s="57" t="str">
        <f t="shared" si="76"/>
        <v/>
      </c>
      <c r="FY29" s="57">
        <f t="shared" si="77"/>
        <v>1</v>
      </c>
      <c r="FZ29" s="57" t="str">
        <f t="shared" si="78"/>
        <v/>
      </c>
      <c r="GA29" s="57" t="str">
        <f t="shared" si="79"/>
        <v>Short</v>
      </c>
      <c r="GB29" s="57" t="str">
        <f t="shared" si="80"/>
        <v/>
      </c>
      <c r="GC29" s="57" t="str">
        <f t="shared" si="81"/>
        <v/>
      </c>
      <c r="GD29" s="57" t="str">
        <f t="shared" si="82"/>
        <v/>
      </c>
      <c r="GE29" s="62">
        <f t="shared" si="83"/>
        <v>147.65</v>
      </c>
      <c r="GF29" s="62" t="s">
        <v>2780</v>
      </c>
      <c r="GG29" s="199">
        <f t="shared" si="84"/>
        <v>2.7091093802912289</v>
      </c>
      <c r="GH29" s="207">
        <f t="shared" si="85"/>
        <v>399.99999999999994</v>
      </c>
      <c r="GI29" s="199">
        <f t="shared" si="86"/>
        <v>2.7091093802912289</v>
      </c>
      <c r="GJ29" s="200">
        <f t="shared" si="87"/>
        <v>151.9</v>
      </c>
      <c r="GK29" s="63">
        <f t="shared" si="88"/>
        <v>-11.513714866237763</v>
      </c>
      <c r="GL29" s="63">
        <f t="shared" si="89"/>
        <v>10.70098205215038</v>
      </c>
      <c r="GM29" s="82" t="str">
        <f t="shared" si="90"/>
        <v/>
      </c>
      <c r="GN29" s="82">
        <f>IF($GZ29="",#N/A,SUM(GM$4:GM29))</f>
        <v>9.2509211228631436</v>
      </c>
      <c r="GO29" s="82" t="str">
        <f t="shared" si="91"/>
        <v/>
      </c>
      <c r="GP29" s="82">
        <f>IF($GZ29="",#N/A,SUM(GO$4:GO29))</f>
        <v>3.58650696567469</v>
      </c>
      <c r="GQ29" s="82">
        <f t="shared" si="92"/>
        <v>0.44587425217293258</v>
      </c>
      <c r="GR29" s="82">
        <f>IF($GZ29="",#N/A,SUM(GQ$4:GQ29))</f>
        <v>2.9987411130873514</v>
      </c>
      <c r="GS29" s="63" t="str">
        <f t="shared" si="100"/>
        <v/>
      </c>
      <c r="GT29" s="63">
        <f>IF($GZ29="",#N/A,SUM(GS$4:GS29))</f>
        <v>222.02210694871548</v>
      </c>
      <c r="GU29" s="63" t="str">
        <f t="shared" si="101"/>
        <v/>
      </c>
      <c r="GV29" s="63">
        <f>IF($GZ29="",#N/A,SUM(GU$4:GU29))</f>
        <v>86.076167176192541</v>
      </c>
      <c r="GW29" s="62">
        <f t="shared" si="102"/>
        <v>10.70098205215038</v>
      </c>
      <c r="GX29" s="63">
        <f>IF($GZ29="",#N/A,SUM(GW$4:GW29))</f>
        <v>71.969786714096415</v>
      </c>
      <c r="GY29" s="63">
        <f>IF(EJ29="",#N/A,SUM($EJ$4:EJ29))</f>
        <v>380.06806083900443</v>
      </c>
      <c r="GZ29" s="159">
        <v>143.69999999999999</v>
      </c>
      <c r="HA29" s="63">
        <f t="shared" si="93"/>
        <v>22.214696918388142</v>
      </c>
      <c r="HB29" s="62" t="s">
        <v>4970</v>
      </c>
      <c r="HC29" s="60">
        <f>IFERROR(VLOOKUP(E29,Expectancy!$P$4:$S$19,1+C29,FALSE),"")</f>
        <v>0.17536249656639069</v>
      </c>
      <c r="HD29" s="60" t="str">
        <f t="shared" si="94"/>
        <v/>
      </c>
      <c r="HE29" s="60" t="e">
        <f>IF(HD29="",#N/A,SUM($HD$4:HD29))</f>
        <v>#N/A</v>
      </c>
      <c r="HF29" s="64" t="e">
        <f>IF(HD29="",#N/A,IF(HB29="Skip",#N/A,SUM($HG$4:HG29)))</f>
        <v>#N/A</v>
      </c>
      <c r="HG29" s="63" t="str">
        <f t="shared" si="95"/>
        <v/>
      </c>
      <c r="HH29" s="82">
        <f t="shared" si="96"/>
        <v>0.44587425217293258</v>
      </c>
    </row>
    <row r="30" spans="1:216" x14ac:dyDescent="0.25">
      <c r="A30" s="57" t="s">
        <v>1471</v>
      </c>
      <c r="B30" s="58" t="s">
        <v>5096</v>
      </c>
      <c r="C30" s="386">
        <f t="shared" si="0"/>
        <v>3</v>
      </c>
      <c r="D30" s="372" t="str">
        <f>_xlfn.XLOOKUP(A30,[1]SP500!$A$2:$A$502,[1]SP500!$D$2:$D$502,"N")</f>
        <v>Y</v>
      </c>
      <c r="E30" s="57" t="str">
        <f>_xlfn.XLOOKUP(A30,[1]SP500!$A$2:$A$655,[1]SP500!$B$2:$B$655)</f>
        <v>XLF</v>
      </c>
      <c r="F30" s="59">
        <v>45678</v>
      </c>
      <c r="G30" s="57" t="str">
        <f t="shared" si="1"/>
        <v>BMO</v>
      </c>
      <c r="H30" s="57" t="str">
        <f t="shared" si="2"/>
        <v>o</v>
      </c>
      <c r="I30" s="159">
        <v>44.34</v>
      </c>
      <c r="J30" s="159">
        <v>44.95</v>
      </c>
      <c r="K30" s="61">
        <f t="shared" si="3"/>
        <v>1.3757329724853391E-2</v>
      </c>
      <c r="L30" s="87">
        <f t="shared" si="4"/>
        <v>5.5029318899413511</v>
      </c>
      <c r="M30" s="63" t="str">
        <f t="shared" si="5"/>
        <v/>
      </c>
      <c r="N30" s="219" t="str">
        <f t="shared" si="6"/>
        <v/>
      </c>
      <c r="O30" s="219">
        <f>IF($J30="",#N/A,SUM($N$4:N30))</f>
        <v>13.494698030944676</v>
      </c>
      <c r="P30" s="220" t="str">
        <f t="shared" si="7"/>
        <v/>
      </c>
      <c r="Q30" s="220">
        <f>IF($J30="",#N/A,SUM($P$4:P30))</f>
        <v>8.9389650530629865</v>
      </c>
      <c r="R30" s="221">
        <f t="shared" si="8"/>
        <v>5.5029318899413511</v>
      </c>
      <c r="S30" s="222">
        <f>IF($J30="",#N/A,SUM($R$4:R30))</f>
        <v>146.31381541073455</v>
      </c>
      <c r="T30" s="281" t="str">
        <f t="shared" si="9"/>
        <v/>
      </c>
      <c r="U30" s="281">
        <f>IF($J30="",#N/A,SUM($T$4:T30))</f>
        <v>0.56227908462269494</v>
      </c>
      <c r="V30" s="282" t="str">
        <f t="shared" si="10"/>
        <v/>
      </c>
      <c r="W30" s="282">
        <f>IF($J30="",#N/A,SUM($V$4:V30))</f>
        <v>0.37245687721095755</v>
      </c>
      <c r="X30" s="283">
        <f t="shared" si="11"/>
        <v>0.22928882874755629</v>
      </c>
      <c r="Y30" s="283">
        <f>IF($J30="",#N/A,SUM($X$4:X30))</f>
        <v>6.0964089754472726</v>
      </c>
      <c r="Z30" s="304" t="str">
        <f t="shared" si="12"/>
        <v/>
      </c>
      <c r="AA30" s="304">
        <f>IF($J30="",#N/A,SUM(Z$4:Z30))</f>
        <v>0</v>
      </c>
      <c r="AB30" s="305" t="str">
        <f t="shared" si="13"/>
        <v/>
      </c>
      <c r="AC30" s="305">
        <f>IF($J30="",#N/A,SUM(AB$4:AB30))</f>
        <v>0</v>
      </c>
      <c r="AD30" s="306" t="str">
        <f t="shared" si="14"/>
        <v/>
      </c>
      <c r="AE30" s="306">
        <f>IF($J30="",#N/A,SUM(AD$4:AD30))</f>
        <v>0</v>
      </c>
      <c r="AF30" s="306">
        <f>IF($J30="",#N/A,SUM(AD$4:AD30,AB$4:AB30,Z$4:Z30))</f>
        <v>0</v>
      </c>
      <c r="AG30" s="304" t="str">
        <f t="shared" si="15"/>
        <v/>
      </c>
      <c r="AH30" s="304">
        <f>IF($J30="",#N/A,SUM(AG$4:AG30))</f>
        <v>0</v>
      </c>
      <c r="AI30" s="305" t="str">
        <f t="shared" si="16"/>
        <v/>
      </c>
      <c r="AJ30" s="305">
        <f>IF($J30="",#N/A,SUM(AI$4:AI30))</f>
        <v>0</v>
      </c>
      <c r="AK30" s="306" t="str">
        <f t="shared" si="17"/>
        <v/>
      </c>
      <c r="AL30" s="306">
        <f>IF($J30="",#N/A,SUM(AK$4:AK30))</f>
        <v>0</v>
      </c>
      <c r="AM30" s="306">
        <f>IF($J30="",#N/A,SUM(AK$4:AK30,AI$4:AI30,AG$4:AG30))</f>
        <v>0</v>
      </c>
      <c r="AN30" s="304" t="str">
        <f t="shared" si="18"/>
        <v/>
      </c>
      <c r="AO30" s="304">
        <f>IF($J30="",#N/A,SUM(AN$4:AN30))</f>
        <v>0</v>
      </c>
      <c r="AP30" s="305" t="str">
        <f t="shared" si="19"/>
        <v/>
      </c>
      <c r="AQ30" s="305">
        <f>IF($J30="",#N/A,SUM(AP$4:AP30))</f>
        <v>0</v>
      </c>
      <c r="AR30" s="306" t="str">
        <f t="shared" si="20"/>
        <v/>
      </c>
      <c r="AS30" s="306">
        <f>IF($J30="",#N/A,SUM(AR$4:AR30))</f>
        <v>0</v>
      </c>
      <c r="AT30" s="306">
        <f>IF($J30="",#N/A,SUM(AR$4:AR30,AP$4:AP30,AN$4:AN30))</f>
        <v>0</v>
      </c>
      <c r="AU30" s="304" t="str">
        <f t="shared" si="21"/>
        <v/>
      </c>
      <c r="AV30" s="304">
        <f>IF($J30="",#N/A,SUM(AU$4:AU30))</f>
        <v>0</v>
      </c>
      <c r="AW30" s="305" t="str">
        <f t="shared" si="22"/>
        <v/>
      </c>
      <c r="AX30" s="305">
        <f>IF($J30="",#N/A,SUM(AW$4:AW30))</f>
        <v>1.2290222546515868</v>
      </c>
      <c r="AY30" s="306" t="str">
        <f t="shared" si="23"/>
        <v/>
      </c>
      <c r="AZ30" s="306">
        <f>IF($J30="",#N/A,SUM(AY$4:AY30))</f>
        <v>2.4945770065075905</v>
      </c>
      <c r="BA30" s="306">
        <f>IF($J30="",#N/A,SUM(AY$4:AY30,AW$4:AW30,AU$4:AU30))</f>
        <v>3.7235992611591771</v>
      </c>
      <c r="BB30" s="304" t="str">
        <f t="shared" si="24"/>
        <v/>
      </c>
      <c r="BC30" s="304">
        <f>IF($J30="",#N/A,SUM(BB$4:BB30))</f>
        <v>0</v>
      </c>
      <c r="BD30" s="305" t="str">
        <f t="shared" si="25"/>
        <v/>
      </c>
      <c r="BE30" s="305">
        <f>IF($J30="",#N/A,SUM(BD$4:BD30))</f>
        <v>0</v>
      </c>
      <c r="BF30" s="306" t="str">
        <f t="shared" si="26"/>
        <v/>
      </c>
      <c r="BG30" s="306">
        <f>IF($J30="",#N/A,SUM(BF$4:BF30))</f>
        <v>0</v>
      </c>
      <c r="BH30" s="306">
        <f>IF($J30="",#N/A,SUM(BF$4:BF30,BD$4:BD30,BB$4:BB30))</f>
        <v>0</v>
      </c>
      <c r="BI30" s="304" t="str">
        <f t="shared" si="27"/>
        <v/>
      </c>
      <c r="BJ30" s="304">
        <f>IF($J30="",#N/A,SUM(BI$4:BI30))</f>
        <v>-0.93471713888646701</v>
      </c>
      <c r="BK30" s="305" t="str">
        <f t="shared" si="28"/>
        <v/>
      </c>
      <c r="BL30" s="305">
        <f>IF($J30="",#N/A,SUM(BK$4:BK30))</f>
        <v>0</v>
      </c>
      <c r="BM30" s="306">
        <f t="shared" si="29"/>
        <v>0.22928882874755629</v>
      </c>
      <c r="BN30" s="306">
        <f>IF($J30="",#N/A,SUM(BM$4:BM30))</f>
        <v>4.6043382346038415</v>
      </c>
      <c r="BO30" s="306">
        <f>IF($J30="",#N/A,SUM(BM$4:BM30,BK$4:BK30,BI$4:BI30))</f>
        <v>3.6696210957173743</v>
      </c>
      <c r="BP30" s="304" t="str">
        <f t="shared" si="30"/>
        <v/>
      </c>
      <c r="BQ30" s="304">
        <f>IF($J30="",#N/A,SUM(BP$4:BP30))</f>
        <v>1.4969962235091621</v>
      </c>
      <c r="BR30" s="305" t="str">
        <f t="shared" si="31"/>
        <v/>
      </c>
      <c r="BS30" s="305">
        <f>IF($J30="",#N/A,SUM(BR$4:BR30))</f>
        <v>-0.34773304801390975</v>
      </c>
      <c r="BT30" s="306" t="str">
        <f t="shared" si="32"/>
        <v/>
      </c>
      <c r="BU30" s="306">
        <f>IF($J30="",#N/A,SUM(BT$4:BT30))</f>
        <v>-1.0025062656641595</v>
      </c>
      <c r="BV30" s="306">
        <f>IF($J30="",#N/A,SUM(BT$4:BT30,BR$4:BR30,BP$4:BP30))</f>
        <v>0.14675690983109269</v>
      </c>
      <c r="BW30" s="304" t="str">
        <f t="shared" si="33"/>
        <v/>
      </c>
      <c r="BX30" s="304">
        <f>IF($J30="",#N/A,SUM(BW$4:BW30))</f>
        <v>0</v>
      </c>
      <c r="BY30" s="305" t="str">
        <f t="shared" si="34"/>
        <v/>
      </c>
      <c r="BZ30" s="305">
        <f>IF($J30="",#N/A,SUM(BY$4:BY30))</f>
        <v>0</v>
      </c>
      <c r="CA30" s="306" t="str">
        <f t="shared" si="35"/>
        <v/>
      </c>
      <c r="CB30" s="306">
        <f>IF($J30="",#N/A,SUM(CA$4:CA30))</f>
        <v>0</v>
      </c>
      <c r="CC30" s="306">
        <f>IF($J30="",#N/A,SUM(CA$4:CA30,BY$4:BY30,BW$4:BW30))</f>
        <v>0</v>
      </c>
      <c r="CD30" s="304" t="str">
        <f t="shared" si="36"/>
        <v/>
      </c>
      <c r="CE30" s="304">
        <f>IF($J30="",#N/A,SUM(CD$4:CD30))</f>
        <v>0</v>
      </c>
      <c r="CF30" s="305" t="str">
        <f t="shared" si="37"/>
        <v/>
      </c>
      <c r="CG30" s="305">
        <f>IF($J30="",#N/A,SUM(CF$4:CF30))</f>
        <v>0</v>
      </c>
      <c r="CH30" s="306" t="str">
        <f t="shared" si="38"/>
        <v/>
      </c>
      <c r="CI30" s="306">
        <f>IF($J30="",#N/A,SUM(CH$4:CH30))</f>
        <v>0</v>
      </c>
      <c r="CJ30" s="306">
        <f>IF($J30="",#N/A,SUM(CH$4:CH30,CF$4:CF30,CD$4:CD30))</f>
        <v>0</v>
      </c>
      <c r="CK30" s="304" t="str">
        <f t="shared" si="39"/>
        <v/>
      </c>
      <c r="CL30" s="304">
        <f>IF($J30="",#N/A,SUM(CK$4:CK30))</f>
        <v>0</v>
      </c>
      <c r="CM30" s="305" t="str">
        <f t="shared" si="40"/>
        <v/>
      </c>
      <c r="CN30" s="305">
        <f>IF($J30="",#N/A,SUM(CM$4:CM30))</f>
        <v>0</v>
      </c>
      <c r="CO30" s="306" t="str">
        <f t="shared" si="41"/>
        <v/>
      </c>
      <c r="CP30" s="306">
        <f>IF($J30="",#N/A,SUM(CO$4:CO30))</f>
        <v>0</v>
      </c>
      <c r="CQ30" s="306">
        <f>IF($J30="",#N/A,SUM(CO$4:CO30,CM$4:CM30,CK$4:CK30))</f>
        <v>0</v>
      </c>
      <c r="CR30" s="304" t="str">
        <f t="shared" si="42"/>
        <v/>
      </c>
      <c r="CS30" s="304">
        <f>IF($J30="",#N/A,SUM(CR$4:CR30))</f>
        <v>0</v>
      </c>
      <c r="CT30" s="305" t="str">
        <f t="shared" si="43"/>
        <v/>
      </c>
      <c r="CU30" s="305">
        <f>IF($J30="",#N/A,SUM(CT$4:CT30))</f>
        <v>-0.42995051512938903</v>
      </c>
      <c r="CV30" s="306" t="str">
        <f t="shared" si="44"/>
        <v/>
      </c>
      <c r="CW30" s="306">
        <f>IF($J30="",#N/A,SUM(CV$4:CV30))</f>
        <v>0</v>
      </c>
      <c r="CX30" s="306">
        <f>IF($J30="",#N/A,SUM(CV$4:CV30,CT$4:CT30,CR$4:CR30))</f>
        <v>-0.42995051512938903</v>
      </c>
      <c r="CY30" s="304" t="str">
        <f t="shared" si="45"/>
        <v/>
      </c>
      <c r="CZ30" s="304">
        <f>IF($J30="",#N/A,SUM(CY$4:CY30))</f>
        <v>0</v>
      </c>
      <c r="DA30" s="305" t="str">
        <f t="shared" si="46"/>
        <v/>
      </c>
      <c r="DB30" s="305">
        <f>IF($J30="",#N/A,SUM(DA$4:DA30))</f>
        <v>0</v>
      </c>
      <c r="DC30" s="306" t="str">
        <f t="shared" si="47"/>
        <v/>
      </c>
      <c r="DD30" s="306">
        <f>IF($J30="",#N/A,SUM(DC$4:DC30))</f>
        <v>0</v>
      </c>
      <c r="DE30" s="306">
        <f>IF($J30="",#N/A,SUM(DC$4:DC30,DA$4:DA30,CY$4:CY30))</f>
        <v>0</v>
      </c>
      <c r="DF30" s="304" t="str">
        <f t="shared" si="48"/>
        <v/>
      </c>
      <c r="DG30" s="304">
        <f>IF($J30="",#N/A,SUM(DF$4:DF30))</f>
        <v>0</v>
      </c>
      <c r="DH30" s="305" t="str">
        <f t="shared" si="49"/>
        <v/>
      </c>
      <c r="DI30" s="305">
        <f>IF($J30="",#N/A,SUM(DH$4:DH30))</f>
        <v>0</v>
      </c>
      <c r="DJ30" s="306" t="str">
        <f t="shared" si="50"/>
        <v/>
      </c>
      <c r="DK30" s="306">
        <f>IF($J30="",#N/A,SUM(DJ$4:DJ30))</f>
        <v>0</v>
      </c>
      <c r="DL30" s="306">
        <f>IF($J30="",#N/A,SUM(DJ$4:DJ30,DH$4:DH30,DF$4:DF30))</f>
        <v>0</v>
      </c>
      <c r="DM30" s="304" t="str">
        <f t="shared" si="51"/>
        <v/>
      </c>
      <c r="DN30" s="304">
        <f>IF($J30="",#N/A,SUM(DM$4:DM30))</f>
        <v>0</v>
      </c>
      <c r="DO30" s="305" t="str">
        <f t="shared" si="52"/>
        <v/>
      </c>
      <c r="DP30" s="305">
        <f>IF($J30="",#N/A,SUM(DO$4:DO30))</f>
        <v>0</v>
      </c>
      <c r="DQ30" s="306" t="str">
        <f t="shared" si="53"/>
        <v/>
      </c>
      <c r="DR30" s="306">
        <f>IF($J30="",#N/A,SUM(DQ$4:DQ30))</f>
        <v>0</v>
      </c>
      <c r="DS30" s="306">
        <f>IF($J30="",#N/A,SUM(DQ$4:DQ30,DO$4:DO30,DM$4:DM30))</f>
        <v>0</v>
      </c>
      <c r="DT30" s="304" t="str">
        <f t="shared" si="54"/>
        <v/>
      </c>
      <c r="DU30" s="304">
        <f>IF($J30="",#N/A,SUM(DT$4:DT30))</f>
        <v>0</v>
      </c>
      <c r="DV30" s="305" t="str">
        <f t="shared" si="55"/>
        <v/>
      </c>
      <c r="DW30" s="305">
        <f>IF($J30="",#N/A,SUM(DV$4:DV30))</f>
        <v>0.40085630512924314</v>
      </c>
      <c r="DX30" s="306" t="str">
        <f t="shared" si="56"/>
        <v/>
      </c>
      <c r="DY30" s="306">
        <f>IF($J30="",#N/A,SUM(DX$4:DX30))</f>
        <v>0</v>
      </c>
      <c r="DZ30" s="306">
        <f>IF($J30="",#N/A,SUM(DX$4:DX30,DV$4:DV30,DT$4:DT30))</f>
        <v>0.40085630512924314</v>
      </c>
      <c r="EA30" s="304" t="str">
        <f t="shared" si="57"/>
        <v/>
      </c>
      <c r="EB30" s="304">
        <f>IF($J30="",#N/A,SUM(EA$4:EA30))</f>
        <v>0</v>
      </c>
      <c r="EC30" s="305" t="str">
        <f t="shared" si="58"/>
        <v/>
      </c>
      <c r="ED30" s="305">
        <f>IF($J30="",#N/A,SUM(EC$4:EC30))</f>
        <v>-0.47973811942657352</v>
      </c>
      <c r="EE30" s="306" t="str">
        <f t="shared" si="59"/>
        <v/>
      </c>
      <c r="EF30" s="306">
        <f>IF($J30="",#N/A,SUM(EE$4:EE30))</f>
        <v>0</v>
      </c>
      <c r="EG30" s="306">
        <f>IF($J30="",#N/A,SUM(EE$4:EE30,EC$4:EC30,EA$4:EA30))</f>
        <v>-0.47973811942657352</v>
      </c>
      <c r="EH30" s="223">
        <f t="shared" si="60"/>
        <v>5.5029318899413511</v>
      </c>
      <c r="EI30" s="224">
        <f>IF(EH30="",#N/A,SUM($EH$4:EH30))</f>
        <v>168.74747849474221</v>
      </c>
      <c r="EJ30" s="223">
        <f t="shared" si="61"/>
        <v>4.6910239061794528</v>
      </c>
      <c r="EK30" s="63">
        <f>IF($GZ30="",#N/A,SUM(EJ$4:EJ30))</f>
        <v>384.75908474518388</v>
      </c>
      <c r="EL30" s="60">
        <f t="shared" si="97"/>
        <v>0.22928882874755629</v>
      </c>
      <c r="EM30" s="60">
        <f>IF(EL30="",NA(),SUM($EL$4:EL30))</f>
        <v>7.031144937280926</v>
      </c>
      <c r="EN30" s="60" t="str">
        <f t="shared" si="62"/>
        <v/>
      </c>
      <c r="EO30" s="60" t="e">
        <f>IF(EN30="",NA(),SUM($EN$4:EN30))</f>
        <v>#N/A</v>
      </c>
      <c r="EP30" s="60">
        <f t="shared" si="63"/>
        <v>0.22928882874755629</v>
      </c>
      <c r="EQ30" s="60">
        <f>IF(EP30="",NA(),SUM($EP$4:EP30))</f>
        <v>6.0964089754472726</v>
      </c>
      <c r="ER30" s="60" t="str">
        <f t="shared" si="64"/>
        <v/>
      </c>
      <c r="ES30" s="60" t="e">
        <f>IF(ER30="",NA(),SUM($ER$4:ER30))</f>
        <v>#N/A</v>
      </c>
      <c r="ET30" s="60" t="str">
        <f t="shared" si="65"/>
        <v/>
      </c>
      <c r="EU30" s="60" t="e">
        <f>IF(ET30="",NA(),SUM($ET$4:ET30))</f>
        <v>#N/A</v>
      </c>
      <c r="EV30" s="60" t="str">
        <f t="shared" si="66"/>
        <v/>
      </c>
      <c r="EW30" s="60" t="e">
        <f>IF(EV30="",NA(),SUM($EV$4:EV30))</f>
        <v>#N/A</v>
      </c>
      <c r="EX30" s="60" t="str">
        <f t="shared" si="67"/>
        <v/>
      </c>
      <c r="EY30" s="60" t="e">
        <f>IF(EX30="",NA(),SUM($EX$4:EX30))</f>
        <v>#N/A</v>
      </c>
      <c r="EZ30" s="60" t="str">
        <f t="shared" si="68"/>
        <v/>
      </c>
      <c r="FA30" s="60" t="e">
        <f>IF(EZ30="",NA(),SUM($EZ$4:EZ30))</f>
        <v>#N/A</v>
      </c>
      <c r="FB30" s="246" t="str">
        <f t="shared" si="98"/>
        <v/>
      </c>
      <c r="FC30" s="246" t="e">
        <f>IF($FB30="",#N/A,SUM(FB$4:$FB30))</f>
        <v>#N/A</v>
      </c>
      <c r="FD30" s="60" t="str">
        <f t="shared" si="69"/>
        <v/>
      </c>
      <c r="FE30" s="60" t="e">
        <f>IF($FD30="",#N/A,SUM($FD$4:FD30))</f>
        <v>#N/A</v>
      </c>
      <c r="FF30" s="60" t="str">
        <f t="shared" si="70"/>
        <v/>
      </c>
      <c r="FG30" s="60" t="e">
        <f>IF($FF30="",#N/A,SUM($FF$4:FF30))</f>
        <v>#N/A</v>
      </c>
      <c r="FH30" s="60" t="str">
        <f t="shared" si="71"/>
        <v/>
      </c>
      <c r="FI30" s="60" t="e">
        <f>IF($FH30="",#N/A,SUM($FH$4:FH30))</f>
        <v>#N/A</v>
      </c>
      <c r="FJ30" s="60">
        <f t="shared" si="72"/>
        <v>-3.3829499323412421E-2</v>
      </c>
      <c r="FK30" s="60">
        <f>IF($FJ30="",#N/A,SUM($FJ$4:FJ30))</f>
        <v>3.1330639760979295</v>
      </c>
      <c r="FL30" s="60" t="str">
        <f t="shared" si="73"/>
        <v/>
      </c>
      <c r="FM30" s="60" t="e">
        <f>IF($FL30="",#N/A,SUM($FL$4:FL30))</f>
        <v>#N/A</v>
      </c>
      <c r="FN30" s="82">
        <f t="shared" si="74"/>
        <v>0.19545932942414387</v>
      </c>
      <c r="FO30" s="82">
        <f>IF($FN30="",#N/A,SUM(FN$4:$FN30))</f>
        <v>16.031628531049329</v>
      </c>
      <c r="FP30" s="82">
        <f t="shared" si="99"/>
        <v>0.22928882874755629</v>
      </c>
      <c r="FQ30" s="246">
        <f>IF($EH30="",#N/A,SUM($FP$4:FP30))</f>
        <v>7.031144937280926</v>
      </c>
      <c r="FR30" s="82">
        <f>IFERROR(FQ30/COUNTA($J$4:J30),#N/A)</f>
        <v>0.26041277545484909</v>
      </c>
      <c r="FS30" s="99"/>
      <c r="FT30" s="82">
        <f t="shared" si="103"/>
        <v>9.3552234078409666E-2</v>
      </c>
      <c r="FU30" s="82" t="e">
        <v>#N/A</v>
      </c>
      <c r="FV30" s="57" t="str">
        <f t="shared" si="75"/>
        <v>SW</v>
      </c>
      <c r="FW30" s="57" t="s">
        <v>2732</v>
      </c>
      <c r="FX30" s="57" t="str">
        <f t="shared" si="76"/>
        <v/>
      </c>
      <c r="FY30" s="57" t="str">
        <f t="shared" si="77"/>
        <v/>
      </c>
      <c r="FZ30" s="57">
        <f t="shared" si="78"/>
        <v>1</v>
      </c>
      <c r="GA30" s="57" t="str">
        <f t="shared" si="79"/>
        <v>Long</v>
      </c>
      <c r="GB30" s="57" t="str">
        <f t="shared" si="80"/>
        <v/>
      </c>
      <c r="GC30" s="57" t="str">
        <f t="shared" si="81"/>
        <v/>
      </c>
      <c r="GD30" s="57" t="str">
        <f t="shared" si="82"/>
        <v/>
      </c>
      <c r="GE30" s="62">
        <f t="shared" si="83"/>
        <v>44.34</v>
      </c>
      <c r="GF30" s="62" t="s">
        <v>2779</v>
      </c>
      <c r="GG30" s="199">
        <f t="shared" si="84"/>
        <v>9.0211998195760028</v>
      </c>
      <c r="GH30" s="207">
        <f t="shared" si="85"/>
        <v>400</v>
      </c>
      <c r="GI30" s="199">
        <f t="shared" si="86"/>
        <v>9.0211998195760028</v>
      </c>
      <c r="GJ30" s="200">
        <f t="shared" si="87"/>
        <v>44.95</v>
      </c>
      <c r="GK30" s="63">
        <f t="shared" si="88"/>
        <v>5.5029318899413511</v>
      </c>
      <c r="GL30" s="63">
        <f t="shared" si="89"/>
        <v>4.6910239061794528</v>
      </c>
      <c r="GM30" s="82">
        <f t="shared" si="90"/>
        <v>0.19545932942414387</v>
      </c>
      <c r="GN30" s="82">
        <f>IF($GZ30="",#N/A,SUM(GM$4:GM30))</f>
        <v>9.4463804522872881</v>
      </c>
      <c r="GO30" s="82" t="str">
        <f t="shared" si="91"/>
        <v/>
      </c>
      <c r="GP30" s="82">
        <f>IF($GZ30="",#N/A,SUM(GO$4:GO30))</f>
        <v>3.58650696567469</v>
      </c>
      <c r="GQ30" s="82" t="str">
        <f t="shared" si="92"/>
        <v/>
      </c>
      <c r="GR30" s="82">
        <f>IF($GZ30="",#N/A,SUM(GQ$4:GQ30))</f>
        <v>2.9987411130873514</v>
      </c>
      <c r="GS30" s="63">
        <f t="shared" si="100"/>
        <v>4.6910239061794528</v>
      </c>
      <c r="GT30" s="63">
        <f>IF($GZ30="",#N/A,SUM(GS$4:GS30))</f>
        <v>226.71313085489493</v>
      </c>
      <c r="GU30" s="63" t="str">
        <f t="shared" si="101"/>
        <v/>
      </c>
      <c r="GV30" s="63">
        <f>IF($GZ30="",#N/A,SUM(GU$4:GU30))</f>
        <v>86.076167176192541</v>
      </c>
      <c r="GW30" s="62" t="str">
        <f t="shared" si="102"/>
        <v/>
      </c>
      <c r="GX30" s="63">
        <f>IF($GZ30="",#N/A,SUM(GW$4:GW30))</f>
        <v>71.969786714096415</v>
      </c>
      <c r="GY30" s="63">
        <f>IF(EJ30="",#N/A,SUM($EJ$4:EJ30))</f>
        <v>384.75908474518388</v>
      </c>
      <c r="GZ30" s="159">
        <v>44.86</v>
      </c>
      <c r="HA30" s="63">
        <f t="shared" si="93"/>
        <v>-0.81190798376189832</v>
      </c>
      <c r="HB30" s="62" t="s">
        <v>4970</v>
      </c>
      <c r="HC30" s="60">
        <f>IFERROR(VLOOKUP(E30,Expectancy!$P$4:$S$19,1+C30,FALSE),"")</f>
        <v>9.9793136114217987E-2</v>
      </c>
      <c r="HD30" s="60" t="str">
        <f t="shared" si="94"/>
        <v/>
      </c>
      <c r="HE30" s="60" t="e">
        <f>IF(HD30="",#N/A,SUM($HD$4:HD30))</f>
        <v>#N/A</v>
      </c>
      <c r="HF30" s="64" t="e">
        <f>IF(HD30="",#N/A,IF(HB30="Skip",#N/A,SUM($HG$4:HG30)))</f>
        <v>#N/A</v>
      </c>
      <c r="HG30" s="63" t="str">
        <f t="shared" si="95"/>
        <v/>
      </c>
      <c r="HH30" s="82">
        <f t="shared" si="96"/>
        <v>0.19545932942414387</v>
      </c>
    </row>
    <row r="31" spans="1:216" x14ac:dyDescent="0.25">
      <c r="A31" s="57" t="s">
        <v>1544</v>
      </c>
      <c r="B31" s="58" t="s">
        <v>5096</v>
      </c>
      <c r="C31" s="386">
        <f t="shared" si="0"/>
        <v>3</v>
      </c>
      <c r="D31" s="372" t="str">
        <f>_xlfn.XLOOKUP(A31,[1]SP500!$A$2:$A$502,[1]SP500!$D$2:$D$502,"N")</f>
        <v>Y</v>
      </c>
      <c r="E31" s="57" t="str">
        <f>_xlfn.XLOOKUP(A31,[1]SP500!$A$2:$A$655,[1]SP500!$B$2:$B$655)</f>
        <v>XLF</v>
      </c>
      <c r="F31" s="59">
        <v>45678</v>
      </c>
      <c r="G31" s="57" t="str">
        <f t="shared" si="1"/>
        <v>BMO</v>
      </c>
      <c r="H31" s="57" t="str">
        <f t="shared" si="2"/>
        <v>o</v>
      </c>
      <c r="I31" s="158">
        <v>18.3</v>
      </c>
      <c r="J31" s="159">
        <v>17.440000000000001</v>
      </c>
      <c r="K31" s="61">
        <f t="shared" si="3"/>
        <v>-4.6994535519125649E-2</v>
      </c>
      <c r="L31" s="87">
        <f t="shared" si="4"/>
        <v>-18.797814207650276</v>
      </c>
      <c r="M31" s="63" t="str">
        <f t="shared" si="5"/>
        <v/>
      </c>
      <c r="N31" s="219" t="str">
        <f t="shared" si="6"/>
        <v/>
      </c>
      <c r="O31" s="219">
        <f>IF($J31="",#N/A,SUM($N$4:N31))</f>
        <v>13.494698030944676</v>
      </c>
      <c r="P31" s="220" t="str">
        <f t="shared" si="7"/>
        <v/>
      </c>
      <c r="Q31" s="220">
        <f>IF($J31="",#N/A,SUM($P$4:P31))</f>
        <v>8.9389650530629865</v>
      </c>
      <c r="R31" s="221">
        <f t="shared" si="8"/>
        <v>-18.797814207650276</v>
      </c>
      <c r="S31" s="222">
        <f>IF($J31="",#N/A,SUM($R$4:R31))</f>
        <v>127.51600120308427</v>
      </c>
      <c r="T31" s="281" t="str">
        <f t="shared" si="9"/>
        <v/>
      </c>
      <c r="U31" s="281">
        <f>IF($J31="",#N/A,SUM($T$4:T31))</f>
        <v>0.56227908462269494</v>
      </c>
      <c r="V31" s="282" t="str">
        <f t="shared" si="10"/>
        <v/>
      </c>
      <c r="W31" s="282">
        <f>IF($J31="",#N/A,SUM($V$4:V31))</f>
        <v>0.37245687721095755</v>
      </c>
      <c r="X31" s="283">
        <f t="shared" si="11"/>
        <v>-0.78324225865209485</v>
      </c>
      <c r="Y31" s="283">
        <f>IF($J31="",#N/A,SUM($X$4:X31))</f>
        <v>5.3131667167951777</v>
      </c>
      <c r="Z31" s="304" t="str">
        <f t="shared" si="12"/>
        <v/>
      </c>
      <c r="AA31" s="304">
        <f>IF($J31="",#N/A,SUM(Z$4:Z31))</f>
        <v>0</v>
      </c>
      <c r="AB31" s="305" t="str">
        <f t="shared" si="13"/>
        <v/>
      </c>
      <c r="AC31" s="305">
        <f>IF($J31="",#N/A,SUM(AB$4:AB31))</f>
        <v>0</v>
      </c>
      <c r="AD31" s="306" t="str">
        <f t="shared" si="14"/>
        <v/>
      </c>
      <c r="AE31" s="306">
        <f>IF($J31="",#N/A,SUM(AD$4:AD31))</f>
        <v>0</v>
      </c>
      <c r="AF31" s="306">
        <f>IF($J31="",#N/A,SUM(AD$4:AD31,AB$4:AB31,Z$4:Z31))</f>
        <v>0</v>
      </c>
      <c r="AG31" s="304" t="str">
        <f t="shared" si="15"/>
        <v/>
      </c>
      <c r="AH31" s="304">
        <f>IF($J31="",#N/A,SUM(AG$4:AG31))</f>
        <v>0</v>
      </c>
      <c r="AI31" s="305" t="str">
        <f t="shared" si="16"/>
        <v/>
      </c>
      <c r="AJ31" s="305">
        <f>IF($J31="",#N/A,SUM(AI$4:AI31))</f>
        <v>0</v>
      </c>
      <c r="AK31" s="306" t="str">
        <f t="shared" si="17"/>
        <v/>
      </c>
      <c r="AL31" s="306">
        <f>IF($J31="",#N/A,SUM(AK$4:AK31))</f>
        <v>0</v>
      </c>
      <c r="AM31" s="306">
        <f>IF($J31="",#N/A,SUM(AK$4:AK31,AI$4:AI31,AG$4:AG31))</f>
        <v>0</v>
      </c>
      <c r="AN31" s="304" t="str">
        <f t="shared" si="18"/>
        <v/>
      </c>
      <c r="AO31" s="304">
        <f>IF($J31="",#N/A,SUM(AN$4:AN31))</f>
        <v>0</v>
      </c>
      <c r="AP31" s="305" t="str">
        <f t="shared" si="19"/>
        <v/>
      </c>
      <c r="AQ31" s="305">
        <f>IF($J31="",#N/A,SUM(AP$4:AP31))</f>
        <v>0</v>
      </c>
      <c r="AR31" s="306" t="str">
        <f t="shared" si="20"/>
        <v/>
      </c>
      <c r="AS31" s="306">
        <f>IF($J31="",#N/A,SUM(AR$4:AR31))</f>
        <v>0</v>
      </c>
      <c r="AT31" s="306">
        <f>IF($J31="",#N/A,SUM(AR$4:AR31,AP$4:AP31,AN$4:AN31))</f>
        <v>0</v>
      </c>
      <c r="AU31" s="304" t="str">
        <f t="shared" si="21"/>
        <v/>
      </c>
      <c r="AV31" s="304">
        <f>IF($J31="",#N/A,SUM(AU$4:AU31))</f>
        <v>0</v>
      </c>
      <c r="AW31" s="305" t="str">
        <f t="shared" si="22"/>
        <v/>
      </c>
      <c r="AX31" s="305">
        <f>IF($J31="",#N/A,SUM(AW$4:AW31))</f>
        <v>1.2290222546515868</v>
      </c>
      <c r="AY31" s="306" t="str">
        <f t="shared" si="23"/>
        <v/>
      </c>
      <c r="AZ31" s="306">
        <f>IF($J31="",#N/A,SUM(AY$4:AY31))</f>
        <v>2.4945770065075905</v>
      </c>
      <c r="BA31" s="306">
        <f>IF($J31="",#N/A,SUM(AY$4:AY31,AW$4:AW31,AU$4:AU31))</f>
        <v>3.7235992611591771</v>
      </c>
      <c r="BB31" s="304" t="str">
        <f t="shared" si="24"/>
        <v/>
      </c>
      <c r="BC31" s="304">
        <f>IF($J31="",#N/A,SUM(BB$4:BB31))</f>
        <v>0</v>
      </c>
      <c r="BD31" s="305" t="str">
        <f t="shared" si="25"/>
        <v/>
      </c>
      <c r="BE31" s="305">
        <f>IF($J31="",#N/A,SUM(BD$4:BD31))</f>
        <v>0</v>
      </c>
      <c r="BF31" s="306" t="str">
        <f t="shared" si="26"/>
        <v/>
      </c>
      <c r="BG31" s="306">
        <f>IF($J31="",#N/A,SUM(BF$4:BF31))</f>
        <v>0</v>
      </c>
      <c r="BH31" s="306">
        <f>IF($J31="",#N/A,SUM(BF$4:BF31,BD$4:BD31,BB$4:BB31))</f>
        <v>0</v>
      </c>
      <c r="BI31" s="304" t="str">
        <f t="shared" si="27"/>
        <v/>
      </c>
      <c r="BJ31" s="304">
        <f>IF($J31="",#N/A,SUM(BI$4:BI31))</f>
        <v>-0.93471713888646701</v>
      </c>
      <c r="BK31" s="305" t="str">
        <f t="shared" si="28"/>
        <v/>
      </c>
      <c r="BL31" s="305">
        <f>IF($J31="",#N/A,SUM(BK$4:BK31))</f>
        <v>0</v>
      </c>
      <c r="BM31" s="306">
        <f t="shared" si="29"/>
        <v>-0.78324225865209485</v>
      </c>
      <c r="BN31" s="306">
        <f>IF($J31="",#N/A,SUM(BM$4:BM31))</f>
        <v>3.8210959759517467</v>
      </c>
      <c r="BO31" s="306">
        <f>IF($J31="",#N/A,SUM(BM$4:BM31,BK$4:BK31,BI$4:BI31))</f>
        <v>2.8863788370652799</v>
      </c>
      <c r="BP31" s="304" t="str">
        <f t="shared" si="30"/>
        <v/>
      </c>
      <c r="BQ31" s="304">
        <f>IF($J31="",#N/A,SUM(BP$4:BP31))</f>
        <v>1.4969962235091621</v>
      </c>
      <c r="BR31" s="305" t="str">
        <f t="shared" si="31"/>
        <v/>
      </c>
      <c r="BS31" s="305">
        <f>IF($J31="",#N/A,SUM(BR$4:BR31))</f>
        <v>-0.34773304801390975</v>
      </c>
      <c r="BT31" s="306" t="str">
        <f t="shared" si="32"/>
        <v/>
      </c>
      <c r="BU31" s="306">
        <f>IF($J31="",#N/A,SUM(BT$4:BT31))</f>
        <v>-1.0025062656641595</v>
      </c>
      <c r="BV31" s="306">
        <f>IF($J31="",#N/A,SUM(BT$4:BT31,BR$4:BR31,BP$4:BP31))</f>
        <v>0.14675690983109269</v>
      </c>
      <c r="BW31" s="304" t="str">
        <f t="shared" si="33"/>
        <v/>
      </c>
      <c r="BX31" s="304">
        <f>IF($J31="",#N/A,SUM(BW$4:BW31))</f>
        <v>0</v>
      </c>
      <c r="BY31" s="305" t="str">
        <f t="shared" si="34"/>
        <v/>
      </c>
      <c r="BZ31" s="305">
        <f>IF($J31="",#N/A,SUM(BY$4:BY31))</f>
        <v>0</v>
      </c>
      <c r="CA31" s="306" t="str">
        <f t="shared" si="35"/>
        <v/>
      </c>
      <c r="CB31" s="306">
        <f>IF($J31="",#N/A,SUM(CA$4:CA31))</f>
        <v>0</v>
      </c>
      <c r="CC31" s="306">
        <f>IF($J31="",#N/A,SUM(CA$4:CA31,BY$4:BY31,BW$4:BW31))</f>
        <v>0</v>
      </c>
      <c r="CD31" s="304" t="str">
        <f t="shared" si="36"/>
        <v/>
      </c>
      <c r="CE31" s="304">
        <f>IF($J31="",#N/A,SUM(CD$4:CD31))</f>
        <v>0</v>
      </c>
      <c r="CF31" s="305" t="str">
        <f t="shared" si="37"/>
        <v/>
      </c>
      <c r="CG31" s="305">
        <f>IF($J31="",#N/A,SUM(CF$4:CF31))</f>
        <v>0</v>
      </c>
      <c r="CH31" s="306" t="str">
        <f t="shared" si="38"/>
        <v/>
      </c>
      <c r="CI31" s="306">
        <f>IF($J31="",#N/A,SUM(CH$4:CH31))</f>
        <v>0</v>
      </c>
      <c r="CJ31" s="306">
        <f>IF($J31="",#N/A,SUM(CH$4:CH31,CF$4:CF31,CD$4:CD31))</f>
        <v>0</v>
      </c>
      <c r="CK31" s="304" t="str">
        <f t="shared" si="39"/>
        <v/>
      </c>
      <c r="CL31" s="304">
        <f>IF($J31="",#N/A,SUM(CK$4:CK31))</f>
        <v>0</v>
      </c>
      <c r="CM31" s="305" t="str">
        <f t="shared" si="40"/>
        <v/>
      </c>
      <c r="CN31" s="305">
        <f>IF($J31="",#N/A,SUM(CM$4:CM31))</f>
        <v>0</v>
      </c>
      <c r="CO31" s="306" t="str">
        <f t="shared" si="41"/>
        <v/>
      </c>
      <c r="CP31" s="306">
        <f>IF($J31="",#N/A,SUM(CO$4:CO31))</f>
        <v>0</v>
      </c>
      <c r="CQ31" s="306">
        <f>IF($J31="",#N/A,SUM(CO$4:CO31,CM$4:CM31,CK$4:CK31))</f>
        <v>0</v>
      </c>
      <c r="CR31" s="304" t="str">
        <f t="shared" si="42"/>
        <v/>
      </c>
      <c r="CS31" s="304">
        <f>IF($J31="",#N/A,SUM(CR$4:CR31))</f>
        <v>0</v>
      </c>
      <c r="CT31" s="305" t="str">
        <f t="shared" si="43"/>
        <v/>
      </c>
      <c r="CU31" s="305">
        <f>IF($J31="",#N/A,SUM(CT$4:CT31))</f>
        <v>-0.42995051512938903</v>
      </c>
      <c r="CV31" s="306" t="str">
        <f t="shared" si="44"/>
        <v/>
      </c>
      <c r="CW31" s="306">
        <f>IF($J31="",#N/A,SUM(CV$4:CV31))</f>
        <v>0</v>
      </c>
      <c r="CX31" s="306">
        <f>IF($J31="",#N/A,SUM(CV$4:CV31,CT$4:CT31,CR$4:CR31))</f>
        <v>-0.42995051512938903</v>
      </c>
      <c r="CY31" s="304" t="str">
        <f t="shared" si="45"/>
        <v/>
      </c>
      <c r="CZ31" s="304">
        <f>IF($J31="",#N/A,SUM(CY$4:CY31))</f>
        <v>0</v>
      </c>
      <c r="DA31" s="305" t="str">
        <f t="shared" si="46"/>
        <v/>
      </c>
      <c r="DB31" s="305">
        <f>IF($J31="",#N/A,SUM(DA$4:DA31))</f>
        <v>0</v>
      </c>
      <c r="DC31" s="306" t="str">
        <f t="shared" si="47"/>
        <v/>
      </c>
      <c r="DD31" s="306">
        <f>IF($J31="",#N/A,SUM(DC$4:DC31))</f>
        <v>0</v>
      </c>
      <c r="DE31" s="306">
        <f>IF($J31="",#N/A,SUM(DC$4:DC31,DA$4:DA31,CY$4:CY31))</f>
        <v>0</v>
      </c>
      <c r="DF31" s="304" t="str">
        <f t="shared" si="48"/>
        <v/>
      </c>
      <c r="DG31" s="304">
        <f>IF($J31="",#N/A,SUM(DF$4:DF31))</f>
        <v>0</v>
      </c>
      <c r="DH31" s="305" t="str">
        <f t="shared" si="49"/>
        <v/>
      </c>
      <c r="DI31" s="305">
        <f>IF($J31="",#N/A,SUM(DH$4:DH31))</f>
        <v>0</v>
      </c>
      <c r="DJ31" s="306" t="str">
        <f t="shared" si="50"/>
        <v/>
      </c>
      <c r="DK31" s="306">
        <f>IF($J31="",#N/A,SUM(DJ$4:DJ31))</f>
        <v>0</v>
      </c>
      <c r="DL31" s="306">
        <f>IF($J31="",#N/A,SUM(DJ$4:DJ31,DH$4:DH31,DF$4:DF31))</f>
        <v>0</v>
      </c>
      <c r="DM31" s="304" t="str">
        <f t="shared" si="51"/>
        <v/>
      </c>
      <c r="DN31" s="304">
        <f>IF($J31="",#N/A,SUM(DM$4:DM31))</f>
        <v>0</v>
      </c>
      <c r="DO31" s="305" t="str">
        <f t="shared" si="52"/>
        <v/>
      </c>
      <c r="DP31" s="305">
        <f>IF($J31="",#N/A,SUM(DO$4:DO31))</f>
        <v>0</v>
      </c>
      <c r="DQ31" s="306" t="str">
        <f t="shared" si="53"/>
        <v/>
      </c>
      <c r="DR31" s="306">
        <f>IF($J31="",#N/A,SUM(DQ$4:DQ31))</f>
        <v>0</v>
      </c>
      <c r="DS31" s="306">
        <f>IF($J31="",#N/A,SUM(DQ$4:DQ31,DO$4:DO31,DM$4:DM31))</f>
        <v>0</v>
      </c>
      <c r="DT31" s="304" t="str">
        <f t="shared" si="54"/>
        <v/>
      </c>
      <c r="DU31" s="304">
        <f>IF($J31="",#N/A,SUM(DT$4:DT31))</f>
        <v>0</v>
      </c>
      <c r="DV31" s="305" t="str">
        <f t="shared" si="55"/>
        <v/>
      </c>
      <c r="DW31" s="305">
        <f>IF($J31="",#N/A,SUM(DV$4:DV31))</f>
        <v>0.40085630512924314</v>
      </c>
      <c r="DX31" s="306" t="str">
        <f t="shared" si="56"/>
        <v/>
      </c>
      <c r="DY31" s="306">
        <f>IF($J31="",#N/A,SUM(DX$4:DX31))</f>
        <v>0</v>
      </c>
      <c r="DZ31" s="306">
        <f>IF($J31="",#N/A,SUM(DX$4:DX31,DV$4:DV31,DT$4:DT31))</f>
        <v>0.40085630512924314</v>
      </c>
      <c r="EA31" s="304" t="str">
        <f t="shared" si="57"/>
        <v/>
      </c>
      <c r="EB31" s="304">
        <f>IF($J31="",#N/A,SUM(EA$4:EA31))</f>
        <v>0</v>
      </c>
      <c r="EC31" s="305" t="str">
        <f t="shared" si="58"/>
        <v/>
      </c>
      <c r="ED31" s="305">
        <f>IF($J31="",#N/A,SUM(EC$4:EC31))</f>
        <v>-0.47973811942657352</v>
      </c>
      <c r="EE31" s="306" t="str">
        <f t="shared" si="59"/>
        <v/>
      </c>
      <c r="EF31" s="306">
        <f>IF($J31="",#N/A,SUM(EE$4:EE31))</f>
        <v>0</v>
      </c>
      <c r="EG31" s="306">
        <f>IF($J31="",#N/A,SUM(EE$4:EE31,EC$4:EC31,EA$4:EA31))</f>
        <v>-0.47973811942657352</v>
      </c>
      <c r="EH31" s="223">
        <f t="shared" si="60"/>
        <v>-18.797814207650276</v>
      </c>
      <c r="EI31" s="224">
        <f>IF(EH31="",#N/A,SUM($EH$4:EH31))</f>
        <v>149.94966428709193</v>
      </c>
      <c r="EJ31" s="223">
        <f t="shared" si="61"/>
        <v>-14.426229508196741</v>
      </c>
      <c r="EK31" s="63">
        <f>IF($GZ31="",#N/A,SUM(EJ$4:EJ31))</f>
        <v>370.33285523698714</v>
      </c>
      <c r="EL31" s="60">
        <f t="shared" si="97"/>
        <v>-0.78324225865209485</v>
      </c>
      <c r="EM31" s="60">
        <f>IF(EL31="",NA(),SUM($EL$4:EL31))</f>
        <v>6.2479026786288312</v>
      </c>
      <c r="EN31" s="60" t="str">
        <f t="shared" si="62"/>
        <v/>
      </c>
      <c r="EO31" s="60" t="e">
        <f>IF(EN31="",NA(),SUM($EN$4:EN31))</f>
        <v>#N/A</v>
      </c>
      <c r="EP31" s="60">
        <f t="shared" si="63"/>
        <v>-0.78324225865209485</v>
      </c>
      <c r="EQ31" s="60">
        <f>IF(EP31="",NA(),SUM($EP$4:EP31))</f>
        <v>5.3131667167951777</v>
      </c>
      <c r="ER31" s="60" t="str">
        <f t="shared" si="64"/>
        <v/>
      </c>
      <c r="ES31" s="60" t="e">
        <f>IF(ER31="",NA(),SUM($ER$4:ER31))</f>
        <v>#N/A</v>
      </c>
      <c r="ET31" s="60" t="str">
        <f t="shared" si="65"/>
        <v/>
      </c>
      <c r="EU31" s="60" t="e">
        <f>IF(ET31="",NA(),SUM($ET$4:ET31))</f>
        <v>#N/A</v>
      </c>
      <c r="EV31" s="60" t="str">
        <f t="shared" si="66"/>
        <v/>
      </c>
      <c r="EW31" s="60" t="e">
        <f>IF(EV31="",NA(),SUM($EV$4:EV31))</f>
        <v>#N/A</v>
      </c>
      <c r="EX31" s="60" t="str">
        <f t="shared" si="67"/>
        <v/>
      </c>
      <c r="EY31" s="60" t="e">
        <f>IF(EX31="",NA(),SUM($EX$4:EX31))</f>
        <v>#N/A</v>
      </c>
      <c r="EZ31" s="60" t="str">
        <f t="shared" si="68"/>
        <v/>
      </c>
      <c r="FA31" s="60" t="e">
        <f>IF(EZ31="",NA(),SUM($EZ$4:EZ31))</f>
        <v>#N/A</v>
      </c>
      <c r="FB31" s="246" t="str">
        <f t="shared" si="98"/>
        <v/>
      </c>
      <c r="FC31" s="246" t="e">
        <f>IF($FB31="",#N/A,SUM(FB$4:$FB31))</f>
        <v>#N/A</v>
      </c>
      <c r="FD31" s="60" t="str">
        <f t="shared" si="69"/>
        <v/>
      </c>
      <c r="FE31" s="60" t="e">
        <f>IF($FD31="",#N/A,SUM($FD$4:FD31))</f>
        <v>#N/A</v>
      </c>
      <c r="FF31" s="60" t="str">
        <f t="shared" si="70"/>
        <v/>
      </c>
      <c r="FG31" s="60" t="e">
        <f>IF($FF31="",#N/A,SUM($FF$4:FF31))</f>
        <v>#N/A</v>
      </c>
      <c r="FH31" s="60" t="str">
        <f t="shared" si="71"/>
        <v/>
      </c>
      <c r="FI31" s="60" t="e">
        <f>IF($FH31="",#N/A,SUM($FH$4:FH31))</f>
        <v>#N/A</v>
      </c>
      <c r="FJ31" s="60" t="str">
        <f t="shared" si="72"/>
        <v/>
      </c>
      <c r="FK31" s="60" t="e">
        <f>IF($FJ31="",#N/A,SUM($FJ$4:FJ31))</f>
        <v>#N/A</v>
      </c>
      <c r="FL31" s="60">
        <f t="shared" si="73"/>
        <v>0.18214936247723068</v>
      </c>
      <c r="FM31" s="60">
        <f>IF($FL31="",#N/A,SUM($FL$4:FL31))</f>
        <v>0.39905686321931705</v>
      </c>
      <c r="FN31" s="82">
        <f t="shared" si="74"/>
        <v>-0.60109289617486417</v>
      </c>
      <c r="FO31" s="82">
        <f>IF($FN31="",#N/A,SUM(FN$4:$FN31))</f>
        <v>15.430535634874465</v>
      </c>
      <c r="FP31" s="82">
        <f t="shared" si="99"/>
        <v>-0.78324225865209485</v>
      </c>
      <c r="FQ31" s="246">
        <f>IF($EH31="",#N/A,SUM($FP$4:FP31))</f>
        <v>6.2479026786288312</v>
      </c>
      <c r="FR31" s="82">
        <f>IFERROR(FQ31/COUNTA($J$4:J31),#N/A)</f>
        <v>0.22313938137960113</v>
      </c>
      <c r="FS31" s="99"/>
      <c r="FT31" s="82">
        <f t="shared" si="103"/>
        <v>5.4329331087022051E-2</v>
      </c>
      <c r="FU31" s="82" t="e">
        <v>#N/A</v>
      </c>
      <c r="FV31" s="57" t="str">
        <f t="shared" si="75"/>
        <v>SW</v>
      </c>
      <c r="FW31" s="57" t="s">
        <v>2732</v>
      </c>
      <c r="FX31" s="57" t="str">
        <f t="shared" si="76"/>
        <v/>
      </c>
      <c r="FY31" s="57" t="str">
        <f t="shared" si="77"/>
        <v/>
      </c>
      <c r="FZ31" s="57" t="str">
        <f t="shared" si="78"/>
        <v/>
      </c>
      <c r="GA31" s="57" t="str">
        <f t="shared" si="79"/>
        <v>Long</v>
      </c>
      <c r="GB31" s="57" t="str">
        <f t="shared" si="80"/>
        <v/>
      </c>
      <c r="GC31" s="57" t="str">
        <f t="shared" si="81"/>
        <v/>
      </c>
      <c r="GD31" s="57">
        <f t="shared" si="82"/>
        <v>1</v>
      </c>
      <c r="GE31" s="62">
        <f t="shared" si="83"/>
        <v>18.3</v>
      </c>
      <c r="GF31" s="62" t="s">
        <v>2779</v>
      </c>
      <c r="GG31" s="199">
        <f t="shared" si="84"/>
        <v>21.857923497267759</v>
      </c>
      <c r="GH31" s="207">
        <f t="shared" si="85"/>
        <v>400</v>
      </c>
      <c r="GI31" s="199">
        <f t="shared" si="86"/>
        <v>21.857923497267759</v>
      </c>
      <c r="GJ31" s="200">
        <f t="shared" si="87"/>
        <v>17.440000000000001</v>
      </c>
      <c r="GK31" s="63">
        <f t="shared" si="88"/>
        <v>-18.797814207650276</v>
      </c>
      <c r="GL31" s="63">
        <f t="shared" si="89"/>
        <v>-14.426229508196741</v>
      </c>
      <c r="GM31" s="82">
        <f t="shared" si="90"/>
        <v>-0.60109289617486417</v>
      </c>
      <c r="GN31" s="82">
        <f>IF($GZ31="",#N/A,SUM(GM$4:GM31))</f>
        <v>8.8452875561124245</v>
      </c>
      <c r="GO31" s="82" t="str">
        <f t="shared" si="91"/>
        <v/>
      </c>
      <c r="GP31" s="82">
        <f>IF($GZ31="",#N/A,SUM(GO$4:GO31))</f>
        <v>3.58650696567469</v>
      </c>
      <c r="GQ31" s="82" t="str">
        <f t="shared" si="92"/>
        <v/>
      </c>
      <c r="GR31" s="82">
        <f>IF($GZ31="",#N/A,SUM(GQ$4:GQ31))</f>
        <v>2.9987411130873514</v>
      </c>
      <c r="GS31" s="63">
        <f t="shared" si="100"/>
        <v>-14.426229508196741</v>
      </c>
      <c r="GT31" s="63">
        <f>IF($GZ31="",#N/A,SUM(GS$4:GS31))</f>
        <v>212.28690134669819</v>
      </c>
      <c r="GU31" s="63" t="str">
        <f t="shared" si="101"/>
        <v/>
      </c>
      <c r="GV31" s="63">
        <f>IF($GZ31="",#N/A,SUM(GU$4:GU31))</f>
        <v>86.076167176192541</v>
      </c>
      <c r="GW31" s="62" t="str">
        <f t="shared" si="102"/>
        <v/>
      </c>
      <c r="GX31" s="63">
        <f>IF($GZ31="",#N/A,SUM(GW$4:GW31))</f>
        <v>71.969786714096415</v>
      </c>
      <c r="GY31" s="63">
        <f>IF(EJ31="",#N/A,SUM($EJ$4:EJ31))</f>
        <v>370.33285523698714</v>
      </c>
      <c r="GZ31" s="159">
        <v>17.64</v>
      </c>
      <c r="HA31" s="63">
        <f t="shared" si="93"/>
        <v>4.3715846994535354</v>
      </c>
      <c r="HB31" s="62" t="s">
        <v>4970</v>
      </c>
      <c r="HC31" s="60">
        <f>IFERROR(VLOOKUP(E31,Expectancy!$P$4:$S$19,1+C31,FALSE),"")</f>
        <v>9.9793136114217987E-2</v>
      </c>
      <c r="HD31" s="60" t="str">
        <f t="shared" si="94"/>
        <v/>
      </c>
      <c r="HE31" s="60" t="e">
        <f>IF(HD31="",#N/A,SUM($HD$4:HD31))</f>
        <v>#N/A</v>
      </c>
      <c r="HF31" s="64" t="e">
        <f>IF(HD31="",#N/A,IF(HB31="Skip",#N/A,SUM($HG$4:HG31)))</f>
        <v>#N/A</v>
      </c>
      <c r="HG31" s="63" t="str">
        <f t="shared" si="95"/>
        <v/>
      </c>
      <c r="HH31" s="82">
        <f t="shared" si="96"/>
        <v>-0.60109289617486417</v>
      </c>
    </row>
    <row r="32" spans="1:216" x14ac:dyDescent="0.25">
      <c r="A32" s="57" t="s">
        <v>1289</v>
      </c>
      <c r="B32" s="58" t="s">
        <v>5097</v>
      </c>
      <c r="C32" s="386">
        <f t="shared" si="0"/>
        <v>3</v>
      </c>
      <c r="D32" s="372" t="str">
        <f>_xlfn.XLOOKUP(A32,[1]SP500!$A$2:$A$502,[1]SP500!$D$2:$D$502,"N")</f>
        <v>Y</v>
      </c>
      <c r="E32" s="57" t="str">
        <f>_xlfn.XLOOKUP(A32,[1]SP500!$A$2:$A$655,[1]SP500!$B$2:$B$655)</f>
        <v>XLC</v>
      </c>
      <c r="F32" s="59">
        <v>45678</v>
      </c>
      <c r="G32" s="57" t="str">
        <f t="shared" si="1"/>
        <v>AMC</v>
      </c>
      <c r="H32" s="57" t="str">
        <f t="shared" si="2"/>
        <v>o</v>
      </c>
      <c r="I32" s="159">
        <v>869.68</v>
      </c>
      <c r="J32" s="159">
        <v>998.03</v>
      </c>
      <c r="K32" s="61">
        <f t="shared" si="3"/>
        <v>0.14758301904148655</v>
      </c>
      <c r="L32" s="87">
        <f t="shared" si="4"/>
        <v>59.033207616594666</v>
      </c>
      <c r="M32" s="63" t="str">
        <f t="shared" si="5"/>
        <v/>
      </c>
      <c r="N32" s="219" t="str">
        <f t="shared" si="6"/>
        <v/>
      </c>
      <c r="O32" s="219">
        <f>IF($J32="",#N/A,SUM($N$4:N32))</f>
        <v>13.494698030944676</v>
      </c>
      <c r="P32" s="220" t="str">
        <f t="shared" si="7"/>
        <v/>
      </c>
      <c r="Q32" s="220">
        <f>IF($J32="",#N/A,SUM($P$4:P32))</f>
        <v>8.9389650530629865</v>
      </c>
      <c r="R32" s="221">
        <f t="shared" si="8"/>
        <v>59.033207616594666</v>
      </c>
      <c r="S32" s="222">
        <f>IF($J32="",#N/A,SUM($R$4:R32))</f>
        <v>186.54920881967894</v>
      </c>
      <c r="T32" s="281" t="str">
        <f t="shared" si="9"/>
        <v/>
      </c>
      <c r="U32" s="281">
        <f>IF($J32="",#N/A,SUM($T$4:T32))</f>
        <v>0.56227908462269494</v>
      </c>
      <c r="V32" s="282" t="str">
        <f t="shared" si="10"/>
        <v/>
      </c>
      <c r="W32" s="282">
        <f>IF($J32="",#N/A,SUM($V$4:V32))</f>
        <v>0.37245687721095755</v>
      </c>
      <c r="X32" s="283">
        <f t="shared" si="11"/>
        <v>2.4597169840247779</v>
      </c>
      <c r="Y32" s="283">
        <f>IF($J32="",#N/A,SUM($X$4:X32))</f>
        <v>7.7728837008199552</v>
      </c>
      <c r="Z32" s="304" t="str">
        <f t="shared" si="12"/>
        <v/>
      </c>
      <c r="AA32" s="304">
        <f>IF($J32="",#N/A,SUM(Z$4:Z32))</f>
        <v>0</v>
      </c>
      <c r="AB32" s="305" t="str">
        <f t="shared" si="13"/>
        <v/>
      </c>
      <c r="AC32" s="305">
        <f>IF($J32="",#N/A,SUM(AB$4:AB32))</f>
        <v>0</v>
      </c>
      <c r="AD32" s="306" t="str">
        <f t="shared" si="14"/>
        <v/>
      </c>
      <c r="AE32" s="306">
        <f>IF($J32="",#N/A,SUM(AD$4:AD32))</f>
        <v>0</v>
      </c>
      <c r="AF32" s="306">
        <f>IF($J32="",#N/A,SUM(AD$4:AD32,AB$4:AB32,Z$4:Z32))</f>
        <v>0</v>
      </c>
      <c r="AG32" s="304" t="str">
        <f t="shared" si="15"/>
        <v/>
      </c>
      <c r="AH32" s="304">
        <f>IF($J32="",#N/A,SUM(AG$4:AG32))</f>
        <v>0</v>
      </c>
      <c r="AI32" s="305" t="str">
        <f t="shared" si="16"/>
        <v/>
      </c>
      <c r="AJ32" s="305">
        <f>IF($J32="",#N/A,SUM(AI$4:AI32))</f>
        <v>0</v>
      </c>
      <c r="AK32" s="306" t="str">
        <f t="shared" si="17"/>
        <v/>
      </c>
      <c r="AL32" s="306">
        <f>IF($J32="",#N/A,SUM(AK$4:AK32))</f>
        <v>0</v>
      </c>
      <c r="AM32" s="306">
        <f>IF($J32="",#N/A,SUM(AK$4:AK32,AI$4:AI32,AG$4:AG32))</f>
        <v>0</v>
      </c>
      <c r="AN32" s="304" t="str">
        <f t="shared" si="18"/>
        <v/>
      </c>
      <c r="AO32" s="304">
        <f>IF($J32="",#N/A,SUM(AN$4:AN32))</f>
        <v>0</v>
      </c>
      <c r="AP32" s="305" t="str">
        <f t="shared" si="19"/>
        <v/>
      </c>
      <c r="AQ32" s="305">
        <f>IF($J32="",#N/A,SUM(AP$4:AP32))</f>
        <v>0</v>
      </c>
      <c r="AR32" s="306" t="str">
        <f t="shared" si="20"/>
        <v/>
      </c>
      <c r="AS32" s="306">
        <f>IF($J32="",#N/A,SUM(AR$4:AR32))</f>
        <v>0</v>
      </c>
      <c r="AT32" s="306">
        <f>IF($J32="",#N/A,SUM(AR$4:AR32,AP$4:AP32,AN$4:AN32))</f>
        <v>0</v>
      </c>
      <c r="AU32" s="304" t="str">
        <f t="shared" si="21"/>
        <v/>
      </c>
      <c r="AV32" s="304">
        <f>IF($J32="",#N/A,SUM(AU$4:AU32))</f>
        <v>0</v>
      </c>
      <c r="AW32" s="305" t="str">
        <f t="shared" si="22"/>
        <v/>
      </c>
      <c r="AX32" s="305">
        <f>IF($J32="",#N/A,SUM(AW$4:AW32))</f>
        <v>1.2290222546515868</v>
      </c>
      <c r="AY32" s="306" t="str">
        <f t="shared" si="23"/>
        <v/>
      </c>
      <c r="AZ32" s="306">
        <f>IF($J32="",#N/A,SUM(AY$4:AY32))</f>
        <v>2.4945770065075905</v>
      </c>
      <c r="BA32" s="306">
        <f>IF($J32="",#N/A,SUM(AY$4:AY32,AW$4:AW32,AU$4:AU32))</f>
        <v>3.7235992611591771</v>
      </c>
      <c r="BB32" s="304" t="str">
        <f t="shared" si="24"/>
        <v/>
      </c>
      <c r="BC32" s="304">
        <f>IF($J32="",#N/A,SUM(BB$4:BB32))</f>
        <v>0</v>
      </c>
      <c r="BD32" s="305" t="str">
        <f t="shared" si="25"/>
        <v/>
      </c>
      <c r="BE32" s="305">
        <f>IF($J32="",#N/A,SUM(BD$4:BD32))</f>
        <v>0</v>
      </c>
      <c r="BF32" s="306">
        <f t="shared" si="26"/>
        <v>2.4597169840247779</v>
      </c>
      <c r="BG32" s="306">
        <f>IF($J32="",#N/A,SUM(BF$4:BF32))</f>
        <v>2.4597169840247779</v>
      </c>
      <c r="BH32" s="306">
        <f>IF($J32="",#N/A,SUM(BF$4:BF32,BD$4:BD32,BB$4:BB32))</f>
        <v>2.4597169840247779</v>
      </c>
      <c r="BI32" s="304" t="str">
        <f t="shared" si="27"/>
        <v/>
      </c>
      <c r="BJ32" s="304">
        <f>IF($J32="",#N/A,SUM(BI$4:BI32))</f>
        <v>-0.93471713888646701</v>
      </c>
      <c r="BK32" s="305" t="str">
        <f t="shared" si="28"/>
        <v/>
      </c>
      <c r="BL32" s="305">
        <f>IF($J32="",#N/A,SUM(BK$4:BK32))</f>
        <v>0</v>
      </c>
      <c r="BM32" s="306" t="str">
        <f t="shared" si="29"/>
        <v/>
      </c>
      <c r="BN32" s="306">
        <f>IF($J32="",#N/A,SUM(BM$4:BM32))</f>
        <v>3.8210959759517467</v>
      </c>
      <c r="BO32" s="306">
        <f>IF($J32="",#N/A,SUM(BM$4:BM32,BK$4:BK32,BI$4:BI32))</f>
        <v>2.8863788370652799</v>
      </c>
      <c r="BP32" s="304" t="str">
        <f t="shared" si="30"/>
        <v/>
      </c>
      <c r="BQ32" s="304">
        <f>IF($J32="",#N/A,SUM(BP$4:BP32))</f>
        <v>1.4969962235091621</v>
      </c>
      <c r="BR32" s="305" t="str">
        <f t="shared" si="31"/>
        <v/>
      </c>
      <c r="BS32" s="305">
        <f>IF($J32="",#N/A,SUM(BR$4:BR32))</f>
        <v>-0.34773304801390975</v>
      </c>
      <c r="BT32" s="306" t="str">
        <f t="shared" si="32"/>
        <v/>
      </c>
      <c r="BU32" s="306">
        <f>IF($J32="",#N/A,SUM(BT$4:BT32))</f>
        <v>-1.0025062656641595</v>
      </c>
      <c r="BV32" s="306">
        <f>IF($J32="",#N/A,SUM(BT$4:BT32,BR$4:BR32,BP$4:BP32))</f>
        <v>0.14675690983109269</v>
      </c>
      <c r="BW32" s="304" t="str">
        <f t="shared" si="33"/>
        <v/>
      </c>
      <c r="BX32" s="304">
        <f>IF($J32="",#N/A,SUM(BW$4:BW32))</f>
        <v>0</v>
      </c>
      <c r="BY32" s="305" t="str">
        <f t="shared" si="34"/>
        <v/>
      </c>
      <c r="BZ32" s="305">
        <f>IF($J32="",#N/A,SUM(BY$4:BY32))</f>
        <v>0</v>
      </c>
      <c r="CA32" s="306" t="str">
        <f t="shared" si="35"/>
        <v/>
      </c>
      <c r="CB32" s="306">
        <f>IF($J32="",#N/A,SUM(CA$4:CA32))</f>
        <v>0</v>
      </c>
      <c r="CC32" s="306">
        <f>IF($J32="",#N/A,SUM(CA$4:CA32,BY$4:BY32,BW$4:BW32))</f>
        <v>0</v>
      </c>
      <c r="CD32" s="304" t="str">
        <f t="shared" si="36"/>
        <v/>
      </c>
      <c r="CE32" s="304">
        <f>IF($J32="",#N/A,SUM(CD$4:CD32))</f>
        <v>0</v>
      </c>
      <c r="CF32" s="305" t="str">
        <f t="shared" si="37"/>
        <v/>
      </c>
      <c r="CG32" s="305">
        <f>IF($J32="",#N/A,SUM(CF$4:CF32))</f>
        <v>0</v>
      </c>
      <c r="CH32" s="306" t="str">
        <f t="shared" si="38"/>
        <v/>
      </c>
      <c r="CI32" s="306">
        <f>IF($J32="",#N/A,SUM(CH$4:CH32))</f>
        <v>0</v>
      </c>
      <c r="CJ32" s="306">
        <f>IF($J32="",#N/A,SUM(CH$4:CH32,CF$4:CF32,CD$4:CD32))</f>
        <v>0</v>
      </c>
      <c r="CK32" s="304" t="str">
        <f t="shared" si="39"/>
        <v/>
      </c>
      <c r="CL32" s="304">
        <f>IF($J32="",#N/A,SUM(CK$4:CK32))</f>
        <v>0</v>
      </c>
      <c r="CM32" s="305" t="str">
        <f t="shared" si="40"/>
        <v/>
      </c>
      <c r="CN32" s="305">
        <f>IF($J32="",#N/A,SUM(CM$4:CM32))</f>
        <v>0</v>
      </c>
      <c r="CO32" s="306" t="str">
        <f t="shared" si="41"/>
        <v/>
      </c>
      <c r="CP32" s="306">
        <f>IF($J32="",#N/A,SUM(CO$4:CO32))</f>
        <v>0</v>
      </c>
      <c r="CQ32" s="306">
        <f>IF($J32="",#N/A,SUM(CO$4:CO32,CM$4:CM32,CK$4:CK32))</f>
        <v>0</v>
      </c>
      <c r="CR32" s="304" t="str">
        <f t="shared" si="42"/>
        <v/>
      </c>
      <c r="CS32" s="304">
        <f>IF($J32="",#N/A,SUM(CR$4:CR32))</f>
        <v>0</v>
      </c>
      <c r="CT32" s="305" t="str">
        <f t="shared" si="43"/>
        <v/>
      </c>
      <c r="CU32" s="305">
        <f>IF($J32="",#N/A,SUM(CT$4:CT32))</f>
        <v>-0.42995051512938903</v>
      </c>
      <c r="CV32" s="306" t="str">
        <f t="shared" si="44"/>
        <v/>
      </c>
      <c r="CW32" s="306">
        <f>IF($J32="",#N/A,SUM(CV$4:CV32))</f>
        <v>0</v>
      </c>
      <c r="CX32" s="306">
        <f>IF($J32="",#N/A,SUM(CV$4:CV32,CT$4:CT32,CR$4:CR32))</f>
        <v>-0.42995051512938903</v>
      </c>
      <c r="CY32" s="304" t="str">
        <f t="shared" si="45"/>
        <v/>
      </c>
      <c r="CZ32" s="304">
        <f>IF($J32="",#N/A,SUM(CY$4:CY32))</f>
        <v>0</v>
      </c>
      <c r="DA32" s="305" t="str">
        <f t="shared" si="46"/>
        <v/>
      </c>
      <c r="DB32" s="305">
        <f>IF($J32="",#N/A,SUM(DA$4:DA32))</f>
        <v>0</v>
      </c>
      <c r="DC32" s="306" t="str">
        <f t="shared" si="47"/>
        <v/>
      </c>
      <c r="DD32" s="306">
        <f>IF($J32="",#N/A,SUM(DC$4:DC32))</f>
        <v>0</v>
      </c>
      <c r="DE32" s="306">
        <f>IF($J32="",#N/A,SUM(DC$4:DC32,DA$4:DA32,CY$4:CY32))</f>
        <v>0</v>
      </c>
      <c r="DF32" s="304" t="str">
        <f t="shared" si="48"/>
        <v/>
      </c>
      <c r="DG32" s="304">
        <f>IF($J32="",#N/A,SUM(DF$4:DF32))</f>
        <v>0</v>
      </c>
      <c r="DH32" s="305" t="str">
        <f t="shared" si="49"/>
        <v/>
      </c>
      <c r="DI32" s="305">
        <f>IF($J32="",#N/A,SUM(DH$4:DH32))</f>
        <v>0</v>
      </c>
      <c r="DJ32" s="306" t="str">
        <f t="shared" si="50"/>
        <v/>
      </c>
      <c r="DK32" s="306">
        <f>IF($J32="",#N/A,SUM(DJ$4:DJ32))</f>
        <v>0</v>
      </c>
      <c r="DL32" s="306">
        <f>IF($J32="",#N/A,SUM(DJ$4:DJ32,DH$4:DH32,DF$4:DF32))</f>
        <v>0</v>
      </c>
      <c r="DM32" s="304" t="str">
        <f t="shared" si="51"/>
        <v/>
      </c>
      <c r="DN32" s="304">
        <f>IF($J32="",#N/A,SUM(DM$4:DM32))</f>
        <v>0</v>
      </c>
      <c r="DO32" s="305" t="str">
        <f t="shared" si="52"/>
        <v/>
      </c>
      <c r="DP32" s="305">
        <f>IF($J32="",#N/A,SUM(DO$4:DO32))</f>
        <v>0</v>
      </c>
      <c r="DQ32" s="306" t="str">
        <f t="shared" si="53"/>
        <v/>
      </c>
      <c r="DR32" s="306">
        <f>IF($J32="",#N/A,SUM(DQ$4:DQ32))</f>
        <v>0</v>
      </c>
      <c r="DS32" s="306">
        <f>IF($J32="",#N/A,SUM(DQ$4:DQ32,DO$4:DO32,DM$4:DM32))</f>
        <v>0</v>
      </c>
      <c r="DT32" s="304" t="str">
        <f t="shared" si="54"/>
        <v/>
      </c>
      <c r="DU32" s="304">
        <f>IF($J32="",#N/A,SUM(DT$4:DT32))</f>
        <v>0</v>
      </c>
      <c r="DV32" s="305" t="str">
        <f t="shared" si="55"/>
        <v/>
      </c>
      <c r="DW32" s="305">
        <f>IF($J32="",#N/A,SUM(DV$4:DV32))</f>
        <v>0.40085630512924314</v>
      </c>
      <c r="DX32" s="306" t="str">
        <f t="shared" si="56"/>
        <v/>
      </c>
      <c r="DY32" s="306">
        <f>IF($J32="",#N/A,SUM(DX$4:DX32))</f>
        <v>0</v>
      </c>
      <c r="DZ32" s="306">
        <f>IF($J32="",#N/A,SUM(DX$4:DX32,DV$4:DV32,DT$4:DT32))</f>
        <v>0.40085630512924314</v>
      </c>
      <c r="EA32" s="304" t="str">
        <f t="shared" si="57"/>
        <v/>
      </c>
      <c r="EB32" s="304">
        <f>IF($J32="",#N/A,SUM(EA$4:EA32))</f>
        <v>0</v>
      </c>
      <c r="EC32" s="305" t="str">
        <f t="shared" si="58"/>
        <v/>
      </c>
      <c r="ED32" s="305">
        <f>IF($J32="",#N/A,SUM(EC$4:EC32))</f>
        <v>-0.47973811942657352</v>
      </c>
      <c r="EE32" s="306" t="str">
        <f t="shared" si="59"/>
        <v/>
      </c>
      <c r="EF32" s="306">
        <f>IF($J32="",#N/A,SUM(EE$4:EE32))</f>
        <v>0</v>
      </c>
      <c r="EG32" s="306">
        <f>IF($J32="",#N/A,SUM(EE$4:EE32,EC$4:EC32,EA$4:EA32))</f>
        <v>-0.47973811942657352</v>
      </c>
      <c r="EH32" s="223">
        <f t="shared" si="60"/>
        <v>59.033207616594666</v>
      </c>
      <c r="EI32" s="224">
        <f>IF(EH32="",#N/A,SUM($EH$4:EH32))</f>
        <v>208.9828719036866</v>
      </c>
      <c r="EJ32" s="223">
        <f t="shared" si="61"/>
        <v>38.777481372458908</v>
      </c>
      <c r="EK32" s="63">
        <f>IF($GZ32="",#N/A,SUM(EJ$4:EJ32))</f>
        <v>409.11033660944605</v>
      </c>
      <c r="EL32" s="60">
        <f t="shared" si="97"/>
        <v>2.4597169840247779</v>
      </c>
      <c r="EM32" s="60">
        <f>IF(EL32="",NA(),SUM($EL$4:EL32))</f>
        <v>8.7076196626536095</v>
      </c>
      <c r="EN32" s="60" t="str">
        <f t="shared" si="62"/>
        <v/>
      </c>
      <c r="EO32" s="60" t="e">
        <f>IF(EN32="",NA(),SUM($EN$4:EN32))</f>
        <v>#N/A</v>
      </c>
      <c r="EP32" s="60">
        <f t="shared" si="63"/>
        <v>2.4597169840247779</v>
      </c>
      <c r="EQ32" s="60">
        <f>IF(EP32="",NA(),SUM($EP$4:EP32))</f>
        <v>7.7728837008199552</v>
      </c>
      <c r="ER32" s="60" t="str">
        <f t="shared" si="64"/>
        <v/>
      </c>
      <c r="ES32" s="60" t="e">
        <f>IF(ER32="",NA(),SUM($ER$4:ER32))</f>
        <v>#N/A</v>
      </c>
      <c r="ET32" s="60" t="str">
        <f t="shared" si="65"/>
        <v/>
      </c>
      <c r="EU32" s="60" t="e">
        <f>IF(ET32="",NA(),SUM($ET$4:ET32))</f>
        <v>#N/A</v>
      </c>
      <c r="EV32" s="60" t="str">
        <f t="shared" si="66"/>
        <v/>
      </c>
      <c r="EW32" s="60" t="e">
        <f>IF(EV32="",NA(),SUM($EV$4:EV32))</f>
        <v>#N/A</v>
      </c>
      <c r="EX32" s="60" t="str">
        <f t="shared" si="67"/>
        <v/>
      </c>
      <c r="EY32" s="60" t="e">
        <f>IF(EX32="",NA(),SUM($EX$4:EX32))</f>
        <v>#N/A</v>
      </c>
      <c r="EZ32" s="60" t="str">
        <f t="shared" si="68"/>
        <v/>
      </c>
      <c r="FA32" s="60" t="e">
        <f>IF(EZ32="",NA(),SUM($EZ$4:EZ32))</f>
        <v>#N/A</v>
      </c>
      <c r="FB32" s="246" t="str">
        <f t="shared" si="98"/>
        <v/>
      </c>
      <c r="FC32" s="246" t="e">
        <f>IF($FB32="",#N/A,SUM(FB$4:$FB32))</f>
        <v>#N/A</v>
      </c>
      <c r="FD32" s="60" t="str">
        <f t="shared" si="69"/>
        <v/>
      </c>
      <c r="FE32" s="60" t="e">
        <f>IF($FD32="",#N/A,SUM($FD$4:FD32))</f>
        <v>#N/A</v>
      </c>
      <c r="FF32" s="60" t="str">
        <f t="shared" si="70"/>
        <v/>
      </c>
      <c r="FG32" s="60" t="e">
        <f>IF($FF32="",#N/A,SUM($FF$4:FF32))</f>
        <v>#N/A</v>
      </c>
      <c r="FH32" s="60" t="str">
        <f t="shared" si="71"/>
        <v/>
      </c>
      <c r="FI32" s="60" t="e">
        <f>IF($FH32="",#N/A,SUM($FH$4:FH32))</f>
        <v>#N/A</v>
      </c>
      <c r="FJ32" s="60">
        <f t="shared" si="72"/>
        <v>-0.8439885935056568</v>
      </c>
      <c r="FK32" s="60">
        <f>IF($FJ32="",#N/A,SUM($FJ$4:FJ32))</f>
        <v>2.2890753825922729</v>
      </c>
      <c r="FL32" s="60" t="str">
        <f t="shared" si="73"/>
        <v/>
      </c>
      <c r="FM32" s="60" t="e">
        <f>IF($FL32="",#N/A,SUM($FL$4:FL32))</f>
        <v>#N/A</v>
      </c>
      <c r="FN32" s="82">
        <f t="shared" si="74"/>
        <v>1.6157283905191211</v>
      </c>
      <c r="FO32" s="82">
        <f>IF($FN32="",#N/A,SUM(FN$4:$FN32))</f>
        <v>17.046264025393587</v>
      </c>
      <c r="FP32" s="82">
        <f t="shared" si="99"/>
        <v>2.4597169840247779</v>
      </c>
      <c r="FQ32" s="246">
        <f>IF($EH32="",#N/A,SUM($FP$4:FP32))</f>
        <v>8.7076196626536095</v>
      </c>
      <c r="FR32" s="82">
        <f>IFERROR(FQ32/COUNTA($J$4:J32),#N/A)</f>
        <v>0.3002627469880555</v>
      </c>
      <c r="FS32" s="99"/>
      <c r="FT32" s="82">
        <f t="shared" si="103"/>
        <v>0.11366758201705376</v>
      </c>
      <c r="FU32" s="82" t="e">
        <v>#N/A</v>
      </c>
      <c r="FV32" s="57" t="str">
        <f t="shared" si="75"/>
        <v>SW</v>
      </c>
      <c r="FW32" s="57" t="s">
        <v>2732</v>
      </c>
      <c r="FX32" s="57" t="str">
        <f t="shared" si="76"/>
        <v/>
      </c>
      <c r="FY32" s="57" t="str">
        <f t="shared" si="77"/>
        <v/>
      </c>
      <c r="FZ32" s="57">
        <f t="shared" si="78"/>
        <v>1</v>
      </c>
      <c r="GA32" s="57" t="str">
        <f t="shared" si="79"/>
        <v>Long</v>
      </c>
      <c r="GB32" s="57" t="str">
        <f t="shared" si="80"/>
        <v/>
      </c>
      <c r="GC32" s="57" t="str">
        <f t="shared" si="81"/>
        <v/>
      </c>
      <c r="GD32" s="57" t="str">
        <f t="shared" si="82"/>
        <v/>
      </c>
      <c r="GE32" s="62">
        <f t="shared" si="83"/>
        <v>869.68</v>
      </c>
      <c r="GF32" s="62" t="s">
        <v>2779</v>
      </c>
      <c r="GG32" s="199">
        <f t="shared" si="84"/>
        <v>0.45993928801398221</v>
      </c>
      <c r="GH32" s="207">
        <f t="shared" si="85"/>
        <v>400</v>
      </c>
      <c r="GI32" s="199">
        <f t="shared" si="86"/>
        <v>0.45993928801398221</v>
      </c>
      <c r="GJ32" s="200">
        <f t="shared" si="87"/>
        <v>998.03</v>
      </c>
      <c r="GK32" s="63">
        <f t="shared" si="88"/>
        <v>59.033207616594666</v>
      </c>
      <c r="GL32" s="63">
        <f t="shared" si="89"/>
        <v>38.777481372458908</v>
      </c>
      <c r="GM32" s="82">
        <f t="shared" si="90"/>
        <v>1.6157283905191211</v>
      </c>
      <c r="GN32" s="82">
        <f>IF($GZ32="",#N/A,SUM(GM$4:GM32))</f>
        <v>10.461015946631546</v>
      </c>
      <c r="GO32" s="82" t="str">
        <f t="shared" si="91"/>
        <v/>
      </c>
      <c r="GP32" s="82">
        <f>IF($GZ32="",#N/A,SUM(GO$4:GO32))</f>
        <v>3.58650696567469</v>
      </c>
      <c r="GQ32" s="82" t="str">
        <f t="shared" si="92"/>
        <v/>
      </c>
      <c r="GR32" s="82">
        <f>IF($GZ32="",#N/A,SUM(GQ$4:GQ32))</f>
        <v>2.9987411130873514</v>
      </c>
      <c r="GS32" s="63">
        <f t="shared" si="100"/>
        <v>38.777481372458908</v>
      </c>
      <c r="GT32" s="63">
        <f>IF($GZ32="",#N/A,SUM(GS$4:GS32))</f>
        <v>251.06438271915709</v>
      </c>
      <c r="GU32" s="63" t="str">
        <f t="shared" si="101"/>
        <v/>
      </c>
      <c r="GV32" s="63">
        <f>IF($GZ32="",#N/A,SUM(GU$4:GU32))</f>
        <v>86.076167176192541</v>
      </c>
      <c r="GW32" s="62" t="str">
        <f t="shared" si="102"/>
        <v/>
      </c>
      <c r="GX32" s="63">
        <f>IF($GZ32="",#N/A,SUM(GW$4:GW32))</f>
        <v>71.969786714096415</v>
      </c>
      <c r="GY32" s="63">
        <f>IF(EJ32="",#N/A,SUM($EJ$4:EJ32))</f>
        <v>409.11033660944605</v>
      </c>
      <c r="GZ32" s="159">
        <v>953.99</v>
      </c>
      <c r="HA32" s="63">
        <f t="shared" si="93"/>
        <v>-20.255726244135758</v>
      </c>
      <c r="HB32" s="62" t="s">
        <v>4970</v>
      </c>
      <c r="HC32" s="60">
        <f>IFERROR(VLOOKUP(E32,Expectancy!$P$4:$S$19,1+C32,FALSE),"")</f>
        <v>0.70195709060766942</v>
      </c>
      <c r="HD32" s="60" t="str">
        <f t="shared" si="94"/>
        <v/>
      </c>
      <c r="HE32" s="60" t="e">
        <f>IF(HD32="",#N/A,SUM($HD$4:HD32))</f>
        <v>#N/A</v>
      </c>
      <c r="HF32" s="64" t="e">
        <f>IF(HD32="",#N/A,IF(HB32="Skip",#N/A,SUM($HG$4:HG32)))</f>
        <v>#N/A</v>
      </c>
      <c r="HG32" s="63" t="str">
        <f t="shared" si="95"/>
        <v/>
      </c>
      <c r="HH32" s="82">
        <f t="shared" si="96"/>
        <v>1.6157283905191211</v>
      </c>
    </row>
    <row r="33" spans="1:216" x14ac:dyDescent="0.25">
      <c r="A33" s="65" t="s">
        <v>1384</v>
      </c>
      <c r="B33" s="58" t="s">
        <v>5098</v>
      </c>
      <c r="C33" s="386">
        <f t="shared" si="0"/>
        <v>1</v>
      </c>
      <c r="D33" s="372" t="str">
        <f>_xlfn.XLOOKUP(A33,[1]SP500!$A$2:$A$502,[1]SP500!$D$2:$D$502,"N")</f>
        <v>Y</v>
      </c>
      <c r="E33" s="57" t="str">
        <f>_xlfn.XLOOKUP(A33,[1]SP500!$A$2:$A$655,[1]SP500!$B$2:$B$655)</f>
        <v>XLF</v>
      </c>
      <c r="F33" s="59">
        <v>45678</v>
      </c>
      <c r="G33" s="57" t="str">
        <f t="shared" si="1"/>
        <v>AMC</v>
      </c>
      <c r="H33" s="57" t="str">
        <f t="shared" si="2"/>
        <v>o</v>
      </c>
      <c r="I33" s="159">
        <v>193.21</v>
      </c>
      <c r="J33" s="159">
        <v>196.74</v>
      </c>
      <c r="K33" s="61">
        <f t="shared" si="3"/>
        <v>1.8270275865638428E-2</v>
      </c>
      <c r="L33" s="87">
        <f t="shared" si="4"/>
        <v>7.3081103462553756</v>
      </c>
      <c r="M33" s="63" t="str">
        <f t="shared" si="5"/>
        <v/>
      </c>
      <c r="N33" s="219">
        <f t="shared" si="6"/>
        <v>7.3081103462553756</v>
      </c>
      <c r="O33" s="219">
        <f>IF($J33="",#N/A,SUM($N$4:N33))</f>
        <v>20.802808377200051</v>
      </c>
      <c r="P33" s="220" t="str">
        <f t="shared" si="7"/>
        <v/>
      </c>
      <c r="Q33" s="220">
        <f>IF($J33="",#N/A,SUM($P$4:P33))</f>
        <v>8.9389650530629865</v>
      </c>
      <c r="R33" s="221" t="str">
        <f t="shared" si="8"/>
        <v/>
      </c>
      <c r="S33" s="222">
        <f>IF($J33="",#N/A,SUM($R$4:R33))</f>
        <v>186.54920881967894</v>
      </c>
      <c r="T33" s="281">
        <f t="shared" si="9"/>
        <v>0.30450459776064065</v>
      </c>
      <c r="U33" s="281">
        <f>IF($J33="",#N/A,SUM($T$4:T33))</f>
        <v>0.86678368238333559</v>
      </c>
      <c r="V33" s="282" t="str">
        <f t="shared" si="10"/>
        <v/>
      </c>
      <c r="W33" s="282">
        <f>IF($J33="",#N/A,SUM($V$4:V33))</f>
        <v>0.37245687721095755</v>
      </c>
      <c r="X33" s="283" t="str">
        <f t="shared" si="11"/>
        <v/>
      </c>
      <c r="Y33" s="283">
        <f>IF($J33="",#N/A,SUM($X$4:X33))</f>
        <v>7.7728837008199552</v>
      </c>
      <c r="Z33" s="304" t="str">
        <f t="shared" si="12"/>
        <v/>
      </c>
      <c r="AA33" s="304">
        <f>IF($J33="",#N/A,SUM(Z$4:Z33))</f>
        <v>0</v>
      </c>
      <c r="AB33" s="305" t="str">
        <f t="shared" si="13"/>
        <v/>
      </c>
      <c r="AC33" s="305">
        <f>IF($J33="",#N/A,SUM(AB$4:AB33))</f>
        <v>0</v>
      </c>
      <c r="AD33" s="306" t="str">
        <f t="shared" si="14"/>
        <v/>
      </c>
      <c r="AE33" s="306">
        <f>IF($J33="",#N/A,SUM(AD$4:AD33))</f>
        <v>0</v>
      </c>
      <c r="AF33" s="306">
        <f>IF($J33="",#N/A,SUM(AD$4:AD33,AB$4:AB33,Z$4:Z33))</f>
        <v>0</v>
      </c>
      <c r="AG33" s="304" t="str">
        <f t="shared" si="15"/>
        <v/>
      </c>
      <c r="AH33" s="304">
        <f>IF($J33="",#N/A,SUM(AG$4:AG33))</f>
        <v>0</v>
      </c>
      <c r="AI33" s="305" t="str">
        <f t="shared" si="16"/>
        <v/>
      </c>
      <c r="AJ33" s="305">
        <f>IF($J33="",#N/A,SUM(AI$4:AI33))</f>
        <v>0</v>
      </c>
      <c r="AK33" s="306" t="str">
        <f t="shared" si="17"/>
        <v/>
      </c>
      <c r="AL33" s="306">
        <f>IF($J33="",#N/A,SUM(AK$4:AK33))</f>
        <v>0</v>
      </c>
      <c r="AM33" s="306">
        <f>IF($J33="",#N/A,SUM(AK$4:AK33,AI$4:AI33,AG$4:AG33))</f>
        <v>0</v>
      </c>
      <c r="AN33" s="304" t="str">
        <f t="shared" si="18"/>
        <v/>
      </c>
      <c r="AO33" s="304">
        <f>IF($J33="",#N/A,SUM(AN$4:AN33))</f>
        <v>0</v>
      </c>
      <c r="AP33" s="305" t="str">
        <f t="shared" si="19"/>
        <v/>
      </c>
      <c r="AQ33" s="305">
        <f>IF($J33="",#N/A,SUM(AP$4:AP33))</f>
        <v>0</v>
      </c>
      <c r="AR33" s="306" t="str">
        <f t="shared" si="20"/>
        <v/>
      </c>
      <c r="AS33" s="306">
        <f>IF($J33="",#N/A,SUM(AR$4:AR33))</f>
        <v>0</v>
      </c>
      <c r="AT33" s="306">
        <f>IF($J33="",#N/A,SUM(AR$4:AR33,AP$4:AP33,AN$4:AN33))</f>
        <v>0</v>
      </c>
      <c r="AU33" s="304" t="str">
        <f t="shared" si="21"/>
        <v/>
      </c>
      <c r="AV33" s="304">
        <f>IF($J33="",#N/A,SUM(AU$4:AU33))</f>
        <v>0</v>
      </c>
      <c r="AW33" s="305" t="str">
        <f t="shared" si="22"/>
        <v/>
      </c>
      <c r="AX33" s="305">
        <f>IF($J33="",#N/A,SUM(AW$4:AW33))</f>
        <v>1.2290222546515868</v>
      </c>
      <c r="AY33" s="306" t="str">
        <f t="shared" si="23"/>
        <v/>
      </c>
      <c r="AZ33" s="306">
        <f>IF($J33="",#N/A,SUM(AY$4:AY33))</f>
        <v>2.4945770065075905</v>
      </c>
      <c r="BA33" s="306">
        <f>IF($J33="",#N/A,SUM(AY$4:AY33,AW$4:AW33,AU$4:AU33))</f>
        <v>3.7235992611591771</v>
      </c>
      <c r="BB33" s="304" t="str">
        <f t="shared" si="24"/>
        <v/>
      </c>
      <c r="BC33" s="304">
        <f>IF($J33="",#N/A,SUM(BB$4:BB33))</f>
        <v>0</v>
      </c>
      <c r="BD33" s="305" t="str">
        <f t="shared" si="25"/>
        <v/>
      </c>
      <c r="BE33" s="305">
        <f>IF($J33="",#N/A,SUM(BD$4:BD33))</f>
        <v>0</v>
      </c>
      <c r="BF33" s="306" t="str">
        <f t="shared" si="26"/>
        <v/>
      </c>
      <c r="BG33" s="306">
        <f>IF($J33="",#N/A,SUM(BF$4:BF33))</f>
        <v>2.4597169840247779</v>
      </c>
      <c r="BH33" s="306">
        <f>IF($J33="",#N/A,SUM(BF$4:BF33,BD$4:BD33,BB$4:BB33))</f>
        <v>2.4597169840247779</v>
      </c>
      <c r="BI33" s="304">
        <f t="shared" si="27"/>
        <v>0.30450459776064065</v>
      </c>
      <c r="BJ33" s="304">
        <f>IF($J33="",#N/A,SUM(BI$4:BI33))</f>
        <v>-0.63021254112582636</v>
      </c>
      <c r="BK33" s="305" t="str">
        <f t="shared" si="28"/>
        <v/>
      </c>
      <c r="BL33" s="305">
        <f>IF($J33="",#N/A,SUM(BK$4:BK33))</f>
        <v>0</v>
      </c>
      <c r="BM33" s="306" t="str">
        <f t="shared" si="29"/>
        <v/>
      </c>
      <c r="BN33" s="306">
        <f>IF($J33="",#N/A,SUM(BM$4:BM33))</f>
        <v>3.8210959759517467</v>
      </c>
      <c r="BO33" s="306">
        <f>IF($J33="",#N/A,SUM(BM$4:BM33,BK$4:BK33,BI$4:BI33))</f>
        <v>3.1908834348259205</v>
      </c>
      <c r="BP33" s="304" t="str">
        <f t="shared" si="30"/>
        <v/>
      </c>
      <c r="BQ33" s="304">
        <f>IF($J33="",#N/A,SUM(BP$4:BP33))</f>
        <v>1.4969962235091621</v>
      </c>
      <c r="BR33" s="305" t="str">
        <f t="shared" si="31"/>
        <v/>
      </c>
      <c r="BS33" s="305">
        <f>IF($J33="",#N/A,SUM(BR$4:BR33))</f>
        <v>-0.34773304801390975</v>
      </c>
      <c r="BT33" s="306" t="str">
        <f t="shared" si="32"/>
        <v/>
      </c>
      <c r="BU33" s="306">
        <f>IF($J33="",#N/A,SUM(BT$4:BT33))</f>
        <v>-1.0025062656641595</v>
      </c>
      <c r="BV33" s="306">
        <f>IF($J33="",#N/A,SUM(BT$4:BT33,BR$4:BR33,BP$4:BP33))</f>
        <v>0.14675690983109269</v>
      </c>
      <c r="BW33" s="304" t="str">
        <f t="shared" si="33"/>
        <v/>
      </c>
      <c r="BX33" s="304">
        <f>IF($J33="",#N/A,SUM(BW$4:BW33))</f>
        <v>0</v>
      </c>
      <c r="BY33" s="305" t="str">
        <f t="shared" si="34"/>
        <v/>
      </c>
      <c r="BZ33" s="305">
        <f>IF($J33="",#N/A,SUM(BY$4:BY33))</f>
        <v>0</v>
      </c>
      <c r="CA33" s="306" t="str">
        <f t="shared" si="35"/>
        <v/>
      </c>
      <c r="CB33" s="306">
        <f>IF($J33="",#N/A,SUM(CA$4:CA33))</f>
        <v>0</v>
      </c>
      <c r="CC33" s="306">
        <f>IF($J33="",#N/A,SUM(CA$4:CA33,BY$4:BY33,BW$4:BW33))</f>
        <v>0</v>
      </c>
      <c r="CD33" s="304" t="str">
        <f t="shared" si="36"/>
        <v/>
      </c>
      <c r="CE33" s="304">
        <f>IF($J33="",#N/A,SUM(CD$4:CD33))</f>
        <v>0</v>
      </c>
      <c r="CF33" s="305" t="str">
        <f t="shared" si="37"/>
        <v/>
      </c>
      <c r="CG33" s="305">
        <f>IF($J33="",#N/A,SUM(CF$4:CF33))</f>
        <v>0</v>
      </c>
      <c r="CH33" s="306" t="str">
        <f t="shared" si="38"/>
        <v/>
      </c>
      <c r="CI33" s="306">
        <f>IF($J33="",#N/A,SUM(CH$4:CH33))</f>
        <v>0</v>
      </c>
      <c r="CJ33" s="306">
        <f>IF($J33="",#N/A,SUM(CH$4:CH33,CF$4:CF33,CD$4:CD33))</f>
        <v>0</v>
      </c>
      <c r="CK33" s="304" t="str">
        <f t="shared" si="39"/>
        <v/>
      </c>
      <c r="CL33" s="304">
        <f>IF($J33="",#N/A,SUM(CK$4:CK33))</f>
        <v>0</v>
      </c>
      <c r="CM33" s="305" t="str">
        <f t="shared" si="40"/>
        <v/>
      </c>
      <c r="CN33" s="305">
        <f>IF($J33="",#N/A,SUM(CM$4:CM33))</f>
        <v>0</v>
      </c>
      <c r="CO33" s="306" t="str">
        <f t="shared" si="41"/>
        <v/>
      </c>
      <c r="CP33" s="306">
        <f>IF($J33="",#N/A,SUM(CO$4:CO33))</f>
        <v>0</v>
      </c>
      <c r="CQ33" s="306">
        <f>IF($J33="",#N/A,SUM(CO$4:CO33,CM$4:CM33,CK$4:CK33))</f>
        <v>0</v>
      </c>
      <c r="CR33" s="304" t="str">
        <f t="shared" si="42"/>
        <v/>
      </c>
      <c r="CS33" s="304">
        <f>IF($J33="",#N/A,SUM(CR$4:CR33))</f>
        <v>0</v>
      </c>
      <c r="CT33" s="305" t="str">
        <f t="shared" si="43"/>
        <v/>
      </c>
      <c r="CU33" s="305">
        <f>IF($J33="",#N/A,SUM(CT$4:CT33))</f>
        <v>-0.42995051512938903</v>
      </c>
      <c r="CV33" s="306" t="str">
        <f t="shared" si="44"/>
        <v/>
      </c>
      <c r="CW33" s="306">
        <f>IF($J33="",#N/A,SUM(CV$4:CV33))</f>
        <v>0</v>
      </c>
      <c r="CX33" s="306">
        <f>IF($J33="",#N/A,SUM(CV$4:CV33,CT$4:CT33,CR$4:CR33))</f>
        <v>-0.42995051512938903</v>
      </c>
      <c r="CY33" s="304" t="str">
        <f t="shared" si="45"/>
        <v/>
      </c>
      <c r="CZ33" s="304">
        <f>IF($J33="",#N/A,SUM(CY$4:CY33))</f>
        <v>0</v>
      </c>
      <c r="DA33" s="305" t="str">
        <f t="shared" si="46"/>
        <v/>
      </c>
      <c r="DB33" s="305">
        <f>IF($J33="",#N/A,SUM(DA$4:DA33))</f>
        <v>0</v>
      </c>
      <c r="DC33" s="306" t="str">
        <f t="shared" si="47"/>
        <v/>
      </c>
      <c r="DD33" s="306">
        <f>IF($J33="",#N/A,SUM(DC$4:DC33))</f>
        <v>0</v>
      </c>
      <c r="DE33" s="306">
        <f>IF($J33="",#N/A,SUM(DC$4:DC33,DA$4:DA33,CY$4:CY33))</f>
        <v>0</v>
      </c>
      <c r="DF33" s="304" t="str">
        <f t="shared" si="48"/>
        <v/>
      </c>
      <c r="DG33" s="304">
        <f>IF($J33="",#N/A,SUM(DF$4:DF33))</f>
        <v>0</v>
      </c>
      <c r="DH33" s="305" t="str">
        <f t="shared" si="49"/>
        <v/>
      </c>
      <c r="DI33" s="305">
        <f>IF($J33="",#N/A,SUM(DH$4:DH33))</f>
        <v>0</v>
      </c>
      <c r="DJ33" s="306" t="str">
        <f t="shared" si="50"/>
        <v/>
      </c>
      <c r="DK33" s="306">
        <f>IF($J33="",#N/A,SUM(DJ$4:DJ33))</f>
        <v>0</v>
      </c>
      <c r="DL33" s="306">
        <f>IF($J33="",#N/A,SUM(DJ$4:DJ33,DH$4:DH33,DF$4:DF33))</f>
        <v>0</v>
      </c>
      <c r="DM33" s="304" t="str">
        <f t="shared" si="51"/>
        <v/>
      </c>
      <c r="DN33" s="304">
        <f>IF($J33="",#N/A,SUM(DM$4:DM33))</f>
        <v>0</v>
      </c>
      <c r="DO33" s="305" t="str">
        <f t="shared" si="52"/>
        <v/>
      </c>
      <c r="DP33" s="305">
        <f>IF($J33="",#N/A,SUM(DO$4:DO33))</f>
        <v>0</v>
      </c>
      <c r="DQ33" s="306" t="str">
        <f t="shared" si="53"/>
        <v/>
      </c>
      <c r="DR33" s="306">
        <f>IF($J33="",#N/A,SUM(DQ$4:DQ33))</f>
        <v>0</v>
      </c>
      <c r="DS33" s="306">
        <f>IF($J33="",#N/A,SUM(DQ$4:DQ33,DO$4:DO33,DM$4:DM33))</f>
        <v>0</v>
      </c>
      <c r="DT33" s="304" t="str">
        <f t="shared" si="54"/>
        <v/>
      </c>
      <c r="DU33" s="304">
        <f>IF($J33="",#N/A,SUM(DT$4:DT33))</f>
        <v>0</v>
      </c>
      <c r="DV33" s="305" t="str">
        <f t="shared" si="55"/>
        <v/>
      </c>
      <c r="DW33" s="305">
        <f>IF($J33="",#N/A,SUM(DV$4:DV33))</f>
        <v>0.40085630512924314</v>
      </c>
      <c r="DX33" s="306" t="str">
        <f t="shared" si="56"/>
        <v/>
      </c>
      <c r="DY33" s="306">
        <f>IF($J33="",#N/A,SUM(DX$4:DX33))</f>
        <v>0</v>
      </c>
      <c r="DZ33" s="306">
        <f>IF($J33="",#N/A,SUM(DX$4:DX33,DV$4:DV33,DT$4:DT33))</f>
        <v>0.40085630512924314</v>
      </c>
      <c r="EA33" s="304" t="str">
        <f t="shared" si="57"/>
        <v/>
      </c>
      <c r="EB33" s="304">
        <f>IF($J33="",#N/A,SUM(EA$4:EA33))</f>
        <v>0</v>
      </c>
      <c r="EC33" s="305" t="str">
        <f t="shared" si="58"/>
        <v/>
      </c>
      <c r="ED33" s="305">
        <f>IF($J33="",#N/A,SUM(EC$4:EC33))</f>
        <v>-0.47973811942657352</v>
      </c>
      <c r="EE33" s="306" t="str">
        <f t="shared" si="59"/>
        <v/>
      </c>
      <c r="EF33" s="306">
        <f>IF($J33="",#N/A,SUM(EE$4:EE33))</f>
        <v>0</v>
      </c>
      <c r="EG33" s="306">
        <f>IF($J33="",#N/A,SUM(EE$4:EE33,EC$4:EC33,EA$4:EA33))</f>
        <v>-0.47973811942657352</v>
      </c>
      <c r="EH33" s="223">
        <f t="shared" si="60"/>
        <v>7.3081103462553756</v>
      </c>
      <c r="EI33" s="224">
        <f>IF(EH33="",#N/A,SUM($EH$4:EH33))</f>
        <v>216.29098224994198</v>
      </c>
      <c r="EJ33" s="223">
        <f t="shared" si="61"/>
        <v>15.982609595776637</v>
      </c>
      <c r="EK33" s="63">
        <f>IF($GZ33="",#N/A,SUM(EJ$4:EJ33))</f>
        <v>425.09294620522269</v>
      </c>
      <c r="EL33" s="60">
        <f t="shared" si="97"/>
        <v>0.30450459776064065</v>
      </c>
      <c r="EM33" s="60">
        <f>IF(EL33="",NA(),SUM($EL$4:EL33))</f>
        <v>9.0121242604142502</v>
      </c>
      <c r="EN33" s="60">
        <f t="shared" si="62"/>
        <v>0.30450459776064065</v>
      </c>
      <c r="EO33" s="60">
        <f>IF(EN33="",NA(),SUM($EN$4:EN33))</f>
        <v>0.86678368238333559</v>
      </c>
      <c r="EP33" s="60" t="str">
        <f t="shared" si="63"/>
        <v/>
      </c>
      <c r="EQ33" s="60" t="e">
        <f>IF(EP33="",NA(),SUM($EP$4:EP33))</f>
        <v>#N/A</v>
      </c>
      <c r="ER33" s="60" t="str">
        <f t="shared" si="64"/>
        <v/>
      </c>
      <c r="ES33" s="60" t="e">
        <f>IF(ER33="",NA(),SUM($ER$4:ER33))</f>
        <v>#N/A</v>
      </c>
      <c r="ET33" s="60" t="str">
        <f t="shared" si="65"/>
        <v/>
      </c>
      <c r="EU33" s="60" t="e">
        <f>IF(ET33="",NA(),SUM($ET$4:ET33))</f>
        <v>#N/A</v>
      </c>
      <c r="EV33" s="60" t="str">
        <f t="shared" si="66"/>
        <v/>
      </c>
      <c r="EW33" s="60" t="e">
        <f>IF(EV33="",NA(),SUM($EV$4:EV33))</f>
        <v>#N/A</v>
      </c>
      <c r="EX33" s="60" t="str">
        <f t="shared" si="67"/>
        <v/>
      </c>
      <c r="EY33" s="60" t="e">
        <f>IF(EX33="",NA(),SUM($EX$4:EX33))</f>
        <v>#N/A</v>
      </c>
      <c r="EZ33" s="60" t="str">
        <f t="shared" si="68"/>
        <v/>
      </c>
      <c r="FA33" s="60" t="e">
        <f>IF(EZ33="",NA(),SUM($EZ$4:EZ33))</f>
        <v>#N/A</v>
      </c>
      <c r="FB33" s="246" t="str">
        <f t="shared" si="98"/>
        <v/>
      </c>
      <c r="FC33" s="246" t="e">
        <f>IF($FB33="",#N/A,SUM(FB$4:$FB33))</f>
        <v>#N/A</v>
      </c>
      <c r="FD33" s="60" t="str">
        <f t="shared" si="69"/>
        <v/>
      </c>
      <c r="FE33" s="60" t="e">
        <f>IF($FD33="",#N/A,SUM($FD$4:FD33))</f>
        <v>#N/A</v>
      </c>
      <c r="FF33" s="60">
        <f t="shared" si="70"/>
        <v>0.36143746873005256</v>
      </c>
      <c r="FG33" s="60">
        <f>IF($FF33="",#N/A,SUM($FF$4:FF33))</f>
        <v>2.0273661011009971</v>
      </c>
      <c r="FH33" s="60" t="str">
        <f t="shared" si="71"/>
        <v/>
      </c>
      <c r="FI33" s="60" t="e">
        <f>IF($FH33="",#N/A,SUM($FH$4:FH33))</f>
        <v>#N/A</v>
      </c>
      <c r="FJ33" s="60" t="str">
        <f t="shared" si="72"/>
        <v/>
      </c>
      <c r="FK33" s="60" t="e">
        <f>IF($FJ33="",#N/A,SUM($FJ$4:FJ33))</f>
        <v>#N/A</v>
      </c>
      <c r="FL33" s="60" t="str">
        <f t="shared" si="73"/>
        <v/>
      </c>
      <c r="FM33" s="60" t="e">
        <f>IF($FL33="",#N/A,SUM($FL$4:FL33))</f>
        <v>#N/A</v>
      </c>
      <c r="FN33" s="82">
        <f t="shared" si="74"/>
        <v>0.66594206649069321</v>
      </c>
      <c r="FO33" s="82">
        <f>IF($FN33="",#N/A,SUM(FN$4:$FN33))</f>
        <v>17.71220609188428</v>
      </c>
      <c r="FP33" s="82">
        <f t="shared" si="99"/>
        <v>0.30450459776064065</v>
      </c>
      <c r="FQ33" s="246">
        <f>IF($EH33="",#N/A,SUM($FP$4:FP33))</f>
        <v>9.0121242604142502</v>
      </c>
      <c r="FR33" s="82">
        <f>IFERROR(FQ33/COUNTA($J$4:J33),#N/A)</f>
        <v>0.30040414201380833</v>
      </c>
      <c r="FS33" s="99"/>
      <c r="FT33" s="82">
        <f t="shared" si="103"/>
        <v>9.4971579783853274E-2</v>
      </c>
      <c r="FU33" s="82" t="e">
        <v>#N/A</v>
      </c>
      <c r="FV33" s="57" t="str">
        <f t="shared" si="75"/>
        <v>Up</v>
      </c>
      <c r="FW33" s="57" t="s">
        <v>2733</v>
      </c>
      <c r="FX33" s="57">
        <f t="shared" si="76"/>
        <v>1</v>
      </c>
      <c r="FY33" s="57" t="str">
        <f t="shared" si="77"/>
        <v/>
      </c>
      <c r="FZ33" s="57" t="str">
        <f t="shared" si="78"/>
        <v/>
      </c>
      <c r="GA33" s="57" t="str">
        <f t="shared" si="79"/>
        <v>Long</v>
      </c>
      <c r="GB33" s="57" t="str">
        <f t="shared" si="80"/>
        <v/>
      </c>
      <c r="GC33" s="57" t="str">
        <f t="shared" si="81"/>
        <v/>
      </c>
      <c r="GD33" s="57" t="str">
        <f t="shared" si="82"/>
        <v/>
      </c>
      <c r="GE33" s="62">
        <f t="shared" si="83"/>
        <v>193.21</v>
      </c>
      <c r="GF33" s="62" t="s">
        <v>2779</v>
      </c>
      <c r="GG33" s="199">
        <f t="shared" si="84"/>
        <v>2.0702862170695098</v>
      </c>
      <c r="GH33" s="207">
        <f t="shared" si="85"/>
        <v>400</v>
      </c>
      <c r="GI33" s="199">
        <f t="shared" si="86"/>
        <v>2.0702862170695098</v>
      </c>
      <c r="GJ33" s="200">
        <f t="shared" si="87"/>
        <v>196.74</v>
      </c>
      <c r="GK33" s="63">
        <f t="shared" si="88"/>
        <v>7.3081103462553756</v>
      </c>
      <c r="GL33" s="63">
        <f t="shared" si="89"/>
        <v>15.982609595776637</v>
      </c>
      <c r="GM33" s="82" t="str">
        <f t="shared" si="90"/>
        <v/>
      </c>
      <c r="GN33" s="82">
        <f>IF($GZ33="",#N/A,SUM(GM$4:GM33))</f>
        <v>10.461015946631546</v>
      </c>
      <c r="GO33" s="82">
        <f t="shared" si="91"/>
        <v>0.66594206649069321</v>
      </c>
      <c r="GP33" s="82">
        <f>IF($GZ33="",#N/A,SUM(GO$4:GO33))</f>
        <v>4.2524490321653836</v>
      </c>
      <c r="GQ33" s="82" t="str">
        <f t="shared" si="92"/>
        <v/>
      </c>
      <c r="GR33" s="82">
        <f>IF($GZ33="",#N/A,SUM(GQ$4:GQ33))</f>
        <v>2.9987411130873514</v>
      </c>
      <c r="GS33" s="63" t="str">
        <f t="shared" si="100"/>
        <v/>
      </c>
      <c r="GT33" s="63">
        <f>IF($GZ33="",#N/A,SUM(GS$4:GS33))</f>
        <v>251.06438271915709</v>
      </c>
      <c r="GU33" s="63">
        <f t="shared" si="101"/>
        <v>15.982609595776637</v>
      </c>
      <c r="GV33" s="63">
        <f>IF($GZ33="",#N/A,SUM(GU$4:GU33))</f>
        <v>102.05877677196918</v>
      </c>
      <c r="GW33" s="62" t="str">
        <f t="shared" si="102"/>
        <v/>
      </c>
      <c r="GX33" s="63">
        <f>IF($GZ33="",#N/A,SUM(GW$4:GW33))</f>
        <v>71.969786714096415</v>
      </c>
      <c r="GY33" s="63">
        <f>IF(EJ33="",#N/A,SUM($EJ$4:EJ33))</f>
        <v>425.09294620522269</v>
      </c>
      <c r="GZ33" s="159">
        <v>200.93</v>
      </c>
      <c r="HA33" s="63">
        <f t="shared" si="93"/>
        <v>8.6744992495212614</v>
      </c>
      <c r="HB33" s="62" t="s">
        <v>4970</v>
      </c>
      <c r="HC33" s="60">
        <f>IFERROR(VLOOKUP(E33,Expectancy!$P$4:$S$19,1+C33,FALSE),"")</f>
        <v>-7.9483352726509887E-2</v>
      </c>
      <c r="HD33" s="60" t="str">
        <f t="shared" si="94"/>
        <v/>
      </c>
      <c r="HE33" s="60" t="e">
        <f>IF(HD33="",#N/A,SUM($HD$4:HD33))</f>
        <v>#N/A</v>
      </c>
      <c r="HF33" s="64" t="e">
        <f>IF(HD33="",#N/A,IF(HB33="Skip",#N/A,SUM($HG$4:HG33)))</f>
        <v>#N/A</v>
      </c>
      <c r="HG33" s="63" t="str">
        <f t="shared" si="95"/>
        <v/>
      </c>
      <c r="HH33" s="82">
        <f t="shared" si="96"/>
        <v>0.66594206649069321</v>
      </c>
    </row>
    <row r="34" spans="1:216" x14ac:dyDescent="0.25">
      <c r="A34" s="65" t="s">
        <v>1474</v>
      </c>
      <c r="B34" s="58" t="s">
        <v>5099</v>
      </c>
      <c r="C34" s="386">
        <f t="shared" si="0"/>
        <v>1</v>
      </c>
      <c r="D34" s="372" t="str">
        <f>_xlfn.XLOOKUP(A34,[1]SP500!$A$2:$A$502,[1]SP500!$D$2:$D$502,"N")</f>
        <v>Y</v>
      </c>
      <c r="E34" s="57" t="str">
        <f>_xlfn.XLOOKUP(A34,[1]SP500!$A$2:$A$655,[1]SP500!$B$2:$B$655)</f>
        <v>XLI</v>
      </c>
      <c r="F34" s="59">
        <v>45678</v>
      </c>
      <c r="G34" s="57" t="str">
        <f t="shared" si="1"/>
        <v>AMC</v>
      </c>
      <c r="H34" s="57" t="str">
        <f t="shared" si="2"/>
        <v>o</v>
      </c>
      <c r="I34" s="159">
        <v>110.52</v>
      </c>
      <c r="J34" s="159">
        <v>115.85</v>
      </c>
      <c r="K34" s="61">
        <f t="shared" si="3"/>
        <v>4.8226565327542513E-2</v>
      </c>
      <c r="L34" s="87">
        <f t="shared" si="4"/>
        <v>19.290626131017007</v>
      </c>
      <c r="M34" s="63" t="str">
        <f t="shared" si="5"/>
        <v/>
      </c>
      <c r="N34" s="219">
        <f t="shared" si="6"/>
        <v>19.290626131017007</v>
      </c>
      <c r="O34" s="219">
        <f>IF($J34="",#N/A,SUM($N$4:N34))</f>
        <v>40.093434508217058</v>
      </c>
      <c r="P34" s="220" t="str">
        <f t="shared" si="7"/>
        <v/>
      </c>
      <c r="Q34" s="220">
        <f>IF($J34="",#N/A,SUM($P$4:P34))</f>
        <v>8.9389650530629865</v>
      </c>
      <c r="R34" s="221" t="str">
        <f t="shared" si="8"/>
        <v/>
      </c>
      <c r="S34" s="222">
        <f>IF($J34="",#N/A,SUM($R$4:R34))</f>
        <v>186.54920881967894</v>
      </c>
      <c r="T34" s="281">
        <f t="shared" si="9"/>
        <v>0.80377608879237528</v>
      </c>
      <c r="U34" s="281">
        <f>IF($J34="",#N/A,SUM($T$4:T34))</f>
        <v>1.6705597711757108</v>
      </c>
      <c r="V34" s="282" t="str">
        <f t="shared" si="10"/>
        <v/>
      </c>
      <c r="W34" s="282">
        <f>IF($J34="",#N/A,SUM($V$4:V34))</f>
        <v>0.37245687721095755</v>
      </c>
      <c r="X34" s="283" t="str">
        <f t="shared" si="11"/>
        <v/>
      </c>
      <c r="Y34" s="283">
        <f>IF($J34="",#N/A,SUM($X$4:X34))</f>
        <v>7.7728837008199552</v>
      </c>
      <c r="Z34" s="304" t="str">
        <f t="shared" si="12"/>
        <v/>
      </c>
      <c r="AA34" s="304">
        <f>IF($J34="",#N/A,SUM(Z$4:Z34))</f>
        <v>0</v>
      </c>
      <c r="AB34" s="305" t="str">
        <f t="shared" si="13"/>
        <v/>
      </c>
      <c r="AC34" s="305">
        <f>IF($J34="",#N/A,SUM(AB$4:AB34))</f>
        <v>0</v>
      </c>
      <c r="AD34" s="306" t="str">
        <f t="shared" si="14"/>
        <v/>
      </c>
      <c r="AE34" s="306">
        <f>IF($J34="",#N/A,SUM(AD$4:AD34))</f>
        <v>0</v>
      </c>
      <c r="AF34" s="306">
        <f>IF($J34="",#N/A,SUM(AD$4:AD34,AB$4:AB34,Z$4:Z34))</f>
        <v>0</v>
      </c>
      <c r="AG34" s="304" t="str">
        <f t="shared" si="15"/>
        <v/>
      </c>
      <c r="AH34" s="304">
        <f>IF($J34="",#N/A,SUM(AG$4:AG34))</f>
        <v>0</v>
      </c>
      <c r="AI34" s="305" t="str">
        <f t="shared" si="16"/>
        <v/>
      </c>
      <c r="AJ34" s="305">
        <f>IF($J34="",#N/A,SUM(AI$4:AI34))</f>
        <v>0</v>
      </c>
      <c r="AK34" s="306" t="str">
        <f t="shared" si="17"/>
        <v/>
      </c>
      <c r="AL34" s="306">
        <f>IF($J34="",#N/A,SUM(AK$4:AK34))</f>
        <v>0</v>
      </c>
      <c r="AM34" s="306">
        <f>IF($J34="",#N/A,SUM(AK$4:AK34,AI$4:AI34,AG$4:AG34))</f>
        <v>0</v>
      </c>
      <c r="AN34" s="304" t="str">
        <f t="shared" si="18"/>
        <v/>
      </c>
      <c r="AO34" s="304">
        <f>IF($J34="",#N/A,SUM(AN$4:AN34))</f>
        <v>0</v>
      </c>
      <c r="AP34" s="305" t="str">
        <f t="shared" si="19"/>
        <v/>
      </c>
      <c r="AQ34" s="305">
        <f>IF($J34="",#N/A,SUM(AP$4:AP34))</f>
        <v>0</v>
      </c>
      <c r="AR34" s="306" t="str">
        <f t="shared" si="20"/>
        <v/>
      </c>
      <c r="AS34" s="306">
        <f>IF($J34="",#N/A,SUM(AR$4:AR34))</f>
        <v>0</v>
      </c>
      <c r="AT34" s="306">
        <f>IF($J34="",#N/A,SUM(AR$4:AR34,AP$4:AP34,AN$4:AN34))</f>
        <v>0</v>
      </c>
      <c r="AU34" s="304" t="str">
        <f t="shared" si="21"/>
        <v/>
      </c>
      <c r="AV34" s="304">
        <f>IF($J34="",#N/A,SUM(AU$4:AU34))</f>
        <v>0</v>
      </c>
      <c r="AW34" s="305" t="str">
        <f t="shared" si="22"/>
        <v/>
      </c>
      <c r="AX34" s="305">
        <f>IF($J34="",#N/A,SUM(AW$4:AW34))</f>
        <v>1.2290222546515868</v>
      </c>
      <c r="AY34" s="306" t="str">
        <f t="shared" si="23"/>
        <v/>
      </c>
      <c r="AZ34" s="306">
        <f>IF($J34="",#N/A,SUM(AY$4:AY34))</f>
        <v>2.4945770065075905</v>
      </c>
      <c r="BA34" s="306">
        <f>IF($J34="",#N/A,SUM(AY$4:AY34,AW$4:AW34,AU$4:AU34))</f>
        <v>3.7235992611591771</v>
      </c>
      <c r="BB34" s="304" t="str">
        <f t="shared" si="24"/>
        <v/>
      </c>
      <c r="BC34" s="304">
        <f>IF($J34="",#N/A,SUM(BB$4:BB34))</f>
        <v>0</v>
      </c>
      <c r="BD34" s="305" t="str">
        <f t="shared" si="25"/>
        <v/>
      </c>
      <c r="BE34" s="305">
        <f>IF($J34="",#N/A,SUM(BD$4:BD34))</f>
        <v>0</v>
      </c>
      <c r="BF34" s="306" t="str">
        <f t="shared" si="26"/>
        <v/>
      </c>
      <c r="BG34" s="306">
        <f>IF($J34="",#N/A,SUM(BF$4:BF34))</f>
        <v>2.4597169840247779</v>
      </c>
      <c r="BH34" s="306">
        <f>IF($J34="",#N/A,SUM(BF$4:BF34,BD$4:BD34,BB$4:BB34))</f>
        <v>2.4597169840247779</v>
      </c>
      <c r="BI34" s="304" t="str">
        <f t="shared" si="27"/>
        <v/>
      </c>
      <c r="BJ34" s="304">
        <f>IF($J34="",#N/A,SUM(BI$4:BI34))</f>
        <v>-0.63021254112582636</v>
      </c>
      <c r="BK34" s="305" t="str">
        <f t="shared" si="28"/>
        <v/>
      </c>
      <c r="BL34" s="305">
        <f>IF($J34="",#N/A,SUM(BK$4:BK34))</f>
        <v>0</v>
      </c>
      <c r="BM34" s="306" t="str">
        <f t="shared" si="29"/>
        <v/>
      </c>
      <c r="BN34" s="306">
        <f>IF($J34="",#N/A,SUM(BM$4:BM34))</f>
        <v>3.8210959759517467</v>
      </c>
      <c r="BO34" s="306">
        <f>IF($J34="",#N/A,SUM(BM$4:BM34,BK$4:BK34,BI$4:BI34))</f>
        <v>3.1908834348259205</v>
      </c>
      <c r="BP34" s="304">
        <f t="shared" si="30"/>
        <v>0.80377608879237528</v>
      </c>
      <c r="BQ34" s="304">
        <f>IF($J34="",#N/A,SUM(BP$4:BP34))</f>
        <v>2.3007723123015373</v>
      </c>
      <c r="BR34" s="305" t="str">
        <f t="shared" si="31"/>
        <v/>
      </c>
      <c r="BS34" s="305">
        <f>IF($J34="",#N/A,SUM(BR$4:BR34))</f>
        <v>-0.34773304801390975</v>
      </c>
      <c r="BT34" s="306" t="str">
        <f t="shared" si="32"/>
        <v/>
      </c>
      <c r="BU34" s="306">
        <f>IF($J34="",#N/A,SUM(BT$4:BT34))</f>
        <v>-1.0025062656641595</v>
      </c>
      <c r="BV34" s="306">
        <f>IF($J34="",#N/A,SUM(BT$4:BT34,BR$4:BR34,BP$4:BP34))</f>
        <v>0.95053299862346796</v>
      </c>
      <c r="BW34" s="304" t="str">
        <f t="shared" si="33"/>
        <v/>
      </c>
      <c r="BX34" s="304">
        <f>IF($J34="",#N/A,SUM(BW$4:BW34))</f>
        <v>0</v>
      </c>
      <c r="BY34" s="305" t="str">
        <f t="shared" si="34"/>
        <v/>
      </c>
      <c r="BZ34" s="305">
        <f>IF($J34="",#N/A,SUM(BY$4:BY34))</f>
        <v>0</v>
      </c>
      <c r="CA34" s="306" t="str">
        <f t="shared" si="35"/>
        <v/>
      </c>
      <c r="CB34" s="306">
        <f>IF($J34="",#N/A,SUM(CA$4:CA34))</f>
        <v>0</v>
      </c>
      <c r="CC34" s="306">
        <f>IF($J34="",#N/A,SUM(CA$4:CA34,BY$4:BY34,BW$4:BW34))</f>
        <v>0</v>
      </c>
      <c r="CD34" s="304" t="str">
        <f t="shared" si="36"/>
        <v/>
      </c>
      <c r="CE34" s="304">
        <f>IF($J34="",#N/A,SUM(CD$4:CD34))</f>
        <v>0</v>
      </c>
      <c r="CF34" s="305" t="str">
        <f t="shared" si="37"/>
        <v/>
      </c>
      <c r="CG34" s="305">
        <f>IF($J34="",#N/A,SUM(CF$4:CF34))</f>
        <v>0</v>
      </c>
      <c r="CH34" s="306" t="str">
        <f t="shared" si="38"/>
        <v/>
      </c>
      <c r="CI34" s="306">
        <f>IF($J34="",#N/A,SUM(CH$4:CH34))</f>
        <v>0</v>
      </c>
      <c r="CJ34" s="306">
        <f>IF($J34="",#N/A,SUM(CH$4:CH34,CF$4:CF34,CD$4:CD34))</f>
        <v>0</v>
      </c>
      <c r="CK34" s="304" t="str">
        <f t="shared" si="39"/>
        <v/>
      </c>
      <c r="CL34" s="304">
        <f>IF($J34="",#N/A,SUM(CK$4:CK34))</f>
        <v>0</v>
      </c>
      <c r="CM34" s="305" t="str">
        <f t="shared" si="40"/>
        <v/>
      </c>
      <c r="CN34" s="305">
        <f>IF($J34="",#N/A,SUM(CM$4:CM34))</f>
        <v>0</v>
      </c>
      <c r="CO34" s="306" t="str">
        <f t="shared" si="41"/>
        <v/>
      </c>
      <c r="CP34" s="306">
        <f>IF($J34="",#N/A,SUM(CO$4:CO34))</f>
        <v>0</v>
      </c>
      <c r="CQ34" s="306">
        <f>IF($J34="",#N/A,SUM(CO$4:CO34,CM$4:CM34,CK$4:CK34))</f>
        <v>0</v>
      </c>
      <c r="CR34" s="304" t="str">
        <f t="shared" si="42"/>
        <v/>
      </c>
      <c r="CS34" s="304">
        <f>IF($J34="",#N/A,SUM(CR$4:CR34))</f>
        <v>0</v>
      </c>
      <c r="CT34" s="305" t="str">
        <f t="shared" si="43"/>
        <v/>
      </c>
      <c r="CU34" s="305">
        <f>IF($J34="",#N/A,SUM(CT$4:CT34))</f>
        <v>-0.42995051512938903</v>
      </c>
      <c r="CV34" s="306" t="str">
        <f t="shared" si="44"/>
        <v/>
      </c>
      <c r="CW34" s="306">
        <f>IF($J34="",#N/A,SUM(CV$4:CV34))</f>
        <v>0</v>
      </c>
      <c r="CX34" s="306">
        <f>IF($J34="",#N/A,SUM(CV$4:CV34,CT$4:CT34,CR$4:CR34))</f>
        <v>-0.42995051512938903</v>
      </c>
      <c r="CY34" s="304" t="str">
        <f t="shared" si="45"/>
        <v/>
      </c>
      <c r="CZ34" s="304">
        <f>IF($J34="",#N/A,SUM(CY$4:CY34))</f>
        <v>0</v>
      </c>
      <c r="DA34" s="305" t="str">
        <f t="shared" si="46"/>
        <v/>
      </c>
      <c r="DB34" s="305">
        <f>IF($J34="",#N/A,SUM(DA$4:DA34))</f>
        <v>0</v>
      </c>
      <c r="DC34" s="306" t="str">
        <f t="shared" si="47"/>
        <v/>
      </c>
      <c r="DD34" s="306">
        <f>IF($J34="",#N/A,SUM(DC$4:DC34))</f>
        <v>0</v>
      </c>
      <c r="DE34" s="306">
        <f>IF($J34="",#N/A,SUM(DC$4:DC34,DA$4:DA34,CY$4:CY34))</f>
        <v>0</v>
      </c>
      <c r="DF34" s="304" t="str">
        <f t="shared" si="48"/>
        <v/>
      </c>
      <c r="DG34" s="304">
        <f>IF($J34="",#N/A,SUM(DF$4:DF34))</f>
        <v>0</v>
      </c>
      <c r="DH34" s="305" t="str">
        <f t="shared" si="49"/>
        <v/>
      </c>
      <c r="DI34" s="305">
        <f>IF($J34="",#N/A,SUM(DH$4:DH34))</f>
        <v>0</v>
      </c>
      <c r="DJ34" s="306" t="str">
        <f t="shared" si="50"/>
        <v/>
      </c>
      <c r="DK34" s="306">
        <f>IF($J34="",#N/A,SUM(DJ$4:DJ34))</f>
        <v>0</v>
      </c>
      <c r="DL34" s="306">
        <f>IF($J34="",#N/A,SUM(DJ$4:DJ34,DH$4:DH34,DF$4:DF34))</f>
        <v>0</v>
      </c>
      <c r="DM34" s="304" t="str">
        <f t="shared" si="51"/>
        <v/>
      </c>
      <c r="DN34" s="304">
        <f>IF($J34="",#N/A,SUM(DM$4:DM34))</f>
        <v>0</v>
      </c>
      <c r="DO34" s="305" t="str">
        <f t="shared" si="52"/>
        <v/>
      </c>
      <c r="DP34" s="305">
        <f>IF($J34="",#N/A,SUM(DO$4:DO34))</f>
        <v>0</v>
      </c>
      <c r="DQ34" s="306" t="str">
        <f t="shared" si="53"/>
        <v/>
      </c>
      <c r="DR34" s="306">
        <f>IF($J34="",#N/A,SUM(DQ$4:DQ34))</f>
        <v>0</v>
      </c>
      <c r="DS34" s="306">
        <f>IF($J34="",#N/A,SUM(DQ$4:DQ34,DO$4:DO34,DM$4:DM34))</f>
        <v>0</v>
      </c>
      <c r="DT34" s="304" t="str">
        <f t="shared" si="54"/>
        <v/>
      </c>
      <c r="DU34" s="304">
        <f>IF($J34="",#N/A,SUM(DT$4:DT34))</f>
        <v>0</v>
      </c>
      <c r="DV34" s="305" t="str">
        <f t="shared" si="55"/>
        <v/>
      </c>
      <c r="DW34" s="305">
        <f>IF($J34="",#N/A,SUM(DV$4:DV34))</f>
        <v>0.40085630512924314</v>
      </c>
      <c r="DX34" s="306" t="str">
        <f t="shared" si="56"/>
        <v/>
      </c>
      <c r="DY34" s="306">
        <f>IF($J34="",#N/A,SUM(DX$4:DX34))</f>
        <v>0</v>
      </c>
      <c r="DZ34" s="306">
        <f>IF($J34="",#N/A,SUM(DX$4:DX34,DV$4:DV34,DT$4:DT34))</f>
        <v>0.40085630512924314</v>
      </c>
      <c r="EA34" s="304" t="str">
        <f t="shared" si="57"/>
        <v/>
      </c>
      <c r="EB34" s="304">
        <f>IF($J34="",#N/A,SUM(EA$4:EA34))</f>
        <v>0</v>
      </c>
      <c r="EC34" s="305" t="str">
        <f t="shared" si="58"/>
        <v/>
      </c>
      <c r="ED34" s="305">
        <f>IF($J34="",#N/A,SUM(EC$4:EC34))</f>
        <v>-0.47973811942657352</v>
      </c>
      <c r="EE34" s="306" t="str">
        <f t="shared" si="59"/>
        <v/>
      </c>
      <c r="EF34" s="306">
        <f>IF($J34="",#N/A,SUM(EE$4:EE34))</f>
        <v>0</v>
      </c>
      <c r="EG34" s="306">
        <f>IF($J34="",#N/A,SUM(EE$4:EE34,EC$4:EC34,EA$4:EA34))</f>
        <v>-0.47973811942657352</v>
      </c>
      <c r="EH34" s="223">
        <f t="shared" si="60"/>
        <v>19.290626131017007</v>
      </c>
      <c r="EI34" s="224">
        <f>IF(EH34="",#N/A,SUM($EH$4:EH34))</f>
        <v>235.58160838095898</v>
      </c>
      <c r="EJ34" s="223">
        <f t="shared" si="61"/>
        <v>-9.2290988056460037</v>
      </c>
      <c r="EK34" s="63">
        <f>IF($GZ34="",#N/A,SUM(EJ$4:EJ34))</f>
        <v>415.86384739957668</v>
      </c>
      <c r="EL34" s="60">
        <f t="shared" si="97"/>
        <v>0.80377608879237528</v>
      </c>
      <c r="EM34" s="60">
        <f>IF(EL34="",NA(),SUM($EL$4:EL34))</f>
        <v>9.8159003492066255</v>
      </c>
      <c r="EN34" s="60">
        <f t="shared" si="62"/>
        <v>0.80377608879237528</v>
      </c>
      <c r="EO34" s="60">
        <f>IF(EN34="",NA(),SUM($EN$4:EN34))</f>
        <v>1.6705597711757108</v>
      </c>
      <c r="EP34" s="60" t="str">
        <f t="shared" si="63"/>
        <v/>
      </c>
      <c r="EQ34" s="60" t="e">
        <f>IF(EP34="",NA(),SUM($EP$4:EP34))</f>
        <v>#N/A</v>
      </c>
      <c r="ER34" s="60" t="str">
        <f t="shared" si="64"/>
        <v/>
      </c>
      <c r="ES34" s="60" t="e">
        <f>IF(ER34="",NA(),SUM($ER$4:ER34))</f>
        <v>#N/A</v>
      </c>
      <c r="ET34" s="60" t="str">
        <f t="shared" si="65"/>
        <v/>
      </c>
      <c r="EU34" s="60" t="e">
        <f>IF(ET34="",NA(),SUM($ET$4:ET34))</f>
        <v>#N/A</v>
      </c>
      <c r="EV34" s="60" t="str">
        <f t="shared" si="66"/>
        <v/>
      </c>
      <c r="EW34" s="60" t="e">
        <f>IF(EV34="",NA(),SUM($EV$4:EV34))</f>
        <v>#N/A</v>
      </c>
      <c r="EX34" s="60" t="str">
        <f t="shared" si="67"/>
        <v/>
      </c>
      <c r="EY34" s="60" t="e">
        <f>IF(EX34="",NA(),SUM($EX$4:EX34))</f>
        <v>#N/A</v>
      </c>
      <c r="EZ34" s="60" t="str">
        <f t="shared" si="68"/>
        <v/>
      </c>
      <c r="FA34" s="60" t="e">
        <f>IF(EZ34="",NA(),SUM($EZ$4:EZ34))</f>
        <v>#N/A</v>
      </c>
      <c r="FB34" s="246" t="str">
        <f t="shared" si="98"/>
        <v/>
      </c>
      <c r="FC34" s="246" t="e">
        <f>IF($FB34="",#N/A,SUM(FB$4:$FB34))</f>
        <v>#N/A</v>
      </c>
      <c r="FD34" s="60" t="str">
        <f t="shared" si="69"/>
        <v/>
      </c>
      <c r="FE34" s="60" t="e">
        <f>IF($FD34="",#N/A,SUM($FD$4:FD34))</f>
        <v>#N/A</v>
      </c>
      <c r="FF34" s="60">
        <f t="shared" si="70"/>
        <v>-1.1883218723609588</v>
      </c>
      <c r="FG34" s="60">
        <f>IF($FF34="",#N/A,SUM($FF$4:FF34))</f>
        <v>0.83904422874003837</v>
      </c>
      <c r="FH34" s="60" t="str">
        <f t="shared" si="71"/>
        <v/>
      </c>
      <c r="FI34" s="60" t="e">
        <f>IF($FH34="",#N/A,SUM($FH$4:FH34))</f>
        <v>#N/A</v>
      </c>
      <c r="FJ34" s="60" t="str">
        <f t="shared" si="72"/>
        <v/>
      </c>
      <c r="FK34" s="60" t="e">
        <f>IF($FJ34="",#N/A,SUM($FJ$4:FJ34))</f>
        <v>#N/A</v>
      </c>
      <c r="FL34" s="60" t="str">
        <f t="shared" si="73"/>
        <v/>
      </c>
      <c r="FM34" s="60" t="e">
        <f>IF($FL34="",#N/A,SUM($FL$4:FL34))</f>
        <v>#N/A</v>
      </c>
      <c r="FN34" s="82">
        <f t="shared" si="74"/>
        <v>-0.38454578356858349</v>
      </c>
      <c r="FO34" s="82">
        <f>IF($FN34="",#N/A,SUM(FN$4:$FN34))</f>
        <v>17.327660308315696</v>
      </c>
      <c r="FP34" s="82">
        <f t="shared" si="99"/>
        <v>0.80377608879237528</v>
      </c>
      <c r="FQ34" s="246">
        <f>IF($EH34="",#N/A,SUM($FP$4:FP34))</f>
        <v>9.8159003492066255</v>
      </c>
      <c r="FR34" s="82">
        <f>IFERROR(FQ34/COUNTA($J$4:J34),#N/A)</f>
        <v>0.3166419467486008</v>
      </c>
      <c r="FS34" s="99"/>
      <c r="FT34" s="82">
        <f t="shared" si="103"/>
        <v>8.7946430832321093E-2</v>
      </c>
      <c r="FU34" s="82" t="e">
        <v>#N/A</v>
      </c>
      <c r="FV34" s="57" t="str">
        <f t="shared" si="75"/>
        <v>Up</v>
      </c>
      <c r="FW34" s="57" t="s">
        <v>2733</v>
      </c>
      <c r="FX34" s="57">
        <f t="shared" si="76"/>
        <v>1</v>
      </c>
      <c r="FY34" s="57" t="str">
        <f t="shared" si="77"/>
        <v/>
      </c>
      <c r="FZ34" s="57" t="str">
        <f t="shared" si="78"/>
        <v/>
      </c>
      <c r="GA34" s="57" t="str">
        <f t="shared" si="79"/>
        <v>Long</v>
      </c>
      <c r="GB34" s="57" t="str">
        <f t="shared" si="80"/>
        <v/>
      </c>
      <c r="GC34" s="57" t="str">
        <f t="shared" si="81"/>
        <v/>
      </c>
      <c r="GD34" s="57" t="str">
        <f t="shared" si="82"/>
        <v/>
      </c>
      <c r="GE34" s="62">
        <f t="shared" si="83"/>
        <v>110.52</v>
      </c>
      <c r="GF34" s="62" t="s">
        <v>2779</v>
      </c>
      <c r="GG34" s="199">
        <f t="shared" si="84"/>
        <v>3.6192544335866814</v>
      </c>
      <c r="GH34" s="207">
        <f t="shared" si="85"/>
        <v>400</v>
      </c>
      <c r="GI34" s="199">
        <f t="shared" si="86"/>
        <v>3.6192544335866814</v>
      </c>
      <c r="GJ34" s="200">
        <f t="shared" si="87"/>
        <v>115.85</v>
      </c>
      <c r="GK34" s="63">
        <f t="shared" si="88"/>
        <v>19.290626131017007</v>
      </c>
      <c r="GL34" s="63">
        <f t="shared" si="89"/>
        <v>-9.2290988056460037</v>
      </c>
      <c r="GM34" s="82" t="str">
        <f t="shared" si="90"/>
        <v/>
      </c>
      <c r="GN34" s="82">
        <f>IF($GZ34="",#N/A,SUM(GM$4:GM34))</f>
        <v>10.461015946631546</v>
      </c>
      <c r="GO34" s="82">
        <f t="shared" si="91"/>
        <v>-0.38454578356858349</v>
      </c>
      <c r="GP34" s="82">
        <f>IF($GZ34="",#N/A,SUM(GO$4:GO34))</f>
        <v>3.8679032485968001</v>
      </c>
      <c r="GQ34" s="82" t="str">
        <f t="shared" si="92"/>
        <v/>
      </c>
      <c r="GR34" s="82">
        <f>IF($GZ34="",#N/A,SUM(GQ$4:GQ34))</f>
        <v>2.9987411130873514</v>
      </c>
      <c r="GS34" s="63" t="str">
        <f t="shared" si="100"/>
        <v/>
      </c>
      <c r="GT34" s="63">
        <f>IF($GZ34="",#N/A,SUM(GS$4:GS34))</f>
        <v>251.06438271915709</v>
      </c>
      <c r="GU34" s="63">
        <f t="shared" si="101"/>
        <v>-9.2290988056460037</v>
      </c>
      <c r="GV34" s="63">
        <f>IF($GZ34="",#N/A,SUM(GU$4:GU34))</f>
        <v>92.829677966323175</v>
      </c>
      <c r="GW34" s="62" t="str">
        <f t="shared" si="102"/>
        <v/>
      </c>
      <c r="GX34" s="63">
        <f>IF($GZ34="",#N/A,SUM(GW$4:GW34))</f>
        <v>71.969786714096415</v>
      </c>
      <c r="GY34" s="63">
        <f>IF(EJ34="",#N/A,SUM($EJ$4:EJ34))</f>
        <v>415.86384739957668</v>
      </c>
      <c r="GZ34" s="159">
        <v>107.97</v>
      </c>
      <c r="HA34" s="63">
        <f t="shared" si="93"/>
        <v>-28.51972493666301</v>
      </c>
      <c r="HB34" s="62" t="s">
        <v>4970</v>
      </c>
      <c r="HC34" s="60">
        <f>IFERROR(VLOOKUP(E34,Expectancy!$P$4:$S$19,1+C34,FALSE),"")</f>
        <v>-4.1762476788754908E-2</v>
      </c>
      <c r="HD34" s="60" t="str">
        <f t="shared" si="94"/>
        <v/>
      </c>
      <c r="HE34" s="60" t="e">
        <f>IF(HD34="",#N/A,SUM($HD$4:HD34))</f>
        <v>#N/A</v>
      </c>
      <c r="HF34" s="64" t="e">
        <f>IF(HD34="",#N/A,IF(HB34="Skip",#N/A,SUM($HG$4:HG34)))</f>
        <v>#N/A</v>
      </c>
      <c r="HG34" s="63" t="str">
        <f t="shared" si="95"/>
        <v/>
      </c>
      <c r="HH34" s="82">
        <f t="shared" si="96"/>
        <v>-0.38454578356858349</v>
      </c>
    </row>
    <row r="35" spans="1:216" x14ac:dyDescent="0.25">
      <c r="A35" s="57" t="s">
        <v>1527</v>
      </c>
      <c r="B35" s="58" t="s">
        <v>5098</v>
      </c>
      <c r="C35" s="386">
        <f t="shared" si="0"/>
        <v>3</v>
      </c>
      <c r="D35" s="372" t="str">
        <f>_xlfn.XLOOKUP(A35,[1]SP500!$A$2:$A$502,[1]SP500!$D$2:$D$502,"N")</f>
        <v>Y</v>
      </c>
      <c r="E35" s="57" t="str">
        <f>_xlfn.XLOOKUP(A35,[1]SP500!$A$2:$A$655,[1]SP500!$B$2:$B$655)</f>
        <v>XLK</v>
      </c>
      <c r="F35" s="59">
        <v>45678</v>
      </c>
      <c r="G35" s="57" t="str">
        <f t="shared" si="1"/>
        <v>AMC</v>
      </c>
      <c r="H35" s="57" t="str">
        <f t="shared" si="2"/>
        <v>o</v>
      </c>
      <c r="I35" s="159">
        <v>101.25</v>
      </c>
      <c r="J35" s="159">
        <v>108.63</v>
      </c>
      <c r="K35" s="61">
        <f t="shared" si="3"/>
        <v>7.288888888888885E-2</v>
      </c>
      <c r="L35" s="87">
        <f t="shared" si="4"/>
        <v>29.155555555555509</v>
      </c>
      <c r="M35" s="63" t="str">
        <f t="shared" si="5"/>
        <v/>
      </c>
      <c r="N35" s="219" t="str">
        <f t="shared" si="6"/>
        <v/>
      </c>
      <c r="O35" s="219">
        <f>IF($J35="",#N/A,SUM($N$4:N35))</f>
        <v>40.093434508217058</v>
      </c>
      <c r="P35" s="220" t="str">
        <f t="shared" si="7"/>
        <v/>
      </c>
      <c r="Q35" s="220">
        <f>IF($J35="",#N/A,SUM($P$4:P35))</f>
        <v>8.9389650530629865</v>
      </c>
      <c r="R35" s="221">
        <f t="shared" si="8"/>
        <v>29.155555555555509</v>
      </c>
      <c r="S35" s="222">
        <f>IF($J35="",#N/A,SUM($R$4:R35))</f>
        <v>215.70476437523445</v>
      </c>
      <c r="T35" s="281" t="str">
        <f t="shared" si="9"/>
        <v/>
      </c>
      <c r="U35" s="281">
        <f>IF($J35="",#N/A,SUM($T$4:T35))</f>
        <v>1.6705597711757108</v>
      </c>
      <c r="V35" s="282" t="str">
        <f t="shared" si="10"/>
        <v/>
      </c>
      <c r="W35" s="282">
        <f>IF($J35="",#N/A,SUM($V$4:V35))</f>
        <v>0.37245687721095755</v>
      </c>
      <c r="X35" s="283">
        <f t="shared" si="11"/>
        <v>1.2148148148148128</v>
      </c>
      <c r="Y35" s="283">
        <f>IF($J35="",#N/A,SUM($X$4:X35))</f>
        <v>8.9876985156347686</v>
      </c>
      <c r="Z35" s="304" t="str">
        <f t="shared" si="12"/>
        <v/>
      </c>
      <c r="AA35" s="304">
        <f>IF($J35="",#N/A,SUM(Z$4:Z35))</f>
        <v>0</v>
      </c>
      <c r="AB35" s="305" t="str">
        <f t="shared" si="13"/>
        <v/>
      </c>
      <c r="AC35" s="305">
        <f>IF($J35="",#N/A,SUM(AB$4:AB35))</f>
        <v>0</v>
      </c>
      <c r="AD35" s="306">
        <f t="shared" si="14"/>
        <v>1.2148148148148128</v>
      </c>
      <c r="AE35" s="306">
        <f>IF($J35="",#N/A,SUM(AD$4:AD35))</f>
        <v>1.2148148148148128</v>
      </c>
      <c r="AF35" s="306">
        <f>IF($J35="",#N/A,SUM(AD$4:AD35,AB$4:AB35,Z$4:Z35))</f>
        <v>1.2148148148148128</v>
      </c>
      <c r="AG35" s="304" t="str">
        <f t="shared" si="15"/>
        <v/>
      </c>
      <c r="AH35" s="304">
        <f>IF($J35="",#N/A,SUM(AG$4:AG35))</f>
        <v>0</v>
      </c>
      <c r="AI35" s="305" t="str">
        <f t="shared" si="16"/>
        <v/>
      </c>
      <c r="AJ35" s="305">
        <f>IF($J35="",#N/A,SUM(AI$4:AI35))</f>
        <v>0</v>
      </c>
      <c r="AK35" s="306" t="str">
        <f t="shared" si="17"/>
        <v/>
      </c>
      <c r="AL35" s="306">
        <f>IF($J35="",#N/A,SUM(AK$4:AK35))</f>
        <v>0</v>
      </c>
      <c r="AM35" s="306">
        <f>IF($J35="",#N/A,SUM(AK$4:AK35,AI$4:AI35,AG$4:AG35))</f>
        <v>0</v>
      </c>
      <c r="AN35" s="304" t="str">
        <f t="shared" si="18"/>
        <v/>
      </c>
      <c r="AO35" s="304">
        <f>IF($J35="",#N/A,SUM(AN$4:AN35))</f>
        <v>0</v>
      </c>
      <c r="AP35" s="305" t="str">
        <f t="shared" si="19"/>
        <v/>
      </c>
      <c r="AQ35" s="305">
        <f>IF($J35="",#N/A,SUM(AP$4:AP35))</f>
        <v>0</v>
      </c>
      <c r="AR35" s="306" t="str">
        <f t="shared" si="20"/>
        <v/>
      </c>
      <c r="AS35" s="306">
        <f>IF($J35="",#N/A,SUM(AR$4:AR35))</f>
        <v>0</v>
      </c>
      <c r="AT35" s="306">
        <f>IF($J35="",#N/A,SUM(AR$4:AR35,AP$4:AP35,AN$4:AN35))</f>
        <v>0</v>
      </c>
      <c r="AU35" s="304" t="str">
        <f t="shared" si="21"/>
        <v/>
      </c>
      <c r="AV35" s="304">
        <f>IF($J35="",#N/A,SUM(AU$4:AU35))</f>
        <v>0</v>
      </c>
      <c r="AW35" s="305" t="str">
        <f t="shared" si="22"/>
        <v/>
      </c>
      <c r="AX35" s="305">
        <f>IF($J35="",#N/A,SUM(AW$4:AW35))</f>
        <v>1.2290222546515868</v>
      </c>
      <c r="AY35" s="306" t="str">
        <f t="shared" si="23"/>
        <v/>
      </c>
      <c r="AZ35" s="306">
        <f>IF($J35="",#N/A,SUM(AY$4:AY35))</f>
        <v>2.4945770065075905</v>
      </c>
      <c r="BA35" s="306">
        <f>IF($J35="",#N/A,SUM(AY$4:AY35,AW$4:AW35,AU$4:AU35))</f>
        <v>3.7235992611591771</v>
      </c>
      <c r="BB35" s="304" t="str">
        <f t="shared" si="24"/>
        <v/>
      </c>
      <c r="BC35" s="304">
        <f>IF($J35="",#N/A,SUM(BB$4:BB35))</f>
        <v>0</v>
      </c>
      <c r="BD35" s="305" t="str">
        <f t="shared" si="25"/>
        <v/>
      </c>
      <c r="BE35" s="305">
        <f>IF($J35="",#N/A,SUM(BD$4:BD35))</f>
        <v>0</v>
      </c>
      <c r="BF35" s="306" t="str">
        <f t="shared" si="26"/>
        <v/>
      </c>
      <c r="BG35" s="306">
        <f>IF($J35="",#N/A,SUM(BF$4:BF35))</f>
        <v>2.4597169840247779</v>
      </c>
      <c r="BH35" s="306">
        <f>IF($J35="",#N/A,SUM(BF$4:BF35,BD$4:BD35,BB$4:BB35))</f>
        <v>2.4597169840247779</v>
      </c>
      <c r="BI35" s="304" t="str">
        <f t="shared" si="27"/>
        <v/>
      </c>
      <c r="BJ35" s="304">
        <f>IF($J35="",#N/A,SUM(BI$4:BI35))</f>
        <v>-0.63021254112582636</v>
      </c>
      <c r="BK35" s="305" t="str">
        <f t="shared" si="28"/>
        <v/>
      </c>
      <c r="BL35" s="305">
        <f>IF($J35="",#N/A,SUM(BK$4:BK35))</f>
        <v>0</v>
      </c>
      <c r="BM35" s="306" t="str">
        <f t="shared" si="29"/>
        <v/>
      </c>
      <c r="BN35" s="306">
        <f>IF($J35="",#N/A,SUM(BM$4:BM35))</f>
        <v>3.8210959759517467</v>
      </c>
      <c r="BO35" s="306">
        <f>IF($J35="",#N/A,SUM(BM$4:BM35,BK$4:BK35,BI$4:BI35))</f>
        <v>3.1908834348259205</v>
      </c>
      <c r="BP35" s="304" t="str">
        <f t="shared" si="30"/>
        <v/>
      </c>
      <c r="BQ35" s="304">
        <f>IF($J35="",#N/A,SUM(BP$4:BP35))</f>
        <v>2.3007723123015373</v>
      </c>
      <c r="BR35" s="305" t="str">
        <f t="shared" si="31"/>
        <v/>
      </c>
      <c r="BS35" s="305">
        <f>IF($J35="",#N/A,SUM(BR$4:BR35))</f>
        <v>-0.34773304801390975</v>
      </c>
      <c r="BT35" s="306" t="str">
        <f t="shared" si="32"/>
        <v/>
      </c>
      <c r="BU35" s="306">
        <f>IF($J35="",#N/A,SUM(BT$4:BT35))</f>
        <v>-1.0025062656641595</v>
      </c>
      <c r="BV35" s="306">
        <f>IF($J35="",#N/A,SUM(BT$4:BT35,BR$4:BR35,BP$4:BP35))</f>
        <v>0.95053299862346796</v>
      </c>
      <c r="BW35" s="304" t="str">
        <f t="shared" si="33"/>
        <v/>
      </c>
      <c r="BX35" s="304">
        <f>IF($J35="",#N/A,SUM(BW$4:BW35))</f>
        <v>0</v>
      </c>
      <c r="BY35" s="305" t="str">
        <f t="shared" si="34"/>
        <v/>
      </c>
      <c r="BZ35" s="305">
        <f>IF($J35="",#N/A,SUM(BY$4:BY35))</f>
        <v>0</v>
      </c>
      <c r="CA35" s="306" t="str">
        <f t="shared" si="35"/>
        <v/>
      </c>
      <c r="CB35" s="306">
        <f>IF($J35="",#N/A,SUM(CA$4:CA35))</f>
        <v>0</v>
      </c>
      <c r="CC35" s="306">
        <f>IF($J35="",#N/A,SUM(CA$4:CA35,BY$4:BY35,BW$4:BW35))</f>
        <v>0</v>
      </c>
      <c r="CD35" s="304" t="str">
        <f t="shared" si="36"/>
        <v/>
      </c>
      <c r="CE35" s="304">
        <f>IF($J35="",#N/A,SUM(CD$4:CD35))</f>
        <v>0</v>
      </c>
      <c r="CF35" s="305" t="str">
        <f t="shared" si="37"/>
        <v/>
      </c>
      <c r="CG35" s="305">
        <f>IF($J35="",#N/A,SUM(CF$4:CF35))</f>
        <v>0</v>
      </c>
      <c r="CH35" s="306" t="str">
        <f t="shared" si="38"/>
        <v/>
      </c>
      <c r="CI35" s="306">
        <f>IF($J35="",#N/A,SUM(CH$4:CH35))</f>
        <v>0</v>
      </c>
      <c r="CJ35" s="306">
        <f>IF($J35="",#N/A,SUM(CH$4:CH35,CF$4:CF35,CD$4:CD35))</f>
        <v>0</v>
      </c>
      <c r="CK35" s="304" t="str">
        <f t="shared" si="39"/>
        <v/>
      </c>
      <c r="CL35" s="304">
        <f>IF($J35="",#N/A,SUM(CK$4:CK35))</f>
        <v>0</v>
      </c>
      <c r="CM35" s="305" t="str">
        <f t="shared" si="40"/>
        <v/>
      </c>
      <c r="CN35" s="305">
        <f>IF($J35="",#N/A,SUM(CM$4:CM35))</f>
        <v>0</v>
      </c>
      <c r="CO35" s="306" t="str">
        <f t="shared" si="41"/>
        <v/>
      </c>
      <c r="CP35" s="306">
        <f>IF($J35="",#N/A,SUM(CO$4:CO35))</f>
        <v>0</v>
      </c>
      <c r="CQ35" s="306">
        <f>IF($J35="",#N/A,SUM(CO$4:CO35,CM$4:CM35,CK$4:CK35))</f>
        <v>0</v>
      </c>
      <c r="CR35" s="304" t="str">
        <f t="shared" si="42"/>
        <v/>
      </c>
      <c r="CS35" s="304">
        <f>IF($J35="",#N/A,SUM(CR$4:CR35))</f>
        <v>0</v>
      </c>
      <c r="CT35" s="305" t="str">
        <f t="shared" si="43"/>
        <v/>
      </c>
      <c r="CU35" s="305">
        <f>IF($J35="",#N/A,SUM(CT$4:CT35))</f>
        <v>-0.42995051512938903</v>
      </c>
      <c r="CV35" s="306" t="str">
        <f t="shared" si="44"/>
        <v/>
      </c>
      <c r="CW35" s="306">
        <f>IF($J35="",#N/A,SUM(CV$4:CV35))</f>
        <v>0</v>
      </c>
      <c r="CX35" s="306">
        <f>IF($J35="",#N/A,SUM(CV$4:CV35,CT$4:CT35,CR$4:CR35))</f>
        <v>-0.42995051512938903</v>
      </c>
      <c r="CY35" s="304" t="str">
        <f t="shared" si="45"/>
        <v/>
      </c>
      <c r="CZ35" s="304">
        <f>IF($J35="",#N/A,SUM(CY$4:CY35))</f>
        <v>0</v>
      </c>
      <c r="DA35" s="305" t="str">
        <f t="shared" si="46"/>
        <v/>
      </c>
      <c r="DB35" s="305">
        <f>IF($J35="",#N/A,SUM(DA$4:DA35))</f>
        <v>0</v>
      </c>
      <c r="DC35" s="306" t="str">
        <f t="shared" si="47"/>
        <v/>
      </c>
      <c r="DD35" s="306">
        <f>IF($J35="",#N/A,SUM(DC$4:DC35))</f>
        <v>0</v>
      </c>
      <c r="DE35" s="306">
        <f>IF($J35="",#N/A,SUM(DC$4:DC35,DA$4:DA35,CY$4:CY35))</f>
        <v>0</v>
      </c>
      <c r="DF35" s="304" t="str">
        <f t="shared" si="48"/>
        <v/>
      </c>
      <c r="DG35" s="304">
        <f>IF($J35="",#N/A,SUM(DF$4:DF35))</f>
        <v>0</v>
      </c>
      <c r="DH35" s="305" t="str">
        <f t="shared" si="49"/>
        <v/>
      </c>
      <c r="DI35" s="305">
        <f>IF($J35="",#N/A,SUM(DH$4:DH35))</f>
        <v>0</v>
      </c>
      <c r="DJ35" s="306" t="str">
        <f t="shared" si="50"/>
        <v/>
      </c>
      <c r="DK35" s="306">
        <f>IF($J35="",#N/A,SUM(DJ$4:DJ35))</f>
        <v>0</v>
      </c>
      <c r="DL35" s="306">
        <f>IF($J35="",#N/A,SUM(DJ$4:DJ35,DH$4:DH35,DF$4:DF35))</f>
        <v>0</v>
      </c>
      <c r="DM35" s="304" t="str">
        <f t="shared" si="51"/>
        <v/>
      </c>
      <c r="DN35" s="304">
        <f>IF($J35="",#N/A,SUM(DM$4:DM35))</f>
        <v>0</v>
      </c>
      <c r="DO35" s="305" t="str">
        <f t="shared" si="52"/>
        <v/>
      </c>
      <c r="DP35" s="305">
        <f>IF($J35="",#N/A,SUM(DO$4:DO35))</f>
        <v>0</v>
      </c>
      <c r="DQ35" s="306" t="str">
        <f t="shared" si="53"/>
        <v/>
      </c>
      <c r="DR35" s="306">
        <f>IF($J35="",#N/A,SUM(DQ$4:DQ35))</f>
        <v>0</v>
      </c>
      <c r="DS35" s="306">
        <f>IF($J35="",#N/A,SUM(DQ$4:DQ35,DO$4:DO35,DM$4:DM35))</f>
        <v>0</v>
      </c>
      <c r="DT35" s="304" t="str">
        <f t="shared" si="54"/>
        <v/>
      </c>
      <c r="DU35" s="304">
        <f>IF($J35="",#N/A,SUM(DT$4:DT35))</f>
        <v>0</v>
      </c>
      <c r="DV35" s="305" t="str">
        <f t="shared" si="55"/>
        <v/>
      </c>
      <c r="DW35" s="305">
        <f>IF($J35="",#N/A,SUM(DV$4:DV35))</f>
        <v>0.40085630512924314</v>
      </c>
      <c r="DX35" s="306" t="str">
        <f t="shared" si="56"/>
        <v/>
      </c>
      <c r="DY35" s="306">
        <f>IF($J35="",#N/A,SUM(DX$4:DX35))</f>
        <v>0</v>
      </c>
      <c r="DZ35" s="306">
        <f>IF($J35="",#N/A,SUM(DX$4:DX35,DV$4:DV35,DT$4:DT35))</f>
        <v>0.40085630512924314</v>
      </c>
      <c r="EA35" s="304" t="str">
        <f t="shared" si="57"/>
        <v/>
      </c>
      <c r="EB35" s="304">
        <f>IF($J35="",#N/A,SUM(EA$4:EA35))</f>
        <v>0</v>
      </c>
      <c r="EC35" s="305" t="str">
        <f t="shared" si="58"/>
        <v/>
      </c>
      <c r="ED35" s="305">
        <f>IF($J35="",#N/A,SUM(EC$4:EC35))</f>
        <v>-0.47973811942657352</v>
      </c>
      <c r="EE35" s="306" t="str">
        <f t="shared" si="59"/>
        <v/>
      </c>
      <c r="EF35" s="306">
        <f>IF($J35="",#N/A,SUM(EE$4:EE35))</f>
        <v>0</v>
      </c>
      <c r="EG35" s="306">
        <f>IF($J35="",#N/A,SUM(EE$4:EE35,EC$4:EC35,EA$4:EA35))</f>
        <v>-0.47973811942657352</v>
      </c>
      <c r="EH35" s="223">
        <f t="shared" si="60"/>
        <v>29.155555555555509</v>
      </c>
      <c r="EI35" s="224">
        <f>IF(EH35="",#N/A,SUM($EH$4:EH35))</f>
        <v>264.73716393651449</v>
      </c>
      <c r="EJ35" s="223">
        <f t="shared" si="61"/>
        <v>27.377777777777794</v>
      </c>
      <c r="EK35" s="63">
        <f>IF($GZ35="",#N/A,SUM(EJ$4:EJ35))</f>
        <v>443.24162517735448</v>
      </c>
      <c r="EL35" s="60">
        <f t="shared" si="97"/>
        <v>1.2148148148148128</v>
      </c>
      <c r="EM35" s="60">
        <f>IF(EL35="",NA(),SUM($EL$4:EL35))</f>
        <v>11.030715164021439</v>
      </c>
      <c r="EN35" s="60" t="str">
        <f t="shared" si="62"/>
        <v/>
      </c>
      <c r="EO35" s="60" t="e">
        <f>IF(EN35="",NA(),SUM($EN$4:EN35))</f>
        <v>#N/A</v>
      </c>
      <c r="EP35" s="60">
        <f t="shared" si="63"/>
        <v>1.2148148148148128</v>
      </c>
      <c r="EQ35" s="60">
        <f>IF(EP35="",NA(),SUM($EP$4:EP35))</f>
        <v>8.9876985156347686</v>
      </c>
      <c r="ER35" s="60" t="str">
        <f t="shared" si="64"/>
        <v/>
      </c>
      <c r="ES35" s="60" t="e">
        <f>IF(ER35="",NA(),SUM($ER$4:ER35))</f>
        <v>#N/A</v>
      </c>
      <c r="ET35" s="60" t="str">
        <f t="shared" si="65"/>
        <v/>
      </c>
      <c r="EU35" s="60" t="e">
        <f>IF(ET35="",NA(),SUM($ET$4:ET35))</f>
        <v>#N/A</v>
      </c>
      <c r="EV35" s="60" t="str">
        <f t="shared" si="66"/>
        <v/>
      </c>
      <c r="EW35" s="60" t="e">
        <f>IF(EV35="",NA(),SUM($EV$4:EV35))</f>
        <v>#N/A</v>
      </c>
      <c r="EX35" s="60" t="str">
        <f t="shared" si="67"/>
        <v/>
      </c>
      <c r="EY35" s="60" t="e">
        <f>IF(EX35="",NA(),SUM($EX$4:EX35))</f>
        <v>#N/A</v>
      </c>
      <c r="EZ35" s="60" t="str">
        <f t="shared" si="68"/>
        <v/>
      </c>
      <c r="FA35" s="60" t="e">
        <f>IF(EZ35="",NA(),SUM($EZ$4:EZ35))</f>
        <v>#N/A</v>
      </c>
      <c r="FB35" s="246" t="str">
        <f t="shared" si="98"/>
        <v/>
      </c>
      <c r="FC35" s="246" t="e">
        <f>IF($FB35="",#N/A,SUM(FB$4:$FB35))</f>
        <v>#N/A</v>
      </c>
      <c r="FD35" s="60" t="str">
        <f t="shared" si="69"/>
        <v/>
      </c>
      <c r="FE35" s="60" t="e">
        <f>IF($FD35="",#N/A,SUM($FD$4:FD35))</f>
        <v>#N/A</v>
      </c>
      <c r="FF35" s="60" t="str">
        <f t="shared" si="70"/>
        <v/>
      </c>
      <c r="FG35" s="60" t="e">
        <f>IF($FF35="",#N/A,SUM($FF$4:FF35))</f>
        <v>#N/A</v>
      </c>
      <c r="FH35" s="60" t="str">
        <f t="shared" si="71"/>
        <v/>
      </c>
      <c r="FI35" s="60" t="e">
        <f>IF($FH35="",#N/A,SUM($FH$4:FH35))</f>
        <v>#N/A</v>
      </c>
      <c r="FJ35" s="60">
        <f t="shared" si="72"/>
        <v>-7.4074074074071294E-2</v>
      </c>
      <c r="FK35" s="60">
        <f>IF($FJ35="",#N/A,SUM($FJ$4:FJ35))</f>
        <v>2.2150013085182017</v>
      </c>
      <c r="FL35" s="60" t="str">
        <f t="shared" si="73"/>
        <v/>
      </c>
      <c r="FM35" s="60" t="e">
        <f>IF($FL35="",#N/A,SUM($FL$4:FL35))</f>
        <v>#N/A</v>
      </c>
      <c r="FN35" s="82">
        <f t="shared" si="74"/>
        <v>1.1407407407407415</v>
      </c>
      <c r="FO35" s="82">
        <f>IF($FN35="",#N/A,SUM(FN$4:$FN35))</f>
        <v>18.468401049056439</v>
      </c>
      <c r="FP35" s="82">
        <f t="shared" si="99"/>
        <v>1.2148148148148128</v>
      </c>
      <c r="FQ35" s="246">
        <f>IF($EH35="",#N/A,SUM($FP$4:FP35))</f>
        <v>11.030715164021439</v>
      </c>
      <c r="FR35" s="82">
        <f>IFERROR(FQ35/COUNTA($J$4:J35),#N/A)</f>
        <v>0.34470984887566997</v>
      </c>
      <c r="FS35" s="99"/>
      <c r="FT35" s="82">
        <f t="shared" si="103"/>
        <v>0.11204922750654625</v>
      </c>
      <c r="FU35" s="82" t="e">
        <v>#N/A</v>
      </c>
      <c r="FV35" s="57" t="str">
        <f t="shared" si="75"/>
        <v>SW</v>
      </c>
      <c r="FW35" s="57" t="s">
        <v>2732</v>
      </c>
      <c r="FX35" s="57" t="str">
        <f t="shared" si="76"/>
        <v/>
      </c>
      <c r="FY35" s="57" t="str">
        <f t="shared" si="77"/>
        <v/>
      </c>
      <c r="FZ35" s="57">
        <f t="shared" si="78"/>
        <v>1</v>
      </c>
      <c r="GA35" s="57" t="str">
        <f t="shared" si="79"/>
        <v>Long</v>
      </c>
      <c r="GB35" s="57" t="str">
        <f t="shared" si="80"/>
        <v/>
      </c>
      <c r="GC35" s="57" t="str">
        <f t="shared" si="81"/>
        <v/>
      </c>
      <c r="GD35" s="57" t="str">
        <f t="shared" si="82"/>
        <v/>
      </c>
      <c r="GE35" s="62">
        <f t="shared" si="83"/>
        <v>101.25</v>
      </c>
      <c r="GF35" s="62" t="s">
        <v>2779</v>
      </c>
      <c r="GG35" s="199">
        <f t="shared" si="84"/>
        <v>3.9506172839506171</v>
      </c>
      <c r="GH35" s="207">
        <f t="shared" si="85"/>
        <v>400</v>
      </c>
      <c r="GI35" s="199">
        <f t="shared" si="86"/>
        <v>3.9506172839506171</v>
      </c>
      <c r="GJ35" s="200">
        <f t="shared" si="87"/>
        <v>108.63</v>
      </c>
      <c r="GK35" s="63">
        <f t="shared" si="88"/>
        <v>29.155555555555509</v>
      </c>
      <c r="GL35" s="63">
        <f t="shared" si="89"/>
        <v>27.377777777777794</v>
      </c>
      <c r="GM35" s="82">
        <f t="shared" si="90"/>
        <v>1.1407407407407415</v>
      </c>
      <c r="GN35" s="82">
        <f>IF($GZ35="",#N/A,SUM(GM$4:GM35))</f>
        <v>11.601756687372287</v>
      </c>
      <c r="GO35" s="82" t="str">
        <f t="shared" si="91"/>
        <v/>
      </c>
      <c r="GP35" s="82">
        <f>IF($GZ35="",#N/A,SUM(GO$4:GO35))</f>
        <v>3.8679032485968001</v>
      </c>
      <c r="GQ35" s="82" t="str">
        <f t="shared" si="92"/>
        <v/>
      </c>
      <c r="GR35" s="82">
        <f>IF($GZ35="",#N/A,SUM(GQ$4:GQ35))</f>
        <v>2.9987411130873514</v>
      </c>
      <c r="GS35" s="63">
        <f t="shared" si="100"/>
        <v>27.377777777777794</v>
      </c>
      <c r="GT35" s="63">
        <f>IF($GZ35="",#N/A,SUM(GS$4:GS35))</f>
        <v>278.44216049693489</v>
      </c>
      <c r="GU35" s="63" t="str">
        <f t="shared" si="101"/>
        <v/>
      </c>
      <c r="GV35" s="63">
        <f>IF($GZ35="",#N/A,SUM(GU$4:GU35))</f>
        <v>92.829677966323175</v>
      </c>
      <c r="GW35" s="62" t="str">
        <f t="shared" si="102"/>
        <v/>
      </c>
      <c r="GX35" s="63">
        <f>IF($GZ35="",#N/A,SUM(GW$4:GW35))</f>
        <v>71.969786714096415</v>
      </c>
      <c r="GY35" s="63">
        <f>IF(EJ35="",#N/A,SUM($EJ$4:EJ35))</f>
        <v>443.24162517735448</v>
      </c>
      <c r="GZ35" s="159">
        <v>108.18</v>
      </c>
      <c r="HA35" s="63">
        <f t="shared" si="93"/>
        <v>-1.7777777777777146</v>
      </c>
      <c r="HB35" s="62" t="s">
        <v>4970</v>
      </c>
      <c r="HC35" s="60">
        <f>IFERROR(VLOOKUP(E35,Expectancy!$P$4:$S$19,1+C35,FALSE),"")</f>
        <v>-0.17081772033279666</v>
      </c>
      <c r="HD35" s="60" t="str">
        <f t="shared" si="94"/>
        <v/>
      </c>
      <c r="HE35" s="60" t="e">
        <f>IF(HD35="",#N/A,SUM($HD$4:HD35))</f>
        <v>#N/A</v>
      </c>
      <c r="HF35" s="64" t="e">
        <f>IF(HD35="",#N/A,IF(HB35="Skip",#N/A,SUM($HG$4:HG35)))</f>
        <v>#N/A</v>
      </c>
      <c r="HG35" s="63" t="str">
        <f t="shared" si="95"/>
        <v/>
      </c>
      <c r="HH35" s="82">
        <f t="shared" si="96"/>
        <v>1.1407407407407415</v>
      </c>
    </row>
    <row r="36" spans="1:216" x14ac:dyDescent="0.25">
      <c r="A36" s="57" t="s">
        <v>1288</v>
      </c>
      <c r="B36" s="58" t="s">
        <v>5100</v>
      </c>
      <c r="C36" s="386">
        <f t="shared" si="0"/>
        <v>3</v>
      </c>
      <c r="D36" s="372" t="str">
        <f>_xlfn.XLOOKUP(A36,[1]SP500!$A$2:$A$502,[1]SP500!$D$2:$D$502,"N")</f>
        <v>Y</v>
      </c>
      <c r="E36" s="57" t="str">
        <f>_xlfn.XLOOKUP(A36,[1]SP500!$A$2:$A$655,[1]SP500!$B$2:$B$655)</f>
        <v>XLP</v>
      </c>
      <c r="F36" s="59">
        <v>45679</v>
      </c>
      <c r="G36" s="57" t="str">
        <f t="shared" si="1"/>
        <v>BMO</v>
      </c>
      <c r="H36" s="57" t="str">
        <f t="shared" si="2"/>
        <v>o</v>
      </c>
      <c r="I36" s="159">
        <v>161.72</v>
      </c>
      <c r="J36" s="158">
        <v>167.1</v>
      </c>
      <c r="K36" s="61">
        <f t="shared" si="3"/>
        <v>3.3267375711105586E-2</v>
      </c>
      <c r="L36" s="87">
        <f t="shared" si="4"/>
        <v>13.306950284442223</v>
      </c>
      <c r="M36" s="63" t="str">
        <f t="shared" ref="M36:M61" si="104">IF(L36="","",IF(HG36="","",HG36-L36))</f>
        <v/>
      </c>
      <c r="N36" s="219" t="str">
        <f t="shared" si="6"/>
        <v/>
      </c>
      <c r="O36" s="219">
        <f>IF($J36="",#N/A,SUM($N$4:N36))</f>
        <v>40.093434508217058</v>
      </c>
      <c r="P36" s="220" t="str">
        <f t="shared" si="7"/>
        <v/>
      </c>
      <c r="Q36" s="220">
        <f>IF($J36="",#N/A,SUM($P$4:P36))</f>
        <v>8.9389650530629865</v>
      </c>
      <c r="R36" s="221">
        <f t="shared" si="8"/>
        <v>13.306950284442223</v>
      </c>
      <c r="S36" s="222">
        <f>IF($J36="",#N/A,SUM($R$4:R36))</f>
        <v>229.01171465967667</v>
      </c>
      <c r="T36" s="281" t="str">
        <f t="shared" si="9"/>
        <v/>
      </c>
      <c r="U36" s="281">
        <f>IF($J36="",#N/A,SUM($T$4:T36))</f>
        <v>1.6705597711757108</v>
      </c>
      <c r="V36" s="282" t="str">
        <f t="shared" si="10"/>
        <v/>
      </c>
      <c r="W36" s="282">
        <f>IF($J36="",#N/A,SUM($V$4:V36))</f>
        <v>0.37245687721095755</v>
      </c>
      <c r="X36" s="283">
        <f t="shared" si="11"/>
        <v>0.55445626185175922</v>
      </c>
      <c r="Y36" s="283">
        <f>IF($J36="",#N/A,SUM($X$4:X36))</f>
        <v>9.5421547774865285</v>
      </c>
      <c r="Z36" s="304" t="str">
        <f t="shared" si="12"/>
        <v/>
      </c>
      <c r="AA36" s="304">
        <f>IF($J36="",#N/A,SUM(Z$4:Z36))</f>
        <v>0</v>
      </c>
      <c r="AB36" s="305" t="str">
        <f t="shared" si="13"/>
        <v/>
      </c>
      <c r="AC36" s="305">
        <f>IF($J36="",#N/A,SUM(AB$4:AB36))</f>
        <v>0</v>
      </c>
      <c r="AD36" s="306" t="str">
        <f t="shared" si="14"/>
        <v/>
      </c>
      <c r="AE36" s="306">
        <f>IF($J36="",#N/A,SUM(AD$4:AD36))</f>
        <v>1.2148148148148128</v>
      </c>
      <c r="AF36" s="306">
        <f>IF($J36="",#N/A,SUM(AD$4:AD36,AB$4:AB36,Z$4:Z36))</f>
        <v>1.2148148148148128</v>
      </c>
      <c r="AG36" s="304" t="str">
        <f t="shared" si="15"/>
        <v/>
      </c>
      <c r="AH36" s="304">
        <f>IF($J36="",#N/A,SUM(AG$4:AG36))</f>
        <v>0</v>
      </c>
      <c r="AI36" s="305" t="str">
        <f t="shared" si="16"/>
        <v/>
      </c>
      <c r="AJ36" s="305">
        <f>IF($J36="",#N/A,SUM(AI$4:AI36))</f>
        <v>0</v>
      </c>
      <c r="AK36" s="306" t="str">
        <f t="shared" si="17"/>
        <v/>
      </c>
      <c r="AL36" s="306">
        <f>IF($J36="",#N/A,SUM(AK$4:AK36))</f>
        <v>0</v>
      </c>
      <c r="AM36" s="306">
        <f>IF($J36="",#N/A,SUM(AK$4:AK36,AI$4:AI36,AG$4:AG36))</f>
        <v>0</v>
      </c>
      <c r="AN36" s="304" t="str">
        <f t="shared" si="18"/>
        <v/>
      </c>
      <c r="AO36" s="304">
        <f>IF($J36="",#N/A,SUM(AN$4:AN36))</f>
        <v>0</v>
      </c>
      <c r="AP36" s="305" t="str">
        <f t="shared" si="19"/>
        <v/>
      </c>
      <c r="AQ36" s="305">
        <f>IF($J36="",#N/A,SUM(AP$4:AP36))</f>
        <v>0</v>
      </c>
      <c r="AR36" s="306" t="str">
        <f t="shared" si="20"/>
        <v/>
      </c>
      <c r="AS36" s="306">
        <f>IF($J36="",#N/A,SUM(AR$4:AR36))</f>
        <v>0</v>
      </c>
      <c r="AT36" s="306">
        <f>IF($J36="",#N/A,SUM(AR$4:AR36,AP$4:AP36,AN$4:AN36))</f>
        <v>0</v>
      </c>
      <c r="AU36" s="304" t="str">
        <f t="shared" si="21"/>
        <v/>
      </c>
      <c r="AV36" s="304">
        <f>IF($J36="",#N/A,SUM(AU$4:AU36))</f>
        <v>0</v>
      </c>
      <c r="AW36" s="305" t="str">
        <f t="shared" si="22"/>
        <v/>
      </c>
      <c r="AX36" s="305">
        <f>IF($J36="",#N/A,SUM(AW$4:AW36))</f>
        <v>1.2290222546515868</v>
      </c>
      <c r="AY36" s="306">
        <f t="shared" si="23"/>
        <v>0.55445626185175922</v>
      </c>
      <c r="AZ36" s="306">
        <f>IF($J36="",#N/A,SUM(AY$4:AY36))</f>
        <v>3.0490332683593495</v>
      </c>
      <c r="BA36" s="306">
        <f>IF($J36="",#N/A,SUM(AY$4:AY36,AW$4:AW36,AU$4:AU36))</f>
        <v>4.2780555230109361</v>
      </c>
      <c r="BB36" s="304" t="str">
        <f t="shared" si="24"/>
        <v/>
      </c>
      <c r="BC36" s="304">
        <f>IF($J36="",#N/A,SUM(BB$4:BB36))</f>
        <v>0</v>
      </c>
      <c r="BD36" s="305" t="str">
        <f t="shared" si="25"/>
        <v/>
      </c>
      <c r="BE36" s="305">
        <f>IF($J36="",#N/A,SUM(BD$4:BD36))</f>
        <v>0</v>
      </c>
      <c r="BF36" s="306" t="str">
        <f t="shared" si="26"/>
        <v/>
      </c>
      <c r="BG36" s="306">
        <f>IF($J36="",#N/A,SUM(BF$4:BF36))</f>
        <v>2.4597169840247779</v>
      </c>
      <c r="BH36" s="306">
        <f>IF($J36="",#N/A,SUM(BF$4:BF36,BD$4:BD36,BB$4:BB36))</f>
        <v>2.4597169840247779</v>
      </c>
      <c r="BI36" s="304" t="str">
        <f t="shared" si="27"/>
        <v/>
      </c>
      <c r="BJ36" s="304">
        <f>IF($J36="",#N/A,SUM(BI$4:BI36))</f>
        <v>-0.63021254112582636</v>
      </c>
      <c r="BK36" s="305" t="str">
        <f t="shared" si="28"/>
        <v/>
      </c>
      <c r="BL36" s="305">
        <f>IF($J36="",#N/A,SUM(BK$4:BK36))</f>
        <v>0</v>
      </c>
      <c r="BM36" s="306" t="str">
        <f t="shared" si="29"/>
        <v/>
      </c>
      <c r="BN36" s="306">
        <f>IF($J36="",#N/A,SUM(BM$4:BM36))</f>
        <v>3.8210959759517467</v>
      </c>
      <c r="BO36" s="306">
        <f>IF($J36="",#N/A,SUM(BM$4:BM36,BK$4:BK36,BI$4:BI36))</f>
        <v>3.1908834348259205</v>
      </c>
      <c r="BP36" s="304" t="str">
        <f t="shared" si="30"/>
        <v/>
      </c>
      <c r="BQ36" s="304">
        <f>IF($J36="",#N/A,SUM(BP$4:BP36))</f>
        <v>2.3007723123015373</v>
      </c>
      <c r="BR36" s="305" t="str">
        <f t="shared" si="31"/>
        <v/>
      </c>
      <c r="BS36" s="305">
        <f>IF($J36="",#N/A,SUM(BR$4:BR36))</f>
        <v>-0.34773304801390975</v>
      </c>
      <c r="BT36" s="306" t="str">
        <f t="shared" si="32"/>
        <v/>
      </c>
      <c r="BU36" s="306">
        <f>IF($J36="",#N/A,SUM(BT$4:BT36))</f>
        <v>-1.0025062656641595</v>
      </c>
      <c r="BV36" s="306">
        <f>IF($J36="",#N/A,SUM(BT$4:BT36,BR$4:BR36,BP$4:BP36))</f>
        <v>0.95053299862346796</v>
      </c>
      <c r="BW36" s="304" t="str">
        <f t="shared" si="33"/>
        <v/>
      </c>
      <c r="BX36" s="304">
        <f>IF($J36="",#N/A,SUM(BW$4:BW36))</f>
        <v>0</v>
      </c>
      <c r="BY36" s="305" t="str">
        <f t="shared" si="34"/>
        <v/>
      </c>
      <c r="BZ36" s="305">
        <f>IF($J36="",#N/A,SUM(BY$4:BY36))</f>
        <v>0</v>
      </c>
      <c r="CA36" s="306" t="str">
        <f t="shared" si="35"/>
        <v/>
      </c>
      <c r="CB36" s="306">
        <f>IF($J36="",#N/A,SUM(CA$4:CA36))</f>
        <v>0</v>
      </c>
      <c r="CC36" s="306">
        <f>IF($J36="",#N/A,SUM(CA$4:CA36,BY$4:BY36,BW$4:BW36))</f>
        <v>0</v>
      </c>
      <c r="CD36" s="304" t="str">
        <f t="shared" si="36"/>
        <v/>
      </c>
      <c r="CE36" s="304">
        <f>IF($J36="",#N/A,SUM(CD$4:CD36))</f>
        <v>0</v>
      </c>
      <c r="CF36" s="305" t="str">
        <f t="shared" si="37"/>
        <v/>
      </c>
      <c r="CG36" s="305">
        <f>IF($J36="",#N/A,SUM(CF$4:CF36))</f>
        <v>0</v>
      </c>
      <c r="CH36" s="306" t="str">
        <f t="shared" si="38"/>
        <v/>
      </c>
      <c r="CI36" s="306">
        <f>IF($J36="",#N/A,SUM(CH$4:CH36))</f>
        <v>0</v>
      </c>
      <c r="CJ36" s="306">
        <f>IF($J36="",#N/A,SUM(CH$4:CH36,CF$4:CF36,CD$4:CD36))</f>
        <v>0</v>
      </c>
      <c r="CK36" s="304" t="str">
        <f t="shared" si="39"/>
        <v/>
      </c>
      <c r="CL36" s="304">
        <f>IF($J36="",#N/A,SUM(CK$4:CK36))</f>
        <v>0</v>
      </c>
      <c r="CM36" s="305" t="str">
        <f t="shared" si="40"/>
        <v/>
      </c>
      <c r="CN36" s="305">
        <f>IF($J36="",#N/A,SUM(CM$4:CM36))</f>
        <v>0</v>
      </c>
      <c r="CO36" s="306" t="str">
        <f t="shared" si="41"/>
        <v/>
      </c>
      <c r="CP36" s="306">
        <f>IF($J36="",#N/A,SUM(CO$4:CO36))</f>
        <v>0</v>
      </c>
      <c r="CQ36" s="306">
        <f>IF($J36="",#N/A,SUM(CO$4:CO36,CM$4:CM36,CK$4:CK36))</f>
        <v>0</v>
      </c>
      <c r="CR36" s="304" t="str">
        <f t="shared" si="42"/>
        <v/>
      </c>
      <c r="CS36" s="304">
        <f>IF($J36="",#N/A,SUM(CR$4:CR36))</f>
        <v>0</v>
      </c>
      <c r="CT36" s="305" t="str">
        <f t="shared" si="43"/>
        <v/>
      </c>
      <c r="CU36" s="305">
        <f>IF($J36="",#N/A,SUM(CT$4:CT36))</f>
        <v>-0.42995051512938903</v>
      </c>
      <c r="CV36" s="306" t="str">
        <f t="shared" si="44"/>
        <v/>
      </c>
      <c r="CW36" s="306">
        <f>IF($J36="",#N/A,SUM(CV$4:CV36))</f>
        <v>0</v>
      </c>
      <c r="CX36" s="306">
        <f>IF($J36="",#N/A,SUM(CV$4:CV36,CT$4:CT36,CR$4:CR36))</f>
        <v>-0.42995051512938903</v>
      </c>
      <c r="CY36" s="304" t="str">
        <f t="shared" si="45"/>
        <v/>
      </c>
      <c r="CZ36" s="304">
        <f>IF($J36="",#N/A,SUM(CY$4:CY36))</f>
        <v>0</v>
      </c>
      <c r="DA36" s="305" t="str">
        <f t="shared" si="46"/>
        <v/>
      </c>
      <c r="DB36" s="305">
        <f>IF($J36="",#N/A,SUM(DA$4:DA36))</f>
        <v>0</v>
      </c>
      <c r="DC36" s="306" t="str">
        <f t="shared" si="47"/>
        <v/>
      </c>
      <c r="DD36" s="306">
        <f>IF($J36="",#N/A,SUM(DC$4:DC36))</f>
        <v>0</v>
      </c>
      <c r="DE36" s="306">
        <f>IF($J36="",#N/A,SUM(DC$4:DC36,DA$4:DA36,CY$4:CY36))</f>
        <v>0</v>
      </c>
      <c r="DF36" s="304" t="str">
        <f t="shared" si="48"/>
        <v/>
      </c>
      <c r="DG36" s="304">
        <f>IF($J36="",#N/A,SUM(DF$4:DF36))</f>
        <v>0</v>
      </c>
      <c r="DH36" s="305" t="str">
        <f t="shared" si="49"/>
        <v/>
      </c>
      <c r="DI36" s="305">
        <f>IF($J36="",#N/A,SUM(DH$4:DH36))</f>
        <v>0</v>
      </c>
      <c r="DJ36" s="306" t="str">
        <f t="shared" si="50"/>
        <v/>
      </c>
      <c r="DK36" s="306">
        <f>IF($J36="",#N/A,SUM(DJ$4:DJ36))</f>
        <v>0</v>
      </c>
      <c r="DL36" s="306">
        <f>IF($J36="",#N/A,SUM(DJ$4:DJ36,DH$4:DH36,DF$4:DF36))</f>
        <v>0</v>
      </c>
      <c r="DM36" s="304" t="str">
        <f t="shared" si="51"/>
        <v/>
      </c>
      <c r="DN36" s="304">
        <f>IF($J36="",#N/A,SUM(DM$4:DM36))</f>
        <v>0</v>
      </c>
      <c r="DO36" s="305" t="str">
        <f t="shared" si="52"/>
        <v/>
      </c>
      <c r="DP36" s="305">
        <f>IF($J36="",#N/A,SUM(DO$4:DO36))</f>
        <v>0</v>
      </c>
      <c r="DQ36" s="306" t="str">
        <f t="shared" si="53"/>
        <v/>
      </c>
      <c r="DR36" s="306">
        <f>IF($J36="",#N/A,SUM(DQ$4:DQ36))</f>
        <v>0</v>
      </c>
      <c r="DS36" s="306">
        <f>IF($J36="",#N/A,SUM(DQ$4:DQ36,DO$4:DO36,DM$4:DM36))</f>
        <v>0</v>
      </c>
      <c r="DT36" s="304" t="str">
        <f t="shared" si="54"/>
        <v/>
      </c>
      <c r="DU36" s="304">
        <f>IF($J36="",#N/A,SUM(DT$4:DT36))</f>
        <v>0</v>
      </c>
      <c r="DV36" s="305" t="str">
        <f t="shared" si="55"/>
        <v/>
      </c>
      <c r="DW36" s="305">
        <f>IF($J36="",#N/A,SUM(DV$4:DV36))</f>
        <v>0.40085630512924314</v>
      </c>
      <c r="DX36" s="306" t="str">
        <f t="shared" si="56"/>
        <v/>
      </c>
      <c r="DY36" s="306">
        <f>IF($J36="",#N/A,SUM(DX$4:DX36))</f>
        <v>0</v>
      </c>
      <c r="DZ36" s="306">
        <f>IF($J36="",#N/A,SUM(DX$4:DX36,DV$4:DV36,DT$4:DT36))</f>
        <v>0.40085630512924314</v>
      </c>
      <c r="EA36" s="304" t="str">
        <f t="shared" si="57"/>
        <v/>
      </c>
      <c r="EB36" s="304">
        <f>IF($J36="",#N/A,SUM(EA$4:EA36))</f>
        <v>0</v>
      </c>
      <c r="EC36" s="305" t="str">
        <f t="shared" si="58"/>
        <v/>
      </c>
      <c r="ED36" s="305">
        <f>IF($J36="",#N/A,SUM(EC$4:EC36))</f>
        <v>-0.47973811942657352</v>
      </c>
      <c r="EE36" s="306" t="str">
        <f t="shared" si="59"/>
        <v/>
      </c>
      <c r="EF36" s="306">
        <f>IF($J36="",#N/A,SUM(EE$4:EE36))</f>
        <v>0</v>
      </c>
      <c r="EG36" s="306">
        <f>IF($J36="",#N/A,SUM(EE$4:EE36,EC$4:EC36,EA$4:EA36))</f>
        <v>-0.47973811942657352</v>
      </c>
      <c r="EH36" s="223">
        <f t="shared" si="60"/>
        <v>13.306950284442223</v>
      </c>
      <c r="EI36" s="224">
        <f>IF(EH36="",#N/A,SUM($EH$4:EH36))</f>
        <v>278.04411422095671</v>
      </c>
      <c r="EJ36" s="223">
        <f t="shared" si="61"/>
        <v>7.469700717289129</v>
      </c>
      <c r="EK36" s="63">
        <f>IF($GZ36="",#N/A,SUM(EJ$4:EJ36))</f>
        <v>450.71132589464361</v>
      </c>
      <c r="EL36" s="60">
        <f t="shared" si="97"/>
        <v>0.55445626185175922</v>
      </c>
      <c r="EM36" s="60">
        <f>IF(EL36="",NA(),SUM($EL$4:EL36))</f>
        <v>11.585171425873199</v>
      </c>
      <c r="EN36" s="60" t="str">
        <f t="shared" si="62"/>
        <v/>
      </c>
      <c r="EO36" s="60" t="e">
        <f>IF(EN36="",NA(),SUM($EN$4:EN36))</f>
        <v>#N/A</v>
      </c>
      <c r="EP36" s="60">
        <f t="shared" si="63"/>
        <v>0.55445626185175922</v>
      </c>
      <c r="EQ36" s="60">
        <f>IF(EP36="",NA(),SUM($EP$4:EP36))</f>
        <v>9.5421547774865285</v>
      </c>
      <c r="ER36" s="60" t="str">
        <f t="shared" si="64"/>
        <v/>
      </c>
      <c r="ES36" s="60" t="e">
        <f>IF(ER36="",NA(),SUM($ER$4:ER36))</f>
        <v>#N/A</v>
      </c>
      <c r="ET36" s="60" t="str">
        <f t="shared" si="65"/>
        <v/>
      </c>
      <c r="EU36" s="60" t="e">
        <f>IF(ET36="",NA(),SUM($ET$4:ET36))</f>
        <v>#N/A</v>
      </c>
      <c r="EV36" s="60" t="str">
        <f t="shared" si="66"/>
        <v/>
      </c>
      <c r="EW36" s="60" t="e">
        <f>IF(EV36="",NA(),SUM($EV$4:EV36))</f>
        <v>#N/A</v>
      </c>
      <c r="EX36" s="60" t="str">
        <f t="shared" si="67"/>
        <v/>
      </c>
      <c r="EY36" s="60" t="e">
        <f>IF(EX36="",NA(),SUM($EX$4:EX36))</f>
        <v>#N/A</v>
      </c>
      <c r="EZ36" s="60" t="str">
        <f t="shared" si="68"/>
        <v/>
      </c>
      <c r="FA36" s="60" t="e">
        <f>IF(EZ36="",NA(),SUM($EZ$4:EZ36))</f>
        <v>#N/A</v>
      </c>
      <c r="FB36" s="246" t="str">
        <f t="shared" si="98"/>
        <v/>
      </c>
      <c r="FC36" s="246" t="e">
        <f>IF($FB36="",#N/A,SUM(FB$4:$FB36))</f>
        <v>#N/A</v>
      </c>
      <c r="FD36" s="60" t="str">
        <f t="shared" si="69"/>
        <v/>
      </c>
      <c r="FE36" s="60" t="e">
        <f>IF($FD36="",#N/A,SUM($FD$4:FD36))</f>
        <v>#N/A</v>
      </c>
      <c r="FF36" s="60" t="str">
        <f t="shared" si="70"/>
        <v/>
      </c>
      <c r="FG36" s="60" t="e">
        <f>IF($FF36="",#N/A,SUM($FF$4:FF36))</f>
        <v>#N/A</v>
      </c>
      <c r="FH36" s="60" t="str">
        <f t="shared" si="71"/>
        <v/>
      </c>
      <c r="FI36" s="60" t="e">
        <f>IF($FH36="",#N/A,SUM($FH$4:FH36))</f>
        <v>#N/A</v>
      </c>
      <c r="FJ36" s="60">
        <f t="shared" si="72"/>
        <v>-0.24321873196471222</v>
      </c>
      <c r="FK36" s="60">
        <f>IF($FJ36="",#N/A,SUM($FJ$4:FJ36))</f>
        <v>1.9717825765534895</v>
      </c>
      <c r="FL36" s="60" t="str">
        <f t="shared" si="73"/>
        <v/>
      </c>
      <c r="FM36" s="60" t="e">
        <f>IF($FL36="",#N/A,SUM($FL$4:FL36))</f>
        <v>#N/A</v>
      </c>
      <c r="FN36" s="82">
        <f t="shared" si="74"/>
        <v>0.311237529887047</v>
      </c>
      <c r="FO36" s="82">
        <f>IF($FN36="",#N/A,SUM(FN$4:$FN36))</f>
        <v>18.779638578943487</v>
      </c>
      <c r="FP36" s="82">
        <f t="shared" si="99"/>
        <v>0.55445626185175922</v>
      </c>
      <c r="FQ36" s="246">
        <f>IF($EH36="",#N/A,SUM($FP$4:FP36))</f>
        <v>11.585171425873199</v>
      </c>
      <c r="FR36" s="82">
        <f>IFERROR(FQ36/COUNTA($J$4:J36),#N/A)</f>
        <v>0.35106580078403632</v>
      </c>
      <c r="FS36" s="99"/>
      <c r="FT36" s="82">
        <f t="shared" si="103"/>
        <v>0.10648627878827177</v>
      </c>
      <c r="FU36" s="82" t="e">
        <v>#N/A</v>
      </c>
      <c r="FV36" s="57" t="str">
        <f t="shared" si="75"/>
        <v>SW</v>
      </c>
      <c r="FW36" s="57" t="s">
        <v>2732</v>
      </c>
      <c r="FX36" s="57" t="str">
        <f t="shared" si="76"/>
        <v/>
      </c>
      <c r="FY36" s="57" t="str">
        <f t="shared" si="77"/>
        <v/>
      </c>
      <c r="FZ36" s="57">
        <f t="shared" si="78"/>
        <v>1</v>
      </c>
      <c r="GA36" s="57" t="str">
        <f t="shared" si="79"/>
        <v>Long</v>
      </c>
      <c r="GB36" s="57" t="str">
        <f t="shared" si="80"/>
        <v/>
      </c>
      <c r="GC36" s="57" t="str">
        <f t="shared" si="81"/>
        <v/>
      </c>
      <c r="GD36" s="57" t="str">
        <f t="shared" si="82"/>
        <v/>
      </c>
      <c r="GE36" s="62">
        <f t="shared" ref="GE36:GE61" si="105">I36</f>
        <v>161.72</v>
      </c>
      <c r="GF36" s="62" t="s">
        <v>2779</v>
      </c>
      <c r="GG36" s="199">
        <f t="shared" ref="GG36:GG61" si="106">400/I36</f>
        <v>2.4734108335394511</v>
      </c>
      <c r="GH36" s="207">
        <f t="shared" si="85"/>
        <v>400.00000000000006</v>
      </c>
      <c r="GI36" s="199">
        <f t="shared" ref="GI36:GI61" si="107">GG36</f>
        <v>2.4734108335394511</v>
      </c>
      <c r="GJ36" s="200">
        <f t="shared" ref="GJ36:GJ61" si="108">J36</f>
        <v>167.1</v>
      </c>
      <c r="GK36" s="63">
        <f t="shared" si="88"/>
        <v>13.306950284442223</v>
      </c>
      <c r="GL36" s="63">
        <f t="shared" ref="GL36:GL61" si="109">IF($GI36="","",IF($GF36="Long",(($GZ36*$GI36)-$GH36),($GH36-($GZ36*$GI36))))</f>
        <v>7.469700717289129</v>
      </c>
      <c r="GM36" s="82">
        <f t="shared" si="90"/>
        <v>0.311237529887047</v>
      </c>
      <c r="GN36" s="82">
        <f>IF($GZ36="",#N/A,SUM(GM$4:GM36))</f>
        <v>11.912994217259333</v>
      </c>
      <c r="GO36" s="82" t="str">
        <f t="shared" si="91"/>
        <v/>
      </c>
      <c r="GP36" s="82">
        <f>IF($GZ36="",#N/A,SUM(GO$4:GO36))</f>
        <v>3.8679032485968001</v>
      </c>
      <c r="GQ36" s="82" t="str">
        <f t="shared" si="92"/>
        <v/>
      </c>
      <c r="GR36" s="82">
        <f>IF($GZ36="",#N/A,SUM(GQ$4:GQ36))</f>
        <v>2.9987411130873514</v>
      </c>
      <c r="GS36" s="63">
        <f t="shared" si="100"/>
        <v>7.469700717289129</v>
      </c>
      <c r="GT36" s="63">
        <f>IF($GZ36="",#N/A,SUM(GS$4:GS36))</f>
        <v>285.91186121422402</v>
      </c>
      <c r="GU36" s="63" t="str">
        <f t="shared" si="101"/>
        <v/>
      </c>
      <c r="GV36" s="63">
        <f>IF($GZ36="",#N/A,SUM(GU$4:GU36))</f>
        <v>92.829677966323175</v>
      </c>
      <c r="GW36" s="62" t="str">
        <f t="shared" si="102"/>
        <v/>
      </c>
      <c r="GX36" s="63">
        <f>IF($GZ36="",#N/A,SUM(GW$4:GW36))</f>
        <v>71.969786714096415</v>
      </c>
      <c r="GY36" s="63">
        <f>IF(EJ36="",#N/A,SUM($EJ$4:EJ36))</f>
        <v>450.71132589464361</v>
      </c>
      <c r="GZ36" s="159">
        <v>164.74</v>
      </c>
      <c r="HA36" s="63">
        <f t="shared" si="93"/>
        <v>-5.8372495671530942</v>
      </c>
      <c r="HB36" s="62" t="s">
        <v>4970</v>
      </c>
      <c r="HC36" s="60">
        <f>IFERROR(VLOOKUP(E36,Expectancy!$P$4:$S$19,1+C36,FALSE),"")</f>
        <v>0.40561946259505821</v>
      </c>
      <c r="HD36" s="60" t="str">
        <f t="shared" si="94"/>
        <v/>
      </c>
      <c r="HE36" s="60" t="e">
        <f>IF(HD36="",#N/A,SUM($HD$4:HD36))</f>
        <v>#N/A</v>
      </c>
      <c r="HF36" s="64" t="e">
        <f>IF(HD36="",#N/A,IF(HB36="Skip",#N/A,SUM($HG$4:HG36)))</f>
        <v>#N/A</v>
      </c>
      <c r="HG36" s="63" t="str">
        <f t="shared" si="95"/>
        <v/>
      </c>
      <c r="HH36" s="82">
        <f t="shared" si="96"/>
        <v>0.311237529887047</v>
      </c>
    </row>
    <row r="37" spans="1:216" x14ac:dyDescent="0.25">
      <c r="A37" s="57" t="s">
        <v>1290</v>
      </c>
      <c r="B37" s="58" t="s">
        <v>5101</v>
      </c>
      <c r="C37" s="386">
        <f t="shared" si="0"/>
        <v>2</v>
      </c>
      <c r="D37" s="372" t="str">
        <f>_xlfn.XLOOKUP(A37,[1]SP500!$A$2:$A$502,[1]SP500!$D$2:$D$502,"N")</f>
        <v>Y</v>
      </c>
      <c r="E37" s="57" t="str">
        <f>_xlfn.XLOOKUP(A37,[1]SP500!$A$2:$A$655,[1]SP500!$B$2:$B$655)</f>
        <v>XLV</v>
      </c>
      <c r="F37" s="59">
        <v>45679</v>
      </c>
      <c r="G37" s="57" t="str">
        <f t="shared" si="1"/>
        <v>BMO</v>
      </c>
      <c r="H37" s="57" t="str">
        <f t="shared" si="2"/>
        <v>o</v>
      </c>
      <c r="I37" s="159">
        <v>148.15</v>
      </c>
      <c r="J37" s="158">
        <v>144</v>
      </c>
      <c r="K37" s="61">
        <f t="shared" si="3"/>
        <v>-2.8012149848126937E-2</v>
      </c>
      <c r="L37" s="87">
        <f t="shared" si="4"/>
        <v>11.204859939250753</v>
      </c>
      <c r="M37" s="63" t="str">
        <f t="shared" si="104"/>
        <v/>
      </c>
      <c r="N37" s="219" t="str">
        <f t="shared" si="6"/>
        <v/>
      </c>
      <c r="O37" s="219">
        <f>IF($J37="",#N/A,SUM($N$4:N37))</f>
        <v>40.093434508217058</v>
      </c>
      <c r="P37" s="220">
        <f t="shared" si="7"/>
        <v>11.204859939250753</v>
      </c>
      <c r="Q37" s="220">
        <f>IF($J37="",#N/A,SUM($P$4:P37))</f>
        <v>20.143824992313739</v>
      </c>
      <c r="R37" s="221" t="str">
        <f t="shared" si="8"/>
        <v/>
      </c>
      <c r="S37" s="222">
        <f>IF($J37="",#N/A,SUM($R$4:R37))</f>
        <v>229.01171465967667</v>
      </c>
      <c r="T37" s="281" t="str">
        <f t="shared" si="9"/>
        <v/>
      </c>
      <c r="U37" s="281">
        <f>IF($J37="",#N/A,SUM($T$4:T37))</f>
        <v>1.6705597711757108</v>
      </c>
      <c r="V37" s="282">
        <f t="shared" si="10"/>
        <v>0.46686916413544804</v>
      </c>
      <c r="W37" s="282">
        <f>IF($J37="",#N/A,SUM($V$4:V37))</f>
        <v>0.83932604134640565</v>
      </c>
      <c r="X37" s="283" t="str">
        <f t="shared" si="11"/>
        <v/>
      </c>
      <c r="Y37" s="283">
        <f>IF($J37="",#N/A,SUM($X$4:X37))</f>
        <v>9.5421547774865285</v>
      </c>
      <c r="Z37" s="304" t="str">
        <f t="shared" si="12"/>
        <v/>
      </c>
      <c r="AA37" s="304">
        <f>IF($J37="",#N/A,SUM(Z$4:Z37))</f>
        <v>0</v>
      </c>
      <c r="AB37" s="305" t="str">
        <f t="shared" si="13"/>
        <v/>
      </c>
      <c r="AC37" s="305">
        <f>IF($J37="",#N/A,SUM(AB$4:AB37))</f>
        <v>0</v>
      </c>
      <c r="AD37" s="306" t="str">
        <f t="shared" si="14"/>
        <v/>
      </c>
      <c r="AE37" s="306">
        <f>IF($J37="",#N/A,SUM(AD$4:AD37))</f>
        <v>1.2148148148148128</v>
      </c>
      <c r="AF37" s="306">
        <f>IF($J37="",#N/A,SUM(AD$4:AD37,AB$4:AB37,Z$4:Z37))</f>
        <v>1.2148148148148128</v>
      </c>
      <c r="AG37" s="304" t="str">
        <f t="shared" si="15"/>
        <v/>
      </c>
      <c r="AH37" s="304">
        <f>IF($J37="",#N/A,SUM(AG$4:AG37))</f>
        <v>0</v>
      </c>
      <c r="AI37" s="305" t="str">
        <f t="shared" si="16"/>
        <v/>
      </c>
      <c r="AJ37" s="305">
        <f>IF($J37="",#N/A,SUM(AI$4:AI37))</f>
        <v>0</v>
      </c>
      <c r="AK37" s="306" t="str">
        <f t="shared" si="17"/>
        <v/>
      </c>
      <c r="AL37" s="306">
        <f>IF($J37="",#N/A,SUM(AK$4:AK37))</f>
        <v>0</v>
      </c>
      <c r="AM37" s="306">
        <f>IF($J37="",#N/A,SUM(AK$4:AK37,AI$4:AI37,AG$4:AG37))</f>
        <v>0</v>
      </c>
      <c r="AN37" s="304" t="str">
        <f t="shared" si="18"/>
        <v/>
      </c>
      <c r="AO37" s="304">
        <f>IF($J37="",#N/A,SUM(AN$4:AN37))</f>
        <v>0</v>
      </c>
      <c r="AP37" s="305" t="str">
        <f t="shared" si="19"/>
        <v/>
      </c>
      <c r="AQ37" s="305">
        <f>IF($J37="",#N/A,SUM(AP$4:AP37))</f>
        <v>0</v>
      </c>
      <c r="AR37" s="306" t="str">
        <f t="shared" si="20"/>
        <v/>
      </c>
      <c r="AS37" s="306">
        <f>IF($J37="",#N/A,SUM(AR$4:AR37))</f>
        <v>0</v>
      </c>
      <c r="AT37" s="306">
        <f>IF($J37="",#N/A,SUM(AR$4:AR37,AP$4:AP37,AN$4:AN37))</f>
        <v>0</v>
      </c>
      <c r="AU37" s="304" t="str">
        <f t="shared" si="21"/>
        <v/>
      </c>
      <c r="AV37" s="304">
        <f>IF($J37="",#N/A,SUM(AU$4:AU37))</f>
        <v>0</v>
      </c>
      <c r="AW37" s="305" t="str">
        <f t="shared" si="22"/>
        <v/>
      </c>
      <c r="AX37" s="305">
        <f>IF($J37="",#N/A,SUM(AW$4:AW37))</f>
        <v>1.2290222546515868</v>
      </c>
      <c r="AY37" s="306" t="str">
        <f t="shared" si="23"/>
        <v/>
      </c>
      <c r="AZ37" s="306">
        <f>IF($J37="",#N/A,SUM(AY$4:AY37))</f>
        <v>3.0490332683593495</v>
      </c>
      <c r="BA37" s="306">
        <f>IF($J37="",#N/A,SUM(AY$4:AY37,AW$4:AW37,AU$4:AU37))</f>
        <v>4.2780555230109361</v>
      </c>
      <c r="BB37" s="304" t="str">
        <f t="shared" si="24"/>
        <v/>
      </c>
      <c r="BC37" s="304">
        <f>IF($J37="",#N/A,SUM(BB$4:BB37))</f>
        <v>0</v>
      </c>
      <c r="BD37" s="305" t="str">
        <f t="shared" si="25"/>
        <v/>
      </c>
      <c r="BE37" s="305">
        <f>IF($J37="",#N/A,SUM(BD$4:BD37))</f>
        <v>0</v>
      </c>
      <c r="BF37" s="306" t="str">
        <f t="shared" si="26"/>
        <v/>
      </c>
      <c r="BG37" s="306">
        <f>IF($J37="",#N/A,SUM(BF$4:BF37))</f>
        <v>2.4597169840247779</v>
      </c>
      <c r="BH37" s="306">
        <f>IF($J37="",#N/A,SUM(BF$4:BF37,BD$4:BD37,BB$4:BB37))</f>
        <v>2.4597169840247779</v>
      </c>
      <c r="BI37" s="304" t="str">
        <f t="shared" si="27"/>
        <v/>
      </c>
      <c r="BJ37" s="304">
        <f>IF($J37="",#N/A,SUM(BI$4:BI37))</f>
        <v>-0.63021254112582636</v>
      </c>
      <c r="BK37" s="305" t="str">
        <f t="shared" si="28"/>
        <v/>
      </c>
      <c r="BL37" s="305">
        <f>IF($J37="",#N/A,SUM(BK$4:BK37))</f>
        <v>0</v>
      </c>
      <c r="BM37" s="306" t="str">
        <f t="shared" si="29"/>
        <v/>
      </c>
      <c r="BN37" s="306">
        <f>IF($J37="",#N/A,SUM(BM$4:BM37))</f>
        <v>3.8210959759517467</v>
      </c>
      <c r="BO37" s="306">
        <f>IF($J37="",#N/A,SUM(BM$4:BM37,BK$4:BK37,BI$4:BI37))</f>
        <v>3.1908834348259205</v>
      </c>
      <c r="BP37" s="304" t="str">
        <f t="shared" si="30"/>
        <v/>
      </c>
      <c r="BQ37" s="304">
        <f>IF($J37="",#N/A,SUM(BP$4:BP37))</f>
        <v>2.3007723123015373</v>
      </c>
      <c r="BR37" s="305" t="str">
        <f t="shared" si="31"/>
        <v/>
      </c>
      <c r="BS37" s="305">
        <f>IF($J37="",#N/A,SUM(BR$4:BR37))</f>
        <v>-0.34773304801390975</v>
      </c>
      <c r="BT37" s="306" t="str">
        <f t="shared" si="32"/>
        <v/>
      </c>
      <c r="BU37" s="306">
        <f>IF($J37="",#N/A,SUM(BT$4:BT37))</f>
        <v>-1.0025062656641595</v>
      </c>
      <c r="BV37" s="306">
        <f>IF($J37="",#N/A,SUM(BT$4:BT37,BR$4:BR37,BP$4:BP37))</f>
        <v>0.95053299862346796</v>
      </c>
      <c r="BW37" s="304" t="str">
        <f t="shared" si="33"/>
        <v/>
      </c>
      <c r="BX37" s="304">
        <f>IF($J37="",#N/A,SUM(BW$4:BW37))</f>
        <v>0</v>
      </c>
      <c r="BY37" s="305">
        <f t="shared" si="34"/>
        <v>0.46686916413544804</v>
      </c>
      <c r="BZ37" s="305">
        <f>IF($J37="",#N/A,SUM(BY$4:BY37))</f>
        <v>0.46686916413544804</v>
      </c>
      <c r="CA37" s="306" t="str">
        <f t="shared" si="35"/>
        <v/>
      </c>
      <c r="CB37" s="306">
        <f>IF($J37="",#N/A,SUM(CA$4:CA37))</f>
        <v>0</v>
      </c>
      <c r="CC37" s="306">
        <f>IF($J37="",#N/A,SUM(CA$4:CA37,BY$4:BY37,BW$4:BW37))</f>
        <v>0.46686916413544804</v>
      </c>
      <c r="CD37" s="304" t="str">
        <f t="shared" si="36"/>
        <v/>
      </c>
      <c r="CE37" s="304">
        <f>IF($J37="",#N/A,SUM(CD$4:CD37))</f>
        <v>0</v>
      </c>
      <c r="CF37" s="305" t="str">
        <f t="shared" si="37"/>
        <v/>
      </c>
      <c r="CG37" s="305">
        <f>IF($J37="",#N/A,SUM(CF$4:CF37))</f>
        <v>0</v>
      </c>
      <c r="CH37" s="306" t="str">
        <f t="shared" si="38"/>
        <v/>
      </c>
      <c r="CI37" s="306">
        <f>IF($J37="",#N/A,SUM(CH$4:CH37))</f>
        <v>0</v>
      </c>
      <c r="CJ37" s="306">
        <f>IF($J37="",#N/A,SUM(CH$4:CH37,CF$4:CF37,CD$4:CD37))</f>
        <v>0</v>
      </c>
      <c r="CK37" s="304" t="str">
        <f t="shared" si="39"/>
        <v/>
      </c>
      <c r="CL37" s="304">
        <f>IF($J37="",#N/A,SUM(CK$4:CK37))</f>
        <v>0</v>
      </c>
      <c r="CM37" s="305" t="str">
        <f t="shared" si="40"/>
        <v/>
      </c>
      <c r="CN37" s="305">
        <f>IF($J37="",#N/A,SUM(CM$4:CM37))</f>
        <v>0</v>
      </c>
      <c r="CO37" s="306" t="str">
        <f t="shared" si="41"/>
        <v/>
      </c>
      <c r="CP37" s="306">
        <f>IF($J37="",#N/A,SUM(CO$4:CO37))</f>
        <v>0</v>
      </c>
      <c r="CQ37" s="306">
        <f>IF($J37="",#N/A,SUM(CO$4:CO37,CM$4:CM37,CK$4:CK37))</f>
        <v>0</v>
      </c>
      <c r="CR37" s="304" t="str">
        <f t="shared" si="42"/>
        <v/>
      </c>
      <c r="CS37" s="304">
        <f>IF($J37="",#N/A,SUM(CR$4:CR37))</f>
        <v>0</v>
      </c>
      <c r="CT37" s="305" t="str">
        <f t="shared" si="43"/>
        <v/>
      </c>
      <c r="CU37" s="305">
        <f>IF($J37="",#N/A,SUM(CT$4:CT37))</f>
        <v>-0.42995051512938903</v>
      </c>
      <c r="CV37" s="306" t="str">
        <f t="shared" si="44"/>
        <v/>
      </c>
      <c r="CW37" s="306">
        <f>IF($J37="",#N/A,SUM(CV$4:CV37))</f>
        <v>0</v>
      </c>
      <c r="CX37" s="306">
        <f>IF($J37="",#N/A,SUM(CV$4:CV37,CT$4:CT37,CR$4:CR37))</f>
        <v>-0.42995051512938903</v>
      </c>
      <c r="CY37" s="304" t="str">
        <f t="shared" si="45"/>
        <v/>
      </c>
      <c r="CZ37" s="304">
        <f>IF($J37="",#N/A,SUM(CY$4:CY37))</f>
        <v>0</v>
      </c>
      <c r="DA37" s="305" t="str">
        <f t="shared" si="46"/>
        <v/>
      </c>
      <c r="DB37" s="305">
        <f>IF($J37="",#N/A,SUM(DA$4:DA37))</f>
        <v>0</v>
      </c>
      <c r="DC37" s="306" t="str">
        <f t="shared" si="47"/>
        <v/>
      </c>
      <c r="DD37" s="306">
        <f>IF($J37="",#N/A,SUM(DC$4:DC37))</f>
        <v>0</v>
      </c>
      <c r="DE37" s="306">
        <f>IF($J37="",#N/A,SUM(DC$4:DC37,DA$4:DA37,CY$4:CY37))</f>
        <v>0</v>
      </c>
      <c r="DF37" s="304" t="str">
        <f t="shared" si="48"/>
        <v/>
      </c>
      <c r="DG37" s="304">
        <f>IF($J37="",#N/A,SUM(DF$4:DF37))</f>
        <v>0</v>
      </c>
      <c r="DH37" s="305" t="str">
        <f t="shared" si="49"/>
        <v/>
      </c>
      <c r="DI37" s="305">
        <f>IF($J37="",#N/A,SUM(DH$4:DH37))</f>
        <v>0</v>
      </c>
      <c r="DJ37" s="306" t="str">
        <f t="shared" si="50"/>
        <v/>
      </c>
      <c r="DK37" s="306">
        <f>IF($J37="",#N/A,SUM(DJ$4:DJ37))</f>
        <v>0</v>
      </c>
      <c r="DL37" s="306">
        <f>IF($J37="",#N/A,SUM(DJ$4:DJ37,DH$4:DH37,DF$4:DF37))</f>
        <v>0</v>
      </c>
      <c r="DM37" s="304" t="str">
        <f t="shared" si="51"/>
        <v/>
      </c>
      <c r="DN37" s="304">
        <f>IF($J37="",#N/A,SUM(DM$4:DM37))</f>
        <v>0</v>
      </c>
      <c r="DO37" s="305" t="str">
        <f t="shared" si="52"/>
        <v/>
      </c>
      <c r="DP37" s="305">
        <f>IF($J37="",#N/A,SUM(DO$4:DO37))</f>
        <v>0</v>
      </c>
      <c r="DQ37" s="306" t="str">
        <f t="shared" si="53"/>
        <v/>
      </c>
      <c r="DR37" s="306">
        <f>IF($J37="",#N/A,SUM(DQ$4:DQ37))</f>
        <v>0</v>
      </c>
      <c r="DS37" s="306">
        <f>IF($J37="",#N/A,SUM(DQ$4:DQ37,DO$4:DO37,DM$4:DM37))</f>
        <v>0</v>
      </c>
      <c r="DT37" s="304" t="str">
        <f t="shared" si="54"/>
        <v/>
      </c>
      <c r="DU37" s="304">
        <f>IF($J37="",#N/A,SUM(DT$4:DT37))</f>
        <v>0</v>
      </c>
      <c r="DV37" s="305" t="str">
        <f t="shared" si="55"/>
        <v/>
      </c>
      <c r="DW37" s="305">
        <f>IF($J37="",#N/A,SUM(DV$4:DV37))</f>
        <v>0.40085630512924314</v>
      </c>
      <c r="DX37" s="306" t="str">
        <f t="shared" si="56"/>
        <v/>
      </c>
      <c r="DY37" s="306">
        <f>IF($J37="",#N/A,SUM(DX$4:DX37))</f>
        <v>0</v>
      </c>
      <c r="DZ37" s="306">
        <f>IF($J37="",#N/A,SUM(DX$4:DX37,DV$4:DV37,DT$4:DT37))</f>
        <v>0.40085630512924314</v>
      </c>
      <c r="EA37" s="304" t="str">
        <f t="shared" si="57"/>
        <v/>
      </c>
      <c r="EB37" s="304">
        <f>IF($J37="",#N/A,SUM(EA$4:EA37))</f>
        <v>0</v>
      </c>
      <c r="EC37" s="305" t="str">
        <f t="shared" si="58"/>
        <v/>
      </c>
      <c r="ED37" s="305">
        <f>IF($J37="",#N/A,SUM(EC$4:EC37))</f>
        <v>-0.47973811942657352</v>
      </c>
      <c r="EE37" s="306" t="str">
        <f t="shared" si="59"/>
        <v/>
      </c>
      <c r="EF37" s="306">
        <f>IF($J37="",#N/A,SUM(EE$4:EE37))</f>
        <v>0</v>
      </c>
      <c r="EG37" s="306">
        <f>IF($J37="",#N/A,SUM(EE$4:EE37,EC$4:EC37,EA$4:EA37))</f>
        <v>-0.47973811942657352</v>
      </c>
      <c r="EH37" s="223">
        <f t="shared" si="60"/>
        <v>11.204859939250753</v>
      </c>
      <c r="EI37" s="224">
        <f>IF(EH37="",#N/A,SUM($EH$4:EH37))</f>
        <v>289.24897416020747</v>
      </c>
      <c r="EJ37" s="223">
        <f t="shared" si="61"/>
        <v>7.7759028012149543</v>
      </c>
      <c r="EK37" s="63">
        <f>IF($GZ37="",#N/A,SUM(EJ$4:EJ37))</f>
        <v>458.48722869585856</v>
      </c>
      <c r="EL37" s="60">
        <f t="shared" si="97"/>
        <v>0.46686916413544804</v>
      </c>
      <c r="EM37" s="60">
        <f>IF(EL37="",NA(),SUM($EL$4:EL37))</f>
        <v>12.052040590008646</v>
      </c>
      <c r="EN37" s="60" t="str">
        <f t="shared" si="62"/>
        <v/>
      </c>
      <c r="EO37" s="60" t="e">
        <f>IF(EN37="",NA(),SUM($EN$4:EN37))</f>
        <v>#N/A</v>
      </c>
      <c r="EP37" s="60" t="str">
        <f t="shared" si="63"/>
        <v/>
      </c>
      <c r="EQ37" s="60" t="e">
        <f>IF(EP37="",NA(),SUM($EP$4:EP37))</f>
        <v>#N/A</v>
      </c>
      <c r="ER37" s="60">
        <f t="shared" si="64"/>
        <v>0.46686916413544804</v>
      </c>
      <c r="ES37" s="60">
        <f>IF(ER37="",NA(),SUM($ER$4:ER37))</f>
        <v>0.83932604134640565</v>
      </c>
      <c r="ET37" s="60" t="str">
        <f t="shared" si="65"/>
        <v/>
      </c>
      <c r="EU37" s="60" t="e">
        <f>IF(ET37="",NA(),SUM($ET$4:ET37))</f>
        <v>#N/A</v>
      </c>
      <c r="EV37" s="60" t="str">
        <f t="shared" si="66"/>
        <v/>
      </c>
      <c r="EW37" s="60" t="e">
        <f>IF(EV37="",NA(),SUM($EV$4:EV37))</f>
        <v>#N/A</v>
      </c>
      <c r="EX37" s="60" t="str">
        <f t="shared" si="67"/>
        <v/>
      </c>
      <c r="EY37" s="60" t="e">
        <f>IF(EX37="",NA(),SUM($EX$4:EX37))</f>
        <v>#N/A</v>
      </c>
      <c r="EZ37" s="60" t="str">
        <f t="shared" si="68"/>
        <v/>
      </c>
      <c r="FA37" s="60" t="e">
        <f>IF(EZ37="",NA(),SUM($EZ$4:EZ37))</f>
        <v>#N/A</v>
      </c>
      <c r="FB37" s="246">
        <f t="shared" si="98"/>
        <v>-0.14287321408482495</v>
      </c>
      <c r="FC37" s="246">
        <f>IF($FB37="",#N/A,SUM(FB$4:$FB37))</f>
        <v>2.0820997819209928</v>
      </c>
      <c r="FD37" s="60" t="str">
        <f t="shared" si="69"/>
        <v/>
      </c>
      <c r="FE37" s="60" t="e">
        <f>IF($FD37="",#N/A,SUM($FD$4:FD37))</f>
        <v>#N/A</v>
      </c>
      <c r="FF37" s="60" t="str">
        <f t="shared" si="70"/>
        <v/>
      </c>
      <c r="FG37" s="60" t="e">
        <f>IF($FF37="",#N/A,SUM($FF$4:FF37))</f>
        <v>#N/A</v>
      </c>
      <c r="FH37" s="60" t="str">
        <f t="shared" si="71"/>
        <v/>
      </c>
      <c r="FI37" s="60" t="e">
        <f>IF($FH37="",#N/A,SUM($FH$4:FH37))</f>
        <v>#N/A</v>
      </c>
      <c r="FJ37" s="60" t="str">
        <f t="shared" si="72"/>
        <v/>
      </c>
      <c r="FK37" s="60" t="e">
        <f>IF($FJ37="",#N/A,SUM($FJ$4:FJ37))</f>
        <v>#N/A</v>
      </c>
      <c r="FL37" s="60" t="str">
        <f t="shared" si="73"/>
        <v/>
      </c>
      <c r="FM37" s="60" t="e">
        <f>IF($FL37="",#N/A,SUM($FL$4:FL37))</f>
        <v>#N/A</v>
      </c>
      <c r="FN37" s="82">
        <f t="shared" si="74"/>
        <v>0.32399595005062309</v>
      </c>
      <c r="FO37" s="82">
        <f>IF($FN37="",#N/A,SUM(FN$4:$FN37))</f>
        <v>19.10363452899411</v>
      </c>
      <c r="FP37" s="82">
        <f t="shared" si="99"/>
        <v>0.46686916413544804</v>
      </c>
      <c r="FQ37" s="246">
        <f>IF($EH37="",#N/A,SUM($FP$4:FP37))</f>
        <v>12.052040590008646</v>
      </c>
      <c r="FR37" s="82">
        <f>IFERROR(FQ37/COUNTA($J$4:J37),#N/A)</f>
        <v>0.35447178205907781</v>
      </c>
      <c r="FS37" s="99"/>
      <c r="FT37" s="82">
        <f t="shared" si="103"/>
        <v>0.10912679314851992</v>
      </c>
      <c r="FU37" s="82" t="e">
        <v>#N/A</v>
      </c>
      <c r="FV37" s="57" t="str">
        <f t="shared" si="75"/>
        <v>Dwn</v>
      </c>
      <c r="FW37" s="57" t="s">
        <v>2733</v>
      </c>
      <c r="FX37" s="57" t="str">
        <f t="shared" si="76"/>
        <v/>
      </c>
      <c r="FY37" s="57" t="str">
        <f t="shared" si="77"/>
        <v/>
      </c>
      <c r="FZ37" s="57" t="str">
        <f t="shared" si="78"/>
        <v/>
      </c>
      <c r="GA37" s="57" t="str">
        <f t="shared" si="79"/>
        <v>Short</v>
      </c>
      <c r="GB37" s="57">
        <f t="shared" si="80"/>
        <v>1</v>
      </c>
      <c r="GC37" s="57" t="str">
        <f t="shared" si="81"/>
        <v/>
      </c>
      <c r="GD37" s="57" t="str">
        <f t="shared" si="82"/>
        <v/>
      </c>
      <c r="GE37" s="62">
        <f t="shared" si="105"/>
        <v>148.15</v>
      </c>
      <c r="GF37" s="62" t="s">
        <v>2780</v>
      </c>
      <c r="GG37" s="199">
        <f t="shared" si="106"/>
        <v>2.6999662504218698</v>
      </c>
      <c r="GH37" s="207">
        <f t="shared" si="85"/>
        <v>400</v>
      </c>
      <c r="GI37" s="199">
        <f t="shared" si="107"/>
        <v>2.6999662504218698</v>
      </c>
      <c r="GJ37" s="200">
        <f t="shared" si="108"/>
        <v>144</v>
      </c>
      <c r="GK37" s="63">
        <f t="shared" si="88"/>
        <v>11.204859939250753</v>
      </c>
      <c r="GL37" s="63">
        <f t="shared" si="109"/>
        <v>7.7759028012149543</v>
      </c>
      <c r="GM37" s="82" t="str">
        <f t="shared" si="90"/>
        <v/>
      </c>
      <c r="GN37" s="82">
        <f>IF($GZ37="",#N/A,SUM(GM$4:GM37))</f>
        <v>11.912994217259333</v>
      </c>
      <c r="GO37" s="82" t="str">
        <f t="shared" si="91"/>
        <v/>
      </c>
      <c r="GP37" s="82">
        <f>IF($GZ37="",#N/A,SUM(GO$4:GO37))</f>
        <v>3.8679032485968001</v>
      </c>
      <c r="GQ37" s="82">
        <f t="shared" si="92"/>
        <v>0.32399595005062309</v>
      </c>
      <c r="GR37" s="82">
        <f>IF($GZ37="",#N/A,SUM(GQ$4:GQ37))</f>
        <v>3.3227370631379745</v>
      </c>
      <c r="GS37" s="63" t="str">
        <f t="shared" si="100"/>
        <v/>
      </c>
      <c r="GT37" s="63">
        <f>IF($GZ37="",#N/A,SUM(GS$4:GS37))</f>
        <v>285.91186121422402</v>
      </c>
      <c r="GU37" s="63" t="str">
        <f t="shared" si="101"/>
        <v/>
      </c>
      <c r="GV37" s="63">
        <f>IF($GZ37="",#N/A,SUM(GU$4:GU37))</f>
        <v>92.829677966323175</v>
      </c>
      <c r="GW37" s="62">
        <f t="shared" si="102"/>
        <v>7.7759028012149543</v>
      </c>
      <c r="GX37" s="63">
        <f>IF($GZ37="",#N/A,SUM(GW$4:GW37))</f>
        <v>79.745689515311369</v>
      </c>
      <c r="GY37" s="63">
        <f>IF(EJ37="",#N/A,SUM($EJ$4:EJ37))</f>
        <v>458.48722869585856</v>
      </c>
      <c r="GZ37" s="159">
        <v>145.27000000000001</v>
      </c>
      <c r="HA37" s="63">
        <f t="shared" si="93"/>
        <v>-3.4289571380357984</v>
      </c>
      <c r="HB37" s="62" t="s">
        <v>4970</v>
      </c>
      <c r="HC37" s="60">
        <f>IFERROR(VLOOKUP(E37,Expectancy!$P$4:$S$19,1+C37,FALSE),"")</f>
        <v>0.18997806194873415</v>
      </c>
      <c r="HD37" s="60" t="str">
        <f t="shared" si="94"/>
        <v/>
      </c>
      <c r="HE37" s="60" t="e">
        <f>IF(HD37="",#N/A,SUM($HD$4:HD37))</f>
        <v>#N/A</v>
      </c>
      <c r="HF37" s="64" t="e">
        <f>IF(HD37="",#N/A,IF(HB37="Skip",#N/A,SUM($HG$4:HG37)))</f>
        <v>#N/A</v>
      </c>
      <c r="HG37" s="63" t="str">
        <f t="shared" si="95"/>
        <v/>
      </c>
      <c r="HH37" s="82">
        <f t="shared" si="96"/>
        <v>0.32399595005062309</v>
      </c>
    </row>
    <row r="38" spans="1:216" x14ac:dyDescent="0.25">
      <c r="A38" s="57" t="s">
        <v>1307</v>
      </c>
      <c r="B38" s="58" t="s">
        <v>5100</v>
      </c>
      <c r="C38" s="386">
        <f t="shared" si="0"/>
        <v>3</v>
      </c>
      <c r="D38" s="372" t="str">
        <f>_xlfn.XLOOKUP(A38,[1]SP500!$A$2:$A$502,[1]SP500!$D$2:$D$502,"N")</f>
        <v>Y</v>
      </c>
      <c r="E38" s="57" t="str">
        <f>_xlfn.XLOOKUP(A38,[1]SP500!$A$2:$A$655,[1]SP500!$B$2:$B$655)</f>
        <v>XLV</v>
      </c>
      <c r="F38" s="59">
        <v>45679</v>
      </c>
      <c r="G38" s="57" t="str">
        <f t="shared" si="1"/>
        <v>BMO</v>
      </c>
      <c r="H38" s="57" t="str">
        <f t="shared" si="2"/>
        <v>o</v>
      </c>
      <c r="I38" s="159">
        <v>116.79</v>
      </c>
      <c r="J38" s="159">
        <v>114.13</v>
      </c>
      <c r="K38" s="61">
        <f t="shared" si="3"/>
        <v>-2.2775922596112771E-2</v>
      </c>
      <c r="L38" s="87">
        <f t="shared" si="4"/>
        <v>-9.1103690384451284</v>
      </c>
      <c r="M38" s="63" t="str">
        <f t="shared" si="104"/>
        <v/>
      </c>
      <c r="N38" s="219" t="str">
        <f t="shared" si="6"/>
        <v/>
      </c>
      <c r="O38" s="219">
        <f>IF($J38="",#N/A,SUM($N$4:N38))</f>
        <v>40.093434508217058</v>
      </c>
      <c r="P38" s="220" t="str">
        <f t="shared" si="7"/>
        <v/>
      </c>
      <c r="Q38" s="220">
        <f>IF($J38="",#N/A,SUM($P$4:P38))</f>
        <v>20.143824992313739</v>
      </c>
      <c r="R38" s="221">
        <f t="shared" si="8"/>
        <v>-9.1103690384451284</v>
      </c>
      <c r="S38" s="222">
        <f>IF($J38="",#N/A,SUM($R$4:R38))</f>
        <v>219.90134562123154</v>
      </c>
      <c r="T38" s="281" t="str">
        <f t="shared" si="9"/>
        <v/>
      </c>
      <c r="U38" s="281">
        <f>IF($J38="",#N/A,SUM($T$4:T38))</f>
        <v>1.6705597711757108</v>
      </c>
      <c r="V38" s="282" t="str">
        <f t="shared" si="10"/>
        <v/>
      </c>
      <c r="W38" s="282">
        <f>IF($J38="",#N/A,SUM($V$4:V38))</f>
        <v>0.83932604134640565</v>
      </c>
      <c r="X38" s="283">
        <f t="shared" si="11"/>
        <v>-0.37959870993521366</v>
      </c>
      <c r="Y38" s="283">
        <f>IF($J38="",#N/A,SUM($X$4:X38))</f>
        <v>9.1625560675513142</v>
      </c>
      <c r="Z38" s="304" t="str">
        <f t="shared" si="12"/>
        <v/>
      </c>
      <c r="AA38" s="304">
        <f>IF($J38="",#N/A,SUM(Z$4:Z38))</f>
        <v>0</v>
      </c>
      <c r="AB38" s="305" t="str">
        <f t="shared" si="13"/>
        <v/>
      </c>
      <c r="AC38" s="305">
        <f>IF($J38="",#N/A,SUM(AB$4:AB38))</f>
        <v>0</v>
      </c>
      <c r="AD38" s="306" t="str">
        <f t="shared" si="14"/>
        <v/>
      </c>
      <c r="AE38" s="306">
        <f>IF($J38="",#N/A,SUM(AD$4:AD38))</f>
        <v>1.2148148148148128</v>
      </c>
      <c r="AF38" s="306">
        <f>IF($J38="",#N/A,SUM(AD$4:AD38,AB$4:AB38,Z$4:Z38))</f>
        <v>1.2148148148148128</v>
      </c>
      <c r="AG38" s="304" t="str">
        <f t="shared" si="15"/>
        <v/>
      </c>
      <c r="AH38" s="304">
        <f>IF($J38="",#N/A,SUM(AG$4:AG38))</f>
        <v>0</v>
      </c>
      <c r="AI38" s="305" t="str">
        <f t="shared" si="16"/>
        <v/>
      </c>
      <c r="AJ38" s="305">
        <f>IF($J38="",#N/A,SUM(AI$4:AI38))</f>
        <v>0</v>
      </c>
      <c r="AK38" s="306" t="str">
        <f t="shared" si="17"/>
        <v/>
      </c>
      <c r="AL38" s="306">
        <f>IF($J38="",#N/A,SUM(AK$4:AK38))</f>
        <v>0</v>
      </c>
      <c r="AM38" s="306">
        <f>IF($J38="",#N/A,SUM(AK$4:AK38,AI$4:AI38,AG$4:AG38))</f>
        <v>0</v>
      </c>
      <c r="AN38" s="304" t="str">
        <f t="shared" si="18"/>
        <v/>
      </c>
      <c r="AO38" s="304">
        <f>IF($J38="",#N/A,SUM(AN$4:AN38))</f>
        <v>0</v>
      </c>
      <c r="AP38" s="305" t="str">
        <f t="shared" si="19"/>
        <v/>
      </c>
      <c r="AQ38" s="305">
        <f>IF($J38="",#N/A,SUM(AP$4:AP38))</f>
        <v>0</v>
      </c>
      <c r="AR38" s="306" t="str">
        <f t="shared" si="20"/>
        <v/>
      </c>
      <c r="AS38" s="306">
        <f>IF($J38="",#N/A,SUM(AR$4:AR38))</f>
        <v>0</v>
      </c>
      <c r="AT38" s="306">
        <f>IF($J38="",#N/A,SUM(AR$4:AR38,AP$4:AP38,AN$4:AN38))</f>
        <v>0</v>
      </c>
      <c r="AU38" s="304" t="str">
        <f t="shared" si="21"/>
        <v/>
      </c>
      <c r="AV38" s="304">
        <f>IF($J38="",#N/A,SUM(AU$4:AU38))</f>
        <v>0</v>
      </c>
      <c r="AW38" s="305" t="str">
        <f t="shared" si="22"/>
        <v/>
      </c>
      <c r="AX38" s="305">
        <f>IF($J38="",#N/A,SUM(AW$4:AW38))</f>
        <v>1.2290222546515868</v>
      </c>
      <c r="AY38" s="306" t="str">
        <f t="shared" si="23"/>
        <v/>
      </c>
      <c r="AZ38" s="306">
        <f>IF($J38="",#N/A,SUM(AY$4:AY38))</f>
        <v>3.0490332683593495</v>
      </c>
      <c r="BA38" s="306">
        <f>IF($J38="",#N/A,SUM(AY$4:AY38,AW$4:AW38,AU$4:AU38))</f>
        <v>4.2780555230109361</v>
      </c>
      <c r="BB38" s="304" t="str">
        <f t="shared" si="24"/>
        <v/>
      </c>
      <c r="BC38" s="304">
        <f>IF($J38="",#N/A,SUM(BB$4:BB38))</f>
        <v>0</v>
      </c>
      <c r="BD38" s="305" t="str">
        <f t="shared" si="25"/>
        <v/>
      </c>
      <c r="BE38" s="305">
        <f>IF($J38="",#N/A,SUM(BD$4:BD38))</f>
        <v>0</v>
      </c>
      <c r="BF38" s="306" t="str">
        <f t="shared" si="26"/>
        <v/>
      </c>
      <c r="BG38" s="306">
        <f>IF($J38="",#N/A,SUM(BF$4:BF38))</f>
        <v>2.4597169840247779</v>
      </c>
      <c r="BH38" s="306">
        <f>IF($J38="",#N/A,SUM(BF$4:BF38,BD$4:BD38,BB$4:BB38))</f>
        <v>2.4597169840247779</v>
      </c>
      <c r="BI38" s="304" t="str">
        <f t="shared" si="27"/>
        <v/>
      </c>
      <c r="BJ38" s="304">
        <f>IF($J38="",#N/A,SUM(BI$4:BI38))</f>
        <v>-0.63021254112582636</v>
      </c>
      <c r="BK38" s="305" t="str">
        <f t="shared" si="28"/>
        <v/>
      </c>
      <c r="BL38" s="305">
        <f>IF($J38="",#N/A,SUM(BK$4:BK38))</f>
        <v>0</v>
      </c>
      <c r="BM38" s="306" t="str">
        <f t="shared" si="29"/>
        <v/>
      </c>
      <c r="BN38" s="306">
        <f>IF($J38="",#N/A,SUM(BM$4:BM38))</f>
        <v>3.8210959759517467</v>
      </c>
      <c r="BO38" s="306">
        <f>IF($J38="",#N/A,SUM(BM$4:BM38,BK$4:BK38,BI$4:BI38))</f>
        <v>3.1908834348259205</v>
      </c>
      <c r="BP38" s="304" t="str">
        <f t="shared" si="30"/>
        <v/>
      </c>
      <c r="BQ38" s="304">
        <f>IF($J38="",#N/A,SUM(BP$4:BP38))</f>
        <v>2.3007723123015373</v>
      </c>
      <c r="BR38" s="305" t="str">
        <f t="shared" si="31"/>
        <v/>
      </c>
      <c r="BS38" s="305">
        <f>IF($J38="",#N/A,SUM(BR$4:BR38))</f>
        <v>-0.34773304801390975</v>
      </c>
      <c r="BT38" s="306" t="str">
        <f t="shared" si="32"/>
        <v/>
      </c>
      <c r="BU38" s="306">
        <f>IF($J38="",#N/A,SUM(BT$4:BT38))</f>
        <v>-1.0025062656641595</v>
      </c>
      <c r="BV38" s="306">
        <f>IF($J38="",#N/A,SUM(BT$4:BT38,BR$4:BR38,BP$4:BP38))</f>
        <v>0.95053299862346796</v>
      </c>
      <c r="BW38" s="304" t="str">
        <f t="shared" si="33"/>
        <v/>
      </c>
      <c r="BX38" s="304">
        <f>IF($J38="",#N/A,SUM(BW$4:BW38))</f>
        <v>0</v>
      </c>
      <c r="BY38" s="305" t="str">
        <f t="shared" si="34"/>
        <v/>
      </c>
      <c r="BZ38" s="305">
        <f>IF($J38="",#N/A,SUM(BY$4:BY38))</f>
        <v>0.46686916413544804</v>
      </c>
      <c r="CA38" s="306">
        <f t="shared" si="35"/>
        <v>-0.37959870993521366</v>
      </c>
      <c r="CB38" s="306">
        <f>IF($J38="",#N/A,SUM(CA$4:CA38))</f>
        <v>-0.37959870993521366</v>
      </c>
      <c r="CC38" s="306">
        <f>IF($J38="",#N/A,SUM(CA$4:CA38,BY$4:BY38,BW$4:BW38))</f>
        <v>8.7270454200234382E-2</v>
      </c>
      <c r="CD38" s="304" t="str">
        <f t="shared" si="36"/>
        <v/>
      </c>
      <c r="CE38" s="304">
        <f>IF($J38="",#N/A,SUM(CD$4:CD38))</f>
        <v>0</v>
      </c>
      <c r="CF38" s="305" t="str">
        <f t="shared" si="37"/>
        <v/>
      </c>
      <c r="CG38" s="305">
        <f>IF($J38="",#N/A,SUM(CF$4:CF38))</f>
        <v>0</v>
      </c>
      <c r="CH38" s="306" t="str">
        <f t="shared" si="38"/>
        <v/>
      </c>
      <c r="CI38" s="306">
        <f>IF($J38="",#N/A,SUM(CH$4:CH38))</f>
        <v>0</v>
      </c>
      <c r="CJ38" s="306">
        <f>IF($J38="",#N/A,SUM(CH$4:CH38,CF$4:CF38,CD$4:CD38))</f>
        <v>0</v>
      </c>
      <c r="CK38" s="304" t="str">
        <f t="shared" si="39"/>
        <v/>
      </c>
      <c r="CL38" s="304">
        <f>IF($J38="",#N/A,SUM(CK$4:CK38))</f>
        <v>0</v>
      </c>
      <c r="CM38" s="305" t="str">
        <f t="shared" si="40"/>
        <v/>
      </c>
      <c r="CN38" s="305">
        <f>IF($J38="",#N/A,SUM(CM$4:CM38))</f>
        <v>0</v>
      </c>
      <c r="CO38" s="306" t="str">
        <f t="shared" si="41"/>
        <v/>
      </c>
      <c r="CP38" s="306">
        <f>IF($J38="",#N/A,SUM(CO$4:CO38))</f>
        <v>0</v>
      </c>
      <c r="CQ38" s="306">
        <f>IF($J38="",#N/A,SUM(CO$4:CO38,CM$4:CM38,CK$4:CK38))</f>
        <v>0</v>
      </c>
      <c r="CR38" s="304" t="str">
        <f t="shared" si="42"/>
        <v/>
      </c>
      <c r="CS38" s="304">
        <f>IF($J38="",#N/A,SUM(CR$4:CR38))</f>
        <v>0</v>
      </c>
      <c r="CT38" s="305" t="str">
        <f t="shared" si="43"/>
        <v/>
      </c>
      <c r="CU38" s="305">
        <f>IF($J38="",#N/A,SUM(CT$4:CT38))</f>
        <v>-0.42995051512938903</v>
      </c>
      <c r="CV38" s="306" t="str">
        <f t="shared" si="44"/>
        <v/>
      </c>
      <c r="CW38" s="306">
        <f>IF($J38="",#N/A,SUM(CV$4:CV38))</f>
        <v>0</v>
      </c>
      <c r="CX38" s="306">
        <f>IF($J38="",#N/A,SUM(CV$4:CV38,CT$4:CT38,CR$4:CR38))</f>
        <v>-0.42995051512938903</v>
      </c>
      <c r="CY38" s="304" t="str">
        <f t="shared" si="45"/>
        <v/>
      </c>
      <c r="CZ38" s="304">
        <f>IF($J38="",#N/A,SUM(CY$4:CY38))</f>
        <v>0</v>
      </c>
      <c r="DA38" s="305" t="str">
        <f t="shared" si="46"/>
        <v/>
      </c>
      <c r="DB38" s="305">
        <f>IF($J38="",#N/A,SUM(DA$4:DA38))</f>
        <v>0</v>
      </c>
      <c r="DC38" s="306" t="str">
        <f t="shared" si="47"/>
        <v/>
      </c>
      <c r="DD38" s="306">
        <f>IF($J38="",#N/A,SUM(DC$4:DC38))</f>
        <v>0</v>
      </c>
      <c r="DE38" s="306">
        <f>IF($J38="",#N/A,SUM(DC$4:DC38,DA$4:DA38,CY$4:CY38))</f>
        <v>0</v>
      </c>
      <c r="DF38" s="304" t="str">
        <f t="shared" si="48"/>
        <v/>
      </c>
      <c r="DG38" s="304">
        <f>IF($J38="",#N/A,SUM(DF$4:DF38))</f>
        <v>0</v>
      </c>
      <c r="DH38" s="305" t="str">
        <f t="shared" si="49"/>
        <v/>
      </c>
      <c r="DI38" s="305">
        <f>IF($J38="",#N/A,SUM(DH$4:DH38))</f>
        <v>0</v>
      </c>
      <c r="DJ38" s="306" t="str">
        <f t="shared" si="50"/>
        <v/>
      </c>
      <c r="DK38" s="306">
        <f>IF($J38="",#N/A,SUM(DJ$4:DJ38))</f>
        <v>0</v>
      </c>
      <c r="DL38" s="306">
        <f>IF($J38="",#N/A,SUM(DJ$4:DJ38,DH$4:DH38,DF$4:DF38))</f>
        <v>0</v>
      </c>
      <c r="DM38" s="304" t="str">
        <f t="shared" si="51"/>
        <v/>
      </c>
      <c r="DN38" s="304">
        <f>IF($J38="",#N/A,SUM(DM$4:DM38))</f>
        <v>0</v>
      </c>
      <c r="DO38" s="305" t="str">
        <f t="shared" si="52"/>
        <v/>
      </c>
      <c r="DP38" s="305">
        <f>IF($J38="",#N/A,SUM(DO$4:DO38))</f>
        <v>0</v>
      </c>
      <c r="DQ38" s="306" t="str">
        <f t="shared" si="53"/>
        <v/>
      </c>
      <c r="DR38" s="306">
        <f>IF($J38="",#N/A,SUM(DQ$4:DQ38))</f>
        <v>0</v>
      </c>
      <c r="DS38" s="306">
        <f>IF($J38="",#N/A,SUM(DQ$4:DQ38,DO$4:DO38,DM$4:DM38))</f>
        <v>0</v>
      </c>
      <c r="DT38" s="304" t="str">
        <f t="shared" si="54"/>
        <v/>
      </c>
      <c r="DU38" s="304">
        <f>IF($J38="",#N/A,SUM(DT$4:DT38))</f>
        <v>0</v>
      </c>
      <c r="DV38" s="305" t="str">
        <f t="shared" si="55"/>
        <v/>
      </c>
      <c r="DW38" s="305">
        <f>IF($J38="",#N/A,SUM(DV$4:DV38))</f>
        <v>0.40085630512924314</v>
      </c>
      <c r="DX38" s="306" t="str">
        <f t="shared" si="56"/>
        <v/>
      </c>
      <c r="DY38" s="306">
        <f>IF($J38="",#N/A,SUM(DX$4:DX38))</f>
        <v>0</v>
      </c>
      <c r="DZ38" s="306">
        <f>IF($J38="",#N/A,SUM(DX$4:DX38,DV$4:DV38,DT$4:DT38))</f>
        <v>0.40085630512924314</v>
      </c>
      <c r="EA38" s="304" t="str">
        <f t="shared" si="57"/>
        <v/>
      </c>
      <c r="EB38" s="304">
        <f>IF($J38="",#N/A,SUM(EA$4:EA38))</f>
        <v>0</v>
      </c>
      <c r="EC38" s="305" t="str">
        <f t="shared" si="58"/>
        <v/>
      </c>
      <c r="ED38" s="305">
        <f>IF($J38="",#N/A,SUM(EC$4:EC38))</f>
        <v>-0.47973811942657352</v>
      </c>
      <c r="EE38" s="306" t="str">
        <f t="shared" si="59"/>
        <v/>
      </c>
      <c r="EF38" s="306">
        <f>IF($J38="",#N/A,SUM(EE$4:EE38))</f>
        <v>0</v>
      </c>
      <c r="EG38" s="306">
        <f>IF($J38="",#N/A,SUM(EE$4:EE38,EC$4:EC38,EA$4:EA38))</f>
        <v>-0.47973811942657352</v>
      </c>
      <c r="EH38" s="223">
        <f t="shared" si="60"/>
        <v>-9.1103690384451284</v>
      </c>
      <c r="EI38" s="224">
        <f>IF(EH38="",#N/A,SUM($EH$4:EH38))</f>
        <v>280.13860512176234</v>
      </c>
      <c r="EJ38" s="223">
        <f t="shared" si="61"/>
        <v>3.3907012586693668</v>
      </c>
      <c r="EK38" s="63">
        <f>IF($GZ38="",#N/A,SUM(EJ$4:EJ38))</f>
        <v>461.87792995452793</v>
      </c>
      <c r="EL38" s="60">
        <f t="shared" si="97"/>
        <v>-0.37959870993521366</v>
      </c>
      <c r="EM38" s="60">
        <f>IF(EL38="",NA(),SUM($EL$4:EL38))</f>
        <v>11.672441880073432</v>
      </c>
      <c r="EN38" s="60" t="str">
        <f t="shared" si="62"/>
        <v/>
      </c>
      <c r="EO38" s="60" t="e">
        <f>IF(EN38="",NA(),SUM($EN$4:EN38))</f>
        <v>#N/A</v>
      </c>
      <c r="EP38" s="60">
        <f t="shared" si="63"/>
        <v>-0.37959870993521366</v>
      </c>
      <c r="EQ38" s="60">
        <f>IF(EP38="",NA(),SUM($EP$4:EP38))</f>
        <v>9.1625560675513142</v>
      </c>
      <c r="ER38" s="60" t="str">
        <f t="shared" si="64"/>
        <v/>
      </c>
      <c r="ES38" s="60" t="e">
        <f>IF(ER38="",NA(),SUM($ER$4:ER38))</f>
        <v>#N/A</v>
      </c>
      <c r="ET38" s="60" t="str">
        <f t="shared" si="65"/>
        <v/>
      </c>
      <c r="EU38" s="60" t="e">
        <f>IF(ET38="",NA(),SUM($ET$4:ET38))</f>
        <v>#N/A</v>
      </c>
      <c r="EV38" s="60" t="str">
        <f t="shared" si="66"/>
        <v/>
      </c>
      <c r="EW38" s="60" t="e">
        <f>IF(EV38="",NA(),SUM($EV$4:EV38))</f>
        <v>#N/A</v>
      </c>
      <c r="EX38" s="60" t="str">
        <f t="shared" si="67"/>
        <v/>
      </c>
      <c r="EY38" s="60" t="e">
        <f>IF(EX38="",NA(),SUM($EX$4:EX38))</f>
        <v>#N/A</v>
      </c>
      <c r="EZ38" s="60" t="str">
        <f t="shared" si="68"/>
        <v/>
      </c>
      <c r="FA38" s="60" t="e">
        <f>IF(EZ38="",NA(),SUM($EZ$4:EZ38))</f>
        <v>#N/A</v>
      </c>
      <c r="FB38" s="246" t="str">
        <f t="shared" si="98"/>
        <v/>
      </c>
      <c r="FC38" s="246" t="e">
        <f>IF($FB38="",#N/A,SUM(FB$4:$FB38))</f>
        <v>#N/A</v>
      </c>
      <c r="FD38" s="60" t="str">
        <f t="shared" si="69"/>
        <v/>
      </c>
      <c r="FE38" s="60" t="e">
        <f>IF($FD38="",#N/A,SUM($FD$4:FD38))</f>
        <v>#N/A</v>
      </c>
      <c r="FF38" s="60" t="str">
        <f t="shared" si="70"/>
        <v/>
      </c>
      <c r="FG38" s="60" t="e">
        <f>IF($FF38="",#N/A,SUM($FF$4:FF38))</f>
        <v>#N/A</v>
      </c>
      <c r="FH38" s="60" t="str">
        <f t="shared" si="71"/>
        <v/>
      </c>
      <c r="FI38" s="60" t="e">
        <f>IF($FH38="",#N/A,SUM($FH$4:FH38))</f>
        <v>#N/A</v>
      </c>
      <c r="FJ38" s="60" t="str">
        <f t="shared" si="72"/>
        <v/>
      </c>
      <c r="FK38" s="60" t="e">
        <f>IF($FJ38="",#N/A,SUM($FJ$4:FJ38))</f>
        <v>#N/A</v>
      </c>
      <c r="FL38" s="60">
        <f t="shared" si="73"/>
        <v>0.52087792904643726</v>
      </c>
      <c r="FM38" s="60">
        <f>IF($FL38="",#N/A,SUM($FL$4:FL38))</f>
        <v>0.91993479226575436</v>
      </c>
      <c r="FN38" s="82">
        <f t="shared" si="74"/>
        <v>0.14127921911122363</v>
      </c>
      <c r="FO38" s="82">
        <f>IF($FN38="",#N/A,SUM(FN$4:$FN38))</f>
        <v>19.244913748105333</v>
      </c>
      <c r="FP38" s="82">
        <f t="shared" si="99"/>
        <v>-0.37959870993521366</v>
      </c>
      <c r="FQ38" s="246">
        <f>IF($EH38="",#N/A,SUM($FP$4:FP38))</f>
        <v>11.672441880073432</v>
      </c>
      <c r="FR38" s="82">
        <f>IFERROR(FQ38/COUNTA($J$4:J38),#N/A)</f>
        <v>0.33349833943066948</v>
      </c>
      <c r="FS38" s="99"/>
      <c r="FT38" s="82">
        <f t="shared" si="103"/>
        <v>9.5358272918131842E-2</v>
      </c>
      <c r="FU38" s="82" t="e">
        <v>#N/A</v>
      </c>
      <c r="FV38" s="57" t="str">
        <f t="shared" si="75"/>
        <v>SW</v>
      </c>
      <c r="FW38" s="57" t="s">
        <v>2732</v>
      </c>
      <c r="FX38" s="57" t="str">
        <f t="shared" si="76"/>
        <v/>
      </c>
      <c r="FY38" s="57" t="str">
        <f t="shared" si="77"/>
        <v/>
      </c>
      <c r="FZ38" s="57" t="str">
        <f t="shared" si="78"/>
        <v/>
      </c>
      <c r="GA38" s="57" t="str">
        <f t="shared" si="79"/>
        <v>Long</v>
      </c>
      <c r="GB38" s="57" t="str">
        <f t="shared" si="80"/>
        <v/>
      </c>
      <c r="GC38" s="57" t="str">
        <f t="shared" si="81"/>
        <v/>
      </c>
      <c r="GD38" s="57">
        <f t="shared" si="82"/>
        <v>1</v>
      </c>
      <c r="GE38" s="62">
        <f t="shared" si="105"/>
        <v>116.79</v>
      </c>
      <c r="GF38" s="62" t="s">
        <v>2779</v>
      </c>
      <c r="GG38" s="199">
        <f t="shared" si="106"/>
        <v>3.4249507663327337</v>
      </c>
      <c r="GH38" s="207">
        <f t="shared" si="85"/>
        <v>400</v>
      </c>
      <c r="GI38" s="199">
        <f t="shared" si="107"/>
        <v>3.4249507663327337</v>
      </c>
      <c r="GJ38" s="200">
        <f t="shared" si="108"/>
        <v>114.13</v>
      </c>
      <c r="GK38" s="63">
        <f t="shared" si="88"/>
        <v>-9.1103690384451284</v>
      </c>
      <c r="GL38" s="63">
        <f t="shared" si="109"/>
        <v>3.3907012586693668</v>
      </c>
      <c r="GM38" s="82">
        <f t="shared" si="90"/>
        <v>0.14127921911122363</v>
      </c>
      <c r="GN38" s="82">
        <f>IF($GZ38="",#N/A,SUM(GM$4:GM38))</f>
        <v>12.054273436370558</v>
      </c>
      <c r="GO38" s="82" t="str">
        <f t="shared" si="91"/>
        <v/>
      </c>
      <c r="GP38" s="82">
        <f>IF($GZ38="",#N/A,SUM(GO$4:GO38))</f>
        <v>3.8679032485968001</v>
      </c>
      <c r="GQ38" s="82" t="str">
        <f t="shared" si="92"/>
        <v/>
      </c>
      <c r="GR38" s="82">
        <f>IF($GZ38="",#N/A,SUM(GQ$4:GQ38))</f>
        <v>3.3227370631379745</v>
      </c>
      <c r="GS38" s="63">
        <f t="shared" si="100"/>
        <v>3.3907012586693668</v>
      </c>
      <c r="GT38" s="63">
        <f>IF($GZ38="",#N/A,SUM(GS$4:GS38))</f>
        <v>289.30256247289338</v>
      </c>
      <c r="GU38" s="63" t="str">
        <f t="shared" si="101"/>
        <v/>
      </c>
      <c r="GV38" s="63">
        <f>IF($GZ38="",#N/A,SUM(GU$4:GU38))</f>
        <v>92.829677966323175</v>
      </c>
      <c r="GW38" s="62" t="str">
        <f t="shared" si="102"/>
        <v/>
      </c>
      <c r="GX38" s="63">
        <f>IF($GZ38="",#N/A,SUM(GW$4:GW38))</f>
        <v>79.745689515311369</v>
      </c>
      <c r="GY38" s="63">
        <f>IF(EJ38="",#N/A,SUM($EJ$4:EJ38))</f>
        <v>461.87792995452793</v>
      </c>
      <c r="GZ38" s="159">
        <v>117.78</v>
      </c>
      <c r="HA38" s="63">
        <f t="shared" si="93"/>
        <v>12.501070297114495</v>
      </c>
      <c r="HB38" s="62" t="s">
        <v>4970</v>
      </c>
      <c r="HC38" s="60">
        <f>IFERROR(VLOOKUP(E38,Expectancy!$P$4:$S$19,1+C38,FALSE),"")</f>
        <v>-0.15084750675779673</v>
      </c>
      <c r="HD38" s="60" t="str">
        <f t="shared" si="94"/>
        <v/>
      </c>
      <c r="HE38" s="60" t="e">
        <f>IF(HD38="",#N/A,SUM($HD$4:HD38))</f>
        <v>#N/A</v>
      </c>
      <c r="HF38" s="64" t="e">
        <f>IF(HD38="",#N/A,IF(HB38="Skip",#N/A,SUM($HG$4:HG38)))</f>
        <v>#N/A</v>
      </c>
      <c r="HG38" s="63" t="str">
        <f t="shared" si="95"/>
        <v/>
      </c>
      <c r="HH38" s="82">
        <f t="shared" si="96"/>
        <v>0.14127921911122363</v>
      </c>
    </row>
    <row r="39" spans="1:216" x14ac:dyDescent="0.25">
      <c r="A39" s="139" t="s">
        <v>1352</v>
      </c>
      <c r="B39" s="58" t="s">
        <v>5102</v>
      </c>
      <c r="C39" s="386">
        <f t="shared" si="0"/>
        <v>1</v>
      </c>
      <c r="D39" s="372" t="str">
        <f>_xlfn.XLOOKUP(A39,[1]SP500!$A$2:$A$502,[1]SP500!$D$2:$D$502,"N")</f>
        <v>Y</v>
      </c>
      <c r="E39" s="57" t="str">
        <f>_xlfn.XLOOKUP(A39,[1]SP500!$A$2:$A$655,[1]SP500!$B$2:$B$655)</f>
        <v>XLI</v>
      </c>
      <c r="F39" s="59">
        <v>45679</v>
      </c>
      <c r="G39" s="57" t="str">
        <f t="shared" si="1"/>
        <v>BMO</v>
      </c>
      <c r="H39" s="57" t="str">
        <f t="shared" si="2"/>
        <v>o</v>
      </c>
      <c r="I39" s="198">
        <v>416</v>
      </c>
      <c r="J39" s="158">
        <v>430</v>
      </c>
      <c r="K39" s="61">
        <f t="shared" si="3"/>
        <v>3.3653846153846152E-2</v>
      </c>
      <c r="L39" s="87">
        <f t="shared" si="4"/>
        <v>13.461538461538453</v>
      </c>
      <c r="M39" s="63" t="str">
        <f t="shared" si="104"/>
        <v/>
      </c>
      <c r="N39" s="219">
        <f t="shared" si="6"/>
        <v>13.461538461538453</v>
      </c>
      <c r="O39" s="219">
        <f>IF($J39="",#N/A,SUM($N$4:N39))</f>
        <v>53.554972969755511</v>
      </c>
      <c r="P39" s="220" t="str">
        <f t="shared" si="7"/>
        <v/>
      </c>
      <c r="Q39" s="220">
        <f>IF($J39="",#N/A,SUM($P$4:P39))</f>
        <v>20.143824992313739</v>
      </c>
      <c r="R39" s="221" t="str">
        <f t="shared" si="8"/>
        <v/>
      </c>
      <c r="S39" s="222">
        <f>IF($J39="",#N/A,SUM($R$4:R39))</f>
        <v>219.90134562123154</v>
      </c>
      <c r="T39" s="281">
        <f t="shared" si="9"/>
        <v>0.56089743589743557</v>
      </c>
      <c r="U39" s="281">
        <f>IF($J39="",#N/A,SUM($T$4:T39))</f>
        <v>2.2314572070731464</v>
      </c>
      <c r="V39" s="282" t="str">
        <f t="shared" si="10"/>
        <v/>
      </c>
      <c r="W39" s="282">
        <f>IF($J39="",#N/A,SUM($V$4:V39))</f>
        <v>0.83932604134640565</v>
      </c>
      <c r="X39" s="283" t="str">
        <f t="shared" si="11"/>
        <v/>
      </c>
      <c r="Y39" s="283">
        <f>IF($J39="",#N/A,SUM($X$4:X39))</f>
        <v>9.1625560675513142</v>
      </c>
      <c r="Z39" s="304" t="str">
        <f t="shared" si="12"/>
        <v/>
      </c>
      <c r="AA39" s="304">
        <f>IF($J39="",#N/A,SUM(Z$4:Z39))</f>
        <v>0</v>
      </c>
      <c r="AB39" s="305" t="str">
        <f t="shared" si="13"/>
        <v/>
      </c>
      <c r="AC39" s="305">
        <f>IF($J39="",#N/A,SUM(AB$4:AB39))</f>
        <v>0</v>
      </c>
      <c r="AD39" s="306" t="str">
        <f t="shared" si="14"/>
        <v/>
      </c>
      <c r="AE39" s="306">
        <f>IF($J39="",#N/A,SUM(AD$4:AD39))</f>
        <v>1.2148148148148128</v>
      </c>
      <c r="AF39" s="306">
        <f>IF($J39="",#N/A,SUM(AD$4:AD39,AB$4:AB39,Z$4:Z39))</f>
        <v>1.2148148148148128</v>
      </c>
      <c r="AG39" s="304" t="str">
        <f t="shared" si="15"/>
        <v/>
      </c>
      <c r="AH39" s="304">
        <f>IF($J39="",#N/A,SUM(AG$4:AG39))</f>
        <v>0</v>
      </c>
      <c r="AI39" s="305" t="str">
        <f t="shared" si="16"/>
        <v/>
      </c>
      <c r="AJ39" s="305">
        <f>IF($J39="",#N/A,SUM(AI$4:AI39))</f>
        <v>0</v>
      </c>
      <c r="AK39" s="306" t="str">
        <f t="shared" si="17"/>
        <v/>
      </c>
      <c r="AL39" s="306">
        <f>IF($J39="",#N/A,SUM(AK$4:AK39))</f>
        <v>0</v>
      </c>
      <c r="AM39" s="306">
        <f>IF($J39="",#N/A,SUM(AK$4:AK39,AI$4:AI39,AG$4:AG39))</f>
        <v>0</v>
      </c>
      <c r="AN39" s="304" t="str">
        <f t="shared" si="18"/>
        <v/>
      </c>
      <c r="AO39" s="304">
        <f>IF($J39="",#N/A,SUM(AN$4:AN39))</f>
        <v>0</v>
      </c>
      <c r="AP39" s="305" t="str">
        <f t="shared" si="19"/>
        <v/>
      </c>
      <c r="AQ39" s="305">
        <f>IF($J39="",#N/A,SUM(AP$4:AP39))</f>
        <v>0</v>
      </c>
      <c r="AR39" s="306" t="str">
        <f t="shared" si="20"/>
        <v/>
      </c>
      <c r="AS39" s="306">
        <f>IF($J39="",#N/A,SUM(AR$4:AR39))</f>
        <v>0</v>
      </c>
      <c r="AT39" s="306">
        <f>IF($J39="",#N/A,SUM(AR$4:AR39,AP$4:AP39,AN$4:AN39))</f>
        <v>0</v>
      </c>
      <c r="AU39" s="304" t="str">
        <f t="shared" si="21"/>
        <v/>
      </c>
      <c r="AV39" s="304">
        <f>IF($J39="",#N/A,SUM(AU$4:AU39))</f>
        <v>0</v>
      </c>
      <c r="AW39" s="305" t="str">
        <f t="shared" si="22"/>
        <v/>
      </c>
      <c r="AX39" s="305">
        <f>IF($J39="",#N/A,SUM(AW$4:AW39))</f>
        <v>1.2290222546515868</v>
      </c>
      <c r="AY39" s="306" t="str">
        <f t="shared" si="23"/>
        <v/>
      </c>
      <c r="AZ39" s="306">
        <f>IF($J39="",#N/A,SUM(AY$4:AY39))</f>
        <v>3.0490332683593495</v>
      </c>
      <c r="BA39" s="306">
        <f>IF($J39="",#N/A,SUM(AY$4:AY39,AW$4:AW39,AU$4:AU39))</f>
        <v>4.2780555230109361</v>
      </c>
      <c r="BB39" s="304" t="str">
        <f t="shared" si="24"/>
        <v/>
      </c>
      <c r="BC39" s="304">
        <f>IF($J39="",#N/A,SUM(BB$4:BB39))</f>
        <v>0</v>
      </c>
      <c r="BD39" s="305" t="str">
        <f t="shared" si="25"/>
        <v/>
      </c>
      <c r="BE39" s="305">
        <f>IF($J39="",#N/A,SUM(BD$4:BD39))</f>
        <v>0</v>
      </c>
      <c r="BF39" s="306" t="str">
        <f t="shared" si="26"/>
        <v/>
      </c>
      <c r="BG39" s="306">
        <f>IF($J39="",#N/A,SUM(BF$4:BF39))</f>
        <v>2.4597169840247779</v>
      </c>
      <c r="BH39" s="306">
        <f>IF($J39="",#N/A,SUM(BF$4:BF39,BD$4:BD39,BB$4:BB39))</f>
        <v>2.4597169840247779</v>
      </c>
      <c r="BI39" s="304" t="str">
        <f t="shared" si="27"/>
        <v/>
      </c>
      <c r="BJ39" s="304">
        <f>IF($J39="",#N/A,SUM(BI$4:BI39))</f>
        <v>-0.63021254112582636</v>
      </c>
      <c r="BK39" s="305" t="str">
        <f t="shared" si="28"/>
        <v/>
      </c>
      <c r="BL39" s="305">
        <f>IF($J39="",#N/A,SUM(BK$4:BK39))</f>
        <v>0</v>
      </c>
      <c r="BM39" s="306" t="str">
        <f t="shared" si="29"/>
        <v/>
      </c>
      <c r="BN39" s="306">
        <f>IF($J39="",#N/A,SUM(BM$4:BM39))</f>
        <v>3.8210959759517467</v>
      </c>
      <c r="BO39" s="306">
        <f>IF($J39="",#N/A,SUM(BM$4:BM39,BK$4:BK39,BI$4:BI39))</f>
        <v>3.1908834348259205</v>
      </c>
      <c r="BP39" s="304">
        <f t="shared" si="30"/>
        <v>0.56089743589743557</v>
      </c>
      <c r="BQ39" s="304">
        <f>IF($J39="",#N/A,SUM(BP$4:BP39))</f>
        <v>2.861669748198973</v>
      </c>
      <c r="BR39" s="305" t="str">
        <f t="shared" si="31"/>
        <v/>
      </c>
      <c r="BS39" s="305">
        <f>IF($J39="",#N/A,SUM(BR$4:BR39))</f>
        <v>-0.34773304801390975</v>
      </c>
      <c r="BT39" s="306" t="str">
        <f t="shared" si="32"/>
        <v/>
      </c>
      <c r="BU39" s="306">
        <f>IF($J39="",#N/A,SUM(BT$4:BT39))</f>
        <v>-1.0025062656641595</v>
      </c>
      <c r="BV39" s="306">
        <f>IF($J39="",#N/A,SUM(BT$4:BT39,BR$4:BR39,BP$4:BP39))</f>
        <v>1.5114304345209035</v>
      </c>
      <c r="BW39" s="304" t="str">
        <f t="shared" si="33"/>
        <v/>
      </c>
      <c r="BX39" s="304">
        <f>IF($J39="",#N/A,SUM(BW$4:BW39))</f>
        <v>0</v>
      </c>
      <c r="BY39" s="305" t="str">
        <f t="shared" si="34"/>
        <v/>
      </c>
      <c r="BZ39" s="305">
        <f>IF($J39="",#N/A,SUM(BY$4:BY39))</f>
        <v>0.46686916413544804</v>
      </c>
      <c r="CA39" s="306" t="str">
        <f t="shared" si="35"/>
        <v/>
      </c>
      <c r="CB39" s="306">
        <f>IF($J39="",#N/A,SUM(CA$4:CA39))</f>
        <v>-0.37959870993521366</v>
      </c>
      <c r="CC39" s="306">
        <f>IF($J39="",#N/A,SUM(CA$4:CA39,BY$4:BY39,BW$4:BW39))</f>
        <v>8.7270454200234382E-2</v>
      </c>
      <c r="CD39" s="304" t="str">
        <f t="shared" si="36"/>
        <v/>
      </c>
      <c r="CE39" s="304">
        <f>IF($J39="",#N/A,SUM(CD$4:CD39))</f>
        <v>0</v>
      </c>
      <c r="CF39" s="305" t="str">
        <f t="shared" si="37"/>
        <v/>
      </c>
      <c r="CG39" s="305">
        <f>IF($J39="",#N/A,SUM(CF$4:CF39))</f>
        <v>0</v>
      </c>
      <c r="CH39" s="306" t="str">
        <f t="shared" si="38"/>
        <v/>
      </c>
      <c r="CI39" s="306">
        <f>IF($J39="",#N/A,SUM(CH$4:CH39))</f>
        <v>0</v>
      </c>
      <c r="CJ39" s="306">
        <f>IF($J39="",#N/A,SUM(CH$4:CH39,CF$4:CF39,CD$4:CD39))</f>
        <v>0</v>
      </c>
      <c r="CK39" s="304" t="str">
        <f t="shared" si="39"/>
        <v/>
      </c>
      <c r="CL39" s="304">
        <f>IF($J39="",#N/A,SUM(CK$4:CK39))</f>
        <v>0</v>
      </c>
      <c r="CM39" s="305" t="str">
        <f t="shared" si="40"/>
        <v/>
      </c>
      <c r="CN39" s="305">
        <f>IF($J39="",#N/A,SUM(CM$4:CM39))</f>
        <v>0</v>
      </c>
      <c r="CO39" s="306" t="str">
        <f t="shared" si="41"/>
        <v/>
      </c>
      <c r="CP39" s="306">
        <f>IF($J39="",#N/A,SUM(CO$4:CO39))</f>
        <v>0</v>
      </c>
      <c r="CQ39" s="306">
        <f>IF($J39="",#N/A,SUM(CO$4:CO39,CM$4:CM39,CK$4:CK39))</f>
        <v>0</v>
      </c>
      <c r="CR39" s="304" t="str">
        <f t="shared" si="42"/>
        <v/>
      </c>
      <c r="CS39" s="304">
        <f>IF($J39="",#N/A,SUM(CR$4:CR39))</f>
        <v>0</v>
      </c>
      <c r="CT39" s="305" t="str">
        <f t="shared" si="43"/>
        <v/>
      </c>
      <c r="CU39" s="305">
        <f>IF($J39="",#N/A,SUM(CT$4:CT39))</f>
        <v>-0.42995051512938903</v>
      </c>
      <c r="CV39" s="306" t="str">
        <f t="shared" si="44"/>
        <v/>
      </c>
      <c r="CW39" s="306">
        <f>IF($J39="",#N/A,SUM(CV$4:CV39))</f>
        <v>0</v>
      </c>
      <c r="CX39" s="306">
        <f>IF($J39="",#N/A,SUM(CV$4:CV39,CT$4:CT39,CR$4:CR39))</f>
        <v>-0.42995051512938903</v>
      </c>
      <c r="CY39" s="304" t="str">
        <f t="shared" si="45"/>
        <v/>
      </c>
      <c r="CZ39" s="304">
        <f>IF($J39="",#N/A,SUM(CY$4:CY39))</f>
        <v>0</v>
      </c>
      <c r="DA39" s="305" t="str">
        <f t="shared" si="46"/>
        <v/>
      </c>
      <c r="DB39" s="305">
        <f>IF($J39="",#N/A,SUM(DA$4:DA39))</f>
        <v>0</v>
      </c>
      <c r="DC39" s="306" t="str">
        <f t="shared" si="47"/>
        <v/>
      </c>
      <c r="DD39" s="306">
        <f>IF($J39="",#N/A,SUM(DC$4:DC39))</f>
        <v>0</v>
      </c>
      <c r="DE39" s="306">
        <f>IF($J39="",#N/A,SUM(DC$4:DC39,DA$4:DA39,CY$4:CY39))</f>
        <v>0</v>
      </c>
      <c r="DF39" s="304" t="str">
        <f t="shared" si="48"/>
        <v/>
      </c>
      <c r="DG39" s="304">
        <f>IF($J39="",#N/A,SUM(DF$4:DF39))</f>
        <v>0</v>
      </c>
      <c r="DH39" s="305" t="str">
        <f t="shared" si="49"/>
        <v/>
      </c>
      <c r="DI39" s="305">
        <f>IF($J39="",#N/A,SUM(DH$4:DH39))</f>
        <v>0</v>
      </c>
      <c r="DJ39" s="306" t="str">
        <f t="shared" si="50"/>
        <v/>
      </c>
      <c r="DK39" s="306">
        <f>IF($J39="",#N/A,SUM(DJ$4:DJ39))</f>
        <v>0</v>
      </c>
      <c r="DL39" s="306">
        <f>IF($J39="",#N/A,SUM(DJ$4:DJ39,DH$4:DH39,DF$4:DF39))</f>
        <v>0</v>
      </c>
      <c r="DM39" s="304" t="str">
        <f t="shared" si="51"/>
        <v/>
      </c>
      <c r="DN39" s="304">
        <f>IF($J39="",#N/A,SUM(DM$4:DM39))</f>
        <v>0</v>
      </c>
      <c r="DO39" s="305" t="str">
        <f t="shared" si="52"/>
        <v/>
      </c>
      <c r="DP39" s="305">
        <f>IF($J39="",#N/A,SUM(DO$4:DO39))</f>
        <v>0</v>
      </c>
      <c r="DQ39" s="306" t="str">
        <f t="shared" si="53"/>
        <v/>
      </c>
      <c r="DR39" s="306">
        <f>IF($J39="",#N/A,SUM(DQ$4:DQ39))</f>
        <v>0</v>
      </c>
      <c r="DS39" s="306">
        <f>IF($J39="",#N/A,SUM(DQ$4:DQ39,DO$4:DO39,DM$4:DM39))</f>
        <v>0</v>
      </c>
      <c r="DT39" s="304" t="str">
        <f t="shared" si="54"/>
        <v/>
      </c>
      <c r="DU39" s="304">
        <f>IF($J39="",#N/A,SUM(DT$4:DT39))</f>
        <v>0</v>
      </c>
      <c r="DV39" s="305" t="str">
        <f t="shared" si="55"/>
        <v/>
      </c>
      <c r="DW39" s="305">
        <f>IF($J39="",#N/A,SUM(DV$4:DV39))</f>
        <v>0.40085630512924314</v>
      </c>
      <c r="DX39" s="306" t="str">
        <f t="shared" si="56"/>
        <v/>
      </c>
      <c r="DY39" s="306">
        <f>IF($J39="",#N/A,SUM(DX$4:DX39))</f>
        <v>0</v>
      </c>
      <c r="DZ39" s="306">
        <f>IF($J39="",#N/A,SUM(DX$4:DX39,DV$4:DV39,DT$4:DT39))</f>
        <v>0.40085630512924314</v>
      </c>
      <c r="EA39" s="304" t="str">
        <f t="shared" si="57"/>
        <v/>
      </c>
      <c r="EB39" s="304">
        <f>IF($J39="",#N/A,SUM(EA$4:EA39))</f>
        <v>0</v>
      </c>
      <c r="EC39" s="305" t="str">
        <f t="shared" si="58"/>
        <v/>
      </c>
      <c r="ED39" s="305">
        <f>IF($J39="",#N/A,SUM(EC$4:EC39))</f>
        <v>-0.47973811942657352</v>
      </c>
      <c r="EE39" s="306" t="str">
        <f t="shared" si="59"/>
        <v/>
      </c>
      <c r="EF39" s="306">
        <f>IF($J39="",#N/A,SUM(EE$4:EE39))</f>
        <v>0</v>
      </c>
      <c r="EG39" s="306">
        <f>IF($J39="",#N/A,SUM(EE$4:EE39,EC$4:EC39,EA$4:EA39))</f>
        <v>-0.47973811942657352</v>
      </c>
      <c r="EH39" s="223">
        <f t="shared" si="60"/>
        <v>13.461538461538453</v>
      </c>
      <c r="EI39" s="224">
        <f>IF(EH39="",#N/A,SUM($EH$4:EH39))</f>
        <v>293.60014358330079</v>
      </c>
      <c r="EJ39" s="223">
        <f t="shared" si="61"/>
        <v>10.673076923076962</v>
      </c>
      <c r="EK39" s="63">
        <f>IF($GZ39="",#N/A,SUM(EJ$4:EJ39))</f>
        <v>472.55100687760489</v>
      </c>
      <c r="EL39" s="60">
        <f t="shared" si="97"/>
        <v>0.56089743589743557</v>
      </c>
      <c r="EM39" s="60">
        <f>IF(EL39="",NA(),SUM($EL$4:EL39))</f>
        <v>12.233339315970868</v>
      </c>
      <c r="EN39" s="60">
        <f t="shared" si="62"/>
        <v>0.56089743589743557</v>
      </c>
      <c r="EO39" s="60">
        <f>IF(EN39="",NA(),SUM($EN$4:EN39))</f>
        <v>2.2314572070731464</v>
      </c>
      <c r="EP39" s="60" t="str">
        <f t="shared" si="63"/>
        <v/>
      </c>
      <c r="EQ39" s="60" t="e">
        <f>IF(EP39="",NA(),SUM($EP$4:EP39))</f>
        <v>#N/A</v>
      </c>
      <c r="ER39" s="60" t="str">
        <f t="shared" si="64"/>
        <v/>
      </c>
      <c r="ES39" s="60" t="e">
        <f>IF(ER39="",NA(),SUM($ER$4:ER39))</f>
        <v>#N/A</v>
      </c>
      <c r="ET39" s="60" t="str">
        <f t="shared" si="65"/>
        <v/>
      </c>
      <c r="EU39" s="60" t="e">
        <f>IF(ET39="",NA(),SUM($ET$4:ET39))</f>
        <v>#N/A</v>
      </c>
      <c r="EV39" s="60" t="str">
        <f t="shared" si="66"/>
        <v/>
      </c>
      <c r="EW39" s="60" t="e">
        <f>IF(EV39="",NA(),SUM($EV$4:EV39))</f>
        <v>#N/A</v>
      </c>
      <c r="EX39" s="60" t="str">
        <f t="shared" si="67"/>
        <v/>
      </c>
      <c r="EY39" s="60" t="e">
        <f>IF(EX39="",NA(),SUM($EX$4:EX39))</f>
        <v>#N/A</v>
      </c>
      <c r="EZ39" s="60" t="str">
        <f t="shared" si="68"/>
        <v/>
      </c>
      <c r="FA39" s="60" t="e">
        <f>IF(EZ39="",NA(),SUM($EZ$4:EZ39))</f>
        <v>#N/A</v>
      </c>
      <c r="FB39" s="246" t="str">
        <f t="shared" si="98"/>
        <v/>
      </c>
      <c r="FC39" s="246" t="e">
        <f>IF($FB39="",#N/A,SUM(FB$4:$FB39))</f>
        <v>#N/A</v>
      </c>
      <c r="FD39" s="60" t="str">
        <f t="shared" si="69"/>
        <v/>
      </c>
      <c r="FE39" s="60" t="e">
        <f>IF($FD39="",#N/A,SUM($FD$4:FD39))</f>
        <v>#N/A</v>
      </c>
      <c r="FF39" s="60">
        <f t="shared" si="70"/>
        <v>-0.11618589743589547</v>
      </c>
      <c r="FG39" s="60">
        <f>IF($FF39="",#N/A,SUM($FF$4:FF39))</f>
        <v>0.7228583313041429</v>
      </c>
      <c r="FH39" s="60" t="str">
        <f t="shared" si="71"/>
        <v/>
      </c>
      <c r="FI39" s="60" t="e">
        <f>IF($FH39="",#N/A,SUM($FH$4:FH39))</f>
        <v>#N/A</v>
      </c>
      <c r="FJ39" s="60" t="str">
        <f t="shared" si="72"/>
        <v/>
      </c>
      <c r="FK39" s="60" t="e">
        <f>IF($FJ39="",#N/A,SUM($FJ$4:FJ39))</f>
        <v>#N/A</v>
      </c>
      <c r="FL39" s="60" t="str">
        <f t="shared" si="73"/>
        <v/>
      </c>
      <c r="FM39" s="60" t="e">
        <f>IF($FL39="",#N/A,SUM($FL$4:FL39))</f>
        <v>#N/A</v>
      </c>
      <c r="FN39" s="82">
        <f t="shared" si="74"/>
        <v>0.4447115384615401</v>
      </c>
      <c r="FO39" s="82">
        <f>IF($FN39="",#N/A,SUM(FN$4:$FN39))</f>
        <v>19.689625286566873</v>
      </c>
      <c r="FP39" s="82">
        <f t="shared" si="99"/>
        <v>0.56089743589743557</v>
      </c>
      <c r="FQ39" s="246">
        <f>IF($EH39="",#N/A,SUM($FP$4:FP39))</f>
        <v>12.233339315970868</v>
      </c>
      <c r="FR39" s="82">
        <f>IFERROR(FQ39/COUNTA($J$4:J39),#N/A)</f>
        <v>0.33981498099919077</v>
      </c>
      <c r="FS39" s="99"/>
      <c r="FT39" s="82">
        <f t="shared" si="103"/>
        <v>7.6441792458560448E-2</v>
      </c>
      <c r="FU39" s="82" t="e">
        <v>#N/A</v>
      </c>
      <c r="FV39" s="57" t="str">
        <f t="shared" si="75"/>
        <v>Up</v>
      </c>
      <c r="FW39" s="57" t="s">
        <v>2733</v>
      </c>
      <c r="FX39" s="57">
        <f t="shared" si="76"/>
        <v>1</v>
      </c>
      <c r="FY39" s="57" t="str">
        <f t="shared" si="77"/>
        <v/>
      </c>
      <c r="FZ39" s="57" t="str">
        <f t="shared" si="78"/>
        <v/>
      </c>
      <c r="GA39" s="57" t="str">
        <f t="shared" si="79"/>
        <v>Long</v>
      </c>
      <c r="GB39" s="57" t="str">
        <f t="shared" si="80"/>
        <v/>
      </c>
      <c r="GC39" s="57" t="str">
        <f t="shared" si="81"/>
        <v/>
      </c>
      <c r="GD39" s="57" t="str">
        <f t="shared" si="82"/>
        <v/>
      </c>
      <c r="GE39" s="62">
        <f t="shared" si="105"/>
        <v>416</v>
      </c>
      <c r="GF39" s="62" t="s">
        <v>2779</v>
      </c>
      <c r="GG39" s="199">
        <f t="shared" si="106"/>
        <v>0.96153846153846156</v>
      </c>
      <c r="GH39" s="207">
        <f t="shared" si="85"/>
        <v>400</v>
      </c>
      <c r="GI39" s="199">
        <f t="shared" si="107"/>
        <v>0.96153846153846156</v>
      </c>
      <c r="GJ39" s="200">
        <f t="shared" si="108"/>
        <v>430</v>
      </c>
      <c r="GK39" s="63">
        <f t="shared" si="88"/>
        <v>13.461538461538453</v>
      </c>
      <c r="GL39" s="63">
        <f t="shared" si="109"/>
        <v>10.673076923076962</v>
      </c>
      <c r="GM39" s="82" t="str">
        <f t="shared" si="90"/>
        <v/>
      </c>
      <c r="GN39" s="82">
        <f>IF($GZ39="",#N/A,SUM(GM$4:GM39))</f>
        <v>12.054273436370558</v>
      </c>
      <c r="GO39" s="82">
        <f t="shared" si="91"/>
        <v>0.4447115384615401</v>
      </c>
      <c r="GP39" s="82">
        <f>IF($GZ39="",#N/A,SUM(GO$4:GO39))</f>
        <v>4.3126147870583402</v>
      </c>
      <c r="GQ39" s="82" t="str">
        <f t="shared" si="92"/>
        <v/>
      </c>
      <c r="GR39" s="82">
        <f>IF($GZ39="",#N/A,SUM(GQ$4:GQ39))</f>
        <v>3.3227370631379745</v>
      </c>
      <c r="GS39" s="63" t="str">
        <f t="shared" si="100"/>
        <v/>
      </c>
      <c r="GT39" s="63">
        <f>IF($GZ39="",#N/A,SUM(GS$4:GS39))</f>
        <v>289.30256247289338</v>
      </c>
      <c r="GU39" s="63">
        <f t="shared" si="101"/>
        <v>10.673076923076962</v>
      </c>
      <c r="GV39" s="63">
        <f>IF($GZ39="",#N/A,SUM(GU$4:GU39))</f>
        <v>103.50275488940014</v>
      </c>
      <c r="GW39" s="62" t="str">
        <f t="shared" si="102"/>
        <v/>
      </c>
      <c r="GX39" s="63">
        <f>IF($GZ39="",#N/A,SUM(GW$4:GW39))</f>
        <v>79.745689515311369</v>
      </c>
      <c r="GY39" s="63">
        <f>IF(EJ39="",#N/A,SUM($EJ$4:EJ39))</f>
        <v>472.55100687760489</v>
      </c>
      <c r="GZ39" s="159">
        <v>427.1</v>
      </c>
      <c r="HA39" s="63">
        <f t="shared" si="93"/>
        <v>-2.7884615384614904</v>
      </c>
      <c r="HB39" s="62" t="s">
        <v>4970</v>
      </c>
      <c r="HC39" s="60">
        <f>IFERROR(VLOOKUP(E39,Expectancy!$P$4:$S$19,1+C39,FALSE),"")</f>
        <v>-4.1762476788754908E-2</v>
      </c>
      <c r="HD39" s="60" t="str">
        <f t="shared" si="94"/>
        <v/>
      </c>
      <c r="HE39" s="60" t="e">
        <f>IF(HD39="",#N/A,SUM($HD$4:HD39))</f>
        <v>#N/A</v>
      </c>
      <c r="HF39" s="64" t="e">
        <f>IF(HD39="",#N/A,IF(HB39="Skip",#N/A,SUM($HG$4:HG39)))</f>
        <v>#N/A</v>
      </c>
      <c r="HG39" s="63" t="str">
        <f t="shared" si="95"/>
        <v/>
      </c>
      <c r="HH39" s="82">
        <f t="shared" si="96"/>
        <v>0.4447115384615401</v>
      </c>
    </row>
    <row r="40" spans="1:216" x14ac:dyDescent="0.25">
      <c r="A40" s="139" t="s">
        <v>1367</v>
      </c>
      <c r="B40" s="58" t="s">
        <v>5103</v>
      </c>
      <c r="C40" s="386">
        <f t="shared" si="0"/>
        <v>1</v>
      </c>
      <c r="D40" s="372" t="str">
        <f>_xlfn.XLOOKUP(A40,[1]SP500!$A$2:$A$502,[1]SP500!$D$2:$D$502,"N")</f>
        <v>Y</v>
      </c>
      <c r="E40" s="57" t="str">
        <f>_xlfn.XLOOKUP(A40,[1]SP500!$A$2:$A$655,[1]SP500!$B$2:$B$655)</f>
        <v>XLK</v>
      </c>
      <c r="F40" s="59">
        <v>45679</v>
      </c>
      <c r="G40" s="57" t="str">
        <f t="shared" si="1"/>
        <v>BMO</v>
      </c>
      <c r="H40" s="57" t="str">
        <f t="shared" si="2"/>
        <v>o</v>
      </c>
      <c r="I40" s="159">
        <v>72.72</v>
      </c>
      <c r="J40" s="159">
        <v>75.650000000000006</v>
      </c>
      <c r="K40" s="61">
        <f t="shared" si="3"/>
        <v>4.0291529152915388E-2</v>
      </c>
      <c r="L40" s="87">
        <f t="shared" si="4"/>
        <v>16.116611661166189</v>
      </c>
      <c r="M40" s="63" t="str">
        <f t="shared" si="104"/>
        <v/>
      </c>
      <c r="N40" s="219">
        <f t="shared" si="6"/>
        <v>16.116611661166189</v>
      </c>
      <c r="O40" s="219">
        <f>IF($J40="",#N/A,SUM($N$4:N40))</f>
        <v>69.6715846309217</v>
      </c>
      <c r="P40" s="220" t="str">
        <f t="shared" si="7"/>
        <v/>
      </c>
      <c r="Q40" s="220">
        <f>IF($J40="",#N/A,SUM($P$4:P40))</f>
        <v>20.143824992313739</v>
      </c>
      <c r="R40" s="221" t="str">
        <f t="shared" si="8"/>
        <v/>
      </c>
      <c r="S40" s="222">
        <f>IF($J40="",#N/A,SUM($R$4:R40))</f>
        <v>219.90134562123154</v>
      </c>
      <c r="T40" s="281">
        <f t="shared" si="9"/>
        <v>0.67152548588192462</v>
      </c>
      <c r="U40" s="281">
        <f>IF($J40="",#N/A,SUM($T$4:T40))</f>
        <v>2.9029826929550708</v>
      </c>
      <c r="V40" s="282" t="str">
        <f t="shared" si="10"/>
        <v/>
      </c>
      <c r="W40" s="282">
        <f>IF($J40="",#N/A,SUM($V$4:V40))</f>
        <v>0.83932604134640565</v>
      </c>
      <c r="X40" s="283" t="str">
        <f t="shared" si="11"/>
        <v/>
      </c>
      <c r="Y40" s="283">
        <f>IF($J40="",#N/A,SUM($X$4:X40))</f>
        <v>9.1625560675513142</v>
      </c>
      <c r="Z40" s="304">
        <f t="shared" si="12"/>
        <v>0.67152548588192462</v>
      </c>
      <c r="AA40" s="304">
        <f>IF($J40="",#N/A,SUM(Z$4:Z40))</f>
        <v>0.67152548588192462</v>
      </c>
      <c r="AB40" s="305" t="str">
        <f t="shared" si="13"/>
        <v/>
      </c>
      <c r="AC40" s="305">
        <f>IF($J40="",#N/A,SUM(AB$4:AB40))</f>
        <v>0</v>
      </c>
      <c r="AD40" s="306" t="str">
        <f t="shared" si="14"/>
        <v/>
      </c>
      <c r="AE40" s="306">
        <f>IF($J40="",#N/A,SUM(AD$4:AD40))</f>
        <v>1.2148148148148128</v>
      </c>
      <c r="AF40" s="306">
        <f>IF($J40="",#N/A,SUM(AD$4:AD40,AB$4:AB40,Z$4:Z40))</f>
        <v>1.8863403006967374</v>
      </c>
      <c r="AG40" s="304" t="str">
        <f t="shared" si="15"/>
        <v/>
      </c>
      <c r="AH40" s="304">
        <f>IF($J40="",#N/A,SUM(AG$4:AG40))</f>
        <v>0</v>
      </c>
      <c r="AI40" s="305" t="str">
        <f t="shared" si="16"/>
        <v/>
      </c>
      <c r="AJ40" s="305">
        <f>IF($J40="",#N/A,SUM(AI$4:AI40))</f>
        <v>0</v>
      </c>
      <c r="AK40" s="306" t="str">
        <f t="shared" si="17"/>
        <v/>
      </c>
      <c r="AL40" s="306">
        <f>IF($J40="",#N/A,SUM(AK$4:AK40))</f>
        <v>0</v>
      </c>
      <c r="AM40" s="306">
        <f>IF($J40="",#N/A,SUM(AK$4:AK40,AI$4:AI40,AG$4:AG40))</f>
        <v>0</v>
      </c>
      <c r="AN40" s="304" t="str">
        <f t="shared" si="18"/>
        <v/>
      </c>
      <c r="AO40" s="304">
        <f>IF($J40="",#N/A,SUM(AN$4:AN40))</f>
        <v>0</v>
      </c>
      <c r="AP40" s="305" t="str">
        <f t="shared" si="19"/>
        <v/>
      </c>
      <c r="AQ40" s="305">
        <f>IF($J40="",#N/A,SUM(AP$4:AP40))</f>
        <v>0</v>
      </c>
      <c r="AR40" s="306" t="str">
        <f t="shared" si="20"/>
        <v/>
      </c>
      <c r="AS40" s="306">
        <f>IF($J40="",#N/A,SUM(AR$4:AR40))</f>
        <v>0</v>
      </c>
      <c r="AT40" s="306">
        <f>IF($J40="",#N/A,SUM(AR$4:AR40,AP$4:AP40,AN$4:AN40))</f>
        <v>0</v>
      </c>
      <c r="AU40" s="304" t="str">
        <f t="shared" si="21"/>
        <v/>
      </c>
      <c r="AV40" s="304">
        <f>IF($J40="",#N/A,SUM(AU$4:AU40))</f>
        <v>0</v>
      </c>
      <c r="AW40" s="305" t="str">
        <f t="shared" si="22"/>
        <v/>
      </c>
      <c r="AX40" s="305">
        <f>IF($J40="",#N/A,SUM(AW$4:AW40))</f>
        <v>1.2290222546515868</v>
      </c>
      <c r="AY40" s="306" t="str">
        <f t="shared" si="23"/>
        <v/>
      </c>
      <c r="AZ40" s="306">
        <f>IF($J40="",#N/A,SUM(AY$4:AY40))</f>
        <v>3.0490332683593495</v>
      </c>
      <c r="BA40" s="306">
        <f>IF($J40="",#N/A,SUM(AY$4:AY40,AW$4:AW40,AU$4:AU40))</f>
        <v>4.2780555230109361</v>
      </c>
      <c r="BB40" s="304" t="str">
        <f t="shared" si="24"/>
        <v/>
      </c>
      <c r="BC40" s="304">
        <f>IF($J40="",#N/A,SUM(BB$4:BB40))</f>
        <v>0</v>
      </c>
      <c r="BD40" s="305" t="str">
        <f t="shared" si="25"/>
        <v/>
      </c>
      <c r="BE40" s="305">
        <f>IF($J40="",#N/A,SUM(BD$4:BD40))</f>
        <v>0</v>
      </c>
      <c r="BF40" s="306" t="str">
        <f t="shared" si="26"/>
        <v/>
      </c>
      <c r="BG40" s="306">
        <f>IF($J40="",#N/A,SUM(BF$4:BF40))</f>
        <v>2.4597169840247779</v>
      </c>
      <c r="BH40" s="306">
        <f>IF($J40="",#N/A,SUM(BF$4:BF40,BD$4:BD40,BB$4:BB40))</f>
        <v>2.4597169840247779</v>
      </c>
      <c r="BI40" s="304" t="str">
        <f t="shared" si="27"/>
        <v/>
      </c>
      <c r="BJ40" s="304">
        <f>IF($J40="",#N/A,SUM(BI$4:BI40))</f>
        <v>-0.63021254112582636</v>
      </c>
      <c r="BK40" s="305" t="str">
        <f t="shared" si="28"/>
        <v/>
      </c>
      <c r="BL40" s="305">
        <f>IF($J40="",#N/A,SUM(BK$4:BK40))</f>
        <v>0</v>
      </c>
      <c r="BM40" s="306" t="str">
        <f t="shared" si="29"/>
        <v/>
      </c>
      <c r="BN40" s="306">
        <f>IF($J40="",#N/A,SUM(BM$4:BM40))</f>
        <v>3.8210959759517467</v>
      </c>
      <c r="BO40" s="306">
        <f>IF($J40="",#N/A,SUM(BM$4:BM40,BK$4:BK40,BI$4:BI40))</f>
        <v>3.1908834348259205</v>
      </c>
      <c r="BP40" s="304" t="str">
        <f t="shared" si="30"/>
        <v/>
      </c>
      <c r="BQ40" s="304">
        <f>IF($J40="",#N/A,SUM(BP$4:BP40))</f>
        <v>2.861669748198973</v>
      </c>
      <c r="BR40" s="305" t="str">
        <f t="shared" si="31"/>
        <v/>
      </c>
      <c r="BS40" s="305">
        <f>IF($J40="",#N/A,SUM(BR$4:BR40))</f>
        <v>-0.34773304801390975</v>
      </c>
      <c r="BT40" s="306" t="str">
        <f t="shared" si="32"/>
        <v/>
      </c>
      <c r="BU40" s="306">
        <f>IF($J40="",#N/A,SUM(BT$4:BT40))</f>
        <v>-1.0025062656641595</v>
      </c>
      <c r="BV40" s="306">
        <f>IF($J40="",#N/A,SUM(BT$4:BT40,BR$4:BR40,BP$4:BP40))</f>
        <v>1.5114304345209035</v>
      </c>
      <c r="BW40" s="304" t="str">
        <f t="shared" si="33"/>
        <v/>
      </c>
      <c r="BX40" s="304">
        <f>IF($J40="",#N/A,SUM(BW$4:BW40))</f>
        <v>0</v>
      </c>
      <c r="BY40" s="305" t="str">
        <f t="shared" si="34"/>
        <v/>
      </c>
      <c r="BZ40" s="305">
        <f>IF($J40="",#N/A,SUM(BY$4:BY40))</f>
        <v>0.46686916413544804</v>
      </c>
      <c r="CA40" s="306" t="str">
        <f t="shared" si="35"/>
        <v/>
      </c>
      <c r="CB40" s="306">
        <f>IF($J40="",#N/A,SUM(CA$4:CA40))</f>
        <v>-0.37959870993521366</v>
      </c>
      <c r="CC40" s="306">
        <f>IF($J40="",#N/A,SUM(CA$4:CA40,BY$4:BY40,BW$4:BW40))</f>
        <v>8.7270454200234382E-2</v>
      </c>
      <c r="CD40" s="304" t="str">
        <f t="shared" si="36"/>
        <v/>
      </c>
      <c r="CE40" s="304">
        <f>IF($J40="",#N/A,SUM(CD$4:CD40))</f>
        <v>0</v>
      </c>
      <c r="CF40" s="305" t="str">
        <f t="shared" si="37"/>
        <v/>
      </c>
      <c r="CG40" s="305">
        <f>IF($J40="",#N/A,SUM(CF$4:CF40))</f>
        <v>0</v>
      </c>
      <c r="CH40" s="306" t="str">
        <f t="shared" si="38"/>
        <v/>
      </c>
      <c r="CI40" s="306">
        <f>IF($J40="",#N/A,SUM(CH$4:CH40))</f>
        <v>0</v>
      </c>
      <c r="CJ40" s="306">
        <f>IF($J40="",#N/A,SUM(CH$4:CH40,CF$4:CF40,CD$4:CD40))</f>
        <v>0</v>
      </c>
      <c r="CK40" s="304" t="str">
        <f t="shared" si="39"/>
        <v/>
      </c>
      <c r="CL40" s="304">
        <f>IF($J40="",#N/A,SUM(CK$4:CK40))</f>
        <v>0</v>
      </c>
      <c r="CM40" s="305" t="str">
        <f t="shared" si="40"/>
        <v/>
      </c>
      <c r="CN40" s="305">
        <f>IF($J40="",#N/A,SUM(CM$4:CM40))</f>
        <v>0</v>
      </c>
      <c r="CO40" s="306" t="str">
        <f t="shared" si="41"/>
        <v/>
      </c>
      <c r="CP40" s="306">
        <f>IF($J40="",#N/A,SUM(CO$4:CO40))</f>
        <v>0</v>
      </c>
      <c r="CQ40" s="306">
        <f>IF($J40="",#N/A,SUM(CO$4:CO40,CM$4:CM40,CK$4:CK40))</f>
        <v>0</v>
      </c>
      <c r="CR40" s="304" t="str">
        <f t="shared" si="42"/>
        <v/>
      </c>
      <c r="CS40" s="304">
        <f>IF($J40="",#N/A,SUM(CR$4:CR40))</f>
        <v>0</v>
      </c>
      <c r="CT40" s="305" t="str">
        <f t="shared" si="43"/>
        <v/>
      </c>
      <c r="CU40" s="305">
        <f>IF($J40="",#N/A,SUM(CT$4:CT40))</f>
        <v>-0.42995051512938903</v>
      </c>
      <c r="CV40" s="306" t="str">
        <f t="shared" si="44"/>
        <v/>
      </c>
      <c r="CW40" s="306">
        <f>IF($J40="",#N/A,SUM(CV$4:CV40))</f>
        <v>0</v>
      </c>
      <c r="CX40" s="306">
        <f>IF($J40="",#N/A,SUM(CV$4:CV40,CT$4:CT40,CR$4:CR40))</f>
        <v>-0.42995051512938903</v>
      </c>
      <c r="CY40" s="304" t="str">
        <f t="shared" si="45"/>
        <v/>
      </c>
      <c r="CZ40" s="304">
        <f>IF($J40="",#N/A,SUM(CY$4:CY40))</f>
        <v>0</v>
      </c>
      <c r="DA40" s="305" t="str">
        <f t="shared" si="46"/>
        <v/>
      </c>
      <c r="DB40" s="305">
        <f>IF($J40="",#N/A,SUM(DA$4:DA40))</f>
        <v>0</v>
      </c>
      <c r="DC40" s="306" t="str">
        <f t="shared" si="47"/>
        <v/>
      </c>
      <c r="DD40" s="306">
        <f>IF($J40="",#N/A,SUM(DC$4:DC40))</f>
        <v>0</v>
      </c>
      <c r="DE40" s="306">
        <f>IF($J40="",#N/A,SUM(DC$4:DC40,DA$4:DA40,CY$4:CY40))</f>
        <v>0</v>
      </c>
      <c r="DF40" s="304" t="str">
        <f t="shared" si="48"/>
        <v/>
      </c>
      <c r="DG40" s="304">
        <f>IF($J40="",#N/A,SUM(DF$4:DF40))</f>
        <v>0</v>
      </c>
      <c r="DH40" s="305" t="str">
        <f t="shared" si="49"/>
        <v/>
      </c>
      <c r="DI40" s="305">
        <f>IF($J40="",#N/A,SUM(DH$4:DH40))</f>
        <v>0</v>
      </c>
      <c r="DJ40" s="306" t="str">
        <f t="shared" si="50"/>
        <v/>
      </c>
      <c r="DK40" s="306">
        <f>IF($J40="",#N/A,SUM(DJ$4:DJ40))</f>
        <v>0</v>
      </c>
      <c r="DL40" s="306">
        <f>IF($J40="",#N/A,SUM(DJ$4:DJ40,DH$4:DH40,DF$4:DF40))</f>
        <v>0</v>
      </c>
      <c r="DM40" s="304" t="str">
        <f t="shared" si="51"/>
        <v/>
      </c>
      <c r="DN40" s="304">
        <f>IF($J40="",#N/A,SUM(DM$4:DM40))</f>
        <v>0</v>
      </c>
      <c r="DO40" s="305" t="str">
        <f t="shared" si="52"/>
        <v/>
      </c>
      <c r="DP40" s="305">
        <f>IF($J40="",#N/A,SUM(DO$4:DO40))</f>
        <v>0</v>
      </c>
      <c r="DQ40" s="306" t="str">
        <f t="shared" si="53"/>
        <v/>
      </c>
      <c r="DR40" s="306">
        <f>IF($J40="",#N/A,SUM(DQ$4:DQ40))</f>
        <v>0</v>
      </c>
      <c r="DS40" s="306">
        <f>IF($J40="",#N/A,SUM(DQ$4:DQ40,DO$4:DO40,DM$4:DM40))</f>
        <v>0</v>
      </c>
      <c r="DT40" s="304" t="str">
        <f t="shared" si="54"/>
        <v/>
      </c>
      <c r="DU40" s="304">
        <f>IF($J40="",#N/A,SUM(DT$4:DT40))</f>
        <v>0</v>
      </c>
      <c r="DV40" s="305" t="str">
        <f t="shared" si="55"/>
        <v/>
      </c>
      <c r="DW40" s="305">
        <f>IF($J40="",#N/A,SUM(DV$4:DV40))</f>
        <v>0.40085630512924314</v>
      </c>
      <c r="DX40" s="306" t="str">
        <f t="shared" si="56"/>
        <v/>
      </c>
      <c r="DY40" s="306">
        <f>IF($J40="",#N/A,SUM(DX$4:DX40))</f>
        <v>0</v>
      </c>
      <c r="DZ40" s="306">
        <f>IF($J40="",#N/A,SUM(DX$4:DX40,DV$4:DV40,DT$4:DT40))</f>
        <v>0.40085630512924314</v>
      </c>
      <c r="EA40" s="304" t="str">
        <f t="shared" si="57"/>
        <v/>
      </c>
      <c r="EB40" s="304">
        <f>IF($J40="",#N/A,SUM(EA$4:EA40))</f>
        <v>0</v>
      </c>
      <c r="EC40" s="305" t="str">
        <f t="shared" si="58"/>
        <v/>
      </c>
      <c r="ED40" s="305">
        <f>IF($J40="",#N/A,SUM(EC$4:EC40))</f>
        <v>-0.47973811942657352</v>
      </c>
      <c r="EE40" s="306" t="str">
        <f t="shared" si="59"/>
        <v/>
      </c>
      <c r="EF40" s="306">
        <f>IF($J40="",#N/A,SUM(EE$4:EE40))</f>
        <v>0</v>
      </c>
      <c r="EG40" s="306">
        <f>IF($J40="",#N/A,SUM(EE$4:EE40,EC$4:EC40,EA$4:EA40))</f>
        <v>-0.47973811942657352</v>
      </c>
      <c r="EH40" s="223">
        <f t="shared" si="60"/>
        <v>16.116611661166189</v>
      </c>
      <c r="EI40" s="224">
        <f>IF(EH40="",#N/A,SUM($EH$4:EH40))</f>
        <v>309.71675524446698</v>
      </c>
      <c r="EJ40" s="223">
        <f t="shared" si="61"/>
        <v>28.162816281628238</v>
      </c>
      <c r="EK40" s="63">
        <f>IF($GZ40="",#N/A,SUM(EJ$4:EJ40))</f>
        <v>500.71382315923313</v>
      </c>
      <c r="EL40" s="60">
        <f t="shared" si="97"/>
        <v>0.67152548588192462</v>
      </c>
      <c r="EM40" s="60">
        <f>IF(EL40="",NA(),SUM($EL$4:EL40))</f>
        <v>12.904864801852792</v>
      </c>
      <c r="EN40" s="60">
        <f t="shared" si="62"/>
        <v>0.67152548588192462</v>
      </c>
      <c r="EO40" s="60">
        <f>IF(EN40="",NA(),SUM($EN$4:EN40))</f>
        <v>2.9029826929550708</v>
      </c>
      <c r="EP40" s="60" t="str">
        <f t="shared" si="63"/>
        <v/>
      </c>
      <c r="EQ40" s="60" t="e">
        <f>IF(EP40="",NA(),SUM($EP$4:EP40))</f>
        <v>#N/A</v>
      </c>
      <c r="ER40" s="60" t="str">
        <f t="shared" si="64"/>
        <v/>
      </c>
      <c r="ES40" s="60" t="e">
        <f>IF(ER40="",NA(),SUM($ER$4:ER40))</f>
        <v>#N/A</v>
      </c>
      <c r="ET40" s="60" t="str">
        <f t="shared" si="65"/>
        <v/>
      </c>
      <c r="EU40" s="60" t="e">
        <f>IF(ET40="",NA(),SUM($ET$4:ET40))</f>
        <v>#N/A</v>
      </c>
      <c r="EV40" s="60" t="str">
        <f t="shared" si="66"/>
        <v/>
      </c>
      <c r="EW40" s="60" t="e">
        <f>IF(EV40="",NA(),SUM($EV$4:EV40))</f>
        <v>#N/A</v>
      </c>
      <c r="EX40" s="60" t="str">
        <f t="shared" si="67"/>
        <v/>
      </c>
      <c r="EY40" s="60" t="e">
        <f>IF(EX40="",NA(),SUM($EX$4:EX40))</f>
        <v>#N/A</v>
      </c>
      <c r="EZ40" s="60" t="str">
        <f t="shared" si="68"/>
        <v/>
      </c>
      <c r="FA40" s="60" t="e">
        <f>IF(EZ40="",NA(),SUM($EZ$4:EZ40))</f>
        <v>#N/A</v>
      </c>
      <c r="FB40" s="246" t="str">
        <f t="shared" si="98"/>
        <v/>
      </c>
      <c r="FC40" s="246" t="e">
        <f>IF($FB40="",#N/A,SUM(FB$4:$FB40))</f>
        <v>#N/A</v>
      </c>
      <c r="FD40" s="60" t="str">
        <f t="shared" si="69"/>
        <v/>
      </c>
      <c r="FE40" s="60" t="e">
        <f>IF($FD40="",#N/A,SUM($FD$4:FD40))</f>
        <v>#N/A</v>
      </c>
      <c r="FF40" s="60">
        <f t="shared" si="70"/>
        <v>0.50192519251925205</v>
      </c>
      <c r="FG40" s="60">
        <f>IF($FF40="",#N/A,SUM($FF$4:FF40))</f>
        <v>1.2247835238233948</v>
      </c>
      <c r="FH40" s="60" t="str">
        <f t="shared" si="71"/>
        <v/>
      </c>
      <c r="FI40" s="60" t="e">
        <f>IF($FH40="",#N/A,SUM($FH$4:FH40))</f>
        <v>#N/A</v>
      </c>
      <c r="FJ40" s="60" t="str">
        <f t="shared" si="72"/>
        <v/>
      </c>
      <c r="FK40" s="60" t="e">
        <f>IF($FJ40="",#N/A,SUM($FJ$4:FJ40))</f>
        <v>#N/A</v>
      </c>
      <c r="FL40" s="60" t="str">
        <f t="shared" si="73"/>
        <v/>
      </c>
      <c r="FM40" s="60" t="e">
        <f>IF($FL40="",#N/A,SUM($FL$4:FL40))</f>
        <v>#N/A</v>
      </c>
      <c r="FN40" s="82">
        <f t="shared" si="74"/>
        <v>1.1734506784011767</v>
      </c>
      <c r="FO40" s="82">
        <f>IF($FN40="",#N/A,SUM(FN$4:$FN40))</f>
        <v>20.863075964968051</v>
      </c>
      <c r="FP40" s="82">
        <f t="shared" si="99"/>
        <v>0.67152548588192462</v>
      </c>
      <c r="FQ40" s="246">
        <f>IF($EH40="",#N/A,SUM($FP$4:FP40))</f>
        <v>12.904864801852792</v>
      </c>
      <c r="FR40" s="82">
        <f>IFERROR(FQ40/COUNTA($J$4:J40),#N/A)</f>
        <v>0.34878012977980521</v>
      </c>
      <c r="FS40" s="99"/>
      <c r="FT40" s="82">
        <f t="shared" si="103"/>
        <v>0.15299349239673105</v>
      </c>
      <c r="FU40" s="82" t="e">
        <v>#N/A</v>
      </c>
      <c r="FV40" s="57" t="str">
        <f t="shared" si="75"/>
        <v>Up</v>
      </c>
      <c r="FW40" s="57" t="s">
        <v>2733</v>
      </c>
      <c r="FX40" s="57">
        <f t="shared" si="76"/>
        <v>1</v>
      </c>
      <c r="FY40" s="57" t="str">
        <f t="shared" si="77"/>
        <v/>
      </c>
      <c r="FZ40" s="57" t="str">
        <f t="shared" si="78"/>
        <v/>
      </c>
      <c r="GA40" s="57" t="str">
        <f t="shared" si="79"/>
        <v>Long</v>
      </c>
      <c r="GB40" s="57" t="str">
        <f t="shared" si="80"/>
        <v/>
      </c>
      <c r="GC40" s="57" t="str">
        <f t="shared" si="81"/>
        <v/>
      </c>
      <c r="GD40" s="57" t="str">
        <f t="shared" si="82"/>
        <v/>
      </c>
      <c r="GE40" s="62">
        <f t="shared" si="105"/>
        <v>72.72</v>
      </c>
      <c r="GF40" s="62" t="s">
        <v>2779</v>
      </c>
      <c r="GG40" s="199">
        <f t="shared" si="106"/>
        <v>5.5005500550055002</v>
      </c>
      <c r="GH40" s="207">
        <f t="shared" si="85"/>
        <v>399.99999999999994</v>
      </c>
      <c r="GI40" s="199">
        <f t="shared" si="107"/>
        <v>5.5005500550055002</v>
      </c>
      <c r="GJ40" s="200">
        <f t="shared" si="108"/>
        <v>75.650000000000006</v>
      </c>
      <c r="GK40" s="63">
        <f t="shared" si="88"/>
        <v>16.116611661166189</v>
      </c>
      <c r="GL40" s="63">
        <f t="shared" si="109"/>
        <v>28.162816281628238</v>
      </c>
      <c r="GM40" s="82" t="str">
        <f t="shared" si="90"/>
        <v/>
      </c>
      <c r="GN40" s="82">
        <f>IF($GZ40="",#N/A,SUM(GM$4:GM40))</f>
        <v>12.054273436370558</v>
      </c>
      <c r="GO40" s="82">
        <f t="shared" si="91"/>
        <v>1.1734506784011767</v>
      </c>
      <c r="GP40" s="82">
        <f>IF($GZ40="",#N/A,SUM(GO$4:GO40))</f>
        <v>5.4860654654595171</v>
      </c>
      <c r="GQ40" s="82" t="str">
        <f t="shared" si="92"/>
        <v/>
      </c>
      <c r="GR40" s="82">
        <f>IF($GZ40="",#N/A,SUM(GQ$4:GQ40))</f>
        <v>3.3227370631379745</v>
      </c>
      <c r="GS40" s="63" t="str">
        <f t="shared" si="100"/>
        <v/>
      </c>
      <c r="GT40" s="63">
        <f>IF($GZ40="",#N/A,SUM(GS$4:GS40))</f>
        <v>289.30256247289338</v>
      </c>
      <c r="GU40" s="63">
        <f t="shared" si="101"/>
        <v>28.162816281628238</v>
      </c>
      <c r="GV40" s="63">
        <f>IF($GZ40="",#N/A,SUM(GU$4:GU40))</f>
        <v>131.66557117102838</v>
      </c>
      <c r="GW40" s="62" t="str">
        <f t="shared" si="102"/>
        <v/>
      </c>
      <c r="GX40" s="63">
        <f>IF($GZ40="",#N/A,SUM(GW$4:GW40))</f>
        <v>79.745689515311369</v>
      </c>
      <c r="GY40" s="63">
        <f>IF(EJ40="",#N/A,SUM($EJ$4:EJ40))</f>
        <v>500.71382315923313</v>
      </c>
      <c r="GZ40" s="159">
        <v>77.84</v>
      </c>
      <c r="HA40" s="63">
        <f t="shared" si="93"/>
        <v>12.046204620462049</v>
      </c>
      <c r="HB40" s="62" t="s">
        <v>4970</v>
      </c>
      <c r="HC40" s="60">
        <f>IFERROR(VLOOKUP(E40,Expectancy!$P$4:$S$19,1+C40,FALSE),"")</f>
        <v>0.35290544702120547</v>
      </c>
      <c r="HD40" s="60" t="str">
        <f t="shared" si="94"/>
        <v/>
      </c>
      <c r="HE40" s="60" t="e">
        <f>IF(HD40="",#N/A,SUM($HD$4:HD40))</f>
        <v>#N/A</v>
      </c>
      <c r="HF40" s="64" t="e">
        <f>IF(HD40="",#N/A,IF(HB40="Skip",#N/A,SUM($HG$4:HG40)))</f>
        <v>#N/A</v>
      </c>
      <c r="HG40" s="63" t="str">
        <f t="shared" si="95"/>
        <v/>
      </c>
      <c r="HH40" s="82">
        <f t="shared" si="96"/>
        <v>1.1734506784011767</v>
      </c>
    </row>
    <row r="41" spans="1:216" x14ac:dyDescent="0.25">
      <c r="A41" s="57" t="s">
        <v>1404</v>
      </c>
      <c r="B41" s="58" t="s">
        <v>5104</v>
      </c>
      <c r="C41" s="386">
        <f t="shared" si="0"/>
        <v>3</v>
      </c>
      <c r="D41" s="372" t="str">
        <f>_xlfn.XLOOKUP(A41,[1]SP500!$A$2:$A$502,[1]SP500!$D$2:$D$502,"N")</f>
        <v>Y</v>
      </c>
      <c r="E41" s="57" t="str">
        <f>_xlfn.XLOOKUP(A41,[1]SP500!$A$2:$A$655,[1]SP500!$B$2:$B$655)</f>
        <v>INS</v>
      </c>
      <c r="F41" s="59">
        <v>45679</v>
      </c>
      <c r="G41" s="57" t="str">
        <f t="shared" si="1"/>
        <v>BMO</v>
      </c>
      <c r="H41" s="57" t="str">
        <f t="shared" si="2"/>
        <v>o</v>
      </c>
      <c r="I41" s="159">
        <v>239.16</v>
      </c>
      <c r="J41" s="158">
        <v>250.5</v>
      </c>
      <c r="K41" s="61">
        <f t="shared" si="3"/>
        <v>4.7415955845459122E-2</v>
      </c>
      <c r="L41" s="87">
        <f t="shared" si="4"/>
        <v>18.966382338183621</v>
      </c>
      <c r="M41" s="63" t="str">
        <f t="shared" si="104"/>
        <v/>
      </c>
      <c r="N41" s="219" t="str">
        <f t="shared" si="6"/>
        <v/>
      </c>
      <c r="O41" s="219">
        <f>IF($J41="",#N/A,SUM($N$4:N41))</f>
        <v>69.6715846309217</v>
      </c>
      <c r="P41" s="220" t="str">
        <f t="shared" si="7"/>
        <v/>
      </c>
      <c r="Q41" s="220">
        <f>IF($J41="",#N/A,SUM($P$4:P41))</f>
        <v>20.143824992313739</v>
      </c>
      <c r="R41" s="221">
        <f t="shared" si="8"/>
        <v>18.966382338183621</v>
      </c>
      <c r="S41" s="222">
        <f>IF($J41="",#N/A,SUM($R$4:R41))</f>
        <v>238.86772795941516</v>
      </c>
      <c r="T41" s="281" t="str">
        <f t="shared" si="9"/>
        <v/>
      </c>
      <c r="U41" s="281">
        <f>IF($J41="",#N/A,SUM($T$4:T41))</f>
        <v>2.9029826929550708</v>
      </c>
      <c r="V41" s="282" t="str">
        <f t="shared" si="10"/>
        <v/>
      </c>
      <c r="W41" s="282">
        <f>IF($J41="",#N/A,SUM($V$4:V41))</f>
        <v>0.83932604134640565</v>
      </c>
      <c r="X41" s="283">
        <f t="shared" si="11"/>
        <v>0.79026593075765084</v>
      </c>
      <c r="Y41" s="283">
        <f>IF($J41="",#N/A,SUM($X$4:X41))</f>
        <v>9.9528219983089645</v>
      </c>
      <c r="Z41" s="304" t="str">
        <f t="shared" si="12"/>
        <v/>
      </c>
      <c r="AA41" s="304">
        <f>IF($J41="",#N/A,SUM(Z$4:Z41))</f>
        <v>0.67152548588192462</v>
      </c>
      <c r="AB41" s="305" t="str">
        <f t="shared" si="13"/>
        <v/>
      </c>
      <c r="AC41" s="305">
        <f>IF($J41="",#N/A,SUM(AB$4:AB41))</f>
        <v>0</v>
      </c>
      <c r="AD41" s="306" t="str">
        <f t="shared" si="14"/>
        <v/>
      </c>
      <c r="AE41" s="306">
        <f>IF($J41="",#N/A,SUM(AD$4:AD41))</f>
        <v>1.2148148148148128</v>
      </c>
      <c r="AF41" s="306">
        <f>IF($J41="",#N/A,SUM(AD$4:AD41,AB$4:AB41,Z$4:Z41))</f>
        <v>1.8863403006967374</v>
      </c>
      <c r="AG41" s="304" t="str">
        <f t="shared" si="15"/>
        <v/>
      </c>
      <c r="AH41" s="304">
        <f>IF($J41="",#N/A,SUM(AG$4:AG41))</f>
        <v>0</v>
      </c>
      <c r="AI41" s="305" t="str">
        <f t="shared" si="16"/>
        <v/>
      </c>
      <c r="AJ41" s="305">
        <f>IF($J41="",#N/A,SUM(AI$4:AI41))</f>
        <v>0</v>
      </c>
      <c r="AK41" s="306" t="str">
        <f t="shared" si="17"/>
        <v/>
      </c>
      <c r="AL41" s="306">
        <f>IF($J41="",#N/A,SUM(AK$4:AK41))</f>
        <v>0</v>
      </c>
      <c r="AM41" s="306">
        <f>IF($J41="",#N/A,SUM(AK$4:AK41,AI$4:AI41,AG$4:AG41))</f>
        <v>0</v>
      </c>
      <c r="AN41" s="304" t="str">
        <f t="shared" si="18"/>
        <v/>
      </c>
      <c r="AO41" s="304">
        <f>IF($J41="",#N/A,SUM(AN$4:AN41))</f>
        <v>0</v>
      </c>
      <c r="AP41" s="305" t="str">
        <f t="shared" si="19"/>
        <v/>
      </c>
      <c r="AQ41" s="305">
        <f>IF($J41="",#N/A,SUM(AP$4:AP41))</f>
        <v>0</v>
      </c>
      <c r="AR41" s="306" t="str">
        <f t="shared" si="20"/>
        <v/>
      </c>
      <c r="AS41" s="306">
        <f>IF($J41="",#N/A,SUM(AR$4:AR41))</f>
        <v>0</v>
      </c>
      <c r="AT41" s="306">
        <f>IF($J41="",#N/A,SUM(AR$4:AR41,AP$4:AP41,AN$4:AN41))</f>
        <v>0</v>
      </c>
      <c r="AU41" s="304" t="str">
        <f t="shared" si="21"/>
        <v/>
      </c>
      <c r="AV41" s="304">
        <f>IF($J41="",#N/A,SUM(AU$4:AU41))</f>
        <v>0</v>
      </c>
      <c r="AW41" s="305" t="str">
        <f t="shared" si="22"/>
        <v/>
      </c>
      <c r="AX41" s="305">
        <f>IF($J41="",#N/A,SUM(AW$4:AW41))</f>
        <v>1.2290222546515868</v>
      </c>
      <c r="AY41" s="306" t="str">
        <f t="shared" si="23"/>
        <v/>
      </c>
      <c r="AZ41" s="306">
        <f>IF($J41="",#N/A,SUM(AY$4:AY41))</f>
        <v>3.0490332683593495</v>
      </c>
      <c r="BA41" s="306">
        <f>IF($J41="",#N/A,SUM(AY$4:AY41,AW$4:AW41,AU$4:AU41))</f>
        <v>4.2780555230109361</v>
      </c>
      <c r="BB41" s="304" t="str">
        <f t="shared" si="24"/>
        <v/>
      </c>
      <c r="BC41" s="304">
        <f>IF($J41="",#N/A,SUM(BB$4:BB41))</f>
        <v>0</v>
      </c>
      <c r="BD41" s="305" t="str">
        <f t="shared" si="25"/>
        <v/>
      </c>
      <c r="BE41" s="305">
        <f>IF($J41="",#N/A,SUM(BD$4:BD41))</f>
        <v>0</v>
      </c>
      <c r="BF41" s="306" t="str">
        <f t="shared" si="26"/>
        <v/>
      </c>
      <c r="BG41" s="306">
        <f>IF($J41="",#N/A,SUM(BF$4:BF41))</f>
        <v>2.4597169840247779</v>
      </c>
      <c r="BH41" s="306">
        <f>IF($J41="",#N/A,SUM(BF$4:BF41,BD$4:BD41,BB$4:BB41))</f>
        <v>2.4597169840247779</v>
      </c>
      <c r="BI41" s="304" t="str">
        <f t="shared" si="27"/>
        <v/>
      </c>
      <c r="BJ41" s="304">
        <f>IF($J41="",#N/A,SUM(BI$4:BI41))</f>
        <v>-0.63021254112582636</v>
      </c>
      <c r="BK41" s="305" t="str">
        <f t="shared" si="28"/>
        <v/>
      </c>
      <c r="BL41" s="305">
        <f>IF($J41="",#N/A,SUM(BK$4:BK41))</f>
        <v>0</v>
      </c>
      <c r="BM41" s="306" t="str">
        <f t="shared" si="29"/>
        <v/>
      </c>
      <c r="BN41" s="306">
        <f>IF($J41="",#N/A,SUM(BM$4:BM41))</f>
        <v>3.8210959759517467</v>
      </c>
      <c r="BO41" s="306">
        <f>IF($J41="",#N/A,SUM(BM$4:BM41,BK$4:BK41,BI$4:BI41))</f>
        <v>3.1908834348259205</v>
      </c>
      <c r="BP41" s="304" t="str">
        <f t="shared" si="30"/>
        <v/>
      </c>
      <c r="BQ41" s="304">
        <f>IF($J41="",#N/A,SUM(BP$4:BP41))</f>
        <v>2.861669748198973</v>
      </c>
      <c r="BR41" s="305" t="str">
        <f t="shared" si="31"/>
        <v/>
      </c>
      <c r="BS41" s="305">
        <f>IF($J41="",#N/A,SUM(BR$4:BR41))</f>
        <v>-0.34773304801390975</v>
      </c>
      <c r="BT41" s="306" t="str">
        <f t="shared" si="32"/>
        <v/>
      </c>
      <c r="BU41" s="306">
        <f>IF($J41="",#N/A,SUM(BT$4:BT41))</f>
        <v>-1.0025062656641595</v>
      </c>
      <c r="BV41" s="306">
        <f>IF($J41="",#N/A,SUM(BT$4:BT41,BR$4:BR41,BP$4:BP41))</f>
        <v>1.5114304345209035</v>
      </c>
      <c r="BW41" s="304" t="str">
        <f t="shared" si="33"/>
        <v/>
      </c>
      <c r="BX41" s="304">
        <f>IF($J41="",#N/A,SUM(BW$4:BW41))</f>
        <v>0</v>
      </c>
      <c r="BY41" s="305" t="str">
        <f t="shared" si="34"/>
        <v/>
      </c>
      <c r="BZ41" s="305">
        <f>IF($J41="",#N/A,SUM(BY$4:BY41))</f>
        <v>0.46686916413544804</v>
      </c>
      <c r="CA41" s="306" t="str">
        <f t="shared" si="35"/>
        <v/>
      </c>
      <c r="CB41" s="306">
        <f>IF($J41="",#N/A,SUM(CA$4:CA41))</f>
        <v>-0.37959870993521366</v>
      </c>
      <c r="CC41" s="306">
        <f>IF($J41="",#N/A,SUM(CA$4:CA41,BY$4:BY41,BW$4:BW41))</f>
        <v>8.7270454200234382E-2</v>
      </c>
      <c r="CD41" s="304" t="str">
        <f t="shared" si="36"/>
        <v/>
      </c>
      <c r="CE41" s="304">
        <f>IF($J41="",#N/A,SUM(CD$4:CD41))</f>
        <v>0</v>
      </c>
      <c r="CF41" s="305" t="str">
        <f t="shared" si="37"/>
        <v/>
      </c>
      <c r="CG41" s="305">
        <f>IF($J41="",#N/A,SUM(CF$4:CF41))</f>
        <v>0</v>
      </c>
      <c r="CH41" s="306" t="str">
        <f t="shared" si="38"/>
        <v/>
      </c>
      <c r="CI41" s="306">
        <f>IF($J41="",#N/A,SUM(CH$4:CH41))</f>
        <v>0</v>
      </c>
      <c r="CJ41" s="306">
        <f>IF($J41="",#N/A,SUM(CH$4:CH41,CF$4:CF41,CD$4:CD41))</f>
        <v>0</v>
      </c>
      <c r="CK41" s="304" t="str">
        <f t="shared" si="39"/>
        <v/>
      </c>
      <c r="CL41" s="304">
        <f>IF($J41="",#N/A,SUM(CK$4:CK41))</f>
        <v>0</v>
      </c>
      <c r="CM41" s="305" t="str">
        <f t="shared" si="40"/>
        <v/>
      </c>
      <c r="CN41" s="305">
        <f>IF($J41="",#N/A,SUM(CM$4:CM41))</f>
        <v>0</v>
      </c>
      <c r="CO41" s="306" t="str">
        <f t="shared" si="41"/>
        <v/>
      </c>
      <c r="CP41" s="306">
        <f>IF($J41="",#N/A,SUM(CO$4:CO41))</f>
        <v>0</v>
      </c>
      <c r="CQ41" s="306">
        <f>IF($J41="",#N/A,SUM(CO$4:CO41,CM$4:CM41,CK$4:CK41))</f>
        <v>0</v>
      </c>
      <c r="CR41" s="304" t="str">
        <f t="shared" si="42"/>
        <v/>
      </c>
      <c r="CS41" s="304">
        <f>IF($J41="",#N/A,SUM(CR$4:CR41))</f>
        <v>0</v>
      </c>
      <c r="CT41" s="305" t="str">
        <f t="shared" si="43"/>
        <v/>
      </c>
      <c r="CU41" s="305">
        <f>IF($J41="",#N/A,SUM(CT$4:CT41))</f>
        <v>-0.42995051512938903</v>
      </c>
      <c r="CV41" s="306" t="str">
        <f t="shared" si="44"/>
        <v/>
      </c>
      <c r="CW41" s="306">
        <f>IF($J41="",#N/A,SUM(CV$4:CV41))</f>
        <v>0</v>
      </c>
      <c r="CX41" s="306">
        <f>IF($J41="",#N/A,SUM(CV$4:CV41,CT$4:CT41,CR$4:CR41))</f>
        <v>-0.42995051512938903</v>
      </c>
      <c r="CY41" s="304" t="str">
        <f t="shared" si="45"/>
        <v/>
      </c>
      <c r="CZ41" s="304">
        <f>IF($J41="",#N/A,SUM(CY$4:CY41))</f>
        <v>0</v>
      </c>
      <c r="DA41" s="305" t="str">
        <f t="shared" si="46"/>
        <v/>
      </c>
      <c r="DB41" s="305">
        <f>IF($J41="",#N/A,SUM(DA$4:DA41))</f>
        <v>0</v>
      </c>
      <c r="DC41" s="306" t="str">
        <f t="shared" si="47"/>
        <v/>
      </c>
      <c r="DD41" s="306">
        <f>IF($J41="",#N/A,SUM(DC$4:DC41))</f>
        <v>0</v>
      </c>
      <c r="DE41" s="306">
        <f>IF($J41="",#N/A,SUM(DC$4:DC41,DA$4:DA41,CY$4:CY41))</f>
        <v>0</v>
      </c>
      <c r="DF41" s="304" t="str">
        <f t="shared" si="48"/>
        <v/>
      </c>
      <c r="DG41" s="304">
        <f>IF($J41="",#N/A,SUM(DF$4:DF41))</f>
        <v>0</v>
      </c>
      <c r="DH41" s="305" t="str">
        <f t="shared" si="49"/>
        <v/>
      </c>
      <c r="DI41" s="305">
        <f>IF($J41="",#N/A,SUM(DH$4:DH41))</f>
        <v>0</v>
      </c>
      <c r="DJ41" s="306" t="str">
        <f t="shared" si="50"/>
        <v/>
      </c>
      <c r="DK41" s="306">
        <f>IF($J41="",#N/A,SUM(DJ$4:DJ41))</f>
        <v>0</v>
      </c>
      <c r="DL41" s="306">
        <f>IF($J41="",#N/A,SUM(DJ$4:DJ41,DH$4:DH41,DF$4:DF41))</f>
        <v>0</v>
      </c>
      <c r="DM41" s="304" t="str">
        <f t="shared" si="51"/>
        <v/>
      </c>
      <c r="DN41" s="304">
        <f>IF($J41="",#N/A,SUM(DM$4:DM41))</f>
        <v>0</v>
      </c>
      <c r="DO41" s="305" t="str">
        <f t="shared" si="52"/>
        <v/>
      </c>
      <c r="DP41" s="305">
        <f>IF($J41="",#N/A,SUM(DO$4:DO41))</f>
        <v>0</v>
      </c>
      <c r="DQ41" s="306">
        <f t="shared" si="53"/>
        <v>0.79026593075765084</v>
      </c>
      <c r="DR41" s="306">
        <f>IF($J41="",#N/A,SUM(DQ$4:DQ41))</f>
        <v>0.79026593075765084</v>
      </c>
      <c r="DS41" s="306">
        <f>IF($J41="",#N/A,SUM(DQ$4:DQ41,DO$4:DO41,DM$4:DM41))</f>
        <v>0.79026593075765084</v>
      </c>
      <c r="DT41" s="304" t="str">
        <f t="shared" si="54"/>
        <v/>
      </c>
      <c r="DU41" s="304">
        <f>IF($J41="",#N/A,SUM(DT$4:DT41))</f>
        <v>0</v>
      </c>
      <c r="DV41" s="305" t="str">
        <f t="shared" si="55"/>
        <v/>
      </c>
      <c r="DW41" s="305">
        <f>IF($J41="",#N/A,SUM(DV$4:DV41))</f>
        <v>0.40085630512924314</v>
      </c>
      <c r="DX41" s="306" t="str">
        <f t="shared" si="56"/>
        <v/>
      </c>
      <c r="DY41" s="306">
        <f>IF($J41="",#N/A,SUM(DX$4:DX41))</f>
        <v>0</v>
      </c>
      <c r="DZ41" s="306">
        <f>IF($J41="",#N/A,SUM(DX$4:DX41,DV$4:DV41,DT$4:DT41))</f>
        <v>0.40085630512924314</v>
      </c>
      <c r="EA41" s="304" t="str">
        <f t="shared" si="57"/>
        <v/>
      </c>
      <c r="EB41" s="304">
        <f>IF($J41="",#N/A,SUM(EA$4:EA41))</f>
        <v>0</v>
      </c>
      <c r="EC41" s="305" t="str">
        <f t="shared" si="58"/>
        <v/>
      </c>
      <c r="ED41" s="305">
        <f>IF($J41="",#N/A,SUM(EC$4:EC41))</f>
        <v>-0.47973811942657352</v>
      </c>
      <c r="EE41" s="306" t="str">
        <f t="shared" si="59"/>
        <v/>
      </c>
      <c r="EF41" s="306">
        <f>IF($J41="",#N/A,SUM(EE$4:EE41))</f>
        <v>0</v>
      </c>
      <c r="EG41" s="306">
        <f>IF($J41="",#N/A,SUM(EE$4:EE41,EC$4:EC41,EA$4:EA41))</f>
        <v>-0.47973811942657352</v>
      </c>
      <c r="EH41" s="223">
        <f t="shared" si="60"/>
        <v>18.966382338183621</v>
      </c>
      <c r="EI41" s="224">
        <f>IF(EH41="",#N/A,SUM($EH$4:EH41))</f>
        <v>328.6831375826506</v>
      </c>
      <c r="EJ41" s="223">
        <f t="shared" si="61"/>
        <v>12.644254892122433</v>
      </c>
      <c r="EK41" s="63">
        <f>IF($GZ41="",#N/A,SUM(EJ$4:EJ41))</f>
        <v>513.35807805135551</v>
      </c>
      <c r="EL41" s="60">
        <f t="shared" si="97"/>
        <v>0.79026593075765084</v>
      </c>
      <c r="EM41" s="60">
        <f>IF(EL41="",NA(),SUM($EL$4:EL41))</f>
        <v>13.695130732610442</v>
      </c>
      <c r="EN41" s="60" t="str">
        <f t="shared" si="62"/>
        <v/>
      </c>
      <c r="EO41" s="60" t="e">
        <f>IF(EN41="",NA(),SUM($EN$4:EN41))</f>
        <v>#N/A</v>
      </c>
      <c r="EP41" s="60">
        <f t="shared" si="63"/>
        <v>0.79026593075765084</v>
      </c>
      <c r="EQ41" s="60">
        <f>IF(EP41="",NA(),SUM($EP$4:EP41))</f>
        <v>9.9528219983089645</v>
      </c>
      <c r="ER41" s="60" t="str">
        <f t="shared" si="64"/>
        <v/>
      </c>
      <c r="ES41" s="60" t="e">
        <f>IF(ER41="",NA(),SUM($ER$4:ER41))</f>
        <v>#N/A</v>
      </c>
      <c r="ET41" s="60" t="str">
        <f t="shared" si="65"/>
        <v/>
      </c>
      <c r="EU41" s="60" t="e">
        <f>IF(ET41="",NA(),SUM($ET$4:ET41))</f>
        <v>#N/A</v>
      </c>
      <c r="EV41" s="60" t="str">
        <f t="shared" si="66"/>
        <v/>
      </c>
      <c r="EW41" s="60" t="e">
        <f>IF(EV41="",NA(),SUM($EV$4:EV41))</f>
        <v>#N/A</v>
      </c>
      <c r="EX41" s="60" t="str">
        <f t="shared" si="67"/>
        <v/>
      </c>
      <c r="EY41" s="60" t="e">
        <f>IF(EX41="",NA(),SUM($EX$4:EX41))</f>
        <v>#N/A</v>
      </c>
      <c r="EZ41" s="60" t="str">
        <f t="shared" si="68"/>
        <v/>
      </c>
      <c r="FA41" s="60" t="e">
        <f>IF(EZ41="",NA(),SUM($EZ$4:EZ41))</f>
        <v>#N/A</v>
      </c>
      <c r="FB41" s="246" t="str">
        <f t="shared" si="98"/>
        <v/>
      </c>
      <c r="FC41" s="246" t="e">
        <f>IF($FB41="",#N/A,SUM(FB$4:$FB41))</f>
        <v>#N/A</v>
      </c>
      <c r="FD41" s="60" t="str">
        <f t="shared" si="69"/>
        <v/>
      </c>
      <c r="FE41" s="60" t="e">
        <f>IF($FD41="",#N/A,SUM($FD$4:FD41))</f>
        <v>#N/A</v>
      </c>
      <c r="FF41" s="60" t="str">
        <f t="shared" si="70"/>
        <v/>
      </c>
      <c r="FG41" s="60" t="e">
        <f>IF($FF41="",#N/A,SUM($FF$4:FF41))</f>
        <v>#N/A</v>
      </c>
      <c r="FH41" s="60" t="str">
        <f t="shared" si="71"/>
        <v/>
      </c>
      <c r="FI41" s="60" t="e">
        <f>IF($FH41="",#N/A,SUM($FH$4:FH41))</f>
        <v>#N/A</v>
      </c>
      <c r="FJ41" s="60">
        <f t="shared" si="72"/>
        <v>-0.26342197691921609</v>
      </c>
      <c r="FK41" s="60">
        <f>IF($FJ41="",#N/A,SUM($FJ$4:FJ41))</f>
        <v>1.7083605996342734</v>
      </c>
      <c r="FL41" s="60" t="str">
        <f t="shared" si="73"/>
        <v/>
      </c>
      <c r="FM41" s="60" t="e">
        <f>IF($FL41="",#N/A,SUM($FL$4:FL41))</f>
        <v>#N/A</v>
      </c>
      <c r="FN41" s="82">
        <f t="shared" si="74"/>
        <v>0.52684395383843474</v>
      </c>
      <c r="FO41" s="82">
        <f>IF($FN41="",#N/A,SUM(FN$4:$FN41))</f>
        <v>21.389919918806484</v>
      </c>
      <c r="FP41" s="82">
        <f t="shared" si="99"/>
        <v>0.79026593075765084</v>
      </c>
      <c r="FQ41" s="246">
        <f>IF($EH41="",#N/A,SUM($FP$4:FP41))</f>
        <v>13.695130732610442</v>
      </c>
      <c r="FR41" s="82">
        <f>IFERROR(FQ41/COUNTA($J$4:J41),#N/A)</f>
        <v>0.360398177173959</v>
      </c>
      <c r="FS41" s="99"/>
      <c r="FT41" s="82">
        <f t="shared" si="103"/>
        <v>0.22402783624131345</v>
      </c>
      <c r="FU41" s="82" t="e">
        <v>#N/A</v>
      </c>
      <c r="FV41" s="57" t="str">
        <f t="shared" si="75"/>
        <v>SW</v>
      </c>
      <c r="FW41" s="57" t="s">
        <v>2732</v>
      </c>
      <c r="FX41" s="57" t="str">
        <f t="shared" si="76"/>
        <v/>
      </c>
      <c r="FY41" s="57" t="str">
        <f t="shared" si="77"/>
        <v/>
      </c>
      <c r="FZ41" s="57">
        <f t="shared" si="78"/>
        <v>1</v>
      </c>
      <c r="GA41" s="57" t="str">
        <f t="shared" si="79"/>
        <v>Long</v>
      </c>
      <c r="GB41" s="57" t="str">
        <f t="shared" si="80"/>
        <v/>
      </c>
      <c r="GC41" s="57" t="str">
        <f t="shared" si="81"/>
        <v/>
      </c>
      <c r="GD41" s="57" t="str">
        <f t="shared" si="82"/>
        <v/>
      </c>
      <c r="GE41" s="62">
        <f t="shared" si="105"/>
        <v>239.16</v>
      </c>
      <c r="GF41" s="62" t="s">
        <v>2779</v>
      </c>
      <c r="GG41" s="199">
        <f t="shared" si="106"/>
        <v>1.6725204883759826</v>
      </c>
      <c r="GH41" s="207">
        <f t="shared" si="85"/>
        <v>400</v>
      </c>
      <c r="GI41" s="199">
        <f t="shared" si="107"/>
        <v>1.6725204883759826</v>
      </c>
      <c r="GJ41" s="200">
        <f t="shared" si="108"/>
        <v>250.5</v>
      </c>
      <c r="GK41" s="63">
        <f t="shared" si="88"/>
        <v>18.966382338183621</v>
      </c>
      <c r="GL41" s="63">
        <f t="shared" si="109"/>
        <v>12.644254892122433</v>
      </c>
      <c r="GM41" s="82">
        <f t="shared" si="90"/>
        <v>0.52684395383843474</v>
      </c>
      <c r="GN41" s="82">
        <f>IF($GZ41="",#N/A,SUM(GM$4:GM41))</f>
        <v>12.581117390208993</v>
      </c>
      <c r="GO41" s="82" t="str">
        <f t="shared" si="91"/>
        <v/>
      </c>
      <c r="GP41" s="82">
        <f>IF($GZ41="",#N/A,SUM(GO$4:GO41))</f>
        <v>5.4860654654595171</v>
      </c>
      <c r="GQ41" s="82" t="str">
        <f t="shared" si="92"/>
        <v/>
      </c>
      <c r="GR41" s="82">
        <f>IF($GZ41="",#N/A,SUM(GQ$4:GQ41))</f>
        <v>3.3227370631379745</v>
      </c>
      <c r="GS41" s="63">
        <f t="shared" si="100"/>
        <v>12.644254892122433</v>
      </c>
      <c r="GT41" s="63">
        <f>IF($GZ41="",#N/A,SUM(GS$4:GS41))</f>
        <v>301.94681736501582</v>
      </c>
      <c r="GU41" s="63" t="str">
        <f t="shared" si="101"/>
        <v/>
      </c>
      <c r="GV41" s="63">
        <f>IF($GZ41="",#N/A,SUM(GU$4:GU41))</f>
        <v>131.66557117102838</v>
      </c>
      <c r="GW41" s="62" t="str">
        <f t="shared" si="102"/>
        <v/>
      </c>
      <c r="GX41" s="63">
        <f>IF($GZ41="",#N/A,SUM(GW$4:GW41))</f>
        <v>79.745689515311369</v>
      </c>
      <c r="GY41" s="63">
        <f>IF(EJ41="",#N/A,SUM($EJ$4:EJ41))</f>
        <v>513.35807805135551</v>
      </c>
      <c r="GZ41" s="159">
        <v>246.72</v>
      </c>
      <c r="HA41" s="63">
        <f t="shared" si="93"/>
        <v>-6.322127446061188</v>
      </c>
      <c r="HB41" s="62" t="s">
        <v>4970</v>
      </c>
      <c r="HC41" s="60">
        <f>IFERROR(VLOOKUP(E41,Expectancy!$P$4:$S$19,1+C41,FALSE),"")</f>
        <v>-3.1543782927977014E-2</v>
      </c>
      <c r="HD41" s="60" t="str">
        <f t="shared" si="94"/>
        <v/>
      </c>
      <c r="HE41" s="60" t="e">
        <f>IF(HD41="",#N/A,SUM($HD$4:HD41))</f>
        <v>#N/A</v>
      </c>
      <c r="HF41" s="64" t="e">
        <f>IF(HD41="",#N/A,IF(HB41="Skip",#N/A,SUM($HG$4:HG41)))</f>
        <v>#N/A</v>
      </c>
      <c r="HG41" s="63" t="str">
        <f t="shared" si="95"/>
        <v/>
      </c>
      <c r="HH41" s="82">
        <f t="shared" si="96"/>
        <v>0.52684395383843474</v>
      </c>
    </row>
    <row r="42" spans="1:216" x14ac:dyDescent="0.25">
      <c r="A42" s="57" t="s">
        <v>1429</v>
      </c>
      <c r="B42" s="58" t="s">
        <v>5105</v>
      </c>
      <c r="C42" s="386">
        <f t="shared" si="0"/>
        <v>3</v>
      </c>
      <c r="D42" s="372" t="str">
        <f>_xlfn.XLOOKUP(A42,[1]SP500!$A$2:$A$502,[1]SP500!$D$2:$D$502,"N")</f>
        <v>Y</v>
      </c>
      <c r="E42" s="57" t="str">
        <f>_xlfn.XLOOKUP(A42,[1]SP500!$A$2:$A$655,[1]SP500!$B$2:$B$655)</f>
        <v>XLK</v>
      </c>
      <c r="F42" s="59">
        <v>45679</v>
      </c>
      <c r="G42" s="57" t="str">
        <f t="shared" si="1"/>
        <v>BMO</v>
      </c>
      <c r="H42" s="57" t="str">
        <f t="shared" si="2"/>
        <v>o</v>
      </c>
      <c r="I42" s="158">
        <v>148.30000000000001</v>
      </c>
      <c r="J42" s="159">
        <v>151.33000000000001</v>
      </c>
      <c r="K42" s="61">
        <f t="shared" si="3"/>
        <v>2.0431557653405267E-2</v>
      </c>
      <c r="L42" s="87">
        <f t="shared" si="4"/>
        <v>8.1726230613621169</v>
      </c>
      <c r="M42" s="63" t="str">
        <f t="shared" si="104"/>
        <v/>
      </c>
      <c r="N42" s="219" t="str">
        <f t="shared" si="6"/>
        <v/>
      </c>
      <c r="O42" s="219">
        <f>IF($J42="",#N/A,SUM($N$4:N42))</f>
        <v>69.6715846309217</v>
      </c>
      <c r="P42" s="220" t="str">
        <f t="shared" si="7"/>
        <v/>
      </c>
      <c r="Q42" s="220">
        <f>IF($J42="",#N/A,SUM($P$4:P42))</f>
        <v>20.143824992313739</v>
      </c>
      <c r="R42" s="221">
        <f t="shared" si="8"/>
        <v>8.1726230613621169</v>
      </c>
      <c r="S42" s="222">
        <f>IF($J42="",#N/A,SUM($R$4:R42))</f>
        <v>247.04035102077728</v>
      </c>
      <c r="T42" s="281" t="str">
        <f t="shared" si="9"/>
        <v/>
      </c>
      <c r="U42" s="281">
        <f>IF($J42="",#N/A,SUM($T$4:T42))</f>
        <v>2.9029826929550708</v>
      </c>
      <c r="V42" s="282" t="str">
        <f t="shared" si="10"/>
        <v/>
      </c>
      <c r="W42" s="282">
        <f>IF($J42="",#N/A,SUM($V$4:V42))</f>
        <v>0.83932604134640565</v>
      </c>
      <c r="X42" s="283">
        <f t="shared" si="11"/>
        <v>0.34052596089008819</v>
      </c>
      <c r="Y42" s="283">
        <f>IF($J42="",#N/A,SUM($X$4:X42))</f>
        <v>10.293347959199053</v>
      </c>
      <c r="Z42" s="304" t="str">
        <f t="shared" si="12"/>
        <v/>
      </c>
      <c r="AA42" s="304">
        <f>IF($J42="",#N/A,SUM(Z$4:Z42))</f>
        <v>0.67152548588192462</v>
      </c>
      <c r="AB42" s="305" t="str">
        <f t="shared" si="13"/>
        <v/>
      </c>
      <c r="AC42" s="305">
        <f>IF($J42="",#N/A,SUM(AB$4:AB42))</f>
        <v>0</v>
      </c>
      <c r="AD42" s="306">
        <f t="shared" si="14"/>
        <v>0.34052596089008819</v>
      </c>
      <c r="AE42" s="306">
        <f>IF($J42="",#N/A,SUM(AD$4:AD42))</f>
        <v>1.5553407757049009</v>
      </c>
      <c r="AF42" s="306">
        <f>IF($J42="",#N/A,SUM(AD$4:AD42,AB$4:AB42,Z$4:Z42))</f>
        <v>2.2268662615868253</v>
      </c>
      <c r="AG42" s="304" t="str">
        <f t="shared" si="15"/>
        <v/>
      </c>
      <c r="AH42" s="304">
        <f>IF($J42="",#N/A,SUM(AG$4:AG42))</f>
        <v>0</v>
      </c>
      <c r="AI42" s="305" t="str">
        <f t="shared" si="16"/>
        <v/>
      </c>
      <c r="AJ42" s="305">
        <f>IF($J42="",#N/A,SUM(AI$4:AI42))</f>
        <v>0</v>
      </c>
      <c r="AK42" s="306" t="str">
        <f t="shared" si="17"/>
        <v/>
      </c>
      <c r="AL42" s="306">
        <f>IF($J42="",#N/A,SUM(AK$4:AK42))</f>
        <v>0</v>
      </c>
      <c r="AM42" s="306">
        <f>IF($J42="",#N/A,SUM(AK$4:AK42,AI$4:AI42,AG$4:AG42))</f>
        <v>0</v>
      </c>
      <c r="AN42" s="304" t="str">
        <f t="shared" si="18"/>
        <v/>
      </c>
      <c r="AO42" s="304">
        <f>IF($J42="",#N/A,SUM(AN$4:AN42))</f>
        <v>0</v>
      </c>
      <c r="AP42" s="305" t="str">
        <f t="shared" si="19"/>
        <v/>
      </c>
      <c r="AQ42" s="305">
        <f>IF($J42="",#N/A,SUM(AP$4:AP42))</f>
        <v>0</v>
      </c>
      <c r="AR42" s="306" t="str">
        <f t="shared" si="20"/>
        <v/>
      </c>
      <c r="AS42" s="306">
        <f>IF($J42="",#N/A,SUM(AR$4:AR42))</f>
        <v>0</v>
      </c>
      <c r="AT42" s="306">
        <f>IF($J42="",#N/A,SUM(AR$4:AR42,AP$4:AP42,AN$4:AN42))</f>
        <v>0</v>
      </c>
      <c r="AU42" s="304" t="str">
        <f t="shared" si="21"/>
        <v/>
      </c>
      <c r="AV42" s="304">
        <f>IF($J42="",#N/A,SUM(AU$4:AU42))</f>
        <v>0</v>
      </c>
      <c r="AW42" s="305" t="str">
        <f t="shared" si="22"/>
        <v/>
      </c>
      <c r="AX42" s="305">
        <f>IF($J42="",#N/A,SUM(AW$4:AW42))</f>
        <v>1.2290222546515868</v>
      </c>
      <c r="AY42" s="306" t="str">
        <f t="shared" si="23"/>
        <v/>
      </c>
      <c r="AZ42" s="306">
        <f>IF($J42="",#N/A,SUM(AY$4:AY42))</f>
        <v>3.0490332683593495</v>
      </c>
      <c r="BA42" s="306">
        <f>IF($J42="",#N/A,SUM(AY$4:AY42,AW$4:AW42,AU$4:AU42))</f>
        <v>4.2780555230109361</v>
      </c>
      <c r="BB42" s="304" t="str">
        <f t="shared" si="24"/>
        <v/>
      </c>
      <c r="BC42" s="304">
        <f>IF($J42="",#N/A,SUM(BB$4:BB42))</f>
        <v>0</v>
      </c>
      <c r="BD42" s="305" t="str">
        <f t="shared" si="25"/>
        <v/>
      </c>
      <c r="BE42" s="305">
        <f>IF($J42="",#N/A,SUM(BD$4:BD42))</f>
        <v>0</v>
      </c>
      <c r="BF42" s="306" t="str">
        <f t="shared" si="26"/>
        <v/>
      </c>
      <c r="BG42" s="306">
        <f>IF($J42="",#N/A,SUM(BF$4:BF42))</f>
        <v>2.4597169840247779</v>
      </c>
      <c r="BH42" s="306">
        <f>IF($J42="",#N/A,SUM(BF$4:BF42,BD$4:BD42,BB$4:BB42))</f>
        <v>2.4597169840247779</v>
      </c>
      <c r="BI42" s="304" t="str">
        <f t="shared" si="27"/>
        <v/>
      </c>
      <c r="BJ42" s="304">
        <f>IF($J42="",#N/A,SUM(BI$4:BI42))</f>
        <v>-0.63021254112582636</v>
      </c>
      <c r="BK42" s="305" t="str">
        <f t="shared" si="28"/>
        <v/>
      </c>
      <c r="BL42" s="305">
        <f>IF($J42="",#N/A,SUM(BK$4:BK42))</f>
        <v>0</v>
      </c>
      <c r="BM42" s="306" t="str">
        <f t="shared" si="29"/>
        <v/>
      </c>
      <c r="BN42" s="306">
        <f>IF($J42="",#N/A,SUM(BM$4:BM42))</f>
        <v>3.8210959759517467</v>
      </c>
      <c r="BO42" s="306">
        <f>IF($J42="",#N/A,SUM(BM$4:BM42,BK$4:BK42,BI$4:BI42))</f>
        <v>3.1908834348259205</v>
      </c>
      <c r="BP42" s="304" t="str">
        <f t="shared" si="30"/>
        <v/>
      </c>
      <c r="BQ42" s="304">
        <f>IF($J42="",#N/A,SUM(BP$4:BP42))</f>
        <v>2.861669748198973</v>
      </c>
      <c r="BR42" s="305" t="str">
        <f t="shared" si="31"/>
        <v/>
      </c>
      <c r="BS42" s="305">
        <f>IF($J42="",#N/A,SUM(BR$4:BR42))</f>
        <v>-0.34773304801390975</v>
      </c>
      <c r="BT42" s="306" t="str">
        <f t="shared" si="32"/>
        <v/>
      </c>
      <c r="BU42" s="306">
        <f>IF($J42="",#N/A,SUM(BT$4:BT42))</f>
        <v>-1.0025062656641595</v>
      </c>
      <c r="BV42" s="306">
        <f>IF($J42="",#N/A,SUM(BT$4:BT42,BR$4:BR42,BP$4:BP42))</f>
        <v>1.5114304345209035</v>
      </c>
      <c r="BW42" s="304" t="str">
        <f t="shared" si="33"/>
        <v/>
      </c>
      <c r="BX42" s="304">
        <f>IF($J42="",#N/A,SUM(BW$4:BW42))</f>
        <v>0</v>
      </c>
      <c r="BY42" s="305" t="str">
        <f t="shared" si="34"/>
        <v/>
      </c>
      <c r="BZ42" s="305">
        <f>IF($J42="",#N/A,SUM(BY$4:BY42))</f>
        <v>0.46686916413544804</v>
      </c>
      <c r="CA42" s="306" t="str">
        <f t="shared" si="35"/>
        <v/>
      </c>
      <c r="CB42" s="306">
        <f>IF($J42="",#N/A,SUM(CA$4:CA42))</f>
        <v>-0.37959870993521366</v>
      </c>
      <c r="CC42" s="306">
        <f>IF($J42="",#N/A,SUM(CA$4:CA42,BY$4:BY42,BW$4:BW42))</f>
        <v>8.7270454200234382E-2</v>
      </c>
      <c r="CD42" s="304" t="str">
        <f t="shared" si="36"/>
        <v/>
      </c>
      <c r="CE42" s="304">
        <f>IF($J42="",#N/A,SUM(CD$4:CD42))</f>
        <v>0</v>
      </c>
      <c r="CF42" s="305" t="str">
        <f t="shared" si="37"/>
        <v/>
      </c>
      <c r="CG42" s="305">
        <f>IF($J42="",#N/A,SUM(CF$4:CF42))</f>
        <v>0</v>
      </c>
      <c r="CH42" s="306" t="str">
        <f t="shared" si="38"/>
        <v/>
      </c>
      <c r="CI42" s="306">
        <f>IF($J42="",#N/A,SUM(CH$4:CH42))</f>
        <v>0</v>
      </c>
      <c r="CJ42" s="306">
        <f>IF($J42="",#N/A,SUM(CH$4:CH42,CF$4:CF42,CD$4:CD42))</f>
        <v>0</v>
      </c>
      <c r="CK42" s="304" t="str">
        <f t="shared" si="39"/>
        <v/>
      </c>
      <c r="CL42" s="304">
        <f>IF($J42="",#N/A,SUM(CK$4:CK42))</f>
        <v>0</v>
      </c>
      <c r="CM42" s="305" t="str">
        <f t="shared" si="40"/>
        <v/>
      </c>
      <c r="CN42" s="305">
        <f>IF($J42="",#N/A,SUM(CM$4:CM42))</f>
        <v>0</v>
      </c>
      <c r="CO42" s="306" t="str">
        <f t="shared" si="41"/>
        <v/>
      </c>
      <c r="CP42" s="306">
        <f>IF($J42="",#N/A,SUM(CO$4:CO42))</f>
        <v>0</v>
      </c>
      <c r="CQ42" s="306">
        <f>IF($J42="",#N/A,SUM(CO$4:CO42,CM$4:CM42,CK$4:CK42))</f>
        <v>0</v>
      </c>
      <c r="CR42" s="304" t="str">
        <f t="shared" si="42"/>
        <v/>
      </c>
      <c r="CS42" s="304">
        <f>IF($J42="",#N/A,SUM(CR$4:CR42))</f>
        <v>0</v>
      </c>
      <c r="CT42" s="305" t="str">
        <f t="shared" si="43"/>
        <v/>
      </c>
      <c r="CU42" s="305">
        <f>IF($J42="",#N/A,SUM(CT$4:CT42))</f>
        <v>-0.42995051512938903</v>
      </c>
      <c r="CV42" s="306" t="str">
        <f t="shared" si="44"/>
        <v/>
      </c>
      <c r="CW42" s="306">
        <f>IF($J42="",#N/A,SUM(CV$4:CV42))</f>
        <v>0</v>
      </c>
      <c r="CX42" s="306">
        <f>IF($J42="",#N/A,SUM(CV$4:CV42,CT$4:CT42,CR$4:CR42))</f>
        <v>-0.42995051512938903</v>
      </c>
      <c r="CY42" s="304" t="str">
        <f t="shared" si="45"/>
        <v/>
      </c>
      <c r="CZ42" s="304">
        <f>IF($J42="",#N/A,SUM(CY$4:CY42))</f>
        <v>0</v>
      </c>
      <c r="DA42" s="305" t="str">
        <f t="shared" si="46"/>
        <v/>
      </c>
      <c r="DB42" s="305">
        <f>IF($J42="",#N/A,SUM(DA$4:DA42))</f>
        <v>0</v>
      </c>
      <c r="DC42" s="306" t="str">
        <f t="shared" si="47"/>
        <v/>
      </c>
      <c r="DD42" s="306">
        <f>IF($J42="",#N/A,SUM(DC$4:DC42))</f>
        <v>0</v>
      </c>
      <c r="DE42" s="306">
        <f>IF($J42="",#N/A,SUM(DC$4:DC42,DA$4:DA42,CY$4:CY42))</f>
        <v>0</v>
      </c>
      <c r="DF42" s="304" t="str">
        <f t="shared" si="48"/>
        <v/>
      </c>
      <c r="DG42" s="304">
        <f>IF($J42="",#N/A,SUM(DF$4:DF42))</f>
        <v>0</v>
      </c>
      <c r="DH42" s="305" t="str">
        <f t="shared" si="49"/>
        <v/>
      </c>
      <c r="DI42" s="305">
        <f>IF($J42="",#N/A,SUM(DH$4:DH42))</f>
        <v>0</v>
      </c>
      <c r="DJ42" s="306" t="str">
        <f t="shared" si="50"/>
        <v/>
      </c>
      <c r="DK42" s="306">
        <f>IF($J42="",#N/A,SUM(DJ$4:DJ42))</f>
        <v>0</v>
      </c>
      <c r="DL42" s="306">
        <f>IF($J42="",#N/A,SUM(DJ$4:DJ42,DH$4:DH42,DF$4:DF42))</f>
        <v>0</v>
      </c>
      <c r="DM42" s="304" t="str">
        <f t="shared" si="51"/>
        <v/>
      </c>
      <c r="DN42" s="304">
        <f>IF($J42="",#N/A,SUM(DM$4:DM42))</f>
        <v>0</v>
      </c>
      <c r="DO42" s="305" t="str">
        <f t="shared" si="52"/>
        <v/>
      </c>
      <c r="DP42" s="305">
        <f>IF($J42="",#N/A,SUM(DO$4:DO42))</f>
        <v>0</v>
      </c>
      <c r="DQ42" s="306" t="str">
        <f t="shared" si="53"/>
        <v/>
      </c>
      <c r="DR42" s="306">
        <f>IF($J42="",#N/A,SUM(DQ$4:DQ42))</f>
        <v>0.79026593075765084</v>
      </c>
      <c r="DS42" s="306">
        <f>IF($J42="",#N/A,SUM(DQ$4:DQ42,DO$4:DO42,DM$4:DM42))</f>
        <v>0.79026593075765084</v>
      </c>
      <c r="DT42" s="304" t="str">
        <f t="shared" si="54"/>
        <v/>
      </c>
      <c r="DU42" s="304">
        <f>IF($J42="",#N/A,SUM(DT$4:DT42))</f>
        <v>0</v>
      </c>
      <c r="DV42" s="305" t="str">
        <f t="shared" si="55"/>
        <v/>
      </c>
      <c r="DW42" s="305">
        <f>IF($J42="",#N/A,SUM(DV$4:DV42))</f>
        <v>0.40085630512924314</v>
      </c>
      <c r="DX42" s="306" t="str">
        <f t="shared" si="56"/>
        <v/>
      </c>
      <c r="DY42" s="306">
        <f>IF($J42="",#N/A,SUM(DX$4:DX42))</f>
        <v>0</v>
      </c>
      <c r="DZ42" s="306">
        <f>IF($J42="",#N/A,SUM(DX$4:DX42,DV$4:DV42,DT$4:DT42))</f>
        <v>0.40085630512924314</v>
      </c>
      <c r="EA42" s="304" t="str">
        <f t="shared" si="57"/>
        <v/>
      </c>
      <c r="EB42" s="304">
        <f>IF($J42="",#N/A,SUM(EA$4:EA42))</f>
        <v>0</v>
      </c>
      <c r="EC42" s="305" t="str">
        <f t="shared" si="58"/>
        <v/>
      </c>
      <c r="ED42" s="305">
        <f>IF($J42="",#N/A,SUM(EC$4:EC42))</f>
        <v>-0.47973811942657352</v>
      </c>
      <c r="EE42" s="306" t="str">
        <f t="shared" si="59"/>
        <v/>
      </c>
      <c r="EF42" s="306">
        <f>IF($J42="",#N/A,SUM(EE$4:EE42))</f>
        <v>0</v>
      </c>
      <c r="EG42" s="306">
        <f>IF($J42="",#N/A,SUM(EE$4:EE42,EC$4:EC42,EA$4:EA42))</f>
        <v>-0.47973811942657352</v>
      </c>
      <c r="EH42" s="223">
        <f t="shared" si="60"/>
        <v>8.1726230613621169</v>
      </c>
      <c r="EI42" s="224">
        <f>IF(EH42="",#N/A,SUM($EH$4:EH42))</f>
        <v>336.85576064401272</v>
      </c>
      <c r="EJ42" s="223">
        <f t="shared" si="61"/>
        <v>18.314227916385732</v>
      </c>
      <c r="EK42" s="63">
        <f>IF($GZ42="",#N/A,SUM(EJ$4:EJ42))</f>
        <v>531.67230596774129</v>
      </c>
      <c r="EL42" s="60">
        <f t="shared" si="97"/>
        <v>0.34052596089008819</v>
      </c>
      <c r="EM42" s="60">
        <f>IF(EL42="",NA(),SUM($EL$4:EL42))</f>
        <v>14.035656693500531</v>
      </c>
      <c r="EN42" s="60" t="str">
        <f t="shared" si="62"/>
        <v/>
      </c>
      <c r="EO42" s="60" t="e">
        <f>IF(EN42="",NA(),SUM($EN$4:EN42))</f>
        <v>#N/A</v>
      </c>
      <c r="EP42" s="60">
        <f t="shared" si="63"/>
        <v>0.34052596089008819</v>
      </c>
      <c r="EQ42" s="60">
        <f>IF(EP42="",NA(),SUM($EP$4:EP42))</f>
        <v>10.293347959199053</v>
      </c>
      <c r="ER42" s="60" t="str">
        <f t="shared" si="64"/>
        <v/>
      </c>
      <c r="ES42" s="60" t="e">
        <f>IF(ER42="",NA(),SUM($ER$4:ER42))</f>
        <v>#N/A</v>
      </c>
      <c r="ET42" s="60" t="str">
        <f t="shared" si="65"/>
        <v/>
      </c>
      <c r="EU42" s="60" t="e">
        <f>IF(ET42="",NA(),SUM($ET$4:ET42))</f>
        <v>#N/A</v>
      </c>
      <c r="EV42" s="60" t="str">
        <f t="shared" si="66"/>
        <v/>
      </c>
      <c r="EW42" s="60" t="e">
        <f>IF(EV42="",NA(),SUM($EV$4:EV42))</f>
        <v>#N/A</v>
      </c>
      <c r="EX42" s="60" t="str">
        <f t="shared" si="67"/>
        <v/>
      </c>
      <c r="EY42" s="60" t="e">
        <f>IF(EX42="",NA(),SUM($EX$4:EX42))</f>
        <v>#N/A</v>
      </c>
      <c r="EZ42" s="60" t="str">
        <f t="shared" si="68"/>
        <v/>
      </c>
      <c r="FA42" s="60" t="e">
        <f>IF(EZ42="",NA(),SUM($EZ$4:EZ42))</f>
        <v>#N/A</v>
      </c>
      <c r="FB42" s="246" t="str">
        <f t="shared" si="98"/>
        <v/>
      </c>
      <c r="FC42" s="246" t="e">
        <f>IF($FB42="",#N/A,SUM(FB$4:$FB42))</f>
        <v>#N/A</v>
      </c>
      <c r="FD42" s="60" t="str">
        <f t="shared" si="69"/>
        <v/>
      </c>
      <c r="FE42" s="60" t="e">
        <f>IF($FD42="",#N/A,SUM($FD$4:FD42))</f>
        <v>#N/A</v>
      </c>
      <c r="FF42" s="60" t="str">
        <f t="shared" si="70"/>
        <v/>
      </c>
      <c r="FG42" s="60" t="e">
        <f>IF($FF42="",#N/A,SUM($FF$4:FF42))</f>
        <v>#N/A</v>
      </c>
      <c r="FH42" s="60" t="str">
        <f t="shared" si="71"/>
        <v/>
      </c>
      <c r="FI42" s="60" t="e">
        <f>IF($FH42="",#N/A,SUM($FH$4:FH42))</f>
        <v>#N/A</v>
      </c>
      <c r="FJ42" s="60">
        <f t="shared" si="72"/>
        <v>0.42256686895931733</v>
      </c>
      <c r="FK42" s="60">
        <f>IF($FJ42="",#N/A,SUM($FJ$4:FJ42))</f>
        <v>2.1309274685935908</v>
      </c>
      <c r="FL42" s="60" t="str">
        <f t="shared" si="73"/>
        <v/>
      </c>
      <c r="FM42" s="60" t="e">
        <f>IF($FL42="",#N/A,SUM($FL$4:FL42))</f>
        <v>#N/A</v>
      </c>
      <c r="FN42" s="82">
        <f t="shared" si="74"/>
        <v>0.76309282984940552</v>
      </c>
      <c r="FO42" s="82">
        <f>IF($FN42="",#N/A,SUM(FN$4:$FN42))</f>
        <v>22.15301274865589</v>
      </c>
      <c r="FP42" s="82">
        <f t="shared" si="99"/>
        <v>0.34052596089008819</v>
      </c>
      <c r="FQ42" s="246">
        <f>IF($EH42="",#N/A,SUM($FP$4:FP42))</f>
        <v>14.035656693500531</v>
      </c>
      <c r="FR42" s="82">
        <f>IFERROR(FQ42/COUNTA($J$4:J42),#N/A)</f>
        <v>0.35988863316668029</v>
      </c>
      <c r="FS42" s="99"/>
      <c r="FT42" s="82">
        <f t="shared" si="103"/>
        <v>0.25477437873426756</v>
      </c>
      <c r="FU42" s="82" t="e">
        <v>#N/A</v>
      </c>
      <c r="FV42" s="57" t="str">
        <f t="shared" si="75"/>
        <v>SW</v>
      </c>
      <c r="FW42" s="57" t="s">
        <v>2732</v>
      </c>
      <c r="FX42" s="57" t="str">
        <f t="shared" si="76"/>
        <v/>
      </c>
      <c r="FY42" s="57" t="str">
        <f t="shared" si="77"/>
        <v/>
      </c>
      <c r="FZ42" s="57">
        <f t="shared" si="78"/>
        <v>1</v>
      </c>
      <c r="GA42" s="57" t="str">
        <f t="shared" si="79"/>
        <v>Long</v>
      </c>
      <c r="GB42" s="57" t="str">
        <f t="shared" si="80"/>
        <v/>
      </c>
      <c r="GC42" s="57" t="str">
        <f t="shared" si="81"/>
        <v/>
      </c>
      <c r="GD42" s="57" t="str">
        <f t="shared" si="82"/>
        <v/>
      </c>
      <c r="GE42" s="62">
        <f t="shared" si="105"/>
        <v>148.30000000000001</v>
      </c>
      <c r="GF42" s="62" t="s">
        <v>2779</v>
      </c>
      <c r="GG42" s="199">
        <f t="shared" si="106"/>
        <v>2.6972353337828725</v>
      </c>
      <c r="GH42" s="207">
        <f t="shared" si="85"/>
        <v>400</v>
      </c>
      <c r="GI42" s="199">
        <f t="shared" si="107"/>
        <v>2.6972353337828725</v>
      </c>
      <c r="GJ42" s="200">
        <f t="shared" si="108"/>
        <v>151.33000000000001</v>
      </c>
      <c r="GK42" s="63">
        <f t="shared" si="88"/>
        <v>8.1726230613621169</v>
      </c>
      <c r="GL42" s="63">
        <f t="shared" si="109"/>
        <v>18.314227916385732</v>
      </c>
      <c r="GM42" s="82">
        <f t="shared" si="90"/>
        <v>0.76309282984940552</v>
      </c>
      <c r="GN42" s="82">
        <f>IF($GZ42="",#N/A,SUM(GM$4:GM42))</f>
        <v>13.344210220058399</v>
      </c>
      <c r="GO42" s="82" t="str">
        <f t="shared" si="91"/>
        <v/>
      </c>
      <c r="GP42" s="82">
        <f>IF($GZ42="",#N/A,SUM(GO$4:GO42))</f>
        <v>5.4860654654595171</v>
      </c>
      <c r="GQ42" s="82" t="str">
        <f t="shared" si="92"/>
        <v/>
      </c>
      <c r="GR42" s="82">
        <f>IF($GZ42="",#N/A,SUM(GQ$4:GQ42))</f>
        <v>3.3227370631379745</v>
      </c>
      <c r="GS42" s="63">
        <f t="shared" si="100"/>
        <v>18.314227916385732</v>
      </c>
      <c r="GT42" s="63">
        <f>IF($GZ42="",#N/A,SUM(GS$4:GS42))</f>
        <v>320.26104528140155</v>
      </c>
      <c r="GU42" s="63" t="str">
        <f t="shared" si="101"/>
        <v/>
      </c>
      <c r="GV42" s="63">
        <f>IF($GZ42="",#N/A,SUM(GU$4:GU42))</f>
        <v>131.66557117102838</v>
      </c>
      <c r="GW42" s="62" t="str">
        <f t="shared" si="102"/>
        <v/>
      </c>
      <c r="GX42" s="63">
        <f>IF($GZ42="",#N/A,SUM(GW$4:GW42))</f>
        <v>79.745689515311369</v>
      </c>
      <c r="GY42" s="63">
        <f>IF(EJ42="",#N/A,SUM($EJ$4:EJ42))</f>
        <v>531.67230596774129</v>
      </c>
      <c r="GZ42" s="159">
        <v>155.09</v>
      </c>
      <c r="HA42" s="63">
        <f t="shared" si="93"/>
        <v>10.141604855023616</v>
      </c>
      <c r="HB42" s="62" t="s">
        <v>4970</v>
      </c>
      <c r="HC42" s="60">
        <f>IFERROR(VLOOKUP(E42,Expectancy!$P$4:$S$19,1+C42,FALSE),"")</f>
        <v>-0.17081772033279666</v>
      </c>
      <c r="HD42" s="60" t="str">
        <f t="shared" si="94"/>
        <v/>
      </c>
      <c r="HE42" s="60" t="e">
        <f>IF(HD42="",#N/A,SUM($HD$4:HD42))</f>
        <v>#N/A</v>
      </c>
      <c r="HF42" s="64" t="e">
        <f>IF(HD42="",#N/A,IF(HB42="Skip",#N/A,SUM($HG$4:HG42)))</f>
        <v>#N/A</v>
      </c>
      <c r="HG42" s="63" t="str">
        <f t="shared" si="95"/>
        <v/>
      </c>
      <c r="HH42" s="82">
        <f t="shared" si="96"/>
        <v>0.76309282984940552</v>
      </c>
    </row>
    <row r="43" spans="1:216" x14ac:dyDescent="0.25">
      <c r="A43" s="57" t="s">
        <v>569</v>
      </c>
      <c r="B43" s="58" t="s">
        <v>5106</v>
      </c>
      <c r="C43" s="386">
        <f t="shared" si="0"/>
        <v>2</v>
      </c>
      <c r="D43" s="372" t="str">
        <f>_xlfn.XLOOKUP(A43,[1]SP500!$A$2:$A$502,[1]SP500!$D$2:$D$502,"N")</f>
        <v>Y</v>
      </c>
      <c r="E43" s="57" t="str">
        <f>_xlfn.XLOOKUP(A43,[1]SP500!$A$2:$A$655,[1]SP500!$B$2:$B$655)</f>
        <v>XLE</v>
      </c>
      <c r="F43" s="59">
        <v>45679</v>
      </c>
      <c r="G43" s="57" t="str">
        <f t="shared" si="1"/>
        <v>BMO</v>
      </c>
      <c r="H43" s="57" t="str">
        <f t="shared" si="2"/>
        <v>o</v>
      </c>
      <c r="I43" s="159">
        <v>29.53</v>
      </c>
      <c r="J43" s="158">
        <v>29</v>
      </c>
      <c r="K43" s="61">
        <f t="shared" si="3"/>
        <v>-1.7947849644429432E-2</v>
      </c>
      <c r="L43" s="87">
        <f t="shared" si="4"/>
        <v>7.1791398577718155</v>
      </c>
      <c r="M43" s="63" t="str">
        <f t="shared" si="104"/>
        <v/>
      </c>
      <c r="N43" s="219" t="str">
        <f t="shared" si="6"/>
        <v/>
      </c>
      <c r="O43" s="219">
        <f>IF($J43="",#N/A,SUM($N$4:N43))</f>
        <v>69.6715846309217</v>
      </c>
      <c r="P43" s="220">
        <f t="shared" si="7"/>
        <v>7.1791398577718155</v>
      </c>
      <c r="Q43" s="220">
        <f>IF($J43="",#N/A,SUM($P$4:P43))</f>
        <v>27.322964850085555</v>
      </c>
      <c r="R43" s="221" t="str">
        <f t="shared" si="8"/>
        <v/>
      </c>
      <c r="S43" s="222">
        <f>IF($J43="",#N/A,SUM($R$4:R43))</f>
        <v>247.04035102077728</v>
      </c>
      <c r="T43" s="281" t="str">
        <f t="shared" si="9"/>
        <v/>
      </c>
      <c r="U43" s="281">
        <f>IF($J43="",#N/A,SUM($T$4:T43))</f>
        <v>2.9029826929550708</v>
      </c>
      <c r="V43" s="282">
        <f t="shared" si="10"/>
        <v>0.29913082740715896</v>
      </c>
      <c r="W43" s="282">
        <f>IF($J43="",#N/A,SUM($V$4:V43))</f>
        <v>1.1384568687535646</v>
      </c>
      <c r="X43" s="283" t="str">
        <f t="shared" si="11"/>
        <v/>
      </c>
      <c r="Y43" s="283">
        <f>IF($J43="",#N/A,SUM($X$4:X43))</f>
        <v>10.293347959199053</v>
      </c>
      <c r="Z43" s="304" t="str">
        <f t="shared" si="12"/>
        <v/>
      </c>
      <c r="AA43" s="304">
        <f>IF($J43="",#N/A,SUM(Z$4:Z43))</f>
        <v>0.67152548588192462</v>
      </c>
      <c r="AB43" s="305" t="str">
        <f t="shared" si="13"/>
        <v/>
      </c>
      <c r="AC43" s="305">
        <f>IF($J43="",#N/A,SUM(AB$4:AB43))</f>
        <v>0</v>
      </c>
      <c r="AD43" s="306" t="str">
        <f t="shared" si="14"/>
        <v/>
      </c>
      <c r="AE43" s="306">
        <f>IF($J43="",#N/A,SUM(AD$4:AD43))</f>
        <v>1.5553407757049009</v>
      </c>
      <c r="AF43" s="306">
        <f>IF($J43="",#N/A,SUM(AD$4:AD43,AB$4:AB43,Z$4:Z43))</f>
        <v>2.2268662615868253</v>
      </c>
      <c r="AG43" s="304" t="str">
        <f t="shared" si="15"/>
        <v/>
      </c>
      <c r="AH43" s="304">
        <f>IF($J43="",#N/A,SUM(AG$4:AG43))</f>
        <v>0</v>
      </c>
      <c r="AI43" s="305" t="str">
        <f t="shared" si="16"/>
        <v/>
      </c>
      <c r="AJ43" s="305">
        <f>IF($J43="",#N/A,SUM(AI$4:AI43))</f>
        <v>0</v>
      </c>
      <c r="AK43" s="306" t="str">
        <f t="shared" si="17"/>
        <v/>
      </c>
      <c r="AL43" s="306">
        <f>IF($J43="",#N/A,SUM(AK$4:AK43))</f>
        <v>0</v>
      </c>
      <c r="AM43" s="306">
        <f>IF($J43="",#N/A,SUM(AK$4:AK43,AI$4:AI43,AG$4:AG43))</f>
        <v>0</v>
      </c>
      <c r="AN43" s="304" t="str">
        <f t="shared" si="18"/>
        <v/>
      </c>
      <c r="AO43" s="304">
        <f>IF($J43="",#N/A,SUM(AN$4:AN43))</f>
        <v>0</v>
      </c>
      <c r="AP43" s="305" t="str">
        <f t="shared" si="19"/>
        <v/>
      </c>
      <c r="AQ43" s="305">
        <f>IF($J43="",#N/A,SUM(AP$4:AP43))</f>
        <v>0</v>
      </c>
      <c r="AR43" s="306" t="str">
        <f t="shared" si="20"/>
        <v/>
      </c>
      <c r="AS43" s="306">
        <f>IF($J43="",#N/A,SUM(AR$4:AR43))</f>
        <v>0</v>
      </c>
      <c r="AT43" s="306">
        <f>IF($J43="",#N/A,SUM(AR$4:AR43,AP$4:AP43,AN$4:AN43))</f>
        <v>0</v>
      </c>
      <c r="AU43" s="304" t="str">
        <f t="shared" si="21"/>
        <v/>
      </c>
      <c r="AV43" s="304">
        <f>IF($J43="",#N/A,SUM(AU$4:AU43))</f>
        <v>0</v>
      </c>
      <c r="AW43" s="305" t="str">
        <f t="shared" si="22"/>
        <v/>
      </c>
      <c r="AX43" s="305">
        <f>IF($J43="",#N/A,SUM(AW$4:AW43))</f>
        <v>1.2290222546515868</v>
      </c>
      <c r="AY43" s="306" t="str">
        <f t="shared" si="23"/>
        <v/>
      </c>
      <c r="AZ43" s="306">
        <f>IF($J43="",#N/A,SUM(AY$4:AY43))</f>
        <v>3.0490332683593495</v>
      </c>
      <c r="BA43" s="306">
        <f>IF($J43="",#N/A,SUM(AY$4:AY43,AW$4:AW43,AU$4:AU43))</f>
        <v>4.2780555230109361</v>
      </c>
      <c r="BB43" s="304" t="str">
        <f t="shared" si="24"/>
        <v/>
      </c>
      <c r="BC43" s="304">
        <f>IF($J43="",#N/A,SUM(BB$4:BB43))</f>
        <v>0</v>
      </c>
      <c r="BD43" s="305" t="str">
        <f t="shared" si="25"/>
        <v/>
      </c>
      <c r="BE43" s="305">
        <f>IF($J43="",#N/A,SUM(BD$4:BD43))</f>
        <v>0</v>
      </c>
      <c r="BF43" s="306" t="str">
        <f t="shared" si="26"/>
        <v/>
      </c>
      <c r="BG43" s="306">
        <f>IF($J43="",#N/A,SUM(BF$4:BF43))</f>
        <v>2.4597169840247779</v>
      </c>
      <c r="BH43" s="306">
        <f>IF($J43="",#N/A,SUM(BF$4:BF43,BD$4:BD43,BB$4:BB43))</f>
        <v>2.4597169840247779</v>
      </c>
      <c r="BI43" s="304" t="str">
        <f t="shared" si="27"/>
        <v/>
      </c>
      <c r="BJ43" s="304">
        <f>IF($J43="",#N/A,SUM(BI$4:BI43))</f>
        <v>-0.63021254112582636</v>
      </c>
      <c r="BK43" s="305" t="str">
        <f t="shared" si="28"/>
        <v/>
      </c>
      <c r="BL43" s="305">
        <f>IF($J43="",#N/A,SUM(BK$4:BK43))</f>
        <v>0</v>
      </c>
      <c r="BM43" s="306" t="str">
        <f t="shared" si="29"/>
        <v/>
      </c>
      <c r="BN43" s="306">
        <f>IF($J43="",#N/A,SUM(BM$4:BM43))</f>
        <v>3.8210959759517467</v>
      </c>
      <c r="BO43" s="306">
        <f>IF($J43="",#N/A,SUM(BM$4:BM43,BK$4:BK43,BI$4:BI43))</f>
        <v>3.1908834348259205</v>
      </c>
      <c r="BP43" s="304" t="str">
        <f t="shared" si="30"/>
        <v/>
      </c>
      <c r="BQ43" s="304">
        <f>IF($J43="",#N/A,SUM(BP$4:BP43))</f>
        <v>2.861669748198973</v>
      </c>
      <c r="BR43" s="305" t="str">
        <f t="shared" si="31"/>
        <v/>
      </c>
      <c r="BS43" s="305">
        <f>IF($J43="",#N/A,SUM(BR$4:BR43))</f>
        <v>-0.34773304801390975</v>
      </c>
      <c r="BT43" s="306" t="str">
        <f t="shared" si="32"/>
        <v/>
      </c>
      <c r="BU43" s="306">
        <f>IF($J43="",#N/A,SUM(BT$4:BT43))</f>
        <v>-1.0025062656641595</v>
      </c>
      <c r="BV43" s="306">
        <f>IF($J43="",#N/A,SUM(BT$4:BT43,BR$4:BR43,BP$4:BP43))</f>
        <v>1.5114304345209035</v>
      </c>
      <c r="BW43" s="304" t="str">
        <f t="shared" si="33"/>
        <v/>
      </c>
      <c r="BX43" s="304">
        <f>IF($J43="",#N/A,SUM(BW$4:BW43))</f>
        <v>0</v>
      </c>
      <c r="BY43" s="305" t="str">
        <f t="shared" si="34"/>
        <v/>
      </c>
      <c r="BZ43" s="305">
        <f>IF($J43="",#N/A,SUM(BY$4:BY43))</f>
        <v>0.46686916413544804</v>
      </c>
      <c r="CA43" s="306" t="str">
        <f t="shared" si="35"/>
        <v/>
      </c>
      <c r="CB43" s="306">
        <f>IF($J43="",#N/A,SUM(CA$4:CA43))</f>
        <v>-0.37959870993521366</v>
      </c>
      <c r="CC43" s="306">
        <f>IF($J43="",#N/A,SUM(CA$4:CA43,BY$4:BY43,BW$4:BW43))</f>
        <v>8.7270454200234382E-2</v>
      </c>
      <c r="CD43" s="304" t="str">
        <f t="shared" si="36"/>
        <v/>
      </c>
      <c r="CE43" s="304">
        <f>IF($J43="",#N/A,SUM(CD$4:CD43))</f>
        <v>0</v>
      </c>
      <c r="CF43" s="305" t="str">
        <f t="shared" si="37"/>
        <v/>
      </c>
      <c r="CG43" s="305">
        <f>IF($J43="",#N/A,SUM(CF$4:CF43))</f>
        <v>0</v>
      </c>
      <c r="CH43" s="306" t="str">
        <f t="shared" si="38"/>
        <v/>
      </c>
      <c r="CI43" s="306">
        <f>IF($J43="",#N/A,SUM(CH$4:CH43))</f>
        <v>0</v>
      </c>
      <c r="CJ43" s="306">
        <f>IF($J43="",#N/A,SUM(CH$4:CH43,CF$4:CF43,CD$4:CD43))</f>
        <v>0</v>
      </c>
      <c r="CK43" s="304" t="str">
        <f t="shared" si="39"/>
        <v/>
      </c>
      <c r="CL43" s="304">
        <f>IF($J43="",#N/A,SUM(CK$4:CK43))</f>
        <v>0</v>
      </c>
      <c r="CM43" s="305" t="str">
        <f t="shared" si="40"/>
        <v/>
      </c>
      <c r="CN43" s="305">
        <f>IF($J43="",#N/A,SUM(CM$4:CM43))</f>
        <v>0</v>
      </c>
      <c r="CO43" s="306" t="str">
        <f t="shared" si="41"/>
        <v/>
      </c>
      <c r="CP43" s="306">
        <f>IF($J43="",#N/A,SUM(CO$4:CO43))</f>
        <v>0</v>
      </c>
      <c r="CQ43" s="306">
        <f>IF($J43="",#N/A,SUM(CO$4:CO43,CM$4:CM43,CK$4:CK43))</f>
        <v>0</v>
      </c>
      <c r="CR43" s="304" t="str">
        <f t="shared" si="42"/>
        <v/>
      </c>
      <c r="CS43" s="304">
        <f>IF($J43="",#N/A,SUM(CR$4:CR43))</f>
        <v>0</v>
      </c>
      <c r="CT43" s="305">
        <f t="shared" si="43"/>
        <v>0.29913082740715896</v>
      </c>
      <c r="CU43" s="305">
        <f>IF($J43="",#N/A,SUM(CT$4:CT43))</f>
        <v>-0.13081968772223007</v>
      </c>
      <c r="CV43" s="306" t="str">
        <f t="shared" si="44"/>
        <v/>
      </c>
      <c r="CW43" s="306">
        <f>IF($J43="",#N/A,SUM(CV$4:CV43))</f>
        <v>0</v>
      </c>
      <c r="CX43" s="306">
        <f>IF($J43="",#N/A,SUM(CV$4:CV43,CT$4:CT43,CR$4:CR43))</f>
        <v>-0.13081968772223007</v>
      </c>
      <c r="CY43" s="304" t="str">
        <f t="shared" si="45"/>
        <v/>
      </c>
      <c r="CZ43" s="304">
        <f>IF($J43="",#N/A,SUM(CY$4:CY43))</f>
        <v>0</v>
      </c>
      <c r="DA43" s="305" t="str">
        <f t="shared" si="46"/>
        <v/>
      </c>
      <c r="DB43" s="305">
        <f>IF($J43="",#N/A,SUM(DA$4:DA43))</f>
        <v>0</v>
      </c>
      <c r="DC43" s="306" t="str">
        <f t="shared" si="47"/>
        <v/>
      </c>
      <c r="DD43" s="306">
        <f>IF($J43="",#N/A,SUM(DC$4:DC43))</f>
        <v>0</v>
      </c>
      <c r="DE43" s="306">
        <f>IF($J43="",#N/A,SUM(DC$4:DC43,DA$4:DA43,CY$4:CY43))</f>
        <v>0</v>
      </c>
      <c r="DF43" s="304" t="str">
        <f t="shared" si="48"/>
        <v/>
      </c>
      <c r="DG43" s="304">
        <f>IF($J43="",#N/A,SUM(DF$4:DF43))</f>
        <v>0</v>
      </c>
      <c r="DH43" s="305" t="str">
        <f t="shared" si="49"/>
        <v/>
      </c>
      <c r="DI43" s="305">
        <f>IF($J43="",#N/A,SUM(DH$4:DH43))</f>
        <v>0</v>
      </c>
      <c r="DJ43" s="306" t="str">
        <f t="shared" si="50"/>
        <v/>
      </c>
      <c r="DK43" s="306">
        <f>IF($J43="",#N/A,SUM(DJ$4:DJ43))</f>
        <v>0</v>
      </c>
      <c r="DL43" s="306">
        <f>IF($J43="",#N/A,SUM(DJ$4:DJ43,DH$4:DH43,DF$4:DF43))</f>
        <v>0</v>
      </c>
      <c r="DM43" s="304" t="str">
        <f t="shared" si="51"/>
        <v/>
      </c>
      <c r="DN43" s="304">
        <f>IF($J43="",#N/A,SUM(DM$4:DM43))</f>
        <v>0</v>
      </c>
      <c r="DO43" s="305" t="str">
        <f t="shared" si="52"/>
        <v/>
      </c>
      <c r="DP43" s="305">
        <f>IF($J43="",#N/A,SUM(DO$4:DO43))</f>
        <v>0</v>
      </c>
      <c r="DQ43" s="306" t="str">
        <f t="shared" si="53"/>
        <v/>
      </c>
      <c r="DR43" s="306">
        <f>IF($J43="",#N/A,SUM(DQ$4:DQ43))</f>
        <v>0.79026593075765084</v>
      </c>
      <c r="DS43" s="306">
        <f>IF($J43="",#N/A,SUM(DQ$4:DQ43,DO$4:DO43,DM$4:DM43))</f>
        <v>0.79026593075765084</v>
      </c>
      <c r="DT43" s="304" t="str">
        <f t="shared" si="54"/>
        <v/>
      </c>
      <c r="DU43" s="304">
        <f>IF($J43="",#N/A,SUM(DT$4:DT43))</f>
        <v>0</v>
      </c>
      <c r="DV43" s="305" t="str">
        <f t="shared" si="55"/>
        <v/>
      </c>
      <c r="DW43" s="305">
        <f>IF($J43="",#N/A,SUM(DV$4:DV43))</f>
        <v>0.40085630512924314</v>
      </c>
      <c r="DX43" s="306" t="str">
        <f t="shared" si="56"/>
        <v/>
      </c>
      <c r="DY43" s="306">
        <f>IF($J43="",#N/A,SUM(DX$4:DX43))</f>
        <v>0</v>
      </c>
      <c r="DZ43" s="306">
        <f>IF($J43="",#N/A,SUM(DX$4:DX43,DV$4:DV43,DT$4:DT43))</f>
        <v>0.40085630512924314</v>
      </c>
      <c r="EA43" s="304" t="str">
        <f t="shared" si="57"/>
        <v/>
      </c>
      <c r="EB43" s="304">
        <f>IF($J43="",#N/A,SUM(EA$4:EA43))</f>
        <v>0</v>
      </c>
      <c r="EC43" s="305" t="str">
        <f t="shared" si="58"/>
        <v/>
      </c>
      <c r="ED43" s="305">
        <f>IF($J43="",#N/A,SUM(EC$4:EC43))</f>
        <v>-0.47973811942657352</v>
      </c>
      <c r="EE43" s="306" t="str">
        <f t="shared" si="59"/>
        <v/>
      </c>
      <c r="EF43" s="306">
        <f>IF($J43="",#N/A,SUM(EE$4:EE43))</f>
        <v>0</v>
      </c>
      <c r="EG43" s="306">
        <f>IF($J43="",#N/A,SUM(EE$4:EE43,EC$4:EC43,EA$4:EA43))</f>
        <v>-0.47973811942657352</v>
      </c>
      <c r="EH43" s="223">
        <f t="shared" si="60"/>
        <v>7.1791398577718155</v>
      </c>
      <c r="EI43" s="224">
        <f>IF(EH43="",#N/A,SUM($EH$4:EH43))</f>
        <v>344.03490050178453</v>
      </c>
      <c r="EJ43" s="223">
        <f t="shared" si="61"/>
        <v>14.222824246529001</v>
      </c>
      <c r="EK43" s="63">
        <f>IF($GZ43="",#N/A,SUM(EJ$4:EJ43))</f>
        <v>545.89513021427024</v>
      </c>
      <c r="EL43" s="60">
        <f t="shared" si="97"/>
        <v>0.29913082740715896</v>
      </c>
      <c r="EM43" s="60">
        <f>IF(EL43="",NA(),SUM($EL$4:EL43))</f>
        <v>14.334787520907691</v>
      </c>
      <c r="EN43" s="60" t="str">
        <f t="shared" si="62"/>
        <v/>
      </c>
      <c r="EO43" s="60" t="e">
        <f>IF(EN43="",NA(),SUM($EN$4:EN43))</f>
        <v>#N/A</v>
      </c>
      <c r="EP43" s="60" t="str">
        <f t="shared" si="63"/>
        <v/>
      </c>
      <c r="EQ43" s="60" t="e">
        <f>IF(EP43="",NA(),SUM($EP$4:EP43))</f>
        <v>#N/A</v>
      </c>
      <c r="ER43" s="60">
        <f t="shared" si="64"/>
        <v>0.29913082740715896</v>
      </c>
      <c r="ES43" s="60">
        <f>IF(ER43="",NA(),SUM($ER$4:ER43))</f>
        <v>1.1384568687535646</v>
      </c>
      <c r="ET43" s="60" t="str">
        <f t="shared" si="65"/>
        <v/>
      </c>
      <c r="EU43" s="60" t="e">
        <f>IF(ET43="",NA(),SUM($ET$4:ET43))</f>
        <v>#N/A</v>
      </c>
      <c r="EV43" s="60" t="str">
        <f t="shared" si="66"/>
        <v/>
      </c>
      <c r="EW43" s="60" t="e">
        <f>IF(EV43="",NA(),SUM($EV$4:EV43))</f>
        <v>#N/A</v>
      </c>
      <c r="EX43" s="60" t="str">
        <f t="shared" si="67"/>
        <v/>
      </c>
      <c r="EY43" s="60" t="e">
        <f>IF(EX43="",NA(),SUM($EX$4:EX43))</f>
        <v>#N/A</v>
      </c>
      <c r="EZ43" s="60" t="str">
        <f t="shared" si="68"/>
        <v/>
      </c>
      <c r="FA43" s="60" t="e">
        <f>IF(EZ43="",NA(),SUM($EZ$4:EZ43))</f>
        <v>#N/A</v>
      </c>
      <c r="FB43" s="246">
        <f t="shared" si="98"/>
        <v>0.29348684953154941</v>
      </c>
      <c r="FC43" s="246">
        <f>IF($FB43="",#N/A,SUM(FB$4:$FB43))</f>
        <v>2.375586631452542</v>
      </c>
      <c r="FD43" s="60" t="str">
        <f t="shared" si="69"/>
        <v/>
      </c>
      <c r="FE43" s="60" t="e">
        <f>IF($FD43="",#N/A,SUM($FD$4:FD43))</f>
        <v>#N/A</v>
      </c>
      <c r="FF43" s="60" t="str">
        <f t="shared" si="70"/>
        <v/>
      </c>
      <c r="FG43" s="60" t="e">
        <f>IF($FF43="",#N/A,SUM($FF$4:FF43))</f>
        <v>#N/A</v>
      </c>
      <c r="FH43" s="60" t="str">
        <f t="shared" si="71"/>
        <v/>
      </c>
      <c r="FI43" s="60" t="e">
        <f>IF($FH43="",#N/A,SUM($FH$4:FH43))</f>
        <v>#N/A</v>
      </c>
      <c r="FJ43" s="60" t="str">
        <f t="shared" si="72"/>
        <v/>
      </c>
      <c r="FK43" s="60" t="e">
        <f>IF($FJ43="",#N/A,SUM($FJ$4:FJ43))</f>
        <v>#N/A</v>
      </c>
      <c r="FL43" s="60" t="str">
        <f t="shared" si="73"/>
        <v/>
      </c>
      <c r="FM43" s="60" t="e">
        <f>IF($FL43="",#N/A,SUM($FL$4:FL43))</f>
        <v>#N/A</v>
      </c>
      <c r="FN43" s="82">
        <f t="shared" si="74"/>
        <v>0.59261767693870837</v>
      </c>
      <c r="FO43" s="82">
        <f>IF($FN43="",#N/A,SUM(FN$4:$FN43))</f>
        <v>22.745630425594598</v>
      </c>
      <c r="FP43" s="82">
        <f t="shared" si="99"/>
        <v>0.29913082740715896</v>
      </c>
      <c r="FQ43" s="246">
        <f>IF($EH43="",#N/A,SUM($FP$4:FP43))</f>
        <v>14.334787520907691</v>
      </c>
      <c r="FR43" s="82">
        <f>IFERROR(FQ43/COUNTA($J$4:J43),#N/A)</f>
        <v>0.35836968802269226</v>
      </c>
      <c r="FS43" s="99"/>
      <c r="FT43" s="82">
        <f t="shared" si="103"/>
        <v>0.3068398624571203</v>
      </c>
      <c r="FU43" s="82" t="e">
        <v>#N/A</v>
      </c>
      <c r="FV43" s="57" t="str">
        <f t="shared" si="75"/>
        <v>Dwn</v>
      </c>
      <c r="FW43" s="57" t="s">
        <v>2733</v>
      </c>
      <c r="FX43" s="57" t="str">
        <f t="shared" si="76"/>
        <v/>
      </c>
      <c r="FY43" s="57" t="str">
        <f t="shared" si="77"/>
        <v/>
      </c>
      <c r="FZ43" s="57" t="str">
        <f t="shared" si="78"/>
        <v/>
      </c>
      <c r="GA43" s="57" t="str">
        <f t="shared" si="79"/>
        <v>Short</v>
      </c>
      <c r="GB43" s="57">
        <f t="shared" si="80"/>
        <v>1</v>
      </c>
      <c r="GC43" s="57" t="str">
        <f t="shared" si="81"/>
        <v/>
      </c>
      <c r="GD43" s="57" t="str">
        <f t="shared" si="82"/>
        <v/>
      </c>
      <c r="GE43" s="62">
        <f t="shared" si="105"/>
        <v>29.53</v>
      </c>
      <c r="GF43" s="62" t="s">
        <v>2780</v>
      </c>
      <c r="GG43" s="199">
        <f t="shared" si="106"/>
        <v>13.545546901456145</v>
      </c>
      <c r="GH43" s="207">
        <f t="shared" si="85"/>
        <v>400</v>
      </c>
      <c r="GI43" s="199">
        <f t="shared" si="107"/>
        <v>13.545546901456145</v>
      </c>
      <c r="GJ43" s="200">
        <f t="shared" si="108"/>
        <v>29</v>
      </c>
      <c r="GK43" s="63">
        <f t="shared" si="88"/>
        <v>7.1791398577718155</v>
      </c>
      <c r="GL43" s="63">
        <f t="shared" si="109"/>
        <v>14.222824246529001</v>
      </c>
      <c r="GM43" s="82" t="str">
        <f t="shared" si="90"/>
        <v/>
      </c>
      <c r="GN43" s="82">
        <f>IF($GZ43="",#N/A,SUM(GM$4:GM43))</f>
        <v>13.344210220058399</v>
      </c>
      <c r="GO43" s="82" t="str">
        <f t="shared" si="91"/>
        <v/>
      </c>
      <c r="GP43" s="82">
        <f>IF($GZ43="",#N/A,SUM(GO$4:GO43))</f>
        <v>5.4860654654595171</v>
      </c>
      <c r="GQ43" s="82">
        <f t="shared" si="92"/>
        <v>0.59261767693870837</v>
      </c>
      <c r="GR43" s="82">
        <f>IF($GZ43="",#N/A,SUM(GQ$4:GQ43))</f>
        <v>3.9153547400766828</v>
      </c>
      <c r="GS43" s="63" t="str">
        <f t="shared" si="100"/>
        <v/>
      </c>
      <c r="GT43" s="63">
        <f>IF($GZ43="",#N/A,SUM(GS$4:GS43))</f>
        <v>320.26104528140155</v>
      </c>
      <c r="GU43" s="63" t="str">
        <f t="shared" si="101"/>
        <v/>
      </c>
      <c r="GV43" s="63">
        <f>IF($GZ43="",#N/A,SUM(GU$4:GU43))</f>
        <v>131.66557117102838</v>
      </c>
      <c r="GW43" s="62">
        <f t="shared" si="102"/>
        <v>14.222824246529001</v>
      </c>
      <c r="GX43" s="63">
        <f>IF($GZ43="",#N/A,SUM(GW$4:GW43))</f>
        <v>93.96851376184037</v>
      </c>
      <c r="GY43" s="63">
        <f>IF(EJ43="",#N/A,SUM($EJ$4:EJ43))</f>
        <v>545.89513021427024</v>
      </c>
      <c r="GZ43" s="159">
        <v>28.48</v>
      </c>
      <c r="HA43" s="63">
        <f t="shared" si="93"/>
        <v>7.0436843887571854</v>
      </c>
      <c r="HB43" s="62" t="s">
        <v>4970</v>
      </c>
      <c r="HC43" s="60">
        <f>IFERROR(VLOOKUP(E43,Expectancy!$P$4:$S$19,1+C43,FALSE),"")</f>
        <v>-3.2156442930017966E-2</v>
      </c>
      <c r="HD43" s="60" t="str">
        <f t="shared" si="94"/>
        <v/>
      </c>
      <c r="HE43" s="60" t="e">
        <f>IF(HD43="",#N/A,SUM($HD$4:HD43))</f>
        <v>#N/A</v>
      </c>
      <c r="HF43" s="64" t="e">
        <f>IF(HD43="",#N/A,IF(HB43="Skip",#N/A,SUM($HG$4:HG43)))</f>
        <v>#N/A</v>
      </c>
      <c r="HG43" s="63" t="str">
        <f t="shared" si="95"/>
        <v/>
      </c>
      <c r="HH43" s="82">
        <f t="shared" si="96"/>
        <v>0.59261767693870837</v>
      </c>
    </row>
    <row r="44" spans="1:216" x14ac:dyDescent="0.25">
      <c r="A44" s="57" t="s">
        <v>1520</v>
      </c>
      <c r="B44" s="58" t="s">
        <v>5107</v>
      </c>
      <c r="C44" s="386">
        <f t="shared" si="0"/>
        <v>1</v>
      </c>
      <c r="D44" s="372" t="str">
        <f>_xlfn.XLOOKUP(A44,[1]SP500!$A$2:$A$502,[1]SP500!$D$2:$D$502,"N")</f>
        <v>Y</v>
      </c>
      <c r="E44" s="57" t="str">
        <f>_xlfn.XLOOKUP(A44,[1]SP500!$A$2:$A$655,[1]SP500!$B$2:$B$655)</f>
        <v>XLK</v>
      </c>
      <c r="F44" s="59">
        <v>45679</v>
      </c>
      <c r="G44" s="57" t="str">
        <f t="shared" si="1"/>
        <v>BMO</v>
      </c>
      <c r="H44" s="57" t="str">
        <f t="shared" si="2"/>
        <v>o</v>
      </c>
      <c r="I44" s="159">
        <v>480.41</v>
      </c>
      <c r="J44" s="159">
        <v>493.55</v>
      </c>
      <c r="K44" s="61">
        <f t="shared" si="3"/>
        <v>2.7351637143273422E-2</v>
      </c>
      <c r="L44" s="87">
        <f t="shared" si="4"/>
        <v>10.940654857309369</v>
      </c>
      <c r="M44" s="63" t="str">
        <f t="shared" si="104"/>
        <v/>
      </c>
      <c r="N44" s="219">
        <f t="shared" si="6"/>
        <v>10.940654857309369</v>
      </c>
      <c r="O44" s="219">
        <f>IF($J44="",#N/A,SUM($N$4:N44))</f>
        <v>80.612239488231069</v>
      </c>
      <c r="P44" s="220" t="str">
        <f t="shared" si="7"/>
        <v/>
      </c>
      <c r="Q44" s="220">
        <f>IF($J44="",#N/A,SUM($P$4:P44))</f>
        <v>27.322964850085555</v>
      </c>
      <c r="R44" s="221" t="str">
        <f t="shared" si="8"/>
        <v/>
      </c>
      <c r="S44" s="222">
        <f>IF($J44="",#N/A,SUM($R$4:R44))</f>
        <v>247.04035102077728</v>
      </c>
      <c r="T44" s="281">
        <f t="shared" si="9"/>
        <v>0.45586061905455705</v>
      </c>
      <c r="U44" s="281">
        <f>IF($J44="",#N/A,SUM($T$4:T44))</f>
        <v>3.3588433120096277</v>
      </c>
      <c r="V44" s="282" t="str">
        <f t="shared" si="10"/>
        <v/>
      </c>
      <c r="W44" s="282">
        <f>IF($J44="",#N/A,SUM($V$4:V44))</f>
        <v>1.1384568687535646</v>
      </c>
      <c r="X44" s="283" t="str">
        <f t="shared" si="11"/>
        <v/>
      </c>
      <c r="Y44" s="283">
        <f>IF($J44="",#N/A,SUM($X$4:X44))</f>
        <v>10.293347959199053</v>
      </c>
      <c r="Z44" s="304">
        <f t="shared" si="12"/>
        <v>0.45586061905455705</v>
      </c>
      <c r="AA44" s="304">
        <f>IF($J44="",#N/A,SUM(Z$4:Z44))</f>
        <v>1.1273861049364817</v>
      </c>
      <c r="AB44" s="305" t="str">
        <f t="shared" si="13"/>
        <v/>
      </c>
      <c r="AC44" s="305">
        <f>IF($J44="",#N/A,SUM(AB$4:AB44))</f>
        <v>0</v>
      </c>
      <c r="AD44" s="306" t="str">
        <f t="shared" si="14"/>
        <v/>
      </c>
      <c r="AE44" s="306">
        <f>IF($J44="",#N/A,SUM(AD$4:AD44))</f>
        <v>1.5553407757049009</v>
      </c>
      <c r="AF44" s="306">
        <f>IF($J44="",#N/A,SUM(AD$4:AD44,AB$4:AB44,Z$4:Z44))</f>
        <v>2.6827268806413822</v>
      </c>
      <c r="AG44" s="304" t="str">
        <f t="shared" si="15"/>
        <v/>
      </c>
      <c r="AH44" s="304">
        <f>IF($J44="",#N/A,SUM(AG$4:AG44))</f>
        <v>0</v>
      </c>
      <c r="AI44" s="305" t="str">
        <f t="shared" si="16"/>
        <v/>
      </c>
      <c r="AJ44" s="305">
        <f>IF($J44="",#N/A,SUM(AI$4:AI44))</f>
        <v>0</v>
      </c>
      <c r="AK44" s="306" t="str">
        <f t="shared" si="17"/>
        <v/>
      </c>
      <c r="AL44" s="306">
        <f>IF($J44="",#N/A,SUM(AK$4:AK44))</f>
        <v>0</v>
      </c>
      <c r="AM44" s="306">
        <f>IF($J44="",#N/A,SUM(AK$4:AK44,AI$4:AI44,AG$4:AG44))</f>
        <v>0</v>
      </c>
      <c r="AN44" s="304" t="str">
        <f t="shared" si="18"/>
        <v/>
      </c>
      <c r="AO44" s="304">
        <f>IF($J44="",#N/A,SUM(AN$4:AN44))</f>
        <v>0</v>
      </c>
      <c r="AP44" s="305" t="str">
        <f t="shared" si="19"/>
        <v/>
      </c>
      <c r="AQ44" s="305">
        <f>IF($J44="",#N/A,SUM(AP$4:AP44))</f>
        <v>0</v>
      </c>
      <c r="AR44" s="306" t="str">
        <f t="shared" si="20"/>
        <v/>
      </c>
      <c r="AS44" s="306">
        <f>IF($J44="",#N/A,SUM(AR$4:AR44))</f>
        <v>0</v>
      </c>
      <c r="AT44" s="306">
        <f>IF($J44="",#N/A,SUM(AR$4:AR44,AP$4:AP44,AN$4:AN44))</f>
        <v>0</v>
      </c>
      <c r="AU44" s="304" t="str">
        <f t="shared" si="21"/>
        <v/>
      </c>
      <c r="AV44" s="304">
        <f>IF($J44="",#N/A,SUM(AU$4:AU44))</f>
        <v>0</v>
      </c>
      <c r="AW44" s="305" t="str">
        <f t="shared" si="22"/>
        <v/>
      </c>
      <c r="AX44" s="305">
        <f>IF($J44="",#N/A,SUM(AW$4:AW44))</f>
        <v>1.2290222546515868</v>
      </c>
      <c r="AY44" s="306" t="str">
        <f t="shared" si="23"/>
        <v/>
      </c>
      <c r="AZ44" s="306">
        <f>IF($J44="",#N/A,SUM(AY$4:AY44))</f>
        <v>3.0490332683593495</v>
      </c>
      <c r="BA44" s="306">
        <f>IF($J44="",#N/A,SUM(AY$4:AY44,AW$4:AW44,AU$4:AU44))</f>
        <v>4.2780555230109361</v>
      </c>
      <c r="BB44" s="304" t="str">
        <f t="shared" si="24"/>
        <v/>
      </c>
      <c r="BC44" s="304">
        <f>IF($J44="",#N/A,SUM(BB$4:BB44))</f>
        <v>0</v>
      </c>
      <c r="BD44" s="305" t="str">
        <f t="shared" si="25"/>
        <v/>
      </c>
      <c r="BE44" s="305">
        <f>IF($J44="",#N/A,SUM(BD$4:BD44))</f>
        <v>0</v>
      </c>
      <c r="BF44" s="306" t="str">
        <f t="shared" si="26"/>
        <v/>
      </c>
      <c r="BG44" s="306">
        <f>IF($J44="",#N/A,SUM(BF$4:BF44))</f>
        <v>2.4597169840247779</v>
      </c>
      <c r="BH44" s="306">
        <f>IF($J44="",#N/A,SUM(BF$4:BF44,BD$4:BD44,BB$4:BB44))</f>
        <v>2.4597169840247779</v>
      </c>
      <c r="BI44" s="304" t="str">
        <f t="shared" si="27"/>
        <v/>
      </c>
      <c r="BJ44" s="304">
        <f>IF($J44="",#N/A,SUM(BI$4:BI44))</f>
        <v>-0.63021254112582636</v>
      </c>
      <c r="BK44" s="305" t="str">
        <f t="shared" si="28"/>
        <v/>
      </c>
      <c r="BL44" s="305">
        <f>IF($J44="",#N/A,SUM(BK$4:BK44))</f>
        <v>0</v>
      </c>
      <c r="BM44" s="306" t="str">
        <f t="shared" si="29"/>
        <v/>
      </c>
      <c r="BN44" s="306">
        <f>IF($J44="",#N/A,SUM(BM$4:BM44))</f>
        <v>3.8210959759517467</v>
      </c>
      <c r="BO44" s="306">
        <f>IF($J44="",#N/A,SUM(BM$4:BM44,BK$4:BK44,BI$4:BI44))</f>
        <v>3.1908834348259205</v>
      </c>
      <c r="BP44" s="304" t="str">
        <f t="shared" si="30"/>
        <v/>
      </c>
      <c r="BQ44" s="304">
        <f>IF($J44="",#N/A,SUM(BP$4:BP44))</f>
        <v>2.861669748198973</v>
      </c>
      <c r="BR44" s="305" t="str">
        <f t="shared" si="31"/>
        <v/>
      </c>
      <c r="BS44" s="305">
        <f>IF($J44="",#N/A,SUM(BR$4:BR44))</f>
        <v>-0.34773304801390975</v>
      </c>
      <c r="BT44" s="306" t="str">
        <f t="shared" si="32"/>
        <v/>
      </c>
      <c r="BU44" s="306">
        <f>IF($J44="",#N/A,SUM(BT$4:BT44))</f>
        <v>-1.0025062656641595</v>
      </c>
      <c r="BV44" s="306">
        <f>IF($J44="",#N/A,SUM(BT$4:BT44,BR$4:BR44,BP$4:BP44))</f>
        <v>1.5114304345209035</v>
      </c>
      <c r="BW44" s="304" t="str">
        <f t="shared" si="33"/>
        <v/>
      </c>
      <c r="BX44" s="304">
        <f>IF($J44="",#N/A,SUM(BW$4:BW44))</f>
        <v>0</v>
      </c>
      <c r="BY44" s="305" t="str">
        <f t="shared" si="34"/>
        <v/>
      </c>
      <c r="BZ44" s="305">
        <f>IF($J44="",#N/A,SUM(BY$4:BY44))</f>
        <v>0.46686916413544804</v>
      </c>
      <c r="CA44" s="306" t="str">
        <f t="shared" si="35"/>
        <v/>
      </c>
      <c r="CB44" s="306">
        <f>IF($J44="",#N/A,SUM(CA$4:CA44))</f>
        <v>-0.37959870993521366</v>
      </c>
      <c r="CC44" s="306">
        <f>IF($J44="",#N/A,SUM(CA$4:CA44,BY$4:BY44,BW$4:BW44))</f>
        <v>8.7270454200234382E-2</v>
      </c>
      <c r="CD44" s="304" t="str">
        <f t="shared" si="36"/>
        <v/>
      </c>
      <c r="CE44" s="304">
        <f>IF($J44="",#N/A,SUM(CD$4:CD44))</f>
        <v>0</v>
      </c>
      <c r="CF44" s="305" t="str">
        <f t="shared" si="37"/>
        <v/>
      </c>
      <c r="CG44" s="305">
        <f>IF($J44="",#N/A,SUM(CF$4:CF44))</f>
        <v>0</v>
      </c>
      <c r="CH44" s="306" t="str">
        <f t="shared" si="38"/>
        <v/>
      </c>
      <c r="CI44" s="306">
        <f>IF($J44="",#N/A,SUM(CH$4:CH44))</f>
        <v>0</v>
      </c>
      <c r="CJ44" s="306">
        <f>IF($J44="",#N/A,SUM(CH$4:CH44,CF$4:CF44,CD$4:CD44))</f>
        <v>0</v>
      </c>
      <c r="CK44" s="304" t="str">
        <f t="shared" si="39"/>
        <v/>
      </c>
      <c r="CL44" s="304">
        <f>IF($J44="",#N/A,SUM(CK$4:CK44))</f>
        <v>0</v>
      </c>
      <c r="CM44" s="305" t="str">
        <f t="shared" si="40"/>
        <v/>
      </c>
      <c r="CN44" s="305">
        <f>IF($J44="",#N/A,SUM(CM$4:CM44))</f>
        <v>0</v>
      </c>
      <c r="CO44" s="306" t="str">
        <f t="shared" si="41"/>
        <v/>
      </c>
      <c r="CP44" s="306">
        <f>IF($J44="",#N/A,SUM(CO$4:CO44))</f>
        <v>0</v>
      </c>
      <c r="CQ44" s="306">
        <f>IF($J44="",#N/A,SUM(CO$4:CO44,CM$4:CM44,CK$4:CK44))</f>
        <v>0</v>
      </c>
      <c r="CR44" s="304" t="str">
        <f t="shared" si="42"/>
        <v/>
      </c>
      <c r="CS44" s="304">
        <f>IF($J44="",#N/A,SUM(CR$4:CR44))</f>
        <v>0</v>
      </c>
      <c r="CT44" s="305" t="str">
        <f t="shared" si="43"/>
        <v/>
      </c>
      <c r="CU44" s="305">
        <f>IF($J44="",#N/A,SUM(CT$4:CT44))</f>
        <v>-0.13081968772223007</v>
      </c>
      <c r="CV44" s="306" t="str">
        <f t="shared" si="44"/>
        <v/>
      </c>
      <c r="CW44" s="306">
        <f>IF($J44="",#N/A,SUM(CV$4:CV44))</f>
        <v>0</v>
      </c>
      <c r="CX44" s="306">
        <f>IF($J44="",#N/A,SUM(CV$4:CV44,CT$4:CT44,CR$4:CR44))</f>
        <v>-0.13081968772223007</v>
      </c>
      <c r="CY44" s="304" t="str">
        <f t="shared" si="45"/>
        <v/>
      </c>
      <c r="CZ44" s="304">
        <f>IF($J44="",#N/A,SUM(CY$4:CY44))</f>
        <v>0</v>
      </c>
      <c r="DA44" s="305" t="str">
        <f t="shared" si="46"/>
        <v/>
      </c>
      <c r="DB44" s="305">
        <f>IF($J44="",#N/A,SUM(DA$4:DA44))</f>
        <v>0</v>
      </c>
      <c r="DC44" s="306" t="str">
        <f t="shared" si="47"/>
        <v/>
      </c>
      <c r="DD44" s="306">
        <f>IF($J44="",#N/A,SUM(DC$4:DC44))</f>
        <v>0</v>
      </c>
      <c r="DE44" s="306">
        <f>IF($J44="",#N/A,SUM(DC$4:DC44,DA$4:DA44,CY$4:CY44))</f>
        <v>0</v>
      </c>
      <c r="DF44" s="304" t="str">
        <f t="shared" si="48"/>
        <v/>
      </c>
      <c r="DG44" s="304">
        <f>IF($J44="",#N/A,SUM(DF$4:DF44))</f>
        <v>0</v>
      </c>
      <c r="DH44" s="305" t="str">
        <f t="shared" si="49"/>
        <v/>
      </c>
      <c r="DI44" s="305">
        <f>IF($J44="",#N/A,SUM(DH$4:DH44))</f>
        <v>0</v>
      </c>
      <c r="DJ44" s="306" t="str">
        <f t="shared" si="50"/>
        <v/>
      </c>
      <c r="DK44" s="306">
        <f>IF($J44="",#N/A,SUM(DJ$4:DJ44))</f>
        <v>0</v>
      </c>
      <c r="DL44" s="306">
        <f>IF($J44="",#N/A,SUM(DJ$4:DJ44,DH$4:DH44,DF$4:DF44))</f>
        <v>0</v>
      </c>
      <c r="DM44" s="304" t="str">
        <f t="shared" si="51"/>
        <v/>
      </c>
      <c r="DN44" s="304">
        <f>IF($J44="",#N/A,SUM(DM$4:DM44))</f>
        <v>0</v>
      </c>
      <c r="DO44" s="305" t="str">
        <f t="shared" si="52"/>
        <v/>
      </c>
      <c r="DP44" s="305">
        <f>IF($J44="",#N/A,SUM(DO$4:DO44))</f>
        <v>0</v>
      </c>
      <c r="DQ44" s="306" t="str">
        <f t="shared" si="53"/>
        <v/>
      </c>
      <c r="DR44" s="306">
        <f>IF($J44="",#N/A,SUM(DQ$4:DQ44))</f>
        <v>0.79026593075765084</v>
      </c>
      <c r="DS44" s="306">
        <f>IF($J44="",#N/A,SUM(DQ$4:DQ44,DO$4:DO44,DM$4:DM44))</f>
        <v>0.79026593075765084</v>
      </c>
      <c r="DT44" s="304" t="str">
        <f t="shared" si="54"/>
        <v/>
      </c>
      <c r="DU44" s="304">
        <f>IF($J44="",#N/A,SUM(DT$4:DT44))</f>
        <v>0</v>
      </c>
      <c r="DV44" s="305" t="str">
        <f t="shared" si="55"/>
        <v/>
      </c>
      <c r="DW44" s="305">
        <f>IF($J44="",#N/A,SUM(DV$4:DV44))</f>
        <v>0.40085630512924314</v>
      </c>
      <c r="DX44" s="306" t="str">
        <f t="shared" si="56"/>
        <v/>
      </c>
      <c r="DY44" s="306">
        <f>IF($J44="",#N/A,SUM(DX$4:DX44))</f>
        <v>0</v>
      </c>
      <c r="DZ44" s="306">
        <f>IF($J44="",#N/A,SUM(DX$4:DX44,DV$4:DV44,DT$4:DT44))</f>
        <v>0.40085630512924314</v>
      </c>
      <c r="EA44" s="304" t="str">
        <f t="shared" si="57"/>
        <v/>
      </c>
      <c r="EB44" s="304">
        <f>IF($J44="",#N/A,SUM(EA$4:EA44))</f>
        <v>0</v>
      </c>
      <c r="EC44" s="305" t="str">
        <f t="shared" si="58"/>
        <v/>
      </c>
      <c r="ED44" s="305">
        <f>IF($J44="",#N/A,SUM(EC$4:EC44))</f>
        <v>-0.47973811942657352</v>
      </c>
      <c r="EE44" s="306" t="str">
        <f t="shared" si="59"/>
        <v/>
      </c>
      <c r="EF44" s="306">
        <f>IF($J44="",#N/A,SUM(EE$4:EE44))</f>
        <v>0</v>
      </c>
      <c r="EG44" s="306">
        <f>IF($J44="",#N/A,SUM(EE$4:EE44,EC$4:EC44,EA$4:EA44))</f>
        <v>-0.47973811942657352</v>
      </c>
      <c r="EH44" s="223">
        <f t="shared" si="60"/>
        <v>10.940654857309369</v>
      </c>
      <c r="EI44" s="224">
        <f>IF(EH44="",#N/A,SUM($EH$4:EH44))</f>
        <v>354.9755553590939</v>
      </c>
      <c r="EJ44" s="223">
        <f t="shared" si="61"/>
        <v>26.027767948210908</v>
      </c>
      <c r="EK44" s="63">
        <f>IF($GZ44="",#N/A,SUM(EJ$4:EJ44))</f>
        <v>571.92289816248115</v>
      </c>
      <c r="EL44" s="60">
        <f t="shared" si="97"/>
        <v>0.45586061905455705</v>
      </c>
      <c r="EM44" s="60">
        <f>IF(EL44="",NA(),SUM($EL$4:EL44))</f>
        <v>14.790648139962247</v>
      </c>
      <c r="EN44" s="60">
        <f t="shared" si="62"/>
        <v>0.45586061905455705</v>
      </c>
      <c r="EO44" s="60">
        <f>IF(EN44="",NA(),SUM($EN$4:EN44))</f>
        <v>3.3588433120096277</v>
      </c>
      <c r="EP44" s="60" t="str">
        <f t="shared" si="63"/>
        <v/>
      </c>
      <c r="EQ44" s="60" t="e">
        <f>IF(EP44="",NA(),SUM($EP$4:EP44))</f>
        <v>#N/A</v>
      </c>
      <c r="ER44" s="60" t="str">
        <f t="shared" si="64"/>
        <v/>
      </c>
      <c r="ES44" s="60" t="e">
        <f>IF(ER44="",NA(),SUM($ER$4:ER44))</f>
        <v>#N/A</v>
      </c>
      <c r="ET44" s="60" t="str">
        <f t="shared" si="65"/>
        <v/>
      </c>
      <c r="EU44" s="60" t="e">
        <f>IF(ET44="",NA(),SUM($ET$4:ET44))</f>
        <v>#N/A</v>
      </c>
      <c r="EV44" s="60" t="str">
        <f t="shared" si="66"/>
        <v/>
      </c>
      <c r="EW44" s="60" t="e">
        <f>IF(EV44="",NA(),SUM($EV$4:EV44))</f>
        <v>#N/A</v>
      </c>
      <c r="EX44" s="60" t="str">
        <f t="shared" si="67"/>
        <v/>
      </c>
      <c r="EY44" s="60" t="e">
        <f>IF(EX44="",NA(),SUM($EX$4:EX44))</f>
        <v>#N/A</v>
      </c>
      <c r="EZ44" s="60" t="str">
        <f t="shared" si="68"/>
        <v/>
      </c>
      <c r="FA44" s="60" t="e">
        <f>IF(EZ44="",NA(),SUM($EZ$4:EZ44))</f>
        <v>#N/A</v>
      </c>
      <c r="FB44" s="246" t="str">
        <f t="shared" si="98"/>
        <v/>
      </c>
      <c r="FC44" s="246" t="e">
        <f>IF($FB44="",#N/A,SUM(FB$4:$FB44))</f>
        <v>#N/A</v>
      </c>
      <c r="FD44" s="60" t="str">
        <f t="shared" si="69"/>
        <v/>
      </c>
      <c r="FE44" s="60" t="e">
        <f>IF($FD44="",#N/A,SUM($FD$4:FD44))</f>
        <v>#N/A</v>
      </c>
      <c r="FF44" s="60">
        <f t="shared" si="70"/>
        <v>0.62862971212089747</v>
      </c>
      <c r="FG44" s="60">
        <f>IF($FF44="",#N/A,SUM($FF$4:FF44))</f>
        <v>1.8534132359442923</v>
      </c>
      <c r="FH44" s="60" t="str">
        <f t="shared" si="71"/>
        <v/>
      </c>
      <c r="FI44" s="60" t="e">
        <f>IF($FH44="",#N/A,SUM($FH$4:FH44))</f>
        <v>#N/A</v>
      </c>
      <c r="FJ44" s="60" t="str">
        <f t="shared" si="72"/>
        <v/>
      </c>
      <c r="FK44" s="60" t="e">
        <f>IF($FJ44="",#N/A,SUM($FJ$4:FJ44))</f>
        <v>#N/A</v>
      </c>
      <c r="FL44" s="60" t="str">
        <f t="shared" si="73"/>
        <v/>
      </c>
      <c r="FM44" s="60" t="e">
        <f>IF($FL44="",#N/A,SUM($FL$4:FL44))</f>
        <v>#N/A</v>
      </c>
      <c r="FN44" s="82">
        <f t="shared" si="74"/>
        <v>1.0844903311754546</v>
      </c>
      <c r="FO44" s="82">
        <f>IF($FN44="",#N/A,SUM(FN$4:$FN44))</f>
        <v>23.830120756770054</v>
      </c>
      <c r="FP44" s="82">
        <f t="shared" si="99"/>
        <v>0.45586061905455705</v>
      </c>
      <c r="FQ44" s="246">
        <f>IF($EH44="",#N/A,SUM($FP$4:FP44))</f>
        <v>14.790648139962247</v>
      </c>
      <c r="FR44" s="82">
        <f>IFERROR(FQ44/COUNTA($J$4:J44),#N/A)</f>
        <v>0.36074751560883528</v>
      </c>
      <c r="FS44" s="99"/>
      <c r="FT44" s="82">
        <f t="shared" si="103"/>
        <v>0.29483862692583879</v>
      </c>
      <c r="FU44" s="82" t="e">
        <v>#N/A</v>
      </c>
      <c r="FV44" s="57" t="str">
        <f t="shared" si="75"/>
        <v>Up</v>
      </c>
      <c r="FW44" s="57" t="s">
        <v>2733</v>
      </c>
      <c r="FX44" s="57">
        <f t="shared" si="76"/>
        <v>1</v>
      </c>
      <c r="FY44" s="57" t="str">
        <f t="shared" si="77"/>
        <v/>
      </c>
      <c r="FZ44" s="57" t="str">
        <f t="shared" si="78"/>
        <v/>
      </c>
      <c r="GA44" s="57" t="str">
        <f t="shared" si="79"/>
        <v>Long</v>
      </c>
      <c r="GB44" s="57" t="str">
        <f t="shared" si="80"/>
        <v/>
      </c>
      <c r="GC44" s="57" t="str">
        <f t="shared" si="81"/>
        <v/>
      </c>
      <c r="GD44" s="57" t="str">
        <f t="shared" si="82"/>
        <v/>
      </c>
      <c r="GE44" s="62">
        <f t="shared" si="105"/>
        <v>480.41</v>
      </c>
      <c r="GF44" s="62" t="s">
        <v>2779</v>
      </c>
      <c r="GG44" s="199">
        <f t="shared" si="106"/>
        <v>0.83262213525946582</v>
      </c>
      <c r="GH44" s="207">
        <f t="shared" si="85"/>
        <v>400</v>
      </c>
      <c r="GI44" s="199">
        <f t="shared" si="107"/>
        <v>0.83262213525946582</v>
      </c>
      <c r="GJ44" s="200">
        <f t="shared" si="108"/>
        <v>493.55</v>
      </c>
      <c r="GK44" s="63">
        <f t="shared" si="88"/>
        <v>10.940654857309369</v>
      </c>
      <c r="GL44" s="63">
        <f t="shared" si="109"/>
        <v>26.027767948210908</v>
      </c>
      <c r="GM44" s="82" t="str">
        <f t="shared" si="90"/>
        <v/>
      </c>
      <c r="GN44" s="82">
        <f>IF($GZ44="",#N/A,SUM(GM$4:GM44))</f>
        <v>13.344210220058399</v>
      </c>
      <c r="GO44" s="82">
        <f t="shared" si="91"/>
        <v>1.0844903311754546</v>
      </c>
      <c r="GP44" s="82">
        <f>IF($GZ44="",#N/A,SUM(GO$4:GO44))</f>
        <v>6.5705557966349719</v>
      </c>
      <c r="GQ44" s="82" t="str">
        <f t="shared" si="92"/>
        <v/>
      </c>
      <c r="GR44" s="82">
        <f>IF($GZ44="",#N/A,SUM(GQ$4:GQ44))</f>
        <v>3.9153547400766828</v>
      </c>
      <c r="GS44" s="63" t="str">
        <f t="shared" si="100"/>
        <v/>
      </c>
      <c r="GT44" s="63">
        <f>IF($GZ44="",#N/A,SUM(GS$4:GS44))</f>
        <v>320.26104528140155</v>
      </c>
      <c r="GU44" s="63">
        <f t="shared" si="101"/>
        <v>26.027767948210908</v>
      </c>
      <c r="GV44" s="63">
        <f>IF($GZ44="",#N/A,SUM(GU$4:GU44))</f>
        <v>157.69333911923928</v>
      </c>
      <c r="GW44" s="62" t="str">
        <f t="shared" si="102"/>
        <v/>
      </c>
      <c r="GX44" s="63">
        <f>IF($GZ44="",#N/A,SUM(GW$4:GW44))</f>
        <v>93.96851376184037</v>
      </c>
      <c r="GY44" s="63">
        <f>IF(EJ44="",#N/A,SUM($EJ$4:EJ44))</f>
        <v>571.92289816248115</v>
      </c>
      <c r="GZ44" s="159">
        <v>511.67</v>
      </c>
      <c r="HA44" s="63">
        <f t="shared" si="93"/>
        <v>15.087113090901539</v>
      </c>
      <c r="HB44" s="62" t="s">
        <v>4970</v>
      </c>
      <c r="HC44" s="60">
        <f>IFERROR(VLOOKUP(E44,Expectancy!$P$4:$S$19,1+C44,FALSE),"")</f>
        <v>0.35290544702120547</v>
      </c>
      <c r="HD44" s="60" t="str">
        <f t="shared" si="94"/>
        <v/>
      </c>
      <c r="HE44" s="60" t="e">
        <f>IF(HD44="",#N/A,SUM($HD$4:HD44))</f>
        <v>#N/A</v>
      </c>
      <c r="HF44" s="64" t="e">
        <f>IF(HD44="",#N/A,IF(HB44="Skip",#N/A,SUM($HG$4:HG44)))</f>
        <v>#N/A</v>
      </c>
      <c r="HG44" s="63" t="str">
        <f t="shared" si="95"/>
        <v/>
      </c>
      <c r="HH44" s="82">
        <f t="shared" si="96"/>
        <v>1.0844903311754546</v>
      </c>
    </row>
    <row r="45" spans="1:216" x14ac:dyDescent="0.25">
      <c r="A45" s="57" t="s">
        <v>1568</v>
      </c>
      <c r="B45" s="58" t="s">
        <v>5108</v>
      </c>
      <c r="C45" s="386">
        <f t="shared" si="0"/>
        <v>3</v>
      </c>
      <c r="D45" s="372" t="str">
        <f>_xlfn.XLOOKUP(A45,[1]SP500!$A$2:$A$502,[1]SP500!$D$2:$D$502,"N")</f>
        <v>Y</v>
      </c>
      <c r="E45" s="57" t="str">
        <f>_xlfn.XLOOKUP(A45,[1]SP500!$A$2:$A$655,[1]SP500!$B$2:$B$655)</f>
        <v>XLI</v>
      </c>
      <c r="F45" s="59">
        <v>45679</v>
      </c>
      <c r="G45" s="57" t="str">
        <f t="shared" si="1"/>
        <v>BMO</v>
      </c>
      <c r="H45" s="57" t="str">
        <f t="shared" si="2"/>
        <v>o</v>
      </c>
      <c r="I45" s="158">
        <v>81.2</v>
      </c>
      <c r="J45" s="159">
        <v>77.790000000000006</v>
      </c>
      <c r="K45" s="61">
        <f t="shared" si="3"/>
        <v>-4.1995073891625573E-2</v>
      </c>
      <c r="L45" s="87">
        <f t="shared" si="4"/>
        <v>-16.798029556650249</v>
      </c>
      <c r="M45" s="63" t="str">
        <f t="shared" si="104"/>
        <v/>
      </c>
      <c r="N45" s="219" t="str">
        <f t="shared" si="6"/>
        <v/>
      </c>
      <c r="O45" s="219">
        <f>IF($J45="",#N/A,SUM($N$4:N45))</f>
        <v>80.612239488231069</v>
      </c>
      <c r="P45" s="220" t="str">
        <f t="shared" si="7"/>
        <v/>
      </c>
      <c r="Q45" s="220">
        <f>IF($J45="",#N/A,SUM($P$4:P45))</f>
        <v>27.322964850085555</v>
      </c>
      <c r="R45" s="221">
        <f t="shared" si="8"/>
        <v>-16.798029556650249</v>
      </c>
      <c r="S45" s="222">
        <f>IF($J45="",#N/A,SUM($R$4:R45))</f>
        <v>230.24232146412703</v>
      </c>
      <c r="T45" s="281" t="str">
        <f t="shared" si="9"/>
        <v/>
      </c>
      <c r="U45" s="281">
        <f>IF($J45="",#N/A,SUM($T$4:T45))</f>
        <v>3.3588433120096277</v>
      </c>
      <c r="V45" s="282" t="str">
        <f t="shared" si="10"/>
        <v/>
      </c>
      <c r="W45" s="282">
        <f>IF($J45="",#N/A,SUM($V$4:V45))</f>
        <v>1.1384568687535646</v>
      </c>
      <c r="X45" s="283">
        <f t="shared" si="11"/>
        <v>-0.69991789819376027</v>
      </c>
      <c r="Y45" s="283">
        <f>IF($J45="",#N/A,SUM($X$4:X45))</f>
        <v>9.5934300610052929</v>
      </c>
      <c r="Z45" s="304" t="str">
        <f t="shared" si="12"/>
        <v/>
      </c>
      <c r="AA45" s="304">
        <f>IF($J45="",#N/A,SUM(Z$4:Z45))</f>
        <v>1.1273861049364817</v>
      </c>
      <c r="AB45" s="305" t="str">
        <f t="shared" si="13"/>
        <v/>
      </c>
      <c r="AC45" s="305">
        <f>IF($J45="",#N/A,SUM(AB$4:AB45))</f>
        <v>0</v>
      </c>
      <c r="AD45" s="306" t="str">
        <f t="shared" si="14"/>
        <v/>
      </c>
      <c r="AE45" s="306">
        <f>IF($J45="",#N/A,SUM(AD$4:AD45))</f>
        <v>1.5553407757049009</v>
      </c>
      <c r="AF45" s="306">
        <f>IF($J45="",#N/A,SUM(AD$4:AD45,AB$4:AB45,Z$4:Z45))</f>
        <v>2.6827268806413822</v>
      </c>
      <c r="AG45" s="304" t="str">
        <f t="shared" si="15"/>
        <v/>
      </c>
      <c r="AH45" s="304">
        <f>IF($J45="",#N/A,SUM(AG$4:AG45))</f>
        <v>0</v>
      </c>
      <c r="AI45" s="305" t="str">
        <f t="shared" si="16"/>
        <v/>
      </c>
      <c r="AJ45" s="305">
        <f>IF($J45="",#N/A,SUM(AI$4:AI45))</f>
        <v>0</v>
      </c>
      <c r="AK45" s="306" t="str">
        <f t="shared" si="17"/>
        <v/>
      </c>
      <c r="AL45" s="306">
        <f>IF($J45="",#N/A,SUM(AK$4:AK45))</f>
        <v>0</v>
      </c>
      <c r="AM45" s="306">
        <f>IF($J45="",#N/A,SUM(AK$4:AK45,AI$4:AI45,AG$4:AG45))</f>
        <v>0</v>
      </c>
      <c r="AN45" s="304" t="str">
        <f t="shared" si="18"/>
        <v/>
      </c>
      <c r="AO45" s="304">
        <f>IF($J45="",#N/A,SUM(AN$4:AN45))</f>
        <v>0</v>
      </c>
      <c r="AP45" s="305" t="str">
        <f t="shared" si="19"/>
        <v/>
      </c>
      <c r="AQ45" s="305">
        <f>IF($J45="",#N/A,SUM(AP$4:AP45))</f>
        <v>0</v>
      </c>
      <c r="AR45" s="306" t="str">
        <f t="shared" si="20"/>
        <v/>
      </c>
      <c r="AS45" s="306">
        <f>IF($J45="",#N/A,SUM(AR$4:AR45))</f>
        <v>0</v>
      </c>
      <c r="AT45" s="306">
        <f>IF($J45="",#N/A,SUM(AR$4:AR45,AP$4:AP45,AN$4:AN45))</f>
        <v>0</v>
      </c>
      <c r="AU45" s="304" t="str">
        <f t="shared" si="21"/>
        <v/>
      </c>
      <c r="AV45" s="304">
        <f>IF($J45="",#N/A,SUM(AU$4:AU45))</f>
        <v>0</v>
      </c>
      <c r="AW45" s="305" t="str">
        <f t="shared" si="22"/>
        <v/>
      </c>
      <c r="AX45" s="305">
        <f>IF($J45="",#N/A,SUM(AW$4:AW45))</f>
        <v>1.2290222546515868</v>
      </c>
      <c r="AY45" s="306" t="str">
        <f t="shared" si="23"/>
        <v/>
      </c>
      <c r="AZ45" s="306">
        <f>IF($J45="",#N/A,SUM(AY$4:AY45))</f>
        <v>3.0490332683593495</v>
      </c>
      <c r="BA45" s="306">
        <f>IF($J45="",#N/A,SUM(AY$4:AY45,AW$4:AW45,AU$4:AU45))</f>
        <v>4.2780555230109361</v>
      </c>
      <c r="BB45" s="304" t="str">
        <f t="shared" si="24"/>
        <v/>
      </c>
      <c r="BC45" s="304">
        <f>IF($J45="",#N/A,SUM(BB$4:BB45))</f>
        <v>0</v>
      </c>
      <c r="BD45" s="305" t="str">
        <f t="shared" si="25"/>
        <v/>
      </c>
      <c r="BE45" s="305">
        <f>IF($J45="",#N/A,SUM(BD$4:BD45))</f>
        <v>0</v>
      </c>
      <c r="BF45" s="306" t="str">
        <f t="shared" si="26"/>
        <v/>
      </c>
      <c r="BG45" s="306">
        <f>IF($J45="",#N/A,SUM(BF$4:BF45))</f>
        <v>2.4597169840247779</v>
      </c>
      <c r="BH45" s="306">
        <f>IF($J45="",#N/A,SUM(BF$4:BF45,BD$4:BD45,BB$4:BB45))</f>
        <v>2.4597169840247779</v>
      </c>
      <c r="BI45" s="304" t="str">
        <f t="shared" si="27"/>
        <v/>
      </c>
      <c r="BJ45" s="304">
        <f>IF($J45="",#N/A,SUM(BI$4:BI45))</f>
        <v>-0.63021254112582636</v>
      </c>
      <c r="BK45" s="305" t="str">
        <f t="shared" si="28"/>
        <v/>
      </c>
      <c r="BL45" s="305">
        <f>IF($J45="",#N/A,SUM(BK$4:BK45))</f>
        <v>0</v>
      </c>
      <c r="BM45" s="306" t="str">
        <f t="shared" si="29"/>
        <v/>
      </c>
      <c r="BN45" s="306">
        <f>IF($J45="",#N/A,SUM(BM$4:BM45))</f>
        <v>3.8210959759517467</v>
      </c>
      <c r="BO45" s="306">
        <f>IF($J45="",#N/A,SUM(BM$4:BM45,BK$4:BK45,BI$4:BI45))</f>
        <v>3.1908834348259205</v>
      </c>
      <c r="BP45" s="304" t="str">
        <f t="shared" si="30"/>
        <v/>
      </c>
      <c r="BQ45" s="304">
        <f>IF($J45="",#N/A,SUM(BP$4:BP45))</f>
        <v>2.861669748198973</v>
      </c>
      <c r="BR45" s="305" t="str">
        <f t="shared" si="31"/>
        <v/>
      </c>
      <c r="BS45" s="305">
        <f>IF($J45="",#N/A,SUM(BR$4:BR45))</f>
        <v>-0.34773304801390975</v>
      </c>
      <c r="BT45" s="306">
        <f t="shared" si="32"/>
        <v>-0.69991789819376027</v>
      </c>
      <c r="BU45" s="306">
        <f>IF($J45="",#N/A,SUM(BT$4:BT45))</f>
        <v>-1.7024241638579198</v>
      </c>
      <c r="BV45" s="306">
        <f>IF($J45="",#N/A,SUM(BT$4:BT45,BR$4:BR45,BP$4:BP45))</f>
        <v>0.81151253632714349</v>
      </c>
      <c r="BW45" s="304" t="str">
        <f t="shared" si="33"/>
        <v/>
      </c>
      <c r="BX45" s="304">
        <f>IF($J45="",#N/A,SUM(BW$4:BW45))</f>
        <v>0</v>
      </c>
      <c r="BY45" s="305" t="str">
        <f t="shared" si="34"/>
        <v/>
      </c>
      <c r="BZ45" s="305">
        <f>IF($J45="",#N/A,SUM(BY$4:BY45))</f>
        <v>0.46686916413544804</v>
      </c>
      <c r="CA45" s="306" t="str">
        <f t="shared" si="35"/>
        <v/>
      </c>
      <c r="CB45" s="306">
        <f>IF($J45="",#N/A,SUM(CA$4:CA45))</f>
        <v>-0.37959870993521366</v>
      </c>
      <c r="CC45" s="306">
        <f>IF($J45="",#N/A,SUM(CA$4:CA45,BY$4:BY45,BW$4:BW45))</f>
        <v>8.7270454200234382E-2</v>
      </c>
      <c r="CD45" s="304" t="str">
        <f t="shared" si="36"/>
        <v/>
      </c>
      <c r="CE45" s="304">
        <f>IF($J45="",#N/A,SUM(CD$4:CD45))</f>
        <v>0</v>
      </c>
      <c r="CF45" s="305" t="str">
        <f t="shared" si="37"/>
        <v/>
      </c>
      <c r="CG45" s="305">
        <f>IF($J45="",#N/A,SUM(CF$4:CF45))</f>
        <v>0</v>
      </c>
      <c r="CH45" s="306" t="str">
        <f t="shared" si="38"/>
        <v/>
      </c>
      <c r="CI45" s="306">
        <f>IF($J45="",#N/A,SUM(CH$4:CH45))</f>
        <v>0</v>
      </c>
      <c r="CJ45" s="306">
        <f>IF($J45="",#N/A,SUM(CH$4:CH45,CF$4:CF45,CD$4:CD45))</f>
        <v>0</v>
      </c>
      <c r="CK45" s="304" t="str">
        <f t="shared" si="39"/>
        <v/>
      </c>
      <c r="CL45" s="304">
        <f>IF($J45="",#N/A,SUM(CK$4:CK45))</f>
        <v>0</v>
      </c>
      <c r="CM45" s="305" t="str">
        <f t="shared" si="40"/>
        <v/>
      </c>
      <c r="CN45" s="305">
        <f>IF($J45="",#N/A,SUM(CM$4:CM45))</f>
        <v>0</v>
      </c>
      <c r="CO45" s="306" t="str">
        <f t="shared" si="41"/>
        <v/>
      </c>
      <c r="CP45" s="306">
        <f>IF($J45="",#N/A,SUM(CO$4:CO45))</f>
        <v>0</v>
      </c>
      <c r="CQ45" s="306">
        <f>IF($J45="",#N/A,SUM(CO$4:CO45,CM$4:CM45,CK$4:CK45))</f>
        <v>0</v>
      </c>
      <c r="CR45" s="304" t="str">
        <f t="shared" si="42"/>
        <v/>
      </c>
      <c r="CS45" s="304">
        <f>IF($J45="",#N/A,SUM(CR$4:CR45))</f>
        <v>0</v>
      </c>
      <c r="CT45" s="305" t="str">
        <f t="shared" si="43"/>
        <v/>
      </c>
      <c r="CU45" s="305">
        <f>IF($J45="",#N/A,SUM(CT$4:CT45))</f>
        <v>-0.13081968772223007</v>
      </c>
      <c r="CV45" s="306" t="str">
        <f t="shared" si="44"/>
        <v/>
      </c>
      <c r="CW45" s="306">
        <f>IF($J45="",#N/A,SUM(CV$4:CV45))</f>
        <v>0</v>
      </c>
      <c r="CX45" s="306">
        <f>IF($J45="",#N/A,SUM(CV$4:CV45,CT$4:CT45,CR$4:CR45))</f>
        <v>-0.13081968772223007</v>
      </c>
      <c r="CY45" s="304" t="str">
        <f t="shared" si="45"/>
        <v/>
      </c>
      <c r="CZ45" s="304">
        <f>IF($J45="",#N/A,SUM(CY$4:CY45))</f>
        <v>0</v>
      </c>
      <c r="DA45" s="305" t="str">
        <f t="shared" si="46"/>
        <v/>
      </c>
      <c r="DB45" s="305">
        <f>IF($J45="",#N/A,SUM(DA$4:DA45))</f>
        <v>0</v>
      </c>
      <c r="DC45" s="306" t="str">
        <f t="shared" si="47"/>
        <v/>
      </c>
      <c r="DD45" s="306">
        <f>IF($J45="",#N/A,SUM(DC$4:DC45))</f>
        <v>0</v>
      </c>
      <c r="DE45" s="306">
        <f>IF($J45="",#N/A,SUM(DC$4:DC45,DA$4:DA45,CY$4:CY45))</f>
        <v>0</v>
      </c>
      <c r="DF45" s="304" t="str">
        <f t="shared" si="48"/>
        <v/>
      </c>
      <c r="DG45" s="304">
        <f>IF($J45="",#N/A,SUM(DF$4:DF45))</f>
        <v>0</v>
      </c>
      <c r="DH45" s="305" t="str">
        <f t="shared" si="49"/>
        <v/>
      </c>
      <c r="DI45" s="305">
        <f>IF($J45="",#N/A,SUM(DH$4:DH45))</f>
        <v>0</v>
      </c>
      <c r="DJ45" s="306" t="str">
        <f t="shared" si="50"/>
        <v/>
      </c>
      <c r="DK45" s="306">
        <f>IF($J45="",#N/A,SUM(DJ$4:DJ45))</f>
        <v>0</v>
      </c>
      <c r="DL45" s="306">
        <f>IF($J45="",#N/A,SUM(DJ$4:DJ45,DH$4:DH45,DF$4:DF45))</f>
        <v>0</v>
      </c>
      <c r="DM45" s="304" t="str">
        <f t="shared" si="51"/>
        <v/>
      </c>
      <c r="DN45" s="304">
        <f>IF($J45="",#N/A,SUM(DM$4:DM45))</f>
        <v>0</v>
      </c>
      <c r="DO45" s="305" t="str">
        <f t="shared" si="52"/>
        <v/>
      </c>
      <c r="DP45" s="305">
        <f>IF($J45="",#N/A,SUM(DO$4:DO45))</f>
        <v>0</v>
      </c>
      <c r="DQ45" s="306" t="str">
        <f t="shared" si="53"/>
        <v/>
      </c>
      <c r="DR45" s="306">
        <f>IF($J45="",#N/A,SUM(DQ$4:DQ45))</f>
        <v>0.79026593075765084</v>
      </c>
      <c r="DS45" s="306">
        <f>IF($J45="",#N/A,SUM(DQ$4:DQ45,DO$4:DO45,DM$4:DM45))</f>
        <v>0.79026593075765084</v>
      </c>
      <c r="DT45" s="304" t="str">
        <f t="shared" si="54"/>
        <v/>
      </c>
      <c r="DU45" s="304">
        <f>IF($J45="",#N/A,SUM(DT$4:DT45))</f>
        <v>0</v>
      </c>
      <c r="DV45" s="305" t="str">
        <f t="shared" si="55"/>
        <v/>
      </c>
      <c r="DW45" s="305">
        <f>IF($J45="",#N/A,SUM(DV$4:DV45))</f>
        <v>0.40085630512924314</v>
      </c>
      <c r="DX45" s="306" t="str">
        <f t="shared" si="56"/>
        <v/>
      </c>
      <c r="DY45" s="306">
        <f>IF($J45="",#N/A,SUM(DX$4:DX45))</f>
        <v>0</v>
      </c>
      <c r="DZ45" s="306">
        <f>IF($J45="",#N/A,SUM(DX$4:DX45,DV$4:DV45,DT$4:DT45))</f>
        <v>0.40085630512924314</v>
      </c>
      <c r="EA45" s="304" t="str">
        <f t="shared" si="57"/>
        <v/>
      </c>
      <c r="EB45" s="304">
        <f>IF($J45="",#N/A,SUM(EA$4:EA45))</f>
        <v>0</v>
      </c>
      <c r="EC45" s="305" t="str">
        <f t="shared" si="58"/>
        <v/>
      </c>
      <c r="ED45" s="305">
        <f>IF($J45="",#N/A,SUM(EC$4:EC45))</f>
        <v>-0.47973811942657352</v>
      </c>
      <c r="EE45" s="306" t="str">
        <f t="shared" si="59"/>
        <v/>
      </c>
      <c r="EF45" s="306">
        <f>IF($J45="",#N/A,SUM(EE$4:EE45))</f>
        <v>0</v>
      </c>
      <c r="EG45" s="306">
        <f>IF($J45="",#N/A,SUM(EE$4:EE45,EC$4:EC45,EA$4:EA45))</f>
        <v>-0.47973811942657352</v>
      </c>
      <c r="EH45" s="223">
        <f t="shared" si="60"/>
        <v>-16.798029556650249</v>
      </c>
      <c r="EI45" s="224">
        <f>IF(EH45="",#N/A,SUM($EH$4:EH45))</f>
        <v>338.17752580244365</v>
      </c>
      <c r="EJ45" s="223">
        <f t="shared" si="61"/>
        <v>-13.7438423645321</v>
      </c>
      <c r="EK45" s="63">
        <f>IF($GZ45="",#N/A,SUM(EJ$4:EJ45))</f>
        <v>558.1790557979491</v>
      </c>
      <c r="EL45" s="60">
        <f t="shared" si="97"/>
        <v>-0.69991789819376027</v>
      </c>
      <c r="EM45" s="60">
        <f>IF(EL45="",NA(),SUM($EL$4:EL45))</f>
        <v>14.090730241768487</v>
      </c>
      <c r="EN45" s="60" t="str">
        <f t="shared" si="62"/>
        <v/>
      </c>
      <c r="EO45" s="60" t="e">
        <f>IF(EN45="",NA(),SUM($EN$4:EN45))</f>
        <v>#N/A</v>
      </c>
      <c r="EP45" s="60">
        <f t="shared" si="63"/>
        <v>-0.69991789819376027</v>
      </c>
      <c r="EQ45" s="60">
        <f>IF(EP45="",NA(),SUM($EP$4:EP45))</f>
        <v>9.5934300610052929</v>
      </c>
      <c r="ER45" s="60" t="str">
        <f t="shared" si="64"/>
        <v/>
      </c>
      <c r="ES45" s="60" t="e">
        <f>IF(ER45="",NA(),SUM($ER$4:ER45))</f>
        <v>#N/A</v>
      </c>
      <c r="ET45" s="60" t="str">
        <f t="shared" si="65"/>
        <v/>
      </c>
      <c r="EU45" s="60" t="e">
        <f>IF(ET45="",NA(),SUM($ET$4:ET45))</f>
        <v>#N/A</v>
      </c>
      <c r="EV45" s="60" t="str">
        <f t="shared" si="66"/>
        <v/>
      </c>
      <c r="EW45" s="60" t="e">
        <f>IF(EV45="",NA(),SUM($EV$4:EV45))</f>
        <v>#N/A</v>
      </c>
      <c r="EX45" s="60" t="str">
        <f t="shared" si="67"/>
        <v/>
      </c>
      <c r="EY45" s="60" t="e">
        <f>IF(EX45="",NA(),SUM($EX$4:EX45))</f>
        <v>#N/A</v>
      </c>
      <c r="EZ45" s="60" t="str">
        <f t="shared" si="68"/>
        <v/>
      </c>
      <c r="FA45" s="60" t="e">
        <f>IF(EZ45="",NA(),SUM($EZ$4:EZ45))</f>
        <v>#N/A</v>
      </c>
      <c r="FB45" s="246" t="str">
        <f t="shared" si="98"/>
        <v/>
      </c>
      <c r="FC45" s="246" t="e">
        <f>IF($FB45="",#N/A,SUM(FB$4:$FB45))</f>
        <v>#N/A</v>
      </c>
      <c r="FD45" s="60" t="str">
        <f t="shared" si="69"/>
        <v/>
      </c>
      <c r="FE45" s="60" t="e">
        <f>IF($FD45="",#N/A,SUM($FD$4:FD45))</f>
        <v>#N/A</v>
      </c>
      <c r="FF45" s="60" t="str">
        <f t="shared" si="70"/>
        <v/>
      </c>
      <c r="FG45" s="60" t="e">
        <f>IF($FF45="",#N/A,SUM($FF$4:FF45))</f>
        <v>#N/A</v>
      </c>
      <c r="FH45" s="60" t="str">
        <f t="shared" si="71"/>
        <v/>
      </c>
      <c r="FI45" s="60" t="e">
        <f>IF($FH45="",#N/A,SUM($FH$4:FH45))</f>
        <v>#N/A</v>
      </c>
      <c r="FJ45" s="60" t="str">
        <f t="shared" si="72"/>
        <v/>
      </c>
      <c r="FK45" s="60" t="e">
        <f>IF($FJ45="",#N/A,SUM($FJ$4:FJ45))</f>
        <v>#N/A</v>
      </c>
      <c r="FL45" s="60">
        <f t="shared" si="73"/>
        <v>0.12725779967158957</v>
      </c>
      <c r="FM45" s="60">
        <f>IF($FL45="",#N/A,SUM($FL$4:FL45))</f>
        <v>1.0471925919373439</v>
      </c>
      <c r="FN45" s="82">
        <f t="shared" si="74"/>
        <v>-0.5726600985221707</v>
      </c>
      <c r="FO45" s="82">
        <f>IF($FN45="",#N/A,SUM(FN$4:$FN45))</f>
        <v>23.257460658247883</v>
      </c>
      <c r="FP45" s="82">
        <f t="shared" si="99"/>
        <v>-0.69991789819376027</v>
      </c>
      <c r="FQ45" s="246">
        <f>IF($EH45="",#N/A,SUM($FP$4:FP45))</f>
        <v>14.090730241768487</v>
      </c>
      <c r="FR45" s="82">
        <f>IFERROR(FQ45/COUNTA($J$4:J45),#N/A)</f>
        <v>0.33549357718496398</v>
      </c>
      <c r="FS45" s="99"/>
      <c r="FT45" s="82">
        <f t="shared" si="103"/>
        <v>0.28403993160326391</v>
      </c>
      <c r="FU45" s="82" t="e">
        <v>#N/A</v>
      </c>
      <c r="FV45" s="57" t="str">
        <f t="shared" si="75"/>
        <v>SW</v>
      </c>
      <c r="FW45" s="57" t="s">
        <v>2732</v>
      </c>
      <c r="FX45" s="57" t="str">
        <f t="shared" si="76"/>
        <v/>
      </c>
      <c r="FY45" s="57" t="str">
        <f t="shared" si="77"/>
        <v/>
      </c>
      <c r="FZ45" s="57" t="str">
        <f t="shared" si="78"/>
        <v/>
      </c>
      <c r="GA45" s="57" t="str">
        <f t="shared" si="79"/>
        <v>Long</v>
      </c>
      <c r="GB45" s="57" t="str">
        <f t="shared" si="80"/>
        <v/>
      </c>
      <c r="GC45" s="57" t="str">
        <f t="shared" si="81"/>
        <v/>
      </c>
      <c r="GD45" s="57">
        <f t="shared" si="82"/>
        <v>1</v>
      </c>
      <c r="GE45" s="62">
        <f t="shared" si="105"/>
        <v>81.2</v>
      </c>
      <c r="GF45" s="62" t="s">
        <v>2779</v>
      </c>
      <c r="GG45" s="199">
        <f t="shared" si="106"/>
        <v>4.9261083743842367</v>
      </c>
      <c r="GH45" s="207">
        <f t="shared" si="85"/>
        <v>400.00000000000006</v>
      </c>
      <c r="GI45" s="199">
        <f t="shared" si="107"/>
        <v>4.9261083743842367</v>
      </c>
      <c r="GJ45" s="200">
        <f t="shared" si="108"/>
        <v>77.790000000000006</v>
      </c>
      <c r="GK45" s="63">
        <f t="shared" si="88"/>
        <v>-16.798029556650249</v>
      </c>
      <c r="GL45" s="63">
        <f t="shared" si="109"/>
        <v>-13.7438423645321</v>
      </c>
      <c r="GM45" s="82">
        <f t="shared" si="90"/>
        <v>-0.5726600985221707</v>
      </c>
      <c r="GN45" s="82">
        <f>IF($GZ45="",#N/A,SUM(GM$4:GM45))</f>
        <v>12.771550121536228</v>
      </c>
      <c r="GO45" s="82" t="str">
        <f t="shared" si="91"/>
        <v/>
      </c>
      <c r="GP45" s="82">
        <f>IF($GZ45="",#N/A,SUM(GO$4:GO45))</f>
        <v>6.5705557966349719</v>
      </c>
      <c r="GQ45" s="82" t="str">
        <f t="shared" si="92"/>
        <v/>
      </c>
      <c r="GR45" s="82">
        <f>IF($GZ45="",#N/A,SUM(GQ$4:GQ45))</f>
        <v>3.9153547400766828</v>
      </c>
      <c r="GS45" s="63">
        <f t="shared" si="100"/>
        <v>-13.7438423645321</v>
      </c>
      <c r="GT45" s="63">
        <f>IF($GZ45="",#N/A,SUM(GS$4:GS45))</f>
        <v>306.51720291686945</v>
      </c>
      <c r="GU45" s="63" t="str">
        <f t="shared" si="101"/>
        <v/>
      </c>
      <c r="GV45" s="63">
        <f>IF($GZ45="",#N/A,SUM(GU$4:GU45))</f>
        <v>157.69333911923928</v>
      </c>
      <c r="GW45" s="62" t="str">
        <f t="shared" si="102"/>
        <v/>
      </c>
      <c r="GX45" s="63">
        <f>IF($GZ45="",#N/A,SUM(GW$4:GW45))</f>
        <v>93.96851376184037</v>
      </c>
      <c r="GY45" s="63">
        <f>IF(EJ45="",#N/A,SUM($EJ$4:EJ45))</f>
        <v>558.1790557979491</v>
      </c>
      <c r="GZ45" s="159">
        <v>78.41</v>
      </c>
      <c r="HA45" s="63">
        <f t="shared" si="93"/>
        <v>3.0541871921181496</v>
      </c>
      <c r="HB45" s="62" t="s">
        <v>4970</v>
      </c>
      <c r="HC45" s="60">
        <f>IFERROR(VLOOKUP(E45,Expectancy!$P$4:$S$19,1+C45,FALSE),"")</f>
        <v>2.40735201201209E-2</v>
      </c>
      <c r="HD45" s="60" t="str">
        <f t="shared" si="94"/>
        <v/>
      </c>
      <c r="HE45" s="60" t="e">
        <f>IF(HD45="",#N/A,SUM($HD$4:HD45))</f>
        <v>#N/A</v>
      </c>
      <c r="HF45" s="64" t="e">
        <f>IF(HD45="",#N/A,IF(HB45="Skip",#N/A,SUM($HG$4:HG45)))</f>
        <v>#N/A</v>
      </c>
      <c r="HG45" s="63" t="str">
        <f t="shared" si="95"/>
        <v/>
      </c>
      <c r="HH45" s="82">
        <f t="shared" si="96"/>
        <v>-0.5726600985221707</v>
      </c>
    </row>
    <row r="46" spans="1:216" x14ac:dyDescent="0.25">
      <c r="A46" s="57" t="s">
        <v>1395</v>
      </c>
      <c r="B46" s="58" t="s">
        <v>5109</v>
      </c>
      <c r="C46" s="386">
        <f t="shared" si="0"/>
        <v>3</v>
      </c>
      <c r="D46" s="372" t="str">
        <f>_xlfn.XLOOKUP(A46,[1]SP500!$A$2:$A$502,[1]SP500!$D$2:$D$502,"N")</f>
        <v>Y</v>
      </c>
      <c r="E46" s="57" t="str">
        <f>_xlfn.XLOOKUP(A46,[1]SP500!$A$2:$A$655,[1]SP500!$B$2:$B$655)</f>
        <v>XLE</v>
      </c>
      <c r="F46" s="59">
        <v>45679</v>
      </c>
      <c r="G46" s="57" t="str">
        <f t="shared" si="1"/>
        <v>AMC</v>
      </c>
      <c r="H46" s="57" t="str">
        <f t="shared" si="2"/>
        <v>o</v>
      </c>
      <c r="I46" s="159">
        <v>30.78</v>
      </c>
      <c r="J46" s="158">
        <v>31.3</v>
      </c>
      <c r="K46" s="61">
        <f t="shared" si="3"/>
        <v>1.6894087069525651E-2</v>
      </c>
      <c r="L46" s="87">
        <f t="shared" si="4"/>
        <v>6.75763482781025</v>
      </c>
      <c r="M46" s="63" t="str">
        <f t="shared" si="104"/>
        <v/>
      </c>
      <c r="N46" s="219" t="str">
        <f t="shared" si="6"/>
        <v/>
      </c>
      <c r="O46" s="219">
        <f>IF($J46="",#N/A,SUM($N$4:N46))</f>
        <v>80.612239488231069</v>
      </c>
      <c r="P46" s="220" t="str">
        <f t="shared" si="7"/>
        <v/>
      </c>
      <c r="Q46" s="220">
        <f>IF($J46="",#N/A,SUM($P$4:P46))</f>
        <v>27.322964850085555</v>
      </c>
      <c r="R46" s="221">
        <f t="shared" si="8"/>
        <v>6.75763482781025</v>
      </c>
      <c r="S46" s="222">
        <f>IF($J46="",#N/A,SUM($R$4:R46))</f>
        <v>236.99995629193728</v>
      </c>
      <c r="T46" s="281" t="str">
        <f t="shared" si="9"/>
        <v/>
      </c>
      <c r="U46" s="281">
        <f>IF($J46="",#N/A,SUM($T$4:T46))</f>
        <v>3.3588433120096277</v>
      </c>
      <c r="V46" s="282" t="str">
        <f t="shared" si="10"/>
        <v/>
      </c>
      <c r="W46" s="282">
        <f>IF($J46="",#N/A,SUM($V$4:V46))</f>
        <v>1.1384568687535646</v>
      </c>
      <c r="X46" s="283">
        <f t="shared" si="11"/>
        <v>0.28156811782542707</v>
      </c>
      <c r="Y46" s="283">
        <f>IF($J46="",#N/A,SUM($X$4:X46))</f>
        <v>9.8749981788307206</v>
      </c>
      <c r="Z46" s="304" t="str">
        <f t="shared" si="12"/>
        <v/>
      </c>
      <c r="AA46" s="304">
        <f>IF($J46="",#N/A,SUM(Z$4:Z46))</f>
        <v>1.1273861049364817</v>
      </c>
      <c r="AB46" s="305" t="str">
        <f t="shared" si="13"/>
        <v/>
      </c>
      <c r="AC46" s="305">
        <f>IF($J46="",#N/A,SUM(AB$4:AB46))</f>
        <v>0</v>
      </c>
      <c r="AD46" s="306" t="str">
        <f t="shared" si="14"/>
        <v/>
      </c>
      <c r="AE46" s="306">
        <f>IF($J46="",#N/A,SUM(AD$4:AD46))</f>
        <v>1.5553407757049009</v>
      </c>
      <c r="AF46" s="306">
        <f>IF($J46="",#N/A,SUM(AD$4:AD46,AB$4:AB46,Z$4:Z46))</f>
        <v>2.6827268806413822</v>
      </c>
      <c r="AG46" s="304" t="str">
        <f t="shared" si="15"/>
        <v/>
      </c>
      <c r="AH46" s="304">
        <f>IF($J46="",#N/A,SUM(AG$4:AG46))</f>
        <v>0</v>
      </c>
      <c r="AI46" s="305" t="str">
        <f t="shared" si="16"/>
        <v/>
      </c>
      <c r="AJ46" s="305">
        <f>IF($J46="",#N/A,SUM(AI$4:AI46))</f>
        <v>0</v>
      </c>
      <c r="AK46" s="306" t="str">
        <f t="shared" si="17"/>
        <v/>
      </c>
      <c r="AL46" s="306">
        <f>IF($J46="",#N/A,SUM(AK$4:AK46))</f>
        <v>0</v>
      </c>
      <c r="AM46" s="306">
        <f>IF($J46="",#N/A,SUM(AK$4:AK46,AI$4:AI46,AG$4:AG46))</f>
        <v>0</v>
      </c>
      <c r="AN46" s="304" t="str">
        <f t="shared" si="18"/>
        <v/>
      </c>
      <c r="AO46" s="304">
        <f>IF($J46="",#N/A,SUM(AN$4:AN46))</f>
        <v>0</v>
      </c>
      <c r="AP46" s="305" t="str">
        <f t="shared" si="19"/>
        <v/>
      </c>
      <c r="AQ46" s="305">
        <f>IF($J46="",#N/A,SUM(AP$4:AP46))</f>
        <v>0</v>
      </c>
      <c r="AR46" s="306" t="str">
        <f t="shared" si="20"/>
        <v/>
      </c>
      <c r="AS46" s="306">
        <f>IF($J46="",#N/A,SUM(AR$4:AR46))</f>
        <v>0</v>
      </c>
      <c r="AT46" s="306">
        <f>IF($J46="",#N/A,SUM(AR$4:AR46,AP$4:AP46,AN$4:AN46))</f>
        <v>0</v>
      </c>
      <c r="AU46" s="304" t="str">
        <f t="shared" si="21"/>
        <v/>
      </c>
      <c r="AV46" s="304">
        <f>IF($J46="",#N/A,SUM(AU$4:AU46))</f>
        <v>0</v>
      </c>
      <c r="AW46" s="305" t="str">
        <f t="shared" si="22"/>
        <v/>
      </c>
      <c r="AX46" s="305">
        <f>IF($J46="",#N/A,SUM(AW$4:AW46))</f>
        <v>1.2290222546515868</v>
      </c>
      <c r="AY46" s="306" t="str">
        <f t="shared" si="23"/>
        <v/>
      </c>
      <c r="AZ46" s="306">
        <f>IF($J46="",#N/A,SUM(AY$4:AY46))</f>
        <v>3.0490332683593495</v>
      </c>
      <c r="BA46" s="306">
        <f>IF($J46="",#N/A,SUM(AY$4:AY46,AW$4:AW46,AU$4:AU46))</f>
        <v>4.2780555230109361</v>
      </c>
      <c r="BB46" s="304" t="str">
        <f t="shared" si="24"/>
        <v/>
      </c>
      <c r="BC46" s="304">
        <f>IF($J46="",#N/A,SUM(BB$4:BB46))</f>
        <v>0</v>
      </c>
      <c r="BD46" s="305" t="str">
        <f t="shared" si="25"/>
        <v/>
      </c>
      <c r="BE46" s="305">
        <f>IF($J46="",#N/A,SUM(BD$4:BD46))</f>
        <v>0</v>
      </c>
      <c r="BF46" s="306" t="str">
        <f t="shared" si="26"/>
        <v/>
      </c>
      <c r="BG46" s="306">
        <f>IF($J46="",#N/A,SUM(BF$4:BF46))</f>
        <v>2.4597169840247779</v>
      </c>
      <c r="BH46" s="306">
        <f>IF($J46="",#N/A,SUM(BF$4:BF46,BD$4:BD46,BB$4:BB46))</f>
        <v>2.4597169840247779</v>
      </c>
      <c r="BI46" s="304" t="str">
        <f t="shared" si="27"/>
        <v/>
      </c>
      <c r="BJ46" s="304">
        <f>IF($J46="",#N/A,SUM(BI$4:BI46))</f>
        <v>-0.63021254112582636</v>
      </c>
      <c r="BK46" s="305" t="str">
        <f t="shared" si="28"/>
        <v/>
      </c>
      <c r="BL46" s="305">
        <f>IF($J46="",#N/A,SUM(BK$4:BK46))</f>
        <v>0</v>
      </c>
      <c r="BM46" s="306" t="str">
        <f t="shared" si="29"/>
        <v/>
      </c>
      <c r="BN46" s="306">
        <f>IF($J46="",#N/A,SUM(BM$4:BM46))</f>
        <v>3.8210959759517467</v>
      </c>
      <c r="BO46" s="306">
        <f>IF($J46="",#N/A,SUM(BM$4:BM46,BK$4:BK46,BI$4:BI46))</f>
        <v>3.1908834348259205</v>
      </c>
      <c r="BP46" s="304" t="str">
        <f t="shared" si="30"/>
        <v/>
      </c>
      <c r="BQ46" s="304">
        <f>IF($J46="",#N/A,SUM(BP$4:BP46))</f>
        <v>2.861669748198973</v>
      </c>
      <c r="BR46" s="305" t="str">
        <f t="shared" si="31"/>
        <v/>
      </c>
      <c r="BS46" s="305">
        <f>IF($J46="",#N/A,SUM(BR$4:BR46))</f>
        <v>-0.34773304801390975</v>
      </c>
      <c r="BT46" s="306" t="str">
        <f t="shared" si="32"/>
        <v/>
      </c>
      <c r="BU46" s="306">
        <f>IF($J46="",#N/A,SUM(BT$4:BT46))</f>
        <v>-1.7024241638579198</v>
      </c>
      <c r="BV46" s="306">
        <f>IF($J46="",#N/A,SUM(BT$4:BT46,BR$4:BR46,BP$4:BP46))</f>
        <v>0.81151253632714349</v>
      </c>
      <c r="BW46" s="304" t="str">
        <f t="shared" si="33"/>
        <v/>
      </c>
      <c r="BX46" s="304">
        <f>IF($J46="",#N/A,SUM(BW$4:BW46))</f>
        <v>0</v>
      </c>
      <c r="BY46" s="305" t="str">
        <f t="shared" si="34"/>
        <v/>
      </c>
      <c r="BZ46" s="305">
        <f>IF($J46="",#N/A,SUM(BY$4:BY46))</f>
        <v>0.46686916413544804</v>
      </c>
      <c r="CA46" s="306" t="str">
        <f t="shared" si="35"/>
        <v/>
      </c>
      <c r="CB46" s="306">
        <f>IF($J46="",#N/A,SUM(CA$4:CA46))</f>
        <v>-0.37959870993521366</v>
      </c>
      <c r="CC46" s="306">
        <f>IF($J46="",#N/A,SUM(CA$4:CA46,BY$4:BY46,BW$4:BW46))</f>
        <v>8.7270454200234382E-2</v>
      </c>
      <c r="CD46" s="304" t="str">
        <f t="shared" si="36"/>
        <v/>
      </c>
      <c r="CE46" s="304">
        <f>IF($J46="",#N/A,SUM(CD$4:CD46))</f>
        <v>0</v>
      </c>
      <c r="CF46" s="305" t="str">
        <f t="shared" si="37"/>
        <v/>
      </c>
      <c r="CG46" s="305">
        <f>IF($J46="",#N/A,SUM(CF$4:CF46))</f>
        <v>0</v>
      </c>
      <c r="CH46" s="306" t="str">
        <f t="shared" si="38"/>
        <v/>
      </c>
      <c r="CI46" s="306">
        <f>IF($J46="",#N/A,SUM(CH$4:CH46))</f>
        <v>0</v>
      </c>
      <c r="CJ46" s="306">
        <f>IF($J46="",#N/A,SUM(CH$4:CH46,CF$4:CF46,CD$4:CD46))</f>
        <v>0</v>
      </c>
      <c r="CK46" s="304" t="str">
        <f t="shared" si="39"/>
        <v/>
      </c>
      <c r="CL46" s="304">
        <f>IF($J46="",#N/A,SUM(CK$4:CK46))</f>
        <v>0</v>
      </c>
      <c r="CM46" s="305" t="str">
        <f t="shared" si="40"/>
        <v/>
      </c>
      <c r="CN46" s="305">
        <f>IF($J46="",#N/A,SUM(CM$4:CM46))</f>
        <v>0</v>
      </c>
      <c r="CO46" s="306" t="str">
        <f t="shared" si="41"/>
        <v/>
      </c>
      <c r="CP46" s="306">
        <f>IF($J46="",#N/A,SUM(CO$4:CO46))</f>
        <v>0</v>
      </c>
      <c r="CQ46" s="306">
        <f>IF($J46="",#N/A,SUM(CO$4:CO46,CM$4:CM46,CK$4:CK46))</f>
        <v>0</v>
      </c>
      <c r="CR46" s="304" t="str">
        <f t="shared" si="42"/>
        <v/>
      </c>
      <c r="CS46" s="304">
        <f>IF($J46="",#N/A,SUM(CR$4:CR46))</f>
        <v>0</v>
      </c>
      <c r="CT46" s="305" t="str">
        <f t="shared" si="43"/>
        <v/>
      </c>
      <c r="CU46" s="305">
        <f>IF($J46="",#N/A,SUM(CT$4:CT46))</f>
        <v>-0.13081968772223007</v>
      </c>
      <c r="CV46" s="306">
        <f t="shared" si="44"/>
        <v>0.28156811782542707</v>
      </c>
      <c r="CW46" s="306">
        <f>IF($J46="",#N/A,SUM(CV$4:CV46))</f>
        <v>0.28156811782542707</v>
      </c>
      <c r="CX46" s="306">
        <f>IF($J46="",#N/A,SUM(CV$4:CV46,CT$4:CT46,CR$4:CR46))</f>
        <v>0.150748430103197</v>
      </c>
      <c r="CY46" s="304" t="str">
        <f t="shared" si="45"/>
        <v/>
      </c>
      <c r="CZ46" s="304">
        <f>IF($J46="",#N/A,SUM(CY$4:CY46))</f>
        <v>0</v>
      </c>
      <c r="DA46" s="305" t="str">
        <f t="shared" si="46"/>
        <v/>
      </c>
      <c r="DB46" s="305">
        <f>IF($J46="",#N/A,SUM(DA$4:DA46))</f>
        <v>0</v>
      </c>
      <c r="DC46" s="306" t="str">
        <f t="shared" si="47"/>
        <v/>
      </c>
      <c r="DD46" s="306">
        <f>IF($J46="",#N/A,SUM(DC$4:DC46))</f>
        <v>0</v>
      </c>
      <c r="DE46" s="306">
        <f>IF($J46="",#N/A,SUM(DC$4:DC46,DA$4:DA46,CY$4:CY46))</f>
        <v>0</v>
      </c>
      <c r="DF46" s="304" t="str">
        <f t="shared" si="48"/>
        <v/>
      </c>
      <c r="DG46" s="304">
        <f>IF($J46="",#N/A,SUM(DF$4:DF46))</f>
        <v>0</v>
      </c>
      <c r="DH46" s="305" t="str">
        <f t="shared" si="49"/>
        <v/>
      </c>
      <c r="DI46" s="305">
        <f>IF($J46="",#N/A,SUM(DH$4:DH46))</f>
        <v>0</v>
      </c>
      <c r="DJ46" s="306" t="str">
        <f t="shared" si="50"/>
        <v/>
      </c>
      <c r="DK46" s="306">
        <f>IF($J46="",#N/A,SUM(DJ$4:DJ46))</f>
        <v>0</v>
      </c>
      <c r="DL46" s="306">
        <f>IF($J46="",#N/A,SUM(DJ$4:DJ46,DH$4:DH46,DF$4:DF46))</f>
        <v>0</v>
      </c>
      <c r="DM46" s="304" t="str">
        <f t="shared" si="51"/>
        <v/>
      </c>
      <c r="DN46" s="304">
        <f>IF($J46="",#N/A,SUM(DM$4:DM46))</f>
        <v>0</v>
      </c>
      <c r="DO46" s="305" t="str">
        <f t="shared" si="52"/>
        <v/>
      </c>
      <c r="DP46" s="305">
        <f>IF($J46="",#N/A,SUM(DO$4:DO46))</f>
        <v>0</v>
      </c>
      <c r="DQ46" s="306" t="str">
        <f t="shared" si="53"/>
        <v/>
      </c>
      <c r="DR46" s="306">
        <f>IF($J46="",#N/A,SUM(DQ$4:DQ46))</f>
        <v>0.79026593075765084</v>
      </c>
      <c r="DS46" s="306">
        <f>IF($J46="",#N/A,SUM(DQ$4:DQ46,DO$4:DO46,DM$4:DM46))</f>
        <v>0.79026593075765084</v>
      </c>
      <c r="DT46" s="304" t="str">
        <f t="shared" si="54"/>
        <v/>
      </c>
      <c r="DU46" s="304">
        <f>IF($J46="",#N/A,SUM(DT$4:DT46))</f>
        <v>0</v>
      </c>
      <c r="DV46" s="305" t="str">
        <f t="shared" si="55"/>
        <v/>
      </c>
      <c r="DW46" s="305">
        <f>IF($J46="",#N/A,SUM(DV$4:DV46))</f>
        <v>0.40085630512924314</v>
      </c>
      <c r="DX46" s="306" t="str">
        <f t="shared" si="56"/>
        <v/>
      </c>
      <c r="DY46" s="306">
        <f>IF($J46="",#N/A,SUM(DX$4:DX46))</f>
        <v>0</v>
      </c>
      <c r="DZ46" s="306">
        <f>IF($J46="",#N/A,SUM(DX$4:DX46,DV$4:DV46,DT$4:DT46))</f>
        <v>0.40085630512924314</v>
      </c>
      <c r="EA46" s="304" t="str">
        <f t="shared" si="57"/>
        <v/>
      </c>
      <c r="EB46" s="304">
        <f>IF($J46="",#N/A,SUM(EA$4:EA46))</f>
        <v>0</v>
      </c>
      <c r="EC46" s="305" t="str">
        <f t="shared" si="58"/>
        <v/>
      </c>
      <c r="ED46" s="305">
        <f>IF($J46="",#N/A,SUM(EC$4:EC46))</f>
        <v>-0.47973811942657352</v>
      </c>
      <c r="EE46" s="306" t="str">
        <f t="shared" si="59"/>
        <v/>
      </c>
      <c r="EF46" s="306">
        <f>IF($J46="",#N/A,SUM(EE$4:EE46))</f>
        <v>0</v>
      </c>
      <c r="EG46" s="306">
        <f>IF($J46="",#N/A,SUM(EE$4:EE46,EC$4:EC46,EA$4:EA46))</f>
        <v>-0.47973811942657352</v>
      </c>
      <c r="EH46" s="223">
        <f t="shared" si="60"/>
        <v>6.75763482781025</v>
      </c>
      <c r="EI46" s="224">
        <f>IF(EH46="",#N/A,SUM($EH$4:EH46))</f>
        <v>344.9351606302539</v>
      </c>
      <c r="EJ46" s="223">
        <f t="shared" si="61"/>
        <v>-3.8986354775828431</v>
      </c>
      <c r="EK46" s="63">
        <f>IF($GZ46="",#N/A,SUM(EJ$4:EJ46))</f>
        <v>554.28042032036626</v>
      </c>
      <c r="EL46" s="60">
        <f t="shared" si="97"/>
        <v>0.28156811782542707</v>
      </c>
      <c r="EM46" s="60">
        <f>IF(EL46="",NA(),SUM($EL$4:EL46))</f>
        <v>14.372298359593914</v>
      </c>
      <c r="EN46" s="60" t="str">
        <f t="shared" si="62"/>
        <v/>
      </c>
      <c r="EO46" s="60" t="e">
        <f>IF(EN46="",NA(),SUM($EN$4:EN46))</f>
        <v>#N/A</v>
      </c>
      <c r="EP46" s="60">
        <f t="shared" si="63"/>
        <v>0.28156811782542707</v>
      </c>
      <c r="EQ46" s="60">
        <f>IF(EP46="",NA(),SUM($EP$4:EP46))</f>
        <v>9.8749981788307206</v>
      </c>
      <c r="ER46" s="60" t="str">
        <f t="shared" si="64"/>
        <v/>
      </c>
      <c r="ES46" s="60" t="e">
        <f>IF(ER46="",NA(),SUM($ER$4:ER46))</f>
        <v>#N/A</v>
      </c>
      <c r="ET46" s="60" t="str">
        <f t="shared" si="65"/>
        <v/>
      </c>
      <c r="EU46" s="60" t="e">
        <f>IF(ET46="",NA(),SUM($ET$4:ET46))</f>
        <v>#N/A</v>
      </c>
      <c r="EV46" s="60" t="str">
        <f t="shared" si="66"/>
        <v/>
      </c>
      <c r="EW46" s="60" t="e">
        <f>IF(EV46="",NA(),SUM($EV$4:EV46))</f>
        <v>#N/A</v>
      </c>
      <c r="EX46" s="60" t="str">
        <f t="shared" si="67"/>
        <v/>
      </c>
      <c r="EY46" s="60" t="e">
        <f>IF(EX46="",NA(),SUM($EX$4:EX46))</f>
        <v>#N/A</v>
      </c>
      <c r="EZ46" s="60" t="str">
        <f t="shared" si="68"/>
        <v/>
      </c>
      <c r="FA46" s="60" t="e">
        <f>IF(EZ46="",NA(),SUM($EZ$4:EZ46))</f>
        <v>#N/A</v>
      </c>
      <c r="FB46" s="246" t="str">
        <f t="shared" si="98"/>
        <v/>
      </c>
      <c r="FC46" s="246" t="e">
        <f>IF($FB46="",#N/A,SUM(FB$4:$FB46))</f>
        <v>#N/A</v>
      </c>
      <c r="FD46" s="60" t="str">
        <f t="shared" si="69"/>
        <v/>
      </c>
      <c r="FE46" s="60" t="e">
        <f>IF($FD46="",#N/A,SUM($FD$4:FD46))</f>
        <v>#N/A</v>
      </c>
      <c r="FF46" s="60" t="str">
        <f t="shared" si="70"/>
        <v/>
      </c>
      <c r="FG46" s="60" t="e">
        <f>IF($FF46="",#N/A,SUM($FF$4:FF46))</f>
        <v>#N/A</v>
      </c>
      <c r="FH46" s="60" t="str">
        <f t="shared" si="71"/>
        <v/>
      </c>
      <c r="FI46" s="60" t="e">
        <f>IF($FH46="",#N/A,SUM($FH$4:FH46))</f>
        <v>#N/A</v>
      </c>
      <c r="FJ46" s="60">
        <f t="shared" si="72"/>
        <v>-0.4440112627247122</v>
      </c>
      <c r="FK46" s="60">
        <f>IF($FJ46="",#N/A,SUM($FJ$4:FJ46))</f>
        <v>1.6869162058688787</v>
      </c>
      <c r="FL46" s="60" t="str">
        <f t="shared" si="73"/>
        <v/>
      </c>
      <c r="FM46" s="60" t="e">
        <f>IF($FL46="",#N/A,SUM($FL$4:FL46))</f>
        <v>#N/A</v>
      </c>
      <c r="FN46" s="82">
        <f t="shared" si="74"/>
        <v>-0.16244314489928513</v>
      </c>
      <c r="FO46" s="82">
        <f>IF($FN46="",#N/A,SUM(FN$4:$FN46))</f>
        <v>23.095017513348598</v>
      </c>
      <c r="FP46" s="82">
        <f t="shared" si="99"/>
        <v>0.28156811782542707</v>
      </c>
      <c r="FQ46" s="246">
        <f>IF($EH46="",#N/A,SUM($FP$4:FP46))</f>
        <v>14.372298359593914</v>
      </c>
      <c r="FR46" s="82">
        <f>IFERROR(FQ46/COUNTA($J$4:J46),#N/A)</f>
        <v>0.33423949673474218</v>
      </c>
      <c r="FS46" s="99"/>
      <c r="FT46" s="82">
        <f t="shared" si="103"/>
        <v>0.30921197823683744</v>
      </c>
      <c r="FU46" s="82" t="e">
        <v>#N/A</v>
      </c>
      <c r="FV46" s="57" t="str">
        <f t="shared" si="75"/>
        <v>SW</v>
      </c>
      <c r="FW46" s="57" t="s">
        <v>2732</v>
      </c>
      <c r="FX46" s="57" t="str">
        <f t="shared" si="76"/>
        <v/>
      </c>
      <c r="FY46" s="57" t="str">
        <f t="shared" si="77"/>
        <v/>
      </c>
      <c r="FZ46" s="57">
        <f t="shared" si="78"/>
        <v>1</v>
      </c>
      <c r="GA46" s="57" t="str">
        <f t="shared" si="79"/>
        <v>Long</v>
      </c>
      <c r="GB46" s="57" t="str">
        <f t="shared" si="80"/>
        <v/>
      </c>
      <c r="GC46" s="57" t="str">
        <f t="shared" si="81"/>
        <v/>
      </c>
      <c r="GD46" s="57" t="str">
        <f t="shared" si="82"/>
        <v/>
      </c>
      <c r="GE46" s="62">
        <f t="shared" si="105"/>
        <v>30.78</v>
      </c>
      <c r="GF46" s="62" t="s">
        <v>2779</v>
      </c>
      <c r="GG46" s="199">
        <f t="shared" si="106"/>
        <v>12.995451591942819</v>
      </c>
      <c r="GH46" s="207">
        <f t="shared" si="85"/>
        <v>400</v>
      </c>
      <c r="GI46" s="199">
        <f t="shared" si="107"/>
        <v>12.995451591942819</v>
      </c>
      <c r="GJ46" s="200">
        <f t="shared" si="108"/>
        <v>31.3</v>
      </c>
      <c r="GK46" s="63">
        <f t="shared" si="88"/>
        <v>6.75763482781025</v>
      </c>
      <c r="GL46" s="63">
        <f t="shared" si="109"/>
        <v>-3.8986354775828431</v>
      </c>
      <c r="GM46" s="82">
        <f t="shared" si="90"/>
        <v>-0.16244314489928513</v>
      </c>
      <c r="GN46" s="82">
        <f>IF($GZ46="",#N/A,SUM(GM$4:GM46))</f>
        <v>12.609106976636943</v>
      </c>
      <c r="GO46" s="82" t="str">
        <f t="shared" si="91"/>
        <v/>
      </c>
      <c r="GP46" s="82">
        <f>IF($GZ46="",#N/A,SUM(GO$4:GO46))</f>
        <v>6.5705557966349719</v>
      </c>
      <c r="GQ46" s="82" t="str">
        <f t="shared" si="92"/>
        <v/>
      </c>
      <c r="GR46" s="82">
        <f>IF($GZ46="",#N/A,SUM(GQ$4:GQ46))</f>
        <v>3.9153547400766828</v>
      </c>
      <c r="GS46" s="63">
        <f t="shared" si="100"/>
        <v>-3.8986354775828431</v>
      </c>
      <c r="GT46" s="63">
        <f>IF($GZ46="",#N/A,SUM(GS$4:GS46))</f>
        <v>302.61856743928661</v>
      </c>
      <c r="GU46" s="63" t="str">
        <f t="shared" si="101"/>
        <v/>
      </c>
      <c r="GV46" s="63">
        <f>IF($GZ46="",#N/A,SUM(GU$4:GU46))</f>
        <v>157.69333911923928</v>
      </c>
      <c r="GW46" s="62" t="str">
        <f t="shared" si="102"/>
        <v/>
      </c>
      <c r="GX46" s="63">
        <f>IF($GZ46="",#N/A,SUM(GW$4:GW46))</f>
        <v>93.96851376184037</v>
      </c>
      <c r="GY46" s="63">
        <f>IF(EJ46="",#N/A,SUM($EJ$4:EJ46))</f>
        <v>554.28042032036626</v>
      </c>
      <c r="GZ46" s="159">
        <v>30.48</v>
      </c>
      <c r="HA46" s="63">
        <f t="shared" si="93"/>
        <v>-10.656270305393093</v>
      </c>
      <c r="HB46" s="62" t="s">
        <v>4970</v>
      </c>
      <c r="HC46" s="60">
        <f>IFERROR(VLOOKUP(E46,Expectancy!$P$4:$S$19,1+C46,FALSE),"")</f>
        <v>-0.14347628028912107</v>
      </c>
      <c r="HD46" s="60" t="str">
        <f t="shared" si="94"/>
        <v/>
      </c>
      <c r="HE46" s="60" t="e">
        <f>IF(HD46="",#N/A,SUM($HD$4:HD46))</f>
        <v>#N/A</v>
      </c>
      <c r="HF46" s="64" t="e">
        <f>IF(HD46="",#N/A,IF(HB46="Skip",#N/A,SUM($HG$4:HG46)))</f>
        <v>#N/A</v>
      </c>
      <c r="HG46" s="63" t="str">
        <f t="shared" si="95"/>
        <v/>
      </c>
      <c r="HH46" s="82">
        <f t="shared" si="96"/>
        <v>-0.16244314489928513</v>
      </c>
    </row>
    <row r="47" spans="1:216" x14ac:dyDescent="0.25">
      <c r="A47" s="57" t="s">
        <v>1432</v>
      </c>
      <c r="B47" s="58" t="s">
        <v>5110</v>
      </c>
      <c r="C47" s="386">
        <f t="shared" si="0"/>
        <v>1</v>
      </c>
      <c r="D47" s="372" t="str">
        <f>_xlfn.XLOOKUP(A47,[1]SP500!$A$2:$A$502,[1]SP500!$D$2:$D$502,"N")</f>
        <v>Y</v>
      </c>
      <c r="E47" s="57" t="str">
        <f>_xlfn.XLOOKUP(A47,[1]SP500!$A$2:$A$655,[1]SP500!$B$2:$B$655)</f>
        <v>XLF</v>
      </c>
      <c r="F47" s="59">
        <v>45679</v>
      </c>
      <c r="G47" s="57" t="str">
        <f t="shared" si="1"/>
        <v>AMC</v>
      </c>
      <c r="H47" s="57" t="str">
        <f t="shared" si="2"/>
        <v>o</v>
      </c>
      <c r="I47" s="158">
        <v>197.5</v>
      </c>
      <c r="J47" s="158">
        <v>199</v>
      </c>
      <c r="K47" s="61">
        <f t="shared" si="3"/>
        <v>7.5949367088607592E-3</v>
      </c>
      <c r="L47" s="87">
        <f t="shared" si="4"/>
        <v>3.0379746835443484</v>
      </c>
      <c r="M47" s="63" t="str">
        <f t="shared" si="104"/>
        <v/>
      </c>
      <c r="N47" s="219">
        <f t="shared" si="6"/>
        <v>3.0379746835443484</v>
      </c>
      <c r="O47" s="219">
        <f>IF($J47="",#N/A,SUM($N$4:N47))</f>
        <v>83.650214171775417</v>
      </c>
      <c r="P47" s="220" t="str">
        <f t="shared" si="7"/>
        <v/>
      </c>
      <c r="Q47" s="220">
        <f>IF($J47="",#N/A,SUM($P$4:P47))</f>
        <v>27.322964850085555</v>
      </c>
      <c r="R47" s="221" t="str">
        <f t="shared" si="8"/>
        <v/>
      </c>
      <c r="S47" s="222">
        <f>IF($J47="",#N/A,SUM($R$4:R47))</f>
        <v>236.99995629193728</v>
      </c>
      <c r="T47" s="281">
        <f t="shared" si="9"/>
        <v>0.12658227848101453</v>
      </c>
      <c r="U47" s="281">
        <f>IF($J47="",#N/A,SUM($T$4:T47))</f>
        <v>3.4854255904906424</v>
      </c>
      <c r="V47" s="282" t="str">
        <f t="shared" si="10"/>
        <v/>
      </c>
      <c r="W47" s="282">
        <f>IF($J47="",#N/A,SUM($V$4:V47))</f>
        <v>1.1384568687535646</v>
      </c>
      <c r="X47" s="283" t="str">
        <f t="shared" si="11"/>
        <v/>
      </c>
      <c r="Y47" s="283">
        <f>IF($J47="",#N/A,SUM($X$4:X47))</f>
        <v>9.8749981788307206</v>
      </c>
      <c r="Z47" s="304" t="str">
        <f t="shared" si="12"/>
        <v/>
      </c>
      <c r="AA47" s="304">
        <f>IF($J47="",#N/A,SUM(Z$4:Z47))</f>
        <v>1.1273861049364817</v>
      </c>
      <c r="AB47" s="305" t="str">
        <f t="shared" si="13"/>
        <v/>
      </c>
      <c r="AC47" s="305">
        <f>IF($J47="",#N/A,SUM(AB$4:AB47))</f>
        <v>0</v>
      </c>
      <c r="AD47" s="306" t="str">
        <f t="shared" si="14"/>
        <v/>
      </c>
      <c r="AE47" s="306">
        <f>IF($J47="",#N/A,SUM(AD$4:AD47))</f>
        <v>1.5553407757049009</v>
      </c>
      <c r="AF47" s="306">
        <f>IF($J47="",#N/A,SUM(AD$4:AD47,AB$4:AB47,Z$4:Z47))</f>
        <v>2.6827268806413822</v>
      </c>
      <c r="AG47" s="304" t="str">
        <f t="shared" si="15"/>
        <v/>
      </c>
      <c r="AH47" s="304">
        <f>IF($J47="",#N/A,SUM(AG$4:AG47))</f>
        <v>0</v>
      </c>
      <c r="AI47" s="305" t="str">
        <f t="shared" si="16"/>
        <v/>
      </c>
      <c r="AJ47" s="305">
        <f>IF($J47="",#N/A,SUM(AI$4:AI47))</f>
        <v>0</v>
      </c>
      <c r="AK47" s="306" t="str">
        <f t="shared" si="17"/>
        <v/>
      </c>
      <c r="AL47" s="306">
        <f>IF($J47="",#N/A,SUM(AK$4:AK47))</f>
        <v>0</v>
      </c>
      <c r="AM47" s="306">
        <f>IF($J47="",#N/A,SUM(AK$4:AK47,AI$4:AI47,AG$4:AG47))</f>
        <v>0</v>
      </c>
      <c r="AN47" s="304" t="str">
        <f t="shared" si="18"/>
        <v/>
      </c>
      <c r="AO47" s="304">
        <f>IF($J47="",#N/A,SUM(AN$4:AN47))</f>
        <v>0</v>
      </c>
      <c r="AP47" s="305" t="str">
        <f t="shared" si="19"/>
        <v/>
      </c>
      <c r="AQ47" s="305">
        <f>IF($J47="",#N/A,SUM(AP$4:AP47))</f>
        <v>0</v>
      </c>
      <c r="AR47" s="306" t="str">
        <f t="shared" si="20"/>
        <v/>
      </c>
      <c r="AS47" s="306">
        <f>IF($J47="",#N/A,SUM(AR$4:AR47))</f>
        <v>0</v>
      </c>
      <c r="AT47" s="306">
        <f>IF($J47="",#N/A,SUM(AR$4:AR47,AP$4:AP47,AN$4:AN47))</f>
        <v>0</v>
      </c>
      <c r="AU47" s="304" t="str">
        <f t="shared" si="21"/>
        <v/>
      </c>
      <c r="AV47" s="304">
        <f>IF($J47="",#N/A,SUM(AU$4:AU47))</f>
        <v>0</v>
      </c>
      <c r="AW47" s="305" t="str">
        <f t="shared" si="22"/>
        <v/>
      </c>
      <c r="AX47" s="305">
        <f>IF($J47="",#N/A,SUM(AW$4:AW47))</f>
        <v>1.2290222546515868</v>
      </c>
      <c r="AY47" s="306" t="str">
        <f t="shared" si="23"/>
        <v/>
      </c>
      <c r="AZ47" s="306">
        <f>IF($J47="",#N/A,SUM(AY$4:AY47))</f>
        <v>3.0490332683593495</v>
      </c>
      <c r="BA47" s="306">
        <f>IF($J47="",#N/A,SUM(AY$4:AY47,AW$4:AW47,AU$4:AU47))</f>
        <v>4.2780555230109361</v>
      </c>
      <c r="BB47" s="304" t="str">
        <f t="shared" si="24"/>
        <v/>
      </c>
      <c r="BC47" s="304">
        <f>IF($J47="",#N/A,SUM(BB$4:BB47))</f>
        <v>0</v>
      </c>
      <c r="BD47" s="305" t="str">
        <f t="shared" si="25"/>
        <v/>
      </c>
      <c r="BE47" s="305">
        <f>IF($J47="",#N/A,SUM(BD$4:BD47))</f>
        <v>0</v>
      </c>
      <c r="BF47" s="306" t="str">
        <f t="shared" si="26"/>
        <v/>
      </c>
      <c r="BG47" s="306">
        <f>IF($J47="",#N/A,SUM(BF$4:BF47))</f>
        <v>2.4597169840247779</v>
      </c>
      <c r="BH47" s="306">
        <f>IF($J47="",#N/A,SUM(BF$4:BF47,BD$4:BD47,BB$4:BB47))</f>
        <v>2.4597169840247779</v>
      </c>
      <c r="BI47" s="304">
        <f t="shared" si="27"/>
        <v>0.12658227848101453</v>
      </c>
      <c r="BJ47" s="304">
        <f>IF($J47="",#N/A,SUM(BI$4:BI47))</f>
        <v>-0.50363026264481181</v>
      </c>
      <c r="BK47" s="305" t="str">
        <f t="shared" si="28"/>
        <v/>
      </c>
      <c r="BL47" s="305">
        <f>IF($J47="",#N/A,SUM(BK$4:BK47))</f>
        <v>0</v>
      </c>
      <c r="BM47" s="306" t="str">
        <f t="shared" si="29"/>
        <v/>
      </c>
      <c r="BN47" s="306">
        <f>IF($J47="",#N/A,SUM(BM$4:BM47))</f>
        <v>3.8210959759517467</v>
      </c>
      <c r="BO47" s="306">
        <f>IF($J47="",#N/A,SUM(BM$4:BM47,BK$4:BK47,BI$4:BI47))</f>
        <v>3.3174657133069352</v>
      </c>
      <c r="BP47" s="304" t="str">
        <f t="shared" si="30"/>
        <v/>
      </c>
      <c r="BQ47" s="304">
        <f>IF($J47="",#N/A,SUM(BP$4:BP47))</f>
        <v>2.861669748198973</v>
      </c>
      <c r="BR47" s="305" t="str">
        <f t="shared" si="31"/>
        <v/>
      </c>
      <c r="BS47" s="305">
        <f>IF($J47="",#N/A,SUM(BR$4:BR47))</f>
        <v>-0.34773304801390975</v>
      </c>
      <c r="BT47" s="306" t="str">
        <f t="shared" si="32"/>
        <v/>
      </c>
      <c r="BU47" s="306">
        <f>IF($J47="",#N/A,SUM(BT$4:BT47))</f>
        <v>-1.7024241638579198</v>
      </c>
      <c r="BV47" s="306">
        <f>IF($J47="",#N/A,SUM(BT$4:BT47,BR$4:BR47,BP$4:BP47))</f>
        <v>0.81151253632714349</v>
      </c>
      <c r="BW47" s="304" t="str">
        <f t="shared" si="33"/>
        <v/>
      </c>
      <c r="BX47" s="304">
        <f>IF($J47="",#N/A,SUM(BW$4:BW47))</f>
        <v>0</v>
      </c>
      <c r="BY47" s="305" t="str">
        <f t="shared" si="34"/>
        <v/>
      </c>
      <c r="BZ47" s="305">
        <f>IF($J47="",#N/A,SUM(BY$4:BY47))</f>
        <v>0.46686916413544804</v>
      </c>
      <c r="CA47" s="306" t="str">
        <f t="shared" si="35"/>
        <v/>
      </c>
      <c r="CB47" s="306">
        <f>IF($J47="",#N/A,SUM(CA$4:CA47))</f>
        <v>-0.37959870993521366</v>
      </c>
      <c r="CC47" s="306">
        <f>IF($J47="",#N/A,SUM(CA$4:CA47,BY$4:BY47,BW$4:BW47))</f>
        <v>8.7270454200234382E-2</v>
      </c>
      <c r="CD47" s="304" t="str">
        <f t="shared" si="36"/>
        <v/>
      </c>
      <c r="CE47" s="304">
        <f>IF($J47="",#N/A,SUM(CD$4:CD47))</f>
        <v>0</v>
      </c>
      <c r="CF47" s="305" t="str">
        <f t="shared" si="37"/>
        <v/>
      </c>
      <c r="CG47" s="305">
        <f>IF($J47="",#N/A,SUM(CF$4:CF47))</f>
        <v>0</v>
      </c>
      <c r="CH47" s="306" t="str">
        <f t="shared" si="38"/>
        <v/>
      </c>
      <c r="CI47" s="306">
        <f>IF($J47="",#N/A,SUM(CH$4:CH47))</f>
        <v>0</v>
      </c>
      <c r="CJ47" s="306">
        <f>IF($J47="",#N/A,SUM(CH$4:CH47,CF$4:CF47,CD$4:CD47))</f>
        <v>0</v>
      </c>
      <c r="CK47" s="304" t="str">
        <f t="shared" si="39"/>
        <v/>
      </c>
      <c r="CL47" s="304">
        <f>IF($J47="",#N/A,SUM(CK$4:CK47))</f>
        <v>0</v>
      </c>
      <c r="CM47" s="305" t="str">
        <f t="shared" si="40"/>
        <v/>
      </c>
      <c r="CN47" s="305">
        <f>IF($J47="",#N/A,SUM(CM$4:CM47))</f>
        <v>0</v>
      </c>
      <c r="CO47" s="306" t="str">
        <f t="shared" si="41"/>
        <v/>
      </c>
      <c r="CP47" s="306">
        <f>IF($J47="",#N/A,SUM(CO$4:CO47))</f>
        <v>0</v>
      </c>
      <c r="CQ47" s="306">
        <f>IF($J47="",#N/A,SUM(CO$4:CO47,CM$4:CM47,CK$4:CK47))</f>
        <v>0</v>
      </c>
      <c r="CR47" s="304" t="str">
        <f t="shared" si="42"/>
        <v/>
      </c>
      <c r="CS47" s="304">
        <f>IF($J47="",#N/A,SUM(CR$4:CR47))</f>
        <v>0</v>
      </c>
      <c r="CT47" s="305" t="str">
        <f t="shared" si="43"/>
        <v/>
      </c>
      <c r="CU47" s="305">
        <f>IF($J47="",#N/A,SUM(CT$4:CT47))</f>
        <v>-0.13081968772223007</v>
      </c>
      <c r="CV47" s="306" t="str">
        <f t="shared" si="44"/>
        <v/>
      </c>
      <c r="CW47" s="306">
        <f>IF($J47="",#N/A,SUM(CV$4:CV47))</f>
        <v>0.28156811782542707</v>
      </c>
      <c r="CX47" s="306">
        <f>IF($J47="",#N/A,SUM(CV$4:CV47,CT$4:CT47,CR$4:CR47))</f>
        <v>0.150748430103197</v>
      </c>
      <c r="CY47" s="304" t="str">
        <f t="shared" si="45"/>
        <v/>
      </c>
      <c r="CZ47" s="304">
        <f>IF($J47="",#N/A,SUM(CY$4:CY47))</f>
        <v>0</v>
      </c>
      <c r="DA47" s="305" t="str">
        <f t="shared" si="46"/>
        <v/>
      </c>
      <c r="DB47" s="305">
        <f>IF($J47="",#N/A,SUM(DA$4:DA47))</f>
        <v>0</v>
      </c>
      <c r="DC47" s="306" t="str">
        <f t="shared" si="47"/>
        <v/>
      </c>
      <c r="DD47" s="306">
        <f>IF($J47="",#N/A,SUM(DC$4:DC47))</f>
        <v>0</v>
      </c>
      <c r="DE47" s="306">
        <f>IF($J47="",#N/A,SUM(DC$4:DC47,DA$4:DA47,CY$4:CY47))</f>
        <v>0</v>
      </c>
      <c r="DF47" s="304" t="str">
        <f t="shared" si="48"/>
        <v/>
      </c>
      <c r="DG47" s="304">
        <f>IF($J47="",#N/A,SUM(DF$4:DF47))</f>
        <v>0</v>
      </c>
      <c r="DH47" s="305" t="str">
        <f t="shared" si="49"/>
        <v/>
      </c>
      <c r="DI47" s="305">
        <f>IF($J47="",#N/A,SUM(DH$4:DH47))</f>
        <v>0</v>
      </c>
      <c r="DJ47" s="306" t="str">
        <f t="shared" si="50"/>
        <v/>
      </c>
      <c r="DK47" s="306">
        <f>IF($J47="",#N/A,SUM(DJ$4:DJ47))</f>
        <v>0</v>
      </c>
      <c r="DL47" s="306">
        <f>IF($J47="",#N/A,SUM(DJ$4:DJ47,DH$4:DH47,DF$4:DF47))</f>
        <v>0</v>
      </c>
      <c r="DM47" s="304" t="str">
        <f t="shared" si="51"/>
        <v/>
      </c>
      <c r="DN47" s="304">
        <f>IF($J47="",#N/A,SUM(DM$4:DM47))</f>
        <v>0</v>
      </c>
      <c r="DO47" s="305" t="str">
        <f t="shared" si="52"/>
        <v/>
      </c>
      <c r="DP47" s="305">
        <f>IF($J47="",#N/A,SUM(DO$4:DO47))</f>
        <v>0</v>
      </c>
      <c r="DQ47" s="306" t="str">
        <f t="shared" si="53"/>
        <v/>
      </c>
      <c r="DR47" s="306">
        <f>IF($J47="",#N/A,SUM(DQ$4:DQ47))</f>
        <v>0.79026593075765084</v>
      </c>
      <c r="DS47" s="306">
        <f>IF($J47="",#N/A,SUM(DQ$4:DQ47,DO$4:DO47,DM$4:DM47))</f>
        <v>0.79026593075765084</v>
      </c>
      <c r="DT47" s="304" t="str">
        <f t="shared" si="54"/>
        <v/>
      </c>
      <c r="DU47" s="304">
        <f>IF($J47="",#N/A,SUM(DT$4:DT47))</f>
        <v>0</v>
      </c>
      <c r="DV47" s="305" t="str">
        <f t="shared" si="55"/>
        <v/>
      </c>
      <c r="DW47" s="305">
        <f>IF($J47="",#N/A,SUM(DV$4:DV47))</f>
        <v>0.40085630512924314</v>
      </c>
      <c r="DX47" s="306" t="str">
        <f t="shared" si="56"/>
        <v/>
      </c>
      <c r="DY47" s="306">
        <f>IF($J47="",#N/A,SUM(DX$4:DX47))</f>
        <v>0</v>
      </c>
      <c r="DZ47" s="306">
        <f>IF($J47="",#N/A,SUM(DX$4:DX47,DV$4:DV47,DT$4:DT47))</f>
        <v>0.40085630512924314</v>
      </c>
      <c r="EA47" s="304" t="str">
        <f t="shared" si="57"/>
        <v/>
      </c>
      <c r="EB47" s="304">
        <f>IF($J47="",#N/A,SUM(EA$4:EA47))</f>
        <v>0</v>
      </c>
      <c r="EC47" s="305" t="str">
        <f t="shared" si="58"/>
        <v/>
      </c>
      <c r="ED47" s="305">
        <f>IF($J47="",#N/A,SUM(EC$4:EC47))</f>
        <v>-0.47973811942657352</v>
      </c>
      <c r="EE47" s="306" t="str">
        <f t="shared" si="59"/>
        <v/>
      </c>
      <c r="EF47" s="306">
        <f>IF($J47="",#N/A,SUM(EE$4:EE47))</f>
        <v>0</v>
      </c>
      <c r="EG47" s="306">
        <f>IF($J47="",#N/A,SUM(EE$4:EE47,EC$4:EC47,EA$4:EA47))</f>
        <v>-0.47973811942657352</v>
      </c>
      <c r="EH47" s="223">
        <f t="shared" si="60"/>
        <v>3.0379746835443484</v>
      </c>
      <c r="EI47" s="224">
        <f>IF(EH47="",#N/A,SUM($EH$4:EH47))</f>
        <v>347.97313531379825</v>
      </c>
      <c r="EJ47" s="223">
        <f t="shared" si="61"/>
        <v>7.0075949367089265</v>
      </c>
      <c r="EK47" s="63">
        <f>IF($GZ47="",#N/A,SUM(EJ$4:EJ47))</f>
        <v>561.28801525707513</v>
      </c>
      <c r="EL47" s="60">
        <f t="shared" si="97"/>
        <v>0.12658227848101453</v>
      </c>
      <c r="EM47" s="60">
        <f>IF(EL47="",NA(),SUM($EL$4:EL47))</f>
        <v>14.49888063807493</v>
      </c>
      <c r="EN47" s="60">
        <f t="shared" si="62"/>
        <v>0.12658227848101453</v>
      </c>
      <c r="EO47" s="60">
        <f>IF(EN47="",NA(),SUM($EN$4:EN47))</f>
        <v>3.4854255904906424</v>
      </c>
      <c r="EP47" s="60" t="str">
        <f t="shared" si="63"/>
        <v/>
      </c>
      <c r="EQ47" s="60" t="e">
        <f>IF(EP47="",NA(),SUM($EP$4:EP47))</f>
        <v>#N/A</v>
      </c>
      <c r="ER47" s="60" t="str">
        <f t="shared" si="64"/>
        <v/>
      </c>
      <c r="ES47" s="60" t="e">
        <f>IF(ER47="",NA(),SUM($ER$4:ER47))</f>
        <v>#N/A</v>
      </c>
      <c r="ET47" s="60" t="str">
        <f t="shared" si="65"/>
        <v/>
      </c>
      <c r="EU47" s="60" t="e">
        <f>IF(ET47="",NA(),SUM($ET$4:ET47))</f>
        <v>#N/A</v>
      </c>
      <c r="EV47" s="60" t="str">
        <f t="shared" si="66"/>
        <v/>
      </c>
      <c r="EW47" s="60" t="e">
        <f>IF(EV47="",NA(),SUM($EV$4:EV47))</f>
        <v>#N/A</v>
      </c>
      <c r="EX47" s="60" t="str">
        <f t="shared" si="67"/>
        <v/>
      </c>
      <c r="EY47" s="60" t="e">
        <f>IF(EX47="",NA(),SUM($EX$4:EX47))</f>
        <v>#N/A</v>
      </c>
      <c r="EZ47" s="60" t="str">
        <f t="shared" si="68"/>
        <v/>
      </c>
      <c r="FA47" s="60" t="e">
        <f>IF(EZ47="",NA(),SUM($EZ$4:EZ47))</f>
        <v>#N/A</v>
      </c>
      <c r="FB47" s="246" t="str">
        <f t="shared" si="98"/>
        <v/>
      </c>
      <c r="FC47" s="246" t="e">
        <f>IF($FB47="",#N/A,SUM(FB$4:$FB47))</f>
        <v>#N/A</v>
      </c>
      <c r="FD47" s="60" t="str">
        <f t="shared" si="69"/>
        <v/>
      </c>
      <c r="FE47" s="60" t="e">
        <f>IF($FD47="",#N/A,SUM($FD$4:FD47))</f>
        <v>#N/A</v>
      </c>
      <c r="FF47" s="60">
        <f t="shared" si="70"/>
        <v>0.16540084388185741</v>
      </c>
      <c r="FG47" s="60">
        <f>IF($FF47="",#N/A,SUM($FF$4:FF47))</f>
        <v>2.0188140798261496</v>
      </c>
      <c r="FH47" s="60" t="str">
        <f t="shared" si="71"/>
        <v/>
      </c>
      <c r="FI47" s="60" t="e">
        <f>IF($FH47="",#N/A,SUM($FH$4:FH47))</f>
        <v>#N/A</v>
      </c>
      <c r="FJ47" s="60" t="str">
        <f t="shared" si="72"/>
        <v/>
      </c>
      <c r="FK47" s="60" t="e">
        <f>IF($FJ47="",#N/A,SUM($FJ$4:FJ47))</f>
        <v>#N/A</v>
      </c>
      <c r="FL47" s="60" t="str">
        <f t="shared" si="73"/>
        <v/>
      </c>
      <c r="FM47" s="60" t="e">
        <f>IF($FL47="",#N/A,SUM($FL$4:FL47))</f>
        <v>#N/A</v>
      </c>
      <c r="FN47" s="82">
        <f t="shared" si="74"/>
        <v>0.29198312236287194</v>
      </c>
      <c r="FO47" s="82">
        <f>IF($FN47="",#N/A,SUM(FN$4:$FN47))</f>
        <v>23.38700063571147</v>
      </c>
      <c r="FP47" s="82">
        <f t="shared" si="99"/>
        <v>0.12658227848101453</v>
      </c>
      <c r="FQ47" s="246">
        <f>IF($EH47="",#N/A,SUM($FP$4:FP47))</f>
        <v>14.49888063807493</v>
      </c>
      <c r="FR47" s="82">
        <f>IFERROR(FQ47/COUNTA($J$4:J47),#N/A)</f>
        <v>0.32952001450170293</v>
      </c>
      <c r="FS47" s="99"/>
      <c r="FT47" s="82">
        <f t="shared" si="103"/>
        <v>0.34631825872825234</v>
      </c>
      <c r="FU47" s="82" t="e">
        <v>#N/A</v>
      </c>
      <c r="FV47" s="57" t="str">
        <f t="shared" si="75"/>
        <v>Up</v>
      </c>
      <c r="FW47" s="57" t="s">
        <v>2733</v>
      </c>
      <c r="FX47" s="57">
        <f t="shared" si="76"/>
        <v>1</v>
      </c>
      <c r="FY47" s="57" t="str">
        <f t="shared" si="77"/>
        <v/>
      </c>
      <c r="FZ47" s="57" t="str">
        <f t="shared" si="78"/>
        <v/>
      </c>
      <c r="GA47" s="57" t="str">
        <f t="shared" si="79"/>
        <v>Long</v>
      </c>
      <c r="GB47" s="57" t="str">
        <f t="shared" si="80"/>
        <v/>
      </c>
      <c r="GC47" s="57" t="str">
        <f t="shared" si="81"/>
        <v/>
      </c>
      <c r="GD47" s="57" t="str">
        <f t="shared" si="82"/>
        <v/>
      </c>
      <c r="GE47" s="62">
        <f t="shared" si="105"/>
        <v>197.5</v>
      </c>
      <c r="GF47" s="62" t="s">
        <v>2779</v>
      </c>
      <c r="GG47" s="199">
        <f t="shared" si="106"/>
        <v>2.0253164556962027</v>
      </c>
      <c r="GH47" s="207">
        <f t="shared" si="85"/>
        <v>400</v>
      </c>
      <c r="GI47" s="199">
        <f t="shared" si="107"/>
        <v>2.0253164556962027</v>
      </c>
      <c r="GJ47" s="200">
        <f t="shared" si="108"/>
        <v>199</v>
      </c>
      <c r="GK47" s="63">
        <f t="shared" si="88"/>
        <v>3.0379746835443484</v>
      </c>
      <c r="GL47" s="63">
        <f t="shared" si="109"/>
        <v>7.0075949367089265</v>
      </c>
      <c r="GM47" s="82" t="str">
        <f t="shared" si="90"/>
        <v/>
      </c>
      <c r="GN47" s="82">
        <f>IF($GZ47="",#N/A,SUM(GM$4:GM47))</f>
        <v>12.609106976636943</v>
      </c>
      <c r="GO47" s="82">
        <f t="shared" si="91"/>
        <v>0.29198312236287194</v>
      </c>
      <c r="GP47" s="82">
        <f>IF($GZ47="",#N/A,SUM(GO$4:GO47))</f>
        <v>6.8625389189978439</v>
      </c>
      <c r="GQ47" s="82" t="str">
        <f t="shared" si="92"/>
        <v/>
      </c>
      <c r="GR47" s="82">
        <f>IF($GZ47="",#N/A,SUM(GQ$4:GQ47))</f>
        <v>3.9153547400766828</v>
      </c>
      <c r="GS47" s="63" t="str">
        <f t="shared" si="100"/>
        <v/>
      </c>
      <c r="GT47" s="63">
        <f>IF($GZ47="",#N/A,SUM(GS$4:GS47))</f>
        <v>302.61856743928661</v>
      </c>
      <c r="GU47" s="63">
        <f t="shared" si="101"/>
        <v>7.0075949367089265</v>
      </c>
      <c r="GV47" s="63">
        <f>IF($GZ47="",#N/A,SUM(GU$4:GU47))</f>
        <v>164.70093405594821</v>
      </c>
      <c r="GW47" s="62" t="str">
        <f t="shared" si="102"/>
        <v/>
      </c>
      <c r="GX47" s="63">
        <f>IF($GZ47="",#N/A,SUM(GW$4:GW47))</f>
        <v>93.96851376184037</v>
      </c>
      <c r="GY47" s="63">
        <f>IF(EJ47="",#N/A,SUM($EJ$4:EJ47))</f>
        <v>561.28801525707513</v>
      </c>
      <c r="GZ47" s="159">
        <v>200.96</v>
      </c>
      <c r="HA47" s="63">
        <f t="shared" si="93"/>
        <v>3.9696202531645781</v>
      </c>
      <c r="HB47" s="62" t="s">
        <v>4970</v>
      </c>
      <c r="HC47" s="60">
        <f>IFERROR(VLOOKUP(E47,Expectancy!$P$4:$S$19,1+C47,FALSE),"")</f>
        <v>-7.9483352726509887E-2</v>
      </c>
      <c r="HD47" s="60" t="str">
        <f t="shared" si="94"/>
        <v/>
      </c>
      <c r="HE47" s="60" t="e">
        <f>IF(HD47="",#N/A,SUM($HD$4:HD47))</f>
        <v>#N/A</v>
      </c>
      <c r="HF47" s="64" t="e">
        <f>IF(HD47="",#N/A,IF(HB47="Skip",#N/A,SUM($HG$4:HG47)))</f>
        <v>#N/A</v>
      </c>
      <c r="HG47" s="63" t="str">
        <f t="shared" si="95"/>
        <v/>
      </c>
      <c r="HH47" s="82">
        <f t="shared" si="96"/>
        <v>0.29198312236287194</v>
      </c>
    </row>
    <row r="48" spans="1:216" x14ac:dyDescent="0.25">
      <c r="A48" s="57" t="s">
        <v>1517</v>
      </c>
      <c r="B48" s="58" t="s">
        <v>5111</v>
      </c>
      <c r="C48" s="386">
        <f t="shared" si="0"/>
        <v>3</v>
      </c>
      <c r="D48" s="372" t="str">
        <f>_xlfn.XLOOKUP(A48,[1]SP500!$A$2:$A$502,[1]SP500!$D$2:$D$502,"N")</f>
        <v>Y</v>
      </c>
      <c r="E48" s="57" t="str">
        <f>_xlfn.XLOOKUP(A48,[1]SP500!$A$2:$A$655,[1]SP500!$B$2:$B$655)</f>
        <v>XLB</v>
      </c>
      <c r="F48" s="59">
        <v>45679</v>
      </c>
      <c r="G48" s="57" t="str">
        <f t="shared" si="1"/>
        <v>AMC</v>
      </c>
      <c r="H48" s="57" t="str">
        <f t="shared" si="2"/>
        <v>o</v>
      </c>
      <c r="I48" s="159">
        <v>122.89</v>
      </c>
      <c r="J48" s="158">
        <v>121</v>
      </c>
      <c r="K48" s="61">
        <f t="shared" si="3"/>
        <v>-1.5379607779314838E-2</v>
      </c>
      <c r="L48" s="87">
        <f t="shared" si="4"/>
        <v>-6.1518431117259524</v>
      </c>
      <c r="M48" s="63" t="str">
        <f t="shared" si="104"/>
        <v/>
      </c>
      <c r="N48" s="219" t="str">
        <f t="shared" si="6"/>
        <v/>
      </c>
      <c r="O48" s="219">
        <f>IF($J48="",#N/A,SUM($N$4:N48))</f>
        <v>83.650214171775417</v>
      </c>
      <c r="P48" s="220" t="str">
        <f t="shared" si="7"/>
        <v/>
      </c>
      <c r="Q48" s="220">
        <f>IF($J48="",#N/A,SUM($P$4:P48))</f>
        <v>27.322964850085555</v>
      </c>
      <c r="R48" s="221">
        <f t="shared" si="8"/>
        <v>-6.1518431117259524</v>
      </c>
      <c r="S48" s="222">
        <f>IF($J48="",#N/A,SUM($R$4:R48))</f>
        <v>230.84811318021133</v>
      </c>
      <c r="T48" s="281" t="str">
        <f t="shared" si="9"/>
        <v/>
      </c>
      <c r="U48" s="281">
        <f>IF($J48="",#N/A,SUM($T$4:T48))</f>
        <v>3.4854255904906424</v>
      </c>
      <c r="V48" s="282" t="str">
        <f t="shared" si="10"/>
        <v/>
      </c>
      <c r="W48" s="282">
        <f>IF($J48="",#N/A,SUM($V$4:V48))</f>
        <v>1.1384568687535646</v>
      </c>
      <c r="X48" s="283">
        <f t="shared" si="11"/>
        <v>-0.25632679632191468</v>
      </c>
      <c r="Y48" s="283">
        <f>IF($J48="",#N/A,SUM($X$4:X48))</f>
        <v>9.6186713825088059</v>
      </c>
      <c r="Z48" s="304" t="str">
        <f t="shared" si="12"/>
        <v/>
      </c>
      <c r="AA48" s="304">
        <f>IF($J48="",#N/A,SUM(Z$4:Z48))</f>
        <v>1.1273861049364817</v>
      </c>
      <c r="AB48" s="305" t="str">
        <f t="shared" si="13"/>
        <v/>
      </c>
      <c r="AC48" s="305">
        <f>IF($J48="",#N/A,SUM(AB$4:AB48))</f>
        <v>0</v>
      </c>
      <c r="AD48" s="306" t="str">
        <f t="shared" si="14"/>
        <v/>
      </c>
      <c r="AE48" s="306">
        <f>IF($J48="",#N/A,SUM(AD$4:AD48))</f>
        <v>1.5553407757049009</v>
      </c>
      <c r="AF48" s="306">
        <f>IF($J48="",#N/A,SUM(AD$4:AD48,AB$4:AB48,Z$4:Z48))</f>
        <v>2.6827268806413822</v>
      </c>
      <c r="AG48" s="304" t="str">
        <f t="shared" si="15"/>
        <v/>
      </c>
      <c r="AH48" s="304">
        <f>IF($J48="",#N/A,SUM(AG$4:AG48))</f>
        <v>0</v>
      </c>
      <c r="AI48" s="305" t="str">
        <f t="shared" si="16"/>
        <v/>
      </c>
      <c r="AJ48" s="305">
        <f>IF($J48="",#N/A,SUM(AI$4:AI48))</f>
        <v>0</v>
      </c>
      <c r="AK48" s="306" t="str">
        <f t="shared" si="17"/>
        <v/>
      </c>
      <c r="AL48" s="306">
        <f>IF($J48="",#N/A,SUM(AK$4:AK48))</f>
        <v>0</v>
      </c>
      <c r="AM48" s="306">
        <f>IF($J48="",#N/A,SUM(AK$4:AK48,AI$4:AI48,AG$4:AG48))</f>
        <v>0</v>
      </c>
      <c r="AN48" s="304" t="str">
        <f t="shared" si="18"/>
        <v/>
      </c>
      <c r="AO48" s="304">
        <f>IF($J48="",#N/A,SUM(AN$4:AN48))</f>
        <v>0</v>
      </c>
      <c r="AP48" s="305" t="str">
        <f t="shared" si="19"/>
        <v/>
      </c>
      <c r="AQ48" s="305">
        <f>IF($J48="",#N/A,SUM(AP$4:AP48))</f>
        <v>0</v>
      </c>
      <c r="AR48" s="306" t="str">
        <f t="shared" si="20"/>
        <v/>
      </c>
      <c r="AS48" s="306">
        <f>IF($J48="",#N/A,SUM(AR$4:AR48))</f>
        <v>0</v>
      </c>
      <c r="AT48" s="306">
        <f>IF($J48="",#N/A,SUM(AR$4:AR48,AP$4:AP48,AN$4:AN48))</f>
        <v>0</v>
      </c>
      <c r="AU48" s="304" t="str">
        <f t="shared" si="21"/>
        <v/>
      </c>
      <c r="AV48" s="304">
        <f>IF($J48="",#N/A,SUM(AU$4:AU48))</f>
        <v>0</v>
      </c>
      <c r="AW48" s="305" t="str">
        <f t="shared" si="22"/>
        <v/>
      </c>
      <c r="AX48" s="305">
        <f>IF($J48="",#N/A,SUM(AW$4:AW48))</f>
        <v>1.2290222546515868</v>
      </c>
      <c r="AY48" s="306" t="str">
        <f t="shared" si="23"/>
        <v/>
      </c>
      <c r="AZ48" s="306">
        <f>IF($J48="",#N/A,SUM(AY$4:AY48))</f>
        <v>3.0490332683593495</v>
      </c>
      <c r="BA48" s="306">
        <f>IF($J48="",#N/A,SUM(AY$4:AY48,AW$4:AW48,AU$4:AU48))</f>
        <v>4.2780555230109361</v>
      </c>
      <c r="BB48" s="304" t="str">
        <f t="shared" si="24"/>
        <v/>
      </c>
      <c r="BC48" s="304">
        <f>IF($J48="",#N/A,SUM(BB$4:BB48))</f>
        <v>0</v>
      </c>
      <c r="BD48" s="305" t="str">
        <f t="shared" si="25"/>
        <v/>
      </c>
      <c r="BE48" s="305">
        <f>IF($J48="",#N/A,SUM(BD$4:BD48))</f>
        <v>0</v>
      </c>
      <c r="BF48" s="306" t="str">
        <f t="shared" si="26"/>
        <v/>
      </c>
      <c r="BG48" s="306">
        <f>IF($J48="",#N/A,SUM(BF$4:BF48))</f>
        <v>2.4597169840247779</v>
      </c>
      <c r="BH48" s="306">
        <f>IF($J48="",#N/A,SUM(BF$4:BF48,BD$4:BD48,BB$4:BB48))</f>
        <v>2.4597169840247779</v>
      </c>
      <c r="BI48" s="304" t="str">
        <f t="shared" si="27"/>
        <v/>
      </c>
      <c r="BJ48" s="304">
        <f>IF($J48="",#N/A,SUM(BI$4:BI48))</f>
        <v>-0.50363026264481181</v>
      </c>
      <c r="BK48" s="305" t="str">
        <f t="shared" si="28"/>
        <v/>
      </c>
      <c r="BL48" s="305">
        <f>IF($J48="",#N/A,SUM(BK$4:BK48))</f>
        <v>0</v>
      </c>
      <c r="BM48" s="306" t="str">
        <f t="shared" si="29"/>
        <v/>
      </c>
      <c r="BN48" s="306">
        <f>IF($J48="",#N/A,SUM(BM$4:BM48))</f>
        <v>3.8210959759517467</v>
      </c>
      <c r="BO48" s="306">
        <f>IF($J48="",#N/A,SUM(BM$4:BM48,BK$4:BK48,BI$4:BI48))</f>
        <v>3.3174657133069352</v>
      </c>
      <c r="BP48" s="304" t="str">
        <f t="shared" si="30"/>
        <v/>
      </c>
      <c r="BQ48" s="304">
        <f>IF($J48="",#N/A,SUM(BP$4:BP48))</f>
        <v>2.861669748198973</v>
      </c>
      <c r="BR48" s="305" t="str">
        <f t="shared" si="31"/>
        <v/>
      </c>
      <c r="BS48" s="305">
        <f>IF($J48="",#N/A,SUM(BR$4:BR48))</f>
        <v>-0.34773304801390975</v>
      </c>
      <c r="BT48" s="306" t="str">
        <f t="shared" si="32"/>
        <v/>
      </c>
      <c r="BU48" s="306">
        <f>IF($J48="",#N/A,SUM(BT$4:BT48))</f>
        <v>-1.7024241638579198</v>
      </c>
      <c r="BV48" s="306">
        <f>IF($J48="",#N/A,SUM(BT$4:BT48,BR$4:BR48,BP$4:BP48))</f>
        <v>0.81151253632714349</v>
      </c>
      <c r="BW48" s="304" t="str">
        <f t="shared" si="33"/>
        <v/>
      </c>
      <c r="BX48" s="304">
        <f>IF($J48="",#N/A,SUM(BW$4:BW48))</f>
        <v>0</v>
      </c>
      <c r="BY48" s="305" t="str">
        <f t="shared" si="34"/>
        <v/>
      </c>
      <c r="BZ48" s="305">
        <f>IF($J48="",#N/A,SUM(BY$4:BY48))</f>
        <v>0.46686916413544804</v>
      </c>
      <c r="CA48" s="306" t="str">
        <f t="shared" si="35"/>
        <v/>
      </c>
      <c r="CB48" s="306">
        <f>IF($J48="",#N/A,SUM(CA$4:CA48))</f>
        <v>-0.37959870993521366</v>
      </c>
      <c r="CC48" s="306">
        <f>IF($J48="",#N/A,SUM(CA$4:CA48,BY$4:BY48,BW$4:BW48))</f>
        <v>8.7270454200234382E-2</v>
      </c>
      <c r="CD48" s="304" t="str">
        <f t="shared" si="36"/>
        <v/>
      </c>
      <c r="CE48" s="304">
        <f>IF($J48="",#N/A,SUM(CD$4:CD48))</f>
        <v>0</v>
      </c>
      <c r="CF48" s="305" t="str">
        <f t="shared" si="37"/>
        <v/>
      </c>
      <c r="CG48" s="305">
        <f>IF($J48="",#N/A,SUM(CF$4:CF48))</f>
        <v>0</v>
      </c>
      <c r="CH48" s="306">
        <f t="shared" si="38"/>
        <v>-0.25632679632191468</v>
      </c>
      <c r="CI48" s="306">
        <f>IF($J48="",#N/A,SUM(CH$4:CH48))</f>
        <v>-0.25632679632191468</v>
      </c>
      <c r="CJ48" s="306">
        <f>IF($J48="",#N/A,SUM(CH$4:CH48,CF$4:CF48,CD$4:CD48))</f>
        <v>-0.25632679632191468</v>
      </c>
      <c r="CK48" s="304" t="str">
        <f t="shared" si="39"/>
        <v/>
      </c>
      <c r="CL48" s="304">
        <f>IF($J48="",#N/A,SUM(CK$4:CK48))</f>
        <v>0</v>
      </c>
      <c r="CM48" s="305" t="str">
        <f t="shared" si="40"/>
        <v/>
      </c>
      <c r="CN48" s="305">
        <f>IF($J48="",#N/A,SUM(CM$4:CM48))</f>
        <v>0</v>
      </c>
      <c r="CO48" s="306" t="str">
        <f t="shared" si="41"/>
        <v/>
      </c>
      <c r="CP48" s="306">
        <f>IF($J48="",#N/A,SUM(CO$4:CO48))</f>
        <v>0</v>
      </c>
      <c r="CQ48" s="306">
        <f>IF($J48="",#N/A,SUM(CO$4:CO48,CM$4:CM48,CK$4:CK48))</f>
        <v>0</v>
      </c>
      <c r="CR48" s="304" t="str">
        <f t="shared" si="42"/>
        <v/>
      </c>
      <c r="CS48" s="304">
        <f>IF($J48="",#N/A,SUM(CR$4:CR48))</f>
        <v>0</v>
      </c>
      <c r="CT48" s="305" t="str">
        <f t="shared" si="43"/>
        <v/>
      </c>
      <c r="CU48" s="305">
        <f>IF($J48="",#N/A,SUM(CT$4:CT48))</f>
        <v>-0.13081968772223007</v>
      </c>
      <c r="CV48" s="306" t="str">
        <f t="shared" si="44"/>
        <v/>
      </c>
      <c r="CW48" s="306">
        <f>IF($J48="",#N/A,SUM(CV$4:CV48))</f>
        <v>0.28156811782542707</v>
      </c>
      <c r="CX48" s="306">
        <f>IF($J48="",#N/A,SUM(CV$4:CV48,CT$4:CT48,CR$4:CR48))</f>
        <v>0.150748430103197</v>
      </c>
      <c r="CY48" s="304" t="str">
        <f t="shared" si="45"/>
        <v/>
      </c>
      <c r="CZ48" s="304">
        <f>IF($J48="",#N/A,SUM(CY$4:CY48))</f>
        <v>0</v>
      </c>
      <c r="DA48" s="305" t="str">
        <f t="shared" si="46"/>
        <v/>
      </c>
      <c r="DB48" s="305">
        <f>IF($J48="",#N/A,SUM(DA$4:DA48))</f>
        <v>0</v>
      </c>
      <c r="DC48" s="306" t="str">
        <f t="shared" si="47"/>
        <v/>
      </c>
      <c r="DD48" s="306">
        <f>IF($J48="",#N/A,SUM(DC$4:DC48))</f>
        <v>0</v>
      </c>
      <c r="DE48" s="306">
        <f>IF($J48="",#N/A,SUM(DC$4:DC48,DA$4:DA48,CY$4:CY48))</f>
        <v>0</v>
      </c>
      <c r="DF48" s="304" t="str">
        <f t="shared" si="48"/>
        <v/>
      </c>
      <c r="DG48" s="304">
        <f>IF($J48="",#N/A,SUM(DF$4:DF48))</f>
        <v>0</v>
      </c>
      <c r="DH48" s="305" t="str">
        <f t="shared" si="49"/>
        <v/>
      </c>
      <c r="DI48" s="305">
        <f>IF($J48="",#N/A,SUM(DH$4:DH48))</f>
        <v>0</v>
      </c>
      <c r="DJ48" s="306" t="str">
        <f t="shared" si="50"/>
        <v/>
      </c>
      <c r="DK48" s="306">
        <f>IF($J48="",#N/A,SUM(DJ$4:DJ48))</f>
        <v>0</v>
      </c>
      <c r="DL48" s="306">
        <f>IF($J48="",#N/A,SUM(DJ$4:DJ48,DH$4:DH48,DF$4:DF48))</f>
        <v>0</v>
      </c>
      <c r="DM48" s="304" t="str">
        <f t="shared" si="51"/>
        <v/>
      </c>
      <c r="DN48" s="304">
        <f>IF($J48="",#N/A,SUM(DM$4:DM48))</f>
        <v>0</v>
      </c>
      <c r="DO48" s="305" t="str">
        <f t="shared" si="52"/>
        <v/>
      </c>
      <c r="DP48" s="305">
        <f>IF($J48="",#N/A,SUM(DO$4:DO48))</f>
        <v>0</v>
      </c>
      <c r="DQ48" s="306" t="str">
        <f t="shared" si="53"/>
        <v/>
      </c>
      <c r="DR48" s="306">
        <f>IF($J48="",#N/A,SUM(DQ$4:DQ48))</f>
        <v>0.79026593075765084</v>
      </c>
      <c r="DS48" s="306">
        <f>IF($J48="",#N/A,SUM(DQ$4:DQ48,DO$4:DO48,DM$4:DM48))</f>
        <v>0.79026593075765084</v>
      </c>
      <c r="DT48" s="304" t="str">
        <f t="shared" si="54"/>
        <v/>
      </c>
      <c r="DU48" s="304">
        <f>IF($J48="",#N/A,SUM(DT$4:DT48))</f>
        <v>0</v>
      </c>
      <c r="DV48" s="305" t="str">
        <f t="shared" si="55"/>
        <v/>
      </c>
      <c r="DW48" s="305">
        <f>IF($J48="",#N/A,SUM(DV$4:DV48))</f>
        <v>0.40085630512924314</v>
      </c>
      <c r="DX48" s="306" t="str">
        <f t="shared" si="56"/>
        <v/>
      </c>
      <c r="DY48" s="306">
        <f>IF($J48="",#N/A,SUM(DX$4:DX48))</f>
        <v>0</v>
      </c>
      <c r="DZ48" s="306">
        <f>IF($J48="",#N/A,SUM(DX$4:DX48,DV$4:DV48,DT$4:DT48))</f>
        <v>0.40085630512924314</v>
      </c>
      <c r="EA48" s="304" t="str">
        <f t="shared" si="57"/>
        <v/>
      </c>
      <c r="EB48" s="304">
        <f>IF($J48="",#N/A,SUM(EA$4:EA48))</f>
        <v>0</v>
      </c>
      <c r="EC48" s="305" t="str">
        <f t="shared" si="58"/>
        <v/>
      </c>
      <c r="ED48" s="305">
        <f>IF($J48="",#N/A,SUM(EC$4:EC48))</f>
        <v>-0.47973811942657352</v>
      </c>
      <c r="EE48" s="306" t="str">
        <f t="shared" si="59"/>
        <v/>
      </c>
      <c r="EF48" s="306">
        <f>IF($J48="",#N/A,SUM(EE$4:EE48))</f>
        <v>0</v>
      </c>
      <c r="EG48" s="306">
        <f>IF($J48="",#N/A,SUM(EE$4:EE48,EC$4:EC48,EA$4:EA48))</f>
        <v>-0.47973811942657352</v>
      </c>
      <c r="EH48" s="223">
        <f t="shared" si="60"/>
        <v>-6.1518431117259524</v>
      </c>
      <c r="EI48" s="224">
        <f>IF(EH48="",#N/A,SUM($EH$4:EH48))</f>
        <v>341.8212922020723</v>
      </c>
      <c r="EJ48" s="223">
        <f t="shared" si="61"/>
        <v>-1.6925705915859339</v>
      </c>
      <c r="EK48" s="63">
        <f>IF($GZ48="",#N/A,SUM(EJ$4:EJ48))</f>
        <v>559.59544466548914</v>
      </c>
      <c r="EL48" s="60">
        <f t="shared" si="97"/>
        <v>-0.25632679632191468</v>
      </c>
      <c r="EM48" s="60">
        <f>IF(EL48="",NA(),SUM($EL$4:EL48))</f>
        <v>14.242553841753015</v>
      </c>
      <c r="EN48" s="60" t="str">
        <f t="shared" si="62"/>
        <v/>
      </c>
      <c r="EO48" s="60" t="e">
        <f>IF(EN48="",NA(),SUM($EN$4:EN48))</f>
        <v>#N/A</v>
      </c>
      <c r="EP48" s="60">
        <f t="shared" si="63"/>
        <v>-0.25632679632191468</v>
      </c>
      <c r="EQ48" s="60">
        <f>IF(EP48="",NA(),SUM($EP$4:EP48))</f>
        <v>9.6186713825088059</v>
      </c>
      <c r="ER48" s="60" t="str">
        <f t="shared" si="64"/>
        <v/>
      </c>
      <c r="ES48" s="60" t="e">
        <f>IF(ER48="",NA(),SUM($ER$4:ER48))</f>
        <v>#N/A</v>
      </c>
      <c r="ET48" s="60" t="str">
        <f t="shared" si="65"/>
        <v/>
      </c>
      <c r="EU48" s="60" t="e">
        <f>IF(ET48="",NA(),SUM($ET$4:ET48))</f>
        <v>#N/A</v>
      </c>
      <c r="EV48" s="60" t="str">
        <f t="shared" si="66"/>
        <v/>
      </c>
      <c r="EW48" s="60" t="e">
        <f>IF(EV48="",NA(),SUM($EV$4:EV48))</f>
        <v>#N/A</v>
      </c>
      <c r="EX48" s="60" t="str">
        <f t="shared" si="67"/>
        <v/>
      </c>
      <c r="EY48" s="60" t="e">
        <f>IF(EX48="",NA(),SUM($EX$4:EX48))</f>
        <v>#N/A</v>
      </c>
      <c r="EZ48" s="60" t="str">
        <f t="shared" si="68"/>
        <v/>
      </c>
      <c r="FA48" s="60" t="e">
        <f>IF(EZ48="",NA(),SUM($EZ$4:EZ48))</f>
        <v>#N/A</v>
      </c>
      <c r="FB48" s="246" t="str">
        <f t="shared" si="98"/>
        <v/>
      </c>
      <c r="FC48" s="246" t="e">
        <f>IF($FB48="",#N/A,SUM(FB$4:$FB48))</f>
        <v>#N/A</v>
      </c>
      <c r="FD48" s="60" t="str">
        <f t="shared" si="69"/>
        <v/>
      </c>
      <c r="FE48" s="60" t="e">
        <f>IF($FD48="",#N/A,SUM($FD$4:FD48))</f>
        <v>#N/A</v>
      </c>
      <c r="FF48" s="60" t="str">
        <f t="shared" si="70"/>
        <v/>
      </c>
      <c r="FG48" s="60" t="e">
        <f>IF($FF48="",#N/A,SUM($FF$4:FF48))</f>
        <v>#N/A</v>
      </c>
      <c r="FH48" s="60" t="str">
        <f t="shared" si="71"/>
        <v/>
      </c>
      <c r="FI48" s="60" t="e">
        <f>IF($FH48="",#N/A,SUM($FH$4:FH48))</f>
        <v>#N/A</v>
      </c>
      <c r="FJ48" s="60" t="str">
        <f t="shared" si="72"/>
        <v/>
      </c>
      <c r="FK48" s="60" t="e">
        <f>IF($FJ48="",#N/A,SUM($FJ$4:FJ48))</f>
        <v>#N/A</v>
      </c>
      <c r="FL48" s="60">
        <f t="shared" si="73"/>
        <v>0.18580302167250079</v>
      </c>
      <c r="FM48" s="60">
        <f>IF($FL48="",#N/A,SUM($FL$4:FL48))</f>
        <v>1.2329956136098448</v>
      </c>
      <c r="FN48" s="82">
        <f t="shared" si="74"/>
        <v>-7.0523774649413909E-2</v>
      </c>
      <c r="FO48" s="82">
        <f>IF($FN48="",#N/A,SUM(FN$4:$FN48))</f>
        <v>23.316476861062057</v>
      </c>
      <c r="FP48" s="82">
        <f t="shared" si="99"/>
        <v>-0.25632679632191468</v>
      </c>
      <c r="FQ48" s="246">
        <f>IF($EH48="",#N/A,SUM($FP$4:FP48))</f>
        <v>14.242553841753015</v>
      </c>
      <c r="FR48" s="82">
        <f>IFERROR(FQ48/COUNTA($J$4:J48),#N/A)</f>
        <v>0.3165011964834003</v>
      </c>
      <c r="FS48" s="99"/>
      <c r="FT48" s="82">
        <f t="shared" si="103"/>
        <v>0.32973106177640504</v>
      </c>
      <c r="FU48" s="82" t="e">
        <v>#N/A</v>
      </c>
      <c r="FV48" s="57" t="str">
        <f t="shared" si="75"/>
        <v>SW</v>
      </c>
      <c r="FW48" s="57" t="s">
        <v>2732</v>
      </c>
      <c r="FX48" s="57" t="str">
        <f t="shared" si="76"/>
        <v/>
      </c>
      <c r="FY48" s="57" t="str">
        <f t="shared" si="77"/>
        <v/>
      </c>
      <c r="FZ48" s="57" t="str">
        <f t="shared" si="78"/>
        <v/>
      </c>
      <c r="GA48" s="57" t="str">
        <f t="shared" si="79"/>
        <v>Long</v>
      </c>
      <c r="GB48" s="57" t="str">
        <f t="shared" si="80"/>
        <v/>
      </c>
      <c r="GC48" s="57" t="str">
        <f t="shared" si="81"/>
        <v/>
      </c>
      <c r="GD48" s="57">
        <f t="shared" si="82"/>
        <v>1</v>
      </c>
      <c r="GE48" s="62">
        <f t="shared" si="105"/>
        <v>122.89</v>
      </c>
      <c r="GF48" s="62" t="s">
        <v>2779</v>
      </c>
      <c r="GG48" s="199">
        <f t="shared" si="106"/>
        <v>3.2549434453576369</v>
      </c>
      <c r="GH48" s="207">
        <f t="shared" si="85"/>
        <v>400</v>
      </c>
      <c r="GI48" s="199">
        <f t="shared" si="107"/>
        <v>3.2549434453576369</v>
      </c>
      <c r="GJ48" s="200">
        <f t="shared" si="108"/>
        <v>121</v>
      </c>
      <c r="GK48" s="63">
        <f t="shared" si="88"/>
        <v>-6.1518431117259524</v>
      </c>
      <c r="GL48" s="63">
        <f t="shared" si="109"/>
        <v>-1.6925705915859339</v>
      </c>
      <c r="GM48" s="82">
        <f t="shared" si="90"/>
        <v>-7.0523774649413909E-2</v>
      </c>
      <c r="GN48" s="82">
        <f>IF($GZ48="",#N/A,SUM(GM$4:GM48))</f>
        <v>12.538583201987528</v>
      </c>
      <c r="GO48" s="82" t="str">
        <f t="shared" si="91"/>
        <v/>
      </c>
      <c r="GP48" s="82">
        <f>IF($GZ48="",#N/A,SUM(GO$4:GO48))</f>
        <v>6.8625389189978439</v>
      </c>
      <c r="GQ48" s="82" t="str">
        <f t="shared" si="92"/>
        <v/>
      </c>
      <c r="GR48" s="82">
        <f>IF($GZ48="",#N/A,SUM(GQ$4:GQ48))</f>
        <v>3.9153547400766828</v>
      </c>
      <c r="GS48" s="63">
        <f t="shared" si="100"/>
        <v>-1.6925705915859339</v>
      </c>
      <c r="GT48" s="63">
        <f>IF($GZ48="",#N/A,SUM(GS$4:GS48))</f>
        <v>300.92599684770067</v>
      </c>
      <c r="GU48" s="63" t="str">
        <f t="shared" si="101"/>
        <v/>
      </c>
      <c r="GV48" s="63">
        <f>IF($GZ48="",#N/A,SUM(GU$4:GU48))</f>
        <v>164.70093405594821</v>
      </c>
      <c r="GW48" s="62" t="str">
        <f t="shared" si="102"/>
        <v/>
      </c>
      <c r="GX48" s="63">
        <f>IF($GZ48="",#N/A,SUM(GW$4:GW48))</f>
        <v>93.96851376184037</v>
      </c>
      <c r="GY48" s="63">
        <f>IF(EJ48="",#N/A,SUM($EJ$4:EJ48))</f>
        <v>559.59544466548914</v>
      </c>
      <c r="GZ48" s="159">
        <v>122.37</v>
      </c>
      <c r="HA48" s="63">
        <f t="shared" si="93"/>
        <v>4.4592725201400185</v>
      </c>
      <c r="HB48" s="62" t="s">
        <v>4970</v>
      </c>
      <c r="HC48" s="60">
        <f>IFERROR(VLOOKUP(E48,Expectancy!$P$4:$S$19,1+C48,FALSE),"")</f>
        <v>-0.22212962098938482</v>
      </c>
      <c r="HD48" s="60" t="str">
        <f t="shared" si="94"/>
        <v/>
      </c>
      <c r="HE48" s="60" t="e">
        <f>IF(HD48="",#N/A,SUM($HD$4:HD48))</f>
        <v>#N/A</v>
      </c>
      <c r="HF48" s="64" t="e">
        <f>IF(HD48="",#N/A,IF(HB48="Skip",#N/A,SUM($HG$4:HG48)))</f>
        <v>#N/A</v>
      </c>
      <c r="HG48" s="63" t="str">
        <f t="shared" si="95"/>
        <v/>
      </c>
      <c r="HH48" s="82">
        <f t="shared" si="96"/>
        <v>-7.0523774649413909E-2</v>
      </c>
    </row>
    <row r="49" spans="1:217" x14ac:dyDescent="0.25">
      <c r="A49" s="57" t="s">
        <v>1311</v>
      </c>
      <c r="B49" s="58" t="s">
        <v>5112</v>
      </c>
      <c r="C49" s="386">
        <f t="shared" si="0"/>
        <v>1</v>
      </c>
      <c r="D49" s="372" t="str">
        <f>_xlfn.XLOOKUP(A49,[1]SP500!$A$2:$A$502,[1]SP500!$D$2:$D$502,"N")</f>
        <v>Y</v>
      </c>
      <c r="E49" s="57" t="str">
        <f>_xlfn.XLOOKUP(A49,[1]SP500!$A$2:$A$655,[1]SP500!$B$2:$B$655)</f>
        <v>XLI</v>
      </c>
      <c r="F49" s="59">
        <v>45680</v>
      </c>
      <c r="G49" s="57" t="str">
        <f t="shared" si="1"/>
        <v>BMO</v>
      </c>
      <c r="H49" s="57" t="str">
        <f t="shared" si="2"/>
        <v>o</v>
      </c>
      <c r="I49" s="159">
        <v>188.36</v>
      </c>
      <c r="J49" s="158">
        <v>201.4</v>
      </c>
      <c r="K49" s="61">
        <f t="shared" si="3"/>
        <v>6.9229135697600294E-2</v>
      </c>
      <c r="L49" s="87">
        <f t="shared" si="4"/>
        <v>27.691654279040108</v>
      </c>
      <c r="M49" s="63" t="str">
        <f t="shared" si="104"/>
        <v/>
      </c>
      <c r="N49" s="219">
        <f t="shared" si="6"/>
        <v>27.691654279040108</v>
      </c>
      <c r="O49" s="219">
        <f>IF($J49="",#N/A,SUM($N$4:N49))</f>
        <v>111.34186845081553</v>
      </c>
      <c r="P49" s="220" t="str">
        <f t="shared" si="7"/>
        <v/>
      </c>
      <c r="Q49" s="220">
        <f>IF($J49="",#N/A,SUM($P$4:P49))</f>
        <v>27.322964850085555</v>
      </c>
      <c r="R49" s="221" t="str">
        <f t="shared" si="8"/>
        <v/>
      </c>
      <c r="S49" s="222">
        <f>IF($J49="",#N/A,SUM($R$4:R49))</f>
        <v>230.84811318021133</v>
      </c>
      <c r="T49" s="281">
        <f t="shared" si="9"/>
        <v>1.1538189282933378</v>
      </c>
      <c r="U49" s="281">
        <f>IF($J49="",#N/A,SUM($T$4:T49))</f>
        <v>4.6392445187839799</v>
      </c>
      <c r="V49" s="282" t="str">
        <f t="shared" si="10"/>
        <v/>
      </c>
      <c r="W49" s="282">
        <f>IF($J49="",#N/A,SUM($V$4:V49))</f>
        <v>1.1384568687535646</v>
      </c>
      <c r="X49" s="283" t="str">
        <f t="shared" si="11"/>
        <v/>
      </c>
      <c r="Y49" s="283">
        <f>IF($J49="",#N/A,SUM($X$4:X49))</f>
        <v>9.6186713825088059</v>
      </c>
      <c r="Z49" s="304" t="str">
        <f t="shared" si="12"/>
        <v/>
      </c>
      <c r="AA49" s="304">
        <f>IF($J49="",#N/A,SUM(Z$4:Z49))</f>
        <v>1.1273861049364817</v>
      </c>
      <c r="AB49" s="305" t="str">
        <f t="shared" si="13"/>
        <v/>
      </c>
      <c r="AC49" s="305">
        <f>IF($J49="",#N/A,SUM(AB$4:AB49))</f>
        <v>0</v>
      </c>
      <c r="AD49" s="306" t="str">
        <f t="shared" si="14"/>
        <v/>
      </c>
      <c r="AE49" s="306">
        <f>IF($J49="",#N/A,SUM(AD$4:AD49))</f>
        <v>1.5553407757049009</v>
      </c>
      <c r="AF49" s="306">
        <f>IF($J49="",#N/A,SUM(AD$4:AD49,AB$4:AB49,Z$4:Z49))</f>
        <v>2.6827268806413822</v>
      </c>
      <c r="AG49" s="304" t="str">
        <f t="shared" si="15"/>
        <v/>
      </c>
      <c r="AH49" s="304">
        <f>IF($J49="",#N/A,SUM(AG$4:AG49))</f>
        <v>0</v>
      </c>
      <c r="AI49" s="305" t="str">
        <f t="shared" si="16"/>
        <v/>
      </c>
      <c r="AJ49" s="305">
        <f>IF($J49="",#N/A,SUM(AI$4:AI49))</f>
        <v>0</v>
      </c>
      <c r="AK49" s="306" t="str">
        <f t="shared" si="17"/>
        <v/>
      </c>
      <c r="AL49" s="306">
        <f>IF($J49="",#N/A,SUM(AK$4:AK49))</f>
        <v>0</v>
      </c>
      <c r="AM49" s="306">
        <f>IF($J49="",#N/A,SUM(AK$4:AK49,AI$4:AI49,AG$4:AG49))</f>
        <v>0</v>
      </c>
      <c r="AN49" s="304" t="str">
        <f t="shared" si="18"/>
        <v/>
      </c>
      <c r="AO49" s="304">
        <f>IF($J49="",#N/A,SUM(AN$4:AN49))</f>
        <v>0</v>
      </c>
      <c r="AP49" s="305" t="str">
        <f t="shared" si="19"/>
        <v/>
      </c>
      <c r="AQ49" s="305">
        <f>IF($J49="",#N/A,SUM(AP$4:AP49))</f>
        <v>0</v>
      </c>
      <c r="AR49" s="306" t="str">
        <f t="shared" si="20"/>
        <v/>
      </c>
      <c r="AS49" s="306">
        <f>IF($J49="",#N/A,SUM(AR$4:AR49))</f>
        <v>0</v>
      </c>
      <c r="AT49" s="306">
        <f>IF($J49="",#N/A,SUM(AR$4:AR49,AP$4:AP49,AN$4:AN49))</f>
        <v>0</v>
      </c>
      <c r="AU49" s="304" t="str">
        <f t="shared" si="21"/>
        <v/>
      </c>
      <c r="AV49" s="304">
        <f>IF($J49="",#N/A,SUM(AU$4:AU49))</f>
        <v>0</v>
      </c>
      <c r="AW49" s="305" t="str">
        <f t="shared" si="22"/>
        <v/>
      </c>
      <c r="AX49" s="305">
        <f>IF($J49="",#N/A,SUM(AW$4:AW49))</f>
        <v>1.2290222546515868</v>
      </c>
      <c r="AY49" s="306" t="str">
        <f t="shared" si="23"/>
        <v/>
      </c>
      <c r="AZ49" s="306">
        <f>IF($J49="",#N/A,SUM(AY$4:AY49))</f>
        <v>3.0490332683593495</v>
      </c>
      <c r="BA49" s="306">
        <f>IF($J49="",#N/A,SUM(AY$4:AY49,AW$4:AW49,AU$4:AU49))</f>
        <v>4.2780555230109361</v>
      </c>
      <c r="BB49" s="304" t="str">
        <f t="shared" si="24"/>
        <v/>
      </c>
      <c r="BC49" s="304">
        <f>IF($J49="",#N/A,SUM(BB$4:BB49))</f>
        <v>0</v>
      </c>
      <c r="BD49" s="305" t="str">
        <f t="shared" si="25"/>
        <v/>
      </c>
      <c r="BE49" s="305">
        <f>IF($J49="",#N/A,SUM(BD$4:BD49))</f>
        <v>0</v>
      </c>
      <c r="BF49" s="306" t="str">
        <f t="shared" si="26"/>
        <v/>
      </c>
      <c r="BG49" s="306">
        <f>IF($J49="",#N/A,SUM(BF$4:BF49))</f>
        <v>2.4597169840247779</v>
      </c>
      <c r="BH49" s="306">
        <f>IF($J49="",#N/A,SUM(BF$4:BF49,BD$4:BD49,BB$4:BB49))</f>
        <v>2.4597169840247779</v>
      </c>
      <c r="BI49" s="304" t="str">
        <f t="shared" si="27"/>
        <v/>
      </c>
      <c r="BJ49" s="304">
        <f>IF($J49="",#N/A,SUM(BI$4:BI49))</f>
        <v>-0.50363026264481181</v>
      </c>
      <c r="BK49" s="305" t="str">
        <f t="shared" si="28"/>
        <v/>
      </c>
      <c r="BL49" s="305">
        <f>IF($J49="",#N/A,SUM(BK$4:BK49))</f>
        <v>0</v>
      </c>
      <c r="BM49" s="306" t="str">
        <f t="shared" si="29"/>
        <v/>
      </c>
      <c r="BN49" s="306">
        <f>IF($J49="",#N/A,SUM(BM$4:BM49))</f>
        <v>3.8210959759517467</v>
      </c>
      <c r="BO49" s="306">
        <f>IF($J49="",#N/A,SUM(BM$4:BM49,BK$4:BK49,BI$4:BI49))</f>
        <v>3.3174657133069352</v>
      </c>
      <c r="BP49" s="304">
        <f t="shared" si="30"/>
        <v>1.1538189282933378</v>
      </c>
      <c r="BQ49" s="304">
        <f>IF($J49="",#N/A,SUM(BP$4:BP49))</f>
        <v>4.0154886764923106</v>
      </c>
      <c r="BR49" s="305" t="str">
        <f t="shared" si="31"/>
        <v/>
      </c>
      <c r="BS49" s="305">
        <f>IF($J49="",#N/A,SUM(BR$4:BR49))</f>
        <v>-0.34773304801390975</v>
      </c>
      <c r="BT49" s="306" t="str">
        <f t="shared" si="32"/>
        <v/>
      </c>
      <c r="BU49" s="306">
        <f>IF($J49="",#N/A,SUM(BT$4:BT49))</f>
        <v>-1.7024241638579198</v>
      </c>
      <c r="BV49" s="306">
        <f>IF($J49="",#N/A,SUM(BT$4:BT49,BR$4:BR49,BP$4:BP49))</f>
        <v>1.9653314646204811</v>
      </c>
      <c r="BW49" s="304" t="str">
        <f t="shared" si="33"/>
        <v/>
      </c>
      <c r="BX49" s="304">
        <f>IF($J49="",#N/A,SUM(BW$4:BW49))</f>
        <v>0</v>
      </c>
      <c r="BY49" s="305" t="str">
        <f t="shared" si="34"/>
        <v/>
      </c>
      <c r="BZ49" s="305">
        <f>IF($J49="",#N/A,SUM(BY$4:BY49))</f>
        <v>0.46686916413544804</v>
      </c>
      <c r="CA49" s="306" t="str">
        <f t="shared" si="35"/>
        <v/>
      </c>
      <c r="CB49" s="306">
        <f>IF($J49="",#N/A,SUM(CA$4:CA49))</f>
        <v>-0.37959870993521366</v>
      </c>
      <c r="CC49" s="306">
        <f>IF($J49="",#N/A,SUM(CA$4:CA49,BY$4:BY49,BW$4:BW49))</f>
        <v>8.7270454200234382E-2</v>
      </c>
      <c r="CD49" s="304" t="str">
        <f t="shared" si="36"/>
        <v/>
      </c>
      <c r="CE49" s="304">
        <f>IF($J49="",#N/A,SUM(CD$4:CD49))</f>
        <v>0</v>
      </c>
      <c r="CF49" s="305" t="str">
        <f t="shared" si="37"/>
        <v/>
      </c>
      <c r="CG49" s="305">
        <f>IF($J49="",#N/A,SUM(CF$4:CF49))</f>
        <v>0</v>
      </c>
      <c r="CH49" s="306" t="str">
        <f t="shared" si="38"/>
        <v/>
      </c>
      <c r="CI49" s="306">
        <f>IF($J49="",#N/A,SUM(CH$4:CH49))</f>
        <v>-0.25632679632191468</v>
      </c>
      <c r="CJ49" s="306">
        <f>IF($J49="",#N/A,SUM(CH$4:CH49,CF$4:CF49,CD$4:CD49))</f>
        <v>-0.25632679632191468</v>
      </c>
      <c r="CK49" s="304" t="str">
        <f t="shared" si="39"/>
        <v/>
      </c>
      <c r="CL49" s="304">
        <f>IF($J49="",#N/A,SUM(CK$4:CK49))</f>
        <v>0</v>
      </c>
      <c r="CM49" s="305" t="str">
        <f t="shared" si="40"/>
        <v/>
      </c>
      <c r="CN49" s="305">
        <f>IF($J49="",#N/A,SUM(CM$4:CM49))</f>
        <v>0</v>
      </c>
      <c r="CO49" s="306" t="str">
        <f t="shared" si="41"/>
        <v/>
      </c>
      <c r="CP49" s="306">
        <f>IF($J49="",#N/A,SUM(CO$4:CO49))</f>
        <v>0</v>
      </c>
      <c r="CQ49" s="306">
        <f>IF($J49="",#N/A,SUM(CO$4:CO49,CM$4:CM49,CK$4:CK49))</f>
        <v>0</v>
      </c>
      <c r="CR49" s="304" t="str">
        <f t="shared" si="42"/>
        <v/>
      </c>
      <c r="CS49" s="304">
        <f>IF($J49="",#N/A,SUM(CR$4:CR49))</f>
        <v>0</v>
      </c>
      <c r="CT49" s="305" t="str">
        <f t="shared" si="43"/>
        <v/>
      </c>
      <c r="CU49" s="305">
        <f>IF($J49="",#N/A,SUM(CT$4:CT49))</f>
        <v>-0.13081968772223007</v>
      </c>
      <c r="CV49" s="306" t="str">
        <f t="shared" si="44"/>
        <v/>
      </c>
      <c r="CW49" s="306">
        <f>IF($J49="",#N/A,SUM(CV$4:CV49))</f>
        <v>0.28156811782542707</v>
      </c>
      <c r="CX49" s="306">
        <f>IF($J49="",#N/A,SUM(CV$4:CV49,CT$4:CT49,CR$4:CR49))</f>
        <v>0.150748430103197</v>
      </c>
      <c r="CY49" s="304" t="str">
        <f t="shared" si="45"/>
        <v/>
      </c>
      <c r="CZ49" s="304">
        <f>IF($J49="",#N/A,SUM(CY$4:CY49))</f>
        <v>0</v>
      </c>
      <c r="DA49" s="305" t="str">
        <f t="shared" si="46"/>
        <v/>
      </c>
      <c r="DB49" s="305">
        <f>IF($J49="",#N/A,SUM(DA$4:DA49))</f>
        <v>0</v>
      </c>
      <c r="DC49" s="306" t="str">
        <f t="shared" si="47"/>
        <v/>
      </c>
      <c r="DD49" s="306">
        <f>IF($J49="",#N/A,SUM(DC$4:DC49))</f>
        <v>0</v>
      </c>
      <c r="DE49" s="306">
        <f>IF($J49="",#N/A,SUM(DC$4:DC49,DA$4:DA49,CY$4:CY49))</f>
        <v>0</v>
      </c>
      <c r="DF49" s="304" t="str">
        <f t="shared" si="48"/>
        <v/>
      </c>
      <c r="DG49" s="304">
        <f>IF($J49="",#N/A,SUM(DF$4:DF49))</f>
        <v>0</v>
      </c>
      <c r="DH49" s="305" t="str">
        <f t="shared" si="49"/>
        <v/>
      </c>
      <c r="DI49" s="305">
        <f>IF($J49="",#N/A,SUM(DH$4:DH49))</f>
        <v>0</v>
      </c>
      <c r="DJ49" s="306" t="str">
        <f t="shared" si="50"/>
        <v/>
      </c>
      <c r="DK49" s="306">
        <f>IF($J49="",#N/A,SUM(DJ$4:DJ49))</f>
        <v>0</v>
      </c>
      <c r="DL49" s="306">
        <f>IF($J49="",#N/A,SUM(DJ$4:DJ49,DH$4:DH49,DF$4:DF49))</f>
        <v>0</v>
      </c>
      <c r="DM49" s="304" t="str">
        <f t="shared" si="51"/>
        <v/>
      </c>
      <c r="DN49" s="304">
        <f>IF($J49="",#N/A,SUM(DM$4:DM49))</f>
        <v>0</v>
      </c>
      <c r="DO49" s="305" t="str">
        <f t="shared" si="52"/>
        <v/>
      </c>
      <c r="DP49" s="305">
        <f>IF($J49="",#N/A,SUM(DO$4:DO49))</f>
        <v>0</v>
      </c>
      <c r="DQ49" s="306" t="str">
        <f t="shared" si="53"/>
        <v/>
      </c>
      <c r="DR49" s="306">
        <f>IF($J49="",#N/A,SUM(DQ$4:DQ49))</f>
        <v>0.79026593075765084</v>
      </c>
      <c r="DS49" s="306">
        <f>IF($J49="",#N/A,SUM(DQ$4:DQ49,DO$4:DO49,DM$4:DM49))</f>
        <v>0.79026593075765084</v>
      </c>
      <c r="DT49" s="304" t="str">
        <f t="shared" si="54"/>
        <v/>
      </c>
      <c r="DU49" s="304">
        <f>IF($J49="",#N/A,SUM(DT$4:DT49))</f>
        <v>0</v>
      </c>
      <c r="DV49" s="305" t="str">
        <f t="shared" si="55"/>
        <v/>
      </c>
      <c r="DW49" s="305">
        <f>IF($J49="",#N/A,SUM(DV$4:DV49))</f>
        <v>0.40085630512924314</v>
      </c>
      <c r="DX49" s="306" t="str">
        <f t="shared" si="56"/>
        <v/>
      </c>
      <c r="DY49" s="306">
        <f>IF($J49="",#N/A,SUM(DX$4:DX49))</f>
        <v>0</v>
      </c>
      <c r="DZ49" s="306">
        <f>IF($J49="",#N/A,SUM(DX$4:DX49,DV$4:DV49,DT$4:DT49))</f>
        <v>0.40085630512924314</v>
      </c>
      <c r="EA49" s="304" t="str">
        <f t="shared" si="57"/>
        <v/>
      </c>
      <c r="EB49" s="304">
        <f>IF($J49="",#N/A,SUM(EA$4:EA49))</f>
        <v>0</v>
      </c>
      <c r="EC49" s="305" t="str">
        <f t="shared" si="58"/>
        <v/>
      </c>
      <c r="ED49" s="305">
        <f>IF($J49="",#N/A,SUM(EC$4:EC49))</f>
        <v>-0.47973811942657352</v>
      </c>
      <c r="EE49" s="306" t="str">
        <f t="shared" si="59"/>
        <v/>
      </c>
      <c r="EF49" s="306">
        <f>IF($J49="",#N/A,SUM(EE$4:EE49))</f>
        <v>0</v>
      </c>
      <c r="EG49" s="306">
        <f>IF($J49="",#N/A,SUM(EE$4:EE49,EC$4:EC49,EA$4:EA49))</f>
        <v>-0.47973811942657352</v>
      </c>
      <c r="EH49" s="223">
        <f t="shared" si="60"/>
        <v>27.691654279040108</v>
      </c>
      <c r="EI49" s="224">
        <f>IF(EH49="",#N/A,SUM($EH$4:EH49))</f>
        <v>369.51294648111241</v>
      </c>
      <c r="EJ49" s="223">
        <f t="shared" si="61"/>
        <v>26.417498407305118</v>
      </c>
      <c r="EK49" s="63">
        <f>IF($GZ49="",#N/A,SUM(EJ$4:EJ49))</f>
        <v>586.01294307279431</v>
      </c>
      <c r="EL49" s="60">
        <f t="shared" si="97"/>
        <v>1.1538189282933378</v>
      </c>
      <c r="EM49" s="60">
        <f>IF(EL49="",NA(),SUM($EL$4:EL49))</f>
        <v>15.396372770046353</v>
      </c>
      <c r="EN49" s="60">
        <f t="shared" si="62"/>
        <v>1.1538189282933378</v>
      </c>
      <c r="EO49" s="60">
        <f>IF(EN49="",NA(),SUM($EN$4:EN49))</f>
        <v>4.6392445187839799</v>
      </c>
      <c r="EP49" s="60" t="str">
        <f t="shared" si="63"/>
        <v/>
      </c>
      <c r="EQ49" s="60" t="e">
        <f>IF(EP49="",NA(),SUM($EP$4:EP49))</f>
        <v>#N/A</v>
      </c>
      <c r="ER49" s="60" t="str">
        <f t="shared" si="64"/>
        <v/>
      </c>
      <c r="ES49" s="60" t="e">
        <f>IF(ER49="",NA(),SUM($ER$4:ER49))</f>
        <v>#N/A</v>
      </c>
      <c r="ET49" s="60" t="str">
        <f t="shared" si="65"/>
        <v/>
      </c>
      <c r="EU49" s="60" t="e">
        <f>IF(ET49="",NA(),SUM($ET$4:ET49))</f>
        <v>#N/A</v>
      </c>
      <c r="EV49" s="60" t="str">
        <f t="shared" si="66"/>
        <v/>
      </c>
      <c r="EW49" s="60" t="e">
        <f>IF(EV49="",NA(),SUM($EV$4:EV49))</f>
        <v>#N/A</v>
      </c>
      <c r="EX49" s="60" t="str">
        <f t="shared" si="67"/>
        <v/>
      </c>
      <c r="EY49" s="60" t="e">
        <f>IF(EX49="",NA(),SUM($EX$4:EX49))</f>
        <v>#N/A</v>
      </c>
      <c r="EZ49" s="60" t="str">
        <f t="shared" si="68"/>
        <v/>
      </c>
      <c r="FA49" s="60" t="e">
        <f>IF(EZ49="",NA(),SUM($EZ$4:EZ49))</f>
        <v>#N/A</v>
      </c>
      <c r="FB49" s="246" t="str">
        <f t="shared" si="98"/>
        <v/>
      </c>
      <c r="FC49" s="246" t="e">
        <f>IF($FB49="",#N/A,SUM(FB$4:$FB49))</f>
        <v>#N/A</v>
      </c>
      <c r="FD49" s="60" t="str">
        <f t="shared" si="69"/>
        <v/>
      </c>
      <c r="FE49" s="60" t="e">
        <f>IF($FD49="",#N/A,SUM($FD$4:FD49))</f>
        <v>#N/A</v>
      </c>
      <c r="FF49" s="60">
        <f t="shared" si="70"/>
        <v>-5.3089827988958005E-2</v>
      </c>
      <c r="FG49" s="60">
        <f>IF($FF49="",#N/A,SUM($FF$4:FF49))</f>
        <v>1.9657242518371916</v>
      </c>
      <c r="FH49" s="60" t="str">
        <f t="shared" si="71"/>
        <v/>
      </c>
      <c r="FI49" s="60" t="e">
        <f>IF($FH49="",#N/A,SUM($FH$4:FH49))</f>
        <v>#N/A</v>
      </c>
      <c r="FJ49" s="60" t="str">
        <f t="shared" si="72"/>
        <v/>
      </c>
      <c r="FK49" s="60" t="e">
        <f>IF($FJ49="",#N/A,SUM($FJ$4:FJ49))</f>
        <v>#N/A</v>
      </c>
      <c r="FL49" s="60" t="str">
        <f t="shared" si="73"/>
        <v/>
      </c>
      <c r="FM49" s="60" t="e">
        <f>IF($FL49="",#N/A,SUM($FL$4:FL49))</f>
        <v>#N/A</v>
      </c>
      <c r="FN49" s="82">
        <f t="shared" si="74"/>
        <v>1.1007291003043798</v>
      </c>
      <c r="FO49" s="82">
        <f>IF($FN49="",#N/A,SUM(FN$4:$FN49))</f>
        <v>24.417205961366438</v>
      </c>
      <c r="FP49" s="82">
        <f t="shared" si="99"/>
        <v>1.1538189282933378</v>
      </c>
      <c r="FQ49" s="246">
        <f>IF($EH49="",#N/A,SUM($FP$4:FP49))</f>
        <v>15.396372770046353</v>
      </c>
      <c r="FR49" s="82">
        <f>IFERROR(FQ49/COUNTA($J$4:J49),#N/A)</f>
        <v>0.33470375587057288</v>
      </c>
      <c r="FS49" s="99"/>
      <c r="FT49" s="82">
        <f t="shared" si="103"/>
        <v>0.35957060520503903</v>
      </c>
      <c r="FU49" s="82" t="e">
        <v>#N/A</v>
      </c>
      <c r="FV49" s="57" t="str">
        <f t="shared" si="75"/>
        <v>Up</v>
      </c>
      <c r="FW49" s="57" t="s">
        <v>2733</v>
      </c>
      <c r="FX49" s="57">
        <f t="shared" si="76"/>
        <v>1</v>
      </c>
      <c r="FY49" s="57" t="str">
        <f t="shared" si="77"/>
        <v/>
      </c>
      <c r="FZ49" s="57" t="str">
        <f t="shared" si="78"/>
        <v/>
      </c>
      <c r="GA49" s="57" t="str">
        <f t="shared" si="79"/>
        <v>Long</v>
      </c>
      <c r="GB49" s="57" t="str">
        <f t="shared" si="80"/>
        <v/>
      </c>
      <c r="GC49" s="57" t="str">
        <f t="shared" si="81"/>
        <v/>
      </c>
      <c r="GD49" s="57" t="str">
        <f t="shared" si="82"/>
        <v/>
      </c>
      <c r="GE49" s="62">
        <f t="shared" si="105"/>
        <v>188.36</v>
      </c>
      <c r="GF49" s="62" t="s">
        <v>2779</v>
      </c>
      <c r="GG49" s="199">
        <f t="shared" si="106"/>
        <v>2.1235931195582927</v>
      </c>
      <c r="GH49" s="207">
        <f t="shared" si="85"/>
        <v>400.00000000000006</v>
      </c>
      <c r="GI49" s="199">
        <f t="shared" si="107"/>
        <v>2.1235931195582927</v>
      </c>
      <c r="GJ49" s="200">
        <f t="shared" si="108"/>
        <v>201.4</v>
      </c>
      <c r="GK49" s="63">
        <f t="shared" si="88"/>
        <v>27.691654279040108</v>
      </c>
      <c r="GL49" s="63">
        <f t="shared" si="109"/>
        <v>26.417498407305118</v>
      </c>
      <c r="GM49" s="82" t="str">
        <f t="shared" si="90"/>
        <v/>
      </c>
      <c r="GN49" s="82">
        <f>IF($GZ49="",#N/A,SUM(GM$4:GM49))</f>
        <v>12.538583201987528</v>
      </c>
      <c r="GO49" s="82">
        <f t="shared" si="91"/>
        <v>1.1007291003043798</v>
      </c>
      <c r="GP49" s="82">
        <f>IF($GZ49="",#N/A,SUM(GO$4:GO49))</f>
        <v>7.9632680193022232</v>
      </c>
      <c r="GQ49" s="82" t="str">
        <f t="shared" si="92"/>
        <v/>
      </c>
      <c r="GR49" s="82">
        <f>IF($GZ49="",#N/A,SUM(GQ$4:GQ49))</f>
        <v>3.9153547400766828</v>
      </c>
      <c r="GS49" s="63" t="str">
        <f t="shared" si="100"/>
        <v/>
      </c>
      <c r="GT49" s="63">
        <f>IF($GZ49="",#N/A,SUM(GS$4:GS49))</f>
        <v>300.92599684770067</v>
      </c>
      <c r="GU49" s="63">
        <f t="shared" si="101"/>
        <v>26.417498407305118</v>
      </c>
      <c r="GV49" s="63">
        <f>IF($GZ49="",#N/A,SUM(GU$4:GU49))</f>
        <v>191.11843246325333</v>
      </c>
      <c r="GW49" s="62" t="str">
        <f t="shared" si="102"/>
        <v/>
      </c>
      <c r="GX49" s="63">
        <f>IF($GZ49="",#N/A,SUM(GW$4:GW49))</f>
        <v>93.96851376184037</v>
      </c>
      <c r="GY49" s="63">
        <f>IF(EJ49="",#N/A,SUM($EJ$4:EJ49))</f>
        <v>586.01294307279431</v>
      </c>
      <c r="GZ49" s="158">
        <v>200.8</v>
      </c>
      <c r="HA49" s="63">
        <f t="shared" si="93"/>
        <v>-1.2741558717349903</v>
      </c>
      <c r="HB49" s="62" t="s">
        <v>4970</v>
      </c>
      <c r="HC49" s="60">
        <f>IFERROR(VLOOKUP(E49,Expectancy!$P$4:$S$19,1+C49,FALSE),"")</f>
        <v>-4.1762476788754908E-2</v>
      </c>
      <c r="HD49" s="60" t="str">
        <f t="shared" si="94"/>
        <v/>
      </c>
      <c r="HE49" s="60" t="e">
        <f>IF(HD49="",#N/A,SUM($HD$4:HD49))</f>
        <v>#N/A</v>
      </c>
      <c r="HF49" s="64" t="e">
        <f>IF(HD49="",#N/A,IF(HB49="Skip",#N/A,SUM($HG$4:HG49)))</f>
        <v>#N/A</v>
      </c>
      <c r="HG49" s="63" t="str">
        <f t="shared" si="95"/>
        <v/>
      </c>
      <c r="HH49" s="82">
        <f t="shared" si="96"/>
        <v>1.1007291003043798</v>
      </c>
    </row>
    <row r="50" spans="1:217" x14ac:dyDescent="0.25">
      <c r="A50" s="57" t="s">
        <v>1331</v>
      </c>
      <c r="B50" s="58" t="s">
        <v>5113</v>
      </c>
      <c r="C50" s="386">
        <f t="shared" si="0"/>
        <v>3</v>
      </c>
      <c r="D50" s="372" t="str">
        <f>_xlfn.XLOOKUP(A50,[1]SP500!$A$2:$A$502,[1]SP500!$D$2:$D$502,"N")</f>
        <v>Y</v>
      </c>
      <c r="E50" s="57" t="str">
        <f>_xlfn.XLOOKUP(A50,[1]SP500!$A$2:$A$655,[1]SP500!$B$2:$B$655)</f>
        <v>XLI</v>
      </c>
      <c r="F50" s="59">
        <v>45680</v>
      </c>
      <c r="G50" s="57" t="str">
        <f t="shared" si="1"/>
        <v>BMO</v>
      </c>
      <c r="H50" s="57" t="str">
        <f t="shared" si="2"/>
        <v>o</v>
      </c>
      <c r="I50" s="158">
        <v>235.8</v>
      </c>
      <c r="J50" s="159">
        <v>246.65</v>
      </c>
      <c r="K50" s="61">
        <f t="shared" si="3"/>
        <v>4.6013570822731102E-2</v>
      </c>
      <c r="L50" s="87">
        <f t="shared" si="4"/>
        <v>18.405428329092445</v>
      </c>
      <c r="M50" s="63" t="str">
        <f t="shared" si="104"/>
        <v/>
      </c>
      <c r="N50" s="219" t="str">
        <f t="shared" si="6"/>
        <v/>
      </c>
      <c r="O50" s="219">
        <f>IF($J50="",#N/A,SUM($N$4:N50))</f>
        <v>111.34186845081553</v>
      </c>
      <c r="P50" s="220" t="str">
        <f t="shared" si="7"/>
        <v/>
      </c>
      <c r="Q50" s="220">
        <f>IF($J50="",#N/A,SUM($P$4:P50))</f>
        <v>27.322964850085555</v>
      </c>
      <c r="R50" s="221">
        <f t="shared" si="8"/>
        <v>18.405428329092445</v>
      </c>
      <c r="S50" s="222">
        <f>IF($J50="",#N/A,SUM($R$4:R50))</f>
        <v>249.25354150930377</v>
      </c>
      <c r="T50" s="281" t="str">
        <f t="shared" si="9"/>
        <v/>
      </c>
      <c r="U50" s="281">
        <f>IF($J50="",#N/A,SUM($T$4:T50))</f>
        <v>4.6392445187839799</v>
      </c>
      <c r="V50" s="282" t="str">
        <f t="shared" si="10"/>
        <v/>
      </c>
      <c r="W50" s="282">
        <f>IF($J50="",#N/A,SUM($V$4:V50))</f>
        <v>1.1384568687535646</v>
      </c>
      <c r="X50" s="283">
        <f t="shared" si="11"/>
        <v>0.76689284704551852</v>
      </c>
      <c r="Y50" s="283">
        <f>IF($J50="",#N/A,SUM($X$4:X50))</f>
        <v>10.385564229554324</v>
      </c>
      <c r="Z50" s="304" t="str">
        <f t="shared" si="12"/>
        <v/>
      </c>
      <c r="AA50" s="304">
        <f>IF($J50="",#N/A,SUM(Z$4:Z50))</f>
        <v>1.1273861049364817</v>
      </c>
      <c r="AB50" s="305" t="str">
        <f t="shared" si="13"/>
        <v/>
      </c>
      <c r="AC50" s="305">
        <f>IF($J50="",#N/A,SUM(AB$4:AB50))</f>
        <v>0</v>
      </c>
      <c r="AD50" s="306" t="str">
        <f t="shared" si="14"/>
        <v/>
      </c>
      <c r="AE50" s="306">
        <f>IF($J50="",#N/A,SUM(AD$4:AD50))</f>
        <v>1.5553407757049009</v>
      </c>
      <c r="AF50" s="306">
        <f>IF($J50="",#N/A,SUM(AD$4:AD50,AB$4:AB50,Z$4:Z50))</f>
        <v>2.6827268806413822</v>
      </c>
      <c r="AG50" s="304" t="str">
        <f t="shared" si="15"/>
        <v/>
      </c>
      <c r="AH50" s="304">
        <f>IF($J50="",#N/A,SUM(AG$4:AG50))</f>
        <v>0</v>
      </c>
      <c r="AI50" s="305" t="str">
        <f t="shared" si="16"/>
        <v/>
      </c>
      <c r="AJ50" s="305">
        <f>IF($J50="",#N/A,SUM(AI$4:AI50))</f>
        <v>0</v>
      </c>
      <c r="AK50" s="306" t="str">
        <f t="shared" si="17"/>
        <v/>
      </c>
      <c r="AL50" s="306">
        <f>IF($J50="",#N/A,SUM(AK$4:AK50))</f>
        <v>0</v>
      </c>
      <c r="AM50" s="306">
        <f>IF($J50="",#N/A,SUM(AK$4:AK50,AI$4:AI50,AG$4:AG50))</f>
        <v>0</v>
      </c>
      <c r="AN50" s="304" t="str">
        <f t="shared" si="18"/>
        <v/>
      </c>
      <c r="AO50" s="304">
        <f>IF($J50="",#N/A,SUM(AN$4:AN50))</f>
        <v>0</v>
      </c>
      <c r="AP50" s="305" t="str">
        <f t="shared" si="19"/>
        <v/>
      </c>
      <c r="AQ50" s="305">
        <f>IF($J50="",#N/A,SUM(AP$4:AP50))</f>
        <v>0</v>
      </c>
      <c r="AR50" s="306" t="str">
        <f t="shared" si="20"/>
        <v/>
      </c>
      <c r="AS50" s="306">
        <f>IF($J50="",#N/A,SUM(AR$4:AR50))</f>
        <v>0</v>
      </c>
      <c r="AT50" s="306">
        <f>IF($J50="",#N/A,SUM(AR$4:AR50,AP$4:AP50,AN$4:AN50))</f>
        <v>0</v>
      </c>
      <c r="AU50" s="304" t="str">
        <f t="shared" si="21"/>
        <v/>
      </c>
      <c r="AV50" s="304">
        <f>IF($J50="",#N/A,SUM(AU$4:AU50))</f>
        <v>0</v>
      </c>
      <c r="AW50" s="305" t="str">
        <f t="shared" si="22"/>
        <v/>
      </c>
      <c r="AX50" s="305">
        <f>IF($J50="",#N/A,SUM(AW$4:AW50))</f>
        <v>1.2290222546515868</v>
      </c>
      <c r="AY50" s="306" t="str">
        <f t="shared" si="23"/>
        <v/>
      </c>
      <c r="AZ50" s="306">
        <f>IF($J50="",#N/A,SUM(AY$4:AY50))</f>
        <v>3.0490332683593495</v>
      </c>
      <c r="BA50" s="306">
        <f>IF($J50="",#N/A,SUM(AY$4:AY50,AW$4:AW50,AU$4:AU50))</f>
        <v>4.2780555230109361</v>
      </c>
      <c r="BB50" s="304" t="str">
        <f t="shared" si="24"/>
        <v/>
      </c>
      <c r="BC50" s="304">
        <f>IF($J50="",#N/A,SUM(BB$4:BB50))</f>
        <v>0</v>
      </c>
      <c r="BD50" s="305" t="str">
        <f t="shared" si="25"/>
        <v/>
      </c>
      <c r="BE50" s="305">
        <f>IF($J50="",#N/A,SUM(BD$4:BD50))</f>
        <v>0</v>
      </c>
      <c r="BF50" s="306" t="str">
        <f t="shared" si="26"/>
        <v/>
      </c>
      <c r="BG50" s="306">
        <f>IF($J50="",#N/A,SUM(BF$4:BF50))</f>
        <v>2.4597169840247779</v>
      </c>
      <c r="BH50" s="306">
        <f>IF($J50="",#N/A,SUM(BF$4:BF50,BD$4:BD50,BB$4:BB50))</f>
        <v>2.4597169840247779</v>
      </c>
      <c r="BI50" s="304" t="str">
        <f t="shared" si="27"/>
        <v/>
      </c>
      <c r="BJ50" s="304">
        <f>IF($J50="",#N/A,SUM(BI$4:BI50))</f>
        <v>-0.50363026264481181</v>
      </c>
      <c r="BK50" s="305" t="str">
        <f t="shared" si="28"/>
        <v/>
      </c>
      <c r="BL50" s="305">
        <f>IF($J50="",#N/A,SUM(BK$4:BK50))</f>
        <v>0</v>
      </c>
      <c r="BM50" s="306" t="str">
        <f t="shared" si="29"/>
        <v/>
      </c>
      <c r="BN50" s="306">
        <f>IF($J50="",#N/A,SUM(BM$4:BM50))</f>
        <v>3.8210959759517467</v>
      </c>
      <c r="BO50" s="306">
        <f>IF($J50="",#N/A,SUM(BM$4:BM50,BK$4:BK50,BI$4:BI50))</f>
        <v>3.3174657133069352</v>
      </c>
      <c r="BP50" s="304" t="str">
        <f t="shared" si="30"/>
        <v/>
      </c>
      <c r="BQ50" s="304">
        <f>IF($J50="",#N/A,SUM(BP$4:BP50))</f>
        <v>4.0154886764923106</v>
      </c>
      <c r="BR50" s="305" t="str">
        <f t="shared" si="31"/>
        <v/>
      </c>
      <c r="BS50" s="305">
        <f>IF($J50="",#N/A,SUM(BR$4:BR50))</f>
        <v>-0.34773304801390975</v>
      </c>
      <c r="BT50" s="306">
        <f t="shared" si="32"/>
        <v>0.76689284704551852</v>
      </c>
      <c r="BU50" s="306">
        <f>IF($J50="",#N/A,SUM(BT$4:BT50))</f>
        <v>-0.93553131681240131</v>
      </c>
      <c r="BV50" s="306">
        <f>IF($J50="",#N/A,SUM(BT$4:BT50,BR$4:BR50,BP$4:BP50))</f>
        <v>2.7322243116659992</v>
      </c>
      <c r="BW50" s="304" t="str">
        <f t="shared" si="33"/>
        <v/>
      </c>
      <c r="BX50" s="304">
        <f>IF($J50="",#N/A,SUM(BW$4:BW50))</f>
        <v>0</v>
      </c>
      <c r="BY50" s="305" t="str">
        <f t="shared" si="34"/>
        <v/>
      </c>
      <c r="BZ50" s="305">
        <f>IF($J50="",#N/A,SUM(BY$4:BY50))</f>
        <v>0.46686916413544804</v>
      </c>
      <c r="CA50" s="306" t="str">
        <f t="shared" si="35"/>
        <v/>
      </c>
      <c r="CB50" s="306">
        <f>IF($J50="",#N/A,SUM(CA$4:CA50))</f>
        <v>-0.37959870993521366</v>
      </c>
      <c r="CC50" s="306">
        <f>IF($J50="",#N/A,SUM(CA$4:CA50,BY$4:BY50,BW$4:BW50))</f>
        <v>8.7270454200234382E-2</v>
      </c>
      <c r="CD50" s="304" t="str">
        <f t="shared" si="36"/>
        <v/>
      </c>
      <c r="CE50" s="304">
        <f>IF($J50="",#N/A,SUM(CD$4:CD50))</f>
        <v>0</v>
      </c>
      <c r="CF50" s="305" t="str">
        <f t="shared" si="37"/>
        <v/>
      </c>
      <c r="CG50" s="305">
        <f>IF($J50="",#N/A,SUM(CF$4:CF50))</f>
        <v>0</v>
      </c>
      <c r="CH50" s="306" t="str">
        <f t="shared" si="38"/>
        <v/>
      </c>
      <c r="CI50" s="306">
        <f>IF($J50="",#N/A,SUM(CH$4:CH50))</f>
        <v>-0.25632679632191468</v>
      </c>
      <c r="CJ50" s="306">
        <f>IF($J50="",#N/A,SUM(CH$4:CH50,CF$4:CF50,CD$4:CD50))</f>
        <v>-0.25632679632191468</v>
      </c>
      <c r="CK50" s="304" t="str">
        <f t="shared" si="39"/>
        <v/>
      </c>
      <c r="CL50" s="304">
        <f>IF($J50="",#N/A,SUM(CK$4:CK50))</f>
        <v>0</v>
      </c>
      <c r="CM50" s="305" t="str">
        <f t="shared" si="40"/>
        <v/>
      </c>
      <c r="CN50" s="305">
        <f>IF($J50="",#N/A,SUM(CM$4:CM50))</f>
        <v>0</v>
      </c>
      <c r="CO50" s="306" t="str">
        <f t="shared" si="41"/>
        <v/>
      </c>
      <c r="CP50" s="306">
        <f>IF($J50="",#N/A,SUM(CO$4:CO50))</f>
        <v>0</v>
      </c>
      <c r="CQ50" s="306">
        <f>IF($J50="",#N/A,SUM(CO$4:CO50,CM$4:CM50,CK$4:CK50))</f>
        <v>0</v>
      </c>
      <c r="CR50" s="304" t="str">
        <f t="shared" si="42"/>
        <v/>
      </c>
      <c r="CS50" s="304">
        <f>IF($J50="",#N/A,SUM(CR$4:CR50))</f>
        <v>0</v>
      </c>
      <c r="CT50" s="305" t="str">
        <f t="shared" si="43"/>
        <v/>
      </c>
      <c r="CU50" s="305">
        <f>IF($J50="",#N/A,SUM(CT$4:CT50))</f>
        <v>-0.13081968772223007</v>
      </c>
      <c r="CV50" s="306" t="str">
        <f t="shared" si="44"/>
        <v/>
      </c>
      <c r="CW50" s="306">
        <f>IF($J50="",#N/A,SUM(CV$4:CV50))</f>
        <v>0.28156811782542707</v>
      </c>
      <c r="CX50" s="306">
        <f>IF($J50="",#N/A,SUM(CV$4:CV50,CT$4:CT50,CR$4:CR50))</f>
        <v>0.150748430103197</v>
      </c>
      <c r="CY50" s="304" t="str">
        <f t="shared" si="45"/>
        <v/>
      </c>
      <c r="CZ50" s="304">
        <f>IF($J50="",#N/A,SUM(CY$4:CY50))</f>
        <v>0</v>
      </c>
      <c r="DA50" s="305" t="str">
        <f t="shared" si="46"/>
        <v/>
      </c>
      <c r="DB50" s="305">
        <f>IF($J50="",#N/A,SUM(DA$4:DA50))</f>
        <v>0</v>
      </c>
      <c r="DC50" s="306" t="str">
        <f t="shared" si="47"/>
        <v/>
      </c>
      <c r="DD50" s="306">
        <f>IF($J50="",#N/A,SUM(DC$4:DC50))</f>
        <v>0</v>
      </c>
      <c r="DE50" s="306">
        <f>IF($J50="",#N/A,SUM(DC$4:DC50,DA$4:DA50,CY$4:CY50))</f>
        <v>0</v>
      </c>
      <c r="DF50" s="304" t="str">
        <f t="shared" si="48"/>
        <v/>
      </c>
      <c r="DG50" s="304">
        <f>IF($J50="",#N/A,SUM(DF$4:DF50))</f>
        <v>0</v>
      </c>
      <c r="DH50" s="305" t="str">
        <f t="shared" si="49"/>
        <v/>
      </c>
      <c r="DI50" s="305">
        <f>IF($J50="",#N/A,SUM(DH$4:DH50))</f>
        <v>0</v>
      </c>
      <c r="DJ50" s="306" t="str">
        <f t="shared" si="50"/>
        <v/>
      </c>
      <c r="DK50" s="306">
        <f>IF($J50="",#N/A,SUM(DJ$4:DJ50))</f>
        <v>0</v>
      </c>
      <c r="DL50" s="306">
        <f>IF($J50="",#N/A,SUM(DJ$4:DJ50,DH$4:DH50,DF$4:DF50))</f>
        <v>0</v>
      </c>
      <c r="DM50" s="304" t="str">
        <f t="shared" si="51"/>
        <v/>
      </c>
      <c r="DN50" s="304">
        <f>IF($J50="",#N/A,SUM(DM$4:DM50))</f>
        <v>0</v>
      </c>
      <c r="DO50" s="305" t="str">
        <f t="shared" si="52"/>
        <v/>
      </c>
      <c r="DP50" s="305">
        <f>IF($J50="",#N/A,SUM(DO$4:DO50))</f>
        <v>0</v>
      </c>
      <c r="DQ50" s="306" t="str">
        <f t="shared" si="53"/>
        <v/>
      </c>
      <c r="DR50" s="306">
        <f>IF($J50="",#N/A,SUM(DQ$4:DQ50))</f>
        <v>0.79026593075765084</v>
      </c>
      <c r="DS50" s="306">
        <f>IF($J50="",#N/A,SUM(DQ$4:DQ50,DO$4:DO50,DM$4:DM50))</f>
        <v>0.79026593075765084</v>
      </c>
      <c r="DT50" s="304" t="str">
        <f t="shared" si="54"/>
        <v/>
      </c>
      <c r="DU50" s="304">
        <f>IF($J50="",#N/A,SUM(DT$4:DT50))</f>
        <v>0</v>
      </c>
      <c r="DV50" s="305" t="str">
        <f t="shared" si="55"/>
        <v/>
      </c>
      <c r="DW50" s="305">
        <f>IF($J50="",#N/A,SUM(DV$4:DV50))</f>
        <v>0.40085630512924314</v>
      </c>
      <c r="DX50" s="306" t="str">
        <f t="shared" si="56"/>
        <v/>
      </c>
      <c r="DY50" s="306">
        <f>IF($J50="",#N/A,SUM(DX$4:DX50))</f>
        <v>0</v>
      </c>
      <c r="DZ50" s="306">
        <f>IF($J50="",#N/A,SUM(DX$4:DX50,DV$4:DV50,DT$4:DT50))</f>
        <v>0.40085630512924314</v>
      </c>
      <c r="EA50" s="304" t="str">
        <f t="shared" si="57"/>
        <v/>
      </c>
      <c r="EB50" s="304">
        <f>IF($J50="",#N/A,SUM(EA$4:EA50))</f>
        <v>0</v>
      </c>
      <c r="EC50" s="305" t="str">
        <f t="shared" si="58"/>
        <v/>
      </c>
      <c r="ED50" s="305">
        <f>IF($J50="",#N/A,SUM(EC$4:EC50))</f>
        <v>-0.47973811942657352</v>
      </c>
      <c r="EE50" s="306" t="str">
        <f t="shared" si="59"/>
        <v/>
      </c>
      <c r="EF50" s="306">
        <f>IF($J50="",#N/A,SUM(EE$4:EE50))</f>
        <v>0</v>
      </c>
      <c r="EG50" s="306">
        <f>IF($J50="",#N/A,SUM(EE$4:EE50,EC$4:EC50,EA$4:EA50))</f>
        <v>-0.47973811942657352</v>
      </c>
      <c r="EH50" s="223">
        <f t="shared" si="60"/>
        <v>18.405428329092445</v>
      </c>
      <c r="EI50" s="224">
        <f>IF(EH50="",#N/A,SUM($EH$4:EH50))</f>
        <v>387.91837481020485</v>
      </c>
      <c r="EJ50" s="223">
        <f t="shared" si="61"/>
        <v>20.780322307039853</v>
      </c>
      <c r="EK50" s="63">
        <f>IF($GZ50="",#N/A,SUM(EJ$4:EJ50))</f>
        <v>606.79326537983411</v>
      </c>
      <c r="EL50" s="60">
        <f t="shared" si="97"/>
        <v>0.76689284704551852</v>
      </c>
      <c r="EM50" s="60">
        <f>IF(EL50="",NA(),SUM($EL$4:EL50))</f>
        <v>16.163265617091874</v>
      </c>
      <c r="EN50" s="60" t="str">
        <f t="shared" si="62"/>
        <v/>
      </c>
      <c r="EO50" s="60" t="e">
        <f>IF(EN50="",NA(),SUM($EN$4:EN50))</f>
        <v>#N/A</v>
      </c>
      <c r="EP50" s="60">
        <f t="shared" si="63"/>
        <v>0.76689284704551852</v>
      </c>
      <c r="EQ50" s="60">
        <f>IF(EP50="",NA(),SUM($EP$4:EP50))</f>
        <v>10.385564229554324</v>
      </c>
      <c r="ER50" s="60" t="str">
        <f t="shared" si="64"/>
        <v/>
      </c>
      <c r="ES50" s="60" t="e">
        <f>IF(ER50="",NA(),SUM($ER$4:ER50))</f>
        <v>#N/A</v>
      </c>
      <c r="ET50" s="60" t="str">
        <f t="shared" si="65"/>
        <v/>
      </c>
      <c r="EU50" s="60" t="e">
        <f>IF(ET50="",NA(),SUM($ET$4:ET50))</f>
        <v>#N/A</v>
      </c>
      <c r="EV50" s="60" t="str">
        <f t="shared" si="66"/>
        <v/>
      </c>
      <c r="EW50" s="60" t="e">
        <f>IF(EV50="",NA(),SUM($EV$4:EV50))</f>
        <v>#N/A</v>
      </c>
      <c r="EX50" s="60" t="str">
        <f t="shared" si="67"/>
        <v/>
      </c>
      <c r="EY50" s="60" t="e">
        <f>IF(EX50="",NA(),SUM($EX$4:EX50))</f>
        <v>#N/A</v>
      </c>
      <c r="EZ50" s="60" t="str">
        <f t="shared" si="68"/>
        <v/>
      </c>
      <c r="FA50" s="60" t="e">
        <f>IF(EZ50="",NA(),SUM($EZ$4:EZ50))</f>
        <v>#N/A</v>
      </c>
      <c r="FB50" s="246" t="str">
        <f t="shared" si="98"/>
        <v/>
      </c>
      <c r="FC50" s="246" t="e">
        <f>IF($FB50="",#N/A,SUM(FB$4:$FB50))</f>
        <v>#N/A</v>
      </c>
      <c r="FD50" s="60" t="str">
        <f t="shared" si="69"/>
        <v/>
      </c>
      <c r="FE50" s="60" t="e">
        <f>IF($FD50="",#N/A,SUM($FD$4:FD50))</f>
        <v>#N/A</v>
      </c>
      <c r="FF50" s="60" t="str">
        <f t="shared" si="70"/>
        <v/>
      </c>
      <c r="FG50" s="60" t="e">
        <f>IF($FF50="",#N/A,SUM($FF$4:FF50))</f>
        <v>#N/A</v>
      </c>
      <c r="FH50" s="60" t="str">
        <f t="shared" si="71"/>
        <v/>
      </c>
      <c r="FI50" s="60" t="e">
        <f>IF($FH50="",#N/A,SUM($FH$4:FH50))</f>
        <v>#N/A</v>
      </c>
      <c r="FJ50" s="60">
        <f t="shared" si="72"/>
        <v>9.8953915747808652E-2</v>
      </c>
      <c r="FK50" s="60">
        <f>IF($FJ50="",#N/A,SUM($FJ$4:FJ50))</f>
        <v>1.7858701216166875</v>
      </c>
      <c r="FL50" s="60" t="str">
        <f t="shared" si="73"/>
        <v/>
      </c>
      <c r="FM50" s="60" t="e">
        <f>IF($FL50="",#N/A,SUM($FL$4:FL50))</f>
        <v>#N/A</v>
      </c>
      <c r="FN50" s="82">
        <f t="shared" si="74"/>
        <v>0.86584676279332717</v>
      </c>
      <c r="FO50" s="82">
        <f>IF($FN50="",#N/A,SUM(FN$4:$FN50))</f>
        <v>25.283052724159766</v>
      </c>
      <c r="FP50" s="82">
        <f t="shared" si="99"/>
        <v>0.76689284704551852</v>
      </c>
      <c r="FQ50" s="246">
        <f>IF($EH50="",#N/A,SUM($FP$4:FP50))</f>
        <v>16.163265617091874</v>
      </c>
      <c r="FR50" s="82">
        <f>IFERROR(FQ50/COUNTA($J$4:J50),#N/A)</f>
        <v>0.34389926844876328</v>
      </c>
      <c r="FS50" s="99"/>
      <c r="FT50" s="82">
        <f t="shared" si="103"/>
        <v>0.39751127635181704</v>
      </c>
      <c r="FU50" s="82" t="e">
        <v>#N/A</v>
      </c>
      <c r="FV50" s="57" t="str">
        <f t="shared" si="75"/>
        <v>SW</v>
      </c>
      <c r="FW50" s="57" t="s">
        <v>2732</v>
      </c>
      <c r="FX50" s="57" t="str">
        <f t="shared" si="76"/>
        <v/>
      </c>
      <c r="FY50" s="57" t="str">
        <f t="shared" si="77"/>
        <v/>
      </c>
      <c r="FZ50" s="57">
        <f t="shared" si="78"/>
        <v>1</v>
      </c>
      <c r="GA50" s="57" t="str">
        <f t="shared" si="79"/>
        <v>Long</v>
      </c>
      <c r="GB50" s="57" t="str">
        <f t="shared" si="80"/>
        <v/>
      </c>
      <c r="GC50" s="57" t="str">
        <f t="shared" si="81"/>
        <v/>
      </c>
      <c r="GD50" s="57" t="str">
        <f t="shared" si="82"/>
        <v/>
      </c>
      <c r="GE50" s="62">
        <f t="shared" si="105"/>
        <v>235.8</v>
      </c>
      <c r="GF50" s="62" t="s">
        <v>2779</v>
      </c>
      <c r="GG50" s="199">
        <f t="shared" si="106"/>
        <v>1.6963528413910092</v>
      </c>
      <c r="GH50" s="207">
        <f t="shared" si="85"/>
        <v>400</v>
      </c>
      <c r="GI50" s="199">
        <f t="shared" si="107"/>
        <v>1.6963528413910092</v>
      </c>
      <c r="GJ50" s="200">
        <f t="shared" si="108"/>
        <v>246.65</v>
      </c>
      <c r="GK50" s="63">
        <f t="shared" si="88"/>
        <v>18.405428329092445</v>
      </c>
      <c r="GL50" s="63">
        <f t="shared" si="109"/>
        <v>20.780322307039853</v>
      </c>
      <c r="GM50" s="82">
        <f t="shared" si="90"/>
        <v>0.86584676279332717</v>
      </c>
      <c r="GN50" s="82">
        <f>IF($GZ50="",#N/A,SUM(GM$4:GM50))</f>
        <v>13.404429964780855</v>
      </c>
      <c r="GO50" s="82" t="str">
        <f t="shared" si="91"/>
        <v/>
      </c>
      <c r="GP50" s="82">
        <f>IF($GZ50="",#N/A,SUM(GO$4:GO50))</f>
        <v>7.9632680193022232</v>
      </c>
      <c r="GQ50" s="82" t="str">
        <f t="shared" si="92"/>
        <v/>
      </c>
      <c r="GR50" s="82">
        <f>IF($GZ50="",#N/A,SUM(GQ$4:GQ50))</f>
        <v>3.9153547400766828</v>
      </c>
      <c r="GS50" s="63">
        <f t="shared" si="100"/>
        <v>20.780322307039853</v>
      </c>
      <c r="GT50" s="63">
        <f>IF($GZ50="",#N/A,SUM(GS$4:GS50))</f>
        <v>321.70631915474053</v>
      </c>
      <c r="GU50" s="63" t="str">
        <f t="shared" si="101"/>
        <v/>
      </c>
      <c r="GV50" s="63">
        <f>IF($GZ50="",#N/A,SUM(GU$4:GU50))</f>
        <v>191.11843246325333</v>
      </c>
      <c r="GW50" s="62" t="str">
        <f t="shared" si="102"/>
        <v/>
      </c>
      <c r="GX50" s="63">
        <f>IF($GZ50="",#N/A,SUM(GW$4:GW50))</f>
        <v>93.96851376184037</v>
      </c>
      <c r="GY50" s="63">
        <f>IF(EJ50="",#N/A,SUM($EJ$4:EJ50))</f>
        <v>606.79326537983411</v>
      </c>
      <c r="GZ50" s="159">
        <v>248.05</v>
      </c>
      <c r="HA50" s="63">
        <f t="shared" si="93"/>
        <v>2.3748939779474085</v>
      </c>
      <c r="HB50" s="62" t="s">
        <v>4970</v>
      </c>
      <c r="HC50" s="60">
        <f>IFERROR(VLOOKUP(E50,Expectancy!$P$4:$S$19,1+C50,FALSE),"")</f>
        <v>2.40735201201209E-2</v>
      </c>
      <c r="HD50" s="60" t="str">
        <f t="shared" si="94"/>
        <v/>
      </c>
      <c r="HE50" s="60" t="e">
        <f>IF(HD50="",#N/A,SUM($HD$4:HD50))</f>
        <v>#N/A</v>
      </c>
      <c r="HF50" s="64" t="e">
        <f>IF(HD50="",#N/A,IF(HB50="Skip",#N/A,SUM($HG$4:HG50)))</f>
        <v>#N/A</v>
      </c>
      <c r="HG50" s="63" t="str">
        <f t="shared" si="95"/>
        <v/>
      </c>
      <c r="HH50" s="82">
        <f t="shared" si="96"/>
        <v>0.86584676279332717</v>
      </c>
    </row>
    <row r="51" spans="1:217" x14ac:dyDescent="0.25">
      <c r="A51" s="57" t="s">
        <v>1355</v>
      </c>
      <c r="B51" s="58" t="s">
        <v>5114</v>
      </c>
      <c r="C51" s="386">
        <f t="shared" si="0"/>
        <v>3</v>
      </c>
      <c r="D51" s="372" t="str">
        <f>_xlfn.XLOOKUP(A51,[1]SP500!$A$2:$A$502,[1]SP500!$D$2:$D$502,"N")</f>
        <v>Y</v>
      </c>
      <c r="E51" s="57" t="str">
        <f>_xlfn.XLOOKUP(A51,[1]SP500!$A$2:$A$655,[1]SP500!$B$2:$B$655)</f>
        <v>H-INS</v>
      </c>
      <c r="F51" s="59">
        <v>45680</v>
      </c>
      <c r="G51" s="57" t="str">
        <f t="shared" si="1"/>
        <v>BMO</v>
      </c>
      <c r="H51" s="57" t="str">
        <f t="shared" si="2"/>
        <v>o</v>
      </c>
      <c r="I51" s="159">
        <v>390.73</v>
      </c>
      <c r="J51" s="159">
        <v>404.72</v>
      </c>
      <c r="K51" s="61">
        <f t="shared" si="3"/>
        <v>3.580477567629823E-2</v>
      </c>
      <c r="L51" s="87">
        <f t="shared" si="4"/>
        <v>14.321910270519254</v>
      </c>
      <c r="M51" s="63" t="str">
        <f t="shared" si="104"/>
        <v/>
      </c>
      <c r="N51" s="219" t="str">
        <f t="shared" si="6"/>
        <v/>
      </c>
      <c r="O51" s="219">
        <f>IF($J51="",#N/A,SUM($N$4:N51))</f>
        <v>111.34186845081553</v>
      </c>
      <c r="P51" s="220" t="str">
        <f t="shared" si="7"/>
        <v/>
      </c>
      <c r="Q51" s="220">
        <f>IF($J51="",#N/A,SUM($P$4:P51))</f>
        <v>27.322964850085555</v>
      </c>
      <c r="R51" s="221">
        <f t="shared" si="8"/>
        <v>14.321910270519254</v>
      </c>
      <c r="S51" s="222">
        <f>IF($J51="",#N/A,SUM($R$4:R51))</f>
        <v>263.57545177982303</v>
      </c>
      <c r="T51" s="281" t="str">
        <f t="shared" si="9"/>
        <v/>
      </c>
      <c r="U51" s="281">
        <f>IF($J51="",#N/A,SUM($T$4:T51))</f>
        <v>4.6392445187839799</v>
      </c>
      <c r="V51" s="282" t="str">
        <f t="shared" si="10"/>
        <v/>
      </c>
      <c r="W51" s="282">
        <f>IF($J51="",#N/A,SUM($V$4:V51))</f>
        <v>1.1384568687535646</v>
      </c>
      <c r="X51" s="283">
        <f t="shared" si="11"/>
        <v>0.59674626127163555</v>
      </c>
      <c r="Y51" s="283">
        <f>IF($J51="",#N/A,SUM($X$4:X51))</f>
        <v>10.982310490825959</v>
      </c>
      <c r="Z51" s="304" t="str">
        <f t="shared" si="12"/>
        <v/>
      </c>
      <c r="AA51" s="304">
        <f>IF($J51="",#N/A,SUM(Z$4:Z51))</f>
        <v>1.1273861049364817</v>
      </c>
      <c r="AB51" s="305" t="str">
        <f t="shared" si="13"/>
        <v/>
      </c>
      <c r="AC51" s="305">
        <f>IF($J51="",#N/A,SUM(AB$4:AB51))</f>
        <v>0</v>
      </c>
      <c r="AD51" s="306" t="str">
        <f t="shared" si="14"/>
        <v/>
      </c>
      <c r="AE51" s="306">
        <f>IF($J51="",#N/A,SUM(AD$4:AD51))</f>
        <v>1.5553407757049009</v>
      </c>
      <c r="AF51" s="306">
        <f>IF($J51="",#N/A,SUM(AD$4:AD51,AB$4:AB51,Z$4:Z51))</f>
        <v>2.6827268806413822</v>
      </c>
      <c r="AG51" s="304" t="str">
        <f t="shared" si="15"/>
        <v/>
      </c>
      <c r="AH51" s="304">
        <f>IF($J51="",#N/A,SUM(AG$4:AG51))</f>
        <v>0</v>
      </c>
      <c r="AI51" s="305" t="str">
        <f t="shared" si="16"/>
        <v/>
      </c>
      <c r="AJ51" s="305">
        <f>IF($J51="",#N/A,SUM(AI$4:AI51))</f>
        <v>0</v>
      </c>
      <c r="AK51" s="306" t="str">
        <f t="shared" si="17"/>
        <v/>
      </c>
      <c r="AL51" s="306">
        <f>IF($J51="",#N/A,SUM(AK$4:AK51))</f>
        <v>0</v>
      </c>
      <c r="AM51" s="306">
        <f>IF($J51="",#N/A,SUM(AK$4:AK51,AI$4:AI51,AG$4:AG51))</f>
        <v>0</v>
      </c>
      <c r="AN51" s="304" t="str">
        <f t="shared" si="18"/>
        <v/>
      </c>
      <c r="AO51" s="304">
        <f>IF($J51="",#N/A,SUM(AN$4:AN51))</f>
        <v>0</v>
      </c>
      <c r="AP51" s="305" t="str">
        <f t="shared" si="19"/>
        <v/>
      </c>
      <c r="AQ51" s="305">
        <f>IF($J51="",#N/A,SUM(AP$4:AP51))</f>
        <v>0</v>
      </c>
      <c r="AR51" s="306" t="str">
        <f t="shared" si="20"/>
        <v/>
      </c>
      <c r="AS51" s="306">
        <f>IF($J51="",#N/A,SUM(AR$4:AR51))</f>
        <v>0</v>
      </c>
      <c r="AT51" s="306">
        <f>IF($J51="",#N/A,SUM(AR$4:AR51,AP$4:AP51,AN$4:AN51))</f>
        <v>0</v>
      </c>
      <c r="AU51" s="304" t="str">
        <f t="shared" si="21"/>
        <v/>
      </c>
      <c r="AV51" s="304">
        <f>IF($J51="",#N/A,SUM(AU$4:AU51))</f>
        <v>0</v>
      </c>
      <c r="AW51" s="305" t="str">
        <f t="shared" si="22"/>
        <v/>
      </c>
      <c r="AX51" s="305">
        <f>IF($J51="",#N/A,SUM(AW$4:AW51))</f>
        <v>1.2290222546515868</v>
      </c>
      <c r="AY51" s="306" t="str">
        <f t="shared" si="23"/>
        <v/>
      </c>
      <c r="AZ51" s="306">
        <f>IF($J51="",#N/A,SUM(AY$4:AY51))</f>
        <v>3.0490332683593495</v>
      </c>
      <c r="BA51" s="306">
        <f>IF($J51="",#N/A,SUM(AY$4:AY51,AW$4:AW51,AU$4:AU51))</f>
        <v>4.2780555230109361</v>
      </c>
      <c r="BB51" s="304" t="str">
        <f t="shared" si="24"/>
        <v/>
      </c>
      <c r="BC51" s="304">
        <f>IF($J51="",#N/A,SUM(BB$4:BB51))</f>
        <v>0</v>
      </c>
      <c r="BD51" s="305" t="str">
        <f t="shared" si="25"/>
        <v/>
      </c>
      <c r="BE51" s="305">
        <f>IF($J51="",#N/A,SUM(BD$4:BD51))</f>
        <v>0</v>
      </c>
      <c r="BF51" s="306" t="str">
        <f t="shared" si="26"/>
        <v/>
      </c>
      <c r="BG51" s="306">
        <f>IF($J51="",#N/A,SUM(BF$4:BF51))</f>
        <v>2.4597169840247779</v>
      </c>
      <c r="BH51" s="306">
        <f>IF($J51="",#N/A,SUM(BF$4:BF51,BD$4:BD51,BB$4:BB51))</f>
        <v>2.4597169840247779</v>
      </c>
      <c r="BI51" s="304" t="str">
        <f t="shared" si="27"/>
        <v/>
      </c>
      <c r="BJ51" s="304">
        <f>IF($J51="",#N/A,SUM(BI$4:BI51))</f>
        <v>-0.50363026264481181</v>
      </c>
      <c r="BK51" s="305" t="str">
        <f t="shared" si="28"/>
        <v/>
      </c>
      <c r="BL51" s="305">
        <f>IF($J51="",#N/A,SUM(BK$4:BK51))</f>
        <v>0</v>
      </c>
      <c r="BM51" s="306" t="str">
        <f t="shared" si="29"/>
        <v/>
      </c>
      <c r="BN51" s="306">
        <f>IF($J51="",#N/A,SUM(BM$4:BM51))</f>
        <v>3.8210959759517467</v>
      </c>
      <c r="BO51" s="306">
        <f>IF($J51="",#N/A,SUM(BM$4:BM51,BK$4:BK51,BI$4:BI51))</f>
        <v>3.3174657133069352</v>
      </c>
      <c r="BP51" s="304" t="str">
        <f t="shared" si="30"/>
        <v/>
      </c>
      <c r="BQ51" s="304">
        <f>IF($J51="",#N/A,SUM(BP$4:BP51))</f>
        <v>4.0154886764923106</v>
      </c>
      <c r="BR51" s="305" t="str">
        <f t="shared" si="31"/>
        <v/>
      </c>
      <c r="BS51" s="305">
        <f>IF($J51="",#N/A,SUM(BR$4:BR51))</f>
        <v>-0.34773304801390975</v>
      </c>
      <c r="BT51" s="306" t="str">
        <f t="shared" si="32"/>
        <v/>
      </c>
      <c r="BU51" s="306">
        <f>IF($J51="",#N/A,SUM(BT$4:BT51))</f>
        <v>-0.93553131681240131</v>
      </c>
      <c r="BV51" s="306">
        <f>IF($J51="",#N/A,SUM(BT$4:BT51,BR$4:BR51,BP$4:BP51))</f>
        <v>2.7322243116659992</v>
      </c>
      <c r="BW51" s="304" t="str">
        <f t="shared" si="33"/>
        <v/>
      </c>
      <c r="BX51" s="304">
        <f>IF($J51="",#N/A,SUM(BW$4:BW51))</f>
        <v>0</v>
      </c>
      <c r="BY51" s="305" t="str">
        <f t="shared" si="34"/>
        <v/>
      </c>
      <c r="BZ51" s="305">
        <f>IF($J51="",#N/A,SUM(BY$4:BY51))</f>
        <v>0.46686916413544804</v>
      </c>
      <c r="CA51" s="306" t="str">
        <f t="shared" si="35"/>
        <v/>
      </c>
      <c r="CB51" s="306">
        <f>IF($J51="",#N/A,SUM(CA$4:CA51))</f>
        <v>-0.37959870993521366</v>
      </c>
      <c r="CC51" s="306">
        <f>IF($J51="",#N/A,SUM(CA$4:CA51,BY$4:BY51,BW$4:BW51))</f>
        <v>8.7270454200234382E-2</v>
      </c>
      <c r="CD51" s="304" t="str">
        <f t="shared" si="36"/>
        <v/>
      </c>
      <c r="CE51" s="304">
        <f>IF($J51="",#N/A,SUM(CD$4:CD51))</f>
        <v>0</v>
      </c>
      <c r="CF51" s="305" t="str">
        <f t="shared" si="37"/>
        <v/>
      </c>
      <c r="CG51" s="305">
        <f>IF($J51="",#N/A,SUM(CF$4:CF51))</f>
        <v>0</v>
      </c>
      <c r="CH51" s="306" t="str">
        <f t="shared" si="38"/>
        <v/>
      </c>
      <c r="CI51" s="306">
        <f>IF($J51="",#N/A,SUM(CH$4:CH51))</f>
        <v>-0.25632679632191468</v>
      </c>
      <c r="CJ51" s="306">
        <f>IF($J51="",#N/A,SUM(CH$4:CH51,CF$4:CF51,CD$4:CD51))</f>
        <v>-0.25632679632191468</v>
      </c>
      <c r="CK51" s="304" t="str">
        <f t="shared" si="39"/>
        <v/>
      </c>
      <c r="CL51" s="304">
        <f>IF($J51="",#N/A,SUM(CK$4:CK51))</f>
        <v>0</v>
      </c>
      <c r="CM51" s="305" t="str">
        <f t="shared" si="40"/>
        <v/>
      </c>
      <c r="CN51" s="305">
        <f>IF($J51="",#N/A,SUM(CM$4:CM51))</f>
        <v>0</v>
      </c>
      <c r="CO51" s="306" t="str">
        <f t="shared" si="41"/>
        <v/>
      </c>
      <c r="CP51" s="306">
        <f>IF($J51="",#N/A,SUM(CO$4:CO51))</f>
        <v>0</v>
      </c>
      <c r="CQ51" s="306">
        <f>IF($J51="",#N/A,SUM(CO$4:CO51,CM$4:CM51,CK$4:CK51))</f>
        <v>0</v>
      </c>
      <c r="CR51" s="304" t="str">
        <f t="shared" si="42"/>
        <v/>
      </c>
      <c r="CS51" s="304">
        <f>IF($J51="",#N/A,SUM(CR$4:CR51))</f>
        <v>0</v>
      </c>
      <c r="CT51" s="305" t="str">
        <f t="shared" si="43"/>
        <v/>
      </c>
      <c r="CU51" s="305">
        <f>IF($J51="",#N/A,SUM(CT$4:CT51))</f>
        <v>-0.13081968772223007</v>
      </c>
      <c r="CV51" s="306" t="str">
        <f t="shared" si="44"/>
        <v/>
      </c>
      <c r="CW51" s="306">
        <f>IF($J51="",#N/A,SUM(CV$4:CV51))</f>
        <v>0.28156811782542707</v>
      </c>
      <c r="CX51" s="306">
        <f>IF($J51="",#N/A,SUM(CV$4:CV51,CT$4:CT51,CR$4:CR51))</f>
        <v>0.150748430103197</v>
      </c>
      <c r="CY51" s="304" t="str">
        <f t="shared" si="45"/>
        <v/>
      </c>
      <c r="CZ51" s="304">
        <f>IF($J51="",#N/A,SUM(CY$4:CY51))</f>
        <v>0</v>
      </c>
      <c r="DA51" s="305" t="str">
        <f t="shared" si="46"/>
        <v/>
      </c>
      <c r="DB51" s="305">
        <f>IF($J51="",#N/A,SUM(DA$4:DA51))</f>
        <v>0</v>
      </c>
      <c r="DC51" s="306" t="str">
        <f t="shared" si="47"/>
        <v/>
      </c>
      <c r="DD51" s="306">
        <f>IF($J51="",#N/A,SUM(DC$4:DC51))</f>
        <v>0</v>
      </c>
      <c r="DE51" s="306">
        <f>IF($J51="",#N/A,SUM(DC$4:DC51,DA$4:DA51,CY$4:CY51))</f>
        <v>0</v>
      </c>
      <c r="DF51" s="304" t="str">
        <f t="shared" si="48"/>
        <v/>
      </c>
      <c r="DG51" s="304">
        <f>IF($J51="",#N/A,SUM(DF$4:DF51))</f>
        <v>0</v>
      </c>
      <c r="DH51" s="305" t="str">
        <f t="shared" si="49"/>
        <v/>
      </c>
      <c r="DI51" s="305">
        <f>IF($J51="",#N/A,SUM(DH$4:DH51))</f>
        <v>0</v>
      </c>
      <c r="DJ51" s="306" t="str">
        <f t="shared" si="50"/>
        <v/>
      </c>
      <c r="DK51" s="306">
        <f>IF($J51="",#N/A,SUM(DJ$4:DJ51))</f>
        <v>0</v>
      </c>
      <c r="DL51" s="306">
        <f>IF($J51="",#N/A,SUM(DJ$4:DJ51,DH$4:DH51,DF$4:DF51))</f>
        <v>0</v>
      </c>
      <c r="DM51" s="304" t="str">
        <f t="shared" si="51"/>
        <v/>
      </c>
      <c r="DN51" s="304">
        <f>IF($J51="",#N/A,SUM(DM$4:DM51))</f>
        <v>0</v>
      </c>
      <c r="DO51" s="305" t="str">
        <f t="shared" si="52"/>
        <v/>
      </c>
      <c r="DP51" s="305">
        <f>IF($J51="",#N/A,SUM(DO$4:DO51))</f>
        <v>0</v>
      </c>
      <c r="DQ51" s="306" t="str">
        <f t="shared" si="53"/>
        <v/>
      </c>
      <c r="DR51" s="306">
        <f>IF($J51="",#N/A,SUM(DQ$4:DQ51))</f>
        <v>0.79026593075765084</v>
      </c>
      <c r="DS51" s="306">
        <f>IF($J51="",#N/A,SUM(DQ$4:DQ51,DO$4:DO51,DM$4:DM51))</f>
        <v>0.79026593075765084</v>
      </c>
      <c r="DT51" s="304" t="str">
        <f t="shared" si="54"/>
        <v/>
      </c>
      <c r="DU51" s="304">
        <f>IF($J51="",#N/A,SUM(DT$4:DT51))</f>
        <v>0</v>
      </c>
      <c r="DV51" s="305" t="str">
        <f t="shared" si="55"/>
        <v/>
      </c>
      <c r="DW51" s="305">
        <f>IF($J51="",#N/A,SUM(DV$4:DV51))</f>
        <v>0.40085630512924314</v>
      </c>
      <c r="DX51" s="306">
        <f t="shared" si="56"/>
        <v>0.59674626127163555</v>
      </c>
      <c r="DY51" s="306">
        <f>IF($J51="",#N/A,SUM(DX$4:DX51))</f>
        <v>0.59674626127163555</v>
      </c>
      <c r="DZ51" s="306">
        <f>IF($J51="",#N/A,SUM(DX$4:DX51,DV$4:DV51,DT$4:DT51))</f>
        <v>0.99760256640087874</v>
      </c>
      <c r="EA51" s="304" t="str">
        <f t="shared" si="57"/>
        <v/>
      </c>
      <c r="EB51" s="304">
        <f>IF($J51="",#N/A,SUM(EA$4:EA51))</f>
        <v>0</v>
      </c>
      <c r="EC51" s="305" t="str">
        <f t="shared" si="58"/>
        <v/>
      </c>
      <c r="ED51" s="305">
        <f>IF($J51="",#N/A,SUM(EC$4:EC51))</f>
        <v>-0.47973811942657352</v>
      </c>
      <c r="EE51" s="306" t="str">
        <f t="shared" si="59"/>
        <v/>
      </c>
      <c r="EF51" s="306">
        <f>IF($J51="",#N/A,SUM(EE$4:EE51))</f>
        <v>0</v>
      </c>
      <c r="EG51" s="306">
        <f>IF($J51="",#N/A,SUM(EE$4:EE51,EC$4:EC51,EA$4:EA51))</f>
        <v>-0.47973811942657352</v>
      </c>
      <c r="EH51" s="223">
        <f t="shared" si="60"/>
        <v>14.321910270519254</v>
      </c>
      <c r="EI51" s="224">
        <f>IF(EH51="",#N/A,SUM($EH$4:EH51))</f>
        <v>402.24028508072411</v>
      </c>
      <c r="EJ51" s="223">
        <f t="shared" si="61"/>
        <v>10.882194866019972</v>
      </c>
      <c r="EK51" s="63">
        <f>IF($GZ51="",#N/A,SUM(EJ$4:EJ51))</f>
        <v>617.67546024585408</v>
      </c>
      <c r="EL51" s="60">
        <f t="shared" si="97"/>
        <v>0.59674626127163555</v>
      </c>
      <c r="EM51" s="60">
        <f>IF(EL51="",NA(),SUM($EL$4:EL51))</f>
        <v>16.76001187836351</v>
      </c>
      <c r="EN51" s="60" t="str">
        <f t="shared" si="62"/>
        <v/>
      </c>
      <c r="EO51" s="60" t="e">
        <f>IF(EN51="",NA(),SUM($EN$4:EN51))</f>
        <v>#N/A</v>
      </c>
      <c r="EP51" s="60">
        <f t="shared" si="63"/>
        <v>0.59674626127163555</v>
      </c>
      <c r="EQ51" s="60">
        <f>IF(EP51="",NA(),SUM($EP$4:EP51))</f>
        <v>10.982310490825959</v>
      </c>
      <c r="ER51" s="60" t="str">
        <f t="shared" si="64"/>
        <v/>
      </c>
      <c r="ES51" s="60" t="e">
        <f>IF(ER51="",NA(),SUM($ER$4:ER51))</f>
        <v>#N/A</v>
      </c>
      <c r="ET51" s="60" t="str">
        <f t="shared" si="65"/>
        <v/>
      </c>
      <c r="EU51" s="60" t="e">
        <f>IF(ET51="",NA(),SUM($ET$4:ET51))</f>
        <v>#N/A</v>
      </c>
      <c r="EV51" s="60" t="str">
        <f t="shared" si="66"/>
        <v/>
      </c>
      <c r="EW51" s="60" t="e">
        <f>IF(EV51="",NA(),SUM($EV$4:EV51))</f>
        <v>#N/A</v>
      </c>
      <c r="EX51" s="60" t="str">
        <f t="shared" si="67"/>
        <v/>
      </c>
      <c r="EY51" s="60" t="e">
        <f>IF(EX51="",NA(),SUM($EX$4:EX51))</f>
        <v>#N/A</v>
      </c>
      <c r="EZ51" s="60" t="str">
        <f t="shared" si="68"/>
        <v/>
      </c>
      <c r="FA51" s="60" t="e">
        <f>IF(EZ51="",NA(),SUM($EZ$4:EZ51))</f>
        <v>#N/A</v>
      </c>
      <c r="FB51" s="246" t="str">
        <f t="shared" si="98"/>
        <v/>
      </c>
      <c r="FC51" s="246" t="e">
        <f>IF($FB51="",#N/A,SUM(FB$4:$FB51))</f>
        <v>#N/A</v>
      </c>
      <c r="FD51" s="60" t="str">
        <f t="shared" si="69"/>
        <v/>
      </c>
      <c r="FE51" s="60" t="e">
        <f>IF($FD51="",#N/A,SUM($FD$4:FD51))</f>
        <v>#N/A</v>
      </c>
      <c r="FF51" s="60" t="str">
        <f t="shared" si="70"/>
        <v/>
      </c>
      <c r="FG51" s="60" t="e">
        <f>IF($FF51="",#N/A,SUM($FF$4:FF51))</f>
        <v>#N/A</v>
      </c>
      <c r="FH51" s="60" t="str">
        <f t="shared" si="71"/>
        <v/>
      </c>
      <c r="FI51" s="60" t="e">
        <f>IF($FH51="",#N/A,SUM($FH$4:FH51))</f>
        <v>#N/A</v>
      </c>
      <c r="FJ51" s="60">
        <f t="shared" si="72"/>
        <v>-0.14332147518747013</v>
      </c>
      <c r="FK51" s="60">
        <f>IF($FJ51="",#N/A,SUM($FJ$4:FJ51))</f>
        <v>1.6425486464292174</v>
      </c>
      <c r="FL51" s="60" t="str">
        <f t="shared" si="73"/>
        <v/>
      </c>
      <c r="FM51" s="60" t="e">
        <f>IF($FL51="",#N/A,SUM($FL$4:FL51))</f>
        <v>#N/A</v>
      </c>
      <c r="FN51" s="82">
        <f t="shared" si="74"/>
        <v>0.45342478608416542</v>
      </c>
      <c r="FO51" s="82">
        <f>IF($FN51="",#N/A,SUM(FN$4:$FN51))</f>
        <v>25.736477510243933</v>
      </c>
      <c r="FP51" s="82">
        <f t="shared" si="99"/>
        <v>0.59674626127163555</v>
      </c>
      <c r="FQ51" s="246">
        <f>IF($EH51="",#N/A,SUM($FP$4:FP51))</f>
        <v>16.76001187836351</v>
      </c>
      <c r="FR51" s="82">
        <f>IFERROR(FQ51/COUNTA($J$4:J51),#N/A)</f>
        <v>0.34916691413257311</v>
      </c>
      <c r="FS51" s="99"/>
      <c r="FT51" s="82">
        <f t="shared" si="103"/>
        <v>0.40026696199004891</v>
      </c>
      <c r="FU51" s="82" t="e">
        <v>#N/A</v>
      </c>
      <c r="FV51" s="57" t="str">
        <f t="shared" si="75"/>
        <v>SW</v>
      </c>
      <c r="FW51" s="57" t="s">
        <v>2732</v>
      </c>
      <c r="FX51" s="57" t="str">
        <f t="shared" si="76"/>
        <v/>
      </c>
      <c r="FY51" s="57" t="str">
        <f t="shared" si="77"/>
        <v/>
      </c>
      <c r="FZ51" s="57">
        <f t="shared" si="78"/>
        <v>1</v>
      </c>
      <c r="GA51" s="57" t="str">
        <f t="shared" si="79"/>
        <v>Long</v>
      </c>
      <c r="GB51" s="57" t="str">
        <f t="shared" si="80"/>
        <v/>
      </c>
      <c r="GC51" s="57" t="str">
        <f t="shared" si="81"/>
        <v/>
      </c>
      <c r="GD51" s="57" t="str">
        <f t="shared" si="82"/>
        <v/>
      </c>
      <c r="GE51" s="62">
        <f t="shared" si="105"/>
        <v>390.73</v>
      </c>
      <c r="GF51" s="62" t="s">
        <v>2779</v>
      </c>
      <c r="GG51" s="199">
        <f t="shared" si="106"/>
        <v>1.0237248227676401</v>
      </c>
      <c r="GH51" s="207">
        <f t="shared" si="85"/>
        <v>400.00000000000006</v>
      </c>
      <c r="GI51" s="199">
        <f t="shared" si="107"/>
        <v>1.0237248227676401</v>
      </c>
      <c r="GJ51" s="200">
        <f t="shared" si="108"/>
        <v>404.72</v>
      </c>
      <c r="GK51" s="63">
        <f t="shared" si="88"/>
        <v>14.321910270519254</v>
      </c>
      <c r="GL51" s="63">
        <f t="shared" si="109"/>
        <v>10.882194866019972</v>
      </c>
      <c r="GM51" s="82">
        <f t="shared" si="90"/>
        <v>0.45342478608416542</v>
      </c>
      <c r="GN51" s="82">
        <f>IF($GZ51="",#N/A,SUM(GM$4:GM51))</f>
        <v>13.85785475086502</v>
      </c>
      <c r="GO51" s="82" t="str">
        <f t="shared" si="91"/>
        <v/>
      </c>
      <c r="GP51" s="82">
        <f>IF($GZ51="",#N/A,SUM(GO$4:GO51))</f>
        <v>7.9632680193022232</v>
      </c>
      <c r="GQ51" s="82" t="str">
        <f t="shared" si="92"/>
        <v/>
      </c>
      <c r="GR51" s="82">
        <f>IF($GZ51="",#N/A,SUM(GQ$4:GQ51))</f>
        <v>3.9153547400766828</v>
      </c>
      <c r="GS51" s="63">
        <f t="shared" si="100"/>
        <v>10.882194866019972</v>
      </c>
      <c r="GT51" s="63">
        <f>IF($GZ51="",#N/A,SUM(GS$4:GS51))</f>
        <v>332.5885140207605</v>
      </c>
      <c r="GU51" s="63" t="str">
        <f t="shared" si="101"/>
        <v/>
      </c>
      <c r="GV51" s="63">
        <f>IF($GZ51="",#N/A,SUM(GU$4:GU51))</f>
        <v>191.11843246325333</v>
      </c>
      <c r="GW51" s="62" t="str">
        <f t="shared" si="102"/>
        <v/>
      </c>
      <c r="GX51" s="63">
        <f>IF($GZ51="",#N/A,SUM(GW$4:GW51))</f>
        <v>93.96851376184037</v>
      </c>
      <c r="GY51" s="63">
        <f>IF(EJ51="",#N/A,SUM($EJ$4:EJ51))</f>
        <v>617.67546024585408</v>
      </c>
      <c r="GZ51" s="159">
        <v>401.36</v>
      </c>
      <c r="HA51" s="63">
        <f t="shared" si="93"/>
        <v>-3.4397154044992817</v>
      </c>
      <c r="HB51" s="62" t="s">
        <v>4970</v>
      </c>
      <c r="HC51" s="60">
        <f>IFERROR(VLOOKUP(E51,Expectancy!$P$4:$S$19,1+C51,FALSE),"")</f>
        <v>-0.28915129598148065</v>
      </c>
      <c r="HD51" s="60" t="str">
        <f t="shared" si="94"/>
        <v/>
      </c>
      <c r="HE51" s="60" t="e">
        <f>IF(HD51="",#N/A,SUM($HD$4:HD51))</f>
        <v>#N/A</v>
      </c>
      <c r="HF51" s="64" t="e">
        <f>IF(HD51="",#N/A,IF(HB51="Skip",#N/A,SUM($HG$4:HG51)))</f>
        <v>#N/A</v>
      </c>
      <c r="HG51" s="63" t="str">
        <f t="shared" si="95"/>
        <v/>
      </c>
      <c r="HH51" s="82">
        <f t="shared" si="96"/>
        <v>0.45342478608416542</v>
      </c>
    </row>
    <row r="52" spans="1:217" x14ac:dyDescent="0.25">
      <c r="A52" s="57" t="s">
        <v>1393</v>
      </c>
      <c r="B52" s="58" t="s">
        <v>5115</v>
      </c>
      <c r="C52" s="386">
        <f t="shared" si="0"/>
        <v>2</v>
      </c>
      <c r="D52" s="372" t="str">
        <f>_xlfn.XLOOKUP(A52,[1]SP500!$A$2:$A$502,[1]SP500!$D$2:$D$502,"N")</f>
        <v>Y</v>
      </c>
      <c r="E52" s="57" t="str">
        <f>_xlfn.XLOOKUP(A52,[1]SP500!$A$2:$A$655,[1]SP500!$B$2:$B$655)</f>
        <v>XLB</v>
      </c>
      <c r="F52" s="59">
        <v>45680</v>
      </c>
      <c r="G52" s="57" t="str">
        <f t="shared" si="1"/>
        <v>BMO</v>
      </c>
      <c r="H52" s="57" t="str">
        <f t="shared" si="2"/>
        <v>o</v>
      </c>
      <c r="I52" s="159">
        <v>39.090000000000003</v>
      </c>
      <c r="J52" s="159">
        <v>38.11</v>
      </c>
      <c r="K52" s="61">
        <f t="shared" si="3"/>
        <v>-2.507035047326692E-2</v>
      </c>
      <c r="L52" s="87">
        <f t="shared" si="4"/>
        <v>10.028140189306782</v>
      </c>
      <c r="M52" s="63" t="str">
        <f t="shared" si="104"/>
        <v/>
      </c>
      <c r="N52" s="219" t="str">
        <f t="shared" si="6"/>
        <v/>
      </c>
      <c r="O52" s="219">
        <f>IF($J52="",#N/A,SUM($N$4:N52))</f>
        <v>111.34186845081553</v>
      </c>
      <c r="P52" s="220">
        <f t="shared" si="7"/>
        <v>10.028140189306782</v>
      </c>
      <c r="Q52" s="220">
        <f>IF($J52="",#N/A,SUM($P$4:P52))</f>
        <v>37.351105039392337</v>
      </c>
      <c r="R52" s="221" t="str">
        <f t="shared" si="8"/>
        <v/>
      </c>
      <c r="S52" s="222">
        <f>IF($J52="",#N/A,SUM($R$4:R52))</f>
        <v>263.57545177982303</v>
      </c>
      <c r="T52" s="281" t="str">
        <f t="shared" si="9"/>
        <v/>
      </c>
      <c r="U52" s="281">
        <f>IF($J52="",#N/A,SUM($T$4:T52))</f>
        <v>4.6392445187839799</v>
      </c>
      <c r="V52" s="282">
        <f t="shared" si="10"/>
        <v>0.41783917455444924</v>
      </c>
      <c r="W52" s="282">
        <f>IF($J52="",#N/A,SUM($V$4:V52))</f>
        <v>1.5562960433080137</v>
      </c>
      <c r="X52" s="283" t="str">
        <f t="shared" si="11"/>
        <v/>
      </c>
      <c r="Y52" s="283">
        <f>IF($J52="",#N/A,SUM($X$4:X52))</f>
        <v>10.982310490825959</v>
      </c>
      <c r="Z52" s="304" t="str">
        <f t="shared" si="12"/>
        <v/>
      </c>
      <c r="AA52" s="304">
        <f>IF($J52="",#N/A,SUM(Z$4:Z52))</f>
        <v>1.1273861049364817</v>
      </c>
      <c r="AB52" s="305" t="str">
        <f t="shared" si="13"/>
        <v/>
      </c>
      <c r="AC52" s="305">
        <f>IF($J52="",#N/A,SUM(AB$4:AB52))</f>
        <v>0</v>
      </c>
      <c r="AD52" s="306" t="str">
        <f t="shared" si="14"/>
        <v/>
      </c>
      <c r="AE52" s="306">
        <f>IF($J52="",#N/A,SUM(AD$4:AD52))</f>
        <v>1.5553407757049009</v>
      </c>
      <c r="AF52" s="306">
        <f>IF($J52="",#N/A,SUM(AD$4:AD52,AB$4:AB52,Z$4:Z52))</f>
        <v>2.6827268806413822</v>
      </c>
      <c r="AG52" s="304" t="str">
        <f t="shared" si="15"/>
        <v/>
      </c>
      <c r="AH52" s="304">
        <f>IF($J52="",#N/A,SUM(AG$4:AG52))</f>
        <v>0</v>
      </c>
      <c r="AI52" s="305" t="str">
        <f t="shared" si="16"/>
        <v/>
      </c>
      <c r="AJ52" s="305">
        <f>IF($J52="",#N/A,SUM(AI$4:AI52))</f>
        <v>0</v>
      </c>
      <c r="AK52" s="306" t="str">
        <f t="shared" si="17"/>
        <v/>
      </c>
      <c r="AL52" s="306">
        <f>IF($J52="",#N/A,SUM(AK$4:AK52))</f>
        <v>0</v>
      </c>
      <c r="AM52" s="306">
        <f>IF($J52="",#N/A,SUM(AK$4:AK52,AI$4:AI52,AG$4:AG52))</f>
        <v>0</v>
      </c>
      <c r="AN52" s="304" t="str">
        <f t="shared" si="18"/>
        <v/>
      </c>
      <c r="AO52" s="304">
        <f>IF($J52="",#N/A,SUM(AN$4:AN52))</f>
        <v>0</v>
      </c>
      <c r="AP52" s="305" t="str">
        <f t="shared" si="19"/>
        <v/>
      </c>
      <c r="AQ52" s="305">
        <f>IF($J52="",#N/A,SUM(AP$4:AP52))</f>
        <v>0</v>
      </c>
      <c r="AR52" s="306" t="str">
        <f t="shared" si="20"/>
        <v/>
      </c>
      <c r="AS52" s="306">
        <f>IF($J52="",#N/A,SUM(AR$4:AR52))</f>
        <v>0</v>
      </c>
      <c r="AT52" s="306">
        <f>IF($J52="",#N/A,SUM(AR$4:AR52,AP$4:AP52,AN$4:AN52))</f>
        <v>0</v>
      </c>
      <c r="AU52" s="304" t="str">
        <f t="shared" si="21"/>
        <v/>
      </c>
      <c r="AV52" s="304">
        <f>IF($J52="",#N/A,SUM(AU$4:AU52))</f>
        <v>0</v>
      </c>
      <c r="AW52" s="305" t="str">
        <f t="shared" si="22"/>
        <v/>
      </c>
      <c r="AX52" s="305">
        <f>IF($J52="",#N/A,SUM(AW$4:AW52))</f>
        <v>1.2290222546515868</v>
      </c>
      <c r="AY52" s="306" t="str">
        <f t="shared" si="23"/>
        <v/>
      </c>
      <c r="AZ52" s="306">
        <f>IF($J52="",#N/A,SUM(AY$4:AY52))</f>
        <v>3.0490332683593495</v>
      </c>
      <c r="BA52" s="306">
        <f>IF($J52="",#N/A,SUM(AY$4:AY52,AW$4:AW52,AU$4:AU52))</f>
        <v>4.2780555230109361</v>
      </c>
      <c r="BB52" s="304" t="str">
        <f t="shared" si="24"/>
        <v/>
      </c>
      <c r="BC52" s="304">
        <f>IF($J52="",#N/A,SUM(BB$4:BB52))</f>
        <v>0</v>
      </c>
      <c r="BD52" s="305" t="str">
        <f t="shared" si="25"/>
        <v/>
      </c>
      <c r="BE52" s="305">
        <f>IF($J52="",#N/A,SUM(BD$4:BD52))</f>
        <v>0</v>
      </c>
      <c r="BF52" s="306" t="str">
        <f t="shared" si="26"/>
        <v/>
      </c>
      <c r="BG52" s="306">
        <f>IF($J52="",#N/A,SUM(BF$4:BF52))</f>
        <v>2.4597169840247779</v>
      </c>
      <c r="BH52" s="306">
        <f>IF($J52="",#N/A,SUM(BF$4:BF52,BD$4:BD52,BB$4:BB52))</f>
        <v>2.4597169840247779</v>
      </c>
      <c r="BI52" s="304" t="str">
        <f t="shared" si="27"/>
        <v/>
      </c>
      <c r="BJ52" s="304">
        <f>IF($J52="",#N/A,SUM(BI$4:BI52))</f>
        <v>-0.50363026264481181</v>
      </c>
      <c r="BK52" s="305" t="str">
        <f t="shared" si="28"/>
        <v/>
      </c>
      <c r="BL52" s="305">
        <f>IF($J52="",#N/A,SUM(BK$4:BK52))</f>
        <v>0</v>
      </c>
      <c r="BM52" s="306" t="str">
        <f t="shared" si="29"/>
        <v/>
      </c>
      <c r="BN52" s="306">
        <f>IF($J52="",#N/A,SUM(BM$4:BM52))</f>
        <v>3.8210959759517467</v>
      </c>
      <c r="BO52" s="306">
        <f>IF($J52="",#N/A,SUM(BM$4:BM52,BK$4:BK52,BI$4:BI52))</f>
        <v>3.3174657133069352</v>
      </c>
      <c r="BP52" s="304" t="str">
        <f t="shared" si="30"/>
        <v/>
      </c>
      <c r="BQ52" s="304">
        <f>IF($J52="",#N/A,SUM(BP$4:BP52))</f>
        <v>4.0154886764923106</v>
      </c>
      <c r="BR52" s="305" t="str">
        <f t="shared" si="31"/>
        <v/>
      </c>
      <c r="BS52" s="305">
        <f>IF($J52="",#N/A,SUM(BR$4:BR52))</f>
        <v>-0.34773304801390975</v>
      </c>
      <c r="BT52" s="306" t="str">
        <f t="shared" si="32"/>
        <v/>
      </c>
      <c r="BU52" s="306">
        <f>IF($J52="",#N/A,SUM(BT$4:BT52))</f>
        <v>-0.93553131681240131</v>
      </c>
      <c r="BV52" s="306">
        <f>IF($J52="",#N/A,SUM(BT$4:BT52,BR$4:BR52,BP$4:BP52))</f>
        <v>2.7322243116659992</v>
      </c>
      <c r="BW52" s="304" t="str">
        <f t="shared" si="33"/>
        <v/>
      </c>
      <c r="BX52" s="304">
        <f>IF($J52="",#N/A,SUM(BW$4:BW52))</f>
        <v>0</v>
      </c>
      <c r="BY52" s="305" t="str">
        <f t="shared" si="34"/>
        <v/>
      </c>
      <c r="BZ52" s="305">
        <f>IF($J52="",#N/A,SUM(BY$4:BY52))</f>
        <v>0.46686916413544804</v>
      </c>
      <c r="CA52" s="306" t="str">
        <f t="shared" si="35"/>
        <v/>
      </c>
      <c r="CB52" s="306">
        <f>IF($J52="",#N/A,SUM(CA$4:CA52))</f>
        <v>-0.37959870993521366</v>
      </c>
      <c r="CC52" s="306">
        <f>IF($J52="",#N/A,SUM(CA$4:CA52,BY$4:BY52,BW$4:BW52))</f>
        <v>8.7270454200234382E-2</v>
      </c>
      <c r="CD52" s="304" t="str">
        <f t="shared" si="36"/>
        <v/>
      </c>
      <c r="CE52" s="304">
        <f>IF($J52="",#N/A,SUM(CD$4:CD52))</f>
        <v>0</v>
      </c>
      <c r="CF52" s="305">
        <f t="shared" si="37"/>
        <v>0.41783917455444924</v>
      </c>
      <c r="CG52" s="305">
        <f>IF($J52="",#N/A,SUM(CF$4:CF52))</f>
        <v>0.41783917455444924</v>
      </c>
      <c r="CH52" s="306" t="str">
        <f t="shared" si="38"/>
        <v/>
      </c>
      <c r="CI52" s="306">
        <f>IF($J52="",#N/A,SUM(CH$4:CH52))</f>
        <v>-0.25632679632191468</v>
      </c>
      <c r="CJ52" s="306">
        <f>IF($J52="",#N/A,SUM(CH$4:CH52,CF$4:CF52,CD$4:CD52))</f>
        <v>0.16151237823253456</v>
      </c>
      <c r="CK52" s="304" t="str">
        <f t="shared" si="39"/>
        <v/>
      </c>
      <c r="CL52" s="304">
        <f>IF($J52="",#N/A,SUM(CK$4:CK52))</f>
        <v>0</v>
      </c>
      <c r="CM52" s="305" t="str">
        <f t="shared" si="40"/>
        <v/>
      </c>
      <c r="CN52" s="305">
        <f>IF($J52="",#N/A,SUM(CM$4:CM52))</f>
        <v>0</v>
      </c>
      <c r="CO52" s="306" t="str">
        <f t="shared" si="41"/>
        <v/>
      </c>
      <c r="CP52" s="306">
        <f>IF($J52="",#N/A,SUM(CO$4:CO52))</f>
        <v>0</v>
      </c>
      <c r="CQ52" s="306">
        <f>IF($J52="",#N/A,SUM(CO$4:CO52,CM$4:CM52,CK$4:CK52))</f>
        <v>0</v>
      </c>
      <c r="CR52" s="304" t="str">
        <f t="shared" si="42"/>
        <v/>
      </c>
      <c r="CS52" s="304">
        <f>IF($J52="",#N/A,SUM(CR$4:CR52))</f>
        <v>0</v>
      </c>
      <c r="CT52" s="305" t="str">
        <f t="shared" si="43"/>
        <v/>
      </c>
      <c r="CU52" s="305">
        <f>IF($J52="",#N/A,SUM(CT$4:CT52))</f>
        <v>-0.13081968772223007</v>
      </c>
      <c r="CV52" s="306" t="str">
        <f t="shared" si="44"/>
        <v/>
      </c>
      <c r="CW52" s="306">
        <f>IF($J52="",#N/A,SUM(CV$4:CV52))</f>
        <v>0.28156811782542707</v>
      </c>
      <c r="CX52" s="306">
        <f>IF($J52="",#N/A,SUM(CV$4:CV52,CT$4:CT52,CR$4:CR52))</f>
        <v>0.150748430103197</v>
      </c>
      <c r="CY52" s="304" t="str">
        <f t="shared" si="45"/>
        <v/>
      </c>
      <c r="CZ52" s="304">
        <f>IF($J52="",#N/A,SUM(CY$4:CY52))</f>
        <v>0</v>
      </c>
      <c r="DA52" s="305" t="str">
        <f t="shared" si="46"/>
        <v/>
      </c>
      <c r="DB52" s="305">
        <f>IF($J52="",#N/A,SUM(DA$4:DA52))</f>
        <v>0</v>
      </c>
      <c r="DC52" s="306" t="str">
        <f t="shared" si="47"/>
        <v/>
      </c>
      <c r="DD52" s="306">
        <f>IF($J52="",#N/A,SUM(DC$4:DC52))</f>
        <v>0</v>
      </c>
      <c r="DE52" s="306">
        <f>IF($J52="",#N/A,SUM(DC$4:DC52,DA$4:DA52,CY$4:CY52))</f>
        <v>0</v>
      </c>
      <c r="DF52" s="304" t="str">
        <f t="shared" si="48"/>
        <v/>
      </c>
      <c r="DG52" s="304">
        <f>IF($J52="",#N/A,SUM(DF$4:DF52))</f>
        <v>0</v>
      </c>
      <c r="DH52" s="305" t="str">
        <f t="shared" si="49"/>
        <v/>
      </c>
      <c r="DI52" s="305">
        <f>IF($J52="",#N/A,SUM(DH$4:DH52))</f>
        <v>0</v>
      </c>
      <c r="DJ52" s="306" t="str">
        <f t="shared" si="50"/>
        <v/>
      </c>
      <c r="DK52" s="306">
        <f>IF($J52="",#N/A,SUM(DJ$4:DJ52))</f>
        <v>0</v>
      </c>
      <c r="DL52" s="306">
        <f>IF($J52="",#N/A,SUM(DJ$4:DJ52,DH$4:DH52,DF$4:DF52))</f>
        <v>0</v>
      </c>
      <c r="DM52" s="304" t="str">
        <f t="shared" si="51"/>
        <v/>
      </c>
      <c r="DN52" s="304">
        <f>IF($J52="",#N/A,SUM(DM$4:DM52))</f>
        <v>0</v>
      </c>
      <c r="DO52" s="305" t="str">
        <f t="shared" si="52"/>
        <v/>
      </c>
      <c r="DP52" s="305">
        <f>IF($J52="",#N/A,SUM(DO$4:DO52))</f>
        <v>0</v>
      </c>
      <c r="DQ52" s="306" t="str">
        <f t="shared" si="53"/>
        <v/>
      </c>
      <c r="DR52" s="306">
        <f>IF($J52="",#N/A,SUM(DQ$4:DQ52))</f>
        <v>0.79026593075765084</v>
      </c>
      <c r="DS52" s="306">
        <f>IF($J52="",#N/A,SUM(DQ$4:DQ52,DO$4:DO52,DM$4:DM52))</f>
        <v>0.79026593075765084</v>
      </c>
      <c r="DT52" s="304" t="str">
        <f t="shared" si="54"/>
        <v/>
      </c>
      <c r="DU52" s="304">
        <f>IF($J52="",#N/A,SUM(DT$4:DT52))</f>
        <v>0</v>
      </c>
      <c r="DV52" s="305" t="str">
        <f t="shared" si="55"/>
        <v/>
      </c>
      <c r="DW52" s="305">
        <f>IF($J52="",#N/A,SUM(DV$4:DV52))</f>
        <v>0.40085630512924314</v>
      </c>
      <c r="DX52" s="306" t="str">
        <f t="shared" si="56"/>
        <v/>
      </c>
      <c r="DY52" s="306">
        <f>IF($J52="",#N/A,SUM(DX$4:DX52))</f>
        <v>0.59674626127163555</v>
      </c>
      <c r="DZ52" s="306">
        <f>IF($J52="",#N/A,SUM(DX$4:DX52,DV$4:DV52,DT$4:DT52))</f>
        <v>0.99760256640087874</v>
      </c>
      <c r="EA52" s="304" t="str">
        <f t="shared" si="57"/>
        <v/>
      </c>
      <c r="EB52" s="304">
        <f>IF($J52="",#N/A,SUM(EA$4:EA52))</f>
        <v>0</v>
      </c>
      <c r="EC52" s="305" t="str">
        <f t="shared" si="58"/>
        <v/>
      </c>
      <c r="ED52" s="305">
        <f>IF($J52="",#N/A,SUM(EC$4:EC52))</f>
        <v>-0.47973811942657352</v>
      </c>
      <c r="EE52" s="306" t="str">
        <f t="shared" si="59"/>
        <v/>
      </c>
      <c r="EF52" s="306">
        <f>IF($J52="",#N/A,SUM(EE$4:EE52))</f>
        <v>0</v>
      </c>
      <c r="EG52" s="306">
        <f>IF($J52="",#N/A,SUM(EE$4:EE52,EC$4:EC52,EA$4:EA52))</f>
        <v>-0.47973811942657352</v>
      </c>
      <c r="EH52" s="223">
        <f t="shared" si="60"/>
        <v>10.028140189306782</v>
      </c>
      <c r="EI52" s="224">
        <f>IF(EH52="",#N/A,SUM($EH$4:EH52))</f>
        <v>412.26842527003089</v>
      </c>
      <c r="EJ52" s="223">
        <f t="shared" si="61"/>
        <v>6.0373497058071735</v>
      </c>
      <c r="EK52" s="63">
        <f>IF($GZ52="",#N/A,SUM(EJ$4:EJ52))</f>
        <v>623.71280995166126</v>
      </c>
      <c r="EL52" s="60">
        <f t="shared" si="97"/>
        <v>0.41783917455444924</v>
      </c>
      <c r="EM52" s="60">
        <f>IF(EL52="",NA(),SUM($EL$4:EL52))</f>
        <v>17.177851052917958</v>
      </c>
      <c r="EN52" s="60" t="str">
        <f t="shared" si="62"/>
        <v/>
      </c>
      <c r="EO52" s="60" t="e">
        <f>IF(EN52="",NA(),SUM($EN$4:EN52))</f>
        <v>#N/A</v>
      </c>
      <c r="EP52" s="60" t="str">
        <f t="shared" si="63"/>
        <v/>
      </c>
      <c r="EQ52" s="60" t="e">
        <f>IF(EP52="",NA(),SUM($EP$4:EP52))</f>
        <v>#N/A</v>
      </c>
      <c r="ER52" s="60">
        <f t="shared" si="64"/>
        <v>0.41783917455444924</v>
      </c>
      <c r="ES52" s="60">
        <f>IF(ER52="",NA(),SUM($ER$4:ER52))</f>
        <v>1.5562960433080137</v>
      </c>
      <c r="ET52" s="60" t="str">
        <f t="shared" si="65"/>
        <v/>
      </c>
      <c r="EU52" s="60" t="e">
        <f>IF(ET52="",NA(),SUM($ET$4:ET52))</f>
        <v>#N/A</v>
      </c>
      <c r="EV52" s="60" t="str">
        <f t="shared" si="66"/>
        <v/>
      </c>
      <c r="EW52" s="60" t="e">
        <f>IF(EV52="",NA(),SUM($EV$4:EV52))</f>
        <v>#N/A</v>
      </c>
      <c r="EX52" s="60" t="str">
        <f t="shared" si="67"/>
        <v/>
      </c>
      <c r="EY52" s="60" t="e">
        <f>IF(EX52="",NA(),SUM($EX$4:EX52))</f>
        <v>#N/A</v>
      </c>
      <c r="EZ52" s="60" t="str">
        <f t="shared" si="68"/>
        <v/>
      </c>
      <c r="FA52" s="60" t="e">
        <f>IF(EZ52="",NA(),SUM($EZ$4:EZ52))</f>
        <v>#N/A</v>
      </c>
      <c r="FB52" s="246">
        <f t="shared" si="98"/>
        <v>-0.16628293681248368</v>
      </c>
      <c r="FC52" s="246">
        <f>IF($FB52="",#N/A,SUM(FB$4:$FB52))</f>
        <v>2.2093036946400582</v>
      </c>
      <c r="FD52" s="60" t="str">
        <f t="shared" si="69"/>
        <v/>
      </c>
      <c r="FE52" s="60" t="e">
        <f>IF($FD52="",#N/A,SUM($FD$4:FD52))</f>
        <v>#N/A</v>
      </c>
      <c r="FF52" s="60" t="str">
        <f t="shared" si="70"/>
        <v/>
      </c>
      <c r="FG52" s="60" t="e">
        <f>IF($FF52="",#N/A,SUM($FF$4:FF52))</f>
        <v>#N/A</v>
      </c>
      <c r="FH52" s="60" t="str">
        <f t="shared" si="71"/>
        <v/>
      </c>
      <c r="FI52" s="60" t="e">
        <f>IF($FH52="",#N/A,SUM($FH$4:FH52))</f>
        <v>#N/A</v>
      </c>
      <c r="FJ52" s="60" t="str">
        <f t="shared" si="72"/>
        <v/>
      </c>
      <c r="FK52" s="60" t="e">
        <f>IF($FJ52="",#N/A,SUM($FJ$4:FJ52))</f>
        <v>#N/A</v>
      </c>
      <c r="FL52" s="60" t="str">
        <f t="shared" si="73"/>
        <v/>
      </c>
      <c r="FM52" s="60" t="e">
        <f>IF($FL52="",#N/A,SUM($FL$4:FL52))</f>
        <v>#N/A</v>
      </c>
      <c r="FN52" s="82">
        <f t="shared" si="74"/>
        <v>0.25155623774196556</v>
      </c>
      <c r="FO52" s="82">
        <f>IF($FN52="",#N/A,SUM(FN$4:$FN52))</f>
        <v>25.988033747985899</v>
      </c>
      <c r="FP52" s="82">
        <f t="shared" si="99"/>
        <v>0.41783917455444924</v>
      </c>
      <c r="FQ52" s="246">
        <f>IF($EH52="",#N/A,SUM($FP$4:FP52))</f>
        <v>17.177851052917958</v>
      </c>
      <c r="FR52" s="82">
        <f>IFERROR(FQ52/COUNTA($J$4:J52),#N/A)</f>
        <v>0.35056838883506036</v>
      </c>
      <c r="FS52" s="99"/>
      <c r="FT52" s="82">
        <f t="shared" si="103"/>
        <v>0.39585027299832065</v>
      </c>
      <c r="FU52" s="82" t="e">
        <v>#N/A</v>
      </c>
      <c r="FV52" s="57" t="str">
        <f t="shared" si="75"/>
        <v>Dwn</v>
      </c>
      <c r="FW52" s="57" t="s">
        <v>2733</v>
      </c>
      <c r="FX52" s="57" t="str">
        <f t="shared" si="76"/>
        <v/>
      </c>
      <c r="FY52" s="57" t="str">
        <f t="shared" si="77"/>
        <v/>
      </c>
      <c r="FZ52" s="57" t="str">
        <f t="shared" si="78"/>
        <v/>
      </c>
      <c r="GA52" s="57" t="str">
        <f t="shared" si="79"/>
        <v>Short</v>
      </c>
      <c r="GB52" s="57">
        <f t="shared" si="80"/>
        <v>1</v>
      </c>
      <c r="GC52" s="57" t="str">
        <f t="shared" si="81"/>
        <v/>
      </c>
      <c r="GD52" s="57" t="str">
        <f t="shared" si="82"/>
        <v/>
      </c>
      <c r="GE52" s="62">
        <f t="shared" si="105"/>
        <v>39.090000000000003</v>
      </c>
      <c r="GF52" s="62" t="s">
        <v>2780</v>
      </c>
      <c r="GG52" s="199">
        <f t="shared" si="106"/>
        <v>10.232796111537477</v>
      </c>
      <c r="GH52" s="207">
        <f t="shared" si="85"/>
        <v>400</v>
      </c>
      <c r="GI52" s="199">
        <f t="shared" si="107"/>
        <v>10.232796111537477</v>
      </c>
      <c r="GJ52" s="200">
        <f t="shared" si="108"/>
        <v>38.11</v>
      </c>
      <c r="GK52" s="63">
        <f t="shared" si="88"/>
        <v>10.028140189306782</v>
      </c>
      <c r="GL52" s="63">
        <f t="shared" si="109"/>
        <v>6.0373497058071735</v>
      </c>
      <c r="GM52" s="82" t="str">
        <f t="shared" si="90"/>
        <v/>
      </c>
      <c r="GN52" s="82">
        <f>IF($GZ52="",#N/A,SUM(GM$4:GM52))</f>
        <v>13.85785475086502</v>
      </c>
      <c r="GO52" s="82" t="str">
        <f t="shared" si="91"/>
        <v/>
      </c>
      <c r="GP52" s="82">
        <f>IF($GZ52="",#N/A,SUM(GO$4:GO52))</f>
        <v>7.9632680193022232</v>
      </c>
      <c r="GQ52" s="82">
        <f t="shared" si="92"/>
        <v>0.25155623774196556</v>
      </c>
      <c r="GR52" s="82">
        <f>IF($GZ52="",#N/A,SUM(GQ$4:GQ52))</f>
        <v>4.1669109778186488</v>
      </c>
      <c r="GS52" s="63" t="str">
        <f t="shared" si="100"/>
        <v/>
      </c>
      <c r="GT52" s="63">
        <f>IF($GZ52="",#N/A,SUM(GS$4:GS52))</f>
        <v>332.5885140207605</v>
      </c>
      <c r="GU52" s="63" t="str">
        <f t="shared" si="101"/>
        <v/>
      </c>
      <c r="GV52" s="63">
        <f>IF($GZ52="",#N/A,SUM(GU$4:GU52))</f>
        <v>191.11843246325333</v>
      </c>
      <c r="GW52" s="62">
        <f t="shared" si="102"/>
        <v>6.0373497058071735</v>
      </c>
      <c r="GX52" s="63">
        <f>IF($GZ52="",#N/A,SUM(GW$4:GW52))</f>
        <v>100.00586346764754</v>
      </c>
      <c r="GY52" s="63">
        <f>IF(EJ52="",#N/A,SUM($EJ$4:EJ52))</f>
        <v>623.71280995166126</v>
      </c>
      <c r="GZ52" s="158">
        <v>38.5</v>
      </c>
      <c r="HA52" s="63">
        <f t="shared" si="93"/>
        <v>-3.9907904834996089</v>
      </c>
      <c r="HB52" s="62" t="s">
        <v>4970</v>
      </c>
      <c r="HC52" s="60">
        <f>IFERROR(VLOOKUP(E52,Expectancy!$P$4:$S$19,1+C52,FALSE),"")</f>
        <v>0.73529829292760662</v>
      </c>
      <c r="HD52" s="60" t="str">
        <f t="shared" si="94"/>
        <v/>
      </c>
      <c r="HE52" s="60" t="e">
        <f>IF(HD52="",#N/A,SUM($HD$4:HD52))</f>
        <v>#N/A</v>
      </c>
      <c r="HF52" s="64" t="e">
        <f>IF(HD52="",#N/A,IF(HB52="Skip",#N/A,SUM($HG$4:HG52)))</f>
        <v>#N/A</v>
      </c>
      <c r="HG52" s="63" t="str">
        <f t="shared" si="95"/>
        <v/>
      </c>
      <c r="HH52" s="82">
        <f t="shared" si="96"/>
        <v>0.25155623774196556</v>
      </c>
    </row>
    <row r="53" spans="1:217" x14ac:dyDescent="0.25">
      <c r="A53" s="57" t="s">
        <v>1524</v>
      </c>
      <c r="B53" s="58" t="s">
        <v>5115</v>
      </c>
      <c r="C53" s="386">
        <f t="shared" si="0"/>
        <v>1</v>
      </c>
      <c r="D53" s="372" t="str">
        <f>_xlfn.XLOOKUP(A53,[1]SP500!$A$2:$A$502,[1]SP500!$D$2:$D$502,"N")</f>
        <v>Y</v>
      </c>
      <c r="E53" s="57" t="str">
        <f>_xlfn.XLOOKUP(A53,[1]SP500!$A$2:$A$655,[1]SP500!$B$2:$B$655)</f>
        <v>XLF</v>
      </c>
      <c r="F53" s="59">
        <v>45680</v>
      </c>
      <c r="G53" s="57" t="str">
        <f t="shared" si="1"/>
        <v>BMO</v>
      </c>
      <c r="H53" s="57" t="str">
        <f t="shared" si="2"/>
        <v>o</v>
      </c>
      <c r="I53" s="159">
        <v>107.39</v>
      </c>
      <c r="J53" s="159">
        <v>106.39</v>
      </c>
      <c r="K53" s="61">
        <f t="shared" si="3"/>
        <v>-9.3118539901294352E-3</v>
      </c>
      <c r="L53" s="87">
        <f t="shared" si="4"/>
        <v>-3.7247415960517856</v>
      </c>
      <c r="M53" s="63" t="str">
        <f t="shared" si="104"/>
        <v/>
      </c>
      <c r="N53" s="219">
        <f t="shared" si="6"/>
        <v>-3.7247415960517856</v>
      </c>
      <c r="O53" s="219">
        <f>IF($J53="",#N/A,SUM($N$4:N53))</f>
        <v>107.61712685476374</v>
      </c>
      <c r="P53" s="220" t="str">
        <f t="shared" si="7"/>
        <v/>
      </c>
      <c r="Q53" s="220">
        <f>IF($J53="",#N/A,SUM($P$4:P53))</f>
        <v>37.351105039392337</v>
      </c>
      <c r="R53" s="221" t="str">
        <f t="shared" si="8"/>
        <v/>
      </c>
      <c r="S53" s="222">
        <f>IF($J53="",#N/A,SUM($R$4:R53))</f>
        <v>263.57545177982303</v>
      </c>
      <c r="T53" s="281">
        <f t="shared" si="9"/>
        <v>-0.15519756650215774</v>
      </c>
      <c r="U53" s="281">
        <f>IF($J53="",#N/A,SUM($T$4:T53))</f>
        <v>4.4840469522818225</v>
      </c>
      <c r="V53" s="282" t="str">
        <f t="shared" si="10"/>
        <v/>
      </c>
      <c r="W53" s="282">
        <f>IF($J53="",#N/A,SUM($V$4:V53))</f>
        <v>1.5562960433080137</v>
      </c>
      <c r="X53" s="283" t="str">
        <f t="shared" si="11"/>
        <v/>
      </c>
      <c r="Y53" s="283">
        <f>IF($J53="",#N/A,SUM($X$4:X53))</f>
        <v>10.982310490825959</v>
      </c>
      <c r="Z53" s="304" t="str">
        <f t="shared" si="12"/>
        <v/>
      </c>
      <c r="AA53" s="304">
        <f>IF($J53="",#N/A,SUM(Z$4:Z53))</f>
        <v>1.1273861049364817</v>
      </c>
      <c r="AB53" s="305" t="str">
        <f t="shared" si="13"/>
        <v/>
      </c>
      <c r="AC53" s="305">
        <f>IF($J53="",#N/A,SUM(AB$4:AB53))</f>
        <v>0</v>
      </c>
      <c r="AD53" s="306" t="str">
        <f t="shared" si="14"/>
        <v/>
      </c>
      <c r="AE53" s="306">
        <f>IF($J53="",#N/A,SUM(AD$4:AD53))</f>
        <v>1.5553407757049009</v>
      </c>
      <c r="AF53" s="306">
        <f>IF($J53="",#N/A,SUM(AD$4:AD53,AB$4:AB53,Z$4:Z53))</f>
        <v>2.6827268806413822</v>
      </c>
      <c r="AG53" s="304" t="str">
        <f t="shared" si="15"/>
        <v/>
      </c>
      <c r="AH53" s="304">
        <f>IF($J53="",#N/A,SUM(AG$4:AG53))</f>
        <v>0</v>
      </c>
      <c r="AI53" s="305" t="str">
        <f t="shared" si="16"/>
        <v/>
      </c>
      <c r="AJ53" s="305">
        <f>IF($J53="",#N/A,SUM(AI$4:AI53))</f>
        <v>0</v>
      </c>
      <c r="AK53" s="306" t="str">
        <f t="shared" si="17"/>
        <v/>
      </c>
      <c r="AL53" s="306">
        <f>IF($J53="",#N/A,SUM(AK$4:AK53))</f>
        <v>0</v>
      </c>
      <c r="AM53" s="306">
        <f>IF($J53="",#N/A,SUM(AK$4:AK53,AI$4:AI53,AG$4:AG53))</f>
        <v>0</v>
      </c>
      <c r="AN53" s="304" t="str">
        <f t="shared" si="18"/>
        <v/>
      </c>
      <c r="AO53" s="304">
        <f>IF($J53="",#N/A,SUM(AN$4:AN53))</f>
        <v>0</v>
      </c>
      <c r="AP53" s="305" t="str">
        <f t="shared" si="19"/>
        <v/>
      </c>
      <c r="AQ53" s="305">
        <f>IF($J53="",#N/A,SUM(AP$4:AP53))</f>
        <v>0</v>
      </c>
      <c r="AR53" s="306" t="str">
        <f t="shared" si="20"/>
        <v/>
      </c>
      <c r="AS53" s="306">
        <f>IF($J53="",#N/A,SUM(AR$4:AR53))</f>
        <v>0</v>
      </c>
      <c r="AT53" s="306">
        <f>IF($J53="",#N/A,SUM(AR$4:AR53,AP$4:AP53,AN$4:AN53))</f>
        <v>0</v>
      </c>
      <c r="AU53" s="304" t="str">
        <f t="shared" si="21"/>
        <v/>
      </c>
      <c r="AV53" s="304">
        <f>IF($J53="",#N/A,SUM(AU$4:AU53))</f>
        <v>0</v>
      </c>
      <c r="AW53" s="305" t="str">
        <f t="shared" si="22"/>
        <v/>
      </c>
      <c r="AX53" s="305">
        <f>IF($J53="",#N/A,SUM(AW$4:AW53))</f>
        <v>1.2290222546515868</v>
      </c>
      <c r="AY53" s="306" t="str">
        <f t="shared" si="23"/>
        <v/>
      </c>
      <c r="AZ53" s="306">
        <f>IF($J53="",#N/A,SUM(AY$4:AY53))</f>
        <v>3.0490332683593495</v>
      </c>
      <c r="BA53" s="306">
        <f>IF($J53="",#N/A,SUM(AY$4:AY53,AW$4:AW53,AU$4:AU53))</f>
        <v>4.2780555230109361</v>
      </c>
      <c r="BB53" s="304" t="str">
        <f t="shared" si="24"/>
        <v/>
      </c>
      <c r="BC53" s="304">
        <f>IF($J53="",#N/A,SUM(BB$4:BB53))</f>
        <v>0</v>
      </c>
      <c r="BD53" s="305" t="str">
        <f t="shared" si="25"/>
        <v/>
      </c>
      <c r="BE53" s="305">
        <f>IF($J53="",#N/A,SUM(BD$4:BD53))</f>
        <v>0</v>
      </c>
      <c r="BF53" s="306" t="str">
        <f t="shared" si="26"/>
        <v/>
      </c>
      <c r="BG53" s="306">
        <f>IF($J53="",#N/A,SUM(BF$4:BF53))</f>
        <v>2.4597169840247779</v>
      </c>
      <c r="BH53" s="306">
        <f>IF($J53="",#N/A,SUM(BF$4:BF53,BD$4:BD53,BB$4:BB53))</f>
        <v>2.4597169840247779</v>
      </c>
      <c r="BI53" s="304">
        <f t="shared" si="27"/>
        <v>-0.15519756650215774</v>
      </c>
      <c r="BJ53" s="304">
        <f>IF($J53="",#N/A,SUM(BI$4:BI53))</f>
        <v>-0.65882782914696958</v>
      </c>
      <c r="BK53" s="305" t="str">
        <f t="shared" si="28"/>
        <v/>
      </c>
      <c r="BL53" s="305">
        <f>IF($J53="",#N/A,SUM(BK$4:BK53))</f>
        <v>0</v>
      </c>
      <c r="BM53" s="306" t="str">
        <f t="shared" si="29"/>
        <v/>
      </c>
      <c r="BN53" s="306">
        <f>IF($J53="",#N/A,SUM(BM$4:BM53))</f>
        <v>3.8210959759517467</v>
      </c>
      <c r="BO53" s="306">
        <f>IF($J53="",#N/A,SUM(BM$4:BM53,BK$4:BK53,BI$4:BI53))</f>
        <v>3.1622681468047773</v>
      </c>
      <c r="BP53" s="304" t="str">
        <f t="shared" si="30"/>
        <v/>
      </c>
      <c r="BQ53" s="304">
        <f>IF($J53="",#N/A,SUM(BP$4:BP53))</f>
        <v>4.0154886764923106</v>
      </c>
      <c r="BR53" s="305" t="str">
        <f t="shared" si="31"/>
        <v/>
      </c>
      <c r="BS53" s="305">
        <f>IF($J53="",#N/A,SUM(BR$4:BR53))</f>
        <v>-0.34773304801390975</v>
      </c>
      <c r="BT53" s="306" t="str">
        <f t="shared" si="32"/>
        <v/>
      </c>
      <c r="BU53" s="306">
        <f>IF($J53="",#N/A,SUM(BT$4:BT53))</f>
        <v>-0.93553131681240131</v>
      </c>
      <c r="BV53" s="306">
        <f>IF($J53="",#N/A,SUM(BT$4:BT53,BR$4:BR53,BP$4:BP53))</f>
        <v>2.7322243116659992</v>
      </c>
      <c r="BW53" s="304" t="str">
        <f t="shared" si="33"/>
        <v/>
      </c>
      <c r="BX53" s="304">
        <f>IF($J53="",#N/A,SUM(BW$4:BW53))</f>
        <v>0</v>
      </c>
      <c r="BY53" s="305" t="str">
        <f t="shared" si="34"/>
        <v/>
      </c>
      <c r="BZ53" s="305">
        <f>IF($J53="",#N/A,SUM(BY$4:BY53))</f>
        <v>0.46686916413544804</v>
      </c>
      <c r="CA53" s="306" t="str">
        <f t="shared" si="35"/>
        <v/>
      </c>
      <c r="CB53" s="306">
        <f>IF($J53="",#N/A,SUM(CA$4:CA53))</f>
        <v>-0.37959870993521366</v>
      </c>
      <c r="CC53" s="306">
        <f>IF($J53="",#N/A,SUM(CA$4:CA53,BY$4:BY53,BW$4:BW53))</f>
        <v>8.7270454200234382E-2</v>
      </c>
      <c r="CD53" s="304" t="str">
        <f t="shared" si="36"/>
        <v/>
      </c>
      <c r="CE53" s="304">
        <f>IF($J53="",#N/A,SUM(CD$4:CD53))</f>
        <v>0</v>
      </c>
      <c r="CF53" s="305" t="str">
        <f t="shared" si="37"/>
        <v/>
      </c>
      <c r="CG53" s="305">
        <f>IF($J53="",#N/A,SUM(CF$4:CF53))</f>
        <v>0.41783917455444924</v>
      </c>
      <c r="CH53" s="306" t="str">
        <f t="shared" si="38"/>
        <v/>
      </c>
      <c r="CI53" s="306">
        <f>IF($J53="",#N/A,SUM(CH$4:CH53))</f>
        <v>-0.25632679632191468</v>
      </c>
      <c r="CJ53" s="306">
        <f>IF($J53="",#N/A,SUM(CH$4:CH53,CF$4:CF53,CD$4:CD53))</f>
        <v>0.16151237823253456</v>
      </c>
      <c r="CK53" s="304" t="str">
        <f t="shared" si="39"/>
        <v/>
      </c>
      <c r="CL53" s="304">
        <f>IF($J53="",#N/A,SUM(CK$4:CK53))</f>
        <v>0</v>
      </c>
      <c r="CM53" s="305" t="str">
        <f t="shared" si="40"/>
        <v/>
      </c>
      <c r="CN53" s="305">
        <f>IF($J53="",#N/A,SUM(CM$4:CM53))</f>
        <v>0</v>
      </c>
      <c r="CO53" s="306" t="str">
        <f t="shared" si="41"/>
        <v/>
      </c>
      <c r="CP53" s="306">
        <f>IF($J53="",#N/A,SUM(CO$4:CO53))</f>
        <v>0</v>
      </c>
      <c r="CQ53" s="306">
        <f>IF($J53="",#N/A,SUM(CO$4:CO53,CM$4:CM53,CK$4:CK53))</f>
        <v>0</v>
      </c>
      <c r="CR53" s="304" t="str">
        <f t="shared" si="42"/>
        <v/>
      </c>
      <c r="CS53" s="304">
        <f>IF($J53="",#N/A,SUM(CR$4:CR53))</f>
        <v>0</v>
      </c>
      <c r="CT53" s="305" t="str">
        <f t="shared" si="43"/>
        <v/>
      </c>
      <c r="CU53" s="305">
        <f>IF($J53="",#N/A,SUM(CT$4:CT53))</f>
        <v>-0.13081968772223007</v>
      </c>
      <c r="CV53" s="306" t="str">
        <f t="shared" si="44"/>
        <v/>
      </c>
      <c r="CW53" s="306">
        <f>IF($J53="",#N/A,SUM(CV$4:CV53))</f>
        <v>0.28156811782542707</v>
      </c>
      <c r="CX53" s="306">
        <f>IF($J53="",#N/A,SUM(CV$4:CV53,CT$4:CT53,CR$4:CR53))</f>
        <v>0.150748430103197</v>
      </c>
      <c r="CY53" s="304" t="str">
        <f t="shared" si="45"/>
        <v/>
      </c>
      <c r="CZ53" s="304">
        <f>IF($J53="",#N/A,SUM(CY$4:CY53))</f>
        <v>0</v>
      </c>
      <c r="DA53" s="305" t="str">
        <f t="shared" si="46"/>
        <v/>
      </c>
      <c r="DB53" s="305">
        <f>IF($J53="",#N/A,SUM(DA$4:DA53))</f>
        <v>0</v>
      </c>
      <c r="DC53" s="306" t="str">
        <f t="shared" si="47"/>
        <v/>
      </c>
      <c r="DD53" s="306">
        <f>IF($J53="",#N/A,SUM(DC$4:DC53))</f>
        <v>0</v>
      </c>
      <c r="DE53" s="306">
        <f>IF($J53="",#N/A,SUM(DC$4:DC53,DA$4:DA53,CY$4:CY53))</f>
        <v>0</v>
      </c>
      <c r="DF53" s="304" t="str">
        <f t="shared" si="48"/>
        <v/>
      </c>
      <c r="DG53" s="304">
        <f>IF($J53="",#N/A,SUM(DF$4:DF53))</f>
        <v>0</v>
      </c>
      <c r="DH53" s="305" t="str">
        <f t="shared" si="49"/>
        <v/>
      </c>
      <c r="DI53" s="305">
        <f>IF($J53="",#N/A,SUM(DH$4:DH53))</f>
        <v>0</v>
      </c>
      <c r="DJ53" s="306" t="str">
        <f t="shared" si="50"/>
        <v/>
      </c>
      <c r="DK53" s="306">
        <f>IF($J53="",#N/A,SUM(DJ$4:DJ53))</f>
        <v>0</v>
      </c>
      <c r="DL53" s="306">
        <f>IF($J53="",#N/A,SUM(DJ$4:DJ53,DH$4:DH53,DF$4:DF53))</f>
        <v>0</v>
      </c>
      <c r="DM53" s="304" t="str">
        <f t="shared" si="51"/>
        <v/>
      </c>
      <c r="DN53" s="304">
        <f>IF($J53="",#N/A,SUM(DM$4:DM53))</f>
        <v>0</v>
      </c>
      <c r="DO53" s="305" t="str">
        <f t="shared" si="52"/>
        <v/>
      </c>
      <c r="DP53" s="305">
        <f>IF($J53="",#N/A,SUM(DO$4:DO53))</f>
        <v>0</v>
      </c>
      <c r="DQ53" s="306" t="str">
        <f t="shared" si="53"/>
        <v/>
      </c>
      <c r="DR53" s="306">
        <f>IF($J53="",#N/A,SUM(DQ$4:DQ53))</f>
        <v>0.79026593075765084</v>
      </c>
      <c r="DS53" s="306">
        <f>IF($J53="",#N/A,SUM(DQ$4:DQ53,DO$4:DO53,DM$4:DM53))</f>
        <v>0.79026593075765084</v>
      </c>
      <c r="DT53" s="304" t="str">
        <f t="shared" si="54"/>
        <v/>
      </c>
      <c r="DU53" s="304">
        <f>IF($J53="",#N/A,SUM(DT$4:DT53))</f>
        <v>0</v>
      </c>
      <c r="DV53" s="305" t="str">
        <f t="shared" si="55"/>
        <v/>
      </c>
      <c r="DW53" s="305">
        <f>IF($J53="",#N/A,SUM(DV$4:DV53))</f>
        <v>0.40085630512924314</v>
      </c>
      <c r="DX53" s="306" t="str">
        <f t="shared" si="56"/>
        <v/>
      </c>
      <c r="DY53" s="306">
        <f>IF($J53="",#N/A,SUM(DX$4:DX53))</f>
        <v>0.59674626127163555</v>
      </c>
      <c r="DZ53" s="306">
        <f>IF($J53="",#N/A,SUM(DX$4:DX53,DV$4:DV53,DT$4:DT53))</f>
        <v>0.99760256640087874</v>
      </c>
      <c r="EA53" s="304" t="str">
        <f t="shared" si="57"/>
        <v/>
      </c>
      <c r="EB53" s="304">
        <f>IF($J53="",#N/A,SUM(EA$4:EA53))</f>
        <v>0</v>
      </c>
      <c r="EC53" s="305" t="str">
        <f t="shared" si="58"/>
        <v/>
      </c>
      <c r="ED53" s="305">
        <f>IF($J53="",#N/A,SUM(EC$4:EC53))</f>
        <v>-0.47973811942657352</v>
      </c>
      <c r="EE53" s="306" t="str">
        <f t="shared" si="59"/>
        <v/>
      </c>
      <c r="EF53" s="306">
        <f>IF($J53="",#N/A,SUM(EE$4:EE53))</f>
        <v>0</v>
      </c>
      <c r="EG53" s="306">
        <f>IF($J53="",#N/A,SUM(EE$4:EE53,EC$4:EC53,EA$4:EA53))</f>
        <v>-0.47973811942657352</v>
      </c>
      <c r="EH53" s="223">
        <f t="shared" si="60"/>
        <v>-3.7247415960517856</v>
      </c>
      <c r="EI53" s="224">
        <f>IF(EH53="",#N/A,SUM($EH$4:EH53))</f>
        <v>408.5436836739791</v>
      </c>
      <c r="EJ53" s="223">
        <f t="shared" si="61"/>
        <v>8.008194431511356</v>
      </c>
      <c r="EK53" s="63">
        <f>IF($GZ53="",#N/A,SUM(EJ$4:EJ53))</f>
        <v>631.72100438317261</v>
      </c>
      <c r="EL53" s="60">
        <f t="shared" si="97"/>
        <v>-0.15519756650215774</v>
      </c>
      <c r="EM53" s="60">
        <f>IF(EL53="",NA(),SUM($EL$4:EL53))</f>
        <v>17.022653486415802</v>
      </c>
      <c r="EN53" s="60">
        <f t="shared" si="62"/>
        <v>-0.15519756650215774</v>
      </c>
      <c r="EO53" s="60">
        <f>IF(EN53="",NA(),SUM($EN$4:EN53))</f>
        <v>4.4840469522818225</v>
      </c>
      <c r="EP53" s="60" t="str">
        <f t="shared" si="63"/>
        <v/>
      </c>
      <c r="EQ53" s="60" t="e">
        <f>IF(EP53="",NA(),SUM($EP$4:EP53))</f>
        <v>#N/A</v>
      </c>
      <c r="ER53" s="60" t="str">
        <f t="shared" si="64"/>
        <v/>
      </c>
      <c r="ES53" s="60" t="e">
        <f>IF(ER53="",NA(),SUM($ER$4:ER53))</f>
        <v>#N/A</v>
      </c>
      <c r="ET53" s="60" t="str">
        <f t="shared" si="65"/>
        <v/>
      </c>
      <c r="EU53" s="60" t="e">
        <f>IF(ET53="",NA(),SUM($ET$4:ET53))</f>
        <v>#N/A</v>
      </c>
      <c r="EV53" s="60" t="str">
        <f t="shared" si="66"/>
        <v/>
      </c>
      <c r="EW53" s="60" t="e">
        <f>IF(EV53="",NA(),SUM($EV$4:EV53))</f>
        <v>#N/A</v>
      </c>
      <c r="EX53" s="60" t="str">
        <f t="shared" si="67"/>
        <v/>
      </c>
      <c r="EY53" s="60" t="e">
        <f>IF(EX53="",NA(),SUM($EX$4:EX53))</f>
        <v>#N/A</v>
      </c>
      <c r="EZ53" s="60" t="str">
        <f t="shared" si="68"/>
        <v/>
      </c>
      <c r="FA53" s="60" t="e">
        <f>IF(EZ53="",NA(),SUM($EZ$4:EZ53))</f>
        <v>#N/A</v>
      </c>
      <c r="FB53" s="246" t="str">
        <f t="shared" si="98"/>
        <v/>
      </c>
      <c r="FC53" s="246" t="e">
        <f>IF($FB53="",#N/A,SUM(FB$4:$FB53))</f>
        <v>#N/A</v>
      </c>
      <c r="FD53" s="60" t="str">
        <f t="shared" si="69"/>
        <v/>
      </c>
      <c r="FE53" s="60" t="e">
        <f>IF($FD53="",#N/A,SUM($FD$4:FD53))</f>
        <v>#N/A</v>
      </c>
      <c r="FF53" s="60" t="str">
        <f t="shared" si="70"/>
        <v/>
      </c>
      <c r="FG53" s="60" t="e">
        <f>IF($FF53="",#N/A,SUM($FF$4:FF53))</f>
        <v>#N/A</v>
      </c>
      <c r="FH53" s="60">
        <f t="shared" si="71"/>
        <v>0.48887233448179757</v>
      </c>
      <c r="FI53" s="60">
        <f>IF($FH53="",#N/A,SUM($FH$4:FH53))</f>
        <v>1.8471715831628472</v>
      </c>
      <c r="FJ53" s="60" t="str">
        <f t="shared" si="72"/>
        <v/>
      </c>
      <c r="FK53" s="60" t="e">
        <f>IF($FJ53="",#N/A,SUM($FJ$4:FJ53))</f>
        <v>#N/A</v>
      </c>
      <c r="FL53" s="60" t="str">
        <f t="shared" si="73"/>
        <v/>
      </c>
      <c r="FM53" s="60" t="e">
        <f>IF($FL53="",#N/A,SUM($FL$4:FL53))</f>
        <v>#N/A</v>
      </c>
      <c r="FN53" s="82">
        <f t="shared" si="74"/>
        <v>0.33367476797963985</v>
      </c>
      <c r="FO53" s="82">
        <f>IF($FN53="",#N/A,SUM(FN$4:$FN53))</f>
        <v>26.32170851596554</v>
      </c>
      <c r="FP53" s="82">
        <f t="shared" si="99"/>
        <v>-0.15519756650215774</v>
      </c>
      <c r="FQ53" s="246">
        <f>IF($EH53="",#N/A,SUM($FP$4:FP53))</f>
        <v>17.022653486415802</v>
      </c>
      <c r="FR53" s="82">
        <f>IFERROR(FQ53/COUNTA($J$4:J53),#N/A)</f>
        <v>0.34045306972831602</v>
      </c>
      <c r="FS53" s="82">
        <f t="shared" ref="FS53:FS59" si="110">IFERROR(($FQ53-$FQ4)/COUNTA($J4:$J53),#N/A)</f>
        <v>0.31587262463528432</v>
      </c>
      <c r="FT53" s="82">
        <f t="shared" ref="FT53:FT59" si="111">IFERROR(($FQ53-$FQ28)/COUNTA($J28:$J53),#N/A)</f>
        <v>0.37465612532522535</v>
      </c>
      <c r="FU53" s="82" t="e">
        <v>#N/A</v>
      </c>
      <c r="FV53" s="57" t="str">
        <f t="shared" si="75"/>
        <v>Up</v>
      </c>
      <c r="FW53" s="57" t="s">
        <v>2734</v>
      </c>
      <c r="FX53" s="57" t="str">
        <f t="shared" si="76"/>
        <v/>
      </c>
      <c r="FY53" s="57" t="str">
        <f t="shared" si="77"/>
        <v/>
      </c>
      <c r="FZ53" s="57" t="str">
        <f t="shared" si="78"/>
        <v/>
      </c>
      <c r="GA53" s="57" t="str">
        <f t="shared" si="79"/>
        <v>Long</v>
      </c>
      <c r="GB53" s="57" t="str">
        <f t="shared" si="80"/>
        <v/>
      </c>
      <c r="GC53" s="57">
        <f t="shared" si="81"/>
        <v>1</v>
      </c>
      <c r="GD53" s="57" t="str">
        <f t="shared" si="82"/>
        <v/>
      </c>
      <c r="GE53" s="62">
        <f t="shared" si="105"/>
        <v>107.39</v>
      </c>
      <c r="GF53" s="62" t="s">
        <v>2779</v>
      </c>
      <c r="GG53" s="199">
        <f t="shared" si="106"/>
        <v>3.724741596051774</v>
      </c>
      <c r="GH53" s="207">
        <f t="shared" si="85"/>
        <v>400</v>
      </c>
      <c r="GI53" s="199">
        <f t="shared" si="107"/>
        <v>3.724741596051774</v>
      </c>
      <c r="GJ53" s="200">
        <f t="shared" si="108"/>
        <v>106.39</v>
      </c>
      <c r="GK53" s="63">
        <f t="shared" si="88"/>
        <v>-3.7247415960517856</v>
      </c>
      <c r="GL53" s="63">
        <f t="shared" si="109"/>
        <v>8.008194431511356</v>
      </c>
      <c r="GM53" s="82" t="str">
        <f t="shared" si="90"/>
        <v/>
      </c>
      <c r="GN53" s="82">
        <f>IF($GZ53="",#N/A,SUM(GM$4:GM53))</f>
        <v>13.85785475086502</v>
      </c>
      <c r="GO53" s="82">
        <f t="shared" si="91"/>
        <v>0.33367476797963985</v>
      </c>
      <c r="GP53" s="82">
        <f>IF($GZ53="",#N/A,SUM(GO$4:GO53))</f>
        <v>8.2969427872818624</v>
      </c>
      <c r="GQ53" s="82" t="str">
        <f t="shared" si="92"/>
        <v/>
      </c>
      <c r="GR53" s="82">
        <f>IF($GZ53="",#N/A,SUM(GQ$4:GQ53))</f>
        <v>4.1669109778186488</v>
      </c>
      <c r="GS53" s="63" t="str">
        <f t="shared" si="100"/>
        <v/>
      </c>
      <c r="GT53" s="63">
        <f>IF($GZ53="",#N/A,SUM(GS$4:GS53))</f>
        <v>332.5885140207605</v>
      </c>
      <c r="GU53" s="63">
        <f t="shared" si="101"/>
        <v>8.008194431511356</v>
      </c>
      <c r="GV53" s="63">
        <f>IF($GZ53="",#N/A,SUM(GU$4:GU53))</f>
        <v>199.12662689476468</v>
      </c>
      <c r="GW53" s="62" t="str">
        <f t="shared" si="102"/>
        <v/>
      </c>
      <c r="GX53" s="63">
        <f>IF($GZ53="",#N/A,SUM(GW$4:GW53))</f>
        <v>100.00586346764754</v>
      </c>
      <c r="GY53" s="63">
        <f>IF(EJ53="",#N/A,SUM($EJ$4:EJ53))</f>
        <v>631.72100438317261</v>
      </c>
      <c r="GZ53" s="159">
        <v>109.54</v>
      </c>
      <c r="HA53" s="63">
        <f t="shared" si="93"/>
        <v>11.732936027563142</v>
      </c>
      <c r="HB53" s="62" t="s">
        <v>4970</v>
      </c>
      <c r="HC53" s="60">
        <f>IFERROR(VLOOKUP(E53,Expectancy!$P$4:$S$19,1+C53,FALSE),"")</f>
        <v>-7.9483352726509887E-2</v>
      </c>
      <c r="HD53" s="60" t="str">
        <f t="shared" si="94"/>
        <v/>
      </c>
      <c r="HE53" s="60" t="e">
        <f>IF(HD53="",#N/A,SUM($HD$4:HD53))</f>
        <v>#N/A</v>
      </c>
      <c r="HF53" s="64" t="e">
        <f>IF(HD53="",#N/A,IF(HB53="Skip",#N/A,SUM($HG$4:HG53)))</f>
        <v>#N/A</v>
      </c>
      <c r="HG53" s="63" t="str">
        <f t="shared" si="95"/>
        <v/>
      </c>
      <c r="HH53" s="82">
        <f t="shared" si="96"/>
        <v>0.33367476797963985</v>
      </c>
    </row>
    <row r="54" spans="1:217" x14ac:dyDescent="0.25">
      <c r="A54" s="57" t="s">
        <v>1528</v>
      </c>
      <c r="B54" s="58" t="s">
        <v>5116</v>
      </c>
      <c r="C54" s="386">
        <f t="shared" si="0"/>
        <v>3</v>
      </c>
      <c r="D54" s="372" t="str">
        <f>_xlfn.XLOOKUP(A54,[1]SP500!$A$2:$A$502,[1]SP500!$D$2:$D$502,"N")</f>
        <v>Y</v>
      </c>
      <c r="E54" s="57" t="str">
        <f>_xlfn.XLOOKUP(A54,[1]SP500!$A$2:$A$655,[1]SP500!$B$2:$B$655)</f>
        <v>XLP</v>
      </c>
      <c r="F54" s="59">
        <v>45680</v>
      </c>
      <c r="G54" s="57" t="str">
        <f t="shared" si="1"/>
        <v>BMO</v>
      </c>
      <c r="H54" s="57" t="str">
        <f t="shared" si="2"/>
        <v>o</v>
      </c>
      <c r="I54" s="159">
        <v>73.239999999999995</v>
      </c>
      <c r="J54" s="158">
        <v>72.5</v>
      </c>
      <c r="K54" s="61">
        <f t="shared" si="3"/>
        <v>-1.0103768432550449E-2</v>
      </c>
      <c r="L54" s="87">
        <f t="shared" si="4"/>
        <v>-4.0415073730201811</v>
      </c>
      <c r="M54" s="63" t="str">
        <f t="shared" si="104"/>
        <v/>
      </c>
      <c r="N54" s="219" t="str">
        <f t="shared" si="6"/>
        <v/>
      </c>
      <c r="O54" s="219">
        <f>IF($J54="",#N/A,SUM($N$4:N54))</f>
        <v>107.61712685476374</v>
      </c>
      <c r="P54" s="220" t="str">
        <f t="shared" si="7"/>
        <v/>
      </c>
      <c r="Q54" s="220">
        <f>IF($J54="",#N/A,SUM($P$4:P54))</f>
        <v>37.351105039392337</v>
      </c>
      <c r="R54" s="221">
        <f t="shared" si="8"/>
        <v>-4.0415073730201811</v>
      </c>
      <c r="S54" s="222">
        <f>IF($J54="",#N/A,SUM($R$4:R54))</f>
        <v>259.53394440680285</v>
      </c>
      <c r="T54" s="281" t="str">
        <f t="shared" si="9"/>
        <v/>
      </c>
      <c r="U54" s="281">
        <f>IF($J54="",#N/A,SUM($T$4:T54))</f>
        <v>4.4840469522818225</v>
      </c>
      <c r="V54" s="282" t="str">
        <f t="shared" si="10"/>
        <v/>
      </c>
      <c r="W54" s="282">
        <f>IF($J54="",#N/A,SUM($V$4:V54))</f>
        <v>1.5562960433080137</v>
      </c>
      <c r="X54" s="283">
        <f t="shared" si="11"/>
        <v>-0.16839614054250754</v>
      </c>
      <c r="Y54" s="283">
        <f>IF($J54="",#N/A,SUM($X$4:X54))</f>
        <v>10.813914350283452</v>
      </c>
      <c r="Z54" s="304" t="str">
        <f t="shared" si="12"/>
        <v/>
      </c>
      <c r="AA54" s="304">
        <f>IF($J54="",#N/A,SUM(Z$4:Z54))</f>
        <v>1.1273861049364817</v>
      </c>
      <c r="AB54" s="305" t="str">
        <f t="shared" si="13"/>
        <v/>
      </c>
      <c r="AC54" s="305">
        <f>IF($J54="",#N/A,SUM(AB$4:AB54))</f>
        <v>0</v>
      </c>
      <c r="AD54" s="306" t="str">
        <f t="shared" si="14"/>
        <v/>
      </c>
      <c r="AE54" s="306">
        <f>IF($J54="",#N/A,SUM(AD$4:AD54))</f>
        <v>1.5553407757049009</v>
      </c>
      <c r="AF54" s="306">
        <f>IF($J54="",#N/A,SUM(AD$4:AD54,AB$4:AB54,Z$4:Z54))</f>
        <v>2.6827268806413822</v>
      </c>
      <c r="AG54" s="304" t="str">
        <f t="shared" si="15"/>
        <v/>
      </c>
      <c r="AH54" s="304">
        <f>IF($J54="",#N/A,SUM(AG$4:AG54))</f>
        <v>0</v>
      </c>
      <c r="AI54" s="305" t="str">
        <f t="shared" si="16"/>
        <v/>
      </c>
      <c r="AJ54" s="305">
        <f>IF($J54="",#N/A,SUM(AI$4:AI54))</f>
        <v>0</v>
      </c>
      <c r="AK54" s="306" t="str">
        <f t="shared" si="17"/>
        <v/>
      </c>
      <c r="AL54" s="306">
        <f>IF($J54="",#N/A,SUM(AK$4:AK54))</f>
        <v>0</v>
      </c>
      <c r="AM54" s="306">
        <f>IF($J54="",#N/A,SUM(AK$4:AK54,AI$4:AI54,AG$4:AG54))</f>
        <v>0</v>
      </c>
      <c r="AN54" s="304" t="str">
        <f t="shared" si="18"/>
        <v/>
      </c>
      <c r="AO54" s="304">
        <f>IF($J54="",#N/A,SUM(AN$4:AN54))</f>
        <v>0</v>
      </c>
      <c r="AP54" s="305" t="str">
        <f t="shared" si="19"/>
        <v/>
      </c>
      <c r="AQ54" s="305">
        <f>IF($J54="",#N/A,SUM(AP$4:AP54))</f>
        <v>0</v>
      </c>
      <c r="AR54" s="306" t="str">
        <f t="shared" si="20"/>
        <v/>
      </c>
      <c r="AS54" s="306">
        <f>IF($J54="",#N/A,SUM(AR$4:AR54))</f>
        <v>0</v>
      </c>
      <c r="AT54" s="306">
        <f>IF($J54="",#N/A,SUM(AR$4:AR54,AP$4:AP54,AN$4:AN54))</f>
        <v>0</v>
      </c>
      <c r="AU54" s="304" t="str">
        <f t="shared" si="21"/>
        <v/>
      </c>
      <c r="AV54" s="304">
        <f>IF($J54="",#N/A,SUM(AU$4:AU54))</f>
        <v>0</v>
      </c>
      <c r="AW54" s="305" t="str">
        <f t="shared" si="22"/>
        <v/>
      </c>
      <c r="AX54" s="305">
        <f>IF($J54="",#N/A,SUM(AW$4:AW54))</f>
        <v>1.2290222546515868</v>
      </c>
      <c r="AY54" s="306">
        <f t="shared" si="23"/>
        <v>-0.16839614054250754</v>
      </c>
      <c r="AZ54" s="306">
        <f>IF($J54="",#N/A,SUM(AY$4:AY54))</f>
        <v>2.8806371278168421</v>
      </c>
      <c r="BA54" s="306">
        <f>IF($J54="",#N/A,SUM(AY$4:AY54,AW$4:AW54,AU$4:AU54))</f>
        <v>4.1096593824684291</v>
      </c>
      <c r="BB54" s="304" t="str">
        <f t="shared" si="24"/>
        <v/>
      </c>
      <c r="BC54" s="304">
        <f>IF($J54="",#N/A,SUM(BB$4:BB54))</f>
        <v>0</v>
      </c>
      <c r="BD54" s="305" t="str">
        <f t="shared" si="25"/>
        <v/>
      </c>
      <c r="BE54" s="305">
        <f>IF($J54="",#N/A,SUM(BD$4:BD54))</f>
        <v>0</v>
      </c>
      <c r="BF54" s="306" t="str">
        <f t="shared" si="26"/>
        <v/>
      </c>
      <c r="BG54" s="306">
        <f>IF($J54="",#N/A,SUM(BF$4:BF54))</f>
        <v>2.4597169840247779</v>
      </c>
      <c r="BH54" s="306">
        <f>IF($J54="",#N/A,SUM(BF$4:BF54,BD$4:BD54,BB$4:BB54))</f>
        <v>2.4597169840247779</v>
      </c>
      <c r="BI54" s="304" t="str">
        <f t="shared" si="27"/>
        <v/>
      </c>
      <c r="BJ54" s="304">
        <f>IF($J54="",#N/A,SUM(BI$4:BI54))</f>
        <v>-0.65882782914696958</v>
      </c>
      <c r="BK54" s="305" t="str">
        <f t="shared" si="28"/>
        <v/>
      </c>
      <c r="BL54" s="305">
        <f>IF($J54="",#N/A,SUM(BK$4:BK54))</f>
        <v>0</v>
      </c>
      <c r="BM54" s="306" t="str">
        <f t="shared" si="29"/>
        <v/>
      </c>
      <c r="BN54" s="306">
        <f>IF($J54="",#N/A,SUM(BM$4:BM54))</f>
        <v>3.8210959759517467</v>
      </c>
      <c r="BO54" s="306">
        <f>IF($J54="",#N/A,SUM(BM$4:BM54,BK$4:BK54,BI$4:BI54))</f>
        <v>3.1622681468047773</v>
      </c>
      <c r="BP54" s="304" t="str">
        <f t="shared" si="30"/>
        <v/>
      </c>
      <c r="BQ54" s="304">
        <f>IF($J54="",#N/A,SUM(BP$4:BP54))</f>
        <v>4.0154886764923106</v>
      </c>
      <c r="BR54" s="305" t="str">
        <f t="shared" si="31"/>
        <v/>
      </c>
      <c r="BS54" s="305">
        <f>IF($J54="",#N/A,SUM(BR$4:BR54))</f>
        <v>-0.34773304801390975</v>
      </c>
      <c r="BT54" s="306" t="str">
        <f t="shared" si="32"/>
        <v/>
      </c>
      <c r="BU54" s="306">
        <f>IF($J54="",#N/A,SUM(BT$4:BT54))</f>
        <v>-0.93553131681240131</v>
      </c>
      <c r="BV54" s="306">
        <f>IF($J54="",#N/A,SUM(BT$4:BT54,BR$4:BR54,BP$4:BP54))</f>
        <v>2.7322243116659992</v>
      </c>
      <c r="BW54" s="304" t="str">
        <f t="shared" si="33"/>
        <v/>
      </c>
      <c r="BX54" s="304">
        <f>IF($J54="",#N/A,SUM(BW$4:BW54))</f>
        <v>0</v>
      </c>
      <c r="BY54" s="305" t="str">
        <f t="shared" si="34"/>
        <v/>
      </c>
      <c r="BZ54" s="305">
        <f>IF($J54="",#N/A,SUM(BY$4:BY54))</f>
        <v>0.46686916413544804</v>
      </c>
      <c r="CA54" s="306" t="str">
        <f t="shared" si="35"/>
        <v/>
      </c>
      <c r="CB54" s="306">
        <f>IF($J54="",#N/A,SUM(CA$4:CA54))</f>
        <v>-0.37959870993521366</v>
      </c>
      <c r="CC54" s="306">
        <f>IF($J54="",#N/A,SUM(CA$4:CA54,BY$4:BY54,BW$4:BW54))</f>
        <v>8.7270454200234382E-2</v>
      </c>
      <c r="CD54" s="304" t="str">
        <f t="shared" si="36"/>
        <v/>
      </c>
      <c r="CE54" s="304">
        <f>IF($J54="",#N/A,SUM(CD$4:CD54))</f>
        <v>0</v>
      </c>
      <c r="CF54" s="305" t="str">
        <f t="shared" si="37"/>
        <v/>
      </c>
      <c r="CG54" s="305">
        <f>IF($J54="",#N/A,SUM(CF$4:CF54))</f>
        <v>0.41783917455444924</v>
      </c>
      <c r="CH54" s="306" t="str">
        <f t="shared" si="38"/>
        <v/>
      </c>
      <c r="CI54" s="306">
        <f>IF($J54="",#N/A,SUM(CH$4:CH54))</f>
        <v>-0.25632679632191468</v>
      </c>
      <c r="CJ54" s="306">
        <f>IF($J54="",#N/A,SUM(CH$4:CH54,CF$4:CF54,CD$4:CD54))</f>
        <v>0.16151237823253456</v>
      </c>
      <c r="CK54" s="304" t="str">
        <f t="shared" si="39"/>
        <v/>
      </c>
      <c r="CL54" s="304">
        <f>IF($J54="",#N/A,SUM(CK$4:CK54))</f>
        <v>0</v>
      </c>
      <c r="CM54" s="305" t="str">
        <f t="shared" si="40"/>
        <v/>
      </c>
      <c r="CN54" s="305">
        <f>IF($J54="",#N/A,SUM(CM$4:CM54))</f>
        <v>0</v>
      </c>
      <c r="CO54" s="306" t="str">
        <f t="shared" si="41"/>
        <v/>
      </c>
      <c r="CP54" s="306">
        <f>IF($J54="",#N/A,SUM(CO$4:CO54))</f>
        <v>0</v>
      </c>
      <c r="CQ54" s="306">
        <f>IF($J54="",#N/A,SUM(CO$4:CO54,CM$4:CM54,CK$4:CK54))</f>
        <v>0</v>
      </c>
      <c r="CR54" s="304" t="str">
        <f t="shared" si="42"/>
        <v/>
      </c>
      <c r="CS54" s="304">
        <f>IF($J54="",#N/A,SUM(CR$4:CR54))</f>
        <v>0</v>
      </c>
      <c r="CT54" s="305" t="str">
        <f t="shared" si="43"/>
        <v/>
      </c>
      <c r="CU54" s="305">
        <f>IF($J54="",#N/A,SUM(CT$4:CT54))</f>
        <v>-0.13081968772223007</v>
      </c>
      <c r="CV54" s="306" t="str">
        <f t="shared" si="44"/>
        <v/>
      </c>
      <c r="CW54" s="306">
        <f>IF($J54="",#N/A,SUM(CV$4:CV54))</f>
        <v>0.28156811782542707</v>
      </c>
      <c r="CX54" s="306">
        <f>IF($J54="",#N/A,SUM(CV$4:CV54,CT$4:CT54,CR$4:CR54))</f>
        <v>0.150748430103197</v>
      </c>
      <c r="CY54" s="304" t="str">
        <f t="shared" si="45"/>
        <v/>
      </c>
      <c r="CZ54" s="304">
        <f>IF($J54="",#N/A,SUM(CY$4:CY54))</f>
        <v>0</v>
      </c>
      <c r="DA54" s="305" t="str">
        <f t="shared" si="46"/>
        <v/>
      </c>
      <c r="DB54" s="305">
        <f>IF($J54="",#N/A,SUM(DA$4:DA54))</f>
        <v>0</v>
      </c>
      <c r="DC54" s="306" t="str">
        <f t="shared" si="47"/>
        <v/>
      </c>
      <c r="DD54" s="306">
        <f>IF($J54="",#N/A,SUM(DC$4:DC54))</f>
        <v>0</v>
      </c>
      <c r="DE54" s="306">
        <f>IF($J54="",#N/A,SUM(DC$4:DC54,DA$4:DA54,CY$4:CY54))</f>
        <v>0</v>
      </c>
      <c r="DF54" s="304" t="str">
        <f t="shared" si="48"/>
        <v/>
      </c>
      <c r="DG54" s="304">
        <f>IF($J54="",#N/A,SUM(DF$4:DF54))</f>
        <v>0</v>
      </c>
      <c r="DH54" s="305" t="str">
        <f t="shared" si="49"/>
        <v/>
      </c>
      <c r="DI54" s="305">
        <f>IF($J54="",#N/A,SUM(DH$4:DH54))</f>
        <v>0</v>
      </c>
      <c r="DJ54" s="306" t="str">
        <f t="shared" si="50"/>
        <v/>
      </c>
      <c r="DK54" s="306">
        <f>IF($J54="",#N/A,SUM(DJ$4:DJ54))</f>
        <v>0</v>
      </c>
      <c r="DL54" s="306">
        <f>IF($J54="",#N/A,SUM(DJ$4:DJ54,DH$4:DH54,DF$4:DF54))</f>
        <v>0</v>
      </c>
      <c r="DM54" s="304" t="str">
        <f t="shared" si="51"/>
        <v/>
      </c>
      <c r="DN54" s="304">
        <f>IF($J54="",#N/A,SUM(DM$4:DM54))</f>
        <v>0</v>
      </c>
      <c r="DO54" s="305" t="str">
        <f t="shared" si="52"/>
        <v/>
      </c>
      <c r="DP54" s="305">
        <f>IF($J54="",#N/A,SUM(DO$4:DO54))</f>
        <v>0</v>
      </c>
      <c r="DQ54" s="306" t="str">
        <f t="shared" si="53"/>
        <v/>
      </c>
      <c r="DR54" s="306">
        <f>IF($J54="",#N/A,SUM(DQ$4:DQ54))</f>
        <v>0.79026593075765084</v>
      </c>
      <c r="DS54" s="306">
        <f>IF($J54="",#N/A,SUM(DQ$4:DQ54,DO$4:DO54,DM$4:DM54))</f>
        <v>0.79026593075765084</v>
      </c>
      <c r="DT54" s="304" t="str">
        <f t="shared" si="54"/>
        <v/>
      </c>
      <c r="DU54" s="304">
        <f>IF($J54="",#N/A,SUM(DT$4:DT54))</f>
        <v>0</v>
      </c>
      <c r="DV54" s="305" t="str">
        <f t="shared" si="55"/>
        <v/>
      </c>
      <c r="DW54" s="305">
        <f>IF($J54="",#N/A,SUM(DV$4:DV54))</f>
        <v>0.40085630512924314</v>
      </c>
      <c r="DX54" s="306" t="str">
        <f t="shared" si="56"/>
        <v/>
      </c>
      <c r="DY54" s="306">
        <f>IF($J54="",#N/A,SUM(DX$4:DX54))</f>
        <v>0.59674626127163555</v>
      </c>
      <c r="DZ54" s="306">
        <f>IF($J54="",#N/A,SUM(DX$4:DX54,DV$4:DV54,DT$4:DT54))</f>
        <v>0.99760256640087874</v>
      </c>
      <c r="EA54" s="304" t="str">
        <f t="shared" si="57"/>
        <v/>
      </c>
      <c r="EB54" s="304">
        <f>IF($J54="",#N/A,SUM(EA$4:EA54))</f>
        <v>0</v>
      </c>
      <c r="EC54" s="305" t="str">
        <f t="shared" si="58"/>
        <v/>
      </c>
      <c r="ED54" s="305">
        <f>IF($J54="",#N/A,SUM(EC$4:EC54))</f>
        <v>-0.47973811942657352</v>
      </c>
      <c r="EE54" s="306" t="str">
        <f t="shared" si="59"/>
        <v/>
      </c>
      <c r="EF54" s="306">
        <f>IF($J54="",#N/A,SUM(EE$4:EE54))</f>
        <v>0</v>
      </c>
      <c r="EG54" s="306">
        <f>IF($J54="",#N/A,SUM(EE$4:EE54,EC$4:EC54,EA$4:EA54))</f>
        <v>-0.47973811942657352</v>
      </c>
      <c r="EH54" s="223">
        <f t="shared" si="60"/>
        <v>-4.0415073730201811</v>
      </c>
      <c r="EI54" s="224">
        <f>IF(EH54="",#N/A,SUM($EH$4:EH54))</f>
        <v>404.50217630095892</v>
      </c>
      <c r="EJ54" s="223">
        <f t="shared" si="61"/>
        <v>8.301474604041573</v>
      </c>
      <c r="EK54" s="63">
        <f>IF($GZ54="",#N/A,SUM(EJ$4:EJ54))</f>
        <v>640.02247898721419</v>
      </c>
      <c r="EL54" s="60">
        <f t="shared" si="97"/>
        <v>-0.16839614054250754</v>
      </c>
      <c r="EM54" s="60">
        <f>IF(EL54="",NA(),SUM($EL$4:EL54))</f>
        <v>16.854257345873293</v>
      </c>
      <c r="EN54" s="60" t="str">
        <f t="shared" si="62"/>
        <v/>
      </c>
      <c r="EO54" s="60" t="e">
        <f>IF(EN54="",NA(),SUM($EN$4:EN54))</f>
        <v>#N/A</v>
      </c>
      <c r="EP54" s="60">
        <f t="shared" si="63"/>
        <v>-0.16839614054250754</v>
      </c>
      <c r="EQ54" s="60">
        <f>IF(EP54="",NA(),SUM($EP$4:EP54))</f>
        <v>10.813914350283452</v>
      </c>
      <c r="ER54" s="60" t="str">
        <f t="shared" si="64"/>
        <v/>
      </c>
      <c r="ES54" s="60" t="e">
        <f>IF(ER54="",NA(),SUM($ER$4:ER54))</f>
        <v>#N/A</v>
      </c>
      <c r="ET54" s="60" t="str">
        <f t="shared" si="65"/>
        <v/>
      </c>
      <c r="EU54" s="60" t="e">
        <f>IF(ET54="",NA(),SUM($ET$4:ET54))</f>
        <v>#N/A</v>
      </c>
      <c r="EV54" s="60" t="str">
        <f t="shared" si="66"/>
        <v/>
      </c>
      <c r="EW54" s="60" t="e">
        <f>IF(EV54="",NA(),SUM($EV$4:EV54))</f>
        <v>#N/A</v>
      </c>
      <c r="EX54" s="60" t="str">
        <f t="shared" si="67"/>
        <v/>
      </c>
      <c r="EY54" s="60" t="e">
        <f>IF(EX54="",NA(),SUM($EX$4:EX54))</f>
        <v>#N/A</v>
      </c>
      <c r="EZ54" s="60" t="str">
        <f t="shared" si="68"/>
        <v/>
      </c>
      <c r="FA54" s="60" t="e">
        <f>IF(EZ54="",NA(),SUM($EZ$4:EZ54))</f>
        <v>#N/A</v>
      </c>
      <c r="FB54" s="246" t="str">
        <f t="shared" si="98"/>
        <v/>
      </c>
      <c r="FC54" s="246" t="e">
        <f>IF($FB54="",#N/A,SUM(FB$4:$FB54))</f>
        <v>#N/A</v>
      </c>
      <c r="FD54" s="60" t="str">
        <f t="shared" si="69"/>
        <v/>
      </c>
      <c r="FE54" s="60" t="e">
        <f>IF($FD54="",#N/A,SUM($FD$4:FD54))</f>
        <v>#N/A</v>
      </c>
      <c r="FF54" s="60" t="str">
        <f t="shared" si="70"/>
        <v/>
      </c>
      <c r="FG54" s="60" t="e">
        <f>IF($FF54="",#N/A,SUM($FF$4:FF54))</f>
        <v>#N/A</v>
      </c>
      <c r="FH54" s="60" t="str">
        <f t="shared" si="71"/>
        <v/>
      </c>
      <c r="FI54" s="60" t="e">
        <f>IF($FH54="",#N/A,SUM($FH$4:FH54))</f>
        <v>#N/A</v>
      </c>
      <c r="FJ54" s="60" t="str">
        <f t="shared" si="72"/>
        <v/>
      </c>
      <c r="FK54" s="60" t="e">
        <f>IF($FJ54="",#N/A,SUM($FJ$4:FJ54))</f>
        <v>#N/A</v>
      </c>
      <c r="FL54" s="60">
        <f t="shared" si="73"/>
        <v>0.51429091571090646</v>
      </c>
      <c r="FM54" s="60">
        <f>IF($FL54="",#N/A,SUM($FL$4:FL54))</f>
        <v>1.7472865293207511</v>
      </c>
      <c r="FN54" s="82">
        <f t="shared" si="74"/>
        <v>0.34589477516839889</v>
      </c>
      <c r="FO54" s="82">
        <f>IF($FN54="",#N/A,SUM(FN$4:$FN54))</f>
        <v>26.66760329113394</v>
      </c>
      <c r="FP54" s="82">
        <f t="shared" si="99"/>
        <v>-0.16839614054250754</v>
      </c>
      <c r="FQ54" s="246">
        <f>IF($EH54="",#N/A,SUM($FP$4:FP54))</f>
        <v>16.854257345873293</v>
      </c>
      <c r="FR54" s="82">
        <f>IFERROR(FQ54/COUNTA($J$4:J54),#N/A)</f>
        <v>0.33047563423280968</v>
      </c>
      <c r="FS54" s="82">
        <f t="shared" si="110"/>
        <v>0.29312990534120398</v>
      </c>
      <c r="FT54" s="82">
        <f t="shared" si="111"/>
        <v>0.38663081682076628</v>
      </c>
      <c r="FU54" s="82" t="e">
        <v>#N/A</v>
      </c>
      <c r="FV54" s="57" t="str">
        <f t="shared" si="75"/>
        <v>SW</v>
      </c>
      <c r="FW54" s="57" t="s">
        <v>2732</v>
      </c>
      <c r="FX54" s="57" t="str">
        <f t="shared" si="76"/>
        <v/>
      </c>
      <c r="FY54" s="57" t="str">
        <f t="shared" si="77"/>
        <v/>
      </c>
      <c r="FZ54" s="57" t="str">
        <f t="shared" si="78"/>
        <v/>
      </c>
      <c r="GA54" s="57" t="str">
        <f t="shared" si="79"/>
        <v>Long</v>
      </c>
      <c r="GB54" s="57" t="str">
        <f t="shared" si="80"/>
        <v/>
      </c>
      <c r="GC54" s="57" t="str">
        <f t="shared" si="81"/>
        <v/>
      </c>
      <c r="GD54" s="57">
        <f t="shared" si="82"/>
        <v>1</v>
      </c>
      <c r="GE54" s="62">
        <f t="shared" si="105"/>
        <v>73.239999999999995</v>
      </c>
      <c r="GF54" s="62" t="s">
        <v>2779</v>
      </c>
      <c r="GG54" s="199">
        <f t="shared" si="106"/>
        <v>5.4614964500273082</v>
      </c>
      <c r="GH54" s="207">
        <f t="shared" si="85"/>
        <v>400</v>
      </c>
      <c r="GI54" s="199">
        <f t="shared" si="107"/>
        <v>5.4614964500273082</v>
      </c>
      <c r="GJ54" s="200">
        <f t="shared" si="108"/>
        <v>72.5</v>
      </c>
      <c r="GK54" s="63">
        <f t="shared" si="88"/>
        <v>-4.0415073730201811</v>
      </c>
      <c r="GL54" s="63">
        <f t="shared" si="109"/>
        <v>8.301474604041573</v>
      </c>
      <c r="GM54" s="82">
        <f t="shared" si="90"/>
        <v>0.34589477516839889</v>
      </c>
      <c r="GN54" s="82">
        <f>IF($GZ54="",#N/A,SUM(GM$4:GM54))</f>
        <v>14.203749526033418</v>
      </c>
      <c r="GO54" s="82" t="str">
        <f t="shared" si="91"/>
        <v/>
      </c>
      <c r="GP54" s="82">
        <f>IF($GZ54="",#N/A,SUM(GO$4:GO54))</f>
        <v>8.2969427872818624</v>
      </c>
      <c r="GQ54" s="82" t="str">
        <f t="shared" si="92"/>
        <v/>
      </c>
      <c r="GR54" s="82">
        <f>IF($GZ54="",#N/A,SUM(GQ$4:GQ54))</f>
        <v>4.1669109778186488</v>
      </c>
      <c r="GS54" s="63">
        <f t="shared" si="100"/>
        <v>8.301474604041573</v>
      </c>
      <c r="GT54" s="63">
        <f>IF($GZ54="",#N/A,SUM(GS$4:GS54))</f>
        <v>340.88998862480207</v>
      </c>
      <c r="GU54" s="63" t="str">
        <f t="shared" si="101"/>
        <v/>
      </c>
      <c r="GV54" s="63">
        <f>IF($GZ54="",#N/A,SUM(GU$4:GU54))</f>
        <v>199.12662689476468</v>
      </c>
      <c r="GW54" s="62" t="str">
        <f t="shared" si="102"/>
        <v/>
      </c>
      <c r="GX54" s="63">
        <f>IF($GZ54="",#N/A,SUM(GW$4:GW54))</f>
        <v>100.00586346764754</v>
      </c>
      <c r="GY54" s="63">
        <f>IF(EJ54="",#N/A,SUM($EJ$4:EJ54))</f>
        <v>640.02247898721419</v>
      </c>
      <c r="GZ54" s="159">
        <v>74.760000000000005</v>
      </c>
      <c r="HA54" s="63">
        <f t="shared" si="93"/>
        <v>12.342981977061754</v>
      </c>
      <c r="HB54" s="62" t="s">
        <v>4970</v>
      </c>
      <c r="HC54" s="60">
        <f>IFERROR(VLOOKUP(E54,Expectancy!$P$4:$S$19,1+C54,FALSE),"")</f>
        <v>0.40561946259505821</v>
      </c>
      <c r="HD54" s="60" t="str">
        <f t="shared" si="94"/>
        <v/>
      </c>
      <c r="HE54" s="60" t="e">
        <f>IF(HD54="",#N/A,SUM($HD$4:HD54))</f>
        <v>#N/A</v>
      </c>
      <c r="HF54" s="64" t="e">
        <f>IF(HD54="",#N/A,IF(HB54="Skip",#N/A,SUM($HG$4:HG54)))</f>
        <v>#N/A</v>
      </c>
      <c r="HG54" s="63" t="str">
        <f t="shared" si="95"/>
        <v/>
      </c>
      <c r="HH54" s="82">
        <f t="shared" si="96"/>
        <v>0.34589477516839889</v>
      </c>
    </row>
    <row r="55" spans="1:217" x14ac:dyDescent="0.25">
      <c r="A55" s="57" t="s">
        <v>1310</v>
      </c>
      <c r="B55" s="58" t="s">
        <v>5117</v>
      </c>
      <c r="C55" s="386">
        <f t="shared" si="0"/>
        <v>1</v>
      </c>
      <c r="D55" s="372" t="str">
        <f>_xlfn.XLOOKUP(A55,[1]SP500!$A$2:$A$502,[1]SP500!$D$2:$D$502,"N")</f>
        <v>Y</v>
      </c>
      <c r="E55" s="57" t="str">
        <f>_xlfn.XLOOKUP(A55,[1]SP500!$A$2:$A$655,[1]SP500!$B$2:$B$655)</f>
        <v>XLV</v>
      </c>
      <c r="F55" s="59">
        <v>45680</v>
      </c>
      <c r="G55" s="57" t="str">
        <f t="shared" si="1"/>
        <v>AMC</v>
      </c>
      <c r="H55" s="57" t="str">
        <f t="shared" si="2"/>
        <v>o</v>
      </c>
      <c r="I55" s="159">
        <v>608.66</v>
      </c>
      <c r="J55" s="158">
        <v>581.9</v>
      </c>
      <c r="K55" s="61">
        <f t="shared" si="3"/>
        <v>-4.3965432261032417E-2</v>
      </c>
      <c r="L55" s="87">
        <f t="shared" si="4"/>
        <v>-17.586172904412933</v>
      </c>
      <c r="M55" s="63" t="str">
        <f t="shared" si="104"/>
        <v/>
      </c>
      <c r="N55" s="219">
        <f t="shared" si="6"/>
        <v>-17.586172904412933</v>
      </c>
      <c r="O55" s="219">
        <f>IF($J55="",#N/A,SUM($N$4:N55))</f>
        <v>90.030953950350806</v>
      </c>
      <c r="P55" s="220" t="str">
        <f t="shared" si="7"/>
        <v/>
      </c>
      <c r="Q55" s="220">
        <f>IF($J55="",#N/A,SUM($P$4:P55))</f>
        <v>37.351105039392337</v>
      </c>
      <c r="R55" s="221" t="str">
        <f t="shared" si="8"/>
        <v/>
      </c>
      <c r="S55" s="222">
        <f>IF($J55="",#N/A,SUM($R$4:R55))</f>
        <v>259.53394440680285</v>
      </c>
      <c r="T55" s="281">
        <f t="shared" si="9"/>
        <v>-0.73275720435053893</v>
      </c>
      <c r="U55" s="281">
        <f>IF($J55="",#N/A,SUM($T$4:T55))</f>
        <v>3.7512897479312834</v>
      </c>
      <c r="V55" s="282" t="str">
        <f t="shared" si="10"/>
        <v/>
      </c>
      <c r="W55" s="282">
        <f>IF($J55="",#N/A,SUM($V$4:V55))</f>
        <v>1.5562960433080137</v>
      </c>
      <c r="X55" s="283" t="str">
        <f t="shared" si="11"/>
        <v/>
      </c>
      <c r="Y55" s="283">
        <f>IF($J55="",#N/A,SUM($X$4:X55))</f>
        <v>10.813914350283452</v>
      </c>
      <c r="Z55" s="304" t="str">
        <f t="shared" si="12"/>
        <v/>
      </c>
      <c r="AA55" s="304">
        <f>IF($J55="",#N/A,SUM(Z$4:Z55))</f>
        <v>1.1273861049364817</v>
      </c>
      <c r="AB55" s="305" t="str">
        <f t="shared" si="13"/>
        <v/>
      </c>
      <c r="AC55" s="305">
        <f>IF($J55="",#N/A,SUM(AB$4:AB55))</f>
        <v>0</v>
      </c>
      <c r="AD55" s="306" t="str">
        <f t="shared" si="14"/>
        <v/>
      </c>
      <c r="AE55" s="306">
        <f>IF($J55="",#N/A,SUM(AD$4:AD55))</f>
        <v>1.5553407757049009</v>
      </c>
      <c r="AF55" s="306">
        <f>IF($J55="",#N/A,SUM(AD$4:AD55,AB$4:AB55,Z$4:Z55))</f>
        <v>2.6827268806413822</v>
      </c>
      <c r="AG55" s="304" t="str">
        <f t="shared" si="15"/>
        <v/>
      </c>
      <c r="AH55" s="304">
        <f>IF($J55="",#N/A,SUM(AG$4:AG55))</f>
        <v>0</v>
      </c>
      <c r="AI55" s="305" t="str">
        <f t="shared" si="16"/>
        <v/>
      </c>
      <c r="AJ55" s="305">
        <f>IF($J55="",#N/A,SUM(AI$4:AI55))</f>
        <v>0</v>
      </c>
      <c r="AK55" s="306" t="str">
        <f t="shared" si="17"/>
        <v/>
      </c>
      <c r="AL55" s="306">
        <f>IF($J55="",#N/A,SUM(AK$4:AK55))</f>
        <v>0</v>
      </c>
      <c r="AM55" s="306">
        <f>IF($J55="",#N/A,SUM(AK$4:AK55,AI$4:AI55,AG$4:AG55))</f>
        <v>0</v>
      </c>
      <c r="AN55" s="304" t="str">
        <f t="shared" si="18"/>
        <v/>
      </c>
      <c r="AO55" s="304">
        <f>IF($J55="",#N/A,SUM(AN$4:AN55))</f>
        <v>0</v>
      </c>
      <c r="AP55" s="305" t="str">
        <f t="shared" si="19"/>
        <v/>
      </c>
      <c r="AQ55" s="305">
        <f>IF($J55="",#N/A,SUM(AP$4:AP55))</f>
        <v>0</v>
      </c>
      <c r="AR55" s="306" t="str">
        <f t="shared" si="20"/>
        <v/>
      </c>
      <c r="AS55" s="306">
        <f>IF($J55="",#N/A,SUM(AR$4:AR55))</f>
        <v>0</v>
      </c>
      <c r="AT55" s="306">
        <f>IF($J55="",#N/A,SUM(AR$4:AR55,AP$4:AP55,AN$4:AN55))</f>
        <v>0</v>
      </c>
      <c r="AU55" s="304" t="str">
        <f t="shared" si="21"/>
        <v/>
      </c>
      <c r="AV55" s="304">
        <f>IF($J55="",#N/A,SUM(AU$4:AU55))</f>
        <v>0</v>
      </c>
      <c r="AW55" s="305" t="str">
        <f t="shared" si="22"/>
        <v/>
      </c>
      <c r="AX55" s="305">
        <f>IF($J55="",#N/A,SUM(AW$4:AW55))</f>
        <v>1.2290222546515868</v>
      </c>
      <c r="AY55" s="306" t="str">
        <f t="shared" si="23"/>
        <v/>
      </c>
      <c r="AZ55" s="306">
        <f>IF($J55="",#N/A,SUM(AY$4:AY55))</f>
        <v>2.8806371278168421</v>
      </c>
      <c r="BA55" s="306">
        <f>IF($J55="",#N/A,SUM(AY$4:AY55,AW$4:AW55,AU$4:AU55))</f>
        <v>4.1096593824684291</v>
      </c>
      <c r="BB55" s="304" t="str">
        <f t="shared" si="24"/>
        <v/>
      </c>
      <c r="BC55" s="304">
        <f>IF($J55="",#N/A,SUM(BB$4:BB55))</f>
        <v>0</v>
      </c>
      <c r="BD55" s="305" t="str">
        <f t="shared" si="25"/>
        <v/>
      </c>
      <c r="BE55" s="305">
        <f>IF($J55="",#N/A,SUM(BD$4:BD55))</f>
        <v>0</v>
      </c>
      <c r="BF55" s="306" t="str">
        <f t="shared" si="26"/>
        <v/>
      </c>
      <c r="BG55" s="306">
        <f>IF($J55="",#N/A,SUM(BF$4:BF55))</f>
        <v>2.4597169840247779</v>
      </c>
      <c r="BH55" s="306">
        <f>IF($J55="",#N/A,SUM(BF$4:BF55,BD$4:BD55,BB$4:BB55))</f>
        <v>2.4597169840247779</v>
      </c>
      <c r="BI55" s="304" t="str">
        <f t="shared" si="27"/>
        <v/>
      </c>
      <c r="BJ55" s="304">
        <f>IF($J55="",#N/A,SUM(BI$4:BI55))</f>
        <v>-0.65882782914696958</v>
      </c>
      <c r="BK55" s="305" t="str">
        <f t="shared" si="28"/>
        <v/>
      </c>
      <c r="BL55" s="305">
        <f>IF($J55="",#N/A,SUM(BK$4:BK55))</f>
        <v>0</v>
      </c>
      <c r="BM55" s="306" t="str">
        <f t="shared" si="29"/>
        <v/>
      </c>
      <c r="BN55" s="306">
        <f>IF($J55="",#N/A,SUM(BM$4:BM55))</f>
        <v>3.8210959759517467</v>
      </c>
      <c r="BO55" s="306">
        <f>IF($J55="",#N/A,SUM(BM$4:BM55,BK$4:BK55,BI$4:BI55))</f>
        <v>3.1622681468047773</v>
      </c>
      <c r="BP55" s="304" t="str">
        <f t="shared" si="30"/>
        <v/>
      </c>
      <c r="BQ55" s="304">
        <f>IF($J55="",#N/A,SUM(BP$4:BP55))</f>
        <v>4.0154886764923106</v>
      </c>
      <c r="BR55" s="305" t="str">
        <f t="shared" si="31"/>
        <v/>
      </c>
      <c r="BS55" s="305">
        <f>IF($J55="",#N/A,SUM(BR$4:BR55))</f>
        <v>-0.34773304801390975</v>
      </c>
      <c r="BT55" s="306" t="str">
        <f t="shared" si="32"/>
        <v/>
      </c>
      <c r="BU55" s="306">
        <f>IF($J55="",#N/A,SUM(BT$4:BT55))</f>
        <v>-0.93553131681240131</v>
      </c>
      <c r="BV55" s="306">
        <f>IF($J55="",#N/A,SUM(BT$4:BT55,BR$4:BR55,BP$4:BP55))</f>
        <v>2.7322243116659992</v>
      </c>
      <c r="BW55" s="304">
        <f t="shared" si="33"/>
        <v>-0.73275720435053893</v>
      </c>
      <c r="BX55" s="304">
        <f>IF($J55="",#N/A,SUM(BW$4:BW55))</f>
        <v>-0.73275720435053893</v>
      </c>
      <c r="BY55" s="305" t="str">
        <f t="shared" si="34"/>
        <v/>
      </c>
      <c r="BZ55" s="305">
        <f>IF($J55="",#N/A,SUM(BY$4:BY55))</f>
        <v>0.46686916413544804</v>
      </c>
      <c r="CA55" s="306" t="str">
        <f t="shared" si="35"/>
        <v/>
      </c>
      <c r="CB55" s="306">
        <f>IF($J55="",#N/A,SUM(CA$4:CA55))</f>
        <v>-0.37959870993521366</v>
      </c>
      <c r="CC55" s="306">
        <f>IF($J55="",#N/A,SUM(CA$4:CA55,BY$4:BY55,BW$4:BW55))</f>
        <v>-0.64548675015030454</v>
      </c>
      <c r="CD55" s="304" t="str">
        <f t="shared" si="36"/>
        <v/>
      </c>
      <c r="CE55" s="304">
        <f>IF($J55="",#N/A,SUM(CD$4:CD55))</f>
        <v>0</v>
      </c>
      <c r="CF55" s="305" t="str">
        <f t="shared" si="37"/>
        <v/>
      </c>
      <c r="CG55" s="305">
        <f>IF($J55="",#N/A,SUM(CF$4:CF55))</f>
        <v>0.41783917455444924</v>
      </c>
      <c r="CH55" s="306" t="str">
        <f t="shared" si="38"/>
        <v/>
      </c>
      <c r="CI55" s="306">
        <f>IF($J55="",#N/A,SUM(CH$4:CH55))</f>
        <v>-0.25632679632191468</v>
      </c>
      <c r="CJ55" s="306">
        <f>IF($J55="",#N/A,SUM(CH$4:CH55,CF$4:CF55,CD$4:CD55))</f>
        <v>0.16151237823253456</v>
      </c>
      <c r="CK55" s="304" t="str">
        <f t="shared" si="39"/>
        <v/>
      </c>
      <c r="CL55" s="304">
        <f>IF($J55="",#N/A,SUM(CK$4:CK55))</f>
        <v>0</v>
      </c>
      <c r="CM55" s="305" t="str">
        <f t="shared" si="40"/>
        <v/>
      </c>
      <c r="CN55" s="305">
        <f>IF($J55="",#N/A,SUM(CM$4:CM55))</f>
        <v>0</v>
      </c>
      <c r="CO55" s="306" t="str">
        <f t="shared" si="41"/>
        <v/>
      </c>
      <c r="CP55" s="306">
        <f>IF($J55="",#N/A,SUM(CO$4:CO55))</f>
        <v>0</v>
      </c>
      <c r="CQ55" s="306">
        <f>IF($J55="",#N/A,SUM(CO$4:CO55,CM$4:CM55,CK$4:CK55))</f>
        <v>0</v>
      </c>
      <c r="CR55" s="304" t="str">
        <f t="shared" si="42"/>
        <v/>
      </c>
      <c r="CS55" s="304">
        <f>IF($J55="",#N/A,SUM(CR$4:CR55))</f>
        <v>0</v>
      </c>
      <c r="CT55" s="305" t="str">
        <f t="shared" si="43"/>
        <v/>
      </c>
      <c r="CU55" s="305">
        <f>IF($J55="",#N/A,SUM(CT$4:CT55))</f>
        <v>-0.13081968772223007</v>
      </c>
      <c r="CV55" s="306" t="str">
        <f t="shared" si="44"/>
        <v/>
      </c>
      <c r="CW55" s="306">
        <f>IF($J55="",#N/A,SUM(CV$4:CV55))</f>
        <v>0.28156811782542707</v>
      </c>
      <c r="CX55" s="306">
        <f>IF($J55="",#N/A,SUM(CV$4:CV55,CT$4:CT55,CR$4:CR55))</f>
        <v>0.150748430103197</v>
      </c>
      <c r="CY55" s="304" t="str">
        <f t="shared" si="45"/>
        <v/>
      </c>
      <c r="CZ55" s="304">
        <f>IF($J55="",#N/A,SUM(CY$4:CY55))</f>
        <v>0</v>
      </c>
      <c r="DA55" s="305" t="str">
        <f t="shared" si="46"/>
        <v/>
      </c>
      <c r="DB55" s="305">
        <f>IF($J55="",#N/A,SUM(DA$4:DA55))</f>
        <v>0</v>
      </c>
      <c r="DC55" s="306" t="str">
        <f t="shared" si="47"/>
        <v/>
      </c>
      <c r="DD55" s="306">
        <f>IF($J55="",#N/A,SUM(DC$4:DC55))</f>
        <v>0</v>
      </c>
      <c r="DE55" s="306">
        <f>IF($J55="",#N/A,SUM(DC$4:DC55,DA$4:DA55,CY$4:CY55))</f>
        <v>0</v>
      </c>
      <c r="DF55" s="304" t="str">
        <f t="shared" si="48"/>
        <v/>
      </c>
      <c r="DG55" s="304">
        <f>IF($J55="",#N/A,SUM(DF$4:DF55))</f>
        <v>0</v>
      </c>
      <c r="DH55" s="305" t="str">
        <f t="shared" si="49"/>
        <v/>
      </c>
      <c r="DI55" s="305">
        <f>IF($J55="",#N/A,SUM(DH$4:DH55))</f>
        <v>0</v>
      </c>
      <c r="DJ55" s="306" t="str">
        <f t="shared" si="50"/>
        <v/>
      </c>
      <c r="DK55" s="306">
        <f>IF($J55="",#N/A,SUM(DJ$4:DJ55))</f>
        <v>0</v>
      </c>
      <c r="DL55" s="306">
        <f>IF($J55="",#N/A,SUM(DJ$4:DJ55,DH$4:DH55,DF$4:DF55))</f>
        <v>0</v>
      </c>
      <c r="DM55" s="304" t="str">
        <f t="shared" si="51"/>
        <v/>
      </c>
      <c r="DN55" s="304">
        <f>IF($J55="",#N/A,SUM(DM$4:DM55))</f>
        <v>0</v>
      </c>
      <c r="DO55" s="305" t="str">
        <f t="shared" si="52"/>
        <v/>
      </c>
      <c r="DP55" s="305">
        <f>IF($J55="",#N/A,SUM(DO$4:DO55))</f>
        <v>0</v>
      </c>
      <c r="DQ55" s="306" t="str">
        <f t="shared" si="53"/>
        <v/>
      </c>
      <c r="DR55" s="306">
        <f>IF($J55="",#N/A,SUM(DQ$4:DQ55))</f>
        <v>0.79026593075765084</v>
      </c>
      <c r="DS55" s="306">
        <f>IF($J55="",#N/A,SUM(DQ$4:DQ55,DO$4:DO55,DM$4:DM55))</f>
        <v>0.79026593075765084</v>
      </c>
      <c r="DT55" s="304" t="str">
        <f t="shared" si="54"/>
        <v/>
      </c>
      <c r="DU55" s="304">
        <f>IF($J55="",#N/A,SUM(DT$4:DT55))</f>
        <v>0</v>
      </c>
      <c r="DV55" s="305" t="str">
        <f t="shared" si="55"/>
        <v/>
      </c>
      <c r="DW55" s="305">
        <f>IF($J55="",#N/A,SUM(DV$4:DV55))</f>
        <v>0.40085630512924314</v>
      </c>
      <c r="DX55" s="306" t="str">
        <f t="shared" si="56"/>
        <v/>
      </c>
      <c r="DY55" s="306">
        <f>IF($J55="",#N/A,SUM(DX$4:DX55))</f>
        <v>0.59674626127163555</v>
      </c>
      <c r="DZ55" s="306">
        <f>IF($J55="",#N/A,SUM(DX$4:DX55,DV$4:DV55,DT$4:DT55))</f>
        <v>0.99760256640087874</v>
      </c>
      <c r="EA55" s="304" t="str">
        <f t="shared" si="57"/>
        <v/>
      </c>
      <c r="EB55" s="304">
        <f>IF($J55="",#N/A,SUM(EA$4:EA55))</f>
        <v>0</v>
      </c>
      <c r="EC55" s="305" t="str">
        <f t="shared" si="58"/>
        <v/>
      </c>
      <c r="ED55" s="305">
        <f>IF($J55="",#N/A,SUM(EC$4:EC55))</f>
        <v>-0.47973811942657352</v>
      </c>
      <c r="EE55" s="306" t="str">
        <f t="shared" si="59"/>
        <v/>
      </c>
      <c r="EF55" s="306">
        <f>IF($J55="",#N/A,SUM(EE$4:EE55))</f>
        <v>0</v>
      </c>
      <c r="EG55" s="306">
        <f>IF($J55="",#N/A,SUM(EE$4:EE55,EC$4:EC55,EA$4:EA55))</f>
        <v>-0.47973811942657352</v>
      </c>
      <c r="EH55" s="223">
        <f t="shared" si="60"/>
        <v>-17.586172904412933</v>
      </c>
      <c r="EI55" s="224">
        <f>IF(EH55="",#N/A,SUM($EH$4:EH55))</f>
        <v>386.91600339654599</v>
      </c>
      <c r="EJ55" s="223">
        <f t="shared" si="61"/>
        <v>-16.17323300364734</v>
      </c>
      <c r="EK55" s="63">
        <f>IF($GZ55="",#N/A,SUM(EJ$4:EJ55))</f>
        <v>623.84924598356679</v>
      </c>
      <c r="EL55" s="60">
        <f t="shared" si="97"/>
        <v>-0.73275720435053893</v>
      </c>
      <c r="EM55" s="60">
        <f>IF(EL55="",NA(),SUM($EL$4:EL55))</f>
        <v>16.121500141522755</v>
      </c>
      <c r="EN55" s="60">
        <f t="shared" si="62"/>
        <v>-0.73275720435053893</v>
      </c>
      <c r="EO55" s="60">
        <f>IF(EN55="",NA(),SUM($EN$4:EN55))</f>
        <v>3.7512897479312834</v>
      </c>
      <c r="EP55" s="60" t="str">
        <f t="shared" si="63"/>
        <v/>
      </c>
      <c r="EQ55" s="60" t="e">
        <f>IF(EP55="",NA(),SUM($EP$4:EP55))</f>
        <v>#N/A</v>
      </c>
      <c r="ER55" s="60" t="str">
        <f t="shared" si="64"/>
        <v/>
      </c>
      <c r="ES55" s="60" t="e">
        <f>IF(ER55="",NA(),SUM($ER$4:ER55))</f>
        <v>#N/A</v>
      </c>
      <c r="ET55" s="60" t="str">
        <f t="shared" si="65"/>
        <v/>
      </c>
      <c r="EU55" s="60" t="e">
        <f>IF(ET55="",NA(),SUM($ET$4:ET55))</f>
        <v>#N/A</v>
      </c>
      <c r="EV55" s="60" t="str">
        <f t="shared" si="66"/>
        <v/>
      </c>
      <c r="EW55" s="60" t="e">
        <f>IF(EV55="",NA(),SUM($EV$4:EV55))</f>
        <v>#N/A</v>
      </c>
      <c r="EX55" s="60" t="str">
        <f t="shared" si="67"/>
        <v/>
      </c>
      <c r="EY55" s="60" t="e">
        <f>IF(EX55="",NA(),SUM($EX$4:EX55))</f>
        <v>#N/A</v>
      </c>
      <c r="EZ55" s="60" t="str">
        <f t="shared" si="68"/>
        <v/>
      </c>
      <c r="FA55" s="60" t="e">
        <f>IF(EZ55="",NA(),SUM($EZ$4:EZ55))</f>
        <v>#N/A</v>
      </c>
      <c r="FB55" s="246" t="str">
        <f t="shared" si="98"/>
        <v/>
      </c>
      <c r="FC55" s="246" t="e">
        <f>IF($FB55="",#N/A,SUM(FB$4:$FB55))</f>
        <v>#N/A</v>
      </c>
      <c r="FD55" s="60" t="str">
        <f t="shared" si="69"/>
        <v/>
      </c>
      <c r="FE55" s="60" t="e">
        <f>IF($FD55="",#N/A,SUM($FD$4:FD55))</f>
        <v>#N/A</v>
      </c>
      <c r="FF55" s="60" t="str">
        <f t="shared" si="70"/>
        <v/>
      </c>
      <c r="FG55" s="60" t="e">
        <f>IF($FF55="",#N/A,SUM($FF$4:FF55))</f>
        <v>#N/A</v>
      </c>
      <c r="FH55" s="60">
        <f t="shared" si="71"/>
        <v>5.8872495865233132E-2</v>
      </c>
      <c r="FI55" s="60">
        <f>IF($FH55="",#N/A,SUM($FH$4:FH55))</f>
        <v>1.9060440790280804</v>
      </c>
      <c r="FJ55" s="60" t="str">
        <f t="shared" si="72"/>
        <v/>
      </c>
      <c r="FK55" s="60" t="e">
        <f>IF($FJ55="",#N/A,SUM($FJ$4:FJ55))</f>
        <v>#N/A</v>
      </c>
      <c r="FL55" s="60" t="str">
        <f t="shared" si="73"/>
        <v/>
      </c>
      <c r="FM55" s="60" t="e">
        <f>IF($FL55="",#N/A,SUM($FL$4:FL55))</f>
        <v>#N/A</v>
      </c>
      <c r="FN55" s="82">
        <f t="shared" si="74"/>
        <v>-0.67388470848530579</v>
      </c>
      <c r="FO55" s="82">
        <f>IF($FN55="",#N/A,SUM(FN$4:$FN55))</f>
        <v>25.993718582648633</v>
      </c>
      <c r="FP55" s="82">
        <f t="shared" si="99"/>
        <v>-0.73275720435053893</v>
      </c>
      <c r="FQ55" s="246">
        <f>IF($EH55="",#N/A,SUM($FP$4:FP55))</f>
        <v>16.121500141522755</v>
      </c>
      <c r="FR55" s="82">
        <f>IFERROR(FQ55/COUNTA($J$4:J55),#N/A)</f>
        <v>0.31002884887543758</v>
      </c>
      <c r="FS55" s="82">
        <f t="shared" si="110"/>
        <v>0.22858322112404142</v>
      </c>
      <c r="FT55" s="82">
        <f t="shared" si="111"/>
        <v>0.34962904631699343</v>
      </c>
      <c r="FU55" s="82" t="e">
        <v>#N/A</v>
      </c>
      <c r="FV55" s="57" t="str">
        <f t="shared" si="75"/>
        <v>Up</v>
      </c>
      <c r="FW55" s="57" t="s">
        <v>2734</v>
      </c>
      <c r="FX55" s="57" t="str">
        <f t="shared" si="76"/>
        <v/>
      </c>
      <c r="FY55" s="57" t="str">
        <f t="shared" si="77"/>
        <v/>
      </c>
      <c r="FZ55" s="57" t="str">
        <f t="shared" si="78"/>
        <v/>
      </c>
      <c r="GA55" s="57" t="str">
        <f t="shared" si="79"/>
        <v>Long</v>
      </c>
      <c r="GB55" s="57" t="str">
        <f t="shared" si="80"/>
        <v/>
      </c>
      <c r="GC55" s="57">
        <f t="shared" si="81"/>
        <v>1</v>
      </c>
      <c r="GD55" s="57" t="str">
        <f t="shared" si="82"/>
        <v/>
      </c>
      <c r="GE55" s="62">
        <f t="shared" si="105"/>
        <v>608.66</v>
      </c>
      <c r="GF55" s="62" t="s">
        <v>2779</v>
      </c>
      <c r="GG55" s="199">
        <f t="shared" si="106"/>
        <v>0.65718134919330995</v>
      </c>
      <c r="GH55" s="207">
        <f t="shared" si="85"/>
        <v>400</v>
      </c>
      <c r="GI55" s="199">
        <f t="shared" si="107"/>
        <v>0.65718134919330995</v>
      </c>
      <c r="GJ55" s="200">
        <f t="shared" si="108"/>
        <v>581.9</v>
      </c>
      <c r="GK55" s="63">
        <f t="shared" si="88"/>
        <v>-17.586172904412933</v>
      </c>
      <c r="GL55" s="63">
        <f t="shared" si="109"/>
        <v>-16.17323300364734</v>
      </c>
      <c r="GM55" s="82" t="str">
        <f t="shared" si="90"/>
        <v/>
      </c>
      <c r="GN55" s="82">
        <f>IF($GZ55="",#N/A,SUM(GM$4:GM55))</f>
        <v>14.203749526033418</v>
      </c>
      <c r="GO55" s="82">
        <f t="shared" si="91"/>
        <v>-0.67388470848530579</v>
      </c>
      <c r="GP55" s="82">
        <f>IF($GZ55="",#N/A,SUM(GO$4:GO55))</f>
        <v>7.6230580787965563</v>
      </c>
      <c r="GQ55" s="82" t="str">
        <f t="shared" si="92"/>
        <v/>
      </c>
      <c r="GR55" s="82">
        <f>IF($GZ55="",#N/A,SUM(GQ$4:GQ55))</f>
        <v>4.1669109778186488</v>
      </c>
      <c r="GS55" s="63" t="str">
        <f t="shared" si="100"/>
        <v/>
      </c>
      <c r="GT55" s="63">
        <f>IF($GZ55="",#N/A,SUM(GS$4:GS55))</f>
        <v>340.88998862480207</v>
      </c>
      <c r="GU55" s="63">
        <f t="shared" si="101"/>
        <v>-16.17323300364734</v>
      </c>
      <c r="GV55" s="63">
        <f>IF($GZ55="",#N/A,SUM(GU$4:GU55))</f>
        <v>182.95339389111734</v>
      </c>
      <c r="GW55" s="62" t="str">
        <f t="shared" si="102"/>
        <v/>
      </c>
      <c r="GX55" s="63">
        <f>IF($GZ55="",#N/A,SUM(GW$4:GW55))</f>
        <v>100.00586346764754</v>
      </c>
      <c r="GY55" s="63">
        <f>IF(EJ55="",#N/A,SUM($EJ$4:EJ55))</f>
        <v>623.84924598356679</v>
      </c>
      <c r="GZ55" s="159">
        <v>584.04999999999995</v>
      </c>
      <c r="HA55" s="63">
        <f t="shared" si="93"/>
        <v>1.4129399007655934</v>
      </c>
      <c r="HB55" s="62" t="s">
        <v>4970</v>
      </c>
      <c r="HC55" s="60">
        <f>IFERROR(VLOOKUP(E55,Expectancy!$P$4:$S$19,1+C55,FALSE),"")</f>
        <v>-0.45514116799985843</v>
      </c>
      <c r="HD55" s="60" t="str">
        <f t="shared" si="94"/>
        <v/>
      </c>
      <c r="HE55" s="60" t="e">
        <f>IF(HD55="",#N/A,SUM($HD$4:HD55))</f>
        <v>#N/A</v>
      </c>
      <c r="HF55" s="64" t="e">
        <f>IF(HD55="",#N/A,IF(HB55="Skip",#N/A,SUM($HG$4:HG55)))</f>
        <v>#N/A</v>
      </c>
      <c r="HG55" s="63" t="str">
        <f t="shared" si="95"/>
        <v/>
      </c>
      <c r="HH55" s="82">
        <f t="shared" si="96"/>
        <v>-0.67388470848530579</v>
      </c>
    </row>
    <row r="56" spans="1:217" x14ac:dyDescent="0.25">
      <c r="A56" s="139" t="s">
        <v>1314</v>
      </c>
      <c r="B56" s="58" t="s">
        <v>5118</v>
      </c>
      <c r="C56" s="386">
        <f t="shared" si="0"/>
        <v>3</v>
      </c>
      <c r="D56" s="372" t="str">
        <f>_xlfn.XLOOKUP(A56,[1]SP500!$A$2:$A$502,[1]SP500!$D$2:$D$502,"N")</f>
        <v>Y</v>
      </c>
      <c r="E56" s="57" t="str">
        <f>_xlfn.XLOOKUP(A56,[1]SP500!$A$2:$A$655,[1]SP500!$B$2:$B$655)</f>
        <v>SMH</v>
      </c>
      <c r="F56" s="59">
        <v>45680</v>
      </c>
      <c r="G56" s="57" t="str">
        <f t="shared" si="1"/>
        <v>AMC</v>
      </c>
      <c r="H56" s="57" t="str">
        <f t="shared" si="2"/>
        <v>o</v>
      </c>
      <c r="I56" s="159">
        <v>200.61</v>
      </c>
      <c r="J56" s="158">
        <v>190</v>
      </c>
      <c r="K56" s="61">
        <f t="shared" si="3"/>
        <v>-5.2888689497034111E-2</v>
      </c>
      <c r="L56" s="87">
        <f t="shared" si="4"/>
        <v>-21.155475798813654</v>
      </c>
      <c r="M56" s="63" t="str">
        <f t="shared" si="104"/>
        <v/>
      </c>
      <c r="N56" s="219" t="str">
        <f t="shared" si="6"/>
        <v/>
      </c>
      <c r="O56" s="219">
        <f>IF($J56="",#N/A,SUM($N$4:N56))</f>
        <v>90.030953950350806</v>
      </c>
      <c r="P56" s="220" t="str">
        <f t="shared" si="7"/>
        <v/>
      </c>
      <c r="Q56" s="220">
        <f>IF($J56="",#N/A,SUM($P$4:P56))</f>
        <v>37.351105039392337</v>
      </c>
      <c r="R56" s="221">
        <f t="shared" si="8"/>
        <v>-21.155475798813654</v>
      </c>
      <c r="S56" s="222">
        <f>IF($J56="",#N/A,SUM($R$4:R56))</f>
        <v>238.37846860798919</v>
      </c>
      <c r="T56" s="281" t="str">
        <f t="shared" si="9"/>
        <v/>
      </c>
      <c r="U56" s="281">
        <f>IF($J56="",#N/A,SUM($T$4:T56))</f>
        <v>3.7512897479312834</v>
      </c>
      <c r="V56" s="282" t="str">
        <f t="shared" si="10"/>
        <v/>
      </c>
      <c r="W56" s="282">
        <f>IF($J56="",#N/A,SUM($V$4:V56))</f>
        <v>1.5562960433080137</v>
      </c>
      <c r="X56" s="283">
        <f t="shared" si="11"/>
        <v>-0.8814781582839023</v>
      </c>
      <c r="Y56" s="283">
        <f>IF($J56="",#N/A,SUM($X$4:X56))</f>
        <v>9.9324361919995496</v>
      </c>
      <c r="Z56" s="304" t="str">
        <f t="shared" si="12"/>
        <v/>
      </c>
      <c r="AA56" s="304">
        <f>IF($J56="",#N/A,SUM(Z$4:Z56))</f>
        <v>1.1273861049364817</v>
      </c>
      <c r="AB56" s="305" t="str">
        <f t="shared" si="13"/>
        <v/>
      </c>
      <c r="AC56" s="305">
        <f>IF($J56="",#N/A,SUM(AB$4:AB56))</f>
        <v>0</v>
      </c>
      <c r="AD56" s="306" t="str">
        <f t="shared" si="14"/>
        <v/>
      </c>
      <c r="AE56" s="306">
        <f>IF($J56="",#N/A,SUM(AD$4:AD56))</f>
        <v>1.5553407757049009</v>
      </c>
      <c r="AF56" s="306">
        <f>IF($J56="",#N/A,SUM(AD$4:AD56,AB$4:AB56,Z$4:Z56))</f>
        <v>2.6827268806413822</v>
      </c>
      <c r="AG56" s="304" t="str">
        <f t="shared" si="15"/>
        <v/>
      </c>
      <c r="AH56" s="304">
        <f>IF($J56="",#N/A,SUM(AG$4:AG56))</f>
        <v>0</v>
      </c>
      <c r="AI56" s="305" t="str">
        <f t="shared" si="16"/>
        <v/>
      </c>
      <c r="AJ56" s="305">
        <f>IF($J56="",#N/A,SUM(AI$4:AI56))</f>
        <v>0</v>
      </c>
      <c r="AK56" s="306" t="str">
        <f t="shared" si="17"/>
        <v/>
      </c>
      <c r="AL56" s="306">
        <f>IF($J56="",#N/A,SUM(AK$4:AK56))</f>
        <v>0</v>
      </c>
      <c r="AM56" s="306">
        <f>IF($J56="",#N/A,SUM(AK$4:AK56,AI$4:AI56,AG$4:AG56))</f>
        <v>0</v>
      </c>
      <c r="AN56" s="304" t="str">
        <f t="shared" si="18"/>
        <v/>
      </c>
      <c r="AO56" s="304">
        <f>IF($J56="",#N/A,SUM(AN$4:AN56))</f>
        <v>0</v>
      </c>
      <c r="AP56" s="305" t="str">
        <f t="shared" si="19"/>
        <v/>
      </c>
      <c r="AQ56" s="305">
        <f>IF($J56="",#N/A,SUM(AP$4:AP56))</f>
        <v>0</v>
      </c>
      <c r="AR56" s="306" t="str">
        <f t="shared" si="20"/>
        <v/>
      </c>
      <c r="AS56" s="306">
        <f>IF($J56="",#N/A,SUM(AR$4:AR56))</f>
        <v>0</v>
      </c>
      <c r="AT56" s="306">
        <f>IF($J56="",#N/A,SUM(AR$4:AR56,AP$4:AP56,AN$4:AN56))</f>
        <v>0</v>
      </c>
      <c r="AU56" s="304" t="str">
        <f t="shared" si="21"/>
        <v/>
      </c>
      <c r="AV56" s="304">
        <f>IF($J56="",#N/A,SUM(AU$4:AU56))</f>
        <v>0</v>
      </c>
      <c r="AW56" s="305" t="str">
        <f t="shared" si="22"/>
        <v/>
      </c>
      <c r="AX56" s="305">
        <f>IF($J56="",#N/A,SUM(AW$4:AW56))</f>
        <v>1.2290222546515868</v>
      </c>
      <c r="AY56" s="306" t="str">
        <f t="shared" si="23"/>
        <v/>
      </c>
      <c r="AZ56" s="306">
        <f>IF($J56="",#N/A,SUM(AY$4:AY56))</f>
        <v>2.8806371278168421</v>
      </c>
      <c r="BA56" s="306">
        <f>IF($J56="",#N/A,SUM(AY$4:AY56,AW$4:AW56,AU$4:AU56))</f>
        <v>4.1096593824684291</v>
      </c>
      <c r="BB56" s="304" t="str">
        <f t="shared" si="24"/>
        <v/>
      </c>
      <c r="BC56" s="304">
        <f>IF($J56="",#N/A,SUM(BB$4:BB56))</f>
        <v>0</v>
      </c>
      <c r="BD56" s="305" t="str">
        <f t="shared" si="25"/>
        <v/>
      </c>
      <c r="BE56" s="305">
        <f>IF($J56="",#N/A,SUM(BD$4:BD56))</f>
        <v>0</v>
      </c>
      <c r="BF56" s="306" t="str">
        <f t="shared" si="26"/>
        <v/>
      </c>
      <c r="BG56" s="306">
        <f>IF($J56="",#N/A,SUM(BF$4:BF56))</f>
        <v>2.4597169840247779</v>
      </c>
      <c r="BH56" s="306">
        <f>IF($J56="",#N/A,SUM(BF$4:BF56,BD$4:BD56,BB$4:BB56))</f>
        <v>2.4597169840247779</v>
      </c>
      <c r="BI56" s="304" t="str">
        <f t="shared" si="27"/>
        <v/>
      </c>
      <c r="BJ56" s="304">
        <f>IF($J56="",#N/A,SUM(BI$4:BI56))</f>
        <v>-0.65882782914696958</v>
      </c>
      <c r="BK56" s="305" t="str">
        <f t="shared" si="28"/>
        <v/>
      </c>
      <c r="BL56" s="305">
        <f>IF($J56="",#N/A,SUM(BK$4:BK56))</f>
        <v>0</v>
      </c>
      <c r="BM56" s="306" t="str">
        <f t="shared" si="29"/>
        <v/>
      </c>
      <c r="BN56" s="306">
        <f>IF($J56="",#N/A,SUM(BM$4:BM56))</f>
        <v>3.8210959759517467</v>
      </c>
      <c r="BO56" s="306">
        <f>IF($J56="",#N/A,SUM(BM$4:BM56,BK$4:BK56,BI$4:BI56))</f>
        <v>3.1622681468047773</v>
      </c>
      <c r="BP56" s="304" t="str">
        <f t="shared" si="30"/>
        <v/>
      </c>
      <c r="BQ56" s="304">
        <f>IF($J56="",#N/A,SUM(BP$4:BP56))</f>
        <v>4.0154886764923106</v>
      </c>
      <c r="BR56" s="305" t="str">
        <f t="shared" si="31"/>
        <v/>
      </c>
      <c r="BS56" s="305">
        <f>IF($J56="",#N/A,SUM(BR$4:BR56))</f>
        <v>-0.34773304801390975</v>
      </c>
      <c r="BT56" s="306" t="str">
        <f t="shared" si="32"/>
        <v/>
      </c>
      <c r="BU56" s="306">
        <f>IF($J56="",#N/A,SUM(BT$4:BT56))</f>
        <v>-0.93553131681240131</v>
      </c>
      <c r="BV56" s="306">
        <f>IF($J56="",#N/A,SUM(BT$4:BT56,BR$4:BR56,BP$4:BP56))</f>
        <v>2.7322243116659992</v>
      </c>
      <c r="BW56" s="304" t="str">
        <f t="shared" si="33"/>
        <v/>
      </c>
      <c r="BX56" s="304">
        <f>IF($J56="",#N/A,SUM(BW$4:BW56))</f>
        <v>-0.73275720435053893</v>
      </c>
      <c r="BY56" s="305" t="str">
        <f t="shared" si="34"/>
        <v/>
      </c>
      <c r="BZ56" s="305">
        <f>IF($J56="",#N/A,SUM(BY$4:BY56))</f>
        <v>0.46686916413544804</v>
      </c>
      <c r="CA56" s="306" t="str">
        <f t="shared" si="35"/>
        <v/>
      </c>
      <c r="CB56" s="306">
        <f>IF($J56="",#N/A,SUM(CA$4:CA56))</f>
        <v>-0.37959870993521366</v>
      </c>
      <c r="CC56" s="306">
        <f>IF($J56="",#N/A,SUM(CA$4:CA56,BY$4:BY56,BW$4:BW56))</f>
        <v>-0.64548675015030454</v>
      </c>
      <c r="CD56" s="304" t="str">
        <f t="shared" si="36"/>
        <v/>
      </c>
      <c r="CE56" s="304">
        <f>IF($J56="",#N/A,SUM(CD$4:CD56))</f>
        <v>0</v>
      </c>
      <c r="CF56" s="305" t="str">
        <f t="shared" si="37"/>
        <v/>
      </c>
      <c r="CG56" s="305">
        <f>IF($J56="",#N/A,SUM(CF$4:CF56))</f>
        <v>0.41783917455444924</v>
      </c>
      <c r="CH56" s="306" t="str">
        <f t="shared" si="38"/>
        <v/>
      </c>
      <c r="CI56" s="306">
        <f>IF($J56="",#N/A,SUM(CH$4:CH56))</f>
        <v>-0.25632679632191468</v>
      </c>
      <c r="CJ56" s="306">
        <f>IF($J56="",#N/A,SUM(CH$4:CH56,CF$4:CF56,CD$4:CD56))</f>
        <v>0.16151237823253456</v>
      </c>
      <c r="CK56" s="304" t="str">
        <f t="shared" si="39"/>
        <v/>
      </c>
      <c r="CL56" s="304">
        <f>IF($J56="",#N/A,SUM(CK$4:CK56))</f>
        <v>0</v>
      </c>
      <c r="CM56" s="305" t="str">
        <f t="shared" si="40"/>
        <v/>
      </c>
      <c r="CN56" s="305">
        <f>IF($J56="",#N/A,SUM(CM$4:CM56))</f>
        <v>0</v>
      </c>
      <c r="CO56" s="306">
        <f t="shared" si="41"/>
        <v>-0.8814781582839023</v>
      </c>
      <c r="CP56" s="306">
        <f>IF($J56="",#N/A,SUM(CO$4:CO56))</f>
        <v>-0.8814781582839023</v>
      </c>
      <c r="CQ56" s="306">
        <f>IF($J56="",#N/A,SUM(CO$4:CO56,CM$4:CM56,CK$4:CK56))</f>
        <v>-0.8814781582839023</v>
      </c>
      <c r="CR56" s="304" t="str">
        <f t="shared" si="42"/>
        <v/>
      </c>
      <c r="CS56" s="304">
        <f>IF($J56="",#N/A,SUM(CR$4:CR56))</f>
        <v>0</v>
      </c>
      <c r="CT56" s="305" t="str">
        <f t="shared" si="43"/>
        <v/>
      </c>
      <c r="CU56" s="305">
        <f>IF($J56="",#N/A,SUM(CT$4:CT56))</f>
        <v>-0.13081968772223007</v>
      </c>
      <c r="CV56" s="306" t="str">
        <f t="shared" si="44"/>
        <v/>
      </c>
      <c r="CW56" s="306">
        <f>IF($J56="",#N/A,SUM(CV$4:CV56))</f>
        <v>0.28156811782542707</v>
      </c>
      <c r="CX56" s="306">
        <f>IF($J56="",#N/A,SUM(CV$4:CV56,CT$4:CT56,CR$4:CR56))</f>
        <v>0.150748430103197</v>
      </c>
      <c r="CY56" s="304" t="str">
        <f t="shared" si="45"/>
        <v/>
      </c>
      <c r="CZ56" s="304">
        <f>IF($J56="",#N/A,SUM(CY$4:CY56))</f>
        <v>0</v>
      </c>
      <c r="DA56" s="305" t="str">
        <f t="shared" si="46"/>
        <v/>
      </c>
      <c r="DB56" s="305">
        <f>IF($J56="",#N/A,SUM(DA$4:DA56))</f>
        <v>0</v>
      </c>
      <c r="DC56" s="306" t="str">
        <f t="shared" si="47"/>
        <v/>
      </c>
      <c r="DD56" s="306">
        <f>IF($J56="",#N/A,SUM(DC$4:DC56))</f>
        <v>0</v>
      </c>
      <c r="DE56" s="306">
        <f>IF($J56="",#N/A,SUM(DC$4:DC56,DA$4:DA56,CY$4:CY56))</f>
        <v>0</v>
      </c>
      <c r="DF56" s="304" t="str">
        <f t="shared" si="48"/>
        <v/>
      </c>
      <c r="DG56" s="304">
        <f>IF($J56="",#N/A,SUM(DF$4:DF56))</f>
        <v>0</v>
      </c>
      <c r="DH56" s="305" t="str">
        <f t="shared" si="49"/>
        <v/>
      </c>
      <c r="DI56" s="305">
        <f>IF($J56="",#N/A,SUM(DH$4:DH56))</f>
        <v>0</v>
      </c>
      <c r="DJ56" s="306" t="str">
        <f t="shared" si="50"/>
        <v/>
      </c>
      <c r="DK56" s="306">
        <f>IF($J56="",#N/A,SUM(DJ$4:DJ56))</f>
        <v>0</v>
      </c>
      <c r="DL56" s="306">
        <f>IF($J56="",#N/A,SUM(DJ$4:DJ56,DH$4:DH56,DF$4:DF56))</f>
        <v>0</v>
      </c>
      <c r="DM56" s="304" t="str">
        <f t="shared" si="51"/>
        <v/>
      </c>
      <c r="DN56" s="304">
        <f>IF($J56="",#N/A,SUM(DM$4:DM56))</f>
        <v>0</v>
      </c>
      <c r="DO56" s="305" t="str">
        <f t="shared" si="52"/>
        <v/>
      </c>
      <c r="DP56" s="305">
        <f>IF($J56="",#N/A,SUM(DO$4:DO56))</f>
        <v>0</v>
      </c>
      <c r="DQ56" s="306" t="str">
        <f t="shared" si="53"/>
        <v/>
      </c>
      <c r="DR56" s="306">
        <f>IF($J56="",#N/A,SUM(DQ$4:DQ56))</f>
        <v>0.79026593075765084</v>
      </c>
      <c r="DS56" s="306">
        <f>IF($J56="",#N/A,SUM(DQ$4:DQ56,DO$4:DO56,DM$4:DM56))</f>
        <v>0.79026593075765084</v>
      </c>
      <c r="DT56" s="304" t="str">
        <f t="shared" si="54"/>
        <v/>
      </c>
      <c r="DU56" s="304">
        <f>IF($J56="",#N/A,SUM(DT$4:DT56))</f>
        <v>0</v>
      </c>
      <c r="DV56" s="305" t="str">
        <f t="shared" si="55"/>
        <v/>
      </c>
      <c r="DW56" s="305">
        <f>IF($J56="",#N/A,SUM(DV$4:DV56))</f>
        <v>0.40085630512924314</v>
      </c>
      <c r="DX56" s="306" t="str">
        <f t="shared" si="56"/>
        <v/>
      </c>
      <c r="DY56" s="306">
        <f>IF($J56="",#N/A,SUM(DX$4:DX56))</f>
        <v>0.59674626127163555</v>
      </c>
      <c r="DZ56" s="306">
        <f>IF($J56="",#N/A,SUM(DX$4:DX56,DV$4:DV56,DT$4:DT56))</f>
        <v>0.99760256640087874</v>
      </c>
      <c r="EA56" s="304" t="str">
        <f t="shared" si="57"/>
        <v/>
      </c>
      <c r="EB56" s="304">
        <f>IF($J56="",#N/A,SUM(EA$4:EA56))</f>
        <v>0</v>
      </c>
      <c r="EC56" s="305" t="str">
        <f t="shared" si="58"/>
        <v/>
      </c>
      <c r="ED56" s="305">
        <f>IF($J56="",#N/A,SUM(EC$4:EC56))</f>
        <v>-0.47973811942657352</v>
      </c>
      <c r="EE56" s="306" t="str">
        <f t="shared" si="59"/>
        <v/>
      </c>
      <c r="EF56" s="306">
        <f>IF($J56="",#N/A,SUM(EE$4:EE56))</f>
        <v>0</v>
      </c>
      <c r="EG56" s="306">
        <f>IF($J56="",#N/A,SUM(EE$4:EE56,EC$4:EC56,EA$4:EA56))</f>
        <v>-0.47973811942657352</v>
      </c>
      <c r="EH56" s="223">
        <f t="shared" si="60"/>
        <v>-21.155475798813654</v>
      </c>
      <c r="EI56" s="224">
        <f>IF(EH56="",#N/A,SUM($EH$4:EH56))</f>
        <v>365.76052759773233</v>
      </c>
      <c r="EJ56" s="223">
        <f t="shared" si="61"/>
        <v>-30.088230895767936</v>
      </c>
      <c r="EK56" s="63">
        <f>IF($GZ56="",#N/A,SUM(EJ$4:EJ56))</f>
        <v>593.7610150877988</v>
      </c>
      <c r="EL56" s="60">
        <f t="shared" si="97"/>
        <v>-0.8814781582839023</v>
      </c>
      <c r="EM56" s="60">
        <f>IF(EL56="",NA(),SUM($EL$4:EL56))</f>
        <v>15.240021983238853</v>
      </c>
      <c r="EN56" s="60" t="str">
        <f t="shared" si="62"/>
        <v/>
      </c>
      <c r="EO56" s="60" t="e">
        <f>IF(EN56="",NA(),SUM($EN$4:EN56))</f>
        <v>#N/A</v>
      </c>
      <c r="EP56" s="60">
        <f t="shared" si="63"/>
        <v>-0.8814781582839023</v>
      </c>
      <c r="EQ56" s="60">
        <f>IF(EP56="",NA(),SUM($EP$4:EP56))</f>
        <v>9.9324361919995496</v>
      </c>
      <c r="ER56" s="60" t="str">
        <f t="shared" si="64"/>
        <v/>
      </c>
      <c r="ES56" s="60" t="e">
        <f>IF(ER56="",NA(),SUM($ER$4:ER56))</f>
        <v>#N/A</v>
      </c>
      <c r="ET56" s="60" t="str">
        <f t="shared" si="65"/>
        <v/>
      </c>
      <c r="EU56" s="60" t="e">
        <f>IF(ET56="",NA(),SUM($ET$4:ET56))</f>
        <v>#N/A</v>
      </c>
      <c r="EV56" s="60" t="str">
        <f t="shared" si="66"/>
        <v/>
      </c>
      <c r="EW56" s="60" t="e">
        <f>IF(EV56="",NA(),SUM($EV$4:EV56))</f>
        <v>#N/A</v>
      </c>
      <c r="EX56" s="60" t="str">
        <f t="shared" si="67"/>
        <v/>
      </c>
      <c r="EY56" s="60" t="e">
        <f>IF(EX56="",NA(),SUM($EX$4:EX56))</f>
        <v>#N/A</v>
      </c>
      <c r="EZ56" s="60" t="str">
        <f t="shared" si="68"/>
        <v/>
      </c>
      <c r="FA56" s="60" t="e">
        <f>IF(EZ56="",NA(),SUM($EZ$4:EZ56))</f>
        <v>#N/A</v>
      </c>
      <c r="FB56" s="246" t="str">
        <f t="shared" si="98"/>
        <v/>
      </c>
      <c r="FC56" s="246" t="e">
        <f>IF($FB56="",#N/A,SUM(FB$4:$FB56))</f>
        <v>#N/A</v>
      </c>
      <c r="FD56" s="60" t="str">
        <f t="shared" si="69"/>
        <v/>
      </c>
      <c r="FE56" s="60" t="e">
        <f>IF($FD56="",#N/A,SUM($FD$4:FD56))</f>
        <v>#N/A</v>
      </c>
      <c r="FF56" s="60" t="str">
        <f t="shared" si="70"/>
        <v/>
      </c>
      <c r="FG56" s="60" t="e">
        <f>IF($FF56="",#N/A,SUM($FF$4:FF56))</f>
        <v>#N/A</v>
      </c>
      <c r="FH56" s="60" t="str">
        <f t="shared" si="71"/>
        <v/>
      </c>
      <c r="FI56" s="60" t="e">
        <f>IF($FH56="",#N/A,SUM($FH$4:FH56))</f>
        <v>#N/A</v>
      </c>
      <c r="FJ56" s="60" t="str">
        <f t="shared" si="72"/>
        <v/>
      </c>
      <c r="FK56" s="60" t="e">
        <f>IF($FJ56="",#N/A,SUM($FJ$4:FJ56))</f>
        <v>#N/A</v>
      </c>
      <c r="FL56" s="60">
        <f t="shared" si="73"/>
        <v>-0.37219812903976168</v>
      </c>
      <c r="FM56" s="60">
        <f>IF($FL56="",#N/A,SUM($FL$4:FL56))</f>
        <v>1.3750884002809896</v>
      </c>
      <c r="FN56" s="82">
        <f t="shared" si="74"/>
        <v>-1.253676287323664</v>
      </c>
      <c r="FO56" s="82">
        <f>IF($FN56="",#N/A,SUM(FN$4:$FN56))</f>
        <v>24.740042295324969</v>
      </c>
      <c r="FP56" s="82">
        <f t="shared" si="99"/>
        <v>-0.8814781582839023</v>
      </c>
      <c r="FQ56" s="246">
        <f>IF($EH56="",#N/A,SUM($FP$4:FP56))</f>
        <v>15.240021983238853</v>
      </c>
      <c r="FR56" s="82">
        <f>IFERROR(FQ56/COUNTA($J$4:J56),#N/A)</f>
        <v>0.28754758458941232</v>
      </c>
      <c r="FS56" s="82">
        <f t="shared" si="110"/>
        <v>0.20700705163571143</v>
      </c>
      <c r="FT56" s="82">
        <f t="shared" si="111"/>
        <v>0.34585074248500081</v>
      </c>
      <c r="FU56" s="82" t="e">
        <v>#N/A</v>
      </c>
      <c r="FV56" s="57" t="str">
        <f t="shared" si="75"/>
        <v>SW</v>
      </c>
      <c r="FW56" s="57" t="s">
        <v>2732</v>
      </c>
      <c r="FX56" s="57" t="str">
        <f t="shared" si="76"/>
        <v/>
      </c>
      <c r="FY56" s="57" t="str">
        <f t="shared" si="77"/>
        <v/>
      </c>
      <c r="FZ56" s="57" t="str">
        <f t="shared" si="78"/>
        <v/>
      </c>
      <c r="GA56" s="57" t="str">
        <f t="shared" si="79"/>
        <v>Long</v>
      </c>
      <c r="GB56" s="57" t="str">
        <f t="shared" si="80"/>
        <v/>
      </c>
      <c r="GC56" s="57" t="str">
        <f t="shared" si="81"/>
        <v/>
      </c>
      <c r="GD56" s="57">
        <f t="shared" si="82"/>
        <v>1</v>
      </c>
      <c r="GE56" s="62">
        <f t="shared" si="105"/>
        <v>200.61</v>
      </c>
      <c r="GF56" s="62" t="s">
        <v>2779</v>
      </c>
      <c r="GG56" s="199">
        <f t="shared" si="106"/>
        <v>1.9939185484272965</v>
      </c>
      <c r="GH56" s="207">
        <f t="shared" si="85"/>
        <v>400</v>
      </c>
      <c r="GI56" s="199">
        <f t="shared" si="107"/>
        <v>1.9939185484272965</v>
      </c>
      <c r="GJ56" s="200">
        <f t="shared" si="108"/>
        <v>190</v>
      </c>
      <c r="GK56" s="63">
        <f t="shared" si="88"/>
        <v>-21.155475798813654</v>
      </c>
      <c r="GL56" s="63">
        <f t="shared" si="109"/>
        <v>-30.088230895767936</v>
      </c>
      <c r="GM56" s="82">
        <f t="shared" si="90"/>
        <v>-1.253676287323664</v>
      </c>
      <c r="GN56" s="82">
        <f>IF($GZ56="",#N/A,SUM(GM$4:GM56))</f>
        <v>12.950073238709754</v>
      </c>
      <c r="GO56" s="82" t="str">
        <f t="shared" si="91"/>
        <v/>
      </c>
      <c r="GP56" s="82">
        <f>IF($GZ56="",#N/A,SUM(GO$4:GO56))</f>
        <v>7.6230580787965563</v>
      </c>
      <c r="GQ56" s="82" t="str">
        <f t="shared" si="92"/>
        <v/>
      </c>
      <c r="GR56" s="82">
        <f>IF($GZ56="",#N/A,SUM(GQ$4:GQ56))</f>
        <v>4.1669109778186488</v>
      </c>
      <c r="GS56" s="63">
        <f t="shared" si="100"/>
        <v>-30.088230895767936</v>
      </c>
      <c r="GT56" s="63">
        <f>IF($GZ56="",#N/A,SUM(GS$4:GS56))</f>
        <v>310.80175772903414</v>
      </c>
      <c r="GU56" s="63" t="str">
        <f t="shared" si="101"/>
        <v/>
      </c>
      <c r="GV56" s="63">
        <f>IF($GZ56="",#N/A,SUM(GU$4:GU56))</f>
        <v>182.95339389111734</v>
      </c>
      <c r="GW56" s="62" t="str">
        <f t="shared" si="102"/>
        <v/>
      </c>
      <c r="GX56" s="63">
        <f>IF($GZ56="",#N/A,SUM(GW$4:GW56))</f>
        <v>100.00586346764754</v>
      </c>
      <c r="GY56" s="63">
        <f>IF(EJ56="",#N/A,SUM($EJ$4:EJ56))</f>
        <v>593.7610150877988</v>
      </c>
      <c r="GZ56" s="159">
        <v>185.52</v>
      </c>
      <c r="HA56" s="63">
        <f t="shared" si="93"/>
        <v>-8.9327550969542813</v>
      </c>
      <c r="HB56" s="62" t="s">
        <v>4970</v>
      </c>
      <c r="HC56" s="60">
        <f>IFERROR(VLOOKUP(E56,Expectancy!$P$4:$S$19,1+C56,FALSE),"")</f>
        <v>-0.16876070792161713</v>
      </c>
      <c r="HD56" s="60" t="str">
        <f t="shared" si="94"/>
        <v/>
      </c>
      <c r="HE56" s="60" t="e">
        <f>IF(HD56="",#N/A,SUM($HD$4:HD56))</f>
        <v>#N/A</v>
      </c>
      <c r="HF56" s="64" t="e">
        <f>IF(HD56="",#N/A,IF(HB56="Skip",#N/A,SUM($HG$4:HG56)))</f>
        <v>#N/A</v>
      </c>
      <c r="HG56" s="63" t="str">
        <f t="shared" si="95"/>
        <v/>
      </c>
      <c r="HH56" s="82">
        <f t="shared" si="96"/>
        <v>-1.253676287323664</v>
      </c>
    </row>
    <row r="57" spans="1:217" x14ac:dyDescent="0.25">
      <c r="A57" s="57" t="s">
        <v>1387</v>
      </c>
      <c r="B57" s="58" t="s">
        <v>5119</v>
      </c>
      <c r="C57" s="386">
        <f t="shared" si="0"/>
        <v>3</v>
      </c>
      <c r="D57" s="372" t="str">
        <f>_xlfn.XLOOKUP(A57,[1]SP500!$A$2:$A$502,[1]SP500!$D$2:$D$502,"N")</f>
        <v>Y</v>
      </c>
      <c r="E57" s="57" t="str">
        <f>_xlfn.XLOOKUP(A57,[1]SP500!$A$2:$A$655,[1]SP500!$B$2:$B$655)</f>
        <v>XLI</v>
      </c>
      <c r="F57" s="59">
        <v>45680</v>
      </c>
      <c r="G57" s="57" t="str">
        <f t="shared" si="1"/>
        <v>AMC</v>
      </c>
      <c r="H57" s="57" t="str">
        <f t="shared" si="2"/>
        <v>o</v>
      </c>
      <c r="I57" s="159">
        <v>33.67</v>
      </c>
      <c r="J57" s="159">
        <v>32.049999999999997</v>
      </c>
      <c r="K57" s="61">
        <f t="shared" si="3"/>
        <v>-4.811404811404825E-2</v>
      </c>
      <c r="L57" s="87">
        <f t="shared" si="4"/>
        <v>-19.245619245619309</v>
      </c>
      <c r="M57" s="63" t="str">
        <f t="shared" si="104"/>
        <v/>
      </c>
      <c r="N57" s="219" t="str">
        <f t="shared" si="6"/>
        <v/>
      </c>
      <c r="O57" s="219">
        <f>IF($J57="",#N/A,SUM($N$4:N57))</f>
        <v>90.030953950350806</v>
      </c>
      <c r="P57" s="220" t="str">
        <f t="shared" si="7"/>
        <v/>
      </c>
      <c r="Q57" s="220">
        <f>IF($J57="",#N/A,SUM($P$4:P57))</f>
        <v>37.351105039392337</v>
      </c>
      <c r="R57" s="221">
        <f t="shared" si="8"/>
        <v>-19.245619245619309</v>
      </c>
      <c r="S57" s="222">
        <f>IF($J57="",#N/A,SUM($R$4:R57))</f>
        <v>219.13284936236988</v>
      </c>
      <c r="T57" s="281" t="str">
        <f t="shared" si="9"/>
        <v/>
      </c>
      <c r="U57" s="281">
        <f>IF($J57="",#N/A,SUM($T$4:T57))</f>
        <v>3.7512897479312834</v>
      </c>
      <c r="V57" s="282" t="str">
        <f t="shared" si="10"/>
        <v/>
      </c>
      <c r="W57" s="282">
        <f>IF($J57="",#N/A,SUM($V$4:V57))</f>
        <v>1.5562960433080137</v>
      </c>
      <c r="X57" s="283">
        <f t="shared" si="11"/>
        <v>-0.80190080190080459</v>
      </c>
      <c r="Y57" s="283">
        <f>IF($J57="",#N/A,SUM($X$4:X57))</f>
        <v>9.1305353900987445</v>
      </c>
      <c r="Z57" s="304" t="str">
        <f t="shared" si="12"/>
        <v/>
      </c>
      <c r="AA57" s="304">
        <f>IF($J57="",#N/A,SUM(Z$4:Z57))</f>
        <v>1.1273861049364817</v>
      </c>
      <c r="AB57" s="305" t="str">
        <f t="shared" si="13"/>
        <v/>
      </c>
      <c r="AC57" s="305">
        <f>IF($J57="",#N/A,SUM(AB$4:AB57))</f>
        <v>0</v>
      </c>
      <c r="AD57" s="306" t="str">
        <f t="shared" si="14"/>
        <v/>
      </c>
      <c r="AE57" s="306">
        <f>IF($J57="",#N/A,SUM(AD$4:AD57))</f>
        <v>1.5553407757049009</v>
      </c>
      <c r="AF57" s="306">
        <f>IF($J57="",#N/A,SUM(AD$4:AD57,AB$4:AB57,Z$4:Z57))</f>
        <v>2.6827268806413822</v>
      </c>
      <c r="AG57" s="304" t="str">
        <f t="shared" si="15"/>
        <v/>
      </c>
      <c r="AH57" s="304">
        <f>IF($J57="",#N/A,SUM(AG$4:AG57))</f>
        <v>0</v>
      </c>
      <c r="AI57" s="305" t="str">
        <f t="shared" si="16"/>
        <v/>
      </c>
      <c r="AJ57" s="305">
        <f>IF($J57="",#N/A,SUM(AI$4:AI57))</f>
        <v>0</v>
      </c>
      <c r="AK57" s="306" t="str">
        <f t="shared" si="17"/>
        <v/>
      </c>
      <c r="AL57" s="306">
        <f>IF($J57="",#N/A,SUM(AK$4:AK57))</f>
        <v>0</v>
      </c>
      <c r="AM57" s="306">
        <f>IF($J57="",#N/A,SUM(AK$4:AK57,AI$4:AI57,AG$4:AG57))</f>
        <v>0</v>
      </c>
      <c r="AN57" s="304" t="str">
        <f t="shared" si="18"/>
        <v/>
      </c>
      <c r="AO57" s="304">
        <f>IF($J57="",#N/A,SUM(AN$4:AN57))</f>
        <v>0</v>
      </c>
      <c r="AP57" s="305" t="str">
        <f t="shared" si="19"/>
        <v/>
      </c>
      <c r="AQ57" s="305">
        <f>IF($J57="",#N/A,SUM(AP$4:AP57))</f>
        <v>0</v>
      </c>
      <c r="AR57" s="306" t="str">
        <f t="shared" si="20"/>
        <v/>
      </c>
      <c r="AS57" s="306">
        <f>IF($J57="",#N/A,SUM(AR$4:AR57))</f>
        <v>0</v>
      </c>
      <c r="AT57" s="306">
        <f>IF($J57="",#N/A,SUM(AR$4:AR57,AP$4:AP57,AN$4:AN57))</f>
        <v>0</v>
      </c>
      <c r="AU57" s="304" t="str">
        <f t="shared" si="21"/>
        <v/>
      </c>
      <c r="AV57" s="304">
        <f>IF($J57="",#N/A,SUM(AU$4:AU57))</f>
        <v>0</v>
      </c>
      <c r="AW57" s="305" t="str">
        <f t="shared" si="22"/>
        <v/>
      </c>
      <c r="AX57" s="305">
        <f>IF($J57="",#N/A,SUM(AW$4:AW57))</f>
        <v>1.2290222546515868</v>
      </c>
      <c r="AY57" s="306" t="str">
        <f t="shared" si="23"/>
        <v/>
      </c>
      <c r="AZ57" s="306">
        <f>IF($J57="",#N/A,SUM(AY$4:AY57))</f>
        <v>2.8806371278168421</v>
      </c>
      <c r="BA57" s="306">
        <f>IF($J57="",#N/A,SUM(AY$4:AY57,AW$4:AW57,AU$4:AU57))</f>
        <v>4.1096593824684291</v>
      </c>
      <c r="BB57" s="304" t="str">
        <f t="shared" si="24"/>
        <v/>
      </c>
      <c r="BC57" s="304">
        <f>IF($J57="",#N/A,SUM(BB$4:BB57))</f>
        <v>0</v>
      </c>
      <c r="BD57" s="305" t="str">
        <f t="shared" si="25"/>
        <v/>
      </c>
      <c r="BE57" s="305">
        <f>IF($J57="",#N/A,SUM(BD$4:BD57))</f>
        <v>0</v>
      </c>
      <c r="BF57" s="306" t="str">
        <f t="shared" si="26"/>
        <v/>
      </c>
      <c r="BG57" s="306">
        <f>IF($J57="",#N/A,SUM(BF$4:BF57))</f>
        <v>2.4597169840247779</v>
      </c>
      <c r="BH57" s="306">
        <f>IF($J57="",#N/A,SUM(BF$4:BF57,BD$4:BD57,BB$4:BB57))</f>
        <v>2.4597169840247779</v>
      </c>
      <c r="BI57" s="304" t="str">
        <f t="shared" si="27"/>
        <v/>
      </c>
      <c r="BJ57" s="304">
        <f>IF($J57="",#N/A,SUM(BI$4:BI57))</f>
        <v>-0.65882782914696958</v>
      </c>
      <c r="BK57" s="305" t="str">
        <f t="shared" si="28"/>
        <v/>
      </c>
      <c r="BL57" s="305">
        <f>IF($J57="",#N/A,SUM(BK$4:BK57))</f>
        <v>0</v>
      </c>
      <c r="BM57" s="306" t="str">
        <f t="shared" si="29"/>
        <v/>
      </c>
      <c r="BN57" s="306">
        <f>IF($J57="",#N/A,SUM(BM$4:BM57))</f>
        <v>3.8210959759517467</v>
      </c>
      <c r="BO57" s="306">
        <f>IF($J57="",#N/A,SUM(BM$4:BM57,BK$4:BK57,BI$4:BI57))</f>
        <v>3.1622681468047773</v>
      </c>
      <c r="BP57" s="304" t="str">
        <f t="shared" si="30"/>
        <v/>
      </c>
      <c r="BQ57" s="304">
        <f>IF($J57="",#N/A,SUM(BP$4:BP57))</f>
        <v>4.0154886764923106</v>
      </c>
      <c r="BR57" s="305" t="str">
        <f t="shared" si="31"/>
        <v/>
      </c>
      <c r="BS57" s="305">
        <f>IF($J57="",#N/A,SUM(BR$4:BR57))</f>
        <v>-0.34773304801390975</v>
      </c>
      <c r="BT57" s="306">
        <f t="shared" si="32"/>
        <v>-0.80190080190080459</v>
      </c>
      <c r="BU57" s="306">
        <f>IF($J57="",#N/A,SUM(BT$4:BT57))</f>
        <v>-1.737432118713206</v>
      </c>
      <c r="BV57" s="306">
        <f>IF($J57="",#N/A,SUM(BT$4:BT57,BR$4:BR57,BP$4:BP57))</f>
        <v>1.930323509765195</v>
      </c>
      <c r="BW57" s="304" t="str">
        <f t="shared" si="33"/>
        <v/>
      </c>
      <c r="BX57" s="304">
        <f>IF($J57="",#N/A,SUM(BW$4:BW57))</f>
        <v>-0.73275720435053893</v>
      </c>
      <c r="BY57" s="305" t="str">
        <f t="shared" si="34"/>
        <v/>
      </c>
      <c r="BZ57" s="305">
        <f>IF($J57="",#N/A,SUM(BY$4:BY57))</f>
        <v>0.46686916413544804</v>
      </c>
      <c r="CA57" s="306" t="str">
        <f t="shared" si="35"/>
        <v/>
      </c>
      <c r="CB57" s="306">
        <f>IF($J57="",#N/A,SUM(CA$4:CA57))</f>
        <v>-0.37959870993521366</v>
      </c>
      <c r="CC57" s="306">
        <f>IF($J57="",#N/A,SUM(CA$4:CA57,BY$4:BY57,BW$4:BW57))</f>
        <v>-0.64548675015030454</v>
      </c>
      <c r="CD57" s="304" t="str">
        <f t="shared" si="36"/>
        <v/>
      </c>
      <c r="CE57" s="304">
        <f>IF($J57="",#N/A,SUM(CD$4:CD57))</f>
        <v>0</v>
      </c>
      <c r="CF57" s="305" t="str">
        <f t="shared" si="37"/>
        <v/>
      </c>
      <c r="CG57" s="305">
        <f>IF($J57="",#N/A,SUM(CF$4:CF57))</f>
        <v>0.41783917455444924</v>
      </c>
      <c r="CH57" s="306" t="str">
        <f t="shared" si="38"/>
        <v/>
      </c>
      <c r="CI57" s="306">
        <f>IF($J57="",#N/A,SUM(CH$4:CH57))</f>
        <v>-0.25632679632191468</v>
      </c>
      <c r="CJ57" s="306">
        <f>IF($J57="",#N/A,SUM(CH$4:CH57,CF$4:CF57,CD$4:CD57))</f>
        <v>0.16151237823253456</v>
      </c>
      <c r="CK57" s="304" t="str">
        <f t="shared" si="39"/>
        <v/>
      </c>
      <c r="CL57" s="304">
        <f>IF($J57="",#N/A,SUM(CK$4:CK57))</f>
        <v>0</v>
      </c>
      <c r="CM57" s="305" t="str">
        <f t="shared" si="40"/>
        <v/>
      </c>
      <c r="CN57" s="305">
        <f>IF($J57="",#N/A,SUM(CM$4:CM57))</f>
        <v>0</v>
      </c>
      <c r="CO57" s="306" t="str">
        <f t="shared" si="41"/>
        <v/>
      </c>
      <c r="CP57" s="306">
        <f>IF($J57="",#N/A,SUM(CO$4:CO57))</f>
        <v>-0.8814781582839023</v>
      </c>
      <c r="CQ57" s="306">
        <f>IF($J57="",#N/A,SUM(CO$4:CO57,CM$4:CM57,CK$4:CK57))</f>
        <v>-0.8814781582839023</v>
      </c>
      <c r="CR57" s="304" t="str">
        <f t="shared" si="42"/>
        <v/>
      </c>
      <c r="CS57" s="304">
        <f>IF($J57="",#N/A,SUM(CR$4:CR57))</f>
        <v>0</v>
      </c>
      <c r="CT57" s="305" t="str">
        <f t="shared" si="43"/>
        <v/>
      </c>
      <c r="CU57" s="305">
        <f>IF($J57="",#N/A,SUM(CT$4:CT57))</f>
        <v>-0.13081968772223007</v>
      </c>
      <c r="CV57" s="306" t="str">
        <f t="shared" si="44"/>
        <v/>
      </c>
      <c r="CW57" s="306">
        <f>IF($J57="",#N/A,SUM(CV$4:CV57))</f>
        <v>0.28156811782542707</v>
      </c>
      <c r="CX57" s="306">
        <f>IF($J57="",#N/A,SUM(CV$4:CV57,CT$4:CT57,CR$4:CR57))</f>
        <v>0.150748430103197</v>
      </c>
      <c r="CY57" s="304" t="str">
        <f t="shared" si="45"/>
        <v/>
      </c>
      <c r="CZ57" s="304">
        <f>IF($J57="",#N/A,SUM(CY$4:CY57))</f>
        <v>0</v>
      </c>
      <c r="DA57" s="305" t="str">
        <f t="shared" si="46"/>
        <v/>
      </c>
      <c r="DB57" s="305">
        <f>IF($J57="",#N/A,SUM(DA$4:DA57))</f>
        <v>0</v>
      </c>
      <c r="DC57" s="306" t="str">
        <f t="shared" si="47"/>
        <v/>
      </c>
      <c r="DD57" s="306">
        <f>IF($J57="",#N/A,SUM(DC$4:DC57))</f>
        <v>0</v>
      </c>
      <c r="DE57" s="306">
        <f>IF($J57="",#N/A,SUM(DC$4:DC57,DA$4:DA57,CY$4:CY57))</f>
        <v>0</v>
      </c>
      <c r="DF57" s="304" t="str">
        <f t="shared" si="48"/>
        <v/>
      </c>
      <c r="DG57" s="304">
        <f>IF($J57="",#N/A,SUM(DF$4:DF57))</f>
        <v>0</v>
      </c>
      <c r="DH57" s="305" t="str">
        <f t="shared" si="49"/>
        <v/>
      </c>
      <c r="DI57" s="305">
        <f>IF($J57="",#N/A,SUM(DH$4:DH57))</f>
        <v>0</v>
      </c>
      <c r="DJ57" s="306" t="str">
        <f t="shared" si="50"/>
        <v/>
      </c>
      <c r="DK57" s="306">
        <f>IF($J57="",#N/A,SUM(DJ$4:DJ57))</f>
        <v>0</v>
      </c>
      <c r="DL57" s="306">
        <f>IF($J57="",#N/A,SUM(DJ$4:DJ57,DH$4:DH57,DF$4:DF57))</f>
        <v>0</v>
      </c>
      <c r="DM57" s="304" t="str">
        <f t="shared" si="51"/>
        <v/>
      </c>
      <c r="DN57" s="304">
        <f>IF($J57="",#N/A,SUM(DM$4:DM57))</f>
        <v>0</v>
      </c>
      <c r="DO57" s="305" t="str">
        <f t="shared" si="52"/>
        <v/>
      </c>
      <c r="DP57" s="305">
        <f>IF($J57="",#N/A,SUM(DO$4:DO57))</f>
        <v>0</v>
      </c>
      <c r="DQ57" s="306" t="str">
        <f t="shared" si="53"/>
        <v/>
      </c>
      <c r="DR57" s="306">
        <f>IF($J57="",#N/A,SUM(DQ$4:DQ57))</f>
        <v>0.79026593075765084</v>
      </c>
      <c r="DS57" s="306">
        <f>IF($J57="",#N/A,SUM(DQ$4:DQ57,DO$4:DO57,DM$4:DM57))</f>
        <v>0.79026593075765084</v>
      </c>
      <c r="DT57" s="304" t="str">
        <f t="shared" si="54"/>
        <v/>
      </c>
      <c r="DU57" s="304">
        <f>IF($J57="",#N/A,SUM(DT$4:DT57))</f>
        <v>0</v>
      </c>
      <c r="DV57" s="305" t="str">
        <f t="shared" si="55"/>
        <v/>
      </c>
      <c r="DW57" s="305">
        <f>IF($J57="",#N/A,SUM(DV$4:DV57))</f>
        <v>0.40085630512924314</v>
      </c>
      <c r="DX57" s="306" t="str">
        <f t="shared" si="56"/>
        <v/>
      </c>
      <c r="DY57" s="306">
        <f>IF($J57="",#N/A,SUM(DX$4:DX57))</f>
        <v>0.59674626127163555</v>
      </c>
      <c r="DZ57" s="306">
        <f>IF($J57="",#N/A,SUM(DX$4:DX57,DV$4:DV57,DT$4:DT57))</f>
        <v>0.99760256640087874</v>
      </c>
      <c r="EA57" s="304" t="str">
        <f t="shared" si="57"/>
        <v/>
      </c>
      <c r="EB57" s="304">
        <f>IF($J57="",#N/A,SUM(EA$4:EA57))</f>
        <v>0</v>
      </c>
      <c r="EC57" s="305" t="str">
        <f t="shared" si="58"/>
        <v/>
      </c>
      <c r="ED57" s="305">
        <f>IF($J57="",#N/A,SUM(EC$4:EC57))</f>
        <v>-0.47973811942657352</v>
      </c>
      <c r="EE57" s="306" t="str">
        <f t="shared" si="59"/>
        <v/>
      </c>
      <c r="EF57" s="306">
        <f>IF($J57="",#N/A,SUM(EE$4:EE57))</f>
        <v>0</v>
      </c>
      <c r="EG57" s="306">
        <f>IF($J57="",#N/A,SUM(EE$4:EE57,EC$4:EC57,EA$4:EA57))</f>
        <v>-0.47973811942657352</v>
      </c>
      <c r="EH57" s="223">
        <f t="shared" si="60"/>
        <v>-19.245619245619309</v>
      </c>
      <c r="EI57" s="224">
        <f>IF(EH57="",#N/A,SUM($EH$4:EH57))</f>
        <v>346.51490835211303</v>
      </c>
      <c r="EJ57" s="223">
        <f t="shared" si="61"/>
        <v>-11.642411642411673</v>
      </c>
      <c r="EK57" s="63">
        <f>IF($GZ57="",#N/A,SUM(EJ$4:EJ57))</f>
        <v>582.11860344538718</v>
      </c>
      <c r="EL57" s="60">
        <f t="shared" si="97"/>
        <v>-0.80190080190080459</v>
      </c>
      <c r="EM57" s="60">
        <f>IF(EL57="",NA(),SUM($EL$4:EL57))</f>
        <v>14.438121181338047</v>
      </c>
      <c r="EN57" s="60" t="str">
        <f t="shared" si="62"/>
        <v/>
      </c>
      <c r="EO57" s="60" t="e">
        <f>IF(EN57="",NA(),SUM($EN$4:EN57))</f>
        <v>#N/A</v>
      </c>
      <c r="EP57" s="60">
        <f t="shared" si="63"/>
        <v>-0.80190080190080459</v>
      </c>
      <c r="EQ57" s="60">
        <f>IF(EP57="",NA(),SUM($EP$4:EP57))</f>
        <v>9.1305353900987445</v>
      </c>
      <c r="ER57" s="60" t="str">
        <f t="shared" si="64"/>
        <v/>
      </c>
      <c r="ES57" s="60" t="e">
        <f>IF(ER57="",NA(),SUM($ER$4:ER57))</f>
        <v>#N/A</v>
      </c>
      <c r="ET57" s="60" t="str">
        <f t="shared" si="65"/>
        <v/>
      </c>
      <c r="EU57" s="60" t="e">
        <f>IF(ET57="",NA(),SUM($ET$4:ET57))</f>
        <v>#N/A</v>
      </c>
      <c r="EV57" s="60" t="str">
        <f t="shared" si="66"/>
        <v/>
      </c>
      <c r="EW57" s="60" t="e">
        <f>IF(EV57="",NA(),SUM($EV$4:EV57))</f>
        <v>#N/A</v>
      </c>
      <c r="EX57" s="60" t="str">
        <f t="shared" si="67"/>
        <v/>
      </c>
      <c r="EY57" s="60" t="e">
        <f>IF(EX57="",NA(),SUM($EX$4:EX57))</f>
        <v>#N/A</v>
      </c>
      <c r="EZ57" s="60" t="str">
        <f t="shared" si="68"/>
        <v/>
      </c>
      <c r="FA57" s="60" t="e">
        <f>IF(EZ57="",NA(),SUM($EZ$4:EZ57))</f>
        <v>#N/A</v>
      </c>
      <c r="FB57" s="246" t="str">
        <f t="shared" si="98"/>
        <v/>
      </c>
      <c r="FC57" s="246" t="e">
        <f>IF($FB57="",#N/A,SUM(FB$4:$FB57))</f>
        <v>#N/A</v>
      </c>
      <c r="FD57" s="60" t="str">
        <f t="shared" si="69"/>
        <v/>
      </c>
      <c r="FE57" s="60" t="e">
        <f>IF($FD57="",#N/A,SUM($FD$4:FD57))</f>
        <v>#N/A</v>
      </c>
      <c r="FF57" s="60" t="str">
        <f t="shared" si="70"/>
        <v/>
      </c>
      <c r="FG57" s="60" t="e">
        <f>IF($FF57="",#N/A,SUM($FF$4:FF57))</f>
        <v>#N/A</v>
      </c>
      <c r="FH57" s="60" t="str">
        <f t="shared" si="71"/>
        <v/>
      </c>
      <c r="FI57" s="60" t="e">
        <f>IF($FH57="",#N/A,SUM($FH$4:FH57))</f>
        <v>#N/A</v>
      </c>
      <c r="FJ57" s="60" t="str">
        <f t="shared" si="72"/>
        <v/>
      </c>
      <c r="FK57" s="60" t="e">
        <f>IF($FJ57="",#N/A,SUM($FJ$4:FJ57))</f>
        <v>#N/A</v>
      </c>
      <c r="FL57" s="60">
        <f t="shared" si="73"/>
        <v>0.31680031680031823</v>
      </c>
      <c r="FM57" s="60">
        <f>IF($FL57="",#N/A,SUM($FL$4:FL57))</f>
        <v>1.6918887170813077</v>
      </c>
      <c r="FN57" s="82">
        <f t="shared" si="74"/>
        <v>-0.48510048510048637</v>
      </c>
      <c r="FO57" s="82">
        <f>IF($FN57="",#N/A,SUM(FN$4:$FN57))</f>
        <v>24.254941810224484</v>
      </c>
      <c r="FP57" s="82">
        <f t="shared" si="99"/>
        <v>-0.80190080190080459</v>
      </c>
      <c r="FQ57" s="246">
        <f>IF($EH57="",#N/A,SUM($FP$4:FP57))</f>
        <v>14.438121181338047</v>
      </c>
      <c r="FR57" s="82">
        <f>IFERROR(FQ57/COUNTA($J$4:J57),#N/A)</f>
        <v>0.26737261446922311</v>
      </c>
      <c r="FS57" s="82">
        <f t="shared" si="110"/>
        <v>0.17144382138221567</v>
      </c>
      <c r="FT57" s="82">
        <f t="shared" si="111"/>
        <v>0.22040390456478606</v>
      </c>
      <c r="FU57" s="82" t="e">
        <v>#N/A</v>
      </c>
      <c r="FV57" s="57" t="str">
        <f t="shared" si="75"/>
        <v>SW</v>
      </c>
      <c r="FW57" s="57" t="s">
        <v>2732</v>
      </c>
      <c r="FX57" s="57" t="str">
        <f t="shared" si="76"/>
        <v/>
      </c>
      <c r="FY57" s="57" t="str">
        <f t="shared" si="77"/>
        <v/>
      </c>
      <c r="FZ57" s="57" t="str">
        <f t="shared" si="78"/>
        <v/>
      </c>
      <c r="GA57" s="57" t="str">
        <f t="shared" si="79"/>
        <v>Long</v>
      </c>
      <c r="GB57" s="57" t="str">
        <f t="shared" si="80"/>
        <v/>
      </c>
      <c r="GC57" s="57" t="str">
        <f t="shared" si="81"/>
        <v/>
      </c>
      <c r="GD57" s="57">
        <f t="shared" si="82"/>
        <v>1</v>
      </c>
      <c r="GE57" s="62">
        <f t="shared" si="105"/>
        <v>33.67</v>
      </c>
      <c r="GF57" s="62" t="s">
        <v>2779</v>
      </c>
      <c r="GG57" s="199">
        <f t="shared" si="106"/>
        <v>11.88001188001188</v>
      </c>
      <c r="GH57" s="207">
        <f t="shared" si="85"/>
        <v>400</v>
      </c>
      <c r="GI57" s="199">
        <f t="shared" si="107"/>
        <v>11.88001188001188</v>
      </c>
      <c r="GJ57" s="200">
        <f t="shared" si="108"/>
        <v>32.049999999999997</v>
      </c>
      <c r="GK57" s="63">
        <f t="shared" si="88"/>
        <v>-19.245619245619309</v>
      </c>
      <c r="GL57" s="63">
        <f t="shared" si="109"/>
        <v>-11.642411642411673</v>
      </c>
      <c r="GM57" s="82">
        <f t="shared" si="90"/>
        <v>-0.48510048510048637</v>
      </c>
      <c r="GN57" s="82">
        <f>IF($GZ57="",#N/A,SUM(GM$4:GM57))</f>
        <v>12.464972753609267</v>
      </c>
      <c r="GO57" s="82" t="str">
        <f t="shared" si="91"/>
        <v/>
      </c>
      <c r="GP57" s="82">
        <f>IF($GZ57="",#N/A,SUM(GO$4:GO57))</f>
        <v>7.6230580787965563</v>
      </c>
      <c r="GQ57" s="82" t="str">
        <f t="shared" si="92"/>
        <v/>
      </c>
      <c r="GR57" s="82">
        <f>IF($GZ57="",#N/A,SUM(GQ$4:GQ57))</f>
        <v>4.1669109778186488</v>
      </c>
      <c r="GS57" s="63">
        <f t="shared" si="100"/>
        <v>-11.642411642411673</v>
      </c>
      <c r="GT57" s="63">
        <f>IF($GZ57="",#N/A,SUM(GS$4:GS57))</f>
        <v>299.15934608662246</v>
      </c>
      <c r="GU57" s="63" t="str">
        <f t="shared" si="101"/>
        <v/>
      </c>
      <c r="GV57" s="63">
        <f>IF($GZ57="",#N/A,SUM(GU$4:GU57))</f>
        <v>182.95339389111734</v>
      </c>
      <c r="GW57" s="62" t="str">
        <f t="shared" si="102"/>
        <v/>
      </c>
      <c r="GX57" s="63">
        <f>IF($GZ57="",#N/A,SUM(GW$4:GW57))</f>
        <v>100.00586346764754</v>
      </c>
      <c r="GY57" s="63">
        <f>IF(EJ57="",#N/A,SUM($EJ$4:EJ57))</f>
        <v>582.11860344538718</v>
      </c>
      <c r="GZ57" s="159">
        <v>32.69</v>
      </c>
      <c r="HA57" s="63">
        <f t="shared" si="93"/>
        <v>7.6032076032076361</v>
      </c>
      <c r="HB57" s="62" t="s">
        <v>4970</v>
      </c>
      <c r="HC57" s="60">
        <f>IFERROR(VLOOKUP(E57,Expectancy!$P$4:$S$19,1+C57,FALSE),"")</f>
        <v>2.40735201201209E-2</v>
      </c>
      <c r="HD57" s="60" t="str">
        <f t="shared" si="94"/>
        <v/>
      </c>
      <c r="HE57" s="60" t="e">
        <f>IF(HD57="",#N/A,SUM($HD$4:HD57))</f>
        <v>#N/A</v>
      </c>
      <c r="HF57" s="64" t="e">
        <f>IF(HD57="",#N/A,IF(HB57="Skip",#N/A,SUM($HG$4:HG57)))</f>
        <v>#N/A</v>
      </c>
      <c r="HG57" s="63" t="str">
        <f t="shared" si="95"/>
        <v/>
      </c>
      <c r="HH57" s="82">
        <f t="shared" si="96"/>
        <v>-0.48510048510048637</v>
      </c>
    </row>
    <row r="58" spans="1:217" x14ac:dyDescent="0.25">
      <c r="A58" s="139" t="s">
        <v>1306</v>
      </c>
      <c r="B58" s="58" t="s">
        <v>5120</v>
      </c>
      <c r="C58" s="386">
        <f t="shared" si="0"/>
        <v>1</v>
      </c>
      <c r="D58" s="372" t="str">
        <f>_xlfn.XLOOKUP(A58,[1]SP500!$A$2:$A$502,[1]SP500!$D$2:$D$502,"N")</f>
        <v>Y</v>
      </c>
      <c r="E58" s="57" t="str">
        <f>_xlfn.XLOOKUP(A58,[1]SP500!$A$2:$A$655,[1]SP500!$B$2:$B$655)</f>
        <v>XLF</v>
      </c>
      <c r="F58" s="59">
        <v>45681</v>
      </c>
      <c r="G58" s="57" t="str">
        <f t="shared" si="1"/>
        <v>BMO</v>
      </c>
      <c r="H58" s="57" t="str">
        <f t="shared" si="2"/>
        <v>o</v>
      </c>
      <c r="I58" s="159">
        <v>325.87</v>
      </c>
      <c r="J58" s="158">
        <v>324.39999999999998</v>
      </c>
      <c r="K58" s="61">
        <f t="shared" si="3"/>
        <v>-4.5110013195446873E-3</v>
      </c>
      <c r="L58" s="87">
        <f t="shared" si="4"/>
        <v>-1.8044005278179043</v>
      </c>
      <c r="M58" s="63" t="str">
        <f t="shared" si="104"/>
        <v/>
      </c>
      <c r="N58" s="219">
        <f t="shared" si="6"/>
        <v>-1.8044005278179043</v>
      </c>
      <c r="O58" s="219">
        <f>IF($J58="",#N/A,SUM($N$4:N58))</f>
        <v>88.226553422532902</v>
      </c>
      <c r="P58" s="220" t="str">
        <f t="shared" si="7"/>
        <v/>
      </c>
      <c r="Q58" s="220">
        <f>IF($J58="",#N/A,SUM($P$4:P58))</f>
        <v>37.351105039392337</v>
      </c>
      <c r="R58" s="221" t="str">
        <f t="shared" si="8"/>
        <v/>
      </c>
      <c r="S58" s="222">
        <f>IF($J58="",#N/A,SUM($R$4:R58))</f>
        <v>219.13284936236988</v>
      </c>
      <c r="T58" s="281">
        <f t="shared" si="9"/>
        <v>-7.5183355325746007E-2</v>
      </c>
      <c r="U58" s="281">
        <f>IF($J58="",#N/A,SUM($T$4:T58))</f>
        <v>3.6761063926055373</v>
      </c>
      <c r="V58" s="282" t="str">
        <f t="shared" si="10"/>
        <v/>
      </c>
      <c r="W58" s="282">
        <f>IF($J58="",#N/A,SUM($V$4:V58))</f>
        <v>1.5562960433080137</v>
      </c>
      <c r="X58" s="283" t="str">
        <f t="shared" si="11"/>
        <v/>
      </c>
      <c r="Y58" s="283">
        <f>IF($J58="",#N/A,SUM($X$4:X58))</f>
        <v>9.1305353900987445</v>
      </c>
      <c r="Z58" s="304" t="str">
        <f t="shared" si="12"/>
        <v/>
      </c>
      <c r="AA58" s="304">
        <f>IF($J58="",#N/A,SUM(Z$4:Z58))</f>
        <v>1.1273861049364817</v>
      </c>
      <c r="AB58" s="305" t="str">
        <f t="shared" si="13"/>
        <v/>
      </c>
      <c r="AC58" s="305">
        <f>IF($J58="",#N/A,SUM(AB$4:AB58))</f>
        <v>0</v>
      </c>
      <c r="AD58" s="306" t="str">
        <f t="shared" si="14"/>
        <v/>
      </c>
      <c r="AE58" s="306">
        <f>IF($J58="",#N/A,SUM(AD$4:AD58))</f>
        <v>1.5553407757049009</v>
      </c>
      <c r="AF58" s="306">
        <f>IF($J58="",#N/A,SUM(AD$4:AD58,AB$4:AB58,Z$4:Z58))</f>
        <v>2.6827268806413822</v>
      </c>
      <c r="AG58" s="304" t="str">
        <f t="shared" si="15"/>
        <v/>
      </c>
      <c r="AH58" s="304">
        <f>IF($J58="",#N/A,SUM(AG$4:AG58))</f>
        <v>0</v>
      </c>
      <c r="AI58" s="305" t="str">
        <f t="shared" si="16"/>
        <v/>
      </c>
      <c r="AJ58" s="305">
        <f>IF($J58="",#N/A,SUM(AI$4:AI58))</f>
        <v>0</v>
      </c>
      <c r="AK58" s="306" t="str">
        <f t="shared" si="17"/>
        <v/>
      </c>
      <c r="AL58" s="306">
        <f>IF($J58="",#N/A,SUM(AK$4:AK58))</f>
        <v>0</v>
      </c>
      <c r="AM58" s="306">
        <f>IF($J58="",#N/A,SUM(AK$4:AK58,AI$4:AI58,AG$4:AG58))</f>
        <v>0</v>
      </c>
      <c r="AN58" s="304" t="str">
        <f t="shared" si="18"/>
        <v/>
      </c>
      <c r="AO58" s="304">
        <f>IF($J58="",#N/A,SUM(AN$4:AN58))</f>
        <v>0</v>
      </c>
      <c r="AP58" s="305" t="str">
        <f t="shared" si="19"/>
        <v/>
      </c>
      <c r="AQ58" s="305">
        <f>IF($J58="",#N/A,SUM(AP$4:AP58))</f>
        <v>0</v>
      </c>
      <c r="AR58" s="306" t="str">
        <f t="shared" si="20"/>
        <v/>
      </c>
      <c r="AS58" s="306">
        <f>IF($J58="",#N/A,SUM(AR$4:AR58))</f>
        <v>0</v>
      </c>
      <c r="AT58" s="306">
        <f>IF($J58="",#N/A,SUM(AR$4:AR58,AP$4:AP58,AN$4:AN58))</f>
        <v>0</v>
      </c>
      <c r="AU58" s="304" t="str">
        <f t="shared" si="21"/>
        <v/>
      </c>
      <c r="AV58" s="304">
        <f>IF($J58="",#N/A,SUM(AU$4:AU58))</f>
        <v>0</v>
      </c>
      <c r="AW58" s="305" t="str">
        <f t="shared" si="22"/>
        <v/>
      </c>
      <c r="AX58" s="305">
        <f>IF($J58="",#N/A,SUM(AW$4:AW58))</f>
        <v>1.2290222546515868</v>
      </c>
      <c r="AY58" s="306" t="str">
        <f t="shared" si="23"/>
        <v/>
      </c>
      <c r="AZ58" s="306">
        <f>IF($J58="",#N/A,SUM(AY$4:AY58))</f>
        <v>2.8806371278168421</v>
      </c>
      <c r="BA58" s="306">
        <f>IF($J58="",#N/A,SUM(AY$4:AY58,AW$4:AW58,AU$4:AU58))</f>
        <v>4.1096593824684291</v>
      </c>
      <c r="BB58" s="304" t="str">
        <f t="shared" si="24"/>
        <v/>
      </c>
      <c r="BC58" s="304">
        <f>IF($J58="",#N/A,SUM(BB$4:BB58))</f>
        <v>0</v>
      </c>
      <c r="BD58" s="305" t="str">
        <f t="shared" si="25"/>
        <v/>
      </c>
      <c r="BE58" s="305">
        <f>IF($J58="",#N/A,SUM(BD$4:BD58))</f>
        <v>0</v>
      </c>
      <c r="BF58" s="306" t="str">
        <f t="shared" si="26"/>
        <v/>
      </c>
      <c r="BG58" s="306">
        <f>IF($J58="",#N/A,SUM(BF$4:BF58))</f>
        <v>2.4597169840247779</v>
      </c>
      <c r="BH58" s="306">
        <f>IF($J58="",#N/A,SUM(BF$4:BF58,BD$4:BD58,BB$4:BB58))</f>
        <v>2.4597169840247779</v>
      </c>
      <c r="BI58" s="304">
        <f t="shared" si="27"/>
        <v>-7.5183355325746007E-2</v>
      </c>
      <c r="BJ58" s="304">
        <f>IF($J58="",#N/A,SUM(BI$4:BI58))</f>
        <v>-0.73401118447271563</v>
      </c>
      <c r="BK58" s="305" t="str">
        <f t="shared" si="28"/>
        <v/>
      </c>
      <c r="BL58" s="305">
        <f>IF($J58="",#N/A,SUM(BK$4:BK58))</f>
        <v>0</v>
      </c>
      <c r="BM58" s="306" t="str">
        <f t="shared" si="29"/>
        <v/>
      </c>
      <c r="BN58" s="306">
        <f>IF($J58="",#N/A,SUM(BM$4:BM58))</f>
        <v>3.8210959759517467</v>
      </c>
      <c r="BO58" s="306">
        <f>IF($J58="",#N/A,SUM(BM$4:BM58,BK$4:BK58,BI$4:BI58))</f>
        <v>3.0870847914790311</v>
      </c>
      <c r="BP58" s="304" t="str">
        <f t="shared" si="30"/>
        <v/>
      </c>
      <c r="BQ58" s="304">
        <f>IF($J58="",#N/A,SUM(BP$4:BP58))</f>
        <v>4.0154886764923106</v>
      </c>
      <c r="BR58" s="305" t="str">
        <f t="shared" si="31"/>
        <v/>
      </c>
      <c r="BS58" s="305">
        <f>IF($J58="",#N/A,SUM(BR$4:BR58))</f>
        <v>-0.34773304801390975</v>
      </c>
      <c r="BT58" s="306" t="str">
        <f t="shared" si="32"/>
        <v/>
      </c>
      <c r="BU58" s="306">
        <f>IF($J58="",#N/A,SUM(BT$4:BT58))</f>
        <v>-1.737432118713206</v>
      </c>
      <c r="BV58" s="306">
        <f>IF($J58="",#N/A,SUM(BT$4:BT58,BR$4:BR58,BP$4:BP58))</f>
        <v>1.930323509765195</v>
      </c>
      <c r="BW58" s="304" t="str">
        <f t="shared" si="33"/>
        <v/>
      </c>
      <c r="BX58" s="304">
        <f>IF($J58="",#N/A,SUM(BW$4:BW58))</f>
        <v>-0.73275720435053893</v>
      </c>
      <c r="BY58" s="305" t="str">
        <f t="shared" si="34"/>
        <v/>
      </c>
      <c r="BZ58" s="305">
        <f>IF($J58="",#N/A,SUM(BY$4:BY58))</f>
        <v>0.46686916413544804</v>
      </c>
      <c r="CA58" s="306" t="str">
        <f t="shared" si="35"/>
        <v/>
      </c>
      <c r="CB58" s="306">
        <f>IF($J58="",#N/A,SUM(CA$4:CA58))</f>
        <v>-0.37959870993521366</v>
      </c>
      <c r="CC58" s="306">
        <f>IF($J58="",#N/A,SUM(CA$4:CA58,BY$4:BY58,BW$4:BW58))</f>
        <v>-0.64548675015030454</v>
      </c>
      <c r="CD58" s="304" t="str">
        <f t="shared" si="36"/>
        <v/>
      </c>
      <c r="CE58" s="304">
        <f>IF($J58="",#N/A,SUM(CD$4:CD58))</f>
        <v>0</v>
      </c>
      <c r="CF58" s="305" t="str">
        <f t="shared" si="37"/>
        <v/>
      </c>
      <c r="CG58" s="305">
        <f>IF($J58="",#N/A,SUM(CF$4:CF58))</f>
        <v>0.41783917455444924</v>
      </c>
      <c r="CH58" s="306" t="str">
        <f t="shared" si="38"/>
        <v/>
      </c>
      <c r="CI58" s="306">
        <f>IF($J58="",#N/A,SUM(CH$4:CH58))</f>
        <v>-0.25632679632191468</v>
      </c>
      <c r="CJ58" s="306">
        <f>IF($J58="",#N/A,SUM(CH$4:CH58,CF$4:CF58,CD$4:CD58))</f>
        <v>0.16151237823253456</v>
      </c>
      <c r="CK58" s="304" t="str">
        <f t="shared" si="39"/>
        <v/>
      </c>
      <c r="CL58" s="304">
        <f>IF($J58="",#N/A,SUM(CK$4:CK58))</f>
        <v>0</v>
      </c>
      <c r="CM58" s="305" t="str">
        <f t="shared" si="40"/>
        <v/>
      </c>
      <c r="CN58" s="305">
        <f>IF($J58="",#N/A,SUM(CM$4:CM58))</f>
        <v>0</v>
      </c>
      <c r="CO58" s="306" t="str">
        <f t="shared" si="41"/>
        <v/>
      </c>
      <c r="CP58" s="306">
        <f>IF($J58="",#N/A,SUM(CO$4:CO58))</f>
        <v>-0.8814781582839023</v>
      </c>
      <c r="CQ58" s="306">
        <f>IF($J58="",#N/A,SUM(CO$4:CO58,CM$4:CM58,CK$4:CK58))</f>
        <v>-0.8814781582839023</v>
      </c>
      <c r="CR58" s="304" t="str">
        <f t="shared" si="42"/>
        <v/>
      </c>
      <c r="CS58" s="304">
        <f>IF($J58="",#N/A,SUM(CR$4:CR58))</f>
        <v>0</v>
      </c>
      <c r="CT58" s="305" t="str">
        <f t="shared" si="43"/>
        <v/>
      </c>
      <c r="CU58" s="305">
        <f>IF($J58="",#N/A,SUM(CT$4:CT58))</f>
        <v>-0.13081968772223007</v>
      </c>
      <c r="CV58" s="306" t="str">
        <f t="shared" si="44"/>
        <v/>
      </c>
      <c r="CW58" s="306">
        <f>IF($J58="",#N/A,SUM(CV$4:CV58))</f>
        <v>0.28156811782542707</v>
      </c>
      <c r="CX58" s="306">
        <f>IF($J58="",#N/A,SUM(CV$4:CV58,CT$4:CT58,CR$4:CR58))</f>
        <v>0.150748430103197</v>
      </c>
      <c r="CY58" s="304" t="str">
        <f t="shared" si="45"/>
        <v/>
      </c>
      <c r="CZ58" s="304">
        <f>IF($J58="",#N/A,SUM(CY$4:CY58))</f>
        <v>0</v>
      </c>
      <c r="DA58" s="305" t="str">
        <f t="shared" si="46"/>
        <v/>
      </c>
      <c r="DB58" s="305">
        <f>IF($J58="",#N/A,SUM(DA$4:DA58))</f>
        <v>0</v>
      </c>
      <c r="DC58" s="306" t="str">
        <f t="shared" si="47"/>
        <v/>
      </c>
      <c r="DD58" s="306">
        <f>IF($J58="",#N/A,SUM(DC$4:DC58))</f>
        <v>0</v>
      </c>
      <c r="DE58" s="306">
        <f>IF($J58="",#N/A,SUM(DC$4:DC58,DA$4:DA58,CY$4:CY58))</f>
        <v>0</v>
      </c>
      <c r="DF58" s="304" t="str">
        <f t="shared" si="48"/>
        <v/>
      </c>
      <c r="DG58" s="304">
        <f>IF($J58="",#N/A,SUM(DF$4:DF58))</f>
        <v>0</v>
      </c>
      <c r="DH58" s="305" t="str">
        <f t="shared" si="49"/>
        <v/>
      </c>
      <c r="DI58" s="305">
        <f>IF($J58="",#N/A,SUM(DH$4:DH58))</f>
        <v>0</v>
      </c>
      <c r="DJ58" s="306" t="str">
        <f t="shared" si="50"/>
        <v/>
      </c>
      <c r="DK58" s="306">
        <f>IF($J58="",#N/A,SUM(DJ$4:DJ58))</f>
        <v>0</v>
      </c>
      <c r="DL58" s="306">
        <f>IF($J58="",#N/A,SUM(DJ$4:DJ58,DH$4:DH58,DF$4:DF58))</f>
        <v>0</v>
      </c>
      <c r="DM58" s="304" t="str">
        <f t="shared" si="51"/>
        <v/>
      </c>
      <c r="DN58" s="304">
        <f>IF($J58="",#N/A,SUM(DM$4:DM58))</f>
        <v>0</v>
      </c>
      <c r="DO58" s="305" t="str">
        <f t="shared" si="52"/>
        <v/>
      </c>
      <c r="DP58" s="305">
        <f>IF($J58="",#N/A,SUM(DO$4:DO58))</f>
        <v>0</v>
      </c>
      <c r="DQ58" s="306" t="str">
        <f t="shared" si="53"/>
        <v/>
      </c>
      <c r="DR58" s="306">
        <f>IF($J58="",#N/A,SUM(DQ$4:DQ58))</f>
        <v>0.79026593075765084</v>
      </c>
      <c r="DS58" s="306">
        <f>IF($J58="",#N/A,SUM(DQ$4:DQ58,DO$4:DO58,DM$4:DM58))</f>
        <v>0.79026593075765084</v>
      </c>
      <c r="DT58" s="304" t="str">
        <f t="shared" si="54"/>
        <v/>
      </c>
      <c r="DU58" s="304">
        <f>IF($J58="",#N/A,SUM(DT$4:DT58))</f>
        <v>0</v>
      </c>
      <c r="DV58" s="305" t="str">
        <f t="shared" si="55"/>
        <v/>
      </c>
      <c r="DW58" s="305">
        <f>IF($J58="",#N/A,SUM(DV$4:DV58))</f>
        <v>0.40085630512924314</v>
      </c>
      <c r="DX58" s="306" t="str">
        <f t="shared" si="56"/>
        <v/>
      </c>
      <c r="DY58" s="306">
        <f>IF($J58="",#N/A,SUM(DX$4:DX58))</f>
        <v>0.59674626127163555</v>
      </c>
      <c r="DZ58" s="306">
        <f>IF($J58="",#N/A,SUM(DX$4:DX58,DV$4:DV58,DT$4:DT58))</f>
        <v>0.99760256640087874</v>
      </c>
      <c r="EA58" s="304" t="str">
        <f t="shared" si="57"/>
        <v/>
      </c>
      <c r="EB58" s="304">
        <f>IF($J58="",#N/A,SUM(EA$4:EA58))</f>
        <v>0</v>
      </c>
      <c r="EC58" s="305" t="str">
        <f t="shared" si="58"/>
        <v/>
      </c>
      <c r="ED58" s="305">
        <f>IF($J58="",#N/A,SUM(EC$4:EC58))</f>
        <v>-0.47973811942657352</v>
      </c>
      <c r="EE58" s="306" t="str">
        <f t="shared" si="59"/>
        <v/>
      </c>
      <c r="EF58" s="306">
        <f>IF($J58="",#N/A,SUM(EE$4:EE58))</f>
        <v>0</v>
      </c>
      <c r="EG58" s="306">
        <f>IF($J58="",#N/A,SUM(EE$4:EE58,EC$4:EC58,EA$4:EA58))</f>
        <v>-0.47973811942657352</v>
      </c>
      <c r="EH58" s="223">
        <f t="shared" si="60"/>
        <v>-1.8044005278179043</v>
      </c>
      <c r="EI58" s="224">
        <f>IF(EH58="",#N/A,SUM($EH$4:EH58))</f>
        <v>344.71050782429512</v>
      </c>
      <c r="EJ58" s="223">
        <f t="shared" si="61"/>
        <v>-5.5604995857244148</v>
      </c>
      <c r="EK58" s="63">
        <f>IF($GZ58="",#N/A,SUM(EJ$4:EJ58))</f>
        <v>576.55810385966276</v>
      </c>
      <c r="EL58" s="60">
        <f t="shared" si="97"/>
        <v>-7.5183355325746007E-2</v>
      </c>
      <c r="EM58" s="60">
        <f>IF(EL58="",NA(),SUM($EL$4:EL58))</f>
        <v>14.362937826012301</v>
      </c>
      <c r="EN58" s="60">
        <f t="shared" si="62"/>
        <v>-7.5183355325746007E-2</v>
      </c>
      <c r="EO58" s="60">
        <f>IF(EN58="",NA(),SUM($EN$4:EN58))</f>
        <v>3.6761063926055373</v>
      </c>
      <c r="EP58" s="60" t="str">
        <f t="shared" si="63"/>
        <v/>
      </c>
      <c r="EQ58" s="60" t="e">
        <f>IF(EP58="",NA(),SUM($EP$4:EP58))</f>
        <v>#N/A</v>
      </c>
      <c r="ER58" s="60" t="str">
        <f t="shared" si="64"/>
        <v/>
      </c>
      <c r="ES58" s="60" t="e">
        <f>IF(ER58="",NA(),SUM($ER$4:ER58))</f>
        <v>#N/A</v>
      </c>
      <c r="ET58" s="60" t="str">
        <f t="shared" si="65"/>
        <v/>
      </c>
      <c r="EU58" s="60" t="e">
        <f>IF(ET58="",NA(),SUM($ET$4:ET58))</f>
        <v>#N/A</v>
      </c>
      <c r="EV58" s="60" t="str">
        <f t="shared" si="66"/>
        <v/>
      </c>
      <c r="EW58" s="60" t="e">
        <f>IF(EV58="",NA(),SUM($EV$4:EV58))</f>
        <v>#N/A</v>
      </c>
      <c r="EX58" s="60" t="str">
        <f t="shared" si="67"/>
        <v/>
      </c>
      <c r="EY58" s="60" t="e">
        <f>IF(EX58="",NA(),SUM($EX$4:EX58))</f>
        <v>#N/A</v>
      </c>
      <c r="EZ58" s="60" t="str">
        <f t="shared" si="68"/>
        <v/>
      </c>
      <c r="FA58" s="60" t="e">
        <f>IF(EZ58="",NA(),SUM($EZ$4:EZ58))</f>
        <v>#N/A</v>
      </c>
      <c r="FB58" s="246" t="str">
        <f t="shared" si="98"/>
        <v/>
      </c>
      <c r="FC58" s="246" t="e">
        <f>IF($FB58="",#N/A,SUM(FB$4:$FB58))</f>
        <v>#N/A</v>
      </c>
      <c r="FD58" s="60" t="str">
        <f t="shared" si="69"/>
        <v/>
      </c>
      <c r="FE58" s="60" t="e">
        <f>IF($FD58="",#N/A,SUM($FD$4:FD58))</f>
        <v>#N/A</v>
      </c>
      <c r="FF58" s="60" t="str">
        <f t="shared" si="70"/>
        <v/>
      </c>
      <c r="FG58" s="60" t="e">
        <f>IF($FF58="",#N/A,SUM($FF$4:FF58))</f>
        <v>#N/A</v>
      </c>
      <c r="FH58" s="60">
        <f t="shared" si="71"/>
        <v>-0.15650412741277125</v>
      </c>
      <c r="FI58" s="60">
        <f>IF($FH58="",#N/A,SUM($FH$4:FH58))</f>
        <v>1.7495399516153092</v>
      </c>
      <c r="FJ58" s="60" t="str">
        <f t="shared" si="72"/>
        <v/>
      </c>
      <c r="FK58" s="60" t="e">
        <f>IF($FJ58="",#N/A,SUM($FJ$4:FJ58))</f>
        <v>#N/A</v>
      </c>
      <c r="FL58" s="60" t="str">
        <f t="shared" si="73"/>
        <v/>
      </c>
      <c r="FM58" s="60" t="e">
        <f>IF($FL58="",#N/A,SUM($FL$4:FL58))</f>
        <v>#N/A</v>
      </c>
      <c r="FN58" s="82">
        <f t="shared" si="74"/>
        <v>-0.23168748273851728</v>
      </c>
      <c r="FO58" s="82">
        <f>IF($FN58="",#N/A,SUM(FN$4:$FN58))</f>
        <v>24.023254327485965</v>
      </c>
      <c r="FP58" s="82">
        <f t="shared" si="99"/>
        <v>-7.5183355325746007E-2</v>
      </c>
      <c r="FQ58" s="246">
        <f>IF($EH58="",#N/A,SUM($FP$4:FP58))</f>
        <v>14.362937826012301</v>
      </c>
      <c r="FR58" s="82">
        <f>IFERROR(FQ58/COUNTA($J$4:J58),#N/A)</f>
        <v>0.26114432410931454</v>
      </c>
      <c r="FS58" s="82">
        <f t="shared" si="110"/>
        <v>0.15450206120388765</v>
      </c>
      <c r="FT58" s="82">
        <f t="shared" si="111"/>
        <v>0.20580052175377117</v>
      </c>
      <c r="FU58" s="82" t="e">
        <v>#N/A</v>
      </c>
      <c r="FV58" s="57" t="str">
        <f t="shared" si="75"/>
        <v>Up</v>
      </c>
      <c r="FW58" s="57" t="s">
        <v>2734</v>
      </c>
      <c r="FX58" s="57" t="str">
        <f t="shared" si="76"/>
        <v/>
      </c>
      <c r="FY58" s="57" t="str">
        <f t="shared" si="77"/>
        <v/>
      </c>
      <c r="FZ58" s="57" t="str">
        <f t="shared" si="78"/>
        <v/>
      </c>
      <c r="GA58" s="57" t="str">
        <f t="shared" si="79"/>
        <v>Long</v>
      </c>
      <c r="GB58" s="57" t="str">
        <f t="shared" si="80"/>
        <v/>
      </c>
      <c r="GC58" s="57">
        <f t="shared" si="81"/>
        <v>1</v>
      </c>
      <c r="GD58" s="57" t="str">
        <f t="shared" si="82"/>
        <v/>
      </c>
      <c r="GE58" s="62">
        <f t="shared" si="105"/>
        <v>325.87</v>
      </c>
      <c r="GF58" s="62" t="s">
        <v>2779</v>
      </c>
      <c r="GG58" s="199">
        <f t="shared" si="106"/>
        <v>1.227483352257035</v>
      </c>
      <c r="GH58" s="207">
        <f t="shared" si="85"/>
        <v>400</v>
      </c>
      <c r="GI58" s="199">
        <f t="shared" si="107"/>
        <v>1.227483352257035</v>
      </c>
      <c r="GJ58" s="200">
        <f t="shared" si="108"/>
        <v>324.39999999999998</v>
      </c>
      <c r="GK58" s="63">
        <f t="shared" si="88"/>
        <v>-1.8044005278179043</v>
      </c>
      <c r="GL58" s="63">
        <f t="shared" si="109"/>
        <v>-5.5604995857244148</v>
      </c>
      <c r="GM58" s="82" t="str">
        <f t="shared" si="90"/>
        <v/>
      </c>
      <c r="GN58" s="82">
        <f>IF($GZ58="",#N/A,SUM(GM$4:GM58))</f>
        <v>12.464972753609267</v>
      </c>
      <c r="GO58" s="82">
        <f t="shared" si="91"/>
        <v>-0.23168748273851728</v>
      </c>
      <c r="GP58" s="82">
        <f>IF($GZ58="",#N/A,SUM(GO$4:GO58))</f>
        <v>7.3913705960580387</v>
      </c>
      <c r="GQ58" s="82" t="str">
        <f t="shared" si="92"/>
        <v/>
      </c>
      <c r="GR58" s="82">
        <f>IF($GZ58="",#N/A,SUM(GQ$4:GQ58))</f>
        <v>4.1669109778186488</v>
      </c>
      <c r="GS58" s="63" t="str">
        <f t="shared" si="100"/>
        <v/>
      </c>
      <c r="GT58" s="63">
        <f>IF($GZ58="",#N/A,SUM(GS$4:GS58))</f>
        <v>299.15934608662246</v>
      </c>
      <c r="GU58" s="63">
        <f t="shared" si="101"/>
        <v>-5.5604995857244148</v>
      </c>
      <c r="GV58" s="63">
        <f>IF($GZ58="",#N/A,SUM(GU$4:GU58))</f>
        <v>177.39289430539293</v>
      </c>
      <c r="GW58" s="62" t="str">
        <f t="shared" si="102"/>
        <v/>
      </c>
      <c r="GX58" s="63">
        <f>IF($GZ58="",#N/A,SUM(GW$4:GW58))</f>
        <v>100.00586346764754</v>
      </c>
      <c r="GY58" s="63">
        <f>IF(EJ58="",#N/A,SUM($EJ$4:EJ58))</f>
        <v>576.55810385966276</v>
      </c>
      <c r="GZ58" s="159">
        <v>321.33999999999997</v>
      </c>
      <c r="HA58" s="63">
        <f t="shared" si="93"/>
        <v>-3.7560990579065106</v>
      </c>
      <c r="HB58" s="62" t="s">
        <v>4970</v>
      </c>
      <c r="HC58" s="60">
        <f>IFERROR(VLOOKUP(E58,Expectancy!$P$4:$S$19,1+C58,FALSE),"")</f>
        <v>-7.9483352726509887E-2</v>
      </c>
      <c r="HD58" s="60" t="str">
        <f t="shared" si="94"/>
        <v/>
      </c>
      <c r="HE58" s="60" t="e">
        <f>IF(HD58="",#N/A,SUM($HD$4:HD58))</f>
        <v>#N/A</v>
      </c>
      <c r="HF58" s="64" t="e">
        <f>IF(HD58="",#N/A,IF(HB58="Skip",#N/A,SUM($HG$4:HG58)))</f>
        <v>#N/A</v>
      </c>
      <c r="HG58" s="63" t="str">
        <f t="shared" si="95"/>
        <v/>
      </c>
      <c r="HH58" s="82">
        <f t="shared" si="96"/>
        <v>-0.23168748273851728</v>
      </c>
    </row>
    <row r="59" spans="1:217" x14ac:dyDescent="0.25">
      <c r="A59" s="57" t="s">
        <v>1315</v>
      </c>
      <c r="B59" s="58" t="s">
        <v>5121</v>
      </c>
      <c r="C59" s="386">
        <f t="shared" si="0"/>
        <v>2</v>
      </c>
      <c r="D59" s="372" t="str">
        <f>_xlfn.XLOOKUP(A59,[1]SP500!$A$2:$A$502,[1]SP500!$D$2:$D$502,"N")</f>
        <v>Y</v>
      </c>
      <c r="E59" s="57" t="str">
        <f>_xlfn.XLOOKUP(A59,[1]SP500!$A$2:$A$655,[1]SP500!$B$2:$B$655)</f>
        <v>XLC</v>
      </c>
      <c r="F59" s="59">
        <v>45681</v>
      </c>
      <c r="G59" s="57" t="str">
        <f t="shared" si="1"/>
        <v>BMO</v>
      </c>
      <c r="H59" s="57" t="str">
        <f t="shared" si="2"/>
        <v>o</v>
      </c>
      <c r="I59" s="159">
        <v>39.18</v>
      </c>
      <c r="J59" s="159">
        <v>40.11</v>
      </c>
      <c r="K59" s="61">
        <f t="shared" si="3"/>
        <v>2.3736600306278707E-2</v>
      </c>
      <c r="L59" s="87">
        <f t="shared" si="4"/>
        <v>-9.4946401225114982</v>
      </c>
      <c r="M59" s="63" t="str">
        <f t="shared" si="104"/>
        <v/>
      </c>
      <c r="N59" s="219" t="str">
        <f t="shared" si="6"/>
        <v/>
      </c>
      <c r="O59" s="219">
        <f>IF($J59="",#N/A,SUM($N$4:N59))</f>
        <v>88.226553422532902</v>
      </c>
      <c r="P59" s="220">
        <f t="shared" si="7"/>
        <v>-9.4946401225114982</v>
      </c>
      <c r="Q59" s="220">
        <f>IF($J59="",#N/A,SUM($P$4:P59))</f>
        <v>27.856464916880839</v>
      </c>
      <c r="R59" s="221" t="str">
        <f t="shared" si="8"/>
        <v/>
      </c>
      <c r="S59" s="222">
        <f>IF($J59="",#N/A,SUM($R$4:R59))</f>
        <v>219.13284936236988</v>
      </c>
      <c r="T59" s="281" t="str">
        <f t="shared" si="9"/>
        <v/>
      </c>
      <c r="U59" s="281">
        <f>IF($J59="",#N/A,SUM($T$4:T59))</f>
        <v>3.6761063926055373</v>
      </c>
      <c r="V59" s="282">
        <f t="shared" si="10"/>
        <v>-0.39561000510464578</v>
      </c>
      <c r="W59" s="282">
        <f>IF($J59="",#N/A,SUM($V$4:V59))</f>
        <v>1.1606860382033679</v>
      </c>
      <c r="X59" s="283" t="str">
        <f t="shared" si="11"/>
        <v/>
      </c>
      <c r="Y59" s="283">
        <f>IF($J59="",#N/A,SUM($X$4:X59))</f>
        <v>9.1305353900987445</v>
      </c>
      <c r="Z59" s="304" t="str">
        <f t="shared" si="12"/>
        <v/>
      </c>
      <c r="AA59" s="304">
        <f>IF($J59="",#N/A,SUM(Z$4:Z59))</f>
        <v>1.1273861049364817</v>
      </c>
      <c r="AB59" s="305" t="str">
        <f t="shared" si="13"/>
        <v/>
      </c>
      <c r="AC59" s="305">
        <f>IF($J59="",#N/A,SUM(AB$4:AB59))</f>
        <v>0</v>
      </c>
      <c r="AD59" s="306" t="str">
        <f t="shared" si="14"/>
        <v/>
      </c>
      <c r="AE59" s="306">
        <f>IF($J59="",#N/A,SUM(AD$4:AD59))</f>
        <v>1.5553407757049009</v>
      </c>
      <c r="AF59" s="306">
        <f>IF($J59="",#N/A,SUM(AD$4:AD59,AB$4:AB59,Z$4:Z59))</f>
        <v>2.6827268806413822</v>
      </c>
      <c r="AG59" s="304" t="str">
        <f t="shared" si="15"/>
        <v/>
      </c>
      <c r="AH59" s="304">
        <f>IF($J59="",#N/A,SUM(AG$4:AG59))</f>
        <v>0</v>
      </c>
      <c r="AI59" s="305" t="str">
        <f t="shared" si="16"/>
        <v/>
      </c>
      <c r="AJ59" s="305">
        <f>IF($J59="",#N/A,SUM(AI$4:AI59))</f>
        <v>0</v>
      </c>
      <c r="AK59" s="306" t="str">
        <f t="shared" si="17"/>
        <v/>
      </c>
      <c r="AL59" s="306">
        <f>IF($J59="",#N/A,SUM(AK$4:AK59))</f>
        <v>0</v>
      </c>
      <c r="AM59" s="306">
        <f>IF($J59="",#N/A,SUM(AK$4:AK59,AI$4:AI59,AG$4:AG59))</f>
        <v>0</v>
      </c>
      <c r="AN59" s="304" t="str">
        <f t="shared" si="18"/>
        <v/>
      </c>
      <c r="AO59" s="304">
        <f>IF($J59="",#N/A,SUM(AN$4:AN59))</f>
        <v>0</v>
      </c>
      <c r="AP59" s="305" t="str">
        <f t="shared" si="19"/>
        <v/>
      </c>
      <c r="AQ59" s="305">
        <f>IF($J59="",#N/A,SUM(AP$4:AP59))</f>
        <v>0</v>
      </c>
      <c r="AR59" s="306" t="str">
        <f t="shared" si="20"/>
        <v/>
      </c>
      <c r="AS59" s="306">
        <f>IF($J59="",#N/A,SUM(AR$4:AR59))</f>
        <v>0</v>
      </c>
      <c r="AT59" s="306">
        <f>IF($J59="",#N/A,SUM(AR$4:AR59,AP$4:AP59,AN$4:AN59))</f>
        <v>0</v>
      </c>
      <c r="AU59" s="304" t="str">
        <f t="shared" si="21"/>
        <v/>
      </c>
      <c r="AV59" s="304">
        <f>IF($J59="",#N/A,SUM(AU$4:AU59))</f>
        <v>0</v>
      </c>
      <c r="AW59" s="305" t="str">
        <f t="shared" si="22"/>
        <v/>
      </c>
      <c r="AX59" s="305">
        <f>IF($J59="",#N/A,SUM(AW$4:AW59))</f>
        <v>1.2290222546515868</v>
      </c>
      <c r="AY59" s="306" t="str">
        <f t="shared" si="23"/>
        <v/>
      </c>
      <c r="AZ59" s="306">
        <f>IF($J59="",#N/A,SUM(AY$4:AY59))</f>
        <v>2.8806371278168421</v>
      </c>
      <c r="BA59" s="306">
        <f>IF($J59="",#N/A,SUM(AY$4:AY59,AW$4:AW59,AU$4:AU59))</f>
        <v>4.1096593824684291</v>
      </c>
      <c r="BB59" s="304" t="str">
        <f t="shared" si="24"/>
        <v/>
      </c>
      <c r="BC59" s="304">
        <f>IF($J59="",#N/A,SUM(BB$4:BB59))</f>
        <v>0</v>
      </c>
      <c r="BD59" s="305">
        <f t="shared" si="25"/>
        <v>-0.39561000510464578</v>
      </c>
      <c r="BE59" s="305">
        <f>IF($J59="",#N/A,SUM(BD$4:BD59))</f>
        <v>-0.39561000510464578</v>
      </c>
      <c r="BF59" s="306" t="str">
        <f t="shared" si="26"/>
        <v/>
      </c>
      <c r="BG59" s="306">
        <f>IF($J59="",#N/A,SUM(BF$4:BF59))</f>
        <v>2.4597169840247779</v>
      </c>
      <c r="BH59" s="306">
        <f>IF($J59="",#N/A,SUM(BF$4:BF59,BD$4:BD59,BB$4:BB59))</f>
        <v>2.0641069789201323</v>
      </c>
      <c r="BI59" s="304" t="str">
        <f t="shared" si="27"/>
        <v/>
      </c>
      <c r="BJ59" s="304">
        <f>IF($J59="",#N/A,SUM(BI$4:BI59))</f>
        <v>-0.73401118447271563</v>
      </c>
      <c r="BK59" s="305" t="str">
        <f t="shared" si="28"/>
        <v/>
      </c>
      <c r="BL59" s="305">
        <f>IF($J59="",#N/A,SUM(BK$4:BK59))</f>
        <v>0</v>
      </c>
      <c r="BM59" s="306" t="str">
        <f t="shared" si="29"/>
        <v/>
      </c>
      <c r="BN59" s="306">
        <f>IF($J59="",#N/A,SUM(BM$4:BM59))</f>
        <v>3.8210959759517467</v>
      </c>
      <c r="BO59" s="306">
        <f>IF($J59="",#N/A,SUM(BM$4:BM59,BK$4:BK59,BI$4:BI59))</f>
        <v>3.0870847914790311</v>
      </c>
      <c r="BP59" s="304" t="str">
        <f t="shared" si="30"/>
        <v/>
      </c>
      <c r="BQ59" s="304">
        <f>IF($J59="",#N/A,SUM(BP$4:BP59))</f>
        <v>4.0154886764923106</v>
      </c>
      <c r="BR59" s="305" t="str">
        <f t="shared" si="31"/>
        <v/>
      </c>
      <c r="BS59" s="305">
        <f>IF($J59="",#N/A,SUM(BR$4:BR59))</f>
        <v>-0.34773304801390975</v>
      </c>
      <c r="BT59" s="306" t="str">
        <f t="shared" si="32"/>
        <v/>
      </c>
      <c r="BU59" s="306">
        <f>IF($J59="",#N/A,SUM(BT$4:BT59))</f>
        <v>-1.737432118713206</v>
      </c>
      <c r="BV59" s="306">
        <f>IF($J59="",#N/A,SUM(BT$4:BT59,BR$4:BR59,BP$4:BP59))</f>
        <v>1.930323509765195</v>
      </c>
      <c r="BW59" s="304" t="str">
        <f t="shared" si="33"/>
        <v/>
      </c>
      <c r="BX59" s="304">
        <f>IF($J59="",#N/A,SUM(BW$4:BW59))</f>
        <v>-0.73275720435053893</v>
      </c>
      <c r="BY59" s="305" t="str">
        <f t="shared" si="34"/>
        <v/>
      </c>
      <c r="BZ59" s="305">
        <f>IF($J59="",#N/A,SUM(BY$4:BY59))</f>
        <v>0.46686916413544804</v>
      </c>
      <c r="CA59" s="306" t="str">
        <f t="shared" si="35"/>
        <v/>
      </c>
      <c r="CB59" s="306">
        <f>IF($J59="",#N/A,SUM(CA$4:CA59))</f>
        <v>-0.37959870993521366</v>
      </c>
      <c r="CC59" s="306">
        <f>IF($J59="",#N/A,SUM(CA$4:CA59,BY$4:BY59,BW$4:BW59))</f>
        <v>-0.64548675015030454</v>
      </c>
      <c r="CD59" s="304" t="str">
        <f t="shared" si="36"/>
        <v/>
      </c>
      <c r="CE59" s="304">
        <f>IF($J59="",#N/A,SUM(CD$4:CD59))</f>
        <v>0</v>
      </c>
      <c r="CF59" s="305" t="str">
        <f t="shared" si="37"/>
        <v/>
      </c>
      <c r="CG59" s="305">
        <f>IF($J59="",#N/A,SUM(CF$4:CF59))</f>
        <v>0.41783917455444924</v>
      </c>
      <c r="CH59" s="306" t="str">
        <f t="shared" si="38"/>
        <v/>
      </c>
      <c r="CI59" s="306">
        <f>IF($J59="",#N/A,SUM(CH$4:CH59))</f>
        <v>-0.25632679632191468</v>
      </c>
      <c r="CJ59" s="306">
        <f>IF($J59="",#N/A,SUM(CH$4:CH59,CF$4:CF59,CD$4:CD59))</f>
        <v>0.16151237823253456</v>
      </c>
      <c r="CK59" s="304" t="str">
        <f t="shared" si="39"/>
        <v/>
      </c>
      <c r="CL59" s="304">
        <f>IF($J59="",#N/A,SUM(CK$4:CK59))</f>
        <v>0</v>
      </c>
      <c r="CM59" s="305" t="str">
        <f t="shared" si="40"/>
        <v/>
      </c>
      <c r="CN59" s="305">
        <f>IF($J59="",#N/A,SUM(CM$4:CM59))</f>
        <v>0</v>
      </c>
      <c r="CO59" s="306" t="str">
        <f t="shared" si="41"/>
        <v/>
      </c>
      <c r="CP59" s="306">
        <f>IF($J59="",#N/A,SUM(CO$4:CO59))</f>
        <v>-0.8814781582839023</v>
      </c>
      <c r="CQ59" s="306">
        <f>IF($J59="",#N/A,SUM(CO$4:CO59,CM$4:CM59,CK$4:CK59))</f>
        <v>-0.8814781582839023</v>
      </c>
      <c r="CR59" s="304" t="str">
        <f t="shared" si="42"/>
        <v/>
      </c>
      <c r="CS59" s="304">
        <f>IF($J59="",#N/A,SUM(CR$4:CR59))</f>
        <v>0</v>
      </c>
      <c r="CT59" s="305" t="str">
        <f t="shared" si="43"/>
        <v/>
      </c>
      <c r="CU59" s="305">
        <f>IF($J59="",#N/A,SUM(CT$4:CT59))</f>
        <v>-0.13081968772223007</v>
      </c>
      <c r="CV59" s="306" t="str">
        <f t="shared" si="44"/>
        <v/>
      </c>
      <c r="CW59" s="306">
        <f>IF($J59="",#N/A,SUM(CV$4:CV59))</f>
        <v>0.28156811782542707</v>
      </c>
      <c r="CX59" s="306">
        <f>IF($J59="",#N/A,SUM(CV$4:CV59,CT$4:CT59,CR$4:CR59))</f>
        <v>0.150748430103197</v>
      </c>
      <c r="CY59" s="304" t="str">
        <f t="shared" si="45"/>
        <v/>
      </c>
      <c r="CZ59" s="304">
        <f>IF($J59="",#N/A,SUM(CY$4:CY59))</f>
        <v>0</v>
      </c>
      <c r="DA59" s="305" t="str">
        <f t="shared" si="46"/>
        <v/>
      </c>
      <c r="DB59" s="305">
        <f>IF($J59="",#N/A,SUM(DA$4:DA59))</f>
        <v>0</v>
      </c>
      <c r="DC59" s="306" t="str">
        <f t="shared" si="47"/>
        <v/>
      </c>
      <c r="DD59" s="306">
        <f>IF($J59="",#N/A,SUM(DC$4:DC59))</f>
        <v>0</v>
      </c>
      <c r="DE59" s="306">
        <f>IF($J59="",#N/A,SUM(DC$4:DC59,DA$4:DA59,CY$4:CY59))</f>
        <v>0</v>
      </c>
      <c r="DF59" s="304" t="str">
        <f t="shared" si="48"/>
        <v/>
      </c>
      <c r="DG59" s="304">
        <f>IF($J59="",#N/A,SUM(DF$4:DF59))</f>
        <v>0</v>
      </c>
      <c r="DH59" s="305" t="str">
        <f t="shared" si="49"/>
        <v/>
      </c>
      <c r="DI59" s="305">
        <f>IF($J59="",#N/A,SUM(DH$4:DH59))</f>
        <v>0</v>
      </c>
      <c r="DJ59" s="306" t="str">
        <f t="shared" si="50"/>
        <v/>
      </c>
      <c r="DK59" s="306">
        <f>IF($J59="",#N/A,SUM(DJ$4:DJ59))</f>
        <v>0</v>
      </c>
      <c r="DL59" s="306">
        <f>IF($J59="",#N/A,SUM(DJ$4:DJ59,DH$4:DH59,DF$4:DF59))</f>
        <v>0</v>
      </c>
      <c r="DM59" s="304" t="str">
        <f t="shared" si="51"/>
        <v/>
      </c>
      <c r="DN59" s="304">
        <f>IF($J59="",#N/A,SUM(DM$4:DM59))</f>
        <v>0</v>
      </c>
      <c r="DO59" s="305" t="str">
        <f t="shared" si="52"/>
        <v/>
      </c>
      <c r="DP59" s="305">
        <f>IF($J59="",#N/A,SUM(DO$4:DO59))</f>
        <v>0</v>
      </c>
      <c r="DQ59" s="306" t="str">
        <f t="shared" si="53"/>
        <v/>
      </c>
      <c r="DR59" s="306">
        <f>IF($J59="",#N/A,SUM(DQ$4:DQ59))</f>
        <v>0.79026593075765084</v>
      </c>
      <c r="DS59" s="306">
        <f>IF($J59="",#N/A,SUM(DQ$4:DQ59,DO$4:DO59,DM$4:DM59))</f>
        <v>0.79026593075765084</v>
      </c>
      <c r="DT59" s="304" t="str">
        <f t="shared" si="54"/>
        <v/>
      </c>
      <c r="DU59" s="304">
        <f>IF($J59="",#N/A,SUM(DT$4:DT59))</f>
        <v>0</v>
      </c>
      <c r="DV59" s="305" t="str">
        <f t="shared" si="55"/>
        <v/>
      </c>
      <c r="DW59" s="305">
        <f>IF($J59="",#N/A,SUM(DV$4:DV59))</f>
        <v>0.40085630512924314</v>
      </c>
      <c r="DX59" s="306" t="str">
        <f t="shared" si="56"/>
        <v/>
      </c>
      <c r="DY59" s="306">
        <f>IF($J59="",#N/A,SUM(DX$4:DX59))</f>
        <v>0.59674626127163555</v>
      </c>
      <c r="DZ59" s="306">
        <f>IF($J59="",#N/A,SUM(DX$4:DX59,DV$4:DV59,DT$4:DT59))</f>
        <v>0.99760256640087874</v>
      </c>
      <c r="EA59" s="304" t="str">
        <f t="shared" si="57"/>
        <v/>
      </c>
      <c r="EB59" s="304">
        <f>IF($J59="",#N/A,SUM(EA$4:EA59))</f>
        <v>0</v>
      </c>
      <c r="EC59" s="305" t="str">
        <f t="shared" si="58"/>
        <v/>
      </c>
      <c r="ED59" s="305">
        <f>IF($J59="",#N/A,SUM(EC$4:EC59))</f>
        <v>-0.47973811942657352</v>
      </c>
      <c r="EE59" s="306" t="str">
        <f t="shared" si="59"/>
        <v/>
      </c>
      <c r="EF59" s="306">
        <f>IF($J59="",#N/A,SUM(EE$4:EE59))</f>
        <v>0</v>
      </c>
      <c r="EG59" s="306">
        <f>IF($J59="",#N/A,SUM(EE$4:EE59,EC$4:EC59,EA$4:EA59))</f>
        <v>-0.47973811942657352</v>
      </c>
      <c r="EH59" s="223">
        <f t="shared" si="60"/>
        <v>-9.4946401225114982</v>
      </c>
      <c r="EI59" s="224">
        <f>IF(EH59="",#N/A,SUM($EH$4:EH59))</f>
        <v>335.21586770178362</v>
      </c>
      <c r="EJ59" s="223">
        <f t="shared" si="61"/>
        <v>-3.6753445635528124</v>
      </c>
      <c r="EK59" s="63">
        <f>IF($GZ59="",#N/A,SUM(EJ$4:EJ59))</f>
        <v>572.88275929610995</v>
      </c>
      <c r="EL59" s="60">
        <f t="shared" si="97"/>
        <v>-0.39561000510464578</v>
      </c>
      <c r="EM59" s="60">
        <f>IF(EL59="",NA(),SUM($EL$4:EL59))</f>
        <v>13.967327820907656</v>
      </c>
      <c r="EN59" s="60" t="str">
        <f t="shared" si="62"/>
        <v/>
      </c>
      <c r="EO59" s="60" t="e">
        <f>IF(EN59="",NA(),SUM($EN$4:EN59))</f>
        <v>#N/A</v>
      </c>
      <c r="EP59" s="60" t="str">
        <f t="shared" si="63"/>
        <v/>
      </c>
      <c r="EQ59" s="60" t="e">
        <f>IF(EP59="",NA(),SUM($EP$4:EP59))</f>
        <v>#N/A</v>
      </c>
      <c r="ER59" s="60">
        <f t="shared" si="64"/>
        <v>-0.39561000510464578</v>
      </c>
      <c r="ES59" s="60">
        <f>IF(ER59="",NA(),SUM($ER$4:ER59))</f>
        <v>1.1606860382033679</v>
      </c>
      <c r="ET59" s="60" t="str">
        <f t="shared" si="65"/>
        <v/>
      </c>
      <c r="EU59" s="60" t="e">
        <f>IF(ET59="",NA(),SUM($ET$4:ET59))</f>
        <v>#N/A</v>
      </c>
      <c r="EV59" s="60" t="str">
        <f t="shared" si="66"/>
        <v/>
      </c>
      <c r="EW59" s="60" t="e">
        <f>IF(EV59="",NA(),SUM($EV$4:EV59))</f>
        <v>#N/A</v>
      </c>
      <c r="EX59" s="60" t="str">
        <f t="shared" si="67"/>
        <v/>
      </c>
      <c r="EY59" s="60" t="e">
        <f>IF(EX59="",NA(),SUM($EX$4:EX59))</f>
        <v>#N/A</v>
      </c>
      <c r="EZ59" s="60" t="str">
        <f t="shared" si="68"/>
        <v/>
      </c>
      <c r="FA59" s="60" t="e">
        <f>IF(EZ59="",NA(),SUM($EZ$4:EZ59))</f>
        <v>#N/A</v>
      </c>
      <c r="FB59" s="246" t="str">
        <f t="shared" si="98"/>
        <v/>
      </c>
      <c r="FC59" s="246" t="e">
        <f>IF($FB59="",#N/A,SUM(FB$4:$FB59))</f>
        <v>#N/A</v>
      </c>
      <c r="FD59" s="60">
        <f t="shared" si="69"/>
        <v>0.24247064828994527</v>
      </c>
      <c r="FE59" s="60">
        <f>IF($FD59="",#N/A,SUM($FD$4:FD59))</f>
        <v>0.64378188816052084</v>
      </c>
      <c r="FF59" s="60" t="str">
        <f t="shared" si="70"/>
        <v/>
      </c>
      <c r="FG59" s="60" t="e">
        <f>IF($FF59="",#N/A,SUM($FF$4:FF59))</f>
        <v>#N/A</v>
      </c>
      <c r="FH59" s="60" t="str">
        <f t="shared" si="71"/>
        <v/>
      </c>
      <c r="FI59" s="60" t="e">
        <f>IF($FH59="",#N/A,SUM($FH$4:FH59))</f>
        <v>#N/A</v>
      </c>
      <c r="FJ59" s="60" t="str">
        <f t="shared" si="72"/>
        <v/>
      </c>
      <c r="FK59" s="60" t="e">
        <f>IF($FJ59="",#N/A,SUM($FJ$4:FJ59))</f>
        <v>#N/A</v>
      </c>
      <c r="FL59" s="60" t="str">
        <f t="shared" si="73"/>
        <v/>
      </c>
      <c r="FM59" s="60" t="e">
        <f>IF($FL59="",#N/A,SUM($FL$4:FL59))</f>
        <v>#N/A</v>
      </c>
      <c r="FN59" s="82">
        <f t="shared" si="74"/>
        <v>-0.15313935681470051</v>
      </c>
      <c r="FO59" s="82">
        <f>IF($FN59="",#N/A,SUM(FN$4:$FN59))</f>
        <v>23.870114970671263</v>
      </c>
      <c r="FP59" s="82">
        <f t="shared" si="99"/>
        <v>-0.39561000510464578</v>
      </c>
      <c r="FQ59" s="246">
        <f>IF($EH59="",#N/A,SUM($FP$4:FP59))</f>
        <v>13.967327820907656</v>
      </c>
      <c r="FR59" s="82">
        <f>IFERROR(FQ59/COUNTA($J$4:J59),#N/A)</f>
        <v>0.24941656823049385</v>
      </c>
      <c r="FS59" s="82">
        <f t="shared" si="110"/>
        <v>0.12700176485018116</v>
      </c>
      <c r="FT59" s="82">
        <f t="shared" si="111"/>
        <v>0.15967028737311656</v>
      </c>
      <c r="FU59" s="82" t="e">
        <v>#N/A</v>
      </c>
      <c r="FV59" s="57" t="str">
        <f t="shared" si="75"/>
        <v>Dwn</v>
      </c>
      <c r="FW59" s="57" t="s">
        <v>2734</v>
      </c>
      <c r="FX59" s="57" t="str">
        <f t="shared" si="76"/>
        <v/>
      </c>
      <c r="FY59" s="57">
        <f t="shared" si="77"/>
        <v>1</v>
      </c>
      <c r="FZ59" s="57" t="str">
        <f t="shared" si="78"/>
        <v/>
      </c>
      <c r="GA59" s="57" t="str">
        <f t="shared" si="79"/>
        <v>Short</v>
      </c>
      <c r="GB59" s="57" t="str">
        <f t="shared" si="80"/>
        <v/>
      </c>
      <c r="GC59" s="57" t="str">
        <f t="shared" si="81"/>
        <v/>
      </c>
      <c r="GD59" s="57" t="str">
        <f t="shared" si="82"/>
        <v/>
      </c>
      <c r="GE59" s="62">
        <f t="shared" si="105"/>
        <v>39.18</v>
      </c>
      <c r="GF59" s="62" t="s">
        <v>2780</v>
      </c>
      <c r="GG59" s="199">
        <f t="shared" si="106"/>
        <v>10.209290454313425</v>
      </c>
      <c r="GH59" s="207">
        <f t="shared" si="85"/>
        <v>400</v>
      </c>
      <c r="GI59" s="199">
        <f t="shared" si="107"/>
        <v>10.209290454313425</v>
      </c>
      <c r="GJ59" s="200">
        <f t="shared" si="108"/>
        <v>40.11</v>
      </c>
      <c r="GK59" s="63">
        <f t="shared" si="88"/>
        <v>-9.4946401225114982</v>
      </c>
      <c r="GL59" s="192">
        <f t="shared" si="109"/>
        <v>-3.6753445635528124</v>
      </c>
      <c r="GM59" s="82" t="str">
        <f t="shared" si="90"/>
        <v/>
      </c>
      <c r="GN59" s="82">
        <f>IF($GZ59="",#N/A,SUM(GM$4:GM59))</f>
        <v>12.464972753609267</v>
      </c>
      <c r="GO59" s="82" t="str">
        <f t="shared" si="91"/>
        <v/>
      </c>
      <c r="GP59" s="82">
        <f>IF($GZ59="",#N/A,SUM(GO$4:GO59))</f>
        <v>7.3913705960580387</v>
      </c>
      <c r="GQ59" s="82">
        <f t="shared" si="92"/>
        <v>-0.15313935681470051</v>
      </c>
      <c r="GR59" s="82">
        <f>IF($GZ59="",#N/A,SUM(GQ$4:GQ59))</f>
        <v>4.013771621003948</v>
      </c>
      <c r="GS59" s="63" t="str">
        <f t="shared" si="100"/>
        <v/>
      </c>
      <c r="GT59" s="63">
        <f>IF($GZ59="",#N/A,SUM(GS$4:GS59))</f>
        <v>299.15934608662246</v>
      </c>
      <c r="GU59" s="63" t="str">
        <f t="shared" si="101"/>
        <v/>
      </c>
      <c r="GV59" s="63">
        <f>IF($GZ59="",#N/A,SUM(GU$4:GU59))</f>
        <v>177.39289430539293</v>
      </c>
      <c r="GW59" s="62">
        <f t="shared" si="102"/>
        <v>-3.6753445635528124</v>
      </c>
      <c r="GX59" s="63">
        <f>IF($GZ59="",#N/A,SUM(GW$4:GW59))</f>
        <v>96.330518904094731</v>
      </c>
      <c r="GY59" s="63">
        <f>IF(EJ59="",#N/A,SUM($EJ$4:EJ59))</f>
        <v>572.88275929610995</v>
      </c>
      <c r="GZ59" s="159">
        <v>39.54</v>
      </c>
      <c r="HA59" s="63">
        <f t="shared" si="93"/>
        <v>5.8192955589586859</v>
      </c>
      <c r="HB59" s="62" t="s">
        <v>4970</v>
      </c>
      <c r="HC59" s="60">
        <f>IFERROR(VLOOKUP(E59,Expectancy!$P$4:$S$19,1+C59,FALSE),"")</f>
        <v>-4.003891381455995E-2</v>
      </c>
      <c r="HD59" s="60" t="str">
        <f t="shared" si="94"/>
        <v/>
      </c>
      <c r="HE59" s="60" t="e">
        <f>IF(HD59="",#N/A,SUM($HD$4:HD59))</f>
        <v>#N/A</v>
      </c>
      <c r="HF59" s="64" t="e">
        <f>IF(HD59="",#N/A,IF(HB59="Skip",#N/A,SUM($HG$4:HG59)))</f>
        <v>#N/A</v>
      </c>
      <c r="HG59" s="63" t="str">
        <f t="shared" si="95"/>
        <v/>
      </c>
      <c r="HH59" s="82">
        <f t="shared" si="96"/>
        <v>-0.15313935681470051</v>
      </c>
    </row>
    <row r="60" spans="1:217" x14ac:dyDescent="0.25">
      <c r="A60" s="57" t="s">
        <v>1369</v>
      </c>
      <c r="B60" s="58" t="s">
        <v>5122</v>
      </c>
      <c r="C60" s="386">
        <f t="shared" si="0"/>
        <v>3</v>
      </c>
      <c r="D60" s="372" t="str">
        <f>_xlfn.XLOOKUP(A60,[1]SP500!$A$2:$A$502,[1]SP500!$D$2:$D$502,"N")</f>
        <v>Y</v>
      </c>
      <c r="E60" s="57" t="str">
        <f>_xlfn.XLOOKUP(A60,[1]SP500!$A$2:$A$655,[1]SP500!$B$2:$B$655)</f>
        <v>XLV</v>
      </c>
      <c r="F60" s="59">
        <v>45681</v>
      </c>
      <c r="G60" s="57" t="str">
        <f t="shared" si="1"/>
        <v>BMO</v>
      </c>
      <c r="H60" s="57" t="str">
        <f t="shared" si="2"/>
        <v>o</v>
      </c>
      <c r="I60" s="159">
        <v>325.36</v>
      </c>
      <c r="J60" s="159">
        <v>323.93</v>
      </c>
      <c r="K60" s="61">
        <f t="shared" si="3"/>
        <v>-4.3951315465945622E-3</v>
      </c>
      <c r="L60" s="87">
        <f t="shared" si="4"/>
        <v>-1.7580526186378052</v>
      </c>
      <c r="M60" s="63" t="str">
        <f t="shared" si="104"/>
        <v/>
      </c>
      <c r="N60" s="219" t="str">
        <f t="shared" si="6"/>
        <v/>
      </c>
      <c r="O60" s="219">
        <f>IF($J60="",#N/A,SUM($N$4:N60))</f>
        <v>88.226553422532902</v>
      </c>
      <c r="P60" s="220" t="str">
        <f t="shared" si="7"/>
        <v/>
      </c>
      <c r="Q60" s="220">
        <f>IF($J60="",#N/A,SUM($P$4:P60))</f>
        <v>27.856464916880839</v>
      </c>
      <c r="R60" s="221">
        <f t="shared" si="8"/>
        <v>-1.7580526186378052</v>
      </c>
      <c r="S60" s="222">
        <f>IF($J60="",#N/A,SUM($R$4:R60))</f>
        <v>217.37479674373208</v>
      </c>
      <c r="T60" s="281" t="str">
        <f t="shared" si="9"/>
        <v/>
      </c>
      <c r="U60" s="281">
        <f>IF($J60="",#N/A,SUM($T$4:T60))</f>
        <v>3.6761063926055373</v>
      </c>
      <c r="V60" s="282" t="str">
        <f t="shared" si="10"/>
        <v/>
      </c>
      <c r="W60" s="282">
        <f>IF($J60="",#N/A,SUM($V$4:V60))</f>
        <v>1.1606860382033679</v>
      </c>
      <c r="X60" s="283">
        <f t="shared" si="11"/>
        <v>-7.3252192443241881E-2</v>
      </c>
      <c r="Y60" s="283">
        <f>IF($J60="",#N/A,SUM($X$4:X60))</f>
        <v>9.0572831976555026</v>
      </c>
      <c r="Z60" s="304" t="str">
        <f t="shared" si="12"/>
        <v/>
      </c>
      <c r="AA60" s="304">
        <f>IF($J60="",#N/A,SUM(Z$4:Z60))</f>
        <v>1.1273861049364817</v>
      </c>
      <c r="AB60" s="305" t="str">
        <f t="shared" si="13"/>
        <v/>
      </c>
      <c r="AC60" s="305">
        <f>IF($J60="",#N/A,SUM(AB$4:AB60))</f>
        <v>0</v>
      </c>
      <c r="AD60" s="306" t="str">
        <f t="shared" si="14"/>
        <v/>
      </c>
      <c r="AE60" s="306">
        <f>IF($J60="",#N/A,SUM(AD$4:AD60))</f>
        <v>1.5553407757049009</v>
      </c>
      <c r="AF60" s="306">
        <f>IF($J60="",#N/A,SUM(AD$4:AD60,AB$4:AB60,Z$4:Z60))</f>
        <v>2.6827268806413822</v>
      </c>
      <c r="AG60" s="304" t="str">
        <f t="shared" si="15"/>
        <v/>
      </c>
      <c r="AH60" s="304">
        <f>IF($J60="",#N/A,SUM(AG$4:AG60))</f>
        <v>0</v>
      </c>
      <c r="AI60" s="305" t="str">
        <f t="shared" si="16"/>
        <v/>
      </c>
      <c r="AJ60" s="305">
        <f>IF($J60="",#N/A,SUM(AI$4:AI60))</f>
        <v>0</v>
      </c>
      <c r="AK60" s="306" t="str">
        <f t="shared" si="17"/>
        <v/>
      </c>
      <c r="AL60" s="306">
        <f>IF($J60="",#N/A,SUM(AK$4:AK60))</f>
        <v>0</v>
      </c>
      <c r="AM60" s="306">
        <f>IF($J60="",#N/A,SUM(AK$4:AK60,AI$4:AI60,AG$4:AG60))</f>
        <v>0</v>
      </c>
      <c r="AN60" s="304" t="str">
        <f t="shared" si="18"/>
        <v/>
      </c>
      <c r="AO60" s="304">
        <f>IF($J60="",#N/A,SUM(AN$4:AN60))</f>
        <v>0</v>
      </c>
      <c r="AP60" s="305" t="str">
        <f t="shared" si="19"/>
        <v/>
      </c>
      <c r="AQ60" s="305">
        <f>IF($J60="",#N/A,SUM(AP$4:AP60))</f>
        <v>0</v>
      </c>
      <c r="AR60" s="306" t="str">
        <f t="shared" si="20"/>
        <v/>
      </c>
      <c r="AS60" s="306">
        <f>IF($J60="",#N/A,SUM(AR$4:AR60))</f>
        <v>0</v>
      </c>
      <c r="AT60" s="306">
        <f>IF($J60="",#N/A,SUM(AR$4:AR60,AP$4:AP60,AN$4:AN60))</f>
        <v>0</v>
      </c>
      <c r="AU60" s="304" t="str">
        <f t="shared" si="21"/>
        <v/>
      </c>
      <c r="AV60" s="304">
        <f>IF($J60="",#N/A,SUM(AU$4:AU60))</f>
        <v>0</v>
      </c>
      <c r="AW60" s="305" t="str">
        <f t="shared" si="22"/>
        <v/>
      </c>
      <c r="AX60" s="305">
        <f>IF($J60="",#N/A,SUM(AW$4:AW60))</f>
        <v>1.2290222546515868</v>
      </c>
      <c r="AY60" s="306" t="str">
        <f t="shared" si="23"/>
        <v/>
      </c>
      <c r="AZ60" s="306">
        <f>IF($J60="",#N/A,SUM(AY$4:AY60))</f>
        <v>2.8806371278168421</v>
      </c>
      <c r="BA60" s="306">
        <f>IF($J60="",#N/A,SUM(AY$4:AY60,AW$4:AW60,AU$4:AU60))</f>
        <v>4.1096593824684291</v>
      </c>
      <c r="BB60" s="304" t="str">
        <f t="shared" si="24"/>
        <v/>
      </c>
      <c r="BC60" s="304">
        <f>IF($J60="",#N/A,SUM(BB$4:BB60))</f>
        <v>0</v>
      </c>
      <c r="BD60" s="305" t="str">
        <f t="shared" si="25"/>
        <v/>
      </c>
      <c r="BE60" s="305">
        <f>IF($J60="",#N/A,SUM(BD$4:BD60))</f>
        <v>-0.39561000510464578</v>
      </c>
      <c r="BF60" s="306" t="str">
        <f t="shared" si="26"/>
        <v/>
      </c>
      <c r="BG60" s="306">
        <f>IF($J60="",#N/A,SUM(BF$4:BF60))</f>
        <v>2.4597169840247779</v>
      </c>
      <c r="BH60" s="306">
        <f>IF($J60="",#N/A,SUM(BF$4:BF60,BD$4:BD60,BB$4:BB60))</f>
        <v>2.0641069789201323</v>
      </c>
      <c r="BI60" s="304" t="str">
        <f t="shared" si="27"/>
        <v/>
      </c>
      <c r="BJ60" s="304">
        <f>IF($J60="",#N/A,SUM(BI$4:BI60))</f>
        <v>-0.73401118447271563</v>
      </c>
      <c r="BK60" s="305" t="str">
        <f t="shared" si="28"/>
        <v/>
      </c>
      <c r="BL60" s="305">
        <f>IF($J60="",#N/A,SUM(BK$4:BK60))</f>
        <v>0</v>
      </c>
      <c r="BM60" s="306" t="str">
        <f t="shared" si="29"/>
        <v/>
      </c>
      <c r="BN60" s="306">
        <f>IF($J60="",#N/A,SUM(BM$4:BM60))</f>
        <v>3.8210959759517467</v>
      </c>
      <c r="BO60" s="306">
        <f>IF($J60="",#N/A,SUM(BM$4:BM60,BK$4:BK60,BI$4:BI60))</f>
        <v>3.0870847914790311</v>
      </c>
      <c r="BP60" s="304" t="str">
        <f t="shared" si="30"/>
        <v/>
      </c>
      <c r="BQ60" s="304">
        <f>IF($J60="",#N/A,SUM(BP$4:BP60))</f>
        <v>4.0154886764923106</v>
      </c>
      <c r="BR60" s="305" t="str">
        <f t="shared" si="31"/>
        <v/>
      </c>
      <c r="BS60" s="305">
        <f>IF($J60="",#N/A,SUM(BR$4:BR60))</f>
        <v>-0.34773304801390975</v>
      </c>
      <c r="BT60" s="306" t="str">
        <f t="shared" si="32"/>
        <v/>
      </c>
      <c r="BU60" s="306">
        <f>IF($J60="",#N/A,SUM(BT$4:BT60))</f>
        <v>-1.737432118713206</v>
      </c>
      <c r="BV60" s="306">
        <f>IF($J60="",#N/A,SUM(BT$4:BT60,BR$4:BR60,BP$4:BP60))</f>
        <v>1.930323509765195</v>
      </c>
      <c r="BW60" s="304" t="str">
        <f t="shared" si="33"/>
        <v/>
      </c>
      <c r="BX60" s="304">
        <f>IF($J60="",#N/A,SUM(BW$4:BW60))</f>
        <v>-0.73275720435053893</v>
      </c>
      <c r="BY60" s="305" t="str">
        <f t="shared" si="34"/>
        <v/>
      </c>
      <c r="BZ60" s="305">
        <f>IF($J60="",#N/A,SUM(BY$4:BY60))</f>
        <v>0.46686916413544804</v>
      </c>
      <c r="CA60" s="306">
        <f t="shared" si="35"/>
        <v>-7.3252192443241881E-2</v>
      </c>
      <c r="CB60" s="306">
        <f>IF($J60="",#N/A,SUM(CA$4:CA60))</f>
        <v>-0.45285090237845554</v>
      </c>
      <c r="CC60" s="306">
        <f>IF($J60="",#N/A,SUM(CA$4:CA60,BY$4:BY60,BW$4:BW60))</f>
        <v>-0.71873894259354643</v>
      </c>
      <c r="CD60" s="304" t="str">
        <f t="shared" si="36"/>
        <v/>
      </c>
      <c r="CE60" s="304">
        <f>IF($J60="",#N/A,SUM(CD$4:CD60))</f>
        <v>0</v>
      </c>
      <c r="CF60" s="305" t="str">
        <f t="shared" si="37"/>
        <v/>
      </c>
      <c r="CG60" s="305">
        <f>IF($J60="",#N/A,SUM(CF$4:CF60))</f>
        <v>0.41783917455444924</v>
      </c>
      <c r="CH60" s="306" t="str">
        <f t="shared" si="38"/>
        <v/>
      </c>
      <c r="CI60" s="306">
        <f>IF($J60="",#N/A,SUM(CH$4:CH60))</f>
        <v>-0.25632679632191468</v>
      </c>
      <c r="CJ60" s="306">
        <f>IF($J60="",#N/A,SUM(CH$4:CH60,CF$4:CF60,CD$4:CD60))</f>
        <v>0.16151237823253456</v>
      </c>
      <c r="CK60" s="304" t="str">
        <f t="shared" si="39"/>
        <v/>
      </c>
      <c r="CL60" s="304">
        <f>IF($J60="",#N/A,SUM(CK$4:CK60))</f>
        <v>0</v>
      </c>
      <c r="CM60" s="305" t="str">
        <f t="shared" si="40"/>
        <v/>
      </c>
      <c r="CN60" s="305">
        <f>IF($J60="",#N/A,SUM(CM$4:CM60))</f>
        <v>0</v>
      </c>
      <c r="CO60" s="306" t="str">
        <f t="shared" si="41"/>
        <v/>
      </c>
      <c r="CP60" s="306">
        <f>IF($J60="",#N/A,SUM(CO$4:CO60))</f>
        <v>-0.8814781582839023</v>
      </c>
      <c r="CQ60" s="306">
        <f>IF($J60="",#N/A,SUM(CO$4:CO60,CM$4:CM60,CK$4:CK60))</f>
        <v>-0.8814781582839023</v>
      </c>
      <c r="CR60" s="304" t="str">
        <f t="shared" si="42"/>
        <v/>
      </c>
      <c r="CS60" s="304">
        <f>IF($J60="",#N/A,SUM(CR$4:CR60))</f>
        <v>0</v>
      </c>
      <c r="CT60" s="305" t="str">
        <f t="shared" si="43"/>
        <v/>
      </c>
      <c r="CU60" s="305">
        <f>IF($J60="",#N/A,SUM(CT$4:CT60))</f>
        <v>-0.13081968772223007</v>
      </c>
      <c r="CV60" s="306" t="str">
        <f t="shared" si="44"/>
        <v/>
      </c>
      <c r="CW60" s="306">
        <f>IF($J60="",#N/A,SUM(CV$4:CV60))</f>
        <v>0.28156811782542707</v>
      </c>
      <c r="CX60" s="306">
        <f>IF($J60="",#N/A,SUM(CV$4:CV60,CT$4:CT60,CR$4:CR60))</f>
        <v>0.150748430103197</v>
      </c>
      <c r="CY60" s="304" t="str">
        <f t="shared" si="45"/>
        <v/>
      </c>
      <c r="CZ60" s="304">
        <f>IF($J60="",#N/A,SUM(CY$4:CY60))</f>
        <v>0</v>
      </c>
      <c r="DA60" s="305" t="str">
        <f t="shared" si="46"/>
        <v/>
      </c>
      <c r="DB60" s="305">
        <f>IF($J60="",#N/A,SUM(DA$4:DA60))</f>
        <v>0</v>
      </c>
      <c r="DC60" s="306" t="str">
        <f t="shared" si="47"/>
        <v/>
      </c>
      <c r="DD60" s="306">
        <f>IF($J60="",#N/A,SUM(DC$4:DC60))</f>
        <v>0</v>
      </c>
      <c r="DE60" s="306">
        <f>IF($J60="",#N/A,SUM(DC$4:DC60,DA$4:DA60,CY$4:CY60))</f>
        <v>0</v>
      </c>
      <c r="DF60" s="304" t="str">
        <f t="shared" si="48"/>
        <v/>
      </c>
      <c r="DG60" s="304">
        <f>IF($J60="",#N/A,SUM(DF$4:DF60))</f>
        <v>0</v>
      </c>
      <c r="DH60" s="305" t="str">
        <f t="shared" si="49"/>
        <v/>
      </c>
      <c r="DI60" s="305">
        <f>IF($J60="",#N/A,SUM(DH$4:DH60))</f>
        <v>0</v>
      </c>
      <c r="DJ60" s="306" t="str">
        <f t="shared" si="50"/>
        <v/>
      </c>
      <c r="DK60" s="306">
        <f>IF($J60="",#N/A,SUM(DJ$4:DJ60))</f>
        <v>0</v>
      </c>
      <c r="DL60" s="306">
        <f>IF($J60="",#N/A,SUM(DJ$4:DJ60,DH$4:DH60,DF$4:DF60))</f>
        <v>0</v>
      </c>
      <c r="DM60" s="304" t="str">
        <f t="shared" si="51"/>
        <v/>
      </c>
      <c r="DN60" s="304">
        <f>IF($J60="",#N/A,SUM(DM$4:DM60))</f>
        <v>0</v>
      </c>
      <c r="DO60" s="305" t="str">
        <f t="shared" si="52"/>
        <v/>
      </c>
      <c r="DP60" s="305">
        <f>IF($J60="",#N/A,SUM(DO$4:DO60))</f>
        <v>0</v>
      </c>
      <c r="DQ60" s="306" t="str">
        <f t="shared" si="53"/>
        <v/>
      </c>
      <c r="DR60" s="306">
        <f>IF($J60="",#N/A,SUM(DQ$4:DQ60))</f>
        <v>0.79026593075765084</v>
      </c>
      <c r="DS60" s="306">
        <f>IF($J60="",#N/A,SUM(DQ$4:DQ60,DO$4:DO60,DM$4:DM60))</f>
        <v>0.79026593075765084</v>
      </c>
      <c r="DT60" s="304" t="str">
        <f t="shared" si="54"/>
        <v/>
      </c>
      <c r="DU60" s="304">
        <f>IF($J60="",#N/A,SUM(DT$4:DT60))</f>
        <v>0</v>
      </c>
      <c r="DV60" s="305" t="str">
        <f t="shared" si="55"/>
        <v/>
      </c>
      <c r="DW60" s="305">
        <f>IF($J60="",#N/A,SUM(DV$4:DV60))</f>
        <v>0.40085630512924314</v>
      </c>
      <c r="DX60" s="306" t="str">
        <f t="shared" si="56"/>
        <v/>
      </c>
      <c r="DY60" s="306">
        <f>IF($J60="",#N/A,SUM(DX$4:DX60))</f>
        <v>0.59674626127163555</v>
      </c>
      <c r="DZ60" s="306">
        <f>IF($J60="",#N/A,SUM(DX$4:DX60,DV$4:DV60,DT$4:DT60))</f>
        <v>0.99760256640087874</v>
      </c>
      <c r="EA60" s="304" t="str">
        <f t="shared" si="57"/>
        <v/>
      </c>
      <c r="EB60" s="304">
        <f>IF($J60="",#N/A,SUM(EA$4:EA60))</f>
        <v>0</v>
      </c>
      <c r="EC60" s="305" t="str">
        <f t="shared" si="58"/>
        <v/>
      </c>
      <c r="ED60" s="305">
        <f>IF($J60="",#N/A,SUM(EC$4:EC60))</f>
        <v>-0.47973811942657352</v>
      </c>
      <c r="EE60" s="306" t="str">
        <f t="shared" si="59"/>
        <v/>
      </c>
      <c r="EF60" s="306">
        <f>IF($J60="",#N/A,SUM(EE$4:EE60))</f>
        <v>0</v>
      </c>
      <c r="EG60" s="306">
        <f>IF($J60="",#N/A,SUM(EE$4:EE60,EC$4:EC60,EA$4:EA60))</f>
        <v>-0.47973811942657352</v>
      </c>
      <c r="EH60" s="223">
        <f t="shared" si="60"/>
        <v>-1.7580526186378052</v>
      </c>
      <c r="EI60" s="224">
        <f>IF(EH60="",#N/A,SUM($EH$4:EH60))</f>
        <v>333.45781508314582</v>
      </c>
      <c r="EJ60" s="223">
        <f t="shared" si="61"/>
        <v>-15.109417260880264</v>
      </c>
      <c r="EK60" s="63">
        <f>IF($GZ60="",#N/A,SUM(EJ$4:EJ60))</f>
        <v>557.77334203522969</v>
      </c>
      <c r="EL60" s="60">
        <f t="shared" si="97"/>
        <v>-7.3252192443241881E-2</v>
      </c>
      <c r="EM60" s="60">
        <f>IF(EL60="",NA(),SUM($EL$4:EL60))</f>
        <v>13.894075628464414</v>
      </c>
      <c r="EN60" s="60" t="str">
        <f t="shared" si="62"/>
        <v/>
      </c>
      <c r="EO60" s="60" t="e">
        <f>IF(EN60="",NA(),SUM($EN$4:EN60))</f>
        <v>#N/A</v>
      </c>
      <c r="EP60" s="60">
        <f t="shared" si="63"/>
        <v>-7.3252192443241881E-2</v>
      </c>
      <c r="EQ60" s="60">
        <f>IF(EP60="",NA(),SUM($EP$4:EP60))</f>
        <v>9.0572831976555026</v>
      </c>
      <c r="ER60" s="60" t="str">
        <f t="shared" si="64"/>
        <v/>
      </c>
      <c r="ES60" s="60" t="e">
        <f>IF(ER60="",NA(),SUM($ER$4:ER60))</f>
        <v>#N/A</v>
      </c>
      <c r="ET60" s="60" t="str">
        <f t="shared" si="65"/>
        <v/>
      </c>
      <c r="EU60" s="60" t="e">
        <f>IF(ET60="",NA(),SUM($ET$4:ET60))</f>
        <v>#N/A</v>
      </c>
      <c r="EV60" s="60" t="str">
        <f t="shared" si="66"/>
        <v/>
      </c>
      <c r="EW60" s="60" t="e">
        <f>IF(EV60="",NA(),SUM($EV$4:EV60))</f>
        <v>#N/A</v>
      </c>
      <c r="EX60" s="60" t="str">
        <f t="shared" si="67"/>
        <v/>
      </c>
      <c r="EY60" s="60" t="e">
        <f>IF(EX60="",NA(),SUM($EX$4:EX60))</f>
        <v>#N/A</v>
      </c>
      <c r="EZ60" s="60" t="str">
        <f t="shared" si="68"/>
        <v/>
      </c>
      <c r="FA60" s="60" t="e">
        <f>IF(EZ60="",NA(),SUM($EZ$4:EZ60))</f>
        <v>#N/A</v>
      </c>
      <c r="FB60" s="246" t="str">
        <f t="shared" si="98"/>
        <v/>
      </c>
      <c r="FC60" s="246" t="e">
        <f>IF($FB60="",#N/A,SUM(FB$4:$FB60))</f>
        <v>#N/A</v>
      </c>
      <c r="FD60" s="60" t="str">
        <f t="shared" si="69"/>
        <v/>
      </c>
      <c r="FE60" s="60" t="e">
        <f>IF($FD60="",#N/A,SUM($FD$4:FD60))</f>
        <v>#N/A</v>
      </c>
      <c r="FF60" s="60" t="str">
        <f t="shared" si="70"/>
        <v/>
      </c>
      <c r="FG60" s="60" t="e">
        <f>IF($FF60="",#N/A,SUM($FF$4:FF60))</f>
        <v>#N/A</v>
      </c>
      <c r="FH60" s="60" t="str">
        <f t="shared" si="71"/>
        <v/>
      </c>
      <c r="FI60" s="60" t="e">
        <f>IF($FH60="",#N/A,SUM($FH$4:FH60))</f>
        <v>#N/A</v>
      </c>
      <c r="FJ60" s="60" t="str">
        <f t="shared" si="72"/>
        <v/>
      </c>
      <c r="FK60" s="60" t="e">
        <f>IF($FJ60="",#N/A,SUM($FJ$4:FJ60))</f>
        <v>#N/A</v>
      </c>
      <c r="FL60" s="60">
        <f t="shared" si="73"/>
        <v>-0.55630686009343577</v>
      </c>
      <c r="FM60" s="60">
        <f>IF($FL60="",#N/A,SUM($FL$4:FL60))</f>
        <v>1.135581856987872</v>
      </c>
      <c r="FN60" s="82">
        <f t="shared" si="74"/>
        <v>-0.62955905253667765</v>
      </c>
      <c r="FO60" s="82">
        <f>IF($FN60="",#N/A,SUM(FN$4:$FN60))</f>
        <v>23.240555918134586</v>
      </c>
      <c r="FP60" s="82">
        <f t="shared" si="99"/>
        <v>-7.3252192443241881E-2</v>
      </c>
      <c r="FQ60" s="246">
        <f>IF($EH60="",#N/A,SUM($FP$4:FP60))</f>
        <v>13.894075628464414</v>
      </c>
      <c r="FR60" s="82">
        <f>IFERROR(FQ60/COUNTA($J$4:J60),#N/A)</f>
        <v>0.24375571278007743</v>
      </c>
      <c r="FS60" s="82">
        <f>IFERROR(($FQ60-$FQ12)/COUNTA($J12:$J60),#N/A)</f>
        <v>0.10145022800608182</v>
      </c>
      <c r="FT60" s="82">
        <f>IFERROR(($FQ60-$FQ36)/COUNTA($J36:$J60),#N/A)</f>
        <v>9.2356168103648606E-2</v>
      </c>
      <c r="FU60" s="82" t="e">
        <v>#N/A</v>
      </c>
      <c r="FV60" s="57" t="str">
        <f t="shared" si="75"/>
        <v>SW</v>
      </c>
      <c r="FW60" s="57" t="s">
        <v>2732</v>
      </c>
      <c r="FX60" s="57" t="str">
        <f t="shared" si="76"/>
        <v/>
      </c>
      <c r="FY60" s="57" t="str">
        <f t="shared" si="77"/>
        <v/>
      </c>
      <c r="FZ60" s="57" t="str">
        <f t="shared" si="78"/>
        <v/>
      </c>
      <c r="GA60" s="57" t="str">
        <f t="shared" si="79"/>
        <v>Long</v>
      </c>
      <c r="GB60" s="57" t="str">
        <f t="shared" si="80"/>
        <v/>
      </c>
      <c r="GC60" s="57" t="str">
        <f t="shared" si="81"/>
        <v/>
      </c>
      <c r="GD60" s="57">
        <f t="shared" si="82"/>
        <v>1</v>
      </c>
      <c r="GE60" s="62">
        <f t="shared" si="105"/>
        <v>325.36</v>
      </c>
      <c r="GF60" s="62" t="s">
        <v>2779</v>
      </c>
      <c r="GG60" s="199">
        <f t="shared" si="106"/>
        <v>1.2294074256208507</v>
      </c>
      <c r="GH60" s="207">
        <f t="shared" si="85"/>
        <v>400</v>
      </c>
      <c r="GI60" s="199">
        <f t="shared" si="107"/>
        <v>1.2294074256208507</v>
      </c>
      <c r="GJ60" s="200">
        <f t="shared" si="108"/>
        <v>323.93</v>
      </c>
      <c r="GK60" s="63">
        <f t="shared" si="88"/>
        <v>-1.7580526186378052</v>
      </c>
      <c r="GL60" s="192">
        <f t="shared" si="109"/>
        <v>-15.109417260880264</v>
      </c>
      <c r="GM60" s="82">
        <f t="shared" si="90"/>
        <v>-0.62955905253667765</v>
      </c>
      <c r="GN60" s="82">
        <f>IF($GZ60="",#N/A,SUM(GM$4:GM60))</f>
        <v>11.835413701072589</v>
      </c>
      <c r="GO60" s="82" t="str">
        <f t="shared" si="91"/>
        <v/>
      </c>
      <c r="GP60" s="82">
        <f>IF($GZ60="",#N/A,SUM(GO$4:GO60))</f>
        <v>7.3913705960580387</v>
      </c>
      <c r="GQ60" s="82" t="str">
        <f t="shared" si="92"/>
        <v/>
      </c>
      <c r="GR60" s="82">
        <f>IF($GZ60="",#N/A,SUM(GQ$4:GQ60))</f>
        <v>4.013771621003948</v>
      </c>
      <c r="GS60" s="63">
        <f t="shared" si="100"/>
        <v>-15.109417260880264</v>
      </c>
      <c r="GT60" s="63">
        <f>IF($GZ60="",#N/A,SUM(GS$4:GS60))</f>
        <v>284.0499288257422</v>
      </c>
      <c r="GU60" s="63" t="str">
        <f t="shared" si="101"/>
        <v/>
      </c>
      <c r="GV60" s="63">
        <f>IF($GZ60="",#N/A,SUM(GU$4:GU60))</f>
        <v>177.39289430539293</v>
      </c>
      <c r="GW60" s="62" t="str">
        <f t="shared" si="102"/>
        <v/>
      </c>
      <c r="GX60" s="63">
        <f>IF($GZ60="",#N/A,SUM(GW$4:GW60))</f>
        <v>96.330518904094731</v>
      </c>
      <c r="GY60" s="63">
        <f>IF(EJ60="",#N/A,SUM($EJ$4:EJ60))</f>
        <v>557.77334203522969</v>
      </c>
      <c r="GZ60" s="159">
        <v>313.07</v>
      </c>
      <c r="HA60" s="63">
        <f t="shared" si="93"/>
        <v>-13.351364642242459</v>
      </c>
      <c r="HB60" s="62" t="s">
        <v>4970</v>
      </c>
      <c r="HC60" s="60">
        <f>IFERROR(VLOOKUP(E60,Expectancy!$P$4:$S$19,1+C60,FALSE),"")</f>
        <v>-0.15084750675779673</v>
      </c>
      <c r="HD60" s="60" t="str">
        <f t="shared" si="94"/>
        <v/>
      </c>
      <c r="HE60" s="60" t="e">
        <f>IF(HD60="",#N/A,SUM($HD$4:HD60))</f>
        <v>#N/A</v>
      </c>
      <c r="HF60" s="64" t="e">
        <f>IF(HD60="",#N/A,IF(HB60="Skip",#N/A,SUM($HG$4:HG60)))</f>
        <v>#N/A</v>
      </c>
      <c r="HG60" s="63" t="str">
        <f t="shared" si="95"/>
        <v/>
      </c>
      <c r="HH60" s="82">
        <f t="shared" si="96"/>
        <v>-0.62955905253667765</v>
      </c>
    </row>
    <row r="61" spans="1:217" ht="15.75" thickBot="1" x14ac:dyDescent="0.3">
      <c r="A61" s="66" t="s">
        <v>1318</v>
      </c>
      <c r="B61" s="67" t="s">
        <v>5123</v>
      </c>
      <c r="C61" s="386">
        <f t="shared" si="0"/>
        <v>1</v>
      </c>
      <c r="D61" s="373" t="str">
        <f>_xlfn.XLOOKUP(A61,[1]SP500!$A$2:$A$502,[1]SP500!$D$2:$D$502,"N")</f>
        <v>Y</v>
      </c>
      <c r="E61" s="66" t="str">
        <f>_xlfn.XLOOKUP(A61,[1]SP500!$A$2:$A$655,[1]SP500!$B$2:$B$655)</f>
        <v>XLC</v>
      </c>
      <c r="F61" s="68">
        <v>45684</v>
      </c>
      <c r="G61" s="66" t="str">
        <f t="shared" si="1"/>
        <v>BMO</v>
      </c>
      <c r="H61" s="57" t="str">
        <f t="shared" si="2"/>
        <v>o</v>
      </c>
      <c r="I61" s="160">
        <v>22.72</v>
      </c>
      <c r="J61" s="257">
        <v>23.5</v>
      </c>
      <c r="K61" s="69">
        <f t="shared" si="3"/>
        <v>3.4330985915493009E-2</v>
      </c>
      <c r="L61" s="89">
        <f t="shared" si="4"/>
        <v>13.732394366197184</v>
      </c>
      <c r="M61" s="71" t="str">
        <f t="shared" si="104"/>
        <v/>
      </c>
      <c r="N61" s="179">
        <f t="shared" si="6"/>
        <v>13.732394366197184</v>
      </c>
      <c r="O61" s="179">
        <f>IF($J61="",#N/A,SUM($N$4:N61))</f>
        <v>101.95894778873009</v>
      </c>
      <c r="P61" s="258" t="str">
        <f t="shared" si="7"/>
        <v/>
      </c>
      <c r="Q61" s="258">
        <f>IF($J61="",#N/A,SUM($P$4:P61))</f>
        <v>27.856464916880839</v>
      </c>
      <c r="R61" s="259" t="str">
        <f t="shared" si="8"/>
        <v/>
      </c>
      <c r="S61" s="260">
        <f>IF($J61="",#N/A,SUM($R$4:R61))</f>
        <v>217.37479674373208</v>
      </c>
      <c r="T61" s="284">
        <f t="shared" si="9"/>
        <v>0.57218309859154926</v>
      </c>
      <c r="U61" s="284">
        <f>IF($J61="",#N/A,SUM($T$4:T61))</f>
        <v>4.2482894911970863</v>
      </c>
      <c r="V61" s="285" t="str">
        <f t="shared" si="10"/>
        <v/>
      </c>
      <c r="W61" s="285">
        <f>IF($J61="",#N/A,SUM($V$4:V61))</f>
        <v>1.1606860382033679</v>
      </c>
      <c r="X61" s="286" t="str">
        <f t="shared" si="11"/>
        <v/>
      </c>
      <c r="Y61" s="283">
        <f>IF($J61="",#N/A,SUM($X$4:X61))</f>
        <v>9.0572831976555026</v>
      </c>
      <c r="Z61" s="307" t="str">
        <f t="shared" si="12"/>
        <v/>
      </c>
      <c r="AA61" s="307">
        <f>IF($J61="",#N/A,SUM(Z$4:Z61))</f>
        <v>1.1273861049364817</v>
      </c>
      <c r="AB61" s="308" t="str">
        <f t="shared" si="13"/>
        <v/>
      </c>
      <c r="AC61" s="308">
        <f>IF($J61="",#N/A,SUM(AB$4:AB61))</f>
        <v>0</v>
      </c>
      <c r="AD61" s="309" t="str">
        <f t="shared" si="14"/>
        <v/>
      </c>
      <c r="AE61" s="309">
        <f>IF($J61="",#N/A,SUM(AD$4:AD61))</f>
        <v>1.5553407757049009</v>
      </c>
      <c r="AF61" s="309">
        <f>IF($J61="",#N/A,SUM(AD$4:AD61,AB$4:AB61,Z$4:Z61))</f>
        <v>2.6827268806413822</v>
      </c>
      <c r="AG61" s="307" t="str">
        <f t="shared" si="15"/>
        <v/>
      </c>
      <c r="AH61" s="307">
        <f>IF($J61="",#N/A,SUM(AG$4:AG61))</f>
        <v>0</v>
      </c>
      <c r="AI61" s="308" t="str">
        <f t="shared" si="16"/>
        <v/>
      </c>
      <c r="AJ61" s="308">
        <f>IF($J61="",#N/A,SUM(AI$4:AI61))</f>
        <v>0</v>
      </c>
      <c r="AK61" s="309" t="str">
        <f t="shared" si="17"/>
        <v/>
      </c>
      <c r="AL61" s="309">
        <f>IF($J61="",#N/A,SUM(AK$4:AK61))</f>
        <v>0</v>
      </c>
      <c r="AM61" s="309">
        <f>IF($J61="",#N/A,SUM(AK$4:AK61,AI$4:AI61,AG$4:AG61))</f>
        <v>0</v>
      </c>
      <c r="AN61" s="307" t="str">
        <f t="shared" si="18"/>
        <v/>
      </c>
      <c r="AO61" s="307">
        <f>IF($J61="",#N/A,SUM(AN$4:AN61))</f>
        <v>0</v>
      </c>
      <c r="AP61" s="308" t="str">
        <f t="shared" si="19"/>
        <v/>
      </c>
      <c r="AQ61" s="308">
        <f>IF($J61="",#N/A,SUM(AP$4:AP61))</f>
        <v>0</v>
      </c>
      <c r="AR61" s="309" t="str">
        <f t="shared" si="20"/>
        <v/>
      </c>
      <c r="AS61" s="309">
        <f>IF($J61="",#N/A,SUM(AR$4:AR61))</f>
        <v>0</v>
      </c>
      <c r="AT61" s="309">
        <f>IF($J61="",#N/A,SUM(AR$4:AR61,AP$4:AP61,AN$4:AN61))</f>
        <v>0</v>
      </c>
      <c r="AU61" s="307" t="str">
        <f t="shared" si="21"/>
        <v/>
      </c>
      <c r="AV61" s="307">
        <f>IF($J61="",#N/A,SUM(AU$4:AU61))</f>
        <v>0</v>
      </c>
      <c r="AW61" s="308" t="str">
        <f t="shared" si="22"/>
        <v/>
      </c>
      <c r="AX61" s="308">
        <f>IF($J61="",#N/A,SUM(AW$4:AW61))</f>
        <v>1.2290222546515868</v>
      </c>
      <c r="AY61" s="309" t="str">
        <f t="shared" si="23"/>
        <v/>
      </c>
      <c r="AZ61" s="309">
        <f>IF($J61="",#N/A,SUM(AY$4:AY61))</f>
        <v>2.8806371278168421</v>
      </c>
      <c r="BA61" s="309">
        <f>IF($J61="",#N/A,SUM(AY$4:AY61,AW$4:AW61,AU$4:AU61))</f>
        <v>4.1096593824684291</v>
      </c>
      <c r="BB61" s="307">
        <f t="shared" si="24"/>
        <v>0.57218309859154926</v>
      </c>
      <c r="BC61" s="307">
        <f>IF($J61="",#N/A,SUM(BB$4:BB61))</f>
        <v>0.57218309859154926</v>
      </c>
      <c r="BD61" s="308" t="str">
        <f t="shared" si="25"/>
        <v/>
      </c>
      <c r="BE61" s="308">
        <f>IF($J61="",#N/A,SUM(BD$4:BD61))</f>
        <v>-0.39561000510464578</v>
      </c>
      <c r="BF61" s="309" t="str">
        <f t="shared" si="26"/>
        <v/>
      </c>
      <c r="BG61" s="309">
        <f>IF($J61="",#N/A,SUM(BF$4:BF61))</f>
        <v>2.4597169840247779</v>
      </c>
      <c r="BH61" s="309">
        <f>IF($J61="",#N/A,SUM(BF$4:BF61,BD$4:BD61,BB$4:BB61))</f>
        <v>2.6362900775116813</v>
      </c>
      <c r="BI61" s="307" t="str">
        <f t="shared" si="27"/>
        <v/>
      </c>
      <c r="BJ61" s="307">
        <f>IF($J61="",#N/A,SUM(BI$4:BI61))</f>
        <v>-0.73401118447271563</v>
      </c>
      <c r="BK61" s="308" t="str">
        <f t="shared" si="28"/>
        <v/>
      </c>
      <c r="BL61" s="308">
        <f>IF($J61="",#N/A,SUM(BK$4:BK61))</f>
        <v>0</v>
      </c>
      <c r="BM61" s="309" t="str">
        <f t="shared" si="29"/>
        <v/>
      </c>
      <c r="BN61" s="309">
        <f>IF($J61="",#N/A,SUM(BM$4:BM61))</f>
        <v>3.8210959759517467</v>
      </c>
      <c r="BO61" s="309">
        <f>IF($J61="",#N/A,SUM(BM$4:BM61,BK$4:BK61,BI$4:BI61))</f>
        <v>3.0870847914790311</v>
      </c>
      <c r="BP61" s="307" t="str">
        <f t="shared" si="30"/>
        <v/>
      </c>
      <c r="BQ61" s="307">
        <f>IF($J61="",#N/A,SUM(BP$4:BP61))</f>
        <v>4.0154886764923106</v>
      </c>
      <c r="BR61" s="308" t="str">
        <f t="shared" si="31"/>
        <v/>
      </c>
      <c r="BS61" s="308">
        <f>IF($J61="",#N/A,SUM(BR$4:BR61))</f>
        <v>-0.34773304801390975</v>
      </c>
      <c r="BT61" s="309" t="str">
        <f t="shared" si="32"/>
        <v/>
      </c>
      <c r="BU61" s="309">
        <f>IF($J61="",#N/A,SUM(BT$4:BT61))</f>
        <v>-1.737432118713206</v>
      </c>
      <c r="BV61" s="309">
        <f>IF($J61="",#N/A,SUM(BT$4:BT61,BR$4:BR61,BP$4:BP61))</f>
        <v>1.930323509765195</v>
      </c>
      <c r="BW61" s="307" t="str">
        <f t="shared" si="33"/>
        <v/>
      </c>
      <c r="BX61" s="307">
        <f>IF($J61="",#N/A,SUM(BW$4:BW61))</f>
        <v>-0.73275720435053893</v>
      </c>
      <c r="BY61" s="308" t="str">
        <f t="shared" si="34"/>
        <v/>
      </c>
      <c r="BZ61" s="308">
        <f>IF($J61="",#N/A,SUM(BY$4:BY61))</f>
        <v>0.46686916413544804</v>
      </c>
      <c r="CA61" s="309" t="str">
        <f t="shared" si="35"/>
        <v/>
      </c>
      <c r="CB61" s="309">
        <f>IF($J61="",#N/A,SUM(CA$4:CA61))</f>
        <v>-0.45285090237845554</v>
      </c>
      <c r="CC61" s="309">
        <f>IF($J61="",#N/A,SUM(CA$4:CA61,BY$4:BY61,BW$4:BW61))</f>
        <v>-0.71873894259354643</v>
      </c>
      <c r="CD61" s="307" t="str">
        <f t="shared" si="36"/>
        <v/>
      </c>
      <c r="CE61" s="307">
        <f>IF($J61="",#N/A,SUM(CD$4:CD61))</f>
        <v>0</v>
      </c>
      <c r="CF61" s="308" t="str">
        <f t="shared" si="37"/>
        <v/>
      </c>
      <c r="CG61" s="308">
        <f>IF($J61="",#N/A,SUM(CF$4:CF61))</f>
        <v>0.41783917455444924</v>
      </c>
      <c r="CH61" s="309" t="str">
        <f t="shared" si="38"/>
        <v/>
      </c>
      <c r="CI61" s="309">
        <f>IF($J61="",#N/A,SUM(CH$4:CH61))</f>
        <v>-0.25632679632191468</v>
      </c>
      <c r="CJ61" s="309">
        <f>IF($J61="",#N/A,SUM(CH$4:CH61,CF$4:CF61,CD$4:CD61))</f>
        <v>0.16151237823253456</v>
      </c>
      <c r="CK61" s="307" t="str">
        <f t="shared" si="39"/>
        <v/>
      </c>
      <c r="CL61" s="307">
        <f>IF($J61="",#N/A,SUM(CK$4:CK61))</f>
        <v>0</v>
      </c>
      <c r="CM61" s="308" t="str">
        <f t="shared" si="40"/>
        <v/>
      </c>
      <c r="CN61" s="308">
        <f>IF($J61="",#N/A,SUM(CM$4:CM61))</f>
        <v>0</v>
      </c>
      <c r="CO61" s="309" t="str">
        <f t="shared" si="41"/>
        <v/>
      </c>
      <c r="CP61" s="309">
        <f>IF($J61="",#N/A,SUM(CO$4:CO61))</f>
        <v>-0.8814781582839023</v>
      </c>
      <c r="CQ61" s="309">
        <f>IF($J61="",#N/A,SUM(CO$4:CO61,CM$4:CM61,CK$4:CK61))</f>
        <v>-0.8814781582839023</v>
      </c>
      <c r="CR61" s="307" t="str">
        <f t="shared" si="42"/>
        <v/>
      </c>
      <c r="CS61" s="307">
        <f>IF($J61="",#N/A,SUM(CR$4:CR61))</f>
        <v>0</v>
      </c>
      <c r="CT61" s="308" t="str">
        <f t="shared" si="43"/>
        <v/>
      </c>
      <c r="CU61" s="308">
        <f>IF($J61="",#N/A,SUM(CT$4:CT61))</f>
        <v>-0.13081968772223007</v>
      </c>
      <c r="CV61" s="309" t="str">
        <f t="shared" si="44"/>
        <v/>
      </c>
      <c r="CW61" s="309">
        <f>IF($J61="",#N/A,SUM(CV$4:CV61))</f>
        <v>0.28156811782542707</v>
      </c>
      <c r="CX61" s="309">
        <f>IF($J61="",#N/A,SUM(CV$4:CV61,CT$4:CT61,CR$4:CR61))</f>
        <v>0.150748430103197</v>
      </c>
      <c r="CY61" s="307" t="str">
        <f t="shared" si="45"/>
        <v/>
      </c>
      <c r="CZ61" s="307">
        <f>IF($J61="",#N/A,SUM(CY$4:CY61))</f>
        <v>0</v>
      </c>
      <c r="DA61" s="308" t="str">
        <f t="shared" si="46"/>
        <v/>
      </c>
      <c r="DB61" s="308">
        <f>IF($J61="",#N/A,SUM(DA$4:DA61))</f>
        <v>0</v>
      </c>
      <c r="DC61" s="309" t="str">
        <f t="shared" si="47"/>
        <v/>
      </c>
      <c r="DD61" s="309">
        <f>IF($J61="",#N/A,SUM(DC$4:DC61))</f>
        <v>0</v>
      </c>
      <c r="DE61" s="309">
        <f>IF($J61="",#N/A,SUM(DC$4:DC61,DA$4:DA61,CY$4:CY61))</f>
        <v>0</v>
      </c>
      <c r="DF61" s="307" t="str">
        <f t="shared" si="48"/>
        <v/>
      </c>
      <c r="DG61" s="307">
        <f>IF($J61="",#N/A,SUM(DF$4:DF61))</f>
        <v>0</v>
      </c>
      <c r="DH61" s="308" t="str">
        <f t="shared" si="49"/>
        <v/>
      </c>
      <c r="DI61" s="308">
        <f>IF($J61="",#N/A,SUM(DH$4:DH61))</f>
        <v>0</v>
      </c>
      <c r="DJ61" s="309" t="str">
        <f t="shared" si="50"/>
        <v/>
      </c>
      <c r="DK61" s="309">
        <f>IF($J61="",#N/A,SUM(DJ$4:DJ61))</f>
        <v>0</v>
      </c>
      <c r="DL61" s="309">
        <f>IF($J61="",#N/A,SUM(DJ$4:DJ61,DH$4:DH61,DF$4:DF61))</f>
        <v>0</v>
      </c>
      <c r="DM61" s="307" t="str">
        <f t="shared" si="51"/>
        <v/>
      </c>
      <c r="DN61" s="307">
        <f>IF($J61="",#N/A,SUM(DM$4:DM61))</f>
        <v>0</v>
      </c>
      <c r="DO61" s="308" t="str">
        <f t="shared" si="52"/>
        <v/>
      </c>
      <c r="DP61" s="308">
        <f>IF($J61="",#N/A,SUM(DO$4:DO61))</f>
        <v>0</v>
      </c>
      <c r="DQ61" s="309" t="str">
        <f t="shared" si="53"/>
        <v/>
      </c>
      <c r="DR61" s="309">
        <f>IF($J61="",#N/A,SUM(DQ$4:DQ61))</f>
        <v>0.79026593075765084</v>
      </c>
      <c r="DS61" s="309">
        <f>IF($J61="",#N/A,SUM(DQ$4:DQ61,DO$4:DO61,DM$4:DM61))</f>
        <v>0.79026593075765084</v>
      </c>
      <c r="DT61" s="307" t="str">
        <f t="shared" si="54"/>
        <v/>
      </c>
      <c r="DU61" s="307">
        <f>IF($J61="",#N/A,SUM(DT$4:DT61))</f>
        <v>0</v>
      </c>
      <c r="DV61" s="308" t="str">
        <f t="shared" si="55"/>
        <v/>
      </c>
      <c r="DW61" s="308">
        <f>IF($J61="",#N/A,SUM(DV$4:DV61))</f>
        <v>0.40085630512924314</v>
      </c>
      <c r="DX61" s="309" t="str">
        <f t="shared" si="56"/>
        <v/>
      </c>
      <c r="DY61" s="309">
        <f>IF($J61="",#N/A,SUM(DX$4:DX61))</f>
        <v>0.59674626127163555</v>
      </c>
      <c r="DZ61" s="309">
        <f>IF($J61="",#N/A,SUM(DX$4:DX61,DV$4:DV61,DT$4:DT61))</f>
        <v>0.99760256640087874</v>
      </c>
      <c r="EA61" s="307" t="str">
        <f t="shared" si="57"/>
        <v/>
      </c>
      <c r="EB61" s="307">
        <f>IF($J61="",#N/A,SUM(EA$4:EA61))</f>
        <v>0</v>
      </c>
      <c r="EC61" s="308" t="str">
        <f t="shared" si="58"/>
        <v/>
      </c>
      <c r="ED61" s="308">
        <f>IF($J61="",#N/A,SUM(EC$4:EC61))</f>
        <v>-0.47973811942657352</v>
      </c>
      <c r="EE61" s="309" t="str">
        <f t="shared" si="59"/>
        <v/>
      </c>
      <c r="EF61" s="309">
        <f>IF($J61="",#N/A,SUM(EE$4:EE61))</f>
        <v>0</v>
      </c>
      <c r="EG61" s="309">
        <f>IF($J61="",#N/A,SUM(EE$4:EE61,EC$4:EC61,EA$4:EA61))</f>
        <v>-0.47973811942657352</v>
      </c>
      <c r="EH61" s="213">
        <f t="shared" si="60"/>
        <v>13.732394366197184</v>
      </c>
      <c r="EI61" s="261">
        <f>IF(EH61="",#N/A,SUM($EH$4:EH61))</f>
        <v>347.190209449343</v>
      </c>
      <c r="EJ61" s="213">
        <f t="shared" si="61"/>
        <v>25</v>
      </c>
      <c r="EK61" s="71">
        <f>IF($GZ61="",#N/A,SUM(EJ$4:EJ61))</f>
        <v>582.77334203522969</v>
      </c>
      <c r="EL61" s="263">
        <f t="shared" si="97"/>
        <v>0.57218309859154926</v>
      </c>
      <c r="EM61" s="263">
        <f>IF(EL61="",NA(),SUM($EL$4:EL61))</f>
        <v>14.466258727055964</v>
      </c>
      <c r="EN61" s="60">
        <f t="shared" si="62"/>
        <v>0.57218309859154926</v>
      </c>
      <c r="EO61" s="263">
        <f>IF(EN61="",NA(),SUM($EN$4:EN61))</f>
        <v>4.2482894911970863</v>
      </c>
      <c r="EP61" s="60" t="str">
        <f t="shared" si="63"/>
        <v/>
      </c>
      <c r="EQ61" s="60" t="e">
        <f>IF(EP61="",NA(),SUM($EP$4:EP61))</f>
        <v>#N/A</v>
      </c>
      <c r="ER61" s="60" t="str">
        <f t="shared" si="64"/>
        <v/>
      </c>
      <c r="ES61" s="60" t="e">
        <f>IF(ER61="",NA(),SUM($ER$4:ER61))</f>
        <v>#N/A</v>
      </c>
      <c r="ET61" s="263" t="str">
        <f t="shared" si="65"/>
        <v/>
      </c>
      <c r="EU61" s="263" t="e">
        <f>IF(ET61="",NA(),SUM($ET$4:ET61))</f>
        <v>#N/A</v>
      </c>
      <c r="EV61" s="60" t="str">
        <f t="shared" si="66"/>
        <v/>
      </c>
      <c r="EW61" s="60" t="e">
        <f>IF(EV61="",NA(),SUM($EV$4:EV61))</f>
        <v>#N/A</v>
      </c>
      <c r="EX61" s="60" t="str">
        <f t="shared" si="67"/>
        <v/>
      </c>
      <c r="EY61" s="60" t="e">
        <f>IF(EX61="",NA(),SUM($EX$4:EX61))</f>
        <v>#N/A</v>
      </c>
      <c r="EZ61" s="60" t="str">
        <f t="shared" si="68"/>
        <v/>
      </c>
      <c r="FA61" s="60" t="e">
        <f>IF(EZ61="",NA(),SUM($EZ$4:EZ61))</f>
        <v>#N/A</v>
      </c>
      <c r="FB61" s="271" t="str">
        <f t="shared" si="98"/>
        <v/>
      </c>
      <c r="FC61" s="271" t="e">
        <f>IF($FB61="",#N/A,SUM(FB$4:$FB61))</f>
        <v>#N/A</v>
      </c>
      <c r="FD61" s="263" t="str">
        <f t="shared" si="69"/>
        <v/>
      </c>
      <c r="FE61" s="263" t="e">
        <f>IF($FD61="",#N/A,SUM($FD$4:FD61))</f>
        <v>#N/A</v>
      </c>
      <c r="FF61" s="263">
        <f t="shared" si="70"/>
        <v>0.46948356807511726</v>
      </c>
      <c r="FG61" s="263">
        <f>IF($FF61="",#N/A,SUM($FF$4:FF61))</f>
        <v>2.4352078199123088</v>
      </c>
      <c r="FH61" s="263" t="str">
        <f t="shared" si="71"/>
        <v/>
      </c>
      <c r="FI61" s="263" t="e">
        <f>IF($FH61="",#N/A,SUM($FH$4:FH61))</f>
        <v>#N/A</v>
      </c>
      <c r="FJ61" s="263" t="str">
        <f t="shared" si="72"/>
        <v/>
      </c>
      <c r="FK61" s="263" t="e">
        <f>IF($FJ61="",#N/A,SUM($FJ$4:FJ61))</f>
        <v>#N/A</v>
      </c>
      <c r="FL61" s="263" t="str">
        <f t="shared" si="73"/>
        <v/>
      </c>
      <c r="FM61" s="263" t="e">
        <f>IF($FL61="",#N/A,SUM($FL$4:FL61))</f>
        <v>#N/A</v>
      </c>
      <c r="FN61" s="83">
        <f t="shared" si="74"/>
        <v>1.0416666666666665</v>
      </c>
      <c r="FO61" s="83">
        <f>IF($FN61="",#N/A,SUM(FN$4:$FN61))</f>
        <v>24.282222584801254</v>
      </c>
      <c r="FP61" s="83">
        <f t="shared" si="99"/>
        <v>0.57218309859154926</v>
      </c>
      <c r="FQ61" s="271">
        <f>IF($EH61="",#N/A,SUM($FP$4:FP61))</f>
        <v>14.466258727055964</v>
      </c>
      <c r="FR61" s="83">
        <f>IFERROR(FQ61/COUNTA($J$4:J61),#N/A)</f>
        <v>0.249418253914758</v>
      </c>
      <c r="FS61" s="83">
        <f>IFERROR(($FQ61-$FQ13)/COUNTA($J13:$J61),#N/A)</f>
        <v>0.10494669317878196</v>
      </c>
      <c r="FT61" s="83">
        <f>IFERROR(($FQ61-$FQ37)/COUNTA($J37:$J61),#N/A)</f>
        <v>9.65687254818927E-2</v>
      </c>
      <c r="FU61" s="83" t="e">
        <v>#N/A</v>
      </c>
      <c r="FV61" s="66" t="str">
        <f t="shared" si="75"/>
        <v>Up</v>
      </c>
      <c r="FW61" s="66" t="s">
        <v>2733</v>
      </c>
      <c r="FX61" s="66">
        <f t="shared" si="76"/>
        <v>1</v>
      </c>
      <c r="FY61" s="66" t="str">
        <f t="shared" si="77"/>
        <v/>
      </c>
      <c r="FZ61" s="66" t="str">
        <f t="shared" si="78"/>
        <v/>
      </c>
      <c r="GA61" s="66" t="str">
        <f t="shared" si="79"/>
        <v>Long</v>
      </c>
      <c r="GB61" s="66" t="str">
        <f t="shared" si="80"/>
        <v/>
      </c>
      <c r="GC61" s="66" t="str">
        <f t="shared" si="81"/>
        <v/>
      </c>
      <c r="GD61" s="66" t="str">
        <f t="shared" si="82"/>
        <v/>
      </c>
      <c r="GE61" s="70">
        <f t="shared" si="105"/>
        <v>22.72</v>
      </c>
      <c r="GF61" s="70" t="s">
        <v>2779</v>
      </c>
      <c r="GG61" s="201">
        <f t="shared" si="106"/>
        <v>17.605633802816904</v>
      </c>
      <c r="GH61" s="208">
        <f t="shared" si="85"/>
        <v>400.00000000000006</v>
      </c>
      <c r="GI61" s="201">
        <f t="shared" si="107"/>
        <v>17.605633802816904</v>
      </c>
      <c r="GJ61" s="202">
        <f t="shared" si="108"/>
        <v>23.5</v>
      </c>
      <c r="GK61" s="71">
        <f t="shared" si="88"/>
        <v>13.732394366197184</v>
      </c>
      <c r="GL61" s="262">
        <f t="shared" si="109"/>
        <v>25</v>
      </c>
      <c r="GM61" s="83" t="str">
        <f t="shared" si="90"/>
        <v/>
      </c>
      <c r="GN61" s="82">
        <f>IF($GZ61="",#N/A,SUM(GM$4:GM61))</f>
        <v>11.835413701072589</v>
      </c>
      <c r="GO61" s="83">
        <f t="shared" si="91"/>
        <v>1.0416666666666665</v>
      </c>
      <c r="GP61" s="82">
        <f>IF($GZ61="",#N/A,SUM(GO$4:GO61))</f>
        <v>8.4330372627247048</v>
      </c>
      <c r="GQ61" s="83" t="str">
        <f t="shared" si="92"/>
        <v/>
      </c>
      <c r="GR61" s="82">
        <f>IF($GZ61="",#N/A,SUM(GQ$4:GQ61))</f>
        <v>4.013771621003948</v>
      </c>
      <c r="GS61" s="71" t="str">
        <f t="shared" si="100"/>
        <v/>
      </c>
      <c r="GT61" s="63">
        <f>IF($GZ61="",#N/A,SUM(GS$4:GS61))</f>
        <v>284.0499288257422</v>
      </c>
      <c r="GU61" s="71">
        <f t="shared" si="101"/>
        <v>25</v>
      </c>
      <c r="GV61" s="63">
        <f>IF($GZ61="",#N/A,SUM(GU$4:GU61))</f>
        <v>202.39289430539293</v>
      </c>
      <c r="GW61" s="70" t="str">
        <f t="shared" si="102"/>
        <v/>
      </c>
      <c r="GX61" s="63">
        <f>IF($GZ61="",#N/A,SUM(GW$4:GW61))</f>
        <v>96.330518904094731</v>
      </c>
      <c r="GY61" s="71">
        <f>IF(EJ61="",#N/A,SUM($EJ$4:EJ61))</f>
        <v>582.77334203522969</v>
      </c>
      <c r="GZ61" s="160">
        <v>24.14</v>
      </c>
      <c r="HA61" s="71">
        <f t="shared" si="93"/>
        <v>11.267605633802816</v>
      </c>
      <c r="HB61" s="70" t="s">
        <v>4970</v>
      </c>
      <c r="HC61" s="263">
        <f>IFERROR(VLOOKUP(E61,Expectancy!$P$4:$S$19,1+C61,FALSE),"")</f>
        <v>0.43526476867969371</v>
      </c>
      <c r="HD61" s="263" t="str">
        <f t="shared" si="94"/>
        <v/>
      </c>
      <c r="HE61" s="263" t="e">
        <f>IF(HD61="",#N/A,SUM($HD$4:HD61))</f>
        <v>#N/A</v>
      </c>
      <c r="HF61" s="264" t="e">
        <f>IF(HD61="",#N/A,IF(HB61="Skip",#N/A,SUM($HG$4:HG61)))</f>
        <v>#N/A</v>
      </c>
      <c r="HG61" s="71" t="str">
        <f t="shared" si="95"/>
        <v/>
      </c>
      <c r="HH61" s="82">
        <f t="shared" si="96"/>
        <v>1.0416666666666665</v>
      </c>
    </row>
    <row r="62" spans="1:217" x14ac:dyDescent="0.25">
      <c r="A62" s="72" t="s">
        <v>1460</v>
      </c>
      <c r="B62" s="73" t="s">
        <v>5124</v>
      </c>
      <c r="C62" s="386" t="str">
        <f t="shared" si="0"/>
        <v>x</v>
      </c>
      <c r="D62" s="374" t="str">
        <f>_xlfn.XLOOKUP(A62,[1]SP500!$A$2:$A$502,[1]SP500!$D$2:$D$502,"N")</f>
        <v>Y</v>
      </c>
      <c r="E62" s="72" t="str">
        <f>_xlfn.XLOOKUP(A62,[1]SP500!$A$2:$A$655,[1]SP500!$B$2:$B$655)</f>
        <v>XLB</v>
      </c>
      <c r="F62" s="74">
        <v>45684</v>
      </c>
      <c r="G62" s="72" t="str">
        <f t="shared" si="1"/>
        <v>AMC</v>
      </c>
      <c r="H62" s="57" t="str">
        <f t="shared" si="2"/>
        <v>o</v>
      </c>
      <c r="I62" s="161">
        <v>121.97</v>
      </c>
      <c r="J62" s="161">
        <v>121.97</v>
      </c>
      <c r="K62" s="75">
        <f t="shared" si="3"/>
        <v>0</v>
      </c>
      <c r="L62" s="88">
        <f t="shared" si="4"/>
        <v>0</v>
      </c>
      <c r="M62" s="508">
        <f t="shared" ref="M62:M125" si="112">IF(L62="","",IF(HG62="",#N/A,IF(HB62="Open",HG62-L62,#N/A)))</f>
        <v>0</v>
      </c>
      <c r="N62" s="165" t="str">
        <f t="shared" si="6"/>
        <v/>
      </c>
      <c r="O62" s="165">
        <f>IF($J62="",#N/A,SUM($N$4:N62))</f>
        <v>101.95894778873009</v>
      </c>
      <c r="P62" s="251" t="str">
        <f t="shared" si="7"/>
        <v/>
      </c>
      <c r="Q62" s="251">
        <f>IF($J62="",#N/A,SUM($P$4:P62))</f>
        <v>27.856464916880839</v>
      </c>
      <c r="R62" s="252" t="str">
        <f t="shared" si="8"/>
        <v/>
      </c>
      <c r="S62" s="253">
        <f>IF($J62="",#N/A,SUM($R$4:R62))</f>
        <v>217.37479674373208</v>
      </c>
      <c r="T62" s="287" t="str">
        <f t="shared" si="9"/>
        <v/>
      </c>
      <c r="U62" s="287">
        <f>IF($J62="",#N/A,SUM($T$4:T62))</f>
        <v>4.2482894911970863</v>
      </c>
      <c r="V62" s="288" t="str">
        <f t="shared" si="10"/>
        <v/>
      </c>
      <c r="W62" s="288">
        <f>IF($J62="",#N/A,SUM($V$4:V62))</f>
        <v>1.1606860382033679</v>
      </c>
      <c r="X62" s="289" t="str">
        <f t="shared" si="11"/>
        <v/>
      </c>
      <c r="Y62" s="283">
        <f>IF($J62="",#N/A,SUM($X$4:X62))</f>
        <v>9.0572831976555026</v>
      </c>
      <c r="Z62" s="310" t="str">
        <f t="shared" si="12"/>
        <v/>
      </c>
      <c r="AA62" s="310">
        <f>IF($J62="",#N/A,SUM(Z$4:Z62))</f>
        <v>1.1273861049364817</v>
      </c>
      <c r="AB62" s="311" t="str">
        <f t="shared" si="13"/>
        <v/>
      </c>
      <c r="AC62" s="311">
        <f>IF($J62="",#N/A,SUM(AB$4:AB62))</f>
        <v>0</v>
      </c>
      <c r="AD62" s="312" t="str">
        <f t="shared" si="14"/>
        <v/>
      </c>
      <c r="AE62" s="312">
        <f>IF($J62="",#N/A,SUM(AD$4:AD62))</f>
        <v>1.5553407757049009</v>
      </c>
      <c r="AF62" s="312">
        <f>IF($J62="",#N/A,SUM(AD$4:AD62,AB$4:AB62,Z$4:Z62))</f>
        <v>2.6827268806413822</v>
      </c>
      <c r="AG62" s="310" t="str">
        <f t="shared" si="15"/>
        <v/>
      </c>
      <c r="AH62" s="310">
        <f>IF($J62="",#N/A,SUM(AG$4:AG62))</f>
        <v>0</v>
      </c>
      <c r="AI62" s="311" t="str">
        <f t="shared" si="16"/>
        <v/>
      </c>
      <c r="AJ62" s="311">
        <f>IF($J62="",#N/A,SUM(AI$4:AI62))</f>
        <v>0</v>
      </c>
      <c r="AK62" s="312" t="str">
        <f t="shared" si="17"/>
        <v/>
      </c>
      <c r="AL62" s="312">
        <f>IF($J62="",#N/A,SUM(AK$4:AK62))</f>
        <v>0</v>
      </c>
      <c r="AM62" s="312">
        <f>IF($J62="",#N/A,SUM(AK$4:AK62,AI$4:AI62,AG$4:AG62))</f>
        <v>0</v>
      </c>
      <c r="AN62" s="310" t="str">
        <f t="shared" si="18"/>
        <v/>
      </c>
      <c r="AO62" s="310">
        <f>IF($J62="",#N/A,SUM(AN$4:AN62))</f>
        <v>0</v>
      </c>
      <c r="AP62" s="311" t="str">
        <f t="shared" si="19"/>
        <v/>
      </c>
      <c r="AQ62" s="311">
        <f>IF($J62="",#N/A,SUM(AP$4:AP62))</f>
        <v>0</v>
      </c>
      <c r="AR62" s="312" t="str">
        <f t="shared" si="20"/>
        <v/>
      </c>
      <c r="AS62" s="312">
        <f>IF($J62="",#N/A,SUM(AR$4:AR62))</f>
        <v>0</v>
      </c>
      <c r="AT62" s="312">
        <f>IF($J62="",#N/A,SUM(AR$4:AR62,AP$4:AP62,AN$4:AN62))</f>
        <v>0</v>
      </c>
      <c r="AU62" s="310" t="str">
        <f t="shared" si="21"/>
        <v/>
      </c>
      <c r="AV62" s="310">
        <f>IF($J62="",#N/A,SUM(AU$4:AU62))</f>
        <v>0</v>
      </c>
      <c r="AW62" s="311" t="str">
        <f t="shared" si="22"/>
        <v/>
      </c>
      <c r="AX62" s="311">
        <f>IF($J62="",#N/A,SUM(AW$4:AW62))</f>
        <v>1.2290222546515868</v>
      </c>
      <c r="AY62" s="312" t="str">
        <f t="shared" si="23"/>
        <v/>
      </c>
      <c r="AZ62" s="312">
        <f>IF($J62="",#N/A,SUM(AY$4:AY62))</f>
        <v>2.8806371278168421</v>
      </c>
      <c r="BA62" s="312">
        <f>IF($J62="",#N/A,SUM(AY$4:AY62,AW$4:AW62,AU$4:AU62))</f>
        <v>4.1096593824684291</v>
      </c>
      <c r="BB62" s="310" t="str">
        <f t="shared" si="24"/>
        <v/>
      </c>
      <c r="BC62" s="310">
        <f>IF($J62="",#N/A,SUM(BB$4:BB62))</f>
        <v>0.57218309859154926</v>
      </c>
      <c r="BD62" s="311" t="str">
        <f t="shared" si="25"/>
        <v/>
      </c>
      <c r="BE62" s="311">
        <f>IF($J62="",#N/A,SUM(BD$4:BD62))</f>
        <v>-0.39561000510464578</v>
      </c>
      <c r="BF62" s="312" t="str">
        <f t="shared" si="26"/>
        <v/>
      </c>
      <c r="BG62" s="312">
        <f>IF($J62="",#N/A,SUM(BF$4:BF62))</f>
        <v>2.4597169840247779</v>
      </c>
      <c r="BH62" s="312">
        <f>IF($J62="",#N/A,SUM(BF$4:BF62,BD$4:BD62,BB$4:BB62))</f>
        <v>2.6362900775116813</v>
      </c>
      <c r="BI62" s="310" t="str">
        <f t="shared" si="27"/>
        <v/>
      </c>
      <c r="BJ62" s="310">
        <f>IF($J62="",#N/A,SUM(BI$4:BI62))</f>
        <v>-0.73401118447271563</v>
      </c>
      <c r="BK62" s="311" t="str">
        <f t="shared" si="28"/>
        <v/>
      </c>
      <c r="BL62" s="311">
        <f>IF($J62="",#N/A,SUM(BK$4:BK62))</f>
        <v>0</v>
      </c>
      <c r="BM62" s="312" t="str">
        <f t="shared" si="29"/>
        <v/>
      </c>
      <c r="BN62" s="312">
        <f>IF($J62="",#N/A,SUM(BM$4:BM62))</f>
        <v>3.8210959759517467</v>
      </c>
      <c r="BO62" s="312">
        <f>IF($J62="",#N/A,SUM(BM$4:BM62,BK$4:BK62,BI$4:BI62))</f>
        <v>3.0870847914790311</v>
      </c>
      <c r="BP62" s="310" t="str">
        <f t="shared" si="30"/>
        <v/>
      </c>
      <c r="BQ62" s="310">
        <f>IF($J62="",#N/A,SUM(BP$4:BP62))</f>
        <v>4.0154886764923106</v>
      </c>
      <c r="BR62" s="311" t="str">
        <f t="shared" si="31"/>
        <v/>
      </c>
      <c r="BS62" s="311">
        <f>IF($J62="",#N/A,SUM(BR$4:BR62))</f>
        <v>-0.34773304801390975</v>
      </c>
      <c r="BT62" s="312" t="str">
        <f t="shared" si="32"/>
        <v/>
      </c>
      <c r="BU62" s="312">
        <f>IF($J62="",#N/A,SUM(BT$4:BT62))</f>
        <v>-1.737432118713206</v>
      </c>
      <c r="BV62" s="312">
        <f>IF($J62="",#N/A,SUM(BT$4:BT62,BR$4:BR62,BP$4:BP62))</f>
        <v>1.930323509765195</v>
      </c>
      <c r="BW62" s="310" t="str">
        <f t="shared" si="33"/>
        <v/>
      </c>
      <c r="BX62" s="310">
        <f>IF($J62="",#N/A,SUM(BW$4:BW62))</f>
        <v>-0.73275720435053893</v>
      </c>
      <c r="BY62" s="311" t="str">
        <f t="shared" si="34"/>
        <v/>
      </c>
      <c r="BZ62" s="311">
        <f>IF($J62="",#N/A,SUM(BY$4:BY62))</f>
        <v>0.46686916413544804</v>
      </c>
      <c r="CA62" s="312" t="str">
        <f t="shared" si="35"/>
        <v/>
      </c>
      <c r="CB62" s="312">
        <f>IF($J62="",#N/A,SUM(CA$4:CA62))</f>
        <v>-0.45285090237845554</v>
      </c>
      <c r="CC62" s="312">
        <f>IF($J62="",#N/A,SUM(CA$4:CA62,BY$4:BY62,BW$4:BW62))</f>
        <v>-0.71873894259354643</v>
      </c>
      <c r="CD62" s="310" t="str">
        <f t="shared" si="36"/>
        <v/>
      </c>
      <c r="CE62" s="310">
        <f>IF($J62="",#N/A,SUM(CD$4:CD62))</f>
        <v>0</v>
      </c>
      <c r="CF62" s="311" t="str">
        <f t="shared" si="37"/>
        <v/>
      </c>
      <c r="CG62" s="311">
        <f>IF($J62="",#N/A,SUM(CF$4:CF62))</f>
        <v>0.41783917455444924</v>
      </c>
      <c r="CH62" s="312" t="str">
        <f t="shared" si="38"/>
        <v/>
      </c>
      <c r="CI62" s="312">
        <f>IF($J62="",#N/A,SUM(CH$4:CH62))</f>
        <v>-0.25632679632191468</v>
      </c>
      <c r="CJ62" s="312">
        <f>IF($J62="",#N/A,SUM(CH$4:CH62,CF$4:CF62,CD$4:CD62))</f>
        <v>0.16151237823253456</v>
      </c>
      <c r="CK62" s="310" t="str">
        <f t="shared" si="39"/>
        <v/>
      </c>
      <c r="CL62" s="310">
        <f>IF($J62="",#N/A,SUM(CK$4:CK62))</f>
        <v>0</v>
      </c>
      <c r="CM62" s="311" t="str">
        <f t="shared" si="40"/>
        <v/>
      </c>
      <c r="CN62" s="311">
        <f>IF($J62="",#N/A,SUM(CM$4:CM62))</f>
        <v>0</v>
      </c>
      <c r="CO62" s="312" t="str">
        <f t="shared" si="41"/>
        <v/>
      </c>
      <c r="CP62" s="312">
        <f>IF($J62="",#N/A,SUM(CO$4:CO62))</f>
        <v>-0.8814781582839023</v>
      </c>
      <c r="CQ62" s="312">
        <f>IF($J62="",#N/A,SUM(CO$4:CO62,CM$4:CM62,CK$4:CK62))</f>
        <v>-0.8814781582839023</v>
      </c>
      <c r="CR62" s="310" t="str">
        <f t="shared" si="42"/>
        <v/>
      </c>
      <c r="CS62" s="310">
        <f>IF($J62="",#N/A,SUM(CR$4:CR62))</f>
        <v>0</v>
      </c>
      <c r="CT62" s="311" t="str">
        <f t="shared" si="43"/>
        <v/>
      </c>
      <c r="CU62" s="311">
        <f>IF($J62="",#N/A,SUM(CT$4:CT62))</f>
        <v>-0.13081968772223007</v>
      </c>
      <c r="CV62" s="312" t="str">
        <f t="shared" si="44"/>
        <v/>
      </c>
      <c r="CW62" s="312">
        <f>IF($J62="",#N/A,SUM(CV$4:CV62))</f>
        <v>0.28156811782542707</v>
      </c>
      <c r="CX62" s="312">
        <f>IF($J62="",#N/A,SUM(CV$4:CV62,CT$4:CT62,CR$4:CR62))</f>
        <v>0.150748430103197</v>
      </c>
      <c r="CY62" s="310" t="str">
        <f t="shared" si="45"/>
        <v/>
      </c>
      <c r="CZ62" s="310">
        <f>IF($J62="",#N/A,SUM(CY$4:CY62))</f>
        <v>0</v>
      </c>
      <c r="DA62" s="311" t="str">
        <f t="shared" si="46"/>
        <v/>
      </c>
      <c r="DB62" s="311">
        <f>IF($J62="",#N/A,SUM(DA$4:DA62))</f>
        <v>0</v>
      </c>
      <c r="DC62" s="312" t="str">
        <f t="shared" si="47"/>
        <v/>
      </c>
      <c r="DD62" s="312">
        <f>IF($J62="",#N/A,SUM(DC$4:DC62))</f>
        <v>0</v>
      </c>
      <c r="DE62" s="312">
        <f>IF($J62="",#N/A,SUM(DC$4:DC62,DA$4:DA62,CY$4:CY62))</f>
        <v>0</v>
      </c>
      <c r="DF62" s="310" t="str">
        <f t="shared" si="48"/>
        <v/>
      </c>
      <c r="DG62" s="310">
        <f>IF($J62="",#N/A,SUM(DF$4:DF62))</f>
        <v>0</v>
      </c>
      <c r="DH62" s="311" t="str">
        <f t="shared" si="49"/>
        <v/>
      </c>
      <c r="DI62" s="311">
        <f>IF($J62="",#N/A,SUM(DH$4:DH62))</f>
        <v>0</v>
      </c>
      <c r="DJ62" s="312" t="str">
        <f t="shared" si="50"/>
        <v/>
      </c>
      <c r="DK62" s="312">
        <f>IF($J62="",#N/A,SUM(DJ$4:DJ62))</f>
        <v>0</v>
      </c>
      <c r="DL62" s="312">
        <f>IF($J62="",#N/A,SUM(DJ$4:DJ62,DH$4:DH62,DF$4:DF62))</f>
        <v>0</v>
      </c>
      <c r="DM62" s="310" t="str">
        <f t="shared" si="51"/>
        <v/>
      </c>
      <c r="DN62" s="310">
        <f>IF($J62="",#N/A,SUM(DM$4:DM62))</f>
        <v>0</v>
      </c>
      <c r="DO62" s="311" t="str">
        <f t="shared" si="52"/>
        <v/>
      </c>
      <c r="DP62" s="311">
        <f>IF($J62="",#N/A,SUM(DO$4:DO62))</f>
        <v>0</v>
      </c>
      <c r="DQ62" s="312" t="str">
        <f t="shared" si="53"/>
        <v/>
      </c>
      <c r="DR62" s="312">
        <f>IF($J62="",#N/A,SUM(DQ$4:DQ62))</f>
        <v>0.79026593075765084</v>
      </c>
      <c r="DS62" s="312">
        <f>IF($J62="",#N/A,SUM(DQ$4:DQ62,DO$4:DO62,DM$4:DM62))</f>
        <v>0.79026593075765084</v>
      </c>
      <c r="DT62" s="310" t="str">
        <f t="shared" si="54"/>
        <v/>
      </c>
      <c r="DU62" s="310">
        <f>IF($J62="",#N/A,SUM(DT$4:DT62))</f>
        <v>0</v>
      </c>
      <c r="DV62" s="311" t="str">
        <f t="shared" si="55"/>
        <v/>
      </c>
      <c r="DW62" s="311">
        <f>IF($J62="",#N/A,SUM(DV$4:DV62))</f>
        <v>0.40085630512924314</v>
      </c>
      <c r="DX62" s="312" t="str">
        <f t="shared" si="56"/>
        <v/>
      </c>
      <c r="DY62" s="312">
        <f>IF($J62="",#N/A,SUM(DX$4:DX62))</f>
        <v>0.59674626127163555</v>
      </c>
      <c r="DZ62" s="312">
        <f>IF($J62="",#N/A,SUM(DX$4:DX62,DV$4:DV62,DT$4:DT62))</f>
        <v>0.99760256640087874</v>
      </c>
      <c r="EA62" s="310" t="str">
        <f t="shared" si="57"/>
        <v/>
      </c>
      <c r="EB62" s="310">
        <f>IF($J62="",#N/A,SUM(EA$4:EA62))</f>
        <v>0</v>
      </c>
      <c r="EC62" s="311" t="str">
        <f t="shared" si="58"/>
        <v/>
      </c>
      <c r="ED62" s="311">
        <f>IF($J62="",#N/A,SUM(EC$4:EC62))</f>
        <v>-0.47973811942657352</v>
      </c>
      <c r="EE62" s="312" t="str">
        <f t="shared" si="59"/>
        <v/>
      </c>
      <c r="EF62" s="312">
        <f>IF($J62="",#N/A,SUM(EE$4:EE62))</f>
        <v>0</v>
      </c>
      <c r="EG62" s="312">
        <f>IF($J62="",#N/A,SUM(EE$4:EE62,EC$4:EC62,EA$4:EA62))</f>
        <v>-0.47973811942657352</v>
      </c>
      <c r="EH62" s="212">
        <f t="shared" si="60"/>
        <v>0</v>
      </c>
      <c r="EI62" s="254">
        <f>IF(EH62="",#N/A,SUM($EH$4:EH62))</f>
        <v>347.190209449343</v>
      </c>
      <c r="EJ62" s="212">
        <f t="shared" si="61"/>
        <v>13.740000000000009</v>
      </c>
      <c r="EK62" s="77">
        <f>IF($GZ62="",#N/A,SUM(EJ$4:EJ62))</f>
        <v>596.5133420352297</v>
      </c>
      <c r="EL62" s="255">
        <f t="shared" si="97"/>
        <v>0</v>
      </c>
      <c r="EM62" s="255">
        <f>IF(EL62="",NA(),SUM($EL$4:EL62))</f>
        <v>14.466258727055964</v>
      </c>
      <c r="EN62" s="60" t="str">
        <f t="shared" si="62"/>
        <v/>
      </c>
      <c r="EO62" s="255" t="e">
        <f>IF(EN62="",NA(),SUM($EN$4:EN62))</f>
        <v>#N/A</v>
      </c>
      <c r="EP62" s="60" t="str">
        <f t="shared" si="63"/>
        <v/>
      </c>
      <c r="EQ62" s="60" t="e">
        <f>IF(EP62="",NA(),SUM($EP$4:EP62))</f>
        <v>#N/A</v>
      </c>
      <c r="ER62" s="60" t="str">
        <f t="shared" si="64"/>
        <v/>
      </c>
      <c r="ES62" s="60" t="e">
        <f>IF(ER62="",NA(),SUM($ER$4:ER62))</f>
        <v>#N/A</v>
      </c>
      <c r="ET62" s="255" t="str">
        <f t="shared" si="65"/>
        <v/>
      </c>
      <c r="EU62" s="255" t="e">
        <f>IF(ET62="",NA(),SUM($ET$4:ET62))</f>
        <v>#N/A</v>
      </c>
      <c r="EV62" s="60" t="str">
        <f t="shared" si="66"/>
        <v/>
      </c>
      <c r="EW62" s="60" t="e">
        <f>IF(EV62="",NA(),SUM($EV$4:EV62))</f>
        <v>#N/A</v>
      </c>
      <c r="EX62" s="60" t="str">
        <f t="shared" si="67"/>
        <v/>
      </c>
      <c r="EY62" s="60" t="e">
        <f>IF(EX62="",NA(),SUM($EX$4:EX62))</f>
        <v>#N/A</v>
      </c>
      <c r="EZ62" s="60" t="str">
        <f t="shared" si="68"/>
        <v/>
      </c>
      <c r="FA62" s="60" t="e">
        <f>IF(EZ62="",NA(),SUM($EZ$4:EZ62))</f>
        <v>#N/A</v>
      </c>
      <c r="FB62" s="272" t="str">
        <f t="shared" si="98"/>
        <v/>
      </c>
      <c r="FC62" s="272" t="e">
        <f>IF($FB62="",#N/A,SUM(FB$4:$FB62))</f>
        <v>#N/A</v>
      </c>
      <c r="FD62" s="255" t="str">
        <f t="shared" si="69"/>
        <v/>
      </c>
      <c r="FE62" s="255" t="e">
        <f>IF($FD62="",#N/A,SUM($FD$4:FD62))</f>
        <v>#N/A</v>
      </c>
      <c r="FF62" s="255" t="str">
        <f t="shared" si="70"/>
        <v/>
      </c>
      <c r="FG62" s="255" t="e">
        <f>IF($FF62="",#N/A,SUM($FF$4:FF62))</f>
        <v>#N/A</v>
      </c>
      <c r="FH62" s="255" t="str">
        <f t="shared" si="71"/>
        <v/>
      </c>
      <c r="FI62" s="255" t="e">
        <f>IF($FH62="",#N/A,SUM($FH$4:FH62))</f>
        <v>#N/A</v>
      </c>
      <c r="FJ62" s="255" t="str">
        <f t="shared" si="72"/>
        <v/>
      </c>
      <c r="FK62" s="255" t="e">
        <f>IF($FJ62="",#N/A,SUM($FJ$4:FJ62))</f>
        <v>#N/A</v>
      </c>
      <c r="FL62" s="255" t="str">
        <f t="shared" si="73"/>
        <v/>
      </c>
      <c r="FM62" s="255" t="e">
        <f>IF($FL62="",#N/A,SUM($FL$4:FL62))</f>
        <v>#N/A</v>
      </c>
      <c r="FN62" s="81">
        <f t="shared" si="74"/>
        <v>0.62583695444234977</v>
      </c>
      <c r="FO62" s="81">
        <f>IF($FN62="",#N/A,SUM(FN$4:$FN62))</f>
        <v>24.908059539243602</v>
      </c>
      <c r="FP62" s="81">
        <f t="shared" si="99"/>
        <v>0</v>
      </c>
      <c r="FQ62" s="272">
        <f>IF($EH62="",#N/A,SUM($FP$4:FP62))</f>
        <v>14.466258727055964</v>
      </c>
      <c r="FR62" s="81">
        <f>IFERROR(FQ62/COUNTA($J$4:J62),#N/A)</f>
        <v>0.24519082588230448</v>
      </c>
      <c r="FS62" s="81">
        <f>IFERROR(($FQ62-$FQ14)/COUNTA($J14:$J62),#N/A)</f>
        <v>0.10566885040685363</v>
      </c>
      <c r="FT62" s="81">
        <f>IFERROR(($FQ62-$FQ38)/COUNTA($J38:$J62),#N/A)</f>
        <v>0.11175267387930127</v>
      </c>
      <c r="FU62" s="337">
        <f t="shared" ref="FU62:FU90" si="113">IF(AND(HB62="MOC",GZ62=""),#N/A,IFERROR(FQ62-HE62,FQ62-0))-14.53</f>
        <v>-6.3741272944035643E-2</v>
      </c>
      <c r="FV62" s="72" t="str">
        <f t="shared" si="75"/>
        <v>err</v>
      </c>
      <c r="FW62" s="72" t="s">
        <v>2734</v>
      </c>
      <c r="FX62" s="72" t="str">
        <f t="shared" si="76"/>
        <v/>
      </c>
      <c r="FY62" s="72" t="str">
        <f t="shared" si="77"/>
        <v/>
      </c>
      <c r="FZ62" s="72" t="str">
        <f t="shared" si="78"/>
        <v/>
      </c>
      <c r="GA62" s="72" t="str">
        <f t="shared" si="79"/>
        <v>Long</v>
      </c>
      <c r="GB62" s="72" t="str">
        <f t="shared" si="80"/>
        <v/>
      </c>
      <c r="GC62" s="72" t="str">
        <f t="shared" si="81"/>
        <v/>
      </c>
      <c r="GD62" s="72" t="str">
        <f t="shared" si="82"/>
        <v/>
      </c>
      <c r="GE62" s="76">
        <f t="shared" ref="GE62:GE125" si="114">IF(I62="","",I62)</f>
        <v>121.97</v>
      </c>
      <c r="GF62" s="76" t="s">
        <v>2780</v>
      </c>
      <c r="GG62" s="203">
        <v>3</v>
      </c>
      <c r="GH62" s="209">
        <f t="shared" si="85"/>
        <v>365.90999999999997</v>
      </c>
      <c r="GI62" s="203">
        <v>3</v>
      </c>
      <c r="GJ62" s="204">
        <v>121.97</v>
      </c>
      <c r="GK62" s="77">
        <f t="shared" si="88"/>
        <v>0</v>
      </c>
      <c r="GL62" s="77">
        <f t="shared" ref="GL62:GL125" si="115">IF($GZ62="","",IF($GF62="Long",(($GZ62*$GI62)-$GH62),($GH62-($GZ62*$GI62))))</f>
        <v>-13.740000000000009</v>
      </c>
      <c r="GM62" s="81" t="str">
        <f t="shared" si="90"/>
        <v/>
      </c>
      <c r="GN62" s="82">
        <f>IF($GZ62="",#N/A,SUM(GM$4:GM62))</f>
        <v>11.835413701072589</v>
      </c>
      <c r="GO62" s="81" t="str">
        <f t="shared" si="91"/>
        <v/>
      </c>
      <c r="GP62" s="82">
        <f>IF($GZ62="",#N/A,SUM(GO$4:GO62))</f>
        <v>8.4330372627247048</v>
      </c>
      <c r="GQ62" s="81" t="str">
        <f t="shared" si="92"/>
        <v/>
      </c>
      <c r="GR62" s="82">
        <f>IF($GZ62="",#N/A,SUM(GQ$4:GQ62))</f>
        <v>4.013771621003948</v>
      </c>
      <c r="GS62" s="77" t="str">
        <f t="shared" si="100"/>
        <v/>
      </c>
      <c r="GT62" s="63">
        <f>IF($GZ62="",#N/A,SUM(GS$4:GS62))</f>
        <v>284.0499288257422</v>
      </c>
      <c r="GU62" s="77" t="str">
        <f t="shared" si="101"/>
        <v/>
      </c>
      <c r="GV62" s="63">
        <f>IF($GZ62="",#N/A,SUM(GU$4:GU62))</f>
        <v>202.39289430539293</v>
      </c>
      <c r="GW62" s="77" t="str">
        <f t="shared" si="102"/>
        <v/>
      </c>
      <c r="GX62" s="63">
        <f>IF($GZ62="",#N/A,SUM(GW$4:GW62))</f>
        <v>96.330518904094731</v>
      </c>
      <c r="GY62" s="77">
        <f>IF(EJ62="",#N/A,SUM($EJ$4:EJ62))</f>
        <v>596.5133420352297</v>
      </c>
      <c r="GZ62" s="161">
        <v>126.55</v>
      </c>
      <c r="HA62" s="77">
        <f t="shared" si="93"/>
        <v>-13.740000000000009</v>
      </c>
      <c r="HB62" s="77" t="s">
        <v>2538</v>
      </c>
      <c r="HC62" s="255" t="str">
        <f>IFERROR(VLOOKUP(E62,Expectancy!$P$4:$S$19,1+C62,FALSE),"")</f>
        <v/>
      </c>
      <c r="HD62" s="255">
        <f t="shared" si="94"/>
        <v>0</v>
      </c>
      <c r="HE62" s="255">
        <f>IF(HD62="",#N/A,SUM($HD$4:HD62))</f>
        <v>0</v>
      </c>
      <c r="HF62" s="256">
        <f>IF(HD62="",#N/A,IF(HB62="Skip",#N/A,SUM($HG$4:HG62)))</f>
        <v>0</v>
      </c>
      <c r="HG62" s="77">
        <f t="shared" si="95"/>
        <v>0</v>
      </c>
      <c r="HH62" s="82">
        <f t="shared" si="96"/>
        <v>0.62583695444234977</v>
      </c>
      <c r="HI62" s="56"/>
    </row>
    <row r="63" spans="1:217" x14ac:dyDescent="0.25">
      <c r="A63" s="57" t="s">
        <v>1470</v>
      </c>
      <c r="B63" s="58" t="s">
        <v>5125</v>
      </c>
      <c r="C63" s="386">
        <f t="shared" si="0"/>
        <v>3</v>
      </c>
      <c r="D63" s="372" t="str">
        <f>_xlfn.XLOOKUP(A63,[1]SP500!$A$2:$A$502,[1]SP500!$D$2:$D$502,"N")</f>
        <v>Y</v>
      </c>
      <c r="E63" s="57" t="str">
        <f>_xlfn.XLOOKUP(A63,[1]SP500!$A$2:$A$655,[1]SP500!$B$2:$B$655)</f>
        <v>INS</v>
      </c>
      <c r="F63" s="59">
        <v>45684</v>
      </c>
      <c r="G63" s="57" t="str">
        <f t="shared" si="1"/>
        <v>AMC</v>
      </c>
      <c r="H63" s="57" t="str">
        <f t="shared" si="2"/>
        <v>s</v>
      </c>
      <c r="I63" s="159">
        <v>107.84</v>
      </c>
      <c r="J63" s="159">
        <v>109.06</v>
      </c>
      <c r="K63" s="61">
        <f t="shared" si="3"/>
        <v>1.1313056379821948E-2</v>
      </c>
      <c r="L63" s="87">
        <f t="shared" si="4"/>
        <v>4.8799999999999955</v>
      </c>
      <c r="M63" s="78">
        <f t="shared" si="112"/>
        <v>-6.4000000000000341</v>
      </c>
      <c r="N63" s="219" t="str">
        <f t="shared" si="6"/>
        <v/>
      </c>
      <c r="O63" s="219">
        <f>IF($J63="",#N/A,SUM($N$4:N63))</f>
        <v>101.95894778873009</v>
      </c>
      <c r="P63" s="220" t="str">
        <f t="shared" si="7"/>
        <v/>
      </c>
      <c r="Q63" s="220">
        <f>IF($J63="",#N/A,SUM($P$4:P63))</f>
        <v>27.856464916880839</v>
      </c>
      <c r="R63" s="221">
        <f t="shared" si="8"/>
        <v>4.8799999999999955</v>
      </c>
      <c r="S63" s="222">
        <f>IF($J63="",#N/A,SUM($R$4:R63))</f>
        <v>222.25479674373207</v>
      </c>
      <c r="T63" s="281" t="str">
        <f t="shared" si="9"/>
        <v/>
      </c>
      <c r="U63" s="281">
        <f>IF($J63="",#N/A,SUM($T$4:T63))</f>
        <v>4.2482894911970863</v>
      </c>
      <c r="V63" s="282" t="str">
        <f t="shared" si="10"/>
        <v/>
      </c>
      <c r="W63" s="282">
        <f>IF($J63="",#N/A,SUM($V$4:V63))</f>
        <v>1.1606860382033679</v>
      </c>
      <c r="X63" s="283">
        <f t="shared" si="11"/>
        <v>0.18855093966369915</v>
      </c>
      <c r="Y63" s="283">
        <f>IF($J63="",#N/A,SUM($X$4:X63))</f>
        <v>9.2458341373192017</v>
      </c>
      <c r="Z63" s="304" t="str">
        <f t="shared" si="12"/>
        <v/>
      </c>
      <c r="AA63" s="304">
        <f>IF($J63="",#N/A,SUM(Z$4:Z63))</f>
        <v>1.1273861049364817</v>
      </c>
      <c r="AB63" s="305" t="str">
        <f t="shared" si="13"/>
        <v/>
      </c>
      <c r="AC63" s="305">
        <f>IF($J63="",#N/A,SUM(AB$4:AB63))</f>
        <v>0</v>
      </c>
      <c r="AD63" s="306" t="str">
        <f t="shared" si="14"/>
        <v/>
      </c>
      <c r="AE63" s="306">
        <f>IF($J63="",#N/A,SUM(AD$4:AD63))</f>
        <v>1.5553407757049009</v>
      </c>
      <c r="AF63" s="306">
        <f>IF($J63="",#N/A,SUM(AD$4:AD63,AB$4:AB63,Z$4:Z63))</f>
        <v>2.6827268806413822</v>
      </c>
      <c r="AG63" s="304" t="str">
        <f t="shared" si="15"/>
        <v/>
      </c>
      <c r="AH63" s="304">
        <f>IF($J63="",#N/A,SUM(AG$4:AG63))</f>
        <v>0</v>
      </c>
      <c r="AI63" s="305" t="str">
        <f t="shared" si="16"/>
        <v/>
      </c>
      <c r="AJ63" s="305">
        <f>IF($J63="",#N/A,SUM(AI$4:AI63))</f>
        <v>0</v>
      </c>
      <c r="AK63" s="306" t="str">
        <f t="shared" si="17"/>
        <v/>
      </c>
      <c r="AL63" s="306">
        <f>IF($J63="",#N/A,SUM(AK$4:AK63))</f>
        <v>0</v>
      </c>
      <c r="AM63" s="306">
        <f>IF($J63="",#N/A,SUM(AK$4:AK63,AI$4:AI63,AG$4:AG63))</f>
        <v>0</v>
      </c>
      <c r="AN63" s="304" t="str">
        <f t="shared" si="18"/>
        <v/>
      </c>
      <c r="AO63" s="304">
        <f>IF($J63="",#N/A,SUM(AN$4:AN63))</f>
        <v>0</v>
      </c>
      <c r="AP63" s="305" t="str">
        <f t="shared" si="19"/>
        <v/>
      </c>
      <c r="AQ63" s="305">
        <f>IF($J63="",#N/A,SUM(AP$4:AP63))</f>
        <v>0</v>
      </c>
      <c r="AR63" s="306" t="str">
        <f t="shared" si="20"/>
        <v/>
      </c>
      <c r="AS63" s="306">
        <f>IF($J63="",#N/A,SUM(AR$4:AR63))</f>
        <v>0</v>
      </c>
      <c r="AT63" s="306">
        <f>IF($J63="",#N/A,SUM(AR$4:AR63,AP$4:AP63,AN$4:AN63))</f>
        <v>0</v>
      </c>
      <c r="AU63" s="304" t="str">
        <f t="shared" si="21"/>
        <v/>
      </c>
      <c r="AV63" s="304">
        <f>IF($J63="",#N/A,SUM(AU$4:AU63))</f>
        <v>0</v>
      </c>
      <c r="AW63" s="305" t="str">
        <f t="shared" si="22"/>
        <v/>
      </c>
      <c r="AX63" s="305">
        <f>IF($J63="",#N/A,SUM(AW$4:AW63))</f>
        <v>1.2290222546515868</v>
      </c>
      <c r="AY63" s="306" t="str">
        <f t="shared" si="23"/>
        <v/>
      </c>
      <c r="AZ63" s="306">
        <f>IF($J63="",#N/A,SUM(AY$4:AY63))</f>
        <v>2.8806371278168421</v>
      </c>
      <c r="BA63" s="306">
        <f>IF($J63="",#N/A,SUM(AY$4:AY63,AW$4:AW63,AU$4:AU63))</f>
        <v>4.1096593824684291</v>
      </c>
      <c r="BB63" s="304" t="str">
        <f t="shared" si="24"/>
        <v/>
      </c>
      <c r="BC63" s="304">
        <f>IF($J63="",#N/A,SUM(BB$4:BB63))</f>
        <v>0.57218309859154926</v>
      </c>
      <c r="BD63" s="305" t="str">
        <f t="shared" si="25"/>
        <v/>
      </c>
      <c r="BE63" s="305">
        <f>IF($J63="",#N/A,SUM(BD$4:BD63))</f>
        <v>-0.39561000510464578</v>
      </c>
      <c r="BF63" s="306" t="str">
        <f t="shared" si="26"/>
        <v/>
      </c>
      <c r="BG63" s="306">
        <f>IF($J63="",#N/A,SUM(BF$4:BF63))</f>
        <v>2.4597169840247779</v>
      </c>
      <c r="BH63" s="306">
        <f>IF($J63="",#N/A,SUM(BF$4:BF63,BD$4:BD63,BB$4:BB63))</f>
        <v>2.6362900775116813</v>
      </c>
      <c r="BI63" s="304" t="str">
        <f t="shared" si="27"/>
        <v/>
      </c>
      <c r="BJ63" s="304">
        <f>IF($J63="",#N/A,SUM(BI$4:BI63))</f>
        <v>-0.73401118447271563</v>
      </c>
      <c r="BK63" s="305" t="str">
        <f t="shared" si="28"/>
        <v/>
      </c>
      <c r="BL63" s="305">
        <f>IF($J63="",#N/A,SUM(BK$4:BK63))</f>
        <v>0</v>
      </c>
      <c r="BM63" s="306" t="str">
        <f t="shared" si="29"/>
        <v/>
      </c>
      <c r="BN63" s="306">
        <f>IF($J63="",#N/A,SUM(BM$4:BM63))</f>
        <v>3.8210959759517467</v>
      </c>
      <c r="BO63" s="306">
        <f>IF($J63="",#N/A,SUM(BM$4:BM63,BK$4:BK63,BI$4:BI63))</f>
        <v>3.0870847914790311</v>
      </c>
      <c r="BP63" s="304" t="str">
        <f t="shared" si="30"/>
        <v/>
      </c>
      <c r="BQ63" s="304">
        <f>IF($J63="",#N/A,SUM(BP$4:BP63))</f>
        <v>4.0154886764923106</v>
      </c>
      <c r="BR63" s="305" t="str">
        <f t="shared" si="31"/>
        <v/>
      </c>
      <c r="BS63" s="305">
        <f>IF($J63="",#N/A,SUM(BR$4:BR63))</f>
        <v>-0.34773304801390975</v>
      </c>
      <c r="BT63" s="306" t="str">
        <f t="shared" si="32"/>
        <v/>
      </c>
      <c r="BU63" s="306">
        <f>IF($J63="",#N/A,SUM(BT$4:BT63))</f>
        <v>-1.737432118713206</v>
      </c>
      <c r="BV63" s="306">
        <f>IF($J63="",#N/A,SUM(BT$4:BT63,BR$4:BR63,BP$4:BP63))</f>
        <v>1.930323509765195</v>
      </c>
      <c r="BW63" s="304" t="str">
        <f t="shared" si="33"/>
        <v/>
      </c>
      <c r="BX63" s="304">
        <f>IF($J63="",#N/A,SUM(BW$4:BW63))</f>
        <v>-0.73275720435053893</v>
      </c>
      <c r="BY63" s="305" t="str">
        <f t="shared" si="34"/>
        <v/>
      </c>
      <c r="BZ63" s="305">
        <f>IF($J63="",#N/A,SUM(BY$4:BY63))</f>
        <v>0.46686916413544804</v>
      </c>
      <c r="CA63" s="306" t="str">
        <f t="shared" si="35"/>
        <v/>
      </c>
      <c r="CB63" s="306">
        <f>IF($J63="",#N/A,SUM(CA$4:CA63))</f>
        <v>-0.45285090237845554</v>
      </c>
      <c r="CC63" s="306">
        <f>IF($J63="",#N/A,SUM(CA$4:CA63,BY$4:BY63,BW$4:BW63))</f>
        <v>-0.71873894259354643</v>
      </c>
      <c r="CD63" s="304" t="str">
        <f t="shared" si="36"/>
        <v/>
      </c>
      <c r="CE63" s="304">
        <f>IF($J63="",#N/A,SUM(CD$4:CD63))</f>
        <v>0</v>
      </c>
      <c r="CF63" s="305" t="str">
        <f t="shared" si="37"/>
        <v/>
      </c>
      <c r="CG63" s="305">
        <f>IF($J63="",#N/A,SUM(CF$4:CF63))</f>
        <v>0.41783917455444924</v>
      </c>
      <c r="CH63" s="306" t="str">
        <f t="shared" si="38"/>
        <v/>
      </c>
      <c r="CI63" s="306">
        <f>IF($J63="",#N/A,SUM(CH$4:CH63))</f>
        <v>-0.25632679632191468</v>
      </c>
      <c r="CJ63" s="306">
        <f>IF($J63="",#N/A,SUM(CH$4:CH63,CF$4:CF63,CD$4:CD63))</f>
        <v>0.16151237823253456</v>
      </c>
      <c r="CK63" s="304" t="str">
        <f t="shared" si="39"/>
        <v/>
      </c>
      <c r="CL63" s="304">
        <f>IF($J63="",#N/A,SUM(CK$4:CK63))</f>
        <v>0</v>
      </c>
      <c r="CM63" s="305" t="str">
        <f t="shared" si="40"/>
        <v/>
      </c>
      <c r="CN63" s="305">
        <f>IF($J63="",#N/A,SUM(CM$4:CM63))</f>
        <v>0</v>
      </c>
      <c r="CO63" s="306" t="str">
        <f t="shared" si="41"/>
        <v/>
      </c>
      <c r="CP63" s="306">
        <f>IF($J63="",#N/A,SUM(CO$4:CO63))</f>
        <v>-0.8814781582839023</v>
      </c>
      <c r="CQ63" s="306">
        <f>IF($J63="",#N/A,SUM(CO$4:CO63,CM$4:CM63,CK$4:CK63))</f>
        <v>-0.8814781582839023</v>
      </c>
      <c r="CR63" s="304" t="str">
        <f t="shared" si="42"/>
        <v/>
      </c>
      <c r="CS63" s="304">
        <f>IF($J63="",#N/A,SUM(CR$4:CR63))</f>
        <v>0</v>
      </c>
      <c r="CT63" s="305" t="str">
        <f t="shared" si="43"/>
        <v/>
      </c>
      <c r="CU63" s="305">
        <f>IF($J63="",#N/A,SUM(CT$4:CT63))</f>
        <v>-0.13081968772223007</v>
      </c>
      <c r="CV63" s="306" t="str">
        <f t="shared" si="44"/>
        <v/>
      </c>
      <c r="CW63" s="306">
        <f>IF($J63="",#N/A,SUM(CV$4:CV63))</f>
        <v>0.28156811782542707</v>
      </c>
      <c r="CX63" s="306">
        <f>IF($J63="",#N/A,SUM(CV$4:CV63,CT$4:CT63,CR$4:CR63))</f>
        <v>0.150748430103197</v>
      </c>
      <c r="CY63" s="304" t="str">
        <f t="shared" si="45"/>
        <v/>
      </c>
      <c r="CZ63" s="304">
        <f>IF($J63="",#N/A,SUM(CY$4:CY63))</f>
        <v>0</v>
      </c>
      <c r="DA63" s="305" t="str">
        <f t="shared" si="46"/>
        <v/>
      </c>
      <c r="DB63" s="305">
        <f>IF($J63="",#N/A,SUM(DA$4:DA63))</f>
        <v>0</v>
      </c>
      <c r="DC63" s="306" t="str">
        <f t="shared" si="47"/>
        <v/>
      </c>
      <c r="DD63" s="306">
        <f>IF($J63="",#N/A,SUM(DC$4:DC63))</f>
        <v>0</v>
      </c>
      <c r="DE63" s="306">
        <f>IF($J63="",#N/A,SUM(DC$4:DC63,DA$4:DA63,CY$4:CY63))</f>
        <v>0</v>
      </c>
      <c r="DF63" s="304" t="str">
        <f t="shared" si="48"/>
        <v/>
      </c>
      <c r="DG63" s="304">
        <f>IF($J63="",#N/A,SUM(DF$4:DF63))</f>
        <v>0</v>
      </c>
      <c r="DH63" s="305" t="str">
        <f t="shared" si="49"/>
        <v/>
      </c>
      <c r="DI63" s="305">
        <f>IF($J63="",#N/A,SUM(DH$4:DH63))</f>
        <v>0</v>
      </c>
      <c r="DJ63" s="306" t="str">
        <f t="shared" si="50"/>
        <v/>
      </c>
      <c r="DK63" s="306">
        <f>IF($J63="",#N/A,SUM(DJ$4:DJ63))</f>
        <v>0</v>
      </c>
      <c r="DL63" s="306">
        <f>IF($J63="",#N/A,SUM(DJ$4:DJ63,DH$4:DH63,DF$4:DF63))</f>
        <v>0</v>
      </c>
      <c r="DM63" s="304" t="str">
        <f t="shared" si="51"/>
        <v/>
      </c>
      <c r="DN63" s="304">
        <f>IF($J63="",#N/A,SUM(DM$4:DM63))</f>
        <v>0</v>
      </c>
      <c r="DO63" s="305" t="str">
        <f t="shared" si="52"/>
        <v/>
      </c>
      <c r="DP63" s="305">
        <f>IF($J63="",#N/A,SUM(DO$4:DO63))</f>
        <v>0</v>
      </c>
      <c r="DQ63" s="306">
        <f t="shared" si="53"/>
        <v>0.18855093966369915</v>
      </c>
      <c r="DR63" s="306">
        <f>IF($J63="",#N/A,SUM(DQ$4:DQ63))</f>
        <v>0.97881687042135002</v>
      </c>
      <c r="DS63" s="306">
        <f>IF($J63="",#N/A,SUM(DQ$4:DQ63,DO$4:DO63,DM$4:DM63))</f>
        <v>0.97881687042135002</v>
      </c>
      <c r="DT63" s="304" t="str">
        <f t="shared" si="54"/>
        <v/>
      </c>
      <c r="DU63" s="304">
        <f>IF($J63="",#N/A,SUM(DT$4:DT63))</f>
        <v>0</v>
      </c>
      <c r="DV63" s="305" t="str">
        <f t="shared" si="55"/>
        <v/>
      </c>
      <c r="DW63" s="305">
        <f>IF($J63="",#N/A,SUM(DV$4:DV63))</f>
        <v>0.40085630512924314</v>
      </c>
      <c r="DX63" s="306" t="str">
        <f t="shared" si="56"/>
        <v/>
      </c>
      <c r="DY63" s="306">
        <f>IF($J63="",#N/A,SUM(DX$4:DX63))</f>
        <v>0.59674626127163555</v>
      </c>
      <c r="DZ63" s="306">
        <f>IF($J63="",#N/A,SUM(DX$4:DX63,DV$4:DV63,DT$4:DT63))</f>
        <v>0.99760256640087874</v>
      </c>
      <c r="EA63" s="304" t="str">
        <f t="shared" si="57"/>
        <v/>
      </c>
      <c r="EB63" s="304">
        <f>IF($J63="",#N/A,SUM(EA$4:EA63))</f>
        <v>0</v>
      </c>
      <c r="EC63" s="305" t="str">
        <f t="shared" si="58"/>
        <v/>
      </c>
      <c r="ED63" s="305">
        <f>IF($J63="",#N/A,SUM(EC$4:EC63))</f>
        <v>-0.47973811942657352</v>
      </c>
      <c r="EE63" s="306" t="str">
        <f t="shared" si="59"/>
        <v/>
      </c>
      <c r="EF63" s="306">
        <f>IF($J63="",#N/A,SUM(EE$4:EE63))</f>
        <v>0</v>
      </c>
      <c r="EG63" s="306">
        <f>IF($J63="",#N/A,SUM(EE$4:EE63,EC$4:EC63,EA$4:EA63))</f>
        <v>-0.47973811942657352</v>
      </c>
      <c r="EH63" s="223">
        <f t="shared" si="60"/>
        <v>4.8799999999999955</v>
      </c>
      <c r="EI63" s="224">
        <f>IF(EH63="",#N/A,SUM($EH$4:EH63))</f>
        <v>352.070209449343</v>
      </c>
      <c r="EJ63" s="223">
        <f t="shared" si="61"/>
        <v>-11.28000000000003</v>
      </c>
      <c r="EK63" s="63">
        <f>IF($GZ63="",#N/A,SUM(EJ$4:EJ63))</f>
        <v>585.23334203522973</v>
      </c>
      <c r="EL63" s="60">
        <f t="shared" si="97"/>
        <v>0.18855093966369915</v>
      </c>
      <c r="EM63" s="60">
        <f>IF(EL63="",NA(),SUM($EL$4:EL63))</f>
        <v>14.654809666719663</v>
      </c>
      <c r="EN63" s="60" t="str">
        <f t="shared" si="62"/>
        <v/>
      </c>
      <c r="EO63" s="60" t="e">
        <f>IF(EN63="",NA(),SUM($EN$4:EN63))</f>
        <v>#N/A</v>
      </c>
      <c r="EP63" s="60">
        <f t="shared" si="63"/>
        <v>0.18855093966369915</v>
      </c>
      <c r="EQ63" s="60">
        <f>IF(EP63="",NA(),SUM($EP$4:EP63))</f>
        <v>9.2458341373192017</v>
      </c>
      <c r="ER63" s="60" t="str">
        <f t="shared" si="64"/>
        <v/>
      </c>
      <c r="ES63" s="60" t="e">
        <f>IF(ER63="",NA(),SUM($ER$4:ER63))</f>
        <v>#N/A</v>
      </c>
      <c r="ET63" s="60" t="str">
        <f t="shared" si="65"/>
        <v/>
      </c>
      <c r="EU63" s="60" t="e">
        <f>IF(ET63="",NA(),SUM($ET$4:ET63))</f>
        <v>#N/A</v>
      </c>
      <c r="EV63" s="60" t="str">
        <f t="shared" si="66"/>
        <v/>
      </c>
      <c r="EW63" s="60" t="e">
        <f>IF(EV63="",NA(),SUM($EV$4:EV63))</f>
        <v>#N/A</v>
      </c>
      <c r="EX63" s="60" t="str">
        <f t="shared" si="67"/>
        <v/>
      </c>
      <c r="EY63" s="60" t="e">
        <f>IF(EX63="",NA(),SUM($EX$4:EX63))</f>
        <v>#N/A</v>
      </c>
      <c r="EZ63" s="60" t="str">
        <f t="shared" si="68"/>
        <v/>
      </c>
      <c r="FA63" s="60" t="e">
        <f>IF(EZ63="",NA(),SUM($EZ$4:EZ63))</f>
        <v>#N/A</v>
      </c>
      <c r="FB63" s="246" t="str">
        <f t="shared" si="98"/>
        <v/>
      </c>
      <c r="FC63" s="246" t="e">
        <f>IF($FB63="",#N/A,SUM(FB$4:$FB63))</f>
        <v>#N/A</v>
      </c>
      <c r="FD63" s="60" t="str">
        <f t="shared" si="69"/>
        <v/>
      </c>
      <c r="FE63" s="60" t="e">
        <f>IF($FD63="",#N/A,SUM($FD$4:FD63))</f>
        <v>#N/A</v>
      </c>
      <c r="FF63" s="60" t="str">
        <f t="shared" si="70"/>
        <v/>
      </c>
      <c r="FG63" s="60" t="e">
        <f>IF($FF63="",#N/A,SUM($FF$4:FF63))</f>
        <v>#N/A</v>
      </c>
      <c r="FH63" s="60" t="str">
        <f t="shared" si="71"/>
        <v/>
      </c>
      <c r="FI63" s="60" t="e">
        <f>IF($FH63="",#N/A,SUM($FH$4:FH63))</f>
        <v>#N/A</v>
      </c>
      <c r="FJ63" s="60">
        <f t="shared" si="72"/>
        <v>-0.62438180019782497</v>
      </c>
      <c r="FK63" s="60">
        <f>IF($FJ63="",#N/A,SUM($FJ$4:FJ63))</f>
        <v>1.0181668462313924</v>
      </c>
      <c r="FL63" s="60" t="str">
        <f t="shared" si="73"/>
        <v/>
      </c>
      <c r="FM63" s="60" t="e">
        <f>IF($FL63="",#N/A,SUM($FL$4:FL63))</f>
        <v>#N/A</v>
      </c>
      <c r="FN63" s="82">
        <f t="shared" si="74"/>
        <v>-0.43583086053412579</v>
      </c>
      <c r="FO63" s="82">
        <f>IF($FN63="",#N/A,SUM(FN$4:$FN63))</f>
        <v>24.472228678709477</v>
      </c>
      <c r="FP63" s="82">
        <f t="shared" si="99"/>
        <v>0.18855093966369915</v>
      </c>
      <c r="FQ63" s="246">
        <f>IF($EH63="",#N/A,SUM($FP$4:FP63))</f>
        <v>14.654809666719663</v>
      </c>
      <c r="FR63" s="82">
        <f>IFERROR(FQ63/COUNTA($J$4:J63),#N/A)</f>
        <v>0.24424682777866105</v>
      </c>
      <c r="FS63" s="82">
        <f>IFERROR(($FQ63-$FQ15)/COUNTA($J15:$J63),#N/A)</f>
        <v>8.8418676779853184E-2</v>
      </c>
      <c r="FT63" s="82">
        <f>IFERROR(($FQ63-$FQ39)/COUNTA($J39:$J63),#N/A)</f>
        <v>9.6858814029951792E-2</v>
      </c>
      <c r="FU63" s="337">
        <f t="shared" si="113"/>
        <v>0.1835386479263903</v>
      </c>
      <c r="FV63" s="57" t="str">
        <f t="shared" si="75"/>
        <v>SW</v>
      </c>
      <c r="FW63" s="57" t="s">
        <v>2732</v>
      </c>
      <c r="FX63" s="57" t="str">
        <f t="shared" si="76"/>
        <v/>
      </c>
      <c r="FY63" s="57" t="str">
        <f t="shared" si="77"/>
        <v/>
      </c>
      <c r="FZ63" s="57">
        <f t="shared" si="78"/>
        <v>1</v>
      </c>
      <c r="GA63" s="57" t="str">
        <f t="shared" si="79"/>
        <v>Long</v>
      </c>
      <c r="GB63" s="57" t="str">
        <f t="shared" si="80"/>
        <v/>
      </c>
      <c r="GC63" s="57" t="str">
        <f t="shared" si="81"/>
        <v/>
      </c>
      <c r="GD63" s="57" t="str">
        <f t="shared" si="82"/>
        <v/>
      </c>
      <c r="GE63" s="62">
        <f t="shared" si="114"/>
        <v>107.84</v>
      </c>
      <c r="GF63" s="62" t="s">
        <v>2779</v>
      </c>
      <c r="GG63" s="199">
        <v>4</v>
      </c>
      <c r="GH63" s="207">
        <f t="shared" si="85"/>
        <v>431.36</v>
      </c>
      <c r="GI63" s="199">
        <v>4</v>
      </c>
      <c r="GJ63" s="200">
        <v>107.46</v>
      </c>
      <c r="GK63" s="63">
        <f t="shared" si="88"/>
        <v>-1.5200000000000387</v>
      </c>
      <c r="GL63" s="63">
        <f t="shared" si="115"/>
        <v>-11.28000000000003</v>
      </c>
      <c r="GM63" s="82">
        <f t="shared" si="90"/>
        <v>-0.43583086053412579</v>
      </c>
      <c r="GN63" s="82">
        <f>IF($GZ63="",#N/A,SUM(GM$4:GM63))</f>
        <v>11.399582840538464</v>
      </c>
      <c r="GO63" s="82" t="str">
        <f t="shared" si="91"/>
        <v/>
      </c>
      <c r="GP63" s="82">
        <f>IF($GZ63="",#N/A,SUM(GO$4:GO63))</f>
        <v>8.4330372627247048</v>
      </c>
      <c r="GQ63" s="82" t="str">
        <f t="shared" si="92"/>
        <v/>
      </c>
      <c r="GR63" s="82">
        <f>IF($GZ63="",#N/A,SUM(GQ$4:GQ63))</f>
        <v>4.013771621003948</v>
      </c>
      <c r="GS63" s="63">
        <f t="shared" si="100"/>
        <v>-11.28000000000003</v>
      </c>
      <c r="GT63" s="63">
        <f>IF($GZ63="",#N/A,SUM(GS$4:GS63))</f>
        <v>272.76992882574217</v>
      </c>
      <c r="GU63" s="63" t="str">
        <f t="shared" si="101"/>
        <v/>
      </c>
      <c r="GV63" s="63">
        <f>IF($GZ63="",#N/A,SUM(GU$4:GU63))</f>
        <v>202.39289430539293</v>
      </c>
      <c r="GW63" s="63" t="str">
        <f t="shared" si="102"/>
        <v/>
      </c>
      <c r="GX63" s="63">
        <f>IF($GZ63="",#N/A,SUM(GW$4:GW63))</f>
        <v>96.330518904094731</v>
      </c>
      <c r="GY63" s="63">
        <f>IF(EJ63="",#N/A,SUM($EJ$4:EJ63))</f>
        <v>585.23334203522973</v>
      </c>
      <c r="GZ63" s="159">
        <v>105.02</v>
      </c>
      <c r="HA63" s="63">
        <f t="shared" si="93"/>
        <v>-16.160000000000025</v>
      </c>
      <c r="HB63" s="63" t="s">
        <v>2538</v>
      </c>
      <c r="HC63" s="60">
        <f>IFERROR(VLOOKUP(E63,Expectancy!$P$4:$S$19,1+C63,FALSE),"")</f>
        <v>-3.1543782927977014E-2</v>
      </c>
      <c r="HD63" s="60">
        <f t="shared" si="94"/>
        <v>-5.872898120672751E-2</v>
      </c>
      <c r="HE63" s="60">
        <f>IF(HD63="",#N/A,SUM($HD$4:HD63))</f>
        <v>-5.872898120672751E-2</v>
      </c>
      <c r="HF63" s="64">
        <f>IF(HD63="",#N/A,IF(HB63="Skip",#N/A,SUM($HG$4:HG63)))</f>
        <v>-1.5200000000000387</v>
      </c>
      <c r="HG63" s="63">
        <f t="shared" si="95"/>
        <v>-1.5200000000000387</v>
      </c>
      <c r="HH63" s="82">
        <f t="shared" si="96"/>
        <v>-0.43583086053412579</v>
      </c>
      <c r="HI63" s="56"/>
    </row>
    <row r="64" spans="1:217" x14ac:dyDescent="0.25">
      <c r="A64" s="57" t="s">
        <v>1513</v>
      </c>
      <c r="B64" s="58" t="s">
        <v>5126</v>
      </c>
      <c r="C64" s="386">
        <f t="shared" si="0"/>
        <v>3</v>
      </c>
      <c r="D64" s="372" t="str">
        <f>_xlfn.XLOOKUP(A64,[1]SP500!$A$2:$A$502,[1]SP500!$D$2:$D$502,"N")</f>
        <v>Y</v>
      </c>
      <c r="E64" s="57" t="str">
        <f>_xlfn.XLOOKUP(A64,[1]SP500!$A$2:$A$655,[1]SP500!$B$2:$B$655)</f>
        <v>INS</v>
      </c>
      <c r="F64" s="59">
        <v>45684</v>
      </c>
      <c r="G64" s="57" t="str">
        <f t="shared" si="1"/>
        <v>AMC</v>
      </c>
      <c r="H64" s="57" t="str">
        <f t="shared" si="2"/>
        <v>s</v>
      </c>
      <c r="I64" s="159">
        <v>59.2</v>
      </c>
      <c r="J64" s="159">
        <v>60.72</v>
      </c>
      <c r="K64" s="61">
        <f t="shared" si="3"/>
        <v>2.5675675675675608E-2</v>
      </c>
      <c r="L64" s="87">
        <f t="shared" si="4"/>
        <v>10.63999999999993</v>
      </c>
      <c r="M64" s="130">
        <f t="shared" si="112"/>
        <v>-0.90999999999996817</v>
      </c>
      <c r="N64" s="219" t="str">
        <f t="shared" si="6"/>
        <v/>
      </c>
      <c r="O64" s="219">
        <f>IF($J64="",#N/A,SUM($N$4:N64))</f>
        <v>101.95894778873009</v>
      </c>
      <c r="P64" s="220" t="str">
        <f t="shared" si="7"/>
        <v/>
      </c>
      <c r="Q64" s="220">
        <f>IF($J64="",#N/A,SUM($P$4:P64))</f>
        <v>27.856464916880839</v>
      </c>
      <c r="R64" s="221">
        <f t="shared" si="8"/>
        <v>10.63999999999993</v>
      </c>
      <c r="S64" s="222">
        <f>IF($J64="",#N/A,SUM($R$4:R64))</f>
        <v>232.894796743732</v>
      </c>
      <c r="T64" s="281" t="str">
        <f t="shared" si="9"/>
        <v/>
      </c>
      <c r="U64" s="281">
        <f>IF($J64="",#N/A,SUM($T$4:T64))</f>
        <v>4.2482894911970863</v>
      </c>
      <c r="V64" s="282" t="str">
        <f t="shared" si="10"/>
        <v/>
      </c>
      <c r="W64" s="282">
        <f>IF($J64="",#N/A,SUM($V$4:V64))</f>
        <v>1.1606860382033679</v>
      </c>
      <c r="X64" s="283">
        <f t="shared" si="11"/>
        <v>0.42792792792792506</v>
      </c>
      <c r="Y64" s="283">
        <f>IF($J64="",#N/A,SUM($X$4:X64))</f>
        <v>9.6737620652471268</v>
      </c>
      <c r="Z64" s="304" t="str">
        <f t="shared" si="12"/>
        <v/>
      </c>
      <c r="AA64" s="304">
        <f>IF($J64="",#N/A,SUM(Z$4:Z64))</f>
        <v>1.1273861049364817</v>
      </c>
      <c r="AB64" s="305" t="str">
        <f t="shared" si="13"/>
        <v/>
      </c>
      <c r="AC64" s="305">
        <f>IF($J64="",#N/A,SUM(AB$4:AB64))</f>
        <v>0</v>
      </c>
      <c r="AD64" s="306" t="str">
        <f t="shared" si="14"/>
        <v/>
      </c>
      <c r="AE64" s="306">
        <f>IF($J64="",#N/A,SUM(AD$4:AD64))</f>
        <v>1.5553407757049009</v>
      </c>
      <c r="AF64" s="306">
        <f>IF($J64="",#N/A,SUM(AD$4:AD64,AB$4:AB64,Z$4:Z64))</f>
        <v>2.6827268806413822</v>
      </c>
      <c r="AG64" s="304" t="str">
        <f t="shared" si="15"/>
        <v/>
      </c>
      <c r="AH64" s="304">
        <f>IF($J64="",#N/A,SUM(AG$4:AG64))</f>
        <v>0</v>
      </c>
      <c r="AI64" s="305" t="str">
        <f t="shared" si="16"/>
        <v/>
      </c>
      <c r="AJ64" s="305">
        <f>IF($J64="",#N/A,SUM(AI$4:AI64))</f>
        <v>0</v>
      </c>
      <c r="AK64" s="306" t="str">
        <f t="shared" si="17"/>
        <v/>
      </c>
      <c r="AL64" s="306">
        <f>IF($J64="",#N/A,SUM(AK$4:AK64))</f>
        <v>0</v>
      </c>
      <c r="AM64" s="306">
        <f>IF($J64="",#N/A,SUM(AK$4:AK64,AI$4:AI64,AG$4:AG64))</f>
        <v>0</v>
      </c>
      <c r="AN64" s="304" t="str">
        <f t="shared" si="18"/>
        <v/>
      </c>
      <c r="AO64" s="304">
        <f>IF($J64="",#N/A,SUM(AN$4:AN64))</f>
        <v>0</v>
      </c>
      <c r="AP64" s="305" t="str">
        <f t="shared" si="19"/>
        <v/>
      </c>
      <c r="AQ64" s="305">
        <f>IF($J64="",#N/A,SUM(AP$4:AP64))</f>
        <v>0</v>
      </c>
      <c r="AR64" s="306" t="str">
        <f t="shared" si="20"/>
        <v/>
      </c>
      <c r="AS64" s="306">
        <f>IF($J64="",#N/A,SUM(AR$4:AR64))</f>
        <v>0</v>
      </c>
      <c r="AT64" s="306">
        <f>IF($J64="",#N/A,SUM(AR$4:AR64,AP$4:AP64,AN$4:AN64))</f>
        <v>0</v>
      </c>
      <c r="AU64" s="304" t="str">
        <f t="shared" si="21"/>
        <v/>
      </c>
      <c r="AV64" s="304">
        <f>IF($J64="",#N/A,SUM(AU$4:AU64))</f>
        <v>0</v>
      </c>
      <c r="AW64" s="305" t="str">
        <f t="shared" si="22"/>
        <v/>
      </c>
      <c r="AX64" s="305">
        <f>IF($J64="",#N/A,SUM(AW$4:AW64))</f>
        <v>1.2290222546515868</v>
      </c>
      <c r="AY64" s="306" t="str">
        <f t="shared" si="23"/>
        <v/>
      </c>
      <c r="AZ64" s="306">
        <f>IF($J64="",#N/A,SUM(AY$4:AY64))</f>
        <v>2.8806371278168421</v>
      </c>
      <c r="BA64" s="306">
        <f>IF($J64="",#N/A,SUM(AY$4:AY64,AW$4:AW64,AU$4:AU64))</f>
        <v>4.1096593824684291</v>
      </c>
      <c r="BB64" s="304" t="str">
        <f t="shared" si="24"/>
        <v/>
      </c>
      <c r="BC64" s="304">
        <f>IF($J64="",#N/A,SUM(BB$4:BB64))</f>
        <v>0.57218309859154926</v>
      </c>
      <c r="BD64" s="305" t="str">
        <f t="shared" si="25"/>
        <v/>
      </c>
      <c r="BE64" s="305">
        <f>IF($J64="",#N/A,SUM(BD$4:BD64))</f>
        <v>-0.39561000510464578</v>
      </c>
      <c r="BF64" s="306" t="str">
        <f t="shared" si="26"/>
        <v/>
      </c>
      <c r="BG64" s="306">
        <f>IF($J64="",#N/A,SUM(BF$4:BF64))</f>
        <v>2.4597169840247779</v>
      </c>
      <c r="BH64" s="306">
        <f>IF($J64="",#N/A,SUM(BF$4:BF64,BD$4:BD64,BB$4:BB64))</f>
        <v>2.6362900775116813</v>
      </c>
      <c r="BI64" s="304" t="str">
        <f t="shared" si="27"/>
        <v/>
      </c>
      <c r="BJ64" s="304">
        <f>IF($J64="",#N/A,SUM(BI$4:BI64))</f>
        <v>-0.73401118447271563</v>
      </c>
      <c r="BK64" s="305" t="str">
        <f t="shared" si="28"/>
        <v/>
      </c>
      <c r="BL64" s="305">
        <f>IF($J64="",#N/A,SUM(BK$4:BK64))</f>
        <v>0</v>
      </c>
      <c r="BM64" s="306" t="str">
        <f t="shared" si="29"/>
        <v/>
      </c>
      <c r="BN64" s="306">
        <f>IF($J64="",#N/A,SUM(BM$4:BM64))</f>
        <v>3.8210959759517467</v>
      </c>
      <c r="BO64" s="306">
        <f>IF($J64="",#N/A,SUM(BM$4:BM64,BK$4:BK64,BI$4:BI64))</f>
        <v>3.0870847914790311</v>
      </c>
      <c r="BP64" s="304" t="str">
        <f t="shared" si="30"/>
        <v/>
      </c>
      <c r="BQ64" s="304">
        <f>IF($J64="",#N/A,SUM(BP$4:BP64))</f>
        <v>4.0154886764923106</v>
      </c>
      <c r="BR64" s="305" t="str">
        <f t="shared" si="31"/>
        <v/>
      </c>
      <c r="BS64" s="305">
        <f>IF($J64="",#N/A,SUM(BR$4:BR64))</f>
        <v>-0.34773304801390975</v>
      </c>
      <c r="BT64" s="306" t="str">
        <f t="shared" si="32"/>
        <v/>
      </c>
      <c r="BU64" s="306">
        <f>IF($J64="",#N/A,SUM(BT$4:BT64))</f>
        <v>-1.737432118713206</v>
      </c>
      <c r="BV64" s="306">
        <f>IF($J64="",#N/A,SUM(BT$4:BT64,BR$4:BR64,BP$4:BP64))</f>
        <v>1.930323509765195</v>
      </c>
      <c r="BW64" s="304" t="str">
        <f t="shared" si="33"/>
        <v/>
      </c>
      <c r="BX64" s="304">
        <f>IF($J64="",#N/A,SUM(BW$4:BW64))</f>
        <v>-0.73275720435053893</v>
      </c>
      <c r="BY64" s="305" t="str">
        <f t="shared" si="34"/>
        <v/>
      </c>
      <c r="BZ64" s="305">
        <f>IF($J64="",#N/A,SUM(BY$4:BY64))</f>
        <v>0.46686916413544804</v>
      </c>
      <c r="CA64" s="306" t="str">
        <f t="shared" si="35"/>
        <v/>
      </c>
      <c r="CB64" s="306">
        <f>IF($J64="",#N/A,SUM(CA$4:CA64))</f>
        <v>-0.45285090237845554</v>
      </c>
      <c r="CC64" s="306">
        <f>IF($J64="",#N/A,SUM(CA$4:CA64,BY$4:BY64,BW$4:BW64))</f>
        <v>-0.71873894259354643</v>
      </c>
      <c r="CD64" s="304" t="str">
        <f t="shared" si="36"/>
        <v/>
      </c>
      <c r="CE64" s="304">
        <f>IF($J64="",#N/A,SUM(CD$4:CD64))</f>
        <v>0</v>
      </c>
      <c r="CF64" s="305" t="str">
        <f t="shared" si="37"/>
        <v/>
      </c>
      <c r="CG64" s="305">
        <f>IF($J64="",#N/A,SUM(CF$4:CF64))</f>
        <v>0.41783917455444924</v>
      </c>
      <c r="CH64" s="306" t="str">
        <f t="shared" si="38"/>
        <v/>
      </c>
      <c r="CI64" s="306">
        <f>IF($J64="",#N/A,SUM(CH$4:CH64))</f>
        <v>-0.25632679632191468</v>
      </c>
      <c r="CJ64" s="306">
        <f>IF($J64="",#N/A,SUM(CH$4:CH64,CF$4:CF64,CD$4:CD64))</f>
        <v>0.16151237823253456</v>
      </c>
      <c r="CK64" s="304" t="str">
        <f t="shared" si="39"/>
        <v/>
      </c>
      <c r="CL64" s="304">
        <f>IF($J64="",#N/A,SUM(CK$4:CK64))</f>
        <v>0</v>
      </c>
      <c r="CM64" s="305" t="str">
        <f t="shared" si="40"/>
        <v/>
      </c>
      <c r="CN64" s="305">
        <f>IF($J64="",#N/A,SUM(CM$4:CM64))</f>
        <v>0</v>
      </c>
      <c r="CO64" s="306" t="str">
        <f t="shared" si="41"/>
        <v/>
      </c>
      <c r="CP64" s="306">
        <f>IF($J64="",#N/A,SUM(CO$4:CO64))</f>
        <v>-0.8814781582839023</v>
      </c>
      <c r="CQ64" s="306">
        <f>IF($J64="",#N/A,SUM(CO$4:CO64,CM$4:CM64,CK$4:CK64))</f>
        <v>-0.8814781582839023</v>
      </c>
      <c r="CR64" s="304" t="str">
        <f t="shared" si="42"/>
        <v/>
      </c>
      <c r="CS64" s="304">
        <f>IF($J64="",#N/A,SUM(CR$4:CR64))</f>
        <v>0</v>
      </c>
      <c r="CT64" s="305" t="str">
        <f t="shared" si="43"/>
        <v/>
      </c>
      <c r="CU64" s="305">
        <f>IF($J64="",#N/A,SUM(CT$4:CT64))</f>
        <v>-0.13081968772223007</v>
      </c>
      <c r="CV64" s="306" t="str">
        <f t="shared" si="44"/>
        <v/>
      </c>
      <c r="CW64" s="306">
        <f>IF($J64="",#N/A,SUM(CV$4:CV64))</f>
        <v>0.28156811782542707</v>
      </c>
      <c r="CX64" s="306">
        <f>IF($J64="",#N/A,SUM(CV$4:CV64,CT$4:CT64,CR$4:CR64))</f>
        <v>0.150748430103197</v>
      </c>
      <c r="CY64" s="304" t="str">
        <f t="shared" si="45"/>
        <v/>
      </c>
      <c r="CZ64" s="304">
        <f>IF($J64="",#N/A,SUM(CY$4:CY64))</f>
        <v>0</v>
      </c>
      <c r="DA64" s="305" t="str">
        <f t="shared" si="46"/>
        <v/>
      </c>
      <c r="DB64" s="305">
        <f>IF($J64="",#N/A,SUM(DA$4:DA64))</f>
        <v>0</v>
      </c>
      <c r="DC64" s="306" t="str">
        <f t="shared" si="47"/>
        <v/>
      </c>
      <c r="DD64" s="306">
        <f>IF($J64="",#N/A,SUM(DC$4:DC64))</f>
        <v>0</v>
      </c>
      <c r="DE64" s="306">
        <f>IF($J64="",#N/A,SUM(DC$4:DC64,DA$4:DA64,CY$4:CY64))</f>
        <v>0</v>
      </c>
      <c r="DF64" s="304" t="str">
        <f t="shared" si="48"/>
        <v/>
      </c>
      <c r="DG64" s="304">
        <f>IF($J64="",#N/A,SUM(DF$4:DF64))</f>
        <v>0</v>
      </c>
      <c r="DH64" s="305" t="str">
        <f t="shared" si="49"/>
        <v/>
      </c>
      <c r="DI64" s="305">
        <f>IF($J64="",#N/A,SUM(DH$4:DH64))</f>
        <v>0</v>
      </c>
      <c r="DJ64" s="306" t="str">
        <f t="shared" si="50"/>
        <v/>
      </c>
      <c r="DK64" s="306">
        <f>IF($J64="",#N/A,SUM(DJ$4:DJ64))</f>
        <v>0</v>
      </c>
      <c r="DL64" s="306">
        <f>IF($J64="",#N/A,SUM(DJ$4:DJ64,DH$4:DH64,DF$4:DF64))</f>
        <v>0</v>
      </c>
      <c r="DM64" s="304" t="str">
        <f t="shared" si="51"/>
        <v/>
      </c>
      <c r="DN64" s="304">
        <f>IF($J64="",#N/A,SUM(DM$4:DM64))</f>
        <v>0</v>
      </c>
      <c r="DO64" s="305" t="str">
        <f t="shared" si="52"/>
        <v/>
      </c>
      <c r="DP64" s="305">
        <f>IF($J64="",#N/A,SUM(DO$4:DO64))</f>
        <v>0</v>
      </c>
      <c r="DQ64" s="306">
        <f t="shared" si="53"/>
        <v>0.42792792792792506</v>
      </c>
      <c r="DR64" s="306">
        <f>IF($J64="",#N/A,SUM(DQ$4:DQ64))</f>
        <v>1.4067447983492751</v>
      </c>
      <c r="DS64" s="306">
        <f>IF($J64="",#N/A,SUM(DQ$4:DQ64,DO$4:DO64,DM$4:DM64))</f>
        <v>1.4067447983492751</v>
      </c>
      <c r="DT64" s="304" t="str">
        <f t="shared" si="54"/>
        <v/>
      </c>
      <c r="DU64" s="304">
        <f>IF($J64="",#N/A,SUM(DT$4:DT64))</f>
        <v>0</v>
      </c>
      <c r="DV64" s="305" t="str">
        <f t="shared" si="55"/>
        <v/>
      </c>
      <c r="DW64" s="305">
        <f>IF($J64="",#N/A,SUM(DV$4:DV64))</f>
        <v>0.40085630512924314</v>
      </c>
      <c r="DX64" s="306" t="str">
        <f t="shared" si="56"/>
        <v/>
      </c>
      <c r="DY64" s="306">
        <f>IF($J64="",#N/A,SUM(DX$4:DX64))</f>
        <v>0.59674626127163555</v>
      </c>
      <c r="DZ64" s="306">
        <f>IF($J64="",#N/A,SUM(DX$4:DX64,DV$4:DV64,DT$4:DT64))</f>
        <v>0.99760256640087874</v>
      </c>
      <c r="EA64" s="304" t="str">
        <f t="shared" si="57"/>
        <v/>
      </c>
      <c r="EB64" s="304">
        <f>IF($J64="",#N/A,SUM(EA$4:EA64))</f>
        <v>0</v>
      </c>
      <c r="EC64" s="305" t="str">
        <f t="shared" si="58"/>
        <v/>
      </c>
      <c r="ED64" s="305">
        <f>IF($J64="",#N/A,SUM(EC$4:EC64))</f>
        <v>-0.47973811942657352</v>
      </c>
      <c r="EE64" s="306" t="str">
        <f t="shared" si="59"/>
        <v/>
      </c>
      <c r="EF64" s="306">
        <f>IF($J64="",#N/A,SUM(EE$4:EE64))</f>
        <v>0</v>
      </c>
      <c r="EG64" s="306">
        <f>IF($J64="",#N/A,SUM(EE$4:EE64,EC$4:EC64,EA$4:EA64))</f>
        <v>-0.47973811942657352</v>
      </c>
      <c r="EH64" s="223">
        <f t="shared" si="60"/>
        <v>10.63999999999993</v>
      </c>
      <c r="EI64" s="224">
        <f>IF(EH64="",#N/A,SUM($EH$4:EH64))</f>
        <v>362.71020944934293</v>
      </c>
      <c r="EJ64" s="223">
        <f t="shared" si="61"/>
        <v>0.97999999999996135</v>
      </c>
      <c r="EK64" s="63">
        <f>IF($GZ64="",#N/A,SUM(EJ$4:EJ64))</f>
        <v>586.21334203522974</v>
      </c>
      <c r="EL64" s="60">
        <f t="shared" si="97"/>
        <v>0.42792792792792506</v>
      </c>
      <c r="EM64" s="60">
        <f>IF(EL64="",NA(),SUM($EL$4:EL64))</f>
        <v>15.082737594647588</v>
      </c>
      <c r="EN64" s="60" t="str">
        <f t="shared" si="62"/>
        <v/>
      </c>
      <c r="EO64" s="60" t="e">
        <f>IF(EN64="",NA(),SUM($EN$4:EN64))</f>
        <v>#N/A</v>
      </c>
      <c r="EP64" s="60">
        <f t="shared" si="63"/>
        <v>0.42792792792792506</v>
      </c>
      <c r="EQ64" s="60">
        <f>IF(EP64="",NA(),SUM($EP$4:EP64))</f>
        <v>9.6737620652471268</v>
      </c>
      <c r="ER64" s="60" t="str">
        <f t="shared" si="64"/>
        <v/>
      </c>
      <c r="ES64" s="60" t="e">
        <f>IF(ER64="",NA(),SUM($ER$4:ER64))</f>
        <v>#N/A</v>
      </c>
      <c r="ET64" s="60" t="str">
        <f t="shared" si="65"/>
        <v/>
      </c>
      <c r="EU64" s="60" t="e">
        <f>IF(ET64="",NA(),SUM($ET$4:ET64))</f>
        <v>#N/A</v>
      </c>
      <c r="EV64" s="60" t="str">
        <f t="shared" si="66"/>
        <v/>
      </c>
      <c r="EW64" s="60" t="e">
        <f>IF(EV64="",NA(),SUM($EV$4:EV64))</f>
        <v>#N/A</v>
      </c>
      <c r="EX64" s="60" t="str">
        <f t="shared" si="67"/>
        <v/>
      </c>
      <c r="EY64" s="60" t="e">
        <f>IF(EX64="",NA(),SUM($EX$4:EX64))</f>
        <v>#N/A</v>
      </c>
      <c r="EZ64" s="60" t="str">
        <f t="shared" si="68"/>
        <v/>
      </c>
      <c r="FA64" s="60" t="e">
        <f>IF(EZ64="",NA(),SUM($EZ$4:EZ64))</f>
        <v>#N/A</v>
      </c>
      <c r="FB64" s="246" t="str">
        <f t="shared" si="98"/>
        <v/>
      </c>
      <c r="FC64" s="246" t="e">
        <f>IF($FB64="",#N/A,SUM(FB$4:$FB64))</f>
        <v>#N/A</v>
      </c>
      <c r="FD64" s="60" t="str">
        <f t="shared" si="69"/>
        <v/>
      </c>
      <c r="FE64" s="60" t="e">
        <f>IF($FD64="",#N/A,SUM($FD$4:FD64))</f>
        <v>#N/A</v>
      </c>
      <c r="FF64" s="60" t="str">
        <f t="shared" si="70"/>
        <v/>
      </c>
      <c r="FG64" s="60" t="e">
        <f>IF($FF64="",#N/A,SUM($FF$4:FF64))</f>
        <v>#N/A</v>
      </c>
      <c r="FH64" s="60" t="str">
        <f t="shared" si="71"/>
        <v/>
      </c>
      <c r="FI64" s="60" t="e">
        <f>IF($FH64="",#N/A,SUM($FH$4:FH64))</f>
        <v>#N/A</v>
      </c>
      <c r="FJ64" s="60">
        <f t="shared" si="72"/>
        <v>-0.38851351351351221</v>
      </c>
      <c r="FK64" s="60">
        <f>IF($FJ64="",#N/A,SUM($FJ$4:FJ64))</f>
        <v>0.62965333271788015</v>
      </c>
      <c r="FL64" s="60" t="str">
        <f t="shared" si="73"/>
        <v/>
      </c>
      <c r="FM64" s="60" t="e">
        <f>IF($FL64="",#N/A,SUM($FL$4:FL64))</f>
        <v>#N/A</v>
      </c>
      <c r="FN64" s="82">
        <f t="shared" si="74"/>
        <v>3.941441441441286E-2</v>
      </c>
      <c r="FO64" s="82">
        <f>IF($FN64="",#N/A,SUM(FN$4:$FN64))</f>
        <v>24.51164309312389</v>
      </c>
      <c r="FP64" s="82">
        <f t="shared" si="99"/>
        <v>0.42792792792792506</v>
      </c>
      <c r="FQ64" s="246">
        <f>IF($EH64="",#N/A,SUM($FP$4:FP64))</f>
        <v>15.082737594647588</v>
      </c>
      <c r="FR64" s="82">
        <f>IFERROR(FQ64/COUNTA($J$4:J64),#N/A)</f>
        <v>0.2472579933548785</v>
      </c>
      <c r="FS64" s="82">
        <f>IFERROR(($FQ64-$FQ16)/COUNTA($J16:$J64),#N/A)</f>
        <v>0.12250428781047086</v>
      </c>
      <c r="FT64" s="82">
        <f>IFERROR(($FQ64-$FQ40)/COUNTA($J40:$J64),#N/A)</f>
        <v>8.7114911711791837E-2</v>
      </c>
      <c r="FU64" s="337">
        <f t="shared" si="113"/>
        <v>0.22013774702548794</v>
      </c>
      <c r="FV64" s="57" t="str">
        <f t="shared" si="75"/>
        <v>SW</v>
      </c>
      <c r="FW64" s="57" t="s">
        <v>2732</v>
      </c>
      <c r="FX64" s="57" t="str">
        <f t="shared" si="76"/>
        <v/>
      </c>
      <c r="FY64" s="57" t="str">
        <f t="shared" si="77"/>
        <v/>
      </c>
      <c r="FZ64" s="57">
        <f t="shared" si="78"/>
        <v>1</v>
      </c>
      <c r="GA64" s="57" t="str">
        <f t="shared" si="79"/>
        <v>Long</v>
      </c>
      <c r="GB64" s="57" t="str">
        <f t="shared" si="80"/>
        <v/>
      </c>
      <c r="GC64" s="57" t="str">
        <f t="shared" si="81"/>
        <v/>
      </c>
      <c r="GD64" s="57" t="str">
        <f t="shared" si="82"/>
        <v/>
      </c>
      <c r="GE64" s="62">
        <f t="shared" si="114"/>
        <v>59.2</v>
      </c>
      <c r="GF64" s="62" t="s">
        <v>2779</v>
      </c>
      <c r="GG64" s="199">
        <v>7</v>
      </c>
      <c r="GH64" s="207">
        <f t="shared" si="85"/>
        <v>414.40000000000003</v>
      </c>
      <c r="GI64" s="199">
        <v>7</v>
      </c>
      <c r="GJ64" s="200">
        <v>60.59</v>
      </c>
      <c r="GK64" s="63">
        <f t="shared" si="88"/>
        <v>9.7299999999999613</v>
      </c>
      <c r="GL64" s="63">
        <f t="shared" si="115"/>
        <v>0.97999999999996135</v>
      </c>
      <c r="GM64" s="82">
        <f t="shared" si="90"/>
        <v>3.941441441441286E-2</v>
      </c>
      <c r="GN64" s="82">
        <f>IF($GZ64="",#N/A,SUM(GM$4:GM64))</f>
        <v>11.438997254952877</v>
      </c>
      <c r="GO64" s="82" t="str">
        <f t="shared" si="91"/>
        <v/>
      </c>
      <c r="GP64" s="82">
        <f>IF($GZ64="",#N/A,SUM(GO$4:GO64))</f>
        <v>8.4330372627247048</v>
      </c>
      <c r="GQ64" s="82" t="str">
        <f t="shared" si="92"/>
        <v/>
      </c>
      <c r="GR64" s="82">
        <f>IF($GZ64="",#N/A,SUM(GQ$4:GQ64))</f>
        <v>4.013771621003948</v>
      </c>
      <c r="GS64" s="63">
        <f t="shared" si="100"/>
        <v>0.97999999999996135</v>
      </c>
      <c r="GT64" s="63">
        <f>IF($GZ64="",#N/A,SUM(GS$4:GS64))</f>
        <v>273.74992882574213</v>
      </c>
      <c r="GU64" s="63" t="str">
        <f t="shared" si="101"/>
        <v/>
      </c>
      <c r="GV64" s="63">
        <f>IF($GZ64="",#N/A,SUM(GU$4:GU64))</f>
        <v>202.39289430539293</v>
      </c>
      <c r="GW64" s="63" t="str">
        <f t="shared" si="102"/>
        <v/>
      </c>
      <c r="GX64" s="63">
        <f>IF($GZ64="",#N/A,SUM(GW$4:GW64))</f>
        <v>96.330518904094731</v>
      </c>
      <c r="GY64" s="63">
        <f>IF(EJ64="",#N/A,SUM($EJ$4:EJ64))</f>
        <v>586.21334203522974</v>
      </c>
      <c r="GZ64" s="159">
        <v>59.34</v>
      </c>
      <c r="HA64" s="63">
        <f t="shared" si="93"/>
        <v>-9.6599999999999682</v>
      </c>
      <c r="HB64" s="63" t="s">
        <v>2538</v>
      </c>
      <c r="HC64" s="60">
        <f>IFERROR(VLOOKUP(E64,Expectancy!$P$4:$S$19,1+C64,FALSE),"")</f>
        <v>-3.1543782927977014E-2</v>
      </c>
      <c r="HD64" s="60">
        <f t="shared" si="94"/>
        <v>0.39132882882882725</v>
      </c>
      <c r="HE64" s="60">
        <f>IF(HD64="",#N/A,SUM($HD$4:HD64))</f>
        <v>0.33259984762209971</v>
      </c>
      <c r="HF64" s="64">
        <f>IF(HD64="",#N/A,IF(HB64="Skip",#N/A,SUM($HG$4:HG64)))</f>
        <v>8.2099999999999227</v>
      </c>
      <c r="HG64" s="63">
        <f t="shared" si="95"/>
        <v>9.7299999999999613</v>
      </c>
      <c r="HH64" s="82">
        <f t="shared" si="96"/>
        <v>3.941441441441286E-2</v>
      </c>
      <c r="HI64" s="56"/>
    </row>
    <row r="65" spans="1:220" x14ac:dyDescent="0.25">
      <c r="A65" s="57" t="s">
        <v>1321</v>
      </c>
      <c r="B65" s="58" t="s">
        <v>5127</v>
      </c>
      <c r="C65" s="386">
        <f t="shared" si="0"/>
        <v>3</v>
      </c>
      <c r="D65" s="372" t="str">
        <f>_xlfn.XLOOKUP(A65,[1]SP500!$A$2:$A$502,[1]SP500!$D$2:$D$502,"N")</f>
        <v>Y</v>
      </c>
      <c r="E65" s="57" t="str">
        <f>_xlfn.XLOOKUP(A65,[1]SP500!$A$2:$A$655,[1]SP500!$B$2:$B$655)</f>
        <v>XLI</v>
      </c>
      <c r="F65" s="59">
        <v>45685</v>
      </c>
      <c r="G65" s="57" t="str">
        <f t="shared" si="1"/>
        <v>BMO</v>
      </c>
      <c r="H65" s="57" t="str">
        <f t="shared" si="2"/>
        <v>s</v>
      </c>
      <c r="I65" s="159">
        <v>125.05</v>
      </c>
      <c r="J65" s="159">
        <v>131.17500000000001</v>
      </c>
      <c r="K65" s="61">
        <f t="shared" si="3"/>
        <v>4.8980407836865365E-2</v>
      </c>
      <c r="L65" s="87">
        <f t="shared" si="4"/>
        <v>18.375000000000057</v>
      </c>
      <c r="M65" s="130">
        <f t="shared" si="112"/>
        <v>-0.52500000000003411</v>
      </c>
      <c r="N65" s="219" t="str">
        <f t="shared" si="6"/>
        <v/>
      </c>
      <c r="O65" s="219">
        <f>IF($J65="",#N/A,SUM($N$4:N65))</f>
        <v>101.95894778873009</v>
      </c>
      <c r="P65" s="220" t="str">
        <f t="shared" si="7"/>
        <v/>
      </c>
      <c r="Q65" s="220">
        <f>IF($J65="",#N/A,SUM($P$4:P65))</f>
        <v>27.856464916880839</v>
      </c>
      <c r="R65" s="221">
        <f t="shared" si="8"/>
        <v>18.375000000000057</v>
      </c>
      <c r="S65" s="222">
        <f>IF($J65="",#N/A,SUM($R$4:R65))</f>
        <v>251.26979674373206</v>
      </c>
      <c r="T65" s="281" t="str">
        <f t="shared" si="9"/>
        <v/>
      </c>
      <c r="U65" s="281">
        <f>IF($J65="",#N/A,SUM($T$4:T65))</f>
        <v>4.2482894911970863</v>
      </c>
      <c r="V65" s="282" t="str">
        <f t="shared" si="10"/>
        <v/>
      </c>
      <c r="W65" s="282">
        <f>IF($J65="",#N/A,SUM($V$4:V65))</f>
        <v>1.1606860382033679</v>
      </c>
      <c r="X65" s="283">
        <f t="shared" si="11"/>
        <v>0.81634013061442356</v>
      </c>
      <c r="Y65" s="283">
        <f>IF($J65="",#N/A,SUM($X$4:X65))</f>
        <v>10.490102195861549</v>
      </c>
      <c r="Z65" s="304" t="str">
        <f t="shared" si="12"/>
        <v/>
      </c>
      <c r="AA65" s="304">
        <f>IF($J65="",#N/A,SUM(Z$4:Z65))</f>
        <v>1.1273861049364817</v>
      </c>
      <c r="AB65" s="305" t="str">
        <f t="shared" si="13"/>
        <v/>
      </c>
      <c r="AC65" s="305">
        <f>IF($J65="",#N/A,SUM(AB$4:AB65))</f>
        <v>0</v>
      </c>
      <c r="AD65" s="306" t="str">
        <f t="shared" si="14"/>
        <v/>
      </c>
      <c r="AE65" s="306">
        <f>IF($J65="",#N/A,SUM(AD$4:AD65))</f>
        <v>1.5553407757049009</v>
      </c>
      <c r="AF65" s="306">
        <f>IF($J65="",#N/A,SUM(AD$4:AD65,AB$4:AB65,Z$4:Z65))</f>
        <v>2.6827268806413822</v>
      </c>
      <c r="AG65" s="304" t="str">
        <f t="shared" si="15"/>
        <v/>
      </c>
      <c r="AH65" s="304">
        <f>IF($J65="",#N/A,SUM(AG$4:AG65))</f>
        <v>0</v>
      </c>
      <c r="AI65" s="305" t="str">
        <f t="shared" si="16"/>
        <v/>
      </c>
      <c r="AJ65" s="305">
        <f>IF($J65="",#N/A,SUM(AI$4:AI65))</f>
        <v>0</v>
      </c>
      <c r="AK65" s="306" t="str">
        <f t="shared" si="17"/>
        <v/>
      </c>
      <c r="AL65" s="306">
        <f>IF($J65="",#N/A,SUM(AK$4:AK65))</f>
        <v>0</v>
      </c>
      <c r="AM65" s="306">
        <f>IF($J65="",#N/A,SUM(AK$4:AK65,AI$4:AI65,AG$4:AG65))</f>
        <v>0</v>
      </c>
      <c r="AN65" s="304" t="str">
        <f t="shared" si="18"/>
        <v/>
      </c>
      <c r="AO65" s="304">
        <f>IF($J65="",#N/A,SUM(AN$4:AN65))</f>
        <v>0</v>
      </c>
      <c r="AP65" s="305" t="str">
        <f t="shared" si="19"/>
        <v/>
      </c>
      <c r="AQ65" s="305">
        <f>IF($J65="",#N/A,SUM(AP$4:AP65))</f>
        <v>0</v>
      </c>
      <c r="AR65" s="306" t="str">
        <f t="shared" si="20"/>
        <v/>
      </c>
      <c r="AS65" s="306">
        <f>IF($J65="",#N/A,SUM(AR$4:AR65))</f>
        <v>0</v>
      </c>
      <c r="AT65" s="306">
        <f>IF($J65="",#N/A,SUM(AR$4:AR65,AP$4:AP65,AN$4:AN65))</f>
        <v>0</v>
      </c>
      <c r="AU65" s="304" t="str">
        <f t="shared" si="21"/>
        <v/>
      </c>
      <c r="AV65" s="304">
        <f>IF($J65="",#N/A,SUM(AU$4:AU65))</f>
        <v>0</v>
      </c>
      <c r="AW65" s="305" t="str">
        <f t="shared" si="22"/>
        <v/>
      </c>
      <c r="AX65" s="305">
        <f>IF($J65="",#N/A,SUM(AW$4:AW65))</f>
        <v>1.2290222546515868</v>
      </c>
      <c r="AY65" s="306" t="str">
        <f t="shared" si="23"/>
        <v/>
      </c>
      <c r="AZ65" s="306">
        <f>IF($J65="",#N/A,SUM(AY$4:AY65))</f>
        <v>2.8806371278168421</v>
      </c>
      <c r="BA65" s="306">
        <f>IF($J65="",#N/A,SUM(AY$4:AY65,AW$4:AW65,AU$4:AU65))</f>
        <v>4.1096593824684291</v>
      </c>
      <c r="BB65" s="304" t="str">
        <f t="shared" si="24"/>
        <v/>
      </c>
      <c r="BC65" s="304">
        <f>IF($J65="",#N/A,SUM(BB$4:BB65))</f>
        <v>0.57218309859154926</v>
      </c>
      <c r="BD65" s="305" t="str">
        <f t="shared" si="25"/>
        <v/>
      </c>
      <c r="BE65" s="305">
        <f>IF($J65="",#N/A,SUM(BD$4:BD65))</f>
        <v>-0.39561000510464578</v>
      </c>
      <c r="BF65" s="306" t="str">
        <f t="shared" si="26"/>
        <v/>
      </c>
      <c r="BG65" s="306">
        <f>IF($J65="",#N/A,SUM(BF$4:BF65))</f>
        <v>2.4597169840247779</v>
      </c>
      <c r="BH65" s="306">
        <f>IF($J65="",#N/A,SUM(BF$4:BF65,BD$4:BD65,BB$4:BB65))</f>
        <v>2.6362900775116813</v>
      </c>
      <c r="BI65" s="304" t="str">
        <f t="shared" si="27"/>
        <v/>
      </c>
      <c r="BJ65" s="304">
        <f>IF($J65="",#N/A,SUM(BI$4:BI65))</f>
        <v>-0.73401118447271563</v>
      </c>
      <c r="BK65" s="305" t="str">
        <f t="shared" si="28"/>
        <v/>
      </c>
      <c r="BL65" s="305">
        <f>IF($J65="",#N/A,SUM(BK$4:BK65))</f>
        <v>0</v>
      </c>
      <c r="BM65" s="306" t="str">
        <f t="shared" si="29"/>
        <v/>
      </c>
      <c r="BN65" s="306">
        <f>IF($J65="",#N/A,SUM(BM$4:BM65))</f>
        <v>3.8210959759517467</v>
      </c>
      <c r="BO65" s="306">
        <f>IF($J65="",#N/A,SUM(BM$4:BM65,BK$4:BK65,BI$4:BI65))</f>
        <v>3.0870847914790311</v>
      </c>
      <c r="BP65" s="304" t="str">
        <f t="shared" si="30"/>
        <v/>
      </c>
      <c r="BQ65" s="304">
        <f>IF($J65="",#N/A,SUM(BP$4:BP65))</f>
        <v>4.0154886764923106</v>
      </c>
      <c r="BR65" s="305" t="str">
        <f t="shared" si="31"/>
        <v/>
      </c>
      <c r="BS65" s="305">
        <f>IF($J65="",#N/A,SUM(BR$4:BR65))</f>
        <v>-0.34773304801390975</v>
      </c>
      <c r="BT65" s="306">
        <f t="shared" si="32"/>
        <v>0.81634013061442356</v>
      </c>
      <c r="BU65" s="306">
        <f>IF($J65="",#N/A,SUM(BT$4:BT65))</f>
        <v>-0.92109198809878245</v>
      </c>
      <c r="BV65" s="306">
        <f>IF($J65="",#N/A,SUM(BT$4:BT65,BR$4:BR65,BP$4:BP65))</f>
        <v>2.7466636403796185</v>
      </c>
      <c r="BW65" s="304" t="str">
        <f t="shared" si="33"/>
        <v/>
      </c>
      <c r="BX65" s="304">
        <f>IF($J65="",#N/A,SUM(BW$4:BW65))</f>
        <v>-0.73275720435053893</v>
      </c>
      <c r="BY65" s="305" t="str">
        <f t="shared" si="34"/>
        <v/>
      </c>
      <c r="BZ65" s="305">
        <f>IF($J65="",#N/A,SUM(BY$4:BY65))</f>
        <v>0.46686916413544804</v>
      </c>
      <c r="CA65" s="306" t="str">
        <f t="shared" si="35"/>
        <v/>
      </c>
      <c r="CB65" s="306">
        <f>IF($J65="",#N/A,SUM(CA$4:CA65))</f>
        <v>-0.45285090237845554</v>
      </c>
      <c r="CC65" s="306">
        <f>IF($J65="",#N/A,SUM(CA$4:CA65,BY$4:BY65,BW$4:BW65))</f>
        <v>-0.71873894259354643</v>
      </c>
      <c r="CD65" s="304" t="str">
        <f t="shared" si="36"/>
        <v/>
      </c>
      <c r="CE65" s="304">
        <f>IF($J65="",#N/A,SUM(CD$4:CD65))</f>
        <v>0</v>
      </c>
      <c r="CF65" s="305" t="str">
        <f t="shared" si="37"/>
        <v/>
      </c>
      <c r="CG65" s="305">
        <f>IF($J65="",#N/A,SUM(CF$4:CF65))</f>
        <v>0.41783917455444924</v>
      </c>
      <c r="CH65" s="306" t="str">
        <f t="shared" si="38"/>
        <v/>
      </c>
      <c r="CI65" s="306">
        <f>IF($J65="",#N/A,SUM(CH$4:CH65))</f>
        <v>-0.25632679632191468</v>
      </c>
      <c r="CJ65" s="306">
        <f>IF($J65="",#N/A,SUM(CH$4:CH65,CF$4:CF65,CD$4:CD65))</f>
        <v>0.16151237823253456</v>
      </c>
      <c r="CK65" s="304" t="str">
        <f t="shared" si="39"/>
        <v/>
      </c>
      <c r="CL65" s="304">
        <f>IF($J65="",#N/A,SUM(CK$4:CK65))</f>
        <v>0</v>
      </c>
      <c r="CM65" s="305" t="str">
        <f t="shared" si="40"/>
        <v/>
      </c>
      <c r="CN65" s="305">
        <f>IF($J65="",#N/A,SUM(CM$4:CM65))</f>
        <v>0</v>
      </c>
      <c r="CO65" s="306" t="str">
        <f t="shared" si="41"/>
        <v/>
      </c>
      <c r="CP65" s="306">
        <f>IF($J65="",#N/A,SUM(CO$4:CO65))</f>
        <v>-0.8814781582839023</v>
      </c>
      <c r="CQ65" s="306">
        <f>IF($J65="",#N/A,SUM(CO$4:CO65,CM$4:CM65,CK$4:CK65))</f>
        <v>-0.8814781582839023</v>
      </c>
      <c r="CR65" s="304" t="str">
        <f t="shared" si="42"/>
        <v/>
      </c>
      <c r="CS65" s="304">
        <f>IF($J65="",#N/A,SUM(CR$4:CR65))</f>
        <v>0</v>
      </c>
      <c r="CT65" s="305" t="str">
        <f t="shared" si="43"/>
        <v/>
      </c>
      <c r="CU65" s="305">
        <f>IF($J65="",#N/A,SUM(CT$4:CT65))</f>
        <v>-0.13081968772223007</v>
      </c>
      <c r="CV65" s="306" t="str">
        <f t="shared" si="44"/>
        <v/>
      </c>
      <c r="CW65" s="306">
        <f>IF($J65="",#N/A,SUM(CV$4:CV65))</f>
        <v>0.28156811782542707</v>
      </c>
      <c r="CX65" s="306">
        <f>IF($J65="",#N/A,SUM(CV$4:CV65,CT$4:CT65,CR$4:CR65))</f>
        <v>0.150748430103197</v>
      </c>
      <c r="CY65" s="304" t="str">
        <f t="shared" si="45"/>
        <v/>
      </c>
      <c r="CZ65" s="304">
        <f>IF($J65="",#N/A,SUM(CY$4:CY65))</f>
        <v>0</v>
      </c>
      <c r="DA65" s="305" t="str">
        <f t="shared" si="46"/>
        <v/>
      </c>
      <c r="DB65" s="305">
        <f>IF($J65="",#N/A,SUM(DA$4:DA65))</f>
        <v>0</v>
      </c>
      <c r="DC65" s="306" t="str">
        <f t="shared" si="47"/>
        <v/>
      </c>
      <c r="DD65" s="306">
        <f>IF($J65="",#N/A,SUM(DC$4:DC65))</f>
        <v>0</v>
      </c>
      <c r="DE65" s="306">
        <f>IF($J65="",#N/A,SUM(DC$4:DC65,DA$4:DA65,CY$4:CY65))</f>
        <v>0</v>
      </c>
      <c r="DF65" s="304" t="str">
        <f t="shared" si="48"/>
        <v/>
      </c>
      <c r="DG65" s="304">
        <f>IF($J65="",#N/A,SUM(DF$4:DF65))</f>
        <v>0</v>
      </c>
      <c r="DH65" s="305" t="str">
        <f t="shared" si="49"/>
        <v/>
      </c>
      <c r="DI65" s="305">
        <f>IF($J65="",#N/A,SUM(DH$4:DH65))</f>
        <v>0</v>
      </c>
      <c r="DJ65" s="306" t="str">
        <f t="shared" si="50"/>
        <v/>
      </c>
      <c r="DK65" s="306">
        <f>IF($J65="",#N/A,SUM(DJ$4:DJ65))</f>
        <v>0</v>
      </c>
      <c r="DL65" s="306">
        <f>IF($J65="",#N/A,SUM(DJ$4:DJ65,DH$4:DH65,DF$4:DF65))</f>
        <v>0</v>
      </c>
      <c r="DM65" s="304" t="str">
        <f t="shared" si="51"/>
        <v/>
      </c>
      <c r="DN65" s="304">
        <f>IF($J65="",#N/A,SUM(DM$4:DM65))</f>
        <v>0</v>
      </c>
      <c r="DO65" s="305" t="str">
        <f t="shared" si="52"/>
        <v/>
      </c>
      <c r="DP65" s="305">
        <f>IF($J65="",#N/A,SUM(DO$4:DO65))</f>
        <v>0</v>
      </c>
      <c r="DQ65" s="306" t="str">
        <f t="shared" si="53"/>
        <v/>
      </c>
      <c r="DR65" s="306">
        <f>IF($J65="",#N/A,SUM(DQ$4:DQ65))</f>
        <v>1.4067447983492751</v>
      </c>
      <c r="DS65" s="306">
        <f>IF($J65="",#N/A,SUM(DQ$4:DQ65,DO$4:DO65,DM$4:DM65))</f>
        <v>1.4067447983492751</v>
      </c>
      <c r="DT65" s="304" t="str">
        <f t="shared" si="54"/>
        <v/>
      </c>
      <c r="DU65" s="304">
        <f>IF($J65="",#N/A,SUM(DT$4:DT65))</f>
        <v>0</v>
      </c>
      <c r="DV65" s="305" t="str">
        <f t="shared" si="55"/>
        <v/>
      </c>
      <c r="DW65" s="305">
        <f>IF($J65="",#N/A,SUM(DV$4:DV65))</f>
        <v>0.40085630512924314</v>
      </c>
      <c r="DX65" s="306" t="str">
        <f t="shared" si="56"/>
        <v/>
      </c>
      <c r="DY65" s="306">
        <f>IF($J65="",#N/A,SUM(DX$4:DX65))</f>
        <v>0.59674626127163555</v>
      </c>
      <c r="DZ65" s="306">
        <f>IF($J65="",#N/A,SUM(DX$4:DX65,DV$4:DV65,DT$4:DT65))</f>
        <v>0.99760256640087874</v>
      </c>
      <c r="EA65" s="304" t="str">
        <f t="shared" si="57"/>
        <v/>
      </c>
      <c r="EB65" s="304">
        <f>IF($J65="",#N/A,SUM(EA$4:EA65))</f>
        <v>0</v>
      </c>
      <c r="EC65" s="305" t="str">
        <f t="shared" si="58"/>
        <v/>
      </c>
      <c r="ED65" s="305">
        <f>IF($J65="",#N/A,SUM(EC$4:EC65))</f>
        <v>-0.47973811942657352</v>
      </c>
      <c r="EE65" s="306" t="str">
        <f t="shared" si="59"/>
        <v/>
      </c>
      <c r="EF65" s="306">
        <f>IF($J65="",#N/A,SUM(EE$4:EE65))</f>
        <v>0</v>
      </c>
      <c r="EG65" s="306">
        <f>IF($J65="",#N/A,SUM(EE$4:EE65,EC$4:EC65,EA$4:EA65))</f>
        <v>-0.47973811942657352</v>
      </c>
      <c r="EH65" s="223">
        <f t="shared" si="60"/>
        <v>18.375000000000057</v>
      </c>
      <c r="EI65" s="224">
        <f>IF(EH65="",#N/A,SUM($EH$4:EH65))</f>
        <v>381.08520944934298</v>
      </c>
      <c r="EJ65" s="223">
        <f t="shared" si="61"/>
        <v>9.8999999999999773</v>
      </c>
      <c r="EK65" s="63">
        <f>IF($GZ65="",#N/A,SUM(EJ$4:EJ65))</f>
        <v>596.11334203522972</v>
      </c>
      <c r="EL65" s="60">
        <f t="shared" si="97"/>
        <v>0.81634013061442356</v>
      </c>
      <c r="EM65" s="60">
        <f>IF(EL65="",NA(),SUM($EL$4:EL65))</f>
        <v>15.899077725262011</v>
      </c>
      <c r="EN65" s="60" t="str">
        <f t="shared" si="62"/>
        <v/>
      </c>
      <c r="EO65" s="60" t="e">
        <f>IF(EN65="",NA(),SUM($EN$4:EN65))</f>
        <v>#N/A</v>
      </c>
      <c r="EP65" s="60">
        <f t="shared" si="63"/>
        <v>0.81634013061442356</v>
      </c>
      <c r="EQ65" s="60">
        <f>IF(EP65="",NA(),SUM($EP$4:EP65))</f>
        <v>10.490102195861549</v>
      </c>
      <c r="ER65" s="60" t="str">
        <f t="shared" si="64"/>
        <v/>
      </c>
      <c r="ES65" s="60" t="e">
        <f>IF(ER65="",NA(),SUM($ER$4:ER65))</f>
        <v>#N/A</v>
      </c>
      <c r="ET65" s="60" t="str">
        <f t="shared" si="65"/>
        <v/>
      </c>
      <c r="EU65" s="60" t="e">
        <f>IF(ET65="",NA(),SUM($ET$4:ET65))</f>
        <v>#N/A</v>
      </c>
      <c r="EV65" s="60" t="str">
        <f t="shared" si="66"/>
        <v/>
      </c>
      <c r="EW65" s="60" t="e">
        <f>IF(EV65="",NA(),SUM($EV$4:EV65))</f>
        <v>#N/A</v>
      </c>
      <c r="EX65" s="60" t="str">
        <f t="shared" si="67"/>
        <v/>
      </c>
      <c r="EY65" s="60" t="e">
        <f>IF(EX65="",NA(),SUM($EX$4:EX65))</f>
        <v>#N/A</v>
      </c>
      <c r="EZ65" s="60" t="str">
        <f t="shared" si="68"/>
        <v/>
      </c>
      <c r="FA65" s="60" t="e">
        <f>IF(EZ65="",NA(),SUM($EZ$4:EZ65))</f>
        <v>#N/A</v>
      </c>
      <c r="FB65" s="246" t="str">
        <f t="shared" si="98"/>
        <v/>
      </c>
      <c r="FC65" s="246" t="e">
        <f>IF($FB65="",#N/A,SUM(FB$4:$FB65))</f>
        <v>#N/A</v>
      </c>
      <c r="FD65" s="60" t="str">
        <f t="shared" si="69"/>
        <v/>
      </c>
      <c r="FE65" s="60" t="e">
        <f>IF($FD65="",#N/A,SUM($FD$4:FD65))</f>
        <v>#N/A</v>
      </c>
      <c r="FF65" s="60" t="str">
        <f t="shared" si="70"/>
        <v/>
      </c>
      <c r="FG65" s="60" t="e">
        <f>IF($FF65="",#N/A,SUM($FF$4:FF65))</f>
        <v>#N/A</v>
      </c>
      <c r="FH65" s="60" t="str">
        <f t="shared" si="71"/>
        <v/>
      </c>
      <c r="FI65" s="60" t="e">
        <f>IF($FH65="",#N/A,SUM($FH$4:FH65))</f>
        <v>#N/A</v>
      </c>
      <c r="FJ65" s="60">
        <f t="shared" si="72"/>
        <v>-0.37651606024257323</v>
      </c>
      <c r="FK65" s="60">
        <f>IF($FJ65="",#N/A,SUM($FJ$4:FJ65))</f>
        <v>0.25313727247530693</v>
      </c>
      <c r="FL65" s="60" t="str">
        <f t="shared" si="73"/>
        <v/>
      </c>
      <c r="FM65" s="60" t="e">
        <f>IF($FL65="",#N/A,SUM($FL$4:FL65))</f>
        <v>#N/A</v>
      </c>
      <c r="FN65" s="82">
        <f t="shared" si="74"/>
        <v>0.43982407037185034</v>
      </c>
      <c r="FO65" s="82">
        <f>IF($FN65="",#N/A,SUM(FN$4:$FN65))</f>
        <v>24.951467163495742</v>
      </c>
      <c r="FP65" s="82">
        <f t="shared" si="99"/>
        <v>0.81634013061442356</v>
      </c>
      <c r="FQ65" s="246">
        <f>IF($EH65="",#N/A,SUM($FP$4:FP65))</f>
        <v>15.899077725262011</v>
      </c>
      <c r="FR65" s="82">
        <f>IFERROR(FQ65/COUNTA($J$4:J65),#N/A)</f>
        <v>0.25643673750422596</v>
      </c>
      <c r="FS65" s="82">
        <f t="shared" ref="FS65:FS79" si="116">IFERROR(($FQ65-$FQ18)/COUNTA($J18:$J65),#N/A)</f>
        <v>0.17151626041912849</v>
      </c>
      <c r="FT65" s="82">
        <f t="shared" ref="FT65:FT74" si="117">IFERROR(($FQ65-$FQ42)/COUNTA($J42:$J65),#N/A)</f>
        <v>7.7642542990061639E-2</v>
      </c>
      <c r="FU65" s="337">
        <f t="shared" si="113"/>
        <v>0.24346175075733001</v>
      </c>
      <c r="FV65" s="57" t="str">
        <f t="shared" si="75"/>
        <v>SW</v>
      </c>
      <c r="FW65" s="57" t="s">
        <v>2732</v>
      </c>
      <c r="FX65" s="57" t="str">
        <f t="shared" si="76"/>
        <v/>
      </c>
      <c r="FY65" s="57" t="str">
        <f t="shared" si="77"/>
        <v/>
      </c>
      <c r="FZ65" s="57">
        <f t="shared" si="78"/>
        <v>1</v>
      </c>
      <c r="GA65" s="57" t="str">
        <f t="shared" si="79"/>
        <v>Long</v>
      </c>
      <c r="GB65" s="57" t="str">
        <f t="shared" si="80"/>
        <v/>
      </c>
      <c r="GC65" s="57" t="str">
        <f t="shared" si="81"/>
        <v/>
      </c>
      <c r="GD65" s="57" t="str">
        <f t="shared" si="82"/>
        <v/>
      </c>
      <c r="GE65" s="62">
        <f t="shared" si="114"/>
        <v>125.05</v>
      </c>
      <c r="GF65" s="62" t="s">
        <v>2779</v>
      </c>
      <c r="GG65" s="199">
        <v>3</v>
      </c>
      <c r="GH65" s="207">
        <f t="shared" si="85"/>
        <v>375.15</v>
      </c>
      <c r="GI65" s="199">
        <v>3</v>
      </c>
      <c r="GJ65" s="200">
        <v>131</v>
      </c>
      <c r="GK65" s="63">
        <f t="shared" si="88"/>
        <v>17.850000000000023</v>
      </c>
      <c r="GL65" s="63">
        <f t="shared" si="115"/>
        <v>9.8999999999999773</v>
      </c>
      <c r="GM65" s="82">
        <f t="shared" si="90"/>
        <v>0.43982407037185034</v>
      </c>
      <c r="GN65" s="82">
        <f>IF($GZ65="",#N/A,SUM(GM$4:GM65))</f>
        <v>11.878821325324727</v>
      </c>
      <c r="GO65" s="82" t="str">
        <f t="shared" si="91"/>
        <v/>
      </c>
      <c r="GP65" s="82">
        <f>IF($GZ65="",#N/A,SUM(GO$4:GO65))</f>
        <v>8.4330372627247048</v>
      </c>
      <c r="GQ65" s="82" t="str">
        <f t="shared" si="92"/>
        <v/>
      </c>
      <c r="GR65" s="82">
        <f>IF($GZ65="",#N/A,SUM(GQ$4:GQ65))</f>
        <v>4.013771621003948</v>
      </c>
      <c r="GS65" s="63">
        <f t="shared" si="100"/>
        <v>9.8999999999999773</v>
      </c>
      <c r="GT65" s="63">
        <f>IF($GZ65="",#N/A,SUM(GS$4:GS65))</f>
        <v>283.64992882574211</v>
      </c>
      <c r="GU65" s="63" t="str">
        <f t="shared" si="101"/>
        <v/>
      </c>
      <c r="GV65" s="63">
        <f>IF($GZ65="",#N/A,SUM(GU$4:GU65))</f>
        <v>202.39289430539293</v>
      </c>
      <c r="GW65" s="63" t="str">
        <f t="shared" si="102"/>
        <v/>
      </c>
      <c r="GX65" s="63">
        <f>IF($GZ65="",#N/A,SUM(GW$4:GW65))</f>
        <v>96.330518904094731</v>
      </c>
      <c r="GY65" s="63">
        <f>IF(EJ65="",#N/A,SUM($EJ$4:EJ65))</f>
        <v>596.11334203522972</v>
      </c>
      <c r="GZ65" s="159">
        <v>128.35</v>
      </c>
      <c r="HA65" s="63">
        <f t="shared" si="93"/>
        <v>-8.4750000000000796</v>
      </c>
      <c r="HB65" s="63" t="s">
        <v>2538</v>
      </c>
      <c r="HC65" s="60">
        <f>IFERROR(VLOOKUP(E65,Expectancy!$P$4:$S$19,1+C65,FALSE),"")</f>
        <v>2.40735201201209E-2</v>
      </c>
      <c r="HD65" s="60">
        <f t="shared" si="94"/>
        <v>0.79301612688258138</v>
      </c>
      <c r="HE65" s="60">
        <f>IF(HD65="",#N/A,SUM($HD$4:HD65))</f>
        <v>1.1256159745046812</v>
      </c>
      <c r="HF65" s="64">
        <f>IF(HD65="",#N/A,IF(HB65="Skip",#N/A,SUM($HG$4:HG65)))</f>
        <v>26.059999999999945</v>
      </c>
      <c r="HG65" s="63">
        <f t="shared" si="95"/>
        <v>17.850000000000023</v>
      </c>
      <c r="HH65" s="82">
        <f t="shared" si="96"/>
        <v>0.43982407037185034</v>
      </c>
      <c r="HI65" s="56"/>
    </row>
    <row r="66" spans="1:220" x14ac:dyDescent="0.25">
      <c r="A66" s="57" t="s">
        <v>1337</v>
      </c>
      <c r="B66" s="58" t="s">
        <v>5128</v>
      </c>
      <c r="C66" s="386">
        <f t="shared" si="0"/>
        <v>2</v>
      </c>
      <c r="D66" s="372" t="str">
        <f>_xlfn.XLOOKUP(A66,[1]SP500!$A$2:$A$502,[1]SP500!$D$2:$D$502,"N")</f>
        <v>Y</v>
      </c>
      <c r="E66" s="57" t="str">
        <f>_xlfn.XLOOKUP(A66,[1]SP500!$A$2:$A$655,[1]SP500!$B$2:$B$655)</f>
        <v>XLI</v>
      </c>
      <c r="F66" s="59">
        <v>45685</v>
      </c>
      <c r="G66" s="57" t="str">
        <f t="shared" si="1"/>
        <v>BMO</v>
      </c>
      <c r="H66" s="57" t="str">
        <f t="shared" si="2"/>
        <v>s</v>
      </c>
      <c r="I66" s="159">
        <v>503.69</v>
      </c>
      <c r="J66" s="159">
        <v>473.7</v>
      </c>
      <c r="K66" s="61">
        <f t="shared" si="3"/>
        <v>-5.9540590442534118E-2</v>
      </c>
      <c r="L66" s="87">
        <f t="shared" si="4"/>
        <v>29.990000000000009</v>
      </c>
      <c r="M66" s="130">
        <f t="shared" si="112"/>
        <v>-4.5900000000000318</v>
      </c>
      <c r="N66" s="219" t="str">
        <f t="shared" si="6"/>
        <v/>
      </c>
      <c r="O66" s="219">
        <f>IF($J66="",#N/A,SUM($N$4:N66))</f>
        <v>101.95894778873009</v>
      </c>
      <c r="P66" s="220">
        <f t="shared" si="7"/>
        <v>29.990000000000009</v>
      </c>
      <c r="Q66" s="220">
        <f>IF($J66="",#N/A,SUM($P$4:P66))</f>
        <v>57.846464916880848</v>
      </c>
      <c r="R66" s="221" t="str">
        <f t="shared" si="8"/>
        <v/>
      </c>
      <c r="S66" s="222">
        <f>IF($J66="",#N/A,SUM($R$4:R66))</f>
        <v>251.26979674373206</v>
      </c>
      <c r="T66" s="281" t="str">
        <f t="shared" si="9"/>
        <v/>
      </c>
      <c r="U66" s="281">
        <f>IF($J66="",#N/A,SUM($T$4:T66))</f>
        <v>4.2482894911970863</v>
      </c>
      <c r="V66" s="282">
        <f t="shared" si="10"/>
        <v>0.99234317404223527</v>
      </c>
      <c r="W66" s="282">
        <f>IF($J66="",#N/A,SUM($V$4:V66))</f>
        <v>2.1530292122456034</v>
      </c>
      <c r="X66" s="283" t="str">
        <f t="shared" si="11"/>
        <v/>
      </c>
      <c r="Y66" s="283">
        <f>IF($J66="",#N/A,SUM($X$4:X66))</f>
        <v>10.490102195861549</v>
      </c>
      <c r="Z66" s="304" t="str">
        <f t="shared" si="12"/>
        <v/>
      </c>
      <c r="AA66" s="304">
        <f>IF($J66="",#N/A,SUM(Z$4:Z66))</f>
        <v>1.1273861049364817</v>
      </c>
      <c r="AB66" s="305" t="str">
        <f t="shared" si="13"/>
        <v/>
      </c>
      <c r="AC66" s="305">
        <f>IF($J66="",#N/A,SUM(AB$4:AB66))</f>
        <v>0</v>
      </c>
      <c r="AD66" s="306" t="str">
        <f t="shared" si="14"/>
        <v/>
      </c>
      <c r="AE66" s="306">
        <f>IF($J66="",#N/A,SUM(AD$4:AD66))</f>
        <v>1.5553407757049009</v>
      </c>
      <c r="AF66" s="306">
        <f>IF($J66="",#N/A,SUM(AD$4:AD66,AB$4:AB66,Z$4:Z66))</f>
        <v>2.6827268806413822</v>
      </c>
      <c r="AG66" s="304" t="str">
        <f t="shared" si="15"/>
        <v/>
      </c>
      <c r="AH66" s="304">
        <f>IF($J66="",#N/A,SUM(AG$4:AG66))</f>
        <v>0</v>
      </c>
      <c r="AI66" s="305" t="str">
        <f t="shared" si="16"/>
        <v/>
      </c>
      <c r="AJ66" s="305">
        <f>IF($J66="",#N/A,SUM(AI$4:AI66))</f>
        <v>0</v>
      </c>
      <c r="AK66" s="306" t="str">
        <f t="shared" si="17"/>
        <v/>
      </c>
      <c r="AL66" s="306">
        <f>IF($J66="",#N/A,SUM(AK$4:AK66))</f>
        <v>0</v>
      </c>
      <c r="AM66" s="306">
        <f>IF($J66="",#N/A,SUM(AK$4:AK66,AI$4:AI66,AG$4:AG66))</f>
        <v>0</v>
      </c>
      <c r="AN66" s="304" t="str">
        <f t="shared" si="18"/>
        <v/>
      </c>
      <c r="AO66" s="304">
        <f>IF($J66="",#N/A,SUM(AN$4:AN66))</f>
        <v>0</v>
      </c>
      <c r="AP66" s="305" t="str">
        <f t="shared" si="19"/>
        <v/>
      </c>
      <c r="AQ66" s="305">
        <f>IF($J66="",#N/A,SUM(AP$4:AP66))</f>
        <v>0</v>
      </c>
      <c r="AR66" s="306" t="str">
        <f t="shared" si="20"/>
        <v/>
      </c>
      <c r="AS66" s="306">
        <f>IF($J66="",#N/A,SUM(AR$4:AR66))</f>
        <v>0</v>
      </c>
      <c r="AT66" s="306">
        <f>IF($J66="",#N/A,SUM(AR$4:AR66,AP$4:AP66,AN$4:AN66))</f>
        <v>0</v>
      </c>
      <c r="AU66" s="304" t="str">
        <f t="shared" si="21"/>
        <v/>
      </c>
      <c r="AV66" s="304">
        <f>IF($J66="",#N/A,SUM(AU$4:AU66))</f>
        <v>0</v>
      </c>
      <c r="AW66" s="305" t="str">
        <f t="shared" si="22"/>
        <v/>
      </c>
      <c r="AX66" s="305">
        <f>IF($J66="",#N/A,SUM(AW$4:AW66))</f>
        <v>1.2290222546515868</v>
      </c>
      <c r="AY66" s="306" t="str">
        <f t="shared" si="23"/>
        <v/>
      </c>
      <c r="AZ66" s="306">
        <f>IF($J66="",#N/A,SUM(AY$4:AY66))</f>
        <v>2.8806371278168421</v>
      </c>
      <c r="BA66" s="306">
        <f>IF($J66="",#N/A,SUM(AY$4:AY66,AW$4:AW66,AU$4:AU66))</f>
        <v>4.1096593824684291</v>
      </c>
      <c r="BB66" s="304" t="str">
        <f t="shared" si="24"/>
        <v/>
      </c>
      <c r="BC66" s="304">
        <f>IF($J66="",#N/A,SUM(BB$4:BB66))</f>
        <v>0.57218309859154926</v>
      </c>
      <c r="BD66" s="305" t="str">
        <f t="shared" si="25"/>
        <v/>
      </c>
      <c r="BE66" s="305">
        <f>IF($J66="",#N/A,SUM(BD$4:BD66))</f>
        <v>-0.39561000510464578</v>
      </c>
      <c r="BF66" s="306" t="str">
        <f t="shared" si="26"/>
        <v/>
      </c>
      <c r="BG66" s="306">
        <f>IF($J66="",#N/A,SUM(BF$4:BF66))</f>
        <v>2.4597169840247779</v>
      </c>
      <c r="BH66" s="306">
        <f>IF($J66="",#N/A,SUM(BF$4:BF66,BD$4:BD66,BB$4:BB66))</f>
        <v>2.6362900775116813</v>
      </c>
      <c r="BI66" s="304" t="str">
        <f t="shared" si="27"/>
        <v/>
      </c>
      <c r="BJ66" s="304">
        <f>IF($J66="",#N/A,SUM(BI$4:BI66))</f>
        <v>-0.73401118447271563</v>
      </c>
      <c r="BK66" s="305" t="str">
        <f t="shared" si="28"/>
        <v/>
      </c>
      <c r="BL66" s="305">
        <f>IF($J66="",#N/A,SUM(BK$4:BK66))</f>
        <v>0</v>
      </c>
      <c r="BM66" s="306" t="str">
        <f t="shared" si="29"/>
        <v/>
      </c>
      <c r="BN66" s="306">
        <f>IF($J66="",#N/A,SUM(BM$4:BM66))</f>
        <v>3.8210959759517467</v>
      </c>
      <c r="BO66" s="306">
        <f>IF($J66="",#N/A,SUM(BM$4:BM66,BK$4:BK66,BI$4:BI66))</f>
        <v>3.0870847914790311</v>
      </c>
      <c r="BP66" s="304" t="str">
        <f t="shared" si="30"/>
        <v/>
      </c>
      <c r="BQ66" s="304">
        <f>IF($J66="",#N/A,SUM(BP$4:BP66))</f>
        <v>4.0154886764923106</v>
      </c>
      <c r="BR66" s="305">
        <f t="shared" si="31"/>
        <v>0.99234317404223527</v>
      </c>
      <c r="BS66" s="305">
        <f>IF($J66="",#N/A,SUM(BR$4:BR66))</f>
        <v>0.64461012602832546</v>
      </c>
      <c r="BT66" s="306" t="str">
        <f t="shared" si="32"/>
        <v/>
      </c>
      <c r="BU66" s="306">
        <f>IF($J66="",#N/A,SUM(BT$4:BT66))</f>
        <v>-0.92109198809878245</v>
      </c>
      <c r="BV66" s="306">
        <f>IF($J66="",#N/A,SUM(BT$4:BT66,BR$4:BR66,BP$4:BP66))</f>
        <v>3.7390068144218533</v>
      </c>
      <c r="BW66" s="304" t="str">
        <f t="shared" si="33"/>
        <v/>
      </c>
      <c r="BX66" s="304">
        <f>IF($J66="",#N/A,SUM(BW$4:BW66))</f>
        <v>-0.73275720435053893</v>
      </c>
      <c r="BY66" s="305" t="str">
        <f t="shared" si="34"/>
        <v/>
      </c>
      <c r="BZ66" s="305">
        <f>IF($J66="",#N/A,SUM(BY$4:BY66))</f>
        <v>0.46686916413544804</v>
      </c>
      <c r="CA66" s="306" t="str">
        <f t="shared" si="35"/>
        <v/>
      </c>
      <c r="CB66" s="306">
        <f>IF($J66="",#N/A,SUM(CA$4:CA66))</f>
        <v>-0.45285090237845554</v>
      </c>
      <c r="CC66" s="306">
        <f>IF($J66="",#N/A,SUM(CA$4:CA66,BY$4:BY66,BW$4:BW66))</f>
        <v>-0.71873894259354643</v>
      </c>
      <c r="CD66" s="304" t="str">
        <f t="shared" si="36"/>
        <v/>
      </c>
      <c r="CE66" s="304">
        <f>IF($J66="",#N/A,SUM(CD$4:CD66))</f>
        <v>0</v>
      </c>
      <c r="CF66" s="305" t="str">
        <f t="shared" si="37"/>
        <v/>
      </c>
      <c r="CG66" s="305">
        <f>IF($J66="",#N/A,SUM(CF$4:CF66))</f>
        <v>0.41783917455444924</v>
      </c>
      <c r="CH66" s="306" t="str">
        <f t="shared" si="38"/>
        <v/>
      </c>
      <c r="CI66" s="306">
        <f>IF($J66="",#N/A,SUM(CH$4:CH66))</f>
        <v>-0.25632679632191468</v>
      </c>
      <c r="CJ66" s="306">
        <f>IF($J66="",#N/A,SUM(CH$4:CH66,CF$4:CF66,CD$4:CD66))</f>
        <v>0.16151237823253456</v>
      </c>
      <c r="CK66" s="304" t="str">
        <f t="shared" si="39"/>
        <v/>
      </c>
      <c r="CL66" s="304">
        <f>IF($J66="",#N/A,SUM(CK$4:CK66))</f>
        <v>0</v>
      </c>
      <c r="CM66" s="305" t="str">
        <f t="shared" si="40"/>
        <v/>
      </c>
      <c r="CN66" s="305">
        <f>IF($J66="",#N/A,SUM(CM$4:CM66))</f>
        <v>0</v>
      </c>
      <c r="CO66" s="306" t="str">
        <f t="shared" si="41"/>
        <v/>
      </c>
      <c r="CP66" s="306">
        <f>IF($J66="",#N/A,SUM(CO$4:CO66))</f>
        <v>-0.8814781582839023</v>
      </c>
      <c r="CQ66" s="306">
        <f>IF($J66="",#N/A,SUM(CO$4:CO66,CM$4:CM66,CK$4:CK66))</f>
        <v>-0.8814781582839023</v>
      </c>
      <c r="CR66" s="304" t="str">
        <f t="shared" si="42"/>
        <v/>
      </c>
      <c r="CS66" s="304">
        <f>IF($J66="",#N/A,SUM(CR$4:CR66))</f>
        <v>0</v>
      </c>
      <c r="CT66" s="305" t="str">
        <f t="shared" si="43"/>
        <v/>
      </c>
      <c r="CU66" s="305">
        <f>IF($J66="",#N/A,SUM(CT$4:CT66))</f>
        <v>-0.13081968772223007</v>
      </c>
      <c r="CV66" s="306" t="str">
        <f t="shared" si="44"/>
        <v/>
      </c>
      <c r="CW66" s="306">
        <f>IF($J66="",#N/A,SUM(CV$4:CV66))</f>
        <v>0.28156811782542707</v>
      </c>
      <c r="CX66" s="306">
        <f>IF($J66="",#N/A,SUM(CV$4:CV66,CT$4:CT66,CR$4:CR66))</f>
        <v>0.150748430103197</v>
      </c>
      <c r="CY66" s="304" t="str">
        <f t="shared" si="45"/>
        <v/>
      </c>
      <c r="CZ66" s="304">
        <f>IF($J66="",#N/A,SUM(CY$4:CY66))</f>
        <v>0</v>
      </c>
      <c r="DA66" s="305" t="str">
        <f t="shared" si="46"/>
        <v/>
      </c>
      <c r="DB66" s="305">
        <f>IF($J66="",#N/A,SUM(DA$4:DA66))</f>
        <v>0</v>
      </c>
      <c r="DC66" s="306" t="str">
        <f t="shared" si="47"/>
        <v/>
      </c>
      <c r="DD66" s="306">
        <f>IF($J66="",#N/A,SUM(DC$4:DC66))</f>
        <v>0</v>
      </c>
      <c r="DE66" s="306">
        <f>IF($J66="",#N/A,SUM(DC$4:DC66,DA$4:DA66,CY$4:CY66))</f>
        <v>0</v>
      </c>
      <c r="DF66" s="304" t="str">
        <f t="shared" si="48"/>
        <v/>
      </c>
      <c r="DG66" s="304">
        <f>IF($J66="",#N/A,SUM(DF$4:DF66))</f>
        <v>0</v>
      </c>
      <c r="DH66" s="305" t="str">
        <f t="shared" si="49"/>
        <v/>
      </c>
      <c r="DI66" s="305">
        <f>IF($J66="",#N/A,SUM(DH$4:DH66))</f>
        <v>0</v>
      </c>
      <c r="DJ66" s="306" t="str">
        <f t="shared" si="50"/>
        <v/>
      </c>
      <c r="DK66" s="306">
        <f>IF($J66="",#N/A,SUM(DJ$4:DJ66))</f>
        <v>0</v>
      </c>
      <c r="DL66" s="306">
        <f>IF($J66="",#N/A,SUM(DJ$4:DJ66,DH$4:DH66,DF$4:DF66))</f>
        <v>0</v>
      </c>
      <c r="DM66" s="304" t="str">
        <f t="shared" si="51"/>
        <v/>
      </c>
      <c r="DN66" s="304">
        <f>IF($J66="",#N/A,SUM(DM$4:DM66))</f>
        <v>0</v>
      </c>
      <c r="DO66" s="305" t="str">
        <f t="shared" si="52"/>
        <v/>
      </c>
      <c r="DP66" s="305">
        <f>IF($J66="",#N/A,SUM(DO$4:DO66))</f>
        <v>0</v>
      </c>
      <c r="DQ66" s="306" t="str">
        <f t="shared" si="53"/>
        <v/>
      </c>
      <c r="DR66" s="306">
        <f>IF($J66="",#N/A,SUM(DQ$4:DQ66))</f>
        <v>1.4067447983492751</v>
      </c>
      <c r="DS66" s="306">
        <f>IF($J66="",#N/A,SUM(DQ$4:DQ66,DO$4:DO66,DM$4:DM66))</f>
        <v>1.4067447983492751</v>
      </c>
      <c r="DT66" s="304" t="str">
        <f t="shared" si="54"/>
        <v/>
      </c>
      <c r="DU66" s="304">
        <f>IF($J66="",#N/A,SUM(DT$4:DT66))</f>
        <v>0</v>
      </c>
      <c r="DV66" s="305" t="str">
        <f t="shared" si="55"/>
        <v/>
      </c>
      <c r="DW66" s="305">
        <f>IF($J66="",#N/A,SUM(DV$4:DV66))</f>
        <v>0.40085630512924314</v>
      </c>
      <c r="DX66" s="306" t="str">
        <f t="shared" si="56"/>
        <v/>
      </c>
      <c r="DY66" s="306">
        <f>IF($J66="",#N/A,SUM(DX$4:DX66))</f>
        <v>0.59674626127163555</v>
      </c>
      <c r="DZ66" s="306">
        <f>IF($J66="",#N/A,SUM(DX$4:DX66,DV$4:DV66,DT$4:DT66))</f>
        <v>0.99760256640087874</v>
      </c>
      <c r="EA66" s="304" t="str">
        <f t="shared" si="57"/>
        <v/>
      </c>
      <c r="EB66" s="304">
        <f>IF($J66="",#N/A,SUM(EA$4:EA66))</f>
        <v>0</v>
      </c>
      <c r="EC66" s="305" t="str">
        <f t="shared" si="58"/>
        <v/>
      </c>
      <c r="ED66" s="305">
        <f>IF($J66="",#N/A,SUM(EC$4:EC66))</f>
        <v>-0.47973811942657352</v>
      </c>
      <c r="EE66" s="306" t="str">
        <f t="shared" si="59"/>
        <v/>
      </c>
      <c r="EF66" s="306">
        <f>IF($J66="",#N/A,SUM(EE$4:EE66))</f>
        <v>0</v>
      </c>
      <c r="EG66" s="306">
        <f>IF($J66="",#N/A,SUM(EE$4:EE66,EC$4:EC66,EA$4:EA66))</f>
        <v>-0.47973811942657352</v>
      </c>
      <c r="EH66" s="223">
        <f t="shared" si="60"/>
        <v>29.990000000000009</v>
      </c>
      <c r="EI66" s="224">
        <f>IF(EH66="",#N/A,SUM($EH$4:EH66))</f>
        <v>411.07520944934299</v>
      </c>
      <c r="EJ66" s="223">
        <f t="shared" si="61"/>
        <v>46.240000000000009</v>
      </c>
      <c r="EK66" s="63">
        <f>IF($GZ66="",#N/A,SUM(EJ$4:EJ66))</f>
        <v>642.35334203522973</v>
      </c>
      <c r="EL66" s="60">
        <f t="shared" si="97"/>
        <v>0.99234317404223527</v>
      </c>
      <c r="EM66" s="60">
        <f>IF(EL66="",NA(),SUM($EL$4:EL66))</f>
        <v>16.891420899304247</v>
      </c>
      <c r="EN66" s="60" t="str">
        <f t="shared" si="62"/>
        <v/>
      </c>
      <c r="EO66" s="60" t="e">
        <f>IF(EN66="",NA(),SUM($EN$4:EN66))</f>
        <v>#N/A</v>
      </c>
      <c r="EP66" s="60" t="str">
        <f t="shared" si="63"/>
        <v/>
      </c>
      <c r="EQ66" s="60" t="e">
        <f>IF(EP66="",NA(),SUM($EP$4:EP66))</f>
        <v>#N/A</v>
      </c>
      <c r="ER66" s="60">
        <f t="shared" si="64"/>
        <v>0.99234317404223527</v>
      </c>
      <c r="ES66" s="60">
        <f>IF(ER66="",NA(),SUM($ER$4:ER66))</f>
        <v>2.1530292122456034</v>
      </c>
      <c r="ET66" s="60" t="str">
        <f t="shared" si="65"/>
        <v/>
      </c>
      <c r="EU66" s="60" t="e">
        <f>IF(ET66="",NA(),SUM($ET$4:ET66))</f>
        <v>#N/A</v>
      </c>
      <c r="EV66" s="60" t="str">
        <f t="shared" si="66"/>
        <v/>
      </c>
      <c r="EW66" s="60" t="e">
        <f>IF(EV66="",NA(),SUM($EV$4:EV66))</f>
        <v>#N/A</v>
      </c>
      <c r="EX66" s="60" t="str">
        <f t="shared" si="67"/>
        <v/>
      </c>
      <c r="EY66" s="60" t="e">
        <f>IF(EX66="",NA(),SUM($EX$4:EX66))</f>
        <v>#N/A</v>
      </c>
      <c r="EZ66" s="60" t="str">
        <f t="shared" si="68"/>
        <v/>
      </c>
      <c r="FA66" s="60" t="e">
        <f>IF(EZ66="",NA(),SUM($EZ$4:EZ66))</f>
        <v>#N/A</v>
      </c>
      <c r="FB66" s="246">
        <f t="shared" si="98"/>
        <v>0.53769845209024081</v>
      </c>
      <c r="FC66" s="246">
        <f>IF($FB66="",#N/A,SUM(FB$4:$FB66))</f>
        <v>2.7470021467302992</v>
      </c>
      <c r="FD66" s="60" t="str">
        <f t="shared" si="69"/>
        <v/>
      </c>
      <c r="FE66" s="60" t="e">
        <f>IF($FD66="",#N/A,SUM($FD$4:FD66))</f>
        <v>#N/A</v>
      </c>
      <c r="FF66" s="60" t="str">
        <f t="shared" si="70"/>
        <v/>
      </c>
      <c r="FG66" s="60" t="e">
        <f>IF($FF66="",#N/A,SUM($FF$4:FF66))</f>
        <v>#N/A</v>
      </c>
      <c r="FH66" s="60" t="str">
        <f t="shared" si="71"/>
        <v/>
      </c>
      <c r="FI66" s="60" t="e">
        <f>IF($FH66="",#N/A,SUM($FH$4:FH66))</f>
        <v>#N/A</v>
      </c>
      <c r="FJ66" s="60" t="str">
        <f t="shared" si="72"/>
        <v/>
      </c>
      <c r="FK66" s="60" t="e">
        <f>IF($FJ66="",#N/A,SUM($FJ$4:FJ66))</f>
        <v>#N/A</v>
      </c>
      <c r="FL66" s="60" t="str">
        <f t="shared" si="73"/>
        <v/>
      </c>
      <c r="FM66" s="60" t="e">
        <f>IF($FL66="",#N/A,SUM($FL$4:FL66))</f>
        <v>#N/A</v>
      </c>
      <c r="FN66" s="82">
        <f t="shared" si="74"/>
        <v>1.5300416261324761</v>
      </c>
      <c r="FO66" s="82">
        <f>IF($FN66="",#N/A,SUM(FN$4:$FN66))</f>
        <v>26.481508789628219</v>
      </c>
      <c r="FP66" s="82">
        <f t="shared" si="99"/>
        <v>0.99234317404223527</v>
      </c>
      <c r="FQ66" s="246">
        <f>IF($EH66="",#N/A,SUM($FP$4:FP66))</f>
        <v>16.891420899304247</v>
      </c>
      <c r="FR66" s="82">
        <f>IFERROR(FQ66/COUNTA($J$4:J66),#N/A)</f>
        <v>0.26811779205244834</v>
      </c>
      <c r="FS66" s="82">
        <f t="shared" si="116"/>
        <v>0.21307562374634506</v>
      </c>
      <c r="FT66" s="82">
        <f t="shared" si="117"/>
        <v>0.10652639076652319</v>
      </c>
      <c r="FU66" s="337">
        <f t="shared" si="113"/>
        <v>0.39534088276312929</v>
      </c>
      <c r="FV66" s="57" t="str">
        <f t="shared" si="75"/>
        <v>Dwn</v>
      </c>
      <c r="FW66" s="57" t="s">
        <v>2733</v>
      </c>
      <c r="FX66" s="57" t="str">
        <f t="shared" si="76"/>
        <v/>
      </c>
      <c r="FY66" s="57" t="str">
        <f t="shared" si="77"/>
        <v/>
      </c>
      <c r="FZ66" s="57" t="str">
        <f t="shared" si="78"/>
        <v/>
      </c>
      <c r="GA66" s="57" t="str">
        <f t="shared" si="79"/>
        <v>Short</v>
      </c>
      <c r="GB66" s="57">
        <f t="shared" si="80"/>
        <v>1</v>
      </c>
      <c r="GC66" s="57" t="str">
        <f t="shared" si="81"/>
        <v/>
      </c>
      <c r="GD66" s="57" t="str">
        <f t="shared" si="82"/>
        <v/>
      </c>
      <c r="GE66" s="62">
        <f t="shared" si="114"/>
        <v>503.69</v>
      </c>
      <c r="GF66" s="62" t="s">
        <v>2780</v>
      </c>
      <c r="GG66" s="199">
        <v>1</v>
      </c>
      <c r="GH66" s="207">
        <f t="shared" si="85"/>
        <v>503.69</v>
      </c>
      <c r="GI66" s="199">
        <v>1</v>
      </c>
      <c r="GJ66" s="200">
        <v>478.29</v>
      </c>
      <c r="GK66" s="63">
        <f t="shared" si="88"/>
        <v>25.399999999999977</v>
      </c>
      <c r="GL66" s="63">
        <f t="shared" si="115"/>
        <v>46.240000000000009</v>
      </c>
      <c r="GM66" s="82" t="str">
        <f t="shared" si="90"/>
        <v/>
      </c>
      <c r="GN66" s="82">
        <f>IF($GZ66="",#N/A,SUM(GM$4:GM66))</f>
        <v>11.878821325324727</v>
      </c>
      <c r="GO66" s="82" t="str">
        <f t="shared" si="91"/>
        <v/>
      </c>
      <c r="GP66" s="82">
        <f>IF($GZ66="",#N/A,SUM(GO$4:GO66))</f>
        <v>8.4330372627247048</v>
      </c>
      <c r="GQ66" s="82">
        <f t="shared" si="92"/>
        <v>1.5300416261324761</v>
      </c>
      <c r="GR66" s="82">
        <f>IF($GZ66="",#N/A,SUM(GQ$4:GQ66))</f>
        <v>5.5438132471364243</v>
      </c>
      <c r="GS66" s="63" t="str">
        <f t="shared" si="100"/>
        <v/>
      </c>
      <c r="GT66" s="63">
        <f>IF($GZ66="",#N/A,SUM(GS$4:GS66))</f>
        <v>283.64992882574211</v>
      </c>
      <c r="GU66" s="63" t="str">
        <f t="shared" si="101"/>
        <v/>
      </c>
      <c r="GV66" s="63">
        <f>IF($GZ66="",#N/A,SUM(GU$4:GU66))</f>
        <v>202.39289430539293</v>
      </c>
      <c r="GW66" s="63">
        <f t="shared" si="102"/>
        <v>46.240000000000009</v>
      </c>
      <c r="GX66" s="63">
        <f>IF($GZ66="",#N/A,SUM(GW$4:GW66))</f>
        <v>142.57051890409474</v>
      </c>
      <c r="GY66" s="63">
        <f>IF(EJ66="",#N/A,SUM($EJ$4:EJ66))</f>
        <v>642.35334203522973</v>
      </c>
      <c r="GZ66" s="159">
        <v>457.45</v>
      </c>
      <c r="HA66" s="63">
        <f t="shared" si="93"/>
        <v>16.25</v>
      </c>
      <c r="HB66" s="63" t="s">
        <v>2538</v>
      </c>
      <c r="HC66" s="60">
        <f>IFERROR(VLOOKUP(E66,Expectancy!$P$4:$S$19,1+C66,FALSE),"")</f>
        <v>0.3117803024854584</v>
      </c>
      <c r="HD66" s="60">
        <f t="shared" si="94"/>
        <v>0.84046404203643699</v>
      </c>
      <c r="HE66" s="60">
        <f>IF(HD66="",#N/A,SUM($HD$4:HD66))</f>
        <v>1.9660800165411181</v>
      </c>
      <c r="HF66" s="64">
        <f>IF(HD66="",#N/A,IF(HB66="Skip",#N/A,SUM($HG$4:HG66)))</f>
        <v>51.459999999999923</v>
      </c>
      <c r="HG66" s="63">
        <f t="shared" si="95"/>
        <v>25.399999999999977</v>
      </c>
      <c r="HH66" s="82">
        <f t="shared" si="96"/>
        <v>1.5300416261324761</v>
      </c>
      <c r="HI66" s="56"/>
    </row>
    <row r="67" spans="1:220" x14ac:dyDescent="0.25">
      <c r="A67" s="57" t="s">
        <v>1344</v>
      </c>
      <c r="B67" s="58" t="s">
        <v>5129</v>
      </c>
      <c r="C67" s="386">
        <f t="shared" si="0"/>
        <v>3</v>
      </c>
      <c r="D67" s="372" t="str">
        <f>_xlfn.XLOOKUP(A67,[1]SP500!$A$2:$A$502,[1]SP500!$D$2:$D$502,"N")</f>
        <v>Y</v>
      </c>
      <c r="E67" s="57" t="str">
        <f>_xlfn.XLOOKUP(A67,[1]SP500!$A$2:$A$655,[1]SP500!$B$2:$B$655)</f>
        <v>XLI</v>
      </c>
      <c r="F67" s="59">
        <v>45685</v>
      </c>
      <c r="G67" s="57" t="str">
        <f t="shared" si="1"/>
        <v>BMO</v>
      </c>
      <c r="H67" s="57" t="str">
        <f t="shared" si="2"/>
        <v>s</v>
      </c>
      <c r="I67" s="159">
        <v>175.16</v>
      </c>
      <c r="J67" s="159">
        <v>181.31</v>
      </c>
      <c r="K67" s="61">
        <f t="shared" si="3"/>
        <v>3.5110755880338011E-2</v>
      </c>
      <c r="L67" s="87">
        <f t="shared" si="4"/>
        <v>12.300000000000011</v>
      </c>
      <c r="M67" s="130">
        <f t="shared" si="112"/>
        <v>0.98000000000001819</v>
      </c>
      <c r="N67" s="219" t="str">
        <f t="shared" si="6"/>
        <v/>
      </c>
      <c r="O67" s="219">
        <f>IF($J67="",#N/A,SUM($N$4:N67))</f>
        <v>101.95894778873009</v>
      </c>
      <c r="P67" s="220" t="str">
        <f t="shared" si="7"/>
        <v/>
      </c>
      <c r="Q67" s="220">
        <f>IF($J67="",#N/A,SUM($P$4:P67))</f>
        <v>57.846464916880848</v>
      </c>
      <c r="R67" s="221">
        <f t="shared" si="8"/>
        <v>12.300000000000011</v>
      </c>
      <c r="S67" s="222">
        <f>IF($J67="",#N/A,SUM($R$4:R67))</f>
        <v>263.56979674373207</v>
      </c>
      <c r="T67" s="281" t="str">
        <f t="shared" si="9"/>
        <v/>
      </c>
      <c r="U67" s="281">
        <f>IF($J67="",#N/A,SUM($T$4:T67))</f>
        <v>4.2482894911970863</v>
      </c>
      <c r="V67" s="282" t="str">
        <f t="shared" si="10"/>
        <v/>
      </c>
      <c r="W67" s="282">
        <f>IF($J67="",#N/A,SUM($V$4:V67))</f>
        <v>2.1530292122456034</v>
      </c>
      <c r="X67" s="283">
        <f t="shared" si="11"/>
        <v>0.58517926467230019</v>
      </c>
      <c r="Y67" s="283">
        <f>IF($J67="",#N/A,SUM($X$4:X67))</f>
        <v>11.07528146053385</v>
      </c>
      <c r="Z67" s="304" t="str">
        <f t="shared" si="12"/>
        <v/>
      </c>
      <c r="AA67" s="304">
        <f>IF($J67="",#N/A,SUM(Z$4:Z67))</f>
        <v>1.1273861049364817</v>
      </c>
      <c r="AB67" s="305" t="str">
        <f t="shared" si="13"/>
        <v/>
      </c>
      <c r="AC67" s="305">
        <f>IF($J67="",#N/A,SUM(AB$4:AB67))</f>
        <v>0</v>
      </c>
      <c r="AD67" s="306" t="str">
        <f t="shared" si="14"/>
        <v/>
      </c>
      <c r="AE67" s="306">
        <f>IF($J67="",#N/A,SUM(AD$4:AD67))</f>
        <v>1.5553407757049009</v>
      </c>
      <c r="AF67" s="306">
        <f>IF($J67="",#N/A,SUM(AD$4:AD67,AB$4:AB67,Z$4:Z67))</f>
        <v>2.6827268806413822</v>
      </c>
      <c r="AG67" s="304" t="str">
        <f t="shared" si="15"/>
        <v/>
      </c>
      <c r="AH67" s="304">
        <f>IF($J67="",#N/A,SUM(AG$4:AG67))</f>
        <v>0</v>
      </c>
      <c r="AI67" s="305" t="str">
        <f t="shared" si="16"/>
        <v/>
      </c>
      <c r="AJ67" s="305">
        <f>IF($J67="",#N/A,SUM(AI$4:AI67))</f>
        <v>0</v>
      </c>
      <c r="AK67" s="306" t="str">
        <f t="shared" si="17"/>
        <v/>
      </c>
      <c r="AL67" s="306">
        <f>IF($J67="",#N/A,SUM(AK$4:AK67))</f>
        <v>0</v>
      </c>
      <c r="AM67" s="306">
        <f>IF($J67="",#N/A,SUM(AK$4:AK67,AI$4:AI67,AG$4:AG67))</f>
        <v>0</v>
      </c>
      <c r="AN67" s="304" t="str">
        <f t="shared" si="18"/>
        <v/>
      </c>
      <c r="AO67" s="304">
        <f>IF($J67="",#N/A,SUM(AN$4:AN67))</f>
        <v>0</v>
      </c>
      <c r="AP67" s="305" t="str">
        <f t="shared" si="19"/>
        <v/>
      </c>
      <c r="AQ67" s="305">
        <f>IF($J67="",#N/A,SUM(AP$4:AP67))</f>
        <v>0</v>
      </c>
      <c r="AR67" s="306" t="str">
        <f t="shared" si="20"/>
        <v/>
      </c>
      <c r="AS67" s="306">
        <f>IF($J67="",#N/A,SUM(AR$4:AR67))</f>
        <v>0</v>
      </c>
      <c r="AT67" s="306">
        <f>IF($J67="",#N/A,SUM(AR$4:AR67,AP$4:AP67,AN$4:AN67))</f>
        <v>0</v>
      </c>
      <c r="AU67" s="304" t="str">
        <f t="shared" si="21"/>
        <v/>
      </c>
      <c r="AV67" s="304">
        <f>IF($J67="",#N/A,SUM(AU$4:AU67))</f>
        <v>0</v>
      </c>
      <c r="AW67" s="305" t="str">
        <f t="shared" si="22"/>
        <v/>
      </c>
      <c r="AX67" s="305">
        <f>IF($J67="",#N/A,SUM(AW$4:AW67))</f>
        <v>1.2290222546515868</v>
      </c>
      <c r="AY67" s="306" t="str">
        <f t="shared" si="23"/>
        <v/>
      </c>
      <c r="AZ67" s="306">
        <f>IF($J67="",#N/A,SUM(AY$4:AY67))</f>
        <v>2.8806371278168421</v>
      </c>
      <c r="BA67" s="306">
        <f>IF($J67="",#N/A,SUM(AY$4:AY67,AW$4:AW67,AU$4:AU67))</f>
        <v>4.1096593824684291</v>
      </c>
      <c r="BB67" s="304" t="str">
        <f t="shared" si="24"/>
        <v/>
      </c>
      <c r="BC67" s="304">
        <f>IF($J67="",#N/A,SUM(BB$4:BB67))</f>
        <v>0.57218309859154926</v>
      </c>
      <c r="BD67" s="305" t="str">
        <f t="shared" si="25"/>
        <v/>
      </c>
      <c r="BE67" s="305">
        <f>IF($J67="",#N/A,SUM(BD$4:BD67))</f>
        <v>-0.39561000510464578</v>
      </c>
      <c r="BF67" s="306" t="str">
        <f t="shared" si="26"/>
        <v/>
      </c>
      <c r="BG67" s="306">
        <f>IF($J67="",#N/A,SUM(BF$4:BF67))</f>
        <v>2.4597169840247779</v>
      </c>
      <c r="BH67" s="306">
        <f>IF($J67="",#N/A,SUM(BF$4:BF67,BD$4:BD67,BB$4:BB67))</f>
        <v>2.6362900775116813</v>
      </c>
      <c r="BI67" s="304" t="str">
        <f t="shared" si="27"/>
        <v/>
      </c>
      <c r="BJ67" s="304">
        <f>IF($J67="",#N/A,SUM(BI$4:BI67))</f>
        <v>-0.73401118447271563</v>
      </c>
      <c r="BK67" s="305" t="str">
        <f t="shared" si="28"/>
        <v/>
      </c>
      <c r="BL67" s="305">
        <f>IF($J67="",#N/A,SUM(BK$4:BK67))</f>
        <v>0</v>
      </c>
      <c r="BM67" s="306" t="str">
        <f t="shared" si="29"/>
        <v/>
      </c>
      <c r="BN67" s="306">
        <f>IF($J67="",#N/A,SUM(BM$4:BM67))</f>
        <v>3.8210959759517467</v>
      </c>
      <c r="BO67" s="306">
        <f>IF($J67="",#N/A,SUM(BM$4:BM67,BK$4:BK67,BI$4:BI67))</f>
        <v>3.0870847914790311</v>
      </c>
      <c r="BP67" s="304" t="str">
        <f t="shared" si="30"/>
        <v/>
      </c>
      <c r="BQ67" s="304">
        <f>IF($J67="",#N/A,SUM(BP$4:BP67))</f>
        <v>4.0154886764923106</v>
      </c>
      <c r="BR67" s="305" t="str">
        <f t="shared" si="31"/>
        <v/>
      </c>
      <c r="BS67" s="305">
        <f>IF($J67="",#N/A,SUM(BR$4:BR67))</f>
        <v>0.64461012602832546</v>
      </c>
      <c r="BT67" s="306">
        <f t="shared" si="32"/>
        <v>0.58517926467230019</v>
      </c>
      <c r="BU67" s="306">
        <f>IF($J67="",#N/A,SUM(BT$4:BT67))</f>
        <v>-0.33591272342648226</v>
      </c>
      <c r="BV67" s="306">
        <f>IF($J67="",#N/A,SUM(BT$4:BT67,BR$4:BR67,BP$4:BP67))</f>
        <v>4.3241860790941535</v>
      </c>
      <c r="BW67" s="304" t="str">
        <f t="shared" si="33"/>
        <v/>
      </c>
      <c r="BX67" s="304">
        <f>IF($J67="",#N/A,SUM(BW$4:BW67))</f>
        <v>-0.73275720435053893</v>
      </c>
      <c r="BY67" s="305" t="str">
        <f t="shared" si="34"/>
        <v/>
      </c>
      <c r="BZ67" s="305">
        <f>IF($J67="",#N/A,SUM(BY$4:BY67))</f>
        <v>0.46686916413544804</v>
      </c>
      <c r="CA67" s="306" t="str">
        <f t="shared" si="35"/>
        <v/>
      </c>
      <c r="CB67" s="306">
        <f>IF($J67="",#N/A,SUM(CA$4:CA67))</f>
        <v>-0.45285090237845554</v>
      </c>
      <c r="CC67" s="306">
        <f>IF($J67="",#N/A,SUM(CA$4:CA67,BY$4:BY67,BW$4:BW67))</f>
        <v>-0.71873894259354643</v>
      </c>
      <c r="CD67" s="304" t="str">
        <f t="shared" si="36"/>
        <v/>
      </c>
      <c r="CE67" s="304">
        <f>IF($J67="",#N/A,SUM(CD$4:CD67))</f>
        <v>0</v>
      </c>
      <c r="CF67" s="305" t="str">
        <f t="shared" si="37"/>
        <v/>
      </c>
      <c r="CG67" s="305">
        <f>IF($J67="",#N/A,SUM(CF$4:CF67))</f>
        <v>0.41783917455444924</v>
      </c>
      <c r="CH67" s="306" t="str">
        <f t="shared" si="38"/>
        <v/>
      </c>
      <c r="CI67" s="306">
        <f>IF($J67="",#N/A,SUM(CH$4:CH67))</f>
        <v>-0.25632679632191468</v>
      </c>
      <c r="CJ67" s="306">
        <f>IF($J67="",#N/A,SUM(CH$4:CH67,CF$4:CF67,CD$4:CD67))</f>
        <v>0.16151237823253456</v>
      </c>
      <c r="CK67" s="304" t="str">
        <f t="shared" si="39"/>
        <v/>
      </c>
      <c r="CL67" s="304">
        <f>IF($J67="",#N/A,SUM(CK$4:CK67))</f>
        <v>0</v>
      </c>
      <c r="CM67" s="305" t="str">
        <f t="shared" si="40"/>
        <v/>
      </c>
      <c r="CN67" s="305">
        <f>IF($J67="",#N/A,SUM(CM$4:CM67))</f>
        <v>0</v>
      </c>
      <c r="CO67" s="306" t="str">
        <f t="shared" si="41"/>
        <v/>
      </c>
      <c r="CP67" s="306">
        <f>IF($J67="",#N/A,SUM(CO$4:CO67))</f>
        <v>-0.8814781582839023</v>
      </c>
      <c r="CQ67" s="306">
        <f>IF($J67="",#N/A,SUM(CO$4:CO67,CM$4:CM67,CK$4:CK67))</f>
        <v>-0.8814781582839023</v>
      </c>
      <c r="CR67" s="304" t="str">
        <f t="shared" si="42"/>
        <v/>
      </c>
      <c r="CS67" s="304">
        <f>IF($J67="",#N/A,SUM(CR$4:CR67))</f>
        <v>0</v>
      </c>
      <c r="CT67" s="305" t="str">
        <f t="shared" si="43"/>
        <v/>
      </c>
      <c r="CU67" s="305">
        <f>IF($J67="",#N/A,SUM(CT$4:CT67))</f>
        <v>-0.13081968772223007</v>
      </c>
      <c r="CV67" s="306" t="str">
        <f t="shared" si="44"/>
        <v/>
      </c>
      <c r="CW67" s="306">
        <f>IF($J67="",#N/A,SUM(CV$4:CV67))</f>
        <v>0.28156811782542707</v>
      </c>
      <c r="CX67" s="306">
        <f>IF($J67="",#N/A,SUM(CV$4:CV67,CT$4:CT67,CR$4:CR67))</f>
        <v>0.150748430103197</v>
      </c>
      <c r="CY67" s="304" t="str">
        <f t="shared" si="45"/>
        <v/>
      </c>
      <c r="CZ67" s="304">
        <f>IF($J67="",#N/A,SUM(CY$4:CY67))</f>
        <v>0</v>
      </c>
      <c r="DA67" s="305" t="str">
        <f t="shared" si="46"/>
        <v/>
      </c>
      <c r="DB67" s="305">
        <f>IF($J67="",#N/A,SUM(DA$4:DA67))</f>
        <v>0</v>
      </c>
      <c r="DC67" s="306" t="str">
        <f t="shared" si="47"/>
        <v/>
      </c>
      <c r="DD67" s="306">
        <f>IF($J67="",#N/A,SUM(DC$4:DC67))</f>
        <v>0</v>
      </c>
      <c r="DE67" s="306">
        <f>IF($J67="",#N/A,SUM(DC$4:DC67,DA$4:DA67,CY$4:CY67))</f>
        <v>0</v>
      </c>
      <c r="DF67" s="304" t="str">
        <f t="shared" si="48"/>
        <v/>
      </c>
      <c r="DG67" s="304">
        <f>IF($J67="",#N/A,SUM(DF$4:DF67))</f>
        <v>0</v>
      </c>
      <c r="DH67" s="305" t="str">
        <f t="shared" si="49"/>
        <v/>
      </c>
      <c r="DI67" s="305">
        <f>IF($J67="",#N/A,SUM(DH$4:DH67))</f>
        <v>0</v>
      </c>
      <c r="DJ67" s="306" t="str">
        <f t="shared" si="50"/>
        <v/>
      </c>
      <c r="DK67" s="306">
        <f>IF($J67="",#N/A,SUM(DJ$4:DJ67))</f>
        <v>0</v>
      </c>
      <c r="DL67" s="306">
        <f>IF($J67="",#N/A,SUM(DJ$4:DJ67,DH$4:DH67,DF$4:DF67))</f>
        <v>0</v>
      </c>
      <c r="DM67" s="304" t="str">
        <f t="shared" si="51"/>
        <v/>
      </c>
      <c r="DN67" s="304">
        <f>IF($J67="",#N/A,SUM(DM$4:DM67))</f>
        <v>0</v>
      </c>
      <c r="DO67" s="305" t="str">
        <f t="shared" si="52"/>
        <v/>
      </c>
      <c r="DP67" s="305">
        <f>IF($J67="",#N/A,SUM(DO$4:DO67))</f>
        <v>0</v>
      </c>
      <c r="DQ67" s="306" t="str">
        <f t="shared" si="53"/>
        <v/>
      </c>
      <c r="DR67" s="306">
        <f>IF($J67="",#N/A,SUM(DQ$4:DQ67))</f>
        <v>1.4067447983492751</v>
      </c>
      <c r="DS67" s="306">
        <f>IF($J67="",#N/A,SUM(DQ$4:DQ67,DO$4:DO67,DM$4:DM67))</f>
        <v>1.4067447983492751</v>
      </c>
      <c r="DT67" s="304" t="str">
        <f t="shared" si="54"/>
        <v/>
      </c>
      <c r="DU67" s="304">
        <f>IF($J67="",#N/A,SUM(DT$4:DT67))</f>
        <v>0</v>
      </c>
      <c r="DV67" s="305" t="str">
        <f t="shared" si="55"/>
        <v/>
      </c>
      <c r="DW67" s="305">
        <f>IF($J67="",#N/A,SUM(DV$4:DV67))</f>
        <v>0.40085630512924314</v>
      </c>
      <c r="DX67" s="306" t="str">
        <f t="shared" si="56"/>
        <v/>
      </c>
      <c r="DY67" s="306">
        <f>IF($J67="",#N/A,SUM(DX$4:DX67))</f>
        <v>0.59674626127163555</v>
      </c>
      <c r="DZ67" s="306">
        <f>IF($J67="",#N/A,SUM(DX$4:DX67,DV$4:DV67,DT$4:DT67))</f>
        <v>0.99760256640087874</v>
      </c>
      <c r="EA67" s="304" t="str">
        <f t="shared" si="57"/>
        <v/>
      </c>
      <c r="EB67" s="304">
        <f>IF($J67="",#N/A,SUM(EA$4:EA67))</f>
        <v>0</v>
      </c>
      <c r="EC67" s="305" t="str">
        <f t="shared" si="58"/>
        <v/>
      </c>
      <c r="ED67" s="305">
        <f>IF($J67="",#N/A,SUM(EC$4:EC67))</f>
        <v>-0.47973811942657352</v>
      </c>
      <c r="EE67" s="306" t="str">
        <f t="shared" si="59"/>
        <v/>
      </c>
      <c r="EF67" s="306">
        <f>IF($J67="",#N/A,SUM(EE$4:EE67))</f>
        <v>0</v>
      </c>
      <c r="EG67" s="306">
        <f>IF($J67="",#N/A,SUM(EE$4:EE67,EC$4:EC67,EA$4:EA67))</f>
        <v>-0.47973811942657352</v>
      </c>
      <c r="EH67" s="223">
        <f t="shared" si="60"/>
        <v>12.300000000000011</v>
      </c>
      <c r="EI67" s="224">
        <f>IF(EH67="",#N/A,SUM($EH$4:EH67))</f>
        <v>423.375209449343</v>
      </c>
      <c r="EJ67" s="223">
        <f t="shared" si="61"/>
        <v>5.2400000000000091</v>
      </c>
      <c r="EK67" s="63">
        <f>IF($GZ67="",#N/A,SUM(EJ$4:EJ67))</f>
        <v>647.59334203522974</v>
      </c>
      <c r="EL67" s="60">
        <f t="shared" si="97"/>
        <v>0.58517926467230019</v>
      </c>
      <c r="EM67" s="60">
        <f>IF(EL67="",NA(),SUM($EL$4:EL67))</f>
        <v>17.476600163976549</v>
      </c>
      <c r="EN67" s="60" t="str">
        <f t="shared" si="62"/>
        <v/>
      </c>
      <c r="EO67" s="60" t="e">
        <f>IF(EN67="",NA(),SUM($EN$4:EN67))</f>
        <v>#N/A</v>
      </c>
      <c r="EP67" s="60">
        <f t="shared" si="63"/>
        <v>0.58517926467230019</v>
      </c>
      <c r="EQ67" s="60">
        <f>IF(EP67="",NA(),SUM($EP$4:EP67))</f>
        <v>11.07528146053385</v>
      </c>
      <c r="ER67" s="60" t="str">
        <f t="shared" si="64"/>
        <v/>
      </c>
      <c r="ES67" s="60" t="e">
        <f>IF(ER67="",NA(),SUM($ER$4:ER67))</f>
        <v>#N/A</v>
      </c>
      <c r="ET67" s="60" t="str">
        <f t="shared" si="65"/>
        <v/>
      </c>
      <c r="EU67" s="60" t="e">
        <f>IF(ET67="",NA(),SUM($ET$4:ET67))</f>
        <v>#N/A</v>
      </c>
      <c r="EV67" s="60" t="str">
        <f t="shared" si="66"/>
        <v/>
      </c>
      <c r="EW67" s="60" t="e">
        <f>IF(EV67="",NA(),SUM($EV$4:EV67))</f>
        <v>#N/A</v>
      </c>
      <c r="EX67" s="60" t="str">
        <f t="shared" si="67"/>
        <v/>
      </c>
      <c r="EY67" s="60" t="e">
        <f>IF(EX67="",NA(),SUM($EX$4:EX67))</f>
        <v>#N/A</v>
      </c>
      <c r="EZ67" s="60" t="str">
        <f t="shared" si="68"/>
        <v/>
      </c>
      <c r="FA67" s="60" t="e">
        <f>IF(EZ67="",NA(),SUM($EZ$4:EZ67))</f>
        <v>#N/A</v>
      </c>
      <c r="FB67" s="246" t="str">
        <f t="shared" si="98"/>
        <v/>
      </c>
      <c r="FC67" s="246" t="e">
        <f>IF($FB67="",#N/A,SUM(FB$4:$FB67))</f>
        <v>#N/A</v>
      </c>
      <c r="FD67" s="60" t="str">
        <f t="shared" si="69"/>
        <v/>
      </c>
      <c r="FE67" s="60" t="e">
        <f>IF($FD67="",#N/A,SUM($FD$4:FD67))</f>
        <v>#N/A</v>
      </c>
      <c r="FF67" s="60" t="str">
        <f t="shared" si="70"/>
        <v/>
      </c>
      <c r="FG67" s="60" t="e">
        <f>IF($FF67="",#N/A,SUM($FF$4:FF67))</f>
        <v>#N/A</v>
      </c>
      <c r="FH67" s="60" t="str">
        <f t="shared" si="71"/>
        <v/>
      </c>
      <c r="FI67" s="60" t="e">
        <f>IF($FH67="",#N/A,SUM($FH$4:FH67))</f>
        <v>#N/A</v>
      </c>
      <c r="FJ67" s="60">
        <f t="shared" si="72"/>
        <v>-0.33588338281190544</v>
      </c>
      <c r="FK67" s="60">
        <f>IF($FJ67="",#N/A,SUM($FJ$4:FJ67))</f>
        <v>-8.2746110336598511E-2</v>
      </c>
      <c r="FL67" s="60" t="str">
        <f t="shared" si="73"/>
        <v/>
      </c>
      <c r="FM67" s="60" t="e">
        <f>IF($FL67="",#N/A,SUM($FL$4:FL67))</f>
        <v>#N/A</v>
      </c>
      <c r="FN67" s="82">
        <f t="shared" si="74"/>
        <v>0.24929588186039475</v>
      </c>
      <c r="FO67" s="82">
        <f>IF($FN67="",#N/A,SUM(FN$4:$FN67))</f>
        <v>26.730804671488613</v>
      </c>
      <c r="FP67" s="82">
        <f t="shared" si="99"/>
        <v>0.58517926467230019</v>
      </c>
      <c r="FQ67" s="246">
        <f>IF($EH67="",#N/A,SUM($FP$4:FP67))</f>
        <v>17.476600163976549</v>
      </c>
      <c r="FR67" s="82">
        <f>IFERROR(FQ67/COUNTA($J$4:J67),#N/A)</f>
        <v>0.27307187756213358</v>
      </c>
      <c r="FS67" s="82">
        <f t="shared" si="116"/>
        <v>0.20951911869083897</v>
      </c>
      <c r="FT67" s="82">
        <f t="shared" si="117"/>
        <v>0.11191466766726259</v>
      </c>
      <c r="FU67" s="337">
        <f t="shared" si="113"/>
        <v>0.34871684378923895</v>
      </c>
      <c r="FV67" s="57" t="str">
        <f t="shared" si="75"/>
        <v>SW</v>
      </c>
      <c r="FW67" s="57" t="s">
        <v>2732</v>
      </c>
      <c r="FX67" s="57" t="str">
        <f t="shared" si="76"/>
        <v/>
      </c>
      <c r="FY67" s="57" t="str">
        <f t="shared" si="77"/>
        <v/>
      </c>
      <c r="FZ67" s="57">
        <f t="shared" si="78"/>
        <v>1</v>
      </c>
      <c r="GA67" s="57" t="str">
        <f t="shared" si="79"/>
        <v>Long</v>
      </c>
      <c r="GB67" s="57" t="str">
        <f t="shared" si="80"/>
        <v/>
      </c>
      <c r="GC67" s="57" t="str">
        <f t="shared" si="81"/>
        <v/>
      </c>
      <c r="GD67" s="57" t="str">
        <f t="shared" si="82"/>
        <v/>
      </c>
      <c r="GE67" s="62">
        <f t="shared" si="114"/>
        <v>175.16</v>
      </c>
      <c r="GF67" s="62" t="s">
        <v>2779</v>
      </c>
      <c r="GG67" s="199">
        <v>2</v>
      </c>
      <c r="GH67" s="207">
        <f t="shared" si="85"/>
        <v>350.32</v>
      </c>
      <c r="GI67" s="199">
        <v>2</v>
      </c>
      <c r="GJ67" s="200">
        <v>181.8</v>
      </c>
      <c r="GK67" s="63">
        <f t="shared" si="88"/>
        <v>13.28000000000003</v>
      </c>
      <c r="GL67" s="63">
        <f t="shared" si="115"/>
        <v>5.2400000000000091</v>
      </c>
      <c r="GM67" s="82">
        <f t="shared" si="90"/>
        <v>0.24929588186039475</v>
      </c>
      <c r="GN67" s="82">
        <f>IF($GZ67="",#N/A,SUM(GM$4:GM67))</f>
        <v>12.128117207185122</v>
      </c>
      <c r="GO67" s="82" t="str">
        <f t="shared" si="91"/>
        <v/>
      </c>
      <c r="GP67" s="82">
        <f>IF($GZ67="",#N/A,SUM(GO$4:GO67))</f>
        <v>8.4330372627247048</v>
      </c>
      <c r="GQ67" s="82" t="str">
        <f t="shared" si="92"/>
        <v/>
      </c>
      <c r="GR67" s="82">
        <f>IF($GZ67="",#N/A,SUM(GQ$4:GQ67))</f>
        <v>5.5438132471364243</v>
      </c>
      <c r="GS67" s="63">
        <f t="shared" si="100"/>
        <v>5.2400000000000091</v>
      </c>
      <c r="GT67" s="63">
        <f>IF($GZ67="",#N/A,SUM(GS$4:GS67))</f>
        <v>288.88992882574212</v>
      </c>
      <c r="GU67" s="63" t="str">
        <f t="shared" si="101"/>
        <v/>
      </c>
      <c r="GV67" s="63">
        <f>IF($GZ67="",#N/A,SUM(GU$4:GU67))</f>
        <v>202.39289430539293</v>
      </c>
      <c r="GW67" s="63" t="str">
        <f t="shared" si="102"/>
        <v/>
      </c>
      <c r="GX67" s="63">
        <f>IF($GZ67="",#N/A,SUM(GW$4:GW67))</f>
        <v>142.57051890409474</v>
      </c>
      <c r="GY67" s="63">
        <f>IF(EJ67="",#N/A,SUM($EJ$4:EJ67))</f>
        <v>647.59334203522974</v>
      </c>
      <c r="GZ67" s="159">
        <v>177.78</v>
      </c>
      <c r="HA67" s="63">
        <f t="shared" si="93"/>
        <v>-7.0600000000000023</v>
      </c>
      <c r="HB67" s="63" t="s">
        <v>2538</v>
      </c>
      <c r="HC67" s="60">
        <f>IFERROR(VLOOKUP(E67,Expectancy!$P$4:$S$19,1+C67,FALSE),"")</f>
        <v>2.40735201201209E-2</v>
      </c>
      <c r="HD67" s="60">
        <f t="shared" si="94"/>
        <v>0.63180330364619164</v>
      </c>
      <c r="HE67" s="60">
        <f>IF(HD67="",#N/A,SUM($HD$4:HD67))</f>
        <v>2.5978833201873099</v>
      </c>
      <c r="HF67" s="64">
        <f>IF(HD67="",#N/A,IF(HB67="Skip",#N/A,SUM($HG$4:HG67)))</f>
        <v>64.739999999999952</v>
      </c>
      <c r="HG67" s="63">
        <f t="shared" si="95"/>
        <v>13.28000000000003</v>
      </c>
      <c r="HH67" s="82">
        <f t="shared" si="96"/>
        <v>0.24929588186039475</v>
      </c>
      <c r="HI67" s="56"/>
    </row>
    <row r="68" spans="1:220" x14ac:dyDescent="0.25">
      <c r="A68" s="57" t="s">
        <v>1392</v>
      </c>
      <c r="B68" s="58" t="s">
        <v>5130</v>
      </c>
      <c r="C68" s="386">
        <f t="shared" ref="C68:C131" si="118">IF(FV68="Dwn",2,IF(FV68="Up",1,IF(FV68="SW",3,"x")))</f>
        <v>1</v>
      </c>
      <c r="D68" s="372" t="str">
        <f>_xlfn.XLOOKUP(A68,[1]SP500!$A$2:$A$502,[1]SP500!$D$2:$D$502,"N")</f>
        <v>Y</v>
      </c>
      <c r="E68" s="57" t="str">
        <f>_xlfn.XLOOKUP(A68,[1]SP500!$A$2:$A$655,[1]SP500!$B$2:$B$655)</f>
        <v>XLY</v>
      </c>
      <c r="F68" s="59">
        <v>45685</v>
      </c>
      <c r="G68" s="57" t="str">
        <f t="shared" ref="G68:G131" si="119">IF(ISNUMBER(FIND("After",B68,1)),"AMC",IF(ISNUMBER(FIND("Before",B68,1)),"BMO","err"))</f>
        <v>BMO</v>
      </c>
      <c r="H68" s="57" t="str">
        <f t="shared" ref="H68:H131" si="120">IF(HB68="other","o",IF(HB68="Skip","o",IF(OR(FV68="",GF68=""),"",IF(AND(FV68="Dwn",GF68="Short"),"s",IF(AND(FV68="Up",GF68="Long"),"s",IF(AND(FV68="SW",GF68="Long"),"s","o"))))))</f>
        <v>s</v>
      </c>
      <c r="I68" s="159">
        <v>236.82</v>
      </c>
      <c r="J68" s="159">
        <v>246.75</v>
      </c>
      <c r="K68" s="61">
        <f t="shared" ref="K68:K131" si="121">IF(J68="","",(J68-I68)/I68)</f>
        <v>4.1930580187484197E-2</v>
      </c>
      <c r="L68" s="87">
        <f t="shared" ref="L68:L131" si="122">IF(OR($GI68="",J68=""),"",IF($GF68="Long",(($J68*$GI68)-$GH68),($GH68-($J68*$GI68))))</f>
        <v>19.860000000000014</v>
      </c>
      <c r="M68" s="130">
        <f t="shared" si="112"/>
        <v>-0.5</v>
      </c>
      <c r="N68" s="219">
        <f t="shared" ref="N68:N131" si="123">IF(AND($FV68="Up",$GA68="Long"),$EH68,"")</f>
        <v>19.860000000000014</v>
      </c>
      <c r="O68" s="219">
        <f>IF($J68="",#N/A,SUM($N$4:N68))</f>
        <v>121.8189477887301</v>
      </c>
      <c r="P68" s="220" t="str">
        <f t="shared" ref="P68:P131" si="124">IF(AND($FV68="Dwn",$GA68="Short"),$EH68,"")</f>
        <v/>
      </c>
      <c r="Q68" s="220">
        <f>IF($J68="",#N/A,SUM($P$4:P68))</f>
        <v>57.846464916880848</v>
      </c>
      <c r="R68" s="221" t="str">
        <f t="shared" ref="R68:R131" si="125">IF(AND($FV68="SW",$GA68="Long"),$EH68,"")</f>
        <v/>
      </c>
      <c r="S68" s="222">
        <f>IF($J68="",#N/A,SUM($R$4:R68))</f>
        <v>263.56979674373207</v>
      </c>
      <c r="T68" s="281">
        <f t="shared" ref="T68:T131" si="126">IF(AND($FV68="Up",$GA68="Long"),$FP68,"")</f>
        <v>0.69884300312473657</v>
      </c>
      <c r="U68" s="281">
        <f>IF($J68="",#N/A,SUM($T$4:T68))</f>
        <v>4.9471324943218224</v>
      </c>
      <c r="V68" s="282" t="str">
        <f t="shared" ref="V68:V131" si="127">IF(AND($FV68="Dwn",$GA68="Short"),$FP68,"")</f>
        <v/>
      </c>
      <c r="W68" s="282">
        <f>IF($J68="",#N/A,SUM($V$4:V68))</f>
        <v>2.1530292122456034</v>
      </c>
      <c r="X68" s="283" t="str">
        <f t="shared" ref="X68:X131" si="128">IF(AND($FV68="SW",$GA68="Long"),$FP68,"")</f>
        <v/>
      </c>
      <c r="Y68" s="283">
        <f>IF($J68="",#N/A,SUM($X$4:X68))</f>
        <v>11.07528146053385</v>
      </c>
      <c r="Z68" s="304" t="str">
        <f t="shared" ref="Z68:Z131" si="129">IF(AND($FV68="Up",$GA68="Long",$E68=Z$2),$FP68,"")</f>
        <v/>
      </c>
      <c r="AA68" s="304">
        <f>IF($J68="",#N/A,SUM(Z$4:Z68))</f>
        <v>1.1273861049364817</v>
      </c>
      <c r="AB68" s="305" t="str">
        <f t="shared" ref="AB68:AB131" si="130">IF(AND($FV68="Dwn",$GA68="Short",$E68=Z$2),$FP68,"")</f>
        <v/>
      </c>
      <c r="AC68" s="305">
        <f>IF($J68="",#N/A,SUM(AB$4:AB68))</f>
        <v>0</v>
      </c>
      <c r="AD68" s="306" t="str">
        <f t="shared" ref="AD68:AD131" si="131">IF(AND($FV68="SW",$GA68="Long",$E68=Z$2),$FP68,"")</f>
        <v/>
      </c>
      <c r="AE68" s="306">
        <f>IF($J68="",#N/A,SUM(AD$4:AD68))</f>
        <v>1.5553407757049009</v>
      </c>
      <c r="AF68" s="306">
        <f>IF($J68="",#N/A,SUM(AD$4:AD68,AB$4:AB68,Z$4:Z68))</f>
        <v>2.6827268806413822</v>
      </c>
      <c r="AG68" s="304" t="str">
        <f t="shared" ref="AG68:AG131" si="132">IF(AND($FV68="Up",$GA68="Long",$E68=AG$2),$FP68,"")</f>
        <v/>
      </c>
      <c r="AH68" s="304">
        <f>IF($J68="",#N/A,SUM(AG$4:AG68))</f>
        <v>0</v>
      </c>
      <c r="AI68" s="305" t="str">
        <f t="shared" ref="AI68:AI131" si="133">IF(AND($FV68="Dwn",$GA68="Short",$E68=AG$2),$FP68,"")</f>
        <v/>
      </c>
      <c r="AJ68" s="305">
        <f>IF($J68="",#N/A,SUM(AI$4:AI68))</f>
        <v>0</v>
      </c>
      <c r="AK68" s="306" t="str">
        <f t="shared" ref="AK68:AK131" si="134">IF(AND($FV68="SW",$GA68="Long",$E68=AG$2),$FP68,"")</f>
        <v/>
      </c>
      <c r="AL68" s="306">
        <f>IF($J68="",#N/A,SUM(AK$4:AK68))</f>
        <v>0</v>
      </c>
      <c r="AM68" s="306">
        <f>IF($J68="",#N/A,SUM(AK$4:AK68,AI$4:AI68,AG$4:AG68))</f>
        <v>0</v>
      </c>
      <c r="AN68" s="304">
        <f t="shared" ref="AN68:AN131" si="135">IF(AND($FV68="Up",$GA68="Long",$E68=AN$2),$FP68,"")</f>
        <v>0.69884300312473657</v>
      </c>
      <c r="AO68" s="304">
        <f>IF($J68="",#N/A,SUM(AN$4:AN68))</f>
        <v>0.69884300312473657</v>
      </c>
      <c r="AP68" s="305" t="str">
        <f t="shared" ref="AP68:AP131" si="136">IF(AND($FV68="Dwn",$GA68="Short",$E68=AN$2),$FP68,"")</f>
        <v/>
      </c>
      <c r="AQ68" s="305">
        <f>IF($J68="",#N/A,SUM(AP$4:AP68))</f>
        <v>0</v>
      </c>
      <c r="AR68" s="306" t="str">
        <f t="shared" ref="AR68:AR131" si="137">IF(AND($FV68="SW",$GA68="Long",$E68=AN$2),$FP68,"")</f>
        <v/>
      </c>
      <c r="AS68" s="306">
        <f>IF($J68="",#N/A,SUM(AR$4:AR68))</f>
        <v>0</v>
      </c>
      <c r="AT68" s="306">
        <f>IF($J68="",#N/A,SUM(AR$4:AR68,AP$4:AP68,AN$4:AN68))</f>
        <v>0.69884300312473657</v>
      </c>
      <c r="AU68" s="304" t="str">
        <f t="shared" ref="AU68:AU131" si="138">IF(AND($FV68="Up",$GA68="Long",$E68=AU$2),$FP68,"")</f>
        <v/>
      </c>
      <c r="AV68" s="304">
        <f>IF($J68="",#N/A,SUM(AU$4:AU68))</f>
        <v>0</v>
      </c>
      <c r="AW68" s="305" t="str">
        <f t="shared" ref="AW68:AW131" si="139">IF(AND($FV68="Dwn",$GA68="Short",$E68=AU$2),$FP68,"")</f>
        <v/>
      </c>
      <c r="AX68" s="305">
        <f>IF($J68="",#N/A,SUM(AW$4:AW68))</f>
        <v>1.2290222546515868</v>
      </c>
      <c r="AY68" s="306" t="str">
        <f t="shared" ref="AY68:AY131" si="140">IF(AND($FV68="SW",$GA68="Long",$E68=AU$2),$FP68,"")</f>
        <v/>
      </c>
      <c r="AZ68" s="306">
        <f>IF($J68="",#N/A,SUM(AY$4:AY68))</f>
        <v>2.8806371278168421</v>
      </c>
      <c r="BA68" s="306">
        <f>IF($J68="",#N/A,SUM(AY$4:AY68,AW$4:AW68,AU$4:AU68))</f>
        <v>4.1096593824684291</v>
      </c>
      <c r="BB68" s="304" t="str">
        <f t="shared" ref="BB68:BB131" si="141">IF(AND($FV68="Up",$GA68="Long",$E68=BB$2),$FP68,"")</f>
        <v/>
      </c>
      <c r="BC68" s="304">
        <f>IF($J68="",#N/A,SUM(BB$4:BB68))</f>
        <v>0.57218309859154926</v>
      </c>
      <c r="BD68" s="305" t="str">
        <f t="shared" ref="BD68:BD131" si="142">IF(AND($FV68="Dwn",$GA68="Short",$E68=BB$2),$FP68,"")</f>
        <v/>
      </c>
      <c r="BE68" s="305">
        <f>IF($J68="",#N/A,SUM(BD$4:BD68))</f>
        <v>-0.39561000510464578</v>
      </c>
      <c r="BF68" s="306" t="str">
        <f t="shared" ref="BF68:BF131" si="143">IF(AND($FV68="SW",$GA68="Long",$E68=BB$2),$FP68,"")</f>
        <v/>
      </c>
      <c r="BG68" s="306">
        <f>IF($J68="",#N/A,SUM(BF$4:BF68))</f>
        <v>2.4597169840247779</v>
      </c>
      <c r="BH68" s="306">
        <f>IF($J68="",#N/A,SUM(BF$4:BF68,BD$4:BD68,BB$4:BB68))</f>
        <v>2.6362900775116813</v>
      </c>
      <c r="BI68" s="304" t="str">
        <f t="shared" ref="BI68:BI131" si="144">IF(AND($FV68="Up",$GA68="Long",$E68=BI$2),$FP68,"")</f>
        <v/>
      </c>
      <c r="BJ68" s="304">
        <f>IF($J68="",#N/A,SUM(BI$4:BI68))</f>
        <v>-0.73401118447271563</v>
      </c>
      <c r="BK68" s="305" t="str">
        <f t="shared" ref="BK68:BK131" si="145">IF(AND($FV68="Dwn",$GA68="Short",$E68=BI$2),$FP68,"")</f>
        <v/>
      </c>
      <c r="BL68" s="305">
        <f>IF($J68="",#N/A,SUM(BK$4:BK68))</f>
        <v>0</v>
      </c>
      <c r="BM68" s="306" t="str">
        <f t="shared" ref="BM68:BM131" si="146">IF(AND($FV68="SW",$GA68="Long",$E68=BI$2),$FP68,"")</f>
        <v/>
      </c>
      <c r="BN68" s="306">
        <f>IF($J68="",#N/A,SUM(BM$4:BM68))</f>
        <v>3.8210959759517467</v>
      </c>
      <c r="BO68" s="306">
        <f>IF($J68="",#N/A,SUM(BM$4:BM68,BK$4:BK68,BI$4:BI68))</f>
        <v>3.0870847914790311</v>
      </c>
      <c r="BP68" s="304" t="str">
        <f t="shared" ref="BP68:BP131" si="147">IF(AND($FV68="Up",$GA68="Long",$E68=BP$2),$FP68,"")</f>
        <v/>
      </c>
      <c r="BQ68" s="304">
        <f>IF($J68="",#N/A,SUM(BP$4:BP68))</f>
        <v>4.0154886764923106</v>
      </c>
      <c r="BR68" s="305" t="str">
        <f t="shared" ref="BR68:BR131" si="148">IF(AND($FV68="Dwn",$GA68="Short",$E68=BP$2),$FP68,"")</f>
        <v/>
      </c>
      <c r="BS68" s="305">
        <f>IF($J68="",#N/A,SUM(BR$4:BR68))</f>
        <v>0.64461012602832546</v>
      </c>
      <c r="BT68" s="306" t="str">
        <f t="shared" ref="BT68:BT131" si="149">IF(AND($FV68="SW",$GA68="Long",$E68=BP$2),$FP68,"")</f>
        <v/>
      </c>
      <c r="BU68" s="306">
        <f>IF($J68="",#N/A,SUM(BT$4:BT68))</f>
        <v>-0.33591272342648226</v>
      </c>
      <c r="BV68" s="306">
        <f>IF($J68="",#N/A,SUM(BT$4:BT68,BR$4:BR68,BP$4:BP68))</f>
        <v>4.3241860790941535</v>
      </c>
      <c r="BW68" s="304" t="str">
        <f t="shared" ref="BW68:BW131" si="150">IF(AND($FV68="Up",$GA68="Long",$E68=BW$2),$FP68,"")</f>
        <v/>
      </c>
      <c r="BX68" s="304">
        <f>IF($J68="",#N/A,SUM(BW$4:BW68))</f>
        <v>-0.73275720435053893</v>
      </c>
      <c r="BY68" s="305" t="str">
        <f t="shared" ref="BY68:BY131" si="151">IF(AND($FV68="Dwn",$GA68="Short",$E68=BW$2),$FP68,"")</f>
        <v/>
      </c>
      <c r="BZ68" s="305">
        <f>IF($J68="",#N/A,SUM(BY$4:BY68))</f>
        <v>0.46686916413544804</v>
      </c>
      <c r="CA68" s="306" t="str">
        <f t="shared" ref="CA68:CA131" si="152">IF(AND($FV68="SW",$GA68="Long",$E68=BW$2),$FP68,"")</f>
        <v/>
      </c>
      <c r="CB68" s="306">
        <f>IF($J68="",#N/A,SUM(CA$4:CA68))</f>
        <v>-0.45285090237845554</v>
      </c>
      <c r="CC68" s="306">
        <f>IF($J68="",#N/A,SUM(CA$4:CA68,BY$4:BY68,BW$4:BW68))</f>
        <v>-0.71873894259354643</v>
      </c>
      <c r="CD68" s="304" t="str">
        <f t="shared" ref="CD68:CD131" si="153">IF(AND($FV68="Up",$GA68="Long",$E68=CD$2),$FP68,"")</f>
        <v/>
      </c>
      <c r="CE68" s="304">
        <f>IF($J68="",#N/A,SUM(CD$4:CD68))</f>
        <v>0</v>
      </c>
      <c r="CF68" s="305" t="str">
        <f t="shared" ref="CF68:CF131" si="154">IF(AND($FV68="Dwn",$GA68="Short",$E68=CD$2),$FP68,"")</f>
        <v/>
      </c>
      <c r="CG68" s="305">
        <f>IF($J68="",#N/A,SUM(CF$4:CF68))</f>
        <v>0.41783917455444924</v>
      </c>
      <c r="CH68" s="306" t="str">
        <f t="shared" ref="CH68:CH131" si="155">IF(AND($FV68="SW",$GA68="Long",$E68=CD$2),$FP68,"")</f>
        <v/>
      </c>
      <c r="CI68" s="306">
        <f>IF($J68="",#N/A,SUM(CH$4:CH68))</f>
        <v>-0.25632679632191468</v>
      </c>
      <c r="CJ68" s="306">
        <f>IF($J68="",#N/A,SUM(CH$4:CH68,CF$4:CF68,CD$4:CD68))</f>
        <v>0.16151237823253456</v>
      </c>
      <c r="CK68" s="304" t="str">
        <f t="shared" ref="CK68:CK131" si="156">IF(AND($FV68="Up",$GA68="Long",$E68=CK$2),$FP68,"")</f>
        <v/>
      </c>
      <c r="CL68" s="304">
        <f>IF($J68="",#N/A,SUM(CK$4:CK68))</f>
        <v>0</v>
      </c>
      <c r="CM68" s="305" t="str">
        <f t="shared" ref="CM68:CM131" si="157">IF(AND($FV68="Dwn",$GA68="Short",$E68=CK$2),$FP68,"")</f>
        <v/>
      </c>
      <c r="CN68" s="305">
        <f>IF($J68="",#N/A,SUM(CM$4:CM68))</f>
        <v>0</v>
      </c>
      <c r="CO68" s="306" t="str">
        <f t="shared" ref="CO68:CO131" si="158">IF(AND($FV68="SW",$GA68="Long",$E68=CK$2),$FP68,"")</f>
        <v/>
      </c>
      <c r="CP68" s="306">
        <f>IF($J68="",#N/A,SUM(CO$4:CO68))</f>
        <v>-0.8814781582839023</v>
      </c>
      <c r="CQ68" s="306">
        <f>IF($J68="",#N/A,SUM(CO$4:CO68,CM$4:CM68,CK$4:CK68))</f>
        <v>-0.8814781582839023</v>
      </c>
      <c r="CR68" s="304" t="str">
        <f t="shared" ref="CR68:CR131" si="159">IF(AND($FV68="Up",$GA68="Long",$E68=CR$2),$FP68,"")</f>
        <v/>
      </c>
      <c r="CS68" s="304">
        <f>IF($J68="",#N/A,SUM(CR$4:CR68))</f>
        <v>0</v>
      </c>
      <c r="CT68" s="305" t="str">
        <f t="shared" ref="CT68:CT131" si="160">IF(AND($FV68="Dwn",$GA68="Short",$E68=CR$2),$FP68,"")</f>
        <v/>
      </c>
      <c r="CU68" s="305">
        <f>IF($J68="",#N/A,SUM(CT$4:CT68))</f>
        <v>-0.13081968772223007</v>
      </c>
      <c r="CV68" s="306" t="str">
        <f t="shared" ref="CV68:CV131" si="161">IF(AND($FV68="SW",$GA68="Long",$E68=CR$2),$FP68,"")</f>
        <v/>
      </c>
      <c r="CW68" s="306">
        <f>IF($J68="",#N/A,SUM(CV$4:CV68))</f>
        <v>0.28156811782542707</v>
      </c>
      <c r="CX68" s="306">
        <f>IF($J68="",#N/A,SUM(CV$4:CV68,CT$4:CT68,CR$4:CR68))</f>
        <v>0.150748430103197</v>
      </c>
      <c r="CY68" s="304" t="str">
        <f t="shared" ref="CY68:CY131" si="162">IF(AND($FV68="Up",$GA68="Long",$E68=CY$2),$FP68,"")</f>
        <v/>
      </c>
      <c r="CZ68" s="304">
        <f>IF($J68="",#N/A,SUM(CY$4:CY68))</f>
        <v>0</v>
      </c>
      <c r="DA68" s="305" t="str">
        <f t="shared" ref="DA68:DA131" si="163">IF(AND($FV68="Dwn",$GA68="Short",$E68=CY$2),$FP68,"")</f>
        <v/>
      </c>
      <c r="DB68" s="305">
        <f>IF($J68="",#N/A,SUM(DA$4:DA68))</f>
        <v>0</v>
      </c>
      <c r="DC68" s="306" t="str">
        <f t="shared" ref="DC68:DC131" si="164">IF(AND($FV68="SW",$GA68="Long",$E68=CY$2),$FP68,"")</f>
        <v/>
      </c>
      <c r="DD68" s="306">
        <f>IF($J68="",#N/A,SUM(DC$4:DC68))</f>
        <v>0</v>
      </c>
      <c r="DE68" s="306">
        <f>IF($J68="",#N/A,SUM(DC$4:DC68,DA$4:DA68,CY$4:CY68))</f>
        <v>0</v>
      </c>
      <c r="DF68" s="304" t="str">
        <f t="shared" ref="DF68:DF131" si="165">IF(AND($FV68="Up",$GA68="Long",$E68=DF$2),$FP68,"")</f>
        <v/>
      </c>
      <c r="DG68" s="304">
        <f>IF($J68="",#N/A,SUM(DF$4:DF68))</f>
        <v>0</v>
      </c>
      <c r="DH68" s="305" t="str">
        <f t="shared" ref="DH68:DH131" si="166">IF(AND($FV68="Dwn",$GA68="Short",$E68=DF$2),$FP68,"")</f>
        <v/>
      </c>
      <c r="DI68" s="305">
        <f>IF($J68="",#N/A,SUM(DH$4:DH68))</f>
        <v>0</v>
      </c>
      <c r="DJ68" s="306" t="str">
        <f t="shared" ref="DJ68:DJ131" si="167">IF(AND($FV68="SW",$GA68="Long",$E68=DF$2),$FP68,"")</f>
        <v/>
      </c>
      <c r="DK68" s="306">
        <f>IF($J68="",#N/A,SUM(DJ$4:DJ68))</f>
        <v>0</v>
      </c>
      <c r="DL68" s="306">
        <f>IF($J68="",#N/A,SUM(DJ$4:DJ68,DH$4:DH68,DF$4:DF68))</f>
        <v>0</v>
      </c>
      <c r="DM68" s="304" t="str">
        <f t="shared" ref="DM68:DM131" si="168">IF(AND($FV68="Up",$GA68="Long",$E68=DM$2),$FP68,"")</f>
        <v/>
      </c>
      <c r="DN68" s="304">
        <f>IF($J68="",#N/A,SUM(DM$4:DM68))</f>
        <v>0</v>
      </c>
      <c r="DO68" s="305" t="str">
        <f t="shared" ref="DO68:DO131" si="169">IF(AND($FV68="Dwn",$GA68="Short",$E68=DM$2),$FP68,"")</f>
        <v/>
      </c>
      <c r="DP68" s="305">
        <f>IF($J68="",#N/A,SUM(DO$4:DO68))</f>
        <v>0</v>
      </c>
      <c r="DQ68" s="306" t="str">
        <f t="shared" ref="DQ68:DQ131" si="170">IF(AND($FV68="SW",$GA68="Long",$E68=DM$2),$FP68,"")</f>
        <v/>
      </c>
      <c r="DR68" s="306">
        <f>IF($J68="",#N/A,SUM(DQ$4:DQ68))</f>
        <v>1.4067447983492751</v>
      </c>
      <c r="DS68" s="306">
        <f>IF($J68="",#N/A,SUM(DQ$4:DQ68,DO$4:DO68,DM$4:DM68))</f>
        <v>1.4067447983492751</v>
      </c>
      <c r="DT68" s="304" t="str">
        <f t="shared" ref="DT68:DT131" si="171">IF(AND($FV68="Up",$GA68="Long",$E68=DT$2),$FP68,"")</f>
        <v/>
      </c>
      <c r="DU68" s="304">
        <f>IF($J68="",#N/A,SUM(DT$4:DT68))</f>
        <v>0</v>
      </c>
      <c r="DV68" s="305" t="str">
        <f t="shared" ref="DV68:DV131" si="172">IF(AND($FV68="Dwn",$GA68="Short",$E68=DT$2),$FP68,"")</f>
        <v/>
      </c>
      <c r="DW68" s="305">
        <f>IF($J68="",#N/A,SUM(DV$4:DV68))</f>
        <v>0.40085630512924314</v>
      </c>
      <c r="DX68" s="306" t="str">
        <f t="shared" ref="DX68:DX131" si="173">IF(AND($FV68="SW",$GA68="Long",$E68=DT$2),$FP68,"")</f>
        <v/>
      </c>
      <c r="DY68" s="306">
        <f>IF($J68="",#N/A,SUM(DX$4:DX68))</f>
        <v>0.59674626127163555</v>
      </c>
      <c r="DZ68" s="306">
        <f>IF($J68="",#N/A,SUM(DX$4:DX68,DV$4:DV68,DT$4:DT68))</f>
        <v>0.99760256640087874</v>
      </c>
      <c r="EA68" s="304" t="str">
        <f t="shared" ref="EA68:EA131" si="174">IF(AND($FV68="Up",$GA68="Long",$E68=EA$2),$FP68,"")</f>
        <v/>
      </c>
      <c r="EB68" s="304">
        <f>IF($J68="",#N/A,SUM(EA$4:EA68))</f>
        <v>0</v>
      </c>
      <c r="EC68" s="305" t="str">
        <f t="shared" ref="EC68:EC131" si="175">IF(AND($FV68="Dwn",$GA68="Short",$E68=EA$2),$FP68,"")</f>
        <v/>
      </c>
      <c r="ED68" s="305">
        <f>IF($J68="",#N/A,SUM(EC$4:EC68))</f>
        <v>-0.47973811942657352</v>
      </c>
      <c r="EE68" s="306" t="str">
        <f t="shared" ref="EE68:EE131" si="176">IF(AND($FV68="SW",$GA68="Long",$E68=EA$2),$FP68,"")</f>
        <v/>
      </c>
      <c r="EF68" s="306">
        <f>IF($J68="",#N/A,SUM(EE$4:EE68))</f>
        <v>0</v>
      </c>
      <c r="EG68" s="306">
        <f>IF($J68="",#N/A,SUM(EE$4:EE68,EC$4:EC68,EA$4:EA68))</f>
        <v>-0.47973811942657352</v>
      </c>
      <c r="EH68" s="223">
        <f t="shared" ref="EH68:EH131" si="177">IF(OR($GI68="",L68=""),"",IF($GA68="Long",(($J68*$GI68)-$GH68),($GH68-($J68*$GI68))))</f>
        <v>19.860000000000014</v>
      </c>
      <c r="EI68" s="224">
        <f>IF(EH68="",#N/A,SUM($EH$4:EH68))</f>
        <v>443.23520944934302</v>
      </c>
      <c r="EJ68" s="223">
        <f t="shared" ref="EJ68:EJ131" si="178">IF(GZ68="","",IF(OR($GI68="",AM68=""),"",IF($GA68="Long",(($GZ68*$GI68)-$GH68),($GH68-($GZ68*$GI68)))))</f>
        <v>56.860000000000014</v>
      </c>
      <c r="EK68" s="63">
        <f>IF($GZ68="",#N/A,SUM(EJ$4:EJ68))</f>
        <v>704.45334203522975</v>
      </c>
      <c r="EL68" s="60">
        <f t="shared" si="97"/>
        <v>0.69884300312473657</v>
      </c>
      <c r="EM68" s="60">
        <f>IF(EL68="",NA(),SUM($EL$4:EL68))</f>
        <v>18.175443167101285</v>
      </c>
      <c r="EN68" s="60">
        <f t="shared" ref="EN68:EN131" si="179">IF(AND($FV68="Up",$GA68="Long",$D68="Y"),$EL68,"")</f>
        <v>0.69884300312473657</v>
      </c>
      <c r="EO68" s="60">
        <f>IF(EN68="",NA(),SUM($EN$4:EN68))</f>
        <v>4.9471324943218224</v>
      </c>
      <c r="EP68" s="60" t="str">
        <f t="shared" ref="EP68:EP131" si="180">IF(AND($FV68="SW",$GA68="Long",$D68="Y"),$EL68,"")</f>
        <v/>
      </c>
      <c r="EQ68" s="60" t="e">
        <f>IF(EP68="",NA(),SUM($EP$4:EP68))</f>
        <v>#N/A</v>
      </c>
      <c r="ER68" s="60" t="str">
        <f t="shared" ref="ER68:ER131" si="181">IF(AND($FV68="Dwn",$GA68="Short",$D68="Y"),$EL68,"")</f>
        <v/>
      </c>
      <c r="ES68" s="60" t="e">
        <f>IF(ER68="",NA(),SUM($ER$4:ER68))</f>
        <v>#N/A</v>
      </c>
      <c r="ET68" s="60" t="str">
        <f t="shared" ref="ET68:ET131" si="182">IF($J68="","",IF($D68="N",$FP68,""))</f>
        <v/>
      </c>
      <c r="EU68" s="60" t="e">
        <f>IF(ET68="",NA(),SUM($ET$4:ET68))</f>
        <v>#N/A</v>
      </c>
      <c r="EV68" s="60" t="str">
        <f t="shared" ref="EV68:EV131" si="183">IF(AND($FV68="Up",$GA68="Long",$D68="N"),$ET68,"")</f>
        <v/>
      </c>
      <c r="EW68" s="60" t="e">
        <f>IF(EV68="",NA(),SUM($EV$4:EV68))</f>
        <v>#N/A</v>
      </c>
      <c r="EX68" s="60" t="str">
        <f t="shared" ref="EX68:EX131" si="184">IF(AND($FV68="SW",$GA68="Long",$D68="N"),$ET68,"")</f>
        <v/>
      </c>
      <c r="EY68" s="60" t="e">
        <f>IF(EX68="",NA(),SUM($EX$4:EX68))</f>
        <v>#N/A</v>
      </c>
      <c r="EZ68" s="60" t="str">
        <f t="shared" ref="EZ68:EZ131" si="185">IF(AND($FV68="Dwn",$GA68="Short",$D68="N"),$ET68,"")</f>
        <v/>
      </c>
      <c r="FA68" s="60" t="e">
        <f>IF(EZ68="",NA(),SUM($EZ$4:EZ68))</f>
        <v>#N/A</v>
      </c>
      <c r="FB68" s="246" t="str">
        <f t="shared" si="98"/>
        <v/>
      </c>
      <c r="FC68" s="246" t="e">
        <f>IF($FB68="",#N/A,SUM(FB$4:$FB68))</f>
        <v>#N/A</v>
      </c>
      <c r="FD68" s="60" t="str">
        <f t="shared" ref="FD68:FD131" si="186">IF($GZ68="","",IF(AND($FV68="Dwn",$K68&gt;0),$FN68-$FP68,""))</f>
        <v/>
      </c>
      <c r="FE68" s="60" t="e">
        <f>IF($FD68="",#N/A,SUM($FD$4:FD68))</f>
        <v>#N/A</v>
      </c>
      <c r="FF68" s="60">
        <f t="shared" ref="FF68:FF131" si="187">IF($GZ68="","",IF(AND($FV68="Up",$K68&gt;0),$FN68-$FP68,""))</f>
        <v>1.3019733693663262</v>
      </c>
      <c r="FG68" s="60">
        <f>IF($FF68="",#N/A,SUM($FF$4:FF68))</f>
        <v>3.7371811892786351</v>
      </c>
      <c r="FH68" s="60" t="str">
        <f t="shared" ref="FH68:FH131" si="188">IF($GZ68="","",IF(AND($FV68="Up",$K68&lt;0),$FN68-$FP68,""))</f>
        <v/>
      </c>
      <c r="FI68" s="60" t="e">
        <f>IF($FH68="",#N/A,SUM($FH$4:FH68))</f>
        <v>#N/A</v>
      </c>
      <c r="FJ68" s="60" t="str">
        <f t="shared" ref="FJ68:FJ131" si="189">IF($GZ68="","",IF(AND($FV68="SW",$K68&gt;0),$FN68-$FP68,""))</f>
        <v/>
      </c>
      <c r="FK68" s="60" t="e">
        <f>IF($FJ68="",#N/A,SUM($FJ$4:FJ68))</f>
        <v>#N/A</v>
      </c>
      <c r="FL68" s="60" t="str">
        <f t="shared" ref="FL68:FL131" si="190">IF($GZ68="","",IF(AND($FV68="SW",$K68&lt;0),$FN68-$FP68,""))</f>
        <v/>
      </c>
      <c r="FM68" s="60" t="e">
        <f>IF($FL68="",#N/A,SUM($FL$4:FL68))</f>
        <v>#N/A</v>
      </c>
      <c r="FN68" s="82">
        <f t="shared" ref="FN68:FN131" si="191">IF(OR($GI68="",$GZ68=""),"",IF($GA68="Long",(($GZ68*$GI68)-$GH68)/($GH68*0.06),($GH68-($GZ68*$GI68))/($GH68*0.06)))</f>
        <v>2.0008163724910628</v>
      </c>
      <c r="FO68" s="82">
        <f>IF($FN68="",#N/A,SUM(FN$4:$FN68))</f>
        <v>28.731621043979676</v>
      </c>
      <c r="FP68" s="82">
        <f t="shared" si="99"/>
        <v>0.69884300312473657</v>
      </c>
      <c r="FQ68" s="246">
        <f>IF($EH68="",#N/A,SUM($FP$4:FP68))</f>
        <v>18.175443167101285</v>
      </c>
      <c r="FR68" s="82">
        <f>IFERROR(FQ68/COUNTA($J$4:J68),#N/A)</f>
        <v>0.27962220257078901</v>
      </c>
      <c r="FS68" s="82">
        <f t="shared" si="116"/>
        <v>0.23303565032113327</v>
      </c>
      <c r="FT68" s="82">
        <f t="shared" si="117"/>
        <v>0.1701963718888666</v>
      </c>
      <c r="FU68" s="337">
        <f t="shared" si="113"/>
        <v>0.3663110785104049</v>
      </c>
      <c r="FV68" s="57" t="str">
        <f t="shared" ref="FV68:FV131" si="192">IF(FW68="Down","Dwn",IF(FW68="Up","Up",IF(AND(FW68="",K68=""),"",IF(AND(K68&lt;0,FW68="Yes"),"Dwn",IF(AND(K68&gt;0,FW68="Yes"),"Up",IF(AND(K68&lt;0,FW68="No"),"Up",IF(AND(K68&gt;0,FW68="No"),"Dwn",IF(FW68="NA","SW","err"))))))))</f>
        <v>Up</v>
      </c>
      <c r="FW68" s="57" t="s">
        <v>2733</v>
      </c>
      <c r="FX68" s="57">
        <f t="shared" ref="FX68:FX131" si="193">IF(K68="","",IF(AND(K68&gt;0,FW68="Yes"),1,""))</f>
        <v>1</v>
      </c>
      <c r="FY68" s="57" t="str">
        <f t="shared" ref="FY68:FY131" si="194">IF(K68="","",IF(AND($K68&gt;0,$FW68="No"),1,""))</f>
        <v/>
      </c>
      <c r="FZ68" s="57" t="str">
        <f t="shared" ref="FZ68:FZ131" si="195">IF(K68="","",IF(AND($K68&gt;0,$FW68="NA"),1,""))</f>
        <v/>
      </c>
      <c r="GA68" s="57" t="str">
        <f t="shared" ref="GA68:GA131" si="196">IF(FV68="Dwn","Short","Long")</f>
        <v>Long</v>
      </c>
      <c r="GB68" s="57" t="str">
        <f t="shared" ref="GB68:GB131" si="197">IF(K68="","",IF(AND($K68&lt;0,$FW68="Yes"),1,""))</f>
        <v/>
      </c>
      <c r="GC68" s="57" t="str">
        <f t="shared" ref="GC68:GC131" si="198">IF(K68="","",IF(AND($K68&lt;0,$FW68="No"),1,""))</f>
        <v/>
      </c>
      <c r="GD68" s="57" t="str">
        <f t="shared" ref="GD68:GD131" si="199">IF(K68="","",IF(AND($K68&lt;0,$FW68="NA"),1,""))</f>
        <v/>
      </c>
      <c r="GE68" s="62">
        <f t="shared" si="114"/>
        <v>236.82</v>
      </c>
      <c r="GF68" s="62" t="s">
        <v>2779</v>
      </c>
      <c r="GG68" s="199">
        <v>2</v>
      </c>
      <c r="GH68" s="207">
        <f t="shared" ref="GH68:GH131" si="200">IF(GG68="","",GE68*GG68)</f>
        <v>473.64</v>
      </c>
      <c r="GI68" s="199">
        <v>2</v>
      </c>
      <c r="GJ68" s="200">
        <v>246.5</v>
      </c>
      <c r="GK68" s="63">
        <f t="shared" ref="GK68:GK131" si="201">IF($GI68="","",IF($GF68="Long",(($GJ68*$GI68)-$GH68),($GH68-($GJ68*$GI68))))</f>
        <v>19.360000000000014</v>
      </c>
      <c r="GL68" s="63">
        <f t="shared" si="115"/>
        <v>56.860000000000014</v>
      </c>
      <c r="GM68" s="82" t="str">
        <f t="shared" ref="GM68:GM131" si="202">IF(AND($FV68="SW",$GA68="Long"),$FN68,"")</f>
        <v/>
      </c>
      <c r="GN68" s="82">
        <f>IF($GZ68="",#N/A,SUM(GM$4:GM68))</f>
        <v>12.128117207185122</v>
      </c>
      <c r="GO68" s="82">
        <f t="shared" ref="GO68:GO131" si="203">IF(AND($FV68="UP",$GA68="Long"),$FN68,"")</f>
        <v>2.0008163724910628</v>
      </c>
      <c r="GP68" s="82">
        <f>IF($GZ68="",#N/A,SUM(GO$4:GO68))</f>
        <v>10.433853635215767</v>
      </c>
      <c r="GQ68" s="82" t="str">
        <f t="shared" ref="GQ68:GQ131" si="204">IF(AND($FV68="Dwn",$GA68="Short"),$FN68,"")</f>
        <v/>
      </c>
      <c r="GR68" s="82">
        <f>IF($GZ68="",#N/A,SUM(GQ$4:GQ68))</f>
        <v>5.5438132471364243</v>
      </c>
      <c r="GS68" s="63" t="str">
        <f t="shared" si="100"/>
        <v/>
      </c>
      <c r="GT68" s="63">
        <f>IF($GZ68="",#N/A,SUM(GS$4:GS68))</f>
        <v>288.88992882574212</v>
      </c>
      <c r="GU68" s="63">
        <f t="shared" si="101"/>
        <v>56.860000000000014</v>
      </c>
      <c r="GV68" s="63">
        <f>IF($GZ68="",#N/A,SUM(GU$4:GU68))</f>
        <v>259.25289430539294</v>
      </c>
      <c r="GW68" s="63" t="str">
        <f t="shared" si="102"/>
        <v/>
      </c>
      <c r="GX68" s="63">
        <f>IF($GZ68="",#N/A,SUM(GW$4:GW68))</f>
        <v>142.57051890409474</v>
      </c>
      <c r="GY68" s="63">
        <f>IF(EJ68="",#N/A,SUM($EJ$4:EJ68))</f>
        <v>704.45334203522975</v>
      </c>
      <c r="GZ68" s="159">
        <v>265.25</v>
      </c>
      <c r="HA68" s="63">
        <f t="shared" ref="HA68:HA131" si="205">IF(OR(GL68="",GZ68=""),"",GL68-EH68)</f>
        <v>37</v>
      </c>
      <c r="HB68" s="63" t="s">
        <v>2538</v>
      </c>
      <c r="HC68" s="60">
        <f>IFERROR(VLOOKUP(E68,Expectancy!$P$4:$S$19,1+C68,FALSE),"")</f>
        <v>9.4642213510490861E-2</v>
      </c>
      <c r="HD68" s="60">
        <f t="shared" ref="HD68:HD131" si="206">IF(AND(HB68="MOC",GZ68=""),"",IF(GI68="","",IF(HB68="Skip","",IF(HG68=0,0,HG68/(GH68*0.06)))))</f>
        <v>0.68124876840357007</v>
      </c>
      <c r="HE68" s="60">
        <f>IF(HD68="",#N/A,SUM($HD$4:HD68))</f>
        <v>3.2791320885908801</v>
      </c>
      <c r="HF68" s="64">
        <f>IF(HD68="",#N/A,IF(HB68="Skip",#N/A,SUM($HG$4:HG68)))</f>
        <v>84.099999999999966</v>
      </c>
      <c r="HG68" s="63">
        <f t="shared" ref="HG68:HG131" si="207">IF(HB68="","",IF(HB68="Skip","",IF(OR(HB68="open",HB68="Other"),GK68,IF(HB68="MOC",GL68,"Err"))))</f>
        <v>19.360000000000014</v>
      </c>
      <c r="HH68" s="82">
        <f t="shared" ref="HH68:HH131" si="208">IF(OR($GI68="",$L68=""),"",IF($GA68="Long",(($GZ68*$GI68)-$GH68)/($GH68*0.06),($GH68-($GZ68*$GI68))/($GH68*0.06)))</f>
        <v>2.0008163724910628</v>
      </c>
      <c r="HI68" s="56"/>
    </row>
    <row r="69" spans="1:220" x14ac:dyDescent="0.25">
      <c r="A69" s="57" t="s">
        <v>1400</v>
      </c>
      <c r="B69" s="58" t="s">
        <v>5130</v>
      </c>
      <c r="C69" s="386">
        <f t="shared" si="118"/>
        <v>1</v>
      </c>
      <c r="D69" s="372" t="str">
        <f>_xlfn.XLOOKUP(A69,[1]SP500!$A$2:$A$502,[1]SP500!$D$2:$D$502,"N")</f>
        <v>Y</v>
      </c>
      <c r="E69" s="57" t="str">
        <f>_xlfn.XLOOKUP(A69,[1]SP500!$A$2:$A$655,[1]SP500!$B$2:$B$655)</f>
        <v>XLY</v>
      </c>
      <c r="F69" s="59">
        <v>45685</v>
      </c>
      <c r="G69" s="57" t="str">
        <f t="shared" si="119"/>
        <v>BMO</v>
      </c>
      <c r="H69" s="57" t="str">
        <f t="shared" si="120"/>
        <v>s</v>
      </c>
      <c r="I69" s="159">
        <v>54.92</v>
      </c>
      <c r="J69" s="159">
        <v>50.98</v>
      </c>
      <c r="K69" s="61">
        <f t="shared" si="121"/>
        <v>-7.1740713765477138E-2</v>
      </c>
      <c r="L69" s="87">
        <f t="shared" si="122"/>
        <v>-27.580000000000041</v>
      </c>
      <c r="M69" s="130">
        <f t="shared" si="112"/>
        <v>-2.1699999999999591</v>
      </c>
      <c r="N69" s="219">
        <f t="shared" si="123"/>
        <v>-27.580000000000041</v>
      </c>
      <c r="O69" s="219">
        <f>IF($J69="",#N/A,SUM($N$4:N69))</f>
        <v>94.238947788730059</v>
      </c>
      <c r="P69" s="220" t="str">
        <f t="shared" si="124"/>
        <v/>
      </c>
      <c r="Q69" s="220">
        <f>IF($J69="",#N/A,SUM($P$4:P69))</f>
        <v>57.846464916880848</v>
      </c>
      <c r="R69" s="221" t="str">
        <f t="shared" si="125"/>
        <v/>
      </c>
      <c r="S69" s="222">
        <f>IF($J69="",#N/A,SUM($R$4:R69))</f>
        <v>263.56979674373207</v>
      </c>
      <c r="T69" s="281">
        <f t="shared" si="126"/>
        <v>-1.1956785627579529</v>
      </c>
      <c r="U69" s="281">
        <f>IF($J69="",#N/A,SUM($T$4:T69))</f>
        <v>3.7514539315638693</v>
      </c>
      <c r="V69" s="282" t="str">
        <f t="shared" si="127"/>
        <v/>
      </c>
      <c r="W69" s="282">
        <f>IF($J69="",#N/A,SUM($V$4:V69))</f>
        <v>2.1530292122456034</v>
      </c>
      <c r="X69" s="283" t="str">
        <f t="shared" si="128"/>
        <v/>
      </c>
      <c r="Y69" s="283">
        <f>IF($J69="",#N/A,SUM($X$4:X69))</f>
        <v>11.07528146053385</v>
      </c>
      <c r="Z69" s="304" t="str">
        <f t="shared" si="129"/>
        <v/>
      </c>
      <c r="AA69" s="304">
        <f>IF($J69="",#N/A,SUM(Z$4:Z69))</f>
        <v>1.1273861049364817</v>
      </c>
      <c r="AB69" s="305" t="str">
        <f t="shared" si="130"/>
        <v/>
      </c>
      <c r="AC69" s="305">
        <f>IF($J69="",#N/A,SUM(AB$4:AB69))</f>
        <v>0</v>
      </c>
      <c r="AD69" s="306" t="str">
        <f t="shared" si="131"/>
        <v/>
      </c>
      <c r="AE69" s="306">
        <f>IF($J69="",#N/A,SUM(AD$4:AD69))</f>
        <v>1.5553407757049009</v>
      </c>
      <c r="AF69" s="306">
        <f>IF($J69="",#N/A,SUM(AD$4:AD69,AB$4:AB69,Z$4:Z69))</f>
        <v>2.6827268806413822</v>
      </c>
      <c r="AG69" s="304" t="str">
        <f t="shared" si="132"/>
        <v/>
      </c>
      <c r="AH69" s="304">
        <f>IF($J69="",#N/A,SUM(AG$4:AG69))</f>
        <v>0</v>
      </c>
      <c r="AI69" s="305" t="str">
        <f t="shared" si="133"/>
        <v/>
      </c>
      <c r="AJ69" s="305">
        <f>IF($J69="",#N/A,SUM(AI$4:AI69))</f>
        <v>0</v>
      </c>
      <c r="AK69" s="306" t="str">
        <f t="shared" si="134"/>
        <v/>
      </c>
      <c r="AL69" s="306">
        <f>IF($J69="",#N/A,SUM(AK$4:AK69))</f>
        <v>0</v>
      </c>
      <c r="AM69" s="306">
        <f>IF($J69="",#N/A,SUM(AK$4:AK69,AI$4:AI69,AG$4:AG69))</f>
        <v>0</v>
      </c>
      <c r="AN69" s="304">
        <f t="shared" si="135"/>
        <v>-1.1956785627579529</v>
      </c>
      <c r="AO69" s="304">
        <f>IF($J69="",#N/A,SUM(AN$4:AN69))</f>
        <v>-0.49683555963321635</v>
      </c>
      <c r="AP69" s="305" t="str">
        <f t="shared" si="136"/>
        <v/>
      </c>
      <c r="AQ69" s="305">
        <f>IF($J69="",#N/A,SUM(AP$4:AP69))</f>
        <v>0</v>
      </c>
      <c r="AR69" s="306" t="str">
        <f t="shared" si="137"/>
        <v/>
      </c>
      <c r="AS69" s="306">
        <f>IF($J69="",#N/A,SUM(AR$4:AR69))</f>
        <v>0</v>
      </c>
      <c r="AT69" s="306">
        <f>IF($J69="",#N/A,SUM(AR$4:AR69,AP$4:AP69,AN$4:AN69))</f>
        <v>-0.49683555963321635</v>
      </c>
      <c r="AU69" s="304" t="str">
        <f t="shared" si="138"/>
        <v/>
      </c>
      <c r="AV69" s="304">
        <f>IF($J69="",#N/A,SUM(AU$4:AU69))</f>
        <v>0</v>
      </c>
      <c r="AW69" s="305" t="str">
        <f t="shared" si="139"/>
        <v/>
      </c>
      <c r="AX69" s="305">
        <f>IF($J69="",#N/A,SUM(AW$4:AW69))</f>
        <v>1.2290222546515868</v>
      </c>
      <c r="AY69" s="306" t="str">
        <f t="shared" si="140"/>
        <v/>
      </c>
      <c r="AZ69" s="306">
        <f>IF($J69="",#N/A,SUM(AY$4:AY69))</f>
        <v>2.8806371278168421</v>
      </c>
      <c r="BA69" s="306">
        <f>IF($J69="",#N/A,SUM(AY$4:AY69,AW$4:AW69,AU$4:AU69))</f>
        <v>4.1096593824684291</v>
      </c>
      <c r="BB69" s="304" t="str">
        <f t="shared" si="141"/>
        <v/>
      </c>
      <c r="BC69" s="304">
        <f>IF($J69="",#N/A,SUM(BB$4:BB69))</f>
        <v>0.57218309859154926</v>
      </c>
      <c r="BD69" s="305" t="str">
        <f t="shared" si="142"/>
        <v/>
      </c>
      <c r="BE69" s="305">
        <f>IF($J69="",#N/A,SUM(BD$4:BD69))</f>
        <v>-0.39561000510464578</v>
      </c>
      <c r="BF69" s="306" t="str">
        <f t="shared" si="143"/>
        <v/>
      </c>
      <c r="BG69" s="306">
        <f>IF($J69="",#N/A,SUM(BF$4:BF69))</f>
        <v>2.4597169840247779</v>
      </c>
      <c r="BH69" s="306">
        <f>IF($J69="",#N/A,SUM(BF$4:BF69,BD$4:BD69,BB$4:BB69))</f>
        <v>2.6362900775116813</v>
      </c>
      <c r="BI69" s="304" t="str">
        <f t="shared" si="144"/>
        <v/>
      </c>
      <c r="BJ69" s="304">
        <f>IF($J69="",#N/A,SUM(BI$4:BI69))</f>
        <v>-0.73401118447271563</v>
      </c>
      <c r="BK69" s="305" t="str">
        <f t="shared" si="145"/>
        <v/>
      </c>
      <c r="BL69" s="305">
        <f>IF($J69="",#N/A,SUM(BK$4:BK69))</f>
        <v>0</v>
      </c>
      <c r="BM69" s="306" t="str">
        <f t="shared" si="146"/>
        <v/>
      </c>
      <c r="BN69" s="306">
        <f>IF($J69="",#N/A,SUM(BM$4:BM69))</f>
        <v>3.8210959759517467</v>
      </c>
      <c r="BO69" s="306">
        <f>IF($J69="",#N/A,SUM(BM$4:BM69,BK$4:BK69,BI$4:BI69))</f>
        <v>3.0870847914790311</v>
      </c>
      <c r="BP69" s="304" t="str">
        <f t="shared" si="147"/>
        <v/>
      </c>
      <c r="BQ69" s="304">
        <f>IF($J69="",#N/A,SUM(BP$4:BP69))</f>
        <v>4.0154886764923106</v>
      </c>
      <c r="BR69" s="305" t="str">
        <f t="shared" si="148"/>
        <v/>
      </c>
      <c r="BS69" s="305">
        <f>IF($J69="",#N/A,SUM(BR$4:BR69))</f>
        <v>0.64461012602832546</v>
      </c>
      <c r="BT69" s="306" t="str">
        <f t="shared" si="149"/>
        <v/>
      </c>
      <c r="BU69" s="306">
        <f>IF($J69="",#N/A,SUM(BT$4:BT69))</f>
        <v>-0.33591272342648226</v>
      </c>
      <c r="BV69" s="306">
        <f>IF($J69="",#N/A,SUM(BT$4:BT69,BR$4:BR69,BP$4:BP69))</f>
        <v>4.3241860790941535</v>
      </c>
      <c r="BW69" s="304" t="str">
        <f t="shared" si="150"/>
        <v/>
      </c>
      <c r="BX69" s="304">
        <f>IF($J69="",#N/A,SUM(BW$4:BW69))</f>
        <v>-0.73275720435053893</v>
      </c>
      <c r="BY69" s="305" t="str">
        <f t="shared" si="151"/>
        <v/>
      </c>
      <c r="BZ69" s="305">
        <f>IF($J69="",#N/A,SUM(BY$4:BY69))</f>
        <v>0.46686916413544804</v>
      </c>
      <c r="CA69" s="306" t="str">
        <f t="shared" si="152"/>
        <v/>
      </c>
      <c r="CB69" s="306">
        <f>IF($J69="",#N/A,SUM(CA$4:CA69))</f>
        <v>-0.45285090237845554</v>
      </c>
      <c r="CC69" s="306">
        <f>IF($J69="",#N/A,SUM(CA$4:CA69,BY$4:BY69,BW$4:BW69))</f>
        <v>-0.71873894259354643</v>
      </c>
      <c r="CD69" s="304" t="str">
        <f t="shared" si="153"/>
        <v/>
      </c>
      <c r="CE69" s="304">
        <f>IF($J69="",#N/A,SUM(CD$4:CD69))</f>
        <v>0</v>
      </c>
      <c r="CF69" s="305" t="str">
        <f t="shared" si="154"/>
        <v/>
      </c>
      <c r="CG69" s="305">
        <f>IF($J69="",#N/A,SUM(CF$4:CF69))</f>
        <v>0.41783917455444924</v>
      </c>
      <c r="CH69" s="306" t="str">
        <f t="shared" si="155"/>
        <v/>
      </c>
      <c r="CI69" s="306">
        <f>IF($J69="",#N/A,SUM(CH$4:CH69))</f>
        <v>-0.25632679632191468</v>
      </c>
      <c r="CJ69" s="306">
        <f>IF($J69="",#N/A,SUM(CH$4:CH69,CF$4:CF69,CD$4:CD69))</f>
        <v>0.16151237823253456</v>
      </c>
      <c r="CK69" s="304" t="str">
        <f t="shared" si="156"/>
        <v/>
      </c>
      <c r="CL69" s="304">
        <f>IF($J69="",#N/A,SUM(CK$4:CK69))</f>
        <v>0</v>
      </c>
      <c r="CM69" s="305" t="str">
        <f t="shared" si="157"/>
        <v/>
      </c>
      <c r="CN69" s="305">
        <f>IF($J69="",#N/A,SUM(CM$4:CM69))</f>
        <v>0</v>
      </c>
      <c r="CO69" s="306" t="str">
        <f t="shared" si="158"/>
        <v/>
      </c>
      <c r="CP69" s="306">
        <f>IF($J69="",#N/A,SUM(CO$4:CO69))</f>
        <v>-0.8814781582839023</v>
      </c>
      <c r="CQ69" s="306">
        <f>IF($J69="",#N/A,SUM(CO$4:CO69,CM$4:CM69,CK$4:CK69))</f>
        <v>-0.8814781582839023</v>
      </c>
      <c r="CR69" s="304" t="str">
        <f t="shared" si="159"/>
        <v/>
      </c>
      <c r="CS69" s="304">
        <f>IF($J69="",#N/A,SUM(CR$4:CR69))</f>
        <v>0</v>
      </c>
      <c r="CT69" s="305" t="str">
        <f t="shared" si="160"/>
        <v/>
      </c>
      <c r="CU69" s="305">
        <f>IF($J69="",#N/A,SUM(CT$4:CT69))</f>
        <v>-0.13081968772223007</v>
      </c>
      <c r="CV69" s="306" t="str">
        <f t="shared" si="161"/>
        <v/>
      </c>
      <c r="CW69" s="306">
        <f>IF($J69="",#N/A,SUM(CV$4:CV69))</f>
        <v>0.28156811782542707</v>
      </c>
      <c r="CX69" s="306">
        <f>IF($J69="",#N/A,SUM(CV$4:CV69,CT$4:CT69,CR$4:CR69))</f>
        <v>0.150748430103197</v>
      </c>
      <c r="CY69" s="304" t="str">
        <f t="shared" si="162"/>
        <v/>
      </c>
      <c r="CZ69" s="304">
        <f>IF($J69="",#N/A,SUM(CY$4:CY69))</f>
        <v>0</v>
      </c>
      <c r="DA69" s="305" t="str">
        <f t="shared" si="163"/>
        <v/>
      </c>
      <c r="DB69" s="305">
        <f>IF($J69="",#N/A,SUM(DA$4:DA69))</f>
        <v>0</v>
      </c>
      <c r="DC69" s="306" t="str">
        <f t="shared" si="164"/>
        <v/>
      </c>
      <c r="DD69" s="306">
        <f>IF($J69="",#N/A,SUM(DC$4:DC69))</f>
        <v>0</v>
      </c>
      <c r="DE69" s="306">
        <f>IF($J69="",#N/A,SUM(DC$4:DC69,DA$4:DA69,CY$4:CY69))</f>
        <v>0</v>
      </c>
      <c r="DF69" s="304" t="str">
        <f t="shared" si="165"/>
        <v/>
      </c>
      <c r="DG69" s="304">
        <f>IF($J69="",#N/A,SUM(DF$4:DF69))</f>
        <v>0</v>
      </c>
      <c r="DH69" s="305" t="str">
        <f t="shared" si="166"/>
        <v/>
      </c>
      <c r="DI69" s="305">
        <f>IF($J69="",#N/A,SUM(DH$4:DH69))</f>
        <v>0</v>
      </c>
      <c r="DJ69" s="306" t="str">
        <f t="shared" si="167"/>
        <v/>
      </c>
      <c r="DK69" s="306">
        <f>IF($J69="",#N/A,SUM(DJ$4:DJ69))</f>
        <v>0</v>
      </c>
      <c r="DL69" s="306">
        <f>IF($J69="",#N/A,SUM(DJ$4:DJ69,DH$4:DH69,DF$4:DF69))</f>
        <v>0</v>
      </c>
      <c r="DM69" s="304" t="str">
        <f t="shared" si="168"/>
        <v/>
      </c>
      <c r="DN69" s="304">
        <f>IF($J69="",#N/A,SUM(DM$4:DM69))</f>
        <v>0</v>
      </c>
      <c r="DO69" s="305" t="str">
        <f t="shared" si="169"/>
        <v/>
      </c>
      <c r="DP69" s="305">
        <f>IF($J69="",#N/A,SUM(DO$4:DO69))</f>
        <v>0</v>
      </c>
      <c r="DQ69" s="306" t="str">
        <f t="shared" si="170"/>
        <v/>
      </c>
      <c r="DR69" s="306">
        <f>IF($J69="",#N/A,SUM(DQ$4:DQ69))</f>
        <v>1.4067447983492751</v>
      </c>
      <c r="DS69" s="306">
        <f>IF($J69="",#N/A,SUM(DQ$4:DQ69,DO$4:DO69,DM$4:DM69))</f>
        <v>1.4067447983492751</v>
      </c>
      <c r="DT69" s="304" t="str">
        <f t="shared" si="171"/>
        <v/>
      </c>
      <c r="DU69" s="304">
        <f>IF($J69="",#N/A,SUM(DT$4:DT69))</f>
        <v>0</v>
      </c>
      <c r="DV69" s="305" t="str">
        <f t="shared" si="172"/>
        <v/>
      </c>
      <c r="DW69" s="305">
        <f>IF($J69="",#N/A,SUM(DV$4:DV69))</f>
        <v>0.40085630512924314</v>
      </c>
      <c r="DX69" s="306" t="str">
        <f t="shared" si="173"/>
        <v/>
      </c>
      <c r="DY69" s="306">
        <f>IF($J69="",#N/A,SUM(DX$4:DX69))</f>
        <v>0.59674626127163555</v>
      </c>
      <c r="DZ69" s="306">
        <f>IF($J69="",#N/A,SUM(DX$4:DX69,DV$4:DV69,DT$4:DT69))</f>
        <v>0.99760256640087874</v>
      </c>
      <c r="EA69" s="304" t="str">
        <f t="shared" si="174"/>
        <v/>
      </c>
      <c r="EB69" s="304">
        <f>IF($J69="",#N/A,SUM(EA$4:EA69))</f>
        <v>0</v>
      </c>
      <c r="EC69" s="305" t="str">
        <f t="shared" si="175"/>
        <v/>
      </c>
      <c r="ED69" s="305">
        <f>IF($J69="",#N/A,SUM(EC$4:EC69))</f>
        <v>-0.47973811942657352</v>
      </c>
      <c r="EE69" s="306" t="str">
        <f t="shared" si="176"/>
        <v/>
      </c>
      <c r="EF69" s="306">
        <f>IF($J69="",#N/A,SUM(EE$4:EE69))</f>
        <v>0</v>
      </c>
      <c r="EG69" s="306">
        <f>IF($J69="",#N/A,SUM(EE$4:EE69,EC$4:EC69,EA$4:EA69))</f>
        <v>-0.47973811942657352</v>
      </c>
      <c r="EH69" s="223">
        <f t="shared" si="177"/>
        <v>-27.580000000000041</v>
      </c>
      <c r="EI69" s="224">
        <f>IF(EH69="",#N/A,SUM($EH$4:EH69))</f>
        <v>415.65520944934298</v>
      </c>
      <c r="EJ69" s="223">
        <f t="shared" si="178"/>
        <v>-34.160000000000025</v>
      </c>
      <c r="EK69" s="63">
        <f>IF($GZ69="",#N/A,SUM(EJ$4:EJ69))</f>
        <v>670.29334203522967</v>
      </c>
      <c r="EL69" s="60">
        <f t="shared" ref="EL69:EL132" si="209">IF(J69="","",IF(D69="Y",FP69,""))</f>
        <v>-1.1956785627579529</v>
      </c>
      <c r="EM69" s="60">
        <f>IF(EL69="",NA(),SUM($EL$4:EL69))</f>
        <v>16.979764604343334</v>
      </c>
      <c r="EN69" s="60">
        <f t="shared" si="179"/>
        <v>-1.1956785627579529</v>
      </c>
      <c r="EO69" s="60">
        <f>IF(EN69="",NA(),SUM($EN$4:EN69))</f>
        <v>3.7514539315638693</v>
      </c>
      <c r="EP69" s="60" t="str">
        <f t="shared" si="180"/>
        <v/>
      </c>
      <c r="EQ69" s="60" t="e">
        <f>IF(EP69="",NA(),SUM($EP$4:EP69))</f>
        <v>#N/A</v>
      </c>
      <c r="ER69" s="60" t="str">
        <f t="shared" si="181"/>
        <v/>
      </c>
      <c r="ES69" s="60" t="e">
        <f>IF(ER69="",NA(),SUM($ER$4:ER69))</f>
        <v>#N/A</v>
      </c>
      <c r="ET69" s="60" t="str">
        <f t="shared" si="182"/>
        <v/>
      </c>
      <c r="EU69" s="60" t="e">
        <f>IF(ET69="",NA(),SUM($ET$4:ET69))</f>
        <v>#N/A</v>
      </c>
      <c r="EV69" s="60" t="str">
        <f t="shared" si="183"/>
        <v/>
      </c>
      <c r="EW69" s="60" t="e">
        <f>IF(EV69="",NA(),SUM($EV$4:EV69))</f>
        <v>#N/A</v>
      </c>
      <c r="EX69" s="60" t="str">
        <f t="shared" si="184"/>
        <v/>
      </c>
      <c r="EY69" s="60" t="e">
        <f>IF(EX69="",NA(),SUM($EX$4:EX69))</f>
        <v>#N/A</v>
      </c>
      <c r="EZ69" s="60" t="str">
        <f t="shared" si="185"/>
        <v/>
      </c>
      <c r="FA69" s="60" t="e">
        <f>IF(EZ69="",NA(),SUM($EZ$4:EZ69))</f>
        <v>#N/A</v>
      </c>
      <c r="FB69" s="246" t="str">
        <f t="shared" ref="FB69:FB132" si="210">IF($GZ69="","",IF(AND($FV69="Dwn",$K69&lt;0),$FN69-FP69,""))</f>
        <v/>
      </c>
      <c r="FC69" s="246" t="e">
        <f>IF($FB69="",#N/A,SUM(FB$4:$FB69))</f>
        <v>#N/A</v>
      </c>
      <c r="FD69" s="60" t="str">
        <f t="shared" si="186"/>
        <v/>
      </c>
      <c r="FE69" s="60" t="e">
        <f>IF($FD69="",#N/A,SUM($FD$4:FD69))</f>
        <v>#N/A</v>
      </c>
      <c r="FF69" s="60" t="str">
        <f t="shared" si="187"/>
        <v/>
      </c>
      <c r="FG69" s="60" t="e">
        <f>IF($FF69="",#N/A,SUM($FF$4:FF69))</f>
        <v>#N/A</v>
      </c>
      <c r="FH69" s="60">
        <f t="shared" si="188"/>
        <v>-0.28526341344986572</v>
      </c>
      <c r="FI69" s="60">
        <f>IF($FH69="",#N/A,SUM($FH$4:FH69))</f>
        <v>1.4642765381654435</v>
      </c>
      <c r="FJ69" s="60" t="str">
        <f t="shared" si="189"/>
        <v/>
      </c>
      <c r="FK69" s="60" t="e">
        <f>IF($FJ69="",#N/A,SUM($FJ$4:FJ69))</f>
        <v>#N/A</v>
      </c>
      <c r="FL69" s="60" t="str">
        <f t="shared" si="190"/>
        <v/>
      </c>
      <c r="FM69" s="60" t="e">
        <f>IF($FL69="",#N/A,SUM($FL$4:FL69))</f>
        <v>#N/A</v>
      </c>
      <c r="FN69" s="82">
        <f t="shared" si="191"/>
        <v>-1.4809419762078186</v>
      </c>
      <c r="FO69" s="82">
        <f>IF($FN69="",#N/A,SUM(FN$4:$FN69))</f>
        <v>27.250679067771856</v>
      </c>
      <c r="FP69" s="82">
        <f t="shared" ref="FP69:FP132" si="211">IF(OR($GI69="",L69=""),"",IF($GA69="Long",(($J69*$GI69)-$GH69)/(GH69*0.06),($GH69-($J69*$GI69))/(GH69*0.06)))</f>
        <v>-1.1956785627579529</v>
      </c>
      <c r="FQ69" s="246">
        <f>IF($EH69="",#N/A,SUM($FP$4:FP69))</f>
        <v>16.979764604343334</v>
      </c>
      <c r="FR69" s="82">
        <f>IFERROR(FQ69/COUNTA($J$4:J69),#N/A)</f>
        <v>0.25726916067186867</v>
      </c>
      <c r="FS69" s="82">
        <f t="shared" si="116"/>
        <v>0.21537011876396572</v>
      </c>
      <c r="FT69" s="82">
        <f t="shared" si="117"/>
        <v>0.10864442686455915</v>
      </c>
      <c r="FU69" s="337">
        <f t="shared" si="113"/>
        <v>0.46038731060557403</v>
      </c>
      <c r="FV69" s="57" t="str">
        <f t="shared" si="192"/>
        <v>Up</v>
      </c>
      <c r="FW69" s="57" t="s">
        <v>2734</v>
      </c>
      <c r="FX69" s="57" t="str">
        <f t="shared" si="193"/>
        <v/>
      </c>
      <c r="FY69" s="57" t="str">
        <f t="shared" si="194"/>
        <v/>
      </c>
      <c r="FZ69" s="57" t="str">
        <f t="shared" si="195"/>
        <v/>
      </c>
      <c r="GA69" s="57" t="str">
        <f t="shared" si="196"/>
        <v>Long</v>
      </c>
      <c r="GB69" s="57" t="str">
        <f t="shared" si="197"/>
        <v/>
      </c>
      <c r="GC69" s="57">
        <f t="shared" si="198"/>
        <v>1</v>
      </c>
      <c r="GD69" s="57" t="str">
        <f t="shared" si="199"/>
        <v/>
      </c>
      <c r="GE69" s="62">
        <f t="shared" si="114"/>
        <v>54.92</v>
      </c>
      <c r="GF69" s="62" t="s">
        <v>2779</v>
      </c>
      <c r="GG69" s="199">
        <v>7</v>
      </c>
      <c r="GH69" s="207">
        <f t="shared" si="200"/>
        <v>384.44</v>
      </c>
      <c r="GI69" s="199">
        <v>7</v>
      </c>
      <c r="GJ69" s="200">
        <v>50.67</v>
      </c>
      <c r="GK69" s="63">
        <f t="shared" si="201"/>
        <v>-29.75</v>
      </c>
      <c r="GL69" s="63">
        <f t="shared" si="115"/>
        <v>-34.160000000000025</v>
      </c>
      <c r="GM69" s="82" t="str">
        <f t="shared" si="202"/>
        <v/>
      </c>
      <c r="GN69" s="82">
        <f>IF($GZ69="",#N/A,SUM(GM$4:GM69))</f>
        <v>12.128117207185122</v>
      </c>
      <c r="GO69" s="82">
        <f t="shared" si="203"/>
        <v>-1.4809419762078186</v>
      </c>
      <c r="GP69" s="82">
        <f>IF($GZ69="",#N/A,SUM(GO$4:GO69))</f>
        <v>8.9529116590079489</v>
      </c>
      <c r="GQ69" s="82" t="str">
        <f t="shared" si="204"/>
        <v/>
      </c>
      <c r="GR69" s="82">
        <f>IF($GZ69="",#N/A,SUM(GQ$4:GQ69))</f>
        <v>5.5438132471364243</v>
      </c>
      <c r="GS69" s="63" t="str">
        <f t="shared" ref="GS69:GS132" si="212">IF(AND(FV69="SW",GA69="Long"),$EJ69,"")</f>
        <v/>
      </c>
      <c r="GT69" s="63">
        <f>IF($GZ69="",#N/A,SUM(GS$4:GS69))</f>
        <v>288.88992882574212</v>
      </c>
      <c r="GU69" s="63">
        <f t="shared" ref="GU69:GU132" si="213">IF(AND(FV69="UP",GA69="Long"),$EJ69,"")</f>
        <v>-34.160000000000025</v>
      </c>
      <c r="GV69" s="63">
        <f>IF($GZ69="",#N/A,SUM(GU$4:GU69))</f>
        <v>225.09289430539292</v>
      </c>
      <c r="GW69" s="63" t="str">
        <f t="shared" ref="GW69:GW132" si="214">IF(AND(FV69="Dwn",GA69="Short"),$EJ69,"")</f>
        <v/>
      </c>
      <c r="GX69" s="63">
        <f>IF($GZ69="",#N/A,SUM(GW$4:GW69))</f>
        <v>142.57051890409474</v>
      </c>
      <c r="GY69" s="63">
        <f>IF(EJ69="",#N/A,SUM($EJ$4:EJ69))</f>
        <v>670.29334203522967</v>
      </c>
      <c r="GZ69" s="159">
        <v>50.04</v>
      </c>
      <c r="HA69" s="63">
        <f t="shared" si="205"/>
        <v>-6.5799999999999841</v>
      </c>
      <c r="HB69" s="63" t="s">
        <v>2538</v>
      </c>
      <c r="HC69" s="60">
        <f>IFERROR(VLOOKUP(E69,Expectancy!$P$4:$S$19,1+C69,FALSE),"")</f>
        <v>9.4642213510490861E-2</v>
      </c>
      <c r="HD69" s="60">
        <f t="shared" si="206"/>
        <v>-1.2897547948531198</v>
      </c>
      <c r="HE69" s="60">
        <f>IF(HD69="",#N/A,SUM($HD$4:HD69))</f>
        <v>1.9893772937377603</v>
      </c>
      <c r="HF69" s="64">
        <f>IF(HD69="",#N/A,IF(HB69="Skip",#N/A,SUM($HG$4:HG69)))</f>
        <v>54.349999999999966</v>
      </c>
      <c r="HG69" s="63">
        <f t="shared" si="207"/>
        <v>-29.75</v>
      </c>
      <c r="HH69" s="82">
        <f t="shared" si="208"/>
        <v>-1.4809419762078186</v>
      </c>
      <c r="HI69" s="56"/>
    </row>
    <row r="70" spans="1:220" x14ac:dyDescent="0.25">
      <c r="A70" s="57" t="s">
        <v>1405</v>
      </c>
      <c r="B70" s="58" t="s">
        <v>5131</v>
      </c>
      <c r="C70" s="386">
        <f t="shared" si="118"/>
        <v>1</v>
      </c>
      <c r="D70" s="372" t="str">
        <f>_xlfn.XLOOKUP(A70,[1]SP500!$A$2:$A$502,[1]SP500!$D$2:$D$502,"N")</f>
        <v>Y</v>
      </c>
      <c r="E70" s="57" t="str">
        <f>_xlfn.XLOOKUP(A70,[1]SP500!$A$2:$A$655,[1]SP500!$B$2:$B$655)</f>
        <v>XLI</v>
      </c>
      <c r="F70" s="59">
        <v>45685</v>
      </c>
      <c r="G70" s="57" t="str">
        <f t="shared" si="119"/>
        <v>BMO</v>
      </c>
      <c r="H70" s="57" t="str">
        <f t="shared" si="120"/>
        <v>s</v>
      </c>
      <c r="I70" s="159">
        <v>109.91</v>
      </c>
      <c r="J70" s="159">
        <v>106.16</v>
      </c>
      <c r="K70" s="61">
        <f t="shared" si="121"/>
        <v>-3.4118824492766812E-2</v>
      </c>
      <c r="L70" s="87">
        <f t="shared" si="122"/>
        <v>-15</v>
      </c>
      <c r="M70" s="130">
        <f t="shared" si="112"/>
        <v>-0.51999999999998181</v>
      </c>
      <c r="N70" s="219">
        <f t="shared" si="123"/>
        <v>-15</v>
      </c>
      <c r="O70" s="219">
        <f>IF($J70="",#N/A,SUM($N$4:N70))</f>
        <v>79.238947788730059</v>
      </c>
      <c r="P70" s="220" t="str">
        <f t="shared" si="124"/>
        <v/>
      </c>
      <c r="Q70" s="220">
        <f>IF($J70="",#N/A,SUM($P$4:P70))</f>
        <v>57.846464916880848</v>
      </c>
      <c r="R70" s="221" t="str">
        <f t="shared" si="125"/>
        <v/>
      </c>
      <c r="S70" s="222">
        <f>IF($J70="",#N/A,SUM($R$4:R70))</f>
        <v>263.56979674373207</v>
      </c>
      <c r="T70" s="281">
        <f t="shared" si="126"/>
        <v>-0.56864707487944688</v>
      </c>
      <c r="U70" s="281">
        <f>IF($J70="",#N/A,SUM($T$4:T70))</f>
        <v>3.1828068566844223</v>
      </c>
      <c r="V70" s="282" t="str">
        <f t="shared" si="127"/>
        <v/>
      </c>
      <c r="W70" s="282">
        <f>IF($J70="",#N/A,SUM($V$4:V70))</f>
        <v>2.1530292122456034</v>
      </c>
      <c r="X70" s="283" t="str">
        <f t="shared" si="128"/>
        <v/>
      </c>
      <c r="Y70" s="283">
        <f>IF($J70="",#N/A,SUM($X$4:X70))</f>
        <v>11.07528146053385</v>
      </c>
      <c r="Z70" s="304" t="str">
        <f t="shared" si="129"/>
        <v/>
      </c>
      <c r="AA70" s="304">
        <f>IF($J70="",#N/A,SUM(Z$4:Z70))</f>
        <v>1.1273861049364817</v>
      </c>
      <c r="AB70" s="305" t="str">
        <f t="shared" si="130"/>
        <v/>
      </c>
      <c r="AC70" s="305">
        <f>IF($J70="",#N/A,SUM(AB$4:AB70))</f>
        <v>0</v>
      </c>
      <c r="AD70" s="306" t="str">
        <f t="shared" si="131"/>
        <v/>
      </c>
      <c r="AE70" s="306">
        <f>IF($J70="",#N/A,SUM(AD$4:AD70))</f>
        <v>1.5553407757049009</v>
      </c>
      <c r="AF70" s="306">
        <f>IF($J70="",#N/A,SUM(AD$4:AD70,AB$4:AB70,Z$4:Z70))</f>
        <v>2.6827268806413822</v>
      </c>
      <c r="AG70" s="304" t="str">
        <f t="shared" si="132"/>
        <v/>
      </c>
      <c r="AH70" s="304">
        <f>IF($J70="",#N/A,SUM(AG$4:AG70))</f>
        <v>0</v>
      </c>
      <c r="AI70" s="305" t="str">
        <f t="shared" si="133"/>
        <v/>
      </c>
      <c r="AJ70" s="305">
        <f>IF($J70="",#N/A,SUM(AI$4:AI70))</f>
        <v>0</v>
      </c>
      <c r="AK70" s="306" t="str">
        <f t="shared" si="134"/>
        <v/>
      </c>
      <c r="AL70" s="306">
        <f>IF($J70="",#N/A,SUM(AK$4:AK70))</f>
        <v>0</v>
      </c>
      <c r="AM70" s="306">
        <f>IF($J70="",#N/A,SUM(AK$4:AK70,AI$4:AI70,AG$4:AG70))</f>
        <v>0</v>
      </c>
      <c r="AN70" s="304" t="str">
        <f t="shared" si="135"/>
        <v/>
      </c>
      <c r="AO70" s="304">
        <f>IF($J70="",#N/A,SUM(AN$4:AN70))</f>
        <v>-0.49683555963321635</v>
      </c>
      <c r="AP70" s="305" t="str">
        <f t="shared" si="136"/>
        <v/>
      </c>
      <c r="AQ70" s="305">
        <f>IF($J70="",#N/A,SUM(AP$4:AP70))</f>
        <v>0</v>
      </c>
      <c r="AR70" s="306" t="str">
        <f t="shared" si="137"/>
        <v/>
      </c>
      <c r="AS70" s="306">
        <f>IF($J70="",#N/A,SUM(AR$4:AR70))</f>
        <v>0</v>
      </c>
      <c r="AT70" s="306">
        <f>IF($J70="",#N/A,SUM(AR$4:AR70,AP$4:AP70,AN$4:AN70))</f>
        <v>-0.49683555963321635</v>
      </c>
      <c r="AU70" s="304" t="str">
        <f t="shared" si="138"/>
        <v/>
      </c>
      <c r="AV70" s="304">
        <f>IF($J70="",#N/A,SUM(AU$4:AU70))</f>
        <v>0</v>
      </c>
      <c r="AW70" s="305" t="str">
        <f t="shared" si="139"/>
        <v/>
      </c>
      <c r="AX70" s="305">
        <f>IF($J70="",#N/A,SUM(AW$4:AW70))</f>
        <v>1.2290222546515868</v>
      </c>
      <c r="AY70" s="306" t="str">
        <f t="shared" si="140"/>
        <v/>
      </c>
      <c r="AZ70" s="306">
        <f>IF($J70="",#N/A,SUM(AY$4:AY70))</f>
        <v>2.8806371278168421</v>
      </c>
      <c r="BA70" s="306">
        <f>IF($J70="",#N/A,SUM(AY$4:AY70,AW$4:AW70,AU$4:AU70))</f>
        <v>4.1096593824684291</v>
      </c>
      <c r="BB70" s="304" t="str">
        <f t="shared" si="141"/>
        <v/>
      </c>
      <c r="BC70" s="304">
        <f>IF($J70="",#N/A,SUM(BB$4:BB70))</f>
        <v>0.57218309859154926</v>
      </c>
      <c r="BD70" s="305" t="str">
        <f t="shared" si="142"/>
        <v/>
      </c>
      <c r="BE70" s="305">
        <f>IF($J70="",#N/A,SUM(BD$4:BD70))</f>
        <v>-0.39561000510464578</v>
      </c>
      <c r="BF70" s="306" t="str">
        <f t="shared" si="143"/>
        <v/>
      </c>
      <c r="BG70" s="306">
        <f>IF($J70="",#N/A,SUM(BF$4:BF70))</f>
        <v>2.4597169840247779</v>
      </c>
      <c r="BH70" s="306">
        <f>IF($J70="",#N/A,SUM(BF$4:BF70,BD$4:BD70,BB$4:BB70))</f>
        <v>2.6362900775116813</v>
      </c>
      <c r="BI70" s="304" t="str">
        <f t="shared" si="144"/>
        <v/>
      </c>
      <c r="BJ70" s="304">
        <f>IF($J70="",#N/A,SUM(BI$4:BI70))</f>
        <v>-0.73401118447271563</v>
      </c>
      <c r="BK70" s="305" t="str">
        <f t="shared" si="145"/>
        <v/>
      </c>
      <c r="BL70" s="305">
        <f>IF($J70="",#N/A,SUM(BK$4:BK70))</f>
        <v>0</v>
      </c>
      <c r="BM70" s="306" t="str">
        <f t="shared" si="146"/>
        <v/>
      </c>
      <c r="BN70" s="306">
        <f>IF($J70="",#N/A,SUM(BM$4:BM70))</f>
        <v>3.8210959759517467</v>
      </c>
      <c r="BO70" s="306">
        <f>IF($J70="",#N/A,SUM(BM$4:BM70,BK$4:BK70,BI$4:BI70))</f>
        <v>3.0870847914790311</v>
      </c>
      <c r="BP70" s="304">
        <f t="shared" si="147"/>
        <v>-0.56864707487944688</v>
      </c>
      <c r="BQ70" s="304">
        <f>IF($J70="",#N/A,SUM(BP$4:BP70))</f>
        <v>3.4468416016128636</v>
      </c>
      <c r="BR70" s="305" t="str">
        <f t="shared" si="148"/>
        <v/>
      </c>
      <c r="BS70" s="305">
        <f>IF($J70="",#N/A,SUM(BR$4:BR70))</f>
        <v>0.64461012602832546</v>
      </c>
      <c r="BT70" s="306" t="str">
        <f t="shared" si="149"/>
        <v/>
      </c>
      <c r="BU70" s="306">
        <f>IF($J70="",#N/A,SUM(BT$4:BT70))</f>
        <v>-0.33591272342648226</v>
      </c>
      <c r="BV70" s="306">
        <f>IF($J70="",#N/A,SUM(BT$4:BT70,BR$4:BR70,BP$4:BP70))</f>
        <v>3.7555390042147065</v>
      </c>
      <c r="BW70" s="304" t="str">
        <f t="shared" si="150"/>
        <v/>
      </c>
      <c r="BX70" s="304">
        <f>IF($J70="",#N/A,SUM(BW$4:BW70))</f>
        <v>-0.73275720435053893</v>
      </c>
      <c r="BY70" s="305" t="str">
        <f t="shared" si="151"/>
        <v/>
      </c>
      <c r="BZ70" s="305">
        <f>IF($J70="",#N/A,SUM(BY$4:BY70))</f>
        <v>0.46686916413544804</v>
      </c>
      <c r="CA70" s="306" t="str">
        <f t="shared" si="152"/>
        <v/>
      </c>
      <c r="CB70" s="306">
        <f>IF($J70="",#N/A,SUM(CA$4:CA70))</f>
        <v>-0.45285090237845554</v>
      </c>
      <c r="CC70" s="306">
        <f>IF($J70="",#N/A,SUM(CA$4:CA70,BY$4:BY70,BW$4:BW70))</f>
        <v>-0.71873894259354643</v>
      </c>
      <c r="CD70" s="304" t="str">
        <f t="shared" si="153"/>
        <v/>
      </c>
      <c r="CE70" s="304">
        <f>IF($J70="",#N/A,SUM(CD$4:CD70))</f>
        <v>0</v>
      </c>
      <c r="CF70" s="305" t="str">
        <f t="shared" si="154"/>
        <v/>
      </c>
      <c r="CG70" s="305">
        <f>IF($J70="",#N/A,SUM(CF$4:CF70))</f>
        <v>0.41783917455444924</v>
      </c>
      <c r="CH70" s="306" t="str">
        <f t="shared" si="155"/>
        <v/>
      </c>
      <c r="CI70" s="306">
        <f>IF($J70="",#N/A,SUM(CH$4:CH70))</f>
        <v>-0.25632679632191468</v>
      </c>
      <c r="CJ70" s="306">
        <f>IF($J70="",#N/A,SUM(CH$4:CH70,CF$4:CF70,CD$4:CD70))</f>
        <v>0.16151237823253456</v>
      </c>
      <c r="CK70" s="304" t="str">
        <f t="shared" si="156"/>
        <v/>
      </c>
      <c r="CL70" s="304">
        <f>IF($J70="",#N/A,SUM(CK$4:CK70))</f>
        <v>0</v>
      </c>
      <c r="CM70" s="305" t="str">
        <f t="shared" si="157"/>
        <v/>
      </c>
      <c r="CN70" s="305">
        <f>IF($J70="",#N/A,SUM(CM$4:CM70))</f>
        <v>0</v>
      </c>
      <c r="CO70" s="306" t="str">
        <f t="shared" si="158"/>
        <v/>
      </c>
      <c r="CP70" s="306">
        <f>IF($J70="",#N/A,SUM(CO$4:CO70))</f>
        <v>-0.8814781582839023</v>
      </c>
      <c r="CQ70" s="306">
        <f>IF($J70="",#N/A,SUM(CO$4:CO70,CM$4:CM70,CK$4:CK70))</f>
        <v>-0.8814781582839023</v>
      </c>
      <c r="CR70" s="304" t="str">
        <f t="shared" si="159"/>
        <v/>
      </c>
      <c r="CS70" s="304">
        <f>IF($J70="",#N/A,SUM(CR$4:CR70))</f>
        <v>0</v>
      </c>
      <c r="CT70" s="305" t="str">
        <f t="shared" si="160"/>
        <v/>
      </c>
      <c r="CU70" s="305">
        <f>IF($J70="",#N/A,SUM(CT$4:CT70))</f>
        <v>-0.13081968772223007</v>
      </c>
      <c r="CV70" s="306" t="str">
        <f t="shared" si="161"/>
        <v/>
      </c>
      <c r="CW70" s="306">
        <f>IF($J70="",#N/A,SUM(CV$4:CV70))</f>
        <v>0.28156811782542707</v>
      </c>
      <c r="CX70" s="306">
        <f>IF($J70="",#N/A,SUM(CV$4:CV70,CT$4:CT70,CR$4:CR70))</f>
        <v>0.150748430103197</v>
      </c>
      <c r="CY70" s="304" t="str">
        <f t="shared" si="162"/>
        <v/>
      </c>
      <c r="CZ70" s="304">
        <f>IF($J70="",#N/A,SUM(CY$4:CY70))</f>
        <v>0</v>
      </c>
      <c r="DA70" s="305" t="str">
        <f t="shared" si="163"/>
        <v/>
      </c>
      <c r="DB70" s="305">
        <f>IF($J70="",#N/A,SUM(DA$4:DA70))</f>
        <v>0</v>
      </c>
      <c r="DC70" s="306" t="str">
        <f t="shared" si="164"/>
        <v/>
      </c>
      <c r="DD70" s="306">
        <f>IF($J70="",#N/A,SUM(DC$4:DC70))</f>
        <v>0</v>
      </c>
      <c r="DE70" s="306">
        <f>IF($J70="",#N/A,SUM(DC$4:DC70,DA$4:DA70,CY$4:CY70))</f>
        <v>0</v>
      </c>
      <c r="DF70" s="304" t="str">
        <f t="shared" si="165"/>
        <v/>
      </c>
      <c r="DG70" s="304">
        <f>IF($J70="",#N/A,SUM(DF$4:DF70))</f>
        <v>0</v>
      </c>
      <c r="DH70" s="305" t="str">
        <f t="shared" si="166"/>
        <v/>
      </c>
      <c r="DI70" s="305">
        <f>IF($J70="",#N/A,SUM(DH$4:DH70))</f>
        <v>0</v>
      </c>
      <c r="DJ70" s="306" t="str">
        <f t="shared" si="167"/>
        <v/>
      </c>
      <c r="DK70" s="306">
        <f>IF($J70="",#N/A,SUM(DJ$4:DJ70))</f>
        <v>0</v>
      </c>
      <c r="DL70" s="306">
        <f>IF($J70="",#N/A,SUM(DJ$4:DJ70,DH$4:DH70,DF$4:DF70))</f>
        <v>0</v>
      </c>
      <c r="DM70" s="304" t="str">
        <f t="shared" si="168"/>
        <v/>
      </c>
      <c r="DN70" s="304">
        <f>IF($J70="",#N/A,SUM(DM$4:DM70))</f>
        <v>0</v>
      </c>
      <c r="DO70" s="305" t="str">
        <f t="shared" si="169"/>
        <v/>
      </c>
      <c r="DP70" s="305">
        <f>IF($J70="",#N/A,SUM(DO$4:DO70))</f>
        <v>0</v>
      </c>
      <c r="DQ70" s="306" t="str">
        <f t="shared" si="170"/>
        <v/>
      </c>
      <c r="DR70" s="306">
        <f>IF($J70="",#N/A,SUM(DQ$4:DQ70))</f>
        <v>1.4067447983492751</v>
      </c>
      <c r="DS70" s="306">
        <f>IF($J70="",#N/A,SUM(DQ$4:DQ70,DO$4:DO70,DM$4:DM70))</f>
        <v>1.4067447983492751</v>
      </c>
      <c r="DT70" s="304" t="str">
        <f t="shared" si="171"/>
        <v/>
      </c>
      <c r="DU70" s="304">
        <f>IF($J70="",#N/A,SUM(DT$4:DT70))</f>
        <v>0</v>
      </c>
      <c r="DV70" s="305" t="str">
        <f t="shared" si="172"/>
        <v/>
      </c>
      <c r="DW70" s="305">
        <f>IF($J70="",#N/A,SUM(DV$4:DV70))</f>
        <v>0.40085630512924314</v>
      </c>
      <c r="DX70" s="306" t="str">
        <f t="shared" si="173"/>
        <v/>
      </c>
      <c r="DY70" s="306">
        <f>IF($J70="",#N/A,SUM(DX$4:DX70))</f>
        <v>0.59674626127163555</v>
      </c>
      <c r="DZ70" s="306">
        <f>IF($J70="",#N/A,SUM(DX$4:DX70,DV$4:DV70,DT$4:DT70))</f>
        <v>0.99760256640087874</v>
      </c>
      <c r="EA70" s="304" t="str">
        <f t="shared" si="174"/>
        <v/>
      </c>
      <c r="EB70" s="304">
        <f>IF($J70="",#N/A,SUM(EA$4:EA70))</f>
        <v>0</v>
      </c>
      <c r="EC70" s="305" t="str">
        <f t="shared" si="175"/>
        <v/>
      </c>
      <c r="ED70" s="305">
        <f>IF($J70="",#N/A,SUM(EC$4:EC70))</f>
        <v>-0.47973811942657352</v>
      </c>
      <c r="EE70" s="306" t="str">
        <f t="shared" si="176"/>
        <v/>
      </c>
      <c r="EF70" s="306">
        <f>IF($J70="",#N/A,SUM(EE$4:EE70))</f>
        <v>0</v>
      </c>
      <c r="EG70" s="306">
        <f>IF($J70="",#N/A,SUM(EE$4:EE70,EC$4:EC70,EA$4:EA70))</f>
        <v>-0.47973811942657352</v>
      </c>
      <c r="EH70" s="223">
        <f t="shared" si="177"/>
        <v>-15</v>
      </c>
      <c r="EI70" s="224">
        <f>IF(EH70="",#N/A,SUM($EH$4:EH70))</f>
        <v>400.65520944934298</v>
      </c>
      <c r="EJ70" s="223">
        <f t="shared" si="178"/>
        <v>-10.639999999999986</v>
      </c>
      <c r="EK70" s="63">
        <f>IF($GZ70="",#N/A,SUM(EJ$4:EJ70))</f>
        <v>659.65334203522968</v>
      </c>
      <c r="EL70" s="60">
        <f t="shared" si="209"/>
        <v>-0.56864707487944688</v>
      </c>
      <c r="EM70" s="60">
        <f>IF(EL70="",NA(),SUM($EL$4:EL70))</f>
        <v>16.411117529463887</v>
      </c>
      <c r="EN70" s="60">
        <f t="shared" si="179"/>
        <v>-0.56864707487944688</v>
      </c>
      <c r="EO70" s="60">
        <f>IF(EN70="",NA(),SUM($EN$4:EN70))</f>
        <v>3.1828068566844223</v>
      </c>
      <c r="EP70" s="60" t="str">
        <f t="shared" si="180"/>
        <v/>
      </c>
      <c r="EQ70" s="60" t="e">
        <f>IF(EP70="",NA(),SUM($EP$4:EP70))</f>
        <v>#N/A</v>
      </c>
      <c r="ER70" s="60" t="str">
        <f t="shared" si="181"/>
        <v/>
      </c>
      <c r="ES70" s="60" t="e">
        <f>IF(ER70="",NA(),SUM($ER$4:ER70))</f>
        <v>#N/A</v>
      </c>
      <c r="ET70" s="60" t="str">
        <f t="shared" si="182"/>
        <v/>
      </c>
      <c r="EU70" s="60" t="e">
        <f>IF(ET70="",NA(),SUM($ET$4:ET70))</f>
        <v>#N/A</v>
      </c>
      <c r="EV70" s="60" t="str">
        <f t="shared" si="183"/>
        <v/>
      </c>
      <c r="EW70" s="60" t="e">
        <f>IF(EV70="",NA(),SUM($EV$4:EV70))</f>
        <v>#N/A</v>
      </c>
      <c r="EX70" s="60" t="str">
        <f t="shared" si="184"/>
        <v/>
      </c>
      <c r="EY70" s="60" t="e">
        <f>IF(EX70="",NA(),SUM($EX$4:EX70))</f>
        <v>#N/A</v>
      </c>
      <c r="EZ70" s="60" t="str">
        <f t="shared" si="185"/>
        <v/>
      </c>
      <c r="FA70" s="60" t="e">
        <f>IF(EZ70="",NA(),SUM($EZ$4:EZ70))</f>
        <v>#N/A</v>
      </c>
      <c r="FB70" s="246" t="str">
        <f t="shared" si="210"/>
        <v/>
      </c>
      <c r="FC70" s="246" t="e">
        <f>IF($FB70="",#N/A,SUM(FB$4:$FB70))</f>
        <v>#N/A</v>
      </c>
      <c r="FD70" s="60" t="str">
        <f t="shared" si="186"/>
        <v/>
      </c>
      <c r="FE70" s="60" t="e">
        <f>IF($FD70="",#N/A,SUM($FD$4:FD70))</f>
        <v>#N/A</v>
      </c>
      <c r="FF70" s="60" t="str">
        <f t="shared" si="187"/>
        <v/>
      </c>
      <c r="FG70" s="60" t="e">
        <f>IF($FF70="",#N/A,SUM($FF$4:FF70))</f>
        <v>#N/A</v>
      </c>
      <c r="FH70" s="60">
        <f t="shared" si="188"/>
        <v>0.16528674976495977</v>
      </c>
      <c r="FI70" s="60">
        <f>IF($FH70="",#N/A,SUM($FH$4:FH70))</f>
        <v>1.6295632879304032</v>
      </c>
      <c r="FJ70" s="60" t="str">
        <f t="shared" si="189"/>
        <v/>
      </c>
      <c r="FK70" s="60" t="e">
        <f>IF($FJ70="",#N/A,SUM($FJ$4:FJ70))</f>
        <v>#N/A</v>
      </c>
      <c r="FL70" s="60" t="str">
        <f t="shared" si="190"/>
        <v/>
      </c>
      <c r="FM70" s="60" t="e">
        <f>IF($FL70="",#N/A,SUM($FL$4:FL70))</f>
        <v>#N/A</v>
      </c>
      <c r="FN70" s="82">
        <f t="shared" si="191"/>
        <v>-0.40336032511448711</v>
      </c>
      <c r="FO70" s="82">
        <f>IF($FN70="",#N/A,SUM(FN$4:$FN70))</f>
        <v>26.847318742657368</v>
      </c>
      <c r="FP70" s="82">
        <f t="shared" si="211"/>
        <v>-0.56864707487944688</v>
      </c>
      <c r="FQ70" s="246">
        <f>IF($EH70="",#N/A,SUM($FP$4:FP70))</f>
        <v>16.411117529463887</v>
      </c>
      <c r="FR70" s="82">
        <f>IFERROR(FQ70/COUNTA($J$4:J70),#N/A)</f>
        <v>0.24494205267856548</v>
      </c>
      <c r="FS70" s="82">
        <f t="shared" si="116"/>
        <v>0.22021236165823468</v>
      </c>
      <c r="FT70" s="82">
        <f t="shared" si="117"/>
        <v>7.9676537141206552E-2</v>
      </c>
      <c r="FU70" s="337">
        <f t="shared" si="113"/>
        <v>0.48010040920139474</v>
      </c>
      <c r="FV70" s="57" t="str">
        <f t="shared" si="192"/>
        <v>Up</v>
      </c>
      <c r="FW70" s="57" t="s">
        <v>2734</v>
      </c>
      <c r="FX70" s="57" t="str">
        <f t="shared" si="193"/>
        <v/>
      </c>
      <c r="FY70" s="57" t="str">
        <f t="shared" si="194"/>
        <v/>
      </c>
      <c r="FZ70" s="57" t="str">
        <f t="shared" si="195"/>
        <v/>
      </c>
      <c r="GA70" s="57" t="str">
        <f t="shared" si="196"/>
        <v>Long</v>
      </c>
      <c r="GB70" s="57" t="str">
        <f t="shared" si="197"/>
        <v/>
      </c>
      <c r="GC70" s="57">
        <f t="shared" si="198"/>
        <v>1</v>
      </c>
      <c r="GD70" s="57" t="str">
        <f t="shared" si="199"/>
        <v/>
      </c>
      <c r="GE70" s="62">
        <f t="shared" si="114"/>
        <v>109.91</v>
      </c>
      <c r="GF70" s="62" t="s">
        <v>2779</v>
      </c>
      <c r="GG70" s="199">
        <v>4</v>
      </c>
      <c r="GH70" s="207">
        <f t="shared" si="200"/>
        <v>439.64</v>
      </c>
      <c r="GI70" s="199">
        <v>4</v>
      </c>
      <c r="GJ70" s="200">
        <v>106.03</v>
      </c>
      <c r="GK70" s="63">
        <f t="shared" si="201"/>
        <v>-15.519999999999982</v>
      </c>
      <c r="GL70" s="63">
        <f t="shared" si="115"/>
        <v>-10.639999999999986</v>
      </c>
      <c r="GM70" s="82" t="str">
        <f t="shared" si="202"/>
        <v/>
      </c>
      <c r="GN70" s="82">
        <f>IF($GZ70="",#N/A,SUM(GM$4:GM70))</f>
        <v>12.128117207185122</v>
      </c>
      <c r="GO70" s="82">
        <f t="shared" si="203"/>
        <v>-0.40336032511448711</v>
      </c>
      <c r="GP70" s="82">
        <f>IF($GZ70="",#N/A,SUM(GO$4:GO70))</f>
        <v>8.5495513338934614</v>
      </c>
      <c r="GQ70" s="82" t="str">
        <f t="shared" si="204"/>
        <v/>
      </c>
      <c r="GR70" s="82">
        <f>IF($GZ70="",#N/A,SUM(GQ$4:GQ70))</f>
        <v>5.5438132471364243</v>
      </c>
      <c r="GS70" s="63" t="str">
        <f t="shared" si="212"/>
        <v/>
      </c>
      <c r="GT70" s="63">
        <f>IF($GZ70="",#N/A,SUM(GS$4:GS70))</f>
        <v>288.88992882574212</v>
      </c>
      <c r="GU70" s="63">
        <f t="shared" si="213"/>
        <v>-10.639999999999986</v>
      </c>
      <c r="GV70" s="63">
        <f>IF($GZ70="",#N/A,SUM(GU$4:GU70))</f>
        <v>214.45289430539293</v>
      </c>
      <c r="GW70" s="63" t="str">
        <f t="shared" si="214"/>
        <v/>
      </c>
      <c r="GX70" s="63">
        <f>IF($GZ70="",#N/A,SUM(GW$4:GW70))</f>
        <v>142.57051890409474</v>
      </c>
      <c r="GY70" s="63">
        <f>IF(EJ70="",#N/A,SUM($EJ$4:EJ70))</f>
        <v>659.65334203522968</v>
      </c>
      <c r="GZ70" s="159">
        <v>107.25</v>
      </c>
      <c r="HA70" s="63">
        <f t="shared" si="205"/>
        <v>4.3600000000000136</v>
      </c>
      <c r="HB70" s="63" t="s">
        <v>2538</v>
      </c>
      <c r="HC70" s="60">
        <f>IFERROR(VLOOKUP(E70,Expectancy!$P$4:$S$19,1+C70,FALSE),"")</f>
        <v>-4.1762476788754908E-2</v>
      </c>
      <c r="HD70" s="60">
        <f t="shared" si="206"/>
        <v>-0.58836017347526692</v>
      </c>
      <c r="HE70" s="60">
        <f>IF(HD70="",#N/A,SUM($HD$4:HD70))</f>
        <v>1.4010171202624933</v>
      </c>
      <c r="HF70" s="64">
        <f>IF(HD70="",#N/A,IF(HB70="Skip",#N/A,SUM($HG$4:HG70)))</f>
        <v>38.829999999999984</v>
      </c>
      <c r="HG70" s="63">
        <f t="shared" si="207"/>
        <v>-15.519999999999982</v>
      </c>
      <c r="HH70" s="82">
        <f t="shared" si="208"/>
        <v>-0.40336032511448711</v>
      </c>
      <c r="HI70" s="56"/>
    </row>
    <row r="71" spans="1:220" x14ac:dyDescent="0.25">
      <c r="A71" s="57" t="s">
        <v>1423</v>
      </c>
      <c r="B71" s="58" t="s">
        <v>5132</v>
      </c>
      <c r="C71" s="386">
        <f t="shared" si="118"/>
        <v>2</v>
      </c>
      <c r="D71" s="372" t="str">
        <f>_xlfn.XLOOKUP(A71,[1]SP500!$A$2:$A$502,[1]SP500!$D$2:$D$502,"N")</f>
        <v>Y</v>
      </c>
      <c r="E71" s="57" t="str">
        <f>_xlfn.XLOOKUP(A71,[1]SP500!$A$2:$A$655,[1]SP500!$B$2:$B$655)</f>
        <v>XLP</v>
      </c>
      <c r="F71" s="59">
        <v>45685</v>
      </c>
      <c r="G71" s="57" t="str">
        <f t="shared" si="119"/>
        <v>BMO</v>
      </c>
      <c r="H71" s="57" t="str">
        <f t="shared" si="120"/>
        <v>s</v>
      </c>
      <c r="I71" s="159">
        <v>131.41</v>
      </c>
      <c r="J71" s="158">
        <v>131.6</v>
      </c>
      <c r="K71" s="61">
        <f t="shared" si="121"/>
        <v>1.4458564797199432E-3</v>
      </c>
      <c r="L71" s="87">
        <f t="shared" si="122"/>
        <v>-0.56999999999993634</v>
      </c>
      <c r="M71" s="130">
        <f t="shared" si="112"/>
        <v>1.0499999999999545</v>
      </c>
      <c r="N71" s="219" t="str">
        <f t="shared" si="123"/>
        <v/>
      </c>
      <c r="O71" s="219">
        <f>IF($J71="",#N/A,SUM($N$4:N71))</f>
        <v>79.238947788730059</v>
      </c>
      <c r="P71" s="220">
        <f t="shared" si="124"/>
        <v>-0.56999999999993634</v>
      </c>
      <c r="Q71" s="220">
        <f>IF($J71="",#N/A,SUM($P$4:P71))</f>
        <v>57.276464916880911</v>
      </c>
      <c r="R71" s="221" t="str">
        <f t="shared" si="125"/>
        <v/>
      </c>
      <c r="S71" s="222">
        <f>IF($J71="",#N/A,SUM($R$4:R71))</f>
        <v>263.56979674373207</v>
      </c>
      <c r="T71" s="281" t="str">
        <f t="shared" si="126"/>
        <v/>
      </c>
      <c r="U71" s="281">
        <f>IF($J71="",#N/A,SUM($T$4:T71))</f>
        <v>3.1828068566844223</v>
      </c>
      <c r="V71" s="282">
        <f t="shared" si="127"/>
        <v>-2.4097607995329982E-2</v>
      </c>
      <c r="W71" s="282">
        <f>IF($J71="",#N/A,SUM($V$4:V71))</f>
        <v>2.1289316042502735</v>
      </c>
      <c r="X71" s="283" t="str">
        <f t="shared" si="128"/>
        <v/>
      </c>
      <c r="Y71" s="283">
        <f>IF($J71="",#N/A,SUM($X$4:X71))</f>
        <v>11.07528146053385</v>
      </c>
      <c r="Z71" s="304" t="str">
        <f t="shared" si="129"/>
        <v/>
      </c>
      <c r="AA71" s="304">
        <f>IF($J71="",#N/A,SUM(Z$4:Z71))</f>
        <v>1.1273861049364817</v>
      </c>
      <c r="AB71" s="305" t="str">
        <f t="shared" si="130"/>
        <v/>
      </c>
      <c r="AC71" s="305">
        <f>IF($J71="",#N/A,SUM(AB$4:AB71))</f>
        <v>0</v>
      </c>
      <c r="AD71" s="306" t="str">
        <f t="shared" si="131"/>
        <v/>
      </c>
      <c r="AE71" s="306">
        <f>IF($J71="",#N/A,SUM(AD$4:AD71))</f>
        <v>1.5553407757049009</v>
      </c>
      <c r="AF71" s="306">
        <f>IF($J71="",#N/A,SUM(AD$4:AD71,AB$4:AB71,Z$4:Z71))</f>
        <v>2.6827268806413822</v>
      </c>
      <c r="AG71" s="304" t="str">
        <f t="shared" si="132"/>
        <v/>
      </c>
      <c r="AH71" s="304">
        <f>IF($J71="",#N/A,SUM(AG$4:AG71))</f>
        <v>0</v>
      </c>
      <c r="AI71" s="305" t="str">
        <f t="shared" si="133"/>
        <v/>
      </c>
      <c r="AJ71" s="305">
        <f>IF($J71="",#N/A,SUM(AI$4:AI71))</f>
        <v>0</v>
      </c>
      <c r="AK71" s="306" t="str">
        <f t="shared" si="134"/>
        <v/>
      </c>
      <c r="AL71" s="306">
        <f>IF($J71="",#N/A,SUM(AK$4:AK71))</f>
        <v>0</v>
      </c>
      <c r="AM71" s="306">
        <f>IF($J71="",#N/A,SUM(AK$4:AK71,AI$4:AI71,AG$4:AG71))</f>
        <v>0</v>
      </c>
      <c r="AN71" s="304" t="str">
        <f t="shared" si="135"/>
        <v/>
      </c>
      <c r="AO71" s="304">
        <f>IF($J71="",#N/A,SUM(AN$4:AN71))</f>
        <v>-0.49683555963321635</v>
      </c>
      <c r="AP71" s="305" t="str">
        <f t="shared" si="136"/>
        <v/>
      </c>
      <c r="AQ71" s="305">
        <f>IF($J71="",#N/A,SUM(AP$4:AP71))</f>
        <v>0</v>
      </c>
      <c r="AR71" s="306" t="str">
        <f t="shared" si="137"/>
        <v/>
      </c>
      <c r="AS71" s="306">
        <f>IF($J71="",#N/A,SUM(AR$4:AR71))</f>
        <v>0</v>
      </c>
      <c r="AT71" s="306">
        <f>IF($J71="",#N/A,SUM(AR$4:AR71,AP$4:AP71,AN$4:AN71))</f>
        <v>-0.49683555963321635</v>
      </c>
      <c r="AU71" s="304" t="str">
        <f t="shared" si="138"/>
        <v/>
      </c>
      <c r="AV71" s="304">
        <f>IF($J71="",#N/A,SUM(AU$4:AU71))</f>
        <v>0</v>
      </c>
      <c r="AW71" s="305">
        <f t="shared" si="139"/>
        <v>-2.4097607995329982E-2</v>
      </c>
      <c r="AX71" s="305">
        <f>IF($J71="",#N/A,SUM(AW$4:AW71))</f>
        <v>1.2049246466562569</v>
      </c>
      <c r="AY71" s="306" t="str">
        <f t="shared" si="140"/>
        <v/>
      </c>
      <c r="AZ71" s="306">
        <f>IF($J71="",#N/A,SUM(AY$4:AY71))</f>
        <v>2.8806371278168421</v>
      </c>
      <c r="BA71" s="306">
        <f>IF($J71="",#N/A,SUM(AY$4:AY71,AW$4:AW71,AU$4:AU71))</f>
        <v>4.0855617744730992</v>
      </c>
      <c r="BB71" s="304" t="str">
        <f t="shared" si="141"/>
        <v/>
      </c>
      <c r="BC71" s="304">
        <f>IF($J71="",#N/A,SUM(BB$4:BB71))</f>
        <v>0.57218309859154926</v>
      </c>
      <c r="BD71" s="305" t="str">
        <f t="shared" si="142"/>
        <v/>
      </c>
      <c r="BE71" s="305">
        <f>IF($J71="",#N/A,SUM(BD$4:BD71))</f>
        <v>-0.39561000510464578</v>
      </c>
      <c r="BF71" s="306" t="str">
        <f t="shared" si="143"/>
        <v/>
      </c>
      <c r="BG71" s="306">
        <f>IF($J71="",#N/A,SUM(BF$4:BF71))</f>
        <v>2.4597169840247779</v>
      </c>
      <c r="BH71" s="306">
        <f>IF($J71="",#N/A,SUM(BF$4:BF71,BD$4:BD71,BB$4:BB71))</f>
        <v>2.6362900775116813</v>
      </c>
      <c r="BI71" s="304" t="str">
        <f t="shared" si="144"/>
        <v/>
      </c>
      <c r="BJ71" s="304">
        <f>IF($J71="",#N/A,SUM(BI$4:BI71))</f>
        <v>-0.73401118447271563</v>
      </c>
      <c r="BK71" s="305" t="str">
        <f t="shared" si="145"/>
        <v/>
      </c>
      <c r="BL71" s="305">
        <f>IF($J71="",#N/A,SUM(BK$4:BK71))</f>
        <v>0</v>
      </c>
      <c r="BM71" s="306" t="str">
        <f t="shared" si="146"/>
        <v/>
      </c>
      <c r="BN71" s="306">
        <f>IF($J71="",#N/A,SUM(BM$4:BM71))</f>
        <v>3.8210959759517467</v>
      </c>
      <c r="BO71" s="306">
        <f>IF($J71="",#N/A,SUM(BM$4:BM71,BK$4:BK71,BI$4:BI71))</f>
        <v>3.0870847914790311</v>
      </c>
      <c r="BP71" s="304" t="str">
        <f t="shared" si="147"/>
        <v/>
      </c>
      <c r="BQ71" s="304">
        <f>IF($J71="",#N/A,SUM(BP$4:BP71))</f>
        <v>3.4468416016128636</v>
      </c>
      <c r="BR71" s="305" t="str">
        <f t="shared" si="148"/>
        <v/>
      </c>
      <c r="BS71" s="305">
        <f>IF($J71="",#N/A,SUM(BR$4:BR71))</f>
        <v>0.64461012602832546</v>
      </c>
      <c r="BT71" s="306" t="str">
        <f t="shared" si="149"/>
        <v/>
      </c>
      <c r="BU71" s="306">
        <f>IF($J71="",#N/A,SUM(BT$4:BT71))</f>
        <v>-0.33591272342648226</v>
      </c>
      <c r="BV71" s="306">
        <f>IF($J71="",#N/A,SUM(BT$4:BT71,BR$4:BR71,BP$4:BP71))</f>
        <v>3.7555390042147065</v>
      </c>
      <c r="BW71" s="304" t="str">
        <f t="shared" si="150"/>
        <v/>
      </c>
      <c r="BX71" s="304">
        <f>IF($J71="",#N/A,SUM(BW$4:BW71))</f>
        <v>-0.73275720435053893</v>
      </c>
      <c r="BY71" s="305" t="str">
        <f t="shared" si="151"/>
        <v/>
      </c>
      <c r="BZ71" s="305">
        <f>IF($J71="",#N/A,SUM(BY$4:BY71))</f>
        <v>0.46686916413544804</v>
      </c>
      <c r="CA71" s="306" t="str">
        <f t="shared" si="152"/>
        <v/>
      </c>
      <c r="CB71" s="306">
        <f>IF($J71="",#N/A,SUM(CA$4:CA71))</f>
        <v>-0.45285090237845554</v>
      </c>
      <c r="CC71" s="306">
        <f>IF($J71="",#N/A,SUM(CA$4:CA71,BY$4:BY71,BW$4:BW71))</f>
        <v>-0.71873894259354643</v>
      </c>
      <c r="CD71" s="304" t="str">
        <f t="shared" si="153"/>
        <v/>
      </c>
      <c r="CE71" s="304">
        <f>IF($J71="",#N/A,SUM(CD$4:CD71))</f>
        <v>0</v>
      </c>
      <c r="CF71" s="305" t="str">
        <f t="shared" si="154"/>
        <v/>
      </c>
      <c r="CG71" s="305">
        <f>IF($J71="",#N/A,SUM(CF$4:CF71))</f>
        <v>0.41783917455444924</v>
      </c>
      <c r="CH71" s="306" t="str">
        <f t="shared" si="155"/>
        <v/>
      </c>
      <c r="CI71" s="306">
        <f>IF($J71="",#N/A,SUM(CH$4:CH71))</f>
        <v>-0.25632679632191468</v>
      </c>
      <c r="CJ71" s="306">
        <f>IF($J71="",#N/A,SUM(CH$4:CH71,CF$4:CF71,CD$4:CD71))</f>
        <v>0.16151237823253456</v>
      </c>
      <c r="CK71" s="304" t="str">
        <f t="shared" si="156"/>
        <v/>
      </c>
      <c r="CL71" s="304">
        <f>IF($J71="",#N/A,SUM(CK$4:CK71))</f>
        <v>0</v>
      </c>
      <c r="CM71" s="305" t="str">
        <f t="shared" si="157"/>
        <v/>
      </c>
      <c r="CN71" s="305">
        <f>IF($J71="",#N/A,SUM(CM$4:CM71))</f>
        <v>0</v>
      </c>
      <c r="CO71" s="306" t="str">
        <f t="shared" si="158"/>
        <v/>
      </c>
      <c r="CP71" s="306">
        <f>IF($J71="",#N/A,SUM(CO$4:CO71))</f>
        <v>-0.8814781582839023</v>
      </c>
      <c r="CQ71" s="306">
        <f>IF($J71="",#N/A,SUM(CO$4:CO71,CM$4:CM71,CK$4:CK71))</f>
        <v>-0.8814781582839023</v>
      </c>
      <c r="CR71" s="304" t="str">
        <f t="shared" si="159"/>
        <v/>
      </c>
      <c r="CS71" s="304">
        <f>IF($J71="",#N/A,SUM(CR$4:CR71))</f>
        <v>0</v>
      </c>
      <c r="CT71" s="305" t="str">
        <f t="shared" si="160"/>
        <v/>
      </c>
      <c r="CU71" s="305">
        <f>IF($J71="",#N/A,SUM(CT$4:CT71))</f>
        <v>-0.13081968772223007</v>
      </c>
      <c r="CV71" s="306" t="str">
        <f t="shared" si="161"/>
        <v/>
      </c>
      <c r="CW71" s="306">
        <f>IF($J71="",#N/A,SUM(CV$4:CV71))</f>
        <v>0.28156811782542707</v>
      </c>
      <c r="CX71" s="306">
        <f>IF($J71="",#N/A,SUM(CV$4:CV71,CT$4:CT71,CR$4:CR71))</f>
        <v>0.150748430103197</v>
      </c>
      <c r="CY71" s="304" t="str">
        <f t="shared" si="162"/>
        <v/>
      </c>
      <c r="CZ71" s="304">
        <f>IF($J71="",#N/A,SUM(CY$4:CY71))</f>
        <v>0</v>
      </c>
      <c r="DA71" s="305" t="str">
        <f t="shared" si="163"/>
        <v/>
      </c>
      <c r="DB71" s="305">
        <f>IF($J71="",#N/A,SUM(DA$4:DA71))</f>
        <v>0</v>
      </c>
      <c r="DC71" s="306" t="str">
        <f t="shared" si="164"/>
        <v/>
      </c>
      <c r="DD71" s="306">
        <f>IF($J71="",#N/A,SUM(DC$4:DC71))</f>
        <v>0</v>
      </c>
      <c r="DE71" s="306">
        <f>IF($J71="",#N/A,SUM(DC$4:DC71,DA$4:DA71,CY$4:CY71))</f>
        <v>0</v>
      </c>
      <c r="DF71" s="304" t="str">
        <f t="shared" si="165"/>
        <v/>
      </c>
      <c r="DG71" s="304">
        <f>IF($J71="",#N/A,SUM(DF$4:DF71))</f>
        <v>0</v>
      </c>
      <c r="DH71" s="305" t="str">
        <f t="shared" si="166"/>
        <v/>
      </c>
      <c r="DI71" s="305">
        <f>IF($J71="",#N/A,SUM(DH$4:DH71))</f>
        <v>0</v>
      </c>
      <c r="DJ71" s="306" t="str">
        <f t="shared" si="167"/>
        <v/>
      </c>
      <c r="DK71" s="306">
        <f>IF($J71="",#N/A,SUM(DJ$4:DJ71))</f>
        <v>0</v>
      </c>
      <c r="DL71" s="306">
        <f>IF($J71="",#N/A,SUM(DJ$4:DJ71,DH$4:DH71,DF$4:DF71))</f>
        <v>0</v>
      </c>
      <c r="DM71" s="304" t="str">
        <f t="shared" si="168"/>
        <v/>
      </c>
      <c r="DN71" s="304">
        <f>IF($J71="",#N/A,SUM(DM$4:DM71))</f>
        <v>0</v>
      </c>
      <c r="DO71" s="305" t="str">
        <f t="shared" si="169"/>
        <v/>
      </c>
      <c r="DP71" s="305">
        <f>IF($J71="",#N/A,SUM(DO$4:DO71))</f>
        <v>0</v>
      </c>
      <c r="DQ71" s="306" t="str">
        <f t="shared" si="170"/>
        <v/>
      </c>
      <c r="DR71" s="306">
        <f>IF($J71="",#N/A,SUM(DQ$4:DQ71))</f>
        <v>1.4067447983492751</v>
      </c>
      <c r="DS71" s="306">
        <f>IF($J71="",#N/A,SUM(DQ$4:DQ71,DO$4:DO71,DM$4:DM71))</f>
        <v>1.4067447983492751</v>
      </c>
      <c r="DT71" s="304" t="str">
        <f t="shared" si="171"/>
        <v/>
      </c>
      <c r="DU71" s="304">
        <f>IF($J71="",#N/A,SUM(DT$4:DT71))</f>
        <v>0</v>
      </c>
      <c r="DV71" s="305" t="str">
        <f t="shared" si="172"/>
        <v/>
      </c>
      <c r="DW71" s="305">
        <f>IF($J71="",#N/A,SUM(DV$4:DV71))</f>
        <v>0.40085630512924314</v>
      </c>
      <c r="DX71" s="306" t="str">
        <f t="shared" si="173"/>
        <v/>
      </c>
      <c r="DY71" s="306">
        <f>IF($J71="",#N/A,SUM(DX$4:DX71))</f>
        <v>0.59674626127163555</v>
      </c>
      <c r="DZ71" s="306">
        <f>IF($J71="",#N/A,SUM(DX$4:DX71,DV$4:DV71,DT$4:DT71))</f>
        <v>0.99760256640087874</v>
      </c>
      <c r="EA71" s="304" t="str">
        <f t="shared" si="174"/>
        <v/>
      </c>
      <c r="EB71" s="304">
        <f>IF($J71="",#N/A,SUM(EA$4:EA71))</f>
        <v>0</v>
      </c>
      <c r="EC71" s="305" t="str">
        <f t="shared" si="175"/>
        <v/>
      </c>
      <c r="ED71" s="305">
        <f>IF($J71="",#N/A,SUM(EC$4:EC71))</f>
        <v>-0.47973811942657352</v>
      </c>
      <c r="EE71" s="306" t="str">
        <f t="shared" si="176"/>
        <v/>
      </c>
      <c r="EF71" s="306">
        <f>IF($J71="",#N/A,SUM(EE$4:EE71))</f>
        <v>0</v>
      </c>
      <c r="EG71" s="306">
        <f>IF($J71="",#N/A,SUM(EE$4:EE71,EC$4:EC71,EA$4:EA71))</f>
        <v>-0.47973811942657352</v>
      </c>
      <c r="EH71" s="223">
        <f t="shared" si="177"/>
        <v>-0.56999999999993634</v>
      </c>
      <c r="EI71" s="224">
        <f>IF(EH71="",#N/A,SUM($EH$4:EH71))</f>
        <v>400.08520944934304</v>
      </c>
      <c r="EJ71" s="223">
        <f t="shared" si="178"/>
        <v>5.910000000000025</v>
      </c>
      <c r="EK71" s="63">
        <f>IF($GZ71="",#N/A,SUM(EJ$4:EJ71))</f>
        <v>665.56334203522965</v>
      </c>
      <c r="EL71" s="60">
        <f t="shared" si="209"/>
        <v>-2.4097607995329982E-2</v>
      </c>
      <c r="EM71" s="60">
        <f>IF(EL71="",NA(),SUM($EL$4:EL71))</f>
        <v>16.387019921468557</v>
      </c>
      <c r="EN71" s="60" t="str">
        <f t="shared" si="179"/>
        <v/>
      </c>
      <c r="EO71" s="60" t="e">
        <f>IF(EN71="",NA(),SUM($EN$4:EN71))</f>
        <v>#N/A</v>
      </c>
      <c r="EP71" s="60" t="str">
        <f t="shared" si="180"/>
        <v/>
      </c>
      <c r="EQ71" s="60" t="e">
        <f>IF(EP71="",NA(),SUM($EP$4:EP71))</f>
        <v>#N/A</v>
      </c>
      <c r="ER71" s="60">
        <f t="shared" si="181"/>
        <v>-2.4097607995329982E-2</v>
      </c>
      <c r="ES71" s="60">
        <f>IF(ER71="",NA(),SUM($ER$4:ER71))</f>
        <v>2.1289316042502735</v>
      </c>
      <c r="ET71" s="60" t="str">
        <f t="shared" si="182"/>
        <v/>
      </c>
      <c r="EU71" s="60" t="e">
        <f>IF(ET71="",NA(),SUM($ET$4:ET71))</f>
        <v>#N/A</v>
      </c>
      <c r="EV71" s="60" t="str">
        <f t="shared" si="183"/>
        <v/>
      </c>
      <c r="EW71" s="60" t="e">
        <f>IF(EV71="",NA(),SUM($EV$4:EV71))</f>
        <v>#N/A</v>
      </c>
      <c r="EX71" s="60" t="str">
        <f t="shared" si="184"/>
        <v/>
      </c>
      <c r="EY71" s="60" t="e">
        <f>IF(EX71="",NA(),SUM($EX$4:EX71))</f>
        <v>#N/A</v>
      </c>
      <c r="EZ71" s="60" t="str">
        <f t="shared" si="185"/>
        <v/>
      </c>
      <c r="FA71" s="60" t="e">
        <f>IF(EZ71="",NA(),SUM($EZ$4:EZ71))</f>
        <v>#N/A</v>
      </c>
      <c r="FB71" s="246" t="str">
        <f t="shared" si="210"/>
        <v/>
      </c>
      <c r="FC71" s="246" t="e">
        <f>IF($FB71="",#N/A,SUM(FB$4:$FB71))</f>
        <v>#N/A</v>
      </c>
      <c r="FD71" s="60">
        <f t="shared" si="186"/>
        <v>0.2739517540522014</v>
      </c>
      <c r="FE71" s="60">
        <f>IF($FD71="",#N/A,SUM($FD$4:FD71))</f>
        <v>0.91773364221272224</v>
      </c>
      <c r="FF71" s="60" t="str">
        <f t="shared" si="187"/>
        <v/>
      </c>
      <c r="FG71" s="60" t="e">
        <f>IF($FF71="",#N/A,SUM($FF$4:FF71))</f>
        <v>#N/A</v>
      </c>
      <c r="FH71" s="60" t="str">
        <f t="shared" si="188"/>
        <v/>
      </c>
      <c r="FI71" s="60" t="e">
        <f>IF($FH71="",#N/A,SUM($FH$4:FH71))</f>
        <v>#N/A</v>
      </c>
      <c r="FJ71" s="60" t="str">
        <f t="shared" si="189"/>
        <v/>
      </c>
      <c r="FK71" s="60" t="e">
        <f>IF($FJ71="",#N/A,SUM($FJ$4:FJ71))</f>
        <v>#N/A</v>
      </c>
      <c r="FL71" s="60" t="str">
        <f t="shared" si="190"/>
        <v/>
      </c>
      <c r="FM71" s="60" t="e">
        <f>IF($FL71="",#N/A,SUM($FL$4:FL71))</f>
        <v>#N/A</v>
      </c>
      <c r="FN71" s="82">
        <f t="shared" si="191"/>
        <v>0.2498541460568714</v>
      </c>
      <c r="FO71" s="82">
        <f>IF($FN71="",#N/A,SUM(FN$4:$FN71))</f>
        <v>27.09717288871424</v>
      </c>
      <c r="FP71" s="82">
        <f t="shared" si="211"/>
        <v>-2.4097607995329982E-2</v>
      </c>
      <c r="FQ71" s="246">
        <f>IF($EH71="",#N/A,SUM($FP$4:FP71))</f>
        <v>16.387019921468557</v>
      </c>
      <c r="FR71" s="82">
        <f>IFERROR(FQ71/COUNTA($J$4:J71),#N/A)</f>
        <v>0.24098558708041995</v>
      </c>
      <c r="FS71" s="82">
        <f t="shared" si="116"/>
        <v>0.21641130466928474</v>
      </c>
      <c r="FT71" s="82">
        <f t="shared" si="117"/>
        <v>8.9352753321480918E-2</v>
      </c>
      <c r="FU71" s="337">
        <f t="shared" si="113"/>
        <v>0.4357100786836785</v>
      </c>
      <c r="FV71" s="57" t="str">
        <f t="shared" si="192"/>
        <v>Dwn</v>
      </c>
      <c r="FW71" s="57" t="s">
        <v>2734</v>
      </c>
      <c r="FX71" s="57" t="str">
        <f t="shared" si="193"/>
        <v/>
      </c>
      <c r="FY71" s="57">
        <f t="shared" si="194"/>
        <v>1</v>
      </c>
      <c r="FZ71" s="57" t="str">
        <f t="shared" si="195"/>
        <v/>
      </c>
      <c r="GA71" s="57" t="str">
        <f t="shared" si="196"/>
        <v>Short</v>
      </c>
      <c r="GB71" s="57" t="str">
        <f t="shared" si="197"/>
        <v/>
      </c>
      <c r="GC71" s="57" t="str">
        <f t="shared" si="198"/>
        <v/>
      </c>
      <c r="GD71" s="57" t="str">
        <f t="shared" si="199"/>
        <v/>
      </c>
      <c r="GE71" s="62">
        <f t="shared" si="114"/>
        <v>131.41</v>
      </c>
      <c r="GF71" s="62" t="s">
        <v>2780</v>
      </c>
      <c r="GG71" s="199">
        <v>3</v>
      </c>
      <c r="GH71" s="207">
        <f t="shared" si="200"/>
        <v>394.23</v>
      </c>
      <c r="GI71" s="199">
        <v>3</v>
      </c>
      <c r="GJ71" s="200">
        <v>131.25</v>
      </c>
      <c r="GK71" s="63">
        <f t="shared" si="201"/>
        <v>0.48000000000001819</v>
      </c>
      <c r="GL71" s="63">
        <f t="shared" si="115"/>
        <v>5.910000000000025</v>
      </c>
      <c r="GM71" s="82" t="str">
        <f t="shared" si="202"/>
        <v/>
      </c>
      <c r="GN71" s="82">
        <f>IF($GZ71="",#N/A,SUM(GM$4:GM71))</f>
        <v>12.128117207185122</v>
      </c>
      <c r="GO71" s="82" t="str">
        <f t="shared" si="203"/>
        <v/>
      </c>
      <c r="GP71" s="82">
        <f>IF($GZ71="",#N/A,SUM(GO$4:GO71))</f>
        <v>8.5495513338934614</v>
      </c>
      <c r="GQ71" s="82">
        <f t="shared" si="204"/>
        <v>0.2498541460568714</v>
      </c>
      <c r="GR71" s="82">
        <f>IF($GZ71="",#N/A,SUM(GQ$4:GQ71))</f>
        <v>5.7936673931932958</v>
      </c>
      <c r="GS71" s="63" t="str">
        <f t="shared" si="212"/>
        <v/>
      </c>
      <c r="GT71" s="63">
        <f>IF($GZ71="",#N/A,SUM(GS$4:GS71))</f>
        <v>288.88992882574212</v>
      </c>
      <c r="GU71" s="63" t="str">
        <f t="shared" si="213"/>
        <v/>
      </c>
      <c r="GV71" s="63">
        <f>IF($GZ71="",#N/A,SUM(GU$4:GU71))</f>
        <v>214.45289430539293</v>
      </c>
      <c r="GW71" s="63">
        <f t="shared" si="214"/>
        <v>5.910000000000025</v>
      </c>
      <c r="GX71" s="63">
        <f>IF($GZ71="",#N/A,SUM(GW$4:GW71))</f>
        <v>148.48051890409477</v>
      </c>
      <c r="GY71" s="63">
        <f>IF(EJ71="",#N/A,SUM($EJ$4:EJ71))</f>
        <v>665.56334203522965</v>
      </c>
      <c r="GZ71" s="159">
        <v>129.44</v>
      </c>
      <c r="HA71" s="63">
        <f t="shared" si="205"/>
        <v>6.4799999999999613</v>
      </c>
      <c r="HB71" s="63" t="s">
        <v>2538</v>
      </c>
      <c r="HC71" s="60">
        <f>IFERROR(VLOOKUP(E71,Expectancy!$P$4:$S$19,1+C71,FALSE),"")</f>
        <v>0.30769020202715358</v>
      </c>
      <c r="HD71" s="60">
        <f t="shared" si="206"/>
        <v>2.0292722522386179E-2</v>
      </c>
      <c r="HE71" s="60">
        <f>IF(HD71="",#N/A,SUM($HD$4:HD71))</f>
        <v>1.4213098427848794</v>
      </c>
      <c r="HF71" s="64">
        <f>IF(HD71="",#N/A,IF(HB71="Skip",#N/A,SUM($HG$4:HG71)))</f>
        <v>39.31</v>
      </c>
      <c r="HG71" s="63">
        <f t="shared" si="207"/>
        <v>0.48000000000001819</v>
      </c>
      <c r="HH71" s="82">
        <f t="shared" si="208"/>
        <v>0.2498541460568714</v>
      </c>
      <c r="HI71" s="56"/>
    </row>
    <row r="72" spans="1:220" x14ac:dyDescent="0.25">
      <c r="A72" s="57" t="s">
        <v>1451</v>
      </c>
      <c r="B72" s="58" t="s">
        <v>5131</v>
      </c>
      <c r="C72" s="386">
        <f t="shared" si="118"/>
        <v>3</v>
      </c>
      <c r="D72" s="372" t="str">
        <f>_xlfn.XLOOKUP(A72,[1]SP500!$A$2:$A$502,[1]SP500!$D$2:$D$502,"N")</f>
        <v>Y</v>
      </c>
      <c r="E72" s="57" t="str">
        <f>_xlfn.XLOOKUP(A72,[1]SP500!$A$2:$A$655,[1]SP500!$B$2:$B$655)</f>
        <v>XLP</v>
      </c>
      <c r="F72" s="59">
        <v>45685</v>
      </c>
      <c r="G72" s="57" t="str">
        <f t="shared" si="119"/>
        <v>BMO</v>
      </c>
      <c r="H72" s="57" t="str">
        <f t="shared" si="120"/>
        <v>s</v>
      </c>
      <c r="I72" s="159">
        <v>76.86</v>
      </c>
      <c r="J72" s="159">
        <v>73.8</v>
      </c>
      <c r="K72" s="61">
        <f t="shared" si="121"/>
        <v>-3.981264637002345E-2</v>
      </c>
      <c r="L72" s="87">
        <f t="shared" si="122"/>
        <v>-15.300000000000011</v>
      </c>
      <c r="M72" s="130">
        <f t="shared" si="112"/>
        <v>0</v>
      </c>
      <c r="N72" s="219" t="str">
        <f t="shared" si="123"/>
        <v/>
      </c>
      <c r="O72" s="219">
        <f>IF($J72="",#N/A,SUM($N$4:N72))</f>
        <v>79.238947788730059</v>
      </c>
      <c r="P72" s="220" t="str">
        <f t="shared" si="124"/>
        <v/>
      </c>
      <c r="Q72" s="220">
        <f>IF($J72="",#N/A,SUM($P$4:P72))</f>
        <v>57.276464916880911</v>
      </c>
      <c r="R72" s="221">
        <f t="shared" si="125"/>
        <v>-15.300000000000011</v>
      </c>
      <c r="S72" s="222">
        <f>IF($J72="",#N/A,SUM($R$4:R72))</f>
        <v>248.26979674373206</v>
      </c>
      <c r="T72" s="281" t="str">
        <f t="shared" si="126"/>
        <v/>
      </c>
      <c r="U72" s="281">
        <f>IF($J72="",#N/A,SUM($T$4:T72))</f>
        <v>3.1828068566844223</v>
      </c>
      <c r="V72" s="282" t="str">
        <f t="shared" si="127"/>
        <v/>
      </c>
      <c r="W72" s="282">
        <f>IF($J72="",#N/A,SUM($V$4:V72))</f>
        <v>2.1289316042502735</v>
      </c>
      <c r="X72" s="283">
        <f t="shared" si="128"/>
        <v>-0.6635441061670575</v>
      </c>
      <c r="Y72" s="283">
        <f>IF($J72="",#N/A,SUM($X$4:X72))</f>
        <v>10.411737354366792</v>
      </c>
      <c r="Z72" s="304" t="str">
        <f t="shared" si="129"/>
        <v/>
      </c>
      <c r="AA72" s="304">
        <f>IF($J72="",#N/A,SUM(Z$4:Z72))</f>
        <v>1.1273861049364817</v>
      </c>
      <c r="AB72" s="305" t="str">
        <f t="shared" si="130"/>
        <v/>
      </c>
      <c r="AC72" s="305">
        <f>IF($J72="",#N/A,SUM(AB$4:AB72))</f>
        <v>0</v>
      </c>
      <c r="AD72" s="306" t="str">
        <f t="shared" si="131"/>
        <v/>
      </c>
      <c r="AE72" s="306">
        <f>IF($J72="",#N/A,SUM(AD$4:AD72))</f>
        <v>1.5553407757049009</v>
      </c>
      <c r="AF72" s="306">
        <f>IF($J72="",#N/A,SUM(AD$4:AD72,AB$4:AB72,Z$4:Z72))</f>
        <v>2.6827268806413822</v>
      </c>
      <c r="AG72" s="304" t="str">
        <f t="shared" si="132"/>
        <v/>
      </c>
      <c r="AH72" s="304">
        <f>IF($J72="",#N/A,SUM(AG$4:AG72))</f>
        <v>0</v>
      </c>
      <c r="AI72" s="305" t="str">
        <f t="shared" si="133"/>
        <v/>
      </c>
      <c r="AJ72" s="305">
        <f>IF($J72="",#N/A,SUM(AI$4:AI72))</f>
        <v>0</v>
      </c>
      <c r="AK72" s="306" t="str">
        <f t="shared" si="134"/>
        <v/>
      </c>
      <c r="AL72" s="306">
        <f>IF($J72="",#N/A,SUM(AK$4:AK72))</f>
        <v>0</v>
      </c>
      <c r="AM72" s="306">
        <f>IF($J72="",#N/A,SUM(AK$4:AK72,AI$4:AI72,AG$4:AG72))</f>
        <v>0</v>
      </c>
      <c r="AN72" s="304" t="str">
        <f t="shared" si="135"/>
        <v/>
      </c>
      <c r="AO72" s="304">
        <f>IF($J72="",#N/A,SUM(AN$4:AN72))</f>
        <v>-0.49683555963321635</v>
      </c>
      <c r="AP72" s="305" t="str">
        <f t="shared" si="136"/>
        <v/>
      </c>
      <c r="AQ72" s="305">
        <f>IF($J72="",#N/A,SUM(AP$4:AP72))</f>
        <v>0</v>
      </c>
      <c r="AR72" s="306" t="str">
        <f t="shared" si="137"/>
        <v/>
      </c>
      <c r="AS72" s="306">
        <f>IF($J72="",#N/A,SUM(AR$4:AR72))</f>
        <v>0</v>
      </c>
      <c r="AT72" s="306">
        <f>IF($J72="",#N/A,SUM(AR$4:AR72,AP$4:AP72,AN$4:AN72))</f>
        <v>-0.49683555963321635</v>
      </c>
      <c r="AU72" s="304" t="str">
        <f t="shared" si="138"/>
        <v/>
      </c>
      <c r="AV72" s="304">
        <f>IF($J72="",#N/A,SUM(AU$4:AU72))</f>
        <v>0</v>
      </c>
      <c r="AW72" s="305" t="str">
        <f t="shared" si="139"/>
        <v/>
      </c>
      <c r="AX72" s="305">
        <f>IF($J72="",#N/A,SUM(AW$4:AW72))</f>
        <v>1.2049246466562569</v>
      </c>
      <c r="AY72" s="306">
        <f t="shared" si="140"/>
        <v>-0.6635441061670575</v>
      </c>
      <c r="AZ72" s="306">
        <f>IF($J72="",#N/A,SUM(AY$4:AY72))</f>
        <v>2.2170930216497844</v>
      </c>
      <c r="BA72" s="306">
        <f>IF($J72="",#N/A,SUM(AY$4:AY72,AW$4:AW72,AU$4:AU72))</f>
        <v>3.422017668306041</v>
      </c>
      <c r="BB72" s="304" t="str">
        <f t="shared" si="141"/>
        <v/>
      </c>
      <c r="BC72" s="304">
        <f>IF($J72="",#N/A,SUM(BB$4:BB72))</f>
        <v>0.57218309859154926</v>
      </c>
      <c r="BD72" s="305" t="str">
        <f t="shared" si="142"/>
        <v/>
      </c>
      <c r="BE72" s="305">
        <f>IF($J72="",#N/A,SUM(BD$4:BD72))</f>
        <v>-0.39561000510464578</v>
      </c>
      <c r="BF72" s="306" t="str">
        <f t="shared" si="143"/>
        <v/>
      </c>
      <c r="BG72" s="306">
        <f>IF($J72="",#N/A,SUM(BF$4:BF72))</f>
        <v>2.4597169840247779</v>
      </c>
      <c r="BH72" s="306">
        <f>IF($J72="",#N/A,SUM(BF$4:BF72,BD$4:BD72,BB$4:BB72))</f>
        <v>2.6362900775116813</v>
      </c>
      <c r="BI72" s="304" t="str">
        <f t="shared" si="144"/>
        <v/>
      </c>
      <c r="BJ72" s="304">
        <f>IF($J72="",#N/A,SUM(BI$4:BI72))</f>
        <v>-0.73401118447271563</v>
      </c>
      <c r="BK72" s="305" t="str">
        <f t="shared" si="145"/>
        <v/>
      </c>
      <c r="BL72" s="305">
        <f>IF($J72="",#N/A,SUM(BK$4:BK72))</f>
        <v>0</v>
      </c>
      <c r="BM72" s="306" t="str">
        <f t="shared" si="146"/>
        <v/>
      </c>
      <c r="BN72" s="306">
        <f>IF($J72="",#N/A,SUM(BM$4:BM72))</f>
        <v>3.8210959759517467</v>
      </c>
      <c r="BO72" s="306">
        <f>IF($J72="",#N/A,SUM(BM$4:BM72,BK$4:BK72,BI$4:BI72))</f>
        <v>3.0870847914790311</v>
      </c>
      <c r="BP72" s="304" t="str">
        <f t="shared" si="147"/>
        <v/>
      </c>
      <c r="BQ72" s="304">
        <f>IF($J72="",#N/A,SUM(BP$4:BP72))</f>
        <v>3.4468416016128636</v>
      </c>
      <c r="BR72" s="305" t="str">
        <f t="shared" si="148"/>
        <v/>
      </c>
      <c r="BS72" s="305">
        <f>IF($J72="",#N/A,SUM(BR$4:BR72))</f>
        <v>0.64461012602832546</v>
      </c>
      <c r="BT72" s="306" t="str">
        <f t="shared" si="149"/>
        <v/>
      </c>
      <c r="BU72" s="306">
        <f>IF($J72="",#N/A,SUM(BT$4:BT72))</f>
        <v>-0.33591272342648226</v>
      </c>
      <c r="BV72" s="306">
        <f>IF($J72="",#N/A,SUM(BT$4:BT72,BR$4:BR72,BP$4:BP72))</f>
        <v>3.7555390042147065</v>
      </c>
      <c r="BW72" s="304" t="str">
        <f t="shared" si="150"/>
        <v/>
      </c>
      <c r="BX72" s="304">
        <f>IF($J72="",#N/A,SUM(BW$4:BW72))</f>
        <v>-0.73275720435053893</v>
      </c>
      <c r="BY72" s="305" t="str">
        <f t="shared" si="151"/>
        <v/>
      </c>
      <c r="BZ72" s="305">
        <f>IF($J72="",#N/A,SUM(BY$4:BY72))</f>
        <v>0.46686916413544804</v>
      </c>
      <c r="CA72" s="306" t="str">
        <f t="shared" si="152"/>
        <v/>
      </c>
      <c r="CB72" s="306">
        <f>IF($J72="",#N/A,SUM(CA$4:CA72))</f>
        <v>-0.45285090237845554</v>
      </c>
      <c r="CC72" s="306">
        <f>IF($J72="",#N/A,SUM(CA$4:CA72,BY$4:BY72,BW$4:BW72))</f>
        <v>-0.71873894259354643</v>
      </c>
      <c r="CD72" s="304" t="str">
        <f t="shared" si="153"/>
        <v/>
      </c>
      <c r="CE72" s="304">
        <f>IF($J72="",#N/A,SUM(CD$4:CD72))</f>
        <v>0</v>
      </c>
      <c r="CF72" s="305" t="str">
        <f t="shared" si="154"/>
        <v/>
      </c>
      <c r="CG72" s="305">
        <f>IF($J72="",#N/A,SUM(CF$4:CF72))</f>
        <v>0.41783917455444924</v>
      </c>
      <c r="CH72" s="306" t="str">
        <f t="shared" si="155"/>
        <v/>
      </c>
      <c r="CI72" s="306">
        <f>IF($J72="",#N/A,SUM(CH$4:CH72))</f>
        <v>-0.25632679632191468</v>
      </c>
      <c r="CJ72" s="306">
        <f>IF($J72="",#N/A,SUM(CH$4:CH72,CF$4:CF72,CD$4:CD72))</f>
        <v>0.16151237823253456</v>
      </c>
      <c r="CK72" s="304" t="str">
        <f t="shared" si="156"/>
        <v/>
      </c>
      <c r="CL72" s="304">
        <f>IF($J72="",#N/A,SUM(CK$4:CK72))</f>
        <v>0</v>
      </c>
      <c r="CM72" s="305" t="str">
        <f t="shared" si="157"/>
        <v/>
      </c>
      <c r="CN72" s="305">
        <f>IF($J72="",#N/A,SUM(CM$4:CM72))</f>
        <v>0</v>
      </c>
      <c r="CO72" s="306" t="str">
        <f t="shared" si="158"/>
        <v/>
      </c>
      <c r="CP72" s="306">
        <f>IF($J72="",#N/A,SUM(CO$4:CO72))</f>
        <v>-0.8814781582839023</v>
      </c>
      <c r="CQ72" s="306">
        <f>IF($J72="",#N/A,SUM(CO$4:CO72,CM$4:CM72,CK$4:CK72))</f>
        <v>-0.8814781582839023</v>
      </c>
      <c r="CR72" s="304" t="str">
        <f t="shared" si="159"/>
        <v/>
      </c>
      <c r="CS72" s="304">
        <f>IF($J72="",#N/A,SUM(CR$4:CR72))</f>
        <v>0</v>
      </c>
      <c r="CT72" s="305" t="str">
        <f t="shared" si="160"/>
        <v/>
      </c>
      <c r="CU72" s="305">
        <f>IF($J72="",#N/A,SUM(CT$4:CT72))</f>
        <v>-0.13081968772223007</v>
      </c>
      <c r="CV72" s="306" t="str">
        <f t="shared" si="161"/>
        <v/>
      </c>
      <c r="CW72" s="306">
        <f>IF($J72="",#N/A,SUM(CV$4:CV72))</f>
        <v>0.28156811782542707</v>
      </c>
      <c r="CX72" s="306">
        <f>IF($J72="",#N/A,SUM(CV$4:CV72,CT$4:CT72,CR$4:CR72))</f>
        <v>0.150748430103197</v>
      </c>
      <c r="CY72" s="304" t="str">
        <f t="shared" si="162"/>
        <v/>
      </c>
      <c r="CZ72" s="304">
        <f>IF($J72="",#N/A,SUM(CY$4:CY72))</f>
        <v>0</v>
      </c>
      <c r="DA72" s="305" t="str">
        <f t="shared" si="163"/>
        <v/>
      </c>
      <c r="DB72" s="305">
        <f>IF($J72="",#N/A,SUM(DA$4:DA72))</f>
        <v>0</v>
      </c>
      <c r="DC72" s="306" t="str">
        <f t="shared" si="164"/>
        <v/>
      </c>
      <c r="DD72" s="306">
        <f>IF($J72="",#N/A,SUM(DC$4:DC72))</f>
        <v>0</v>
      </c>
      <c r="DE72" s="306">
        <f>IF($J72="",#N/A,SUM(DC$4:DC72,DA$4:DA72,CY$4:CY72))</f>
        <v>0</v>
      </c>
      <c r="DF72" s="304" t="str">
        <f t="shared" si="165"/>
        <v/>
      </c>
      <c r="DG72" s="304">
        <f>IF($J72="",#N/A,SUM(DF$4:DF72))</f>
        <v>0</v>
      </c>
      <c r="DH72" s="305" t="str">
        <f t="shared" si="166"/>
        <v/>
      </c>
      <c r="DI72" s="305">
        <f>IF($J72="",#N/A,SUM(DH$4:DH72))</f>
        <v>0</v>
      </c>
      <c r="DJ72" s="306" t="str">
        <f t="shared" si="167"/>
        <v/>
      </c>
      <c r="DK72" s="306">
        <f>IF($J72="",#N/A,SUM(DJ$4:DJ72))</f>
        <v>0</v>
      </c>
      <c r="DL72" s="306">
        <f>IF($J72="",#N/A,SUM(DJ$4:DJ72,DH$4:DH72,DF$4:DF72))</f>
        <v>0</v>
      </c>
      <c r="DM72" s="304" t="str">
        <f t="shared" si="168"/>
        <v/>
      </c>
      <c r="DN72" s="304">
        <f>IF($J72="",#N/A,SUM(DM$4:DM72))</f>
        <v>0</v>
      </c>
      <c r="DO72" s="305" t="str">
        <f t="shared" si="169"/>
        <v/>
      </c>
      <c r="DP72" s="305">
        <f>IF($J72="",#N/A,SUM(DO$4:DO72))</f>
        <v>0</v>
      </c>
      <c r="DQ72" s="306" t="str">
        <f t="shared" si="170"/>
        <v/>
      </c>
      <c r="DR72" s="306">
        <f>IF($J72="",#N/A,SUM(DQ$4:DQ72))</f>
        <v>1.4067447983492751</v>
      </c>
      <c r="DS72" s="306">
        <f>IF($J72="",#N/A,SUM(DQ$4:DQ72,DO$4:DO72,DM$4:DM72))</f>
        <v>1.4067447983492751</v>
      </c>
      <c r="DT72" s="304" t="str">
        <f t="shared" si="171"/>
        <v/>
      </c>
      <c r="DU72" s="304">
        <f>IF($J72="",#N/A,SUM(DT$4:DT72))</f>
        <v>0</v>
      </c>
      <c r="DV72" s="305" t="str">
        <f t="shared" si="172"/>
        <v/>
      </c>
      <c r="DW72" s="305">
        <f>IF($J72="",#N/A,SUM(DV$4:DV72))</f>
        <v>0.40085630512924314</v>
      </c>
      <c r="DX72" s="306" t="str">
        <f t="shared" si="173"/>
        <v/>
      </c>
      <c r="DY72" s="306">
        <f>IF($J72="",#N/A,SUM(DX$4:DX72))</f>
        <v>0.59674626127163555</v>
      </c>
      <c r="DZ72" s="306">
        <f>IF($J72="",#N/A,SUM(DX$4:DX72,DV$4:DV72,DT$4:DT72))</f>
        <v>0.99760256640087874</v>
      </c>
      <c r="EA72" s="304" t="str">
        <f t="shared" si="174"/>
        <v/>
      </c>
      <c r="EB72" s="304">
        <f>IF($J72="",#N/A,SUM(EA$4:EA72))</f>
        <v>0</v>
      </c>
      <c r="EC72" s="305" t="str">
        <f t="shared" si="175"/>
        <v/>
      </c>
      <c r="ED72" s="305">
        <f>IF($J72="",#N/A,SUM(EC$4:EC72))</f>
        <v>-0.47973811942657352</v>
      </c>
      <c r="EE72" s="306" t="str">
        <f t="shared" si="176"/>
        <v/>
      </c>
      <c r="EF72" s="306">
        <f>IF($J72="",#N/A,SUM(EE$4:EE72))</f>
        <v>0</v>
      </c>
      <c r="EG72" s="306">
        <f>IF($J72="",#N/A,SUM(EE$4:EE72,EC$4:EC72,EA$4:EA72))</f>
        <v>-0.47973811942657352</v>
      </c>
      <c r="EH72" s="223">
        <f t="shared" si="177"/>
        <v>-15.300000000000011</v>
      </c>
      <c r="EI72" s="224">
        <f>IF(EH72="",#N/A,SUM($EH$4:EH72))</f>
        <v>384.78520944934303</v>
      </c>
      <c r="EJ72" s="223">
        <f t="shared" si="178"/>
        <v>-22.900000000000034</v>
      </c>
      <c r="EK72" s="63">
        <f>IF($GZ72="",#N/A,SUM(EJ$4:EJ72))</f>
        <v>642.66334203522956</v>
      </c>
      <c r="EL72" s="60">
        <f t="shared" si="209"/>
        <v>-0.6635441061670575</v>
      </c>
      <c r="EM72" s="60">
        <f>IF(EL72="",NA(),SUM($EL$4:EL72))</f>
        <v>15.7234758153015</v>
      </c>
      <c r="EN72" s="60" t="str">
        <f t="shared" si="179"/>
        <v/>
      </c>
      <c r="EO72" s="60" t="e">
        <f>IF(EN72="",NA(),SUM($EN$4:EN72))</f>
        <v>#N/A</v>
      </c>
      <c r="EP72" s="60">
        <f t="shared" si="180"/>
        <v>-0.6635441061670575</v>
      </c>
      <c r="EQ72" s="60">
        <f>IF(EP72="",NA(),SUM($EP$4:EP72))</f>
        <v>10.411737354366792</v>
      </c>
      <c r="ER72" s="60" t="str">
        <f t="shared" si="181"/>
        <v/>
      </c>
      <c r="ES72" s="60" t="e">
        <f>IF(ER72="",NA(),SUM($ER$4:ER72))</f>
        <v>#N/A</v>
      </c>
      <c r="ET72" s="60" t="str">
        <f t="shared" si="182"/>
        <v/>
      </c>
      <c r="EU72" s="60" t="e">
        <f>IF(ET72="",NA(),SUM($ET$4:ET72))</f>
        <v>#N/A</v>
      </c>
      <c r="EV72" s="60" t="str">
        <f t="shared" si="183"/>
        <v/>
      </c>
      <c r="EW72" s="60" t="e">
        <f>IF(EV72="",NA(),SUM($EV$4:EV72))</f>
        <v>#N/A</v>
      </c>
      <c r="EX72" s="60" t="str">
        <f t="shared" si="184"/>
        <v/>
      </c>
      <c r="EY72" s="60" t="e">
        <f>IF(EX72="",NA(),SUM($EX$4:EX72))</f>
        <v>#N/A</v>
      </c>
      <c r="EZ72" s="60" t="str">
        <f t="shared" si="185"/>
        <v/>
      </c>
      <c r="FA72" s="60" t="e">
        <f>IF(EZ72="",NA(),SUM($EZ$4:EZ72))</f>
        <v>#N/A</v>
      </c>
      <c r="FB72" s="246" t="str">
        <f t="shared" si="210"/>
        <v/>
      </c>
      <c r="FC72" s="246" t="e">
        <f>IF($FB72="",#N/A,SUM(FB$4:$FB72))</f>
        <v>#N/A</v>
      </c>
      <c r="FD72" s="60" t="str">
        <f t="shared" si="186"/>
        <v/>
      </c>
      <c r="FE72" s="60" t="e">
        <f>IF($FD72="",#N/A,SUM($FD$4:FD72))</f>
        <v>#N/A</v>
      </c>
      <c r="FF72" s="60" t="str">
        <f t="shared" si="187"/>
        <v/>
      </c>
      <c r="FG72" s="60" t="e">
        <f>IF($FF72="",#N/A,SUM($FF$4:FF72))</f>
        <v>#N/A</v>
      </c>
      <c r="FH72" s="60" t="str">
        <f t="shared" si="188"/>
        <v/>
      </c>
      <c r="FI72" s="60" t="e">
        <f>IF($FH72="",#N/A,SUM($FH$4:FH72))</f>
        <v>#N/A</v>
      </c>
      <c r="FJ72" s="60" t="str">
        <f t="shared" si="189"/>
        <v/>
      </c>
      <c r="FK72" s="60" t="e">
        <f>IF($FJ72="",#N/A,SUM($FJ$4:FJ72))</f>
        <v>#N/A</v>
      </c>
      <c r="FL72" s="60">
        <f t="shared" si="190"/>
        <v>-0.32960360829213387</v>
      </c>
      <c r="FM72" s="60">
        <f>IF($FL72="",#N/A,SUM($FL$4:FL72))</f>
        <v>0.80597824869573809</v>
      </c>
      <c r="FN72" s="82">
        <f t="shared" si="191"/>
        <v>-0.99314771445919137</v>
      </c>
      <c r="FO72" s="82">
        <f>IF($FN72="",#N/A,SUM(FN$4:$FN72))</f>
        <v>26.10402517425505</v>
      </c>
      <c r="FP72" s="82">
        <f t="shared" si="211"/>
        <v>-0.6635441061670575</v>
      </c>
      <c r="FQ72" s="246">
        <f>IF($EH72="",#N/A,SUM($FP$4:FP72))</f>
        <v>15.7234758153015</v>
      </c>
      <c r="FR72" s="82">
        <f>IFERROR(FQ72/COUNTA($J$4:J72),#N/A)</f>
        <v>0.22787646109132609</v>
      </c>
      <c r="FS72" s="82">
        <f t="shared" si="116"/>
        <v>0.19409100365377338</v>
      </c>
      <c r="FT72" s="82">
        <f t="shared" si="117"/>
        <v>1.3629293552297769E-2</v>
      </c>
      <c r="FU72" s="337">
        <f t="shared" si="113"/>
        <v>0.4357100786836785</v>
      </c>
      <c r="FV72" s="57" t="str">
        <f t="shared" si="192"/>
        <v>SW</v>
      </c>
      <c r="FW72" s="57" t="s">
        <v>2732</v>
      </c>
      <c r="FX72" s="57" t="str">
        <f t="shared" si="193"/>
        <v/>
      </c>
      <c r="FY72" s="57" t="str">
        <f t="shared" si="194"/>
        <v/>
      </c>
      <c r="FZ72" s="57" t="str">
        <f t="shared" si="195"/>
        <v/>
      </c>
      <c r="GA72" s="57" t="str">
        <f t="shared" si="196"/>
        <v>Long</v>
      </c>
      <c r="GB72" s="57" t="str">
        <f t="shared" si="197"/>
        <v/>
      </c>
      <c r="GC72" s="57" t="str">
        <f t="shared" si="198"/>
        <v/>
      </c>
      <c r="GD72" s="57">
        <f t="shared" si="199"/>
        <v>1</v>
      </c>
      <c r="GE72" s="62">
        <f t="shared" si="114"/>
        <v>76.86</v>
      </c>
      <c r="GF72" s="62" t="s">
        <v>2779</v>
      </c>
      <c r="GG72" s="199">
        <v>5</v>
      </c>
      <c r="GH72" s="207">
        <f t="shared" si="200"/>
        <v>384.3</v>
      </c>
      <c r="GI72" s="199">
        <v>5</v>
      </c>
      <c r="GJ72" s="200">
        <v>73.8</v>
      </c>
      <c r="GK72" s="63">
        <f t="shared" si="201"/>
        <v>-15.300000000000011</v>
      </c>
      <c r="GL72" s="63">
        <f t="shared" si="115"/>
        <v>-22.900000000000034</v>
      </c>
      <c r="GM72" s="82">
        <f t="shared" si="202"/>
        <v>-0.99314771445919137</v>
      </c>
      <c r="GN72" s="82">
        <f>IF($GZ72="",#N/A,SUM(GM$4:GM72))</f>
        <v>11.134969492725931</v>
      </c>
      <c r="GO72" s="82" t="str">
        <f t="shared" si="203"/>
        <v/>
      </c>
      <c r="GP72" s="82">
        <f>IF($GZ72="",#N/A,SUM(GO$4:GO72))</f>
        <v>8.5495513338934614</v>
      </c>
      <c r="GQ72" s="82" t="str">
        <f t="shared" si="204"/>
        <v/>
      </c>
      <c r="GR72" s="82">
        <f>IF($GZ72="",#N/A,SUM(GQ$4:GQ72))</f>
        <v>5.7936673931932958</v>
      </c>
      <c r="GS72" s="63">
        <f t="shared" si="212"/>
        <v>-22.900000000000034</v>
      </c>
      <c r="GT72" s="63">
        <f>IF($GZ72="",#N/A,SUM(GS$4:GS72))</f>
        <v>265.98992882574208</v>
      </c>
      <c r="GU72" s="63" t="str">
        <f t="shared" si="213"/>
        <v/>
      </c>
      <c r="GV72" s="63">
        <f>IF($GZ72="",#N/A,SUM(GU$4:GU72))</f>
        <v>214.45289430539293</v>
      </c>
      <c r="GW72" s="63" t="str">
        <f t="shared" si="214"/>
        <v/>
      </c>
      <c r="GX72" s="63">
        <f>IF($GZ72="",#N/A,SUM(GW$4:GW72))</f>
        <v>148.48051890409477</v>
      </c>
      <c r="GY72" s="63">
        <f>IF(EJ72="",#N/A,SUM($EJ$4:EJ72))</f>
        <v>642.66334203522956</v>
      </c>
      <c r="GZ72" s="159">
        <v>72.28</v>
      </c>
      <c r="HA72" s="63">
        <f t="shared" si="205"/>
        <v>-7.6000000000000227</v>
      </c>
      <c r="HB72" s="63" t="s">
        <v>2538</v>
      </c>
      <c r="HC72" s="60">
        <f>IFERROR(VLOOKUP(E72,Expectancy!$P$4:$S$19,1+C72,FALSE),"")</f>
        <v>0.40561946259505821</v>
      </c>
      <c r="HD72" s="60">
        <f t="shared" si="206"/>
        <v>-0.6635441061670575</v>
      </c>
      <c r="HE72" s="60">
        <f>IF(HD72="",#N/A,SUM($HD$4:HD72))</f>
        <v>0.75776573661782187</v>
      </c>
      <c r="HF72" s="64">
        <f>IF(HD72="",#N/A,IF(HB72="Skip",#N/A,SUM($HG$4:HG72)))</f>
        <v>24.009999999999991</v>
      </c>
      <c r="HG72" s="63">
        <f t="shared" si="207"/>
        <v>-15.300000000000011</v>
      </c>
      <c r="HH72" s="82">
        <f t="shared" si="208"/>
        <v>-0.99314771445919137</v>
      </c>
      <c r="HI72" s="56"/>
    </row>
    <row r="73" spans="1:220" x14ac:dyDescent="0.25">
      <c r="A73" s="57" t="s">
        <v>1504</v>
      </c>
      <c r="B73" s="58" t="s">
        <v>5133</v>
      </c>
      <c r="C73" s="386">
        <f t="shared" si="118"/>
        <v>1</v>
      </c>
      <c r="D73" s="372" t="str">
        <f>_xlfn.XLOOKUP(A73,[1]SP500!$A$2:$A$502,[1]SP500!$D$2:$D$502,"N")</f>
        <v>Y</v>
      </c>
      <c r="E73" s="57" t="str">
        <f>_xlfn.XLOOKUP(A73,[1]SP500!$A$2:$A$655,[1]SP500!$B$2:$B$655)</f>
        <v>XLF</v>
      </c>
      <c r="F73" s="59">
        <v>45685</v>
      </c>
      <c r="G73" s="57" t="str">
        <f t="shared" si="119"/>
        <v>BMO</v>
      </c>
      <c r="H73" s="57" t="str">
        <f t="shared" si="120"/>
        <v>s</v>
      </c>
      <c r="I73" s="159">
        <v>69.86</v>
      </c>
      <c r="J73" s="159">
        <v>66.5</v>
      </c>
      <c r="K73" s="61">
        <f t="shared" si="121"/>
        <v>-4.8096192384769532E-2</v>
      </c>
      <c r="L73" s="87">
        <f t="shared" si="122"/>
        <v>-20.159999999999968</v>
      </c>
      <c r="M73" s="130">
        <f t="shared" si="112"/>
        <v>0</v>
      </c>
      <c r="N73" s="169">
        <f t="shared" si="123"/>
        <v>-20.159999999999968</v>
      </c>
      <c r="O73" s="169">
        <f>IF($J73="",#N/A,SUM($N$4:N73))</f>
        <v>59.07894778873009</v>
      </c>
      <c r="P73" s="174" t="str">
        <f t="shared" si="124"/>
        <v/>
      </c>
      <c r="Q73" s="174">
        <f>IF($J73="",#N/A,SUM($P$4:P73))</f>
        <v>57.276464916880911</v>
      </c>
      <c r="R73" s="178" t="str">
        <f t="shared" si="125"/>
        <v/>
      </c>
      <c r="S73" s="178">
        <f>IF($J73="",#N/A,SUM($R$4:R73))</f>
        <v>248.26979674373206</v>
      </c>
      <c r="T73" s="290">
        <f t="shared" si="126"/>
        <v>-0.80160320641282456</v>
      </c>
      <c r="U73" s="290">
        <f>IF($J73="",#N/A,SUM($T$4:T73))</f>
        <v>2.3812036502715976</v>
      </c>
      <c r="V73" s="291" t="str">
        <f t="shared" si="127"/>
        <v/>
      </c>
      <c r="W73" s="291">
        <f>IF($J73="",#N/A,SUM($V$4:V73))</f>
        <v>2.1289316042502735</v>
      </c>
      <c r="X73" s="292" t="str">
        <f t="shared" si="128"/>
        <v/>
      </c>
      <c r="Y73" s="283">
        <f>IF($J73="",#N/A,SUM($X$4:X73))</f>
        <v>10.411737354366792</v>
      </c>
      <c r="Z73" s="304" t="str">
        <f t="shared" si="129"/>
        <v/>
      </c>
      <c r="AA73" s="313">
        <f>IF($J73="",#N/A,SUM(Z$4:Z73))</f>
        <v>1.1273861049364817</v>
      </c>
      <c r="AB73" s="314" t="str">
        <f t="shared" si="130"/>
        <v/>
      </c>
      <c r="AC73" s="314">
        <f>IF($J73="",#N/A,SUM(AB$4:AB73))</f>
        <v>0</v>
      </c>
      <c r="AD73" s="315" t="str">
        <f t="shared" si="131"/>
        <v/>
      </c>
      <c r="AE73" s="315">
        <f>IF($J73="",#N/A,SUM(AD$4:AD73))</f>
        <v>1.5553407757049009</v>
      </c>
      <c r="AF73" s="315">
        <f>IF($J73="",#N/A,SUM(AD$4:AD73,AB$4:AB73,Z$4:Z73))</f>
        <v>2.6827268806413822</v>
      </c>
      <c r="AG73" s="304" t="str">
        <f t="shared" si="132"/>
        <v/>
      </c>
      <c r="AH73" s="313">
        <f>IF($J73="",#N/A,SUM(AG$4:AG73))</f>
        <v>0</v>
      </c>
      <c r="AI73" s="314" t="str">
        <f t="shared" si="133"/>
        <v/>
      </c>
      <c r="AJ73" s="314">
        <f>IF($J73="",#N/A,SUM(AI$4:AI73))</f>
        <v>0</v>
      </c>
      <c r="AK73" s="315" t="str">
        <f t="shared" si="134"/>
        <v/>
      </c>
      <c r="AL73" s="315">
        <f>IF($J73="",#N/A,SUM(AK$4:AK73))</f>
        <v>0</v>
      </c>
      <c r="AM73" s="315">
        <f>IF($J73="",#N/A,SUM(AK$4:AK73,AI$4:AI73,AG$4:AG73))</f>
        <v>0</v>
      </c>
      <c r="AN73" s="304" t="str">
        <f t="shared" si="135"/>
        <v/>
      </c>
      <c r="AO73" s="313">
        <f>IF($J73="",#N/A,SUM(AN$4:AN73))</f>
        <v>-0.49683555963321635</v>
      </c>
      <c r="AP73" s="314" t="str">
        <f t="shared" si="136"/>
        <v/>
      </c>
      <c r="AQ73" s="314">
        <f>IF($J73="",#N/A,SUM(AP$4:AP73))</f>
        <v>0</v>
      </c>
      <c r="AR73" s="315" t="str">
        <f t="shared" si="137"/>
        <v/>
      </c>
      <c r="AS73" s="315">
        <f>IF($J73="",#N/A,SUM(AR$4:AR73))</f>
        <v>0</v>
      </c>
      <c r="AT73" s="315">
        <f>IF($J73="",#N/A,SUM(AR$4:AR73,AP$4:AP73,AN$4:AN73))</f>
        <v>-0.49683555963321635</v>
      </c>
      <c r="AU73" s="304" t="str">
        <f t="shared" si="138"/>
        <v/>
      </c>
      <c r="AV73" s="313">
        <f>IF($J73="",#N/A,SUM(AU$4:AU73))</f>
        <v>0</v>
      </c>
      <c r="AW73" s="314" t="str">
        <f t="shared" si="139"/>
        <v/>
      </c>
      <c r="AX73" s="314">
        <f>IF($J73="",#N/A,SUM(AW$4:AW73))</f>
        <v>1.2049246466562569</v>
      </c>
      <c r="AY73" s="315" t="str">
        <f t="shared" si="140"/>
        <v/>
      </c>
      <c r="AZ73" s="315">
        <f>IF($J73="",#N/A,SUM(AY$4:AY73))</f>
        <v>2.2170930216497844</v>
      </c>
      <c r="BA73" s="315">
        <f>IF($J73="",#N/A,SUM(AY$4:AY73,AW$4:AW73,AU$4:AU73))</f>
        <v>3.422017668306041</v>
      </c>
      <c r="BB73" s="304" t="str">
        <f t="shared" si="141"/>
        <v/>
      </c>
      <c r="BC73" s="313">
        <f>IF($J73="",#N/A,SUM(BB$4:BB73))</f>
        <v>0.57218309859154926</v>
      </c>
      <c r="BD73" s="314" t="str">
        <f t="shared" si="142"/>
        <v/>
      </c>
      <c r="BE73" s="314">
        <f>IF($J73="",#N/A,SUM(BD$4:BD73))</f>
        <v>-0.39561000510464578</v>
      </c>
      <c r="BF73" s="315" t="str">
        <f t="shared" si="143"/>
        <v/>
      </c>
      <c r="BG73" s="315">
        <f>IF($J73="",#N/A,SUM(BF$4:BF73))</f>
        <v>2.4597169840247779</v>
      </c>
      <c r="BH73" s="315">
        <f>IF($J73="",#N/A,SUM(BF$4:BF73,BD$4:BD73,BB$4:BB73))</f>
        <v>2.6362900775116813</v>
      </c>
      <c r="BI73" s="304">
        <f t="shared" si="144"/>
        <v>-0.80160320641282456</v>
      </c>
      <c r="BJ73" s="313">
        <f>IF($J73="",#N/A,SUM(BI$4:BI73))</f>
        <v>-1.5356143908855402</v>
      </c>
      <c r="BK73" s="314" t="str">
        <f t="shared" si="145"/>
        <v/>
      </c>
      <c r="BL73" s="314">
        <f>IF($J73="",#N/A,SUM(BK$4:BK73))</f>
        <v>0</v>
      </c>
      <c r="BM73" s="315" t="str">
        <f t="shared" si="146"/>
        <v/>
      </c>
      <c r="BN73" s="315">
        <f>IF($J73="",#N/A,SUM(BM$4:BM73))</f>
        <v>3.8210959759517467</v>
      </c>
      <c r="BO73" s="315">
        <f>IF($J73="",#N/A,SUM(BM$4:BM73,BK$4:BK73,BI$4:BI73))</f>
        <v>2.2854815850662065</v>
      </c>
      <c r="BP73" s="304" t="str">
        <f t="shared" si="147"/>
        <v/>
      </c>
      <c r="BQ73" s="313">
        <f>IF($J73="",#N/A,SUM(BP$4:BP73))</f>
        <v>3.4468416016128636</v>
      </c>
      <c r="BR73" s="314" t="str">
        <f t="shared" si="148"/>
        <v/>
      </c>
      <c r="BS73" s="314">
        <f>IF($J73="",#N/A,SUM(BR$4:BR73))</f>
        <v>0.64461012602832546</v>
      </c>
      <c r="BT73" s="315" t="str">
        <f t="shared" si="149"/>
        <v/>
      </c>
      <c r="BU73" s="315">
        <f>IF($J73="",#N/A,SUM(BT$4:BT73))</f>
        <v>-0.33591272342648226</v>
      </c>
      <c r="BV73" s="315">
        <f>IF($J73="",#N/A,SUM(BT$4:BT73,BR$4:BR73,BP$4:BP73))</f>
        <v>3.7555390042147065</v>
      </c>
      <c r="BW73" s="304" t="str">
        <f t="shared" si="150"/>
        <v/>
      </c>
      <c r="BX73" s="313">
        <f>IF($J73="",#N/A,SUM(BW$4:BW73))</f>
        <v>-0.73275720435053893</v>
      </c>
      <c r="BY73" s="314" t="str">
        <f t="shared" si="151"/>
        <v/>
      </c>
      <c r="BZ73" s="314">
        <f>IF($J73="",#N/A,SUM(BY$4:BY73))</f>
        <v>0.46686916413544804</v>
      </c>
      <c r="CA73" s="315" t="str">
        <f t="shared" si="152"/>
        <v/>
      </c>
      <c r="CB73" s="315">
        <f>IF($J73="",#N/A,SUM(CA$4:CA73))</f>
        <v>-0.45285090237845554</v>
      </c>
      <c r="CC73" s="315">
        <f>IF($J73="",#N/A,SUM(CA$4:CA73,BY$4:BY73,BW$4:BW73))</f>
        <v>-0.71873894259354643</v>
      </c>
      <c r="CD73" s="304" t="str">
        <f t="shared" si="153"/>
        <v/>
      </c>
      <c r="CE73" s="313">
        <f>IF($J73="",#N/A,SUM(CD$4:CD73))</f>
        <v>0</v>
      </c>
      <c r="CF73" s="314" t="str">
        <f t="shared" si="154"/>
        <v/>
      </c>
      <c r="CG73" s="314">
        <f>IF($J73="",#N/A,SUM(CF$4:CF73))</f>
        <v>0.41783917455444924</v>
      </c>
      <c r="CH73" s="315" t="str">
        <f t="shared" si="155"/>
        <v/>
      </c>
      <c r="CI73" s="315">
        <f>IF($J73="",#N/A,SUM(CH$4:CH73))</f>
        <v>-0.25632679632191468</v>
      </c>
      <c r="CJ73" s="315">
        <f>IF($J73="",#N/A,SUM(CH$4:CH73,CF$4:CF73,CD$4:CD73))</f>
        <v>0.16151237823253456</v>
      </c>
      <c r="CK73" s="304" t="str">
        <f t="shared" si="156"/>
        <v/>
      </c>
      <c r="CL73" s="313">
        <f>IF($J73="",#N/A,SUM(CK$4:CK73))</f>
        <v>0</v>
      </c>
      <c r="CM73" s="314" t="str">
        <f t="shared" si="157"/>
        <v/>
      </c>
      <c r="CN73" s="314">
        <f>IF($J73="",#N/A,SUM(CM$4:CM73))</f>
        <v>0</v>
      </c>
      <c r="CO73" s="315" t="str">
        <f t="shared" si="158"/>
        <v/>
      </c>
      <c r="CP73" s="315">
        <f>IF($J73="",#N/A,SUM(CO$4:CO73))</f>
        <v>-0.8814781582839023</v>
      </c>
      <c r="CQ73" s="315">
        <f>IF($J73="",#N/A,SUM(CO$4:CO73,CM$4:CM73,CK$4:CK73))</f>
        <v>-0.8814781582839023</v>
      </c>
      <c r="CR73" s="304" t="str">
        <f t="shared" si="159"/>
        <v/>
      </c>
      <c r="CS73" s="313">
        <f>IF($J73="",#N/A,SUM(CR$4:CR73))</f>
        <v>0</v>
      </c>
      <c r="CT73" s="314" t="str">
        <f t="shared" si="160"/>
        <v/>
      </c>
      <c r="CU73" s="314">
        <f>IF($J73="",#N/A,SUM(CT$4:CT73))</f>
        <v>-0.13081968772223007</v>
      </c>
      <c r="CV73" s="315" t="str">
        <f t="shared" si="161"/>
        <v/>
      </c>
      <c r="CW73" s="315">
        <f>IF($J73="",#N/A,SUM(CV$4:CV73))</f>
        <v>0.28156811782542707</v>
      </c>
      <c r="CX73" s="315">
        <f>IF($J73="",#N/A,SUM(CV$4:CV73,CT$4:CT73,CR$4:CR73))</f>
        <v>0.150748430103197</v>
      </c>
      <c r="CY73" s="304" t="str">
        <f t="shared" si="162"/>
        <v/>
      </c>
      <c r="CZ73" s="313">
        <f>IF($J73="",#N/A,SUM(CY$4:CY73))</f>
        <v>0</v>
      </c>
      <c r="DA73" s="314" t="str">
        <f t="shared" si="163"/>
        <v/>
      </c>
      <c r="DB73" s="314">
        <f>IF($J73="",#N/A,SUM(DA$4:DA73))</f>
        <v>0</v>
      </c>
      <c r="DC73" s="315" t="str">
        <f t="shared" si="164"/>
        <v/>
      </c>
      <c r="DD73" s="315">
        <f>IF($J73="",#N/A,SUM(DC$4:DC73))</f>
        <v>0</v>
      </c>
      <c r="DE73" s="315">
        <f>IF($J73="",#N/A,SUM(DC$4:DC73,DA$4:DA73,CY$4:CY73))</f>
        <v>0</v>
      </c>
      <c r="DF73" s="304" t="str">
        <f t="shared" si="165"/>
        <v/>
      </c>
      <c r="DG73" s="313">
        <f>IF($J73="",#N/A,SUM(DF$4:DF73))</f>
        <v>0</v>
      </c>
      <c r="DH73" s="314" t="str">
        <f t="shared" si="166"/>
        <v/>
      </c>
      <c r="DI73" s="314">
        <f>IF($J73="",#N/A,SUM(DH$4:DH73))</f>
        <v>0</v>
      </c>
      <c r="DJ73" s="315" t="str">
        <f t="shared" si="167"/>
        <v/>
      </c>
      <c r="DK73" s="315">
        <f>IF($J73="",#N/A,SUM(DJ$4:DJ73))</f>
        <v>0</v>
      </c>
      <c r="DL73" s="315">
        <f>IF($J73="",#N/A,SUM(DJ$4:DJ73,DH$4:DH73,DF$4:DF73))</f>
        <v>0</v>
      </c>
      <c r="DM73" s="304" t="str">
        <f t="shared" si="168"/>
        <v/>
      </c>
      <c r="DN73" s="313">
        <f>IF($J73="",#N/A,SUM(DM$4:DM73))</f>
        <v>0</v>
      </c>
      <c r="DO73" s="314" t="str">
        <f t="shared" si="169"/>
        <v/>
      </c>
      <c r="DP73" s="314">
        <f>IF($J73="",#N/A,SUM(DO$4:DO73))</f>
        <v>0</v>
      </c>
      <c r="DQ73" s="315" t="str">
        <f t="shared" si="170"/>
        <v/>
      </c>
      <c r="DR73" s="315">
        <f>IF($J73="",#N/A,SUM(DQ$4:DQ73))</f>
        <v>1.4067447983492751</v>
      </c>
      <c r="DS73" s="315">
        <f>IF($J73="",#N/A,SUM(DQ$4:DQ73,DO$4:DO73,DM$4:DM73))</f>
        <v>1.4067447983492751</v>
      </c>
      <c r="DT73" s="304" t="str">
        <f t="shared" si="171"/>
        <v/>
      </c>
      <c r="DU73" s="313">
        <f>IF($J73="",#N/A,SUM(DT$4:DT73))</f>
        <v>0</v>
      </c>
      <c r="DV73" s="314" t="str">
        <f t="shared" si="172"/>
        <v/>
      </c>
      <c r="DW73" s="314">
        <f>IF($J73="",#N/A,SUM(DV$4:DV73))</f>
        <v>0.40085630512924314</v>
      </c>
      <c r="DX73" s="315" t="str">
        <f t="shared" si="173"/>
        <v/>
      </c>
      <c r="DY73" s="315">
        <f>IF($J73="",#N/A,SUM(DX$4:DX73))</f>
        <v>0.59674626127163555</v>
      </c>
      <c r="DZ73" s="315">
        <f>IF($J73="",#N/A,SUM(DX$4:DX73,DV$4:DV73,DT$4:DT73))</f>
        <v>0.99760256640087874</v>
      </c>
      <c r="EA73" s="304" t="str">
        <f t="shared" si="174"/>
        <v/>
      </c>
      <c r="EB73" s="313">
        <f>IF($J73="",#N/A,SUM(EA$4:EA73))</f>
        <v>0</v>
      </c>
      <c r="EC73" s="314" t="str">
        <f t="shared" si="175"/>
        <v/>
      </c>
      <c r="ED73" s="314">
        <f>IF($J73="",#N/A,SUM(EC$4:EC73))</f>
        <v>-0.47973811942657352</v>
      </c>
      <c r="EE73" s="315" t="str">
        <f t="shared" si="176"/>
        <v/>
      </c>
      <c r="EF73" s="315">
        <f>IF($J73="",#N/A,SUM(EE$4:EE73))</f>
        <v>0</v>
      </c>
      <c r="EG73" s="315">
        <f>IF($J73="",#N/A,SUM(EE$4:EE73,EC$4:EC73,EA$4:EA73))</f>
        <v>-0.47973811942657352</v>
      </c>
      <c r="EH73" s="130">
        <f t="shared" si="177"/>
        <v>-20.159999999999968</v>
      </c>
      <c r="EI73" s="63">
        <f>IF(EH73="",#N/A,SUM($EH$4:EH73))</f>
        <v>364.62520944934306</v>
      </c>
      <c r="EJ73" s="223">
        <f t="shared" si="178"/>
        <v>-19.199999999999989</v>
      </c>
      <c r="EK73" s="63">
        <f>IF($GZ73="",#N/A,SUM(EJ$4:EJ73))</f>
        <v>623.46334203522952</v>
      </c>
      <c r="EL73" s="60">
        <f t="shared" si="209"/>
        <v>-0.80160320641282456</v>
      </c>
      <c r="EM73" s="60">
        <f>IF(EL73="",NA(),SUM($EL$4:EL73))</f>
        <v>14.921872608888675</v>
      </c>
      <c r="EN73" s="60">
        <f t="shared" si="179"/>
        <v>-0.80160320641282456</v>
      </c>
      <c r="EO73" s="60">
        <f>IF(EN73="",NA(),SUM($EN$4:EN73))</f>
        <v>2.3812036502715976</v>
      </c>
      <c r="EP73" s="60" t="str">
        <f t="shared" si="180"/>
        <v/>
      </c>
      <c r="EQ73" s="60" t="e">
        <f>IF(EP73="",NA(),SUM($EP$4:EP73))</f>
        <v>#N/A</v>
      </c>
      <c r="ER73" s="60" t="str">
        <f t="shared" si="181"/>
        <v/>
      </c>
      <c r="ES73" s="60" t="e">
        <f>IF(ER73="",NA(),SUM($ER$4:ER73))</f>
        <v>#N/A</v>
      </c>
      <c r="ET73" s="60" t="str">
        <f t="shared" si="182"/>
        <v/>
      </c>
      <c r="EU73" s="60" t="e">
        <f>IF(ET73="",NA(),SUM($ET$4:ET73))</f>
        <v>#N/A</v>
      </c>
      <c r="EV73" s="60" t="str">
        <f t="shared" si="183"/>
        <v/>
      </c>
      <c r="EW73" s="60" t="e">
        <f>IF(EV73="",NA(),SUM($EV$4:EV73))</f>
        <v>#N/A</v>
      </c>
      <c r="EX73" s="60" t="str">
        <f t="shared" si="184"/>
        <v/>
      </c>
      <c r="EY73" s="60" t="e">
        <f>IF(EX73="",NA(),SUM($EX$4:EX73))</f>
        <v>#N/A</v>
      </c>
      <c r="EZ73" s="60" t="str">
        <f t="shared" si="185"/>
        <v/>
      </c>
      <c r="FA73" s="60" t="e">
        <f>IF(EZ73="",NA(),SUM($EZ$4:EZ73))</f>
        <v>#N/A</v>
      </c>
      <c r="FB73" s="246" t="str">
        <f t="shared" si="210"/>
        <v/>
      </c>
      <c r="FC73" s="246" t="e">
        <f>IF($FB73="",#N/A,SUM(FB$4:$FB73))</f>
        <v>#N/A</v>
      </c>
      <c r="FD73" s="60" t="str">
        <f t="shared" si="186"/>
        <v/>
      </c>
      <c r="FE73" s="60" t="e">
        <f>IF($FD73="",#N/A,SUM($FD$4:FD73))</f>
        <v>#N/A</v>
      </c>
      <c r="FF73" s="60" t="str">
        <f t="shared" si="187"/>
        <v/>
      </c>
      <c r="FG73" s="60" t="e">
        <f>IF($FF73="",#N/A,SUM($FF$4:FF73))</f>
        <v>#N/A</v>
      </c>
      <c r="FH73" s="60">
        <f t="shared" si="188"/>
        <v>3.8171581257752885E-2</v>
      </c>
      <c r="FI73" s="60">
        <f>IF($FH73="",#N/A,SUM($FH$4:FH73))</f>
        <v>1.6677348691881559</v>
      </c>
      <c r="FJ73" s="60" t="str">
        <f t="shared" si="189"/>
        <v/>
      </c>
      <c r="FK73" s="60" t="e">
        <f>IF($FJ73="",#N/A,SUM($FJ$4:FJ73))</f>
        <v>#N/A</v>
      </c>
      <c r="FL73" s="60" t="str">
        <f t="shared" si="190"/>
        <v/>
      </c>
      <c r="FM73" s="60" t="e">
        <f>IF($FL73="",#N/A,SUM($FL$4:FL73))</f>
        <v>#N/A</v>
      </c>
      <c r="FN73" s="82">
        <f t="shared" si="191"/>
        <v>-0.76343162515507168</v>
      </c>
      <c r="FO73" s="82">
        <f>IF($FN73="",#N/A,SUM(FN$4:$FN73))</f>
        <v>25.340593549099978</v>
      </c>
      <c r="FP73" s="82">
        <f t="shared" si="211"/>
        <v>-0.80160320641282456</v>
      </c>
      <c r="FQ73" s="246">
        <f>IF($EH73="",#N/A,SUM($FP$4:FP73))</f>
        <v>14.921872608888675</v>
      </c>
      <c r="FR73" s="82">
        <f>IFERROR(FQ73/COUNTA($J$4:J73),#N/A)</f>
        <v>0.21316960869840965</v>
      </c>
      <c r="FS73" s="82">
        <f t="shared" si="116"/>
        <v>0.18117476876233807</v>
      </c>
      <c r="FT73" s="82">
        <f t="shared" si="117"/>
        <v>-5.172470867513327E-2</v>
      </c>
      <c r="FU73" s="337">
        <f t="shared" si="113"/>
        <v>0.4357100786836785</v>
      </c>
      <c r="FV73" s="57" t="str">
        <f t="shared" si="192"/>
        <v>Up</v>
      </c>
      <c r="FW73" s="57" t="s">
        <v>2734</v>
      </c>
      <c r="FX73" s="57" t="str">
        <f t="shared" si="193"/>
        <v/>
      </c>
      <c r="FY73" s="57" t="str">
        <f t="shared" si="194"/>
        <v/>
      </c>
      <c r="FZ73" s="57" t="str">
        <f t="shared" si="195"/>
        <v/>
      </c>
      <c r="GA73" s="57" t="str">
        <f t="shared" si="196"/>
        <v>Long</v>
      </c>
      <c r="GB73" s="57" t="str">
        <f t="shared" si="197"/>
        <v/>
      </c>
      <c r="GC73" s="57">
        <f t="shared" si="198"/>
        <v>1</v>
      </c>
      <c r="GD73" s="57" t="str">
        <f t="shared" si="199"/>
        <v/>
      </c>
      <c r="GE73" s="62">
        <f t="shared" si="114"/>
        <v>69.86</v>
      </c>
      <c r="GF73" s="62" t="s">
        <v>2779</v>
      </c>
      <c r="GG73" s="199">
        <v>6</v>
      </c>
      <c r="GH73" s="207">
        <f t="shared" si="200"/>
        <v>419.15999999999997</v>
      </c>
      <c r="GI73" s="199">
        <v>6</v>
      </c>
      <c r="GJ73" s="200">
        <v>66.5</v>
      </c>
      <c r="GK73" s="63">
        <f t="shared" si="201"/>
        <v>-20.159999999999968</v>
      </c>
      <c r="GL73" s="63">
        <f t="shared" si="115"/>
        <v>-19.199999999999989</v>
      </c>
      <c r="GM73" s="82" t="str">
        <f t="shared" si="202"/>
        <v/>
      </c>
      <c r="GN73" s="82">
        <f>IF($GZ73="",#N/A,SUM(GM$4:GM73))</f>
        <v>11.134969492725931</v>
      </c>
      <c r="GO73" s="82">
        <f t="shared" si="203"/>
        <v>-0.76343162515507168</v>
      </c>
      <c r="GP73" s="82">
        <f>IF($GZ73="",#N/A,SUM(GO$4:GO73))</f>
        <v>7.78611970873839</v>
      </c>
      <c r="GQ73" s="82" t="str">
        <f t="shared" si="204"/>
        <v/>
      </c>
      <c r="GR73" s="82">
        <f>IF($GZ73="",#N/A,SUM(GQ$4:GQ73))</f>
        <v>5.7936673931932958</v>
      </c>
      <c r="GS73" s="63" t="str">
        <f t="shared" si="212"/>
        <v/>
      </c>
      <c r="GT73" s="63">
        <f>IF($GZ73="",#N/A,SUM(GS$4:GS73))</f>
        <v>265.98992882574208</v>
      </c>
      <c r="GU73" s="63">
        <f t="shared" si="213"/>
        <v>-19.199999999999989</v>
      </c>
      <c r="GV73" s="63">
        <f>IF($GZ73="",#N/A,SUM(GU$4:GU73))</f>
        <v>195.25289430539294</v>
      </c>
      <c r="GW73" s="63" t="str">
        <f t="shared" si="214"/>
        <v/>
      </c>
      <c r="GX73" s="63">
        <f>IF($GZ73="",#N/A,SUM(GW$4:GW73))</f>
        <v>148.48051890409477</v>
      </c>
      <c r="GY73" s="63">
        <f>IF(EJ73="",#N/A,SUM($EJ$4:EJ73))</f>
        <v>623.46334203522952</v>
      </c>
      <c r="GZ73" s="159">
        <v>66.66</v>
      </c>
      <c r="HA73" s="63">
        <f t="shared" si="205"/>
        <v>0.95999999999997954</v>
      </c>
      <c r="HB73" s="63" t="s">
        <v>2538</v>
      </c>
      <c r="HC73" s="60">
        <f>IFERROR(VLOOKUP(E73,Expectancy!$P$4:$S$19,1+C73,FALSE),"")</f>
        <v>-7.9483352726509887E-2</v>
      </c>
      <c r="HD73" s="60">
        <f t="shared" si="206"/>
        <v>-0.80160320641282456</v>
      </c>
      <c r="HE73" s="60">
        <f>IF(HD73="",#N/A,SUM($HD$4:HD73))</f>
        <v>-4.3837469795002693E-2</v>
      </c>
      <c r="HF73" s="64">
        <f>IF(HD73="",#N/A,IF(HB73="Skip",#N/A,SUM($HG$4:HG73)))</f>
        <v>3.8500000000000227</v>
      </c>
      <c r="HG73" s="63">
        <f t="shared" si="207"/>
        <v>-20.159999999999968</v>
      </c>
      <c r="HH73" s="82">
        <f t="shared" si="208"/>
        <v>-0.76343162515507168</v>
      </c>
      <c r="HI73" s="56"/>
    </row>
    <row r="74" spans="1:220" x14ac:dyDescent="0.25">
      <c r="A74" s="57" t="s">
        <v>1607</v>
      </c>
      <c r="B74" s="58" t="s">
        <v>5134</v>
      </c>
      <c r="C74" s="386">
        <f t="shared" si="118"/>
        <v>3</v>
      </c>
      <c r="D74" s="372" t="str">
        <f>_xlfn.XLOOKUP(A74,[1]SP500!$A$2:$A$502,[1]SP500!$D$2:$D$502,"N")</f>
        <v>Y</v>
      </c>
      <c r="E74" s="57" t="str">
        <f>_xlfn.XLOOKUP(A74,[1]SP500!$A$2:$A$655,[1]SP500!$B$2:$B$655)</f>
        <v>XLF</v>
      </c>
      <c r="F74" s="59">
        <v>45685</v>
      </c>
      <c r="G74" s="57" t="str">
        <f t="shared" si="119"/>
        <v>BMO</v>
      </c>
      <c r="H74" s="57" t="str">
        <f t="shared" si="120"/>
        <v>s</v>
      </c>
      <c r="I74" s="159">
        <v>17.75</v>
      </c>
      <c r="J74" s="159">
        <v>18.75</v>
      </c>
      <c r="K74" s="61">
        <f t="shared" si="121"/>
        <v>5.6338028169014086E-2</v>
      </c>
      <c r="L74" s="87">
        <f t="shared" si="122"/>
        <v>23</v>
      </c>
      <c r="M74" s="130">
        <f t="shared" si="112"/>
        <v>0.91999999999995907</v>
      </c>
      <c r="N74" s="169" t="str">
        <f t="shared" si="123"/>
        <v/>
      </c>
      <c r="O74" s="169">
        <f>IF($J74="",#N/A,SUM($N$4:N74))</f>
        <v>59.07894778873009</v>
      </c>
      <c r="P74" s="174" t="str">
        <f t="shared" si="124"/>
        <v/>
      </c>
      <c r="Q74" s="174">
        <f>IF($J74="",#N/A,SUM($P$4:P74))</f>
        <v>57.276464916880911</v>
      </c>
      <c r="R74" s="178">
        <f t="shared" si="125"/>
        <v>23</v>
      </c>
      <c r="S74" s="178">
        <f>IF($J74="",#N/A,SUM($R$4:R74))</f>
        <v>271.26979674373206</v>
      </c>
      <c r="T74" s="290" t="str">
        <f t="shared" si="126"/>
        <v/>
      </c>
      <c r="U74" s="290">
        <f>IF($J74="",#N/A,SUM($T$4:T74))</f>
        <v>2.3812036502715976</v>
      </c>
      <c r="V74" s="291" t="str">
        <f t="shared" si="127"/>
        <v/>
      </c>
      <c r="W74" s="291">
        <f>IF($J74="",#N/A,SUM($V$4:V74))</f>
        <v>2.1289316042502735</v>
      </c>
      <c r="X74" s="292">
        <f t="shared" si="128"/>
        <v>0.93896713615023486</v>
      </c>
      <c r="Y74" s="283">
        <f>IF($J74="",#N/A,SUM($X$4:X74))</f>
        <v>11.350704490517026</v>
      </c>
      <c r="Z74" s="304" t="str">
        <f t="shared" si="129"/>
        <v/>
      </c>
      <c r="AA74" s="313">
        <f>IF($J74="",#N/A,SUM(Z$4:Z74))</f>
        <v>1.1273861049364817</v>
      </c>
      <c r="AB74" s="314" t="str">
        <f t="shared" si="130"/>
        <v/>
      </c>
      <c r="AC74" s="314">
        <f>IF($J74="",#N/A,SUM(AB$4:AB74))</f>
        <v>0</v>
      </c>
      <c r="AD74" s="315" t="str">
        <f t="shared" si="131"/>
        <v/>
      </c>
      <c r="AE74" s="315">
        <f>IF($J74="",#N/A,SUM(AD$4:AD74))</f>
        <v>1.5553407757049009</v>
      </c>
      <c r="AF74" s="315">
        <f>IF($J74="",#N/A,SUM(AD$4:AD74,AB$4:AB74,Z$4:Z74))</f>
        <v>2.6827268806413822</v>
      </c>
      <c r="AG74" s="304" t="str">
        <f t="shared" si="132"/>
        <v/>
      </c>
      <c r="AH74" s="313">
        <f>IF($J74="",#N/A,SUM(AG$4:AG74))</f>
        <v>0</v>
      </c>
      <c r="AI74" s="314" t="str">
        <f t="shared" si="133"/>
        <v/>
      </c>
      <c r="AJ74" s="314">
        <f>IF($J74="",#N/A,SUM(AI$4:AI74))</f>
        <v>0</v>
      </c>
      <c r="AK74" s="315" t="str">
        <f t="shared" si="134"/>
        <v/>
      </c>
      <c r="AL74" s="315">
        <f>IF($J74="",#N/A,SUM(AK$4:AK74))</f>
        <v>0</v>
      </c>
      <c r="AM74" s="315">
        <f>IF($J74="",#N/A,SUM(AK$4:AK74,AI$4:AI74,AG$4:AG74))</f>
        <v>0</v>
      </c>
      <c r="AN74" s="304" t="str">
        <f t="shared" si="135"/>
        <v/>
      </c>
      <c r="AO74" s="313">
        <f>IF($J74="",#N/A,SUM(AN$4:AN74))</f>
        <v>-0.49683555963321635</v>
      </c>
      <c r="AP74" s="314" t="str">
        <f t="shared" si="136"/>
        <v/>
      </c>
      <c r="AQ74" s="314">
        <f>IF($J74="",#N/A,SUM(AP$4:AP74))</f>
        <v>0</v>
      </c>
      <c r="AR74" s="315" t="str">
        <f t="shared" si="137"/>
        <v/>
      </c>
      <c r="AS74" s="315">
        <f>IF($J74="",#N/A,SUM(AR$4:AR74))</f>
        <v>0</v>
      </c>
      <c r="AT74" s="315">
        <f>IF($J74="",#N/A,SUM(AR$4:AR74,AP$4:AP74,AN$4:AN74))</f>
        <v>-0.49683555963321635</v>
      </c>
      <c r="AU74" s="304" t="str">
        <f t="shared" si="138"/>
        <v/>
      </c>
      <c r="AV74" s="313">
        <f>IF($J74="",#N/A,SUM(AU$4:AU74))</f>
        <v>0</v>
      </c>
      <c r="AW74" s="314" t="str">
        <f t="shared" si="139"/>
        <v/>
      </c>
      <c r="AX74" s="314">
        <f>IF($J74="",#N/A,SUM(AW$4:AW74))</f>
        <v>1.2049246466562569</v>
      </c>
      <c r="AY74" s="315" t="str">
        <f t="shared" si="140"/>
        <v/>
      </c>
      <c r="AZ74" s="315">
        <f>IF($J74="",#N/A,SUM(AY$4:AY74))</f>
        <v>2.2170930216497844</v>
      </c>
      <c r="BA74" s="315">
        <f>IF($J74="",#N/A,SUM(AY$4:AY74,AW$4:AW74,AU$4:AU74))</f>
        <v>3.422017668306041</v>
      </c>
      <c r="BB74" s="304" t="str">
        <f t="shared" si="141"/>
        <v/>
      </c>
      <c r="BC74" s="313">
        <f>IF($J74="",#N/A,SUM(BB$4:BB74))</f>
        <v>0.57218309859154926</v>
      </c>
      <c r="BD74" s="314" t="str">
        <f t="shared" si="142"/>
        <v/>
      </c>
      <c r="BE74" s="314">
        <f>IF($J74="",#N/A,SUM(BD$4:BD74))</f>
        <v>-0.39561000510464578</v>
      </c>
      <c r="BF74" s="315" t="str">
        <f t="shared" si="143"/>
        <v/>
      </c>
      <c r="BG74" s="315">
        <f>IF($J74="",#N/A,SUM(BF$4:BF74))</f>
        <v>2.4597169840247779</v>
      </c>
      <c r="BH74" s="315">
        <f>IF($J74="",#N/A,SUM(BF$4:BF74,BD$4:BD74,BB$4:BB74))</f>
        <v>2.6362900775116813</v>
      </c>
      <c r="BI74" s="304" t="str">
        <f t="shared" si="144"/>
        <v/>
      </c>
      <c r="BJ74" s="313">
        <f>IF($J74="",#N/A,SUM(BI$4:BI74))</f>
        <v>-1.5356143908855402</v>
      </c>
      <c r="BK74" s="314" t="str">
        <f t="shared" si="145"/>
        <v/>
      </c>
      <c r="BL74" s="314">
        <f>IF($J74="",#N/A,SUM(BK$4:BK74))</f>
        <v>0</v>
      </c>
      <c r="BM74" s="315">
        <f t="shared" si="146"/>
        <v>0.93896713615023486</v>
      </c>
      <c r="BN74" s="315">
        <f>IF($J74="",#N/A,SUM(BM$4:BM74))</f>
        <v>4.7600631121019816</v>
      </c>
      <c r="BO74" s="315">
        <f>IF($J74="",#N/A,SUM(BM$4:BM74,BK$4:BK74,BI$4:BI74))</f>
        <v>3.224448721216441</v>
      </c>
      <c r="BP74" s="304" t="str">
        <f t="shared" si="147"/>
        <v/>
      </c>
      <c r="BQ74" s="313">
        <f>IF($J74="",#N/A,SUM(BP$4:BP74))</f>
        <v>3.4468416016128636</v>
      </c>
      <c r="BR74" s="314" t="str">
        <f t="shared" si="148"/>
        <v/>
      </c>
      <c r="BS74" s="314">
        <f>IF($J74="",#N/A,SUM(BR$4:BR74))</f>
        <v>0.64461012602832546</v>
      </c>
      <c r="BT74" s="315" t="str">
        <f t="shared" si="149"/>
        <v/>
      </c>
      <c r="BU74" s="315">
        <f>IF($J74="",#N/A,SUM(BT$4:BT74))</f>
        <v>-0.33591272342648226</v>
      </c>
      <c r="BV74" s="315">
        <f>IF($J74="",#N/A,SUM(BT$4:BT74,BR$4:BR74,BP$4:BP74))</f>
        <v>3.7555390042147065</v>
      </c>
      <c r="BW74" s="304" t="str">
        <f t="shared" si="150"/>
        <v/>
      </c>
      <c r="BX74" s="313">
        <f>IF($J74="",#N/A,SUM(BW$4:BW74))</f>
        <v>-0.73275720435053893</v>
      </c>
      <c r="BY74" s="314" t="str">
        <f t="shared" si="151"/>
        <v/>
      </c>
      <c r="BZ74" s="314">
        <f>IF($J74="",#N/A,SUM(BY$4:BY74))</f>
        <v>0.46686916413544804</v>
      </c>
      <c r="CA74" s="315" t="str">
        <f t="shared" si="152"/>
        <v/>
      </c>
      <c r="CB74" s="315">
        <f>IF($J74="",#N/A,SUM(CA$4:CA74))</f>
        <v>-0.45285090237845554</v>
      </c>
      <c r="CC74" s="315">
        <f>IF($J74="",#N/A,SUM(CA$4:CA74,BY$4:BY74,BW$4:BW74))</f>
        <v>-0.71873894259354643</v>
      </c>
      <c r="CD74" s="304" t="str">
        <f t="shared" si="153"/>
        <v/>
      </c>
      <c r="CE74" s="313">
        <f>IF($J74="",#N/A,SUM(CD$4:CD74))</f>
        <v>0</v>
      </c>
      <c r="CF74" s="314" t="str">
        <f t="shared" si="154"/>
        <v/>
      </c>
      <c r="CG74" s="314">
        <f>IF($J74="",#N/A,SUM(CF$4:CF74))</f>
        <v>0.41783917455444924</v>
      </c>
      <c r="CH74" s="315" t="str">
        <f t="shared" si="155"/>
        <v/>
      </c>
      <c r="CI74" s="315">
        <f>IF($J74="",#N/A,SUM(CH$4:CH74))</f>
        <v>-0.25632679632191468</v>
      </c>
      <c r="CJ74" s="315">
        <f>IF($J74="",#N/A,SUM(CH$4:CH74,CF$4:CF74,CD$4:CD74))</f>
        <v>0.16151237823253456</v>
      </c>
      <c r="CK74" s="304" t="str">
        <f t="shared" si="156"/>
        <v/>
      </c>
      <c r="CL74" s="313">
        <f>IF($J74="",#N/A,SUM(CK$4:CK74))</f>
        <v>0</v>
      </c>
      <c r="CM74" s="314" t="str">
        <f t="shared" si="157"/>
        <v/>
      </c>
      <c r="CN74" s="314">
        <f>IF($J74="",#N/A,SUM(CM$4:CM74))</f>
        <v>0</v>
      </c>
      <c r="CO74" s="315" t="str">
        <f t="shared" si="158"/>
        <v/>
      </c>
      <c r="CP74" s="315">
        <f>IF($J74="",#N/A,SUM(CO$4:CO74))</f>
        <v>-0.8814781582839023</v>
      </c>
      <c r="CQ74" s="315">
        <f>IF($J74="",#N/A,SUM(CO$4:CO74,CM$4:CM74,CK$4:CK74))</f>
        <v>-0.8814781582839023</v>
      </c>
      <c r="CR74" s="304" t="str">
        <f t="shared" si="159"/>
        <v/>
      </c>
      <c r="CS74" s="313">
        <f>IF($J74="",#N/A,SUM(CR$4:CR74))</f>
        <v>0</v>
      </c>
      <c r="CT74" s="314" t="str">
        <f t="shared" si="160"/>
        <v/>
      </c>
      <c r="CU74" s="314">
        <f>IF($J74="",#N/A,SUM(CT$4:CT74))</f>
        <v>-0.13081968772223007</v>
      </c>
      <c r="CV74" s="315" t="str">
        <f t="shared" si="161"/>
        <v/>
      </c>
      <c r="CW74" s="315">
        <f>IF($J74="",#N/A,SUM(CV$4:CV74))</f>
        <v>0.28156811782542707</v>
      </c>
      <c r="CX74" s="315">
        <f>IF($J74="",#N/A,SUM(CV$4:CV74,CT$4:CT74,CR$4:CR74))</f>
        <v>0.150748430103197</v>
      </c>
      <c r="CY74" s="304" t="str">
        <f t="shared" si="162"/>
        <v/>
      </c>
      <c r="CZ74" s="313">
        <f>IF($J74="",#N/A,SUM(CY$4:CY74))</f>
        <v>0</v>
      </c>
      <c r="DA74" s="314" t="str">
        <f t="shared" si="163"/>
        <v/>
      </c>
      <c r="DB74" s="314">
        <f>IF($J74="",#N/A,SUM(DA$4:DA74))</f>
        <v>0</v>
      </c>
      <c r="DC74" s="315" t="str">
        <f t="shared" si="164"/>
        <v/>
      </c>
      <c r="DD74" s="315">
        <f>IF($J74="",#N/A,SUM(DC$4:DC74))</f>
        <v>0</v>
      </c>
      <c r="DE74" s="315">
        <f>IF($J74="",#N/A,SUM(DC$4:DC74,DA$4:DA74,CY$4:CY74))</f>
        <v>0</v>
      </c>
      <c r="DF74" s="304" t="str">
        <f t="shared" si="165"/>
        <v/>
      </c>
      <c r="DG74" s="313">
        <f>IF($J74="",#N/A,SUM(DF$4:DF74))</f>
        <v>0</v>
      </c>
      <c r="DH74" s="314" t="str">
        <f t="shared" si="166"/>
        <v/>
      </c>
      <c r="DI74" s="314">
        <f>IF($J74="",#N/A,SUM(DH$4:DH74))</f>
        <v>0</v>
      </c>
      <c r="DJ74" s="315" t="str">
        <f t="shared" si="167"/>
        <v/>
      </c>
      <c r="DK74" s="315">
        <f>IF($J74="",#N/A,SUM(DJ$4:DJ74))</f>
        <v>0</v>
      </c>
      <c r="DL74" s="315">
        <f>IF($J74="",#N/A,SUM(DJ$4:DJ74,DH$4:DH74,DF$4:DF74))</f>
        <v>0</v>
      </c>
      <c r="DM74" s="304" t="str">
        <f t="shared" si="168"/>
        <v/>
      </c>
      <c r="DN74" s="313">
        <f>IF($J74="",#N/A,SUM(DM$4:DM74))</f>
        <v>0</v>
      </c>
      <c r="DO74" s="314" t="str">
        <f t="shared" si="169"/>
        <v/>
      </c>
      <c r="DP74" s="314">
        <f>IF($J74="",#N/A,SUM(DO$4:DO74))</f>
        <v>0</v>
      </c>
      <c r="DQ74" s="315" t="str">
        <f t="shared" si="170"/>
        <v/>
      </c>
      <c r="DR74" s="315">
        <f>IF($J74="",#N/A,SUM(DQ$4:DQ74))</f>
        <v>1.4067447983492751</v>
      </c>
      <c r="DS74" s="315">
        <f>IF($J74="",#N/A,SUM(DQ$4:DQ74,DO$4:DO74,DM$4:DM74))</f>
        <v>1.4067447983492751</v>
      </c>
      <c r="DT74" s="304" t="str">
        <f t="shared" si="171"/>
        <v/>
      </c>
      <c r="DU74" s="313">
        <f>IF($J74="",#N/A,SUM(DT$4:DT74))</f>
        <v>0</v>
      </c>
      <c r="DV74" s="314" t="str">
        <f t="shared" si="172"/>
        <v/>
      </c>
      <c r="DW74" s="314">
        <f>IF($J74="",#N/A,SUM(DV$4:DV74))</f>
        <v>0.40085630512924314</v>
      </c>
      <c r="DX74" s="315" t="str">
        <f t="shared" si="173"/>
        <v/>
      </c>
      <c r="DY74" s="315">
        <f>IF($J74="",#N/A,SUM(DX$4:DX74))</f>
        <v>0.59674626127163555</v>
      </c>
      <c r="DZ74" s="315">
        <f>IF($J74="",#N/A,SUM(DX$4:DX74,DV$4:DV74,DT$4:DT74))</f>
        <v>0.99760256640087874</v>
      </c>
      <c r="EA74" s="304" t="str">
        <f t="shared" si="174"/>
        <v/>
      </c>
      <c r="EB74" s="313">
        <f>IF($J74="",#N/A,SUM(EA$4:EA74))</f>
        <v>0</v>
      </c>
      <c r="EC74" s="314" t="str">
        <f t="shared" si="175"/>
        <v/>
      </c>
      <c r="ED74" s="314">
        <f>IF($J74="",#N/A,SUM(EC$4:EC74))</f>
        <v>-0.47973811942657352</v>
      </c>
      <c r="EE74" s="315" t="str">
        <f t="shared" si="176"/>
        <v/>
      </c>
      <c r="EF74" s="315">
        <f>IF($J74="",#N/A,SUM(EE$4:EE74))</f>
        <v>0</v>
      </c>
      <c r="EG74" s="315">
        <f>IF($J74="",#N/A,SUM(EE$4:EE74,EC$4:EC74,EA$4:EA74))</f>
        <v>-0.47973811942657352</v>
      </c>
      <c r="EH74" s="130">
        <f t="shared" si="177"/>
        <v>23</v>
      </c>
      <c r="EI74" s="63">
        <f>IF(EH74="",#N/A,SUM($EH$4:EH74))</f>
        <v>387.62520944934306</v>
      </c>
      <c r="EJ74" s="223">
        <f t="shared" si="178"/>
        <v>36.569999999999993</v>
      </c>
      <c r="EK74" s="63">
        <f>IF($GZ74="",#N/A,SUM(EJ$4:EJ74))</f>
        <v>660.03334203522945</v>
      </c>
      <c r="EL74" s="60">
        <f t="shared" si="209"/>
        <v>0.93896713615023486</v>
      </c>
      <c r="EM74" s="60">
        <f>IF(EL74="",NA(),SUM($EL$4:EL74))</f>
        <v>15.860839745038909</v>
      </c>
      <c r="EN74" s="60" t="str">
        <f t="shared" si="179"/>
        <v/>
      </c>
      <c r="EO74" s="60" t="e">
        <f>IF(EN74="",NA(),SUM($EN$4:EN74))</f>
        <v>#N/A</v>
      </c>
      <c r="EP74" s="60">
        <f t="shared" si="180"/>
        <v>0.93896713615023486</v>
      </c>
      <c r="EQ74" s="60">
        <f>IF(EP74="",NA(),SUM($EP$4:EP74))</f>
        <v>11.350704490517026</v>
      </c>
      <c r="ER74" s="60" t="str">
        <f t="shared" si="181"/>
        <v/>
      </c>
      <c r="ES74" s="60" t="e">
        <f>IF(ER74="",NA(),SUM($ER$4:ER74))</f>
        <v>#N/A</v>
      </c>
      <c r="ET74" s="60" t="str">
        <f t="shared" si="182"/>
        <v/>
      </c>
      <c r="EU74" s="60" t="e">
        <f>IF(ET74="",NA(),SUM($ET$4:ET74))</f>
        <v>#N/A</v>
      </c>
      <c r="EV74" s="60" t="str">
        <f t="shared" si="183"/>
        <v/>
      </c>
      <c r="EW74" s="60" t="e">
        <f>IF(EV74="",NA(),SUM($EV$4:EV74))</f>
        <v>#N/A</v>
      </c>
      <c r="EX74" s="60" t="str">
        <f t="shared" si="184"/>
        <v/>
      </c>
      <c r="EY74" s="60" t="e">
        <f>IF(EX74="",NA(),SUM($EX$4:EX74))</f>
        <v>#N/A</v>
      </c>
      <c r="EZ74" s="60" t="str">
        <f t="shared" si="185"/>
        <v/>
      </c>
      <c r="FA74" s="60" t="e">
        <f>IF(EZ74="",NA(),SUM($EZ$4:EZ74))</f>
        <v>#N/A</v>
      </c>
      <c r="FB74" s="246" t="str">
        <f t="shared" si="210"/>
        <v/>
      </c>
      <c r="FC74" s="246" t="e">
        <f>IF($FB74="",#N/A,SUM(FB$4:$FB74))</f>
        <v>#N/A</v>
      </c>
      <c r="FD74" s="60" t="str">
        <f t="shared" si="186"/>
        <v/>
      </c>
      <c r="FE74" s="60" t="e">
        <f>IF($FD74="",#N/A,SUM($FD$4:FD74))</f>
        <v>#N/A</v>
      </c>
      <c r="FF74" s="60" t="str">
        <f t="shared" si="187"/>
        <v/>
      </c>
      <c r="FG74" s="60" t="e">
        <f>IF($FF74="",#N/A,SUM($FF$4:FF74))</f>
        <v>#N/A</v>
      </c>
      <c r="FH74" s="60" t="str">
        <f t="shared" si="188"/>
        <v/>
      </c>
      <c r="FI74" s="60" t="e">
        <f>IF($FH74="",#N/A,SUM($FH$4:FH74))</f>
        <v>#N/A</v>
      </c>
      <c r="FJ74" s="60">
        <f t="shared" si="189"/>
        <v>0.55399061032863817</v>
      </c>
      <c r="FK74" s="60">
        <f>IF($FJ74="",#N/A,SUM($FJ$4:FJ74))</f>
        <v>0.47124449999203966</v>
      </c>
      <c r="FL74" s="60" t="str">
        <f t="shared" si="190"/>
        <v/>
      </c>
      <c r="FM74" s="60" t="e">
        <f>IF($FL74="",#N/A,SUM($FL$4:FL74))</f>
        <v>#N/A</v>
      </c>
      <c r="FN74" s="82">
        <f t="shared" si="191"/>
        <v>1.492957746478873</v>
      </c>
      <c r="FO74" s="82">
        <f>IF($FN74="",#N/A,SUM(FN$4:$FN74))</f>
        <v>26.83355129557885</v>
      </c>
      <c r="FP74" s="82">
        <f t="shared" si="211"/>
        <v>0.93896713615023486</v>
      </c>
      <c r="FQ74" s="246">
        <f>IF($EH74="",#N/A,SUM($FP$4:FP74))</f>
        <v>15.860839745038909</v>
      </c>
      <c r="FR74" s="82">
        <f>IFERROR(FQ74/COUNTA($J$4:J74),#N/A)</f>
        <v>0.22339210908505505</v>
      </c>
      <c r="FS74" s="82">
        <f t="shared" si="116"/>
        <v>0.18973962325888794</v>
      </c>
      <c r="FT74" s="82">
        <f t="shared" si="117"/>
        <v>-3.7465505555191715E-2</v>
      </c>
      <c r="FU74" s="337">
        <f t="shared" si="113"/>
        <v>0.39815139323767035</v>
      </c>
      <c r="FV74" s="57" t="str">
        <f t="shared" si="192"/>
        <v>SW</v>
      </c>
      <c r="FW74" s="57" t="s">
        <v>2732</v>
      </c>
      <c r="FX74" s="57" t="str">
        <f t="shared" si="193"/>
        <v/>
      </c>
      <c r="FY74" s="57" t="str">
        <f t="shared" si="194"/>
        <v/>
      </c>
      <c r="FZ74" s="57">
        <f t="shared" si="195"/>
        <v>1</v>
      </c>
      <c r="GA74" s="57" t="str">
        <f t="shared" si="196"/>
        <v>Long</v>
      </c>
      <c r="GB74" s="57" t="str">
        <f t="shared" si="197"/>
        <v/>
      </c>
      <c r="GC74" s="57" t="str">
        <f t="shared" si="198"/>
        <v/>
      </c>
      <c r="GD74" s="57" t="str">
        <f t="shared" si="199"/>
        <v/>
      </c>
      <c r="GE74" s="62">
        <f t="shared" si="114"/>
        <v>17.75</v>
      </c>
      <c r="GF74" s="62" t="s">
        <v>2779</v>
      </c>
      <c r="GG74" s="199">
        <v>23</v>
      </c>
      <c r="GH74" s="207">
        <f t="shared" si="200"/>
        <v>408.25</v>
      </c>
      <c r="GI74" s="199">
        <v>23</v>
      </c>
      <c r="GJ74" s="200">
        <v>18.79</v>
      </c>
      <c r="GK74" s="63">
        <f t="shared" si="201"/>
        <v>23.919999999999959</v>
      </c>
      <c r="GL74" s="63">
        <f t="shared" si="115"/>
        <v>36.569999999999993</v>
      </c>
      <c r="GM74" s="82">
        <f t="shared" si="202"/>
        <v>1.492957746478873</v>
      </c>
      <c r="GN74" s="82">
        <f>IF($GZ74="",#N/A,SUM(GM$4:GM74))</f>
        <v>12.627927239204805</v>
      </c>
      <c r="GO74" s="82" t="str">
        <f t="shared" si="203"/>
        <v/>
      </c>
      <c r="GP74" s="82">
        <f>IF($GZ74="",#N/A,SUM(GO$4:GO74))</f>
        <v>7.78611970873839</v>
      </c>
      <c r="GQ74" s="82" t="str">
        <f t="shared" si="204"/>
        <v/>
      </c>
      <c r="GR74" s="82">
        <f>IF($GZ74="",#N/A,SUM(GQ$4:GQ74))</f>
        <v>5.7936673931932958</v>
      </c>
      <c r="GS74" s="63">
        <f t="shared" si="212"/>
        <v>36.569999999999993</v>
      </c>
      <c r="GT74" s="63">
        <f>IF($GZ74="",#N/A,SUM(GS$4:GS74))</f>
        <v>302.55992882574208</v>
      </c>
      <c r="GU74" s="63" t="str">
        <f t="shared" si="213"/>
        <v/>
      </c>
      <c r="GV74" s="63">
        <f>IF($GZ74="",#N/A,SUM(GU$4:GU74))</f>
        <v>195.25289430539294</v>
      </c>
      <c r="GW74" s="63" t="str">
        <f t="shared" si="214"/>
        <v/>
      </c>
      <c r="GX74" s="63">
        <f>IF($GZ74="",#N/A,SUM(GW$4:GW74))</f>
        <v>148.48051890409477</v>
      </c>
      <c r="GY74" s="63">
        <f>IF(EJ74="",#N/A,SUM($EJ$4:EJ74))</f>
        <v>660.03334203522945</v>
      </c>
      <c r="GZ74" s="159">
        <v>19.34</v>
      </c>
      <c r="HA74" s="63">
        <f t="shared" si="205"/>
        <v>13.569999999999993</v>
      </c>
      <c r="HB74" s="63" t="s">
        <v>2538</v>
      </c>
      <c r="HC74" s="60">
        <f>IFERROR(VLOOKUP(E74,Expectancy!$P$4:$S$19,1+C74,FALSE),"")</f>
        <v>9.9793136114217987E-2</v>
      </c>
      <c r="HD74" s="60">
        <f t="shared" si="206"/>
        <v>0.97652582159624257</v>
      </c>
      <c r="HE74" s="60">
        <f>IF(HD74="",#N/A,SUM($HD$4:HD74))</f>
        <v>0.93268835180123988</v>
      </c>
      <c r="HF74" s="64">
        <f>IF(HD74="",#N/A,IF(HB74="Skip",#N/A,SUM($HG$4:HG74)))</f>
        <v>27.769999999999982</v>
      </c>
      <c r="HG74" s="63">
        <f t="shared" si="207"/>
        <v>23.919999999999959</v>
      </c>
      <c r="HH74" s="82">
        <f t="shared" si="208"/>
        <v>1.492957746478873</v>
      </c>
      <c r="HI74" s="56"/>
    </row>
    <row r="75" spans="1:220" x14ac:dyDescent="0.25">
      <c r="A75" s="57" t="s">
        <v>1328</v>
      </c>
      <c r="B75" s="58" t="s">
        <v>5135</v>
      </c>
      <c r="C75" s="386">
        <f t="shared" si="118"/>
        <v>3</v>
      </c>
      <c r="D75" s="372" t="str">
        <f>_xlfn.XLOOKUP(A75,[1]SP500!$A$2:$A$502,[1]SP500!$D$2:$D$502,"N")</f>
        <v>Y</v>
      </c>
      <c r="E75" s="57" t="str">
        <f>_xlfn.XLOOKUP(A75,[1]SP500!$A$2:$A$655,[1]SP500!$B$2:$B$655)</f>
        <v>XLV</v>
      </c>
      <c r="F75" s="59">
        <v>45685</v>
      </c>
      <c r="G75" s="57" t="str">
        <f t="shared" si="119"/>
        <v>AMC</v>
      </c>
      <c r="H75" s="57" t="str">
        <f t="shared" si="120"/>
        <v>s</v>
      </c>
      <c r="I75" s="159">
        <v>395.15</v>
      </c>
      <c r="J75" s="158">
        <v>395</v>
      </c>
      <c r="K75" s="61">
        <f t="shared" si="121"/>
        <v>-3.7960268252556568E-4</v>
      </c>
      <c r="L75" s="87">
        <f t="shared" si="122"/>
        <v>-0.14999999999997726</v>
      </c>
      <c r="M75" s="130" t="e">
        <f t="shared" si="112"/>
        <v>#N/A</v>
      </c>
      <c r="N75" s="169" t="str">
        <f t="shared" si="123"/>
        <v/>
      </c>
      <c r="O75" s="169">
        <f>IF($J75="",#N/A,SUM($N$4:N75))</f>
        <v>59.07894778873009</v>
      </c>
      <c r="P75" s="174" t="str">
        <f t="shared" si="124"/>
        <v/>
      </c>
      <c r="Q75" s="174">
        <f>IF($J75="",#N/A,SUM($P$4:P75))</f>
        <v>57.276464916880911</v>
      </c>
      <c r="R75" s="178">
        <f t="shared" si="125"/>
        <v>-0.14999999999997726</v>
      </c>
      <c r="S75" s="178">
        <f>IF($J75="",#N/A,SUM($R$4:R75))</f>
        <v>271.11979674373208</v>
      </c>
      <c r="T75" s="290" t="str">
        <f t="shared" si="126"/>
        <v/>
      </c>
      <c r="U75" s="290">
        <f>IF($J75="",#N/A,SUM($T$4:T75))</f>
        <v>2.3812036502715976</v>
      </c>
      <c r="V75" s="291" t="str">
        <f t="shared" si="127"/>
        <v/>
      </c>
      <c r="W75" s="291">
        <f>IF($J75="",#N/A,SUM($V$4:V75))</f>
        <v>2.1289316042502735</v>
      </c>
      <c r="X75" s="292">
        <f t="shared" si="128"/>
        <v>-6.3267113754260952E-3</v>
      </c>
      <c r="Y75" s="283">
        <f>IF($J75="",#N/A,SUM($X$4:X75))</f>
        <v>11.344377779141601</v>
      </c>
      <c r="Z75" s="304" t="str">
        <f t="shared" si="129"/>
        <v/>
      </c>
      <c r="AA75" s="313">
        <f>IF($J75="",#N/A,SUM(Z$4:Z75))</f>
        <v>1.1273861049364817</v>
      </c>
      <c r="AB75" s="314" t="str">
        <f t="shared" si="130"/>
        <v/>
      </c>
      <c r="AC75" s="314">
        <f>IF($J75="",#N/A,SUM(AB$4:AB75))</f>
        <v>0</v>
      </c>
      <c r="AD75" s="315" t="str">
        <f t="shared" si="131"/>
        <v/>
      </c>
      <c r="AE75" s="315">
        <f>IF($J75="",#N/A,SUM(AD$4:AD75))</f>
        <v>1.5553407757049009</v>
      </c>
      <c r="AF75" s="315">
        <f>IF($J75="",#N/A,SUM(AD$4:AD75,AB$4:AB75,Z$4:Z75))</f>
        <v>2.6827268806413822</v>
      </c>
      <c r="AG75" s="304" t="str">
        <f t="shared" si="132"/>
        <v/>
      </c>
      <c r="AH75" s="313">
        <f>IF($J75="",#N/A,SUM(AG$4:AG75))</f>
        <v>0</v>
      </c>
      <c r="AI75" s="314" t="str">
        <f t="shared" si="133"/>
        <v/>
      </c>
      <c r="AJ75" s="314">
        <f>IF($J75="",#N/A,SUM(AI$4:AI75))</f>
        <v>0</v>
      </c>
      <c r="AK75" s="315" t="str">
        <f t="shared" si="134"/>
        <v/>
      </c>
      <c r="AL75" s="315">
        <f>IF($J75="",#N/A,SUM(AK$4:AK75))</f>
        <v>0</v>
      </c>
      <c r="AM75" s="315">
        <f>IF($J75="",#N/A,SUM(AK$4:AK75,AI$4:AI75,AG$4:AG75))</f>
        <v>0</v>
      </c>
      <c r="AN75" s="304" t="str">
        <f t="shared" si="135"/>
        <v/>
      </c>
      <c r="AO75" s="313">
        <f>IF($J75="",#N/A,SUM(AN$4:AN75))</f>
        <v>-0.49683555963321635</v>
      </c>
      <c r="AP75" s="314" t="str">
        <f t="shared" si="136"/>
        <v/>
      </c>
      <c r="AQ75" s="314">
        <f>IF($J75="",#N/A,SUM(AP$4:AP75))</f>
        <v>0</v>
      </c>
      <c r="AR75" s="315" t="str">
        <f t="shared" si="137"/>
        <v/>
      </c>
      <c r="AS75" s="315">
        <f>IF($J75="",#N/A,SUM(AR$4:AR75))</f>
        <v>0</v>
      </c>
      <c r="AT75" s="315">
        <f>IF($J75="",#N/A,SUM(AR$4:AR75,AP$4:AP75,AN$4:AN75))</f>
        <v>-0.49683555963321635</v>
      </c>
      <c r="AU75" s="304" t="str">
        <f t="shared" si="138"/>
        <v/>
      </c>
      <c r="AV75" s="313">
        <f>IF($J75="",#N/A,SUM(AU$4:AU75))</f>
        <v>0</v>
      </c>
      <c r="AW75" s="314" t="str">
        <f t="shared" si="139"/>
        <v/>
      </c>
      <c r="AX75" s="314">
        <f>IF($J75="",#N/A,SUM(AW$4:AW75))</f>
        <v>1.2049246466562569</v>
      </c>
      <c r="AY75" s="315" t="str">
        <f t="shared" si="140"/>
        <v/>
      </c>
      <c r="AZ75" s="315">
        <f>IF($J75="",#N/A,SUM(AY$4:AY75))</f>
        <v>2.2170930216497844</v>
      </c>
      <c r="BA75" s="315">
        <f>IF($J75="",#N/A,SUM(AY$4:AY75,AW$4:AW75,AU$4:AU75))</f>
        <v>3.422017668306041</v>
      </c>
      <c r="BB75" s="304" t="str">
        <f t="shared" si="141"/>
        <v/>
      </c>
      <c r="BC75" s="313">
        <f>IF($J75="",#N/A,SUM(BB$4:BB75))</f>
        <v>0.57218309859154926</v>
      </c>
      <c r="BD75" s="314" t="str">
        <f t="shared" si="142"/>
        <v/>
      </c>
      <c r="BE75" s="314">
        <f>IF($J75="",#N/A,SUM(BD$4:BD75))</f>
        <v>-0.39561000510464578</v>
      </c>
      <c r="BF75" s="315" t="str">
        <f t="shared" si="143"/>
        <v/>
      </c>
      <c r="BG75" s="315">
        <f>IF($J75="",#N/A,SUM(BF$4:BF75))</f>
        <v>2.4597169840247779</v>
      </c>
      <c r="BH75" s="315">
        <f>IF($J75="",#N/A,SUM(BF$4:BF75,BD$4:BD75,BB$4:BB75))</f>
        <v>2.6362900775116813</v>
      </c>
      <c r="BI75" s="304" t="str">
        <f t="shared" si="144"/>
        <v/>
      </c>
      <c r="BJ75" s="313">
        <f>IF($J75="",#N/A,SUM(BI$4:BI75))</f>
        <v>-1.5356143908855402</v>
      </c>
      <c r="BK75" s="314" t="str">
        <f t="shared" si="145"/>
        <v/>
      </c>
      <c r="BL75" s="314">
        <f>IF($J75="",#N/A,SUM(BK$4:BK75))</f>
        <v>0</v>
      </c>
      <c r="BM75" s="315" t="str">
        <f t="shared" si="146"/>
        <v/>
      </c>
      <c r="BN75" s="315">
        <f>IF($J75="",#N/A,SUM(BM$4:BM75))</f>
        <v>4.7600631121019816</v>
      </c>
      <c r="BO75" s="315">
        <f>IF($J75="",#N/A,SUM(BM$4:BM75,BK$4:BK75,BI$4:BI75))</f>
        <v>3.224448721216441</v>
      </c>
      <c r="BP75" s="304" t="str">
        <f t="shared" si="147"/>
        <v/>
      </c>
      <c r="BQ75" s="313">
        <f>IF($J75="",#N/A,SUM(BP$4:BP75))</f>
        <v>3.4468416016128636</v>
      </c>
      <c r="BR75" s="314" t="str">
        <f t="shared" si="148"/>
        <v/>
      </c>
      <c r="BS75" s="314">
        <f>IF($J75="",#N/A,SUM(BR$4:BR75))</f>
        <v>0.64461012602832546</v>
      </c>
      <c r="BT75" s="315" t="str">
        <f t="shared" si="149"/>
        <v/>
      </c>
      <c r="BU75" s="315">
        <f>IF($J75="",#N/A,SUM(BT$4:BT75))</f>
        <v>-0.33591272342648226</v>
      </c>
      <c r="BV75" s="315">
        <f>IF($J75="",#N/A,SUM(BT$4:BT75,BR$4:BR75,BP$4:BP75))</f>
        <v>3.7555390042147065</v>
      </c>
      <c r="BW75" s="304" t="str">
        <f t="shared" si="150"/>
        <v/>
      </c>
      <c r="BX75" s="313">
        <f>IF($J75="",#N/A,SUM(BW$4:BW75))</f>
        <v>-0.73275720435053893</v>
      </c>
      <c r="BY75" s="314" t="str">
        <f t="shared" si="151"/>
        <v/>
      </c>
      <c r="BZ75" s="314">
        <f>IF($J75="",#N/A,SUM(BY$4:BY75))</f>
        <v>0.46686916413544804</v>
      </c>
      <c r="CA75" s="315">
        <f t="shared" si="152"/>
        <v>-6.3267113754260952E-3</v>
      </c>
      <c r="CB75" s="315">
        <f>IF($J75="",#N/A,SUM(CA$4:CA75))</f>
        <v>-0.45917761375388166</v>
      </c>
      <c r="CC75" s="315">
        <f>IF($J75="",#N/A,SUM(CA$4:CA75,BY$4:BY75,BW$4:BW75))</f>
        <v>-0.7250656539689726</v>
      </c>
      <c r="CD75" s="304" t="str">
        <f t="shared" si="153"/>
        <v/>
      </c>
      <c r="CE75" s="313">
        <f>IF($J75="",#N/A,SUM(CD$4:CD75))</f>
        <v>0</v>
      </c>
      <c r="CF75" s="314" t="str">
        <f t="shared" si="154"/>
        <v/>
      </c>
      <c r="CG75" s="314">
        <f>IF($J75="",#N/A,SUM(CF$4:CF75))</f>
        <v>0.41783917455444924</v>
      </c>
      <c r="CH75" s="315" t="str">
        <f t="shared" si="155"/>
        <v/>
      </c>
      <c r="CI75" s="315">
        <f>IF($J75="",#N/A,SUM(CH$4:CH75))</f>
        <v>-0.25632679632191468</v>
      </c>
      <c r="CJ75" s="315">
        <f>IF($J75="",#N/A,SUM(CH$4:CH75,CF$4:CF75,CD$4:CD75))</f>
        <v>0.16151237823253456</v>
      </c>
      <c r="CK75" s="304" t="str">
        <f t="shared" si="156"/>
        <v/>
      </c>
      <c r="CL75" s="313">
        <f>IF($J75="",#N/A,SUM(CK$4:CK75))</f>
        <v>0</v>
      </c>
      <c r="CM75" s="314" t="str">
        <f t="shared" si="157"/>
        <v/>
      </c>
      <c r="CN75" s="314">
        <f>IF($J75="",#N/A,SUM(CM$4:CM75))</f>
        <v>0</v>
      </c>
      <c r="CO75" s="315" t="str">
        <f t="shared" si="158"/>
        <v/>
      </c>
      <c r="CP75" s="315">
        <f>IF($J75="",#N/A,SUM(CO$4:CO75))</f>
        <v>-0.8814781582839023</v>
      </c>
      <c r="CQ75" s="315">
        <f>IF($J75="",#N/A,SUM(CO$4:CO75,CM$4:CM75,CK$4:CK75))</f>
        <v>-0.8814781582839023</v>
      </c>
      <c r="CR75" s="304" t="str">
        <f t="shared" si="159"/>
        <v/>
      </c>
      <c r="CS75" s="313">
        <f>IF($J75="",#N/A,SUM(CR$4:CR75))</f>
        <v>0</v>
      </c>
      <c r="CT75" s="314" t="str">
        <f t="shared" si="160"/>
        <v/>
      </c>
      <c r="CU75" s="314">
        <f>IF($J75="",#N/A,SUM(CT$4:CT75))</f>
        <v>-0.13081968772223007</v>
      </c>
      <c r="CV75" s="315" t="str">
        <f t="shared" si="161"/>
        <v/>
      </c>
      <c r="CW75" s="315">
        <f>IF($J75="",#N/A,SUM(CV$4:CV75))</f>
        <v>0.28156811782542707</v>
      </c>
      <c r="CX75" s="315">
        <f>IF($J75="",#N/A,SUM(CV$4:CV75,CT$4:CT75,CR$4:CR75))</f>
        <v>0.150748430103197</v>
      </c>
      <c r="CY75" s="304" t="str">
        <f t="shared" si="162"/>
        <v/>
      </c>
      <c r="CZ75" s="313">
        <f>IF($J75="",#N/A,SUM(CY$4:CY75))</f>
        <v>0</v>
      </c>
      <c r="DA75" s="314" t="str">
        <f t="shared" si="163"/>
        <v/>
      </c>
      <c r="DB75" s="314">
        <f>IF($J75="",#N/A,SUM(DA$4:DA75))</f>
        <v>0</v>
      </c>
      <c r="DC75" s="315" t="str">
        <f t="shared" si="164"/>
        <v/>
      </c>
      <c r="DD75" s="315">
        <f>IF($J75="",#N/A,SUM(DC$4:DC75))</f>
        <v>0</v>
      </c>
      <c r="DE75" s="315">
        <f>IF($J75="",#N/A,SUM(DC$4:DC75,DA$4:DA75,CY$4:CY75))</f>
        <v>0</v>
      </c>
      <c r="DF75" s="304" t="str">
        <f t="shared" si="165"/>
        <v/>
      </c>
      <c r="DG75" s="313">
        <f>IF($J75="",#N/A,SUM(DF$4:DF75))</f>
        <v>0</v>
      </c>
      <c r="DH75" s="314" t="str">
        <f t="shared" si="166"/>
        <v/>
      </c>
      <c r="DI75" s="314">
        <f>IF($J75="",#N/A,SUM(DH$4:DH75))</f>
        <v>0</v>
      </c>
      <c r="DJ75" s="315" t="str">
        <f t="shared" si="167"/>
        <v/>
      </c>
      <c r="DK75" s="315">
        <f>IF($J75="",#N/A,SUM(DJ$4:DJ75))</f>
        <v>0</v>
      </c>
      <c r="DL75" s="315">
        <f>IF($J75="",#N/A,SUM(DJ$4:DJ75,DH$4:DH75,DF$4:DF75))</f>
        <v>0</v>
      </c>
      <c r="DM75" s="304" t="str">
        <f t="shared" si="168"/>
        <v/>
      </c>
      <c r="DN75" s="313">
        <f>IF($J75="",#N/A,SUM(DM$4:DM75))</f>
        <v>0</v>
      </c>
      <c r="DO75" s="314" t="str">
        <f t="shared" si="169"/>
        <v/>
      </c>
      <c r="DP75" s="314">
        <f>IF($J75="",#N/A,SUM(DO$4:DO75))</f>
        <v>0</v>
      </c>
      <c r="DQ75" s="315" t="str">
        <f t="shared" si="170"/>
        <v/>
      </c>
      <c r="DR75" s="315">
        <f>IF($J75="",#N/A,SUM(DQ$4:DQ75))</f>
        <v>1.4067447983492751</v>
      </c>
      <c r="DS75" s="315">
        <f>IF($J75="",#N/A,SUM(DQ$4:DQ75,DO$4:DO75,DM$4:DM75))</f>
        <v>1.4067447983492751</v>
      </c>
      <c r="DT75" s="304" t="str">
        <f t="shared" si="171"/>
        <v/>
      </c>
      <c r="DU75" s="313">
        <f>IF($J75="",#N/A,SUM(DT$4:DT75))</f>
        <v>0</v>
      </c>
      <c r="DV75" s="314" t="str">
        <f t="shared" si="172"/>
        <v/>
      </c>
      <c r="DW75" s="314">
        <f>IF($J75="",#N/A,SUM(DV$4:DV75))</f>
        <v>0.40085630512924314</v>
      </c>
      <c r="DX75" s="315" t="str">
        <f t="shared" si="173"/>
        <v/>
      </c>
      <c r="DY75" s="315">
        <f>IF($J75="",#N/A,SUM(DX$4:DX75))</f>
        <v>0.59674626127163555</v>
      </c>
      <c r="DZ75" s="315">
        <f>IF($J75="",#N/A,SUM(DX$4:DX75,DV$4:DV75,DT$4:DT75))</f>
        <v>0.99760256640087874</v>
      </c>
      <c r="EA75" s="304" t="str">
        <f t="shared" si="174"/>
        <v/>
      </c>
      <c r="EB75" s="313">
        <f>IF($J75="",#N/A,SUM(EA$4:EA75))</f>
        <v>0</v>
      </c>
      <c r="EC75" s="314" t="str">
        <f t="shared" si="175"/>
        <v/>
      </c>
      <c r="ED75" s="314">
        <f>IF($J75="",#N/A,SUM(EC$4:EC75))</f>
        <v>-0.47973811942657352</v>
      </c>
      <c r="EE75" s="315" t="str">
        <f t="shared" si="176"/>
        <v/>
      </c>
      <c r="EF75" s="315">
        <f>IF($J75="",#N/A,SUM(EE$4:EE75))</f>
        <v>0</v>
      </c>
      <c r="EG75" s="315">
        <f>IF($J75="",#N/A,SUM(EE$4:EE75,EC$4:EC75,EA$4:EA75))</f>
        <v>-0.47973811942657352</v>
      </c>
      <c r="EH75" s="130">
        <f t="shared" si="177"/>
        <v>-0.14999999999997726</v>
      </c>
      <c r="EI75" s="63">
        <f>IF(EH75="",#N/A,SUM($EH$4:EH75))</f>
        <v>387.47520944934308</v>
      </c>
      <c r="EJ75" s="223">
        <f t="shared" si="178"/>
        <v>-4.0799999999999841</v>
      </c>
      <c r="EK75" s="63">
        <f>IF($GZ75="",#N/A,SUM(EJ$4:EJ75))</f>
        <v>655.95334203522953</v>
      </c>
      <c r="EL75" s="60">
        <f t="shared" si="209"/>
        <v>-6.3267113754260952E-3</v>
      </c>
      <c r="EM75" s="60">
        <f>IF(EL75="",NA(),SUM($EL$4:EL75))</f>
        <v>15.854513033663483</v>
      </c>
      <c r="EN75" s="60" t="str">
        <f t="shared" si="179"/>
        <v/>
      </c>
      <c r="EO75" s="60" t="e">
        <f>IF(EN75="",NA(),SUM($EN$4:EN75))</f>
        <v>#N/A</v>
      </c>
      <c r="EP75" s="60">
        <f t="shared" si="180"/>
        <v>-6.3267113754260952E-3</v>
      </c>
      <c r="EQ75" s="60">
        <f>IF(EP75="",NA(),SUM($EP$4:EP75))</f>
        <v>11.344377779141601</v>
      </c>
      <c r="ER75" s="60" t="str">
        <f t="shared" si="181"/>
        <v/>
      </c>
      <c r="ES75" s="60" t="e">
        <f>IF(ER75="",NA(),SUM($ER$4:ER75))</f>
        <v>#N/A</v>
      </c>
      <c r="ET75" s="60" t="str">
        <f t="shared" si="182"/>
        <v/>
      </c>
      <c r="EU75" s="60" t="e">
        <f>IF(ET75="",NA(),SUM($ET$4:ET75))</f>
        <v>#N/A</v>
      </c>
      <c r="EV75" s="60" t="str">
        <f t="shared" si="183"/>
        <v/>
      </c>
      <c r="EW75" s="60" t="e">
        <f>IF(EV75="",NA(),SUM($EV$4:EV75))</f>
        <v>#N/A</v>
      </c>
      <c r="EX75" s="60" t="str">
        <f t="shared" si="184"/>
        <v/>
      </c>
      <c r="EY75" s="60" t="e">
        <f>IF(EX75="",NA(),SUM($EX$4:EX75))</f>
        <v>#N/A</v>
      </c>
      <c r="EZ75" s="60" t="str">
        <f t="shared" si="185"/>
        <v/>
      </c>
      <c r="FA75" s="60" t="e">
        <f>IF(EZ75="",NA(),SUM($EZ$4:EZ75))</f>
        <v>#N/A</v>
      </c>
      <c r="FB75" s="246" t="str">
        <f t="shared" si="210"/>
        <v/>
      </c>
      <c r="FC75" s="246" t="e">
        <f>IF($FB75="",#N/A,SUM(FB$4:$FB75))</f>
        <v>#N/A</v>
      </c>
      <c r="FD75" s="60" t="str">
        <f t="shared" si="186"/>
        <v/>
      </c>
      <c r="FE75" s="60" t="e">
        <f>IF($FD75="",#N/A,SUM($FD$4:FD75))</f>
        <v>#N/A</v>
      </c>
      <c r="FF75" s="60" t="str">
        <f t="shared" si="187"/>
        <v/>
      </c>
      <c r="FG75" s="60" t="e">
        <f>IF($FF75="",#N/A,SUM($FF$4:FF75))</f>
        <v>#N/A</v>
      </c>
      <c r="FH75" s="60" t="str">
        <f t="shared" si="188"/>
        <v/>
      </c>
      <c r="FI75" s="60" t="e">
        <f>IF($FH75="",#N/A,SUM($FH$4:FH75))</f>
        <v>#N/A</v>
      </c>
      <c r="FJ75" s="60" t="str">
        <f t="shared" si="189"/>
        <v/>
      </c>
      <c r="FK75" s="60" t="e">
        <f>IF($FJ75="",#N/A,SUM($FJ$4:FJ75))</f>
        <v>#N/A</v>
      </c>
      <c r="FL75" s="60">
        <f t="shared" si="190"/>
        <v>-0.1657598380361891</v>
      </c>
      <c r="FM75" s="60">
        <f>IF($FL75="",#N/A,SUM($FL$4:FL75))</f>
        <v>0.64021841065954899</v>
      </c>
      <c r="FN75" s="82">
        <f t="shared" si="191"/>
        <v>-0.17208654941161519</v>
      </c>
      <c r="FO75" s="82">
        <f>IF($FN75="",#N/A,SUM(FN$4:$FN75))</f>
        <v>26.661464746167233</v>
      </c>
      <c r="FP75" s="82">
        <f t="shared" si="211"/>
        <v>-6.3267113754260952E-3</v>
      </c>
      <c r="FQ75" s="246">
        <f>IF($EH75="",#N/A,SUM($FP$4:FP75))</f>
        <v>15.854513033663483</v>
      </c>
      <c r="FR75" s="82">
        <f>IFERROR(FQ75/COUNTA($J$4:J75),#N/A)</f>
        <v>0.22020156991199283</v>
      </c>
      <c r="FS75" s="82">
        <f t="shared" si="116"/>
        <v>0.17860247511882377</v>
      </c>
      <c r="FT75" s="82">
        <f t="shared" ref="FT75:FT80" si="215">IFERROR(($FQ75-$FQ53)/COUNTA($J53:$J75),#N/A)</f>
        <v>-5.0788715337057325E-2</v>
      </c>
      <c r="FU75" s="337">
        <f t="shared" si="113"/>
        <v>0.56391123127385967</v>
      </c>
      <c r="FV75" s="57" t="str">
        <f t="shared" si="192"/>
        <v>SW</v>
      </c>
      <c r="FW75" s="57" t="s">
        <v>2732</v>
      </c>
      <c r="FX75" s="57" t="str">
        <f t="shared" si="193"/>
        <v/>
      </c>
      <c r="FY75" s="57" t="str">
        <f t="shared" si="194"/>
        <v/>
      </c>
      <c r="FZ75" s="57" t="str">
        <f t="shared" si="195"/>
        <v/>
      </c>
      <c r="GA75" s="57" t="str">
        <f t="shared" si="196"/>
        <v>Long</v>
      </c>
      <c r="GB75" s="57" t="str">
        <f t="shared" si="197"/>
        <v/>
      </c>
      <c r="GC75" s="57" t="str">
        <f t="shared" si="198"/>
        <v/>
      </c>
      <c r="GD75" s="57">
        <f t="shared" si="199"/>
        <v>1</v>
      </c>
      <c r="GE75" s="62">
        <f t="shared" si="114"/>
        <v>395.15</v>
      </c>
      <c r="GF75" s="62" t="s">
        <v>2779</v>
      </c>
      <c r="GG75" s="199">
        <v>1</v>
      </c>
      <c r="GH75" s="207">
        <f t="shared" si="200"/>
        <v>395.15</v>
      </c>
      <c r="GI75" s="199">
        <v>1</v>
      </c>
      <c r="GJ75" s="200">
        <f>J75</f>
        <v>395</v>
      </c>
      <c r="GK75" s="63">
        <f t="shared" si="201"/>
        <v>-0.14999999999997726</v>
      </c>
      <c r="GL75" s="63">
        <f t="shared" si="115"/>
        <v>-4.0799999999999841</v>
      </c>
      <c r="GM75" s="82">
        <f t="shared" si="202"/>
        <v>-0.17208654941161519</v>
      </c>
      <c r="GN75" s="82">
        <f>IF($GZ75="",#N/A,SUM(GM$4:GM75))</f>
        <v>12.45584068979319</v>
      </c>
      <c r="GO75" s="82" t="str">
        <f t="shared" si="203"/>
        <v/>
      </c>
      <c r="GP75" s="82">
        <f>IF($GZ75="",#N/A,SUM(GO$4:GO75))</f>
        <v>7.78611970873839</v>
      </c>
      <c r="GQ75" s="82" t="str">
        <f t="shared" si="204"/>
        <v/>
      </c>
      <c r="GR75" s="82">
        <f>IF($GZ75="",#N/A,SUM(GQ$4:GQ75))</f>
        <v>5.7936673931932958</v>
      </c>
      <c r="GS75" s="63">
        <f t="shared" si="212"/>
        <v>-4.0799999999999841</v>
      </c>
      <c r="GT75" s="63">
        <f>IF($GZ75="",#N/A,SUM(GS$4:GS75))</f>
        <v>298.47992882574209</v>
      </c>
      <c r="GU75" s="63" t="str">
        <f t="shared" si="213"/>
        <v/>
      </c>
      <c r="GV75" s="63">
        <f>IF($GZ75="",#N/A,SUM(GU$4:GU75))</f>
        <v>195.25289430539294</v>
      </c>
      <c r="GW75" s="63" t="str">
        <f t="shared" si="214"/>
        <v/>
      </c>
      <c r="GX75" s="63">
        <f>IF($GZ75="",#N/A,SUM(GW$4:GW75))</f>
        <v>148.48051890409477</v>
      </c>
      <c r="GY75" s="63">
        <f>IF(EJ75="",#N/A,SUM($EJ$4:EJ75))</f>
        <v>655.95334203522953</v>
      </c>
      <c r="GZ75" s="159">
        <v>391.07</v>
      </c>
      <c r="HA75" s="63">
        <f t="shared" si="205"/>
        <v>-3.9300000000000068</v>
      </c>
      <c r="HB75" s="62" t="s">
        <v>4735</v>
      </c>
      <c r="HC75" s="60">
        <f>IFERROR(VLOOKUP(E75,Expectancy!$P$4:$S$19,1+C75,FALSE),"")</f>
        <v>-0.15084750675779673</v>
      </c>
      <c r="HD75" s="60">
        <f t="shared" si="206"/>
        <v>-0.17208654941161519</v>
      </c>
      <c r="HE75" s="60">
        <f>IF(HD75="",#N/A,SUM($HD$4:HD75))</f>
        <v>0.76060180238962471</v>
      </c>
      <c r="HF75" s="85">
        <f>IF(HD75="",#N/A,IF(HB75="Skip",#N/A,SUM($HG$4:HG75)))</f>
        <v>23.689999999999998</v>
      </c>
      <c r="HG75" s="63">
        <f t="shared" si="207"/>
        <v>-4.0799999999999841</v>
      </c>
      <c r="HH75" s="82">
        <f t="shared" si="208"/>
        <v>-0.17208654941161519</v>
      </c>
    </row>
    <row r="76" spans="1:220" x14ac:dyDescent="0.25">
      <c r="A76" s="57" t="s">
        <v>1341</v>
      </c>
      <c r="B76" s="58" t="s">
        <v>5136</v>
      </c>
      <c r="C76" s="386">
        <f t="shared" si="118"/>
        <v>2</v>
      </c>
      <c r="D76" s="372" t="str">
        <f>_xlfn.XLOOKUP(A76,[1]SP500!$A$2:$A$502,[1]SP500!$D$2:$D$502,"N")</f>
        <v>Y</v>
      </c>
      <c r="E76" s="57" t="str">
        <f>_xlfn.XLOOKUP(A76,[1]SP500!$A$2:$A$655,[1]SP500!$B$2:$B$655)</f>
        <v>INS</v>
      </c>
      <c r="F76" s="59">
        <v>45685</v>
      </c>
      <c r="G76" s="57" t="str">
        <f t="shared" si="119"/>
        <v>AMC</v>
      </c>
      <c r="H76" s="57" t="str">
        <f t="shared" si="120"/>
        <v>s</v>
      </c>
      <c r="I76" s="159">
        <v>272.27</v>
      </c>
      <c r="J76" s="159">
        <v>268.01</v>
      </c>
      <c r="K76" s="61">
        <f t="shared" si="121"/>
        <v>-1.5646233518198813E-2</v>
      </c>
      <c r="L76" s="87">
        <f t="shared" si="122"/>
        <v>4.2599999999999909</v>
      </c>
      <c r="M76" s="130" t="e">
        <f t="shared" si="112"/>
        <v>#N/A</v>
      </c>
      <c r="N76" s="169" t="str">
        <f t="shared" si="123"/>
        <v/>
      </c>
      <c r="O76" s="169">
        <f>IF($J76="",#N/A,SUM($N$4:N76))</f>
        <v>59.07894778873009</v>
      </c>
      <c r="P76" s="174">
        <f t="shared" si="124"/>
        <v>4.2599999999999909</v>
      </c>
      <c r="Q76" s="174">
        <f>IF($J76="",#N/A,SUM($P$4:P76))</f>
        <v>61.536464916880902</v>
      </c>
      <c r="R76" s="178" t="str">
        <f t="shared" si="125"/>
        <v/>
      </c>
      <c r="S76" s="178">
        <f>IF($J76="",#N/A,SUM($R$4:R76))</f>
        <v>271.11979674373208</v>
      </c>
      <c r="T76" s="290" t="str">
        <f t="shared" si="126"/>
        <v/>
      </c>
      <c r="U76" s="290">
        <f>IF($J76="",#N/A,SUM($T$4:T76))</f>
        <v>2.3812036502715976</v>
      </c>
      <c r="V76" s="291">
        <f t="shared" si="127"/>
        <v>0.26077055863664694</v>
      </c>
      <c r="W76" s="291">
        <f>IF($J76="",#N/A,SUM($V$4:V76))</f>
        <v>2.3897021628869206</v>
      </c>
      <c r="X76" s="292" t="str">
        <f t="shared" si="128"/>
        <v/>
      </c>
      <c r="Y76" s="283">
        <f>IF($J76="",#N/A,SUM($X$4:X76))</f>
        <v>11.344377779141601</v>
      </c>
      <c r="Z76" s="304" t="str">
        <f t="shared" si="129"/>
        <v/>
      </c>
      <c r="AA76" s="313">
        <f>IF($J76="",#N/A,SUM(Z$4:Z76))</f>
        <v>1.1273861049364817</v>
      </c>
      <c r="AB76" s="314" t="str">
        <f t="shared" si="130"/>
        <v/>
      </c>
      <c r="AC76" s="314">
        <f>IF($J76="",#N/A,SUM(AB$4:AB76))</f>
        <v>0</v>
      </c>
      <c r="AD76" s="315" t="str">
        <f t="shared" si="131"/>
        <v/>
      </c>
      <c r="AE76" s="315">
        <f>IF($J76="",#N/A,SUM(AD$4:AD76))</f>
        <v>1.5553407757049009</v>
      </c>
      <c r="AF76" s="315">
        <f>IF($J76="",#N/A,SUM(AD$4:AD76,AB$4:AB76,Z$4:Z76))</f>
        <v>2.6827268806413822</v>
      </c>
      <c r="AG76" s="304" t="str">
        <f t="shared" si="132"/>
        <v/>
      </c>
      <c r="AH76" s="313">
        <f>IF($J76="",#N/A,SUM(AG$4:AG76))</f>
        <v>0</v>
      </c>
      <c r="AI76" s="314" t="str">
        <f t="shared" si="133"/>
        <v/>
      </c>
      <c r="AJ76" s="314">
        <f>IF($J76="",#N/A,SUM(AI$4:AI76))</f>
        <v>0</v>
      </c>
      <c r="AK76" s="315" t="str">
        <f t="shared" si="134"/>
        <v/>
      </c>
      <c r="AL76" s="315">
        <f>IF($J76="",#N/A,SUM(AK$4:AK76))</f>
        <v>0</v>
      </c>
      <c r="AM76" s="315">
        <f>IF($J76="",#N/A,SUM(AK$4:AK76,AI$4:AI76,AG$4:AG76))</f>
        <v>0</v>
      </c>
      <c r="AN76" s="304" t="str">
        <f t="shared" si="135"/>
        <v/>
      </c>
      <c r="AO76" s="313">
        <f>IF($J76="",#N/A,SUM(AN$4:AN76))</f>
        <v>-0.49683555963321635</v>
      </c>
      <c r="AP76" s="314" t="str">
        <f t="shared" si="136"/>
        <v/>
      </c>
      <c r="AQ76" s="314">
        <f>IF($J76="",#N/A,SUM(AP$4:AP76))</f>
        <v>0</v>
      </c>
      <c r="AR76" s="315" t="str">
        <f t="shared" si="137"/>
        <v/>
      </c>
      <c r="AS76" s="315">
        <f>IF($J76="",#N/A,SUM(AR$4:AR76))</f>
        <v>0</v>
      </c>
      <c r="AT76" s="315">
        <f>IF($J76="",#N/A,SUM(AR$4:AR76,AP$4:AP76,AN$4:AN76))</f>
        <v>-0.49683555963321635</v>
      </c>
      <c r="AU76" s="304" t="str">
        <f t="shared" si="138"/>
        <v/>
      </c>
      <c r="AV76" s="313">
        <f>IF($J76="",#N/A,SUM(AU$4:AU76))</f>
        <v>0</v>
      </c>
      <c r="AW76" s="314" t="str">
        <f t="shared" si="139"/>
        <v/>
      </c>
      <c r="AX76" s="314">
        <f>IF($J76="",#N/A,SUM(AW$4:AW76))</f>
        <v>1.2049246466562569</v>
      </c>
      <c r="AY76" s="315" t="str">
        <f t="shared" si="140"/>
        <v/>
      </c>
      <c r="AZ76" s="315">
        <f>IF($J76="",#N/A,SUM(AY$4:AY76))</f>
        <v>2.2170930216497844</v>
      </c>
      <c r="BA76" s="315">
        <f>IF($J76="",#N/A,SUM(AY$4:AY76,AW$4:AW76,AU$4:AU76))</f>
        <v>3.422017668306041</v>
      </c>
      <c r="BB76" s="304" t="str">
        <f t="shared" si="141"/>
        <v/>
      </c>
      <c r="BC76" s="313">
        <f>IF($J76="",#N/A,SUM(BB$4:BB76))</f>
        <v>0.57218309859154926</v>
      </c>
      <c r="BD76" s="314" t="str">
        <f t="shared" si="142"/>
        <v/>
      </c>
      <c r="BE76" s="314">
        <f>IF($J76="",#N/A,SUM(BD$4:BD76))</f>
        <v>-0.39561000510464578</v>
      </c>
      <c r="BF76" s="315" t="str">
        <f t="shared" si="143"/>
        <v/>
      </c>
      <c r="BG76" s="315">
        <f>IF($J76="",#N/A,SUM(BF$4:BF76))</f>
        <v>2.4597169840247779</v>
      </c>
      <c r="BH76" s="315">
        <f>IF($J76="",#N/A,SUM(BF$4:BF76,BD$4:BD76,BB$4:BB76))</f>
        <v>2.6362900775116813</v>
      </c>
      <c r="BI76" s="304" t="str">
        <f t="shared" si="144"/>
        <v/>
      </c>
      <c r="BJ76" s="313">
        <f>IF($J76="",#N/A,SUM(BI$4:BI76))</f>
        <v>-1.5356143908855402</v>
      </c>
      <c r="BK76" s="314" t="str">
        <f t="shared" si="145"/>
        <v/>
      </c>
      <c r="BL76" s="314">
        <f>IF($J76="",#N/A,SUM(BK$4:BK76))</f>
        <v>0</v>
      </c>
      <c r="BM76" s="315" t="str">
        <f t="shared" si="146"/>
        <v/>
      </c>
      <c r="BN76" s="315">
        <f>IF($J76="",#N/A,SUM(BM$4:BM76))</f>
        <v>4.7600631121019816</v>
      </c>
      <c r="BO76" s="315">
        <f>IF($J76="",#N/A,SUM(BM$4:BM76,BK$4:BK76,BI$4:BI76))</f>
        <v>3.224448721216441</v>
      </c>
      <c r="BP76" s="304" t="str">
        <f t="shared" si="147"/>
        <v/>
      </c>
      <c r="BQ76" s="313">
        <f>IF($J76="",#N/A,SUM(BP$4:BP76))</f>
        <v>3.4468416016128636</v>
      </c>
      <c r="BR76" s="314" t="str">
        <f t="shared" si="148"/>
        <v/>
      </c>
      <c r="BS76" s="314">
        <f>IF($J76="",#N/A,SUM(BR$4:BR76))</f>
        <v>0.64461012602832546</v>
      </c>
      <c r="BT76" s="315" t="str">
        <f t="shared" si="149"/>
        <v/>
      </c>
      <c r="BU76" s="315">
        <f>IF($J76="",#N/A,SUM(BT$4:BT76))</f>
        <v>-0.33591272342648226</v>
      </c>
      <c r="BV76" s="315">
        <f>IF($J76="",#N/A,SUM(BT$4:BT76,BR$4:BR76,BP$4:BP76))</f>
        <v>3.7555390042147065</v>
      </c>
      <c r="BW76" s="304" t="str">
        <f t="shared" si="150"/>
        <v/>
      </c>
      <c r="BX76" s="313">
        <f>IF($J76="",#N/A,SUM(BW$4:BW76))</f>
        <v>-0.73275720435053893</v>
      </c>
      <c r="BY76" s="314" t="str">
        <f t="shared" si="151"/>
        <v/>
      </c>
      <c r="BZ76" s="314">
        <f>IF($J76="",#N/A,SUM(BY$4:BY76))</f>
        <v>0.46686916413544804</v>
      </c>
      <c r="CA76" s="315" t="str">
        <f t="shared" si="152"/>
        <v/>
      </c>
      <c r="CB76" s="315">
        <f>IF($J76="",#N/A,SUM(CA$4:CA76))</f>
        <v>-0.45917761375388166</v>
      </c>
      <c r="CC76" s="315">
        <f>IF($J76="",#N/A,SUM(CA$4:CA76,BY$4:BY76,BW$4:BW76))</f>
        <v>-0.7250656539689726</v>
      </c>
      <c r="CD76" s="304" t="str">
        <f t="shared" si="153"/>
        <v/>
      </c>
      <c r="CE76" s="313">
        <f>IF($J76="",#N/A,SUM(CD$4:CD76))</f>
        <v>0</v>
      </c>
      <c r="CF76" s="314" t="str">
        <f t="shared" si="154"/>
        <v/>
      </c>
      <c r="CG76" s="314">
        <f>IF($J76="",#N/A,SUM(CF$4:CF76))</f>
        <v>0.41783917455444924</v>
      </c>
      <c r="CH76" s="315" t="str">
        <f t="shared" si="155"/>
        <v/>
      </c>
      <c r="CI76" s="315">
        <f>IF($J76="",#N/A,SUM(CH$4:CH76))</f>
        <v>-0.25632679632191468</v>
      </c>
      <c r="CJ76" s="315">
        <f>IF($J76="",#N/A,SUM(CH$4:CH76,CF$4:CF76,CD$4:CD76))</f>
        <v>0.16151237823253456</v>
      </c>
      <c r="CK76" s="304" t="str">
        <f t="shared" si="156"/>
        <v/>
      </c>
      <c r="CL76" s="313">
        <f>IF($J76="",#N/A,SUM(CK$4:CK76))</f>
        <v>0</v>
      </c>
      <c r="CM76" s="314" t="str">
        <f t="shared" si="157"/>
        <v/>
      </c>
      <c r="CN76" s="314">
        <f>IF($J76="",#N/A,SUM(CM$4:CM76))</f>
        <v>0</v>
      </c>
      <c r="CO76" s="315" t="str">
        <f t="shared" si="158"/>
        <v/>
      </c>
      <c r="CP76" s="315">
        <f>IF($J76="",#N/A,SUM(CO$4:CO76))</f>
        <v>-0.8814781582839023</v>
      </c>
      <c r="CQ76" s="315">
        <f>IF($J76="",#N/A,SUM(CO$4:CO76,CM$4:CM76,CK$4:CK76))</f>
        <v>-0.8814781582839023</v>
      </c>
      <c r="CR76" s="304" t="str">
        <f t="shared" si="159"/>
        <v/>
      </c>
      <c r="CS76" s="313">
        <f>IF($J76="",#N/A,SUM(CR$4:CR76))</f>
        <v>0</v>
      </c>
      <c r="CT76" s="314" t="str">
        <f t="shared" si="160"/>
        <v/>
      </c>
      <c r="CU76" s="314">
        <f>IF($J76="",#N/A,SUM(CT$4:CT76))</f>
        <v>-0.13081968772223007</v>
      </c>
      <c r="CV76" s="315" t="str">
        <f t="shared" si="161"/>
        <v/>
      </c>
      <c r="CW76" s="315">
        <f>IF($J76="",#N/A,SUM(CV$4:CV76))</f>
        <v>0.28156811782542707</v>
      </c>
      <c r="CX76" s="315">
        <f>IF($J76="",#N/A,SUM(CV$4:CV76,CT$4:CT76,CR$4:CR76))</f>
        <v>0.150748430103197</v>
      </c>
      <c r="CY76" s="304" t="str">
        <f t="shared" si="162"/>
        <v/>
      </c>
      <c r="CZ76" s="313">
        <f>IF($J76="",#N/A,SUM(CY$4:CY76))</f>
        <v>0</v>
      </c>
      <c r="DA76" s="314" t="str">
        <f t="shared" si="163"/>
        <v/>
      </c>
      <c r="DB76" s="314">
        <f>IF($J76="",#N/A,SUM(DA$4:DA76))</f>
        <v>0</v>
      </c>
      <c r="DC76" s="315" t="str">
        <f t="shared" si="164"/>
        <v/>
      </c>
      <c r="DD76" s="315">
        <f>IF($J76="",#N/A,SUM(DC$4:DC76))</f>
        <v>0</v>
      </c>
      <c r="DE76" s="315">
        <f>IF($J76="",#N/A,SUM(DC$4:DC76,DA$4:DA76,CY$4:CY76))</f>
        <v>0</v>
      </c>
      <c r="DF76" s="304" t="str">
        <f t="shared" si="165"/>
        <v/>
      </c>
      <c r="DG76" s="313">
        <f>IF($J76="",#N/A,SUM(DF$4:DF76))</f>
        <v>0</v>
      </c>
      <c r="DH76" s="314" t="str">
        <f t="shared" si="166"/>
        <v/>
      </c>
      <c r="DI76" s="314">
        <f>IF($J76="",#N/A,SUM(DH$4:DH76))</f>
        <v>0</v>
      </c>
      <c r="DJ76" s="315" t="str">
        <f t="shared" si="167"/>
        <v/>
      </c>
      <c r="DK76" s="315">
        <f>IF($J76="",#N/A,SUM(DJ$4:DJ76))</f>
        <v>0</v>
      </c>
      <c r="DL76" s="315">
        <f>IF($J76="",#N/A,SUM(DJ$4:DJ76,DH$4:DH76,DF$4:DF76))</f>
        <v>0</v>
      </c>
      <c r="DM76" s="304" t="str">
        <f t="shared" si="168"/>
        <v/>
      </c>
      <c r="DN76" s="313">
        <f>IF($J76="",#N/A,SUM(DM$4:DM76))</f>
        <v>0</v>
      </c>
      <c r="DO76" s="314">
        <f t="shared" si="169"/>
        <v>0.26077055863664694</v>
      </c>
      <c r="DP76" s="314">
        <f>IF($J76="",#N/A,SUM(DO$4:DO76))</f>
        <v>0.26077055863664694</v>
      </c>
      <c r="DQ76" s="315" t="str">
        <f t="shared" si="170"/>
        <v/>
      </c>
      <c r="DR76" s="315">
        <f>IF($J76="",#N/A,SUM(DQ$4:DQ76))</f>
        <v>1.4067447983492751</v>
      </c>
      <c r="DS76" s="315">
        <f>IF($J76="",#N/A,SUM(DQ$4:DQ76,DO$4:DO76,DM$4:DM76))</f>
        <v>1.667515356985922</v>
      </c>
      <c r="DT76" s="304" t="str">
        <f t="shared" si="171"/>
        <v/>
      </c>
      <c r="DU76" s="313">
        <f>IF($J76="",#N/A,SUM(DT$4:DT76))</f>
        <v>0</v>
      </c>
      <c r="DV76" s="314" t="str">
        <f t="shared" si="172"/>
        <v/>
      </c>
      <c r="DW76" s="314">
        <f>IF($J76="",#N/A,SUM(DV$4:DV76))</f>
        <v>0.40085630512924314</v>
      </c>
      <c r="DX76" s="315" t="str">
        <f t="shared" si="173"/>
        <v/>
      </c>
      <c r="DY76" s="315">
        <f>IF($J76="",#N/A,SUM(DX$4:DX76))</f>
        <v>0.59674626127163555</v>
      </c>
      <c r="DZ76" s="315">
        <f>IF($J76="",#N/A,SUM(DX$4:DX76,DV$4:DV76,DT$4:DT76))</f>
        <v>0.99760256640087874</v>
      </c>
      <c r="EA76" s="304" t="str">
        <f t="shared" si="174"/>
        <v/>
      </c>
      <c r="EB76" s="313">
        <f>IF($J76="",#N/A,SUM(EA$4:EA76))</f>
        <v>0</v>
      </c>
      <c r="EC76" s="314" t="str">
        <f t="shared" si="175"/>
        <v/>
      </c>
      <c r="ED76" s="314">
        <f>IF($J76="",#N/A,SUM(EC$4:EC76))</f>
        <v>-0.47973811942657352</v>
      </c>
      <c r="EE76" s="315" t="str">
        <f t="shared" si="176"/>
        <v/>
      </c>
      <c r="EF76" s="315">
        <f>IF($J76="",#N/A,SUM(EE$4:EE76))</f>
        <v>0</v>
      </c>
      <c r="EG76" s="315">
        <f>IF($J76="",#N/A,SUM(EE$4:EE76,EC$4:EC76,EA$4:EA76))</f>
        <v>-0.47973811942657352</v>
      </c>
      <c r="EH76" s="130">
        <f t="shared" si="177"/>
        <v>4.2599999999999909</v>
      </c>
      <c r="EI76" s="63">
        <f>IF(EH76="",#N/A,SUM($EH$4:EH76))</f>
        <v>391.73520944934307</v>
      </c>
      <c r="EJ76" s="223">
        <f t="shared" si="178"/>
        <v>-3.5600000000000023</v>
      </c>
      <c r="EK76" s="63">
        <f>IF($GZ76="",#N/A,SUM(EJ$4:EJ76))</f>
        <v>652.39334203522958</v>
      </c>
      <c r="EL76" s="60">
        <f t="shared" si="209"/>
        <v>0.26077055863664694</v>
      </c>
      <c r="EM76" s="60">
        <f>IF(EL76="",NA(),SUM($EL$4:EL76))</f>
        <v>16.115283592300131</v>
      </c>
      <c r="EN76" s="60" t="str">
        <f t="shared" si="179"/>
        <v/>
      </c>
      <c r="EO76" s="60" t="e">
        <f>IF(EN76="",NA(),SUM($EN$4:EN76))</f>
        <v>#N/A</v>
      </c>
      <c r="EP76" s="60" t="str">
        <f t="shared" si="180"/>
        <v/>
      </c>
      <c r="EQ76" s="60" t="e">
        <f>IF(EP76="",NA(),SUM($EP$4:EP76))</f>
        <v>#N/A</v>
      </c>
      <c r="ER76" s="60">
        <f t="shared" si="181"/>
        <v>0.26077055863664694</v>
      </c>
      <c r="ES76" s="60">
        <f>IF(ER76="",NA(),SUM($ER$4:ER76))</f>
        <v>2.3897021628869206</v>
      </c>
      <c r="ET76" s="60" t="str">
        <f t="shared" si="182"/>
        <v/>
      </c>
      <c r="EU76" s="60" t="e">
        <f>IF(ET76="",NA(),SUM($ET$4:ET76))</f>
        <v>#N/A</v>
      </c>
      <c r="EV76" s="60" t="str">
        <f t="shared" si="183"/>
        <v/>
      </c>
      <c r="EW76" s="60" t="e">
        <f>IF(EV76="",NA(),SUM($EV$4:EV76))</f>
        <v>#N/A</v>
      </c>
      <c r="EX76" s="60" t="str">
        <f t="shared" si="184"/>
        <v/>
      </c>
      <c r="EY76" s="60" t="e">
        <f>IF(EX76="",NA(),SUM($EX$4:EX76))</f>
        <v>#N/A</v>
      </c>
      <c r="EZ76" s="60" t="str">
        <f t="shared" si="185"/>
        <v/>
      </c>
      <c r="FA76" s="60" t="e">
        <f>IF(EZ76="",NA(),SUM($EZ$4:EZ76))</f>
        <v>#N/A</v>
      </c>
      <c r="FB76" s="246">
        <f t="shared" si="210"/>
        <v>-0.47869149496210839</v>
      </c>
      <c r="FC76" s="246">
        <f>IF($FB76="",#N/A,SUM(FB$4:$FB76))</f>
        <v>2.268310651768191</v>
      </c>
      <c r="FD76" s="60" t="str">
        <f t="shared" si="186"/>
        <v/>
      </c>
      <c r="FE76" s="60" t="e">
        <f>IF($FD76="",#N/A,SUM($FD$4:FD76))</f>
        <v>#N/A</v>
      </c>
      <c r="FF76" s="60" t="str">
        <f t="shared" si="187"/>
        <v/>
      </c>
      <c r="FG76" s="60" t="e">
        <f>IF($FF76="",#N/A,SUM($FF$4:FF76))</f>
        <v>#N/A</v>
      </c>
      <c r="FH76" s="60" t="str">
        <f t="shared" si="188"/>
        <v/>
      </c>
      <c r="FI76" s="60" t="e">
        <f>IF($FH76="",#N/A,SUM($FH$4:FH76))</f>
        <v>#N/A</v>
      </c>
      <c r="FJ76" s="60" t="str">
        <f t="shared" si="189"/>
        <v/>
      </c>
      <c r="FK76" s="60" t="e">
        <f>IF($FJ76="",#N/A,SUM($FJ$4:FJ76))</f>
        <v>#N/A</v>
      </c>
      <c r="FL76" s="60" t="str">
        <f t="shared" si="190"/>
        <v/>
      </c>
      <c r="FM76" s="60" t="e">
        <f>IF($FL76="",#N/A,SUM($FL$4:FL76))</f>
        <v>#N/A</v>
      </c>
      <c r="FN76" s="82">
        <f t="shared" si="191"/>
        <v>-0.21792093632546142</v>
      </c>
      <c r="FO76" s="82">
        <f>IF($FN76="",#N/A,SUM(FN$4:$FN76))</f>
        <v>26.443543809841771</v>
      </c>
      <c r="FP76" s="82">
        <f t="shared" si="211"/>
        <v>0.26077055863664694</v>
      </c>
      <c r="FQ76" s="246">
        <f>IF($EH76="",#N/A,SUM($FP$4:FP76))</f>
        <v>16.115283592300131</v>
      </c>
      <c r="FR76" s="82">
        <f>IFERROR(FQ76/COUNTA($J$4:J76),#N/A)</f>
        <v>0.22075730948356342</v>
      </c>
      <c r="FS76" s="82">
        <f t="shared" si="116"/>
        <v>0.19402973924514086</v>
      </c>
      <c r="FT76" s="82">
        <f t="shared" si="215"/>
        <v>-3.2129293633615767E-2</v>
      </c>
      <c r="FU76" s="337">
        <f t="shared" si="113"/>
        <v>1.0426027262359678</v>
      </c>
      <c r="FV76" s="57" t="str">
        <f t="shared" si="192"/>
        <v>Dwn</v>
      </c>
      <c r="FW76" s="57" t="s">
        <v>2733</v>
      </c>
      <c r="FX76" s="57" t="str">
        <f t="shared" si="193"/>
        <v/>
      </c>
      <c r="FY76" s="57" t="str">
        <f t="shared" si="194"/>
        <v/>
      </c>
      <c r="FZ76" s="57" t="str">
        <f t="shared" si="195"/>
        <v/>
      </c>
      <c r="GA76" s="57" t="str">
        <f t="shared" si="196"/>
        <v>Short</v>
      </c>
      <c r="GB76" s="57">
        <f t="shared" si="197"/>
        <v>1</v>
      </c>
      <c r="GC76" s="57" t="str">
        <f t="shared" si="198"/>
        <v/>
      </c>
      <c r="GD76" s="57" t="str">
        <f t="shared" si="199"/>
        <v/>
      </c>
      <c r="GE76" s="62">
        <f t="shared" si="114"/>
        <v>272.27</v>
      </c>
      <c r="GF76" s="62" t="s">
        <v>2780</v>
      </c>
      <c r="GG76" s="199">
        <v>1</v>
      </c>
      <c r="GH76" s="207">
        <f t="shared" si="200"/>
        <v>272.27</v>
      </c>
      <c r="GI76" s="199">
        <v>1</v>
      </c>
      <c r="GJ76" s="200">
        <f>J76</f>
        <v>268.01</v>
      </c>
      <c r="GK76" s="63">
        <f t="shared" si="201"/>
        <v>4.2599999999999909</v>
      </c>
      <c r="GL76" s="63">
        <f t="shared" si="115"/>
        <v>-3.5600000000000023</v>
      </c>
      <c r="GM76" s="82" t="str">
        <f t="shared" si="202"/>
        <v/>
      </c>
      <c r="GN76" s="82">
        <f>IF($GZ76="",#N/A,SUM(GM$4:GM76))</f>
        <v>12.45584068979319</v>
      </c>
      <c r="GO76" s="82" t="str">
        <f t="shared" si="203"/>
        <v/>
      </c>
      <c r="GP76" s="82">
        <f>IF($GZ76="",#N/A,SUM(GO$4:GO76))</f>
        <v>7.78611970873839</v>
      </c>
      <c r="GQ76" s="82">
        <f t="shared" si="204"/>
        <v>-0.21792093632546142</v>
      </c>
      <c r="GR76" s="82">
        <f>IF($GZ76="",#N/A,SUM(GQ$4:GQ76))</f>
        <v>5.5757464568678348</v>
      </c>
      <c r="GS76" s="63" t="str">
        <f t="shared" si="212"/>
        <v/>
      </c>
      <c r="GT76" s="63">
        <f>IF($GZ76="",#N/A,SUM(GS$4:GS76))</f>
        <v>298.47992882574209</v>
      </c>
      <c r="GU76" s="63" t="str">
        <f t="shared" si="213"/>
        <v/>
      </c>
      <c r="GV76" s="63">
        <f>IF($GZ76="",#N/A,SUM(GU$4:GU76))</f>
        <v>195.25289430539294</v>
      </c>
      <c r="GW76" s="63">
        <f t="shared" si="214"/>
        <v>-3.5600000000000023</v>
      </c>
      <c r="GX76" s="63">
        <f>IF($GZ76="",#N/A,SUM(GW$4:GW76))</f>
        <v>144.92051890409476</v>
      </c>
      <c r="GY76" s="63">
        <f>IF(EJ76="",#N/A,SUM($EJ$4:EJ76))</f>
        <v>652.39334203522958</v>
      </c>
      <c r="GZ76" s="159">
        <v>275.83</v>
      </c>
      <c r="HA76" s="63">
        <f t="shared" si="205"/>
        <v>-7.8199999999999932</v>
      </c>
      <c r="HB76" s="62" t="s">
        <v>4735</v>
      </c>
      <c r="HC76" s="60">
        <f>IFERROR(VLOOKUP(E76,Expectancy!$P$4:$S$19,1+C76,FALSE),"")</f>
        <v>-3.5298920172653458E-2</v>
      </c>
      <c r="HD76" s="82">
        <f t="shared" si="206"/>
        <v>-0.21792093632546142</v>
      </c>
      <c r="HE76" s="60">
        <f>IF(HD76="",#N/A,SUM($HD$4:HD76))</f>
        <v>0.54268086606416333</v>
      </c>
      <c r="HF76" s="85">
        <f>IF(HD76="",#N/A,IF(HB76="Skip",#N/A,SUM($HG$4:HG76)))</f>
        <v>20.129999999999995</v>
      </c>
      <c r="HG76" s="63">
        <f t="shared" si="207"/>
        <v>-3.5600000000000023</v>
      </c>
      <c r="HH76" s="82">
        <f t="shared" si="208"/>
        <v>-0.21792093632546142</v>
      </c>
    </row>
    <row r="77" spans="1:220" x14ac:dyDescent="0.25">
      <c r="A77" s="57" t="s">
        <v>1343</v>
      </c>
      <c r="B77" s="58" t="s">
        <v>5135</v>
      </c>
      <c r="C77" s="386">
        <f t="shared" si="118"/>
        <v>3</v>
      </c>
      <c r="D77" s="372" t="str">
        <f>_xlfn.XLOOKUP(A77,[1]SP500!$A$2:$A$502,[1]SP500!$D$2:$D$502,"N")</f>
        <v>Y</v>
      </c>
      <c r="E77" s="57" t="str">
        <f>_xlfn.XLOOKUP(A77,[1]SP500!$A$2:$A$655,[1]SP500!$B$2:$B$655)</f>
        <v>XLY</v>
      </c>
      <c r="F77" s="59">
        <v>45685</v>
      </c>
      <c r="G77" s="57" t="str">
        <f t="shared" si="119"/>
        <v>AMC</v>
      </c>
      <c r="H77" s="57" t="str">
        <f t="shared" si="120"/>
        <v>o</v>
      </c>
      <c r="I77" s="159">
        <v>100.41</v>
      </c>
      <c r="J77" s="159">
        <v>102.7</v>
      </c>
      <c r="K77" s="61">
        <f t="shared" si="121"/>
        <v>2.2806493377153732E-2</v>
      </c>
      <c r="L77" s="87">
        <f t="shared" si="122"/>
        <v>9.160000000000025</v>
      </c>
      <c r="M77" s="130" t="e">
        <f t="shared" si="112"/>
        <v>#N/A</v>
      </c>
      <c r="N77" s="169" t="str">
        <f t="shared" si="123"/>
        <v/>
      </c>
      <c r="O77" s="169">
        <f>IF($J77="",#N/A,SUM($N$4:N77))</f>
        <v>59.07894778873009</v>
      </c>
      <c r="P77" s="174" t="str">
        <f t="shared" si="124"/>
        <v/>
      </c>
      <c r="Q77" s="174">
        <f>IF($J77="",#N/A,SUM($P$4:P77))</f>
        <v>61.536464916880902</v>
      </c>
      <c r="R77" s="178">
        <f t="shared" si="125"/>
        <v>9.160000000000025</v>
      </c>
      <c r="S77" s="178">
        <f>IF($J77="",#N/A,SUM($R$4:R77))</f>
        <v>280.27979674373211</v>
      </c>
      <c r="T77" s="290" t="str">
        <f t="shared" si="126"/>
        <v/>
      </c>
      <c r="U77" s="290">
        <f>IF($J77="",#N/A,SUM($T$4:T77))</f>
        <v>2.3812036502715976</v>
      </c>
      <c r="V77" s="291" t="str">
        <f t="shared" si="127"/>
        <v/>
      </c>
      <c r="W77" s="291">
        <f>IF($J77="",#N/A,SUM($V$4:V77))</f>
        <v>2.3897021628869206</v>
      </c>
      <c r="X77" s="292">
        <f t="shared" si="128"/>
        <v>0.38010822295256225</v>
      </c>
      <c r="Y77" s="283">
        <f>IF($J77="",#N/A,SUM($X$4:X77))</f>
        <v>11.724486002094164</v>
      </c>
      <c r="Z77" s="304" t="str">
        <f t="shared" si="129"/>
        <v/>
      </c>
      <c r="AA77" s="313">
        <f>IF($J77="",#N/A,SUM(Z$4:Z77))</f>
        <v>1.1273861049364817</v>
      </c>
      <c r="AB77" s="314" t="str">
        <f t="shared" si="130"/>
        <v/>
      </c>
      <c r="AC77" s="314">
        <f>IF($J77="",#N/A,SUM(AB$4:AB77))</f>
        <v>0</v>
      </c>
      <c r="AD77" s="315" t="str">
        <f t="shared" si="131"/>
        <v/>
      </c>
      <c r="AE77" s="315">
        <f>IF($J77="",#N/A,SUM(AD$4:AD77))</f>
        <v>1.5553407757049009</v>
      </c>
      <c r="AF77" s="315">
        <f>IF($J77="",#N/A,SUM(AD$4:AD77,AB$4:AB77,Z$4:Z77))</f>
        <v>2.6827268806413822</v>
      </c>
      <c r="AG77" s="304" t="str">
        <f t="shared" si="132"/>
        <v/>
      </c>
      <c r="AH77" s="313">
        <f>IF($J77="",#N/A,SUM(AG$4:AG77))</f>
        <v>0</v>
      </c>
      <c r="AI77" s="314" t="str">
        <f t="shared" si="133"/>
        <v/>
      </c>
      <c r="AJ77" s="314">
        <f>IF($J77="",#N/A,SUM(AI$4:AI77))</f>
        <v>0</v>
      </c>
      <c r="AK77" s="315" t="str">
        <f t="shared" si="134"/>
        <v/>
      </c>
      <c r="AL77" s="315">
        <f>IF($J77="",#N/A,SUM(AK$4:AK77))</f>
        <v>0</v>
      </c>
      <c r="AM77" s="315">
        <f>IF($J77="",#N/A,SUM(AK$4:AK77,AI$4:AI77,AG$4:AG77))</f>
        <v>0</v>
      </c>
      <c r="AN77" s="304" t="str">
        <f t="shared" si="135"/>
        <v/>
      </c>
      <c r="AO77" s="313">
        <f>IF($J77="",#N/A,SUM(AN$4:AN77))</f>
        <v>-0.49683555963321635</v>
      </c>
      <c r="AP77" s="314" t="str">
        <f t="shared" si="136"/>
        <v/>
      </c>
      <c r="AQ77" s="314">
        <f>IF($J77="",#N/A,SUM(AP$4:AP77))</f>
        <v>0</v>
      </c>
      <c r="AR77" s="315">
        <f t="shared" si="137"/>
        <v>0.38010822295256225</v>
      </c>
      <c r="AS77" s="315">
        <f>IF($J77="",#N/A,SUM(AR$4:AR77))</f>
        <v>0.38010822295256225</v>
      </c>
      <c r="AT77" s="315">
        <f>IF($J77="",#N/A,SUM(AR$4:AR77,AP$4:AP77,AN$4:AN77))</f>
        <v>-0.11672733668065405</v>
      </c>
      <c r="AU77" s="304" t="str">
        <f t="shared" si="138"/>
        <v/>
      </c>
      <c r="AV77" s="313">
        <f>IF($J77="",#N/A,SUM(AU$4:AU77))</f>
        <v>0</v>
      </c>
      <c r="AW77" s="314" t="str">
        <f t="shared" si="139"/>
        <v/>
      </c>
      <c r="AX77" s="314">
        <f>IF($J77="",#N/A,SUM(AW$4:AW77))</f>
        <v>1.2049246466562569</v>
      </c>
      <c r="AY77" s="315" t="str">
        <f t="shared" si="140"/>
        <v/>
      </c>
      <c r="AZ77" s="315">
        <f>IF($J77="",#N/A,SUM(AY$4:AY77))</f>
        <v>2.2170930216497844</v>
      </c>
      <c r="BA77" s="315">
        <f>IF($J77="",#N/A,SUM(AY$4:AY77,AW$4:AW77,AU$4:AU77))</f>
        <v>3.422017668306041</v>
      </c>
      <c r="BB77" s="304" t="str">
        <f t="shared" si="141"/>
        <v/>
      </c>
      <c r="BC77" s="313">
        <f>IF($J77="",#N/A,SUM(BB$4:BB77))</f>
        <v>0.57218309859154926</v>
      </c>
      <c r="BD77" s="314" t="str">
        <f t="shared" si="142"/>
        <v/>
      </c>
      <c r="BE77" s="314">
        <f>IF($J77="",#N/A,SUM(BD$4:BD77))</f>
        <v>-0.39561000510464578</v>
      </c>
      <c r="BF77" s="315" t="str">
        <f t="shared" si="143"/>
        <v/>
      </c>
      <c r="BG77" s="315">
        <f>IF($J77="",#N/A,SUM(BF$4:BF77))</f>
        <v>2.4597169840247779</v>
      </c>
      <c r="BH77" s="315">
        <f>IF($J77="",#N/A,SUM(BF$4:BF77,BD$4:BD77,BB$4:BB77))</f>
        <v>2.6362900775116813</v>
      </c>
      <c r="BI77" s="304" t="str">
        <f t="shared" si="144"/>
        <v/>
      </c>
      <c r="BJ77" s="313">
        <f>IF($J77="",#N/A,SUM(BI$4:BI77))</f>
        <v>-1.5356143908855402</v>
      </c>
      <c r="BK77" s="314" t="str">
        <f t="shared" si="145"/>
        <v/>
      </c>
      <c r="BL77" s="314">
        <f>IF($J77="",#N/A,SUM(BK$4:BK77))</f>
        <v>0</v>
      </c>
      <c r="BM77" s="315" t="str">
        <f t="shared" si="146"/>
        <v/>
      </c>
      <c r="BN77" s="315">
        <f>IF($J77="",#N/A,SUM(BM$4:BM77))</f>
        <v>4.7600631121019816</v>
      </c>
      <c r="BO77" s="315">
        <f>IF($J77="",#N/A,SUM(BM$4:BM77,BK$4:BK77,BI$4:BI77))</f>
        <v>3.224448721216441</v>
      </c>
      <c r="BP77" s="304" t="str">
        <f t="shared" si="147"/>
        <v/>
      </c>
      <c r="BQ77" s="313">
        <f>IF($J77="",#N/A,SUM(BP$4:BP77))</f>
        <v>3.4468416016128636</v>
      </c>
      <c r="BR77" s="314" t="str">
        <f t="shared" si="148"/>
        <v/>
      </c>
      <c r="BS77" s="314">
        <f>IF($J77="",#N/A,SUM(BR$4:BR77))</f>
        <v>0.64461012602832546</v>
      </c>
      <c r="BT77" s="315" t="str">
        <f t="shared" si="149"/>
        <v/>
      </c>
      <c r="BU77" s="315">
        <f>IF($J77="",#N/A,SUM(BT$4:BT77))</f>
        <v>-0.33591272342648226</v>
      </c>
      <c r="BV77" s="315">
        <f>IF($J77="",#N/A,SUM(BT$4:BT77,BR$4:BR77,BP$4:BP77))</f>
        <v>3.7555390042147065</v>
      </c>
      <c r="BW77" s="304" t="str">
        <f t="shared" si="150"/>
        <v/>
      </c>
      <c r="BX77" s="313">
        <f>IF($J77="",#N/A,SUM(BW$4:BW77))</f>
        <v>-0.73275720435053893</v>
      </c>
      <c r="BY77" s="314" t="str">
        <f t="shared" si="151"/>
        <v/>
      </c>
      <c r="BZ77" s="314">
        <f>IF($J77="",#N/A,SUM(BY$4:BY77))</f>
        <v>0.46686916413544804</v>
      </c>
      <c r="CA77" s="315" t="str">
        <f t="shared" si="152"/>
        <v/>
      </c>
      <c r="CB77" s="315">
        <f>IF($J77="",#N/A,SUM(CA$4:CA77))</f>
        <v>-0.45917761375388166</v>
      </c>
      <c r="CC77" s="315">
        <f>IF($J77="",#N/A,SUM(CA$4:CA77,BY$4:BY77,BW$4:BW77))</f>
        <v>-0.7250656539689726</v>
      </c>
      <c r="CD77" s="304" t="str">
        <f t="shared" si="153"/>
        <v/>
      </c>
      <c r="CE77" s="313">
        <f>IF($J77="",#N/A,SUM(CD$4:CD77))</f>
        <v>0</v>
      </c>
      <c r="CF77" s="314" t="str">
        <f t="shared" si="154"/>
        <v/>
      </c>
      <c r="CG77" s="314">
        <f>IF($J77="",#N/A,SUM(CF$4:CF77))</f>
        <v>0.41783917455444924</v>
      </c>
      <c r="CH77" s="315" t="str">
        <f t="shared" si="155"/>
        <v/>
      </c>
      <c r="CI77" s="315">
        <f>IF($J77="",#N/A,SUM(CH$4:CH77))</f>
        <v>-0.25632679632191468</v>
      </c>
      <c r="CJ77" s="315">
        <f>IF($J77="",#N/A,SUM(CH$4:CH77,CF$4:CF77,CD$4:CD77))</f>
        <v>0.16151237823253456</v>
      </c>
      <c r="CK77" s="304" t="str">
        <f t="shared" si="156"/>
        <v/>
      </c>
      <c r="CL77" s="313">
        <f>IF($J77="",#N/A,SUM(CK$4:CK77))</f>
        <v>0</v>
      </c>
      <c r="CM77" s="314" t="str">
        <f t="shared" si="157"/>
        <v/>
      </c>
      <c r="CN77" s="314">
        <f>IF($J77="",#N/A,SUM(CM$4:CM77))</f>
        <v>0</v>
      </c>
      <c r="CO77" s="315" t="str">
        <f t="shared" si="158"/>
        <v/>
      </c>
      <c r="CP77" s="315">
        <f>IF($J77="",#N/A,SUM(CO$4:CO77))</f>
        <v>-0.8814781582839023</v>
      </c>
      <c r="CQ77" s="315">
        <f>IF($J77="",#N/A,SUM(CO$4:CO77,CM$4:CM77,CK$4:CK77))</f>
        <v>-0.8814781582839023</v>
      </c>
      <c r="CR77" s="304" t="str">
        <f t="shared" si="159"/>
        <v/>
      </c>
      <c r="CS77" s="313">
        <f>IF($J77="",#N/A,SUM(CR$4:CR77))</f>
        <v>0</v>
      </c>
      <c r="CT77" s="314" t="str">
        <f t="shared" si="160"/>
        <v/>
      </c>
      <c r="CU77" s="314">
        <f>IF($J77="",#N/A,SUM(CT$4:CT77))</f>
        <v>-0.13081968772223007</v>
      </c>
      <c r="CV77" s="315" t="str">
        <f t="shared" si="161"/>
        <v/>
      </c>
      <c r="CW77" s="315">
        <f>IF($J77="",#N/A,SUM(CV$4:CV77))</f>
        <v>0.28156811782542707</v>
      </c>
      <c r="CX77" s="315">
        <f>IF($J77="",#N/A,SUM(CV$4:CV77,CT$4:CT77,CR$4:CR77))</f>
        <v>0.150748430103197</v>
      </c>
      <c r="CY77" s="304" t="str">
        <f t="shared" si="162"/>
        <v/>
      </c>
      <c r="CZ77" s="313">
        <f>IF($J77="",#N/A,SUM(CY$4:CY77))</f>
        <v>0</v>
      </c>
      <c r="DA77" s="314" t="str">
        <f t="shared" si="163"/>
        <v/>
      </c>
      <c r="DB77" s="314">
        <f>IF($J77="",#N/A,SUM(DA$4:DA77))</f>
        <v>0</v>
      </c>
      <c r="DC77" s="315" t="str">
        <f t="shared" si="164"/>
        <v/>
      </c>
      <c r="DD77" s="315">
        <f>IF($J77="",#N/A,SUM(DC$4:DC77))</f>
        <v>0</v>
      </c>
      <c r="DE77" s="315">
        <f>IF($J77="",#N/A,SUM(DC$4:DC77,DA$4:DA77,CY$4:CY77))</f>
        <v>0</v>
      </c>
      <c r="DF77" s="304" t="str">
        <f t="shared" si="165"/>
        <v/>
      </c>
      <c r="DG77" s="313">
        <f>IF($J77="",#N/A,SUM(DF$4:DF77))</f>
        <v>0</v>
      </c>
      <c r="DH77" s="314" t="str">
        <f t="shared" si="166"/>
        <v/>
      </c>
      <c r="DI77" s="314">
        <f>IF($J77="",#N/A,SUM(DH$4:DH77))</f>
        <v>0</v>
      </c>
      <c r="DJ77" s="315" t="str">
        <f t="shared" si="167"/>
        <v/>
      </c>
      <c r="DK77" s="315">
        <f>IF($J77="",#N/A,SUM(DJ$4:DJ77))</f>
        <v>0</v>
      </c>
      <c r="DL77" s="315">
        <f>IF($J77="",#N/A,SUM(DJ$4:DJ77,DH$4:DH77,DF$4:DF77))</f>
        <v>0</v>
      </c>
      <c r="DM77" s="304" t="str">
        <f t="shared" si="168"/>
        <v/>
      </c>
      <c r="DN77" s="313">
        <f>IF($J77="",#N/A,SUM(DM$4:DM77))</f>
        <v>0</v>
      </c>
      <c r="DO77" s="314" t="str">
        <f t="shared" si="169"/>
        <v/>
      </c>
      <c r="DP77" s="314">
        <f>IF($J77="",#N/A,SUM(DO$4:DO77))</f>
        <v>0.26077055863664694</v>
      </c>
      <c r="DQ77" s="315" t="str">
        <f t="shared" si="170"/>
        <v/>
      </c>
      <c r="DR77" s="315">
        <f>IF($J77="",#N/A,SUM(DQ$4:DQ77))</f>
        <v>1.4067447983492751</v>
      </c>
      <c r="DS77" s="315">
        <f>IF($J77="",#N/A,SUM(DQ$4:DQ77,DO$4:DO77,DM$4:DM77))</f>
        <v>1.667515356985922</v>
      </c>
      <c r="DT77" s="304" t="str">
        <f t="shared" si="171"/>
        <v/>
      </c>
      <c r="DU77" s="313">
        <f>IF($J77="",#N/A,SUM(DT$4:DT77))</f>
        <v>0</v>
      </c>
      <c r="DV77" s="314" t="str">
        <f t="shared" si="172"/>
        <v/>
      </c>
      <c r="DW77" s="314">
        <f>IF($J77="",#N/A,SUM(DV$4:DV77))</f>
        <v>0.40085630512924314</v>
      </c>
      <c r="DX77" s="315" t="str">
        <f t="shared" si="173"/>
        <v/>
      </c>
      <c r="DY77" s="315">
        <f>IF($J77="",#N/A,SUM(DX$4:DX77))</f>
        <v>0.59674626127163555</v>
      </c>
      <c r="DZ77" s="315">
        <f>IF($J77="",#N/A,SUM(DX$4:DX77,DV$4:DV77,DT$4:DT77))</f>
        <v>0.99760256640087874</v>
      </c>
      <c r="EA77" s="304" t="str">
        <f t="shared" si="174"/>
        <v/>
      </c>
      <c r="EB77" s="313">
        <f>IF($J77="",#N/A,SUM(EA$4:EA77))</f>
        <v>0</v>
      </c>
      <c r="EC77" s="314" t="str">
        <f t="shared" si="175"/>
        <v/>
      </c>
      <c r="ED77" s="314">
        <f>IF($J77="",#N/A,SUM(EC$4:EC77))</f>
        <v>-0.47973811942657352</v>
      </c>
      <c r="EE77" s="315" t="str">
        <f t="shared" si="176"/>
        <v/>
      </c>
      <c r="EF77" s="315">
        <f>IF($J77="",#N/A,SUM(EE$4:EE77))</f>
        <v>0</v>
      </c>
      <c r="EG77" s="315">
        <f>IF($J77="",#N/A,SUM(EE$4:EE77,EC$4:EC77,EA$4:EA77))</f>
        <v>-0.47973811942657352</v>
      </c>
      <c r="EH77" s="130">
        <f t="shared" si="177"/>
        <v>9.160000000000025</v>
      </c>
      <c r="EI77" s="63">
        <f>IF(EH77="",#N/A,SUM($EH$4:EH77))</f>
        <v>400.8952094493431</v>
      </c>
      <c r="EJ77" s="223">
        <f t="shared" si="178"/>
        <v>32.680000000000007</v>
      </c>
      <c r="EK77" s="63">
        <f>IF($GZ77="",#N/A,SUM(EJ$4:EJ77))</f>
        <v>685.07334203522964</v>
      </c>
      <c r="EL77" s="60">
        <f t="shared" si="209"/>
        <v>0.38010822295256225</v>
      </c>
      <c r="EM77" s="60">
        <f>IF(EL77="",NA(),SUM($EL$4:EL77))</f>
        <v>16.495391815252692</v>
      </c>
      <c r="EN77" s="60" t="str">
        <f t="shared" si="179"/>
        <v/>
      </c>
      <c r="EO77" s="60" t="e">
        <f>IF(EN77="",NA(),SUM($EN$4:EN77))</f>
        <v>#N/A</v>
      </c>
      <c r="EP77" s="60">
        <f t="shared" si="180"/>
        <v>0.38010822295256225</v>
      </c>
      <c r="EQ77" s="60">
        <f>IF(EP77="",NA(),SUM($EP$4:EP77))</f>
        <v>11.724486002094164</v>
      </c>
      <c r="ER77" s="60" t="str">
        <f t="shared" si="181"/>
        <v/>
      </c>
      <c r="ES77" s="60" t="e">
        <f>IF(ER77="",NA(),SUM($ER$4:ER77))</f>
        <v>#N/A</v>
      </c>
      <c r="ET77" s="60" t="str">
        <f t="shared" si="182"/>
        <v/>
      </c>
      <c r="EU77" s="60" t="e">
        <f>IF(ET77="",NA(),SUM($ET$4:ET77))</f>
        <v>#N/A</v>
      </c>
      <c r="EV77" s="60" t="str">
        <f t="shared" si="183"/>
        <v/>
      </c>
      <c r="EW77" s="60" t="e">
        <f>IF(EV77="",NA(),SUM($EV$4:EV77))</f>
        <v>#N/A</v>
      </c>
      <c r="EX77" s="60" t="str">
        <f t="shared" si="184"/>
        <v/>
      </c>
      <c r="EY77" s="60" t="e">
        <f>IF(EX77="",NA(),SUM($EX$4:EX77))</f>
        <v>#N/A</v>
      </c>
      <c r="EZ77" s="60" t="str">
        <f t="shared" si="185"/>
        <v/>
      </c>
      <c r="FA77" s="60" t="e">
        <f>IF(EZ77="",NA(),SUM($EZ$4:EZ77))</f>
        <v>#N/A</v>
      </c>
      <c r="FB77" s="246" t="str">
        <f t="shared" si="210"/>
        <v/>
      </c>
      <c r="FC77" s="246" t="e">
        <f>IF($FB77="",#N/A,SUM(FB$4:$FB77))</f>
        <v>#N/A</v>
      </c>
      <c r="FD77" s="60" t="str">
        <f t="shared" si="186"/>
        <v/>
      </c>
      <c r="FE77" s="60" t="e">
        <f>IF($FD77="",#N/A,SUM($FD$4:FD77))</f>
        <v>#N/A</v>
      </c>
      <c r="FF77" s="60" t="str">
        <f t="shared" si="187"/>
        <v/>
      </c>
      <c r="FG77" s="60" t="e">
        <f>IF($FF77="",#N/A,SUM($FF$4:FF77))</f>
        <v>#N/A</v>
      </c>
      <c r="FH77" s="60" t="str">
        <f t="shared" si="188"/>
        <v/>
      </c>
      <c r="FI77" s="60" t="e">
        <f>IF($FH77="",#N/A,SUM($FH$4:FH77))</f>
        <v>#N/A</v>
      </c>
      <c r="FJ77" s="60">
        <f t="shared" si="189"/>
        <v>0.97599840653321301</v>
      </c>
      <c r="FK77" s="60">
        <f>IF($FJ77="",#N/A,SUM($FJ$4:FJ77))</f>
        <v>1.4472429065252528</v>
      </c>
      <c r="FL77" s="60" t="str">
        <f t="shared" si="190"/>
        <v/>
      </c>
      <c r="FM77" s="60" t="e">
        <f>IF($FL77="",#N/A,SUM($FL$4:FL77))</f>
        <v>#N/A</v>
      </c>
      <c r="FN77" s="82">
        <f t="shared" si="191"/>
        <v>1.3561066294857753</v>
      </c>
      <c r="FO77" s="82">
        <f>IF($FN77="",#N/A,SUM(FN$4:$FN77))</f>
        <v>27.799650439327547</v>
      </c>
      <c r="FP77" s="82">
        <f t="shared" si="211"/>
        <v>0.38010822295256225</v>
      </c>
      <c r="FQ77" s="246">
        <f>IF($EH77="",#N/A,SUM($FP$4:FP77))</f>
        <v>16.495391815252692</v>
      </c>
      <c r="FR77" s="82">
        <f>IFERROR(FQ77/COUNTA($J$4:J77),#N/A)</f>
        <v>0.22291070020611745</v>
      </c>
      <c r="FS77" s="82">
        <f t="shared" si="116"/>
        <v>0.19717180995774511</v>
      </c>
      <c r="FT77" s="82">
        <f t="shared" si="215"/>
        <v>1.6256159727388534E-2</v>
      </c>
      <c r="FU77" s="337">
        <f t="shared" si="113"/>
        <v>0.83512007178587844</v>
      </c>
      <c r="FV77" s="57" t="str">
        <f t="shared" si="192"/>
        <v>SW</v>
      </c>
      <c r="FW77" s="57" t="s">
        <v>2732</v>
      </c>
      <c r="FX77" s="57" t="str">
        <f t="shared" si="193"/>
        <v/>
      </c>
      <c r="FY77" s="57" t="str">
        <f t="shared" si="194"/>
        <v/>
      </c>
      <c r="FZ77" s="57">
        <f t="shared" si="195"/>
        <v>1</v>
      </c>
      <c r="GA77" s="57" t="str">
        <f t="shared" si="196"/>
        <v>Long</v>
      </c>
      <c r="GB77" s="57" t="str">
        <f t="shared" si="197"/>
        <v/>
      </c>
      <c r="GC77" s="57" t="str">
        <f t="shared" si="198"/>
        <v/>
      </c>
      <c r="GD77" s="57" t="str">
        <f t="shared" si="199"/>
        <v/>
      </c>
      <c r="GE77" s="62">
        <f t="shared" si="114"/>
        <v>100.41</v>
      </c>
      <c r="GF77" s="62" t="s">
        <v>2779</v>
      </c>
      <c r="GG77" s="199">
        <v>4</v>
      </c>
      <c r="GH77" s="207">
        <f t="shared" si="200"/>
        <v>401.64</v>
      </c>
      <c r="GI77" s="199">
        <v>4</v>
      </c>
      <c r="GJ77" s="200">
        <v>103.95</v>
      </c>
      <c r="GK77" s="63">
        <f t="shared" si="201"/>
        <v>14.160000000000025</v>
      </c>
      <c r="GL77" s="63">
        <f t="shared" si="115"/>
        <v>32.680000000000007</v>
      </c>
      <c r="GM77" s="82">
        <f t="shared" si="202"/>
        <v>1.3561066294857753</v>
      </c>
      <c r="GN77" s="82">
        <f>IF($GZ77="",#N/A,SUM(GM$4:GM77))</f>
        <v>13.811947319278966</v>
      </c>
      <c r="GO77" s="82" t="str">
        <f t="shared" si="203"/>
        <v/>
      </c>
      <c r="GP77" s="82">
        <f>IF($GZ77="",#N/A,SUM(GO$4:GO77))</f>
        <v>7.78611970873839</v>
      </c>
      <c r="GQ77" s="82" t="str">
        <f t="shared" si="204"/>
        <v/>
      </c>
      <c r="GR77" s="82">
        <f>IF($GZ77="",#N/A,SUM(GQ$4:GQ77))</f>
        <v>5.5757464568678348</v>
      </c>
      <c r="GS77" s="63">
        <f t="shared" si="212"/>
        <v>32.680000000000007</v>
      </c>
      <c r="GT77" s="63">
        <f>IF($GZ77="",#N/A,SUM(GS$4:GS77))</f>
        <v>331.1599288257421</v>
      </c>
      <c r="GU77" s="63" t="str">
        <f t="shared" si="213"/>
        <v/>
      </c>
      <c r="GV77" s="63">
        <f>IF($GZ77="",#N/A,SUM(GU$4:GU77))</f>
        <v>195.25289430539294</v>
      </c>
      <c r="GW77" s="63" t="str">
        <f t="shared" si="214"/>
        <v/>
      </c>
      <c r="GX77" s="63">
        <f>IF($GZ77="",#N/A,SUM(GW$4:GW77))</f>
        <v>144.92051890409476</v>
      </c>
      <c r="GY77" s="63">
        <f>IF(EJ77="",#N/A,SUM($EJ$4:EJ77))</f>
        <v>685.07334203522964</v>
      </c>
      <c r="GZ77" s="159">
        <v>108.58</v>
      </c>
      <c r="HA77" s="63">
        <f t="shared" si="205"/>
        <v>23.519999999999982</v>
      </c>
      <c r="HB77" s="62" t="s">
        <v>4734</v>
      </c>
      <c r="HC77" s="60">
        <f>IFERROR(VLOOKUP(E77,Expectancy!$P$4:$S$19,1+C77,FALSE),"")</f>
        <v>0.48685636958953199</v>
      </c>
      <c r="HD77" s="82">
        <f t="shared" si="206"/>
        <v>0.58759087740265026</v>
      </c>
      <c r="HE77" s="60">
        <f>IF(HD77="",#N/A,SUM($HD$4:HD77))</f>
        <v>1.1302717434668135</v>
      </c>
      <c r="HF77" s="85">
        <f>IF(HD77="",#N/A,IF(HB77="Skip",#N/A,SUM($HG$4:HG77)))</f>
        <v>34.29000000000002</v>
      </c>
      <c r="HG77" s="63">
        <f t="shared" si="207"/>
        <v>14.160000000000025</v>
      </c>
      <c r="HH77" s="82">
        <f t="shared" si="208"/>
        <v>1.3561066294857753</v>
      </c>
    </row>
    <row r="78" spans="1:220" x14ac:dyDescent="0.25">
      <c r="A78" s="57" t="s">
        <v>1522</v>
      </c>
      <c r="B78" s="58" t="s">
        <v>5137</v>
      </c>
      <c r="C78" s="386">
        <f t="shared" si="118"/>
        <v>3</v>
      </c>
      <c r="D78" s="372" t="str">
        <f>_xlfn.XLOOKUP(A78,[1]SP500!$A$2:$A$502,[1]SP500!$D$2:$D$502,"N")</f>
        <v>Y</v>
      </c>
      <c r="E78" s="57" t="str">
        <f>_xlfn.XLOOKUP(A78,[1]SP500!$A$2:$A$655,[1]SP500!$B$2:$B$655)</f>
        <v>XLB</v>
      </c>
      <c r="F78" s="59">
        <v>45685</v>
      </c>
      <c r="G78" s="57" t="str">
        <f t="shared" si="119"/>
        <v>AMC</v>
      </c>
      <c r="H78" s="57" t="str">
        <f t="shared" si="120"/>
        <v>o</v>
      </c>
      <c r="I78" s="159">
        <v>238.41</v>
      </c>
      <c r="J78" s="158">
        <v>220.1</v>
      </c>
      <c r="K78" s="61">
        <f t="shared" si="121"/>
        <v>-7.6800469778952232E-2</v>
      </c>
      <c r="L78" s="87">
        <f t="shared" si="122"/>
        <v>-36.620000000000005</v>
      </c>
      <c r="M78" s="130" t="e">
        <f t="shared" si="112"/>
        <v>#N/A</v>
      </c>
      <c r="N78" s="169" t="str">
        <f t="shared" si="123"/>
        <v/>
      </c>
      <c r="O78" s="169">
        <f>IF($J78="",#N/A,SUM($N$4:N78))</f>
        <v>59.07894778873009</v>
      </c>
      <c r="P78" s="174" t="str">
        <f t="shared" si="124"/>
        <v/>
      </c>
      <c r="Q78" s="174">
        <f>IF($J78="",#N/A,SUM($P$4:P78))</f>
        <v>61.536464916880902</v>
      </c>
      <c r="R78" s="178">
        <f t="shared" si="125"/>
        <v>-36.620000000000005</v>
      </c>
      <c r="S78" s="178">
        <f>IF($J78="",#N/A,SUM($R$4:R78))</f>
        <v>243.6597967437321</v>
      </c>
      <c r="T78" s="290" t="str">
        <f t="shared" si="126"/>
        <v/>
      </c>
      <c r="U78" s="290">
        <f>IF($J78="",#N/A,SUM($T$4:T78))</f>
        <v>2.3812036502715976</v>
      </c>
      <c r="V78" s="291" t="str">
        <f t="shared" si="127"/>
        <v/>
      </c>
      <c r="W78" s="291">
        <f>IF($J78="",#N/A,SUM($V$4:V78))</f>
        <v>2.3897021628869206</v>
      </c>
      <c r="X78" s="292">
        <f t="shared" si="128"/>
        <v>-1.2800078296492041</v>
      </c>
      <c r="Y78" s="283">
        <f>IF($J78="",#N/A,SUM($X$4:X78))</f>
        <v>10.44447817244496</v>
      </c>
      <c r="Z78" s="304" t="str">
        <f t="shared" si="129"/>
        <v/>
      </c>
      <c r="AA78" s="313">
        <f>IF($J78="",#N/A,SUM(Z$4:Z78))</f>
        <v>1.1273861049364817</v>
      </c>
      <c r="AB78" s="314" t="str">
        <f t="shared" si="130"/>
        <v/>
      </c>
      <c r="AC78" s="314">
        <f>IF($J78="",#N/A,SUM(AB$4:AB78))</f>
        <v>0</v>
      </c>
      <c r="AD78" s="315" t="str">
        <f t="shared" si="131"/>
        <v/>
      </c>
      <c r="AE78" s="315">
        <f>IF($J78="",#N/A,SUM(AD$4:AD78))</f>
        <v>1.5553407757049009</v>
      </c>
      <c r="AF78" s="315">
        <f>IF($J78="",#N/A,SUM(AD$4:AD78,AB$4:AB78,Z$4:Z78))</f>
        <v>2.6827268806413822</v>
      </c>
      <c r="AG78" s="304" t="str">
        <f t="shared" si="132"/>
        <v/>
      </c>
      <c r="AH78" s="313">
        <f>IF($J78="",#N/A,SUM(AG$4:AG78))</f>
        <v>0</v>
      </c>
      <c r="AI78" s="314" t="str">
        <f t="shared" si="133"/>
        <v/>
      </c>
      <c r="AJ78" s="314">
        <f>IF($J78="",#N/A,SUM(AI$4:AI78))</f>
        <v>0</v>
      </c>
      <c r="AK78" s="315" t="str">
        <f t="shared" si="134"/>
        <v/>
      </c>
      <c r="AL78" s="315">
        <f>IF($J78="",#N/A,SUM(AK$4:AK78))</f>
        <v>0</v>
      </c>
      <c r="AM78" s="315">
        <f>IF($J78="",#N/A,SUM(AK$4:AK78,AI$4:AI78,AG$4:AG78))</f>
        <v>0</v>
      </c>
      <c r="AN78" s="304" t="str">
        <f t="shared" si="135"/>
        <v/>
      </c>
      <c r="AO78" s="313">
        <f>IF($J78="",#N/A,SUM(AN$4:AN78))</f>
        <v>-0.49683555963321635</v>
      </c>
      <c r="AP78" s="314" t="str">
        <f t="shared" si="136"/>
        <v/>
      </c>
      <c r="AQ78" s="314">
        <f>IF($J78="",#N/A,SUM(AP$4:AP78))</f>
        <v>0</v>
      </c>
      <c r="AR78" s="315" t="str">
        <f t="shared" si="137"/>
        <v/>
      </c>
      <c r="AS78" s="315">
        <f>IF($J78="",#N/A,SUM(AR$4:AR78))</f>
        <v>0.38010822295256225</v>
      </c>
      <c r="AT78" s="315">
        <f>IF($J78="",#N/A,SUM(AR$4:AR78,AP$4:AP78,AN$4:AN78))</f>
        <v>-0.11672733668065405</v>
      </c>
      <c r="AU78" s="304" t="str">
        <f t="shared" si="138"/>
        <v/>
      </c>
      <c r="AV78" s="313">
        <f>IF($J78="",#N/A,SUM(AU$4:AU78))</f>
        <v>0</v>
      </c>
      <c r="AW78" s="314" t="str">
        <f t="shared" si="139"/>
        <v/>
      </c>
      <c r="AX78" s="314">
        <f>IF($J78="",#N/A,SUM(AW$4:AW78))</f>
        <v>1.2049246466562569</v>
      </c>
      <c r="AY78" s="315" t="str">
        <f t="shared" si="140"/>
        <v/>
      </c>
      <c r="AZ78" s="315">
        <f>IF($J78="",#N/A,SUM(AY$4:AY78))</f>
        <v>2.2170930216497844</v>
      </c>
      <c r="BA78" s="315">
        <f>IF($J78="",#N/A,SUM(AY$4:AY78,AW$4:AW78,AU$4:AU78))</f>
        <v>3.422017668306041</v>
      </c>
      <c r="BB78" s="304" t="str">
        <f t="shared" si="141"/>
        <v/>
      </c>
      <c r="BC78" s="313">
        <f>IF($J78="",#N/A,SUM(BB$4:BB78))</f>
        <v>0.57218309859154926</v>
      </c>
      <c r="BD78" s="314" t="str">
        <f t="shared" si="142"/>
        <v/>
      </c>
      <c r="BE78" s="314">
        <f>IF($J78="",#N/A,SUM(BD$4:BD78))</f>
        <v>-0.39561000510464578</v>
      </c>
      <c r="BF78" s="315" t="str">
        <f t="shared" si="143"/>
        <v/>
      </c>
      <c r="BG78" s="315">
        <f>IF($J78="",#N/A,SUM(BF$4:BF78))</f>
        <v>2.4597169840247779</v>
      </c>
      <c r="BH78" s="315">
        <f>IF($J78="",#N/A,SUM(BF$4:BF78,BD$4:BD78,BB$4:BB78))</f>
        <v>2.6362900775116813</v>
      </c>
      <c r="BI78" s="304" t="str">
        <f t="shared" si="144"/>
        <v/>
      </c>
      <c r="BJ78" s="313">
        <f>IF($J78="",#N/A,SUM(BI$4:BI78))</f>
        <v>-1.5356143908855402</v>
      </c>
      <c r="BK78" s="314" t="str">
        <f t="shared" si="145"/>
        <v/>
      </c>
      <c r="BL78" s="314">
        <f>IF($J78="",#N/A,SUM(BK$4:BK78))</f>
        <v>0</v>
      </c>
      <c r="BM78" s="315" t="str">
        <f t="shared" si="146"/>
        <v/>
      </c>
      <c r="BN78" s="315">
        <f>IF($J78="",#N/A,SUM(BM$4:BM78))</f>
        <v>4.7600631121019816</v>
      </c>
      <c r="BO78" s="315">
        <f>IF($J78="",#N/A,SUM(BM$4:BM78,BK$4:BK78,BI$4:BI78))</f>
        <v>3.224448721216441</v>
      </c>
      <c r="BP78" s="304" t="str">
        <f t="shared" si="147"/>
        <v/>
      </c>
      <c r="BQ78" s="313">
        <f>IF($J78="",#N/A,SUM(BP$4:BP78))</f>
        <v>3.4468416016128636</v>
      </c>
      <c r="BR78" s="314" t="str">
        <f t="shared" si="148"/>
        <v/>
      </c>
      <c r="BS78" s="314">
        <f>IF($J78="",#N/A,SUM(BR$4:BR78))</f>
        <v>0.64461012602832546</v>
      </c>
      <c r="BT78" s="315" t="str">
        <f t="shared" si="149"/>
        <v/>
      </c>
      <c r="BU78" s="315">
        <f>IF($J78="",#N/A,SUM(BT$4:BT78))</f>
        <v>-0.33591272342648226</v>
      </c>
      <c r="BV78" s="315">
        <f>IF($J78="",#N/A,SUM(BT$4:BT78,BR$4:BR78,BP$4:BP78))</f>
        <v>3.7555390042147065</v>
      </c>
      <c r="BW78" s="304" t="str">
        <f t="shared" si="150"/>
        <v/>
      </c>
      <c r="BX78" s="313">
        <f>IF($J78="",#N/A,SUM(BW$4:BW78))</f>
        <v>-0.73275720435053893</v>
      </c>
      <c r="BY78" s="314" t="str">
        <f t="shared" si="151"/>
        <v/>
      </c>
      <c r="BZ78" s="314">
        <f>IF($J78="",#N/A,SUM(BY$4:BY78))</f>
        <v>0.46686916413544804</v>
      </c>
      <c r="CA78" s="315" t="str">
        <f t="shared" si="152"/>
        <v/>
      </c>
      <c r="CB78" s="315">
        <f>IF($J78="",#N/A,SUM(CA$4:CA78))</f>
        <v>-0.45917761375388166</v>
      </c>
      <c r="CC78" s="315">
        <f>IF($J78="",#N/A,SUM(CA$4:CA78,BY$4:BY78,BW$4:BW78))</f>
        <v>-0.7250656539689726</v>
      </c>
      <c r="CD78" s="304" t="str">
        <f t="shared" si="153"/>
        <v/>
      </c>
      <c r="CE78" s="313">
        <f>IF($J78="",#N/A,SUM(CD$4:CD78))</f>
        <v>0</v>
      </c>
      <c r="CF78" s="314" t="str">
        <f t="shared" si="154"/>
        <v/>
      </c>
      <c r="CG78" s="314">
        <f>IF($J78="",#N/A,SUM(CF$4:CF78))</f>
        <v>0.41783917455444924</v>
      </c>
      <c r="CH78" s="315">
        <f t="shared" si="155"/>
        <v>-1.2800078296492041</v>
      </c>
      <c r="CI78" s="315">
        <f>IF($J78="",#N/A,SUM(CH$4:CH78))</f>
        <v>-1.5363346259711188</v>
      </c>
      <c r="CJ78" s="315">
        <f>IF($J78="",#N/A,SUM(CH$4:CH78,CF$4:CF78,CD$4:CD78))</f>
        <v>-1.1184954514166696</v>
      </c>
      <c r="CK78" s="304" t="str">
        <f t="shared" si="156"/>
        <v/>
      </c>
      <c r="CL78" s="313">
        <f>IF($J78="",#N/A,SUM(CK$4:CK78))</f>
        <v>0</v>
      </c>
      <c r="CM78" s="314" t="str">
        <f t="shared" si="157"/>
        <v/>
      </c>
      <c r="CN78" s="314">
        <f>IF($J78="",#N/A,SUM(CM$4:CM78))</f>
        <v>0</v>
      </c>
      <c r="CO78" s="315" t="str">
        <f t="shared" si="158"/>
        <v/>
      </c>
      <c r="CP78" s="315">
        <f>IF($J78="",#N/A,SUM(CO$4:CO78))</f>
        <v>-0.8814781582839023</v>
      </c>
      <c r="CQ78" s="315">
        <f>IF($J78="",#N/A,SUM(CO$4:CO78,CM$4:CM78,CK$4:CK78))</f>
        <v>-0.8814781582839023</v>
      </c>
      <c r="CR78" s="304" t="str">
        <f t="shared" si="159"/>
        <v/>
      </c>
      <c r="CS78" s="313">
        <f>IF($J78="",#N/A,SUM(CR$4:CR78))</f>
        <v>0</v>
      </c>
      <c r="CT78" s="314" t="str">
        <f t="shared" si="160"/>
        <v/>
      </c>
      <c r="CU78" s="314">
        <f>IF($J78="",#N/A,SUM(CT$4:CT78))</f>
        <v>-0.13081968772223007</v>
      </c>
      <c r="CV78" s="315" t="str">
        <f t="shared" si="161"/>
        <v/>
      </c>
      <c r="CW78" s="315">
        <f>IF($J78="",#N/A,SUM(CV$4:CV78))</f>
        <v>0.28156811782542707</v>
      </c>
      <c r="CX78" s="315">
        <f>IF($J78="",#N/A,SUM(CV$4:CV78,CT$4:CT78,CR$4:CR78))</f>
        <v>0.150748430103197</v>
      </c>
      <c r="CY78" s="304" t="str">
        <f t="shared" si="162"/>
        <v/>
      </c>
      <c r="CZ78" s="313">
        <f>IF($J78="",#N/A,SUM(CY$4:CY78))</f>
        <v>0</v>
      </c>
      <c r="DA78" s="314" t="str">
        <f t="shared" si="163"/>
        <v/>
      </c>
      <c r="DB78" s="314">
        <f>IF($J78="",#N/A,SUM(DA$4:DA78))</f>
        <v>0</v>
      </c>
      <c r="DC78" s="315" t="str">
        <f t="shared" si="164"/>
        <v/>
      </c>
      <c r="DD78" s="315">
        <f>IF($J78="",#N/A,SUM(DC$4:DC78))</f>
        <v>0</v>
      </c>
      <c r="DE78" s="315">
        <f>IF($J78="",#N/A,SUM(DC$4:DC78,DA$4:DA78,CY$4:CY78))</f>
        <v>0</v>
      </c>
      <c r="DF78" s="304" t="str">
        <f t="shared" si="165"/>
        <v/>
      </c>
      <c r="DG78" s="313">
        <f>IF($J78="",#N/A,SUM(DF$4:DF78))</f>
        <v>0</v>
      </c>
      <c r="DH78" s="314" t="str">
        <f t="shared" si="166"/>
        <v/>
      </c>
      <c r="DI78" s="314">
        <f>IF($J78="",#N/A,SUM(DH$4:DH78))</f>
        <v>0</v>
      </c>
      <c r="DJ78" s="315" t="str">
        <f t="shared" si="167"/>
        <v/>
      </c>
      <c r="DK78" s="315">
        <f>IF($J78="",#N/A,SUM(DJ$4:DJ78))</f>
        <v>0</v>
      </c>
      <c r="DL78" s="315">
        <f>IF($J78="",#N/A,SUM(DJ$4:DJ78,DH$4:DH78,DF$4:DF78))</f>
        <v>0</v>
      </c>
      <c r="DM78" s="304" t="str">
        <f t="shared" si="168"/>
        <v/>
      </c>
      <c r="DN78" s="313">
        <f>IF($J78="",#N/A,SUM(DM$4:DM78))</f>
        <v>0</v>
      </c>
      <c r="DO78" s="314" t="str">
        <f t="shared" si="169"/>
        <v/>
      </c>
      <c r="DP78" s="314">
        <f>IF($J78="",#N/A,SUM(DO$4:DO78))</f>
        <v>0.26077055863664694</v>
      </c>
      <c r="DQ78" s="315" t="str">
        <f t="shared" si="170"/>
        <v/>
      </c>
      <c r="DR78" s="315">
        <f>IF($J78="",#N/A,SUM(DQ$4:DQ78))</f>
        <v>1.4067447983492751</v>
      </c>
      <c r="DS78" s="315">
        <f>IF($J78="",#N/A,SUM(DQ$4:DQ78,DO$4:DO78,DM$4:DM78))</f>
        <v>1.667515356985922</v>
      </c>
      <c r="DT78" s="304" t="str">
        <f t="shared" si="171"/>
        <v/>
      </c>
      <c r="DU78" s="313">
        <f>IF($J78="",#N/A,SUM(DT$4:DT78))</f>
        <v>0</v>
      </c>
      <c r="DV78" s="314" t="str">
        <f t="shared" si="172"/>
        <v/>
      </c>
      <c r="DW78" s="314">
        <f>IF($J78="",#N/A,SUM(DV$4:DV78))</f>
        <v>0.40085630512924314</v>
      </c>
      <c r="DX78" s="315" t="str">
        <f t="shared" si="173"/>
        <v/>
      </c>
      <c r="DY78" s="315">
        <f>IF($J78="",#N/A,SUM(DX$4:DX78))</f>
        <v>0.59674626127163555</v>
      </c>
      <c r="DZ78" s="315">
        <f>IF($J78="",#N/A,SUM(DX$4:DX78,DV$4:DV78,DT$4:DT78))</f>
        <v>0.99760256640087874</v>
      </c>
      <c r="EA78" s="304" t="str">
        <f t="shared" si="174"/>
        <v/>
      </c>
      <c r="EB78" s="313">
        <f>IF($J78="",#N/A,SUM(EA$4:EA78))</f>
        <v>0</v>
      </c>
      <c r="EC78" s="314" t="str">
        <f t="shared" si="175"/>
        <v/>
      </c>
      <c r="ED78" s="314">
        <f>IF($J78="",#N/A,SUM(EC$4:EC78))</f>
        <v>-0.47973811942657352</v>
      </c>
      <c r="EE78" s="315" t="str">
        <f t="shared" si="176"/>
        <v/>
      </c>
      <c r="EF78" s="315">
        <f>IF($J78="",#N/A,SUM(EE$4:EE78))</f>
        <v>0</v>
      </c>
      <c r="EG78" s="315">
        <f>IF($J78="",#N/A,SUM(EE$4:EE78,EC$4:EC78,EA$4:EA78))</f>
        <v>-0.47973811942657352</v>
      </c>
      <c r="EH78" s="130">
        <f t="shared" si="177"/>
        <v>-36.620000000000005</v>
      </c>
      <c r="EI78" s="63">
        <f>IF(EH78="",#N/A,SUM($EH$4:EH78))</f>
        <v>364.27520944934309</v>
      </c>
      <c r="EJ78" s="223">
        <f t="shared" si="178"/>
        <v>-46.579999999999984</v>
      </c>
      <c r="EK78" s="63">
        <f>IF($GZ78="",#N/A,SUM(EJ$4:EJ78))</f>
        <v>638.49334203522972</v>
      </c>
      <c r="EL78" s="60">
        <f t="shared" si="209"/>
        <v>-1.2800078296492041</v>
      </c>
      <c r="EM78" s="60">
        <f>IF(EL78="",NA(),SUM($EL$4:EL78))</f>
        <v>15.215383985603488</v>
      </c>
      <c r="EN78" s="60" t="str">
        <f t="shared" si="179"/>
        <v/>
      </c>
      <c r="EO78" s="60" t="e">
        <f>IF(EN78="",NA(),SUM($EN$4:EN78))</f>
        <v>#N/A</v>
      </c>
      <c r="EP78" s="60">
        <f t="shared" si="180"/>
        <v>-1.2800078296492041</v>
      </c>
      <c r="EQ78" s="60">
        <f>IF(EP78="",NA(),SUM($EP$4:EP78))</f>
        <v>10.44447817244496</v>
      </c>
      <c r="ER78" s="60" t="str">
        <f t="shared" si="181"/>
        <v/>
      </c>
      <c r="ES78" s="60" t="e">
        <f>IF(ER78="",NA(),SUM($ER$4:ER78))</f>
        <v>#N/A</v>
      </c>
      <c r="ET78" s="60" t="str">
        <f t="shared" si="182"/>
        <v/>
      </c>
      <c r="EU78" s="60" t="e">
        <f>IF(ET78="",NA(),SUM($ET$4:ET78))</f>
        <v>#N/A</v>
      </c>
      <c r="EV78" s="60" t="str">
        <f t="shared" si="183"/>
        <v/>
      </c>
      <c r="EW78" s="60" t="e">
        <f>IF(EV78="",NA(),SUM($EV$4:EV78))</f>
        <v>#N/A</v>
      </c>
      <c r="EX78" s="60" t="str">
        <f t="shared" si="184"/>
        <v/>
      </c>
      <c r="EY78" s="60" t="e">
        <f>IF(EX78="",NA(),SUM($EX$4:EX78))</f>
        <v>#N/A</v>
      </c>
      <c r="EZ78" s="60" t="str">
        <f t="shared" si="185"/>
        <v/>
      </c>
      <c r="FA78" s="60" t="e">
        <f>IF(EZ78="",NA(),SUM($EZ$4:EZ78))</f>
        <v>#N/A</v>
      </c>
      <c r="FB78" s="246" t="str">
        <f t="shared" si="210"/>
        <v/>
      </c>
      <c r="FC78" s="246" t="e">
        <f>IF($FB78="",#N/A,SUM(FB$4:$FB78))</f>
        <v>#N/A</v>
      </c>
      <c r="FD78" s="60" t="str">
        <f t="shared" si="186"/>
        <v/>
      </c>
      <c r="FE78" s="60" t="e">
        <f>IF($FD78="",#N/A,SUM($FD$4:FD78))</f>
        <v>#N/A</v>
      </c>
      <c r="FF78" s="60" t="str">
        <f t="shared" si="187"/>
        <v/>
      </c>
      <c r="FG78" s="60" t="e">
        <f>IF($FF78="",#N/A,SUM($FF$4:FF78))</f>
        <v>#N/A</v>
      </c>
      <c r="FH78" s="60" t="str">
        <f t="shared" si="188"/>
        <v/>
      </c>
      <c r="FI78" s="60" t="e">
        <f>IF($FH78="",#N/A,SUM($FH$4:FH78))</f>
        <v>#N/A</v>
      </c>
      <c r="FJ78" s="60" t="str">
        <f t="shared" si="189"/>
        <v/>
      </c>
      <c r="FK78" s="60" t="e">
        <f>IF($FJ78="",#N/A,SUM($FJ$4:FJ78))</f>
        <v>#N/A</v>
      </c>
      <c r="FL78" s="60">
        <f t="shared" si="190"/>
        <v>-0.34813975923828622</v>
      </c>
      <c r="FM78" s="60">
        <f>IF($FL78="",#N/A,SUM($FL$4:FL78))</f>
        <v>0.29207865142126277</v>
      </c>
      <c r="FN78" s="82">
        <f t="shared" si="191"/>
        <v>-1.6281475888874903</v>
      </c>
      <c r="FO78" s="82">
        <f>IF($FN78="",#N/A,SUM(FN$4:$FN78))</f>
        <v>26.171502850440056</v>
      </c>
      <c r="FP78" s="82">
        <f t="shared" si="211"/>
        <v>-1.2800078296492041</v>
      </c>
      <c r="FQ78" s="246">
        <f>IF($EH78="",#N/A,SUM($FP$4:FP78))</f>
        <v>15.215383985603488</v>
      </c>
      <c r="FR78" s="82">
        <f>IFERROR(FQ78/COUNTA($J$4:J78),#N/A)</f>
        <v>0.20287178647471318</v>
      </c>
      <c r="FS78" s="82">
        <f t="shared" si="116"/>
        <v>0.18682252722863868</v>
      </c>
      <c r="FT78" s="82">
        <f t="shared" si="215"/>
        <v>-1.0712172884941209E-3</v>
      </c>
      <c r="FU78" s="337">
        <f t="shared" si="113"/>
        <v>1.0476391216020211</v>
      </c>
      <c r="FV78" s="57" t="str">
        <f t="shared" si="192"/>
        <v>SW</v>
      </c>
      <c r="FW78" s="57" t="s">
        <v>2732</v>
      </c>
      <c r="FX78" s="57" t="str">
        <f t="shared" si="193"/>
        <v/>
      </c>
      <c r="FY78" s="57" t="str">
        <f t="shared" si="194"/>
        <v/>
      </c>
      <c r="FZ78" s="57" t="str">
        <f t="shared" si="195"/>
        <v/>
      </c>
      <c r="GA78" s="57" t="str">
        <f t="shared" si="196"/>
        <v>Long</v>
      </c>
      <c r="GB78" s="57" t="str">
        <f t="shared" si="197"/>
        <v/>
      </c>
      <c r="GC78" s="57" t="str">
        <f t="shared" si="198"/>
        <v/>
      </c>
      <c r="GD78" s="57">
        <f t="shared" si="199"/>
        <v>1</v>
      </c>
      <c r="GE78" s="62">
        <f t="shared" si="114"/>
        <v>238.41</v>
      </c>
      <c r="GF78" s="62" t="s">
        <v>2779</v>
      </c>
      <c r="GG78" s="199">
        <v>2</v>
      </c>
      <c r="GH78" s="207">
        <f t="shared" si="200"/>
        <v>476.82</v>
      </c>
      <c r="GI78" s="199">
        <v>2</v>
      </c>
      <c r="GJ78" s="200">
        <v>217.06</v>
      </c>
      <c r="GK78" s="63">
        <f t="shared" si="201"/>
        <v>-42.699999999999989</v>
      </c>
      <c r="GL78" s="63">
        <f t="shared" si="115"/>
        <v>-46.579999999999984</v>
      </c>
      <c r="GM78" s="82">
        <f t="shared" si="202"/>
        <v>-1.6281475888874903</v>
      </c>
      <c r="GN78" s="82">
        <f>IF($GZ78="",#N/A,SUM(GM$4:GM78))</f>
        <v>12.183799730391476</v>
      </c>
      <c r="GO78" s="82" t="str">
        <f t="shared" si="203"/>
        <v/>
      </c>
      <c r="GP78" s="82">
        <f>IF($GZ78="",#N/A,SUM(GO$4:GO78))</f>
        <v>7.78611970873839</v>
      </c>
      <c r="GQ78" s="82" t="str">
        <f t="shared" si="204"/>
        <v/>
      </c>
      <c r="GR78" s="82">
        <f>IF($GZ78="",#N/A,SUM(GQ$4:GQ78))</f>
        <v>5.5757464568678348</v>
      </c>
      <c r="GS78" s="63">
        <f t="shared" si="212"/>
        <v>-46.579999999999984</v>
      </c>
      <c r="GT78" s="63">
        <f>IF($GZ78="",#N/A,SUM(GS$4:GS78))</f>
        <v>284.57992882574212</v>
      </c>
      <c r="GU78" s="63" t="str">
        <f t="shared" si="213"/>
        <v/>
      </c>
      <c r="GV78" s="63">
        <f>IF($GZ78="",#N/A,SUM(GU$4:GU78))</f>
        <v>195.25289430539294</v>
      </c>
      <c r="GW78" s="63" t="str">
        <f t="shared" si="214"/>
        <v/>
      </c>
      <c r="GX78" s="63">
        <f>IF($GZ78="",#N/A,SUM(GW$4:GW78))</f>
        <v>144.92051890409476</v>
      </c>
      <c r="GY78" s="63">
        <f>IF(EJ78="",#N/A,SUM($EJ$4:EJ78))</f>
        <v>638.49334203522972</v>
      </c>
      <c r="GZ78" s="159">
        <v>215.12</v>
      </c>
      <c r="HA78" s="63">
        <f t="shared" si="205"/>
        <v>-9.9599999999999795</v>
      </c>
      <c r="HB78" s="62" t="s">
        <v>4734</v>
      </c>
      <c r="HC78" s="60">
        <f>IFERROR(VLOOKUP(E78,Expectancy!$P$4:$S$19,1+C78,FALSE),"")</f>
        <v>-0.22212962098938482</v>
      </c>
      <c r="HD78" s="82">
        <f t="shared" si="206"/>
        <v>-1.4925268794653466</v>
      </c>
      <c r="HE78" s="60">
        <f>IF(HD78="",#N/A,SUM($HD$4:HD78))</f>
        <v>-0.3622551359985331</v>
      </c>
      <c r="HF78" s="85">
        <f>IF(HD78="",#N/A,IF(HB78="Skip",#N/A,SUM($HG$4:HG78)))</f>
        <v>-8.4099999999999682</v>
      </c>
      <c r="HG78" s="63">
        <f t="shared" si="207"/>
        <v>-42.699999999999989</v>
      </c>
      <c r="HH78" s="82">
        <f t="shared" si="208"/>
        <v>-1.6281475888874903</v>
      </c>
    </row>
    <row r="79" spans="1:220" x14ac:dyDescent="0.25">
      <c r="A79" s="57" t="s">
        <v>1572</v>
      </c>
      <c r="B79" s="58" t="s">
        <v>5135</v>
      </c>
      <c r="C79" s="386">
        <f t="shared" si="118"/>
        <v>1</v>
      </c>
      <c r="D79" s="372" t="str">
        <f>_xlfn.XLOOKUP(A79,[1]SP500!$A$2:$A$502,[1]SP500!$D$2:$D$502,"N")</f>
        <v>Y</v>
      </c>
      <c r="E79" s="57" t="str">
        <f>_xlfn.XLOOKUP(A79,[1]SP500!$A$2:$A$655,[1]SP500!$B$2:$B$655)</f>
        <v>XLK</v>
      </c>
      <c r="F79" s="59">
        <v>45685</v>
      </c>
      <c r="G79" s="57" t="str">
        <f t="shared" si="119"/>
        <v>AMC</v>
      </c>
      <c r="H79" s="57" t="str">
        <f t="shared" si="120"/>
        <v>o</v>
      </c>
      <c r="I79" s="159">
        <v>269.72000000000003</v>
      </c>
      <c r="J79" s="159">
        <v>307</v>
      </c>
      <c r="K79" s="61">
        <f t="shared" si="121"/>
        <v>0.13821741064807938</v>
      </c>
      <c r="L79" s="87">
        <f t="shared" si="122"/>
        <v>74.559999999999945</v>
      </c>
      <c r="M79" s="130" t="e">
        <f t="shared" si="112"/>
        <v>#N/A</v>
      </c>
      <c r="N79" s="169">
        <f t="shared" si="123"/>
        <v>74.559999999999945</v>
      </c>
      <c r="O79" s="169">
        <f>IF($J79="",#N/A,SUM($N$4:N79))</f>
        <v>133.63894778873004</v>
      </c>
      <c r="P79" s="174" t="str">
        <f t="shared" si="124"/>
        <v/>
      </c>
      <c r="Q79" s="174">
        <f>IF($J79="",#N/A,SUM($P$4:P79))</f>
        <v>61.536464916880902</v>
      </c>
      <c r="R79" s="178" t="str">
        <f t="shared" si="125"/>
        <v/>
      </c>
      <c r="S79" s="178">
        <f>IF($J79="",#N/A,SUM($R$4:R79))</f>
        <v>243.6597967437321</v>
      </c>
      <c r="T79" s="290">
        <f t="shared" si="126"/>
        <v>2.3036235108013234</v>
      </c>
      <c r="U79" s="290">
        <f>IF($J79="",#N/A,SUM($T$4:T79))</f>
        <v>4.6848271610729206</v>
      </c>
      <c r="V79" s="291" t="str">
        <f t="shared" si="127"/>
        <v/>
      </c>
      <c r="W79" s="291">
        <f>IF($J79="",#N/A,SUM($V$4:V79))</f>
        <v>2.3897021628869206</v>
      </c>
      <c r="X79" s="292" t="str">
        <f t="shared" si="128"/>
        <v/>
      </c>
      <c r="Y79" s="283">
        <f>IF($J79="",#N/A,SUM($X$4:X79))</f>
        <v>10.44447817244496</v>
      </c>
      <c r="Z79" s="304">
        <f t="shared" si="129"/>
        <v>2.3036235108013234</v>
      </c>
      <c r="AA79" s="313">
        <f>IF($J79="",#N/A,SUM(Z$4:Z79))</f>
        <v>3.4310096157378052</v>
      </c>
      <c r="AB79" s="314" t="str">
        <f t="shared" si="130"/>
        <v/>
      </c>
      <c r="AC79" s="314">
        <f>IF($J79="",#N/A,SUM(AB$4:AB79))</f>
        <v>0</v>
      </c>
      <c r="AD79" s="315" t="str">
        <f t="shared" si="131"/>
        <v/>
      </c>
      <c r="AE79" s="315">
        <f>IF($J79="",#N/A,SUM(AD$4:AD79))</f>
        <v>1.5553407757049009</v>
      </c>
      <c r="AF79" s="315">
        <f>IF($J79="",#N/A,SUM(AD$4:AD79,AB$4:AB79,Z$4:Z79))</f>
        <v>4.9863503914427056</v>
      </c>
      <c r="AG79" s="304" t="str">
        <f t="shared" si="132"/>
        <v/>
      </c>
      <c r="AH79" s="313">
        <f>IF($J79="",#N/A,SUM(AG$4:AG79))</f>
        <v>0</v>
      </c>
      <c r="AI79" s="314" t="str">
        <f t="shared" si="133"/>
        <v/>
      </c>
      <c r="AJ79" s="314">
        <f>IF($J79="",#N/A,SUM(AI$4:AI79))</f>
        <v>0</v>
      </c>
      <c r="AK79" s="315" t="str">
        <f t="shared" si="134"/>
        <v/>
      </c>
      <c r="AL79" s="315">
        <f>IF($J79="",#N/A,SUM(AK$4:AK79))</f>
        <v>0</v>
      </c>
      <c r="AM79" s="315">
        <f>IF($J79="",#N/A,SUM(AK$4:AK79,AI$4:AI79,AG$4:AG79))</f>
        <v>0</v>
      </c>
      <c r="AN79" s="304" t="str">
        <f t="shared" si="135"/>
        <v/>
      </c>
      <c r="AO79" s="313">
        <f>IF($J79="",#N/A,SUM(AN$4:AN79))</f>
        <v>-0.49683555963321635</v>
      </c>
      <c r="AP79" s="314" t="str">
        <f t="shared" si="136"/>
        <v/>
      </c>
      <c r="AQ79" s="314">
        <f>IF($J79="",#N/A,SUM(AP$4:AP79))</f>
        <v>0</v>
      </c>
      <c r="AR79" s="315" t="str">
        <f t="shared" si="137"/>
        <v/>
      </c>
      <c r="AS79" s="315">
        <f>IF($J79="",#N/A,SUM(AR$4:AR79))</f>
        <v>0.38010822295256225</v>
      </c>
      <c r="AT79" s="315">
        <f>IF($J79="",#N/A,SUM(AR$4:AR79,AP$4:AP79,AN$4:AN79))</f>
        <v>-0.11672733668065405</v>
      </c>
      <c r="AU79" s="304" t="str">
        <f t="shared" si="138"/>
        <v/>
      </c>
      <c r="AV79" s="313">
        <f>IF($J79="",#N/A,SUM(AU$4:AU79))</f>
        <v>0</v>
      </c>
      <c r="AW79" s="314" t="str">
        <f t="shared" si="139"/>
        <v/>
      </c>
      <c r="AX79" s="314">
        <f>IF($J79="",#N/A,SUM(AW$4:AW79))</f>
        <v>1.2049246466562569</v>
      </c>
      <c r="AY79" s="315" t="str">
        <f t="shared" si="140"/>
        <v/>
      </c>
      <c r="AZ79" s="315">
        <f>IF($J79="",#N/A,SUM(AY$4:AY79))</f>
        <v>2.2170930216497844</v>
      </c>
      <c r="BA79" s="315">
        <f>IF($J79="",#N/A,SUM(AY$4:AY79,AW$4:AW79,AU$4:AU79))</f>
        <v>3.422017668306041</v>
      </c>
      <c r="BB79" s="304" t="str">
        <f t="shared" si="141"/>
        <v/>
      </c>
      <c r="BC79" s="313">
        <f>IF($J79="",#N/A,SUM(BB$4:BB79))</f>
        <v>0.57218309859154926</v>
      </c>
      <c r="BD79" s="314" t="str">
        <f t="shared" si="142"/>
        <v/>
      </c>
      <c r="BE79" s="314">
        <f>IF($J79="",#N/A,SUM(BD$4:BD79))</f>
        <v>-0.39561000510464578</v>
      </c>
      <c r="BF79" s="315" t="str">
        <f t="shared" si="143"/>
        <v/>
      </c>
      <c r="BG79" s="315">
        <f>IF($J79="",#N/A,SUM(BF$4:BF79))</f>
        <v>2.4597169840247779</v>
      </c>
      <c r="BH79" s="315">
        <f>IF($J79="",#N/A,SUM(BF$4:BF79,BD$4:BD79,BB$4:BB79))</f>
        <v>2.6362900775116813</v>
      </c>
      <c r="BI79" s="304" t="str">
        <f t="shared" si="144"/>
        <v/>
      </c>
      <c r="BJ79" s="313">
        <f>IF($J79="",#N/A,SUM(BI$4:BI79))</f>
        <v>-1.5356143908855402</v>
      </c>
      <c r="BK79" s="314" t="str">
        <f t="shared" si="145"/>
        <v/>
      </c>
      <c r="BL79" s="314">
        <f>IF($J79="",#N/A,SUM(BK$4:BK79))</f>
        <v>0</v>
      </c>
      <c r="BM79" s="315" t="str">
        <f t="shared" si="146"/>
        <v/>
      </c>
      <c r="BN79" s="315">
        <f>IF($J79="",#N/A,SUM(BM$4:BM79))</f>
        <v>4.7600631121019816</v>
      </c>
      <c r="BO79" s="315">
        <f>IF($J79="",#N/A,SUM(BM$4:BM79,BK$4:BK79,BI$4:BI79))</f>
        <v>3.224448721216441</v>
      </c>
      <c r="BP79" s="304" t="str">
        <f t="shared" si="147"/>
        <v/>
      </c>
      <c r="BQ79" s="313">
        <f>IF($J79="",#N/A,SUM(BP$4:BP79))</f>
        <v>3.4468416016128636</v>
      </c>
      <c r="BR79" s="314" t="str">
        <f t="shared" si="148"/>
        <v/>
      </c>
      <c r="BS79" s="314">
        <f>IF($J79="",#N/A,SUM(BR$4:BR79))</f>
        <v>0.64461012602832546</v>
      </c>
      <c r="BT79" s="315" t="str">
        <f t="shared" si="149"/>
        <v/>
      </c>
      <c r="BU79" s="315">
        <f>IF($J79="",#N/A,SUM(BT$4:BT79))</f>
        <v>-0.33591272342648226</v>
      </c>
      <c r="BV79" s="315">
        <f>IF($J79="",#N/A,SUM(BT$4:BT79,BR$4:BR79,BP$4:BP79))</f>
        <v>3.7555390042147065</v>
      </c>
      <c r="BW79" s="304" t="str">
        <f t="shared" si="150"/>
        <v/>
      </c>
      <c r="BX79" s="313">
        <f>IF($J79="",#N/A,SUM(BW$4:BW79))</f>
        <v>-0.73275720435053893</v>
      </c>
      <c r="BY79" s="314" t="str">
        <f t="shared" si="151"/>
        <v/>
      </c>
      <c r="BZ79" s="314">
        <f>IF($J79="",#N/A,SUM(BY$4:BY79))</f>
        <v>0.46686916413544804</v>
      </c>
      <c r="CA79" s="315" t="str">
        <f t="shared" si="152"/>
        <v/>
      </c>
      <c r="CB79" s="315">
        <f>IF($J79="",#N/A,SUM(CA$4:CA79))</f>
        <v>-0.45917761375388166</v>
      </c>
      <c r="CC79" s="315">
        <f>IF($J79="",#N/A,SUM(CA$4:CA79,BY$4:BY79,BW$4:BW79))</f>
        <v>-0.7250656539689726</v>
      </c>
      <c r="CD79" s="304" t="str">
        <f t="shared" si="153"/>
        <v/>
      </c>
      <c r="CE79" s="313">
        <f>IF($J79="",#N/A,SUM(CD$4:CD79))</f>
        <v>0</v>
      </c>
      <c r="CF79" s="314" t="str">
        <f t="shared" si="154"/>
        <v/>
      </c>
      <c r="CG79" s="314">
        <f>IF($J79="",#N/A,SUM(CF$4:CF79))</f>
        <v>0.41783917455444924</v>
      </c>
      <c r="CH79" s="315" t="str">
        <f t="shared" si="155"/>
        <v/>
      </c>
      <c r="CI79" s="315">
        <f>IF($J79="",#N/A,SUM(CH$4:CH79))</f>
        <v>-1.5363346259711188</v>
      </c>
      <c r="CJ79" s="315">
        <f>IF($J79="",#N/A,SUM(CH$4:CH79,CF$4:CF79,CD$4:CD79))</f>
        <v>-1.1184954514166696</v>
      </c>
      <c r="CK79" s="304" t="str">
        <f t="shared" si="156"/>
        <v/>
      </c>
      <c r="CL79" s="313">
        <f>IF($J79="",#N/A,SUM(CK$4:CK79))</f>
        <v>0</v>
      </c>
      <c r="CM79" s="314" t="str">
        <f t="shared" si="157"/>
        <v/>
      </c>
      <c r="CN79" s="314">
        <f>IF($J79="",#N/A,SUM(CM$4:CM79))</f>
        <v>0</v>
      </c>
      <c r="CO79" s="315" t="str">
        <f t="shared" si="158"/>
        <v/>
      </c>
      <c r="CP79" s="315">
        <f>IF($J79="",#N/A,SUM(CO$4:CO79))</f>
        <v>-0.8814781582839023</v>
      </c>
      <c r="CQ79" s="315">
        <f>IF($J79="",#N/A,SUM(CO$4:CO79,CM$4:CM79,CK$4:CK79))</f>
        <v>-0.8814781582839023</v>
      </c>
      <c r="CR79" s="304" t="str">
        <f t="shared" si="159"/>
        <v/>
      </c>
      <c r="CS79" s="313">
        <f>IF($J79="",#N/A,SUM(CR$4:CR79))</f>
        <v>0</v>
      </c>
      <c r="CT79" s="314" t="str">
        <f t="shared" si="160"/>
        <v/>
      </c>
      <c r="CU79" s="314">
        <f>IF($J79="",#N/A,SUM(CT$4:CT79))</f>
        <v>-0.13081968772223007</v>
      </c>
      <c r="CV79" s="315" t="str">
        <f t="shared" si="161"/>
        <v/>
      </c>
      <c r="CW79" s="315">
        <f>IF($J79="",#N/A,SUM(CV$4:CV79))</f>
        <v>0.28156811782542707</v>
      </c>
      <c r="CX79" s="315">
        <f>IF($J79="",#N/A,SUM(CV$4:CV79,CT$4:CT79,CR$4:CR79))</f>
        <v>0.150748430103197</v>
      </c>
      <c r="CY79" s="304" t="str">
        <f t="shared" si="162"/>
        <v/>
      </c>
      <c r="CZ79" s="313">
        <f>IF($J79="",#N/A,SUM(CY$4:CY79))</f>
        <v>0</v>
      </c>
      <c r="DA79" s="314" t="str">
        <f t="shared" si="163"/>
        <v/>
      </c>
      <c r="DB79" s="314">
        <f>IF($J79="",#N/A,SUM(DA$4:DA79))</f>
        <v>0</v>
      </c>
      <c r="DC79" s="315" t="str">
        <f t="shared" si="164"/>
        <v/>
      </c>
      <c r="DD79" s="315">
        <f>IF($J79="",#N/A,SUM(DC$4:DC79))</f>
        <v>0</v>
      </c>
      <c r="DE79" s="315">
        <f>IF($J79="",#N/A,SUM(DC$4:DC79,DA$4:DA79,CY$4:CY79))</f>
        <v>0</v>
      </c>
      <c r="DF79" s="304" t="str">
        <f t="shared" si="165"/>
        <v/>
      </c>
      <c r="DG79" s="313">
        <f>IF($J79="",#N/A,SUM(DF$4:DF79))</f>
        <v>0</v>
      </c>
      <c r="DH79" s="314" t="str">
        <f t="shared" si="166"/>
        <v/>
      </c>
      <c r="DI79" s="314">
        <f>IF($J79="",#N/A,SUM(DH$4:DH79))</f>
        <v>0</v>
      </c>
      <c r="DJ79" s="315" t="str">
        <f t="shared" si="167"/>
        <v/>
      </c>
      <c r="DK79" s="315">
        <f>IF($J79="",#N/A,SUM(DJ$4:DJ79))</f>
        <v>0</v>
      </c>
      <c r="DL79" s="315">
        <f>IF($J79="",#N/A,SUM(DJ$4:DJ79,DH$4:DH79,DF$4:DF79))</f>
        <v>0</v>
      </c>
      <c r="DM79" s="304" t="str">
        <f t="shared" si="168"/>
        <v/>
      </c>
      <c r="DN79" s="313">
        <f>IF($J79="",#N/A,SUM(DM$4:DM79))</f>
        <v>0</v>
      </c>
      <c r="DO79" s="314" t="str">
        <f t="shared" si="169"/>
        <v/>
      </c>
      <c r="DP79" s="314">
        <f>IF($J79="",#N/A,SUM(DO$4:DO79))</f>
        <v>0.26077055863664694</v>
      </c>
      <c r="DQ79" s="315" t="str">
        <f t="shared" si="170"/>
        <v/>
      </c>
      <c r="DR79" s="315">
        <f>IF($J79="",#N/A,SUM(DQ$4:DQ79))</f>
        <v>1.4067447983492751</v>
      </c>
      <c r="DS79" s="315">
        <f>IF($J79="",#N/A,SUM(DQ$4:DQ79,DO$4:DO79,DM$4:DM79))</f>
        <v>1.667515356985922</v>
      </c>
      <c r="DT79" s="304" t="str">
        <f t="shared" si="171"/>
        <v/>
      </c>
      <c r="DU79" s="313">
        <f>IF($J79="",#N/A,SUM(DT$4:DT79))</f>
        <v>0</v>
      </c>
      <c r="DV79" s="314" t="str">
        <f t="shared" si="172"/>
        <v/>
      </c>
      <c r="DW79" s="314">
        <f>IF($J79="",#N/A,SUM(DV$4:DV79))</f>
        <v>0.40085630512924314</v>
      </c>
      <c r="DX79" s="315" t="str">
        <f t="shared" si="173"/>
        <v/>
      </c>
      <c r="DY79" s="315">
        <f>IF($J79="",#N/A,SUM(DX$4:DX79))</f>
        <v>0.59674626127163555</v>
      </c>
      <c r="DZ79" s="315">
        <f>IF($J79="",#N/A,SUM(DX$4:DX79,DV$4:DV79,DT$4:DT79))</f>
        <v>0.99760256640087874</v>
      </c>
      <c r="EA79" s="304" t="str">
        <f t="shared" si="174"/>
        <v/>
      </c>
      <c r="EB79" s="313">
        <f>IF($J79="",#N/A,SUM(EA$4:EA79))</f>
        <v>0</v>
      </c>
      <c r="EC79" s="314" t="str">
        <f t="shared" si="175"/>
        <v/>
      </c>
      <c r="ED79" s="314">
        <f>IF($J79="",#N/A,SUM(EC$4:EC79))</f>
        <v>-0.47973811942657352</v>
      </c>
      <c r="EE79" s="315" t="str">
        <f t="shared" si="176"/>
        <v/>
      </c>
      <c r="EF79" s="315">
        <f>IF($J79="",#N/A,SUM(EE$4:EE79))</f>
        <v>0</v>
      </c>
      <c r="EG79" s="315">
        <f>IF($J79="",#N/A,SUM(EE$4:EE79,EC$4:EC79,EA$4:EA79))</f>
        <v>-0.47973811942657352</v>
      </c>
      <c r="EH79" s="130">
        <f t="shared" si="177"/>
        <v>74.559999999999945</v>
      </c>
      <c r="EI79" s="63">
        <f>IF(EH79="",#N/A,SUM($EH$4:EH79))</f>
        <v>438.83520944934304</v>
      </c>
      <c r="EJ79" s="223">
        <f t="shared" si="178"/>
        <v>61.479999999999905</v>
      </c>
      <c r="EK79" s="63">
        <f>IF($GZ79="",#N/A,SUM(EJ$4:EJ79))</f>
        <v>699.97334203522962</v>
      </c>
      <c r="EL79" s="60">
        <f t="shared" si="209"/>
        <v>2.3036235108013234</v>
      </c>
      <c r="EM79" s="60">
        <f>IF(EL79="",NA(),SUM($EL$4:EL79))</f>
        <v>17.519007496404811</v>
      </c>
      <c r="EN79" s="60">
        <f t="shared" si="179"/>
        <v>2.3036235108013234</v>
      </c>
      <c r="EO79" s="60">
        <f>IF(EN79="",NA(),SUM($EN$4:EN79))</f>
        <v>4.6848271610729206</v>
      </c>
      <c r="EP79" s="60" t="str">
        <f t="shared" si="180"/>
        <v/>
      </c>
      <c r="EQ79" s="60" t="e">
        <f>IF(EP79="",NA(),SUM($EP$4:EP79))</f>
        <v>#N/A</v>
      </c>
      <c r="ER79" s="60" t="str">
        <f t="shared" si="181"/>
        <v/>
      </c>
      <c r="ES79" s="60" t="e">
        <f>IF(ER79="",NA(),SUM($ER$4:ER79))</f>
        <v>#N/A</v>
      </c>
      <c r="ET79" s="60" t="str">
        <f t="shared" si="182"/>
        <v/>
      </c>
      <c r="EU79" s="60" t="e">
        <f>IF(ET79="",NA(),SUM($ET$4:ET79))</f>
        <v>#N/A</v>
      </c>
      <c r="EV79" s="60" t="str">
        <f t="shared" si="183"/>
        <v/>
      </c>
      <c r="EW79" s="60" t="e">
        <f>IF(EV79="",NA(),SUM($EV$4:EV79))</f>
        <v>#N/A</v>
      </c>
      <c r="EX79" s="60" t="str">
        <f t="shared" si="184"/>
        <v/>
      </c>
      <c r="EY79" s="60" t="e">
        <f>IF(EX79="",NA(),SUM($EX$4:EX79))</f>
        <v>#N/A</v>
      </c>
      <c r="EZ79" s="60" t="str">
        <f t="shared" si="185"/>
        <v/>
      </c>
      <c r="FA79" s="60" t="e">
        <f>IF(EZ79="",NA(),SUM($EZ$4:EZ79))</f>
        <v>#N/A</v>
      </c>
      <c r="FB79" s="246" t="str">
        <f t="shared" si="210"/>
        <v/>
      </c>
      <c r="FC79" s="246" t="e">
        <f>IF($FB79="",#N/A,SUM(FB$4:$FB79))</f>
        <v>#N/A</v>
      </c>
      <c r="FD79" s="60" t="str">
        <f t="shared" si="186"/>
        <v/>
      </c>
      <c r="FE79" s="60" t="e">
        <f>IF($FD79="",#N/A,SUM($FD$4:FD79))</f>
        <v>#N/A</v>
      </c>
      <c r="FF79" s="60">
        <f t="shared" si="187"/>
        <v>-0.40412279400860296</v>
      </c>
      <c r="FG79" s="60">
        <f>IF($FF79="",#N/A,SUM($FF$4:FF79))</f>
        <v>3.3330583952700321</v>
      </c>
      <c r="FH79" s="60" t="str">
        <f t="shared" si="188"/>
        <v/>
      </c>
      <c r="FI79" s="60" t="e">
        <f>IF($FH79="",#N/A,SUM($FH$4:FH79))</f>
        <v>#N/A</v>
      </c>
      <c r="FJ79" s="60" t="str">
        <f t="shared" si="189"/>
        <v/>
      </c>
      <c r="FK79" s="60" t="e">
        <f>IF($FJ79="",#N/A,SUM($FJ$4:FJ79))</f>
        <v>#N/A</v>
      </c>
      <c r="FL79" s="60" t="str">
        <f t="shared" si="190"/>
        <v/>
      </c>
      <c r="FM79" s="60" t="e">
        <f>IF($FL79="",#N/A,SUM($FL$4:FL79))</f>
        <v>#N/A</v>
      </c>
      <c r="FN79" s="82">
        <f t="shared" si="191"/>
        <v>1.8995007167927205</v>
      </c>
      <c r="FO79" s="82">
        <f>IF($FN79="",#N/A,SUM(FN$4:$FN79))</f>
        <v>28.071003567232776</v>
      </c>
      <c r="FP79" s="82">
        <f t="shared" si="211"/>
        <v>2.3036235108013234</v>
      </c>
      <c r="FQ79" s="246">
        <f>IF($EH79="",#N/A,SUM($FP$4:FP79))</f>
        <v>17.519007496404811</v>
      </c>
      <c r="FR79" s="82">
        <f>IFERROR(FQ79/COUNTA($J$4:J79),#N/A)</f>
        <v>0.23051325653164226</v>
      </c>
      <c r="FS79" s="82">
        <f t="shared" si="116"/>
        <v>0.1835705798698167</v>
      </c>
      <c r="FT79" s="82">
        <f t="shared" si="215"/>
        <v>0.13395157891594622</v>
      </c>
      <c r="FU79" s="337">
        <f t="shared" si="113"/>
        <v>1.9720545647776593</v>
      </c>
      <c r="FV79" s="57" t="str">
        <f t="shared" si="192"/>
        <v>Up</v>
      </c>
      <c r="FW79" s="57" t="s">
        <v>2733</v>
      </c>
      <c r="FX79" s="57">
        <f t="shared" si="193"/>
        <v>1</v>
      </c>
      <c r="FY79" s="57" t="str">
        <f t="shared" si="194"/>
        <v/>
      </c>
      <c r="FZ79" s="57" t="str">
        <f t="shared" si="195"/>
        <v/>
      </c>
      <c r="GA79" s="57" t="str">
        <f t="shared" si="196"/>
        <v>Long</v>
      </c>
      <c r="GB79" s="57" t="str">
        <f t="shared" si="197"/>
        <v/>
      </c>
      <c r="GC79" s="57" t="str">
        <f t="shared" si="198"/>
        <v/>
      </c>
      <c r="GD79" s="57" t="str">
        <f t="shared" si="199"/>
        <v/>
      </c>
      <c r="GE79" s="62">
        <f t="shared" si="114"/>
        <v>269.72000000000003</v>
      </c>
      <c r="GF79" s="62" t="s">
        <v>2779</v>
      </c>
      <c r="GG79" s="199">
        <v>2</v>
      </c>
      <c r="GH79" s="207">
        <f t="shared" si="200"/>
        <v>539.44000000000005</v>
      </c>
      <c r="GI79" s="199">
        <v>2</v>
      </c>
      <c r="GJ79" s="200">
        <v>292.04000000000002</v>
      </c>
      <c r="GK79" s="63">
        <f t="shared" si="201"/>
        <v>44.639999999999986</v>
      </c>
      <c r="GL79" s="63">
        <f t="shared" si="115"/>
        <v>61.479999999999905</v>
      </c>
      <c r="GM79" s="82" t="str">
        <f t="shared" si="202"/>
        <v/>
      </c>
      <c r="GN79" s="82">
        <f>IF($GZ79="",#N/A,SUM(GM$4:GM79))</f>
        <v>12.183799730391476</v>
      </c>
      <c r="GO79" s="82">
        <f t="shared" si="203"/>
        <v>1.8995007167927205</v>
      </c>
      <c r="GP79" s="82">
        <f>IF($GZ79="",#N/A,SUM(GO$4:GO79))</f>
        <v>9.6856204255311109</v>
      </c>
      <c r="GQ79" s="82" t="str">
        <f t="shared" si="204"/>
        <v/>
      </c>
      <c r="GR79" s="82">
        <f>IF($GZ79="",#N/A,SUM(GQ$4:GQ79))</f>
        <v>5.5757464568678348</v>
      </c>
      <c r="GS79" s="63" t="str">
        <f t="shared" si="212"/>
        <v/>
      </c>
      <c r="GT79" s="63">
        <f>IF($GZ79="",#N/A,SUM(GS$4:GS79))</f>
        <v>284.57992882574212</v>
      </c>
      <c r="GU79" s="63">
        <f t="shared" si="213"/>
        <v>61.479999999999905</v>
      </c>
      <c r="GV79" s="63">
        <f>IF($GZ79="",#N/A,SUM(GU$4:GU79))</f>
        <v>256.73289430539285</v>
      </c>
      <c r="GW79" s="63" t="str">
        <f t="shared" si="214"/>
        <v/>
      </c>
      <c r="GX79" s="63">
        <f>IF($GZ79="",#N/A,SUM(GW$4:GW79))</f>
        <v>144.92051890409476</v>
      </c>
      <c r="GY79" s="63">
        <f>IF(EJ79="",#N/A,SUM($EJ$4:EJ79))</f>
        <v>699.97334203522962</v>
      </c>
      <c r="GZ79" s="159">
        <v>300.45999999999998</v>
      </c>
      <c r="HA79" s="63">
        <f t="shared" si="205"/>
        <v>-13.080000000000041</v>
      </c>
      <c r="HB79" s="62" t="s">
        <v>4734</v>
      </c>
      <c r="HC79" s="60">
        <f>IFERROR(VLOOKUP(E79,Expectancy!$P$4:$S$19,1+C79,FALSE),"")</f>
        <v>0.35290544702120547</v>
      </c>
      <c r="HD79" s="82">
        <f t="shared" si="206"/>
        <v>1.3792080676256855</v>
      </c>
      <c r="HE79" s="60">
        <f>IF(HD79="",#N/A,SUM($HD$4:HD79))</f>
        <v>1.0169529316271524</v>
      </c>
      <c r="HF79" s="85">
        <f>IF(HD79="",#N/A,IF(HB79="Skip",#N/A,SUM($HG$4:HG79)))</f>
        <v>36.230000000000018</v>
      </c>
      <c r="HG79" s="63">
        <f t="shared" si="207"/>
        <v>44.639999999999986</v>
      </c>
      <c r="HH79" s="82">
        <f t="shared" si="208"/>
        <v>1.8995007167927205</v>
      </c>
    </row>
    <row r="80" spans="1:220" x14ac:dyDescent="0.25">
      <c r="A80" s="57" t="s">
        <v>1293</v>
      </c>
      <c r="B80" s="58" t="s">
        <v>5138</v>
      </c>
      <c r="C80" s="386">
        <f t="shared" si="118"/>
        <v>3</v>
      </c>
      <c r="D80" s="372" t="str">
        <f>_xlfn.XLOOKUP(A80,[1]SP500!$A$2:$A$502,[1]SP500!$D$2:$D$502,"N")</f>
        <v>Y</v>
      </c>
      <c r="E80" s="57" t="str">
        <f>_xlfn.XLOOKUP(A80,[1]SP500!$A$2:$A$655,[1]SP500!$B$2:$B$655)</f>
        <v>XLC</v>
      </c>
      <c r="F80" s="59">
        <v>45686</v>
      </c>
      <c r="G80" s="57" t="str">
        <f t="shared" si="119"/>
        <v>BMO</v>
      </c>
      <c r="H80" s="57" t="str">
        <f t="shared" si="120"/>
        <v>s</v>
      </c>
      <c r="I80" s="159">
        <v>221.14</v>
      </c>
      <c r="J80" s="158">
        <v>238</v>
      </c>
      <c r="K80" s="61">
        <f t="shared" si="121"/>
        <v>7.6241295107171994E-2</v>
      </c>
      <c r="L80" s="87">
        <f t="shared" si="122"/>
        <v>33.720000000000027</v>
      </c>
      <c r="M80" s="130" t="e">
        <f t="shared" si="112"/>
        <v>#N/A</v>
      </c>
      <c r="N80" s="169" t="str">
        <f t="shared" si="123"/>
        <v/>
      </c>
      <c r="O80" s="169">
        <f>IF($J80="",#N/A,SUM($N$4:N80))</f>
        <v>133.63894778873004</v>
      </c>
      <c r="P80" s="174" t="str">
        <f t="shared" si="124"/>
        <v/>
      </c>
      <c r="Q80" s="174">
        <f>IF($J80="",#N/A,SUM($P$4:P80))</f>
        <v>61.536464916880902</v>
      </c>
      <c r="R80" s="178">
        <f t="shared" si="125"/>
        <v>33.720000000000027</v>
      </c>
      <c r="S80" s="178">
        <f>IF($J80="",#N/A,SUM($R$4:R80))</f>
        <v>277.37979674373213</v>
      </c>
      <c r="T80" s="290" t="str">
        <f t="shared" si="126"/>
        <v/>
      </c>
      <c r="U80" s="290">
        <f>IF($J80="",#N/A,SUM($T$4:T80))</f>
        <v>4.6848271610729206</v>
      </c>
      <c r="V80" s="291" t="str">
        <f t="shared" si="127"/>
        <v/>
      </c>
      <c r="W80" s="291">
        <f>IF($J80="",#N/A,SUM($V$4:V80))</f>
        <v>2.3897021628869206</v>
      </c>
      <c r="X80" s="292">
        <f t="shared" si="128"/>
        <v>1.2706882517861999</v>
      </c>
      <c r="Y80" s="283">
        <f>IF($J80="",#N/A,SUM($X$4:X80))</f>
        <v>11.71516642423116</v>
      </c>
      <c r="Z80" s="304" t="str">
        <f t="shared" si="129"/>
        <v/>
      </c>
      <c r="AA80" s="313">
        <f>IF($J80="",#N/A,SUM(Z$4:Z80))</f>
        <v>3.4310096157378052</v>
      </c>
      <c r="AB80" s="314" t="str">
        <f t="shared" si="130"/>
        <v/>
      </c>
      <c r="AC80" s="314">
        <f>IF($J80="",#N/A,SUM(AB$4:AB80))</f>
        <v>0</v>
      </c>
      <c r="AD80" s="315" t="str">
        <f t="shared" si="131"/>
        <v/>
      </c>
      <c r="AE80" s="315">
        <f>IF($J80="",#N/A,SUM(AD$4:AD80))</f>
        <v>1.5553407757049009</v>
      </c>
      <c r="AF80" s="315">
        <f>IF($J80="",#N/A,SUM(AD$4:AD80,AB$4:AB80,Z$4:Z80))</f>
        <v>4.9863503914427056</v>
      </c>
      <c r="AG80" s="304" t="str">
        <f t="shared" si="132"/>
        <v/>
      </c>
      <c r="AH80" s="313">
        <f>IF($J80="",#N/A,SUM(AG$4:AG80))</f>
        <v>0</v>
      </c>
      <c r="AI80" s="314" t="str">
        <f t="shared" si="133"/>
        <v/>
      </c>
      <c r="AJ80" s="314">
        <f>IF($J80="",#N/A,SUM(AI$4:AI80))</f>
        <v>0</v>
      </c>
      <c r="AK80" s="315" t="str">
        <f t="shared" si="134"/>
        <v/>
      </c>
      <c r="AL80" s="315">
        <f>IF($J80="",#N/A,SUM(AK$4:AK80))</f>
        <v>0</v>
      </c>
      <c r="AM80" s="315">
        <f>IF($J80="",#N/A,SUM(AK$4:AK80,AI$4:AI80,AG$4:AG80))</f>
        <v>0</v>
      </c>
      <c r="AN80" s="304" t="str">
        <f t="shared" si="135"/>
        <v/>
      </c>
      <c r="AO80" s="313">
        <f>IF($J80="",#N/A,SUM(AN$4:AN80))</f>
        <v>-0.49683555963321635</v>
      </c>
      <c r="AP80" s="314" t="str">
        <f t="shared" si="136"/>
        <v/>
      </c>
      <c r="AQ80" s="314">
        <f>IF($J80="",#N/A,SUM(AP$4:AP80))</f>
        <v>0</v>
      </c>
      <c r="AR80" s="315" t="str">
        <f t="shared" si="137"/>
        <v/>
      </c>
      <c r="AS80" s="315">
        <f>IF($J80="",#N/A,SUM(AR$4:AR80))</f>
        <v>0.38010822295256225</v>
      </c>
      <c r="AT80" s="315">
        <f>IF($J80="",#N/A,SUM(AR$4:AR80,AP$4:AP80,AN$4:AN80))</f>
        <v>-0.11672733668065405</v>
      </c>
      <c r="AU80" s="304" t="str">
        <f t="shared" si="138"/>
        <v/>
      </c>
      <c r="AV80" s="313">
        <f>IF($J80="",#N/A,SUM(AU$4:AU80))</f>
        <v>0</v>
      </c>
      <c r="AW80" s="314" t="str">
        <f t="shared" si="139"/>
        <v/>
      </c>
      <c r="AX80" s="314">
        <f>IF($J80="",#N/A,SUM(AW$4:AW80))</f>
        <v>1.2049246466562569</v>
      </c>
      <c r="AY80" s="315" t="str">
        <f t="shared" si="140"/>
        <v/>
      </c>
      <c r="AZ80" s="315">
        <f>IF($J80="",#N/A,SUM(AY$4:AY80))</f>
        <v>2.2170930216497844</v>
      </c>
      <c r="BA80" s="315">
        <f>IF($J80="",#N/A,SUM(AY$4:AY80,AW$4:AW80,AU$4:AU80))</f>
        <v>3.422017668306041</v>
      </c>
      <c r="BB80" s="304" t="str">
        <f t="shared" si="141"/>
        <v/>
      </c>
      <c r="BC80" s="313">
        <f>IF($J80="",#N/A,SUM(BB$4:BB80))</f>
        <v>0.57218309859154926</v>
      </c>
      <c r="BD80" s="314" t="str">
        <f t="shared" si="142"/>
        <v/>
      </c>
      <c r="BE80" s="314">
        <f>IF($J80="",#N/A,SUM(BD$4:BD80))</f>
        <v>-0.39561000510464578</v>
      </c>
      <c r="BF80" s="315">
        <f t="shared" si="143"/>
        <v>1.2706882517861999</v>
      </c>
      <c r="BG80" s="315">
        <f>IF($J80="",#N/A,SUM(BF$4:BF80))</f>
        <v>3.730405235810978</v>
      </c>
      <c r="BH80" s="315">
        <f>IF($J80="",#N/A,SUM(BF$4:BF80,BD$4:BD80,BB$4:BB80))</f>
        <v>3.9069783292978819</v>
      </c>
      <c r="BI80" s="304" t="str">
        <f t="shared" si="144"/>
        <v/>
      </c>
      <c r="BJ80" s="313">
        <f>IF($J80="",#N/A,SUM(BI$4:BI80))</f>
        <v>-1.5356143908855402</v>
      </c>
      <c r="BK80" s="314" t="str">
        <f t="shared" si="145"/>
        <v/>
      </c>
      <c r="BL80" s="314">
        <f>IF($J80="",#N/A,SUM(BK$4:BK80))</f>
        <v>0</v>
      </c>
      <c r="BM80" s="315" t="str">
        <f t="shared" si="146"/>
        <v/>
      </c>
      <c r="BN80" s="315">
        <f>IF($J80="",#N/A,SUM(BM$4:BM80))</f>
        <v>4.7600631121019816</v>
      </c>
      <c r="BO80" s="315">
        <f>IF($J80="",#N/A,SUM(BM$4:BM80,BK$4:BK80,BI$4:BI80))</f>
        <v>3.224448721216441</v>
      </c>
      <c r="BP80" s="304" t="str">
        <f t="shared" si="147"/>
        <v/>
      </c>
      <c r="BQ80" s="313">
        <f>IF($J80="",#N/A,SUM(BP$4:BP80))</f>
        <v>3.4468416016128636</v>
      </c>
      <c r="BR80" s="314" t="str">
        <f t="shared" si="148"/>
        <v/>
      </c>
      <c r="BS80" s="314">
        <f>IF($J80="",#N/A,SUM(BR$4:BR80))</f>
        <v>0.64461012602832546</v>
      </c>
      <c r="BT80" s="315" t="str">
        <f t="shared" si="149"/>
        <v/>
      </c>
      <c r="BU80" s="315">
        <f>IF($J80="",#N/A,SUM(BT$4:BT80))</f>
        <v>-0.33591272342648226</v>
      </c>
      <c r="BV80" s="315">
        <f>IF($J80="",#N/A,SUM(BT$4:BT80,BR$4:BR80,BP$4:BP80))</f>
        <v>3.7555390042147065</v>
      </c>
      <c r="BW80" s="304" t="str">
        <f t="shared" si="150"/>
        <v/>
      </c>
      <c r="BX80" s="313">
        <f>IF($J80="",#N/A,SUM(BW$4:BW80))</f>
        <v>-0.73275720435053893</v>
      </c>
      <c r="BY80" s="314" t="str">
        <f t="shared" si="151"/>
        <v/>
      </c>
      <c r="BZ80" s="314">
        <f>IF($J80="",#N/A,SUM(BY$4:BY80))</f>
        <v>0.46686916413544804</v>
      </c>
      <c r="CA80" s="315" t="str">
        <f t="shared" si="152"/>
        <v/>
      </c>
      <c r="CB80" s="315">
        <f>IF($J80="",#N/A,SUM(CA$4:CA80))</f>
        <v>-0.45917761375388166</v>
      </c>
      <c r="CC80" s="315">
        <f>IF($J80="",#N/A,SUM(CA$4:CA80,BY$4:BY80,BW$4:BW80))</f>
        <v>-0.7250656539689726</v>
      </c>
      <c r="CD80" s="304" t="str">
        <f t="shared" si="153"/>
        <v/>
      </c>
      <c r="CE80" s="313">
        <f>IF($J80="",#N/A,SUM(CD$4:CD80))</f>
        <v>0</v>
      </c>
      <c r="CF80" s="314" t="str">
        <f t="shared" si="154"/>
        <v/>
      </c>
      <c r="CG80" s="314">
        <f>IF($J80="",#N/A,SUM(CF$4:CF80))</f>
        <v>0.41783917455444924</v>
      </c>
      <c r="CH80" s="315" t="str">
        <f t="shared" si="155"/>
        <v/>
      </c>
      <c r="CI80" s="315">
        <f>IF($J80="",#N/A,SUM(CH$4:CH80))</f>
        <v>-1.5363346259711188</v>
      </c>
      <c r="CJ80" s="315">
        <f>IF($J80="",#N/A,SUM(CH$4:CH80,CF$4:CF80,CD$4:CD80))</f>
        <v>-1.1184954514166696</v>
      </c>
      <c r="CK80" s="304" t="str">
        <f t="shared" si="156"/>
        <v/>
      </c>
      <c r="CL80" s="313">
        <f>IF($J80="",#N/A,SUM(CK$4:CK80))</f>
        <v>0</v>
      </c>
      <c r="CM80" s="314" t="str">
        <f t="shared" si="157"/>
        <v/>
      </c>
      <c r="CN80" s="314">
        <f>IF($J80="",#N/A,SUM(CM$4:CM80))</f>
        <v>0</v>
      </c>
      <c r="CO80" s="315" t="str">
        <f t="shared" si="158"/>
        <v/>
      </c>
      <c r="CP80" s="315">
        <f>IF($J80="",#N/A,SUM(CO$4:CO80))</f>
        <v>-0.8814781582839023</v>
      </c>
      <c r="CQ80" s="315">
        <f>IF($J80="",#N/A,SUM(CO$4:CO80,CM$4:CM80,CK$4:CK80))</f>
        <v>-0.8814781582839023</v>
      </c>
      <c r="CR80" s="304" t="str">
        <f t="shared" si="159"/>
        <v/>
      </c>
      <c r="CS80" s="313">
        <f>IF($J80="",#N/A,SUM(CR$4:CR80))</f>
        <v>0</v>
      </c>
      <c r="CT80" s="314" t="str">
        <f t="shared" si="160"/>
        <v/>
      </c>
      <c r="CU80" s="314">
        <f>IF($J80="",#N/A,SUM(CT$4:CT80))</f>
        <v>-0.13081968772223007</v>
      </c>
      <c r="CV80" s="315" t="str">
        <f t="shared" si="161"/>
        <v/>
      </c>
      <c r="CW80" s="315">
        <f>IF($J80="",#N/A,SUM(CV$4:CV80))</f>
        <v>0.28156811782542707</v>
      </c>
      <c r="CX80" s="315">
        <f>IF($J80="",#N/A,SUM(CV$4:CV80,CT$4:CT80,CR$4:CR80))</f>
        <v>0.150748430103197</v>
      </c>
      <c r="CY80" s="304" t="str">
        <f t="shared" si="162"/>
        <v/>
      </c>
      <c r="CZ80" s="313">
        <f>IF($J80="",#N/A,SUM(CY$4:CY80))</f>
        <v>0</v>
      </c>
      <c r="DA80" s="314" t="str">
        <f t="shared" si="163"/>
        <v/>
      </c>
      <c r="DB80" s="314">
        <f>IF($J80="",#N/A,SUM(DA$4:DA80))</f>
        <v>0</v>
      </c>
      <c r="DC80" s="315" t="str">
        <f t="shared" si="164"/>
        <v/>
      </c>
      <c r="DD80" s="315">
        <f>IF($J80="",#N/A,SUM(DC$4:DC80))</f>
        <v>0</v>
      </c>
      <c r="DE80" s="315">
        <f>IF($J80="",#N/A,SUM(DC$4:DC80,DA$4:DA80,CY$4:CY80))</f>
        <v>0</v>
      </c>
      <c r="DF80" s="304" t="str">
        <f t="shared" si="165"/>
        <v/>
      </c>
      <c r="DG80" s="313">
        <f>IF($J80="",#N/A,SUM(DF$4:DF80))</f>
        <v>0</v>
      </c>
      <c r="DH80" s="314" t="str">
        <f t="shared" si="166"/>
        <v/>
      </c>
      <c r="DI80" s="314">
        <f>IF($J80="",#N/A,SUM(DH$4:DH80))</f>
        <v>0</v>
      </c>
      <c r="DJ80" s="315" t="str">
        <f t="shared" si="167"/>
        <v/>
      </c>
      <c r="DK80" s="315">
        <f>IF($J80="",#N/A,SUM(DJ$4:DJ80))</f>
        <v>0</v>
      </c>
      <c r="DL80" s="315">
        <f>IF($J80="",#N/A,SUM(DJ$4:DJ80,DH$4:DH80,DF$4:DF80))</f>
        <v>0</v>
      </c>
      <c r="DM80" s="304" t="str">
        <f t="shared" si="168"/>
        <v/>
      </c>
      <c r="DN80" s="313">
        <f>IF($J80="",#N/A,SUM(DM$4:DM80))</f>
        <v>0</v>
      </c>
      <c r="DO80" s="314" t="str">
        <f t="shared" si="169"/>
        <v/>
      </c>
      <c r="DP80" s="314">
        <f>IF($J80="",#N/A,SUM(DO$4:DO80))</f>
        <v>0.26077055863664694</v>
      </c>
      <c r="DQ80" s="315" t="str">
        <f t="shared" si="170"/>
        <v/>
      </c>
      <c r="DR80" s="315">
        <f>IF($J80="",#N/A,SUM(DQ$4:DQ80))</f>
        <v>1.4067447983492751</v>
      </c>
      <c r="DS80" s="315">
        <f>IF($J80="",#N/A,SUM(DQ$4:DQ80,DO$4:DO80,DM$4:DM80))</f>
        <v>1.667515356985922</v>
      </c>
      <c r="DT80" s="304" t="str">
        <f t="shared" si="171"/>
        <v/>
      </c>
      <c r="DU80" s="313">
        <f>IF($J80="",#N/A,SUM(DT$4:DT80))</f>
        <v>0</v>
      </c>
      <c r="DV80" s="314" t="str">
        <f t="shared" si="172"/>
        <v/>
      </c>
      <c r="DW80" s="314">
        <f>IF($J80="",#N/A,SUM(DV$4:DV80))</f>
        <v>0.40085630512924314</v>
      </c>
      <c r="DX80" s="315" t="str">
        <f t="shared" si="173"/>
        <v/>
      </c>
      <c r="DY80" s="315">
        <f>IF($J80="",#N/A,SUM(DX$4:DX80))</f>
        <v>0.59674626127163555</v>
      </c>
      <c r="DZ80" s="315">
        <f>IF($J80="",#N/A,SUM(DX$4:DX80,DV$4:DV80,DT$4:DT80))</f>
        <v>0.99760256640087874</v>
      </c>
      <c r="EA80" s="304" t="str">
        <f t="shared" si="174"/>
        <v/>
      </c>
      <c r="EB80" s="313">
        <f>IF($J80="",#N/A,SUM(EA$4:EA80))</f>
        <v>0</v>
      </c>
      <c r="EC80" s="314" t="str">
        <f t="shared" si="175"/>
        <v/>
      </c>
      <c r="ED80" s="314">
        <f>IF($J80="",#N/A,SUM(EC$4:EC80))</f>
        <v>-0.47973811942657352</v>
      </c>
      <c r="EE80" s="315" t="str">
        <f t="shared" si="176"/>
        <v/>
      </c>
      <c r="EF80" s="315">
        <f>IF($J80="",#N/A,SUM(EE$4:EE80))</f>
        <v>0</v>
      </c>
      <c r="EG80" s="315">
        <f>IF($J80="",#N/A,SUM(EE$4:EE80,EC$4:EC80,EA$4:EA80))</f>
        <v>-0.47973811942657352</v>
      </c>
      <c r="EH80" s="130">
        <f t="shared" si="177"/>
        <v>33.720000000000027</v>
      </c>
      <c r="EI80" s="63">
        <f>IF(EH80="",#N/A,SUM($EH$4:EH80))</f>
        <v>472.55520944934307</v>
      </c>
      <c r="EJ80" s="223">
        <f t="shared" si="178"/>
        <v>28.020000000000039</v>
      </c>
      <c r="EK80" s="63">
        <f>IF($GZ80="",#N/A,SUM(EJ$4:EJ80))</f>
        <v>727.99334203522972</v>
      </c>
      <c r="EL80" s="60">
        <f t="shared" si="209"/>
        <v>1.2706882517861999</v>
      </c>
      <c r="EM80" s="60">
        <f>IF(EL80="",NA(),SUM($EL$4:EL80))</f>
        <v>18.789695748191011</v>
      </c>
      <c r="EN80" s="60" t="str">
        <f t="shared" si="179"/>
        <v/>
      </c>
      <c r="EO80" s="60" t="e">
        <f>IF(EN80="",NA(),SUM($EN$4:EN80))</f>
        <v>#N/A</v>
      </c>
      <c r="EP80" s="60">
        <f t="shared" si="180"/>
        <v>1.2706882517861999</v>
      </c>
      <c r="EQ80" s="60">
        <f>IF(EP80="",NA(),SUM($EP$4:EP80))</f>
        <v>11.71516642423116</v>
      </c>
      <c r="ER80" s="60" t="str">
        <f t="shared" si="181"/>
        <v/>
      </c>
      <c r="ES80" s="60" t="e">
        <f>IF(ER80="",NA(),SUM($ER$4:ER80))</f>
        <v>#N/A</v>
      </c>
      <c r="ET80" s="60" t="str">
        <f t="shared" si="182"/>
        <v/>
      </c>
      <c r="EU80" s="60" t="e">
        <f>IF(ET80="",NA(),SUM($ET$4:ET80))</f>
        <v>#N/A</v>
      </c>
      <c r="EV80" s="60" t="str">
        <f t="shared" si="183"/>
        <v/>
      </c>
      <c r="EW80" s="60" t="e">
        <f>IF(EV80="",NA(),SUM($EV$4:EV80))</f>
        <v>#N/A</v>
      </c>
      <c r="EX80" s="60" t="str">
        <f t="shared" si="184"/>
        <v/>
      </c>
      <c r="EY80" s="60" t="e">
        <f>IF(EX80="",NA(),SUM($EX$4:EX80))</f>
        <v>#N/A</v>
      </c>
      <c r="EZ80" s="60" t="str">
        <f t="shared" si="185"/>
        <v/>
      </c>
      <c r="FA80" s="60" t="e">
        <f>IF(EZ80="",NA(),SUM($EZ$4:EZ80))</f>
        <v>#N/A</v>
      </c>
      <c r="FB80" s="246" t="str">
        <f t="shared" si="210"/>
        <v/>
      </c>
      <c r="FC80" s="246" t="e">
        <f>IF($FB80="",#N/A,SUM(FB$4:$FB80))</f>
        <v>#N/A</v>
      </c>
      <c r="FD80" s="60" t="str">
        <f t="shared" si="186"/>
        <v/>
      </c>
      <c r="FE80" s="60" t="e">
        <f>IF($FD80="",#N/A,SUM($FD$4:FD80))</f>
        <v>#N/A</v>
      </c>
      <c r="FF80" s="60" t="str">
        <f t="shared" si="187"/>
        <v/>
      </c>
      <c r="FG80" s="60" t="e">
        <f>IF($FF80="",#N/A,SUM($FF$4:FF80))</f>
        <v>#N/A</v>
      </c>
      <c r="FH80" s="60" t="str">
        <f t="shared" si="188"/>
        <v/>
      </c>
      <c r="FI80" s="60" t="e">
        <f>IF($FH80="",#N/A,SUM($FH$4:FH80))</f>
        <v>#N/A</v>
      </c>
      <c r="FJ80" s="60">
        <f t="shared" si="189"/>
        <v>-0.21479605679659897</v>
      </c>
      <c r="FK80" s="60">
        <f>IF($FJ80="",#N/A,SUM($FJ$4:FJ80))</f>
        <v>1.2324468497286538</v>
      </c>
      <c r="FL80" s="60" t="str">
        <f t="shared" si="190"/>
        <v/>
      </c>
      <c r="FM80" s="60" t="e">
        <f>IF($FL80="",#N/A,SUM($FL$4:FL80))</f>
        <v>#N/A</v>
      </c>
      <c r="FN80" s="82">
        <f t="shared" si="191"/>
        <v>1.055892194989601</v>
      </c>
      <c r="FO80" s="82">
        <f>IF($FN80="",#N/A,SUM(FN$4:$FN80))</f>
        <v>29.126895762222375</v>
      </c>
      <c r="FP80" s="82">
        <f t="shared" si="211"/>
        <v>1.2706882517861999</v>
      </c>
      <c r="FQ80" s="246">
        <f>IF($EH80="",#N/A,SUM($FP$4:FP80))</f>
        <v>18.789695748191011</v>
      </c>
      <c r="FR80" s="82">
        <f>IFERROR(FQ80/COUNTA($J$4:J80),#N/A)</f>
        <v>0.24402202270377937</v>
      </c>
      <c r="FS80" s="82">
        <f t="shared" ref="FS80:FS86" si="216">IFERROR(($FQ80-$FQ35)/COUNTA($J35:$J80),#N/A)</f>
        <v>0.16867349096020809</v>
      </c>
      <c r="FT80" s="82">
        <f t="shared" si="215"/>
        <v>0.19246773574690046</v>
      </c>
      <c r="FU80" s="337">
        <f t="shared" si="113"/>
        <v>2.1868506215742602</v>
      </c>
      <c r="FV80" s="57" t="str">
        <f t="shared" si="192"/>
        <v>SW</v>
      </c>
      <c r="FW80" s="57" t="s">
        <v>2732</v>
      </c>
      <c r="FX80" s="57" t="str">
        <f t="shared" si="193"/>
        <v/>
      </c>
      <c r="FY80" s="57" t="str">
        <f t="shared" si="194"/>
        <v/>
      </c>
      <c r="FZ80" s="57">
        <f t="shared" si="195"/>
        <v>1</v>
      </c>
      <c r="GA80" s="57" t="str">
        <f t="shared" si="196"/>
        <v>Long</v>
      </c>
      <c r="GB80" s="57" t="str">
        <f t="shared" si="197"/>
        <v/>
      </c>
      <c r="GC80" s="57" t="str">
        <f t="shared" si="198"/>
        <v/>
      </c>
      <c r="GD80" s="57" t="str">
        <f t="shared" si="199"/>
        <v/>
      </c>
      <c r="GE80" s="62">
        <f t="shared" si="114"/>
        <v>221.14</v>
      </c>
      <c r="GF80" s="62" t="s">
        <v>2779</v>
      </c>
      <c r="GG80" s="199">
        <v>2</v>
      </c>
      <c r="GH80" s="207">
        <f t="shared" si="200"/>
        <v>442.28</v>
      </c>
      <c r="GI80" s="199">
        <v>2</v>
      </c>
      <c r="GJ80" s="200">
        <f t="shared" ref="GJ80:GJ89" si="217">J80</f>
        <v>238</v>
      </c>
      <c r="GK80" s="63">
        <f t="shared" si="201"/>
        <v>33.720000000000027</v>
      </c>
      <c r="GL80" s="63">
        <f t="shared" si="115"/>
        <v>28.020000000000039</v>
      </c>
      <c r="GM80" s="82">
        <f t="shared" si="202"/>
        <v>1.055892194989601</v>
      </c>
      <c r="GN80" s="82">
        <f>IF($GZ80="",#N/A,SUM(GM$4:GM80))</f>
        <v>13.239691925381077</v>
      </c>
      <c r="GO80" s="82" t="str">
        <f t="shared" si="203"/>
        <v/>
      </c>
      <c r="GP80" s="82">
        <f>IF($GZ80="",#N/A,SUM(GO$4:GO80))</f>
        <v>9.6856204255311109</v>
      </c>
      <c r="GQ80" s="82" t="str">
        <f t="shared" si="204"/>
        <v/>
      </c>
      <c r="GR80" s="82">
        <f>IF($GZ80="",#N/A,SUM(GQ$4:GQ80))</f>
        <v>5.5757464568678348</v>
      </c>
      <c r="GS80" s="63">
        <f t="shared" si="212"/>
        <v>28.020000000000039</v>
      </c>
      <c r="GT80" s="63">
        <f>IF($GZ80="",#N/A,SUM(GS$4:GS80))</f>
        <v>312.59992882574215</v>
      </c>
      <c r="GU80" s="63" t="str">
        <f t="shared" si="213"/>
        <v/>
      </c>
      <c r="GV80" s="63">
        <f>IF($GZ80="",#N/A,SUM(GU$4:GU80))</f>
        <v>256.73289430539285</v>
      </c>
      <c r="GW80" s="63" t="str">
        <f t="shared" si="214"/>
        <v/>
      </c>
      <c r="GX80" s="63">
        <f>IF($GZ80="",#N/A,SUM(GW$4:GW80))</f>
        <v>144.92051890409476</v>
      </c>
      <c r="GY80" s="63">
        <f>IF(EJ80="",#N/A,SUM($EJ$4:EJ80))</f>
        <v>727.99334203522972</v>
      </c>
      <c r="GZ80" s="159">
        <v>235.15</v>
      </c>
      <c r="HA80" s="63">
        <f t="shared" si="205"/>
        <v>-5.6999999999999886</v>
      </c>
      <c r="HB80" s="62" t="s">
        <v>4735</v>
      </c>
      <c r="HC80" s="60">
        <f>IFERROR(VLOOKUP(E80,Expectancy!$P$4:$S$19,1+C80,FALSE),"")</f>
        <v>0.70195709060766942</v>
      </c>
      <c r="HD80" s="82">
        <f t="shared" si="206"/>
        <v>1.055892194989601</v>
      </c>
      <c r="HE80" s="60">
        <f>IF(HD80="",#N/A,SUM($HD$4:HD80))</f>
        <v>2.0728451266167536</v>
      </c>
      <c r="HF80" s="85">
        <f>IF(HD80="",#N/A,IF(HB80="Skip",#N/A,SUM($HG$4:HG80)))</f>
        <v>64.250000000000057</v>
      </c>
      <c r="HG80" s="63">
        <f t="shared" si="207"/>
        <v>28.020000000000039</v>
      </c>
      <c r="HH80" s="82">
        <f t="shared" si="208"/>
        <v>1.055892194989601</v>
      </c>
      <c r="HK80" s="630" t="s">
        <v>6519</v>
      </c>
      <c r="HL80" s="1">
        <f>COUNTIF($HH$4:$HH$448,"&gt;0")</f>
        <v>230</v>
      </c>
    </row>
    <row r="81" spans="1:220" x14ac:dyDescent="0.25">
      <c r="A81" s="57" t="s">
        <v>1316</v>
      </c>
      <c r="B81" s="58" t="s">
        <v>5139</v>
      </c>
      <c r="C81" s="386">
        <f t="shared" si="118"/>
        <v>3</v>
      </c>
      <c r="D81" s="372" t="str">
        <f>_xlfn.XLOOKUP(A81,[1]SP500!$A$2:$A$502,[1]SP500!$D$2:$D$502,"N")</f>
        <v>Y</v>
      </c>
      <c r="E81" s="57" t="str">
        <f>_xlfn.XLOOKUP(A81,[1]SP500!$A$2:$A$655,[1]SP500!$B$2:$B$655)</f>
        <v>XLV</v>
      </c>
      <c r="F81" s="59">
        <v>45686</v>
      </c>
      <c r="G81" s="57" t="str">
        <f t="shared" si="119"/>
        <v>BMO</v>
      </c>
      <c r="H81" s="57" t="str">
        <f t="shared" si="120"/>
        <v>s</v>
      </c>
      <c r="I81" s="159">
        <v>247.84</v>
      </c>
      <c r="J81" s="159">
        <v>235.02</v>
      </c>
      <c r="K81" s="61">
        <f t="shared" si="121"/>
        <v>-5.1726920593931539E-2</v>
      </c>
      <c r="L81" s="87">
        <f t="shared" si="122"/>
        <v>-25.639999999999986</v>
      </c>
      <c r="M81" s="130" t="e">
        <f t="shared" si="112"/>
        <v>#N/A</v>
      </c>
      <c r="N81" s="169" t="str">
        <f t="shared" si="123"/>
        <v/>
      </c>
      <c r="O81" s="169">
        <f>IF($J81="",#N/A,SUM($N$4:N81))</f>
        <v>133.63894778873004</v>
      </c>
      <c r="P81" s="174" t="str">
        <f t="shared" si="124"/>
        <v/>
      </c>
      <c r="Q81" s="174">
        <f>IF($J81="",#N/A,SUM($P$4:P81))</f>
        <v>61.536464916880902</v>
      </c>
      <c r="R81" s="178">
        <f t="shared" si="125"/>
        <v>-25.639999999999986</v>
      </c>
      <c r="S81" s="178">
        <f>IF($J81="",#N/A,SUM($R$4:R81))</f>
        <v>251.73979674373214</v>
      </c>
      <c r="T81" s="290" t="str">
        <f t="shared" si="126"/>
        <v/>
      </c>
      <c r="U81" s="290">
        <f>IF($J81="",#N/A,SUM($T$4:T81))</f>
        <v>4.6848271610729206</v>
      </c>
      <c r="V81" s="291" t="str">
        <f t="shared" si="127"/>
        <v/>
      </c>
      <c r="W81" s="291">
        <f>IF($J81="",#N/A,SUM($V$4:V81))</f>
        <v>2.3897021628869206</v>
      </c>
      <c r="X81" s="292">
        <f t="shared" si="128"/>
        <v>-0.8621153432321923</v>
      </c>
      <c r="Y81" s="283">
        <f>IF($J81="",#N/A,SUM($X$4:X81))</f>
        <v>10.853051080998968</v>
      </c>
      <c r="Z81" s="304" t="str">
        <f t="shared" si="129"/>
        <v/>
      </c>
      <c r="AA81" s="313">
        <f>IF($J81="",#N/A,SUM(Z$4:Z81))</f>
        <v>3.4310096157378052</v>
      </c>
      <c r="AB81" s="314" t="str">
        <f t="shared" si="130"/>
        <v/>
      </c>
      <c r="AC81" s="314">
        <f>IF($J81="",#N/A,SUM(AB$4:AB81))</f>
        <v>0</v>
      </c>
      <c r="AD81" s="315" t="str">
        <f t="shared" si="131"/>
        <v/>
      </c>
      <c r="AE81" s="315">
        <f>IF($J81="",#N/A,SUM(AD$4:AD81))</f>
        <v>1.5553407757049009</v>
      </c>
      <c r="AF81" s="315">
        <f>IF($J81="",#N/A,SUM(AD$4:AD81,AB$4:AB81,Z$4:Z81))</f>
        <v>4.9863503914427056</v>
      </c>
      <c r="AG81" s="304" t="str">
        <f t="shared" si="132"/>
        <v/>
      </c>
      <c r="AH81" s="313">
        <f>IF($J81="",#N/A,SUM(AG$4:AG81))</f>
        <v>0</v>
      </c>
      <c r="AI81" s="314" t="str">
        <f t="shared" si="133"/>
        <v/>
      </c>
      <c r="AJ81" s="314">
        <f>IF($J81="",#N/A,SUM(AI$4:AI81))</f>
        <v>0</v>
      </c>
      <c r="AK81" s="315" t="str">
        <f t="shared" si="134"/>
        <v/>
      </c>
      <c r="AL81" s="315">
        <f>IF($J81="",#N/A,SUM(AK$4:AK81))</f>
        <v>0</v>
      </c>
      <c r="AM81" s="315">
        <f>IF($J81="",#N/A,SUM(AK$4:AK81,AI$4:AI81,AG$4:AG81))</f>
        <v>0</v>
      </c>
      <c r="AN81" s="304" t="str">
        <f t="shared" si="135"/>
        <v/>
      </c>
      <c r="AO81" s="313">
        <f>IF($J81="",#N/A,SUM(AN$4:AN81))</f>
        <v>-0.49683555963321635</v>
      </c>
      <c r="AP81" s="314" t="str">
        <f t="shared" si="136"/>
        <v/>
      </c>
      <c r="AQ81" s="314">
        <f>IF($J81="",#N/A,SUM(AP$4:AP81))</f>
        <v>0</v>
      </c>
      <c r="AR81" s="315" t="str">
        <f t="shared" si="137"/>
        <v/>
      </c>
      <c r="AS81" s="315">
        <f>IF($J81="",#N/A,SUM(AR$4:AR81))</f>
        <v>0.38010822295256225</v>
      </c>
      <c r="AT81" s="315">
        <f>IF($J81="",#N/A,SUM(AR$4:AR81,AP$4:AP81,AN$4:AN81))</f>
        <v>-0.11672733668065405</v>
      </c>
      <c r="AU81" s="304" t="str">
        <f t="shared" si="138"/>
        <v/>
      </c>
      <c r="AV81" s="313">
        <f>IF($J81="",#N/A,SUM(AU$4:AU81))</f>
        <v>0</v>
      </c>
      <c r="AW81" s="314" t="str">
        <f t="shared" si="139"/>
        <v/>
      </c>
      <c r="AX81" s="314">
        <f>IF($J81="",#N/A,SUM(AW$4:AW81))</f>
        <v>1.2049246466562569</v>
      </c>
      <c r="AY81" s="315" t="str">
        <f t="shared" si="140"/>
        <v/>
      </c>
      <c r="AZ81" s="315">
        <f>IF($J81="",#N/A,SUM(AY$4:AY81))</f>
        <v>2.2170930216497844</v>
      </c>
      <c r="BA81" s="315">
        <f>IF($J81="",#N/A,SUM(AY$4:AY81,AW$4:AW81,AU$4:AU81))</f>
        <v>3.422017668306041</v>
      </c>
      <c r="BB81" s="304" t="str">
        <f t="shared" si="141"/>
        <v/>
      </c>
      <c r="BC81" s="313">
        <f>IF($J81="",#N/A,SUM(BB$4:BB81))</f>
        <v>0.57218309859154926</v>
      </c>
      <c r="BD81" s="314" t="str">
        <f t="shared" si="142"/>
        <v/>
      </c>
      <c r="BE81" s="314">
        <f>IF($J81="",#N/A,SUM(BD$4:BD81))</f>
        <v>-0.39561000510464578</v>
      </c>
      <c r="BF81" s="315" t="str">
        <f t="shared" si="143"/>
        <v/>
      </c>
      <c r="BG81" s="315">
        <f>IF($J81="",#N/A,SUM(BF$4:BF81))</f>
        <v>3.730405235810978</v>
      </c>
      <c r="BH81" s="315">
        <f>IF($J81="",#N/A,SUM(BF$4:BF81,BD$4:BD81,BB$4:BB81))</f>
        <v>3.9069783292978819</v>
      </c>
      <c r="BI81" s="304" t="str">
        <f t="shared" si="144"/>
        <v/>
      </c>
      <c r="BJ81" s="313">
        <f>IF($J81="",#N/A,SUM(BI$4:BI81))</f>
        <v>-1.5356143908855402</v>
      </c>
      <c r="BK81" s="314" t="str">
        <f t="shared" si="145"/>
        <v/>
      </c>
      <c r="BL81" s="314">
        <f>IF($J81="",#N/A,SUM(BK$4:BK81))</f>
        <v>0</v>
      </c>
      <c r="BM81" s="315" t="str">
        <f t="shared" si="146"/>
        <v/>
      </c>
      <c r="BN81" s="315">
        <f>IF($J81="",#N/A,SUM(BM$4:BM81))</f>
        <v>4.7600631121019816</v>
      </c>
      <c r="BO81" s="315">
        <f>IF($J81="",#N/A,SUM(BM$4:BM81,BK$4:BK81,BI$4:BI81))</f>
        <v>3.224448721216441</v>
      </c>
      <c r="BP81" s="304" t="str">
        <f t="shared" si="147"/>
        <v/>
      </c>
      <c r="BQ81" s="313">
        <f>IF($J81="",#N/A,SUM(BP$4:BP81))</f>
        <v>3.4468416016128636</v>
      </c>
      <c r="BR81" s="314" t="str">
        <f t="shared" si="148"/>
        <v/>
      </c>
      <c r="BS81" s="314">
        <f>IF($J81="",#N/A,SUM(BR$4:BR81))</f>
        <v>0.64461012602832546</v>
      </c>
      <c r="BT81" s="315" t="str">
        <f t="shared" si="149"/>
        <v/>
      </c>
      <c r="BU81" s="315">
        <f>IF($J81="",#N/A,SUM(BT$4:BT81))</f>
        <v>-0.33591272342648226</v>
      </c>
      <c r="BV81" s="315">
        <f>IF($J81="",#N/A,SUM(BT$4:BT81,BR$4:BR81,BP$4:BP81))</f>
        <v>3.7555390042147065</v>
      </c>
      <c r="BW81" s="304" t="str">
        <f t="shared" si="150"/>
        <v/>
      </c>
      <c r="BX81" s="313">
        <f>IF($J81="",#N/A,SUM(BW$4:BW81))</f>
        <v>-0.73275720435053893</v>
      </c>
      <c r="BY81" s="314" t="str">
        <f t="shared" si="151"/>
        <v/>
      </c>
      <c r="BZ81" s="314">
        <f>IF($J81="",#N/A,SUM(BY$4:BY81))</f>
        <v>0.46686916413544804</v>
      </c>
      <c r="CA81" s="315">
        <f t="shared" si="152"/>
        <v>-0.8621153432321923</v>
      </c>
      <c r="CB81" s="315">
        <f>IF($J81="",#N/A,SUM(CA$4:CA81))</f>
        <v>-1.3212929569860741</v>
      </c>
      <c r="CC81" s="315">
        <f>IF($J81="",#N/A,SUM(CA$4:CA81,BY$4:BY81,BW$4:BW81))</f>
        <v>-1.5871809972011648</v>
      </c>
      <c r="CD81" s="304" t="str">
        <f t="shared" si="153"/>
        <v/>
      </c>
      <c r="CE81" s="313">
        <f>IF($J81="",#N/A,SUM(CD$4:CD81))</f>
        <v>0</v>
      </c>
      <c r="CF81" s="314" t="str">
        <f t="shared" si="154"/>
        <v/>
      </c>
      <c r="CG81" s="314">
        <f>IF($J81="",#N/A,SUM(CF$4:CF81))</f>
        <v>0.41783917455444924</v>
      </c>
      <c r="CH81" s="315" t="str">
        <f t="shared" si="155"/>
        <v/>
      </c>
      <c r="CI81" s="315">
        <f>IF($J81="",#N/A,SUM(CH$4:CH81))</f>
        <v>-1.5363346259711188</v>
      </c>
      <c r="CJ81" s="315">
        <f>IF($J81="",#N/A,SUM(CH$4:CH81,CF$4:CF81,CD$4:CD81))</f>
        <v>-1.1184954514166696</v>
      </c>
      <c r="CK81" s="304" t="str">
        <f t="shared" si="156"/>
        <v/>
      </c>
      <c r="CL81" s="313">
        <f>IF($J81="",#N/A,SUM(CK$4:CK81))</f>
        <v>0</v>
      </c>
      <c r="CM81" s="314" t="str">
        <f t="shared" si="157"/>
        <v/>
      </c>
      <c r="CN81" s="314">
        <f>IF($J81="",#N/A,SUM(CM$4:CM81))</f>
        <v>0</v>
      </c>
      <c r="CO81" s="315" t="str">
        <f t="shared" si="158"/>
        <v/>
      </c>
      <c r="CP81" s="315">
        <f>IF($J81="",#N/A,SUM(CO$4:CO81))</f>
        <v>-0.8814781582839023</v>
      </c>
      <c r="CQ81" s="315">
        <f>IF($J81="",#N/A,SUM(CO$4:CO81,CM$4:CM81,CK$4:CK81))</f>
        <v>-0.8814781582839023</v>
      </c>
      <c r="CR81" s="304" t="str">
        <f t="shared" si="159"/>
        <v/>
      </c>
      <c r="CS81" s="313">
        <f>IF($J81="",#N/A,SUM(CR$4:CR81))</f>
        <v>0</v>
      </c>
      <c r="CT81" s="314" t="str">
        <f t="shared" si="160"/>
        <v/>
      </c>
      <c r="CU81" s="314">
        <f>IF($J81="",#N/A,SUM(CT$4:CT81))</f>
        <v>-0.13081968772223007</v>
      </c>
      <c r="CV81" s="315" t="str">
        <f t="shared" si="161"/>
        <v/>
      </c>
      <c r="CW81" s="315">
        <f>IF($J81="",#N/A,SUM(CV$4:CV81))</f>
        <v>0.28156811782542707</v>
      </c>
      <c r="CX81" s="315">
        <f>IF($J81="",#N/A,SUM(CV$4:CV81,CT$4:CT81,CR$4:CR81))</f>
        <v>0.150748430103197</v>
      </c>
      <c r="CY81" s="304" t="str">
        <f t="shared" si="162"/>
        <v/>
      </c>
      <c r="CZ81" s="313">
        <f>IF($J81="",#N/A,SUM(CY$4:CY81))</f>
        <v>0</v>
      </c>
      <c r="DA81" s="314" t="str">
        <f t="shared" si="163"/>
        <v/>
      </c>
      <c r="DB81" s="314">
        <f>IF($J81="",#N/A,SUM(DA$4:DA81))</f>
        <v>0</v>
      </c>
      <c r="DC81" s="315" t="str">
        <f t="shared" si="164"/>
        <v/>
      </c>
      <c r="DD81" s="315">
        <f>IF($J81="",#N/A,SUM(DC$4:DC81))</f>
        <v>0</v>
      </c>
      <c r="DE81" s="315">
        <f>IF($J81="",#N/A,SUM(DC$4:DC81,DA$4:DA81,CY$4:CY81))</f>
        <v>0</v>
      </c>
      <c r="DF81" s="304" t="str">
        <f t="shared" si="165"/>
        <v/>
      </c>
      <c r="DG81" s="313">
        <f>IF($J81="",#N/A,SUM(DF$4:DF81))</f>
        <v>0</v>
      </c>
      <c r="DH81" s="314" t="str">
        <f t="shared" si="166"/>
        <v/>
      </c>
      <c r="DI81" s="314">
        <f>IF($J81="",#N/A,SUM(DH$4:DH81))</f>
        <v>0</v>
      </c>
      <c r="DJ81" s="315" t="str">
        <f t="shared" si="167"/>
        <v/>
      </c>
      <c r="DK81" s="315">
        <f>IF($J81="",#N/A,SUM(DJ$4:DJ81))</f>
        <v>0</v>
      </c>
      <c r="DL81" s="315">
        <f>IF($J81="",#N/A,SUM(DJ$4:DJ81,DH$4:DH81,DF$4:DF81))</f>
        <v>0</v>
      </c>
      <c r="DM81" s="304" t="str">
        <f t="shared" si="168"/>
        <v/>
      </c>
      <c r="DN81" s="313">
        <f>IF($J81="",#N/A,SUM(DM$4:DM81))</f>
        <v>0</v>
      </c>
      <c r="DO81" s="314" t="str">
        <f t="shared" si="169"/>
        <v/>
      </c>
      <c r="DP81" s="314">
        <f>IF($J81="",#N/A,SUM(DO$4:DO81))</f>
        <v>0.26077055863664694</v>
      </c>
      <c r="DQ81" s="315" t="str">
        <f t="shared" si="170"/>
        <v/>
      </c>
      <c r="DR81" s="315">
        <f>IF($J81="",#N/A,SUM(DQ$4:DQ81))</f>
        <v>1.4067447983492751</v>
      </c>
      <c r="DS81" s="315">
        <f>IF($J81="",#N/A,SUM(DQ$4:DQ81,DO$4:DO81,DM$4:DM81))</f>
        <v>1.667515356985922</v>
      </c>
      <c r="DT81" s="304" t="str">
        <f t="shared" si="171"/>
        <v/>
      </c>
      <c r="DU81" s="313">
        <f>IF($J81="",#N/A,SUM(DT$4:DT81))</f>
        <v>0</v>
      </c>
      <c r="DV81" s="314" t="str">
        <f t="shared" si="172"/>
        <v/>
      </c>
      <c r="DW81" s="314">
        <f>IF($J81="",#N/A,SUM(DV$4:DV81))</f>
        <v>0.40085630512924314</v>
      </c>
      <c r="DX81" s="315" t="str">
        <f t="shared" si="173"/>
        <v/>
      </c>
      <c r="DY81" s="315">
        <f>IF($J81="",#N/A,SUM(DX$4:DX81))</f>
        <v>0.59674626127163555</v>
      </c>
      <c r="DZ81" s="315">
        <f>IF($J81="",#N/A,SUM(DX$4:DX81,DV$4:DV81,DT$4:DT81))</f>
        <v>0.99760256640087874</v>
      </c>
      <c r="EA81" s="304" t="str">
        <f t="shared" si="174"/>
        <v/>
      </c>
      <c r="EB81" s="313">
        <f>IF($J81="",#N/A,SUM(EA$4:EA81))</f>
        <v>0</v>
      </c>
      <c r="EC81" s="314" t="str">
        <f t="shared" si="175"/>
        <v/>
      </c>
      <c r="ED81" s="314">
        <f>IF($J81="",#N/A,SUM(EC$4:EC81))</f>
        <v>-0.47973811942657352</v>
      </c>
      <c r="EE81" s="315" t="str">
        <f t="shared" si="176"/>
        <v/>
      </c>
      <c r="EF81" s="315">
        <f>IF($J81="",#N/A,SUM(EE$4:EE81))</f>
        <v>0</v>
      </c>
      <c r="EG81" s="315">
        <f>IF($J81="",#N/A,SUM(EE$4:EE81,EC$4:EC81,EA$4:EA81))</f>
        <v>-0.47973811942657352</v>
      </c>
      <c r="EH81" s="130">
        <f t="shared" si="177"/>
        <v>-25.639999999999986</v>
      </c>
      <c r="EI81" s="63">
        <f>IF(EH81="",#N/A,SUM($EH$4:EH81))</f>
        <v>446.91520944934308</v>
      </c>
      <c r="EJ81" s="223">
        <f t="shared" si="178"/>
        <v>-48.220000000000027</v>
      </c>
      <c r="EK81" s="63">
        <f>IF($GZ81="",#N/A,SUM(EJ$4:EJ81))</f>
        <v>679.77334203522969</v>
      </c>
      <c r="EL81" s="60">
        <f t="shared" si="209"/>
        <v>-0.8621153432321923</v>
      </c>
      <c r="EM81" s="60">
        <f>IF(EL81="",NA(),SUM($EL$4:EL81))</f>
        <v>17.927580404958817</v>
      </c>
      <c r="EN81" s="60" t="str">
        <f t="shared" si="179"/>
        <v/>
      </c>
      <c r="EO81" s="60" t="e">
        <f>IF(EN81="",NA(),SUM($EN$4:EN81))</f>
        <v>#N/A</v>
      </c>
      <c r="EP81" s="60">
        <f t="shared" si="180"/>
        <v>-0.8621153432321923</v>
      </c>
      <c r="EQ81" s="60">
        <f>IF(EP81="",NA(),SUM($EP$4:EP81))</f>
        <v>10.853051080998968</v>
      </c>
      <c r="ER81" s="60" t="str">
        <f t="shared" si="181"/>
        <v/>
      </c>
      <c r="ES81" s="60" t="e">
        <f>IF(ER81="",NA(),SUM($ER$4:ER81))</f>
        <v>#N/A</v>
      </c>
      <c r="ET81" s="60" t="str">
        <f t="shared" si="182"/>
        <v/>
      </c>
      <c r="EU81" s="60" t="e">
        <f>IF(ET81="",NA(),SUM($ET$4:ET81))</f>
        <v>#N/A</v>
      </c>
      <c r="EV81" s="60" t="str">
        <f t="shared" si="183"/>
        <v/>
      </c>
      <c r="EW81" s="60" t="e">
        <f>IF(EV81="",NA(),SUM($EV$4:EV81))</f>
        <v>#N/A</v>
      </c>
      <c r="EX81" s="60" t="str">
        <f t="shared" si="184"/>
        <v/>
      </c>
      <c r="EY81" s="60" t="e">
        <f>IF(EX81="",NA(),SUM($EX$4:EX81))</f>
        <v>#N/A</v>
      </c>
      <c r="EZ81" s="60" t="str">
        <f t="shared" si="185"/>
        <v/>
      </c>
      <c r="FA81" s="60" t="e">
        <f>IF(EZ81="",NA(),SUM($EZ$4:EZ81))</f>
        <v>#N/A</v>
      </c>
      <c r="FB81" s="246" t="str">
        <f t="shared" si="210"/>
        <v/>
      </c>
      <c r="FC81" s="246" t="e">
        <f>IF($FB81="",#N/A,SUM(FB$4:$FB81))</f>
        <v>#N/A</v>
      </c>
      <c r="FD81" s="60" t="str">
        <f t="shared" si="186"/>
        <v/>
      </c>
      <c r="FE81" s="60" t="e">
        <f>IF($FD81="",#N/A,SUM($FD$4:FD81))</f>
        <v>#N/A</v>
      </c>
      <c r="FF81" s="60" t="str">
        <f t="shared" si="187"/>
        <v/>
      </c>
      <c r="FG81" s="60" t="e">
        <f>IF($FF81="",#N/A,SUM($FF$4:FF81))</f>
        <v>#N/A</v>
      </c>
      <c r="FH81" s="60" t="str">
        <f t="shared" si="188"/>
        <v/>
      </c>
      <c r="FI81" s="60" t="e">
        <f>IF($FH81="",#N/A,SUM($FH$4:FH81))</f>
        <v>#N/A</v>
      </c>
      <c r="FJ81" s="60" t="str">
        <f t="shared" si="189"/>
        <v/>
      </c>
      <c r="FK81" s="60" t="e">
        <f>IF($FJ81="",#N/A,SUM($FJ$4:FJ81))</f>
        <v>#N/A</v>
      </c>
      <c r="FL81" s="60">
        <f t="shared" si="190"/>
        <v>-0.75922638261243958</v>
      </c>
      <c r="FM81" s="60">
        <f>IF($FL81="",#N/A,SUM($FL$4:FL81))</f>
        <v>-0.46714773119117681</v>
      </c>
      <c r="FN81" s="82">
        <f t="shared" si="191"/>
        <v>-1.6213417258446319</v>
      </c>
      <c r="FO81" s="82">
        <f>IF($FN81="",#N/A,SUM(FN$4:$FN81))</f>
        <v>27.505554036377742</v>
      </c>
      <c r="FP81" s="82">
        <f t="shared" si="211"/>
        <v>-0.8621153432321923</v>
      </c>
      <c r="FQ81" s="246">
        <f>IF($EH81="",#N/A,SUM($FP$4:FP81))</f>
        <v>17.927580404958817</v>
      </c>
      <c r="FR81" s="82">
        <f>IFERROR(FQ81/COUNTA($J$4:J81),#N/A)</f>
        <v>0.22984077442254894</v>
      </c>
      <c r="FS81" s="82">
        <f t="shared" si="216"/>
        <v>0.13787845606707866</v>
      </c>
      <c r="FT81" s="82">
        <f>IFERROR(($FQ81-$FQ60)/COUNTA($J60:$J81),#N/A)</f>
        <v>0.18334112620429108</v>
      </c>
      <c r="FU81" s="337">
        <f t="shared" si="113"/>
        <v>2.9460770041866962</v>
      </c>
      <c r="FV81" s="57" t="str">
        <f t="shared" si="192"/>
        <v>SW</v>
      </c>
      <c r="FW81" s="57" t="s">
        <v>2732</v>
      </c>
      <c r="FX81" s="57" t="str">
        <f t="shared" si="193"/>
        <v/>
      </c>
      <c r="FY81" s="57" t="str">
        <f t="shared" si="194"/>
        <v/>
      </c>
      <c r="FZ81" s="57" t="str">
        <f t="shared" si="195"/>
        <v/>
      </c>
      <c r="GA81" s="57" t="str">
        <f t="shared" si="196"/>
        <v>Long</v>
      </c>
      <c r="GB81" s="57" t="str">
        <f t="shared" si="197"/>
        <v/>
      </c>
      <c r="GC81" s="57" t="str">
        <f t="shared" si="198"/>
        <v/>
      </c>
      <c r="GD81" s="57">
        <f t="shared" si="199"/>
        <v>1</v>
      </c>
      <c r="GE81" s="62">
        <f t="shared" si="114"/>
        <v>247.84</v>
      </c>
      <c r="GF81" s="62" t="s">
        <v>2779</v>
      </c>
      <c r="GG81" s="199">
        <v>2</v>
      </c>
      <c r="GH81" s="207">
        <f t="shared" si="200"/>
        <v>495.68</v>
      </c>
      <c r="GI81" s="199">
        <v>2</v>
      </c>
      <c r="GJ81" s="200">
        <f t="shared" si="217"/>
        <v>235.02</v>
      </c>
      <c r="GK81" s="63">
        <f t="shared" si="201"/>
        <v>-25.639999999999986</v>
      </c>
      <c r="GL81" s="63">
        <f t="shared" si="115"/>
        <v>-48.220000000000027</v>
      </c>
      <c r="GM81" s="82">
        <f t="shared" si="202"/>
        <v>-1.6213417258446319</v>
      </c>
      <c r="GN81" s="82">
        <f>IF($GZ81="",#N/A,SUM(GM$4:GM81))</f>
        <v>11.618350199536446</v>
      </c>
      <c r="GO81" s="82" t="str">
        <f t="shared" si="203"/>
        <v/>
      </c>
      <c r="GP81" s="82">
        <f>IF($GZ81="",#N/A,SUM(GO$4:GO81))</f>
        <v>9.6856204255311109</v>
      </c>
      <c r="GQ81" s="82" t="str">
        <f t="shared" si="204"/>
        <v/>
      </c>
      <c r="GR81" s="82">
        <f>IF($GZ81="",#N/A,SUM(GQ$4:GQ81))</f>
        <v>5.5757464568678348</v>
      </c>
      <c r="GS81" s="63">
        <f t="shared" si="212"/>
        <v>-48.220000000000027</v>
      </c>
      <c r="GT81" s="63">
        <f>IF($GZ81="",#N/A,SUM(GS$4:GS81))</f>
        <v>264.37992882574213</v>
      </c>
      <c r="GU81" s="63" t="str">
        <f t="shared" si="213"/>
        <v/>
      </c>
      <c r="GV81" s="63">
        <f>IF($GZ81="",#N/A,SUM(GU$4:GU81))</f>
        <v>256.73289430539285</v>
      </c>
      <c r="GW81" s="63" t="str">
        <f t="shared" si="214"/>
        <v/>
      </c>
      <c r="GX81" s="63">
        <f>IF($GZ81="",#N/A,SUM(GW$4:GW81))</f>
        <v>144.92051890409476</v>
      </c>
      <c r="GY81" s="63">
        <f>IF(EJ81="",#N/A,SUM($EJ$4:EJ81))</f>
        <v>679.77334203522969</v>
      </c>
      <c r="GZ81" s="159">
        <v>223.73</v>
      </c>
      <c r="HA81" s="63">
        <f t="shared" si="205"/>
        <v>-22.580000000000041</v>
      </c>
      <c r="HB81" s="62" t="s">
        <v>4735</v>
      </c>
      <c r="HC81" s="60">
        <f>IFERROR(VLOOKUP(E81,Expectancy!$P$4:$S$19,1+C81,FALSE),"")</f>
        <v>-0.15084750675779673</v>
      </c>
      <c r="HD81" s="82">
        <f t="shared" si="206"/>
        <v>-1.6213417258446319</v>
      </c>
      <c r="HE81" s="60">
        <f>IF(HD81="",#N/A,SUM($HD$4:HD81))</f>
        <v>0.4515034007721217</v>
      </c>
      <c r="HF81" s="85">
        <f>IF(HD81="",#N/A,IF(HB81="Skip",#N/A,SUM($HG$4:HG81)))</f>
        <v>16.03000000000003</v>
      </c>
      <c r="HG81" s="63">
        <f t="shared" si="207"/>
        <v>-48.220000000000027</v>
      </c>
      <c r="HH81" s="82">
        <f t="shared" si="208"/>
        <v>-1.6213417258446319</v>
      </c>
      <c r="HK81" s="630" t="s">
        <v>6520</v>
      </c>
      <c r="HL81" s="1">
        <f>COUNTIF($HH$4:$HH$448,"&lt;0")</f>
        <v>214</v>
      </c>
    </row>
    <row r="82" spans="1:220" x14ac:dyDescent="0.25">
      <c r="A82" s="57" t="s">
        <v>1325</v>
      </c>
      <c r="B82" s="58" t="s">
        <v>5140</v>
      </c>
      <c r="C82" s="386">
        <f t="shared" si="118"/>
        <v>3</v>
      </c>
      <c r="D82" s="372" t="str">
        <f>_xlfn.XLOOKUP(A82,[1]SP500!$A$2:$A$502,[1]SP500!$D$2:$D$502,"N")</f>
        <v>Y</v>
      </c>
      <c r="E82" s="57" t="str">
        <f>_xlfn.XLOOKUP(A82,[1]SP500!$A$2:$A$655,[1]SP500!$B$2:$B$655)</f>
        <v>INS</v>
      </c>
      <c r="F82" s="59">
        <v>45686</v>
      </c>
      <c r="G82" s="57" t="str">
        <f t="shared" si="119"/>
        <v>BMO</v>
      </c>
      <c r="H82" s="57" t="str">
        <f t="shared" si="120"/>
        <v>s</v>
      </c>
      <c r="I82" s="159">
        <v>245.05</v>
      </c>
      <c r="J82" s="159">
        <v>238.42</v>
      </c>
      <c r="K82" s="61">
        <f t="shared" si="121"/>
        <v>-2.7055702917771981E-2</v>
      </c>
      <c r="L82" s="87">
        <f t="shared" si="122"/>
        <v>-13.260000000000048</v>
      </c>
      <c r="M82" s="130" t="e">
        <f t="shared" si="112"/>
        <v>#N/A</v>
      </c>
      <c r="N82" s="169" t="str">
        <f t="shared" si="123"/>
        <v/>
      </c>
      <c r="O82" s="169">
        <f>IF($J82="",#N/A,SUM($N$4:N82))</f>
        <v>133.63894778873004</v>
      </c>
      <c r="P82" s="174" t="str">
        <f t="shared" si="124"/>
        <v/>
      </c>
      <c r="Q82" s="174">
        <f>IF($J82="",#N/A,SUM($P$4:P82))</f>
        <v>61.536464916880902</v>
      </c>
      <c r="R82" s="178">
        <f t="shared" si="125"/>
        <v>-13.260000000000048</v>
      </c>
      <c r="S82" s="178">
        <f>IF($J82="",#N/A,SUM($R$4:R82))</f>
        <v>238.47979674373209</v>
      </c>
      <c r="T82" s="290" t="str">
        <f t="shared" si="126"/>
        <v/>
      </c>
      <c r="U82" s="290">
        <f>IF($J82="",#N/A,SUM($T$4:T82))</f>
        <v>4.6848271610729206</v>
      </c>
      <c r="V82" s="291" t="str">
        <f t="shared" si="127"/>
        <v/>
      </c>
      <c r="W82" s="291">
        <f>IF($J82="",#N/A,SUM($V$4:V82))</f>
        <v>2.3897021628869206</v>
      </c>
      <c r="X82" s="292">
        <f t="shared" si="128"/>
        <v>-0.45092838196286639</v>
      </c>
      <c r="Y82" s="283">
        <f>IF($J82="",#N/A,SUM($X$4:X82))</f>
        <v>10.402122699036102</v>
      </c>
      <c r="Z82" s="304" t="str">
        <f t="shared" si="129"/>
        <v/>
      </c>
      <c r="AA82" s="313">
        <f>IF($J82="",#N/A,SUM(Z$4:Z82))</f>
        <v>3.4310096157378052</v>
      </c>
      <c r="AB82" s="314" t="str">
        <f t="shared" si="130"/>
        <v/>
      </c>
      <c r="AC82" s="314">
        <f>IF($J82="",#N/A,SUM(AB$4:AB82))</f>
        <v>0</v>
      </c>
      <c r="AD82" s="315" t="str">
        <f t="shared" si="131"/>
        <v/>
      </c>
      <c r="AE82" s="315">
        <f>IF($J82="",#N/A,SUM(AD$4:AD82))</f>
        <v>1.5553407757049009</v>
      </c>
      <c r="AF82" s="315">
        <f>IF($J82="",#N/A,SUM(AD$4:AD82,AB$4:AB82,Z$4:Z82))</f>
        <v>4.9863503914427056</v>
      </c>
      <c r="AG82" s="304" t="str">
        <f t="shared" si="132"/>
        <v/>
      </c>
      <c r="AH82" s="313">
        <f>IF($J82="",#N/A,SUM(AG$4:AG82))</f>
        <v>0</v>
      </c>
      <c r="AI82" s="314" t="str">
        <f t="shared" si="133"/>
        <v/>
      </c>
      <c r="AJ82" s="314">
        <f>IF($J82="",#N/A,SUM(AI$4:AI82))</f>
        <v>0</v>
      </c>
      <c r="AK82" s="315" t="str">
        <f t="shared" si="134"/>
        <v/>
      </c>
      <c r="AL82" s="315">
        <f>IF($J82="",#N/A,SUM(AK$4:AK82))</f>
        <v>0</v>
      </c>
      <c r="AM82" s="315">
        <f>IF($J82="",#N/A,SUM(AK$4:AK82,AI$4:AI82,AG$4:AG82))</f>
        <v>0</v>
      </c>
      <c r="AN82" s="304" t="str">
        <f t="shared" si="135"/>
        <v/>
      </c>
      <c r="AO82" s="313">
        <f>IF($J82="",#N/A,SUM(AN$4:AN82))</f>
        <v>-0.49683555963321635</v>
      </c>
      <c r="AP82" s="314" t="str">
        <f t="shared" si="136"/>
        <v/>
      </c>
      <c r="AQ82" s="314">
        <f>IF($J82="",#N/A,SUM(AP$4:AP82))</f>
        <v>0</v>
      </c>
      <c r="AR82" s="315" t="str">
        <f t="shared" si="137"/>
        <v/>
      </c>
      <c r="AS82" s="315">
        <f>IF($J82="",#N/A,SUM(AR$4:AR82))</f>
        <v>0.38010822295256225</v>
      </c>
      <c r="AT82" s="315">
        <f>IF($J82="",#N/A,SUM(AR$4:AR82,AP$4:AP82,AN$4:AN82))</f>
        <v>-0.11672733668065405</v>
      </c>
      <c r="AU82" s="304" t="str">
        <f t="shared" si="138"/>
        <v/>
      </c>
      <c r="AV82" s="313">
        <f>IF($J82="",#N/A,SUM(AU$4:AU82))</f>
        <v>0</v>
      </c>
      <c r="AW82" s="314" t="str">
        <f t="shared" si="139"/>
        <v/>
      </c>
      <c r="AX82" s="314">
        <f>IF($J82="",#N/A,SUM(AW$4:AW82))</f>
        <v>1.2049246466562569</v>
      </c>
      <c r="AY82" s="315" t="str">
        <f t="shared" si="140"/>
        <v/>
      </c>
      <c r="AZ82" s="315">
        <f>IF($J82="",#N/A,SUM(AY$4:AY82))</f>
        <v>2.2170930216497844</v>
      </c>
      <c r="BA82" s="315">
        <f>IF($J82="",#N/A,SUM(AY$4:AY82,AW$4:AW82,AU$4:AU82))</f>
        <v>3.422017668306041</v>
      </c>
      <c r="BB82" s="304" t="str">
        <f t="shared" si="141"/>
        <v/>
      </c>
      <c r="BC82" s="313">
        <f>IF($J82="",#N/A,SUM(BB$4:BB82))</f>
        <v>0.57218309859154926</v>
      </c>
      <c r="BD82" s="314" t="str">
        <f t="shared" si="142"/>
        <v/>
      </c>
      <c r="BE82" s="314">
        <f>IF($J82="",#N/A,SUM(BD$4:BD82))</f>
        <v>-0.39561000510464578</v>
      </c>
      <c r="BF82" s="315" t="str">
        <f t="shared" si="143"/>
        <v/>
      </c>
      <c r="BG82" s="315">
        <f>IF($J82="",#N/A,SUM(BF$4:BF82))</f>
        <v>3.730405235810978</v>
      </c>
      <c r="BH82" s="315">
        <f>IF($J82="",#N/A,SUM(BF$4:BF82,BD$4:BD82,BB$4:BB82))</f>
        <v>3.9069783292978819</v>
      </c>
      <c r="BI82" s="304" t="str">
        <f t="shared" si="144"/>
        <v/>
      </c>
      <c r="BJ82" s="313">
        <f>IF($J82="",#N/A,SUM(BI$4:BI82))</f>
        <v>-1.5356143908855402</v>
      </c>
      <c r="BK82" s="314" t="str">
        <f t="shared" si="145"/>
        <v/>
      </c>
      <c r="BL82" s="314">
        <f>IF($J82="",#N/A,SUM(BK$4:BK82))</f>
        <v>0</v>
      </c>
      <c r="BM82" s="315" t="str">
        <f t="shared" si="146"/>
        <v/>
      </c>
      <c r="BN82" s="315">
        <f>IF($J82="",#N/A,SUM(BM$4:BM82))</f>
        <v>4.7600631121019816</v>
      </c>
      <c r="BO82" s="315">
        <f>IF($J82="",#N/A,SUM(BM$4:BM82,BK$4:BK82,BI$4:BI82))</f>
        <v>3.224448721216441</v>
      </c>
      <c r="BP82" s="304" t="str">
        <f t="shared" si="147"/>
        <v/>
      </c>
      <c r="BQ82" s="313">
        <f>IF($J82="",#N/A,SUM(BP$4:BP82))</f>
        <v>3.4468416016128636</v>
      </c>
      <c r="BR82" s="314" t="str">
        <f t="shared" si="148"/>
        <v/>
      </c>
      <c r="BS82" s="314">
        <f>IF($J82="",#N/A,SUM(BR$4:BR82))</f>
        <v>0.64461012602832546</v>
      </c>
      <c r="BT82" s="315" t="str">
        <f t="shared" si="149"/>
        <v/>
      </c>
      <c r="BU82" s="315">
        <f>IF($J82="",#N/A,SUM(BT$4:BT82))</f>
        <v>-0.33591272342648226</v>
      </c>
      <c r="BV82" s="315">
        <f>IF($J82="",#N/A,SUM(BT$4:BT82,BR$4:BR82,BP$4:BP82))</f>
        <v>3.7555390042147065</v>
      </c>
      <c r="BW82" s="304" t="str">
        <f t="shared" si="150"/>
        <v/>
      </c>
      <c r="BX82" s="313">
        <f>IF($J82="",#N/A,SUM(BW$4:BW82))</f>
        <v>-0.73275720435053893</v>
      </c>
      <c r="BY82" s="314" t="str">
        <f t="shared" si="151"/>
        <v/>
      </c>
      <c r="BZ82" s="314">
        <f>IF($J82="",#N/A,SUM(BY$4:BY82))</f>
        <v>0.46686916413544804</v>
      </c>
      <c r="CA82" s="315" t="str">
        <f t="shared" si="152"/>
        <v/>
      </c>
      <c r="CB82" s="315">
        <f>IF($J82="",#N/A,SUM(CA$4:CA82))</f>
        <v>-1.3212929569860741</v>
      </c>
      <c r="CC82" s="315">
        <f>IF($J82="",#N/A,SUM(CA$4:CA82,BY$4:BY82,BW$4:BW82))</f>
        <v>-1.5871809972011648</v>
      </c>
      <c r="CD82" s="304" t="str">
        <f t="shared" si="153"/>
        <v/>
      </c>
      <c r="CE82" s="313">
        <f>IF($J82="",#N/A,SUM(CD$4:CD82))</f>
        <v>0</v>
      </c>
      <c r="CF82" s="314" t="str">
        <f t="shared" si="154"/>
        <v/>
      </c>
      <c r="CG82" s="314">
        <f>IF($J82="",#N/A,SUM(CF$4:CF82))</f>
        <v>0.41783917455444924</v>
      </c>
      <c r="CH82" s="315" t="str">
        <f t="shared" si="155"/>
        <v/>
      </c>
      <c r="CI82" s="315">
        <f>IF($J82="",#N/A,SUM(CH$4:CH82))</f>
        <v>-1.5363346259711188</v>
      </c>
      <c r="CJ82" s="315">
        <f>IF($J82="",#N/A,SUM(CH$4:CH82,CF$4:CF82,CD$4:CD82))</f>
        <v>-1.1184954514166696</v>
      </c>
      <c r="CK82" s="304" t="str">
        <f t="shared" si="156"/>
        <v/>
      </c>
      <c r="CL82" s="313">
        <f>IF($J82="",#N/A,SUM(CK$4:CK82))</f>
        <v>0</v>
      </c>
      <c r="CM82" s="314" t="str">
        <f t="shared" si="157"/>
        <v/>
      </c>
      <c r="CN82" s="314">
        <f>IF($J82="",#N/A,SUM(CM$4:CM82))</f>
        <v>0</v>
      </c>
      <c r="CO82" s="315" t="str">
        <f t="shared" si="158"/>
        <v/>
      </c>
      <c r="CP82" s="315">
        <f>IF($J82="",#N/A,SUM(CO$4:CO82))</f>
        <v>-0.8814781582839023</v>
      </c>
      <c r="CQ82" s="315">
        <f>IF($J82="",#N/A,SUM(CO$4:CO82,CM$4:CM82,CK$4:CK82))</f>
        <v>-0.8814781582839023</v>
      </c>
      <c r="CR82" s="304" t="str">
        <f t="shared" si="159"/>
        <v/>
      </c>
      <c r="CS82" s="313">
        <f>IF($J82="",#N/A,SUM(CR$4:CR82))</f>
        <v>0</v>
      </c>
      <c r="CT82" s="314" t="str">
        <f t="shared" si="160"/>
        <v/>
      </c>
      <c r="CU82" s="314">
        <f>IF($J82="",#N/A,SUM(CT$4:CT82))</f>
        <v>-0.13081968772223007</v>
      </c>
      <c r="CV82" s="315" t="str">
        <f t="shared" si="161"/>
        <v/>
      </c>
      <c r="CW82" s="315">
        <f>IF($J82="",#N/A,SUM(CV$4:CV82))</f>
        <v>0.28156811782542707</v>
      </c>
      <c r="CX82" s="315">
        <f>IF($J82="",#N/A,SUM(CV$4:CV82,CT$4:CT82,CR$4:CR82))</f>
        <v>0.150748430103197</v>
      </c>
      <c r="CY82" s="304" t="str">
        <f t="shared" si="162"/>
        <v/>
      </c>
      <c r="CZ82" s="313">
        <f>IF($J82="",#N/A,SUM(CY$4:CY82))</f>
        <v>0</v>
      </c>
      <c r="DA82" s="314" t="str">
        <f t="shared" si="163"/>
        <v/>
      </c>
      <c r="DB82" s="314">
        <f>IF($J82="",#N/A,SUM(DA$4:DA82))</f>
        <v>0</v>
      </c>
      <c r="DC82" s="315" t="str">
        <f t="shared" si="164"/>
        <v/>
      </c>
      <c r="DD82" s="315">
        <f>IF($J82="",#N/A,SUM(DC$4:DC82))</f>
        <v>0</v>
      </c>
      <c r="DE82" s="315">
        <f>IF($J82="",#N/A,SUM(DC$4:DC82,DA$4:DA82,CY$4:CY82))</f>
        <v>0</v>
      </c>
      <c r="DF82" s="304" t="str">
        <f t="shared" si="165"/>
        <v/>
      </c>
      <c r="DG82" s="313">
        <f>IF($J82="",#N/A,SUM(DF$4:DF82))</f>
        <v>0</v>
      </c>
      <c r="DH82" s="314" t="str">
        <f t="shared" si="166"/>
        <v/>
      </c>
      <c r="DI82" s="314">
        <f>IF($J82="",#N/A,SUM(DH$4:DH82))</f>
        <v>0</v>
      </c>
      <c r="DJ82" s="315" t="str">
        <f t="shared" si="167"/>
        <v/>
      </c>
      <c r="DK82" s="315">
        <f>IF($J82="",#N/A,SUM(DJ$4:DJ82))</f>
        <v>0</v>
      </c>
      <c r="DL82" s="315">
        <f>IF($J82="",#N/A,SUM(DJ$4:DJ82,DH$4:DH82,DF$4:DF82))</f>
        <v>0</v>
      </c>
      <c r="DM82" s="304" t="str">
        <f t="shared" si="168"/>
        <v/>
      </c>
      <c r="DN82" s="313">
        <f>IF($J82="",#N/A,SUM(DM$4:DM82))</f>
        <v>0</v>
      </c>
      <c r="DO82" s="314" t="str">
        <f t="shared" si="169"/>
        <v/>
      </c>
      <c r="DP82" s="314">
        <f>IF($J82="",#N/A,SUM(DO$4:DO82))</f>
        <v>0.26077055863664694</v>
      </c>
      <c r="DQ82" s="315">
        <f t="shared" si="170"/>
        <v>-0.45092838196286639</v>
      </c>
      <c r="DR82" s="315">
        <f>IF($J82="",#N/A,SUM(DQ$4:DQ82))</f>
        <v>0.95581641638640868</v>
      </c>
      <c r="DS82" s="315">
        <f>IF($J82="",#N/A,SUM(DQ$4:DQ82,DO$4:DO82,DM$4:DM82))</f>
        <v>1.2165869750230556</v>
      </c>
      <c r="DT82" s="304" t="str">
        <f t="shared" si="171"/>
        <v/>
      </c>
      <c r="DU82" s="313">
        <f>IF($J82="",#N/A,SUM(DT$4:DT82))</f>
        <v>0</v>
      </c>
      <c r="DV82" s="314" t="str">
        <f t="shared" si="172"/>
        <v/>
      </c>
      <c r="DW82" s="314">
        <f>IF($J82="",#N/A,SUM(DV$4:DV82))</f>
        <v>0.40085630512924314</v>
      </c>
      <c r="DX82" s="315" t="str">
        <f t="shared" si="173"/>
        <v/>
      </c>
      <c r="DY82" s="315">
        <f>IF($J82="",#N/A,SUM(DX$4:DX82))</f>
        <v>0.59674626127163555</v>
      </c>
      <c r="DZ82" s="315">
        <f>IF($J82="",#N/A,SUM(DX$4:DX82,DV$4:DV82,DT$4:DT82))</f>
        <v>0.99760256640087874</v>
      </c>
      <c r="EA82" s="304" t="str">
        <f t="shared" si="174"/>
        <v/>
      </c>
      <c r="EB82" s="313">
        <f>IF($J82="",#N/A,SUM(EA$4:EA82))</f>
        <v>0</v>
      </c>
      <c r="EC82" s="314" t="str">
        <f t="shared" si="175"/>
        <v/>
      </c>
      <c r="ED82" s="314">
        <f>IF($J82="",#N/A,SUM(EC$4:EC82))</f>
        <v>-0.47973811942657352</v>
      </c>
      <c r="EE82" s="315" t="str">
        <f t="shared" si="176"/>
        <v/>
      </c>
      <c r="EF82" s="315">
        <f>IF($J82="",#N/A,SUM(EE$4:EE82))</f>
        <v>0</v>
      </c>
      <c r="EG82" s="315">
        <f>IF($J82="",#N/A,SUM(EE$4:EE82,EC$4:EC82,EA$4:EA82))</f>
        <v>-0.47973811942657352</v>
      </c>
      <c r="EH82" s="130">
        <f t="shared" si="177"/>
        <v>-13.260000000000048</v>
      </c>
      <c r="EI82" s="63">
        <f>IF(EH82="",#N/A,SUM($EH$4:EH82))</f>
        <v>433.65520944934303</v>
      </c>
      <c r="EJ82" s="223">
        <f t="shared" si="178"/>
        <v>2.6999999999999886</v>
      </c>
      <c r="EK82" s="63">
        <f>IF($GZ82="",#N/A,SUM(EJ$4:EJ82))</f>
        <v>682.47334203522973</v>
      </c>
      <c r="EL82" s="60">
        <f t="shared" si="209"/>
        <v>-0.45092838196286639</v>
      </c>
      <c r="EM82" s="60">
        <f>IF(EL82="",NA(),SUM($EL$4:EL82))</f>
        <v>17.47665202299595</v>
      </c>
      <c r="EN82" s="60" t="str">
        <f t="shared" si="179"/>
        <v/>
      </c>
      <c r="EO82" s="60" t="e">
        <f>IF(EN82="",NA(),SUM($EN$4:EN82))</f>
        <v>#N/A</v>
      </c>
      <c r="EP82" s="60">
        <f t="shared" si="180"/>
        <v>-0.45092838196286639</v>
      </c>
      <c r="EQ82" s="60">
        <f>IF(EP82="",NA(),SUM($EP$4:EP82))</f>
        <v>10.402122699036102</v>
      </c>
      <c r="ER82" s="60" t="str">
        <f t="shared" si="181"/>
        <v/>
      </c>
      <c r="ES82" s="60" t="e">
        <f>IF(ER82="",NA(),SUM($ER$4:ER82))</f>
        <v>#N/A</v>
      </c>
      <c r="ET82" s="60" t="str">
        <f t="shared" si="182"/>
        <v/>
      </c>
      <c r="EU82" s="60" t="e">
        <f>IF(ET82="",NA(),SUM($ET$4:ET82))</f>
        <v>#N/A</v>
      </c>
      <c r="EV82" s="60" t="str">
        <f t="shared" si="183"/>
        <v/>
      </c>
      <c r="EW82" s="60" t="e">
        <f>IF(EV82="",NA(),SUM($EV$4:EV82))</f>
        <v>#N/A</v>
      </c>
      <c r="EX82" s="60" t="str">
        <f t="shared" si="184"/>
        <v/>
      </c>
      <c r="EY82" s="60" t="e">
        <f>IF(EX82="",NA(),SUM($EX$4:EX82))</f>
        <v>#N/A</v>
      </c>
      <c r="EZ82" s="60" t="str">
        <f t="shared" si="185"/>
        <v/>
      </c>
      <c r="FA82" s="60" t="e">
        <f>IF(EZ82="",NA(),SUM($EZ$4:EZ82))</f>
        <v>#N/A</v>
      </c>
      <c r="FB82" s="246" t="str">
        <f t="shared" si="210"/>
        <v/>
      </c>
      <c r="FC82" s="246" t="e">
        <f>IF($FB82="",#N/A,SUM(FB$4:$FB82))</f>
        <v>#N/A</v>
      </c>
      <c r="FD82" s="60" t="str">
        <f t="shared" si="186"/>
        <v/>
      </c>
      <c r="FE82" s="60" t="e">
        <f>IF($FD82="",#N/A,SUM($FD$4:FD82))</f>
        <v>#N/A</v>
      </c>
      <c r="FF82" s="60" t="str">
        <f t="shared" si="187"/>
        <v/>
      </c>
      <c r="FG82" s="60" t="e">
        <f>IF($FF82="",#N/A,SUM($FF$4:FF82))</f>
        <v>#N/A</v>
      </c>
      <c r="FH82" s="60" t="str">
        <f t="shared" si="188"/>
        <v/>
      </c>
      <c r="FI82" s="60" t="e">
        <f>IF($FH82="",#N/A,SUM($FH$4:FH82))</f>
        <v>#N/A</v>
      </c>
      <c r="FJ82" s="60" t="str">
        <f t="shared" si="189"/>
        <v/>
      </c>
      <c r="FK82" s="60" t="e">
        <f>IF($FJ82="",#N/A,SUM($FJ$4:FJ82))</f>
        <v>#N/A</v>
      </c>
      <c r="FL82" s="60">
        <f t="shared" si="190"/>
        <v>0.54274637829014616</v>
      </c>
      <c r="FM82" s="60">
        <f>IF($FL82="",#N/A,SUM($FL$4:FL82))</f>
        <v>7.5598647098969352E-2</v>
      </c>
      <c r="FN82" s="82">
        <f t="shared" si="191"/>
        <v>9.1817996327279758E-2</v>
      </c>
      <c r="FO82" s="82">
        <f>IF($FN82="",#N/A,SUM(FN$4:$FN82))</f>
        <v>27.597372032705021</v>
      </c>
      <c r="FP82" s="82">
        <f t="shared" si="211"/>
        <v>-0.45092838196286639</v>
      </c>
      <c r="FQ82" s="246">
        <f>IF($EH82="",#N/A,SUM($FP$4:FP82))</f>
        <v>17.47665202299595</v>
      </c>
      <c r="FR82" s="82">
        <f>IFERROR(FQ82/COUNTA($J$4:J82),#N/A)</f>
        <v>0.22122344332906266</v>
      </c>
      <c r="FS82" s="82">
        <f t="shared" si="216"/>
        <v>0.11792633549972399</v>
      </c>
      <c r="FT82" s="82">
        <f>IFERROR(($FQ82-$FQ61)/COUNTA($J61:$J82),#N/A)</f>
        <v>0.136836058906363</v>
      </c>
      <c r="FU82" s="337">
        <f t="shared" si="113"/>
        <v>2.4033306258965492</v>
      </c>
      <c r="FV82" s="57" t="str">
        <f t="shared" si="192"/>
        <v>SW</v>
      </c>
      <c r="FW82" s="57" t="s">
        <v>2732</v>
      </c>
      <c r="FX82" s="57" t="str">
        <f t="shared" si="193"/>
        <v/>
      </c>
      <c r="FY82" s="57" t="str">
        <f t="shared" si="194"/>
        <v/>
      </c>
      <c r="FZ82" s="57" t="str">
        <f t="shared" si="195"/>
        <v/>
      </c>
      <c r="GA82" s="57" t="str">
        <f t="shared" si="196"/>
        <v>Long</v>
      </c>
      <c r="GB82" s="57" t="str">
        <f t="shared" si="197"/>
        <v/>
      </c>
      <c r="GC82" s="57" t="str">
        <f t="shared" si="198"/>
        <v/>
      </c>
      <c r="GD82" s="57">
        <f t="shared" si="199"/>
        <v>1</v>
      </c>
      <c r="GE82" s="62">
        <f t="shared" si="114"/>
        <v>245.05</v>
      </c>
      <c r="GF82" s="62" t="s">
        <v>2779</v>
      </c>
      <c r="GG82" s="199">
        <v>2</v>
      </c>
      <c r="GH82" s="207">
        <f t="shared" si="200"/>
        <v>490.1</v>
      </c>
      <c r="GI82" s="199">
        <v>2</v>
      </c>
      <c r="GJ82" s="200">
        <f t="shared" si="217"/>
        <v>238.42</v>
      </c>
      <c r="GK82" s="63">
        <f t="shared" si="201"/>
        <v>-13.260000000000048</v>
      </c>
      <c r="GL82" s="63">
        <f t="shared" si="115"/>
        <v>2.6999999999999886</v>
      </c>
      <c r="GM82" s="82">
        <f t="shared" si="202"/>
        <v>9.1817996327279758E-2</v>
      </c>
      <c r="GN82" s="82">
        <f>IF($GZ82="",#N/A,SUM(GM$4:GM82))</f>
        <v>11.710168195863725</v>
      </c>
      <c r="GO82" s="82" t="str">
        <f t="shared" si="203"/>
        <v/>
      </c>
      <c r="GP82" s="82">
        <f>IF($GZ82="",#N/A,SUM(GO$4:GO82))</f>
        <v>9.6856204255311109</v>
      </c>
      <c r="GQ82" s="82" t="str">
        <f t="shared" si="204"/>
        <v/>
      </c>
      <c r="GR82" s="82">
        <f>IF($GZ82="",#N/A,SUM(GQ$4:GQ82))</f>
        <v>5.5757464568678348</v>
      </c>
      <c r="GS82" s="63">
        <f t="shared" si="212"/>
        <v>2.6999999999999886</v>
      </c>
      <c r="GT82" s="63">
        <f>IF($GZ82="",#N/A,SUM(GS$4:GS82))</f>
        <v>267.07992882574212</v>
      </c>
      <c r="GU82" s="63" t="str">
        <f t="shared" si="213"/>
        <v/>
      </c>
      <c r="GV82" s="63">
        <f>IF($GZ82="",#N/A,SUM(GU$4:GU82))</f>
        <v>256.73289430539285</v>
      </c>
      <c r="GW82" s="63" t="str">
        <f t="shared" si="214"/>
        <v/>
      </c>
      <c r="GX82" s="63">
        <f>IF($GZ82="",#N/A,SUM(GW$4:GW82))</f>
        <v>144.92051890409476</v>
      </c>
      <c r="GY82" s="63">
        <f>IF(EJ82="",#N/A,SUM($EJ$4:EJ82))</f>
        <v>682.47334203522973</v>
      </c>
      <c r="GZ82" s="159">
        <v>246.4</v>
      </c>
      <c r="HA82" s="63">
        <f t="shared" si="205"/>
        <v>15.960000000000036</v>
      </c>
      <c r="HB82" s="62" t="s">
        <v>4735</v>
      </c>
      <c r="HC82" s="60">
        <f>IFERROR(VLOOKUP(E82,Expectancy!$P$4:$S$19,1+C82,FALSE),"")</f>
        <v>-3.1543782927977014E-2</v>
      </c>
      <c r="HD82" s="82">
        <f t="shared" si="206"/>
        <v>9.1817996327279758E-2</v>
      </c>
      <c r="HE82" s="60">
        <f>IF(HD82="",#N/A,SUM($HD$4:HD82))</f>
        <v>0.54332139709940142</v>
      </c>
      <c r="HF82" s="85">
        <f>IF(HD82="",#N/A,IF(HB82="Skip",#N/A,SUM($HG$4:HG82)))</f>
        <v>18.730000000000018</v>
      </c>
      <c r="HG82" s="63">
        <f t="shared" si="207"/>
        <v>2.6999999999999886</v>
      </c>
      <c r="HH82" s="82">
        <f t="shared" si="208"/>
        <v>9.1817996327279758E-2</v>
      </c>
      <c r="HK82" s="630" t="s">
        <v>6521</v>
      </c>
      <c r="HL82" s="1">
        <f>AVERAGEIF($HH$4:$HH$448,"&gt;0")</f>
        <v>1.0451754074040742</v>
      </c>
    </row>
    <row r="83" spans="1:220" x14ac:dyDescent="0.25">
      <c r="A83" s="57" t="s">
        <v>1339</v>
      </c>
      <c r="B83" s="58" t="s">
        <v>5141</v>
      </c>
      <c r="C83" s="386">
        <f t="shared" si="118"/>
        <v>1</v>
      </c>
      <c r="D83" s="372" t="str">
        <f>_xlfn.XLOOKUP(A83,[1]SP500!$A$2:$A$502,[1]SP500!$D$2:$D$502,"N")</f>
        <v>Y</v>
      </c>
      <c r="E83" s="57" t="str">
        <f>_xlfn.XLOOKUP(A83,[1]SP500!$A$2:$A$655,[1]SP500!$B$2:$B$655)</f>
        <v>XLI</v>
      </c>
      <c r="F83" s="59">
        <v>45686</v>
      </c>
      <c r="G83" s="57" t="str">
        <f t="shared" si="119"/>
        <v>BMO</v>
      </c>
      <c r="H83" s="57" t="str">
        <f t="shared" si="120"/>
        <v>s</v>
      </c>
      <c r="I83" s="159">
        <v>298.31</v>
      </c>
      <c r="J83" s="159">
        <v>304.14</v>
      </c>
      <c r="K83" s="61">
        <f t="shared" si="121"/>
        <v>1.9543427977607133E-2</v>
      </c>
      <c r="L83" s="87">
        <f t="shared" si="122"/>
        <v>11.659999999999968</v>
      </c>
      <c r="M83" s="130" t="e">
        <f t="shared" si="112"/>
        <v>#N/A</v>
      </c>
      <c r="N83" s="169">
        <f t="shared" si="123"/>
        <v>11.659999999999968</v>
      </c>
      <c r="O83" s="169">
        <f>IF($J83="",#N/A,SUM($N$4:N83))</f>
        <v>145.29894778873</v>
      </c>
      <c r="P83" s="174" t="str">
        <f t="shared" si="124"/>
        <v/>
      </c>
      <c r="Q83" s="174">
        <f>IF($J83="",#N/A,SUM($P$4:P83))</f>
        <v>61.536464916880902</v>
      </c>
      <c r="R83" s="178" t="str">
        <f t="shared" si="125"/>
        <v/>
      </c>
      <c r="S83" s="178">
        <f>IF($J83="",#N/A,SUM($R$4:R83))</f>
        <v>238.47979674373209</v>
      </c>
      <c r="T83" s="290">
        <f t="shared" si="126"/>
        <v>0.3257237996267856</v>
      </c>
      <c r="U83" s="290">
        <f>IF($J83="",#N/A,SUM($T$4:T83))</f>
        <v>5.0105509606997058</v>
      </c>
      <c r="V83" s="291" t="str">
        <f t="shared" si="127"/>
        <v/>
      </c>
      <c r="W83" s="291">
        <f>IF($J83="",#N/A,SUM($V$4:V83))</f>
        <v>2.3897021628869206</v>
      </c>
      <c r="X83" s="292" t="str">
        <f t="shared" si="128"/>
        <v/>
      </c>
      <c r="Y83" s="283">
        <f>IF($J83="",#N/A,SUM($X$4:X83))</f>
        <v>10.402122699036102</v>
      </c>
      <c r="Z83" s="304" t="str">
        <f t="shared" si="129"/>
        <v/>
      </c>
      <c r="AA83" s="313">
        <f>IF($J83="",#N/A,SUM(Z$4:Z83))</f>
        <v>3.4310096157378052</v>
      </c>
      <c r="AB83" s="314" t="str">
        <f t="shared" si="130"/>
        <v/>
      </c>
      <c r="AC83" s="314">
        <f>IF($J83="",#N/A,SUM(AB$4:AB83))</f>
        <v>0</v>
      </c>
      <c r="AD83" s="315" t="str">
        <f t="shared" si="131"/>
        <v/>
      </c>
      <c r="AE83" s="315">
        <f>IF($J83="",#N/A,SUM(AD$4:AD83))</f>
        <v>1.5553407757049009</v>
      </c>
      <c r="AF83" s="315">
        <f>IF($J83="",#N/A,SUM(AD$4:AD83,AB$4:AB83,Z$4:Z83))</f>
        <v>4.9863503914427056</v>
      </c>
      <c r="AG83" s="304" t="str">
        <f t="shared" si="132"/>
        <v/>
      </c>
      <c r="AH83" s="313">
        <f>IF($J83="",#N/A,SUM(AG$4:AG83))</f>
        <v>0</v>
      </c>
      <c r="AI83" s="314" t="str">
        <f t="shared" si="133"/>
        <v/>
      </c>
      <c r="AJ83" s="314">
        <f>IF($J83="",#N/A,SUM(AI$4:AI83))</f>
        <v>0</v>
      </c>
      <c r="AK83" s="315" t="str">
        <f t="shared" si="134"/>
        <v/>
      </c>
      <c r="AL83" s="315">
        <f>IF($J83="",#N/A,SUM(AK$4:AK83))</f>
        <v>0</v>
      </c>
      <c r="AM83" s="315">
        <f>IF($J83="",#N/A,SUM(AK$4:AK83,AI$4:AI83,AG$4:AG83))</f>
        <v>0</v>
      </c>
      <c r="AN83" s="304" t="str">
        <f t="shared" si="135"/>
        <v/>
      </c>
      <c r="AO83" s="313">
        <f>IF($J83="",#N/A,SUM(AN$4:AN83))</f>
        <v>-0.49683555963321635</v>
      </c>
      <c r="AP83" s="314" t="str">
        <f t="shared" si="136"/>
        <v/>
      </c>
      <c r="AQ83" s="314">
        <f>IF($J83="",#N/A,SUM(AP$4:AP83))</f>
        <v>0</v>
      </c>
      <c r="AR83" s="315" t="str">
        <f t="shared" si="137"/>
        <v/>
      </c>
      <c r="AS83" s="315">
        <f>IF($J83="",#N/A,SUM(AR$4:AR83))</f>
        <v>0.38010822295256225</v>
      </c>
      <c r="AT83" s="315">
        <f>IF($J83="",#N/A,SUM(AR$4:AR83,AP$4:AP83,AN$4:AN83))</f>
        <v>-0.11672733668065405</v>
      </c>
      <c r="AU83" s="304" t="str">
        <f t="shared" si="138"/>
        <v/>
      </c>
      <c r="AV83" s="313">
        <f>IF($J83="",#N/A,SUM(AU$4:AU83))</f>
        <v>0</v>
      </c>
      <c r="AW83" s="314" t="str">
        <f t="shared" si="139"/>
        <v/>
      </c>
      <c r="AX83" s="314">
        <f>IF($J83="",#N/A,SUM(AW$4:AW83))</f>
        <v>1.2049246466562569</v>
      </c>
      <c r="AY83" s="315" t="str">
        <f t="shared" si="140"/>
        <v/>
      </c>
      <c r="AZ83" s="315">
        <f>IF($J83="",#N/A,SUM(AY$4:AY83))</f>
        <v>2.2170930216497844</v>
      </c>
      <c r="BA83" s="315">
        <f>IF($J83="",#N/A,SUM(AY$4:AY83,AW$4:AW83,AU$4:AU83))</f>
        <v>3.422017668306041</v>
      </c>
      <c r="BB83" s="304" t="str">
        <f t="shared" si="141"/>
        <v/>
      </c>
      <c r="BC83" s="313">
        <f>IF($J83="",#N/A,SUM(BB$4:BB83))</f>
        <v>0.57218309859154926</v>
      </c>
      <c r="BD83" s="314" t="str">
        <f t="shared" si="142"/>
        <v/>
      </c>
      <c r="BE83" s="314">
        <f>IF($J83="",#N/A,SUM(BD$4:BD83))</f>
        <v>-0.39561000510464578</v>
      </c>
      <c r="BF83" s="315" t="str">
        <f t="shared" si="143"/>
        <v/>
      </c>
      <c r="BG83" s="315">
        <f>IF($J83="",#N/A,SUM(BF$4:BF83))</f>
        <v>3.730405235810978</v>
      </c>
      <c r="BH83" s="315">
        <f>IF($J83="",#N/A,SUM(BF$4:BF83,BD$4:BD83,BB$4:BB83))</f>
        <v>3.9069783292978819</v>
      </c>
      <c r="BI83" s="304" t="str">
        <f t="shared" si="144"/>
        <v/>
      </c>
      <c r="BJ83" s="313">
        <f>IF($J83="",#N/A,SUM(BI$4:BI83))</f>
        <v>-1.5356143908855402</v>
      </c>
      <c r="BK83" s="314" t="str">
        <f t="shared" si="145"/>
        <v/>
      </c>
      <c r="BL83" s="314">
        <f>IF($J83="",#N/A,SUM(BK$4:BK83))</f>
        <v>0</v>
      </c>
      <c r="BM83" s="315" t="str">
        <f t="shared" si="146"/>
        <v/>
      </c>
      <c r="BN83" s="315">
        <f>IF($J83="",#N/A,SUM(BM$4:BM83))</f>
        <v>4.7600631121019816</v>
      </c>
      <c r="BO83" s="315">
        <f>IF($J83="",#N/A,SUM(BM$4:BM83,BK$4:BK83,BI$4:BI83))</f>
        <v>3.224448721216441</v>
      </c>
      <c r="BP83" s="304">
        <f t="shared" si="147"/>
        <v>0.3257237996267856</v>
      </c>
      <c r="BQ83" s="313">
        <f>IF($J83="",#N/A,SUM(BP$4:BP83))</f>
        <v>3.7725654012396492</v>
      </c>
      <c r="BR83" s="314" t="str">
        <f t="shared" si="148"/>
        <v/>
      </c>
      <c r="BS83" s="314">
        <f>IF($J83="",#N/A,SUM(BR$4:BR83))</f>
        <v>0.64461012602832546</v>
      </c>
      <c r="BT83" s="315" t="str">
        <f t="shared" si="149"/>
        <v/>
      </c>
      <c r="BU83" s="315">
        <f>IF($J83="",#N/A,SUM(BT$4:BT83))</f>
        <v>-0.33591272342648226</v>
      </c>
      <c r="BV83" s="315">
        <f>IF($J83="",#N/A,SUM(BT$4:BT83,BR$4:BR83,BP$4:BP83))</f>
        <v>4.0812628038414918</v>
      </c>
      <c r="BW83" s="304" t="str">
        <f t="shared" si="150"/>
        <v/>
      </c>
      <c r="BX83" s="313">
        <f>IF($J83="",#N/A,SUM(BW$4:BW83))</f>
        <v>-0.73275720435053893</v>
      </c>
      <c r="BY83" s="314" t="str">
        <f t="shared" si="151"/>
        <v/>
      </c>
      <c r="BZ83" s="314">
        <f>IF($J83="",#N/A,SUM(BY$4:BY83))</f>
        <v>0.46686916413544804</v>
      </c>
      <c r="CA83" s="315" t="str">
        <f t="shared" si="152"/>
        <v/>
      </c>
      <c r="CB83" s="315">
        <f>IF($J83="",#N/A,SUM(CA$4:CA83))</f>
        <v>-1.3212929569860741</v>
      </c>
      <c r="CC83" s="315">
        <f>IF($J83="",#N/A,SUM(CA$4:CA83,BY$4:BY83,BW$4:BW83))</f>
        <v>-1.5871809972011648</v>
      </c>
      <c r="CD83" s="304" t="str">
        <f t="shared" si="153"/>
        <v/>
      </c>
      <c r="CE83" s="313">
        <f>IF($J83="",#N/A,SUM(CD$4:CD83))</f>
        <v>0</v>
      </c>
      <c r="CF83" s="314" t="str">
        <f t="shared" si="154"/>
        <v/>
      </c>
      <c r="CG83" s="314">
        <f>IF($J83="",#N/A,SUM(CF$4:CF83))</f>
        <v>0.41783917455444924</v>
      </c>
      <c r="CH83" s="315" t="str">
        <f t="shared" si="155"/>
        <v/>
      </c>
      <c r="CI83" s="315">
        <f>IF($J83="",#N/A,SUM(CH$4:CH83))</f>
        <v>-1.5363346259711188</v>
      </c>
      <c r="CJ83" s="315">
        <f>IF($J83="",#N/A,SUM(CH$4:CH83,CF$4:CF83,CD$4:CD83))</f>
        <v>-1.1184954514166696</v>
      </c>
      <c r="CK83" s="304" t="str">
        <f t="shared" si="156"/>
        <v/>
      </c>
      <c r="CL83" s="313">
        <f>IF($J83="",#N/A,SUM(CK$4:CK83))</f>
        <v>0</v>
      </c>
      <c r="CM83" s="314" t="str">
        <f t="shared" si="157"/>
        <v/>
      </c>
      <c r="CN83" s="314">
        <f>IF($J83="",#N/A,SUM(CM$4:CM83))</f>
        <v>0</v>
      </c>
      <c r="CO83" s="315" t="str">
        <f t="shared" si="158"/>
        <v/>
      </c>
      <c r="CP83" s="315">
        <f>IF($J83="",#N/A,SUM(CO$4:CO83))</f>
        <v>-0.8814781582839023</v>
      </c>
      <c r="CQ83" s="315">
        <f>IF($J83="",#N/A,SUM(CO$4:CO83,CM$4:CM83,CK$4:CK83))</f>
        <v>-0.8814781582839023</v>
      </c>
      <c r="CR83" s="304" t="str">
        <f t="shared" si="159"/>
        <v/>
      </c>
      <c r="CS83" s="313">
        <f>IF($J83="",#N/A,SUM(CR$4:CR83))</f>
        <v>0</v>
      </c>
      <c r="CT83" s="314" t="str">
        <f t="shared" si="160"/>
        <v/>
      </c>
      <c r="CU83" s="314">
        <f>IF($J83="",#N/A,SUM(CT$4:CT83))</f>
        <v>-0.13081968772223007</v>
      </c>
      <c r="CV83" s="315" t="str">
        <f t="shared" si="161"/>
        <v/>
      </c>
      <c r="CW83" s="315">
        <f>IF($J83="",#N/A,SUM(CV$4:CV83))</f>
        <v>0.28156811782542707</v>
      </c>
      <c r="CX83" s="315">
        <f>IF($J83="",#N/A,SUM(CV$4:CV83,CT$4:CT83,CR$4:CR83))</f>
        <v>0.150748430103197</v>
      </c>
      <c r="CY83" s="304" t="str">
        <f t="shared" si="162"/>
        <v/>
      </c>
      <c r="CZ83" s="313">
        <f>IF($J83="",#N/A,SUM(CY$4:CY83))</f>
        <v>0</v>
      </c>
      <c r="DA83" s="314" t="str">
        <f t="shared" si="163"/>
        <v/>
      </c>
      <c r="DB83" s="314">
        <f>IF($J83="",#N/A,SUM(DA$4:DA83))</f>
        <v>0</v>
      </c>
      <c r="DC83" s="315" t="str">
        <f t="shared" si="164"/>
        <v/>
      </c>
      <c r="DD83" s="315">
        <f>IF($J83="",#N/A,SUM(DC$4:DC83))</f>
        <v>0</v>
      </c>
      <c r="DE83" s="315">
        <f>IF($J83="",#N/A,SUM(DC$4:DC83,DA$4:DA83,CY$4:CY83))</f>
        <v>0</v>
      </c>
      <c r="DF83" s="304" t="str">
        <f t="shared" si="165"/>
        <v/>
      </c>
      <c r="DG83" s="313">
        <f>IF($J83="",#N/A,SUM(DF$4:DF83))</f>
        <v>0</v>
      </c>
      <c r="DH83" s="314" t="str">
        <f t="shared" si="166"/>
        <v/>
      </c>
      <c r="DI83" s="314">
        <f>IF($J83="",#N/A,SUM(DH$4:DH83))</f>
        <v>0</v>
      </c>
      <c r="DJ83" s="315" t="str">
        <f t="shared" si="167"/>
        <v/>
      </c>
      <c r="DK83" s="315">
        <f>IF($J83="",#N/A,SUM(DJ$4:DJ83))</f>
        <v>0</v>
      </c>
      <c r="DL83" s="315">
        <f>IF($J83="",#N/A,SUM(DJ$4:DJ83,DH$4:DH83,DF$4:DF83))</f>
        <v>0</v>
      </c>
      <c r="DM83" s="304" t="str">
        <f t="shared" si="168"/>
        <v/>
      </c>
      <c r="DN83" s="313">
        <f>IF($J83="",#N/A,SUM(DM$4:DM83))</f>
        <v>0</v>
      </c>
      <c r="DO83" s="314" t="str">
        <f t="shared" si="169"/>
        <v/>
      </c>
      <c r="DP83" s="314">
        <f>IF($J83="",#N/A,SUM(DO$4:DO83))</f>
        <v>0.26077055863664694</v>
      </c>
      <c r="DQ83" s="315" t="str">
        <f t="shared" si="170"/>
        <v/>
      </c>
      <c r="DR83" s="315">
        <f>IF($J83="",#N/A,SUM(DQ$4:DQ83))</f>
        <v>0.95581641638640868</v>
      </c>
      <c r="DS83" s="315">
        <f>IF($J83="",#N/A,SUM(DQ$4:DQ83,DO$4:DO83,DM$4:DM83))</f>
        <v>1.2165869750230556</v>
      </c>
      <c r="DT83" s="304" t="str">
        <f t="shared" si="171"/>
        <v/>
      </c>
      <c r="DU83" s="313">
        <f>IF($J83="",#N/A,SUM(DT$4:DT83))</f>
        <v>0</v>
      </c>
      <c r="DV83" s="314" t="str">
        <f t="shared" si="172"/>
        <v/>
      </c>
      <c r="DW83" s="314">
        <f>IF($J83="",#N/A,SUM(DV$4:DV83))</f>
        <v>0.40085630512924314</v>
      </c>
      <c r="DX83" s="315" t="str">
        <f t="shared" si="173"/>
        <v/>
      </c>
      <c r="DY83" s="315">
        <f>IF($J83="",#N/A,SUM(DX$4:DX83))</f>
        <v>0.59674626127163555</v>
      </c>
      <c r="DZ83" s="315">
        <f>IF($J83="",#N/A,SUM(DX$4:DX83,DV$4:DV83,DT$4:DT83))</f>
        <v>0.99760256640087874</v>
      </c>
      <c r="EA83" s="304" t="str">
        <f t="shared" si="174"/>
        <v/>
      </c>
      <c r="EB83" s="313">
        <f>IF($J83="",#N/A,SUM(EA$4:EA83))</f>
        <v>0</v>
      </c>
      <c r="EC83" s="314" t="str">
        <f t="shared" si="175"/>
        <v/>
      </c>
      <c r="ED83" s="314">
        <f>IF($J83="",#N/A,SUM(EC$4:EC83))</f>
        <v>-0.47973811942657352</v>
      </c>
      <c r="EE83" s="315" t="str">
        <f t="shared" si="176"/>
        <v/>
      </c>
      <c r="EF83" s="315">
        <f>IF($J83="",#N/A,SUM(EE$4:EE83))</f>
        <v>0</v>
      </c>
      <c r="EG83" s="315">
        <f>IF($J83="",#N/A,SUM(EE$4:EE83,EC$4:EC83,EA$4:EA83))</f>
        <v>-0.47973811942657352</v>
      </c>
      <c r="EH83" s="130">
        <f t="shared" si="177"/>
        <v>11.659999999999968</v>
      </c>
      <c r="EI83" s="63">
        <f>IF(EH83="",#N/A,SUM($EH$4:EH83))</f>
        <v>445.315209449343</v>
      </c>
      <c r="EJ83" s="223">
        <f t="shared" si="178"/>
        <v>4.5199999999999818</v>
      </c>
      <c r="EK83" s="63">
        <f>IF($GZ83="",#N/A,SUM(EJ$4:EJ83))</f>
        <v>686.99334203522972</v>
      </c>
      <c r="EL83" s="60">
        <f t="shared" si="209"/>
        <v>0.3257237996267856</v>
      </c>
      <c r="EM83" s="60">
        <f>IF(EL83="",NA(),SUM($EL$4:EL83))</f>
        <v>17.802375822622736</v>
      </c>
      <c r="EN83" s="60">
        <f t="shared" si="179"/>
        <v>0.3257237996267856</v>
      </c>
      <c r="EO83" s="60">
        <f>IF(EN83="",NA(),SUM($EN$4:EN83))</f>
        <v>5.0105509606997058</v>
      </c>
      <c r="EP83" s="60" t="str">
        <f t="shared" si="180"/>
        <v/>
      </c>
      <c r="EQ83" s="60" t="e">
        <f>IF(EP83="",NA(),SUM($EP$4:EP83))</f>
        <v>#N/A</v>
      </c>
      <c r="ER83" s="60" t="str">
        <f t="shared" si="181"/>
        <v/>
      </c>
      <c r="ES83" s="60" t="e">
        <f>IF(ER83="",NA(),SUM($ER$4:ER83))</f>
        <v>#N/A</v>
      </c>
      <c r="ET83" s="60" t="str">
        <f t="shared" si="182"/>
        <v/>
      </c>
      <c r="EU83" s="60" t="e">
        <f>IF(ET83="",NA(),SUM($ET$4:ET83))</f>
        <v>#N/A</v>
      </c>
      <c r="EV83" s="60" t="str">
        <f t="shared" si="183"/>
        <v/>
      </c>
      <c r="EW83" s="60" t="e">
        <f>IF(EV83="",NA(),SUM($EV$4:EV83))</f>
        <v>#N/A</v>
      </c>
      <c r="EX83" s="60" t="str">
        <f t="shared" si="184"/>
        <v/>
      </c>
      <c r="EY83" s="60" t="e">
        <f>IF(EX83="",NA(),SUM($EX$4:EX83))</f>
        <v>#N/A</v>
      </c>
      <c r="EZ83" s="60" t="str">
        <f t="shared" si="185"/>
        <v/>
      </c>
      <c r="FA83" s="60" t="e">
        <f>IF(EZ83="",NA(),SUM($EZ$4:EZ83))</f>
        <v>#N/A</v>
      </c>
      <c r="FB83" s="246" t="str">
        <f t="shared" si="210"/>
        <v/>
      </c>
      <c r="FC83" s="246" t="e">
        <f>IF($FB83="",#N/A,SUM(FB$4:$FB83))</f>
        <v>#N/A</v>
      </c>
      <c r="FD83" s="60" t="str">
        <f t="shared" si="186"/>
        <v/>
      </c>
      <c r="FE83" s="60" t="e">
        <f>IF($FD83="",#N/A,SUM($FD$4:FD83))</f>
        <v>#N/A</v>
      </c>
      <c r="FF83" s="60">
        <f t="shared" si="187"/>
        <v>-0.19945694076631656</v>
      </c>
      <c r="FG83" s="60">
        <f>IF($FF83="",#N/A,SUM($FF$4:FF83))</f>
        <v>3.1336014545037156</v>
      </c>
      <c r="FH83" s="60" t="str">
        <f t="shared" si="188"/>
        <v/>
      </c>
      <c r="FI83" s="60" t="e">
        <f>IF($FH83="",#N/A,SUM($FH$4:FH83))</f>
        <v>#N/A</v>
      </c>
      <c r="FJ83" s="60" t="str">
        <f t="shared" si="189"/>
        <v/>
      </c>
      <c r="FK83" s="60" t="e">
        <f>IF($FJ83="",#N/A,SUM($FJ$4:FJ83))</f>
        <v>#N/A</v>
      </c>
      <c r="FL83" s="60" t="str">
        <f t="shared" si="190"/>
        <v/>
      </c>
      <c r="FM83" s="60" t="e">
        <f>IF($FL83="",#N/A,SUM($FL$4:FL83))</f>
        <v>#N/A</v>
      </c>
      <c r="FN83" s="82">
        <f t="shared" si="191"/>
        <v>0.12626685886046904</v>
      </c>
      <c r="FO83" s="82">
        <f>IF($FN83="",#N/A,SUM(FN$4:$FN83))</f>
        <v>27.723638891565489</v>
      </c>
      <c r="FP83" s="82">
        <f t="shared" si="211"/>
        <v>0.3257237996267856</v>
      </c>
      <c r="FQ83" s="246">
        <f>IF($EH83="",#N/A,SUM($FP$4:FP83))</f>
        <v>17.802375822622736</v>
      </c>
      <c r="FR83" s="82">
        <f>IFERROR(FQ83/COUNTA($J$4:J83),#N/A)</f>
        <v>0.2225296977827842</v>
      </c>
      <c r="FS83" s="82">
        <f t="shared" si="216"/>
        <v>0.13325943353368053</v>
      </c>
      <c r="FT83" s="82">
        <f>IFERROR(($FQ83-$FQ62)/COUNTA($J62:$J83),#N/A)</f>
        <v>0.151641686162126</v>
      </c>
      <c r="FU83" s="337">
        <f t="shared" si="113"/>
        <v>2.602787566662867</v>
      </c>
      <c r="FV83" s="57" t="str">
        <f t="shared" si="192"/>
        <v>Up</v>
      </c>
      <c r="FW83" s="57" t="s">
        <v>2733</v>
      </c>
      <c r="FX83" s="57">
        <f t="shared" si="193"/>
        <v>1</v>
      </c>
      <c r="FY83" s="57" t="str">
        <f t="shared" si="194"/>
        <v/>
      </c>
      <c r="FZ83" s="57" t="str">
        <f t="shared" si="195"/>
        <v/>
      </c>
      <c r="GA83" s="57" t="str">
        <f t="shared" si="196"/>
        <v>Long</v>
      </c>
      <c r="GB83" s="57" t="str">
        <f t="shared" si="197"/>
        <v/>
      </c>
      <c r="GC83" s="57" t="str">
        <f t="shared" si="198"/>
        <v/>
      </c>
      <c r="GD83" s="57" t="str">
        <f t="shared" si="199"/>
        <v/>
      </c>
      <c r="GE83" s="62">
        <f t="shared" si="114"/>
        <v>298.31</v>
      </c>
      <c r="GF83" s="62" t="s">
        <v>2779</v>
      </c>
      <c r="GG83" s="199">
        <v>2</v>
      </c>
      <c r="GH83" s="207">
        <f t="shared" si="200"/>
        <v>596.62</v>
      </c>
      <c r="GI83" s="199">
        <v>2</v>
      </c>
      <c r="GJ83" s="200">
        <f t="shared" si="217"/>
        <v>304.14</v>
      </c>
      <c r="GK83" s="63">
        <f t="shared" si="201"/>
        <v>11.659999999999968</v>
      </c>
      <c r="GL83" s="63">
        <f t="shared" si="115"/>
        <v>4.5199999999999818</v>
      </c>
      <c r="GM83" s="82" t="str">
        <f t="shared" si="202"/>
        <v/>
      </c>
      <c r="GN83" s="82">
        <f>IF($GZ83="",#N/A,SUM(GM$4:GM83))</f>
        <v>11.710168195863725</v>
      </c>
      <c r="GO83" s="82">
        <f t="shared" si="203"/>
        <v>0.12626685886046904</v>
      </c>
      <c r="GP83" s="82">
        <f>IF($GZ83="",#N/A,SUM(GO$4:GO83))</f>
        <v>9.8118872843915792</v>
      </c>
      <c r="GQ83" s="82" t="str">
        <f t="shared" si="204"/>
        <v/>
      </c>
      <c r="GR83" s="82">
        <f>IF($GZ83="",#N/A,SUM(GQ$4:GQ83))</f>
        <v>5.5757464568678348</v>
      </c>
      <c r="GS83" s="63" t="str">
        <f t="shared" si="212"/>
        <v/>
      </c>
      <c r="GT83" s="63">
        <f>IF($GZ83="",#N/A,SUM(GS$4:GS83))</f>
        <v>267.07992882574212</v>
      </c>
      <c r="GU83" s="63">
        <f t="shared" si="213"/>
        <v>4.5199999999999818</v>
      </c>
      <c r="GV83" s="63">
        <f>IF($GZ83="",#N/A,SUM(GU$4:GU83))</f>
        <v>261.25289430539283</v>
      </c>
      <c r="GW83" s="63" t="str">
        <f t="shared" si="214"/>
        <v/>
      </c>
      <c r="GX83" s="63">
        <f>IF($GZ83="",#N/A,SUM(GW$4:GW83))</f>
        <v>144.92051890409476</v>
      </c>
      <c r="GY83" s="63">
        <f>IF(EJ83="",#N/A,SUM($EJ$4:EJ83))</f>
        <v>686.99334203522972</v>
      </c>
      <c r="GZ83" s="159">
        <v>300.57</v>
      </c>
      <c r="HA83" s="63">
        <f t="shared" si="205"/>
        <v>-7.1399999999999864</v>
      </c>
      <c r="HB83" s="62" t="s">
        <v>4735</v>
      </c>
      <c r="HC83" s="60">
        <f>IFERROR(VLOOKUP(E83,Expectancy!$P$4:$S$19,1+C83,FALSE),"")</f>
        <v>-4.1762476788754908E-2</v>
      </c>
      <c r="HD83" s="82">
        <f t="shared" si="206"/>
        <v>0.12626685886046904</v>
      </c>
      <c r="HE83" s="60">
        <f>IF(HD83="",#N/A,SUM($HD$4:HD83))</f>
        <v>0.66958825595987048</v>
      </c>
      <c r="HF83" s="85">
        <f>IF(HD83="",#N/A,IF(HB83="Skip",#N/A,SUM($HG$4:HG83)))</f>
        <v>23.25</v>
      </c>
      <c r="HG83" s="63">
        <f t="shared" si="207"/>
        <v>4.5199999999999818</v>
      </c>
      <c r="HH83" s="82">
        <f t="shared" si="208"/>
        <v>0.12626685886046904</v>
      </c>
      <c r="HK83" s="630" t="s">
        <v>6522</v>
      </c>
      <c r="HL83" s="1">
        <f>AVERAGEIF($HH$4:$HH$448,"&lt;0")</f>
        <v>-0.89066535888357401</v>
      </c>
    </row>
    <row r="84" spans="1:220" x14ac:dyDescent="0.25">
      <c r="A84" s="57" t="s">
        <v>1380</v>
      </c>
      <c r="B84" s="58" t="s">
        <v>5142</v>
      </c>
      <c r="C84" s="386">
        <f t="shared" si="118"/>
        <v>2</v>
      </c>
      <c r="D84" s="372" t="str">
        <f>_xlfn.XLOOKUP(A84,[1]SP500!$A$2:$A$502,[1]SP500!$D$2:$D$502,"N")</f>
        <v>Y</v>
      </c>
      <c r="E84" s="57" t="str">
        <f>_xlfn.XLOOKUP(A84,[1]SP500!$A$2:$A$655,[1]SP500!$B$2:$B$655)</f>
        <v>XLI</v>
      </c>
      <c r="F84" s="59">
        <v>45686</v>
      </c>
      <c r="G84" s="57" t="str">
        <f t="shared" si="119"/>
        <v>BMO</v>
      </c>
      <c r="H84" s="57" t="str">
        <f t="shared" si="120"/>
        <v>s</v>
      </c>
      <c r="I84" s="159">
        <v>262.57</v>
      </c>
      <c r="J84" s="159">
        <v>253.82</v>
      </c>
      <c r="K84" s="61">
        <f t="shared" si="121"/>
        <v>-3.3324446814182888E-2</v>
      </c>
      <c r="L84" s="87">
        <f t="shared" si="122"/>
        <v>17.5</v>
      </c>
      <c r="M84" s="130" t="e">
        <f t="shared" si="112"/>
        <v>#N/A</v>
      </c>
      <c r="N84" s="169" t="str">
        <f t="shared" si="123"/>
        <v/>
      </c>
      <c r="O84" s="169">
        <f>IF($J84="",#N/A,SUM($N$4:N84))</f>
        <v>145.29894778873</v>
      </c>
      <c r="P84" s="174">
        <f t="shared" si="124"/>
        <v>17.5</v>
      </c>
      <c r="Q84" s="174">
        <f>IF($J84="",#N/A,SUM($P$4:P84))</f>
        <v>79.036464916880902</v>
      </c>
      <c r="R84" s="178" t="str">
        <f t="shared" si="125"/>
        <v/>
      </c>
      <c r="S84" s="178">
        <f>IF($J84="",#N/A,SUM($R$4:R84))</f>
        <v>238.47979674373209</v>
      </c>
      <c r="T84" s="290" t="str">
        <f t="shared" si="126"/>
        <v/>
      </c>
      <c r="U84" s="290">
        <f>IF($J84="",#N/A,SUM($T$4:T84))</f>
        <v>5.0105509606997058</v>
      </c>
      <c r="V84" s="291">
        <f t="shared" si="127"/>
        <v>0.55540744690304811</v>
      </c>
      <c r="W84" s="291">
        <f>IF($J84="",#N/A,SUM($V$4:V84))</f>
        <v>2.9451096097899687</v>
      </c>
      <c r="X84" s="292" t="str">
        <f t="shared" si="128"/>
        <v/>
      </c>
      <c r="Y84" s="283">
        <f>IF($J84="",#N/A,SUM($X$4:X84))</f>
        <v>10.402122699036102</v>
      </c>
      <c r="Z84" s="304" t="str">
        <f t="shared" si="129"/>
        <v/>
      </c>
      <c r="AA84" s="313">
        <f>IF($J84="",#N/A,SUM(Z$4:Z84))</f>
        <v>3.4310096157378052</v>
      </c>
      <c r="AB84" s="314" t="str">
        <f t="shared" si="130"/>
        <v/>
      </c>
      <c r="AC84" s="314">
        <f>IF($J84="",#N/A,SUM(AB$4:AB84))</f>
        <v>0</v>
      </c>
      <c r="AD84" s="315" t="str">
        <f t="shared" si="131"/>
        <v/>
      </c>
      <c r="AE84" s="315">
        <f>IF($J84="",#N/A,SUM(AD$4:AD84))</f>
        <v>1.5553407757049009</v>
      </c>
      <c r="AF84" s="315">
        <f>IF($J84="",#N/A,SUM(AD$4:AD84,AB$4:AB84,Z$4:Z84))</f>
        <v>4.9863503914427056</v>
      </c>
      <c r="AG84" s="304" t="str">
        <f t="shared" si="132"/>
        <v/>
      </c>
      <c r="AH84" s="313">
        <f>IF($J84="",#N/A,SUM(AG$4:AG84))</f>
        <v>0</v>
      </c>
      <c r="AI84" s="314" t="str">
        <f t="shared" si="133"/>
        <v/>
      </c>
      <c r="AJ84" s="314">
        <f>IF($J84="",#N/A,SUM(AI$4:AI84))</f>
        <v>0</v>
      </c>
      <c r="AK84" s="315" t="str">
        <f t="shared" si="134"/>
        <v/>
      </c>
      <c r="AL84" s="315">
        <f>IF($J84="",#N/A,SUM(AK$4:AK84))</f>
        <v>0</v>
      </c>
      <c r="AM84" s="315">
        <f>IF($J84="",#N/A,SUM(AK$4:AK84,AI$4:AI84,AG$4:AG84))</f>
        <v>0</v>
      </c>
      <c r="AN84" s="304" t="str">
        <f t="shared" si="135"/>
        <v/>
      </c>
      <c r="AO84" s="313">
        <f>IF($J84="",#N/A,SUM(AN$4:AN84))</f>
        <v>-0.49683555963321635</v>
      </c>
      <c r="AP84" s="314" t="str">
        <f t="shared" si="136"/>
        <v/>
      </c>
      <c r="AQ84" s="314">
        <f>IF($J84="",#N/A,SUM(AP$4:AP84))</f>
        <v>0</v>
      </c>
      <c r="AR84" s="315" t="str">
        <f t="shared" si="137"/>
        <v/>
      </c>
      <c r="AS84" s="315">
        <f>IF($J84="",#N/A,SUM(AR$4:AR84))</f>
        <v>0.38010822295256225</v>
      </c>
      <c r="AT84" s="315">
        <f>IF($J84="",#N/A,SUM(AR$4:AR84,AP$4:AP84,AN$4:AN84))</f>
        <v>-0.11672733668065405</v>
      </c>
      <c r="AU84" s="304" t="str">
        <f t="shared" si="138"/>
        <v/>
      </c>
      <c r="AV84" s="313">
        <f>IF($J84="",#N/A,SUM(AU$4:AU84))</f>
        <v>0</v>
      </c>
      <c r="AW84" s="314" t="str">
        <f t="shared" si="139"/>
        <v/>
      </c>
      <c r="AX84" s="314">
        <f>IF($J84="",#N/A,SUM(AW$4:AW84))</f>
        <v>1.2049246466562569</v>
      </c>
      <c r="AY84" s="315" t="str">
        <f t="shared" si="140"/>
        <v/>
      </c>
      <c r="AZ84" s="315">
        <f>IF($J84="",#N/A,SUM(AY$4:AY84))</f>
        <v>2.2170930216497844</v>
      </c>
      <c r="BA84" s="315">
        <f>IF($J84="",#N/A,SUM(AY$4:AY84,AW$4:AW84,AU$4:AU84))</f>
        <v>3.422017668306041</v>
      </c>
      <c r="BB84" s="304" t="str">
        <f t="shared" si="141"/>
        <v/>
      </c>
      <c r="BC84" s="313">
        <f>IF($J84="",#N/A,SUM(BB$4:BB84))</f>
        <v>0.57218309859154926</v>
      </c>
      <c r="BD84" s="314" t="str">
        <f t="shared" si="142"/>
        <v/>
      </c>
      <c r="BE84" s="314">
        <f>IF($J84="",#N/A,SUM(BD$4:BD84))</f>
        <v>-0.39561000510464578</v>
      </c>
      <c r="BF84" s="315" t="str">
        <f t="shared" si="143"/>
        <v/>
      </c>
      <c r="BG84" s="315">
        <f>IF($J84="",#N/A,SUM(BF$4:BF84))</f>
        <v>3.730405235810978</v>
      </c>
      <c r="BH84" s="315">
        <f>IF($J84="",#N/A,SUM(BF$4:BF84,BD$4:BD84,BB$4:BB84))</f>
        <v>3.9069783292978819</v>
      </c>
      <c r="BI84" s="304" t="str">
        <f t="shared" si="144"/>
        <v/>
      </c>
      <c r="BJ84" s="313">
        <f>IF($J84="",#N/A,SUM(BI$4:BI84))</f>
        <v>-1.5356143908855402</v>
      </c>
      <c r="BK84" s="314" t="str">
        <f t="shared" si="145"/>
        <v/>
      </c>
      <c r="BL84" s="314">
        <f>IF($J84="",#N/A,SUM(BK$4:BK84))</f>
        <v>0</v>
      </c>
      <c r="BM84" s="315" t="str">
        <f t="shared" si="146"/>
        <v/>
      </c>
      <c r="BN84" s="315">
        <f>IF($J84="",#N/A,SUM(BM$4:BM84))</f>
        <v>4.7600631121019816</v>
      </c>
      <c r="BO84" s="315">
        <f>IF($J84="",#N/A,SUM(BM$4:BM84,BK$4:BK84,BI$4:BI84))</f>
        <v>3.224448721216441</v>
      </c>
      <c r="BP84" s="304" t="str">
        <f t="shared" si="147"/>
        <v/>
      </c>
      <c r="BQ84" s="313">
        <f>IF($J84="",#N/A,SUM(BP$4:BP84))</f>
        <v>3.7725654012396492</v>
      </c>
      <c r="BR84" s="314">
        <f t="shared" si="148"/>
        <v>0.55540744690304811</v>
      </c>
      <c r="BS84" s="314">
        <f>IF($J84="",#N/A,SUM(BR$4:BR84))</f>
        <v>1.2000175729313736</v>
      </c>
      <c r="BT84" s="315" t="str">
        <f t="shared" si="149"/>
        <v/>
      </c>
      <c r="BU84" s="315">
        <f>IF($J84="",#N/A,SUM(BT$4:BT84))</f>
        <v>-0.33591272342648226</v>
      </c>
      <c r="BV84" s="315">
        <f>IF($J84="",#N/A,SUM(BT$4:BT84,BR$4:BR84,BP$4:BP84))</f>
        <v>4.6366702507445403</v>
      </c>
      <c r="BW84" s="304" t="str">
        <f t="shared" si="150"/>
        <v/>
      </c>
      <c r="BX84" s="313">
        <f>IF($J84="",#N/A,SUM(BW$4:BW84))</f>
        <v>-0.73275720435053893</v>
      </c>
      <c r="BY84" s="314" t="str">
        <f t="shared" si="151"/>
        <v/>
      </c>
      <c r="BZ84" s="314">
        <f>IF($J84="",#N/A,SUM(BY$4:BY84))</f>
        <v>0.46686916413544804</v>
      </c>
      <c r="CA84" s="315" t="str">
        <f t="shared" si="152"/>
        <v/>
      </c>
      <c r="CB84" s="315">
        <f>IF($J84="",#N/A,SUM(CA$4:CA84))</f>
        <v>-1.3212929569860741</v>
      </c>
      <c r="CC84" s="315">
        <f>IF($J84="",#N/A,SUM(CA$4:CA84,BY$4:BY84,BW$4:BW84))</f>
        <v>-1.5871809972011648</v>
      </c>
      <c r="CD84" s="304" t="str">
        <f t="shared" si="153"/>
        <v/>
      </c>
      <c r="CE84" s="313">
        <f>IF($J84="",#N/A,SUM(CD$4:CD84))</f>
        <v>0</v>
      </c>
      <c r="CF84" s="314" t="str">
        <f t="shared" si="154"/>
        <v/>
      </c>
      <c r="CG84" s="314">
        <f>IF($J84="",#N/A,SUM(CF$4:CF84))</f>
        <v>0.41783917455444924</v>
      </c>
      <c r="CH84" s="315" t="str">
        <f t="shared" si="155"/>
        <v/>
      </c>
      <c r="CI84" s="315">
        <f>IF($J84="",#N/A,SUM(CH$4:CH84))</f>
        <v>-1.5363346259711188</v>
      </c>
      <c r="CJ84" s="315">
        <f>IF($J84="",#N/A,SUM(CH$4:CH84,CF$4:CF84,CD$4:CD84))</f>
        <v>-1.1184954514166696</v>
      </c>
      <c r="CK84" s="304" t="str">
        <f t="shared" si="156"/>
        <v/>
      </c>
      <c r="CL84" s="313">
        <f>IF($J84="",#N/A,SUM(CK$4:CK84))</f>
        <v>0</v>
      </c>
      <c r="CM84" s="314" t="str">
        <f t="shared" si="157"/>
        <v/>
      </c>
      <c r="CN84" s="314">
        <f>IF($J84="",#N/A,SUM(CM$4:CM84))</f>
        <v>0</v>
      </c>
      <c r="CO84" s="315" t="str">
        <f t="shared" si="158"/>
        <v/>
      </c>
      <c r="CP84" s="315">
        <f>IF($J84="",#N/A,SUM(CO$4:CO84))</f>
        <v>-0.8814781582839023</v>
      </c>
      <c r="CQ84" s="315">
        <f>IF($J84="",#N/A,SUM(CO$4:CO84,CM$4:CM84,CK$4:CK84))</f>
        <v>-0.8814781582839023</v>
      </c>
      <c r="CR84" s="304" t="str">
        <f t="shared" si="159"/>
        <v/>
      </c>
      <c r="CS84" s="313">
        <f>IF($J84="",#N/A,SUM(CR$4:CR84))</f>
        <v>0</v>
      </c>
      <c r="CT84" s="314" t="str">
        <f t="shared" si="160"/>
        <v/>
      </c>
      <c r="CU84" s="314">
        <f>IF($J84="",#N/A,SUM(CT$4:CT84))</f>
        <v>-0.13081968772223007</v>
      </c>
      <c r="CV84" s="315" t="str">
        <f t="shared" si="161"/>
        <v/>
      </c>
      <c r="CW84" s="315">
        <f>IF($J84="",#N/A,SUM(CV$4:CV84))</f>
        <v>0.28156811782542707</v>
      </c>
      <c r="CX84" s="315">
        <f>IF($J84="",#N/A,SUM(CV$4:CV84,CT$4:CT84,CR$4:CR84))</f>
        <v>0.150748430103197</v>
      </c>
      <c r="CY84" s="304" t="str">
        <f t="shared" si="162"/>
        <v/>
      </c>
      <c r="CZ84" s="313">
        <f>IF($J84="",#N/A,SUM(CY$4:CY84))</f>
        <v>0</v>
      </c>
      <c r="DA84" s="314" t="str">
        <f t="shared" si="163"/>
        <v/>
      </c>
      <c r="DB84" s="314">
        <f>IF($J84="",#N/A,SUM(DA$4:DA84))</f>
        <v>0</v>
      </c>
      <c r="DC84" s="315" t="str">
        <f t="shared" si="164"/>
        <v/>
      </c>
      <c r="DD84" s="315">
        <f>IF($J84="",#N/A,SUM(DC$4:DC84))</f>
        <v>0</v>
      </c>
      <c r="DE84" s="315">
        <f>IF($J84="",#N/A,SUM(DC$4:DC84,DA$4:DA84,CY$4:CY84))</f>
        <v>0</v>
      </c>
      <c r="DF84" s="304" t="str">
        <f t="shared" si="165"/>
        <v/>
      </c>
      <c r="DG84" s="313">
        <f>IF($J84="",#N/A,SUM(DF$4:DF84))</f>
        <v>0</v>
      </c>
      <c r="DH84" s="314" t="str">
        <f t="shared" si="166"/>
        <v/>
      </c>
      <c r="DI84" s="314">
        <f>IF($J84="",#N/A,SUM(DH$4:DH84))</f>
        <v>0</v>
      </c>
      <c r="DJ84" s="315" t="str">
        <f t="shared" si="167"/>
        <v/>
      </c>
      <c r="DK84" s="315">
        <f>IF($J84="",#N/A,SUM(DJ$4:DJ84))</f>
        <v>0</v>
      </c>
      <c r="DL84" s="315">
        <f>IF($J84="",#N/A,SUM(DJ$4:DJ84,DH$4:DH84,DF$4:DF84))</f>
        <v>0</v>
      </c>
      <c r="DM84" s="304" t="str">
        <f t="shared" si="168"/>
        <v/>
      </c>
      <c r="DN84" s="313">
        <f>IF($J84="",#N/A,SUM(DM$4:DM84))</f>
        <v>0</v>
      </c>
      <c r="DO84" s="314" t="str">
        <f t="shared" si="169"/>
        <v/>
      </c>
      <c r="DP84" s="314">
        <f>IF($J84="",#N/A,SUM(DO$4:DO84))</f>
        <v>0.26077055863664694</v>
      </c>
      <c r="DQ84" s="315" t="str">
        <f t="shared" si="170"/>
        <v/>
      </c>
      <c r="DR84" s="315">
        <f>IF($J84="",#N/A,SUM(DQ$4:DQ84))</f>
        <v>0.95581641638640868</v>
      </c>
      <c r="DS84" s="315">
        <f>IF($J84="",#N/A,SUM(DQ$4:DQ84,DO$4:DO84,DM$4:DM84))</f>
        <v>1.2165869750230556</v>
      </c>
      <c r="DT84" s="304" t="str">
        <f t="shared" si="171"/>
        <v/>
      </c>
      <c r="DU84" s="313">
        <f>IF($J84="",#N/A,SUM(DT$4:DT84))</f>
        <v>0</v>
      </c>
      <c r="DV84" s="314" t="str">
        <f t="shared" si="172"/>
        <v/>
      </c>
      <c r="DW84" s="314">
        <f>IF($J84="",#N/A,SUM(DV$4:DV84))</f>
        <v>0.40085630512924314</v>
      </c>
      <c r="DX84" s="315" t="str">
        <f t="shared" si="173"/>
        <v/>
      </c>
      <c r="DY84" s="315">
        <f>IF($J84="",#N/A,SUM(DX$4:DX84))</f>
        <v>0.59674626127163555</v>
      </c>
      <c r="DZ84" s="315">
        <f>IF($J84="",#N/A,SUM(DX$4:DX84,DV$4:DV84,DT$4:DT84))</f>
        <v>0.99760256640087874</v>
      </c>
      <c r="EA84" s="304" t="str">
        <f t="shared" si="174"/>
        <v/>
      </c>
      <c r="EB84" s="313">
        <f>IF($J84="",#N/A,SUM(EA$4:EA84))</f>
        <v>0</v>
      </c>
      <c r="EC84" s="314" t="str">
        <f t="shared" si="175"/>
        <v/>
      </c>
      <c r="ED84" s="314">
        <f>IF($J84="",#N/A,SUM(EC$4:EC84))</f>
        <v>-0.47973811942657352</v>
      </c>
      <c r="EE84" s="315" t="str">
        <f t="shared" si="176"/>
        <v/>
      </c>
      <c r="EF84" s="315">
        <f>IF($J84="",#N/A,SUM(EE$4:EE84))</f>
        <v>0</v>
      </c>
      <c r="EG84" s="315">
        <f>IF($J84="",#N/A,SUM(EE$4:EE84,EC$4:EC84,EA$4:EA84))</f>
        <v>-0.47973811942657352</v>
      </c>
      <c r="EH84" s="130">
        <f t="shared" si="177"/>
        <v>17.5</v>
      </c>
      <c r="EI84" s="63">
        <f>IF(EH84="",#N/A,SUM($EH$4:EH84))</f>
        <v>462.815209449343</v>
      </c>
      <c r="EJ84" s="223">
        <f t="shared" si="178"/>
        <v>22.240000000000009</v>
      </c>
      <c r="EK84" s="63">
        <f>IF($GZ84="",#N/A,SUM(EJ$4:EJ84))</f>
        <v>709.23334203522973</v>
      </c>
      <c r="EL84" s="60">
        <f t="shared" si="209"/>
        <v>0.55540744690304811</v>
      </c>
      <c r="EM84" s="60">
        <f>IF(EL84="",NA(),SUM($EL$4:EL84))</f>
        <v>18.357783269525783</v>
      </c>
      <c r="EN84" s="60" t="str">
        <f t="shared" si="179"/>
        <v/>
      </c>
      <c r="EO84" s="60" t="e">
        <f>IF(EN84="",NA(),SUM($EN$4:EN84))</f>
        <v>#N/A</v>
      </c>
      <c r="EP84" s="60" t="str">
        <f t="shared" si="180"/>
        <v/>
      </c>
      <c r="EQ84" s="60" t="e">
        <f>IF(EP84="",NA(),SUM($EP$4:EP84))</f>
        <v>#N/A</v>
      </c>
      <c r="ER84" s="60">
        <f t="shared" si="181"/>
        <v>0.55540744690304811</v>
      </c>
      <c r="ES84" s="60">
        <f>IF(ER84="",NA(),SUM($ER$4:ER84))</f>
        <v>2.9451096097899687</v>
      </c>
      <c r="ET84" s="60" t="str">
        <f t="shared" si="182"/>
        <v/>
      </c>
      <c r="EU84" s="60" t="e">
        <f>IF(ET84="",NA(),SUM($ET$4:ET84))</f>
        <v>#N/A</v>
      </c>
      <c r="EV84" s="60" t="str">
        <f t="shared" si="183"/>
        <v/>
      </c>
      <c r="EW84" s="60" t="e">
        <f>IF(EV84="",NA(),SUM($EV$4:EV84))</f>
        <v>#N/A</v>
      </c>
      <c r="EX84" s="60" t="str">
        <f t="shared" si="184"/>
        <v/>
      </c>
      <c r="EY84" s="60" t="e">
        <f>IF(EX84="",NA(),SUM($EX$4:EX84))</f>
        <v>#N/A</v>
      </c>
      <c r="EZ84" s="60" t="str">
        <f t="shared" si="185"/>
        <v/>
      </c>
      <c r="FA84" s="60" t="e">
        <f>IF(EZ84="",NA(),SUM($EZ$4:EZ84))</f>
        <v>#N/A</v>
      </c>
      <c r="FB84" s="246">
        <f t="shared" si="210"/>
        <v>0.15043607418974014</v>
      </c>
      <c r="FC84" s="246">
        <f>IF($FB84="",#N/A,SUM(FB$4:$FB84))</f>
        <v>2.4187467259579312</v>
      </c>
      <c r="FD84" s="60" t="str">
        <f t="shared" si="186"/>
        <v/>
      </c>
      <c r="FE84" s="60" t="e">
        <f>IF($FD84="",#N/A,SUM($FD$4:FD84))</f>
        <v>#N/A</v>
      </c>
      <c r="FF84" s="60" t="str">
        <f t="shared" si="187"/>
        <v/>
      </c>
      <c r="FG84" s="60" t="e">
        <f>IF($FF84="",#N/A,SUM($FF$4:FF84))</f>
        <v>#N/A</v>
      </c>
      <c r="FH84" s="60" t="str">
        <f t="shared" si="188"/>
        <v/>
      </c>
      <c r="FI84" s="60" t="e">
        <f>IF($FH84="",#N/A,SUM($FH$4:FH84))</f>
        <v>#N/A</v>
      </c>
      <c r="FJ84" s="60" t="str">
        <f t="shared" si="189"/>
        <v/>
      </c>
      <c r="FK84" s="60" t="e">
        <f>IF($FJ84="",#N/A,SUM($FJ$4:FJ84))</f>
        <v>#N/A</v>
      </c>
      <c r="FL84" s="60" t="str">
        <f t="shared" si="190"/>
        <v/>
      </c>
      <c r="FM84" s="60" t="e">
        <f>IF($FL84="",#N/A,SUM($FL$4:FL84))</f>
        <v>#N/A</v>
      </c>
      <c r="FN84" s="82">
        <f t="shared" si="191"/>
        <v>0.70584352109278825</v>
      </c>
      <c r="FO84" s="82">
        <f>IF($FN84="",#N/A,SUM(FN$4:$FN84))</f>
        <v>28.429482412658277</v>
      </c>
      <c r="FP84" s="82">
        <f t="shared" si="211"/>
        <v>0.55540744690304811</v>
      </c>
      <c r="FQ84" s="246">
        <f>IF($EH84="",#N/A,SUM($FP$4:FP84))</f>
        <v>18.357783269525783</v>
      </c>
      <c r="FR84" s="82">
        <f>IFERROR(FQ84/COUNTA($J$4:J84),#N/A)</f>
        <v>0.2266392996237751</v>
      </c>
      <c r="FS84" s="82">
        <f t="shared" si="216"/>
        <v>0.13314008594684595</v>
      </c>
      <c r="FT84" s="82">
        <f>IFERROR(($FQ84-$FQ63)/COUNTA($J63:$J84),#N/A)</f>
        <v>0.16831698194573272</v>
      </c>
      <c r="FU84" s="337">
        <f t="shared" si="113"/>
        <v>2.4523514924731256</v>
      </c>
      <c r="FV84" s="57" t="str">
        <f t="shared" si="192"/>
        <v>Dwn</v>
      </c>
      <c r="FW84" s="57" t="s">
        <v>2733</v>
      </c>
      <c r="FX84" s="57" t="str">
        <f t="shared" si="193"/>
        <v/>
      </c>
      <c r="FY84" s="57" t="str">
        <f t="shared" si="194"/>
        <v/>
      </c>
      <c r="FZ84" s="57" t="str">
        <f t="shared" si="195"/>
        <v/>
      </c>
      <c r="GA84" s="57" t="str">
        <f t="shared" si="196"/>
        <v>Short</v>
      </c>
      <c r="GB84" s="57">
        <f t="shared" si="197"/>
        <v>1</v>
      </c>
      <c r="GC84" s="57" t="str">
        <f t="shared" si="198"/>
        <v/>
      </c>
      <c r="GD84" s="57" t="str">
        <f t="shared" si="199"/>
        <v/>
      </c>
      <c r="GE84" s="62">
        <f t="shared" si="114"/>
        <v>262.57</v>
      </c>
      <c r="GF84" s="62" t="s">
        <v>2780</v>
      </c>
      <c r="GG84" s="199">
        <v>2</v>
      </c>
      <c r="GH84" s="207">
        <f t="shared" si="200"/>
        <v>525.14</v>
      </c>
      <c r="GI84" s="199">
        <v>2</v>
      </c>
      <c r="GJ84" s="200">
        <f t="shared" si="217"/>
        <v>253.82</v>
      </c>
      <c r="GK84" s="63">
        <f t="shared" si="201"/>
        <v>17.5</v>
      </c>
      <c r="GL84" s="63">
        <f t="shared" si="115"/>
        <v>22.240000000000009</v>
      </c>
      <c r="GM84" s="82" t="str">
        <f t="shared" si="202"/>
        <v/>
      </c>
      <c r="GN84" s="82">
        <f>IF($GZ84="",#N/A,SUM(GM$4:GM84))</f>
        <v>11.710168195863725</v>
      </c>
      <c r="GO84" s="82" t="str">
        <f t="shared" si="203"/>
        <v/>
      </c>
      <c r="GP84" s="82">
        <f>IF($GZ84="",#N/A,SUM(GO$4:GO84))</f>
        <v>9.8118872843915792</v>
      </c>
      <c r="GQ84" s="82">
        <f t="shared" si="204"/>
        <v>0.70584352109278825</v>
      </c>
      <c r="GR84" s="82">
        <f>IF($GZ84="",#N/A,SUM(GQ$4:GQ84))</f>
        <v>6.281589977960623</v>
      </c>
      <c r="GS84" s="63" t="str">
        <f t="shared" si="212"/>
        <v/>
      </c>
      <c r="GT84" s="63">
        <f>IF($GZ84="",#N/A,SUM(GS$4:GS84))</f>
        <v>267.07992882574212</v>
      </c>
      <c r="GU84" s="63" t="str">
        <f t="shared" si="213"/>
        <v/>
      </c>
      <c r="GV84" s="63">
        <f>IF($GZ84="",#N/A,SUM(GU$4:GU84))</f>
        <v>261.25289430539283</v>
      </c>
      <c r="GW84" s="63">
        <f t="shared" si="214"/>
        <v>22.240000000000009</v>
      </c>
      <c r="GX84" s="63">
        <f>IF($GZ84="",#N/A,SUM(GW$4:GW84))</f>
        <v>167.16051890409477</v>
      </c>
      <c r="GY84" s="63">
        <f>IF(EJ84="",#N/A,SUM($EJ$4:EJ84))</f>
        <v>709.23334203522973</v>
      </c>
      <c r="GZ84" s="159">
        <v>251.45</v>
      </c>
      <c r="HA84" s="63">
        <f t="shared" si="205"/>
        <v>4.7400000000000091</v>
      </c>
      <c r="HB84" s="62" t="s">
        <v>4735</v>
      </c>
      <c r="HC84" s="60">
        <f>IFERROR(VLOOKUP(E84,Expectancy!$P$4:$S$19,1+C84,FALSE),"")</f>
        <v>0.3117803024854584</v>
      </c>
      <c r="HD84" s="82">
        <f t="shared" si="206"/>
        <v>0.70584352109278825</v>
      </c>
      <c r="HE84" s="60">
        <f>IF(HD84="",#N/A,SUM($HD$4:HD84))</f>
        <v>1.3754317770526587</v>
      </c>
      <c r="HF84" s="85">
        <f>IF(HD84="",#N/A,IF(HB84="Skip",#N/A,SUM($HG$4:HG84)))</f>
        <v>45.490000000000009</v>
      </c>
      <c r="HG84" s="63">
        <f t="shared" si="207"/>
        <v>22.240000000000009</v>
      </c>
      <c r="HH84" s="82">
        <f t="shared" si="208"/>
        <v>0.70584352109278825</v>
      </c>
    </row>
    <row r="85" spans="1:220" x14ac:dyDescent="0.25">
      <c r="A85" s="57" t="s">
        <v>1402</v>
      </c>
      <c r="B85" s="58" t="s">
        <v>5143</v>
      </c>
      <c r="C85" s="386">
        <f t="shared" si="118"/>
        <v>3</v>
      </c>
      <c r="D85" s="372" t="str">
        <f>_xlfn.XLOOKUP(A85,[1]SP500!$A$2:$A$502,[1]SP500!$D$2:$D$502,"N")</f>
        <v>Y</v>
      </c>
      <c r="E85" s="57" t="str">
        <f>_xlfn.XLOOKUP(A85,[1]SP500!$A$2:$A$655,[1]SP500!$B$2:$B$655)</f>
        <v>XLI</v>
      </c>
      <c r="F85" s="59">
        <v>45686</v>
      </c>
      <c r="G85" s="57" t="str">
        <f t="shared" si="119"/>
        <v>BMO</v>
      </c>
      <c r="H85" s="57" t="str">
        <f t="shared" si="120"/>
        <v>s</v>
      </c>
      <c r="I85" s="159">
        <v>252.32</v>
      </c>
      <c r="J85" s="159">
        <v>264.74</v>
      </c>
      <c r="K85" s="61">
        <f t="shared" si="121"/>
        <v>4.9223208623969623E-2</v>
      </c>
      <c r="L85" s="87">
        <f t="shared" si="122"/>
        <v>24.840000000000032</v>
      </c>
      <c r="M85" s="130" t="e">
        <f t="shared" si="112"/>
        <v>#N/A</v>
      </c>
      <c r="N85" s="169" t="str">
        <f t="shared" si="123"/>
        <v/>
      </c>
      <c r="O85" s="169">
        <f>IF($J85="",#N/A,SUM($N$4:N85))</f>
        <v>145.29894778873</v>
      </c>
      <c r="P85" s="174" t="str">
        <f t="shared" si="124"/>
        <v/>
      </c>
      <c r="Q85" s="174">
        <f>IF($J85="",#N/A,SUM($P$4:P85))</f>
        <v>79.036464916880902</v>
      </c>
      <c r="R85" s="178">
        <f t="shared" si="125"/>
        <v>24.840000000000032</v>
      </c>
      <c r="S85" s="178">
        <f>IF($J85="",#N/A,SUM($R$4:R85))</f>
        <v>263.31979674373213</v>
      </c>
      <c r="T85" s="290" t="str">
        <f t="shared" si="126"/>
        <v/>
      </c>
      <c r="U85" s="290">
        <f>IF($J85="",#N/A,SUM($T$4:T85))</f>
        <v>5.0105509606997058</v>
      </c>
      <c r="V85" s="291" t="str">
        <f t="shared" si="127"/>
        <v/>
      </c>
      <c r="W85" s="291">
        <f>IF($J85="",#N/A,SUM($V$4:V85))</f>
        <v>2.9451096097899687</v>
      </c>
      <c r="X85" s="292">
        <f t="shared" si="128"/>
        <v>0.82038681039949379</v>
      </c>
      <c r="Y85" s="283">
        <f>IF($J85="",#N/A,SUM($X$4:X85))</f>
        <v>11.222509509435596</v>
      </c>
      <c r="Z85" s="304" t="str">
        <f t="shared" si="129"/>
        <v/>
      </c>
      <c r="AA85" s="313">
        <f>IF($J85="",#N/A,SUM(Z$4:Z85))</f>
        <v>3.4310096157378052</v>
      </c>
      <c r="AB85" s="314" t="str">
        <f t="shared" si="130"/>
        <v/>
      </c>
      <c r="AC85" s="314">
        <f>IF($J85="",#N/A,SUM(AB$4:AB85))</f>
        <v>0</v>
      </c>
      <c r="AD85" s="315" t="str">
        <f t="shared" si="131"/>
        <v/>
      </c>
      <c r="AE85" s="315">
        <f>IF($J85="",#N/A,SUM(AD$4:AD85))</f>
        <v>1.5553407757049009</v>
      </c>
      <c r="AF85" s="315">
        <f>IF($J85="",#N/A,SUM(AD$4:AD85,AB$4:AB85,Z$4:Z85))</f>
        <v>4.9863503914427056</v>
      </c>
      <c r="AG85" s="304" t="str">
        <f t="shared" si="132"/>
        <v/>
      </c>
      <c r="AH85" s="313">
        <f>IF($J85="",#N/A,SUM(AG$4:AG85))</f>
        <v>0</v>
      </c>
      <c r="AI85" s="314" t="str">
        <f t="shared" si="133"/>
        <v/>
      </c>
      <c r="AJ85" s="314">
        <f>IF($J85="",#N/A,SUM(AI$4:AI85))</f>
        <v>0</v>
      </c>
      <c r="AK85" s="315" t="str">
        <f t="shared" si="134"/>
        <v/>
      </c>
      <c r="AL85" s="315">
        <f>IF($J85="",#N/A,SUM(AK$4:AK85))</f>
        <v>0</v>
      </c>
      <c r="AM85" s="315">
        <f>IF($J85="",#N/A,SUM(AK$4:AK85,AI$4:AI85,AG$4:AG85))</f>
        <v>0</v>
      </c>
      <c r="AN85" s="304" t="str">
        <f t="shared" si="135"/>
        <v/>
      </c>
      <c r="AO85" s="313">
        <f>IF($J85="",#N/A,SUM(AN$4:AN85))</f>
        <v>-0.49683555963321635</v>
      </c>
      <c r="AP85" s="314" t="str">
        <f t="shared" si="136"/>
        <v/>
      </c>
      <c r="AQ85" s="314">
        <f>IF($J85="",#N/A,SUM(AP$4:AP85))</f>
        <v>0</v>
      </c>
      <c r="AR85" s="315" t="str">
        <f t="shared" si="137"/>
        <v/>
      </c>
      <c r="AS85" s="315">
        <f>IF($J85="",#N/A,SUM(AR$4:AR85))</f>
        <v>0.38010822295256225</v>
      </c>
      <c r="AT85" s="315">
        <f>IF($J85="",#N/A,SUM(AR$4:AR85,AP$4:AP85,AN$4:AN85))</f>
        <v>-0.11672733668065405</v>
      </c>
      <c r="AU85" s="304" t="str">
        <f t="shared" si="138"/>
        <v/>
      </c>
      <c r="AV85" s="313">
        <f>IF($J85="",#N/A,SUM(AU$4:AU85))</f>
        <v>0</v>
      </c>
      <c r="AW85" s="314" t="str">
        <f t="shared" si="139"/>
        <v/>
      </c>
      <c r="AX85" s="314">
        <f>IF($J85="",#N/A,SUM(AW$4:AW85))</f>
        <v>1.2049246466562569</v>
      </c>
      <c r="AY85" s="315" t="str">
        <f t="shared" si="140"/>
        <v/>
      </c>
      <c r="AZ85" s="315">
        <f>IF($J85="",#N/A,SUM(AY$4:AY85))</f>
        <v>2.2170930216497844</v>
      </c>
      <c r="BA85" s="315">
        <f>IF($J85="",#N/A,SUM(AY$4:AY85,AW$4:AW85,AU$4:AU85))</f>
        <v>3.422017668306041</v>
      </c>
      <c r="BB85" s="304" t="str">
        <f t="shared" si="141"/>
        <v/>
      </c>
      <c r="BC85" s="313">
        <f>IF($J85="",#N/A,SUM(BB$4:BB85))</f>
        <v>0.57218309859154926</v>
      </c>
      <c r="BD85" s="314" t="str">
        <f t="shared" si="142"/>
        <v/>
      </c>
      <c r="BE85" s="314">
        <f>IF($J85="",#N/A,SUM(BD$4:BD85))</f>
        <v>-0.39561000510464578</v>
      </c>
      <c r="BF85" s="315" t="str">
        <f t="shared" si="143"/>
        <v/>
      </c>
      <c r="BG85" s="315">
        <f>IF($J85="",#N/A,SUM(BF$4:BF85))</f>
        <v>3.730405235810978</v>
      </c>
      <c r="BH85" s="315">
        <f>IF($J85="",#N/A,SUM(BF$4:BF85,BD$4:BD85,BB$4:BB85))</f>
        <v>3.9069783292978819</v>
      </c>
      <c r="BI85" s="304" t="str">
        <f t="shared" si="144"/>
        <v/>
      </c>
      <c r="BJ85" s="313">
        <f>IF($J85="",#N/A,SUM(BI$4:BI85))</f>
        <v>-1.5356143908855402</v>
      </c>
      <c r="BK85" s="314" t="str">
        <f t="shared" si="145"/>
        <v/>
      </c>
      <c r="BL85" s="314">
        <f>IF($J85="",#N/A,SUM(BK$4:BK85))</f>
        <v>0</v>
      </c>
      <c r="BM85" s="315" t="str">
        <f t="shared" si="146"/>
        <v/>
      </c>
      <c r="BN85" s="315">
        <f>IF($J85="",#N/A,SUM(BM$4:BM85))</f>
        <v>4.7600631121019816</v>
      </c>
      <c r="BO85" s="315">
        <f>IF($J85="",#N/A,SUM(BM$4:BM85,BK$4:BK85,BI$4:BI85))</f>
        <v>3.224448721216441</v>
      </c>
      <c r="BP85" s="304" t="str">
        <f t="shared" si="147"/>
        <v/>
      </c>
      <c r="BQ85" s="313">
        <f>IF($J85="",#N/A,SUM(BP$4:BP85))</f>
        <v>3.7725654012396492</v>
      </c>
      <c r="BR85" s="314" t="str">
        <f t="shared" si="148"/>
        <v/>
      </c>
      <c r="BS85" s="314">
        <f>IF($J85="",#N/A,SUM(BR$4:BR85))</f>
        <v>1.2000175729313736</v>
      </c>
      <c r="BT85" s="315">
        <f t="shared" si="149"/>
        <v>0.82038681039949379</v>
      </c>
      <c r="BU85" s="315">
        <f>IF($J85="",#N/A,SUM(BT$4:BT85))</f>
        <v>0.48447408697301153</v>
      </c>
      <c r="BV85" s="315">
        <f>IF($J85="",#N/A,SUM(BT$4:BT85,BR$4:BR85,BP$4:BP85))</f>
        <v>5.4570570611440337</v>
      </c>
      <c r="BW85" s="304" t="str">
        <f t="shared" si="150"/>
        <v/>
      </c>
      <c r="BX85" s="313">
        <f>IF($J85="",#N/A,SUM(BW$4:BW85))</f>
        <v>-0.73275720435053893</v>
      </c>
      <c r="BY85" s="314" t="str">
        <f t="shared" si="151"/>
        <v/>
      </c>
      <c r="BZ85" s="314">
        <f>IF($J85="",#N/A,SUM(BY$4:BY85))</f>
        <v>0.46686916413544804</v>
      </c>
      <c r="CA85" s="315" t="str">
        <f t="shared" si="152"/>
        <v/>
      </c>
      <c r="CB85" s="315">
        <f>IF($J85="",#N/A,SUM(CA$4:CA85))</f>
        <v>-1.3212929569860741</v>
      </c>
      <c r="CC85" s="315">
        <f>IF($J85="",#N/A,SUM(CA$4:CA85,BY$4:BY85,BW$4:BW85))</f>
        <v>-1.5871809972011648</v>
      </c>
      <c r="CD85" s="304" t="str">
        <f t="shared" si="153"/>
        <v/>
      </c>
      <c r="CE85" s="313">
        <f>IF($J85="",#N/A,SUM(CD$4:CD85))</f>
        <v>0</v>
      </c>
      <c r="CF85" s="314" t="str">
        <f t="shared" si="154"/>
        <v/>
      </c>
      <c r="CG85" s="314">
        <f>IF($J85="",#N/A,SUM(CF$4:CF85))</f>
        <v>0.41783917455444924</v>
      </c>
      <c r="CH85" s="315" t="str">
        <f t="shared" si="155"/>
        <v/>
      </c>
      <c r="CI85" s="315">
        <f>IF($J85="",#N/A,SUM(CH$4:CH85))</f>
        <v>-1.5363346259711188</v>
      </c>
      <c r="CJ85" s="315">
        <f>IF($J85="",#N/A,SUM(CH$4:CH85,CF$4:CF85,CD$4:CD85))</f>
        <v>-1.1184954514166696</v>
      </c>
      <c r="CK85" s="304" t="str">
        <f t="shared" si="156"/>
        <v/>
      </c>
      <c r="CL85" s="313">
        <f>IF($J85="",#N/A,SUM(CK$4:CK85))</f>
        <v>0</v>
      </c>
      <c r="CM85" s="314" t="str">
        <f t="shared" si="157"/>
        <v/>
      </c>
      <c r="CN85" s="314">
        <f>IF($J85="",#N/A,SUM(CM$4:CM85))</f>
        <v>0</v>
      </c>
      <c r="CO85" s="315" t="str">
        <f t="shared" si="158"/>
        <v/>
      </c>
      <c r="CP85" s="315">
        <f>IF($J85="",#N/A,SUM(CO$4:CO85))</f>
        <v>-0.8814781582839023</v>
      </c>
      <c r="CQ85" s="315">
        <f>IF($J85="",#N/A,SUM(CO$4:CO85,CM$4:CM85,CK$4:CK85))</f>
        <v>-0.8814781582839023</v>
      </c>
      <c r="CR85" s="304" t="str">
        <f t="shared" si="159"/>
        <v/>
      </c>
      <c r="CS85" s="313">
        <f>IF($J85="",#N/A,SUM(CR$4:CR85))</f>
        <v>0</v>
      </c>
      <c r="CT85" s="314" t="str">
        <f t="shared" si="160"/>
        <v/>
      </c>
      <c r="CU85" s="314">
        <f>IF($J85="",#N/A,SUM(CT$4:CT85))</f>
        <v>-0.13081968772223007</v>
      </c>
      <c r="CV85" s="315" t="str">
        <f t="shared" si="161"/>
        <v/>
      </c>
      <c r="CW85" s="315">
        <f>IF($J85="",#N/A,SUM(CV$4:CV85))</f>
        <v>0.28156811782542707</v>
      </c>
      <c r="CX85" s="315">
        <f>IF($J85="",#N/A,SUM(CV$4:CV85,CT$4:CT85,CR$4:CR85))</f>
        <v>0.150748430103197</v>
      </c>
      <c r="CY85" s="304" t="str">
        <f t="shared" si="162"/>
        <v/>
      </c>
      <c r="CZ85" s="313">
        <f>IF($J85="",#N/A,SUM(CY$4:CY85))</f>
        <v>0</v>
      </c>
      <c r="DA85" s="314" t="str">
        <f t="shared" si="163"/>
        <v/>
      </c>
      <c r="DB85" s="314">
        <f>IF($J85="",#N/A,SUM(DA$4:DA85))</f>
        <v>0</v>
      </c>
      <c r="DC85" s="315" t="str">
        <f t="shared" si="164"/>
        <v/>
      </c>
      <c r="DD85" s="315">
        <f>IF($J85="",#N/A,SUM(DC$4:DC85))</f>
        <v>0</v>
      </c>
      <c r="DE85" s="315">
        <f>IF($J85="",#N/A,SUM(DC$4:DC85,DA$4:DA85,CY$4:CY85))</f>
        <v>0</v>
      </c>
      <c r="DF85" s="304" t="str">
        <f t="shared" si="165"/>
        <v/>
      </c>
      <c r="DG85" s="313">
        <f>IF($J85="",#N/A,SUM(DF$4:DF85))</f>
        <v>0</v>
      </c>
      <c r="DH85" s="314" t="str">
        <f t="shared" si="166"/>
        <v/>
      </c>
      <c r="DI85" s="314">
        <f>IF($J85="",#N/A,SUM(DH$4:DH85))</f>
        <v>0</v>
      </c>
      <c r="DJ85" s="315" t="str">
        <f t="shared" si="167"/>
        <v/>
      </c>
      <c r="DK85" s="315">
        <f>IF($J85="",#N/A,SUM(DJ$4:DJ85))</f>
        <v>0</v>
      </c>
      <c r="DL85" s="315">
        <f>IF($J85="",#N/A,SUM(DJ$4:DJ85,DH$4:DH85,DF$4:DF85))</f>
        <v>0</v>
      </c>
      <c r="DM85" s="304" t="str">
        <f t="shared" si="168"/>
        <v/>
      </c>
      <c r="DN85" s="313">
        <f>IF($J85="",#N/A,SUM(DM$4:DM85))</f>
        <v>0</v>
      </c>
      <c r="DO85" s="314" t="str">
        <f t="shared" si="169"/>
        <v/>
      </c>
      <c r="DP85" s="314">
        <f>IF($J85="",#N/A,SUM(DO$4:DO85))</f>
        <v>0.26077055863664694</v>
      </c>
      <c r="DQ85" s="315" t="str">
        <f t="shared" si="170"/>
        <v/>
      </c>
      <c r="DR85" s="315">
        <f>IF($J85="",#N/A,SUM(DQ$4:DQ85))</f>
        <v>0.95581641638640868</v>
      </c>
      <c r="DS85" s="315">
        <f>IF($J85="",#N/A,SUM(DQ$4:DQ85,DO$4:DO85,DM$4:DM85))</f>
        <v>1.2165869750230556</v>
      </c>
      <c r="DT85" s="304" t="str">
        <f t="shared" si="171"/>
        <v/>
      </c>
      <c r="DU85" s="313">
        <f>IF($J85="",#N/A,SUM(DT$4:DT85))</f>
        <v>0</v>
      </c>
      <c r="DV85" s="314" t="str">
        <f t="shared" si="172"/>
        <v/>
      </c>
      <c r="DW85" s="314">
        <f>IF($J85="",#N/A,SUM(DV$4:DV85))</f>
        <v>0.40085630512924314</v>
      </c>
      <c r="DX85" s="315" t="str">
        <f t="shared" si="173"/>
        <v/>
      </c>
      <c r="DY85" s="315">
        <f>IF($J85="",#N/A,SUM(DX$4:DX85))</f>
        <v>0.59674626127163555</v>
      </c>
      <c r="DZ85" s="315">
        <f>IF($J85="",#N/A,SUM(DX$4:DX85,DV$4:DV85,DT$4:DT85))</f>
        <v>0.99760256640087874</v>
      </c>
      <c r="EA85" s="304" t="str">
        <f t="shared" si="174"/>
        <v/>
      </c>
      <c r="EB85" s="313">
        <f>IF($J85="",#N/A,SUM(EA$4:EA85))</f>
        <v>0</v>
      </c>
      <c r="EC85" s="314" t="str">
        <f t="shared" si="175"/>
        <v/>
      </c>
      <c r="ED85" s="314">
        <f>IF($J85="",#N/A,SUM(EC$4:EC85))</f>
        <v>-0.47973811942657352</v>
      </c>
      <c r="EE85" s="315" t="str">
        <f t="shared" si="176"/>
        <v/>
      </c>
      <c r="EF85" s="315">
        <f>IF($J85="",#N/A,SUM(EE$4:EE85))</f>
        <v>0</v>
      </c>
      <c r="EG85" s="315">
        <f>IF($J85="",#N/A,SUM(EE$4:EE85,EC$4:EC85,EA$4:EA85))</f>
        <v>-0.47973811942657352</v>
      </c>
      <c r="EH85" s="130">
        <f t="shared" si="177"/>
        <v>24.840000000000032</v>
      </c>
      <c r="EI85" s="63">
        <f>IF(EH85="",#N/A,SUM($EH$4:EH85))</f>
        <v>487.65520944934303</v>
      </c>
      <c r="EJ85" s="223">
        <f t="shared" si="178"/>
        <v>8.8400000000000318</v>
      </c>
      <c r="EK85" s="63">
        <f>IF($GZ85="",#N/A,SUM(EJ$4:EJ85))</f>
        <v>718.07334203522976</v>
      </c>
      <c r="EL85" s="60">
        <f t="shared" si="209"/>
        <v>0.82038681039949379</v>
      </c>
      <c r="EM85" s="60">
        <f>IF(EL85="",NA(),SUM($EL$4:EL85))</f>
        <v>19.178170079925277</v>
      </c>
      <c r="EN85" s="60" t="str">
        <f t="shared" si="179"/>
        <v/>
      </c>
      <c r="EO85" s="60" t="e">
        <f>IF(EN85="",NA(),SUM($EN$4:EN85))</f>
        <v>#N/A</v>
      </c>
      <c r="EP85" s="60">
        <f t="shared" si="180"/>
        <v>0.82038681039949379</v>
      </c>
      <c r="EQ85" s="60">
        <f>IF(EP85="",NA(),SUM($EP$4:EP85))</f>
        <v>11.222509509435596</v>
      </c>
      <c r="ER85" s="60" t="str">
        <f t="shared" si="181"/>
        <v/>
      </c>
      <c r="ES85" s="60" t="e">
        <f>IF(ER85="",NA(),SUM($ER$4:ER85))</f>
        <v>#N/A</v>
      </c>
      <c r="ET85" s="60" t="str">
        <f t="shared" si="182"/>
        <v/>
      </c>
      <c r="EU85" s="60" t="e">
        <f>IF(ET85="",NA(),SUM($ET$4:ET85))</f>
        <v>#N/A</v>
      </c>
      <c r="EV85" s="60" t="str">
        <f t="shared" si="183"/>
        <v/>
      </c>
      <c r="EW85" s="60" t="e">
        <f>IF(EV85="",NA(),SUM($EV$4:EV85))</f>
        <v>#N/A</v>
      </c>
      <c r="EX85" s="60" t="str">
        <f t="shared" si="184"/>
        <v/>
      </c>
      <c r="EY85" s="60" t="e">
        <f>IF(EX85="",NA(),SUM($EX$4:EX85))</f>
        <v>#N/A</v>
      </c>
      <c r="EZ85" s="60" t="str">
        <f t="shared" si="185"/>
        <v/>
      </c>
      <c r="FA85" s="60" t="e">
        <f>IF(EZ85="",NA(),SUM($EZ$4:EZ85))</f>
        <v>#N/A</v>
      </c>
      <c r="FB85" s="246" t="str">
        <f t="shared" si="210"/>
        <v/>
      </c>
      <c r="FC85" s="246" t="e">
        <f>IF($FB85="",#N/A,SUM(FB$4:$FB85))</f>
        <v>#N/A</v>
      </c>
      <c r="FD85" s="60" t="str">
        <f t="shared" si="186"/>
        <v/>
      </c>
      <c r="FE85" s="60" t="e">
        <f>IF($FD85="",#N/A,SUM($FD$4:FD85))</f>
        <v>#N/A</v>
      </c>
      <c r="FF85" s="60" t="str">
        <f t="shared" si="187"/>
        <v/>
      </c>
      <c r="FG85" s="60" t="e">
        <f>IF($FF85="",#N/A,SUM($FF$4:FF85))</f>
        <v>#N/A</v>
      </c>
      <c r="FH85" s="60" t="str">
        <f t="shared" si="188"/>
        <v/>
      </c>
      <c r="FI85" s="60" t="e">
        <f>IF($FH85="",#N/A,SUM($FH$4:FH85))</f>
        <v>#N/A</v>
      </c>
      <c r="FJ85" s="60">
        <f t="shared" si="189"/>
        <v>-0.52842950750369899</v>
      </c>
      <c r="FK85" s="60">
        <f>IF($FJ85="",#N/A,SUM($FJ$4:FJ85))</f>
        <v>0.70401734222495482</v>
      </c>
      <c r="FL85" s="60" t="str">
        <f t="shared" si="190"/>
        <v/>
      </c>
      <c r="FM85" s="60" t="e">
        <f>IF($FL85="",#N/A,SUM($FL$4:FL85))</f>
        <v>#N/A</v>
      </c>
      <c r="FN85" s="82">
        <f t="shared" si="191"/>
        <v>0.2919573028957948</v>
      </c>
      <c r="FO85" s="82">
        <f>IF($FN85="",#N/A,SUM(FN$4:$FN85))</f>
        <v>28.721439715554073</v>
      </c>
      <c r="FP85" s="82">
        <f t="shared" si="211"/>
        <v>0.82038681039949379</v>
      </c>
      <c r="FQ85" s="246">
        <f>IF($EH85="",#N/A,SUM($FP$4:FP85))</f>
        <v>19.178170079925277</v>
      </c>
      <c r="FR85" s="82">
        <f>IFERROR(FQ85/COUNTA($J$4:J85),#N/A)</f>
        <v>0.233880122925918</v>
      </c>
      <c r="FS85" s="82">
        <f t="shared" si="216"/>
        <v>0.13637620169722792</v>
      </c>
      <c r="FT85" s="82">
        <f>IFERROR(($FQ85-$FQ64)/COUNTA($J64:$J85),#N/A)</f>
        <v>0.18615602205807677</v>
      </c>
      <c r="FU85" s="337">
        <f t="shared" si="113"/>
        <v>2.9807809999768242</v>
      </c>
      <c r="FV85" s="57" t="str">
        <f t="shared" si="192"/>
        <v>SW</v>
      </c>
      <c r="FW85" s="57" t="s">
        <v>2732</v>
      </c>
      <c r="FX85" s="57" t="str">
        <f t="shared" si="193"/>
        <v/>
      </c>
      <c r="FY85" s="57" t="str">
        <f t="shared" si="194"/>
        <v/>
      </c>
      <c r="FZ85" s="57">
        <f t="shared" si="195"/>
        <v>1</v>
      </c>
      <c r="GA85" s="57" t="str">
        <f t="shared" si="196"/>
        <v>Long</v>
      </c>
      <c r="GB85" s="57" t="str">
        <f t="shared" si="197"/>
        <v/>
      </c>
      <c r="GC85" s="57" t="str">
        <f t="shared" si="198"/>
        <v/>
      </c>
      <c r="GD85" s="57" t="str">
        <f t="shared" si="199"/>
        <v/>
      </c>
      <c r="GE85" s="62">
        <f t="shared" si="114"/>
        <v>252.32</v>
      </c>
      <c r="GF85" s="62" t="s">
        <v>2779</v>
      </c>
      <c r="GG85" s="199">
        <v>2</v>
      </c>
      <c r="GH85" s="207">
        <f t="shared" si="200"/>
        <v>504.64</v>
      </c>
      <c r="GI85" s="199">
        <v>2</v>
      </c>
      <c r="GJ85" s="200">
        <f t="shared" si="217"/>
        <v>264.74</v>
      </c>
      <c r="GK85" s="63">
        <f t="shared" si="201"/>
        <v>24.840000000000032</v>
      </c>
      <c r="GL85" s="63">
        <f t="shared" si="115"/>
        <v>8.8400000000000318</v>
      </c>
      <c r="GM85" s="82">
        <f t="shared" si="202"/>
        <v>0.2919573028957948</v>
      </c>
      <c r="GN85" s="82">
        <f>IF($GZ85="",#N/A,SUM(GM$4:GM85))</f>
        <v>12.00212549875952</v>
      </c>
      <c r="GO85" s="82" t="str">
        <f t="shared" si="203"/>
        <v/>
      </c>
      <c r="GP85" s="82">
        <f>IF($GZ85="",#N/A,SUM(GO$4:GO85))</f>
        <v>9.8118872843915792</v>
      </c>
      <c r="GQ85" s="82" t="str">
        <f t="shared" si="204"/>
        <v/>
      </c>
      <c r="GR85" s="82">
        <f>IF($GZ85="",#N/A,SUM(GQ$4:GQ85))</f>
        <v>6.281589977960623</v>
      </c>
      <c r="GS85" s="63">
        <f t="shared" si="212"/>
        <v>8.8400000000000318</v>
      </c>
      <c r="GT85" s="63">
        <f>IF($GZ85="",#N/A,SUM(GS$4:GS85))</f>
        <v>275.91992882574215</v>
      </c>
      <c r="GU85" s="63" t="str">
        <f t="shared" si="213"/>
        <v/>
      </c>
      <c r="GV85" s="63">
        <f>IF($GZ85="",#N/A,SUM(GU$4:GU85))</f>
        <v>261.25289430539283</v>
      </c>
      <c r="GW85" s="63" t="str">
        <f t="shared" si="214"/>
        <v/>
      </c>
      <c r="GX85" s="63">
        <f>IF($GZ85="",#N/A,SUM(GW$4:GW85))</f>
        <v>167.16051890409477</v>
      </c>
      <c r="GY85" s="63">
        <f>IF(EJ85="",#N/A,SUM($EJ$4:EJ85))</f>
        <v>718.07334203522976</v>
      </c>
      <c r="GZ85" s="159">
        <v>256.74</v>
      </c>
      <c r="HA85" s="63">
        <f t="shared" si="205"/>
        <v>-16</v>
      </c>
      <c r="HB85" s="62" t="s">
        <v>4735</v>
      </c>
      <c r="HC85" s="60">
        <f>IFERROR(VLOOKUP(E85,Expectancy!$P$4:$S$19,1+C85,FALSE),"")</f>
        <v>2.40735201201209E-2</v>
      </c>
      <c r="HD85" s="82">
        <f t="shared" si="206"/>
        <v>0.2919573028957948</v>
      </c>
      <c r="HE85" s="60">
        <f>IF(HD85="",#N/A,SUM($HD$4:HD85))</f>
        <v>1.6673890799484536</v>
      </c>
      <c r="HF85" s="85">
        <f>IF(HD85="",#N/A,IF(HB85="Skip",#N/A,SUM($HG$4:HG85)))</f>
        <v>54.330000000000041</v>
      </c>
      <c r="HG85" s="63">
        <f t="shared" si="207"/>
        <v>8.8400000000000318</v>
      </c>
      <c r="HH85" s="82">
        <f t="shared" si="208"/>
        <v>0.2919573028957948</v>
      </c>
    </row>
    <row r="86" spans="1:220" x14ac:dyDescent="0.25">
      <c r="A86" s="57" t="s">
        <v>1419</v>
      </c>
      <c r="B86" s="58" t="s">
        <v>5141</v>
      </c>
      <c r="C86" s="386">
        <f t="shared" si="118"/>
        <v>1</v>
      </c>
      <c r="D86" s="372" t="str">
        <f>_xlfn.XLOOKUP(A86,[1]SP500!$A$2:$A$502,[1]SP500!$D$2:$D$502,"N")</f>
        <v>Y</v>
      </c>
      <c r="E86" s="57" t="str">
        <f>_xlfn.XLOOKUP(A86,[1]SP500!$A$2:$A$655,[1]SP500!$B$2:$B$655)</f>
        <v>XLF</v>
      </c>
      <c r="F86" s="59">
        <v>45686</v>
      </c>
      <c r="G86" s="57" t="str">
        <f t="shared" si="119"/>
        <v>BMO</v>
      </c>
      <c r="H86" s="57" t="str">
        <f t="shared" si="120"/>
        <v>s</v>
      </c>
      <c r="I86" s="159">
        <v>81.19</v>
      </c>
      <c r="J86" s="159">
        <v>79.25</v>
      </c>
      <c r="K86" s="61">
        <f t="shared" si="121"/>
        <v>-2.3894568296588224E-2</v>
      </c>
      <c r="L86" s="87">
        <f t="shared" si="122"/>
        <v>-9.6999999999999886</v>
      </c>
      <c r="M86" s="130" t="e">
        <f t="shared" si="112"/>
        <v>#N/A</v>
      </c>
      <c r="N86" s="169">
        <f t="shared" si="123"/>
        <v>-9.6999999999999886</v>
      </c>
      <c r="O86" s="169">
        <f>IF($J86="",#N/A,SUM($N$4:N86))</f>
        <v>135.59894778873002</v>
      </c>
      <c r="P86" s="174" t="str">
        <f t="shared" si="124"/>
        <v/>
      </c>
      <c r="Q86" s="174">
        <f>IF($J86="",#N/A,SUM($P$4:P86))</f>
        <v>79.036464916880902</v>
      </c>
      <c r="R86" s="178" t="str">
        <f t="shared" si="125"/>
        <v/>
      </c>
      <c r="S86" s="178">
        <f>IF($J86="",#N/A,SUM($R$4:R86))</f>
        <v>263.31979674373213</v>
      </c>
      <c r="T86" s="290">
        <f t="shared" si="126"/>
        <v>-0.39824280494313702</v>
      </c>
      <c r="U86" s="290">
        <f>IF($J86="",#N/A,SUM($T$4:T86))</f>
        <v>4.6123081557565691</v>
      </c>
      <c r="V86" s="291" t="str">
        <f t="shared" si="127"/>
        <v/>
      </c>
      <c r="W86" s="291">
        <f>IF($J86="",#N/A,SUM($V$4:V86))</f>
        <v>2.9451096097899687</v>
      </c>
      <c r="X86" s="292" t="str">
        <f t="shared" si="128"/>
        <v/>
      </c>
      <c r="Y86" s="283">
        <f>IF($J86="",#N/A,SUM($X$4:X86))</f>
        <v>11.222509509435596</v>
      </c>
      <c r="Z86" s="304" t="str">
        <f t="shared" si="129"/>
        <v/>
      </c>
      <c r="AA86" s="313">
        <f>IF($J86="",#N/A,SUM(Z$4:Z86))</f>
        <v>3.4310096157378052</v>
      </c>
      <c r="AB86" s="314" t="str">
        <f t="shared" si="130"/>
        <v/>
      </c>
      <c r="AC86" s="314">
        <f>IF($J86="",#N/A,SUM(AB$4:AB86))</f>
        <v>0</v>
      </c>
      <c r="AD86" s="315" t="str">
        <f t="shared" si="131"/>
        <v/>
      </c>
      <c r="AE86" s="315">
        <f>IF($J86="",#N/A,SUM(AD$4:AD86))</f>
        <v>1.5553407757049009</v>
      </c>
      <c r="AF86" s="315">
        <f>IF($J86="",#N/A,SUM(AD$4:AD86,AB$4:AB86,Z$4:Z86))</f>
        <v>4.9863503914427056</v>
      </c>
      <c r="AG86" s="304" t="str">
        <f t="shared" si="132"/>
        <v/>
      </c>
      <c r="AH86" s="313">
        <f>IF($J86="",#N/A,SUM(AG$4:AG86))</f>
        <v>0</v>
      </c>
      <c r="AI86" s="314" t="str">
        <f t="shared" si="133"/>
        <v/>
      </c>
      <c r="AJ86" s="314">
        <f>IF($J86="",#N/A,SUM(AI$4:AI86))</f>
        <v>0</v>
      </c>
      <c r="AK86" s="315" t="str">
        <f t="shared" si="134"/>
        <v/>
      </c>
      <c r="AL86" s="315">
        <f>IF($J86="",#N/A,SUM(AK$4:AK86))</f>
        <v>0</v>
      </c>
      <c r="AM86" s="315">
        <f>IF($J86="",#N/A,SUM(AK$4:AK86,AI$4:AI86,AG$4:AG86))</f>
        <v>0</v>
      </c>
      <c r="AN86" s="304" t="str">
        <f t="shared" si="135"/>
        <v/>
      </c>
      <c r="AO86" s="313">
        <f>IF($J86="",#N/A,SUM(AN$4:AN86))</f>
        <v>-0.49683555963321635</v>
      </c>
      <c r="AP86" s="314" t="str">
        <f t="shared" si="136"/>
        <v/>
      </c>
      <c r="AQ86" s="314">
        <f>IF($J86="",#N/A,SUM(AP$4:AP86))</f>
        <v>0</v>
      </c>
      <c r="AR86" s="315" t="str">
        <f t="shared" si="137"/>
        <v/>
      </c>
      <c r="AS86" s="315">
        <f>IF($J86="",#N/A,SUM(AR$4:AR86))</f>
        <v>0.38010822295256225</v>
      </c>
      <c r="AT86" s="315">
        <f>IF($J86="",#N/A,SUM(AR$4:AR86,AP$4:AP86,AN$4:AN86))</f>
        <v>-0.11672733668065405</v>
      </c>
      <c r="AU86" s="304" t="str">
        <f t="shared" si="138"/>
        <v/>
      </c>
      <c r="AV86" s="313">
        <f>IF($J86="",#N/A,SUM(AU$4:AU86))</f>
        <v>0</v>
      </c>
      <c r="AW86" s="314" t="str">
        <f t="shared" si="139"/>
        <v/>
      </c>
      <c r="AX86" s="314">
        <f>IF($J86="",#N/A,SUM(AW$4:AW86))</f>
        <v>1.2049246466562569</v>
      </c>
      <c r="AY86" s="315" t="str">
        <f t="shared" si="140"/>
        <v/>
      </c>
      <c r="AZ86" s="315">
        <f>IF($J86="",#N/A,SUM(AY$4:AY86))</f>
        <v>2.2170930216497844</v>
      </c>
      <c r="BA86" s="315">
        <f>IF($J86="",#N/A,SUM(AY$4:AY86,AW$4:AW86,AU$4:AU86))</f>
        <v>3.422017668306041</v>
      </c>
      <c r="BB86" s="304" t="str">
        <f t="shared" si="141"/>
        <v/>
      </c>
      <c r="BC86" s="313">
        <f>IF($J86="",#N/A,SUM(BB$4:BB86))</f>
        <v>0.57218309859154926</v>
      </c>
      <c r="BD86" s="314" t="str">
        <f t="shared" si="142"/>
        <v/>
      </c>
      <c r="BE86" s="314">
        <f>IF($J86="",#N/A,SUM(BD$4:BD86))</f>
        <v>-0.39561000510464578</v>
      </c>
      <c r="BF86" s="315" t="str">
        <f t="shared" si="143"/>
        <v/>
      </c>
      <c r="BG86" s="315">
        <f>IF($J86="",#N/A,SUM(BF$4:BF86))</f>
        <v>3.730405235810978</v>
      </c>
      <c r="BH86" s="315">
        <f>IF($J86="",#N/A,SUM(BF$4:BF86,BD$4:BD86,BB$4:BB86))</f>
        <v>3.9069783292978819</v>
      </c>
      <c r="BI86" s="304">
        <f t="shared" si="144"/>
        <v>-0.39824280494313702</v>
      </c>
      <c r="BJ86" s="313">
        <f>IF($J86="",#N/A,SUM(BI$4:BI86))</f>
        <v>-1.9338571958286772</v>
      </c>
      <c r="BK86" s="314" t="str">
        <f t="shared" si="145"/>
        <v/>
      </c>
      <c r="BL86" s="314">
        <f>IF($J86="",#N/A,SUM(BK$4:BK86))</f>
        <v>0</v>
      </c>
      <c r="BM86" s="315" t="str">
        <f t="shared" si="146"/>
        <v/>
      </c>
      <c r="BN86" s="315">
        <f>IF($J86="",#N/A,SUM(BM$4:BM86))</f>
        <v>4.7600631121019816</v>
      </c>
      <c r="BO86" s="315">
        <f>IF($J86="",#N/A,SUM(BM$4:BM86,BK$4:BK86,BI$4:BI86))</f>
        <v>2.8262059162733042</v>
      </c>
      <c r="BP86" s="304" t="str">
        <f t="shared" si="147"/>
        <v/>
      </c>
      <c r="BQ86" s="313">
        <f>IF($J86="",#N/A,SUM(BP$4:BP86))</f>
        <v>3.7725654012396492</v>
      </c>
      <c r="BR86" s="314" t="str">
        <f t="shared" si="148"/>
        <v/>
      </c>
      <c r="BS86" s="314">
        <f>IF($J86="",#N/A,SUM(BR$4:BR86))</f>
        <v>1.2000175729313736</v>
      </c>
      <c r="BT86" s="315" t="str">
        <f t="shared" si="149"/>
        <v/>
      </c>
      <c r="BU86" s="315">
        <f>IF($J86="",#N/A,SUM(BT$4:BT86))</f>
        <v>0.48447408697301153</v>
      </c>
      <c r="BV86" s="315">
        <f>IF($J86="",#N/A,SUM(BT$4:BT86,BR$4:BR86,BP$4:BP86))</f>
        <v>5.4570570611440337</v>
      </c>
      <c r="BW86" s="304" t="str">
        <f t="shared" si="150"/>
        <v/>
      </c>
      <c r="BX86" s="313">
        <f>IF($J86="",#N/A,SUM(BW$4:BW86))</f>
        <v>-0.73275720435053893</v>
      </c>
      <c r="BY86" s="314" t="str">
        <f t="shared" si="151"/>
        <v/>
      </c>
      <c r="BZ86" s="314">
        <f>IF($J86="",#N/A,SUM(BY$4:BY86))</f>
        <v>0.46686916413544804</v>
      </c>
      <c r="CA86" s="315" t="str">
        <f t="shared" si="152"/>
        <v/>
      </c>
      <c r="CB86" s="315">
        <f>IF($J86="",#N/A,SUM(CA$4:CA86))</f>
        <v>-1.3212929569860741</v>
      </c>
      <c r="CC86" s="315">
        <f>IF($J86="",#N/A,SUM(CA$4:CA86,BY$4:BY86,BW$4:BW86))</f>
        <v>-1.5871809972011648</v>
      </c>
      <c r="CD86" s="304" t="str">
        <f t="shared" si="153"/>
        <v/>
      </c>
      <c r="CE86" s="313">
        <f>IF($J86="",#N/A,SUM(CD$4:CD86))</f>
        <v>0</v>
      </c>
      <c r="CF86" s="314" t="str">
        <f t="shared" si="154"/>
        <v/>
      </c>
      <c r="CG86" s="314">
        <f>IF($J86="",#N/A,SUM(CF$4:CF86))</f>
        <v>0.41783917455444924</v>
      </c>
      <c r="CH86" s="315" t="str">
        <f t="shared" si="155"/>
        <v/>
      </c>
      <c r="CI86" s="315">
        <f>IF($J86="",#N/A,SUM(CH$4:CH86))</f>
        <v>-1.5363346259711188</v>
      </c>
      <c r="CJ86" s="315">
        <f>IF($J86="",#N/A,SUM(CH$4:CH86,CF$4:CF86,CD$4:CD86))</f>
        <v>-1.1184954514166696</v>
      </c>
      <c r="CK86" s="304" t="str">
        <f t="shared" si="156"/>
        <v/>
      </c>
      <c r="CL86" s="313">
        <f>IF($J86="",#N/A,SUM(CK$4:CK86))</f>
        <v>0</v>
      </c>
      <c r="CM86" s="314" t="str">
        <f t="shared" si="157"/>
        <v/>
      </c>
      <c r="CN86" s="314">
        <f>IF($J86="",#N/A,SUM(CM$4:CM86))</f>
        <v>0</v>
      </c>
      <c r="CO86" s="315" t="str">
        <f t="shared" si="158"/>
        <v/>
      </c>
      <c r="CP86" s="315">
        <f>IF($J86="",#N/A,SUM(CO$4:CO86))</f>
        <v>-0.8814781582839023</v>
      </c>
      <c r="CQ86" s="315">
        <f>IF($J86="",#N/A,SUM(CO$4:CO86,CM$4:CM86,CK$4:CK86))</f>
        <v>-0.8814781582839023</v>
      </c>
      <c r="CR86" s="304" t="str">
        <f t="shared" si="159"/>
        <v/>
      </c>
      <c r="CS86" s="313">
        <f>IF($J86="",#N/A,SUM(CR$4:CR86))</f>
        <v>0</v>
      </c>
      <c r="CT86" s="314" t="str">
        <f t="shared" si="160"/>
        <v/>
      </c>
      <c r="CU86" s="314">
        <f>IF($J86="",#N/A,SUM(CT$4:CT86))</f>
        <v>-0.13081968772223007</v>
      </c>
      <c r="CV86" s="315" t="str">
        <f t="shared" si="161"/>
        <v/>
      </c>
      <c r="CW86" s="315">
        <f>IF($J86="",#N/A,SUM(CV$4:CV86))</f>
        <v>0.28156811782542707</v>
      </c>
      <c r="CX86" s="315">
        <f>IF($J86="",#N/A,SUM(CV$4:CV86,CT$4:CT86,CR$4:CR86))</f>
        <v>0.150748430103197</v>
      </c>
      <c r="CY86" s="304" t="str">
        <f t="shared" si="162"/>
        <v/>
      </c>
      <c r="CZ86" s="313">
        <f>IF($J86="",#N/A,SUM(CY$4:CY86))</f>
        <v>0</v>
      </c>
      <c r="DA86" s="314" t="str">
        <f t="shared" si="163"/>
        <v/>
      </c>
      <c r="DB86" s="314">
        <f>IF($J86="",#N/A,SUM(DA$4:DA86))</f>
        <v>0</v>
      </c>
      <c r="DC86" s="315" t="str">
        <f t="shared" si="164"/>
        <v/>
      </c>
      <c r="DD86" s="315">
        <f>IF($J86="",#N/A,SUM(DC$4:DC86))</f>
        <v>0</v>
      </c>
      <c r="DE86" s="315">
        <f>IF($J86="",#N/A,SUM(DC$4:DC86,DA$4:DA86,CY$4:CY86))</f>
        <v>0</v>
      </c>
      <c r="DF86" s="304" t="str">
        <f t="shared" si="165"/>
        <v/>
      </c>
      <c r="DG86" s="313">
        <f>IF($J86="",#N/A,SUM(DF$4:DF86))</f>
        <v>0</v>
      </c>
      <c r="DH86" s="314" t="str">
        <f t="shared" si="166"/>
        <v/>
      </c>
      <c r="DI86" s="314">
        <f>IF($J86="",#N/A,SUM(DH$4:DH86))</f>
        <v>0</v>
      </c>
      <c r="DJ86" s="315" t="str">
        <f t="shared" si="167"/>
        <v/>
      </c>
      <c r="DK86" s="315">
        <f>IF($J86="",#N/A,SUM(DJ$4:DJ86))</f>
        <v>0</v>
      </c>
      <c r="DL86" s="315">
        <f>IF($J86="",#N/A,SUM(DJ$4:DJ86,DH$4:DH86,DF$4:DF86))</f>
        <v>0</v>
      </c>
      <c r="DM86" s="304" t="str">
        <f t="shared" si="168"/>
        <v/>
      </c>
      <c r="DN86" s="313">
        <f>IF($J86="",#N/A,SUM(DM$4:DM86))</f>
        <v>0</v>
      </c>
      <c r="DO86" s="314" t="str">
        <f t="shared" si="169"/>
        <v/>
      </c>
      <c r="DP86" s="314">
        <f>IF($J86="",#N/A,SUM(DO$4:DO86))</f>
        <v>0.26077055863664694</v>
      </c>
      <c r="DQ86" s="315" t="str">
        <f t="shared" si="170"/>
        <v/>
      </c>
      <c r="DR86" s="315">
        <f>IF($J86="",#N/A,SUM(DQ$4:DQ86))</f>
        <v>0.95581641638640868</v>
      </c>
      <c r="DS86" s="315">
        <f>IF($J86="",#N/A,SUM(DQ$4:DQ86,DO$4:DO86,DM$4:DM86))</f>
        <v>1.2165869750230556</v>
      </c>
      <c r="DT86" s="304" t="str">
        <f t="shared" si="171"/>
        <v/>
      </c>
      <c r="DU86" s="313">
        <f>IF($J86="",#N/A,SUM(DT$4:DT86))</f>
        <v>0</v>
      </c>
      <c r="DV86" s="314" t="str">
        <f t="shared" si="172"/>
        <v/>
      </c>
      <c r="DW86" s="314">
        <f>IF($J86="",#N/A,SUM(DV$4:DV86))</f>
        <v>0.40085630512924314</v>
      </c>
      <c r="DX86" s="315" t="str">
        <f t="shared" si="173"/>
        <v/>
      </c>
      <c r="DY86" s="315">
        <f>IF($J86="",#N/A,SUM(DX$4:DX86))</f>
        <v>0.59674626127163555</v>
      </c>
      <c r="DZ86" s="315">
        <f>IF($J86="",#N/A,SUM(DX$4:DX86,DV$4:DV86,DT$4:DT86))</f>
        <v>0.99760256640087874</v>
      </c>
      <c r="EA86" s="304" t="str">
        <f t="shared" si="174"/>
        <v/>
      </c>
      <c r="EB86" s="313">
        <f>IF($J86="",#N/A,SUM(EA$4:EA86))</f>
        <v>0</v>
      </c>
      <c r="EC86" s="314" t="str">
        <f t="shared" si="175"/>
        <v/>
      </c>
      <c r="ED86" s="314">
        <f>IF($J86="",#N/A,SUM(EC$4:EC86))</f>
        <v>-0.47973811942657352</v>
      </c>
      <c r="EE86" s="315" t="str">
        <f t="shared" si="176"/>
        <v/>
      </c>
      <c r="EF86" s="315">
        <f>IF($J86="",#N/A,SUM(EE$4:EE86))</f>
        <v>0</v>
      </c>
      <c r="EG86" s="315">
        <f>IF($J86="",#N/A,SUM(EE$4:EE86,EC$4:EC86,EA$4:EA86))</f>
        <v>-0.47973811942657352</v>
      </c>
      <c r="EH86" s="130">
        <f t="shared" si="177"/>
        <v>-9.6999999999999886</v>
      </c>
      <c r="EI86" s="63">
        <f>IF(EH86="",#N/A,SUM($EH$4:EH86))</f>
        <v>477.95520944934304</v>
      </c>
      <c r="EJ86" s="223">
        <f t="shared" si="178"/>
        <v>2.7000000000000455</v>
      </c>
      <c r="EK86" s="63">
        <f>IF($GZ86="",#N/A,SUM(EJ$4:EJ86))</f>
        <v>720.7733420352298</v>
      </c>
      <c r="EL86" s="60">
        <f t="shared" si="209"/>
        <v>-0.39824280494313702</v>
      </c>
      <c r="EM86" s="60">
        <f>IF(EL86="",NA(),SUM($EL$4:EL86))</f>
        <v>18.779927274982139</v>
      </c>
      <c r="EN86" s="60">
        <f t="shared" si="179"/>
        <v>-0.39824280494313702</v>
      </c>
      <c r="EO86" s="60">
        <f>IF(EN86="",NA(),SUM($EN$4:EN86))</f>
        <v>4.6123081557565691</v>
      </c>
      <c r="EP86" s="60" t="str">
        <f t="shared" si="180"/>
        <v/>
      </c>
      <c r="EQ86" s="60" t="e">
        <f>IF(EP86="",NA(),SUM($EP$4:EP86))</f>
        <v>#N/A</v>
      </c>
      <c r="ER86" s="60" t="str">
        <f t="shared" si="181"/>
        <v/>
      </c>
      <c r="ES86" s="60" t="e">
        <f>IF(ER86="",NA(),SUM($ER$4:ER86))</f>
        <v>#N/A</v>
      </c>
      <c r="ET86" s="60" t="str">
        <f t="shared" si="182"/>
        <v/>
      </c>
      <c r="EU86" s="60" t="e">
        <f>IF(ET86="",NA(),SUM($ET$4:ET86))</f>
        <v>#N/A</v>
      </c>
      <c r="EV86" s="60" t="str">
        <f t="shared" si="183"/>
        <v/>
      </c>
      <c r="EW86" s="60" t="e">
        <f>IF(EV86="",NA(),SUM($EV$4:EV86))</f>
        <v>#N/A</v>
      </c>
      <c r="EX86" s="60" t="str">
        <f t="shared" si="184"/>
        <v/>
      </c>
      <c r="EY86" s="60" t="e">
        <f>IF(EX86="",NA(),SUM($EX$4:EX86))</f>
        <v>#N/A</v>
      </c>
      <c r="EZ86" s="60" t="str">
        <f t="shared" si="185"/>
        <v/>
      </c>
      <c r="FA86" s="60" t="e">
        <f>IF(EZ86="",NA(),SUM($EZ$4:EZ86))</f>
        <v>#N/A</v>
      </c>
      <c r="FB86" s="246" t="str">
        <f t="shared" si="210"/>
        <v/>
      </c>
      <c r="FC86" s="246" t="e">
        <f>IF($FB86="",#N/A,SUM(FB$4:$FB86))</f>
        <v>#N/A</v>
      </c>
      <c r="FD86" s="60" t="str">
        <f t="shared" si="186"/>
        <v/>
      </c>
      <c r="FE86" s="60" t="e">
        <f>IF($FD86="",#N/A,SUM($FD$4:FD86))</f>
        <v>#N/A</v>
      </c>
      <c r="FF86" s="60" t="str">
        <f t="shared" si="187"/>
        <v/>
      </c>
      <c r="FG86" s="60" t="e">
        <f>IF($FF86="",#N/A,SUM($FF$4:FF86))</f>
        <v>#N/A</v>
      </c>
      <c r="FH86" s="60">
        <f t="shared" si="188"/>
        <v>0.5090938949788576</v>
      </c>
      <c r="FI86" s="60">
        <f>IF($FH86="",#N/A,SUM($FH$4:FH86))</f>
        <v>2.1768287641670137</v>
      </c>
      <c r="FJ86" s="60" t="str">
        <f t="shared" si="189"/>
        <v/>
      </c>
      <c r="FK86" s="60" t="e">
        <f>IF($FJ86="",#N/A,SUM($FJ$4:FJ86))</f>
        <v>#N/A</v>
      </c>
      <c r="FL86" s="60" t="str">
        <f t="shared" si="190"/>
        <v/>
      </c>
      <c r="FM86" s="60" t="e">
        <f>IF($FL86="",#N/A,SUM($FL$4:FL86))</f>
        <v>#N/A</v>
      </c>
      <c r="FN86" s="82">
        <f t="shared" si="191"/>
        <v>0.11085109003572055</v>
      </c>
      <c r="FO86" s="82">
        <f>IF($FN86="",#N/A,SUM(FN$4:$FN86))</f>
        <v>28.832290805589793</v>
      </c>
      <c r="FP86" s="82">
        <f t="shared" si="211"/>
        <v>-0.39824280494313702</v>
      </c>
      <c r="FQ86" s="246">
        <f>IF($EH86="",#N/A,SUM($FP$4:FP86))</f>
        <v>18.779927274982139</v>
      </c>
      <c r="FR86" s="82">
        <f>IFERROR(FQ86/COUNTA($J$4:J86),#N/A)</f>
        <v>0.22626418403592938</v>
      </c>
      <c r="FS86" s="82">
        <f t="shared" si="216"/>
        <v>0.11053905526894993</v>
      </c>
      <c r="FT86" s="82">
        <f t="shared" ref="FT86:FT87" si="218">IFERROR(($FQ86-$FQ65)/COUNTA($J65:$J86),#N/A)</f>
        <v>0.13094770680546039</v>
      </c>
      <c r="FU86" s="337">
        <f t="shared" si="113"/>
        <v>2.471687104997967</v>
      </c>
      <c r="FV86" s="57" t="str">
        <f t="shared" si="192"/>
        <v>Up</v>
      </c>
      <c r="FW86" s="57" t="s">
        <v>2734</v>
      </c>
      <c r="FX86" s="57" t="str">
        <f t="shared" si="193"/>
        <v/>
      </c>
      <c r="FY86" s="57" t="str">
        <f t="shared" si="194"/>
        <v/>
      </c>
      <c r="FZ86" s="57" t="str">
        <f t="shared" si="195"/>
        <v/>
      </c>
      <c r="GA86" s="57" t="str">
        <f t="shared" si="196"/>
        <v>Long</v>
      </c>
      <c r="GB86" s="57" t="str">
        <f t="shared" si="197"/>
        <v/>
      </c>
      <c r="GC86" s="57">
        <f t="shared" si="198"/>
        <v>1</v>
      </c>
      <c r="GD86" s="57" t="str">
        <f t="shared" si="199"/>
        <v/>
      </c>
      <c r="GE86" s="62">
        <f t="shared" si="114"/>
        <v>81.19</v>
      </c>
      <c r="GF86" s="62" t="s">
        <v>2779</v>
      </c>
      <c r="GG86" s="199">
        <v>5</v>
      </c>
      <c r="GH86" s="207">
        <f t="shared" si="200"/>
        <v>405.95</v>
      </c>
      <c r="GI86" s="199">
        <v>5</v>
      </c>
      <c r="GJ86" s="200">
        <f t="shared" si="217"/>
        <v>79.25</v>
      </c>
      <c r="GK86" s="63">
        <f t="shared" si="201"/>
        <v>-9.6999999999999886</v>
      </c>
      <c r="GL86" s="63">
        <f t="shared" si="115"/>
        <v>2.7000000000000455</v>
      </c>
      <c r="GM86" s="82" t="str">
        <f t="shared" si="202"/>
        <v/>
      </c>
      <c r="GN86" s="82">
        <f>IF($GZ86="",#N/A,SUM(GM$4:GM86))</f>
        <v>12.00212549875952</v>
      </c>
      <c r="GO86" s="82">
        <f t="shared" si="203"/>
        <v>0.11085109003572055</v>
      </c>
      <c r="GP86" s="82">
        <f>IF($GZ86="",#N/A,SUM(GO$4:GO86))</f>
        <v>9.9227383744273006</v>
      </c>
      <c r="GQ86" s="82" t="str">
        <f t="shared" si="204"/>
        <v/>
      </c>
      <c r="GR86" s="82">
        <f>IF($GZ86="",#N/A,SUM(GQ$4:GQ86))</f>
        <v>6.281589977960623</v>
      </c>
      <c r="GS86" s="63" t="str">
        <f t="shared" si="212"/>
        <v/>
      </c>
      <c r="GT86" s="63">
        <f>IF($GZ86="",#N/A,SUM(GS$4:GS86))</f>
        <v>275.91992882574215</v>
      </c>
      <c r="GU86" s="63">
        <f t="shared" si="213"/>
        <v>2.7000000000000455</v>
      </c>
      <c r="GV86" s="63">
        <f>IF($GZ86="",#N/A,SUM(GU$4:GU86))</f>
        <v>263.95289430539287</v>
      </c>
      <c r="GW86" s="63" t="str">
        <f t="shared" si="214"/>
        <v/>
      </c>
      <c r="GX86" s="63">
        <f>IF($GZ86="",#N/A,SUM(GW$4:GW86))</f>
        <v>167.16051890409477</v>
      </c>
      <c r="GY86" s="63">
        <f>IF(EJ86="",#N/A,SUM($EJ$4:EJ86))</f>
        <v>720.7733420352298</v>
      </c>
      <c r="GZ86" s="159">
        <v>81.73</v>
      </c>
      <c r="HA86" s="63">
        <f t="shared" si="205"/>
        <v>12.400000000000034</v>
      </c>
      <c r="HB86" s="62" t="s">
        <v>4735</v>
      </c>
      <c r="HC86" s="60">
        <f>IFERROR(VLOOKUP(E86,Expectancy!$P$4:$S$19,1+C86,FALSE),"")</f>
        <v>-7.9483352726509887E-2</v>
      </c>
      <c r="HD86" s="82">
        <f t="shared" si="206"/>
        <v>0.11085109003572055</v>
      </c>
      <c r="HE86" s="60">
        <f>IF(HD86="",#N/A,SUM($HD$4:HD86))</f>
        <v>1.7782401699841741</v>
      </c>
      <c r="HF86" s="85">
        <f>IF(HD86="",#N/A,IF(HB86="Skip",#N/A,SUM($HG$4:HG86)))</f>
        <v>57.030000000000086</v>
      </c>
      <c r="HG86" s="63">
        <f t="shared" si="207"/>
        <v>2.7000000000000455</v>
      </c>
      <c r="HH86" s="82">
        <f t="shared" si="208"/>
        <v>0.11085109003572055</v>
      </c>
    </row>
    <row r="87" spans="1:220" x14ac:dyDescent="0.25">
      <c r="A87" s="57" t="s">
        <v>1424</v>
      </c>
      <c r="B87" s="58" t="s">
        <v>5144</v>
      </c>
      <c r="C87" s="386">
        <f t="shared" si="118"/>
        <v>3</v>
      </c>
      <c r="D87" s="372" t="str">
        <f>_xlfn.XLOOKUP(A87,[1]SP500!$A$2:$A$502,[1]SP500!$D$2:$D$502,"N")</f>
        <v>N</v>
      </c>
      <c r="E87" s="57" t="e">
        <f>_xlfn.XLOOKUP(A87,[1]SP500!$A$2:$A$655,[1]SP500!$B$2:$B$655)</f>
        <v>#N/A</v>
      </c>
      <c r="F87" s="59">
        <v>45686</v>
      </c>
      <c r="G87" s="57" t="str">
        <f t="shared" si="119"/>
        <v>BMO</v>
      </c>
      <c r="H87" s="57" t="str">
        <f t="shared" si="120"/>
        <v>s</v>
      </c>
      <c r="I87" s="159">
        <v>145.05000000000001</v>
      </c>
      <c r="J87" s="159">
        <v>144</v>
      </c>
      <c r="K87" s="61">
        <f t="shared" si="121"/>
        <v>-7.2388831437436149E-3</v>
      </c>
      <c r="L87" s="87">
        <f t="shared" si="122"/>
        <v>-3.1500000000000341</v>
      </c>
      <c r="M87" s="130" t="e">
        <f t="shared" si="112"/>
        <v>#N/A</v>
      </c>
      <c r="N87" s="169" t="str">
        <f t="shared" si="123"/>
        <v/>
      </c>
      <c r="O87" s="169">
        <f>IF($J87="",#N/A,SUM($N$4:N87))</f>
        <v>135.59894778873002</v>
      </c>
      <c r="P87" s="174" t="str">
        <f t="shared" si="124"/>
        <v/>
      </c>
      <c r="Q87" s="174">
        <f>IF($J87="",#N/A,SUM($P$4:P87))</f>
        <v>79.036464916880902</v>
      </c>
      <c r="R87" s="178">
        <f t="shared" si="125"/>
        <v>-3.1500000000000341</v>
      </c>
      <c r="S87" s="178">
        <f>IF($J87="",#N/A,SUM($R$4:R87))</f>
        <v>260.16979674373209</v>
      </c>
      <c r="T87" s="290" t="str">
        <f t="shared" si="126"/>
        <v/>
      </c>
      <c r="U87" s="290">
        <f>IF($J87="",#N/A,SUM($T$4:T87))</f>
        <v>4.6123081557565691</v>
      </c>
      <c r="V87" s="291" t="str">
        <f t="shared" si="127"/>
        <v/>
      </c>
      <c r="W87" s="291">
        <f>IF($J87="",#N/A,SUM($V$4:V87))</f>
        <v>2.9451096097899687</v>
      </c>
      <c r="X87" s="292">
        <f t="shared" si="128"/>
        <v>-0.12064805239572692</v>
      </c>
      <c r="Y87" s="283">
        <f>IF($J87="",#N/A,SUM($X$4:X87))</f>
        <v>11.10186145703987</v>
      </c>
      <c r="Z87" s="304" t="e">
        <f t="shared" si="129"/>
        <v>#N/A</v>
      </c>
      <c r="AA87" s="313" t="e">
        <f>IF($J87="",#N/A,SUM(Z$4:Z87))</f>
        <v>#N/A</v>
      </c>
      <c r="AB87" s="314" t="e">
        <f t="shared" si="130"/>
        <v>#N/A</v>
      </c>
      <c r="AC87" s="314" t="e">
        <f>IF($J87="",#N/A,SUM(AB$4:AB87))</f>
        <v>#N/A</v>
      </c>
      <c r="AD87" s="315" t="e">
        <f t="shared" si="131"/>
        <v>#N/A</v>
      </c>
      <c r="AE87" s="315" t="e">
        <f>IF($J87="",#N/A,SUM(AD$4:AD87))</f>
        <v>#N/A</v>
      </c>
      <c r="AF87" s="315" t="e">
        <f>IF($J87="",#N/A,SUM(AD$4:AD87,AB$4:AB87,Z$4:Z87))</f>
        <v>#N/A</v>
      </c>
      <c r="AG87" s="304" t="e">
        <f t="shared" si="132"/>
        <v>#N/A</v>
      </c>
      <c r="AH87" s="313" t="e">
        <f>IF($J87="",#N/A,SUM(AG$4:AG87))</f>
        <v>#N/A</v>
      </c>
      <c r="AI87" s="314" t="e">
        <f t="shared" si="133"/>
        <v>#N/A</v>
      </c>
      <c r="AJ87" s="314" t="e">
        <f>IF($J87="",#N/A,SUM(AI$4:AI87))</f>
        <v>#N/A</v>
      </c>
      <c r="AK87" s="315" t="e">
        <f t="shared" si="134"/>
        <v>#N/A</v>
      </c>
      <c r="AL87" s="315" t="e">
        <f>IF($J87="",#N/A,SUM(AK$4:AK87))</f>
        <v>#N/A</v>
      </c>
      <c r="AM87" s="315" t="e">
        <f>IF($J87="",#N/A,SUM(AK$4:AK87,AI$4:AI87,AG$4:AG87))</f>
        <v>#N/A</v>
      </c>
      <c r="AN87" s="304" t="e">
        <f t="shared" si="135"/>
        <v>#N/A</v>
      </c>
      <c r="AO87" s="313" t="e">
        <f>IF($J87="",#N/A,SUM(AN$4:AN87))</f>
        <v>#N/A</v>
      </c>
      <c r="AP87" s="314" t="e">
        <f t="shared" si="136"/>
        <v>#N/A</v>
      </c>
      <c r="AQ87" s="314" t="e">
        <f>IF($J87="",#N/A,SUM(AP$4:AP87))</f>
        <v>#N/A</v>
      </c>
      <c r="AR87" s="315" t="e">
        <f t="shared" si="137"/>
        <v>#N/A</v>
      </c>
      <c r="AS87" s="315" t="e">
        <f>IF($J87="",#N/A,SUM(AR$4:AR87))</f>
        <v>#N/A</v>
      </c>
      <c r="AT87" s="315" t="e">
        <f>IF($J87="",#N/A,SUM(AR$4:AR87,AP$4:AP87,AN$4:AN87))</f>
        <v>#N/A</v>
      </c>
      <c r="AU87" s="304" t="e">
        <f t="shared" si="138"/>
        <v>#N/A</v>
      </c>
      <c r="AV87" s="313" t="e">
        <f>IF($J87="",#N/A,SUM(AU$4:AU87))</f>
        <v>#N/A</v>
      </c>
      <c r="AW87" s="314" t="e">
        <f t="shared" si="139"/>
        <v>#N/A</v>
      </c>
      <c r="AX87" s="314" t="e">
        <f>IF($J87="",#N/A,SUM(AW$4:AW87))</f>
        <v>#N/A</v>
      </c>
      <c r="AY87" s="315" t="e">
        <f t="shared" si="140"/>
        <v>#N/A</v>
      </c>
      <c r="AZ87" s="315" t="e">
        <f>IF($J87="",#N/A,SUM(AY$4:AY87))</f>
        <v>#N/A</v>
      </c>
      <c r="BA87" s="315" t="e">
        <f>IF($J87="",#N/A,SUM(AY$4:AY87,AW$4:AW87,AU$4:AU87))</f>
        <v>#N/A</v>
      </c>
      <c r="BB87" s="304" t="e">
        <f t="shared" si="141"/>
        <v>#N/A</v>
      </c>
      <c r="BC87" s="313" t="e">
        <f>IF($J87="",#N/A,SUM(BB$4:BB87))</f>
        <v>#N/A</v>
      </c>
      <c r="BD87" s="314" t="e">
        <f t="shared" si="142"/>
        <v>#N/A</v>
      </c>
      <c r="BE87" s="314" t="e">
        <f>IF($J87="",#N/A,SUM(BD$4:BD87))</f>
        <v>#N/A</v>
      </c>
      <c r="BF87" s="315" t="e">
        <f t="shared" si="143"/>
        <v>#N/A</v>
      </c>
      <c r="BG87" s="315" t="e">
        <f>IF($J87="",#N/A,SUM(BF$4:BF87))</f>
        <v>#N/A</v>
      </c>
      <c r="BH87" s="315" t="e">
        <f>IF($J87="",#N/A,SUM(BF$4:BF87,BD$4:BD87,BB$4:BB87))</f>
        <v>#N/A</v>
      </c>
      <c r="BI87" s="304" t="e">
        <f t="shared" si="144"/>
        <v>#N/A</v>
      </c>
      <c r="BJ87" s="313" t="e">
        <f>IF($J87="",#N/A,SUM(BI$4:BI87))</f>
        <v>#N/A</v>
      </c>
      <c r="BK87" s="314" t="e">
        <f t="shared" si="145"/>
        <v>#N/A</v>
      </c>
      <c r="BL87" s="314" t="e">
        <f>IF($J87="",#N/A,SUM(BK$4:BK87))</f>
        <v>#N/A</v>
      </c>
      <c r="BM87" s="315" t="e">
        <f t="shared" si="146"/>
        <v>#N/A</v>
      </c>
      <c r="BN87" s="315" t="e">
        <f>IF($J87="",#N/A,SUM(BM$4:BM87))</f>
        <v>#N/A</v>
      </c>
      <c r="BO87" s="315" t="e">
        <f>IF($J87="",#N/A,SUM(BM$4:BM87,BK$4:BK87,BI$4:BI87))</f>
        <v>#N/A</v>
      </c>
      <c r="BP87" s="304" t="e">
        <f t="shared" si="147"/>
        <v>#N/A</v>
      </c>
      <c r="BQ87" s="313" t="e">
        <f>IF($J87="",#N/A,SUM(BP$4:BP87))</f>
        <v>#N/A</v>
      </c>
      <c r="BR87" s="314" t="e">
        <f t="shared" si="148"/>
        <v>#N/A</v>
      </c>
      <c r="BS87" s="314" t="e">
        <f>IF($J87="",#N/A,SUM(BR$4:BR87))</f>
        <v>#N/A</v>
      </c>
      <c r="BT87" s="315" t="e">
        <f t="shared" si="149"/>
        <v>#N/A</v>
      </c>
      <c r="BU87" s="315" t="e">
        <f>IF($J87="",#N/A,SUM(BT$4:BT87))</f>
        <v>#N/A</v>
      </c>
      <c r="BV87" s="315" t="e">
        <f>IF($J87="",#N/A,SUM(BT$4:BT87,BR$4:BR87,BP$4:BP87))</f>
        <v>#N/A</v>
      </c>
      <c r="BW87" s="304" t="e">
        <f t="shared" si="150"/>
        <v>#N/A</v>
      </c>
      <c r="BX87" s="313" t="e">
        <f>IF($J87="",#N/A,SUM(BW$4:BW87))</f>
        <v>#N/A</v>
      </c>
      <c r="BY87" s="314" t="e">
        <f t="shared" si="151"/>
        <v>#N/A</v>
      </c>
      <c r="BZ87" s="314" t="e">
        <f>IF($J87="",#N/A,SUM(BY$4:BY87))</f>
        <v>#N/A</v>
      </c>
      <c r="CA87" s="315" t="e">
        <f t="shared" si="152"/>
        <v>#N/A</v>
      </c>
      <c r="CB87" s="315" t="e">
        <f>IF($J87="",#N/A,SUM(CA$4:CA87))</f>
        <v>#N/A</v>
      </c>
      <c r="CC87" s="315" t="e">
        <f>IF($J87="",#N/A,SUM(CA$4:CA87,BY$4:BY87,BW$4:BW87))</f>
        <v>#N/A</v>
      </c>
      <c r="CD87" s="304" t="e">
        <f t="shared" si="153"/>
        <v>#N/A</v>
      </c>
      <c r="CE87" s="313" t="e">
        <f>IF($J87="",#N/A,SUM(CD$4:CD87))</f>
        <v>#N/A</v>
      </c>
      <c r="CF87" s="314" t="e">
        <f t="shared" si="154"/>
        <v>#N/A</v>
      </c>
      <c r="CG87" s="314" t="e">
        <f>IF($J87="",#N/A,SUM(CF$4:CF87))</f>
        <v>#N/A</v>
      </c>
      <c r="CH87" s="315" t="e">
        <f t="shared" si="155"/>
        <v>#N/A</v>
      </c>
      <c r="CI87" s="315" t="e">
        <f>IF($J87="",#N/A,SUM(CH$4:CH87))</f>
        <v>#N/A</v>
      </c>
      <c r="CJ87" s="315" t="e">
        <f>IF($J87="",#N/A,SUM(CH$4:CH87,CF$4:CF87,CD$4:CD87))</f>
        <v>#N/A</v>
      </c>
      <c r="CK87" s="304" t="e">
        <f t="shared" si="156"/>
        <v>#N/A</v>
      </c>
      <c r="CL87" s="313" t="e">
        <f>IF($J87="",#N/A,SUM(CK$4:CK87))</f>
        <v>#N/A</v>
      </c>
      <c r="CM87" s="314" t="e">
        <f t="shared" si="157"/>
        <v>#N/A</v>
      </c>
      <c r="CN87" s="314" t="e">
        <f>IF($J87="",#N/A,SUM(CM$4:CM87))</f>
        <v>#N/A</v>
      </c>
      <c r="CO87" s="315" t="e">
        <f t="shared" si="158"/>
        <v>#N/A</v>
      </c>
      <c r="CP87" s="315" t="e">
        <f>IF($J87="",#N/A,SUM(CO$4:CO87))</f>
        <v>#N/A</v>
      </c>
      <c r="CQ87" s="315" t="e">
        <f>IF($J87="",#N/A,SUM(CO$4:CO87,CM$4:CM87,CK$4:CK87))</f>
        <v>#N/A</v>
      </c>
      <c r="CR87" s="304" t="e">
        <f t="shared" si="159"/>
        <v>#N/A</v>
      </c>
      <c r="CS87" s="313" t="e">
        <f>IF($J87="",#N/A,SUM(CR$4:CR87))</f>
        <v>#N/A</v>
      </c>
      <c r="CT87" s="314" t="e">
        <f t="shared" si="160"/>
        <v>#N/A</v>
      </c>
      <c r="CU87" s="314" t="e">
        <f>IF($J87="",#N/A,SUM(CT$4:CT87))</f>
        <v>#N/A</v>
      </c>
      <c r="CV87" s="315" t="e">
        <f t="shared" si="161"/>
        <v>#N/A</v>
      </c>
      <c r="CW87" s="315" t="e">
        <f>IF($J87="",#N/A,SUM(CV$4:CV87))</f>
        <v>#N/A</v>
      </c>
      <c r="CX87" s="315" t="e">
        <f>IF($J87="",#N/A,SUM(CV$4:CV87,CT$4:CT87,CR$4:CR87))</f>
        <v>#N/A</v>
      </c>
      <c r="CY87" s="304" t="e">
        <f t="shared" si="162"/>
        <v>#N/A</v>
      </c>
      <c r="CZ87" s="313" t="e">
        <f>IF($J87="",#N/A,SUM(CY$4:CY87))</f>
        <v>#N/A</v>
      </c>
      <c r="DA87" s="314" t="e">
        <f t="shared" si="163"/>
        <v>#N/A</v>
      </c>
      <c r="DB87" s="314" t="e">
        <f>IF($J87="",#N/A,SUM(DA$4:DA87))</f>
        <v>#N/A</v>
      </c>
      <c r="DC87" s="315" t="e">
        <f t="shared" si="164"/>
        <v>#N/A</v>
      </c>
      <c r="DD87" s="315" t="e">
        <f>IF($J87="",#N/A,SUM(DC$4:DC87))</f>
        <v>#N/A</v>
      </c>
      <c r="DE87" s="315" t="e">
        <f>IF($J87="",#N/A,SUM(DC$4:DC87,DA$4:DA87,CY$4:CY87))</f>
        <v>#N/A</v>
      </c>
      <c r="DF87" s="304" t="e">
        <f t="shared" si="165"/>
        <v>#N/A</v>
      </c>
      <c r="DG87" s="313" t="e">
        <f>IF($J87="",#N/A,SUM(DF$4:DF87))</f>
        <v>#N/A</v>
      </c>
      <c r="DH87" s="314" t="e">
        <f t="shared" si="166"/>
        <v>#N/A</v>
      </c>
      <c r="DI87" s="314" t="e">
        <f>IF($J87="",#N/A,SUM(DH$4:DH87))</f>
        <v>#N/A</v>
      </c>
      <c r="DJ87" s="315" t="e">
        <f t="shared" si="167"/>
        <v>#N/A</v>
      </c>
      <c r="DK87" s="315" t="e">
        <f>IF($J87="",#N/A,SUM(DJ$4:DJ87))</f>
        <v>#N/A</v>
      </c>
      <c r="DL87" s="315" t="e">
        <f>IF($J87="",#N/A,SUM(DJ$4:DJ87,DH$4:DH87,DF$4:DF87))</f>
        <v>#N/A</v>
      </c>
      <c r="DM87" s="304" t="e">
        <f t="shared" si="168"/>
        <v>#N/A</v>
      </c>
      <c r="DN87" s="313" t="e">
        <f>IF($J87="",#N/A,SUM(DM$4:DM87))</f>
        <v>#N/A</v>
      </c>
      <c r="DO87" s="314" t="e">
        <f t="shared" si="169"/>
        <v>#N/A</v>
      </c>
      <c r="DP87" s="314" t="e">
        <f>IF($J87="",#N/A,SUM(DO$4:DO87))</f>
        <v>#N/A</v>
      </c>
      <c r="DQ87" s="315" t="e">
        <f t="shared" si="170"/>
        <v>#N/A</v>
      </c>
      <c r="DR87" s="315" t="e">
        <f>IF($J87="",#N/A,SUM(DQ$4:DQ87))</f>
        <v>#N/A</v>
      </c>
      <c r="DS87" s="315" t="e">
        <f>IF($J87="",#N/A,SUM(DQ$4:DQ87,DO$4:DO87,DM$4:DM87))</f>
        <v>#N/A</v>
      </c>
      <c r="DT87" s="304" t="e">
        <f t="shared" si="171"/>
        <v>#N/A</v>
      </c>
      <c r="DU87" s="313" t="e">
        <f>IF($J87="",#N/A,SUM(DT$4:DT87))</f>
        <v>#N/A</v>
      </c>
      <c r="DV87" s="314" t="e">
        <f t="shared" si="172"/>
        <v>#N/A</v>
      </c>
      <c r="DW87" s="314" t="e">
        <f>IF($J87="",#N/A,SUM(DV$4:DV87))</f>
        <v>#N/A</v>
      </c>
      <c r="DX87" s="315" t="e">
        <f t="shared" si="173"/>
        <v>#N/A</v>
      </c>
      <c r="DY87" s="315" t="e">
        <f>IF($J87="",#N/A,SUM(DX$4:DX87))</f>
        <v>#N/A</v>
      </c>
      <c r="DZ87" s="315" t="e">
        <f>IF($J87="",#N/A,SUM(DX$4:DX87,DV$4:DV87,DT$4:DT87))</f>
        <v>#N/A</v>
      </c>
      <c r="EA87" s="304" t="e">
        <f t="shared" si="174"/>
        <v>#N/A</v>
      </c>
      <c r="EB87" s="313" t="e">
        <f>IF($J87="",#N/A,SUM(EA$4:EA87))</f>
        <v>#N/A</v>
      </c>
      <c r="EC87" s="314" t="e">
        <f t="shared" si="175"/>
        <v>#N/A</v>
      </c>
      <c r="ED87" s="314" t="e">
        <f>IF($J87="",#N/A,SUM(EC$4:EC87))</f>
        <v>#N/A</v>
      </c>
      <c r="EE87" s="315" t="e">
        <f t="shared" si="176"/>
        <v>#N/A</v>
      </c>
      <c r="EF87" s="315" t="e">
        <f>IF($J87="",#N/A,SUM(EE$4:EE87))</f>
        <v>#N/A</v>
      </c>
      <c r="EG87" s="315" t="e">
        <f>IF($J87="",#N/A,SUM(EE$4:EE87,EC$4:EC87,EA$4:EA87))</f>
        <v>#N/A</v>
      </c>
      <c r="EH87" s="130">
        <f t="shared" si="177"/>
        <v>-3.1500000000000341</v>
      </c>
      <c r="EI87" s="63">
        <f>IF(EH87="",#N/A,SUM($EH$4:EH87))</f>
        <v>474.80520944934301</v>
      </c>
      <c r="EJ87" s="223" t="e">
        <f t="shared" si="178"/>
        <v>#N/A</v>
      </c>
      <c r="EK87" s="63" t="e">
        <f>IF($GZ87="",#N/A,SUM(EJ$4:EJ87))</f>
        <v>#N/A</v>
      </c>
      <c r="EL87" s="60" t="str">
        <f t="shared" si="209"/>
        <v/>
      </c>
      <c r="EM87" s="60" t="e">
        <f>IF(EL87="",NA(),SUM($EL$4:EL87))</f>
        <v>#N/A</v>
      </c>
      <c r="EN87" s="60" t="str">
        <f t="shared" si="179"/>
        <v/>
      </c>
      <c r="EO87" s="60" t="e">
        <f>IF(EN87="",NA(),SUM($EN$4:EN87))</f>
        <v>#N/A</v>
      </c>
      <c r="EP87" s="60" t="str">
        <f t="shared" si="180"/>
        <v/>
      </c>
      <c r="EQ87" s="60" t="e">
        <f>IF(EP87="",NA(),SUM($EP$4:EP87))</f>
        <v>#N/A</v>
      </c>
      <c r="ER87" s="60" t="str">
        <f t="shared" si="181"/>
        <v/>
      </c>
      <c r="ES87" s="60" t="e">
        <f>IF(ER87="",NA(),SUM($ER$4:ER87))</f>
        <v>#N/A</v>
      </c>
      <c r="ET87" s="60">
        <f t="shared" si="182"/>
        <v>-0.12064805239572692</v>
      </c>
      <c r="EU87" s="60">
        <f>IF(ET87="",NA(),SUM($ET$4:ET87))</f>
        <v>-0.12064805239572692</v>
      </c>
      <c r="EV87" s="60" t="str">
        <f t="shared" si="183"/>
        <v/>
      </c>
      <c r="EW87" s="60" t="e">
        <f>IF(EV87="",NA(),SUM($EV$4:EV87))</f>
        <v>#N/A</v>
      </c>
      <c r="EX87" s="60">
        <f t="shared" si="184"/>
        <v>-0.12064805239572692</v>
      </c>
      <c r="EY87" s="60">
        <f>IF(EX87="",NA(),SUM($EX$4:EX87))</f>
        <v>-0.12064805239572692</v>
      </c>
      <c r="EZ87" s="60" t="str">
        <f t="shared" si="185"/>
        <v/>
      </c>
      <c r="FA87" s="60" t="e">
        <f>IF(EZ87="",NA(),SUM($EZ$4:EZ87))</f>
        <v>#N/A</v>
      </c>
      <c r="FB87" s="246" t="str">
        <f t="shared" si="210"/>
        <v/>
      </c>
      <c r="FC87" s="246" t="e">
        <f>IF($FB87="",#N/A,SUM(FB$4:$FB87))</f>
        <v>#N/A</v>
      </c>
      <c r="FD87" s="60" t="str">
        <f t="shared" si="186"/>
        <v/>
      </c>
      <c r="FE87" s="60" t="e">
        <f>IF($FD87="",#N/A,SUM($FD$4:FD87))</f>
        <v>#N/A</v>
      </c>
      <c r="FF87" s="60" t="str">
        <f t="shared" si="187"/>
        <v/>
      </c>
      <c r="FG87" s="60" t="e">
        <f>IF($FF87="",#N/A,SUM($FF$4:FF87))</f>
        <v>#N/A</v>
      </c>
      <c r="FH87" s="60" t="str">
        <f t="shared" si="188"/>
        <v/>
      </c>
      <c r="FI87" s="60" t="e">
        <f>IF($FH87="",#N/A,SUM($FH$4:FH87))</f>
        <v>#N/A</v>
      </c>
      <c r="FJ87" s="60" t="str">
        <f t="shared" si="189"/>
        <v/>
      </c>
      <c r="FK87" s="60" t="e">
        <f>IF($FJ87="",#N/A,SUM($FJ$4:FJ87))</f>
        <v>#N/A</v>
      </c>
      <c r="FL87" s="60">
        <f t="shared" si="190"/>
        <v>0.13328737217051662</v>
      </c>
      <c r="FM87" s="60">
        <f>IF($FL87="",#N/A,SUM($FL$4:FL87))</f>
        <v>0.20888601926948597</v>
      </c>
      <c r="FN87" s="82">
        <f t="shared" si="191"/>
        <v>1.2639319774789692E-2</v>
      </c>
      <c r="FO87" s="82">
        <f>IF($FN87="",#N/A,SUM(FN$4:$FN87))</f>
        <v>28.844930125364581</v>
      </c>
      <c r="FP87" s="82">
        <f t="shared" si="211"/>
        <v>-0.12064805239572692</v>
      </c>
      <c r="FQ87" s="246">
        <f>IF($EH87="",#N/A,SUM($FP$4:FP87))</f>
        <v>18.659279222586413</v>
      </c>
      <c r="FR87" s="82">
        <f>IFERROR(FQ87/COUNTA($J$4:J87),#N/A)</f>
        <v>0.22213427645936207</v>
      </c>
      <c r="FS87" s="82">
        <f t="shared" ref="FS87:FS97" si="219">IFERROR(($FQ87-$FQ43)/COUNTA($J43:$J87),#N/A)</f>
        <v>9.6099815592860502E-2</v>
      </c>
      <c r="FT87" s="82">
        <f t="shared" si="218"/>
        <v>8.0357196512825718E-2</v>
      </c>
      <c r="FU87" s="337">
        <f t="shared" si="113"/>
        <v>2.3383997328274493</v>
      </c>
      <c r="FV87" s="57" t="str">
        <f t="shared" si="192"/>
        <v>SW</v>
      </c>
      <c r="FW87" s="57" t="s">
        <v>2732</v>
      </c>
      <c r="FX87" s="57" t="str">
        <f t="shared" si="193"/>
        <v/>
      </c>
      <c r="FY87" s="57" t="str">
        <f t="shared" si="194"/>
        <v/>
      </c>
      <c r="FZ87" s="57" t="str">
        <f t="shared" si="195"/>
        <v/>
      </c>
      <c r="GA87" s="57" t="str">
        <f t="shared" si="196"/>
        <v>Long</v>
      </c>
      <c r="GB87" s="57" t="str">
        <f t="shared" si="197"/>
        <v/>
      </c>
      <c r="GC87" s="57" t="str">
        <f t="shared" si="198"/>
        <v/>
      </c>
      <c r="GD87" s="57">
        <f t="shared" si="199"/>
        <v>1</v>
      </c>
      <c r="GE87" s="62">
        <f t="shared" si="114"/>
        <v>145.05000000000001</v>
      </c>
      <c r="GF87" s="62" t="s">
        <v>2779</v>
      </c>
      <c r="GG87" s="199">
        <v>3</v>
      </c>
      <c r="GH87" s="207">
        <f t="shared" si="200"/>
        <v>435.15000000000003</v>
      </c>
      <c r="GI87" s="199">
        <v>3</v>
      </c>
      <c r="GJ87" s="200">
        <f t="shared" si="217"/>
        <v>144</v>
      </c>
      <c r="GK87" s="63">
        <f t="shared" si="201"/>
        <v>-3.1500000000000341</v>
      </c>
      <c r="GL87" s="63">
        <f t="shared" si="115"/>
        <v>0.32999999999998408</v>
      </c>
      <c r="GM87" s="82">
        <f t="shared" si="202"/>
        <v>1.2639319774789692E-2</v>
      </c>
      <c r="GN87" s="82">
        <f>IF($GZ87="",#N/A,SUM(GM$4:GM87))</f>
        <v>12.01476481853431</v>
      </c>
      <c r="GO87" s="82" t="str">
        <f t="shared" si="203"/>
        <v/>
      </c>
      <c r="GP87" s="82">
        <f>IF($GZ87="",#N/A,SUM(GO$4:GO87))</f>
        <v>9.9227383744273006</v>
      </c>
      <c r="GQ87" s="82" t="str">
        <f t="shared" si="204"/>
        <v/>
      </c>
      <c r="GR87" s="82">
        <f>IF($GZ87="",#N/A,SUM(GQ$4:GQ87))</f>
        <v>6.281589977960623</v>
      </c>
      <c r="GS87" s="63" t="e">
        <f t="shared" si="212"/>
        <v>#N/A</v>
      </c>
      <c r="GT87" s="63" t="e">
        <f>IF($GZ87="",#N/A,SUM(GS$4:GS87))</f>
        <v>#N/A</v>
      </c>
      <c r="GU87" s="63" t="str">
        <f t="shared" si="213"/>
        <v/>
      </c>
      <c r="GV87" s="63">
        <f>IF($GZ87="",#N/A,SUM(GU$4:GU87))</f>
        <v>263.95289430539287</v>
      </c>
      <c r="GW87" s="63" t="str">
        <f t="shared" si="214"/>
        <v/>
      </c>
      <c r="GX87" s="63">
        <f>IF($GZ87="",#N/A,SUM(GW$4:GW87))</f>
        <v>167.16051890409477</v>
      </c>
      <c r="GY87" s="63" t="e">
        <f>IF(EJ87="",#N/A,SUM($EJ$4:EJ87))</f>
        <v>#N/A</v>
      </c>
      <c r="GZ87" s="159">
        <v>145.16</v>
      </c>
      <c r="HA87" s="63">
        <f t="shared" si="205"/>
        <v>3.4800000000000182</v>
      </c>
      <c r="HB87" s="62" t="s">
        <v>4735</v>
      </c>
      <c r="HC87" s="60" t="str">
        <f>IFERROR(VLOOKUP(E87,Expectancy!$P$4:$S$19,1+C87,FALSE),"")</f>
        <v/>
      </c>
      <c r="HD87" s="82">
        <f t="shared" si="206"/>
        <v>1.2639319774789692E-2</v>
      </c>
      <c r="HE87" s="60">
        <f>IF(HD87="",#N/A,SUM($HD$4:HD87))</f>
        <v>1.7908794897589637</v>
      </c>
      <c r="HF87" s="85">
        <f>IF(HD87="",#N/A,IF(HB87="Skip",#N/A,SUM($HG$4:HG87)))</f>
        <v>57.36000000000007</v>
      </c>
      <c r="HG87" s="63">
        <f t="shared" si="207"/>
        <v>0.32999999999998408</v>
      </c>
      <c r="HH87" s="82">
        <f t="shared" si="208"/>
        <v>1.2639319774789692E-2</v>
      </c>
    </row>
    <row r="88" spans="1:220" x14ac:dyDescent="0.25">
      <c r="A88" s="57" t="s">
        <v>1438</v>
      </c>
      <c r="B88" s="58" t="s">
        <v>5145</v>
      </c>
      <c r="C88" s="386">
        <f t="shared" si="118"/>
        <v>1</v>
      </c>
      <c r="D88" s="372" t="str">
        <f>_xlfn.XLOOKUP(A88,[1]SP500!$A$2:$A$502,[1]SP500!$D$2:$D$502,"N")</f>
        <v>Y</v>
      </c>
      <c r="E88" s="57" t="str">
        <f>_xlfn.XLOOKUP(A88,[1]SP500!$A$2:$A$655,[1]SP500!$B$2:$B$655)</f>
        <v>XLK</v>
      </c>
      <c r="F88" s="59">
        <v>45686</v>
      </c>
      <c r="G88" s="57" t="str">
        <f t="shared" si="119"/>
        <v>BMO</v>
      </c>
      <c r="H88" s="57" t="str">
        <f t="shared" si="120"/>
        <v>s</v>
      </c>
      <c r="I88" s="159">
        <v>51.23</v>
      </c>
      <c r="J88" s="159">
        <v>55.11</v>
      </c>
      <c r="K88" s="61">
        <f t="shared" si="121"/>
        <v>7.5736872926019966E-2</v>
      </c>
      <c r="L88" s="87">
        <f t="shared" si="122"/>
        <v>31.04000000000002</v>
      </c>
      <c r="M88" s="130" t="e">
        <f t="shared" si="112"/>
        <v>#N/A</v>
      </c>
      <c r="N88" s="169">
        <f t="shared" si="123"/>
        <v>31.04000000000002</v>
      </c>
      <c r="O88" s="169">
        <f>IF($J88="",#N/A,SUM($N$4:N88))</f>
        <v>166.63894778873004</v>
      </c>
      <c r="P88" s="174" t="str">
        <f t="shared" si="124"/>
        <v/>
      </c>
      <c r="Q88" s="174">
        <f>IF($J88="",#N/A,SUM($P$4:P88))</f>
        <v>79.036464916880902</v>
      </c>
      <c r="R88" s="178" t="str">
        <f t="shared" si="125"/>
        <v/>
      </c>
      <c r="S88" s="178">
        <f>IF($J88="",#N/A,SUM($R$4:R88))</f>
        <v>260.16979674373209</v>
      </c>
      <c r="T88" s="290">
        <f t="shared" si="126"/>
        <v>1.262281215433666</v>
      </c>
      <c r="U88" s="290">
        <f>IF($J88="",#N/A,SUM($T$4:T88))</f>
        <v>5.8745893711902353</v>
      </c>
      <c r="V88" s="291" t="str">
        <f t="shared" si="127"/>
        <v/>
      </c>
      <c r="W88" s="291">
        <f>IF($J88="",#N/A,SUM($V$4:V88))</f>
        <v>2.9451096097899687</v>
      </c>
      <c r="X88" s="292" t="str">
        <f t="shared" si="128"/>
        <v/>
      </c>
      <c r="Y88" s="283">
        <f>IF($J88="",#N/A,SUM($X$4:X88))</f>
        <v>11.10186145703987</v>
      </c>
      <c r="Z88" s="304">
        <f t="shared" si="129"/>
        <v>1.262281215433666</v>
      </c>
      <c r="AA88" s="313" t="e">
        <f>IF($J88="",#N/A,SUM(Z$4:Z88))</f>
        <v>#N/A</v>
      </c>
      <c r="AB88" s="314" t="str">
        <f t="shared" si="130"/>
        <v/>
      </c>
      <c r="AC88" s="314" t="e">
        <f>IF($J88="",#N/A,SUM(AB$4:AB88))</f>
        <v>#N/A</v>
      </c>
      <c r="AD88" s="315" t="str">
        <f t="shared" si="131"/>
        <v/>
      </c>
      <c r="AE88" s="315" t="e">
        <f>IF($J88="",#N/A,SUM(AD$4:AD88))</f>
        <v>#N/A</v>
      </c>
      <c r="AF88" s="315" t="e">
        <f>IF($J88="",#N/A,SUM(AD$4:AD88,AB$4:AB88,Z$4:Z88))</f>
        <v>#N/A</v>
      </c>
      <c r="AG88" s="304" t="str">
        <f t="shared" si="132"/>
        <v/>
      </c>
      <c r="AH88" s="313" t="e">
        <f>IF($J88="",#N/A,SUM(AG$4:AG88))</f>
        <v>#N/A</v>
      </c>
      <c r="AI88" s="314" t="str">
        <f t="shared" si="133"/>
        <v/>
      </c>
      <c r="AJ88" s="314" t="e">
        <f>IF($J88="",#N/A,SUM(AI$4:AI88))</f>
        <v>#N/A</v>
      </c>
      <c r="AK88" s="315" t="str">
        <f t="shared" si="134"/>
        <v/>
      </c>
      <c r="AL88" s="315" t="e">
        <f>IF($J88="",#N/A,SUM(AK$4:AK88))</f>
        <v>#N/A</v>
      </c>
      <c r="AM88" s="315" t="e">
        <f>IF($J88="",#N/A,SUM(AK$4:AK88,AI$4:AI88,AG$4:AG88))</f>
        <v>#N/A</v>
      </c>
      <c r="AN88" s="304" t="str">
        <f t="shared" si="135"/>
        <v/>
      </c>
      <c r="AO88" s="313" t="e">
        <f>IF($J88="",#N/A,SUM(AN$4:AN88))</f>
        <v>#N/A</v>
      </c>
      <c r="AP88" s="314" t="str">
        <f t="shared" si="136"/>
        <v/>
      </c>
      <c r="AQ88" s="314" t="e">
        <f>IF($J88="",#N/A,SUM(AP$4:AP88))</f>
        <v>#N/A</v>
      </c>
      <c r="AR88" s="315" t="str">
        <f t="shared" si="137"/>
        <v/>
      </c>
      <c r="AS88" s="315" t="e">
        <f>IF($J88="",#N/A,SUM(AR$4:AR88))</f>
        <v>#N/A</v>
      </c>
      <c r="AT88" s="315" t="e">
        <f>IF($J88="",#N/A,SUM(AR$4:AR88,AP$4:AP88,AN$4:AN88))</f>
        <v>#N/A</v>
      </c>
      <c r="AU88" s="304" t="str">
        <f t="shared" si="138"/>
        <v/>
      </c>
      <c r="AV88" s="313" t="e">
        <f>IF($J88="",#N/A,SUM(AU$4:AU88))</f>
        <v>#N/A</v>
      </c>
      <c r="AW88" s="314" t="str">
        <f t="shared" si="139"/>
        <v/>
      </c>
      <c r="AX88" s="314" t="e">
        <f>IF($J88="",#N/A,SUM(AW$4:AW88))</f>
        <v>#N/A</v>
      </c>
      <c r="AY88" s="315" t="str">
        <f t="shared" si="140"/>
        <v/>
      </c>
      <c r="AZ88" s="315" t="e">
        <f>IF($J88="",#N/A,SUM(AY$4:AY88))</f>
        <v>#N/A</v>
      </c>
      <c r="BA88" s="315" t="e">
        <f>IF($J88="",#N/A,SUM(AY$4:AY88,AW$4:AW88,AU$4:AU88))</f>
        <v>#N/A</v>
      </c>
      <c r="BB88" s="304" t="str">
        <f t="shared" si="141"/>
        <v/>
      </c>
      <c r="BC88" s="313" t="e">
        <f>IF($J88="",#N/A,SUM(BB$4:BB88))</f>
        <v>#N/A</v>
      </c>
      <c r="BD88" s="314" t="str">
        <f t="shared" si="142"/>
        <v/>
      </c>
      <c r="BE88" s="314" t="e">
        <f>IF($J88="",#N/A,SUM(BD$4:BD88))</f>
        <v>#N/A</v>
      </c>
      <c r="BF88" s="315" t="str">
        <f t="shared" si="143"/>
        <v/>
      </c>
      <c r="BG88" s="315" t="e">
        <f>IF($J88="",#N/A,SUM(BF$4:BF88))</f>
        <v>#N/A</v>
      </c>
      <c r="BH88" s="315" t="e">
        <f>IF($J88="",#N/A,SUM(BF$4:BF88,BD$4:BD88,BB$4:BB88))</f>
        <v>#N/A</v>
      </c>
      <c r="BI88" s="304" t="str">
        <f t="shared" si="144"/>
        <v/>
      </c>
      <c r="BJ88" s="313" t="e">
        <f>IF($J88="",#N/A,SUM(BI$4:BI88))</f>
        <v>#N/A</v>
      </c>
      <c r="BK88" s="314" t="str">
        <f t="shared" si="145"/>
        <v/>
      </c>
      <c r="BL88" s="314" t="e">
        <f>IF($J88="",#N/A,SUM(BK$4:BK88))</f>
        <v>#N/A</v>
      </c>
      <c r="BM88" s="315" t="str">
        <f t="shared" si="146"/>
        <v/>
      </c>
      <c r="BN88" s="315" t="e">
        <f>IF($J88="",#N/A,SUM(BM$4:BM88))</f>
        <v>#N/A</v>
      </c>
      <c r="BO88" s="315" t="e">
        <f>IF($J88="",#N/A,SUM(BM$4:BM88,BK$4:BK88,BI$4:BI88))</f>
        <v>#N/A</v>
      </c>
      <c r="BP88" s="304" t="str">
        <f t="shared" si="147"/>
        <v/>
      </c>
      <c r="BQ88" s="313" t="e">
        <f>IF($J88="",#N/A,SUM(BP$4:BP88))</f>
        <v>#N/A</v>
      </c>
      <c r="BR88" s="314" t="str">
        <f t="shared" si="148"/>
        <v/>
      </c>
      <c r="BS88" s="314" t="e">
        <f>IF($J88="",#N/A,SUM(BR$4:BR88))</f>
        <v>#N/A</v>
      </c>
      <c r="BT88" s="315" t="str">
        <f t="shared" si="149"/>
        <v/>
      </c>
      <c r="BU88" s="315" t="e">
        <f>IF($J88="",#N/A,SUM(BT$4:BT88))</f>
        <v>#N/A</v>
      </c>
      <c r="BV88" s="315" t="e">
        <f>IF($J88="",#N/A,SUM(BT$4:BT88,BR$4:BR88,BP$4:BP88))</f>
        <v>#N/A</v>
      </c>
      <c r="BW88" s="304" t="str">
        <f t="shared" si="150"/>
        <v/>
      </c>
      <c r="BX88" s="313" t="e">
        <f>IF($J88="",#N/A,SUM(BW$4:BW88))</f>
        <v>#N/A</v>
      </c>
      <c r="BY88" s="314" t="str">
        <f t="shared" si="151"/>
        <v/>
      </c>
      <c r="BZ88" s="314" t="e">
        <f>IF($J88="",#N/A,SUM(BY$4:BY88))</f>
        <v>#N/A</v>
      </c>
      <c r="CA88" s="315" t="str">
        <f t="shared" si="152"/>
        <v/>
      </c>
      <c r="CB88" s="315" t="e">
        <f>IF($J88="",#N/A,SUM(CA$4:CA88))</f>
        <v>#N/A</v>
      </c>
      <c r="CC88" s="315" t="e">
        <f>IF($J88="",#N/A,SUM(CA$4:CA88,BY$4:BY88,BW$4:BW88))</f>
        <v>#N/A</v>
      </c>
      <c r="CD88" s="304" t="str">
        <f t="shared" si="153"/>
        <v/>
      </c>
      <c r="CE88" s="313" t="e">
        <f>IF($J88="",#N/A,SUM(CD$4:CD88))</f>
        <v>#N/A</v>
      </c>
      <c r="CF88" s="314" t="str">
        <f t="shared" si="154"/>
        <v/>
      </c>
      <c r="CG88" s="314" t="e">
        <f>IF($J88="",#N/A,SUM(CF$4:CF88))</f>
        <v>#N/A</v>
      </c>
      <c r="CH88" s="315" t="str">
        <f t="shared" si="155"/>
        <v/>
      </c>
      <c r="CI88" s="315" t="e">
        <f>IF($J88="",#N/A,SUM(CH$4:CH88))</f>
        <v>#N/A</v>
      </c>
      <c r="CJ88" s="315" t="e">
        <f>IF($J88="",#N/A,SUM(CH$4:CH88,CF$4:CF88,CD$4:CD88))</f>
        <v>#N/A</v>
      </c>
      <c r="CK88" s="304" t="str">
        <f t="shared" si="156"/>
        <v/>
      </c>
      <c r="CL88" s="313" t="e">
        <f>IF($J88="",#N/A,SUM(CK$4:CK88))</f>
        <v>#N/A</v>
      </c>
      <c r="CM88" s="314" t="str">
        <f t="shared" si="157"/>
        <v/>
      </c>
      <c r="CN88" s="314" t="e">
        <f>IF($J88="",#N/A,SUM(CM$4:CM88))</f>
        <v>#N/A</v>
      </c>
      <c r="CO88" s="315" t="str">
        <f t="shared" si="158"/>
        <v/>
      </c>
      <c r="CP88" s="315" t="e">
        <f>IF($J88="",#N/A,SUM(CO$4:CO88))</f>
        <v>#N/A</v>
      </c>
      <c r="CQ88" s="315" t="e">
        <f>IF($J88="",#N/A,SUM(CO$4:CO88,CM$4:CM88,CK$4:CK88))</f>
        <v>#N/A</v>
      </c>
      <c r="CR88" s="304" t="str">
        <f t="shared" si="159"/>
        <v/>
      </c>
      <c r="CS88" s="313" t="e">
        <f>IF($J88="",#N/A,SUM(CR$4:CR88))</f>
        <v>#N/A</v>
      </c>
      <c r="CT88" s="314" t="str">
        <f t="shared" si="160"/>
        <v/>
      </c>
      <c r="CU88" s="314" t="e">
        <f>IF($J88="",#N/A,SUM(CT$4:CT88))</f>
        <v>#N/A</v>
      </c>
      <c r="CV88" s="315" t="str">
        <f t="shared" si="161"/>
        <v/>
      </c>
      <c r="CW88" s="315" t="e">
        <f>IF($J88="",#N/A,SUM(CV$4:CV88))</f>
        <v>#N/A</v>
      </c>
      <c r="CX88" s="315" t="e">
        <f>IF($J88="",#N/A,SUM(CV$4:CV88,CT$4:CT88,CR$4:CR88))</f>
        <v>#N/A</v>
      </c>
      <c r="CY88" s="304" t="str">
        <f t="shared" si="162"/>
        <v/>
      </c>
      <c r="CZ88" s="313" t="e">
        <f>IF($J88="",#N/A,SUM(CY$4:CY88))</f>
        <v>#N/A</v>
      </c>
      <c r="DA88" s="314" t="str">
        <f t="shared" si="163"/>
        <v/>
      </c>
      <c r="DB88" s="314" t="e">
        <f>IF($J88="",#N/A,SUM(DA$4:DA88))</f>
        <v>#N/A</v>
      </c>
      <c r="DC88" s="315" t="str">
        <f t="shared" si="164"/>
        <v/>
      </c>
      <c r="DD88" s="315" t="e">
        <f>IF($J88="",#N/A,SUM(DC$4:DC88))</f>
        <v>#N/A</v>
      </c>
      <c r="DE88" s="315" t="e">
        <f>IF($J88="",#N/A,SUM(DC$4:DC88,DA$4:DA88,CY$4:CY88))</f>
        <v>#N/A</v>
      </c>
      <c r="DF88" s="304" t="str">
        <f t="shared" si="165"/>
        <v/>
      </c>
      <c r="DG88" s="313" t="e">
        <f>IF($J88="",#N/A,SUM(DF$4:DF88))</f>
        <v>#N/A</v>
      </c>
      <c r="DH88" s="314" t="str">
        <f t="shared" si="166"/>
        <v/>
      </c>
      <c r="DI88" s="314" t="e">
        <f>IF($J88="",#N/A,SUM(DH$4:DH88))</f>
        <v>#N/A</v>
      </c>
      <c r="DJ88" s="315" t="str">
        <f t="shared" si="167"/>
        <v/>
      </c>
      <c r="DK88" s="315" t="e">
        <f>IF($J88="",#N/A,SUM(DJ$4:DJ88))</f>
        <v>#N/A</v>
      </c>
      <c r="DL88" s="315" t="e">
        <f>IF($J88="",#N/A,SUM(DJ$4:DJ88,DH$4:DH88,DF$4:DF88))</f>
        <v>#N/A</v>
      </c>
      <c r="DM88" s="304" t="str">
        <f t="shared" si="168"/>
        <v/>
      </c>
      <c r="DN88" s="313" t="e">
        <f>IF($J88="",#N/A,SUM(DM$4:DM88))</f>
        <v>#N/A</v>
      </c>
      <c r="DO88" s="314" t="str">
        <f t="shared" si="169"/>
        <v/>
      </c>
      <c r="DP88" s="314" t="e">
        <f>IF($J88="",#N/A,SUM(DO$4:DO88))</f>
        <v>#N/A</v>
      </c>
      <c r="DQ88" s="315" t="str">
        <f t="shared" si="170"/>
        <v/>
      </c>
      <c r="DR88" s="315" t="e">
        <f>IF($J88="",#N/A,SUM(DQ$4:DQ88))</f>
        <v>#N/A</v>
      </c>
      <c r="DS88" s="315" t="e">
        <f>IF($J88="",#N/A,SUM(DQ$4:DQ88,DO$4:DO88,DM$4:DM88))</f>
        <v>#N/A</v>
      </c>
      <c r="DT88" s="304" t="str">
        <f t="shared" si="171"/>
        <v/>
      </c>
      <c r="DU88" s="313" t="e">
        <f>IF($J88="",#N/A,SUM(DT$4:DT88))</f>
        <v>#N/A</v>
      </c>
      <c r="DV88" s="314" t="str">
        <f t="shared" si="172"/>
        <v/>
      </c>
      <c r="DW88" s="314" t="e">
        <f>IF($J88="",#N/A,SUM(DV$4:DV88))</f>
        <v>#N/A</v>
      </c>
      <c r="DX88" s="315" t="str">
        <f t="shared" si="173"/>
        <v/>
      </c>
      <c r="DY88" s="315" t="e">
        <f>IF($J88="",#N/A,SUM(DX$4:DX88))</f>
        <v>#N/A</v>
      </c>
      <c r="DZ88" s="315" t="e">
        <f>IF($J88="",#N/A,SUM(DX$4:DX88,DV$4:DV88,DT$4:DT88))</f>
        <v>#N/A</v>
      </c>
      <c r="EA88" s="304" t="str">
        <f t="shared" si="174"/>
        <v/>
      </c>
      <c r="EB88" s="313" t="e">
        <f>IF($J88="",#N/A,SUM(EA$4:EA88))</f>
        <v>#N/A</v>
      </c>
      <c r="EC88" s="314" t="str">
        <f t="shared" si="175"/>
        <v/>
      </c>
      <c r="ED88" s="314" t="e">
        <f>IF($J88="",#N/A,SUM(EC$4:EC88))</f>
        <v>#N/A</v>
      </c>
      <c r="EE88" s="315" t="str">
        <f t="shared" si="176"/>
        <v/>
      </c>
      <c r="EF88" s="315" t="e">
        <f>IF($J88="",#N/A,SUM(EE$4:EE88))</f>
        <v>#N/A</v>
      </c>
      <c r="EG88" s="315" t="e">
        <f>IF($J88="",#N/A,SUM(EE$4:EE88,EC$4:EC88,EA$4:EA88))</f>
        <v>#N/A</v>
      </c>
      <c r="EH88" s="130">
        <f t="shared" si="177"/>
        <v>31.04000000000002</v>
      </c>
      <c r="EI88" s="63">
        <f>IF(EH88="",#N/A,SUM($EH$4:EH88))</f>
        <v>505.84520944934303</v>
      </c>
      <c r="EJ88" s="223" t="e">
        <f t="shared" si="178"/>
        <v>#N/A</v>
      </c>
      <c r="EK88" s="63" t="e">
        <f>IF($GZ88="",#N/A,SUM(EJ$4:EJ88))</f>
        <v>#N/A</v>
      </c>
      <c r="EL88" s="60">
        <f t="shared" si="209"/>
        <v>1.262281215433666</v>
      </c>
      <c r="EM88" s="60">
        <f>IF(EL88="",NA(),SUM($EL$4:EL88))</f>
        <v>20.042208490415806</v>
      </c>
      <c r="EN88" s="60">
        <f t="shared" si="179"/>
        <v>1.262281215433666</v>
      </c>
      <c r="EO88" s="60">
        <f>IF(EN88="",NA(),SUM($EN$4:EN88))</f>
        <v>5.8745893711902353</v>
      </c>
      <c r="EP88" s="60" t="str">
        <f t="shared" si="180"/>
        <v/>
      </c>
      <c r="EQ88" s="60" t="e">
        <f>IF(EP88="",NA(),SUM($EP$4:EP88))</f>
        <v>#N/A</v>
      </c>
      <c r="ER88" s="60" t="str">
        <f t="shared" si="181"/>
        <v/>
      </c>
      <c r="ES88" s="60" t="e">
        <f>IF(ER88="",NA(),SUM($ER$4:ER88))</f>
        <v>#N/A</v>
      </c>
      <c r="ET88" s="60" t="str">
        <f t="shared" si="182"/>
        <v/>
      </c>
      <c r="EU88" s="60" t="e">
        <f>IF(ET88="",NA(),SUM($ET$4:ET88))</f>
        <v>#N/A</v>
      </c>
      <c r="EV88" s="60" t="str">
        <f t="shared" si="183"/>
        <v/>
      </c>
      <c r="EW88" s="60" t="e">
        <f>IF(EV88="",NA(),SUM($EV$4:EV88))</f>
        <v>#N/A</v>
      </c>
      <c r="EX88" s="60" t="str">
        <f t="shared" si="184"/>
        <v/>
      </c>
      <c r="EY88" s="60" t="e">
        <f>IF(EX88="",NA(),SUM($EX$4:EX88))</f>
        <v>#N/A</v>
      </c>
      <c r="EZ88" s="60" t="str">
        <f t="shared" si="185"/>
        <v/>
      </c>
      <c r="FA88" s="60" t="e">
        <f>IF(EZ88="",NA(),SUM($EZ$4:EZ88))</f>
        <v>#N/A</v>
      </c>
      <c r="FB88" s="246" t="str">
        <f t="shared" si="210"/>
        <v/>
      </c>
      <c r="FC88" s="246" t="e">
        <f>IF($FB88="",#N/A,SUM(FB$4:$FB88))</f>
        <v>#N/A</v>
      </c>
      <c r="FD88" s="60" t="str">
        <f t="shared" si="186"/>
        <v/>
      </c>
      <c r="FE88" s="60" t="e">
        <f>IF($FD88="",#N/A,SUM($FD$4:FD88))</f>
        <v>#N/A</v>
      </c>
      <c r="FF88" s="60">
        <f t="shared" si="187"/>
        <v>-1.7275034159672074</v>
      </c>
      <c r="FG88" s="60">
        <f>IF($FF88="",#N/A,SUM($FF$4:FF88))</f>
        <v>1.4060980385365083</v>
      </c>
      <c r="FH88" s="60" t="str">
        <f t="shared" si="188"/>
        <v/>
      </c>
      <c r="FI88" s="60" t="e">
        <f>IF($FH88="",#N/A,SUM($FH$4:FH88))</f>
        <v>#N/A</v>
      </c>
      <c r="FJ88" s="60" t="str">
        <f t="shared" si="189"/>
        <v/>
      </c>
      <c r="FK88" s="60" t="e">
        <f>IF($FJ88="",#N/A,SUM($FJ$4:FJ88))</f>
        <v>#N/A</v>
      </c>
      <c r="FL88" s="60" t="str">
        <f t="shared" si="190"/>
        <v/>
      </c>
      <c r="FM88" s="60" t="e">
        <f>IF($FL88="",#N/A,SUM($FL$4:FL88))</f>
        <v>#N/A</v>
      </c>
      <c r="FN88" s="82">
        <f t="shared" si="191"/>
        <v>-0.46522220053354146</v>
      </c>
      <c r="FO88" s="82">
        <f>IF($FN88="",#N/A,SUM(FN$4:$FN88))</f>
        <v>28.379707924831038</v>
      </c>
      <c r="FP88" s="82">
        <f t="shared" si="211"/>
        <v>1.262281215433666</v>
      </c>
      <c r="FQ88" s="246">
        <f>IF($EH88="",#N/A,SUM($FP$4:FP88))</f>
        <v>19.92156043802008</v>
      </c>
      <c r="FR88" s="82">
        <f>IFERROR(FQ88/COUNTA($J$4:J88),#N/A)</f>
        <v>0.23437129927082448</v>
      </c>
      <c r="FS88" s="82">
        <f t="shared" si="219"/>
        <v>0.11402027329017407</v>
      </c>
      <c r="FT88" s="82">
        <f t="shared" ref="FT88:FT103" si="220">IFERROR(($FQ88-$FQ67)/COUNTA($J67:$J88),#N/A)</f>
        <v>0.11113455791106959</v>
      </c>
      <c r="FU88" s="337">
        <f t="shared" si="113"/>
        <v>4.0659031487946589</v>
      </c>
      <c r="FV88" s="57" t="str">
        <f t="shared" si="192"/>
        <v>Up</v>
      </c>
      <c r="FW88" s="57" t="s">
        <v>2733</v>
      </c>
      <c r="FX88" s="57">
        <f t="shared" si="193"/>
        <v>1</v>
      </c>
      <c r="FY88" s="57" t="str">
        <f t="shared" si="194"/>
        <v/>
      </c>
      <c r="FZ88" s="57" t="str">
        <f t="shared" si="195"/>
        <v/>
      </c>
      <c r="GA88" s="57" t="str">
        <f t="shared" si="196"/>
        <v>Long</v>
      </c>
      <c r="GB88" s="57" t="str">
        <f t="shared" si="197"/>
        <v/>
      </c>
      <c r="GC88" s="57" t="str">
        <f t="shared" si="198"/>
        <v/>
      </c>
      <c r="GD88" s="57" t="str">
        <f t="shared" si="199"/>
        <v/>
      </c>
      <c r="GE88" s="62">
        <f t="shared" si="114"/>
        <v>51.23</v>
      </c>
      <c r="GF88" s="62" t="s">
        <v>2779</v>
      </c>
      <c r="GG88" s="199">
        <v>8</v>
      </c>
      <c r="GH88" s="207">
        <f t="shared" si="200"/>
        <v>409.84</v>
      </c>
      <c r="GI88" s="199">
        <v>8</v>
      </c>
      <c r="GJ88" s="200">
        <f t="shared" si="217"/>
        <v>55.11</v>
      </c>
      <c r="GK88" s="63">
        <f t="shared" si="201"/>
        <v>31.04000000000002</v>
      </c>
      <c r="GL88" s="63">
        <f t="shared" si="115"/>
        <v>-11.439999999999998</v>
      </c>
      <c r="GM88" s="82" t="str">
        <f t="shared" si="202"/>
        <v/>
      </c>
      <c r="GN88" s="82">
        <f>IF($GZ88="",#N/A,SUM(GM$4:GM88))</f>
        <v>12.01476481853431</v>
      </c>
      <c r="GO88" s="82">
        <f t="shared" si="203"/>
        <v>-0.46522220053354146</v>
      </c>
      <c r="GP88" s="82">
        <f>IF($GZ88="",#N/A,SUM(GO$4:GO88))</f>
        <v>9.4575161738937599</v>
      </c>
      <c r="GQ88" s="82" t="str">
        <f t="shared" si="204"/>
        <v/>
      </c>
      <c r="GR88" s="82">
        <f>IF($GZ88="",#N/A,SUM(GQ$4:GQ88))</f>
        <v>6.281589977960623</v>
      </c>
      <c r="GS88" s="63" t="str">
        <f t="shared" si="212"/>
        <v/>
      </c>
      <c r="GT88" s="63" t="e">
        <f>IF($GZ88="",#N/A,SUM(GS$4:GS88))</f>
        <v>#N/A</v>
      </c>
      <c r="GU88" s="63" t="e">
        <f t="shared" si="213"/>
        <v>#N/A</v>
      </c>
      <c r="GV88" s="63" t="e">
        <f>IF($GZ88="",#N/A,SUM(GU$4:GU88))</f>
        <v>#N/A</v>
      </c>
      <c r="GW88" s="63" t="str">
        <f t="shared" si="214"/>
        <v/>
      </c>
      <c r="GX88" s="63">
        <f>IF($GZ88="",#N/A,SUM(GW$4:GW88))</f>
        <v>167.16051890409477</v>
      </c>
      <c r="GY88" s="63" t="e">
        <f>IF(EJ88="",#N/A,SUM($EJ$4:EJ88))</f>
        <v>#N/A</v>
      </c>
      <c r="GZ88" s="159">
        <v>49.8</v>
      </c>
      <c r="HA88" s="63">
        <f t="shared" si="205"/>
        <v>-42.480000000000018</v>
      </c>
      <c r="HB88" s="62" t="s">
        <v>4735</v>
      </c>
      <c r="HC88" s="60">
        <f>IFERROR(VLOOKUP(E88,Expectancy!$P$4:$S$19,1+C88,FALSE),"")</f>
        <v>0.35290544702120547</v>
      </c>
      <c r="HD88" s="82">
        <f t="shared" si="206"/>
        <v>-0.46522220053354146</v>
      </c>
      <c r="HE88" s="60">
        <f>IF(HD88="",#N/A,SUM($HD$4:HD88))</f>
        <v>1.3256572892254224</v>
      </c>
      <c r="HF88" s="85">
        <f>IF(HD88="",#N/A,IF(HB88="Skip",#N/A,SUM($HG$4:HG88)))</f>
        <v>45.920000000000073</v>
      </c>
      <c r="HG88" s="63">
        <f t="shared" si="207"/>
        <v>-11.439999999999998</v>
      </c>
      <c r="HH88" s="82">
        <f t="shared" si="208"/>
        <v>-0.46522220053354146</v>
      </c>
    </row>
    <row r="89" spans="1:220" x14ac:dyDescent="0.25">
      <c r="A89" s="57" t="s">
        <v>1442</v>
      </c>
      <c r="B89" s="58" t="s">
        <v>5146</v>
      </c>
      <c r="C89" s="386">
        <f t="shared" si="118"/>
        <v>3</v>
      </c>
      <c r="D89" s="372" t="str">
        <f>_xlfn.XLOOKUP(A89,[1]SP500!$A$2:$A$502,[1]SP500!$D$2:$D$502,"N")</f>
        <v>Y</v>
      </c>
      <c r="E89" s="57" t="str">
        <f>_xlfn.XLOOKUP(A89,[1]SP500!$A$2:$A$655,[1]SP500!$B$2:$B$655)</f>
        <v>XLI</v>
      </c>
      <c r="F89" s="59">
        <v>45686</v>
      </c>
      <c r="G89" s="57" t="str">
        <f t="shared" si="119"/>
        <v>BMO</v>
      </c>
      <c r="H89" s="57" t="str">
        <f t="shared" si="120"/>
        <v>s</v>
      </c>
      <c r="I89" s="159">
        <v>95.87</v>
      </c>
      <c r="J89" s="159">
        <v>94.07</v>
      </c>
      <c r="K89" s="61">
        <f t="shared" si="121"/>
        <v>-1.8775425054761773E-2</v>
      </c>
      <c r="L89" s="87">
        <f t="shared" si="122"/>
        <v>-7.2000000000000455</v>
      </c>
      <c r="M89" s="130" t="e">
        <f t="shared" si="112"/>
        <v>#N/A</v>
      </c>
      <c r="N89" s="169" t="str">
        <f t="shared" si="123"/>
        <v/>
      </c>
      <c r="O89" s="169">
        <f>IF($J89="",#N/A,SUM($N$4:N89))</f>
        <v>166.63894778873004</v>
      </c>
      <c r="P89" s="174" t="str">
        <f t="shared" si="124"/>
        <v/>
      </c>
      <c r="Q89" s="174">
        <f>IF($J89="",#N/A,SUM($P$4:P89))</f>
        <v>79.036464916880902</v>
      </c>
      <c r="R89" s="178">
        <f t="shared" si="125"/>
        <v>-7.2000000000000455</v>
      </c>
      <c r="S89" s="178">
        <f>IF($J89="",#N/A,SUM($R$4:R89))</f>
        <v>252.96979674373205</v>
      </c>
      <c r="T89" s="290" t="str">
        <f t="shared" si="126"/>
        <v/>
      </c>
      <c r="U89" s="290">
        <f>IF($J89="",#N/A,SUM($T$4:T89))</f>
        <v>5.8745893711902353</v>
      </c>
      <c r="V89" s="291" t="str">
        <f t="shared" si="127"/>
        <v/>
      </c>
      <c r="W89" s="291">
        <f>IF($J89="",#N/A,SUM($V$4:V89))</f>
        <v>2.9451096097899687</v>
      </c>
      <c r="X89" s="292">
        <f t="shared" si="128"/>
        <v>-0.31292375091269625</v>
      </c>
      <c r="Y89" s="283">
        <f>IF($J89="",#N/A,SUM($X$4:X89))</f>
        <v>10.788937706127173</v>
      </c>
      <c r="Z89" s="304" t="str">
        <f t="shared" si="129"/>
        <v/>
      </c>
      <c r="AA89" s="313" t="e">
        <f>IF($J89="",#N/A,SUM(Z$4:Z89))</f>
        <v>#N/A</v>
      </c>
      <c r="AB89" s="314" t="str">
        <f t="shared" si="130"/>
        <v/>
      </c>
      <c r="AC89" s="314" t="e">
        <f>IF($J89="",#N/A,SUM(AB$4:AB89))</f>
        <v>#N/A</v>
      </c>
      <c r="AD89" s="315" t="str">
        <f t="shared" si="131"/>
        <v/>
      </c>
      <c r="AE89" s="315" t="e">
        <f>IF($J89="",#N/A,SUM(AD$4:AD89))</f>
        <v>#N/A</v>
      </c>
      <c r="AF89" s="315" t="e">
        <f>IF($J89="",#N/A,SUM(AD$4:AD89,AB$4:AB89,Z$4:Z89))</f>
        <v>#N/A</v>
      </c>
      <c r="AG89" s="304" t="str">
        <f t="shared" si="132"/>
        <v/>
      </c>
      <c r="AH89" s="313" t="e">
        <f>IF($J89="",#N/A,SUM(AG$4:AG89))</f>
        <v>#N/A</v>
      </c>
      <c r="AI89" s="314" t="str">
        <f t="shared" si="133"/>
        <v/>
      </c>
      <c r="AJ89" s="314" t="e">
        <f>IF($J89="",#N/A,SUM(AI$4:AI89))</f>
        <v>#N/A</v>
      </c>
      <c r="AK89" s="315" t="str">
        <f t="shared" si="134"/>
        <v/>
      </c>
      <c r="AL89" s="315" t="e">
        <f>IF($J89="",#N/A,SUM(AK$4:AK89))</f>
        <v>#N/A</v>
      </c>
      <c r="AM89" s="315" t="e">
        <f>IF($J89="",#N/A,SUM(AK$4:AK89,AI$4:AI89,AG$4:AG89))</f>
        <v>#N/A</v>
      </c>
      <c r="AN89" s="304" t="str">
        <f t="shared" si="135"/>
        <v/>
      </c>
      <c r="AO89" s="313" t="e">
        <f>IF($J89="",#N/A,SUM(AN$4:AN89))</f>
        <v>#N/A</v>
      </c>
      <c r="AP89" s="314" t="str">
        <f t="shared" si="136"/>
        <v/>
      </c>
      <c r="AQ89" s="314" t="e">
        <f>IF($J89="",#N/A,SUM(AP$4:AP89))</f>
        <v>#N/A</v>
      </c>
      <c r="AR89" s="315" t="str">
        <f t="shared" si="137"/>
        <v/>
      </c>
      <c r="AS89" s="315" t="e">
        <f>IF($J89="",#N/A,SUM(AR$4:AR89))</f>
        <v>#N/A</v>
      </c>
      <c r="AT89" s="315" t="e">
        <f>IF($J89="",#N/A,SUM(AR$4:AR89,AP$4:AP89,AN$4:AN89))</f>
        <v>#N/A</v>
      </c>
      <c r="AU89" s="304" t="str">
        <f t="shared" si="138"/>
        <v/>
      </c>
      <c r="AV89" s="313" t="e">
        <f>IF($J89="",#N/A,SUM(AU$4:AU89))</f>
        <v>#N/A</v>
      </c>
      <c r="AW89" s="314" t="str">
        <f t="shared" si="139"/>
        <v/>
      </c>
      <c r="AX89" s="314" t="e">
        <f>IF($J89="",#N/A,SUM(AW$4:AW89))</f>
        <v>#N/A</v>
      </c>
      <c r="AY89" s="315" t="str">
        <f t="shared" si="140"/>
        <v/>
      </c>
      <c r="AZ89" s="315" t="e">
        <f>IF($J89="",#N/A,SUM(AY$4:AY89))</f>
        <v>#N/A</v>
      </c>
      <c r="BA89" s="315" t="e">
        <f>IF($J89="",#N/A,SUM(AY$4:AY89,AW$4:AW89,AU$4:AU89))</f>
        <v>#N/A</v>
      </c>
      <c r="BB89" s="304" t="str">
        <f t="shared" si="141"/>
        <v/>
      </c>
      <c r="BC89" s="313" t="e">
        <f>IF($J89="",#N/A,SUM(BB$4:BB89))</f>
        <v>#N/A</v>
      </c>
      <c r="BD89" s="314" t="str">
        <f t="shared" si="142"/>
        <v/>
      </c>
      <c r="BE89" s="314" t="e">
        <f>IF($J89="",#N/A,SUM(BD$4:BD89))</f>
        <v>#N/A</v>
      </c>
      <c r="BF89" s="315" t="str">
        <f t="shared" si="143"/>
        <v/>
      </c>
      <c r="BG89" s="315" t="e">
        <f>IF($J89="",#N/A,SUM(BF$4:BF89))</f>
        <v>#N/A</v>
      </c>
      <c r="BH89" s="315" t="e">
        <f>IF($J89="",#N/A,SUM(BF$4:BF89,BD$4:BD89,BB$4:BB89))</f>
        <v>#N/A</v>
      </c>
      <c r="BI89" s="304" t="str">
        <f t="shared" si="144"/>
        <v/>
      </c>
      <c r="BJ89" s="313" t="e">
        <f>IF($J89="",#N/A,SUM(BI$4:BI89))</f>
        <v>#N/A</v>
      </c>
      <c r="BK89" s="314" t="str">
        <f t="shared" si="145"/>
        <v/>
      </c>
      <c r="BL89" s="314" t="e">
        <f>IF($J89="",#N/A,SUM(BK$4:BK89))</f>
        <v>#N/A</v>
      </c>
      <c r="BM89" s="315" t="str">
        <f t="shared" si="146"/>
        <v/>
      </c>
      <c r="BN89" s="315" t="e">
        <f>IF($J89="",#N/A,SUM(BM$4:BM89))</f>
        <v>#N/A</v>
      </c>
      <c r="BO89" s="315" t="e">
        <f>IF($J89="",#N/A,SUM(BM$4:BM89,BK$4:BK89,BI$4:BI89))</f>
        <v>#N/A</v>
      </c>
      <c r="BP89" s="304" t="str">
        <f t="shared" si="147"/>
        <v/>
      </c>
      <c r="BQ89" s="313" t="e">
        <f>IF($J89="",#N/A,SUM(BP$4:BP89))</f>
        <v>#N/A</v>
      </c>
      <c r="BR89" s="314" t="str">
        <f t="shared" si="148"/>
        <v/>
      </c>
      <c r="BS89" s="314" t="e">
        <f>IF($J89="",#N/A,SUM(BR$4:BR89))</f>
        <v>#N/A</v>
      </c>
      <c r="BT89" s="315">
        <f t="shared" si="149"/>
        <v>-0.31292375091269625</v>
      </c>
      <c r="BU89" s="315" t="e">
        <f>IF($J89="",#N/A,SUM(BT$4:BT89))</f>
        <v>#N/A</v>
      </c>
      <c r="BV89" s="315" t="e">
        <f>IF($J89="",#N/A,SUM(BT$4:BT89,BR$4:BR89,BP$4:BP89))</f>
        <v>#N/A</v>
      </c>
      <c r="BW89" s="304" t="str">
        <f t="shared" si="150"/>
        <v/>
      </c>
      <c r="BX89" s="313" t="e">
        <f>IF($J89="",#N/A,SUM(BW$4:BW89))</f>
        <v>#N/A</v>
      </c>
      <c r="BY89" s="314" t="str">
        <f t="shared" si="151"/>
        <v/>
      </c>
      <c r="BZ89" s="314" t="e">
        <f>IF($J89="",#N/A,SUM(BY$4:BY89))</f>
        <v>#N/A</v>
      </c>
      <c r="CA89" s="315" t="str">
        <f t="shared" si="152"/>
        <v/>
      </c>
      <c r="CB89" s="315" t="e">
        <f>IF($J89="",#N/A,SUM(CA$4:CA89))</f>
        <v>#N/A</v>
      </c>
      <c r="CC89" s="315" t="e">
        <f>IF($J89="",#N/A,SUM(CA$4:CA89,BY$4:BY89,BW$4:BW89))</f>
        <v>#N/A</v>
      </c>
      <c r="CD89" s="304" t="str">
        <f t="shared" si="153"/>
        <v/>
      </c>
      <c r="CE89" s="313" t="e">
        <f>IF($J89="",#N/A,SUM(CD$4:CD89))</f>
        <v>#N/A</v>
      </c>
      <c r="CF89" s="314" t="str">
        <f t="shared" si="154"/>
        <v/>
      </c>
      <c r="CG89" s="314" t="e">
        <f>IF($J89="",#N/A,SUM(CF$4:CF89))</f>
        <v>#N/A</v>
      </c>
      <c r="CH89" s="315" t="str">
        <f t="shared" si="155"/>
        <v/>
      </c>
      <c r="CI89" s="315" t="e">
        <f>IF($J89="",#N/A,SUM(CH$4:CH89))</f>
        <v>#N/A</v>
      </c>
      <c r="CJ89" s="315" t="e">
        <f>IF($J89="",#N/A,SUM(CH$4:CH89,CF$4:CF89,CD$4:CD89))</f>
        <v>#N/A</v>
      </c>
      <c r="CK89" s="304" t="str">
        <f t="shared" si="156"/>
        <v/>
      </c>
      <c r="CL89" s="313" t="e">
        <f>IF($J89="",#N/A,SUM(CK$4:CK89))</f>
        <v>#N/A</v>
      </c>
      <c r="CM89" s="314" t="str">
        <f t="shared" si="157"/>
        <v/>
      </c>
      <c r="CN89" s="314" t="e">
        <f>IF($J89="",#N/A,SUM(CM$4:CM89))</f>
        <v>#N/A</v>
      </c>
      <c r="CO89" s="315" t="str">
        <f t="shared" si="158"/>
        <v/>
      </c>
      <c r="CP89" s="315" t="e">
        <f>IF($J89="",#N/A,SUM(CO$4:CO89))</f>
        <v>#N/A</v>
      </c>
      <c r="CQ89" s="315" t="e">
        <f>IF($J89="",#N/A,SUM(CO$4:CO89,CM$4:CM89,CK$4:CK89))</f>
        <v>#N/A</v>
      </c>
      <c r="CR89" s="304" t="str">
        <f t="shared" si="159"/>
        <v/>
      </c>
      <c r="CS89" s="313" t="e">
        <f>IF($J89="",#N/A,SUM(CR$4:CR89))</f>
        <v>#N/A</v>
      </c>
      <c r="CT89" s="314" t="str">
        <f t="shared" si="160"/>
        <v/>
      </c>
      <c r="CU89" s="314" t="e">
        <f>IF($J89="",#N/A,SUM(CT$4:CT89))</f>
        <v>#N/A</v>
      </c>
      <c r="CV89" s="315" t="str">
        <f t="shared" si="161"/>
        <v/>
      </c>
      <c r="CW89" s="315" t="e">
        <f>IF($J89="",#N/A,SUM(CV$4:CV89))</f>
        <v>#N/A</v>
      </c>
      <c r="CX89" s="315" t="e">
        <f>IF($J89="",#N/A,SUM(CV$4:CV89,CT$4:CT89,CR$4:CR89))</f>
        <v>#N/A</v>
      </c>
      <c r="CY89" s="304" t="str">
        <f t="shared" si="162"/>
        <v/>
      </c>
      <c r="CZ89" s="313" t="e">
        <f>IF($J89="",#N/A,SUM(CY$4:CY89))</f>
        <v>#N/A</v>
      </c>
      <c r="DA89" s="314" t="str">
        <f t="shared" si="163"/>
        <v/>
      </c>
      <c r="DB89" s="314" t="e">
        <f>IF($J89="",#N/A,SUM(DA$4:DA89))</f>
        <v>#N/A</v>
      </c>
      <c r="DC89" s="315" t="str">
        <f t="shared" si="164"/>
        <v/>
      </c>
      <c r="DD89" s="315" t="e">
        <f>IF($J89="",#N/A,SUM(DC$4:DC89))</f>
        <v>#N/A</v>
      </c>
      <c r="DE89" s="315" t="e">
        <f>IF($J89="",#N/A,SUM(DC$4:DC89,DA$4:DA89,CY$4:CY89))</f>
        <v>#N/A</v>
      </c>
      <c r="DF89" s="304" t="str">
        <f t="shared" si="165"/>
        <v/>
      </c>
      <c r="DG89" s="313" t="e">
        <f>IF($J89="",#N/A,SUM(DF$4:DF89))</f>
        <v>#N/A</v>
      </c>
      <c r="DH89" s="314" t="str">
        <f t="shared" si="166"/>
        <v/>
      </c>
      <c r="DI89" s="314" t="e">
        <f>IF($J89="",#N/A,SUM(DH$4:DH89))</f>
        <v>#N/A</v>
      </c>
      <c r="DJ89" s="315" t="str">
        <f t="shared" si="167"/>
        <v/>
      </c>
      <c r="DK89" s="315" t="e">
        <f>IF($J89="",#N/A,SUM(DJ$4:DJ89))</f>
        <v>#N/A</v>
      </c>
      <c r="DL89" s="315" t="e">
        <f>IF($J89="",#N/A,SUM(DJ$4:DJ89,DH$4:DH89,DF$4:DF89))</f>
        <v>#N/A</v>
      </c>
      <c r="DM89" s="304" t="str">
        <f t="shared" si="168"/>
        <v/>
      </c>
      <c r="DN89" s="313" t="e">
        <f>IF($J89="",#N/A,SUM(DM$4:DM89))</f>
        <v>#N/A</v>
      </c>
      <c r="DO89" s="314" t="str">
        <f t="shared" si="169"/>
        <v/>
      </c>
      <c r="DP89" s="314" t="e">
        <f>IF($J89="",#N/A,SUM(DO$4:DO89))</f>
        <v>#N/A</v>
      </c>
      <c r="DQ89" s="315" t="str">
        <f t="shared" si="170"/>
        <v/>
      </c>
      <c r="DR89" s="315" t="e">
        <f>IF($J89="",#N/A,SUM(DQ$4:DQ89))</f>
        <v>#N/A</v>
      </c>
      <c r="DS89" s="315" t="e">
        <f>IF($J89="",#N/A,SUM(DQ$4:DQ89,DO$4:DO89,DM$4:DM89))</f>
        <v>#N/A</v>
      </c>
      <c r="DT89" s="304" t="str">
        <f t="shared" si="171"/>
        <v/>
      </c>
      <c r="DU89" s="313" t="e">
        <f>IF($J89="",#N/A,SUM(DT$4:DT89))</f>
        <v>#N/A</v>
      </c>
      <c r="DV89" s="314" t="str">
        <f t="shared" si="172"/>
        <v/>
      </c>
      <c r="DW89" s="314" t="e">
        <f>IF($J89="",#N/A,SUM(DV$4:DV89))</f>
        <v>#N/A</v>
      </c>
      <c r="DX89" s="315" t="str">
        <f t="shared" si="173"/>
        <v/>
      </c>
      <c r="DY89" s="315" t="e">
        <f>IF($J89="",#N/A,SUM(DX$4:DX89))</f>
        <v>#N/A</v>
      </c>
      <c r="DZ89" s="315" t="e">
        <f>IF($J89="",#N/A,SUM(DX$4:DX89,DV$4:DV89,DT$4:DT89))</f>
        <v>#N/A</v>
      </c>
      <c r="EA89" s="304" t="str">
        <f t="shared" si="174"/>
        <v/>
      </c>
      <c r="EB89" s="313" t="e">
        <f>IF($J89="",#N/A,SUM(EA$4:EA89))</f>
        <v>#N/A</v>
      </c>
      <c r="EC89" s="314" t="str">
        <f t="shared" si="175"/>
        <v/>
      </c>
      <c r="ED89" s="314" t="e">
        <f>IF($J89="",#N/A,SUM(EC$4:EC89))</f>
        <v>#N/A</v>
      </c>
      <c r="EE89" s="315" t="str">
        <f t="shared" si="176"/>
        <v/>
      </c>
      <c r="EF89" s="315" t="e">
        <f>IF($J89="",#N/A,SUM(EE$4:EE89))</f>
        <v>#N/A</v>
      </c>
      <c r="EG89" s="315" t="e">
        <f>IF($J89="",#N/A,SUM(EE$4:EE89,EC$4:EC89,EA$4:EA89))</f>
        <v>#N/A</v>
      </c>
      <c r="EH89" s="130">
        <f t="shared" si="177"/>
        <v>-7.2000000000000455</v>
      </c>
      <c r="EI89" s="63">
        <f>IF(EH89="",#N/A,SUM($EH$4:EH89))</f>
        <v>498.64520944934299</v>
      </c>
      <c r="EJ89" s="223" t="e">
        <f t="shared" si="178"/>
        <v>#N/A</v>
      </c>
      <c r="EK89" s="63" t="e">
        <f>IF($GZ89="",#N/A,SUM(EJ$4:EJ89))</f>
        <v>#N/A</v>
      </c>
      <c r="EL89" s="60">
        <f t="shared" si="209"/>
        <v>-0.31292375091269625</v>
      </c>
      <c r="EM89" s="60">
        <f>IF(EL89="",NA(),SUM($EL$4:EL89))</f>
        <v>19.729284739503111</v>
      </c>
      <c r="EN89" s="60" t="str">
        <f t="shared" si="179"/>
        <v/>
      </c>
      <c r="EO89" s="60" t="e">
        <f>IF(EN89="",NA(),SUM($EN$4:EN89))</f>
        <v>#N/A</v>
      </c>
      <c r="EP89" s="60">
        <f t="shared" si="180"/>
        <v>-0.31292375091269625</v>
      </c>
      <c r="EQ89" s="60">
        <f>IF(EP89="",NA(),SUM($EP$4:EP89))</f>
        <v>10.909585758522899</v>
      </c>
      <c r="ER89" s="60" t="str">
        <f t="shared" si="181"/>
        <v/>
      </c>
      <c r="ES89" s="60" t="e">
        <f>IF(ER89="",NA(),SUM($ER$4:ER89))</f>
        <v>#N/A</v>
      </c>
      <c r="ET89" s="60" t="str">
        <f t="shared" si="182"/>
        <v/>
      </c>
      <c r="EU89" s="60" t="e">
        <f>IF(ET89="",NA(),SUM($ET$4:ET89))</f>
        <v>#N/A</v>
      </c>
      <c r="EV89" s="60" t="str">
        <f t="shared" si="183"/>
        <v/>
      </c>
      <c r="EW89" s="60" t="e">
        <f>IF(EV89="",NA(),SUM($EV$4:EV89))</f>
        <v>#N/A</v>
      </c>
      <c r="EX89" s="60" t="str">
        <f t="shared" si="184"/>
        <v/>
      </c>
      <c r="EY89" s="60" t="e">
        <f>IF(EX89="",NA(),SUM($EX$4:EX89))</f>
        <v>#N/A</v>
      </c>
      <c r="EZ89" s="60" t="str">
        <f t="shared" si="185"/>
        <v/>
      </c>
      <c r="FA89" s="60" t="e">
        <f>IF(EZ89="",NA(),SUM($EZ$4:EZ89))</f>
        <v>#N/A</v>
      </c>
      <c r="FB89" s="246" t="str">
        <f t="shared" si="210"/>
        <v/>
      </c>
      <c r="FC89" s="246" t="e">
        <f>IF($FB89="",#N/A,SUM(FB$4:$FB89))</f>
        <v>#N/A</v>
      </c>
      <c r="FD89" s="60" t="str">
        <f t="shared" si="186"/>
        <v/>
      </c>
      <c r="FE89" s="60" t="e">
        <f>IF($FD89="",#N/A,SUM($FD$4:FD89))</f>
        <v>#N/A</v>
      </c>
      <c r="FF89" s="60" t="str">
        <f t="shared" si="187"/>
        <v/>
      </c>
      <c r="FG89" s="60" t="e">
        <f>IF($FF89="",#N/A,SUM($FF$4:FF89))</f>
        <v>#N/A</v>
      </c>
      <c r="FH89" s="60" t="str">
        <f t="shared" si="188"/>
        <v/>
      </c>
      <c r="FI89" s="60" t="e">
        <f>IF($FH89="",#N/A,SUM($FH$4:FH89))</f>
        <v>#N/A</v>
      </c>
      <c r="FJ89" s="60" t="str">
        <f t="shared" si="189"/>
        <v/>
      </c>
      <c r="FK89" s="60" t="e">
        <f>IF($FJ89="",#N/A,SUM($FJ$4:FJ89))</f>
        <v>#N/A</v>
      </c>
      <c r="FL89" s="60">
        <f t="shared" si="190"/>
        <v>0.10083098640520366</v>
      </c>
      <c r="FM89" s="60">
        <f>IF($FL89="",#N/A,SUM($FL$4:FL89))</f>
        <v>0.30971700567468963</v>
      </c>
      <c r="FN89" s="82">
        <f t="shared" si="191"/>
        <v>-0.21209276450749259</v>
      </c>
      <c r="FO89" s="82">
        <f>IF($FN89="",#N/A,SUM(FN$4:$FN89))</f>
        <v>28.167615160323546</v>
      </c>
      <c r="FP89" s="82">
        <f t="shared" si="211"/>
        <v>-0.31292375091269625</v>
      </c>
      <c r="FQ89" s="246">
        <f>IF($EH89="",#N/A,SUM($FP$4:FP89))</f>
        <v>19.608636687107385</v>
      </c>
      <c r="FR89" s="82">
        <f>IFERROR(FQ89/COUNTA($J$4:J89),#N/A)</f>
        <v>0.22800740333845795</v>
      </c>
      <c r="FS89" s="82">
        <f t="shared" si="219"/>
        <v>0.12262014322975329</v>
      </c>
      <c r="FT89" s="82">
        <f t="shared" si="220"/>
        <v>6.5145160000277258E-2</v>
      </c>
      <c r="FU89" s="337">
        <f t="shared" si="113"/>
        <v>3.9650721623894558</v>
      </c>
      <c r="FV89" s="57" t="str">
        <f t="shared" si="192"/>
        <v>SW</v>
      </c>
      <c r="FW89" s="57" t="s">
        <v>2732</v>
      </c>
      <c r="FX89" s="57" t="str">
        <f t="shared" si="193"/>
        <v/>
      </c>
      <c r="FY89" s="57" t="str">
        <f t="shared" si="194"/>
        <v/>
      </c>
      <c r="FZ89" s="57" t="str">
        <f t="shared" si="195"/>
        <v/>
      </c>
      <c r="GA89" s="57" t="str">
        <f t="shared" si="196"/>
        <v>Long</v>
      </c>
      <c r="GB89" s="57" t="str">
        <f t="shared" si="197"/>
        <v/>
      </c>
      <c r="GC89" s="57" t="str">
        <f t="shared" si="198"/>
        <v/>
      </c>
      <c r="GD89" s="57">
        <f t="shared" si="199"/>
        <v>1</v>
      </c>
      <c r="GE89" s="62">
        <f t="shared" si="114"/>
        <v>95.87</v>
      </c>
      <c r="GF89" s="62" t="s">
        <v>2779</v>
      </c>
      <c r="GG89" s="199">
        <v>4</v>
      </c>
      <c r="GH89" s="207">
        <f t="shared" si="200"/>
        <v>383.48</v>
      </c>
      <c r="GI89" s="199">
        <v>4</v>
      </c>
      <c r="GJ89" s="200">
        <f t="shared" si="217"/>
        <v>94.07</v>
      </c>
      <c r="GK89" s="63">
        <f t="shared" si="201"/>
        <v>-7.2000000000000455</v>
      </c>
      <c r="GL89" s="63">
        <f t="shared" si="115"/>
        <v>-4.8799999999999955</v>
      </c>
      <c r="GM89" s="82">
        <f t="shared" si="202"/>
        <v>-0.21209276450749259</v>
      </c>
      <c r="GN89" s="82">
        <f>IF($GZ89="",#N/A,SUM(GM$4:GM89))</f>
        <v>11.802672054026818</v>
      </c>
      <c r="GO89" s="82" t="str">
        <f t="shared" si="203"/>
        <v/>
      </c>
      <c r="GP89" s="82">
        <f>IF($GZ89="",#N/A,SUM(GO$4:GO89))</f>
        <v>9.4575161738937599</v>
      </c>
      <c r="GQ89" s="82" t="str">
        <f t="shared" si="204"/>
        <v/>
      </c>
      <c r="GR89" s="82">
        <f>IF($GZ89="",#N/A,SUM(GQ$4:GQ89))</f>
        <v>6.281589977960623</v>
      </c>
      <c r="GS89" s="63" t="e">
        <f t="shared" si="212"/>
        <v>#N/A</v>
      </c>
      <c r="GT89" s="63" t="e">
        <f>IF($GZ89="",#N/A,SUM(GS$4:GS89))</f>
        <v>#N/A</v>
      </c>
      <c r="GU89" s="63" t="str">
        <f t="shared" si="213"/>
        <v/>
      </c>
      <c r="GV89" s="63" t="e">
        <f>IF($GZ89="",#N/A,SUM(GU$4:GU89))</f>
        <v>#N/A</v>
      </c>
      <c r="GW89" s="63" t="str">
        <f t="shared" si="214"/>
        <v/>
      </c>
      <c r="GX89" s="63">
        <f>IF($GZ89="",#N/A,SUM(GW$4:GW89))</f>
        <v>167.16051890409477</v>
      </c>
      <c r="GY89" s="63" t="e">
        <f>IF(EJ89="",#N/A,SUM($EJ$4:EJ89))</f>
        <v>#N/A</v>
      </c>
      <c r="GZ89" s="159">
        <v>94.65</v>
      </c>
      <c r="HA89" s="63">
        <f t="shared" si="205"/>
        <v>2.32000000000005</v>
      </c>
      <c r="HB89" s="62" t="s">
        <v>4735</v>
      </c>
      <c r="HC89" s="60">
        <f>IFERROR(VLOOKUP(E89,Expectancy!$P$4:$S$19,1+C89,FALSE),"")</f>
        <v>2.40735201201209E-2</v>
      </c>
      <c r="HD89" s="82">
        <f t="shared" si="206"/>
        <v>-0.21209276450749259</v>
      </c>
      <c r="HE89" s="60">
        <f>IF(HD89="",#N/A,SUM($HD$4:HD89))</f>
        <v>1.1135645247179298</v>
      </c>
      <c r="HF89" s="85">
        <f>IF(HD89="",#N/A,IF(HB89="Skip",#N/A,SUM($HG$4:HG89)))</f>
        <v>41.040000000000077</v>
      </c>
      <c r="HG89" s="63">
        <f t="shared" si="207"/>
        <v>-4.8799999999999955</v>
      </c>
      <c r="HH89" s="82">
        <f t="shared" si="208"/>
        <v>-0.21209276450749259</v>
      </c>
    </row>
    <row r="90" spans="1:220" x14ac:dyDescent="0.25">
      <c r="A90" s="57" t="s">
        <v>1276</v>
      </c>
      <c r="B90" s="58" t="s">
        <v>5147</v>
      </c>
      <c r="C90" s="386">
        <f t="shared" si="118"/>
        <v>3</v>
      </c>
      <c r="D90" s="372" t="str">
        <f>_xlfn.XLOOKUP(A90,[1]SP500!$A$2:$A$502,[1]SP500!$D$2:$D$502,"N")</f>
        <v>Y</v>
      </c>
      <c r="E90" s="57" t="str">
        <f>_xlfn.XLOOKUP(A90,[1]SP500!$A$2:$A$655,[1]SP500!$B$2:$B$655)</f>
        <v>XLK</v>
      </c>
      <c r="F90" s="59">
        <v>45686</v>
      </c>
      <c r="G90" s="57" t="str">
        <f t="shared" si="119"/>
        <v>AMC</v>
      </c>
      <c r="H90" s="57" t="str">
        <f t="shared" si="120"/>
        <v>s</v>
      </c>
      <c r="I90" s="158">
        <v>442.33</v>
      </c>
      <c r="J90" s="159">
        <v>418.77</v>
      </c>
      <c r="K90" s="61">
        <f t="shared" si="121"/>
        <v>-5.3263400628490047E-2</v>
      </c>
      <c r="L90" s="87">
        <f t="shared" si="122"/>
        <v>-23.560000000000002</v>
      </c>
      <c r="M90" s="130">
        <f t="shared" si="112"/>
        <v>-0.68999999999999773</v>
      </c>
      <c r="N90" s="169" t="str">
        <f t="shared" si="123"/>
        <v/>
      </c>
      <c r="O90" s="169">
        <f>IF($J90="",#N/A,SUM($N$4:N90))</f>
        <v>166.63894778873004</v>
      </c>
      <c r="P90" s="174" t="str">
        <f t="shared" si="124"/>
        <v/>
      </c>
      <c r="Q90" s="174">
        <f>IF($J90="",#N/A,SUM($P$4:P90))</f>
        <v>79.036464916880902</v>
      </c>
      <c r="R90" s="178">
        <f t="shared" si="125"/>
        <v>-23.560000000000002</v>
      </c>
      <c r="S90" s="178">
        <f>IF($J90="",#N/A,SUM($R$4:R90))</f>
        <v>229.40979674373204</v>
      </c>
      <c r="T90" s="290" t="str">
        <f t="shared" si="126"/>
        <v/>
      </c>
      <c r="U90" s="290">
        <f>IF($J90="",#N/A,SUM($T$4:T90))</f>
        <v>5.8745893711902353</v>
      </c>
      <c r="V90" s="291" t="str">
        <f t="shared" si="127"/>
        <v/>
      </c>
      <c r="W90" s="291">
        <f>IF($J90="",#N/A,SUM($V$4:V90))</f>
        <v>2.9451096097899687</v>
      </c>
      <c r="X90" s="292">
        <f t="shared" si="128"/>
        <v>-0.88772334380816742</v>
      </c>
      <c r="Y90" s="283">
        <f>IF($J90="",#N/A,SUM($X$4:X90))</f>
        <v>9.9012143623190063</v>
      </c>
      <c r="Z90" s="304" t="str">
        <f t="shared" si="129"/>
        <v/>
      </c>
      <c r="AA90" s="313" t="e">
        <f>IF($J90="",#N/A,SUM(Z$4:Z90))</f>
        <v>#N/A</v>
      </c>
      <c r="AB90" s="314" t="str">
        <f t="shared" si="130"/>
        <v/>
      </c>
      <c r="AC90" s="314" t="e">
        <f>IF($J90="",#N/A,SUM(AB$4:AB90))</f>
        <v>#N/A</v>
      </c>
      <c r="AD90" s="315">
        <f t="shared" si="131"/>
        <v>-0.88772334380816742</v>
      </c>
      <c r="AE90" s="315" t="e">
        <f>IF($J90="",#N/A,SUM(AD$4:AD90))</f>
        <v>#N/A</v>
      </c>
      <c r="AF90" s="315" t="e">
        <f>IF($J90="",#N/A,SUM(AD$4:AD90,AB$4:AB90,Z$4:Z90))</f>
        <v>#N/A</v>
      </c>
      <c r="AG90" s="304" t="str">
        <f t="shared" si="132"/>
        <v/>
      </c>
      <c r="AH90" s="313" t="e">
        <f>IF($J90="",#N/A,SUM(AG$4:AG90))</f>
        <v>#N/A</v>
      </c>
      <c r="AI90" s="314" t="str">
        <f t="shared" si="133"/>
        <v/>
      </c>
      <c r="AJ90" s="314" t="e">
        <f>IF($J90="",#N/A,SUM(AI$4:AI90))</f>
        <v>#N/A</v>
      </c>
      <c r="AK90" s="315" t="str">
        <f t="shared" si="134"/>
        <v/>
      </c>
      <c r="AL90" s="315" t="e">
        <f>IF($J90="",#N/A,SUM(AK$4:AK90))</f>
        <v>#N/A</v>
      </c>
      <c r="AM90" s="315" t="e">
        <f>IF($J90="",#N/A,SUM(AK$4:AK90,AI$4:AI90,AG$4:AG90))</f>
        <v>#N/A</v>
      </c>
      <c r="AN90" s="304" t="str">
        <f t="shared" si="135"/>
        <v/>
      </c>
      <c r="AO90" s="313" t="e">
        <f>IF($J90="",#N/A,SUM(AN$4:AN90))</f>
        <v>#N/A</v>
      </c>
      <c r="AP90" s="314" t="str">
        <f t="shared" si="136"/>
        <v/>
      </c>
      <c r="AQ90" s="314" t="e">
        <f>IF($J90="",#N/A,SUM(AP$4:AP90))</f>
        <v>#N/A</v>
      </c>
      <c r="AR90" s="315" t="str">
        <f t="shared" si="137"/>
        <v/>
      </c>
      <c r="AS90" s="315" t="e">
        <f>IF($J90="",#N/A,SUM(AR$4:AR90))</f>
        <v>#N/A</v>
      </c>
      <c r="AT90" s="315" t="e">
        <f>IF($J90="",#N/A,SUM(AR$4:AR90,AP$4:AP90,AN$4:AN90))</f>
        <v>#N/A</v>
      </c>
      <c r="AU90" s="304" t="str">
        <f t="shared" si="138"/>
        <v/>
      </c>
      <c r="AV90" s="313" t="e">
        <f>IF($J90="",#N/A,SUM(AU$4:AU90))</f>
        <v>#N/A</v>
      </c>
      <c r="AW90" s="314" t="str">
        <f t="shared" si="139"/>
        <v/>
      </c>
      <c r="AX90" s="314" t="e">
        <f>IF($J90="",#N/A,SUM(AW$4:AW90))</f>
        <v>#N/A</v>
      </c>
      <c r="AY90" s="315" t="str">
        <f t="shared" si="140"/>
        <v/>
      </c>
      <c r="AZ90" s="315" t="e">
        <f>IF($J90="",#N/A,SUM(AY$4:AY90))</f>
        <v>#N/A</v>
      </c>
      <c r="BA90" s="315" t="e">
        <f>IF($J90="",#N/A,SUM(AY$4:AY90,AW$4:AW90,AU$4:AU90))</f>
        <v>#N/A</v>
      </c>
      <c r="BB90" s="304" t="str">
        <f t="shared" si="141"/>
        <v/>
      </c>
      <c r="BC90" s="313" t="e">
        <f>IF($J90="",#N/A,SUM(BB$4:BB90))</f>
        <v>#N/A</v>
      </c>
      <c r="BD90" s="314" t="str">
        <f t="shared" si="142"/>
        <v/>
      </c>
      <c r="BE90" s="314" t="e">
        <f>IF($J90="",#N/A,SUM(BD$4:BD90))</f>
        <v>#N/A</v>
      </c>
      <c r="BF90" s="315" t="str">
        <f t="shared" si="143"/>
        <v/>
      </c>
      <c r="BG90" s="315" t="e">
        <f>IF($J90="",#N/A,SUM(BF$4:BF90))</f>
        <v>#N/A</v>
      </c>
      <c r="BH90" s="315" t="e">
        <f>IF($J90="",#N/A,SUM(BF$4:BF90,BD$4:BD90,BB$4:BB90))</f>
        <v>#N/A</v>
      </c>
      <c r="BI90" s="304" t="str">
        <f t="shared" si="144"/>
        <v/>
      </c>
      <c r="BJ90" s="313" t="e">
        <f>IF($J90="",#N/A,SUM(BI$4:BI90))</f>
        <v>#N/A</v>
      </c>
      <c r="BK90" s="314" t="str">
        <f t="shared" si="145"/>
        <v/>
      </c>
      <c r="BL90" s="314" t="e">
        <f>IF($J90="",#N/A,SUM(BK$4:BK90))</f>
        <v>#N/A</v>
      </c>
      <c r="BM90" s="315" t="str">
        <f t="shared" si="146"/>
        <v/>
      </c>
      <c r="BN90" s="315" t="e">
        <f>IF($J90="",#N/A,SUM(BM$4:BM90))</f>
        <v>#N/A</v>
      </c>
      <c r="BO90" s="315" t="e">
        <f>IF($J90="",#N/A,SUM(BM$4:BM90,BK$4:BK90,BI$4:BI90))</f>
        <v>#N/A</v>
      </c>
      <c r="BP90" s="304" t="str">
        <f t="shared" si="147"/>
        <v/>
      </c>
      <c r="BQ90" s="313" t="e">
        <f>IF($J90="",#N/A,SUM(BP$4:BP90))</f>
        <v>#N/A</v>
      </c>
      <c r="BR90" s="314" t="str">
        <f t="shared" si="148"/>
        <v/>
      </c>
      <c r="BS90" s="314" t="e">
        <f>IF($J90="",#N/A,SUM(BR$4:BR90))</f>
        <v>#N/A</v>
      </c>
      <c r="BT90" s="315" t="str">
        <f t="shared" si="149"/>
        <v/>
      </c>
      <c r="BU90" s="315" t="e">
        <f>IF($J90="",#N/A,SUM(BT$4:BT90))</f>
        <v>#N/A</v>
      </c>
      <c r="BV90" s="315" t="e">
        <f>IF($J90="",#N/A,SUM(BT$4:BT90,BR$4:BR90,BP$4:BP90))</f>
        <v>#N/A</v>
      </c>
      <c r="BW90" s="304" t="str">
        <f t="shared" si="150"/>
        <v/>
      </c>
      <c r="BX90" s="313" t="e">
        <f>IF($J90="",#N/A,SUM(BW$4:BW90))</f>
        <v>#N/A</v>
      </c>
      <c r="BY90" s="314" t="str">
        <f t="shared" si="151"/>
        <v/>
      </c>
      <c r="BZ90" s="314" t="e">
        <f>IF($J90="",#N/A,SUM(BY$4:BY90))</f>
        <v>#N/A</v>
      </c>
      <c r="CA90" s="315" t="str">
        <f t="shared" si="152"/>
        <v/>
      </c>
      <c r="CB90" s="315" t="e">
        <f>IF($J90="",#N/A,SUM(CA$4:CA90))</f>
        <v>#N/A</v>
      </c>
      <c r="CC90" s="315" t="e">
        <f>IF($J90="",#N/A,SUM(CA$4:CA90,BY$4:BY90,BW$4:BW90))</f>
        <v>#N/A</v>
      </c>
      <c r="CD90" s="304" t="str">
        <f t="shared" si="153"/>
        <v/>
      </c>
      <c r="CE90" s="313" t="e">
        <f>IF($J90="",#N/A,SUM(CD$4:CD90))</f>
        <v>#N/A</v>
      </c>
      <c r="CF90" s="314" t="str">
        <f t="shared" si="154"/>
        <v/>
      </c>
      <c r="CG90" s="314" t="e">
        <f>IF($J90="",#N/A,SUM(CF$4:CF90))</f>
        <v>#N/A</v>
      </c>
      <c r="CH90" s="315" t="str">
        <f t="shared" si="155"/>
        <v/>
      </c>
      <c r="CI90" s="315" t="e">
        <f>IF($J90="",#N/A,SUM(CH$4:CH90))</f>
        <v>#N/A</v>
      </c>
      <c r="CJ90" s="315" t="e">
        <f>IF($J90="",#N/A,SUM(CH$4:CH90,CF$4:CF90,CD$4:CD90))</f>
        <v>#N/A</v>
      </c>
      <c r="CK90" s="304" t="str">
        <f t="shared" si="156"/>
        <v/>
      </c>
      <c r="CL90" s="313" t="e">
        <f>IF($J90="",#N/A,SUM(CK$4:CK90))</f>
        <v>#N/A</v>
      </c>
      <c r="CM90" s="314" t="str">
        <f t="shared" si="157"/>
        <v/>
      </c>
      <c r="CN90" s="314" t="e">
        <f>IF($J90="",#N/A,SUM(CM$4:CM90))</f>
        <v>#N/A</v>
      </c>
      <c r="CO90" s="315" t="str">
        <f t="shared" si="158"/>
        <v/>
      </c>
      <c r="CP90" s="315" t="e">
        <f>IF($J90="",#N/A,SUM(CO$4:CO90))</f>
        <v>#N/A</v>
      </c>
      <c r="CQ90" s="315" t="e">
        <f>IF($J90="",#N/A,SUM(CO$4:CO90,CM$4:CM90,CK$4:CK90))</f>
        <v>#N/A</v>
      </c>
      <c r="CR90" s="304" t="str">
        <f t="shared" si="159"/>
        <v/>
      </c>
      <c r="CS90" s="313" t="e">
        <f>IF($J90="",#N/A,SUM(CR$4:CR90))</f>
        <v>#N/A</v>
      </c>
      <c r="CT90" s="314" t="str">
        <f t="shared" si="160"/>
        <v/>
      </c>
      <c r="CU90" s="314" t="e">
        <f>IF($J90="",#N/A,SUM(CT$4:CT90))</f>
        <v>#N/A</v>
      </c>
      <c r="CV90" s="315" t="str">
        <f t="shared" si="161"/>
        <v/>
      </c>
      <c r="CW90" s="315" t="e">
        <f>IF($J90="",#N/A,SUM(CV$4:CV90))</f>
        <v>#N/A</v>
      </c>
      <c r="CX90" s="315" t="e">
        <f>IF($J90="",#N/A,SUM(CV$4:CV90,CT$4:CT90,CR$4:CR90))</f>
        <v>#N/A</v>
      </c>
      <c r="CY90" s="304" t="str">
        <f t="shared" si="162"/>
        <v/>
      </c>
      <c r="CZ90" s="313" t="e">
        <f>IF($J90="",#N/A,SUM(CY$4:CY90))</f>
        <v>#N/A</v>
      </c>
      <c r="DA90" s="314" t="str">
        <f t="shared" si="163"/>
        <v/>
      </c>
      <c r="DB90" s="314" t="e">
        <f>IF($J90="",#N/A,SUM(DA$4:DA90))</f>
        <v>#N/A</v>
      </c>
      <c r="DC90" s="315" t="str">
        <f t="shared" si="164"/>
        <v/>
      </c>
      <c r="DD90" s="315" t="e">
        <f>IF($J90="",#N/A,SUM(DC$4:DC90))</f>
        <v>#N/A</v>
      </c>
      <c r="DE90" s="315" t="e">
        <f>IF($J90="",#N/A,SUM(DC$4:DC90,DA$4:DA90,CY$4:CY90))</f>
        <v>#N/A</v>
      </c>
      <c r="DF90" s="304" t="str">
        <f t="shared" si="165"/>
        <v/>
      </c>
      <c r="DG90" s="313" t="e">
        <f>IF($J90="",#N/A,SUM(DF$4:DF90))</f>
        <v>#N/A</v>
      </c>
      <c r="DH90" s="314" t="str">
        <f t="shared" si="166"/>
        <v/>
      </c>
      <c r="DI90" s="314" t="e">
        <f>IF($J90="",#N/A,SUM(DH$4:DH90))</f>
        <v>#N/A</v>
      </c>
      <c r="DJ90" s="315" t="str">
        <f t="shared" si="167"/>
        <v/>
      </c>
      <c r="DK90" s="315" t="e">
        <f>IF($J90="",#N/A,SUM(DJ$4:DJ90))</f>
        <v>#N/A</v>
      </c>
      <c r="DL90" s="315" t="e">
        <f>IF($J90="",#N/A,SUM(DJ$4:DJ90,DH$4:DH90,DF$4:DF90))</f>
        <v>#N/A</v>
      </c>
      <c r="DM90" s="304" t="str">
        <f t="shared" si="168"/>
        <v/>
      </c>
      <c r="DN90" s="313" t="e">
        <f>IF($J90="",#N/A,SUM(DM$4:DM90))</f>
        <v>#N/A</v>
      </c>
      <c r="DO90" s="314" t="str">
        <f t="shared" si="169"/>
        <v/>
      </c>
      <c r="DP90" s="314" t="e">
        <f>IF($J90="",#N/A,SUM(DO$4:DO90))</f>
        <v>#N/A</v>
      </c>
      <c r="DQ90" s="315" t="str">
        <f t="shared" si="170"/>
        <v/>
      </c>
      <c r="DR90" s="315" t="e">
        <f>IF($J90="",#N/A,SUM(DQ$4:DQ90))</f>
        <v>#N/A</v>
      </c>
      <c r="DS90" s="315" t="e">
        <f>IF($J90="",#N/A,SUM(DQ$4:DQ90,DO$4:DO90,DM$4:DM90))</f>
        <v>#N/A</v>
      </c>
      <c r="DT90" s="304" t="str">
        <f t="shared" si="171"/>
        <v/>
      </c>
      <c r="DU90" s="313" t="e">
        <f>IF($J90="",#N/A,SUM(DT$4:DT90))</f>
        <v>#N/A</v>
      </c>
      <c r="DV90" s="314" t="str">
        <f t="shared" si="172"/>
        <v/>
      </c>
      <c r="DW90" s="314" t="e">
        <f>IF($J90="",#N/A,SUM(DV$4:DV90))</f>
        <v>#N/A</v>
      </c>
      <c r="DX90" s="315" t="str">
        <f t="shared" si="173"/>
        <v/>
      </c>
      <c r="DY90" s="315" t="e">
        <f>IF($J90="",#N/A,SUM(DX$4:DX90))</f>
        <v>#N/A</v>
      </c>
      <c r="DZ90" s="315" t="e">
        <f>IF($J90="",#N/A,SUM(DX$4:DX90,DV$4:DV90,DT$4:DT90))</f>
        <v>#N/A</v>
      </c>
      <c r="EA90" s="304" t="str">
        <f t="shared" si="174"/>
        <v/>
      </c>
      <c r="EB90" s="313" t="e">
        <f>IF($J90="",#N/A,SUM(EA$4:EA90))</f>
        <v>#N/A</v>
      </c>
      <c r="EC90" s="314" t="str">
        <f t="shared" si="175"/>
        <v/>
      </c>
      <c r="ED90" s="314" t="e">
        <f>IF($J90="",#N/A,SUM(EC$4:EC90))</f>
        <v>#N/A</v>
      </c>
      <c r="EE90" s="315" t="str">
        <f t="shared" si="176"/>
        <v/>
      </c>
      <c r="EF90" s="315" t="e">
        <f>IF($J90="",#N/A,SUM(EE$4:EE90))</f>
        <v>#N/A</v>
      </c>
      <c r="EG90" s="315" t="e">
        <f>IF($J90="",#N/A,SUM(EE$4:EE90,EC$4:EC90,EA$4:EA90))</f>
        <v>#N/A</v>
      </c>
      <c r="EH90" s="130">
        <f t="shared" si="177"/>
        <v>-23.560000000000002</v>
      </c>
      <c r="EI90" s="63">
        <f>IF(EH90="",#N/A,SUM($EH$4:EH90))</f>
        <v>475.08520944934298</v>
      </c>
      <c r="EJ90" s="223" t="e">
        <f t="shared" si="178"/>
        <v>#N/A</v>
      </c>
      <c r="EK90" s="63" t="e">
        <f>IF($GZ90="",#N/A,SUM(EJ$4:EJ90))</f>
        <v>#N/A</v>
      </c>
      <c r="EL90" s="60">
        <f t="shared" si="209"/>
        <v>-0.88772334380816742</v>
      </c>
      <c r="EM90" s="60">
        <f>IF(EL90="",NA(),SUM($EL$4:EL90))</f>
        <v>18.841561395694942</v>
      </c>
      <c r="EN90" s="60" t="str">
        <f t="shared" si="179"/>
        <v/>
      </c>
      <c r="EO90" s="60" t="e">
        <f>IF(EN90="",NA(),SUM($EN$4:EN90))</f>
        <v>#N/A</v>
      </c>
      <c r="EP90" s="60">
        <f t="shared" si="180"/>
        <v>-0.88772334380816742</v>
      </c>
      <c r="EQ90" s="60">
        <f>IF(EP90="",NA(),SUM($EP$4:EP90))</f>
        <v>10.021862414714732</v>
      </c>
      <c r="ER90" s="60" t="str">
        <f t="shared" si="181"/>
        <v/>
      </c>
      <c r="ES90" s="60" t="e">
        <f>IF(ER90="",NA(),SUM($ER$4:ER90))</f>
        <v>#N/A</v>
      </c>
      <c r="ET90" s="60" t="str">
        <f t="shared" si="182"/>
        <v/>
      </c>
      <c r="EU90" s="60" t="e">
        <f>IF(ET90="",NA(),SUM($ET$4:ET90))</f>
        <v>#N/A</v>
      </c>
      <c r="EV90" s="60" t="str">
        <f t="shared" si="183"/>
        <v/>
      </c>
      <c r="EW90" s="60" t="e">
        <f>IF(EV90="",NA(),SUM($EV$4:EV90))</f>
        <v>#N/A</v>
      </c>
      <c r="EX90" s="60" t="str">
        <f t="shared" si="184"/>
        <v/>
      </c>
      <c r="EY90" s="60" t="e">
        <f>IF(EX90="",NA(),SUM($EX$4:EX90))</f>
        <v>#N/A</v>
      </c>
      <c r="EZ90" s="60" t="str">
        <f t="shared" si="185"/>
        <v/>
      </c>
      <c r="FA90" s="60" t="e">
        <f>IF(EZ90="",NA(),SUM($EZ$4:EZ90))</f>
        <v>#N/A</v>
      </c>
      <c r="FB90" s="246" t="str">
        <f t="shared" si="210"/>
        <v/>
      </c>
      <c r="FC90" s="246" t="e">
        <f>IF($FB90="",#N/A,SUM(FB$4:$FB90))</f>
        <v>#N/A</v>
      </c>
      <c r="FD90" s="60" t="str">
        <f t="shared" si="186"/>
        <v/>
      </c>
      <c r="FE90" s="60" t="e">
        <f>IF($FD90="",#N/A,SUM($FD$4:FD90))</f>
        <v>#N/A</v>
      </c>
      <c r="FF90" s="60" t="str">
        <f t="shared" si="187"/>
        <v/>
      </c>
      <c r="FG90" s="60" t="e">
        <f>IF($FF90="",#N/A,SUM($FF$4:FF90))</f>
        <v>#N/A</v>
      </c>
      <c r="FH90" s="60" t="str">
        <f t="shared" si="188"/>
        <v/>
      </c>
      <c r="FI90" s="60" t="e">
        <f>IF($FH90="",#N/A,SUM($FH$4:FH90))</f>
        <v>#N/A</v>
      </c>
      <c r="FJ90" s="60" t="str">
        <f t="shared" si="189"/>
        <v/>
      </c>
      <c r="FK90" s="60" t="e">
        <f>IF($FJ90="",#N/A,SUM($FJ$4:FJ90))</f>
        <v>#N/A</v>
      </c>
      <c r="FL90" s="60">
        <f t="shared" si="190"/>
        <v>-0.1424275993036862</v>
      </c>
      <c r="FM90" s="60">
        <f>IF($FL90="",#N/A,SUM($FL$4:FL90))</f>
        <v>0.16728940637100342</v>
      </c>
      <c r="FN90" s="82">
        <f t="shared" si="191"/>
        <v>-1.0301509431118536</v>
      </c>
      <c r="FO90" s="82">
        <f>IF($FN90="",#N/A,SUM(FN$4:$FN90))</f>
        <v>27.137464217211694</v>
      </c>
      <c r="FP90" s="82">
        <f t="shared" si="211"/>
        <v>-0.88772334380816742</v>
      </c>
      <c r="FQ90" s="246">
        <f>IF($EH90="",#N/A,SUM($FP$4:FP90))</f>
        <v>18.720913343299216</v>
      </c>
      <c r="FR90" s="82">
        <f>IFERROR(FQ90/COUNTA($J$4:J90),#N/A)</f>
        <v>0.215182911991945</v>
      </c>
      <c r="FS90" s="82">
        <f t="shared" si="219"/>
        <v>9.663588852678448E-2</v>
      </c>
      <c r="FT90" s="82">
        <f t="shared" si="220"/>
        <v>7.9143124497994641E-2</v>
      </c>
      <c r="FU90" s="337">
        <f t="shared" si="113"/>
        <v>3.9910708511512372</v>
      </c>
      <c r="FV90" s="57" t="str">
        <f t="shared" si="192"/>
        <v>SW</v>
      </c>
      <c r="FW90" s="57" t="s">
        <v>2732</v>
      </c>
      <c r="FX90" s="57" t="str">
        <f t="shared" si="193"/>
        <v/>
      </c>
      <c r="FY90" s="57" t="str">
        <f t="shared" si="194"/>
        <v/>
      </c>
      <c r="FZ90" s="57" t="str">
        <f t="shared" si="195"/>
        <v/>
      </c>
      <c r="GA90" s="57" t="str">
        <f t="shared" si="196"/>
        <v>Long</v>
      </c>
      <c r="GB90" s="57" t="str">
        <f t="shared" si="197"/>
        <v/>
      </c>
      <c r="GC90" s="57" t="str">
        <f t="shared" si="198"/>
        <v/>
      </c>
      <c r="GD90" s="57">
        <f t="shared" si="199"/>
        <v>1</v>
      </c>
      <c r="GE90" s="62">
        <f t="shared" si="114"/>
        <v>442.33</v>
      </c>
      <c r="GF90" s="62" t="s">
        <v>2779</v>
      </c>
      <c r="GG90" s="199">
        <v>1</v>
      </c>
      <c r="GH90" s="207">
        <f t="shared" si="200"/>
        <v>442.33</v>
      </c>
      <c r="GI90" s="199">
        <v>1</v>
      </c>
      <c r="GJ90" s="200">
        <v>418.08</v>
      </c>
      <c r="GK90" s="63">
        <f t="shared" si="201"/>
        <v>-24.25</v>
      </c>
      <c r="GL90" s="63">
        <f t="shared" si="115"/>
        <v>-27.339999999999975</v>
      </c>
      <c r="GM90" s="82">
        <f t="shared" si="202"/>
        <v>-1.0301509431118536</v>
      </c>
      <c r="GN90" s="82">
        <f>IF($GZ90="",#N/A,SUM(GM$4:GM90))</f>
        <v>10.772521110914964</v>
      </c>
      <c r="GO90" s="82" t="str">
        <f t="shared" si="203"/>
        <v/>
      </c>
      <c r="GP90" s="82">
        <f>IF($GZ90="",#N/A,SUM(GO$4:GO90))</f>
        <v>9.4575161738937599</v>
      </c>
      <c r="GQ90" s="82" t="str">
        <f t="shared" si="204"/>
        <v/>
      </c>
      <c r="GR90" s="82">
        <f>IF($GZ90="",#N/A,SUM(GQ$4:GQ90))</f>
        <v>6.281589977960623</v>
      </c>
      <c r="GS90" s="63" t="e">
        <f t="shared" si="212"/>
        <v>#N/A</v>
      </c>
      <c r="GT90" s="63" t="e">
        <f>IF($GZ90="",#N/A,SUM(GS$4:GS90))</f>
        <v>#N/A</v>
      </c>
      <c r="GU90" s="63" t="str">
        <f t="shared" si="213"/>
        <v/>
      </c>
      <c r="GV90" s="63" t="e">
        <f>IF($GZ90="",#N/A,SUM(GU$4:GU90))</f>
        <v>#N/A</v>
      </c>
      <c r="GW90" s="63" t="str">
        <f t="shared" si="214"/>
        <v/>
      </c>
      <c r="GX90" s="63">
        <f>IF($GZ90="",#N/A,SUM(GW$4:GW90))</f>
        <v>167.16051890409477</v>
      </c>
      <c r="GY90" s="63" t="e">
        <f>IF(EJ90="",#N/A,SUM($EJ$4:EJ90))</f>
        <v>#N/A</v>
      </c>
      <c r="GZ90" s="159">
        <v>414.99</v>
      </c>
      <c r="HA90" s="63">
        <f t="shared" si="205"/>
        <v>-3.7799999999999727</v>
      </c>
      <c r="HB90" s="62" t="s">
        <v>2538</v>
      </c>
      <c r="HC90" s="60">
        <f>IFERROR(VLOOKUP(E90,Expectancy!$P$4:$S$19,1+C90,FALSE),"")</f>
        <v>-0.17081772033279666</v>
      </c>
      <c r="HD90" s="82">
        <f t="shared" si="206"/>
        <v>-0.91372203256995155</v>
      </c>
      <c r="HE90" s="60">
        <f>IF(HD90="",#N/A,SUM($HD$4:HD90))</f>
        <v>0.19984249214797822</v>
      </c>
      <c r="HF90" s="85">
        <f>IF(HD90="",#N/A,IF(HB90="Skip",#N/A,SUM($HG$4:HG90)))</f>
        <v>16.790000000000077</v>
      </c>
      <c r="HG90" s="63">
        <f t="shared" si="207"/>
        <v>-24.25</v>
      </c>
      <c r="HH90" s="82">
        <f t="shared" si="208"/>
        <v>-1.0301509431118536</v>
      </c>
    </row>
    <row r="91" spans="1:220" x14ac:dyDescent="0.25">
      <c r="A91" s="57" t="s">
        <v>1280</v>
      </c>
      <c r="B91" s="58" t="s">
        <v>5148</v>
      </c>
      <c r="C91" s="386">
        <f t="shared" si="118"/>
        <v>1</v>
      </c>
      <c r="D91" s="372" t="str">
        <f>_xlfn.XLOOKUP(A91,[1]SP500!$A$2:$A$502,[1]SP500!$D$2:$D$502,"N")</f>
        <v>Y</v>
      </c>
      <c r="E91" s="57" t="str">
        <f>_xlfn.XLOOKUP(A91,[1]SP500!$A$2:$A$655,[1]SP500!$B$2:$B$655)</f>
        <v>XLC</v>
      </c>
      <c r="F91" s="59">
        <v>45686</v>
      </c>
      <c r="G91" s="57" t="str">
        <f t="shared" si="119"/>
        <v>AMC</v>
      </c>
      <c r="H91" s="57" t="str">
        <f t="shared" si="120"/>
        <v>o</v>
      </c>
      <c r="I91" s="162">
        <v>665.67</v>
      </c>
      <c r="J91" s="159">
        <v>696.82</v>
      </c>
      <c r="K91" s="93">
        <f t="shared" si="121"/>
        <v>4.6794958462902179E-2</v>
      </c>
      <c r="L91" s="87">
        <f t="shared" si="122"/>
        <v>18.717983385160892</v>
      </c>
      <c r="M91" s="210" t="e">
        <f t="shared" si="112"/>
        <v>#N/A</v>
      </c>
      <c r="N91" s="169">
        <f t="shared" si="123"/>
        <v>18.717983385160892</v>
      </c>
      <c r="O91" s="169">
        <f>IF($J91="",#N/A,SUM($N$4:N91))</f>
        <v>185.35693117389093</v>
      </c>
      <c r="P91" s="174" t="str">
        <f t="shared" si="124"/>
        <v/>
      </c>
      <c r="Q91" s="174">
        <f>IF($J91="",#N/A,SUM($P$4:P91))</f>
        <v>79.036464916880902</v>
      </c>
      <c r="R91" s="178" t="str">
        <f t="shared" si="125"/>
        <v/>
      </c>
      <c r="S91" s="178">
        <f>IF($J91="",#N/A,SUM($R$4:R91))</f>
        <v>229.40979674373204</v>
      </c>
      <c r="T91" s="290">
        <f t="shared" si="126"/>
        <v>0.77991597438170379</v>
      </c>
      <c r="U91" s="290">
        <f>IF($J91="",#N/A,SUM($T$4:T91))</f>
        <v>6.6545053455719394</v>
      </c>
      <c r="V91" s="291" t="str">
        <f t="shared" si="127"/>
        <v/>
      </c>
      <c r="W91" s="291">
        <f>IF($J91="",#N/A,SUM($V$4:V91))</f>
        <v>2.9451096097899687</v>
      </c>
      <c r="X91" s="292" t="str">
        <f t="shared" si="128"/>
        <v/>
      </c>
      <c r="Y91" s="283">
        <f>IF($J91="",#N/A,SUM($X$4:X91))</f>
        <v>9.9012143623190063</v>
      </c>
      <c r="Z91" s="304" t="str">
        <f t="shared" si="129"/>
        <v/>
      </c>
      <c r="AA91" s="313" t="e">
        <f>IF($J91="",#N/A,SUM(Z$4:Z91))</f>
        <v>#N/A</v>
      </c>
      <c r="AB91" s="314" t="str">
        <f t="shared" si="130"/>
        <v/>
      </c>
      <c r="AC91" s="314" t="e">
        <f>IF($J91="",#N/A,SUM(AB$4:AB91))</f>
        <v>#N/A</v>
      </c>
      <c r="AD91" s="315" t="str">
        <f t="shared" si="131"/>
        <v/>
      </c>
      <c r="AE91" s="315" t="e">
        <f>IF($J91="",#N/A,SUM(AD$4:AD91))</f>
        <v>#N/A</v>
      </c>
      <c r="AF91" s="315" t="e">
        <f>IF($J91="",#N/A,SUM(AD$4:AD91,AB$4:AB91,Z$4:Z91))</f>
        <v>#N/A</v>
      </c>
      <c r="AG91" s="304" t="str">
        <f t="shared" si="132"/>
        <v/>
      </c>
      <c r="AH91" s="313" t="e">
        <f>IF($J91="",#N/A,SUM(AG$4:AG91))</f>
        <v>#N/A</v>
      </c>
      <c r="AI91" s="314" t="str">
        <f t="shared" si="133"/>
        <v/>
      </c>
      <c r="AJ91" s="314" t="e">
        <f>IF($J91="",#N/A,SUM(AI$4:AI91))</f>
        <v>#N/A</v>
      </c>
      <c r="AK91" s="315" t="str">
        <f t="shared" si="134"/>
        <v/>
      </c>
      <c r="AL91" s="315" t="e">
        <f>IF($J91="",#N/A,SUM(AK$4:AK91))</f>
        <v>#N/A</v>
      </c>
      <c r="AM91" s="315" t="e">
        <f>IF($J91="",#N/A,SUM(AK$4:AK91,AI$4:AI91,AG$4:AG91))</f>
        <v>#N/A</v>
      </c>
      <c r="AN91" s="304" t="str">
        <f t="shared" si="135"/>
        <v/>
      </c>
      <c r="AO91" s="313" t="e">
        <f>IF($J91="",#N/A,SUM(AN$4:AN91))</f>
        <v>#N/A</v>
      </c>
      <c r="AP91" s="314" t="str">
        <f t="shared" si="136"/>
        <v/>
      </c>
      <c r="AQ91" s="314" t="e">
        <f>IF($J91="",#N/A,SUM(AP$4:AP91))</f>
        <v>#N/A</v>
      </c>
      <c r="AR91" s="315" t="str">
        <f t="shared" si="137"/>
        <v/>
      </c>
      <c r="AS91" s="315" t="e">
        <f>IF($J91="",#N/A,SUM(AR$4:AR91))</f>
        <v>#N/A</v>
      </c>
      <c r="AT91" s="315" t="e">
        <f>IF($J91="",#N/A,SUM(AR$4:AR91,AP$4:AP91,AN$4:AN91))</f>
        <v>#N/A</v>
      </c>
      <c r="AU91" s="304" t="str">
        <f t="shared" si="138"/>
        <v/>
      </c>
      <c r="AV91" s="313" t="e">
        <f>IF($J91="",#N/A,SUM(AU$4:AU91))</f>
        <v>#N/A</v>
      </c>
      <c r="AW91" s="314" t="str">
        <f t="shared" si="139"/>
        <v/>
      </c>
      <c r="AX91" s="314" t="e">
        <f>IF($J91="",#N/A,SUM(AW$4:AW91))</f>
        <v>#N/A</v>
      </c>
      <c r="AY91" s="315" t="str">
        <f t="shared" si="140"/>
        <v/>
      </c>
      <c r="AZ91" s="315" t="e">
        <f>IF($J91="",#N/A,SUM(AY$4:AY91))</f>
        <v>#N/A</v>
      </c>
      <c r="BA91" s="315" t="e">
        <f>IF($J91="",#N/A,SUM(AY$4:AY91,AW$4:AW91,AU$4:AU91))</f>
        <v>#N/A</v>
      </c>
      <c r="BB91" s="304">
        <f t="shared" si="141"/>
        <v>0.77991597438170379</v>
      </c>
      <c r="BC91" s="313" t="e">
        <f>IF($J91="",#N/A,SUM(BB$4:BB91))</f>
        <v>#N/A</v>
      </c>
      <c r="BD91" s="314" t="str">
        <f t="shared" si="142"/>
        <v/>
      </c>
      <c r="BE91" s="314" t="e">
        <f>IF($J91="",#N/A,SUM(BD$4:BD91))</f>
        <v>#N/A</v>
      </c>
      <c r="BF91" s="315" t="str">
        <f t="shared" si="143"/>
        <v/>
      </c>
      <c r="BG91" s="315" t="e">
        <f>IF($J91="",#N/A,SUM(BF$4:BF91))</f>
        <v>#N/A</v>
      </c>
      <c r="BH91" s="315" t="e">
        <f>IF($J91="",#N/A,SUM(BF$4:BF91,BD$4:BD91,BB$4:BB91))</f>
        <v>#N/A</v>
      </c>
      <c r="BI91" s="304" t="str">
        <f t="shared" si="144"/>
        <v/>
      </c>
      <c r="BJ91" s="313" t="e">
        <f>IF($J91="",#N/A,SUM(BI$4:BI91))</f>
        <v>#N/A</v>
      </c>
      <c r="BK91" s="314" t="str">
        <f t="shared" si="145"/>
        <v/>
      </c>
      <c r="BL91" s="314" t="e">
        <f>IF($J91="",#N/A,SUM(BK$4:BK91))</f>
        <v>#N/A</v>
      </c>
      <c r="BM91" s="315" t="str">
        <f t="shared" si="146"/>
        <v/>
      </c>
      <c r="BN91" s="315" t="e">
        <f>IF($J91="",#N/A,SUM(BM$4:BM91))</f>
        <v>#N/A</v>
      </c>
      <c r="BO91" s="315" t="e">
        <f>IF($J91="",#N/A,SUM(BM$4:BM91,BK$4:BK91,BI$4:BI91))</f>
        <v>#N/A</v>
      </c>
      <c r="BP91" s="304" t="str">
        <f t="shared" si="147"/>
        <v/>
      </c>
      <c r="BQ91" s="313" t="e">
        <f>IF($J91="",#N/A,SUM(BP$4:BP91))</f>
        <v>#N/A</v>
      </c>
      <c r="BR91" s="314" t="str">
        <f t="shared" si="148"/>
        <v/>
      </c>
      <c r="BS91" s="314" t="e">
        <f>IF($J91="",#N/A,SUM(BR$4:BR91))</f>
        <v>#N/A</v>
      </c>
      <c r="BT91" s="315" t="str">
        <f t="shared" si="149"/>
        <v/>
      </c>
      <c r="BU91" s="315" t="e">
        <f>IF($J91="",#N/A,SUM(BT$4:BT91))</f>
        <v>#N/A</v>
      </c>
      <c r="BV91" s="315" t="e">
        <f>IF($J91="",#N/A,SUM(BT$4:BT91,BR$4:BR91,BP$4:BP91))</f>
        <v>#N/A</v>
      </c>
      <c r="BW91" s="304" t="str">
        <f t="shared" si="150"/>
        <v/>
      </c>
      <c r="BX91" s="313" t="e">
        <f>IF($J91="",#N/A,SUM(BW$4:BW91))</f>
        <v>#N/A</v>
      </c>
      <c r="BY91" s="314" t="str">
        <f t="shared" si="151"/>
        <v/>
      </c>
      <c r="BZ91" s="314" t="e">
        <f>IF($J91="",#N/A,SUM(BY$4:BY91))</f>
        <v>#N/A</v>
      </c>
      <c r="CA91" s="315" t="str">
        <f t="shared" si="152"/>
        <v/>
      </c>
      <c r="CB91" s="315" t="e">
        <f>IF($J91="",#N/A,SUM(CA$4:CA91))</f>
        <v>#N/A</v>
      </c>
      <c r="CC91" s="315" t="e">
        <f>IF($J91="",#N/A,SUM(CA$4:CA91,BY$4:BY91,BW$4:BW91))</f>
        <v>#N/A</v>
      </c>
      <c r="CD91" s="304" t="str">
        <f t="shared" si="153"/>
        <v/>
      </c>
      <c r="CE91" s="313" t="e">
        <f>IF($J91="",#N/A,SUM(CD$4:CD91))</f>
        <v>#N/A</v>
      </c>
      <c r="CF91" s="314" t="str">
        <f t="shared" si="154"/>
        <v/>
      </c>
      <c r="CG91" s="314" t="e">
        <f>IF($J91="",#N/A,SUM(CF$4:CF91))</f>
        <v>#N/A</v>
      </c>
      <c r="CH91" s="315" t="str">
        <f t="shared" si="155"/>
        <v/>
      </c>
      <c r="CI91" s="315" t="e">
        <f>IF($J91="",#N/A,SUM(CH$4:CH91))</f>
        <v>#N/A</v>
      </c>
      <c r="CJ91" s="315" t="e">
        <f>IF($J91="",#N/A,SUM(CH$4:CH91,CF$4:CF91,CD$4:CD91))</f>
        <v>#N/A</v>
      </c>
      <c r="CK91" s="304" t="str">
        <f t="shared" si="156"/>
        <v/>
      </c>
      <c r="CL91" s="313" t="e">
        <f>IF($J91="",#N/A,SUM(CK$4:CK91))</f>
        <v>#N/A</v>
      </c>
      <c r="CM91" s="314" t="str">
        <f t="shared" si="157"/>
        <v/>
      </c>
      <c r="CN91" s="314" t="e">
        <f>IF($J91="",#N/A,SUM(CM$4:CM91))</f>
        <v>#N/A</v>
      </c>
      <c r="CO91" s="315" t="str">
        <f t="shared" si="158"/>
        <v/>
      </c>
      <c r="CP91" s="315" t="e">
        <f>IF($J91="",#N/A,SUM(CO$4:CO91))</f>
        <v>#N/A</v>
      </c>
      <c r="CQ91" s="315" t="e">
        <f>IF($J91="",#N/A,SUM(CO$4:CO91,CM$4:CM91,CK$4:CK91))</f>
        <v>#N/A</v>
      </c>
      <c r="CR91" s="304" t="str">
        <f t="shared" si="159"/>
        <v/>
      </c>
      <c r="CS91" s="313" t="e">
        <f>IF($J91="",#N/A,SUM(CR$4:CR91))</f>
        <v>#N/A</v>
      </c>
      <c r="CT91" s="314" t="str">
        <f t="shared" si="160"/>
        <v/>
      </c>
      <c r="CU91" s="314" t="e">
        <f>IF($J91="",#N/A,SUM(CT$4:CT91))</f>
        <v>#N/A</v>
      </c>
      <c r="CV91" s="315" t="str">
        <f t="shared" si="161"/>
        <v/>
      </c>
      <c r="CW91" s="315" t="e">
        <f>IF($J91="",#N/A,SUM(CV$4:CV91))</f>
        <v>#N/A</v>
      </c>
      <c r="CX91" s="315" t="e">
        <f>IF($J91="",#N/A,SUM(CV$4:CV91,CT$4:CT91,CR$4:CR91))</f>
        <v>#N/A</v>
      </c>
      <c r="CY91" s="304" t="str">
        <f t="shared" si="162"/>
        <v/>
      </c>
      <c r="CZ91" s="313" t="e">
        <f>IF($J91="",#N/A,SUM(CY$4:CY91))</f>
        <v>#N/A</v>
      </c>
      <c r="DA91" s="314" t="str">
        <f t="shared" si="163"/>
        <v/>
      </c>
      <c r="DB91" s="314" t="e">
        <f>IF($J91="",#N/A,SUM(DA$4:DA91))</f>
        <v>#N/A</v>
      </c>
      <c r="DC91" s="315" t="str">
        <f t="shared" si="164"/>
        <v/>
      </c>
      <c r="DD91" s="315" t="e">
        <f>IF($J91="",#N/A,SUM(DC$4:DC91))</f>
        <v>#N/A</v>
      </c>
      <c r="DE91" s="315" t="e">
        <f>IF($J91="",#N/A,SUM(DC$4:DC91,DA$4:DA91,CY$4:CY91))</f>
        <v>#N/A</v>
      </c>
      <c r="DF91" s="304" t="str">
        <f t="shared" si="165"/>
        <v/>
      </c>
      <c r="DG91" s="313" t="e">
        <f>IF($J91="",#N/A,SUM(DF$4:DF91))</f>
        <v>#N/A</v>
      </c>
      <c r="DH91" s="314" t="str">
        <f t="shared" si="166"/>
        <v/>
      </c>
      <c r="DI91" s="314" t="e">
        <f>IF($J91="",#N/A,SUM(DH$4:DH91))</f>
        <v>#N/A</v>
      </c>
      <c r="DJ91" s="315" t="str">
        <f t="shared" si="167"/>
        <v/>
      </c>
      <c r="DK91" s="315" t="e">
        <f>IF($J91="",#N/A,SUM(DJ$4:DJ91))</f>
        <v>#N/A</v>
      </c>
      <c r="DL91" s="315" t="e">
        <f>IF($J91="",#N/A,SUM(DJ$4:DJ91,DH$4:DH91,DF$4:DF91))</f>
        <v>#N/A</v>
      </c>
      <c r="DM91" s="304" t="str">
        <f t="shared" si="168"/>
        <v/>
      </c>
      <c r="DN91" s="313" t="e">
        <f>IF($J91="",#N/A,SUM(DM$4:DM91))</f>
        <v>#N/A</v>
      </c>
      <c r="DO91" s="314" t="str">
        <f t="shared" si="169"/>
        <v/>
      </c>
      <c r="DP91" s="314" t="e">
        <f>IF($J91="",#N/A,SUM(DO$4:DO91))</f>
        <v>#N/A</v>
      </c>
      <c r="DQ91" s="315" t="str">
        <f t="shared" si="170"/>
        <v/>
      </c>
      <c r="DR91" s="315" t="e">
        <f>IF($J91="",#N/A,SUM(DQ$4:DQ91))</f>
        <v>#N/A</v>
      </c>
      <c r="DS91" s="315" t="e">
        <f>IF($J91="",#N/A,SUM(DQ$4:DQ91,DO$4:DO91,DM$4:DM91))</f>
        <v>#N/A</v>
      </c>
      <c r="DT91" s="304" t="str">
        <f t="shared" si="171"/>
        <v/>
      </c>
      <c r="DU91" s="313" t="e">
        <f>IF($J91="",#N/A,SUM(DT$4:DT91))</f>
        <v>#N/A</v>
      </c>
      <c r="DV91" s="314" t="str">
        <f t="shared" si="172"/>
        <v/>
      </c>
      <c r="DW91" s="314" t="e">
        <f>IF($J91="",#N/A,SUM(DV$4:DV91))</f>
        <v>#N/A</v>
      </c>
      <c r="DX91" s="315" t="str">
        <f t="shared" si="173"/>
        <v/>
      </c>
      <c r="DY91" s="315" t="e">
        <f>IF($J91="",#N/A,SUM(DX$4:DX91))</f>
        <v>#N/A</v>
      </c>
      <c r="DZ91" s="315" t="e">
        <f>IF($J91="",#N/A,SUM(DX$4:DX91,DV$4:DV91,DT$4:DT91))</f>
        <v>#N/A</v>
      </c>
      <c r="EA91" s="304" t="str">
        <f t="shared" si="174"/>
        <v/>
      </c>
      <c r="EB91" s="313" t="e">
        <f>IF($J91="",#N/A,SUM(EA$4:EA91))</f>
        <v>#N/A</v>
      </c>
      <c r="EC91" s="314" t="str">
        <f t="shared" si="175"/>
        <v/>
      </c>
      <c r="ED91" s="314" t="e">
        <f>IF($J91="",#N/A,SUM(EC$4:EC91))</f>
        <v>#N/A</v>
      </c>
      <c r="EE91" s="315" t="str">
        <f t="shared" si="176"/>
        <v/>
      </c>
      <c r="EF91" s="315" t="e">
        <f>IF($J91="",#N/A,SUM(EE$4:EE91))</f>
        <v>#N/A</v>
      </c>
      <c r="EG91" s="315" t="e">
        <f>IF($J91="",#N/A,SUM(EE$4:EE91,EC$4:EC91,EA$4:EA91))</f>
        <v>#N/A</v>
      </c>
      <c r="EH91" s="130">
        <f t="shared" si="177"/>
        <v>18.717983385160892</v>
      </c>
      <c r="EI91" s="63">
        <f>IF(EH91="",#N/A,SUM($EH$4:EH91))</f>
        <v>493.80319283450388</v>
      </c>
      <c r="EJ91" s="223" t="e">
        <f t="shared" si="178"/>
        <v>#N/A</v>
      </c>
      <c r="EK91" s="63" t="e">
        <f>IF($GZ91="",#N/A,SUM(EJ$4:EJ91))</f>
        <v>#N/A</v>
      </c>
      <c r="EL91" s="60">
        <f t="shared" si="209"/>
        <v>0.77991597438170379</v>
      </c>
      <c r="EM91" s="60">
        <f>IF(EL91="",NA(),SUM($EL$4:EL91))</f>
        <v>19.621477370076647</v>
      </c>
      <c r="EN91" s="60">
        <f t="shared" si="179"/>
        <v>0.77991597438170379</v>
      </c>
      <c r="EO91" s="60">
        <f>IF(EN91="",NA(),SUM($EN$4:EN91))</f>
        <v>6.6545053455719394</v>
      </c>
      <c r="EP91" s="60" t="str">
        <f t="shared" si="180"/>
        <v/>
      </c>
      <c r="EQ91" s="60" t="e">
        <f>IF(EP91="",NA(),SUM($EP$4:EP91))</f>
        <v>#N/A</v>
      </c>
      <c r="ER91" s="60" t="str">
        <f t="shared" si="181"/>
        <v/>
      </c>
      <c r="ES91" s="60" t="e">
        <f>IF(ER91="",NA(),SUM($ER$4:ER91))</f>
        <v>#N/A</v>
      </c>
      <c r="ET91" s="60" t="str">
        <f t="shared" si="182"/>
        <v/>
      </c>
      <c r="EU91" s="60" t="e">
        <f>IF(ET91="",NA(),SUM($ET$4:ET91))</f>
        <v>#N/A</v>
      </c>
      <c r="EV91" s="60" t="str">
        <f t="shared" si="183"/>
        <v/>
      </c>
      <c r="EW91" s="60" t="e">
        <f>IF(EV91="",NA(),SUM($EV$4:EV91))</f>
        <v>#N/A</v>
      </c>
      <c r="EX91" s="60" t="str">
        <f t="shared" si="184"/>
        <v/>
      </c>
      <c r="EY91" s="60" t="e">
        <f>IF(EX91="",NA(),SUM($EX$4:EX91))</f>
        <v>#N/A</v>
      </c>
      <c r="EZ91" s="60" t="str">
        <f t="shared" si="185"/>
        <v/>
      </c>
      <c r="FA91" s="60" t="e">
        <f>IF(EZ91="",NA(),SUM($EZ$4:EZ91))</f>
        <v>#N/A</v>
      </c>
      <c r="FB91" s="246" t="str">
        <f t="shared" si="210"/>
        <v/>
      </c>
      <c r="FC91" s="246" t="e">
        <f>IF($FB91="",#N/A,SUM(FB$4:$FB91))</f>
        <v>#N/A</v>
      </c>
      <c r="FD91" s="60" t="str">
        <f t="shared" si="186"/>
        <v/>
      </c>
      <c r="FE91" s="60" t="e">
        <f>IF($FD91="",#N/A,SUM($FD$4:FD91))</f>
        <v>#N/A</v>
      </c>
      <c r="FF91" s="60">
        <f t="shared" si="187"/>
        <v>-0.24586757202017151</v>
      </c>
      <c r="FG91" s="60">
        <f>IF($FF91="",#N/A,SUM($FF$4:FF91))</f>
        <v>1.1602304665163368</v>
      </c>
      <c r="FH91" s="60" t="str">
        <f t="shared" si="188"/>
        <v/>
      </c>
      <c r="FI91" s="60" t="e">
        <f>IF($FH91="",#N/A,SUM($FH$4:FH91))</f>
        <v>#N/A</v>
      </c>
      <c r="FJ91" s="60" t="str">
        <f t="shared" si="189"/>
        <v/>
      </c>
      <c r="FK91" s="60" t="e">
        <f>IF($FJ91="",#N/A,SUM($FJ$4:FJ91))</f>
        <v>#N/A</v>
      </c>
      <c r="FL91" s="60" t="str">
        <f t="shared" si="190"/>
        <v/>
      </c>
      <c r="FM91" s="60" t="e">
        <f>IF($FL91="",#N/A,SUM($FL$4:FL91))</f>
        <v>#N/A</v>
      </c>
      <c r="FN91" s="82">
        <f t="shared" si="191"/>
        <v>0.53404840236153228</v>
      </c>
      <c r="FO91" s="82">
        <f>IF($FN91="",#N/A,SUM(FN$4:$FN91))</f>
        <v>27.671512619573225</v>
      </c>
      <c r="FP91" s="82">
        <f t="shared" si="211"/>
        <v>0.77991597438170379</v>
      </c>
      <c r="FQ91" s="246">
        <f>IF($EH91="",#N/A,SUM($FP$4:FP91))</f>
        <v>19.500829317680921</v>
      </c>
      <c r="FR91" s="82">
        <f>IFERROR(FQ91/COUNTA($J$4:J91),#N/A)</f>
        <v>0.22160033315546501</v>
      </c>
      <c r="FS91" s="82">
        <f t="shared" si="219"/>
        <v>0.11115441510235537</v>
      </c>
      <c r="FT91" s="82">
        <f t="shared" si="220"/>
        <v>0.1404414449189561</v>
      </c>
      <c r="FU91" s="273"/>
      <c r="FV91" s="57" t="str">
        <f t="shared" si="192"/>
        <v>Up</v>
      </c>
      <c r="FW91" s="94" t="s">
        <v>2733</v>
      </c>
      <c r="FX91" s="94">
        <f t="shared" si="193"/>
        <v>1</v>
      </c>
      <c r="FY91" s="94" t="str">
        <f t="shared" si="194"/>
        <v/>
      </c>
      <c r="FZ91" s="94" t="str">
        <f t="shared" si="195"/>
        <v/>
      </c>
      <c r="GA91" s="57" t="str">
        <f t="shared" si="196"/>
        <v>Long</v>
      </c>
      <c r="GB91" s="94" t="str">
        <f t="shared" si="197"/>
        <v/>
      </c>
      <c r="GC91" s="94" t="str">
        <f t="shared" si="198"/>
        <v/>
      </c>
      <c r="GD91" s="94" t="str">
        <f t="shared" si="199"/>
        <v/>
      </c>
      <c r="GE91" s="62">
        <f t="shared" si="114"/>
        <v>665.67</v>
      </c>
      <c r="GF91" s="95" t="s">
        <v>2779</v>
      </c>
      <c r="GG91" s="99">
        <f>400/I91</f>
        <v>0.60089834302281919</v>
      </c>
      <c r="GH91" s="207">
        <f t="shared" si="200"/>
        <v>400</v>
      </c>
      <c r="GI91" s="99">
        <f>GG91</f>
        <v>0.60089834302281919</v>
      </c>
      <c r="GJ91" s="98">
        <f>J91</f>
        <v>696.82</v>
      </c>
      <c r="GK91" s="96">
        <f t="shared" si="201"/>
        <v>18.717983385160892</v>
      </c>
      <c r="GL91" s="63">
        <f t="shared" si="115"/>
        <v>12.817161656676774</v>
      </c>
      <c r="GM91" s="82" t="str">
        <f t="shared" si="202"/>
        <v/>
      </c>
      <c r="GN91" s="82">
        <f>IF($GZ91="",#N/A,SUM(GM$4:GM91))</f>
        <v>10.772521110914964</v>
      </c>
      <c r="GO91" s="82">
        <f t="shared" si="203"/>
        <v>0.53404840236153228</v>
      </c>
      <c r="GP91" s="82">
        <f>IF($GZ91="",#N/A,SUM(GO$4:GO91))</f>
        <v>9.9915645762552927</v>
      </c>
      <c r="GQ91" s="82" t="str">
        <f t="shared" si="204"/>
        <v/>
      </c>
      <c r="GR91" s="82">
        <f>IF($GZ91="",#N/A,SUM(GQ$4:GQ91))</f>
        <v>6.281589977960623</v>
      </c>
      <c r="GS91" s="63" t="str">
        <f t="shared" si="212"/>
        <v/>
      </c>
      <c r="GT91" s="63" t="e">
        <f>IF($GZ91="",#N/A,SUM(GS$4:GS91))</f>
        <v>#N/A</v>
      </c>
      <c r="GU91" s="63" t="e">
        <f t="shared" si="213"/>
        <v>#N/A</v>
      </c>
      <c r="GV91" s="63" t="e">
        <f>IF($GZ91="",#N/A,SUM(GU$4:GU91))</f>
        <v>#N/A</v>
      </c>
      <c r="GW91" s="63" t="str">
        <f t="shared" si="214"/>
        <v/>
      </c>
      <c r="GX91" s="63">
        <f>IF($GZ91="",#N/A,SUM(GW$4:GW91))</f>
        <v>167.16051890409477</v>
      </c>
      <c r="GY91" s="63" t="e">
        <f>IF(EJ91="",#N/A,SUM($EJ$4:EJ91))</f>
        <v>#N/A</v>
      </c>
      <c r="GZ91" s="159">
        <v>687</v>
      </c>
      <c r="HA91" s="63">
        <f t="shared" si="205"/>
        <v>-5.900821728484118</v>
      </c>
      <c r="HB91" s="130" t="s">
        <v>4970</v>
      </c>
      <c r="HC91" s="60">
        <f>IFERROR(VLOOKUP(E91,Expectancy!$P$4:$S$19,1+C91,FALSE),"")</f>
        <v>0.43526476867969371</v>
      </c>
      <c r="HD91" s="82" t="str">
        <f t="shared" si="206"/>
        <v/>
      </c>
      <c r="HE91" s="60" t="e">
        <f>IF(HD91="",#N/A,SUM($HD$4:HD91))</f>
        <v>#N/A</v>
      </c>
      <c r="HF91" s="85" t="e">
        <f>IF(HD91="",#N/A,IF(HB91="Skip",#N/A,SUM($HG$4:HG91)))</f>
        <v>#N/A</v>
      </c>
      <c r="HG91" s="205" t="str">
        <f t="shared" si="207"/>
        <v/>
      </c>
      <c r="HH91" s="82">
        <f t="shared" si="208"/>
        <v>0.53404840236153228</v>
      </c>
    </row>
    <row r="92" spans="1:220" x14ac:dyDescent="0.25">
      <c r="A92" s="57" t="s">
        <v>1281</v>
      </c>
      <c r="B92" s="58" t="s">
        <v>5149</v>
      </c>
      <c r="C92" s="386">
        <f t="shared" si="118"/>
        <v>3</v>
      </c>
      <c r="D92" s="372" t="str">
        <f>_xlfn.XLOOKUP(A92,[1]SP500!$A$2:$A$502,[1]SP500!$D$2:$D$502,"N")</f>
        <v>Y</v>
      </c>
      <c r="E92" s="57" t="str">
        <f>_xlfn.XLOOKUP(A92,[1]SP500!$A$2:$A$655,[1]SP500!$B$2:$B$655)</f>
        <v>XLY</v>
      </c>
      <c r="F92" s="59">
        <v>45686</v>
      </c>
      <c r="G92" s="57" t="str">
        <f t="shared" si="119"/>
        <v>AMC</v>
      </c>
      <c r="H92" s="57" t="str">
        <f t="shared" si="120"/>
        <v>o</v>
      </c>
      <c r="I92" s="162">
        <v>389.1</v>
      </c>
      <c r="J92" s="159">
        <v>410.78</v>
      </c>
      <c r="K92" s="93">
        <f t="shared" si="121"/>
        <v>5.5718324338216267E-2</v>
      </c>
      <c r="L92" s="87">
        <f t="shared" si="122"/>
        <v>22.287329735286505</v>
      </c>
      <c r="M92" s="210" t="e">
        <f t="shared" si="112"/>
        <v>#N/A</v>
      </c>
      <c r="N92" s="169" t="str">
        <f t="shared" si="123"/>
        <v/>
      </c>
      <c r="O92" s="169">
        <f>IF($J92="",#N/A,SUM($N$4:N92))</f>
        <v>185.35693117389093</v>
      </c>
      <c r="P92" s="174" t="str">
        <f t="shared" si="124"/>
        <v/>
      </c>
      <c r="Q92" s="174">
        <f>IF($J92="",#N/A,SUM($P$4:P92))</f>
        <v>79.036464916880902</v>
      </c>
      <c r="R92" s="178">
        <f t="shared" si="125"/>
        <v>22.287329735286505</v>
      </c>
      <c r="S92" s="178">
        <f>IF($J92="",#N/A,SUM($R$4:R92))</f>
        <v>251.69712647901855</v>
      </c>
      <c r="T92" s="290" t="str">
        <f t="shared" si="126"/>
        <v/>
      </c>
      <c r="U92" s="290">
        <f>IF($J92="",#N/A,SUM($T$4:T92))</f>
        <v>6.6545053455719394</v>
      </c>
      <c r="V92" s="291" t="str">
        <f t="shared" si="127"/>
        <v/>
      </c>
      <c r="W92" s="291">
        <f>IF($J92="",#N/A,SUM($V$4:V92))</f>
        <v>2.9451096097899687</v>
      </c>
      <c r="X92" s="292">
        <f t="shared" si="128"/>
        <v>0.92863873897027116</v>
      </c>
      <c r="Y92" s="283">
        <f>IF($J92="",#N/A,SUM($X$4:X92))</f>
        <v>10.829853101289277</v>
      </c>
      <c r="Z92" s="304" t="str">
        <f t="shared" si="129"/>
        <v/>
      </c>
      <c r="AA92" s="313" t="e">
        <f>IF($J92="",#N/A,SUM(Z$4:Z92))</f>
        <v>#N/A</v>
      </c>
      <c r="AB92" s="314" t="str">
        <f t="shared" si="130"/>
        <v/>
      </c>
      <c r="AC92" s="314" t="e">
        <f>IF($J92="",#N/A,SUM(AB$4:AB92))</f>
        <v>#N/A</v>
      </c>
      <c r="AD92" s="315" t="str">
        <f t="shared" si="131"/>
        <v/>
      </c>
      <c r="AE92" s="315" t="e">
        <f>IF($J92="",#N/A,SUM(AD$4:AD92))</f>
        <v>#N/A</v>
      </c>
      <c r="AF92" s="315" t="e">
        <f>IF($J92="",#N/A,SUM(AD$4:AD92,AB$4:AB92,Z$4:Z92))</f>
        <v>#N/A</v>
      </c>
      <c r="AG92" s="304" t="str">
        <f t="shared" si="132"/>
        <v/>
      </c>
      <c r="AH92" s="313" t="e">
        <f>IF($J92="",#N/A,SUM(AG$4:AG92))</f>
        <v>#N/A</v>
      </c>
      <c r="AI92" s="314" t="str">
        <f t="shared" si="133"/>
        <v/>
      </c>
      <c r="AJ92" s="314" t="e">
        <f>IF($J92="",#N/A,SUM(AI$4:AI92))</f>
        <v>#N/A</v>
      </c>
      <c r="AK92" s="315" t="str">
        <f t="shared" si="134"/>
        <v/>
      </c>
      <c r="AL92" s="315" t="e">
        <f>IF($J92="",#N/A,SUM(AK$4:AK92))</f>
        <v>#N/A</v>
      </c>
      <c r="AM92" s="315" t="e">
        <f>IF($J92="",#N/A,SUM(AK$4:AK92,AI$4:AI92,AG$4:AG92))</f>
        <v>#N/A</v>
      </c>
      <c r="AN92" s="304" t="str">
        <f t="shared" si="135"/>
        <v/>
      </c>
      <c r="AO92" s="313" t="e">
        <f>IF($J92="",#N/A,SUM(AN$4:AN92))</f>
        <v>#N/A</v>
      </c>
      <c r="AP92" s="314" t="str">
        <f t="shared" si="136"/>
        <v/>
      </c>
      <c r="AQ92" s="314" t="e">
        <f>IF($J92="",#N/A,SUM(AP$4:AP92))</f>
        <v>#N/A</v>
      </c>
      <c r="AR92" s="315">
        <f t="shared" si="137"/>
        <v>0.92863873897027116</v>
      </c>
      <c r="AS92" s="315" t="e">
        <f>IF($J92="",#N/A,SUM(AR$4:AR92))</f>
        <v>#N/A</v>
      </c>
      <c r="AT92" s="315" t="e">
        <f>IF($J92="",#N/A,SUM(AR$4:AR92,AP$4:AP92,AN$4:AN92))</f>
        <v>#N/A</v>
      </c>
      <c r="AU92" s="304" t="str">
        <f t="shared" si="138"/>
        <v/>
      </c>
      <c r="AV92" s="313" t="e">
        <f>IF($J92="",#N/A,SUM(AU$4:AU92))</f>
        <v>#N/A</v>
      </c>
      <c r="AW92" s="314" t="str">
        <f t="shared" si="139"/>
        <v/>
      </c>
      <c r="AX92" s="314" t="e">
        <f>IF($J92="",#N/A,SUM(AW$4:AW92))</f>
        <v>#N/A</v>
      </c>
      <c r="AY92" s="315" t="str">
        <f t="shared" si="140"/>
        <v/>
      </c>
      <c r="AZ92" s="315" t="e">
        <f>IF($J92="",#N/A,SUM(AY$4:AY92))</f>
        <v>#N/A</v>
      </c>
      <c r="BA92" s="315" t="e">
        <f>IF($J92="",#N/A,SUM(AY$4:AY92,AW$4:AW92,AU$4:AU92))</f>
        <v>#N/A</v>
      </c>
      <c r="BB92" s="304" t="str">
        <f t="shared" si="141"/>
        <v/>
      </c>
      <c r="BC92" s="313" t="e">
        <f>IF($J92="",#N/A,SUM(BB$4:BB92))</f>
        <v>#N/A</v>
      </c>
      <c r="BD92" s="314" t="str">
        <f t="shared" si="142"/>
        <v/>
      </c>
      <c r="BE92" s="314" t="e">
        <f>IF($J92="",#N/A,SUM(BD$4:BD92))</f>
        <v>#N/A</v>
      </c>
      <c r="BF92" s="315" t="str">
        <f t="shared" si="143"/>
        <v/>
      </c>
      <c r="BG92" s="315" t="e">
        <f>IF($J92="",#N/A,SUM(BF$4:BF92))</f>
        <v>#N/A</v>
      </c>
      <c r="BH92" s="315" t="e">
        <f>IF($J92="",#N/A,SUM(BF$4:BF92,BD$4:BD92,BB$4:BB92))</f>
        <v>#N/A</v>
      </c>
      <c r="BI92" s="304" t="str">
        <f t="shared" si="144"/>
        <v/>
      </c>
      <c r="BJ92" s="313" t="e">
        <f>IF($J92="",#N/A,SUM(BI$4:BI92))</f>
        <v>#N/A</v>
      </c>
      <c r="BK92" s="314" t="str">
        <f t="shared" si="145"/>
        <v/>
      </c>
      <c r="BL92" s="314" t="e">
        <f>IF($J92="",#N/A,SUM(BK$4:BK92))</f>
        <v>#N/A</v>
      </c>
      <c r="BM92" s="315" t="str">
        <f t="shared" si="146"/>
        <v/>
      </c>
      <c r="BN92" s="315" t="e">
        <f>IF($J92="",#N/A,SUM(BM$4:BM92))</f>
        <v>#N/A</v>
      </c>
      <c r="BO92" s="315" t="e">
        <f>IF($J92="",#N/A,SUM(BM$4:BM92,BK$4:BK92,BI$4:BI92))</f>
        <v>#N/A</v>
      </c>
      <c r="BP92" s="304" t="str">
        <f t="shared" si="147"/>
        <v/>
      </c>
      <c r="BQ92" s="313" t="e">
        <f>IF($J92="",#N/A,SUM(BP$4:BP92))</f>
        <v>#N/A</v>
      </c>
      <c r="BR92" s="314" t="str">
        <f t="shared" si="148"/>
        <v/>
      </c>
      <c r="BS92" s="314" t="e">
        <f>IF($J92="",#N/A,SUM(BR$4:BR92))</f>
        <v>#N/A</v>
      </c>
      <c r="BT92" s="315" t="str">
        <f t="shared" si="149"/>
        <v/>
      </c>
      <c r="BU92" s="315" t="e">
        <f>IF($J92="",#N/A,SUM(BT$4:BT92))</f>
        <v>#N/A</v>
      </c>
      <c r="BV92" s="315" t="e">
        <f>IF($J92="",#N/A,SUM(BT$4:BT92,BR$4:BR92,BP$4:BP92))</f>
        <v>#N/A</v>
      </c>
      <c r="BW92" s="304" t="str">
        <f t="shared" si="150"/>
        <v/>
      </c>
      <c r="BX92" s="313" t="e">
        <f>IF($J92="",#N/A,SUM(BW$4:BW92))</f>
        <v>#N/A</v>
      </c>
      <c r="BY92" s="314" t="str">
        <f t="shared" si="151"/>
        <v/>
      </c>
      <c r="BZ92" s="314" t="e">
        <f>IF($J92="",#N/A,SUM(BY$4:BY92))</f>
        <v>#N/A</v>
      </c>
      <c r="CA92" s="315" t="str">
        <f t="shared" si="152"/>
        <v/>
      </c>
      <c r="CB92" s="315" t="e">
        <f>IF($J92="",#N/A,SUM(CA$4:CA92))</f>
        <v>#N/A</v>
      </c>
      <c r="CC92" s="315" t="e">
        <f>IF($J92="",#N/A,SUM(CA$4:CA92,BY$4:BY92,BW$4:BW92))</f>
        <v>#N/A</v>
      </c>
      <c r="CD92" s="304" t="str">
        <f t="shared" si="153"/>
        <v/>
      </c>
      <c r="CE92" s="313" t="e">
        <f>IF($J92="",#N/A,SUM(CD$4:CD92))</f>
        <v>#N/A</v>
      </c>
      <c r="CF92" s="314" t="str">
        <f t="shared" si="154"/>
        <v/>
      </c>
      <c r="CG92" s="314" t="e">
        <f>IF($J92="",#N/A,SUM(CF$4:CF92))</f>
        <v>#N/A</v>
      </c>
      <c r="CH92" s="315" t="str">
        <f t="shared" si="155"/>
        <v/>
      </c>
      <c r="CI92" s="315" t="e">
        <f>IF($J92="",#N/A,SUM(CH$4:CH92))</f>
        <v>#N/A</v>
      </c>
      <c r="CJ92" s="315" t="e">
        <f>IF($J92="",#N/A,SUM(CH$4:CH92,CF$4:CF92,CD$4:CD92))</f>
        <v>#N/A</v>
      </c>
      <c r="CK92" s="304" t="str">
        <f t="shared" si="156"/>
        <v/>
      </c>
      <c r="CL92" s="313" t="e">
        <f>IF($J92="",#N/A,SUM(CK$4:CK92))</f>
        <v>#N/A</v>
      </c>
      <c r="CM92" s="314" t="str">
        <f t="shared" si="157"/>
        <v/>
      </c>
      <c r="CN92" s="314" t="e">
        <f>IF($J92="",#N/A,SUM(CM$4:CM92))</f>
        <v>#N/A</v>
      </c>
      <c r="CO92" s="315" t="str">
        <f t="shared" si="158"/>
        <v/>
      </c>
      <c r="CP92" s="315" t="e">
        <f>IF($J92="",#N/A,SUM(CO$4:CO92))</f>
        <v>#N/A</v>
      </c>
      <c r="CQ92" s="315" t="e">
        <f>IF($J92="",#N/A,SUM(CO$4:CO92,CM$4:CM92,CK$4:CK92))</f>
        <v>#N/A</v>
      </c>
      <c r="CR92" s="304" t="str">
        <f t="shared" si="159"/>
        <v/>
      </c>
      <c r="CS92" s="313" t="e">
        <f>IF($J92="",#N/A,SUM(CR$4:CR92))</f>
        <v>#N/A</v>
      </c>
      <c r="CT92" s="314" t="str">
        <f t="shared" si="160"/>
        <v/>
      </c>
      <c r="CU92" s="314" t="e">
        <f>IF($J92="",#N/A,SUM(CT$4:CT92))</f>
        <v>#N/A</v>
      </c>
      <c r="CV92" s="315" t="str">
        <f t="shared" si="161"/>
        <v/>
      </c>
      <c r="CW92" s="315" t="e">
        <f>IF($J92="",#N/A,SUM(CV$4:CV92))</f>
        <v>#N/A</v>
      </c>
      <c r="CX92" s="315" t="e">
        <f>IF($J92="",#N/A,SUM(CV$4:CV92,CT$4:CT92,CR$4:CR92))</f>
        <v>#N/A</v>
      </c>
      <c r="CY92" s="304" t="str">
        <f t="shared" si="162"/>
        <v/>
      </c>
      <c r="CZ92" s="313" t="e">
        <f>IF($J92="",#N/A,SUM(CY$4:CY92))</f>
        <v>#N/A</v>
      </c>
      <c r="DA92" s="314" t="str">
        <f t="shared" si="163"/>
        <v/>
      </c>
      <c r="DB92" s="314" t="e">
        <f>IF($J92="",#N/A,SUM(DA$4:DA92))</f>
        <v>#N/A</v>
      </c>
      <c r="DC92" s="315" t="str">
        <f t="shared" si="164"/>
        <v/>
      </c>
      <c r="DD92" s="315" t="e">
        <f>IF($J92="",#N/A,SUM(DC$4:DC92))</f>
        <v>#N/A</v>
      </c>
      <c r="DE92" s="315" t="e">
        <f>IF($J92="",#N/A,SUM(DC$4:DC92,DA$4:DA92,CY$4:CY92))</f>
        <v>#N/A</v>
      </c>
      <c r="DF92" s="304" t="str">
        <f t="shared" si="165"/>
        <v/>
      </c>
      <c r="DG92" s="313" t="e">
        <f>IF($J92="",#N/A,SUM(DF$4:DF92))</f>
        <v>#N/A</v>
      </c>
      <c r="DH92" s="314" t="str">
        <f t="shared" si="166"/>
        <v/>
      </c>
      <c r="DI92" s="314" t="e">
        <f>IF($J92="",#N/A,SUM(DH$4:DH92))</f>
        <v>#N/A</v>
      </c>
      <c r="DJ92" s="315" t="str">
        <f t="shared" si="167"/>
        <v/>
      </c>
      <c r="DK92" s="315" t="e">
        <f>IF($J92="",#N/A,SUM(DJ$4:DJ92))</f>
        <v>#N/A</v>
      </c>
      <c r="DL92" s="315" t="e">
        <f>IF($J92="",#N/A,SUM(DJ$4:DJ92,DH$4:DH92,DF$4:DF92))</f>
        <v>#N/A</v>
      </c>
      <c r="DM92" s="304" t="str">
        <f t="shared" si="168"/>
        <v/>
      </c>
      <c r="DN92" s="313" t="e">
        <f>IF($J92="",#N/A,SUM(DM$4:DM92))</f>
        <v>#N/A</v>
      </c>
      <c r="DO92" s="314" t="str">
        <f t="shared" si="169"/>
        <v/>
      </c>
      <c r="DP92" s="314" t="e">
        <f>IF($J92="",#N/A,SUM(DO$4:DO92))</f>
        <v>#N/A</v>
      </c>
      <c r="DQ92" s="315" t="str">
        <f t="shared" si="170"/>
        <v/>
      </c>
      <c r="DR92" s="315" t="e">
        <f>IF($J92="",#N/A,SUM(DQ$4:DQ92))</f>
        <v>#N/A</v>
      </c>
      <c r="DS92" s="315" t="e">
        <f>IF($J92="",#N/A,SUM(DQ$4:DQ92,DO$4:DO92,DM$4:DM92))</f>
        <v>#N/A</v>
      </c>
      <c r="DT92" s="304" t="str">
        <f t="shared" si="171"/>
        <v/>
      </c>
      <c r="DU92" s="313" t="e">
        <f>IF($J92="",#N/A,SUM(DT$4:DT92))</f>
        <v>#N/A</v>
      </c>
      <c r="DV92" s="314" t="str">
        <f t="shared" si="172"/>
        <v/>
      </c>
      <c r="DW92" s="314" t="e">
        <f>IF($J92="",#N/A,SUM(DV$4:DV92))</f>
        <v>#N/A</v>
      </c>
      <c r="DX92" s="315" t="str">
        <f t="shared" si="173"/>
        <v/>
      </c>
      <c r="DY92" s="315" t="e">
        <f>IF($J92="",#N/A,SUM(DX$4:DX92))</f>
        <v>#N/A</v>
      </c>
      <c r="DZ92" s="315" t="e">
        <f>IF($J92="",#N/A,SUM(DX$4:DX92,DV$4:DV92,DT$4:DT92))</f>
        <v>#N/A</v>
      </c>
      <c r="EA92" s="304" t="str">
        <f t="shared" si="174"/>
        <v/>
      </c>
      <c r="EB92" s="313" t="e">
        <f>IF($J92="",#N/A,SUM(EA$4:EA92))</f>
        <v>#N/A</v>
      </c>
      <c r="EC92" s="314" t="str">
        <f t="shared" si="175"/>
        <v/>
      </c>
      <c r="ED92" s="314" t="e">
        <f>IF($J92="",#N/A,SUM(EC$4:EC92))</f>
        <v>#N/A</v>
      </c>
      <c r="EE92" s="315" t="str">
        <f t="shared" si="176"/>
        <v/>
      </c>
      <c r="EF92" s="315" t="e">
        <f>IF($J92="",#N/A,SUM(EE$4:EE92))</f>
        <v>#N/A</v>
      </c>
      <c r="EG92" s="315" t="e">
        <f>IF($J92="",#N/A,SUM(EE$4:EE92,EC$4:EC92,EA$4:EA92))</f>
        <v>#N/A</v>
      </c>
      <c r="EH92" s="130">
        <f t="shared" si="177"/>
        <v>22.287329735286505</v>
      </c>
      <c r="EI92" s="63">
        <f>IF(EH92="",#N/A,SUM($EH$4:EH92))</f>
        <v>516.09052256979044</v>
      </c>
      <c r="EJ92" s="223" t="e">
        <f t="shared" si="178"/>
        <v>#N/A</v>
      </c>
      <c r="EK92" s="63" t="e">
        <f>IF($GZ92="",#N/A,SUM(EJ$4:EJ92))</f>
        <v>#N/A</v>
      </c>
      <c r="EL92" s="60">
        <f t="shared" si="209"/>
        <v>0.92863873897027116</v>
      </c>
      <c r="EM92" s="60">
        <f>IF(EL92="",NA(),SUM($EL$4:EL92))</f>
        <v>20.550116109046918</v>
      </c>
      <c r="EN92" s="60" t="str">
        <f t="shared" si="179"/>
        <v/>
      </c>
      <c r="EO92" s="60" t="e">
        <f>IF(EN92="",NA(),SUM($EN$4:EN92))</f>
        <v>#N/A</v>
      </c>
      <c r="EP92" s="60">
        <f t="shared" si="180"/>
        <v>0.92863873897027116</v>
      </c>
      <c r="EQ92" s="60">
        <f>IF(EP92="",NA(),SUM($EP$4:EP92))</f>
        <v>10.950501153685003</v>
      </c>
      <c r="ER92" s="60" t="str">
        <f t="shared" si="181"/>
        <v/>
      </c>
      <c r="ES92" s="60" t="e">
        <f>IF(ER92="",NA(),SUM($ER$4:ER92))</f>
        <v>#N/A</v>
      </c>
      <c r="ET92" s="60" t="str">
        <f t="shared" si="182"/>
        <v/>
      </c>
      <c r="EU92" s="60" t="e">
        <f>IF(ET92="",NA(),SUM($ET$4:ET92))</f>
        <v>#N/A</v>
      </c>
      <c r="EV92" s="60" t="str">
        <f t="shared" si="183"/>
        <v/>
      </c>
      <c r="EW92" s="60" t="e">
        <f>IF(EV92="",NA(),SUM($EV$4:EV92))</f>
        <v>#N/A</v>
      </c>
      <c r="EX92" s="60" t="str">
        <f t="shared" si="184"/>
        <v/>
      </c>
      <c r="EY92" s="60" t="e">
        <f>IF(EX92="",NA(),SUM($EX$4:EX92))</f>
        <v>#N/A</v>
      </c>
      <c r="EZ92" s="60" t="str">
        <f t="shared" si="185"/>
        <v/>
      </c>
      <c r="FA92" s="60" t="e">
        <f>IF(EZ92="",NA(),SUM($EZ$4:EZ92))</f>
        <v>#N/A</v>
      </c>
      <c r="FB92" s="246" t="str">
        <f t="shared" si="210"/>
        <v/>
      </c>
      <c r="FC92" s="246" t="e">
        <f>IF($FB92="",#N/A,SUM(FB$4:$FB92))</f>
        <v>#N/A</v>
      </c>
      <c r="FD92" s="60" t="str">
        <f t="shared" si="186"/>
        <v/>
      </c>
      <c r="FE92" s="60" t="e">
        <f>IF($FD92="",#N/A,SUM($FD$4:FD92))</f>
        <v>#N/A</v>
      </c>
      <c r="FF92" s="60" t="str">
        <f t="shared" si="187"/>
        <v/>
      </c>
      <c r="FG92" s="60" t="e">
        <f>IF($FF92="",#N/A,SUM($FF$4:FF92))</f>
        <v>#N/A</v>
      </c>
      <c r="FH92" s="60" t="str">
        <f t="shared" si="188"/>
        <v/>
      </c>
      <c r="FI92" s="60" t="e">
        <f>IF($FH92="",#N/A,SUM($FH$4:FH92))</f>
        <v>#N/A</v>
      </c>
      <c r="FJ92" s="60">
        <f t="shared" si="189"/>
        <v>-0.44975584682600817</v>
      </c>
      <c r="FK92" s="60">
        <f>IF($FJ92="",#N/A,SUM($FJ$4:FJ92))</f>
        <v>0.25426149539894666</v>
      </c>
      <c r="FL92" s="60" t="str">
        <f t="shared" si="190"/>
        <v/>
      </c>
      <c r="FM92" s="60" t="e">
        <f>IF($FL92="",#N/A,SUM($FL$4:FL92))</f>
        <v>#N/A</v>
      </c>
      <c r="FN92" s="82">
        <f t="shared" si="191"/>
        <v>0.47888289214426299</v>
      </c>
      <c r="FO92" s="82">
        <f>IF($FN92="",#N/A,SUM(FN$4:$FN92))</f>
        <v>28.150395511717488</v>
      </c>
      <c r="FP92" s="82">
        <f t="shared" si="211"/>
        <v>0.92863873897027116</v>
      </c>
      <c r="FQ92" s="246">
        <f>IF($EH92="",#N/A,SUM($FP$4:FP92))</f>
        <v>20.429468056651192</v>
      </c>
      <c r="FR92" s="82">
        <f>IFERROR(FQ92/COUNTA($J$4:J92),#N/A)</f>
        <v>0.22954458490619317</v>
      </c>
      <c r="FS92" s="82">
        <f t="shared" si="219"/>
        <v>0.13748698255329284</v>
      </c>
      <c r="FT92" s="82">
        <f t="shared" si="220"/>
        <v>0.18374764250830158</v>
      </c>
      <c r="FU92" s="273"/>
      <c r="FV92" s="57" t="str">
        <f t="shared" si="192"/>
        <v>SW</v>
      </c>
      <c r="FW92" s="94" t="s">
        <v>2732</v>
      </c>
      <c r="FX92" s="94" t="str">
        <f t="shared" si="193"/>
        <v/>
      </c>
      <c r="FY92" s="94" t="str">
        <f t="shared" si="194"/>
        <v/>
      </c>
      <c r="FZ92" s="94">
        <f t="shared" si="195"/>
        <v>1</v>
      </c>
      <c r="GA92" s="57" t="str">
        <f t="shared" si="196"/>
        <v>Long</v>
      </c>
      <c r="GB92" s="94" t="str">
        <f t="shared" si="197"/>
        <v/>
      </c>
      <c r="GC92" s="94" t="str">
        <f t="shared" si="198"/>
        <v/>
      </c>
      <c r="GD92" s="94" t="str">
        <f t="shared" si="199"/>
        <v/>
      </c>
      <c r="GE92" s="62">
        <f t="shared" si="114"/>
        <v>389.1</v>
      </c>
      <c r="GF92" s="95" t="s">
        <v>2779</v>
      </c>
      <c r="GG92" s="99">
        <f>400/I92</f>
        <v>1.0280133641737341</v>
      </c>
      <c r="GH92" s="207">
        <f t="shared" si="200"/>
        <v>399.99999999999994</v>
      </c>
      <c r="GI92" s="99">
        <f>GG92</f>
        <v>1.0280133641737341</v>
      </c>
      <c r="GJ92" s="98">
        <f>J92</f>
        <v>410.78</v>
      </c>
      <c r="GK92" s="96">
        <f t="shared" si="201"/>
        <v>22.287329735286505</v>
      </c>
      <c r="GL92" s="63">
        <f t="shared" si="115"/>
        <v>11.493189411462311</v>
      </c>
      <c r="GM92" s="82">
        <f t="shared" si="202"/>
        <v>0.47888289214426299</v>
      </c>
      <c r="GN92" s="82">
        <f>IF($GZ92="",#N/A,SUM(GM$4:GM92))</f>
        <v>11.251404003059227</v>
      </c>
      <c r="GO92" s="82" t="str">
        <f t="shared" si="203"/>
        <v/>
      </c>
      <c r="GP92" s="82">
        <f>IF($GZ92="",#N/A,SUM(GO$4:GO92))</f>
        <v>9.9915645762552927</v>
      </c>
      <c r="GQ92" s="82" t="str">
        <f t="shared" si="204"/>
        <v/>
      </c>
      <c r="GR92" s="82">
        <f>IF($GZ92="",#N/A,SUM(GQ$4:GQ92))</f>
        <v>6.281589977960623</v>
      </c>
      <c r="GS92" s="63" t="e">
        <f t="shared" si="212"/>
        <v>#N/A</v>
      </c>
      <c r="GT92" s="63" t="e">
        <f>IF($GZ92="",#N/A,SUM(GS$4:GS92))</f>
        <v>#N/A</v>
      </c>
      <c r="GU92" s="63" t="str">
        <f t="shared" si="213"/>
        <v/>
      </c>
      <c r="GV92" s="63" t="e">
        <f>IF($GZ92="",#N/A,SUM(GU$4:GU92))</f>
        <v>#N/A</v>
      </c>
      <c r="GW92" s="63" t="str">
        <f t="shared" si="214"/>
        <v/>
      </c>
      <c r="GX92" s="63">
        <f>IF($GZ92="",#N/A,SUM(GW$4:GW92))</f>
        <v>167.16051890409477</v>
      </c>
      <c r="GY92" s="63" t="e">
        <f>IF(EJ92="",#N/A,SUM($EJ$4:EJ92))</f>
        <v>#N/A</v>
      </c>
      <c r="GZ92" s="159">
        <v>400.28</v>
      </c>
      <c r="HA92" s="63">
        <f t="shared" si="205"/>
        <v>-10.794140323824195</v>
      </c>
      <c r="HB92" s="130" t="s">
        <v>4970</v>
      </c>
      <c r="HC92" s="60">
        <f>IFERROR(VLOOKUP(E92,Expectancy!$P$4:$S$19,1+C92,FALSE),"")</f>
        <v>0.48685636958953199</v>
      </c>
      <c r="HD92" s="82" t="str">
        <f t="shared" si="206"/>
        <v/>
      </c>
      <c r="HE92" s="60" t="e">
        <f>IF(HD92="",#N/A,SUM($HD$4:HD92))</f>
        <v>#N/A</v>
      </c>
      <c r="HF92" s="85" t="e">
        <f>IF(HD92="",#N/A,IF(HB92="Skip",#N/A,SUM($HG$4:HG92)))</f>
        <v>#N/A</v>
      </c>
      <c r="HG92" s="205" t="str">
        <f t="shared" si="207"/>
        <v/>
      </c>
      <c r="HH92" s="82">
        <f t="shared" si="208"/>
        <v>0.47888289214426299</v>
      </c>
    </row>
    <row r="93" spans="1:220" x14ac:dyDescent="0.25">
      <c r="A93" s="57" t="s">
        <v>1308</v>
      </c>
      <c r="B93" s="58" t="s">
        <v>5150</v>
      </c>
      <c r="C93" s="386">
        <f t="shared" si="118"/>
        <v>3</v>
      </c>
      <c r="D93" s="372" t="str">
        <f>_xlfn.XLOOKUP(A93,[1]SP500!$A$2:$A$502,[1]SP500!$D$2:$D$502,"N")</f>
        <v>Y</v>
      </c>
      <c r="E93" s="57" t="str">
        <f>_xlfn.XLOOKUP(A93,[1]SP500!$A$2:$A$655,[1]SP500!$B$2:$B$655)</f>
        <v>XLK</v>
      </c>
      <c r="F93" s="59">
        <v>45686</v>
      </c>
      <c r="G93" s="57" t="str">
        <f t="shared" si="119"/>
        <v>AMC</v>
      </c>
      <c r="H93" s="57" t="str">
        <f t="shared" si="120"/>
        <v>s</v>
      </c>
      <c r="I93" s="159">
        <v>228.63</v>
      </c>
      <c r="J93" s="158">
        <v>250</v>
      </c>
      <c r="K93" s="61">
        <f t="shared" si="121"/>
        <v>9.3469798364169202E-2</v>
      </c>
      <c r="L93" s="87">
        <f t="shared" si="122"/>
        <v>42.740000000000009</v>
      </c>
      <c r="M93" s="130">
        <f t="shared" si="112"/>
        <v>0</v>
      </c>
      <c r="N93" s="169" t="str">
        <f t="shared" si="123"/>
        <v/>
      </c>
      <c r="O93" s="169">
        <f>IF($J93="",#N/A,SUM($N$4:N93))</f>
        <v>185.35693117389093</v>
      </c>
      <c r="P93" s="174" t="str">
        <f t="shared" si="124"/>
        <v/>
      </c>
      <c r="Q93" s="174">
        <f>IF($J93="",#N/A,SUM($P$4:P93))</f>
        <v>79.036464916880902</v>
      </c>
      <c r="R93" s="178">
        <f t="shared" si="125"/>
        <v>42.740000000000009</v>
      </c>
      <c r="S93" s="178">
        <f>IF($J93="",#N/A,SUM($R$4:R93))</f>
        <v>294.43712647901856</v>
      </c>
      <c r="T93" s="290" t="str">
        <f t="shared" si="126"/>
        <v/>
      </c>
      <c r="U93" s="290">
        <f>IF($J93="",#N/A,SUM($T$4:T93))</f>
        <v>6.6545053455719394</v>
      </c>
      <c r="V93" s="291" t="str">
        <f t="shared" si="127"/>
        <v/>
      </c>
      <c r="W93" s="291">
        <f>IF($J93="",#N/A,SUM($V$4:V93))</f>
        <v>2.9451096097899687</v>
      </c>
      <c r="X93" s="292">
        <f t="shared" si="128"/>
        <v>1.5578299727361535</v>
      </c>
      <c r="Y93" s="283">
        <f>IF($J93="",#N/A,SUM($X$4:X93))</f>
        <v>12.38768307402543</v>
      </c>
      <c r="Z93" s="304" t="str">
        <f t="shared" si="129"/>
        <v/>
      </c>
      <c r="AA93" s="313" t="e">
        <f>IF($J93="",#N/A,SUM(Z$4:Z93))</f>
        <v>#N/A</v>
      </c>
      <c r="AB93" s="314" t="str">
        <f t="shared" si="130"/>
        <v/>
      </c>
      <c r="AC93" s="314" t="e">
        <f>IF($J93="",#N/A,SUM(AB$4:AB93))</f>
        <v>#N/A</v>
      </c>
      <c r="AD93" s="315">
        <f t="shared" si="131"/>
        <v>1.5578299727361535</v>
      </c>
      <c r="AE93" s="315" t="e">
        <f>IF($J93="",#N/A,SUM(AD$4:AD93))</f>
        <v>#N/A</v>
      </c>
      <c r="AF93" s="315" t="e">
        <f>IF($J93="",#N/A,SUM(AD$4:AD93,AB$4:AB93,Z$4:Z93))</f>
        <v>#N/A</v>
      </c>
      <c r="AG93" s="304" t="str">
        <f t="shared" si="132"/>
        <v/>
      </c>
      <c r="AH93" s="313" t="e">
        <f>IF($J93="",#N/A,SUM(AG$4:AG93))</f>
        <v>#N/A</v>
      </c>
      <c r="AI93" s="314" t="str">
        <f t="shared" si="133"/>
        <v/>
      </c>
      <c r="AJ93" s="314" t="e">
        <f>IF($J93="",#N/A,SUM(AI$4:AI93))</f>
        <v>#N/A</v>
      </c>
      <c r="AK93" s="315" t="str">
        <f t="shared" si="134"/>
        <v/>
      </c>
      <c r="AL93" s="315" t="e">
        <f>IF($J93="",#N/A,SUM(AK$4:AK93))</f>
        <v>#N/A</v>
      </c>
      <c r="AM93" s="315" t="e">
        <f>IF($J93="",#N/A,SUM(AK$4:AK93,AI$4:AI93,AG$4:AG93))</f>
        <v>#N/A</v>
      </c>
      <c r="AN93" s="304" t="str">
        <f t="shared" si="135"/>
        <v/>
      </c>
      <c r="AO93" s="313" t="e">
        <f>IF($J93="",#N/A,SUM(AN$4:AN93))</f>
        <v>#N/A</v>
      </c>
      <c r="AP93" s="314" t="str">
        <f t="shared" si="136"/>
        <v/>
      </c>
      <c r="AQ93" s="314" t="e">
        <f>IF($J93="",#N/A,SUM(AP$4:AP93))</f>
        <v>#N/A</v>
      </c>
      <c r="AR93" s="315" t="str">
        <f t="shared" si="137"/>
        <v/>
      </c>
      <c r="AS93" s="315" t="e">
        <f>IF($J93="",#N/A,SUM(AR$4:AR93))</f>
        <v>#N/A</v>
      </c>
      <c r="AT93" s="315" t="e">
        <f>IF($J93="",#N/A,SUM(AR$4:AR93,AP$4:AP93,AN$4:AN93))</f>
        <v>#N/A</v>
      </c>
      <c r="AU93" s="304" t="str">
        <f t="shared" si="138"/>
        <v/>
      </c>
      <c r="AV93" s="313" t="e">
        <f>IF($J93="",#N/A,SUM(AU$4:AU93))</f>
        <v>#N/A</v>
      </c>
      <c r="AW93" s="314" t="str">
        <f t="shared" si="139"/>
        <v/>
      </c>
      <c r="AX93" s="314" t="e">
        <f>IF($J93="",#N/A,SUM(AW$4:AW93))</f>
        <v>#N/A</v>
      </c>
      <c r="AY93" s="315" t="str">
        <f t="shared" si="140"/>
        <v/>
      </c>
      <c r="AZ93" s="315" t="e">
        <f>IF($J93="",#N/A,SUM(AY$4:AY93))</f>
        <v>#N/A</v>
      </c>
      <c r="BA93" s="315" t="e">
        <f>IF($J93="",#N/A,SUM(AY$4:AY93,AW$4:AW93,AU$4:AU93))</f>
        <v>#N/A</v>
      </c>
      <c r="BB93" s="304" t="str">
        <f t="shared" si="141"/>
        <v/>
      </c>
      <c r="BC93" s="313" t="e">
        <f>IF($J93="",#N/A,SUM(BB$4:BB93))</f>
        <v>#N/A</v>
      </c>
      <c r="BD93" s="314" t="str">
        <f t="shared" si="142"/>
        <v/>
      </c>
      <c r="BE93" s="314" t="e">
        <f>IF($J93="",#N/A,SUM(BD$4:BD93))</f>
        <v>#N/A</v>
      </c>
      <c r="BF93" s="315" t="str">
        <f t="shared" si="143"/>
        <v/>
      </c>
      <c r="BG93" s="315" t="e">
        <f>IF($J93="",#N/A,SUM(BF$4:BF93))</f>
        <v>#N/A</v>
      </c>
      <c r="BH93" s="315" t="e">
        <f>IF($J93="",#N/A,SUM(BF$4:BF93,BD$4:BD93,BB$4:BB93))</f>
        <v>#N/A</v>
      </c>
      <c r="BI93" s="304" t="str">
        <f t="shared" si="144"/>
        <v/>
      </c>
      <c r="BJ93" s="313" t="e">
        <f>IF($J93="",#N/A,SUM(BI$4:BI93))</f>
        <v>#N/A</v>
      </c>
      <c r="BK93" s="314" t="str">
        <f t="shared" si="145"/>
        <v/>
      </c>
      <c r="BL93" s="314" t="e">
        <f>IF($J93="",#N/A,SUM(BK$4:BK93))</f>
        <v>#N/A</v>
      </c>
      <c r="BM93" s="315" t="str">
        <f t="shared" si="146"/>
        <v/>
      </c>
      <c r="BN93" s="315" t="e">
        <f>IF($J93="",#N/A,SUM(BM$4:BM93))</f>
        <v>#N/A</v>
      </c>
      <c r="BO93" s="315" t="e">
        <f>IF($J93="",#N/A,SUM(BM$4:BM93,BK$4:BK93,BI$4:BI93))</f>
        <v>#N/A</v>
      </c>
      <c r="BP93" s="304" t="str">
        <f t="shared" si="147"/>
        <v/>
      </c>
      <c r="BQ93" s="313" t="e">
        <f>IF($J93="",#N/A,SUM(BP$4:BP93))</f>
        <v>#N/A</v>
      </c>
      <c r="BR93" s="314" t="str">
        <f t="shared" si="148"/>
        <v/>
      </c>
      <c r="BS93" s="314" t="e">
        <f>IF($J93="",#N/A,SUM(BR$4:BR93))</f>
        <v>#N/A</v>
      </c>
      <c r="BT93" s="315" t="str">
        <f t="shared" si="149"/>
        <v/>
      </c>
      <c r="BU93" s="315" t="e">
        <f>IF($J93="",#N/A,SUM(BT$4:BT93))</f>
        <v>#N/A</v>
      </c>
      <c r="BV93" s="315" t="e">
        <f>IF($J93="",#N/A,SUM(BT$4:BT93,BR$4:BR93,BP$4:BP93))</f>
        <v>#N/A</v>
      </c>
      <c r="BW93" s="304" t="str">
        <f t="shared" si="150"/>
        <v/>
      </c>
      <c r="BX93" s="313" t="e">
        <f>IF($J93="",#N/A,SUM(BW$4:BW93))</f>
        <v>#N/A</v>
      </c>
      <c r="BY93" s="314" t="str">
        <f t="shared" si="151"/>
        <v/>
      </c>
      <c r="BZ93" s="314" t="e">
        <f>IF($J93="",#N/A,SUM(BY$4:BY93))</f>
        <v>#N/A</v>
      </c>
      <c r="CA93" s="315" t="str">
        <f t="shared" si="152"/>
        <v/>
      </c>
      <c r="CB93" s="315" t="e">
        <f>IF($J93="",#N/A,SUM(CA$4:CA93))</f>
        <v>#N/A</v>
      </c>
      <c r="CC93" s="315" t="e">
        <f>IF($J93="",#N/A,SUM(CA$4:CA93,BY$4:BY93,BW$4:BW93))</f>
        <v>#N/A</v>
      </c>
      <c r="CD93" s="304" t="str">
        <f t="shared" si="153"/>
        <v/>
      </c>
      <c r="CE93" s="313" t="e">
        <f>IF($J93="",#N/A,SUM(CD$4:CD93))</f>
        <v>#N/A</v>
      </c>
      <c r="CF93" s="314" t="str">
        <f t="shared" si="154"/>
        <v/>
      </c>
      <c r="CG93" s="314" t="e">
        <f>IF($J93="",#N/A,SUM(CF$4:CF93))</f>
        <v>#N/A</v>
      </c>
      <c r="CH93" s="315" t="str">
        <f t="shared" si="155"/>
        <v/>
      </c>
      <c r="CI93" s="315" t="e">
        <f>IF($J93="",#N/A,SUM(CH$4:CH93))</f>
        <v>#N/A</v>
      </c>
      <c r="CJ93" s="315" t="e">
        <f>IF($J93="",#N/A,SUM(CH$4:CH93,CF$4:CF93,CD$4:CD93))</f>
        <v>#N/A</v>
      </c>
      <c r="CK93" s="304" t="str">
        <f t="shared" si="156"/>
        <v/>
      </c>
      <c r="CL93" s="313" t="e">
        <f>IF($J93="",#N/A,SUM(CK$4:CK93))</f>
        <v>#N/A</v>
      </c>
      <c r="CM93" s="314" t="str">
        <f t="shared" si="157"/>
        <v/>
      </c>
      <c r="CN93" s="314" t="e">
        <f>IF($J93="",#N/A,SUM(CM$4:CM93))</f>
        <v>#N/A</v>
      </c>
      <c r="CO93" s="315" t="str">
        <f t="shared" si="158"/>
        <v/>
      </c>
      <c r="CP93" s="315" t="e">
        <f>IF($J93="",#N/A,SUM(CO$4:CO93))</f>
        <v>#N/A</v>
      </c>
      <c r="CQ93" s="315" t="e">
        <f>IF($J93="",#N/A,SUM(CO$4:CO93,CM$4:CM93,CK$4:CK93))</f>
        <v>#N/A</v>
      </c>
      <c r="CR93" s="304" t="str">
        <f t="shared" si="159"/>
        <v/>
      </c>
      <c r="CS93" s="313" t="e">
        <f>IF($J93="",#N/A,SUM(CR$4:CR93))</f>
        <v>#N/A</v>
      </c>
      <c r="CT93" s="314" t="str">
        <f t="shared" si="160"/>
        <v/>
      </c>
      <c r="CU93" s="314" t="e">
        <f>IF($J93="",#N/A,SUM(CT$4:CT93))</f>
        <v>#N/A</v>
      </c>
      <c r="CV93" s="315" t="str">
        <f t="shared" si="161"/>
        <v/>
      </c>
      <c r="CW93" s="315" t="e">
        <f>IF($J93="",#N/A,SUM(CV$4:CV93))</f>
        <v>#N/A</v>
      </c>
      <c r="CX93" s="315" t="e">
        <f>IF($J93="",#N/A,SUM(CV$4:CV93,CT$4:CT93,CR$4:CR93))</f>
        <v>#N/A</v>
      </c>
      <c r="CY93" s="304" t="str">
        <f t="shared" si="162"/>
        <v/>
      </c>
      <c r="CZ93" s="313" t="e">
        <f>IF($J93="",#N/A,SUM(CY$4:CY93))</f>
        <v>#N/A</v>
      </c>
      <c r="DA93" s="314" t="str">
        <f t="shared" si="163"/>
        <v/>
      </c>
      <c r="DB93" s="314" t="e">
        <f>IF($J93="",#N/A,SUM(DA$4:DA93))</f>
        <v>#N/A</v>
      </c>
      <c r="DC93" s="315" t="str">
        <f t="shared" si="164"/>
        <v/>
      </c>
      <c r="DD93" s="315" t="e">
        <f>IF($J93="",#N/A,SUM(DC$4:DC93))</f>
        <v>#N/A</v>
      </c>
      <c r="DE93" s="315" t="e">
        <f>IF($J93="",#N/A,SUM(DC$4:DC93,DA$4:DA93,CY$4:CY93))</f>
        <v>#N/A</v>
      </c>
      <c r="DF93" s="304" t="str">
        <f t="shared" si="165"/>
        <v/>
      </c>
      <c r="DG93" s="313" t="e">
        <f>IF($J93="",#N/A,SUM(DF$4:DF93))</f>
        <v>#N/A</v>
      </c>
      <c r="DH93" s="314" t="str">
        <f t="shared" si="166"/>
        <v/>
      </c>
      <c r="DI93" s="314" t="e">
        <f>IF($J93="",#N/A,SUM(DH$4:DH93))</f>
        <v>#N/A</v>
      </c>
      <c r="DJ93" s="315" t="str">
        <f t="shared" si="167"/>
        <v/>
      </c>
      <c r="DK93" s="315" t="e">
        <f>IF($J93="",#N/A,SUM(DJ$4:DJ93))</f>
        <v>#N/A</v>
      </c>
      <c r="DL93" s="315" t="e">
        <f>IF($J93="",#N/A,SUM(DJ$4:DJ93,DH$4:DH93,DF$4:DF93))</f>
        <v>#N/A</v>
      </c>
      <c r="DM93" s="304" t="str">
        <f t="shared" si="168"/>
        <v/>
      </c>
      <c r="DN93" s="313" t="e">
        <f>IF($J93="",#N/A,SUM(DM$4:DM93))</f>
        <v>#N/A</v>
      </c>
      <c r="DO93" s="314" t="str">
        <f t="shared" si="169"/>
        <v/>
      </c>
      <c r="DP93" s="314" t="e">
        <f>IF($J93="",#N/A,SUM(DO$4:DO93))</f>
        <v>#N/A</v>
      </c>
      <c r="DQ93" s="315" t="str">
        <f t="shared" si="170"/>
        <v/>
      </c>
      <c r="DR93" s="315" t="e">
        <f>IF($J93="",#N/A,SUM(DQ$4:DQ93))</f>
        <v>#N/A</v>
      </c>
      <c r="DS93" s="315" t="e">
        <f>IF($J93="",#N/A,SUM(DQ$4:DQ93,DO$4:DO93,DM$4:DM93))</f>
        <v>#N/A</v>
      </c>
      <c r="DT93" s="304" t="str">
        <f t="shared" si="171"/>
        <v/>
      </c>
      <c r="DU93" s="313" t="e">
        <f>IF($J93="",#N/A,SUM(DT$4:DT93))</f>
        <v>#N/A</v>
      </c>
      <c r="DV93" s="314" t="str">
        <f t="shared" si="172"/>
        <v/>
      </c>
      <c r="DW93" s="314" t="e">
        <f>IF($J93="",#N/A,SUM(DV$4:DV93))</f>
        <v>#N/A</v>
      </c>
      <c r="DX93" s="315" t="str">
        <f t="shared" si="173"/>
        <v/>
      </c>
      <c r="DY93" s="315" t="e">
        <f>IF($J93="",#N/A,SUM(DX$4:DX93))</f>
        <v>#N/A</v>
      </c>
      <c r="DZ93" s="315" t="e">
        <f>IF($J93="",#N/A,SUM(DX$4:DX93,DV$4:DV93,DT$4:DT93))</f>
        <v>#N/A</v>
      </c>
      <c r="EA93" s="304" t="str">
        <f t="shared" si="174"/>
        <v/>
      </c>
      <c r="EB93" s="313" t="e">
        <f>IF($J93="",#N/A,SUM(EA$4:EA93))</f>
        <v>#N/A</v>
      </c>
      <c r="EC93" s="314" t="str">
        <f t="shared" si="175"/>
        <v/>
      </c>
      <c r="ED93" s="314" t="e">
        <f>IF($J93="",#N/A,SUM(EC$4:EC93))</f>
        <v>#N/A</v>
      </c>
      <c r="EE93" s="315" t="str">
        <f t="shared" si="176"/>
        <v/>
      </c>
      <c r="EF93" s="315" t="e">
        <f>IF($J93="",#N/A,SUM(EE$4:EE93))</f>
        <v>#N/A</v>
      </c>
      <c r="EG93" s="315" t="e">
        <f>IF($J93="",#N/A,SUM(EE$4:EE93,EC$4:EC93,EA$4:EA93))</f>
        <v>#N/A</v>
      </c>
      <c r="EH93" s="130">
        <f t="shared" si="177"/>
        <v>42.740000000000009</v>
      </c>
      <c r="EI93" s="63">
        <f>IF(EH93="",#N/A,SUM($EH$4:EH93))</f>
        <v>558.83052256979045</v>
      </c>
      <c r="EJ93" s="223" t="e">
        <f t="shared" si="178"/>
        <v>#N/A</v>
      </c>
      <c r="EK93" s="63" t="e">
        <f>IF($GZ93="",#N/A,SUM(EJ$4:EJ93))</f>
        <v>#N/A</v>
      </c>
      <c r="EL93" s="60">
        <f t="shared" si="209"/>
        <v>1.5578299727361535</v>
      </c>
      <c r="EM93" s="60">
        <f>IF(EL93="",NA(),SUM($EL$4:EL93))</f>
        <v>22.107946081783073</v>
      </c>
      <c r="EN93" s="60" t="str">
        <f t="shared" si="179"/>
        <v/>
      </c>
      <c r="EO93" s="60" t="e">
        <f>IF(EN93="",NA(),SUM($EN$4:EN93))</f>
        <v>#N/A</v>
      </c>
      <c r="EP93" s="60">
        <f t="shared" si="180"/>
        <v>1.5578299727361535</v>
      </c>
      <c r="EQ93" s="60">
        <f>IF(EP93="",NA(),SUM($EP$4:EP93))</f>
        <v>12.508331126421156</v>
      </c>
      <c r="ER93" s="60" t="str">
        <f t="shared" si="181"/>
        <v/>
      </c>
      <c r="ES93" s="60" t="e">
        <f>IF(ER93="",NA(),SUM($ER$4:ER93))</f>
        <v>#N/A</v>
      </c>
      <c r="ET93" s="60" t="str">
        <f t="shared" si="182"/>
        <v/>
      </c>
      <c r="EU93" s="60" t="e">
        <f>IF(ET93="",NA(),SUM($ET$4:ET93))</f>
        <v>#N/A</v>
      </c>
      <c r="EV93" s="60" t="str">
        <f t="shared" si="183"/>
        <v/>
      </c>
      <c r="EW93" s="60" t="e">
        <f>IF(EV93="",NA(),SUM($EV$4:EV93))</f>
        <v>#N/A</v>
      </c>
      <c r="EX93" s="60" t="str">
        <f t="shared" si="184"/>
        <v/>
      </c>
      <c r="EY93" s="60" t="e">
        <f>IF(EX93="",NA(),SUM($EX$4:EX93))</f>
        <v>#N/A</v>
      </c>
      <c r="EZ93" s="60" t="str">
        <f t="shared" si="185"/>
        <v/>
      </c>
      <c r="FA93" s="60" t="e">
        <f>IF(EZ93="",NA(),SUM($EZ$4:EZ93))</f>
        <v>#N/A</v>
      </c>
      <c r="FB93" s="246" t="str">
        <f t="shared" si="210"/>
        <v/>
      </c>
      <c r="FC93" s="246" t="e">
        <f>IF($FB93="",#N/A,SUM(FB$4:$FB93))</f>
        <v>#N/A</v>
      </c>
      <c r="FD93" s="60" t="str">
        <f t="shared" si="186"/>
        <v/>
      </c>
      <c r="FE93" s="60" t="e">
        <f>IF($FD93="",#N/A,SUM($FD$4:FD93))</f>
        <v>#N/A</v>
      </c>
      <c r="FF93" s="60" t="str">
        <f t="shared" si="187"/>
        <v/>
      </c>
      <c r="FG93" s="60" t="e">
        <f>IF($FF93="",#N/A,SUM($FF$4:FF93))</f>
        <v>#N/A</v>
      </c>
      <c r="FH93" s="60" t="str">
        <f t="shared" si="188"/>
        <v/>
      </c>
      <c r="FI93" s="60" t="e">
        <f>IF($FH93="",#N/A,SUM($FH$4:FH93))</f>
        <v>#N/A</v>
      </c>
      <c r="FJ93" s="60">
        <f t="shared" si="189"/>
        <v>0.60286634883144408</v>
      </c>
      <c r="FK93" s="60">
        <f>IF($FJ93="",#N/A,SUM($FJ$4:FJ93))</f>
        <v>0.85712784423039068</v>
      </c>
      <c r="FL93" s="60" t="str">
        <f t="shared" si="190"/>
        <v/>
      </c>
      <c r="FM93" s="60" t="e">
        <f>IF($FL93="",#N/A,SUM($FL$4:FL93))</f>
        <v>#N/A</v>
      </c>
      <c r="FN93" s="82">
        <f t="shared" si="191"/>
        <v>2.1606963215675976</v>
      </c>
      <c r="FO93" s="82">
        <f>IF($FN93="",#N/A,SUM(FN$4:$FN93))</f>
        <v>30.311091833285086</v>
      </c>
      <c r="FP93" s="82">
        <f t="shared" si="211"/>
        <v>1.5578299727361535</v>
      </c>
      <c r="FQ93" s="246">
        <f>IF($EH93="",#N/A,SUM($FP$4:FP93))</f>
        <v>21.987298029387347</v>
      </c>
      <c r="FR93" s="82">
        <f>IFERROR(FQ93/COUNTA($J$4:J93),#N/A)</f>
        <v>0.2443033114376372</v>
      </c>
      <c r="FS93" s="82">
        <f t="shared" si="219"/>
        <v>0.14646500576313318</v>
      </c>
      <c r="FT93" s="82">
        <f t="shared" si="220"/>
        <v>0.28471919154935671</v>
      </c>
      <c r="FU93" s="337">
        <f>IF(AND(HB93="MOC",GZ93=""),#N/A,IFERROR(FQ93-HE93,FQ93-0))-14.53</f>
        <v>5.6996255645032168</v>
      </c>
      <c r="FV93" s="57" t="str">
        <f t="shared" si="192"/>
        <v>SW</v>
      </c>
      <c r="FW93" s="57" t="s">
        <v>2732</v>
      </c>
      <c r="FX93" s="57" t="str">
        <f t="shared" si="193"/>
        <v/>
      </c>
      <c r="FY93" s="57" t="str">
        <f t="shared" si="194"/>
        <v/>
      </c>
      <c r="FZ93" s="57">
        <f t="shared" si="195"/>
        <v>1</v>
      </c>
      <c r="GA93" s="57" t="str">
        <f t="shared" si="196"/>
        <v>Long</v>
      </c>
      <c r="GB93" s="57" t="str">
        <f t="shared" si="197"/>
        <v/>
      </c>
      <c r="GC93" s="57" t="str">
        <f t="shared" si="198"/>
        <v/>
      </c>
      <c r="GD93" s="57" t="str">
        <f t="shared" si="199"/>
        <v/>
      </c>
      <c r="GE93" s="62">
        <f t="shared" si="114"/>
        <v>228.63</v>
      </c>
      <c r="GF93" s="62" t="s">
        <v>2779</v>
      </c>
      <c r="GG93" s="199">
        <v>2</v>
      </c>
      <c r="GH93" s="207">
        <f t="shared" si="200"/>
        <v>457.26</v>
      </c>
      <c r="GI93" s="199">
        <v>2</v>
      </c>
      <c r="GJ93" s="200">
        <v>250</v>
      </c>
      <c r="GK93" s="63">
        <f t="shared" si="201"/>
        <v>42.740000000000009</v>
      </c>
      <c r="GL93" s="63">
        <f t="shared" si="115"/>
        <v>59.279999999999973</v>
      </c>
      <c r="GM93" s="82">
        <f t="shared" si="202"/>
        <v>2.1606963215675976</v>
      </c>
      <c r="GN93" s="82">
        <f>IF($GZ93="",#N/A,SUM(GM$4:GM93))</f>
        <v>13.412100324626824</v>
      </c>
      <c r="GO93" s="82" t="str">
        <f t="shared" si="203"/>
        <v/>
      </c>
      <c r="GP93" s="82">
        <f>IF($GZ93="",#N/A,SUM(GO$4:GO93))</f>
        <v>9.9915645762552927</v>
      </c>
      <c r="GQ93" s="82" t="str">
        <f t="shared" si="204"/>
        <v/>
      </c>
      <c r="GR93" s="82">
        <f>IF($GZ93="",#N/A,SUM(GQ$4:GQ93))</f>
        <v>6.281589977960623</v>
      </c>
      <c r="GS93" s="63" t="e">
        <f t="shared" si="212"/>
        <v>#N/A</v>
      </c>
      <c r="GT93" s="63" t="e">
        <f>IF($GZ93="",#N/A,SUM(GS$4:GS93))</f>
        <v>#N/A</v>
      </c>
      <c r="GU93" s="63" t="str">
        <f t="shared" si="213"/>
        <v/>
      </c>
      <c r="GV93" s="63" t="e">
        <f>IF($GZ93="",#N/A,SUM(GU$4:GU93))</f>
        <v>#N/A</v>
      </c>
      <c r="GW93" s="63" t="str">
        <f t="shared" si="214"/>
        <v/>
      </c>
      <c r="GX93" s="63">
        <f>IF($GZ93="",#N/A,SUM(GW$4:GW93))</f>
        <v>167.16051890409477</v>
      </c>
      <c r="GY93" s="63" t="e">
        <f>IF(EJ93="",#N/A,SUM($EJ$4:EJ93))</f>
        <v>#N/A</v>
      </c>
      <c r="GZ93" s="159">
        <v>258.27</v>
      </c>
      <c r="HA93" s="63">
        <f t="shared" si="205"/>
        <v>16.539999999999964</v>
      </c>
      <c r="HB93" s="62" t="s">
        <v>2538</v>
      </c>
      <c r="HC93" s="60">
        <f>IFERROR(VLOOKUP(E93,Expectancy!$P$4:$S$19,1+C93,FALSE),"")</f>
        <v>-0.17081772033279666</v>
      </c>
      <c r="HD93" s="82">
        <f t="shared" si="206"/>
        <v>1.5578299727361535</v>
      </c>
      <c r="HE93" s="60">
        <f>IF(HD93="",#N/A,SUM($HD$4:HD93))</f>
        <v>1.7576724648841318</v>
      </c>
      <c r="HF93" s="85">
        <f>IF(HD93="",#N/A,IF(HB93="Skip",#N/A,SUM($HG$4:HG93)))</f>
        <v>59.530000000000086</v>
      </c>
      <c r="HG93" s="63">
        <f t="shared" si="207"/>
        <v>42.740000000000009</v>
      </c>
      <c r="HH93" s="82">
        <f t="shared" si="208"/>
        <v>2.1606963215675976</v>
      </c>
    </row>
    <row r="94" spans="1:220" x14ac:dyDescent="0.25">
      <c r="A94" s="57" t="s">
        <v>1358</v>
      </c>
      <c r="B94" s="58" t="s">
        <v>5151</v>
      </c>
      <c r="C94" s="386">
        <f t="shared" si="118"/>
        <v>3</v>
      </c>
      <c r="D94" s="372" t="str">
        <f>_xlfn.XLOOKUP(A94,[1]SP500!$A$2:$A$502,[1]SP500!$D$2:$D$502,"N")</f>
        <v>Y</v>
      </c>
      <c r="E94" s="57" t="str">
        <f>_xlfn.XLOOKUP(A94,[1]SP500!$A$2:$A$655,[1]SP500!$B$2:$B$655)</f>
        <v>SMH</v>
      </c>
      <c r="F94" s="59">
        <v>45686</v>
      </c>
      <c r="G94" s="57" t="str">
        <f t="shared" si="119"/>
        <v>AMC</v>
      </c>
      <c r="H94" s="57" t="str">
        <f t="shared" si="120"/>
        <v>s</v>
      </c>
      <c r="I94" s="159">
        <v>75.150000000000006</v>
      </c>
      <c r="J94" s="159">
        <v>79.75</v>
      </c>
      <c r="K94" s="61">
        <f t="shared" si="121"/>
        <v>6.1210911510312625E-2</v>
      </c>
      <c r="L94" s="87">
        <f t="shared" si="122"/>
        <v>23</v>
      </c>
      <c r="M94" s="130">
        <f t="shared" si="112"/>
        <v>0.79999999999995453</v>
      </c>
      <c r="N94" s="169" t="str">
        <f t="shared" si="123"/>
        <v/>
      </c>
      <c r="O94" s="169">
        <f>IF($J94="",#N/A,SUM($N$4:N94))</f>
        <v>185.35693117389093</v>
      </c>
      <c r="P94" s="174" t="str">
        <f t="shared" si="124"/>
        <v/>
      </c>
      <c r="Q94" s="174">
        <f>IF($J94="",#N/A,SUM($P$4:P94))</f>
        <v>79.036464916880902</v>
      </c>
      <c r="R94" s="178">
        <f t="shared" si="125"/>
        <v>23</v>
      </c>
      <c r="S94" s="178">
        <f>IF($J94="",#N/A,SUM($R$4:R94))</f>
        <v>317.43712647901856</v>
      </c>
      <c r="T94" s="290" t="str">
        <f t="shared" si="126"/>
        <v/>
      </c>
      <c r="U94" s="290">
        <f>IF($J94="",#N/A,SUM($T$4:T94))</f>
        <v>6.6545053455719394</v>
      </c>
      <c r="V94" s="291" t="str">
        <f t="shared" si="127"/>
        <v/>
      </c>
      <c r="W94" s="291">
        <f>IF($J94="",#N/A,SUM($V$4:V94))</f>
        <v>2.9451096097899687</v>
      </c>
      <c r="X94" s="292">
        <f t="shared" si="128"/>
        <v>1.0201818585052118</v>
      </c>
      <c r="Y94" s="283">
        <f>IF($J94="",#N/A,SUM($X$4:X94))</f>
        <v>13.407864932530643</v>
      </c>
      <c r="Z94" s="304" t="str">
        <f t="shared" si="129"/>
        <v/>
      </c>
      <c r="AA94" s="313" t="e">
        <f>IF($J94="",#N/A,SUM(Z$4:Z94))</f>
        <v>#N/A</v>
      </c>
      <c r="AB94" s="314" t="str">
        <f t="shared" si="130"/>
        <v/>
      </c>
      <c r="AC94" s="314" t="e">
        <f>IF($J94="",#N/A,SUM(AB$4:AB94))</f>
        <v>#N/A</v>
      </c>
      <c r="AD94" s="315" t="str">
        <f t="shared" si="131"/>
        <v/>
      </c>
      <c r="AE94" s="315" t="e">
        <f>IF($J94="",#N/A,SUM(AD$4:AD94))</f>
        <v>#N/A</v>
      </c>
      <c r="AF94" s="315" t="e">
        <f>IF($J94="",#N/A,SUM(AD$4:AD94,AB$4:AB94,Z$4:Z94))</f>
        <v>#N/A</v>
      </c>
      <c r="AG94" s="304" t="str">
        <f t="shared" si="132"/>
        <v/>
      </c>
      <c r="AH94" s="313" t="e">
        <f>IF($J94="",#N/A,SUM(AG$4:AG94))</f>
        <v>#N/A</v>
      </c>
      <c r="AI94" s="314" t="str">
        <f t="shared" si="133"/>
        <v/>
      </c>
      <c r="AJ94" s="314" t="e">
        <f>IF($J94="",#N/A,SUM(AI$4:AI94))</f>
        <v>#N/A</v>
      </c>
      <c r="AK94" s="315" t="str">
        <f t="shared" si="134"/>
        <v/>
      </c>
      <c r="AL94" s="315" t="e">
        <f>IF($J94="",#N/A,SUM(AK$4:AK94))</f>
        <v>#N/A</v>
      </c>
      <c r="AM94" s="315" t="e">
        <f>IF($J94="",#N/A,SUM(AK$4:AK94,AI$4:AI94,AG$4:AG94))</f>
        <v>#N/A</v>
      </c>
      <c r="AN94" s="304" t="str">
        <f t="shared" si="135"/>
        <v/>
      </c>
      <c r="AO94" s="313" t="e">
        <f>IF($J94="",#N/A,SUM(AN$4:AN94))</f>
        <v>#N/A</v>
      </c>
      <c r="AP94" s="314" t="str">
        <f t="shared" si="136"/>
        <v/>
      </c>
      <c r="AQ94" s="314" t="e">
        <f>IF($J94="",#N/A,SUM(AP$4:AP94))</f>
        <v>#N/A</v>
      </c>
      <c r="AR94" s="315" t="str">
        <f t="shared" si="137"/>
        <v/>
      </c>
      <c r="AS94" s="315" t="e">
        <f>IF($J94="",#N/A,SUM(AR$4:AR94))</f>
        <v>#N/A</v>
      </c>
      <c r="AT94" s="315" t="e">
        <f>IF($J94="",#N/A,SUM(AR$4:AR94,AP$4:AP94,AN$4:AN94))</f>
        <v>#N/A</v>
      </c>
      <c r="AU94" s="304" t="str">
        <f t="shared" si="138"/>
        <v/>
      </c>
      <c r="AV94" s="313" t="e">
        <f>IF($J94="",#N/A,SUM(AU$4:AU94))</f>
        <v>#N/A</v>
      </c>
      <c r="AW94" s="314" t="str">
        <f t="shared" si="139"/>
        <v/>
      </c>
      <c r="AX94" s="314" t="e">
        <f>IF($J94="",#N/A,SUM(AW$4:AW94))</f>
        <v>#N/A</v>
      </c>
      <c r="AY94" s="315" t="str">
        <f t="shared" si="140"/>
        <v/>
      </c>
      <c r="AZ94" s="315" t="e">
        <f>IF($J94="",#N/A,SUM(AY$4:AY94))</f>
        <v>#N/A</v>
      </c>
      <c r="BA94" s="315" t="e">
        <f>IF($J94="",#N/A,SUM(AY$4:AY94,AW$4:AW94,AU$4:AU94))</f>
        <v>#N/A</v>
      </c>
      <c r="BB94" s="304" t="str">
        <f t="shared" si="141"/>
        <v/>
      </c>
      <c r="BC94" s="313" t="e">
        <f>IF($J94="",#N/A,SUM(BB$4:BB94))</f>
        <v>#N/A</v>
      </c>
      <c r="BD94" s="314" t="str">
        <f t="shared" si="142"/>
        <v/>
      </c>
      <c r="BE94" s="314" t="e">
        <f>IF($J94="",#N/A,SUM(BD$4:BD94))</f>
        <v>#N/A</v>
      </c>
      <c r="BF94" s="315" t="str">
        <f t="shared" si="143"/>
        <v/>
      </c>
      <c r="BG94" s="315" t="e">
        <f>IF($J94="",#N/A,SUM(BF$4:BF94))</f>
        <v>#N/A</v>
      </c>
      <c r="BH94" s="315" t="e">
        <f>IF($J94="",#N/A,SUM(BF$4:BF94,BD$4:BD94,BB$4:BB94))</f>
        <v>#N/A</v>
      </c>
      <c r="BI94" s="304" t="str">
        <f t="shared" si="144"/>
        <v/>
      </c>
      <c r="BJ94" s="313" t="e">
        <f>IF($J94="",#N/A,SUM(BI$4:BI94))</f>
        <v>#N/A</v>
      </c>
      <c r="BK94" s="314" t="str">
        <f t="shared" si="145"/>
        <v/>
      </c>
      <c r="BL94" s="314" t="e">
        <f>IF($J94="",#N/A,SUM(BK$4:BK94))</f>
        <v>#N/A</v>
      </c>
      <c r="BM94" s="315" t="str">
        <f t="shared" si="146"/>
        <v/>
      </c>
      <c r="BN94" s="315" t="e">
        <f>IF($J94="",#N/A,SUM(BM$4:BM94))</f>
        <v>#N/A</v>
      </c>
      <c r="BO94" s="315" t="e">
        <f>IF($J94="",#N/A,SUM(BM$4:BM94,BK$4:BK94,BI$4:BI94))</f>
        <v>#N/A</v>
      </c>
      <c r="BP94" s="304" t="str">
        <f t="shared" si="147"/>
        <v/>
      </c>
      <c r="BQ94" s="313" t="e">
        <f>IF($J94="",#N/A,SUM(BP$4:BP94))</f>
        <v>#N/A</v>
      </c>
      <c r="BR94" s="314" t="str">
        <f t="shared" si="148"/>
        <v/>
      </c>
      <c r="BS94" s="314" t="e">
        <f>IF($J94="",#N/A,SUM(BR$4:BR94))</f>
        <v>#N/A</v>
      </c>
      <c r="BT94" s="315" t="str">
        <f t="shared" si="149"/>
        <v/>
      </c>
      <c r="BU94" s="315" t="e">
        <f>IF($J94="",#N/A,SUM(BT$4:BT94))</f>
        <v>#N/A</v>
      </c>
      <c r="BV94" s="315" t="e">
        <f>IF($J94="",#N/A,SUM(BT$4:BT94,BR$4:BR94,BP$4:BP94))</f>
        <v>#N/A</v>
      </c>
      <c r="BW94" s="304" t="str">
        <f t="shared" si="150"/>
        <v/>
      </c>
      <c r="BX94" s="313" t="e">
        <f>IF($J94="",#N/A,SUM(BW$4:BW94))</f>
        <v>#N/A</v>
      </c>
      <c r="BY94" s="314" t="str">
        <f t="shared" si="151"/>
        <v/>
      </c>
      <c r="BZ94" s="314" t="e">
        <f>IF($J94="",#N/A,SUM(BY$4:BY94))</f>
        <v>#N/A</v>
      </c>
      <c r="CA94" s="315" t="str">
        <f t="shared" si="152"/>
        <v/>
      </c>
      <c r="CB94" s="315" t="e">
        <f>IF($J94="",#N/A,SUM(CA$4:CA94))</f>
        <v>#N/A</v>
      </c>
      <c r="CC94" s="315" t="e">
        <f>IF($J94="",#N/A,SUM(CA$4:CA94,BY$4:BY94,BW$4:BW94))</f>
        <v>#N/A</v>
      </c>
      <c r="CD94" s="304" t="str">
        <f t="shared" si="153"/>
        <v/>
      </c>
      <c r="CE94" s="313" t="e">
        <f>IF($J94="",#N/A,SUM(CD$4:CD94))</f>
        <v>#N/A</v>
      </c>
      <c r="CF94" s="314" t="str">
        <f t="shared" si="154"/>
        <v/>
      </c>
      <c r="CG94" s="314" t="e">
        <f>IF($J94="",#N/A,SUM(CF$4:CF94))</f>
        <v>#N/A</v>
      </c>
      <c r="CH94" s="315" t="str">
        <f t="shared" si="155"/>
        <v/>
      </c>
      <c r="CI94" s="315" t="e">
        <f>IF($J94="",#N/A,SUM(CH$4:CH94))</f>
        <v>#N/A</v>
      </c>
      <c r="CJ94" s="315" t="e">
        <f>IF($J94="",#N/A,SUM(CH$4:CH94,CF$4:CF94,CD$4:CD94))</f>
        <v>#N/A</v>
      </c>
      <c r="CK94" s="304" t="str">
        <f t="shared" si="156"/>
        <v/>
      </c>
      <c r="CL94" s="313" t="e">
        <f>IF($J94="",#N/A,SUM(CK$4:CK94))</f>
        <v>#N/A</v>
      </c>
      <c r="CM94" s="314" t="str">
        <f t="shared" si="157"/>
        <v/>
      </c>
      <c r="CN94" s="314" t="e">
        <f>IF($J94="",#N/A,SUM(CM$4:CM94))</f>
        <v>#N/A</v>
      </c>
      <c r="CO94" s="315">
        <f t="shared" si="158"/>
        <v>1.0201818585052118</v>
      </c>
      <c r="CP94" s="315" t="e">
        <f>IF($J94="",#N/A,SUM(CO$4:CO94))</f>
        <v>#N/A</v>
      </c>
      <c r="CQ94" s="315" t="e">
        <f>IF($J94="",#N/A,SUM(CO$4:CO94,CM$4:CM94,CK$4:CK94))</f>
        <v>#N/A</v>
      </c>
      <c r="CR94" s="304" t="str">
        <f t="shared" si="159"/>
        <v/>
      </c>
      <c r="CS94" s="313" t="e">
        <f>IF($J94="",#N/A,SUM(CR$4:CR94))</f>
        <v>#N/A</v>
      </c>
      <c r="CT94" s="314" t="str">
        <f t="shared" si="160"/>
        <v/>
      </c>
      <c r="CU94" s="314" t="e">
        <f>IF($J94="",#N/A,SUM(CT$4:CT94))</f>
        <v>#N/A</v>
      </c>
      <c r="CV94" s="315" t="str">
        <f t="shared" si="161"/>
        <v/>
      </c>
      <c r="CW94" s="315" t="e">
        <f>IF($J94="",#N/A,SUM(CV$4:CV94))</f>
        <v>#N/A</v>
      </c>
      <c r="CX94" s="315" t="e">
        <f>IF($J94="",#N/A,SUM(CV$4:CV94,CT$4:CT94,CR$4:CR94))</f>
        <v>#N/A</v>
      </c>
      <c r="CY94" s="304" t="str">
        <f t="shared" si="162"/>
        <v/>
      </c>
      <c r="CZ94" s="313" t="e">
        <f>IF($J94="",#N/A,SUM(CY$4:CY94))</f>
        <v>#N/A</v>
      </c>
      <c r="DA94" s="314" t="str">
        <f t="shared" si="163"/>
        <v/>
      </c>
      <c r="DB94" s="314" t="e">
        <f>IF($J94="",#N/A,SUM(DA$4:DA94))</f>
        <v>#N/A</v>
      </c>
      <c r="DC94" s="315" t="str">
        <f t="shared" si="164"/>
        <v/>
      </c>
      <c r="DD94" s="315" t="e">
        <f>IF($J94="",#N/A,SUM(DC$4:DC94))</f>
        <v>#N/A</v>
      </c>
      <c r="DE94" s="315" t="e">
        <f>IF($J94="",#N/A,SUM(DC$4:DC94,DA$4:DA94,CY$4:CY94))</f>
        <v>#N/A</v>
      </c>
      <c r="DF94" s="304" t="str">
        <f t="shared" si="165"/>
        <v/>
      </c>
      <c r="DG94" s="313" t="e">
        <f>IF($J94="",#N/A,SUM(DF$4:DF94))</f>
        <v>#N/A</v>
      </c>
      <c r="DH94" s="314" t="str">
        <f t="shared" si="166"/>
        <v/>
      </c>
      <c r="DI94" s="314" t="e">
        <f>IF($J94="",#N/A,SUM(DH$4:DH94))</f>
        <v>#N/A</v>
      </c>
      <c r="DJ94" s="315" t="str">
        <f t="shared" si="167"/>
        <v/>
      </c>
      <c r="DK94" s="315" t="e">
        <f>IF($J94="",#N/A,SUM(DJ$4:DJ94))</f>
        <v>#N/A</v>
      </c>
      <c r="DL94" s="315" t="e">
        <f>IF($J94="",#N/A,SUM(DJ$4:DJ94,DH$4:DH94,DF$4:DF94))</f>
        <v>#N/A</v>
      </c>
      <c r="DM94" s="304" t="str">
        <f t="shared" si="168"/>
        <v/>
      </c>
      <c r="DN94" s="313" t="e">
        <f>IF($J94="",#N/A,SUM(DM$4:DM94))</f>
        <v>#N/A</v>
      </c>
      <c r="DO94" s="314" t="str">
        <f t="shared" si="169"/>
        <v/>
      </c>
      <c r="DP94" s="314" t="e">
        <f>IF($J94="",#N/A,SUM(DO$4:DO94))</f>
        <v>#N/A</v>
      </c>
      <c r="DQ94" s="315" t="str">
        <f t="shared" si="170"/>
        <v/>
      </c>
      <c r="DR94" s="315" t="e">
        <f>IF($J94="",#N/A,SUM(DQ$4:DQ94))</f>
        <v>#N/A</v>
      </c>
      <c r="DS94" s="315" t="e">
        <f>IF($J94="",#N/A,SUM(DQ$4:DQ94,DO$4:DO94,DM$4:DM94))</f>
        <v>#N/A</v>
      </c>
      <c r="DT94" s="304" t="str">
        <f t="shared" si="171"/>
        <v/>
      </c>
      <c r="DU94" s="313" t="e">
        <f>IF($J94="",#N/A,SUM(DT$4:DT94))</f>
        <v>#N/A</v>
      </c>
      <c r="DV94" s="314" t="str">
        <f t="shared" si="172"/>
        <v/>
      </c>
      <c r="DW94" s="314" t="e">
        <f>IF($J94="",#N/A,SUM(DV$4:DV94))</f>
        <v>#N/A</v>
      </c>
      <c r="DX94" s="315" t="str">
        <f t="shared" si="173"/>
        <v/>
      </c>
      <c r="DY94" s="315" t="e">
        <f>IF($J94="",#N/A,SUM(DX$4:DX94))</f>
        <v>#N/A</v>
      </c>
      <c r="DZ94" s="315" t="e">
        <f>IF($J94="",#N/A,SUM(DX$4:DX94,DV$4:DV94,DT$4:DT94))</f>
        <v>#N/A</v>
      </c>
      <c r="EA94" s="304" t="str">
        <f t="shared" si="174"/>
        <v/>
      </c>
      <c r="EB94" s="313" t="e">
        <f>IF($J94="",#N/A,SUM(EA$4:EA94))</f>
        <v>#N/A</v>
      </c>
      <c r="EC94" s="314" t="str">
        <f t="shared" si="175"/>
        <v/>
      </c>
      <c r="ED94" s="314" t="e">
        <f>IF($J94="",#N/A,SUM(EC$4:EC94))</f>
        <v>#N/A</v>
      </c>
      <c r="EE94" s="315" t="str">
        <f t="shared" si="176"/>
        <v/>
      </c>
      <c r="EF94" s="315" t="e">
        <f>IF($J94="",#N/A,SUM(EE$4:EE94))</f>
        <v>#N/A</v>
      </c>
      <c r="EG94" s="315" t="e">
        <f>IF($J94="",#N/A,SUM(EE$4:EE94,EC$4:EC94,EA$4:EA94))</f>
        <v>#N/A</v>
      </c>
      <c r="EH94" s="130">
        <f t="shared" si="177"/>
        <v>23</v>
      </c>
      <c r="EI94" s="63">
        <f>IF(EH94="",#N/A,SUM($EH$4:EH94))</f>
        <v>581.83052256979045</v>
      </c>
      <c r="EJ94" s="223" t="e">
        <f t="shared" si="178"/>
        <v>#N/A</v>
      </c>
      <c r="EK94" s="63" t="e">
        <f>IF($GZ94="",#N/A,SUM(EJ$4:EJ94))</f>
        <v>#N/A</v>
      </c>
      <c r="EL94" s="60">
        <f t="shared" si="209"/>
        <v>1.0201818585052118</v>
      </c>
      <c r="EM94" s="60">
        <f>IF(EL94="",NA(),SUM($EL$4:EL94))</f>
        <v>23.128127940288284</v>
      </c>
      <c r="EN94" s="60" t="str">
        <f t="shared" si="179"/>
        <v/>
      </c>
      <c r="EO94" s="60" t="e">
        <f>IF(EN94="",NA(),SUM($EN$4:EN94))</f>
        <v>#N/A</v>
      </c>
      <c r="EP94" s="60">
        <f t="shared" si="180"/>
        <v>1.0201818585052118</v>
      </c>
      <c r="EQ94" s="60">
        <f>IF(EP94="",NA(),SUM($EP$4:EP94))</f>
        <v>13.528512984926369</v>
      </c>
      <c r="ER94" s="60" t="str">
        <f t="shared" si="181"/>
        <v/>
      </c>
      <c r="ES94" s="60" t="e">
        <f>IF(ER94="",NA(),SUM($ER$4:ER94))</f>
        <v>#N/A</v>
      </c>
      <c r="ET94" s="60" t="str">
        <f t="shared" si="182"/>
        <v/>
      </c>
      <c r="EU94" s="60" t="e">
        <f>IF(ET94="",NA(),SUM($ET$4:ET94))</f>
        <v>#N/A</v>
      </c>
      <c r="EV94" s="60" t="str">
        <f t="shared" si="183"/>
        <v/>
      </c>
      <c r="EW94" s="60" t="e">
        <f>IF(EV94="",NA(),SUM($EV$4:EV94))</f>
        <v>#N/A</v>
      </c>
      <c r="EX94" s="60" t="str">
        <f t="shared" si="184"/>
        <v/>
      </c>
      <c r="EY94" s="60" t="e">
        <f>IF(EX94="",NA(),SUM($EX$4:EX94))</f>
        <v>#N/A</v>
      </c>
      <c r="EZ94" s="60" t="str">
        <f t="shared" si="185"/>
        <v/>
      </c>
      <c r="FA94" s="60" t="e">
        <f>IF(EZ94="",NA(),SUM($EZ$4:EZ94))</f>
        <v>#N/A</v>
      </c>
      <c r="FB94" s="246" t="str">
        <f t="shared" si="210"/>
        <v/>
      </c>
      <c r="FC94" s="246" t="e">
        <f>IF($FB94="",#N/A,SUM(FB$4:$FB94))</f>
        <v>#N/A</v>
      </c>
      <c r="FD94" s="60" t="str">
        <f t="shared" si="186"/>
        <v/>
      </c>
      <c r="FE94" s="60" t="e">
        <f>IF($FD94="",#N/A,SUM($FD$4:FD94))</f>
        <v>#N/A</v>
      </c>
      <c r="FF94" s="60" t="str">
        <f t="shared" si="187"/>
        <v/>
      </c>
      <c r="FG94" s="60" t="e">
        <f>IF($FF94="",#N/A,SUM($FF$4:FF94))</f>
        <v>#N/A</v>
      </c>
      <c r="FH94" s="60" t="str">
        <f t="shared" si="188"/>
        <v/>
      </c>
      <c r="FI94" s="60" t="e">
        <f>IF($FH94="",#N/A,SUM($FH$4:FH94))</f>
        <v>#N/A</v>
      </c>
      <c r="FJ94" s="60">
        <f t="shared" si="189"/>
        <v>0.2173430915945902</v>
      </c>
      <c r="FK94" s="60">
        <f>IF($FJ94="",#N/A,SUM($FJ$4:FJ94))</f>
        <v>1.0744709358249809</v>
      </c>
      <c r="FL94" s="60" t="str">
        <f t="shared" si="190"/>
        <v/>
      </c>
      <c r="FM94" s="60" t="e">
        <f>IF($FL94="",#N/A,SUM($FL$4:FL94))</f>
        <v>#N/A</v>
      </c>
      <c r="FN94" s="82">
        <f t="shared" si="191"/>
        <v>1.237524950099802</v>
      </c>
      <c r="FO94" s="82">
        <f>IF($FN94="",#N/A,SUM(FN$4:$FN94))</f>
        <v>31.548616783384887</v>
      </c>
      <c r="FP94" s="82">
        <f t="shared" si="211"/>
        <v>1.0201818585052118</v>
      </c>
      <c r="FQ94" s="246">
        <f>IF($EH94="",#N/A,SUM($FP$4:FP94))</f>
        <v>23.007479887892558</v>
      </c>
      <c r="FR94" s="82">
        <f>IFERROR(FQ94/COUNTA($J$4:J94),#N/A)</f>
        <v>0.25282944931750062</v>
      </c>
      <c r="FS94" s="82">
        <f t="shared" si="219"/>
        <v>0.15209365046223741</v>
      </c>
      <c r="FT94" s="82">
        <f t="shared" si="220"/>
        <v>0.36752760359108555</v>
      </c>
      <c r="FU94" s="337">
        <f>IF(AND(HB94="MOC",GZ94=""),#N/A,IFERROR(FQ94-HE94,FQ94-0))-14.53</f>
        <v>5.6641409781204271</v>
      </c>
      <c r="FV94" s="57" t="str">
        <f t="shared" si="192"/>
        <v>SW</v>
      </c>
      <c r="FW94" s="57" t="s">
        <v>2732</v>
      </c>
      <c r="FX94" s="57" t="str">
        <f t="shared" si="193"/>
        <v/>
      </c>
      <c r="FY94" s="57" t="str">
        <f t="shared" si="194"/>
        <v/>
      </c>
      <c r="FZ94" s="57">
        <f t="shared" si="195"/>
        <v>1</v>
      </c>
      <c r="GA94" s="57" t="str">
        <f t="shared" si="196"/>
        <v>Long</v>
      </c>
      <c r="GB94" s="57" t="str">
        <f t="shared" si="197"/>
        <v/>
      </c>
      <c r="GC94" s="57" t="str">
        <f t="shared" si="198"/>
        <v/>
      </c>
      <c r="GD94" s="57" t="str">
        <f t="shared" si="199"/>
        <v/>
      </c>
      <c r="GE94" s="62">
        <f t="shared" si="114"/>
        <v>75.150000000000006</v>
      </c>
      <c r="GF94" s="62" t="s">
        <v>2779</v>
      </c>
      <c r="GG94" s="199">
        <v>5</v>
      </c>
      <c r="GH94" s="207">
        <f t="shared" si="200"/>
        <v>375.75</v>
      </c>
      <c r="GI94" s="199">
        <v>5</v>
      </c>
      <c r="GJ94" s="200">
        <v>79.91</v>
      </c>
      <c r="GK94" s="63">
        <f t="shared" si="201"/>
        <v>23.799999999999955</v>
      </c>
      <c r="GL94" s="63">
        <f t="shared" si="115"/>
        <v>27.900000000000034</v>
      </c>
      <c r="GM94" s="82">
        <f t="shared" si="202"/>
        <v>1.237524950099802</v>
      </c>
      <c r="GN94" s="82">
        <f>IF($GZ94="",#N/A,SUM(GM$4:GM94))</f>
        <v>14.649625274726626</v>
      </c>
      <c r="GO94" s="82" t="str">
        <f t="shared" si="203"/>
        <v/>
      </c>
      <c r="GP94" s="82">
        <f>IF($GZ94="",#N/A,SUM(GO$4:GO94))</f>
        <v>9.9915645762552927</v>
      </c>
      <c r="GQ94" s="82" t="str">
        <f t="shared" si="204"/>
        <v/>
      </c>
      <c r="GR94" s="82">
        <f>IF($GZ94="",#N/A,SUM(GQ$4:GQ94))</f>
        <v>6.281589977960623</v>
      </c>
      <c r="GS94" s="63" t="e">
        <f t="shared" si="212"/>
        <v>#N/A</v>
      </c>
      <c r="GT94" s="63" t="e">
        <f>IF($GZ94="",#N/A,SUM(GS$4:GS94))</f>
        <v>#N/A</v>
      </c>
      <c r="GU94" s="63" t="str">
        <f t="shared" si="213"/>
        <v/>
      </c>
      <c r="GV94" s="63" t="e">
        <f>IF($GZ94="",#N/A,SUM(GU$4:GU94))</f>
        <v>#N/A</v>
      </c>
      <c r="GW94" s="63" t="str">
        <f t="shared" si="214"/>
        <v/>
      </c>
      <c r="GX94" s="63">
        <f>IF($GZ94="",#N/A,SUM(GW$4:GW94))</f>
        <v>167.16051890409477</v>
      </c>
      <c r="GY94" s="63" t="e">
        <f>IF(EJ94="",#N/A,SUM($EJ$4:EJ94))</f>
        <v>#N/A</v>
      </c>
      <c r="GZ94" s="159">
        <v>80.73</v>
      </c>
      <c r="HA94" s="63">
        <f t="shared" si="205"/>
        <v>4.9000000000000341</v>
      </c>
      <c r="HB94" s="62" t="s">
        <v>2538</v>
      </c>
      <c r="HC94" s="60">
        <f>IFERROR(VLOOKUP(E94,Expectancy!$P$4:$S$19,1+C94,FALSE),"")</f>
        <v>-0.16876070792161713</v>
      </c>
      <c r="HD94" s="82">
        <f t="shared" si="206"/>
        <v>1.0556664448879998</v>
      </c>
      <c r="HE94" s="60">
        <f>IF(HD94="",#N/A,SUM($HD$4:HD94))</f>
        <v>2.8133389097721313</v>
      </c>
      <c r="HF94" s="85">
        <f>IF(HD94="",#N/A,IF(HB94="Skip",#N/A,SUM($HG$4:HG94)))</f>
        <v>83.330000000000041</v>
      </c>
      <c r="HG94" s="63">
        <f t="shared" si="207"/>
        <v>23.799999999999955</v>
      </c>
      <c r="HH94" s="82">
        <f t="shared" si="208"/>
        <v>1.237524950099802</v>
      </c>
    </row>
    <row r="95" spans="1:220" x14ac:dyDescent="0.25">
      <c r="A95" s="57" t="s">
        <v>1363</v>
      </c>
      <c r="B95" s="58" t="s">
        <v>5152</v>
      </c>
      <c r="C95" s="386">
        <f t="shared" si="118"/>
        <v>3</v>
      </c>
      <c r="D95" s="372" t="str">
        <f>_xlfn.XLOOKUP(A95,[1]SP500!$A$2:$A$502,[1]SP500!$D$2:$D$502,"N")</f>
        <v>Y</v>
      </c>
      <c r="E95" s="57" t="str">
        <f>_xlfn.XLOOKUP(A95,[1]SP500!$A$2:$A$655,[1]SP500!$B$2:$B$655)</f>
        <v>XLI</v>
      </c>
      <c r="F95" s="59">
        <v>45686</v>
      </c>
      <c r="G95" s="57" t="str">
        <f t="shared" si="119"/>
        <v>AMC</v>
      </c>
      <c r="H95" s="57" t="str">
        <f t="shared" si="120"/>
        <v>s</v>
      </c>
      <c r="I95" s="159">
        <v>209.55</v>
      </c>
      <c r="J95" s="159">
        <v>215.49</v>
      </c>
      <c r="K95" s="61">
        <f t="shared" si="121"/>
        <v>2.8346456692913375E-2</v>
      </c>
      <c r="L95" s="87">
        <f t="shared" si="122"/>
        <v>11.879999999999995</v>
      </c>
      <c r="M95" s="130">
        <f t="shared" si="112"/>
        <v>0.69999999999998863</v>
      </c>
      <c r="N95" s="169" t="str">
        <f t="shared" si="123"/>
        <v/>
      </c>
      <c r="O95" s="169">
        <f>IF($J95="",#N/A,SUM($N$4:N95))</f>
        <v>185.35693117389093</v>
      </c>
      <c r="P95" s="174" t="str">
        <f t="shared" si="124"/>
        <v/>
      </c>
      <c r="Q95" s="174">
        <f>IF($J95="",#N/A,SUM($P$4:P95))</f>
        <v>79.036464916880902</v>
      </c>
      <c r="R95" s="178">
        <f t="shared" si="125"/>
        <v>11.879999999999995</v>
      </c>
      <c r="S95" s="178">
        <f>IF($J95="",#N/A,SUM($R$4:R95))</f>
        <v>329.31712647901855</v>
      </c>
      <c r="T95" s="290" t="str">
        <f t="shared" si="126"/>
        <v/>
      </c>
      <c r="U95" s="290">
        <f>IF($J95="",#N/A,SUM($T$4:T95))</f>
        <v>6.6545053455719394</v>
      </c>
      <c r="V95" s="291" t="str">
        <f t="shared" si="127"/>
        <v/>
      </c>
      <c r="W95" s="291">
        <f>IF($J95="",#N/A,SUM($V$4:V95))</f>
        <v>2.9451096097899687</v>
      </c>
      <c r="X95" s="292">
        <f t="shared" si="128"/>
        <v>0.47244094488188959</v>
      </c>
      <c r="Y95" s="283">
        <f>IF($J95="",#N/A,SUM($X$4:X95))</f>
        <v>13.880305877412532</v>
      </c>
      <c r="Z95" s="304" t="str">
        <f t="shared" si="129"/>
        <v/>
      </c>
      <c r="AA95" s="313" t="e">
        <f>IF($J95="",#N/A,SUM(Z$4:Z95))</f>
        <v>#N/A</v>
      </c>
      <c r="AB95" s="314" t="str">
        <f t="shared" si="130"/>
        <v/>
      </c>
      <c r="AC95" s="314" t="e">
        <f>IF($J95="",#N/A,SUM(AB$4:AB95))</f>
        <v>#N/A</v>
      </c>
      <c r="AD95" s="315" t="str">
        <f t="shared" si="131"/>
        <v/>
      </c>
      <c r="AE95" s="315" t="e">
        <f>IF($J95="",#N/A,SUM(AD$4:AD95))</f>
        <v>#N/A</v>
      </c>
      <c r="AF95" s="315" t="e">
        <f>IF($J95="",#N/A,SUM(AD$4:AD95,AB$4:AB95,Z$4:Z95))</f>
        <v>#N/A</v>
      </c>
      <c r="AG95" s="304" t="str">
        <f t="shared" si="132"/>
        <v/>
      </c>
      <c r="AH95" s="313" t="e">
        <f>IF($J95="",#N/A,SUM(AG$4:AG95))</f>
        <v>#N/A</v>
      </c>
      <c r="AI95" s="314" t="str">
        <f t="shared" si="133"/>
        <v/>
      </c>
      <c r="AJ95" s="314" t="e">
        <f>IF($J95="",#N/A,SUM(AI$4:AI95))</f>
        <v>#N/A</v>
      </c>
      <c r="AK95" s="315" t="str">
        <f t="shared" si="134"/>
        <v/>
      </c>
      <c r="AL95" s="315" t="e">
        <f>IF($J95="",#N/A,SUM(AK$4:AK95))</f>
        <v>#N/A</v>
      </c>
      <c r="AM95" s="315" t="e">
        <f>IF($J95="",#N/A,SUM(AK$4:AK95,AI$4:AI95,AG$4:AG95))</f>
        <v>#N/A</v>
      </c>
      <c r="AN95" s="304" t="str">
        <f t="shared" si="135"/>
        <v/>
      </c>
      <c r="AO95" s="313" t="e">
        <f>IF($J95="",#N/A,SUM(AN$4:AN95))</f>
        <v>#N/A</v>
      </c>
      <c r="AP95" s="314" t="str">
        <f t="shared" si="136"/>
        <v/>
      </c>
      <c r="AQ95" s="314" t="e">
        <f>IF($J95="",#N/A,SUM(AP$4:AP95))</f>
        <v>#N/A</v>
      </c>
      <c r="AR95" s="315" t="str">
        <f t="shared" si="137"/>
        <v/>
      </c>
      <c r="AS95" s="315" t="e">
        <f>IF($J95="",#N/A,SUM(AR$4:AR95))</f>
        <v>#N/A</v>
      </c>
      <c r="AT95" s="315" t="e">
        <f>IF($J95="",#N/A,SUM(AR$4:AR95,AP$4:AP95,AN$4:AN95))</f>
        <v>#N/A</v>
      </c>
      <c r="AU95" s="304" t="str">
        <f t="shared" si="138"/>
        <v/>
      </c>
      <c r="AV95" s="313" t="e">
        <f>IF($J95="",#N/A,SUM(AU$4:AU95))</f>
        <v>#N/A</v>
      </c>
      <c r="AW95" s="314" t="str">
        <f t="shared" si="139"/>
        <v/>
      </c>
      <c r="AX95" s="314" t="e">
        <f>IF($J95="",#N/A,SUM(AW$4:AW95))</f>
        <v>#N/A</v>
      </c>
      <c r="AY95" s="315" t="str">
        <f t="shared" si="140"/>
        <v/>
      </c>
      <c r="AZ95" s="315" t="e">
        <f>IF($J95="",#N/A,SUM(AY$4:AY95))</f>
        <v>#N/A</v>
      </c>
      <c r="BA95" s="315" t="e">
        <f>IF($J95="",#N/A,SUM(AY$4:AY95,AW$4:AW95,AU$4:AU95))</f>
        <v>#N/A</v>
      </c>
      <c r="BB95" s="304" t="str">
        <f t="shared" si="141"/>
        <v/>
      </c>
      <c r="BC95" s="313" t="e">
        <f>IF($J95="",#N/A,SUM(BB$4:BB95))</f>
        <v>#N/A</v>
      </c>
      <c r="BD95" s="314" t="str">
        <f t="shared" si="142"/>
        <v/>
      </c>
      <c r="BE95" s="314" t="e">
        <f>IF($J95="",#N/A,SUM(BD$4:BD95))</f>
        <v>#N/A</v>
      </c>
      <c r="BF95" s="315" t="str">
        <f t="shared" si="143"/>
        <v/>
      </c>
      <c r="BG95" s="315" t="e">
        <f>IF($J95="",#N/A,SUM(BF$4:BF95))</f>
        <v>#N/A</v>
      </c>
      <c r="BH95" s="315" t="e">
        <f>IF($J95="",#N/A,SUM(BF$4:BF95,BD$4:BD95,BB$4:BB95))</f>
        <v>#N/A</v>
      </c>
      <c r="BI95" s="304" t="str">
        <f t="shared" si="144"/>
        <v/>
      </c>
      <c r="BJ95" s="313" t="e">
        <f>IF($J95="",#N/A,SUM(BI$4:BI95))</f>
        <v>#N/A</v>
      </c>
      <c r="BK95" s="314" t="str">
        <f t="shared" si="145"/>
        <v/>
      </c>
      <c r="BL95" s="314" t="e">
        <f>IF($J95="",#N/A,SUM(BK$4:BK95))</f>
        <v>#N/A</v>
      </c>
      <c r="BM95" s="315" t="str">
        <f t="shared" si="146"/>
        <v/>
      </c>
      <c r="BN95" s="315" t="e">
        <f>IF($J95="",#N/A,SUM(BM$4:BM95))</f>
        <v>#N/A</v>
      </c>
      <c r="BO95" s="315" t="e">
        <f>IF($J95="",#N/A,SUM(BM$4:BM95,BK$4:BK95,BI$4:BI95))</f>
        <v>#N/A</v>
      </c>
      <c r="BP95" s="304" t="str">
        <f t="shared" si="147"/>
        <v/>
      </c>
      <c r="BQ95" s="313" t="e">
        <f>IF($J95="",#N/A,SUM(BP$4:BP95))</f>
        <v>#N/A</v>
      </c>
      <c r="BR95" s="314" t="str">
        <f t="shared" si="148"/>
        <v/>
      </c>
      <c r="BS95" s="314" t="e">
        <f>IF($J95="",#N/A,SUM(BR$4:BR95))</f>
        <v>#N/A</v>
      </c>
      <c r="BT95" s="315">
        <f t="shared" si="149"/>
        <v>0.47244094488188959</v>
      </c>
      <c r="BU95" s="315" t="e">
        <f>IF($J95="",#N/A,SUM(BT$4:BT95))</f>
        <v>#N/A</v>
      </c>
      <c r="BV95" s="315" t="e">
        <f>IF($J95="",#N/A,SUM(BT$4:BT95,BR$4:BR95,BP$4:BP95))</f>
        <v>#N/A</v>
      </c>
      <c r="BW95" s="304" t="str">
        <f t="shared" si="150"/>
        <v/>
      </c>
      <c r="BX95" s="313" t="e">
        <f>IF($J95="",#N/A,SUM(BW$4:BW95))</f>
        <v>#N/A</v>
      </c>
      <c r="BY95" s="314" t="str">
        <f t="shared" si="151"/>
        <v/>
      </c>
      <c r="BZ95" s="314" t="e">
        <f>IF($J95="",#N/A,SUM(BY$4:BY95))</f>
        <v>#N/A</v>
      </c>
      <c r="CA95" s="315" t="str">
        <f t="shared" si="152"/>
        <v/>
      </c>
      <c r="CB95" s="315" t="e">
        <f>IF($J95="",#N/A,SUM(CA$4:CA95))</f>
        <v>#N/A</v>
      </c>
      <c r="CC95" s="315" t="e">
        <f>IF($J95="",#N/A,SUM(CA$4:CA95,BY$4:BY95,BW$4:BW95))</f>
        <v>#N/A</v>
      </c>
      <c r="CD95" s="304" t="str">
        <f t="shared" si="153"/>
        <v/>
      </c>
      <c r="CE95" s="313" t="e">
        <f>IF($J95="",#N/A,SUM(CD$4:CD95))</f>
        <v>#N/A</v>
      </c>
      <c r="CF95" s="314" t="str">
        <f t="shared" si="154"/>
        <v/>
      </c>
      <c r="CG95" s="314" t="e">
        <f>IF($J95="",#N/A,SUM(CF$4:CF95))</f>
        <v>#N/A</v>
      </c>
      <c r="CH95" s="315" t="str">
        <f t="shared" si="155"/>
        <v/>
      </c>
      <c r="CI95" s="315" t="e">
        <f>IF($J95="",#N/A,SUM(CH$4:CH95))</f>
        <v>#N/A</v>
      </c>
      <c r="CJ95" s="315" t="e">
        <f>IF($J95="",#N/A,SUM(CH$4:CH95,CF$4:CF95,CD$4:CD95))</f>
        <v>#N/A</v>
      </c>
      <c r="CK95" s="304" t="str">
        <f t="shared" si="156"/>
        <v/>
      </c>
      <c r="CL95" s="313" t="e">
        <f>IF($J95="",#N/A,SUM(CK$4:CK95))</f>
        <v>#N/A</v>
      </c>
      <c r="CM95" s="314" t="str">
        <f t="shared" si="157"/>
        <v/>
      </c>
      <c r="CN95" s="314" t="e">
        <f>IF($J95="",#N/A,SUM(CM$4:CM95))</f>
        <v>#N/A</v>
      </c>
      <c r="CO95" s="315" t="str">
        <f t="shared" si="158"/>
        <v/>
      </c>
      <c r="CP95" s="315" t="e">
        <f>IF($J95="",#N/A,SUM(CO$4:CO95))</f>
        <v>#N/A</v>
      </c>
      <c r="CQ95" s="315" t="e">
        <f>IF($J95="",#N/A,SUM(CO$4:CO95,CM$4:CM95,CK$4:CK95))</f>
        <v>#N/A</v>
      </c>
      <c r="CR95" s="304" t="str">
        <f t="shared" si="159"/>
        <v/>
      </c>
      <c r="CS95" s="313" t="e">
        <f>IF($J95="",#N/A,SUM(CR$4:CR95))</f>
        <v>#N/A</v>
      </c>
      <c r="CT95" s="314" t="str">
        <f t="shared" si="160"/>
        <v/>
      </c>
      <c r="CU95" s="314" t="e">
        <f>IF($J95="",#N/A,SUM(CT$4:CT95))</f>
        <v>#N/A</v>
      </c>
      <c r="CV95" s="315" t="str">
        <f t="shared" si="161"/>
        <v/>
      </c>
      <c r="CW95" s="315" t="e">
        <f>IF($J95="",#N/A,SUM(CV$4:CV95))</f>
        <v>#N/A</v>
      </c>
      <c r="CX95" s="315" t="e">
        <f>IF($J95="",#N/A,SUM(CV$4:CV95,CT$4:CT95,CR$4:CR95))</f>
        <v>#N/A</v>
      </c>
      <c r="CY95" s="304" t="str">
        <f t="shared" si="162"/>
        <v/>
      </c>
      <c r="CZ95" s="313" t="e">
        <f>IF($J95="",#N/A,SUM(CY$4:CY95))</f>
        <v>#N/A</v>
      </c>
      <c r="DA95" s="314" t="str">
        <f t="shared" si="163"/>
        <v/>
      </c>
      <c r="DB95" s="314" t="e">
        <f>IF($J95="",#N/A,SUM(DA$4:DA95))</f>
        <v>#N/A</v>
      </c>
      <c r="DC95" s="315" t="str">
        <f t="shared" si="164"/>
        <v/>
      </c>
      <c r="DD95" s="315" t="e">
        <f>IF($J95="",#N/A,SUM(DC$4:DC95))</f>
        <v>#N/A</v>
      </c>
      <c r="DE95" s="315" t="e">
        <f>IF($J95="",#N/A,SUM(DC$4:DC95,DA$4:DA95,CY$4:CY95))</f>
        <v>#N/A</v>
      </c>
      <c r="DF95" s="304" t="str">
        <f t="shared" si="165"/>
        <v/>
      </c>
      <c r="DG95" s="313" t="e">
        <f>IF($J95="",#N/A,SUM(DF$4:DF95))</f>
        <v>#N/A</v>
      </c>
      <c r="DH95" s="314" t="str">
        <f t="shared" si="166"/>
        <v/>
      </c>
      <c r="DI95" s="314" t="e">
        <f>IF($J95="",#N/A,SUM(DH$4:DH95))</f>
        <v>#N/A</v>
      </c>
      <c r="DJ95" s="315" t="str">
        <f t="shared" si="167"/>
        <v/>
      </c>
      <c r="DK95" s="315" t="e">
        <f>IF($J95="",#N/A,SUM(DJ$4:DJ95))</f>
        <v>#N/A</v>
      </c>
      <c r="DL95" s="315" t="e">
        <f>IF($J95="",#N/A,SUM(DJ$4:DJ95,DH$4:DH95,DF$4:DF95))</f>
        <v>#N/A</v>
      </c>
      <c r="DM95" s="304" t="str">
        <f t="shared" si="168"/>
        <v/>
      </c>
      <c r="DN95" s="313" t="e">
        <f>IF($J95="",#N/A,SUM(DM$4:DM95))</f>
        <v>#N/A</v>
      </c>
      <c r="DO95" s="314" t="str">
        <f t="shared" si="169"/>
        <v/>
      </c>
      <c r="DP95" s="314" t="e">
        <f>IF($J95="",#N/A,SUM(DO$4:DO95))</f>
        <v>#N/A</v>
      </c>
      <c r="DQ95" s="315" t="str">
        <f t="shared" si="170"/>
        <v/>
      </c>
      <c r="DR95" s="315" t="e">
        <f>IF($J95="",#N/A,SUM(DQ$4:DQ95))</f>
        <v>#N/A</v>
      </c>
      <c r="DS95" s="315" t="e">
        <f>IF($J95="",#N/A,SUM(DQ$4:DQ95,DO$4:DO95,DM$4:DM95))</f>
        <v>#N/A</v>
      </c>
      <c r="DT95" s="304" t="str">
        <f t="shared" si="171"/>
        <v/>
      </c>
      <c r="DU95" s="313" t="e">
        <f>IF($J95="",#N/A,SUM(DT$4:DT95))</f>
        <v>#N/A</v>
      </c>
      <c r="DV95" s="314" t="str">
        <f t="shared" si="172"/>
        <v/>
      </c>
      <c r="DW95" s="314" t="e">
        <f>IF($J95="",#N/A,SUM(DV$4:DV95))</f>
        <v>#N/A</v>
      </c>
      <c r="DX95" s="315" t="str">
        <f t="shared" si="173"/>
        <v/>
      </c>
      <c r="DY95" s="315" t="e">
        <f>IF($J95="",#N/A,SUM(DX$4:DX95))</f>
        <v>#N/A</v>
      </c>
      <c r="DZ95" s="315" t="e">
        <f>IF($J95="",#N/A,SUM(DX$4:DX95,DV$4:DV95,DT$4:DT95))</f>
        <v>#N/A</v>
      </c>
      <c r="EA95" s="304" t="str">
        <f t="shared" si="174"/>
        <v/>
      </c>
      <c r="EB95" s="313" t="e">
        <f>IF($J95="",#N/A,SUM(EA$4:EA95))</f>
        <v>#N/A</v>
      </c>
      <c r="EC95" s="314" t="str">
        <f t="shared" si="175"/>
        <v/>
      </c>
      <c r="ED95" s="314" t="e">
        <f>IF($J95="",#N/A,SUM(EC$4:EC95))</f>
        <v>#N/A</v>
      </c>
      <c r="EE95" s="315" t="str">
        <f t="shared" si="176"/>
        <v/>
      </c>
      <c r="EF95" s="315" t="e">
        <f>IF($J95="",#N/A,SUM(EE$4:EE95))</f>
        <v>#N/A</v>
      </c>
      <c r="EG95" s="315" t="e">
        <f>IF($J95="",#N/A,SUM(EE$4:EE95,EC$4:EC95,EA$4:EA95))</f>
        <v>#N/A</v>
      </c>
      <c r="EH95" s="130">
        <f t="shared" si="177"/>
        <v>11.879999999999995</v>
      </c>
      <c r="EI95" s="63">
        <f>IF(EH95="",#N/A,SUM($EH$4:EH95))</f>
        <v>593.71052256979044</v>
      </c>
      <c r="EJ95" s="223" t="e">
        <f t="shared" si="178"/>
        <v>#N/A</v>
      </c>
      <c r="EK95" s="63" t="e">
        <f>IF($GZ95="",#N/A,SUM(EJ$4:EJ95))</f>
        <v>#N/A</v>
      </c>
      <c r="EL95" s="60">
        <f t="shared" si="209"/>
        <v>0.47244094488188959</v>
      </c>
      <c r="EM95" s="60">
        <f>IF(EL95="",NA(),SUM($EL$4:EL95))</f>
        <v>23.600568885170173</v>
      </c>
      <c r="EN95" s="60" t="str">
        <f t="shared" si="179"/>
        <v/>
      </c>
      <c r="EO95" s="60" t="e">
        <f>IF(EN95="",NA(),SUM($EN$4:EN95))</f>
        <v>#N/A</v>
      </c>
      <c r="EP95" s="60">
        <f t="shared" si="180"/>
        <v>0.47244094488188959</v>
      </c>
      <c r="EQ95" s="60">
        <f>IF(EP95="",NA(),SUM($EP$4:EP95))</f>
        <v>14.000953929808258</v>
      </c>
      <c r="ER95" s="60" t="str">
        <f t="shared" si="181"/>
        <v/>
      </c>
      <c r="ES95" s="60" t="e">
        <f>IF(ER95="",NA(),SUM($ER$4:ER95))</f>
        <v>#N/A</v>
      </c>
      <c r="ET95" s="60" t="str">
        <f t="shared" si="182"/>
        <v/>
      </c>
      <c r="EU95" s="60" t="e">
        <f>IF(ET95="",NA(),SUM($ET$4:ET95))</f>
        <v>#N/A</v>
      </c>
      <c r="EV95" s="60" t="str">
        <f t="shared" si="183"/>
        <v/>
      </c>
      <c r="EW95" s="60" t="e">
        <f>IF(EV95="",NA(),SUM($EV$4:EV95))</f>
        <v>#N/A</v>
      </c>
      <c r="EX95" s="60" t="str">
        <f t="shared" si="184"/>
        <v/>
      </c>
      <c r="EY95" s="60" t="e">
        <f>IF(EX95="",NA(),SUM($EX$4:EX95))</f>
        <v>#N/A</v>
      </c>
      <c r="EZ95" s="60" t="str">
        <f t="shared" si="185"/>
        <v/>
      </c>
      <c r="FA95" s="60" t="e">
        <f>IF(EZ95="",NA(),SUM($EZ$4:EZ95))</f>
        <v>#N/A</v>
      </c>
      <c r="FB95" s="246" t="str">
        <f t="shared" si="210"/>
        <v/>
      </c>
      <c r="FC95" s="246" t="e">
        <f>IF($FB95="",#N/A,SUM(FB$4:$FB95))</f>
        <v>#N/A</v>
      </c>
      <c r="FD95" s="60" t="str">
        <f t="shared" si="186"/>
        <v/>
      </c>
      <c r="FE95" s="60" t="e">
        <f>IF($FD95="",#N/A,SUM($FD$4:FD95))</f>
        <v>#N/A</v>
      </c>
      <c r="FF95" s="60" t="str">
        <f t="shared" si="187"/>
        <v/>
      </c>
      <c r="FG95" s="60" t="e">
        <f>IF($FF95="",#N/A,SUM($FF$4:FF95))</f>
        <v>#N/A</v>
      </c>
      <c r="FH95" s="60" t="str">
        <f t="shared" si="188"/>
        <v/>
      </c>
      <c r="FI95" s="60" t="e">
        <f>IF($FH95="",#N/A,SUM($FH$4:FH95))</f>
        <v>#N/A</v>
      </c>
      <c r="FJ95" s="60">
        <f t="shared" si="189"/>
        <v>0.5519764574882684</v>
      </c>
      <c r="FK95" s="60">
        <f>IF($FJ95="",#N/A,SUM($FJ$4:FJ95))</f>
        <v>1.6264473933132493</v>
      </c>
      <c r="FL95" s="60" t="str">
        <f t="shared" si="190"/>
        <v/>
      </c>
      <c r="FM95" s="60" t="e">
        <f>IF($FL95="",#N/A,SUM($FL$4:FL95))</f>
        <v>#N/A</v>
      </c>
      <c r="FN95" s="82">
        <f t="shared" si="191"/>
        <v>1.024417402370158</v>
      </c>
      <c r="FO95" s="82">
        <f>IF($FN95="",#N/A,SUM(FN$4:$FN95))</f>
        <v>32.573034185755041</v>
      </c>
      <c r="FP95" s="82">
        <f t="shared" si="211"/>
        <v>0.47244094488188959</v>
      </c>
      <c r="FQ95" s="246">
        <f>IF($EH95="",#N/A,SUM($FP$4:FP95))</f>
        <v>23.479920832774447</v>
      </c>
      <c r="FR95" s="82">
        <f>IFERROR(FQ95/COUNTA($J$4:J95),#N/A)</f>
        <v>0.25521653079102657</v>
      </c>
      <c r="FS95" s="82">
        <f t="shared" si="219"/>
        <v>0.14933131009802081</v>
      </c>
      <c r="FT95" s="82">
        <f t="shared" si="220"/>
        <v>0.34632186762434264</v>
      </c>
      <c r="FU95" s="337">
        <f>IF(AND(HB95="MOC",GZ95=""),#N/A,IFERROR(FQ95-HE95,FQ95-0))-14.53</f>
        <v>5.6363035487081934</v>
      </c>
      <c r="FV95" s="57" t="str">
        <f t="shared" si="192"/>
        <v>SW</v>
      </c>
      <c r="FW95" s="57" t="s">
        <v>2732</v>
      </c>
      <c r="FX95" s="57" t="str">
        <f t="shared" si="193"/>
        <v/>
      </c>
      <c r="FY95" s="57" t="str">
        <f t="shared" si="194"/>
        <v/>
      </c>
      <c r="FZ95" s="57">
        <f t="shared" si="195"/>
        <v>1</v>
      </c>
      <c r="GA95" s="57" t="str">
        <f t="shared" si="196"/>
        <v>Long</v>
      </c>
      <c r="GB95" s="57" t="str">
        <f t="shared" si="197"/>
        <v/>
      </c>
      <c r="GC95" s="57" t="str">
        <f t="shared" si="198"/>
        <v/>
      </c>
      <c r="GD95" s="57" t="str">
        <f t="shared" si="199"/>
        <v/>
      </c>
      <c r="GE95" s="62">
        <f t="shared" si="114"/>
        <v>209.55</v>
      </c>
      <c r="GF95" s="62" t="s">
        <v>2779</v>
      </c>
      <c r="GG95" s="199">
        <v>2</v>
      </c>
      <c r="GH95" s="207">
        <f t="shared" si="200"/>
        <v>419.1</v>
      </c>
      <c r="GI95" s="199">
        <v>2</v>
      </c>
      <c r="GJ95" s="200">
        <v>215.84</v>
      </c>
      <c r="GK95" s="63">
        <f t="shared" si="201"/>
        <v>12.579999999999984</v>
      </c>
      <c r="GL95" s="63">
        <f t="shared" si="115"/>
        <v>25.759999999999991</v>
      </c>
      <c r="GM95" s="82">
        <f t="shared" si="202"/>
        <v>1.024417402370158</v>
      </c>
      <c r="GN95" s="82">
        <f>IF($GZ95="",#N/A,SUM(GM$4:GM95))</f>
        <v>15.674042677096784</v>
      </c>
      <c r="GO95" s="82" t="str">
        <f t="shared" si="203"/>
        <v/>
      </c>
      <c r="GP95" s="82">
        <f>IF($GZ95="",#N/A,SUM(GO$4:GO95))</f>
        <v>9.9915645762552927</v>
      </c>
      <c r="GQ95" s="82" t="str">
        <f t="shared" si="204"/>
        <v/>
      </c>
      <c r="GR95" s="82">
        <f>IF($GZ95="",#N/A,SUM(GQ$4:GQ95))</f>
        <v>6.281589977960623</v>
      </c>
      <c r="GS95" s="63" t="e">
        <f t="shared" si="212"/>
        <v>#N/A</v>
      </c>
      <c r="GT95" s="63" t="e">
        <f>IF($GZ95="",#N/A,SUM(GS$4:GS95))</f>
        <v>#N/A</v>
      </c>
      <c r="GU95" s="63" t="str">
        <f t="shared" si="213"/>
        <v/>
      </c>
      <c r="GV95" s="63" t="e">
        <f>IF($GZ95="",#N/A,SUM(GU$4:GU95))</f>
        <v>#N/A</v>
      </c>
      <c r="GW95" s="63" t="str">
        <f t="shared" si="214"/>
        <v/>
      </c>
      <c r="GX95" s="63">
        <f>IF($GZ95="",#N/A,SUM(GW$4:GW95))</f>
        <v>167.16051890409477</v>
      </c>
      <c r="GY95" s="63" t="e">
        <f>IF(EJ95="",#N/A,SUM($EJ$4:EJ95))</f>
        <v>#N/A</v>
      </c>
      <c r="GZ95" s="159">
        <v>222.43</v>
      </c>
      <c r="HA95" s="63">
        <f t="shared" si="205"/>
        <v>13.879999999999995</v>
      </c>
      <c r="HB95" s="62" t="s">
        <v>2538</v>
      </c>
      <c r="HC95" s="60">
        <f>IFERROR(VLOOKUP(E95,Expectancy!$P$4:$S$19,1+C95,FALSE),"")</f>
        <v>2.40735201201209E-2</v>
      </c>
      <c r="HD95" s="82">
        <f t="shared" si="206"/>
        <v>0.5002783742941217</v>
      </c>
      <c r="HE95" s="60">
        <f>IF(HD95="",#N/A,SUM($HD$4:HD95))</f>
        <v>3.313617284066253</v>
      </c>
      <c r="HF95" s="85">
        <f>IF(HD95="",#N/A,IF(HB95="Skip",#N/A,SUM($HG$4:HG95)))</f>
        <v>95.910000000000025</v>
      </c>
      <c r="HG95" s="63">
        <f t="shared" si="207"/>
        <v>12.579999999999984</v>
      </c>
      <c r="HH95" s="82">
        <f t="shared" si="208"/>
        <v>1.024417402370158</v>
      </c>
    </row>
    <row r="96" spans="1:220" x14ac:dyDescent="0.25">
      <c r="A96" s="57" t="s">
        <v>1409</v>
      </c>
      <c r="B96" s="58" t="s">
        <v>5150</v>
      </c>
      <c r="C96" s="386">
        <f t="shared" si="118"/>
        <v>1</v>
      </c>
      <c r="D96" s="372" t="str">
        <f>_xlfn.XLOOKUP(A96,[1]SP500!$A$2:$A$502,[1]SP500!$D$2:$D$502,"N")</f>
        <v>Y</v>
      </c>
      <c r="E96" s="57" t="str">
        <f>_xlfn.XLOOKUP(A96,[1]SP500!$A$2:$A$655,[1]SP500!$B$2:$B$655)</f>
        <v>XLF</v>
      </c>
      <c r="F96" s="59">
        <v>45686</v>
      </c>
      <c r="G96" s="57" t="str">
        <f t="shared" si="119"/>
        <v>AMC</v>
      </c>
      <c r="H96" s="57" t="str">
        <f t="shared" si="120"/>
        <v>s</v>
      </c>
      <c r="I96" s="159">
        <v>575.13</v>
      </c>
      <c r="J96" s="159">
        <v>581.41</v>
      </c>
      <c r="K96" s="61">
        <f t="shared" si="121"/>
        <v>1.0919270425816724E-2</v>
      </c>
      <c r="L96" s="87">
        <f t="shared" si="122"/>
        <v>6.2799999999999727</v>
      </c>
      <c r="M96" s="130">
        <f t="shared" si="112"/>
        <v>-5.6100000000000136</v>
      </c>
      <c r="N96" s="169">
        <f t="shared" si="123"/>
        <v>6.2799999999999727</v>
      </c>
      <c r="O96" s="169">
        <f>IF($J96="",#N/A,SUM($N$4:N96))</f>
        <v>191.6369311738909</v>
      </c>
      <c r="P96" s="174" t="str">
        <f t="shared" si="124"/>
        <v/>
      </c>
      <c r="Q96" s="174">
        <f>IF($J96="",#N/A,SUM($P$4:P96))</f>
        <v>79.036464916880902</v>
      </c>
      <c r="R96" s="178" t="str">
        <f t="shared" si="125"/>
        <v/>
      </c>
      <c r="S96" s="178">
        <f>IF($J96="",#N/A,SUM($R$4:R96))</f>
        <v>329.31712647901855</v>
      </c>
      <c r="T96" s="290">
        <f t="shared" si="126"/>
        <v>0.18198784043027877</v>
      </c>
      <c r="U96" s="290">
        <f>IF($J96="",#N/A,SUM($T$4:T96))</f>
        <v>6.836493186002218</v>
      </c>
      <c r="V96" s="291" t="str">
        <f t="shared" si="127"/>
        <v/>
      </c>
      <c r="W96" s="291">
        <f>IF($J96="",#N/A,SUM($V$4:V96))</f>
        <v>2.9451096097899687</v>
      </c>
      <c r="X96" s="292" t="str">
        <f t="shared" si="128"/>
        <v/>
      </c>
      <c r="Y96" s="283">
        <f>IF($J96="",#N/A,SUM($X$4:X96))</f>
        <v>13.880305877412532</v>
      </c>
      <c r="Z96" s="304" t="str">
        <f t="shared" si="129"/>
        <v/>
      </c>
      <c r="AA96" s="313" t="e">
        <f>IF($J96="",#N/A,SUM(Z$4:Z96))</f>
        <v>#N/A</v>
      </c>
      <c r="AB96" s="314" t="str">
        <f t="shared" si="130"/>
        <v/>
      </c>
      <c r="AC96" s="314" t="e">
        <f>IF($J96="",#N/A,SUM(AB$4:AB96))</f>
        <v>#N/A</v>
      </c>
      <c r="AD96" s="315" t="str">
        <f t="shared" si="131"/>
        <v/>
      </c>
      <c r="AE96" s="315" t="e">
        <f>IF($J96="",#N/A,SUM(AD$4:AD96))</f>
        <v>#N/A</v>
      </c>
      <c r="AF96" s="315" t="e">
        <f>IF($J96="",#N/A,SUM(AD$4:AD96,AB$4:AB96,Z$4:Z96))</f>
        <v>#N/A</v>
      </c>
      <c r="AG96" s="304" t="str">
        <f t="shared" si="132"/>
        <v/>
      </c>
      <c r="AH96" s="313" t="e">
        <f>IF($J96="",#N/A,SUM(AG$4:AG96))</f>
        <v>#N/A</v>
      </c>
      <c r="AI96" s="314" t="str">
        <f t="shared" si="133"/>
        <v/>
      </c>
      <c r="AJ96" s="314" t="e">
        <f>IF($J96="",#N/A,SUM(AI$4:AI96))</f>
        <v>#N/A</v>
      </c>
      <c r="AK96" s="315" t="str">
        <f t="shared" si="134"/>
        <v/>
      </c>
      <c r="AL96" s="315" t="e">
        <f>IF($J96="",#N/A,SUM(AK$4:AK96))</f>
        <v>#N/A</v>
      </c>
      <c r="AM96" s="315" t="e">
        <f>IF($J96="",#N/A,SUM(AK$4:AK96,AI$4:AI96,AG$4:AG96))</f>
        <v>#N/A</v>
      </c>
      <c r="AN96" s="304" t="str">
        <f t="shared" si="135"/>
        <v/>
      </c>
      <c r="AO96" s="313" t="e">
        <f>IF($J96="",#N/A,SUM(AN$4:AN96))</f>
        <v>#N/A</v>
      </c>
      <c r="AP96" s="314" t="str">
        <f t="shared" si="136"/>
        <v/>
      </c>
      <c r="AQ96" s="314" t="e">
        <f>IF($J96="",#N/A,SUM(AP$4:AP96))</f>
        <v>#N/A</v>
      </c>
      <c r="AR96" s="315" t="str">
        <f t="shared" si="137"/>
        <v/>
      </c>
      <c r="AS96" s="315" t="e">
        <f>IF($J96="",#N/A,SUM(AR$4:AR96))</f>
        <v>#N/A</v>
      </c>
      <c r="AT96" s="315" t="e">
        <f>IF($J96="",#N/A,SUM(AR$4:AR96,AP$4:AP96,AN$4:AN96))</f>
        <v>#N/A</v>
      </c>
      <c r="AU96" s="304" t="str">
        <f t="shared" si="138"/>
        <v/>
      </c>
      <c r="AV96" s="313" t="e">
        <f>IF($J96="",#N/A,SUM(AU$4:AU96))</f>
        <v>#N/A</v>
      </c>
      <c r="AW96" s="314" t="str">
        <f t="shared" si="139"/>
        <v/>
      </c>
      <c r="AX96" s="314" t="e">
        <f>IF($J96="",#N/A,SUM(AW$4:AW96))</f>
        <v>#N/A</v>
      </c>
      <c r="AY96" s="315" t="str">
        <f t="shared" si="140"/>
        <v/>
      </c>
      <c r="AZ96" s="315" t="e">
        <f>IF($J96="",#N/A,SUM(AY$4:AY96))</f>
        <v>#N/A</v>
      </c>
      <c r="BA96" s="315" t="e">
        <f>IF($J96="",#N/A,SUM(AY$4:AY96,AW$4:AW96,AU$4:AU96))</f>
        <v>#N/A</v>
      </c>
      <c r="BB96" s="304" t="str">
        <f t="shared" si="141"/>
        <v/>
      </c>
      <c r="BC96" s="313" t="e">
        <f>IF($J96="",#N/A,SUM(BB$4:BB96))</f>
        <v>#N/A</v>
      </c>
      <c r="BD96" s="314" t="str">
        <f t="shared" si="142"/>
        <v/>
      </c>
      <c r="BE96" s="314" t="e">
        <f>IF($J96="",#N/A,SUM(BD$4:BD96))</f>
        <v>#N/A</v>
      </c>
      <c r="BF96" s="315" t="str">
        <f t="shared" si="143"/>
        <v/>
      </c>
      <c r="BG96" s="315" t="e">
        <f>IF($J96="",#N/A,SUM(BF$4:BF96))</f>
        <v>#N/A</v>
      </c>
      <c r="BH96" s="315" t="e">
        <f>IF($J96="",#N/A,SUM(BF$4:BF96,BD$4:BD96,BB$4:BB96))</f>
        <v>#N/A</v>
      </c>
      <c r="BI96" s="304">
        <f t="shared" si="144"/>
        <v>0.18198784043027877</v>
      </c>
      <c r="BJ96" s="313" t="e">
        <f>IF($J96="",#N/A,SUM(BI$4:BI96))</f>
        <v>#N/A</v>
      </c>
      <c r="BK96" s="314" t="str">
        <f t="shared" si="145"/>
        <v/>
      </c>
      <c r="BL96" s="314" t="e">
        <f>IF($J96="",#N/A,SUM(BK$4:BK96))</f>
        <v>#N/A</v>
      </c>
      <c r="BM96" s="315" t="str">
        <f t="shared" si="146"/>
        <v/>
      </c>
      <c r="BN96" s="315" t="e">
        <f>IF($J96="",#N/A,SUM(BM$4:BM96))</f>
        <v>#N/A</v>
      </c>
      <c r="BO96" s="315" t="e">
        <f>IF($J96="",#N/A,SUM(BM$4:BM96,BK$4:BK96,BI$4:BI96))</f>
        <v>#N/A</v>
      </c>
      <c r="BP96" s="304" t="str">
        <f t="shared" si="147"/>
        <v/>
      </c>
      <c r="BQ96" s="313" t="e">
        <f>IF($J96="",#N/A,SUM(BP$4:BP96))</f>
        <v>#N/A</v>
      </c>
      <c r="BR96" s="314" t="str">
        <f t="shared" si="148"/>
        <v/>
      </c>
      <c r="BS96" s="314" t="e">
        <f>IF($J96="",#N/A,SUM(BR$4:BR96))</f>
        <v>#N/A</v>
      </c>
      <c r="BT96" s="315" t="str">
        <f t="shared" si="149"/>
        <v/>
      </c>
      <c r="BU96" s="315" t="e">
        <f>IF($J96="",#N/A,SUM(BT$4:BT96))</f>
        <v>#N/A</v>
      </c>
      <c r="BV96" s="315" t="e">
        <f>IF($J96="",#N/A,SUM(BT$4:BT96,BR$4:BR96,BP$4:BP96))</f>
        <v>#N/A</v>
      </c>
      <c r="BW96" s="304" t="str">
        <f t="shared" si="150"/>
        <v/>
      </c>
      <c r="BX96" s="313" t="e">
        <f>IF($J96="",#N/A,SUM(BW$4:BW96))</f>
        <v>#N/A</v>
      </c>
      <c r="BY96" s="314" t="str">
        <f t="shared" si="151"/>
        <v/>
      </c>
      <c r="BZ96" s="314" t="e">
        <f>IF($J96="",#N/A,SUM(BY$4:BY96))</f>
        <v>#N/A</v>
      </c>
      <c r="CA96" s="315" t="str">
        <f t="shared" si="152"/>
        <v/>
      </c>
      <c r="CB96" s="315" t="e">
        <f>IF($J96="",#N/A,SUM(CA$4:CA96))</f>
        <v>#N/A</v>
      </c>
      <c r="CC96" s="315" t="e">
        <f>IF($J96="",#N/A,SUM(CA$4:CA96,BY$4:BY96,BW$4:BW96))</f>
        <v>#N/A</v>
      </c>
      <c r="CD96" s="304" t="str">
        <f t="shared" si="153"/>
        <v/>
      </c>
      <c r="CE96" s="313" t="e">
        <f>IF($J96="",#N/A,SUM(CD$4:CD96))</f>
        <v>#N/A</v>
      </c>
      <c r="CF96" s="314" t="str">
        <f t="shared" si="154"/>
        <v/>
      </c>
      <c r="CG96" s="314" t="e">
        <f>IF($J96="",#N/A,SUM(CF$4:CF96))</f>
        <v>#N/A</v>
      </c>
      <c r="CH96" s="315" t="str">
        <f t="shared" si="155"/>
        <v/>
      </c>
      <c r="CI96" s="315" t="e">
        <f>IF($J96="",#N/A,SUM(CH$4:CH96))</f>
        <v>#N/A</v>
      </c>
      <c r="CJ96" s="315" t="e">
        <f>IF($J96="",#N/A,SUM(CH$4:CH96,CF$4:CF96,CD$4:CD96))</f>
        <v>#N/A</v>
      </c>
      <c r="CK96" s="304" t="str">
        <f t="shared" si="156"/>
        <v/>
      </c>
      <c r="CL96" s="313" t="e">
        <f>IF($J96="",#N/A,SUM(CK$4:CK96))</f>
        <v>#N/A</v>
      </c>
      <c r="CM96" s="314" t="str">
        <f t="shared" si="157"/>
        <v/>
      </c>
      <c r="CN96" s="314" t="e">
        <f>IF($J96="",#N/A,SUM(CM$4:CM96))</f>
        <v>#N/A</v>
      </c>
      <c r="CO96" s="315" t="str">
        <f t="shared" si="158"/>
        <v/>
      </c>
      <c r="CP96" s="315" t="e">
        <f>IF($J96="",#N/A,SUM(CO$4:CO96))</f>
        <v>#N/A</v>
      </c>
      <c r="CQ96" s="315" t="e">
        <f>IF($J96="",#N/A,SUM(CO$4:CO96,CM$4:CM96,CK$4:CK96))</f>
        <v>#N/A</v>
      </c>
      <c r="CR96" s="304" t="str">
        <f t="shared" si="159"/>
        <v/>
      </c>
      <c r="CS96" s="313" t="e">
        <f>IF($J96="",#N/A,SUM(CR$4:CR96))</f>
        <v>#N/A</v>
      </c>
      <c r="CT96" s="314" t="str">
        <f t="shared" si="160"/>
        <v/>
      </c>
      <c r="CU96" s="314" t="e">
        <f>IF($J96="",#N/A,SUM(CT$4:CT96))</f>
        <v>#N/A</v>
      </c>
      <c r="CV96" s="315" t="str">
        <f t="shared" si="161"/>
        <v/>
      </c>
      <c r="CW96" s="315" t="e">
        <f>IF($J96="",#N/A,SUM(CV$4:CV96))</f>
        <v>#N/A</v>
      </c>
      <c r="CX96" s="315" t="e">
        <f>IF($J96="",#N/A,SUM(CV$4:CV96,CT$4:CT96,CR$4:CR96))</f>
        <v>#N/A</v>
      </c>
      <c r="CY96" s="304" t="str">
        <f t="shared" si="162"/>
        <v/>
      </c>
      <c r="CZ96" s="313" t="e">
        <f>IF($J96="",#N/A,SUM(CY$4:CY96))</f>
        <v>#N/A</v>
      </c>
      <c r="DA96" s="314" t="str">
        <f t="shared" si="163"/>
        <v/>
      </c>
      <c r="DB96" s="314" t="e">
        <f>IF($J96="",#N/A,SUM(DA$4:DA96))</f>
        <v>#N/A</v>
      </c>
      <c r="DC96" s="315" t="str">
        <f t="shared" si="164"/>
        <v/>
      </c>
      <c r="DD96" s="315" t="e">
        <f>IF($J96="",#N/A,SUM(DC$4:DC96))</f>
        <v>#N/A</v>
      </c>
      <c r="DE96" s="315" t="e">
        <f>IF($J96="",#N/A,SUM(DC$4:DC96,DA$4:DA96,CY$4:CY96))</f>
        <v>#N/A</v>
      </c>
      <c r="DF96" s="304" t="str">
        <f t="shared" si="165"/>
        <v/>
      </c>
      <c r="DG96" s="313" t="e">
        <f>IF($J96="",#N/A,SUM(DF$4:DF96))</f>
        <v>#N/A</v>
      </c>
      <c r="DH96" s="314" t="str">
        <f t="shared" si="166"/>
        <v/>
      </c>
      <c r="DI96" s="314" t="e">
        <f>IF($J96="",#N/A,SUM(DH$4:DH96))</f>
        <v>#N/A</v>
      </c>
      <c r="DJ96" s="315" t="str">
        <f t="shared" si="167"/>
        <v/>
      </c>
      <c r="DK96" s="315" t="e">
        <f>IF($J96="",#N/A,SUM(DJ$4:DJ96))</f>
        <v>#N/A</v>
      </c>
      <c r="DL96" s="315" t="e">
        <f>IF($J96="",#N/A,SUM(DJ$4:DJ96,DH$4:DH96,DF$4:DF96))</f>
        <v>#N/A</v>
      </c>
      <c r="DM96" s="304" t="str">
        <f t="shared" si="168"/>
        <v/>
      </c>
      <c r="DN96" s="313" t="e">
        <f>IF($J96="",#N/A,SUM(DM$4:DM96))</f>
        <v>#N/A</v>
      </c>
      <c r="DO96" s="314" t="str">
        <f t="shared" si="169"/>
        <v/>
      </c>
      <c r="DP96" s="314" t="e">
        <f>IF($J96="",#N/A,SUM(DO$4:DO96))</f>
        <v>#N/A</v>
      </c>
      <c r="DQ96" s="315" t="str">
        <f t="shared" si="170"/>
        <v/>
      </c>
      <c r="DR96" s="315" t="e">
        <f>IF($J96="",#N/A,SUM(DQ$4:DQ96))</f>
        <v>#N/A</v>
      </c>
      <c r="DS96" s="315" t="e">
        <f>IF($J96="",#N/A,SUM(DQ$4:DQ96,DO$4:DO96,DM$4:DM96))</f>
        <v>#N/A</v>
      </c>
      <c r="DT96" s="304" t="str">
        <f t="shared" si="171"/>
        <v/>
      </c>
      <c r="DU96" s="313" t="e">
        <f>IF($J96="",#N/A,SUM(DT$4:DT96))</f>
        <v>#N/A</v>
      </c>
      <c r="DV96" s="314" t="str">
        <f t="shared" si="172"/>
        <v/>
      </c>
      <c r="DW96" s="314" t="e">
        <f>IF($J96="",#N/A,SUM(DV$4:DV96))</f>
        <v>#N/A</v>
      </c>
      <c r="DX96" s="315" t="str">
        <f t="shared" si="173"/>
        <v/>
      </c>
      <c r="DY96" s="315" t="e">
        <f>IF($J96="",#N/A,SUM(DX$4:DX96))</f>
        <v>#N/A</v>
      </c>
      <c r="DZ96" s="315" t="e">
        <f>IF($J96="",#N/A,SUM(DX$4:DX96,DV$4:DV96,DT$4:DT96))</f>
        <v>#N/A</v>
      </c>
      <c r="EA96" s="304" t="str">
        <f t="shared" si="174"/>
        <v/>
      </c>
      <c r="EB96" s="313" t="e">
        <f>IF($J96="",#N/A,SUM(EA$4:EA96))</f>
        <v>#N/A</v>
      </c>
      <c r="EC96" s="314" t="str">
        <f t="shared" si="175"/>
        <v/>
      </c>
      <c r="ED96" s="314" t="e">
        <f>IF($J96="",#N/A,SUM(EC$4:EC96))</f>
        <v>#N/A</v>
      </c>
      <c r="EE96" s="315" t="str">
        <f t="shared" si="176"/>
        <v/>
      </c>
      <c r="EF96" s="315" t="e">
        <f>IF($J96="",#N/A,SUM(EE$4:EE96))</f>
        <v>#N/A</v>
      </c>
      <c r="EG96" s="315" t="e">
        <f>IF($J96="",#N/A,SUM(EE$4:EE96,EC$4:EC96,EA$4:EA96))</f>
        <v>#N/A</v>
      </c>
      <c r="EH96" s="130">
        <f t="shared" si="177"/>
        <v>6.2799999999999727</v>
      </c>
      <c r="EI96" s="63">
        <f>IF(EH96="",#N/A,SUM($EH$4:EH96))</f>
        <v>599.99052256979041</v>
      </c>
      <c r="EJ96" s="223" t="e">
        <f t="shared" si="178"/>
        <v>#N/A</v>
      </c>
      <c r="EK96" s="63" t="e">
        <f>IF($GZ96="",#N/A,SUM(EJ$4:EJ96))</f>
        <v>#N/A</v>
      </c>
      <c r="EL96" s="60">
        <f t="shared" si="209"/>
        <v>0.18198784043027877</v>
      </c>
      <c r="EM96" s="60">
        <f>IF(EL96="",NA(),SUM($EL$4:EL96))</f>
        <v>23.78255672560045</v>
      </c>
      <c r="EN96" s="60">
        <f t="shared" si="179"/>
        <v>0.18198784043027877</v>
      </c>
      <c r="EO96" s="60">
        <f>IF(EN96="",NA(),SUM($EN$4:EN96))</f>
        <v>6.836493186002218</v>
      </c>
      <c r="EP96" s="60" t="str">
        <f t="shared" si="180"/>
        <v/>
      </c>
      <c r="EQ96" s="60" t="e">
        <f>IF(EP96="",NA(),SUM($EP$4:EP96))</f>
        <v>#N/A</v>
      </c>
      <c r="ER96" s="60" t="str">
        <f t="shared" si="181"/>
        <v/>
      </c>
      <c r="ES96" s="60" t="e">
        <f>IF(ER96="",NA(),SUM($ER$4:ER96))</f>
        <v>#N/A</v>
      </c>
      <c r="ET96" s="60" t="str">
        <f t="shared" si="182"/>
        <v/>
      </c>
      <c r="EU96" s="60" t="e">
        <f>IF(ET96="",NA(),SUM($ET$4:ET96))</f>
        <v>#N/A</v>
      </c>
      <c r="EV96" s="60" t="str">
        <f t="shared" si="183"/>
        <v/>
      </c>
      <c r="EW96" s="60" t="e">
        <f>IF(EV96="",NA(),SUM($EV$4:EV96))</f>
        <v>#N/A</v>
      </c>
      <c r="EX96" s="60" t="str">
        <f t="shared" si="184"/>
        <v/>
      </c>
      <c r="EY96" s="60" t="e">
        <f>IF(EX96="",NA(),SUM($EX$4:EX96))</f>
        <v>#N/A</v>
      </c>
      <c r="EZ96" s="60" t="str">
        <f t="shared" si="185"/>
        <v/>
      </c>
      <c r="FA96" s="60" t="e">
        <f>IF(EZ96="",NA(),SUM($EZ$4:EZ96))</f>
        <v>#N/A</v>
      </c>
      <c r="FB96" s="246" t="str">
        <f t="shared" si="210"/>
        <v/>
      </c>
      <c r="FC96" s="246" t="e">
        <f>IF($FB96="",#N/A,SUM(FB$4:$FB96))</f>
        <v>#N/A</v>
      </c>
      <c r="FD96" s="60" t="str">
        <f t="shared" si="186"/>
        <v/>
      </c>
      <c r="FE96" s="60" t="e">
        <f>IF($FD96="",#N/A,SUM($FD$4:FD96))</f>
        <v>#N/A</v>
      </c>
      <c r="FF96" s="60">
        <f t="shared" si="187"/>
        <v>-0.97282353554848289</v>
      </c>
      <c r="FG96" s="60">
        <f>IF($FF96="",#N/A,SUM($FF$4:FF96))</f>
        <v>0.18740693096785388</v>
      </c>
      <c r="FH96" s="60" t="str">
        <f t="shared" si="188"/>
        <v/>
      </c>
      <c r="FI96" s="60" t="e">
        <f>IF($FH96="",#N/A,SUM($FH$4:FH96))</f>
        <v>#N/A</v>
      </c>
      <c r="FJ96" s="60" t="str">
        <f t="shared" si="189"/>
        <v/>
      </c>
      <c r="FK96" s="60" t="e">
        <f>IF($FJ96="",#N/A,SUM($FJ$4:FJ96))</f>
        <v>#N/A</v>
      </c>
      <c r="FL96" s="60" t="str">
        <f t="shared" si="190"/>
        <v/>
      </c>
      <c r="FM96" s="60" t="e">
        <f>IF($FL96="",#N/A,SUM($FL$4:FL96))</f>
        <v>#N/A</v>
      </c>
      <c r="FN96" s="82">
        <f t="shared" si="191"/>
        <v>-0.79083569511820417</v>
      </c>
      <c r="FO96" s="82">
        <f>IF($FN96="",#N/A,SUM(FN$4:$FN96))</f>
        <v>31.782198490636837</v>
      </c>
      <c r="FP96" s="82">
        <f t="shared" si="211"/>
        <v>0.18198784043027877</v>
      </c>
      <c r="FQ96" s="246">
        <f>IF($EH96="",#N/A,SUM($FP$4:FP96))</f>
        <v>23.661908673204724</v>
      </c>
      <c r="FR96" s="82">
        <f>IFERROR(FQ96/COUNTA($J$4:J96),#N/A)</f>
        <v>0.25442912551833036</v>
      </c>
      <c r="FS96" s="82">
        <f t="shared" si="219"/>
        <v>0.14409016933970592</v>
      </c>
      <c r="FT96" s="82">
        <f t="shared" si="220"/>
        <v>0.3548816199791473</v>
      </c>
      <c r="FU96" s="337">
        <f>IF(AND(HB96="MOC",GZ96=""),#N/A,IFERROR(FQ96-HE96,FQ96-0))-14.53</f>
        <v>5.7988754889651783</v>
      </c>
      <c r="FV96" s="57" t="str">
        <f t="shared" si="192"/>
        <v>Up</v>
      </c>
      <c r="FW96" s="57" t="s">
        <v>2733</v>
      </c>
      <c r="FX96" s="57">
        <f t="shared" si="193"/>
        <v>1</v>
      </c>
      <c r="FY96" s="57" t="str">
        <f t="shared" si="194"/>
        <v/>
      </c>
      <c r="FZ96" s="57" t="str">
        <f t="shared" si="195"/>
        <v/>
      </c>
      <c r="GA96" s="57" t="str">
        <f t="shared" si="196"/>
        <v>Long</v>
      </c>
      <c r="GB96" s="57" t="str">
        <f t="shared" si="197"/>
        <v/>
      </c>
      <c r="GC96" s="57" t="str">
        <f t="shared" si="198"/>
        <v/>
      </c>
      <c r="GD96" s="57" t="str">
        <f t="shared" si="199"/>
        <v/>
      </c>
      <c r="GE96" s="62">
        <f t="shared" si="114"/>
        <v>575.13</v>
      </c>
      <c r="GF96" s="62" t="s">
        <v>2779</v>
      </c>
      <c r="GG96" s="199">
        <v>1</v>
      </c>
      <c r="GH96" s="207">
        <f t="shared" si="200"/>
        <v>575.13</v>
      </c>
      <c r="GI96" s="199">
        <v>1</v>
      </c>
      <c r="GJ96" s="200">
        <v>575.79999999999995</v>
      </c>
      <c r="GK96" s="63">
        <f t="shared" si="201"/>
        <v>0.66999999999995907</v>
      </c>
      <c r="GL96" s="63">
        <f t="shared" si="115"/>
        <v>-27.289999999999964</v>
      </c>
      <c r="GM96" s="82" t="str">
        <f t="shared" si="202"/>
        <v/>
      </c>
      <c r="GN96" s="82">
        <f>IF($GZ96="",#N/A,SUM(GM$4:GM96))</f>
        <v>15.674042677096784</v>
      </c>
      <c r="GO96" s="82">
        <f t="shared" si="203"/>
        <v>-0.79083569511820417</v>
      </c>
      <c r="GP96" s="82">
        <f>IF($GZ96="",#N/A,SUM(GO$4:GO96))</f>
        <v>9.2007288811370884</v>
      </c>
      <c r="GQ96" s="82" t="str">
        <f t="shared" si="204"/>
        <v/>
      </c>
      <c r="GR96" s="82">
        <f>IF($GZ96="",#N/A,SUM(GQ$4:GQ96))</f>
        <v>6.281589977960623</v>
      </c>
      <c r="GS96" s="63" t="str">
        <f t="shared" si="212"/>
        <v/>
      </c>
      <c r="GT96" s="63" t="e">
        <f>IF($GZ96="",#N/A,SUM(GS$4:GS96))</f>
        <v>#N/A</v>
      </c>
      <c r="GU96" s="63" t="e">
        <f t="shared" si="213"/>
        <v>#N/A</v>
      </c>
      <c r="GV96" s="63" t="e">
        <f>IF($GZ96="",#N/A,SUM(GU$4:GU96))</f>
        <v>#N/A</v>
      </c>
      <c r="GW96" s="63" t="str">
        <f t="shared" si="214"/>
        <v/>
      </c>
      <c r="GX96" s="63">
        <f>IF($GZ96="",#N/A,SUM(GW$4:GW96))</f>
        <v>167.16051890409477</v>
      </c>
      <c r="GY96" s="63" t="e">
        <f>IF(EJ96="",#N/A,SUM($EJ$4:EJ96))</f>
        <v>#N/A</v>
      </c>
      <c r="GZ96" s="159">
        <v>547.84</v>
      </c>
      <c r="HA96" s="63">
        <f t="shared" si="205"/>
        <v>-33.569999999999936</v>
      </c>
      <c r="HB96" s="62" t="s">
        <v>2538</v>
      </c>
      <c r="HC96" s="60">
        <f>IFERROR(VLOOKUP(E96,Expectancy!$P$4:$S$19,1+C96,FALSE),"")</f>
        <v>-7.9483352726509887E-2</v>
      </c>
      <c r="HD96" s="82">
        <f t="shared" si="206"/>
        <v>1.941590017329297E-2</v>
      </c>
      <c r="HE96" s="60">
        <f>IF(HD96="",#N/A,SUM($HD$4:HD96))</f>
        <v>3.3330331842395458</v>
      </c>
      <c r="HF96" s="85">
        <f>IF(HD96="",#N/A,IF(HB96="Skip",#N/A,SUM($HG$4:HG96)))</f>
        <v>96.579999999999984</v>
      </c>
      <c r="HG96" s="63">
        <f t="shared" si="207"/>
        <v>0.66999999999995907</v>
      </c>
      <c r="HH96" s="82">
        <f t="shared" si="208"/>
        <v>-0.79083569511820417</v>
      </c>
    </row>
    <row r="97" spans="1:216" x14ac:dyDescent="0.25">
      <c r="A97" s="57" t="s">
        <v>1411</v>
      </c>
      <c r="B97" s="58" t="s">
        <v>5153</v>
      </c>
      <c r="C97" s="386">
        <f t="shared" si="118"/>
        <v>1</v>
      </c>
      <c r="D97" s="372" t="str">
        <f>_xlfn.XLOOKUP(A97,[1]SP500!$A$2:$A$502,[1]SP500!$D$2:$D$502,"N")</f>
        <v>Y</v>
      </c>
      <c r="E97" s="57" t="str">
        <f>_xlfn.XLOOKUP(A97,[1]SP500!$A$2:$A$655,[1]SP500!$B$2:$B$655)</f>
        <v>XLI</v>
      </c>
      <c r="F97" s="59">
        <v>45686</v>
      </c>
      <c r="G97" s="57" t="str">
        <f t="shared" si="119"/>
        <v>AMC</v>
      </c>
      <c r="H97" s="57" t="str">
        <f t="shared" si="120"/>
        <v>o</v>
      </c>
      <c r="I97" s="162">
        <v>758.39</v>
      </c>
      <c r="J97" s="158">
        <v>766</v>
      </c>
      <c r="K97" s="93">
        <f t="shared" si="121"/>
        <v>1.0034415010746468E-2</v>
      </c>
      <c r="L97" s="87">
        <f t="shared" si="122"/>
        <v>4.0137660042985885</v>
      </c>
      <c r="M97" s="214" t="e">
        <f t="shared" si="112"/>
        <v>#N/A</v>
      </c>
      <c r="N97" s="168">
        <f t="shared" si="123"/>
        <v>4.0137660042985885</v>
      </c>
      <c r="O97" s="168">
        <f>IF($J97="",#N/A,SUM($N$4:N97))</f>
        <v>195.65069717818949</v>
      </c>
      <c r="P97" s="173" t="str">
        <f t="shared" si="124"/>
        <v/>
      </c>
      <c r="Q97" s="173">
        <f>IF($J97="",#N/A,SUM($P$4:P97))</f>
        <v>79.036464916880902</v>
      </c>
      <c r="R97" s="177" t="str">
        <f t="shared" si="125"/>
        <v/>
      </c>
      <c r="S97" s="177">
        <f>IF($J97="",#N/A,SUM($R$4:R97))</f>
        <v>329.31712647901855</v>
      </c>
      <c r="T97" s="293">
        <f t="shared" si="126"/>
        <v>0.16724025017910785</v>
      </c>
      <c r="U97" s="293">
        <f>IF($J97="",#N/A,SUM($T$4:T97))</f>
        <v>7.0037334361813262</v>
      </c>
      <c r="V97" s="294" t="str">
        <f t="shared" si="127"/>
        <v/>
      </c>
      <c r="W97" s="294">
        <f>IF($J97="",#N/A,SUM($V$4:V97))</f>
        <v>2.9451096097899687</v>
      </c>
      <c r="X97" s="295" t="str">
        <f t="shared" si="128"/>
        <v/>
      </c>
      <c r="Y97" s="283">
        <f>IF($J97="",#N/A,SUM($X$4:X97))</f>
        <v>13.880305877412532</v>
      </c>
      <c r="Z97" s="304" t="str">
        <f t="shared" si="129"/>
        <v/>
      </c>
      <c r="AA97" s="316" t="e">
        <f>IF($J97="",#N/A,SUM(Z$4:Z97))</f>
        <v>#N/A</v>
      </c>
      <c r="AB97" s="317" t="str">
        <f t="shared" si="130"/>
        <v/>
      </c>
      <c r="AC97" s="317" t="e">
        <f>IF($J97="",#N/A,SUM(AB$4:AB97))</f>
        <v>#N/A</v>
      </c>
      <c r="AD97" s="318" t="str">
        <f t="shared" si="131"/>
        <v/>
      </c>
      <c r="AE97" s="318" t="e">
        <f>IF($J97="",#N/A,SUM(AD$4:AD97))</f>
        <v>#N/A</v>
      </c>
      <c r="AF97" s="318" t="e">
        <f>IF($J97="",#N/A,SUM(AD$4:AD97,AB$4:AB97,Z$4:Z97))</f>
        <v>#N/A</v>
      </c>
      <c r="AG97" s="304" t="str">
        <f t="shared" si="132"/>
        <v/>
      </c>
      <c r="AH97" s="316" t="e">
        <f>IF($J97="",#N/A,SUM(AG$4:AG97))</f>
        <v>#N/A</v>
      </c>
      <c r="AI97" s="317" t="str">
        <f t="shared" si="133"/>
        <v/>
      </c>
      <c r="AJ97" s="317" t="e">
        <f>IF($J97="",#N/A,SUM(AI$4:AI97))</f>
        <v>#N/A</v>
      </c>
      <c r="AK97" s="318" t="str">
        <f t="shared" si="134"/>
        <v/>
      </c>
      <c r="AL97" s="318" t="e">
        <f>IF($J97="",#N/A,SUM(AK$4:AK97))</f>
        <v>#N/A</v>
      </c>
      <c r="AM97" s="318" t="e">
        <f>IF($J97="",#N/A,SUM(AK$4:AK97,AI$4:AI97,AG$4:AG97))</f>
        <v>#N/A</v>
      </c>
      <c r="AN97" s="304" t="str">
        <f t="shared" si="135"/>
        <v/>
      </c>
      <c r="AO97" s="316" t="e">
        <f>IF($J97="",#N/A,SUM(AN$4:AN97))</f>
        <v>#N/A</v>
      </c>
      <c r="AP97" s="317" t="str">
        <f t="shared" si="136"/>
        <v/>
      </c>
      <c r="AQ97" s="317" t="e">
        <f>IF($J97="",#N/A,SUM(AP$4:AP97))</f>
        <v>#N/A</v>
      </c>
      <c r="AR97" s="318" t="str">
        <f t="shared" si="137"/>
        <v/>
      </c>
      <c r="AS97" s="318" t="e">
        <f>IF($J97="",#N/A,SUM(AR$4:AR97))</f>
        <v>#N/A</v>
      </c>
      <c r="AT97" s="318" t="e">
        <f>IF($J97="",#N/A,SUM(AR$4:AR97,AP$4:AP97,AN$4:AN97))</f>
        <v>#N/A</v>
      </c>
      <c r="AU97" s="304" t="str">
        <f t="shared" si="138"/>
        <v/>
      </c>
      <c r="AV97" s="316" t="e">
        <f>IF($J97="",#N/A,SUM(AU$4:AU97))</f>
        <v>#N/A</v>
      </c>
      <c r="AW97" s="317" t="str">
        <f t="shared" si="139"/>
        <v/>
      </c>
      <c r="AX97" s="317" t="e">
        <f>IF($J97="",#N/A,SUM(AW$4:AW97))</f>
        <v>#N/A</v>
      </c>
      <c r="AY97" s="318" t="str">
        <f t="shared" si="140"/>
        <v/>
      </c>
      <c r="AZ97" s="318" t="e">
        <f>IF($J97="",#N/A,SUM(AY$4:AY97))</f>
        <v>#N/A</v>
      </c>
      <c r="BA97" s="318" t="e">
        <f>IF($J97="",#N/A,SUM(AY$4:AY97,AW$4:AW97,AU$4:AU97))</f>
        <v>#N/A</v>
      </c>
      <c r="BB97" s="304" t="str">
        <f t="shared" si="141"/>
        <v/>
      </c>
      <c r="BC97" s="316" t="e">
        <f>IF($J97="",#N/A,SUM(BB$4:BB97))</f>
        <v>#N/A</v>
      </c>
      <c r="BD97" s="317" t="str">
        <f t="shared" si="142"/>
        <v/>
      </c>
      <c r="BE97" s="317" t="e">
        <f>IF($J97="",#N/A,SUM(BD$4:BD97))</f>
        <v>#N/A</v>
      </c>
      <c r="BF97" s="318" t="str">
        <f t="shared" si="143"/>
        <v/>
      </c>
      <c r="BG97" s="318" t="e">
        <f>IF($J97="",#N/A,SUM(BF$4:BF97))</f>
        <v>#N/A</v>
      </c>
      <c r="BH97" s="318" t="e">
        <f>IF($J97="",#N/A,SUM(BF$4:BF97,BD$4:BD97,BB$4:BB97))</f>
        <v>#N/A</v>
      </c>
      <c r="BI97" s="304" t="str">
        <f t="shared" si="144"/>
        <v/>
      </c>
      <c r="BJ97" s="316" t="e">
        <f>IF($J97="",#N/A,SUM(BI$4:BI97))</f>
        <v>#N/A</v>
      </c>
      <c r="BK97" s="317" t="str">
        <f t="shared" si="145"/>
        <v/>
      </c>
      <c r="BL97" s="317" t="e">
        <f>IF($J97="",#N/A,SUM(BK$4:BK97))</f>
        <v>#N/A</v>
      </c>
      <c r="BM97" s="318" t="str">
        <f t="shared" si="146"/>
        <v/>
      </c>
      <c r="BN97" s="318" t="e">
        <f>IF($J97="",#N/A,SUM(BM$4:BM97))</f>
        <v>#N/A</v>
      </c>
      <c r="BO97" s="318" t="e">
        <f>IF($J97="",#N/A,SUM(BM$4:BM97,BK$4:BK97,BI$4:BI97))</f>
        <v>#N/A</v>
      </c>
      <c r="BP97" s="304">
        <f t="shared" si="147"/>
        <v>0.16724025017910785</v>
      </c>
      <c r="BQ97" s="316" t="e">
        <f>IF($J97="",#N/A,SUM(BP$4:BP97))</f>
        <v>#N/A</v>
      </c>
      <c r="BR97" s="317" t="str">
        <f t="shared" si="148"/>
        <v/>
      </c>
      <c r="BS97" s="317" t="e">
        <f>IF($J97="",#N/A,SUM(BR$4:BR97))</f>
        <v>#N/A</v>
      </c>
      <c r="BT97" s="318" t="str">
        <f t="shared" si="149"/>
        <v/>
      </c>
      <c r="BU97" s="318" t="e">
        <f>IF($J97="",#N/A,SUM(BT$4:BT97))</f>
        <v>#N/A</v>
      </c>
      <c r="BV97" s="318" t="e">
        <f>IF($J97="",#N/A,SUM(BT$4:BT97,BR$4:BR97,BP$4:BP97))</f>
        <v>#N/A</v>
      </c>
      <c r="BW97" s="304" t="str">
        <f t="shared" si="150"/>
        <v/>
      </c>
      <c r="BX97" s="316" t="e">
        <f>IF($J97="",#N/A,SUM(BW$4:BW97))</f>
        <v>#N/A</v>
      </c>
      <c r="BY97" s="317" t="str">
        <f t="shared" si="151"/>
        <v/>
      </c>
      <c r="BZ97" s="317" t="e">
        <f>IF($J97="",#N/A,SUM(BY$4:BY97))</f>
        <v>#N/A</v>
      </c>
      <c r="CA97" s="318" t="str">
        <f t="shared" si="152"/>
        <v/>
      </c>
      <c r="CB97" s="318" t="e">
        <f>IF($J97="",#N/A,SUM(CA$4:CA97))</f>
        <v>#N/A</v>
      </c>
      <c r="CC97" s="318" t="e">
        <f>IF($J97="",#N/A,SUM(CA$4:CA97,BY$4:BY97,BW$4:BW97))</f>
        <v>#N/A</v>
      </c>
      <c r="CD97" s="304" t="str">
        <f t="shared" si="153"/>
        <v/>
      </c>
      <c r="CE97" s="316" t="e">
        <f>IF($J97="",#N/A,SUM(CD$4:CD97))</f>
        <v>#N/A</v>
      </c>
      <c r="CF97" s="317" t="str">
        <f t="shared" si="154"/>
        <v/>
      </c>
      <c r="CG97" s="317" t="e">
        <f>IF($J97="",#N/A,SUM(CF$4:CF97))</f>
        <v>#N/A</v>
      </c>
      <c r="CH97" s="318" t="str">
        <f t="shared" si="155"/>
        <v/>
      </c>
      <c r="CI97" s="318" t="e">
        <f>IF($J97="",#N/A,SUM(CH$4:CH97))</f>
        <v>#N/A</v>
      </c>
      <c r="CJ97" s="318" t="e">
        <f>IF($J97="",#N/A,SUM(CH$4:CH97,CF$4:CF97,CD$4:CD97))</f>
        <v>#N/A</v>
      </c>
      <c r="CK97" s="304" t="str">
        <f t="shared" si="156"/>
        <v/>
      </c>
      <c r="CL97" s="316" t="e">
        <f>IF($J97="",#N/A,SUM(CK$4:CK97))</f>
        <v>#N/A</v>
      </c>
      <c r="CM97" s="317" t="str">
        <f t="shared" si="157"/>
        <v/>
      </c>
      <c r="CN97" s="317" t="e">
        <f>IF($J97="",#N/A,SUM(CM$4:CM97))</f>
        <v>#N/A</v>
      </c>
      <c r="CO97" s="318" t="str">
        <f t="shared" si="158"/>
        <v/>
      </c>
      <c r="CP97" s="318" t="e">
        <f>IF($J97="",#N/A,SUM(CO$4:CO97))</f>
        <v>#N/A</v>
      </c>
      <c r="CQ97" s="318" t="e">
        <f>IF($J97="",#N/A,SUM(CO$4:CO97,CM$4:CM97,CK$4:CK97))</f>
        <v>#N/A</v>
      </c>
      <c r="CR97" s="304" t="str">
        <f t="shared" si="159"/>
        <v/>
      </c>
      <c r="CS97" s="316" t="e">
        <f>IF($J97="",#N/A,SUM(CR$4:CR97))</f>
        <v>#N/A</v>
      </c>
      <c r="CT97" s="317" t="str">
        <f t="shared" si="160"/>
        <v/>
      </c>
      <c r="CU97" s="317" t="e">
        <f>IF($J97="",#N/A,SUM(CT$4:CT97))</f>
        <v>#N/A</v>
      </c>
      <c r="CV97" s="318" t="str">
        <f t="shared" si="161"/>
        <v/>
      </c>
      <c r="CW97" s="318" t="e">
        <f>IF($J97="",#N/A,SUM(CV$4:CV97))</f>
        <v>#N/A</v>
      </c>
      <c r="CX97" s="318" t="e">
        <f>IF($J97="",#N/A,SUM(CV$4:CV97,CT$4:CT97,CR$4:CR97))</f>
        <v>#N/A</v>
      </c>
      <c r="CY97" s="304" t="str">
        <f t="shared" si="162"/>
        <v/>
      </c>
      <c r="CZ97" s="316" t="e">
        <f>IF($J97="",#N/A,SUM(CY$4:CY97))</f>
        <v>#N/A</v>
      </c>
      <c r="DA97" s="317" t="str">
        <f t="shared" si="163"/>
        <v/>
      </c>
      <c r="DB97" s="317" t="e">
        <f>IF($J97="",#N/A,SUM(DA$4:DA97))</f>
        <v>#N/A</v>
      </c>
      <c r="DC97" s="318" t="str">
        <f t="shared" si="164"/>
        <v/>
      </c>
      <c r="DD97" s="318" t="e">
        <f>IF($J97="",#N/A,SUM(DC$4:DC97))</f>
        <v>#N/A</v>
      </c>
      <c r="DE97" s="318" t="e">
        <f>IF($J97="",#N/A,SUM(DC$4:DC97,DA$4:DA97,CY$4:CY97))</f>
        <v>#N/A</v>
      </c>
      <c r="DF97" s="304" t="str">
        <f t="shared" si="165"/>
        <v/>
      </c>
      <c r="DG97" s="316" t="e">
        <f>IF($J97="",#N/A,SUM(DF$4:DF97))</f>
        <v>#N/A</v>
      </c>
      <c r="DH97" s="317" t="str">
        <f t="shared" si="166"/>
        <v/>
      </c>
      <c r="DI97" s="317" t="e">
        <f>IF($J97="",#N/A,SUM(DH$4:DH97))</f>
        <v>#N/A</v>
      </c>
      <c r="DJ97" s="318" t="str">
        <f t="shared" si="167"/>
        <v/>
      </c>
      <c r="DK97" s="318" t="e">
        <f>IF($J97="",#N/A,SUM(DJ$4:DJ97))</f>
        <v>#N/A</v>
      </c>
      <c r="DL97" s="318" t="e">
        <f>IF($J97="",#N/A,SUM(DJ$4:DJ97,DH$4:DH97,DF$4:DF97))</f>
        <v>#N/A</v>
      </c>
      <c r="DM97" s="304" t="str">
        <f t="shared" si="168"/>
        <v/>
      </c>
      <c r="DN97" s="316" t="e">
        <f>IF($J97="",#N/A,SUM(DM$4:DM97))</f>
        <v>#N/A</v>
      </c>
      <c r="DO97" s="317" t="str">
        <f t="shared" si="169"/>
        <v/>
      </c>
      <c r="DP97" s="317" t="e">
        <f>IF($J97="",#N/A,SUM(DO$4:DO97))</f>
        <v>#N/A</v>
      </c>
      <c r="DQ97" s="318" t="str">
        <f t="shared" si="170"/>
        <v/>
      </c>
      <c r="DR97" s="318" t="e">
        <f>IF($J97="",#N/A,SUM(DQ$4:DQ97))</f>
        <v>#N/A</v>
      </c>
      <c r="DS97" s="318" t="e">
        <f>IF($J97="",#N/A,SUM(DQ$4:DQ97,DO$4:DO97,DM$4:DM97))</f>
        <v>#N/A</v>
      </c>
      <c r="DT97" s="304" t="str">
        <f t="shared" si="171"/>
        <v/>
      </c>
      <c r="DU97" s="316" t="e">
        <f>IF($J97="",#N/A,SUM(DT$4:DT97))</f>
        <v>#N/A</v>
      </c>
      <c r="DV97" s="317" t="str">
        <f t="shared" si="172"/>
        <v/>
      </c>
      <c r="DW97" s="317" t="e">
        <f>IF($J97="",#N/A,SUM(DV$4:DV97))</f>
        <v>#N/A</v>
      </c>
      <c r="DX97" s="318" t="str">
        <f t="shared" si="173"/>
        <v/>
      </c>
      <c r="DY97" s="318" t="e">
        <f>IF($J97="",#N/A,SUM(DX$4:DX97))</f>
        <v>#N/A</v>
      </c>
      <c r="DZ97" s="318" t="e">
        <f>IF($J97="",#N/A,SUM(DX$4:DX97,DV$4:DV97,DT$4:DT97))</f>
        <v>#N/A</v>
      </c>
      <c r="EA97" s="304" t="str">
        <f t="shared" si="174"/>
        <v/>
      </c>
      <c r="EB97" s="316" t="e">
        <f>IF($J97="",#N/A,SUM(EA$4:EA97))</f>
        <v>#N/A</v>
      </c>
      <c r="EC97" s="317" t="str">
        <f t="shared" si="175"/>
        <v/>
      </c>
      <c r="ED97" s="317" t="e">
        <f>IF($J97="",#N/A,SUM(EC$4:EC97))</f>
        <v>#N/A</v>
      </c>
      <c r="EE97" s="318" t="str">
        <f t="shared" si="176"/>
        <v/>
      </c>
      <c r="EF97" s="318" t="e">
        <f>IF($J97="",#N/A,SUM(EE$4:EE97))</f>
        <v>#N/A</v>
      </c>
      <c r="EG97" s="318" t="e">
        <f>IF($J97="",#N/A,SUM(EE$4:EE97,EC$4:EC97,EA$4:EA97))</f>
        <v>#N/A</v>
      </c>
      <c r="EH97" s="211">
        <f t="shared" si="177"/>
        <v>4.0137660042985885</v>
      </c>
      <c r="EI97" s="63">
        <f>IF(EH97="",#N/A,SUM($EH$4:EH97))</f>
        <v>604.00428857408906</v>
      </c>
      <c r="EJ97" s="223" t="e">
        <f t="shared" si="178"/>
        <v>#N/A</v>
      </c>
      <c r="EK97" s="63" t="e">
        <f>IF($GZ97="",#N/A,SUM(EJ$4:EJ97))</f>
        <v>#N/A</v>
      </c>
      <c r="EL97" s="60">
        <f t="shared" si="209"/>
        <v>0.16724025017910785</v>
      </c>
      <c r="EM97" s="60">
        <f>IF(EL97="",NA(),SUM($EL$4:EL97))</f>
        <v>23.949796975779559</v>
      </c>
      <c r="EN97" s="60">
        <f t="shared" si="179"/>
        <v>0.16724025017910785</v>
      </c>
      <c r="EO97" s="60">
        <f>IF(EN97="",NA(),SUM($EN$4:EN97))</f>
        <v>7.0037334361813262</v>
      </c>
      <c r="EP97" s="60" t="str">
        <f t="shared" si="180"/>
        <v/>
      </c>
      <c r="EQ97" s="60" t="e">
        <f>IF(EP97="",NA(),SUM($EP$4:EP97))</f>
        <v>#N/A</v>
      </c>
      <c r="ER97" s="60" t="str">
        <f t="shared" si="181"/>
        <v/>
      </c>
      <c r="ES97" s="60" t="e">
        <f>IF(ER97="",NA(),SUM($ER$4:ER97))</f>
        <v>#N/A</v>
      </c>
      <c r="ET97" s="60" t="str">
        <f t="shared" si="182"/>
        <v/>
      </c>
      <c r="EU97" s="60" t="e">
        <f>IF(ET97="",NA(),SUM($ET$4:ET97))</f>
        <v>#N/A</v>
      </c>
      <c r="EV97" s="60" t="str">
        <f t="shared" si="183"/>
        <v/>
      </c>
      <c r="EW97" s="60" t="e">
        <f>IF(EV97="",NA(),SUM($EV$4:EV97))</f>
        <v>#N/A</v>
      </c>
      <c r="EX97" s="60" t="str">
        <f t="shared" si="184"/>
        <v/>
      </c>
      <c r="EY97" s="60" t="e">
        <f>IF(EX97="",NA(),SUM($EX$4:EX97))</f>
        <v>#N/A</v>
      </c>
      <c r="EZ97" s="60" t="str">
        <f t="shared" si="185"/>
        <v/>
      </c>
      <c r="FA97" s="60" t="e">
        <f>IF(EZ97="",NA(),SUM($EZ$4:EZ97))</f>
        <v>#N/A</v>
      </c>
      <c r="FB97" s="246" t="str">
        <f t="shared" si="210"/>
        <v/>
      </c>
      <c r="FC97" s="246" t="e">
        <f>IF($FB97="",#N/A,SUM(FB$4:$FB97))</f>
        <v>#N/A</v>
      </c>
      <c r="FD97" s="60" t="str">
        <f t="shared" si="186"/>
        <v/>
      </c>
      <c r="FE97" s="60" t="e">
        <f>IF($FD97="",#N/A,SUM($FD$4:FD97))</f>
        <v>#N/A</v>
      </c>
      <c r="FF97" s="60">
        <f t="shared" si="187"/>
        <v>0.17756914867900045</v>
      </c>
      <c r="FG97" s="60">
        <f>IF($FF97="",#N/A,SUM($FF$4:FF97))</f>
        <v>0.3649760796468543</v>
      </c>
      <c r="FH97" s="60" t="str">
        <f t="shared" si="188"/>
        <v/>
      </c>
      <c r="FI97" s="60" t="e">
        <f>IF($FH97="",#N/A,SUM($FH$4:FH97))</f>
        <v>#N/A</v>
      </c>
      <c r="FJ97" s="60" t="str">
        <f t="shared" si="189"/>
        <v/>
      </c>
      <c r="FK97" s="60" t="e">
        <f>IF($FJ97="",#N/A,SUM($FJ$4:FJ97))</f>
        <v>#N/A</v>
      </c>
      <c r="FL97" s="60" t="str">
        <f t="shared" si="190"/>
        <v/>
      </c>
      <c r="FM97" s="60" t="e">
        <f>IF($FL97="",#N/A,SUM($FL$4:FL97))</f>
        <v>#N/A</v>
      </c>
      <c r="FN97" s="82">
        <f t="shared" si="191"/>
        <v>0.3448093988581083</v>
      </c>
      <c r="FO97" s="82">
        <f>IF($FN97="",#N/A,SUM(FN$4:$FN97))</f>
        <v>32.127007889494948</v>
      </c>
      <c r="FP97" s="82">
        <f t="shared" si="211"/>
        <v>0.16724025017910785</v>
      </c>
      <c r="FQ97" s="246">
        <f>IF($EH97="",#N/A,SUM($FP$4:FP97))</f>
        <v>23.829148923383833</v>
      </c>
      <c r="FR97" s="82">
        <f>IFERROR(FQ97/COUNTA($J$4:J97),#N/A)</f>
        <v>0.25350158429131736</v>
      </c>
      <c r="FS97" s="82">
        <f t="shared" si="219"/>
        <v>0.15125545415484515</v>
      </c>
      <c r="FT97" s="82">
        <f t="shared" si="220"/>
        <v>0.35063024232198647</v>
      </c>
      <c r="FU97" s="273"/>
      <c r="FV97" s="57" t="str">
        <f t="shared" si="192"/>
        <v>Up</v>
      </c>
      <c r="FW97" s="79" t="s">
        <v>2733</v>
      </c>
      <c r="FX97" s="57">
        <f t="shared" si="193"/>
        <v>1</v>
      </c>
      <c r="FY97" s="57" t="str">
        <f t="shared" si="194"/>
        <v/>
      </c>
      <c r="FZ97" s="57" t="str">
        <f t="shared" si="195"/>
        <v/>
      </c>
      <c r="GA97" s="57" t="str">
        <f t="shared" si="196"/>
        <v>Long</v>
      </c>
      <c r="GB97" s="57" t="str">
        <f t="shared" si="197"/>
        <v/>
      </c>
      <c r="GC97" s="57" t="str">
        <f t="shared" si="198"/>
        <v/>
      </c>
      <c r="GD97" s="57" t="str">
        <f t="shared" si="199"/>
        <v/>
      </c>
      <c r="GE97" s="62">
        <f t="shared" si="114"/>
        <v>758.39</v>
      </c>
      <c r="GF97" s="95" t="s">
        <v>2779</v>
      </c>
      <c r="GG97" s="99">
        <f>400/I97</f>
        <v>0.52743311488811828</v>
      </c>
      <c r="GH97" s="207">
        <f t="shared" si="200"/>
        <v>400</v>
      </c>
      <c r="GI97" s="99">
        <f>GG97</f>
        <v>0.52743311488811828</v>
      </c>
      <c r="GJ97" s="98">
        <f>J97</f>
        <v>766</v>
      </c>
      <c r="GK97" s="96">
        <f t="shared" si="201"/>
        <v>4.0137660042985885</v>
      </c>
      <c r="GL97" s="63">
        <f t="shared" si="115"/>
        <v>8.2754255725945995</v>
      </c>
      <c r="GM97" s="82" t="str">
        <f t="shared" si="202"/>
        <v/>
      </c>
      <c r="GN97" s="82">
        <f>IF($GZ97="",#N/A,SUM(GM$4:GM97))</f>
        <v>15.674042677096784</v>
      </c>
      <c r="GO97" s="82">
        <f t="shared" si="203"/>
        <v>0.3448093988581083</v>
      </c>
      <c r="GP97" s="82">
        <f>IF($GZ97="",#N/A,SUM(GO$4:GO97))</f>
        <v>9.5455382799951973</v>
      </c>
      <c r="GQ97" s="82" t="str">
        <f t="shared" si="204"/>
        <v/>
      </c>
      <c r="GR97" s="82">
        <f>IF($GZ97="",#N/A,SUM(GQ$4:GQ97))</f>
        <v>6.281589977960623</v>
      </c>
      <c r="GS97" s="63" t="str">
        <f t="shared" si="212"/>
        <v/>
      </c>
      <c r="GT97" s="63" t="e">
        <f>IF($GZ97="",#N/A,SUM(GS$4:GS97))</f>
        <v>#N/A</v>
      </c>
      <c r="GU97" s="63" t="e">
        <f t="shared" si="213"/>
        <v>#N/A</v>
      </c>
      <c r="GV97" s="63" t="e">
        <f>IF($GZ97="",#N/A,SUM(GU$4:GU97))</f>
        <v>#N/A</v>
      </c>
      <c r="GW97" s="63" t="str">
        <f t="shared" si="214"/>
        <v/>
      </c>
      <c r="GX97" s="63">
        <f>IF($GZ97="",#N/A,SUM(GW$4:GW97))</f>
        <v>167.16051890409477</v>
      </c>
      <c r="GY97" s="63" t="e">
        <f>IF(EJ97="",#N/A,SUM($EJ$4:EJ97))</f>
        <v>#N/A</v>
      </c>
      <c r="GZ97" s="159">
        <v>774.08</v>
      </c>
      <c r="HA97" s="63">
        <f t="shared" si="205"/>
        <v>4.261659568296011</v>
      </c>
      <c r="HB97" s="130" t="s">
        <v>4970</v>
      </c>
      <c r="HC97" s="60">
        <f>IFERROR(VLOOKUP(E97,Expectancy!$P$4:$S$19,1+C97,FALSE),"")</f>
        <v>-4.1762476788754908E-2</v>
      </c>
      <c r="HD97" s="82" t="str">
        <f t="shared" si="206"/>
        <v/>
      </c>
      <c r="HE97" s="60" t="e">
        <f>IF(HD97="",#N/A,SUM($HD$4:HD97))</f>
        <v>#N/A</v>
      </c>
      <c r="HF97" s="85" t="e">
        <f>IF(HD97="",#N/A,IF(HB97="Skip",#N/A,SUM($HG$4:HG97)))</f>
        <v>#N/A</v>
      </c>
      <c r="HG97" s="205" t="str">
        <f t="shared" si="207"/>
        <v/>
      </c>
      <c r="HH97" s="82">
        <f t="shared" si="208"/>
        <v>0.3448093988581083</v>
      </c>
    </row>
    <row r="98" spans="1:216" x14ac:dyDescent="0.25">
      <c r="A98" s="57" t="s">
        <v>1452</v>
      </c>
      <c r="B98" s="58" t="s">
        <v>5151</v>
      </c>
      <c r="C98" s="386">
        <f t="shared" si="118"/>
        <v>2</v>
      </c>
      <c r="D98" s="372" t="str">
        <f>_xlfn.XLOOKUP(A98,[1]SP500!$A$2:$A$502,[1]SP500!$D$2:$D$502,"N")</f>
        <v>Y</v>
      </c>
      <c r="E98" s="57" t="str">
        <f>_xlfn.XLOOKUP(A98,[1]SP500!$A$2:$A$655,[1]SP500!$B$2:$B$655)</f>
        <v>XLY</v>
      </c>
      <c r="F98" s="59">
        <v>45686</v>
      </c>
      <c r="G98" s="57" t="str">
        <f t="shared" si="119"/>
        <v>AMC</v>
      </c>
      <c r="H98" s="57" t="str">
        <f t="shared" si="120"/>
        <v>s</v>
      </c>
      <c r="I98" s="159">
        <v>43.43</v>
      </c>
      <c r="J98" s="158">
        <v>47.5</v>
      </c>
      <c r="K98" s="61">
        <f t="shared" si="121"/>
        <v>9.3714022565047211E-2</v>
      </c>
      <c r="L98" s="87">
        <f t="shared" si="122"/>
        <v>-36.629999999999995</v>
      </c>
      <c r="M98" s="130">
        <f t="shared" si="112"/>
        <v>0</v>
      </c>
      <c r="N98" s="169" t="str">
        <f t="shared" si="123"/>
        <v/>
      </c>
      <c r="O98" s="169">
        <f>IF($J98="",#N/A,SUM($N$4:N98))</f>
        <v>195.65069717818949</v>
      </c>
      <c r="P98" s="174">
        <f t="shared" si="124"/>
        <v>-36.629999999999995</v>
      </c>
      <c r="Q98" s="174">
        <f>IF($J98="",#N/A,SUM($P$4:P98))</f>
        <v>42.406464916880907</v>
      </c>
      <c r="R98" s="178" t="str">
        <f t="shared" si="125"/>
        <v/>
      </c>
      <c r="S98" s="178">
        <f>IF($J98="",#N/A,SUM($R$4:R98))</f>
        <v>329.31712647901855</v>
      </c>
      <c r="T98" s="290" t="str">
        <f t="shared" si="126"/>
        <v/>
      </c>
      <c r="U98" s="290">
        <f>IF($J98="",#N/A,SUM($T$4:T98))</f>
        <v>7.0037334361813262</v>
      </c>
      <c r="V98" s="291">
        <f t="shared" si="127"/>
        <v>-1.5619003760841199</v>
      </c>
      <c r="W98" s="291">
        <f>IF($J98="",#N/A,SUM($V$4:V98))</f>
        <v>1.3832092337058488</v>
      </c>
      <c r="X98" s="292" t="str">
        <f t="shared" si="128"/>
        <v/>
      </c>
      <c r="Y98" s="283">
        <f>IF($J98="",#N/A,SUM($X$4:X98))</f>
        <v>13.880305877412532</v>
      </c>
      <c r="Z98" s="304" t="str">
        <f t="shared" si="129"/>
        <v/>
      </c>
      <c r="AA98" s="313" t="e">
        <f>IF($J98="",#N/A,SUM(Z$4:Z98))</f>
        <v>#N/A</v>
      </c>
      <c r="AB98" s="314" t="str">
        <f t="shared" si="130"/>
        <v/>
      </c>
      <c r="AC98" s="314" t="e">
        <f>IF($J98="",#N/A,SUM(AB$4:AB98))</f>
        <v>#N/A</v>
      </c>
      <c r="AD98" s="315" t="str">
        <f t="shared" si="131"/>
        <v/>
      </c>
      <c r="AE98" s="315" t="e">
        <f>IF($J98="",#N/A,SUM(AD$4:AD98))</f>
        <v>#N/A</v>
      </c>
      <c r="AF98" s="315" t="e">
        <f>IF($J98="",#N/A,SUM(AD$4:AD98,AB$4:AB98,Z$4:Z98))</f>
        <v>#N/A</v>
      </c>
      <c r="AG98" s="304" t="str">
        <f t="shared" si="132"/>
        <v/>
      </c>
      <c r="AH98" s="313" t="e">
        <f>IF($J98="",#N/A,SUM(AG$4:AG98))</f>
        <v>#N/A</v>
      </c>
      <c r="AI98" s="314" t="str">
        <f t="shared" si="133"/>
        <v/>
      </c>
      <c r="AJ98" s="314" t="e">
        <f>IF($J98="",#N/A,SUM(AI$4:AI98))</f>
        <v>#N/A</v>
      </c>
      <c r="AK98" s="315" t="str">
        <f t="shared" si="134"/>
        <v/>
      </c>
      <c r="AL98" s="315" t="e">
        <f>IF($J98="",#N/A,SUM(AK$4:AK98))</f>
        <v>#N/A</v>
      </c>
      <c r="AM98" s="315" t="e">
        <f>IF($J98="",#N/A,SUM(AK$4:AK98,AI$4:AI98,AG$4:AG98))</f>
        <v>#N/A</v>
      </c>
      <c r="AN98" s="304" t="str">
        <f t="shared" si="135"/>
        <v/>
      </c>
      <c r="AO98" s="313" t="e">
        <f>IF($J98="",#N/A,SUM(AN$4:AN98))</f>
        <v>#N/A</v>
      </c>
      <c r="AP98" s="314">
        <f t="shared" si="136"/>
        <v>-1.5619003760841199</v>
      </c>
      <c r="AQ98" s="314" t="e">
        <f>IF($J98="",#N/A,SUM(AP$4:AP98))</f>
        <v>#N/A</v>
      </c>
      <c r="AR98" s="315" t="str">
        <f t="shared" si="137"/>
        <v/>
      </c>
      <c r="AS98" s="315" t="e">
        <f>IF($J98="",#N/A,SUM(AR$4:AR98))</f>
        <v>#N/A</v>
      </c>
      <c r="AT98" s="315" t="e">
        <f>IF($J98="",#N/A,SUM(AR$4:AR98,AP$4:AP98,AN$4:AN98))</f>
        <v>#N/A</v>
      </c>
      <c r="AU98" s="304" t="str">
        <f t="shared" si="138"/>
        <v/>
      </c>
      <c r="AV98" s="313" t="e">
        <f>IF($J98="",#N/A,SUM(AU$4:AU98))</f>
        <v>#N/A</v>
      </c>
      <c r="AW98" s="314" t="str">
        <f t="shared" si="139"/>
        <v/>
      </c>
      <c r="AX98" s="314" t="e">
        <f>IF($J98="",#N/A,SUM(AW$4:AW98))</f>
        <v>#N/A</v>
      </c>
      <c r="AY98" s="315" t="str">
        <f t="shared" si="140"/>
        <v/>
      </c>
      <c r="AZ98" s="315" t="e">
        <f>IF($J98="",#N/A,SUM(AY$4:AY98))</f>
        <v>#N/A</v>
      </c>
      <c r="BA98" s="315" t="e">
        <f>IF($J98="",#N/A,SUM(AY$4:AY98,AW$4:AW98,AU$4:AU98))</f>
        <v>#N/A</v>
      </c>
      <c r="BB98" s="304" t="str">
        <f t="shared" si="141"/>
        <v/>
      </c>
      <c r="BC98" s="313" t="e">
        <f>IF($J98="",#N/A,SUM(BB$4:BB98))</f>
        <v>#N/A</v>
      </c>
      <c r="BD98" s="314" t="str">
        <f t="shared" si="142"/>
        <v/>
      </c>
      <c r="BE98" s="314" t="e">
        <f>IF($J98="",#N/A,SUM(BD$4:BD98))</f>
        <v>#N/A</v>
      </c>
      <c r="BF98" s="315" t="str">
        <f t="shared" si="143"/>
        <v/>
      </c>
      <c r="BG98" s="315" t="e">
        <f>IF($J98="",#N/A,SUM(BF$4:BF98))</f>
        <v>#N/A</v>
      </c>
      <c r="BH98" s="315" t="e">
        <f>IF($J98="",#N/A,SUM(BF$4:BF98,BD$4:BD98,BB$4:BB98))</f>
        <v>#N/A</v>
      </c>
      <c r="BI98" s="304" t="str">
        <f t="shared" si="144"/>
        <v/>
      </c>
      <c r="BJ98" s="313" t="e">
        <f>IF($J98="",#N/A,SUM(BI$4:BI98))</f>
        <v>#N/A</v>
      </c>
      <c r="BK98" s="314" t="str">
        <f t="shared" si="145"/>
        <v/>
      </c>
      <c r="BL98" s="314" t="e">
        <f>IF($J98="",#N/A,SUM(BK$4:BK98))</f>
        <v>#N/A</v>
      </c>
      <c r="BM98" s="315" t="str">
        <f t="shared" si="146"/>
        <v/>
      </c>
      <c r="BN98" s="315" t="e">
        <f>IF($J98="",#N/A,SUM(BM$4:BM98))</f>
        <v>#N/A</v>
      </c>
      <c r="BO98" s="315" t="e">
        <f>IF($J98="",#N/A,SUM(BM$4:BM98,BK$4:BK98,BI$4:BI98))</f>
        <v>#N/A</v>
      </c>
      <c r="BP98" s="304" t="str">
        <f t="shared" si="147"/>
        <v/>
      </c>
      <c r="BQ98" s="313" t="e">
        <f>IF($J98="",#N/A,SUM(BP$4:BP98))</f>
        <v>#N/A</v>
      </c>
      <c r="BR98" s="314" t="str">
        <f t="shared" si="148"/>
        <v/>
      </c>
      <c r="BS98" s="314" t="e">
        <f>IF($J98="",#N/A,SUM(BR$4:BR98))</f>
        <v>#N/A</v>
      </c>
      <c r="BT98" s="315" t="str">
        <f t="shared" si="149"/>
        <v/>
      </c>
      <c r="BU98" s="315" t="e">
        <f>IF($J98="",#N/A,SUM(BT$4:BT98))</f>
        <v>#N/A</v>
      </c>
      <c r="BV98" s="315" t="e">
        <f>IF($J98="",#N/A,SUM(BT$4:BT98,BR$4:BR98,BP$4:BP98))</f>
        <v>#N/A</v>
      </c>
      <c r="BW98" s="304" t="str">
        <f t="shared" si="150"/>
        <v/>
      </c>
      <c r="BX98" s="313" t="e">
        <f>IF($J98="",#N/A,SUM(BW$4:BW98))</f>
        <v>#N/A</v>
      </c>
      <c r="BY98" s="314" t="str">
        <f t="shared" si="151"/>
        <v/>
      </c>
      <c r="BZ98" s="314" t="e">
        <f>IF($J98="",#N/A,SUM(BY$4:BY98))</f>
        <v>#N/A</v>
      </c>
      <c r="CA98" s="315" t="str">
        <f t="shared" si="152"/>
        <v/>
      </c>
      <c r="CB98" s="315" t="e">
        <f>IF($J98="",#N/A,SUM(CA$4:CA98))</f>
        <v>#N/A</v>
      </c>
      <c r="CC98" s="315" t="e">
        <f>IF($J98="",#N/A,SUM(CA$4:CA98,BY$4:BY98,BW$4:BW98))</f>
        <v>#N/A</v>
      </c>
      <c r="CD98" s="304" t="str">
        <f t="shared" si="153"/>
        <v/>
      </c>
      <c r="CE98" s="313" t="e">
        <f>IF($J98="",#N/A,SUM(CD$4:CD98))</f>
        <v>#N/A</v>
      </c>
      <c r="CF98" s="314" t="str">
        <f t="shared" si="154"/>
        <v/>
      </c>
      <c r="CG98" s="314" t="e">
        <f>IF($J98="",#N/A,SUM(CF$4:CF98))</f>
        <v>#N/A</v>
      </c>
      <c r="CH98" s="315" t="str">
        <f t="shared" si="155"/>
        <v/>
      </c>
      <c r="CI98" s="315" t="e">
        <f>IF($J98="",#N/A,SUM(CH$4:CH98))</f>
        <v>#N/A</v>
      </c>
      <c r="CJ98" s="315" t="e">
        <f>IF($J98="",#N/A,SUM(CH$4:CH98,CF$4:CF98,CD$4:CD98))</f>
        <v>#N/A</v>
      </c>
      <c r="CK98" s="304" t="str">
        <f t="shared" si="156"/>
        <v/>
      </c>
      <c r="CL98" s="313" t="e">
        <f>IF($J98="",#N/A,SUM(CK$4:CK98))</f>
        <v>#N/A</v>
      </c>
      <c r="CM98" s="314" t="str">
        <f t="shared" si="157"/>
        <v/>
      </c>
      <c r="CN98" s="314" t="e">
        <f>IF($J98="",#N/A,SUM(CM$4:CM98))</f>
        <v>#N/A</v>
      </c>
      <c r="CO98" s="315" t="str">
        <f t="shared" si="158"/>
        <v/>
      </c>
      <c r="CP98" s="315" t="e">
        <f>IF($J98="",#N/A,SUM(CO$4:CO98))</f>
        <v>#N/A</v>
      </c>
      <c r="CQ98" s="315" t="e">
        <f>IF($J98="",#N/A,SUM(CO$4:CO98,CM$4:CM98,CK$4:CK98))</f>
        <v>#N/A</v>
      </c>
      <c r="CR98" s="304" t="str">
        <f t="shared" si="159"/>
        <v/>
      </c>
      <c r="CS98" s="313" t="e">
        <f>IF($J98="",#N/A,SUM(CR$4:CR98))</f>
        <v>#N/A</v>
      </c>
      <c r="CT98" s="314" t="str">
        <f t="shared" si="160"/>
        <v/>
      </c>
      <c r="CU98" s="314" t="e">
        <f>IF($J98="",#N/A,SUM(CT$4:CT98))</f>
        <v>#N/A</v>
      </c>
      <c r="CV98" s="315" t="str">
        <f t="shared" si="161"/>
        <v/>
      </c>
      <c r="CW98" s="315" t="e">
        <f>IF($J98="",#N/A,SUM(CV$4:CV98))</f>
        <v>#N/A</v>
      </c>
      <c r="CX98" s="315" t="e">
        <f>IF($J98="",#N/A,SUM(CV$4:CV98,CT$4:CT98,CR$4:CR98))</f>
        <v>#N/A</v>
      </c>
      <c r="CY98" s="304" t="str">
        <f t="shared" si="162"/>
        <v/>
      </c>
      <c r="CZ98" s="313" t="e">
        <f>IF($J98="",#N/A,SUM(CY$4:CY98))</f>
        <v>#N/A</v>
      </c>
      <c r="DA98" s="314" t="str">
        <f t="shared" si="163"/>
        <v/>
      </c>
      <c r="DB98" s="314" t="e">
        <f>IF($J98="",#N/A,SUM(DA$4:DA98))</f>
        <v>#N/A</v>
      </c>
      <c r="DC98" s="315" t="str">
        <f t="shared" si="164"/>
        <v/>
      </c>
      <c r="DD98" s="315" t="e">
        <f>IF($J98="",#N/A,SUM(DC$4:DC98))</f>
        <v>#N/A</v>
      </c>
      <c r="DE98" s="315" t="e">
        <f>IF($J98="",#N/A,SUM(DC$4:DC98,DA$4:DA98,CY$4:CY98))</f>
        <v>#N/A</v>
      </c>
      <c r="DF98" s="304" t="str">
        <f t="shared" si="165"/>
        <v/>
      </c>
      <c r="DG98" s="313" t="e">
        <f>IF($J98="",#N/A,SUM(DF$4:DF98))</f>
        <v>#N/A</v>
      </c>
      <c r="DH98" s="314" t="str">
        <f t="shared" si="166"/>
        <v/>
      </c>
      <c r="DI98" s="314" t="e">
        <f>IF($J98="",#N/A,SUM(DH$4:DH98))</f>
        <v>#N/A</v>
      </c>
      <c r="DJ98" s="315" t="str">
        <f t="shared" si="167"/>
        <v/>
      </c>
      <c r="DK98" s="315" t="e">
        <f>IF($J98="",#N/A,SUM(DJ$4:DJ98))</f>
        <v>#N/A</v>
      </c>
      <c r="DL98" s="315" t="e">
        <f>IF($J98="",#N/A,SUM(DJ$4:DJ98,DH$4:DH98,DF$4:DF98))</f>
        <v>#N/A</v>
      </c>
      <c r="DM98" s="304" t="str">
        <f t="shared" si="168"/>
        <v/>
      </c>
      <c r="DN98" s="313" t="e">
        <f>IF($J98="",#N/A,SUM(DM$4:DM98))</f>
        <v>#N/A</v>
      </c>
      <c r="DO98" s="314" t="str">
        <f t="shared" si="169"/>
        <v/>
      </c>
      <c r="DP98" s="314" t="e">
        <f>IF($J98="",#N/A,SUM(DO$4:DO98))</f>
        <v>#N/A</v>
      </c>
      <c r="DQ98" s="315" t="str">
        <f t="shared" si="170"/>
        <v/>
      </c>
      <c r="DR98" s="315" t="e">
        <f>IF($J98="",#N/A,SUM(DQ$4:DQ98))</f>
        <v>#N/A</v>
      </c>
      <c r="DS98" s="315" t="e">
        <f>IF($J98="",#N/A,SUM(DQ$4:DQ98,DO$4:DO98,DM$4:DM98))</f>
        <v>#N/A</v>
      </c>
      <c r="DT98" s="304" t="str">
        <f t="shared" si="171"/>
        <v/>
      </c>
      <c r="DU98" s="313" t="e">
        <f>IF($J98="",#N/A,SUM(DT$4:DT98))</f>
        <v>#N/A</v>
      </c>
      <c r="DV98" s="314" t="str">
        <f t="shared" si="172"/>
        <v/>
      </c>
      <c r="DW98" s="314" t="e">
        <f>IF($J98="",#N/A,SUM(DV$4:DV98))</f>
        <v>#N/A</v>
      </c>
      <c r="DX98" s="315" t="str">
        <f t="shared" si="173"/>
        <v/>
      </c>
      <c r="DY98" s="315" t="e">
        <f>IF($J98="",#N/A,SUM(DX$4:DX98))</f>
        <v>#N/A</v>
      </c>
      <c r="DZ98" s="315" t="e">
        <f>IF($J98="",#N/A,SUM(DX$4:DX98,DV$4:DV98,DT$4:DT98))</f>
        <v>#N/A</v>
      </c>
      <c r="EA98" s="304" t="str">
        <f t="shared" si="174"/>
        <v/>
      </c>
      <c r="EB98" s="313" t="e">
        <f>IF($J98="",#N/A,SUM(EA$4:EA98))</f>
        <v>#N/A</v>
      </c>
      <c r="EC98" s="314" t="str">
        <f t="shared" si="175"/>
        <v/>
      </c>
      <c r="ED98" s="314" t="e">
        <f>IF($J98="",#N/A,SUM(EC$4:EC98))</f>
        <v>#N/A</v>
      </c>
      <c r="EE98" s="315" t="str">
        <f t="shared" si="176"/>
        <v/>
      </c>
      <c r="EF98" s="315" t="e">
        <f>IF($J98="",#N/A,SUM(EE$4:EE98))</f>
        <v>#N/A</v>
      </c>
      <c r="EG98" s="315" t="e">
        <f>IF($J98="",#N/A,SUM(EE$4:EE98,EC$4:EC98,EA$4:EA98))</f>
        <v>#N/A</v>
      </c>
      <c r="EH98" s="130">
        <f t="shared" si="177"/>
        <v>-36.629999999999995</v>
      </c>
      <c r="EI98" s="63">
        <f>IF(EH98="",#N/A,SUM($EH$4:EH98))</f>
        <v>567.37428857408906</v>
      </c>
      <c r="EJ98" s="223" t="e">
        <f t="shared" si="178"/>
        <v>#N/A</v>
      </c>
      <c r="EK98" s="63" t="e">
        <f>IF($GZ98="",#N/A,SUM(EJ$4:EJ98))</f>
        <v>#N/A</v>
      </c>
      <c r="EL98" s="60">
        <f t="shared" si="209"/>
        <v>-1.5619003760841199</v>
      </c>
      <c r="EM98" s="60">
        <f>IF(EL98="",NA(),SUM($EL$4:EL98))</f>
        <v>22.387896599695438</v>
      </c>
      <c r="EN98" s="60" t="str">
        <f t="shared" si="179"/>
        <v/>
      </c>
      <c r="EO98" s="60" t="e">
        <f>IF(EN98="",NA(),SUM($EN$4:EN98))</f>
        <v>#N/A</v>
      </c>
      <c r="EP98" s="60" t="str">
        <f t="shared" si="180"/>
        <v/>
      </c>
      <c r="EQ98" s="60" t="e">
        <f>IF(EP98="",NA(),SUM($EP$4:EP98))</f>
        <v>#N/A</v>
      </c>
      <c r="ER98" s="60">
        <f t="shared" si="181"/>
        <v>-1.5619003760841199</v>
      </c>
      <c r="ES98" s="60">
        <f>IF(ER98="",NA(),SUM($ER$4:ER98))</f>
        <v>1.3832092337058488</v>
      </c>
      <c r="ET98" s="60" t="str">
        <f t="shared" si="182"/>
        <v/>
      </c>
      <c r="EU98" s="60" t="e">
        <f>IF(ET98="",NA(),SUM($ET$4:ET98))</f>
        <v>#N/A</v>
      </c>
      <c r="EV98" s="60" t="str">
        <f t="shared" si="183"/>
        <v/>
      </c>
      <c r="EW98" s="60" t="e">
        <f>IF(EV98="",NA(),SUM($EV$4:EV98))</f>
        <v>#N/A</v>
      </c>
      <c r="EX98" s="60" t="str">
        <f t="shared" si="184"/>
        <v/>
      </c>
      <c r="EY98" s="60" t="e">
        <f>IF(EX98="",NA(),SUM($EX$4:EX98))</f>
        <v>#N/A</v>
      </c>
      <c r="EZ98" s="60" t="str">
        <f t="shared" si="185"/>
        <v/>
      </c>
      <c r="FA98" s="60" t="e">
        <f>IF(EZ98="",NA(),SUM($EZ$4:EZ98))</f>
        <v>#N/A</v>
      </c>
      <c r="FB98" s="246" t="str">
        <f t="shared" si="210"/>
        <v/>
      </c>
      <c r="FC98" s="246" t="e">
        <f>IF($FB98="",#N/A,SUM(FB$4:$FB98))</f>
        <v>#N/A</v>
      </c>
      <c r="FD98" s="60">
        <f t="shared" si="186"/>
        <v>-0.28398188656075019</v>
      </c>
      <c r="FE98" s="60">
        <f>IF($FD98="",#N/A,SUM($FD$4:FD98))</f>
        <v>0.63375175565197206</v>
      </c>
      <c r="FF98" s="60" t="str">
        <f t="shared" si="187"/>
        <v/>
      </c>
      <c r="FG98" s="60" t="e">
        <f>IF($FF98="",#N/A,SUM($FF$4:FF98))</f>
        <v>#N/A</v>
      </c>
      <c r="FH98" s="60" t="str">
        <f t="shared" si="188"/>
        <v/>
      </c>
      <c r="FI98" s="60" t="e">
        <f>IF($FH98="",#N/A,SUM($FH$4:FH98))</f>
        <v>#N/A</v>
      </c>
      <c r="FJ98" s="60" t="str">
        <f t="shared" si="189"/>
        <v/>
      </c>
      <c r="FK98" s="60" t="e">
        <f>IF($FJ98="",#N/A,SUM($FJ$4:FJ98))</f>
        <v>#N/A</v>
      </c>
      <c r="FL98" s="60" t="str">
        <f t="shared" si="190"/>
        <v/>
      </c>
      <c r="FM98" s="60" t="e">
        <f>IF($FL98="",#N/A,SUM($FL$4:FL98))</f>
        <v>#N/A</v>
      </c>
      <c r="FN98" s="82">
        <f t="shared" si="191"/>
        <v>-1.8458822626448701</v>
      </c>
      <c r="FO98" s="82">
        <f>IF($FN98="",#N/A,SUM(FN$4:$FN98))</f>
        <v>30.281125626850077</v>
      </c>
      <c r="FP98" s="82">
        <f t="shared" si="211"/>
        <v>-1.5619003760841199</v>
      </c>
      <c r="FQ98" s="246">
        <f>IF($EH98="",#N/A,SUM($FP$4:FP98))</f>
        <v>22.267248547299715</v>
      </c>
      <c r="FR98" s="82">
        <f>IFERROR(FQ98/COUNTA($J$4:J98),#N/A)</f>
        <v>0.23439208997157596</v>
      </c>
      <c r="FS98" s="82">
        <f>IFERROR(($FQ98-$FQ55)/COUNTA($J55:$J98),#N/A)</f>
        <v>0.13967610013129453</v>
      </c>
      <c r="FT98" s="82">
        <f t="shared" si="220"/>
        <v>0.26235712418395563</v>
      </c>
      <c r="FU98" s="337">
        <f>IF(AND(HB98="MOC",GZ98=""),#N/A,IFERROR(FQ98-HE98,FQ98-0))-14.53</f>
        <v>5.9661157391442909</v>
      </c>
      <c r="FV98" s="57" t="str">
        <f t="shared" si="192"/>
        <v>Dwn</v>
      </c>
      <c r="FW98" s="57" t="s">
        <v>2734</v>
      </c>
      <c r="FX98" s="57" t="str">
        <f t="shared" si="193"/>
        <v/>
      </c>
      <c r="FY98" s="57">
        <f t="shared" si="194"/>
        <v>1</v>
      </c>
      <c r="FZ98" s="57" t="str">
        <f t="shared" si="195"/>
        <v/>
      </c>
      <c r="GA98" s="57" t="str">
        <f t="shared" si="196"/>
        <v>Short</v>
      </c>
      <c r="GB98" s="57" t="str">
        <f t="shared" si="197"/>
        <v/>
      </c>
      <c r="GC98" s="57" t="str">
        <f t="shared" si="198"/>
        <v/>
      </c>
      <c r="GD98" s="57" t="str">
        <f t="shared" si="199"/>
        <v/>
      </c>
      <c r="GE98" s="62">
        <f t="shared" si="114"/>
        <v>43.43</v>
      </c>
      <c r="GF98" s="62" t="s">
        <v>2780</v>
      </c>
      <c r="GG98" s="199">
        <v>9</v>
      </c>
      <c r="GH98" s="207">
        <f t="shared" si="200"/>
        <v>390.87</v>
      </c>
      <c r="GI98" s="199">
        <v>9</v>
      </c>
      <c r="GJ98" s="200">
        <v>47.5</v>
      </c>
      <c r="GK98" s="63">
        <f t="shared" si="201"/>
        <v>-36.629999999999995</v>
      </c>
      <c r="GL98" s="63">
        <f t="shared" si="115"/>
        <v>-43.29000000000002</v>
      </c>
      <c r="GM98" s="82" t="str">
        <f t="shared" si="202"/>
        <v/>
      </c>
      <c r="GN98" s="82">
        <f>IF($GZ98="",#N/A,SUM(GM$4:GM98))</f>
        <v>15.674042677096784</v>
      </c>
      <c r="GO98" s="82" t="str">
        <f t="shared" si="203"/>
        <v/>
      </c>
      <c r="GP98" s="82">
        <f>IF($GZ98="",#N/A,SUM(GO$4:GO98))</f>
        <v>9.5455382799951973</v>
      </c>
      <c r="GQ98" s="82">
        <f t="shared" si="204"/>
        <v>-1.8458822626448701</v>
      </c>
      <c r="GR98" s="82">
        <f>IF($GZ98="",#N/A,SUM(GQ$4:GQ98))</f>
        <v>4.4357077153157531</v>
      </c>
      <c r="GS98" s="63" t="str">
        <f t="shared" si="212"/>
        <v/>
      </c>
      <c r="GT98" s="63" t="e">
        <f>IF($GZ98="",#N/A,SUM(GS$4:GS98))</f>
        <v>#N/A</v>
      </c>
      <c r="GU98" s="63" t="str">
        <f t="shared" si="213"/>
        <v/>
      </c>
      <c r="GV98" s="63" t="e">
        <f>IF($GZ98="",#N/A,SUM(GU$4:GU98))</f>
        <v>#N/A</v>
      </c>
      <c r="GW98" s="63" t="e">
        <f t="shared" si="214"/>
        <v>#N/A</v>
      </c>
      <c r="GX98" s="63" t="e">
        <f>IF($GZ98="",#N/A,SUM(GW$4:GW98))</f>
        <v>#N/A</v>
      </c>
      <c r="GY98" s="63" t="e">
        <f>IF(EJ98="",#N/A,SUM($EJ$4:EJ98))</f>
        <v>#N/A</v>
      </c>
      <c r="GZ98" s="159">
        <v>48.24</v>
      </c>
      <c r="HA98" s="63">
        <f t="shared" si="205"/>
        <v>-6.660000000000025</v>
      </c>
      <c r="HB98" s="62" t="s">
        <v>2538</v>
      </c>
      <c r="HC98" s="60">
        <f>IFERROR(VLOOKUP(E98,Expectancy!$P$4:$S$19,1+C98,FALSE),"")</f>
        <v>-9.4786290791818092E-2</v>
      </c>
      <c r="HD98" s="82">
        <f t="shared" si="206"/>
        <v>-1.5619003760841199</v>
      </c>
      <c r="HE98" s="60">
        <f>IF(HD98="",#N/A,SUM($HD$4:HD98))</f>
        <v>1.7711328081554258</v>
      </c>
      <c r="HF98" s="85">
        <f>IF(HD98="",#N/A,IF(HB98="Skip",#N/A,SUM($HG$4:HG98)))</f>
        <v>59.949999999999989</v>
      </c>
      <c r="HG98" s="63">
        <f t="shared" si="207"/>
        <v>-36.629999999999995</v>
      </c>
      <c r="HH98" s="82">
        <f t="shared" si="208"/>
        <v>-1.8458822626448701</v>
      </c>
    </row>
    <row r="99" spans="1:216" x14ac:dyDescent="0.25">
      <c r="A99" s="57" t="s">
        <v>1466</v>
      </c>
      <c r="B99" s="58" t="s">
        <v>5155</v>
      </c>
      <c r="C99" s="386">
        <f t="shared" si="118"/>
        <v>1</v>
      </c>
      <c r="D99" s="372" t="str">
        <f>_xlfn.XLOOKUP(A99,[1]SP500!$A$2:$A$502,[1]SP500!$D$2:$D$502,"N")</f>
        <v>Y</v>
      </c>
      <c r="E99" s="57" t="str">
        <f>_xlfn.XLOOKUP(A99,[1]SP500!$A$2:$A$655,[1]SP500!$B$2:$B$655)</f>
        <v>XLF</v>
      </c>
      <c r="F99" s="59">
        <v>45686</v>
      </c>
      <c r="G99" s="57" t="str">
        <f t="shared" si="119"/>
        <v>AMC</v>
      </c>
      <c r="H99" s="57" t="str">
        <f t="shared" si="120"/>
        <v>s</v>
      </c>
      <c r="I99" s="159">
        <v>172.02</v>
      </c>
      <c r="J99" s="159">
        <v>170.13</v>
      </c>
      <c r="K99" s="61">
        <f t="shared" si="121"/>
        <v>-1.0987094523892656E-2</v>
      </c>
      <c r="L99" s="87">
        <f t="shared" si="122"/>
        <v>-3.7800000000000296</v>
      </c>
      <c r="M99" s="130">
        <f t="shared" si="112"/>
        <v>0</v>
      </c>
      <c r="N99" s="169">
        <f t="shared" si="123"/>
        <v>-3.7800000000000296</v>
      </c>
      <c r="O99" s="169">
        <f>IF($J99="",#N/A,SUM($N$4:N99))</f>
        <v>191.87069717818946</v>
      </c>
      <c r="P99" s="174" t="str">
        <f t="shared" si="124"/>
        <v/>
      </c>
      <c r="Q99" s="174">
        <f>IF($J99="",#N/A,SUM($P$4:P99))</f>
        <v>42.406464916880907</v>
      </c>
      <c r="R99" s="178" t="str">
        <f t="shared" si="125"/>
        <v/>
      </c>
      <c r="S99" s="178">
        <f>IF($J99="",#N/A,SUM($R$4:R99))</f>
        <v>329.31712647901855</v>
      </c>
      <c r="T99" s="290">
        <f t="shared" si="126"/>
        <v>-0.18311824206487759</v>
      </c>
      <c r="U99" s="290">
        <f>IF($J99="",#N/A,SUM($T$4:T99))</f>
        <v>6.8206151941164483</v>
      </c>
      <c r="V99" s="291" t="str">
        <f t="shared" si="127"/>
        <v/>
      </c>
      <c r="W99" s="291">
        <f>IF($J99="",#N/A,SUM($V$4:V99))</f>
        <v>1.3832092337058488</v>
      </c>
      <c r="X99" s="292" t="str">
        <f t="shared" si="128"/>
        <v/>
      </c>
      <c r="Y99" s="283">
        <f>IF($J99="",#N/A,SUM($X$4:X99))</f>
        <v>13.880305877412532</v>
      </c>
      <c r="Z99" s="304" t="str">
        <f t="shared" si="129"/>
        <v/>
      </c>
      <c r="AA99" s="313" t="e">
        <f>IF($J99="",#N/A,SUM(Z$4:Z99))</f>
        <v>#N/A</v>
      </c>
      <c r="AB99" s="314" t="str">
        <f t="shared" si="130"/>
        <v/>
      </c>
      <c r="AC99" s="314" t="e">
        <f>IF($J99="",#N/A,SUM(AB$4:AB99))</f>
        <v>#N/A</v>
      </c>
      <c r="AD99" s="315" t="str">
        <f t="shared" si="131"/>
        <v/>
      </c>
      <c r="AE99" s="315" t="e">
        <f>IF($J99="",#N/A,SUM(AD$4:AD99))</f>
        <v>#N/A</v>
      </c>
      <c r="AF99" s="315" t="e">
        <f>IF($J99="",#N/A,SUM(AD$4:AD99,AB$4:AB99,Z$4:Z99))</f>
        <v>#N/A</v>
      </c>
      <c r="AG99" s="304" t="str">
        <f t="shared" si="132"/>
        <v/>
      </c>
      <c r="AH99" s="313" t="e">
        <f>IF($J99="",#N/A,SUM(AG$4:AG99))</f>
        <v>#N/A</v>
      </c>
      <c r="AI99" s="314" t="str">
        <f t="shared" si="133"/>
        <v/>
      </c>
      <c r="AJ99" s="314" t="e">
        <f>IF($J99="",#N/A,SUM(AI$4:AI99))</f>
        <v>#N/A</v>
      </c>
      <c r="AK99" s="315" t="str">
        <f t="shared" si="134"/>
        <v/>
      </c>
      <c r="AL99" s="315" t="e">
        <f>IF($J99="",#N/A,SUM(AK$4:AK99))</f>
        <v>#N/A</v>
      </c>
      <c r="AM99" s="315" t="e">
        <f>IF($J99="",#N/A,SUM(AK$4:AK99,AI$4:AI99,AG$4:AG99))</f>
        <v>#N/A</v>
      </c>
      <c r="AN99" s="304" t="str">
        <f t="shared" si="135"/>
        <v/>
      </c>
      <c r="AO99" s="313" t="e">
        <f>IF($J99="",#N/A,SUM(AN$4:AN99))</f>
        <v>#N/A</v>
      </c>
      <c r="AP99" s="314" t="str">
        <f t="shared" si="136"/>
        <v/>
      </c>
      <c r="AQ99" s="314" t="e">
        <f>IF($J99="",#N/A,SUM(AP$4:AP99))</f>
        <v>#N/A</v>
      </c>
      <c r="AR99" s="315" t="str">
        <f t="shared" si="137"/>
        <v/>
      </c>
      <c r="AS99" s="315" t="e">
        <f>IF($J99="",#N/A,SUM(AR$4:AR99))</f>
        <v>#N/A</v>
      </c>
      <c r="AT99" s="315" t="e">
        <f>IF($J99="",#N/A,SUM(AR$4:AR99,AP$4:AP99,AN$4:AN99))</f>
        <v>#N/A</v>
      </c>
      <c r="AU99" s="304" t="str">
        <f t="shared" si="138"/>
        <v/>
      </c>
      <c r="AV99" s="313" t="e">
        <f>IF($J99="",#N/A,SUM(AU$4:AU99))</f>
        <v>#N/A</v>
      </c>
      <c r="AW99" s="314" t="str">
        <f t="shared" si="139"/>
        <v/>
      </c>
      <c r="AX99" s="314" t="e">
        <f>IF($J99="",#N/A,SUM(AW$4:AW99))</f>
        <v>#N/A</v>
      </c>
      <c r="AY99" s="315" t="str">
        <f t="shared" si="140"/>
        <v/>
      </c>
      <c r="AZ99" s="315" t="e">
        <f>IF($J99="",#N/A,SUM(AY$4:AY99))</f>
        <v>#N/A</v>
      </c>
      <c r="BA99" s="315" t="e">
        <f>IF($J99="",#N/A,SUM(AY$4:AY99,AW$4:AW99,AU$4:AU99))</f>
        <v>#N/A</v>
      </c>
      <c r="BB99" s="304" t="str">
        <f t="shared" si="141"/>
        <v/>
      </c>
      <c r="BC99" s="313" t="e">
        <f>IF($J99="",#N/A,SUM(BB$4:BB99))</f>
        <v>#N/A</v>
      </c>
      <c r="BD99" s="314" t="str">
        <f t="shared" si="142"/>
        <v/>
      </c>
      <c r="BE99" s="314" t="e">
        <f>IF($J99="",#N/A,SUM(BD$4:BD99))</f>
        <v>#N/A</v>
      </c>
      <c r="BF99" s="315" t="str">
        <f t="shared" si="143"/>
        <v/>
      </c>
      <c r="BG99" s="315" t="e">
        <f>IF($J99="",#N/A,SUM(BF$4:BF99))</f>
        <v>#N/A</v>
      </c>
      <c r="BH99" s="315" t="e">
        <f>IF($J99="",#N/A,SUM(BF$4:BF99,BD$4:BD99,BB$4:BB99))</f>
        <v>#N/A</v>
      </c>
      <c r="BI99" s="304">
        <f t="shared" si="144"/>
        <v>-0.18311824206487759</v>
      </c>
      <c r="BJ99" s="313" t="e">
        <f>IF($J99="",#N/A,SUM(BI$4:BI99))</f>
        <v>#N/A</v>
      </c>
      <c r="BK99" s="314" t="str">
        <f t="shared" si="145"/>
        <v/>
      </c>
      <c r="BL99" s="314" t="e">
        <f>IF($J99="",#N/A,SUM(BK$4:BK99))</f>
        <v>#N/A</v>
      </c>
      <c r="BM99" s="315" t="str">
        <f t="shared" si="146"/>
        <v/>
      </c>
      <c r="BN99" s="315" t="e">
        <f>IF($J99="",#N/A,SUM(BM$4:BM99))</f>
        <v>#N/A</v>
      </c>
      <c r="BO99" s="315" t="e">
        <f>IF($J99="",#N/A,SUM(BM$4:BM99,BK$4:BK99,BI$4:BI99))</f>
        <v>#N/A</v>
      </c>
      <c r="BP99" s="304" t="str">
        <f t="shared" si="147"/>
        <v/>
      </c>
      <c r="BQ99" s="313" t="e">
        <f>IF($J99="",#N/A,SUM(BP$4:BP99))</f>
        <v>#N/A</v>
      </c>
      <c r="BR99" s="314" t="str">
        <f t="shared" si="148"/>
        <v/>
      </c>
      <c r="BS99" s="314" t="e">
        <f>IF($J99="",#N/A,SUM(BR$4:BR99))</f>
        <v>#N/A</v>
      </c>
      <c r="BT99" s="315" t="str">
        <f t="shared" si="149"/>
        <v/>
      </c>
      <c r="BU99" s="315" t="e">
        <f>IF($J99="",#N/A,SUM(BT$4:BT99))</f>
        <v>#N/A</v>
      </c>
      <c r="BV99" s="315" t="e">
        <f>IF($J99="",#N/A,SUM(BT$4:BT99,BR$4:BR99,BP$4:BP99))</f>
        <v>#N/A</v>
      </c>
      <c r="BW99" s="304" t="str">
        <f t="shared" si="150"/>
        <v/>
      </c>
      <c r="BX99" s="313" t="e">
        <f>IF($J99="",#N/A,SUM(BW$4:BW99))</f>
        <v>#N/A</v>
      </c>
      <c r="BY99" s="314" t="str">
        <f t="shared" si="151"/>
        <v/>
      </c>
      <c r="BZ99" s="314" t="e">
        <f>IF($J99="",#N/A,SUM(BY$4:BY99))</f>
        <v>#N/A</v>
      </c>
      <c r="CA99" s="315" t="str">
        <f t="shared" si="152"/>
        <v/>
      </c>
      <c r="CB99" s="315" t="e">
        <f>IF($J99="",#N/A,SUM(CA$4:CA99))</f>
        <v>#N/A</v>
      </c>
      <c r="CC99" s="315" t="e">
        <f>IF($J99="",#N/A,SUM(CA$4:CA99,BY$4:BY99,BW$4:BW99))</f>
        <v>#N/A</v>
      </c>
      <c r="CD99" s="304" t="str">
        <f t="shared" si="153"/>
        <v/>
      </c>
      <c r="CE99" s="313" t="e">
        <f>IF($J99="",#N/A,SUM(CD$4:CD99))</f>
        <v>#N/A</v>
      </c>
      <c r="CF99" s="314" t="str">
        <f t="shared" si="154"/>
        <v/>
      </c>
      <c r="CG99" s="314" t="e">
        <f>IF($J99="",#N/A,SUM(CF$4:CF99))</f>
        <v>#N/A</v>
      </c>
      <c r="CH99" s="315" t="str">
        <f t="shared" si="155"/>
        <v/>
      </c>
      <c r="CI99" s="315" t="e">
        <f>IF($J99="",#N/A,SUM(CH$4:CH99))</f>
        <v>#N/A</v>
      </c>
      <c r="CJ99" s="315" t="e">
        <f>IF($J99="",#N/A,SUM(CH$4:CH99,CF$4:CF99,CD$4:CD99))</f>
        <v>#N/A</v>
      </c>
      <c r="CK99" s="304" t="str">
        <f t="shared" si="156"/>
        <v/>
      </c>
      <c r="CL99" s="313" t="e">
        <f>IF($J99="",#N/A,SUM(CK$4:CK99))</f>
        <v>#N/A</v>
      </c>
      <c r="CM99" s="314" t="str">
        <f t="shared" si="157"/>
        <v/>
      </c>
      <c r="CN99" s="314" t="e">
        <f>IF($J99="",#N/A,SUM(CM$4:CM99))</f>
        <v>#N/A</v>
      </c>
      <c r="CO99" s="315" t="str">
        <f t="shared" si="158"/>
        <v/>
      </c>
      <c r="CP99" s="315" t="e">
        <f>IF($J99="",#N/A,SUM(CO$4:CO99))</f>
        <v>#N/A</v>
      </c>
      <c r="CQ99" s="315" t="e">
        <f>IF($J99="",#N/A,SUM(CO$4:CO99,CM$4:CM99,CK$4:CK99))</f>
        <v>#N/A</v>
      </c>
      <c r="CR99" s="304" t="str">
        <f t="shared" si="159"/>
        <v/>
      </c>
      <c r="CS99" s="313" t="e">
        <f>IF($J99="",#N/A,SUM(CR$4:CR99))</f>
        <v>#N/A</v>
      </c>
      <c r="CT99" s="314" t="str">
        <f t="shared" si="160"/>
        <v/>
      </c>
      <c r="CU99" s="314" t="e">
        <f>IF($J99="",#N/A,SUM(CT$4:CT99))</f>
        <v>#N/A</v>
      </c>
      <c r="CV99" s="315" t="str">
        <f t="shared" si="161"/>
        <v/>
      </c>
      <c r="CW99" s="315" t="e">
        <f>IF($J99="",#N/A,SUM(CV$4:CV99))</f>
        <v>#N/A</v>
      </c>
      <c r="CX99" s="315" t="e">
        <f>IF($J99="",#N/A,SUM(CV$4:CV99,CT$4:CT99,CR$4:CR99))</f>
        <v>#N/A</v>
      </c>
      <c r="CY99" s="304" t="str">
        <f t="shared" si="162"/>
        <v/>
      </c>
      <c r="CZ99" s="313" t="e">
        <f>IF($J99="",#N/A,SUM(CY$4:CY99))</f>
        <v>#N/A</v>
      </c>
      <c r="DA99" s="314" t="str">
        <f t="shared" si="163"/>
        <v/>
      </c>
      <c r="DB99" s="314" t="e">
        <f>IF($J99="",#N/A,SUM(DA$4:DA99))</f>
        <v>#N/A</v>
      </c>
      <c r="DC99" s="315" t="str">
        <f t="shared" si="164"/>
        <v/>
      </c>
      <c r="DD99" s="315" t="e">
        <f>IF($J99="",#N/A,SUM(DC$4:DC99))</f>
        <v>#N/A</v>
      </c>
      <c r="DE99" s="315" t="e">
        <f>IF($J99="",#N/A,SUM(DC$4:DC99,DA$4:DA99,CY$4:CY99))</f>
        <v>#N/A</v>
      </c>
      <c r="DF99" s="304" t="str">
        <f t="shared" si="165"/>
        <v/>
      </c>
      <c r="DG99" s="313" t="e">
        <f>IF($J99="",#N/A,SUM(DF$4:DF99))</f>
        <v>#N/A</v>
      </c>
      <c r="DH99" s="314" t="str">
        <f t="shared" si="166"/>
        <v/>
      </c>
      <c r="DI99" s="314" t="e">
        <f>IF($J99="",#N/A,SUM(DH$4:DH99))</f>
        <v>#N/A</v>
      </c>
      <c r="DJ99" s="315" t="str">
        <f t="shared" si="167"/>
        <v/>
      </c>
      <c r="DK99" s="315" t="e">
        <f>IF($J99="",#N/A,SUM(DJ$4:DJ99))</f>
        <v>#N/A</v>
      </c>
      <c r="DL99" s="315" t="e">
        <f>IF($J99="",#N/A,SUM(DJ$4:DJ99,DH$4:DH99,DF$4:DF99))</f>
        <v>#N/A</v>
      </c>
      <c r="DM99" s="304" t="str">
        <f t="shared" si="168"/>
        <v/>
      </c>
      <c r="DN99" s="313" t="e">
        <f>IF($J99="",#N/A,SUM(DM$4:DM99))</f>
        <v>#N/A</v>
      </c>
      <c r="DO99" s="314" t="str">
        <f t="shared" si="169"/>
        <v/>
      </c>
      <c r="DP99" s="314" t="e">
        <f>IF($J99="",#N/A,SUM(DO$4:DO99))</f>
        <v>#N/A</v>
      </c>
      <c r="DQ99" s="315" t="str">
        <f t="shared" si="170"/>
        <v/>
      </c>
      <c r="DR99" s="315" t="e">
        <f>IF($J99="",#N/A,SUM(DQ$4:DQ99))</f>
        <v>#N/A</v>
      </c>
      <c r="DS99" s="315" t="e">
        <f>IF($J99="",#N/A,SUM(DQ$4:DQ99,DO$4:DO99,DM$4:DM99))</f>
        <v>#N/A</v>
      </c>
      <c r="DT99" s="304" t="str">
        <f t="shared" si="171"/>
        <v/>
      </c>
      <c r="DU99" s="313" t="e">
        <f>IF($J99="",#N/A,SUM(DT$4:DT99))</f>
        <v>#N/A</v>
      </c>
      <c r="DV99" s="314" t="str">
        <f t="shared" si="172"/>
        <v/>
      </c>
      <c r="DW99" s="314" t="e">
        <f>IF($J99="",#N/A,SUM(DV$4:DV99))</f>
        <v>#N/A</v>
      </c>
      <c r="DX99" s="315" t="str">
        <f t="shared" si="173"/>
        <v/>
      </c>
      <c r="DY99" s="315" t="e">
        <f>IF($J99="",#N/A,SUM(DX$4:DX99))</f>
        <v>#N/A</v>
      </c>
      <c r="DZ99" s="315" t="e">
        <f>IF($J99="",#N/A,SUM(DX$4:DX99,DV$4:DV99,DT$4:DT99))</f>
        <v>#N/A</v>
      </c>
      <c r="EA99" s="304" t="str">
        <f t="shared" si="174"/>
        <v/>
      </c>
      <c r="EB99" s="313" t="e">
        <f>IF($J99="",#N/A,SUM(EA$4:EA99))</f>
        <v>#N/A</v>
      </c>
      <c r="EC99" s="314" t="str">
        <f t="shared" si="175"/>
        <v/>
      </c>
      <c r="ED99" s="314" t="e">
        <f>IF($J99="",#N/A,SUM(EC$4:EC99))</f>
        <v>#N/A</v>
      </c>
      <c r="EE99" s="315" t="str">
        <f t="shared" si="176"/>
        <v/>
      </c>
      <c r="EF99" s="315" t="e">
        <f>IF($J99="",#N/A,SUM(EE$4:EE99))</f>
        <v>#N/A</v>
      </c>
      <c r="EG99" s="315" t="e">
        <f>IF($J99="",#N/A,SUM(EE$4:EE99,EC$4:EC99,EA$4:EA99))</f>
        <v>#N/A</v>
      </c>
      <c r="EH99" s="130">
        <f t="shared" si="177"/>
        <v>-3.7800000000000296</v>
      </c>
      <c r="EI99" s="63">
        <f>IF(EH99="",#N/A,SUM($EH$4:EH99))</f>
        <v>563.59428857408898</v>
      </c>
      <c r="EJ99" s="223" t="e">
        <f t="shared" si="178"/>
        <v>#N/A</v>
      </c>
      <c r="EK99" s="63" t="e">
        <f>IF($GZ99="",#N/A,SUM(EJ$4:EJ99))</f>
        <v>#N/A</v>
      </c>
      <c r="EL99" s="60">
        <f t="shared" si="209"/>
        <v>-0.18311824206487759</v>
      </c>
      <c r="EM99" s="60">
        <f>IF(EL99="",NA(),SUM($EL$4:EL99))</f>
        <v>22.204778357630559</v>
      </c>
      <c r="EN99" s="60">
        <f t="shared" si="179"/>
        <v>-0.18311824206487759</v>
      </c>
      <c r="EO99" s="60">
        <f>IF(EN99="",NA(),SUM($EN$4:EN99))</f>
        <v>6.8206151941164483</v>
      </c>
      <c r="EP99" s="60" t="str">
        <f t="shared" si="180"/>
        <v/>
      </c>
      <c r="EQ99" s="60" t="e">
        <f>IF(EP99="",NA(),SUM($EP$4:EP99))</f>
        <v>#N/A</v>
      </c>
      <c r="ER99" s="60" t="str">
        <f t="shared" si="181"/>
        <v/>
      </c>
      <c r="ES99" s="60" t="e">
        <f>IF(ER99="",NA(),SUM($ER$4:ER99))</f>
        <v>#N/A</v>
      </c>
      <c r="ET99" s="60" t="str">
        <f t="shared" si="182"/>
        <v/>
      </c>
      <c r="EU99" s="60" t="e">
        <f>IF(ET99="",NA(),SUM($ET$4:ET99))</f>
        <v>#N/A</v>
      </c>
      <c r="EV99" s="60" t="str">
        <f t="shared" si="183"/>
        <v/>
      </c>
      <c r="EW99" s="60" t="e">
        <f>IF(EV99="",NA(),SUM($EV$4:EV99))</f>
        <v>#N/A</v>
      </c>
      <c r="EX99" s="60" t="str">
        <f t="shared" si="184"/>
        <v/>
      </c>
      <c r="EY99" s="60" t="e">
        <f>IF(EX99="",NA(),SUM($EX$4:EX99))</f>
        <v>#N/A</v>
      </c>
      <c r="EZ99" s="60" t="str">
        <f t="shared" si="185"/>
        <v/>
      </c>
      <c r="FA99" s="60" t="e">
        <f>IF(EZ99="",NA(),SUM($EZ$4:EZ99))</f>
        <v>#N/A</v>
      </c>
      <c r="FB99" s="246" t="str">
        <f t="shared" si="210"/>
        <v/>
      </c>
      <c r="FC99" s="246" t="e">
        <f>IF($FB99="",#N/A,SUM(FB$4:$FB99))</f>
        <v>#N/A</v>
      </c>
      <c r="FD99" s="60" t="str">
        <f t="shared" si="186"/>
        <v/>
      </c>
      <c r="FE99" s="60" t="e">
        <f>IF($FD99="",#N/A,SUM($FD$4:FD99))</f>
        <v>#N/A</v>
      </c>
      <c r="FF99" s="60" t="str">
        <f t="shared" si="187"/>
        <v/>
      </c>
      <c r="FG99" s="60" t="e">
        <f>IF($FF99="",#N/A,SUM($FF$4:FF99))</f>
        <v>#N/A</v>
      </c>
      <c r="FH99" s="60">
        <f t="shared" si="188"/>
        <v>5.0381738557533057E-2</v>
      </c>
      <c r="FI99" s="60">
        <f>IF($FH99="",#N/A,SUM($FH$4:FH99))</f>
        <v>2.2272105027245468</v>
      </c>
      <c r="FJ99" s="60" t="str">
        <f t="shared" si="189"/>
        <v/>
      </c>
      <c r="FK99" s="60" t="e">
        <f>IF($FJ99="",#N/A,SUM($FJ$4:FJ99))</f>
        <v>#N/A</v>
      </c>
      <c r="FL99" s="60" t="str">
        <f t="shared" si="190"/>
        <v/>
      </c>
      <c r="FM99" s="60" t="e">
        <f>IF($FL99="",#N/A,SUM($FL$4:FL99))</f>
        <v>#N/A</v>
      </c>
      <c r="FN99" s="82">
        <f t="shared" si="191"/>
        <v>-0.13273650350734453</v>
      </c>
      <c r="FO99" s="82">
        <f>IF($FN99="",#N/A,SUM(FN$4:$FN99))</f>
        <v>30.148389123342731</v>
      </c>
      <c r="FP99" s="82">
        <f t="shared" si="211"/>
        <v>-0.18311824206487759</v>
      </c>
      <c r="FQ99" s="246">
        <f>IF($EH99="",#N/A,SUM($FP$4:FP99))</f>
        <v>22.084130305234837</v>
      </c>
      <c r="FR99" s="82">
        <f>IFERROR(FQ99/COUNTA($J$4:J99),#N/A)</f>
        <v>0.23004302401286289</v>
      </c>
      <c r="FS99" s="82">
        <f>IFERROR(($FQ99-$FQ56)/COUNTA($J56:$J99),#N/A)</f>
        <v>0.15554791640899965</v>
      </c>
      <c r="FT99" s="82">
        <f t="shared" si="220"/>
        <v>0.31221574180142492</v>
      </c>
      <c r="FU99" s="337">
        <f>IF(AND(HB99="MOC",GZ99=""),#N/A,IFERROR(FQ99-HE99,FQ99-0))-14.53</f>
        <v>5.9661157391442874</v>
      </c>
      <c r="FV99" s="57" t="str">
        <f t="shared" si="192"/>
        <v>Up</v>
      </c>
      <c r="FW99" s="57" t="s">
        <v>2734</v>
      </c>
      <c r="FX99" s="57" t="str">
        <f t="shared" si="193"/>
        <v/>
      </c>
      <c r="FY99" s="57" t="str">
        <f t="shared" si="194"/>
        <v/>
      </c>
      <c r="FZ99" s="57" t="str">
        <f t="shared" si="195"/>
        <v/>
      </c>
      <c r="GA99" s="57" t="str">
        <f t="shared" si="196"/>
        <v>Long</v>
      </c>
      <c r="GB99" s="57" t="str">
        <f t="shared" si="197"/>
        <v/>
      </c>
      <c r="GC99" s="57">
        <f t="shared" si="198"/>
        <v>1</v>
      </c>
      <c r="GD99" s="57" t="str">
        <f t="shared" si="199"/>
        <v/>
      </c>
      <c r="GE99" s="62">
        <f t="shared" si="114"/>
        <v>172.02</v>
      </c>
      <c r="GF99" s="62" t="s">
        <v>2779</v>
      </c>
      <c r="GG99" s="199">
        <v>2</v>
      </c>
      <c r="GH99" s="207">
        <f t="shared" si="200"/>
        <v>344.04</v>
      </c>
      <c r="GI99" s="199">
        <v>2</v>
      </c>
      <c r="GJ99" s="200">
        <v>170.13</v>
      </c>
      <c r="GK99" s="63">
        <f t="shared" si="201"/>
        <v>-3.7800000000000296</v>
      </c>
      <c r="GL99" s="63">
        <f t="shared" si="115"/>
        <v>-2.7400000000000091</v>
      </c>
      <c r="GM99" s="82" t="str">
        <f t="shared" si="202"/>
        <v/>
      </c>
      <c r="GN99" s="82">
        <f>IF($GZ99="",#N/A,SUM(GM$4:GM99))</f>
        <v>15.674042677096784</v>
      </c>
      <c r="GO99" s="82">
        <f t="shared" si="203"/>
        <v>-0.13273650350734453</v>
      </c>
      <c r="GP99" s="82">
        <f>IF($GZ99="",#N/A,SUM(GO$4:GO99))</f>
        <v>9.4128017764878535</v>
      </c>
      <c r="GQ99" s="82" t="str">
        <f t="shared" si="204"/>
        <v/>
      </c>
      <c r="GR99" s="82">
        <f>IF($GZ99="",#N/A,SUM(GQ$4:GQ99))</f>
        <v>4.4357077153157531</v>
      </c>
      <c r="GS99" s="63" t="str">
        <f t="shared" si="212"/>
        <v/>
      </c>
      <c r="GT99" s="63" t="e">
        <f>IF($GZ99="",#N/A,SUM(GS$4:GS99))</f>
        <v>#N/A</v>
      </c>
      <c r="GU99" s="63" t="e">
        <f t="shared" si="213"/>
        <v>#N/A</v>
      </c>
      <c r="GV99" s="63" t="e">
        <f>IF($GZ99="",#N/A,SUM(GU$4:GU99))</f>
        <v>#N/A</v>
      </c>
      <c r="GW99" s="63" t="str">
        <f t="shared" si="214"/>
        <v/>
      </c>
      <c r="GX99" s="63" t="e">
        <f>IF($GZ99="",#N/A,SUM(GW$4:GW99))</f>
        <v>#N/A</v>
      </c>
      <c r="GY99" s="63" t="e">
        <f>IF(EJ99="",#N/A,SUM($EJ$4:EJ99))</f>
        <v>#N/A</v>
      </c>
      <c r="GZ99" s="159">
        <v>170.65</v>
      </c>
      <c r="HA99" s="63">
        <f t="shared" si="205"/>
        <v>1.0400000000000205</v>
      </c>
      <c r="HB99" s="62" t="s">
        <v>2538</v>
      </c>
      <c r="HC99" s="60">
        <f>IFERROR(VLOOKUP(E99,Expectancy!$P$4:$S$19,1+C99,FALSE),"")</f>
        <v>-7.9483352726509887E-2</v>
      </c>
      <c r="HD99" s="82">
        <f t="shared" si="206"/>
        <v>-0.18311824206487759</v>
      </c>
      <c r="HE99" s="60">
        <f>IF(HD99="",#N/A,SUM($HD$4:HD99))</f>
        <v>1.5880145660905483</v>
      </c>
      <c r="HF99" s="85">
        <f>IF(HD99="",#N/A,IF(HB99="Skip",#N/A,SUM($HG$4:HG99)))</f>
        <v>56.169999999999959</v>
      </c>
      <c r="HG99" s="63">
        <f t="shared" si="207"/>
        <v>-3.7800000000000296</v>
      </c>
      <c r="HH99" s="82">
        <f t="shared" si="208"/>
        <v>-0.13273650350734453</v>
      </c>
    </row>
    <row r="100" spans="1:216" x14ac:dyDescent="0.25">
      <c r="A100" s="57" t="s">
        <v>1518</v>
      </c>
      <c r="B100" s="58" t="s">
        <v>5156</v>
      </c>
      <c r="C100" s="386">
        <f t="shared" si="118"/>
        <v>3</v>
      </c>
      <c r="D100" s="372" t="str">
        <f>_xlfn.XLOOKUP(A100,[1]SP500!$A$2:$A$502,[1]SP500!$D$2:$D$502,"N")</f>
        <v>Y</v>
      </c>
      <c r="E100" s="57" t="str">
        <f>_xlfn.XLOOKUP(A100,[1]SP500!$A$2:$A$655,[1]SP500!$B$2:$B$655)</f>
        <v>XLK</v>
      </c>
      <c r="F100" s="59">
        <v>45686</v>
      </c>
      <c r="G100" s="57" t="str">
        <f t="shared" si="119"/>
        <v>AMC</v>
      </c>
      <c r="H100" s="57" t="str">
        <f t="shared" si="120"/>
        <v>s</v>
      </c>
      <c r="I100" s="159">
        <v>62.8</v>
      </c>
      <c r="J100" s="159">
        <v>66.45</v>
      </c>
      <c r="K100" s="61">
        <f t="shared" si="121"/>
        <v>5.8121019108280346E-2</v>
      </c>
      <c r="L100" s="87">
        <f t="shared" si="122"/>
        <v>21.900000000000091</v>
      </c>
      <c r="M100" s="130">
        <f t="shared" si="112"/>
        <v>0</v>
      </c>
      <c r="N100" s="169" t="str">
        <f t="shared" si="123"/>
        <v/>
      </c>
      <c r="O100" s="169">
        <f>IF($J100="",#N/A,SUM($N$4:N100))</f>
        <v>191.87069717818946</v>
      </c>
      <c r="P100" s="174" t="str">
        <f t="shared" si="124"/>
        <v/>
      </c>
      <c r="Q100" s="174">
        <f>IF($J100="",#N/A,SUM($P$4:P100))</f>
        <v>42.406464916880907</v>
      </c>
      <c r="R100" s="178">
        <f t="shared" si="125"/>
        <v>21.900000000000091</v>
      </c>
      <c r="S100" s="178">
        <f>IF($J100="",#N/A,SUM($R$4:R100))</f>
        <v>351.21712647901865</v>
      </c>
      <c r="T100" s="290" t="str">
        <f t="shared" si="126"/>
        <v/>
      </c>
      <c r="U100" s="290">
        <f>IF($J100="",#N/A,SUM($T$4:T100))</f>
        <v>6.8206151941164483</v>
      </c>
      <c r="V100" s="291" t="str">
        <f t="shared" si="127"/>
        <v/>
      </c>
      <c r="W100" s="291">
        <f>IF($J100="",#N/A,SUM($V$4:V100))</f>
        <v>1.3832092337058488</v>
      </c>
      <c r="X100" s="292">
        <f t="shared" si="128"/>
        <v>0.96868365180467508</v>
      </c>
      <c r="Y100" s="283">
        <f>IF($J100="",#N/A,SUM($X$4:X100))</f>
        <v>14.848989529217206</v>
      </c>
      <c r="Z100" s="304" t="str">
        <f t="shared" si="129"/>
        <v/>
      </c>
      <c r="AA100" s="313" t="e">
        <f>IF($J100="",#N/A,SUM(Z$4:Z100))</f>
        <v>#N/A</v>
      </c>
      <c r="AB100" s="314" t="str">
        <f t="shared" si="130"/>
        <v/>
      </c>
      <c r="AC100" s="314" t="e">
        <f>IF($J100="",#N/A,SUM(AB$4:AB100))</f>
        <v>#N/A</v>
      </c>
      <c r="AD100" s="315">
        <f t="shared" si="131"/>
        <v>0.96868365180467508</v>
      </c>
      <c r="AE100" s="315" t="e">
        <f>IF($J100="",#N/A,SUM(AD$4:AD100))</f>
        <v>#N/A</v>
      </c>
      <c r="AF100" s="315" t="e">
        <f>IF($J100="",#N/A,SUM(AD$4:AD100,AB$4:AB100,Z$4:Z100))</f>
        <v>#N/A</v>
      </c>
      <c r="AG100" s="304" t="str">
        <f t="shared" si="132"/>
        <v/>
      </c>
      <c r="AH100" s="313" t="e">
        <f>IF($J100="",#N/A,SUM(AG$4:AG100))</f>
        <v>#N/A</v>
      </c>
      <c r="AI100" s="314" t="str">
        <f t="shared" si="133"/>
        <v/>
      </c>
      <c r="AJ100" s="314" t="e">
        <f>IF($J100="",#N/A,SUM(AI$4:AI100))</f>
        <v>#N/A</v>
      </c>
      <c r="AK100" s="315" t="str">
        <f t="shared" si="134"/>
        <v/>
      </c>
      <c r="AL100" s="315" t="e">
        <f>IF($J100="",#N/A,SUM(AK$4:AK100))</f>
        <v>#N/A</v>
      </c>
      <c r="AM100" s="315" t="e">
        <f>IF($J100="",#N/A,SUM(AK$4:AK100,AI$4:AI100,AG$4:AG100))</f>
        <v>#N/A</v>
      </c>
      <c r="AN100" s="304" t="str">
        <f t="shared" si="135"/>
        <v/>
      </c>
      <c r="AO100" s="313" t="e">
        <f>IF($J100="",#N/A,SUM(AN$4:AN100))</f>
        <v>#N/A</v>
      </c>
      <c r="AP100" s="314" t="str">
        <f t="shared" si="136"/>
        <v/>
      </c>
      <c r="AQ100" s="314" t="e">
        <f>IF($J100="",#N/A,SUM(AP$4:AP100))</f>
        <v>#N/A</v>
      </c>
      <c r="AR100" s="315" t="str">
        <f t="shared" si="137"/>
        <v/>
      </c>
      <c r="AS100" s="315" t="e">
        <f>IF($J100="",#N/A,SUM(AR$4:AR100))</f>
        <v>#N/A</v>
      </c>
      <c r="AT100" s="315" t="e">
        <f>IF($J100="",#N/A,SUM(AR$4:AR100,AP$4:AP100,AN$4:AN100))</f>
        <v>#N/A</v>
      </c>
      <c r="AU100" s="304" t="str">
        <f t="shared" si="138"/>
        <v/>
      </c>
      <c r="AV100" s="313" t="e">
        <f>IF($J100="",#N/A,SUM(AU$4:AU100))</f>
        <v>#N/A</v>
      </c>
      <c r="AW100" s="314" t="str">
        <f t="shared" si="139"/>
        <v/>
      </c>
      <c r="AX100" s="314" t="e">
        <f>IF($J100="",#N/A,SUM(AW$4:AW100))</f>
        <v>#N/A</v>
      </c>
      <c r="AY100" s="315" t="str">
        <f t="shared" si="140"/>
        <v/>
      </c>
      <c r="AZ100" s="315" t="e">
        <f>IF($J100="",#N/A,SUM(AY$4:AY100))</f>
        <v>#N/A</v>
      </c>
      <c r="BA100" s="315" t="e">
        <f>IF($J100="",#N/A,SUM(AY$4:AY100,AW$4:AW100,AU$4:AU100))</f>
        <v>#N/A</v>
      </c>
      <c r="BB100" s="304" t="str">
        <f t="shared" si="141"/>
        <v/>
      </c>
      <c r="BC100" s="313" t="e">
        <f>IF($J100="",#N/A,SUM(BB$4:BB100))</f>
        <v>#N/A</v>
      </c>
      <c r="BD100" s="314" t="str">
        <f t="shared" si="142"/>
        <v/>
      </c>
      <c r="BE100" s="314" t="e">
        <f>IF($J100="",#N/A,SUM(BD$4:BD100))</f>
        <v>#N/A</v>
      </c>
      <c r="BF100" s="315" t="str">
        <f t="shared" si="143"/>
        <v/>
      </c>
      <c r="BG100" s="315" t="e">
        <f>IF($J100="",#N/A,SUM(BF$4:BF100))</f>
        <v>#N/A</v>
      </c>
      <c r="BH100" s="315" t="e">
        <f>IF($J100="",#N/A,SUM(BF$4:BF100,BD$4:BD100,BB$4:BB100))</f>
        <v>#N/A</v>
      </c>
      <c r="BI100" s="304" t="str">
        <f t="shared" si="144"/>
        <v/>
      </c>
      <c r="BJ100" s="313" t="e">
        <f>IF($J100="",#N/A,SUM(BI$4:BI100))</f>
        <v>#N/A</v>
      </c>
      <c r="BK100" s="314" t="str">
        <f t="shared" si="145"/>
        <v/>
      </c>
      <c r="BL100" s="314" t="e">
        <f>IF($J100="",#N/A,SUM(BK$4:BK100))</f>
        <v>#N/A</v>
      </c>
      <c r="BM100" s="315" t="str">
        <f t="shared" si="146"/>
        <v/>
      </c>
      <c r="BN100" s="315" t="e">
        <f>IF($J100="",#N/A,SUM(BM$4:BM100))</f>
        <v>#N/A</v>
      </c>
      <c r="BO100" s="315" t="e">
        <f>IF($J100="",#N/A,SUM(BM$4:BM100,BK$4:BK100,BI$4:BI100))</f>
        <v>#N/A</v>
      </c>
      <c r="BP100" s="304" t="str">
        <f t="shared" si="147"/>
        <v/>
      </c>
      <c r="BQ100" s="313" t="e">
        <f>IF($J100="",#N/A,SUM(BP$4:BP100))</f>
        <v>#N/A</v>
      </c>
      <c r="BR100" s="314" t="str">
        <f t="shared" si="148"/>
        <v/>
      </c>
      <c r="BS100" s="314" t="e">
        <f>IF($J100="",#N/A,SUM(BR$4:BR100))</f>
        <v>#N/A</v>
      </c>
      <c r="BT100" s="315" t="str">
        <f t="shared" si="149"/>
        <v/>
      </c>
      <c r="BU100" s="315" t="e">
        <f>IF($J100="",#N/A,SUM(BT$4:BT100))</f>
        <v>#N/A</v>
      </c>
      <c r="BV100" s="315" t="e">
        <f>IF($J100="",#N/A,SUM(BT$4:BT100,BR$4:BR100,BP$4:BP100))</f>
        <v>#N/A</v>
      </c>
      <c r="BW100" s="304" t="str">
        <f t="shared" si="150"/>
        <v/>
      </c>
      <c r="BX100" s="313" t="e">
        <f>IF($J100="",#N/A,SUM(BW$4:BW100))</f>
        <v>#N/A</v>
      </c>
      <c r="BY100" s="314" t="str">
        <f t="shared" si="151"/>
        <v/>
      </c>
      <c r="BZ100" s="314" t="e">
        <f>IF($J100="",#N/A,SUM(BY$4:BY100))</f>
        <v>#N/A</v>
      </c>
      <c r="CA100" s="315" t="str">
        <f t="shared" si="152"/>
        <v/>
      </c>
      <c r="CB100" s="315" t="e">
        <f>IF($J100="",#N/A,SUM(CA$4:CA100))</f>
        <v>#N/A</v>
      </c>
      <c r="CC100" s="315" t="e">
        <f>IF($J100="",#N/A,SUM(CA$4:CA100,BY$4:BY100,BW$4:BW100))</f>
        <v>#N/A</v>
      </c>
      <c r="CD100" s="304" t="str">
        <f t="shared" si="153"/>
        <v/>
      </c>
      <c r="CE100" s="313" t="e">
        <f>IF($J100="",#N/A,SUM(CD$4:CD100))</f>
        <v>#N/A</v>
      </c>
      <c r="CF100" s="314" t="str">
        <f t="shared" si="154"/>
        <v/>
      </c>
      <c r="CG100" s="314" t="e">
        <f>IF($J100="",#N/A,SUM(CF$4:CF100))</f>
        <v>#N/A</v>
      </c>
      <c r="CH100" s="315" t="str">
        <f t="shared" si="155"/>
        <v/>
      </c>
      <c r="CI100" s="315" t="e">
        <f>IF($J100="",#N/A,SUM(CH$4:CH100))</f>
        <v>#N/A</v>
      </c>
      <c r="CJ100" s="315" t="e">
        <f>IF($J100="",#N/A,SUM(CH$4:CH100,CF$4:CF100,CD$4:CD100))</f>
        <v>#N/A</v>
      </c>
      <c r="CK100" s="304" t="str">
        <f t="shared" si="156"/>
        <v/>
      </c>
      <c r="CL100" s="313" t="e">
        <f>IF($J100="",#N/A,SUM(CK$4:CK100))</f>
        <v>#N/A</v>
      </c>
      <c r="CM100" s="314" t="str">
        <f t="shared" si="157"/>
        <v/>
      </c>
      <c r="CN100" s="314" t="e">
        <f>IF($J100="",#N/A,SUM(CM$4:CM100))</f>
        <v>#N/A</v>
      </c>
      <c r="CO100" s="315" t="str">
        <f t="shared" si="158"/>
        <v/>
      </c>
      <c r="CP100" s="315" t="e">
        <f>IF($J100="",#N/A,SUM(CO$4:CO100))</f>
        <v>#N/A</v>
      </c>
      <c r="CQ100" s="315" t="e">
        <f>IF($J100="",#N/A,SUM(CO$4:CO100,CM$4:CM100,CK$4:CK100))</f>
        <v>#N/A</v>
      </c>
      <c r="CR100" s="304" t="str">
        <f t="shared" si="159"/>
        <v/>
      </c>
      <c r="CS100" s="313" t="e">
        <f>IF($J100="",#N/A,SUM(CR$4:CR100))</f>
        <v>#N/A</v>
      </c>
      <c r="CT100" s="314" t="str">
        <f t="shared" si="160"/>
        <v/>
      </c>
      <c r="CU100" s="314" t="e">
        <f>IF($J100="",#N/A,SUM(CT$4:CT100))</f>
        <v>#N/A</v>
      </c>
      <c r="CV100" s="315" t="str">
        <f t="shared" si="161"/>
        <v/>
      </c>
      <c r="CW100" s="315" t="e">
        <f>IF($J100="",#N/A,SUM(CV$4:CV100))</f>
        <v>#N/A</v>
      </c>
      <c r="CX100" s="315" t="e">
        <f>IF($J100="",#N/A,SUM(CV$4:CV100,CT$4:CT100,CR$4:CR100))</f>
        <v>#N/A</v>
      </c>
      <c r="CY100" s="304" t="str">
        <f t="shared" si="162"/>
        <v/>
      </c>
      <c r="CZ100" s="313" t="e">
        <f>IF($J100="",#N/A,SUM(CY$4:CY100))</f>
        <v>#N/A</v>
      </c>
      <c r="DA100" s="314" t="str">
        <f t="shared" si="163"/>
        <v/>
      </c>
      <c r="DB100" s="314" t="e">
        <f>IF($J100="",#N/A,SUM(DA$4:DA100))</f>
        <v>#N/A</v>
      </c>
      <c r="DC100" s="315" t="str">
        <f t="shared" si="164"/>
        <v/>
      </c>
      <c r="DD100" s="315" t="e">
        <f>IF($J100="",#N/A,SUM(DC$4:DC100))</f>
        <v>#N/A</v>
      </c>
      <c r="DE100" s="315" t="e">
        <f>IF($J100="",#N/A,SUM(DC$4:DC100,DA$4:DA100,CY$4:CY100))</f>
        <v>#N/A</v>
      </c>
      <c r="DF100" s="304" t="str">
        <f t="shared" si="165"/>
        <v/>
      </c>
      <c r="DG100" s="313" t="e">
        <f>IF($J100="",#N/A,SUM(DF$4:DF100))</f>
        <v>#N/A</v>
      </c>
      <c r="DH100" s="314" t="str">
        <f t="shared" si="166"/>
        <v/>
      </c>
      <c r="DI100" s="314" t="e">
        <f>IF($J100="",#N/A,SUM(DH$4:DH100))</f>
        <v>#N/A</v>
      </c>
      <c r="DJ100" s="315" t="str">
        <f t="shared" si="167"/>
        <v/>
      </c>
      <c r="DK100" s="315" t="e">
        <f>IF($J100="",#N/A,SUM(DJ$4:DJ100))</f>
        <v>#N/A</v>
      </c>
      <c r="DL100" s="315" t="e">
        <f>IF($J100="",#N/A,SUM(DJ$4:DJ100,DH$4:DH100,DF$4:DF100))</f>
        <v>#N/A</v>
      </c>
      <c r="DM100" s="304" t="str">
        <f t="shared" si="168"/>
        <v/>
      </c>
      <c r="DN100" s="313" t="e">
        <f>IF($J100="",#N/A,SUM(DM$4:DM100))</f>
        <v>#N/A</v>
      </c>
      <c r="DO100" s="314" t="str">
        <f t="shared" si="169"/>
        <v/>
      </c>
      <c r="DP100" s="314" t="e">
        <f>IF($J100="",#N/A,SUM(DO$4:DO100))</f>
        <v>#N/A</v>
      </c>
      <c r="DQ100" s="315" t="str">
        <f t="shared" si="170"/>
        <v/>
      </c>
      <c r="DR100" s="315" t="e">
        <f>IF($J100="",#N/A,SUM(DQ$4:DQ100))</f>
        <v>#N/A</v>
      </c>
      <c r="DS100" s="315" t="e">
        <f>IF($J100="",#N/A,SUM(DQ$4:DQ100,DO$4:DO100,DM$4:DM100))</f>
        <v>#N/A</v>
      </c>
      <c r="DT100" s="304" t="str">
        <f t="shared" si="171"/>
        <v/>
      </c>
      <c r="DU100" s="313" t="e">
        <f>IF($J100="",#N/A,SUM(DT$4:DT100))</f>
        <v>#N/A</v>
      </c>
      <c r="DV100" s="314" t="str">
        <f t="shared" si="172"/>
        <v/>
      </c>
      <c r="DW100" s="314" t="e">
        <f>IF($J100="",#N/A,SUM(DV$4:DV100))</f>
        <v>#N/A</v>
      </c>
      <c r="DX100" s="315" t="str">
        <f t="shared" si="173"/>
        <v/>
      </c>
      <c r="DY100" s="315" t="e">
        <f>IF($J100="",#N/A,SUM(DX$4:DX100))</f>
        <v>#N/A</v>
      </c>
      <c r="DZ100" s="315" t="e">
        <f>IF($J100="",#N/A,SUM(DX$4:DX100,DV$4:DV100,DT$4:DT100))</f>
        <v>#N/A</v>
      </c>
      <c r="EA100" s="304" t="str">
        <f t="shared" si="174"/>
        <v/>
      </c>
      <c r="EB100" s="313" t="e">
        <f>IF($J100="",#N/A,SUM(EA$4:EA100))</f>
        <v>#N/A</v>
      </c>
      <c r="EC100" s="314" t="str">
        <f t="shared" si="175"/>
        <v/>
      </c>
      <c r="ED100" s="314" t="e">
        <f>IF($J100="",#N/A,SUM(EC$4:EC100))</f>
        <v>#N/A</v>
      </c>
      <c r="EE100" s="315" t="str">
        <f t="shared" si="176"/>
        <v/>
      </c>
      <c r="EF100" s="315" t="e">
        <f>IF($J100="",#N/A,SUM(EE$4:EE100))</f>
        <v>#N/A</v>
      </c>
      <c r="EG100" s="315" t="e">
        <f>IF($J100="",#N/A,SUM(EE$4:EE100,EC$4:EC100,EA$4:EA100))</f>
        <v>#N/A</v>
      </c>
      <c r="EH100" s="130">
        <f t="shared" si="177"/>
        <v>21.900000000000091</v>
      </c>
      <c r="EI100" s="63">
        <f>IF(EH100="",#N/A,SUM($EH$4:EH100))</f>
        <v>585.49428857408907</v>
      </c>
      <c r="EJ100" s="223" t="e">
        <f t="shared" si="178"/>
        <v>#N/A</v>
      </c>
      <c r="EK100" s="63" t="e">
        <f>IF($GZ100="",#N/A,SUM(EJ$4:EJ100))</f>
        <v>#N/A</v>
      </c>
      <c r="EL100" s="60">
        <f t="shared" si="209"/>
        <v>0.96868365180467508</v>
      </c>
      <c r="EM100" s="60">
        <f>IF(EL100="",NA(),SUM($EL$4:EL100))</f>
        <v>23.173462009435234</v>
      </c>
      <c r="EN100" s="60" t="str">
        <f t="shared" si="179"/>
        <v/>
      </c>
      <c r="EO100" s="60" t="e">
        <f>IF(EN100="",NA(),SUM($EN$4:EN100))</f>
        <v>#N/A</v>
      </c>
      <c r="EP100" s="60">
        <f t="shared" si="180"/>
        <v>0.96868365180467508</v>
      </c>
      <c r="EQ100" s="60">
        <f>IF(EP100="",NA(),SUM($EP$4:EP100))</f>
        <v>14.969637581612933</v>
      </c>
      <c r="ER100" s="60" t="str">
        <f t="shared" si="181"/>
        <v/>
      </c>
      <c r="ES100" s="60" t="e">
        <f>IF(ER100="",NA(),SUM($ER$4:ER100))</f>
        <v>#N/A</v>
      </c>
      <c r="ET100" s="60" t="str">
        <f t="shared" si="182"/>
        <v/>
      </c>
      <c r="EU100" s="60" t="e">
        <f>IF(ET100="",NA(),SUM($ET$4:ET100))</f>
        <v>#N/A</v>
      </c>
      <c r="EV100" s="60" t="str">
        <f t="shared" si="183"/>
        <v/>
      </c>
      <c r="EW100" s="60" t="e">
        <f>IF(EV100="",NA(),SUM($EV$4:EV100))</f>
        <v>#N/A</v>
      </c>
      <c r="EX100" s="60" t="str">
        <f t="shared" si="184"/>
        <v/>
      </c>
      <c r="EY100" s="60" t="e">
        <f>IF(EX100="",NA(),SUM($EX$4:EX100))</f>
        <v>#N/A</v>
      </c>
      <c r="EZ100" s="60" t="str">
        <f t="shared" si="185"/>
        <v/>
      </c>
      <c r="FA100" s="60" t="e">
        <f>IF(EZ100="",NA(),SUM($EZ$4:EZ100))</f>
        <v>#N/A</v>
      </c>
      <c r="FB100" s="246" t="str">
        <f t="shared" si="210"/>
        <v/>
      </c>
      <c r="FC100" s="246" t="e">
        <f>IF($FB100="",#N/A,SUM(FB$4:$FB100))</f>
        <v>#N/A</v>
      </c>
      <c r="FD100" s="60" t="str">
        <f t="shared" si="186"/>
        <v/>
      </c>
      <c r="FE100" s="60" t="e">
        <f>IF($FD100="",#N/A,SUM($FD$4:FD100))</f>
        <v>#N/A</v>
      </c>
      <c r="FF100" s="60" t="str">
        <f t="shared" si="187"/>
        <v/>
      </c>
      <c r="FG100" s="60" t="e">
        <f>IF($FF100="",#N/A,SUM($FF$4:FF100))</f>
        <v>#N/A</v>
      </c>
      <c r="FH100" s="60" t="str">
        <f t="shared" si="188"/>
        <v/>
      </c>
      <c r="FI100" s="60" t="e">
        <f>IF($FH100="",#N/A,SUM($FH$4:FH100))</f>
        <v>#N/A</v>
      </c>
      <c r="FJ100" s="60">
        <f t="shared" si="189"/>
        <v>-0.17781316348195508</v>
      </c>
      <c r="FK100" s="60">
        <f>IF($FJ100="",#N/A,SUM($FJ$4:FJ100))</f>
        <v>1.4486342298312942</v>
      </c>
      <c r="FL100" s="60" t="str">
        <f t="shared" si="190"/>
        <v/>
      </c>
      <c r="FM100" s="60" t="e">
        <f>IF($FL100="",#N/A,SUM($FL$4:FL100))</f>
        <v>#N/A</v>
      </c>
      <c r="FN100" s="82">
        <f t="shared" si="191"/>
        <v>0.79087048832272</v>
      </c>
      <c r="FO100" s="82">
        <f>IF($FN100="",#N/A,SUM(FN$4:$FN100))</f>
        <v>30.939259611665452</v>
      </c>
      <c r="FP100" s="82">
        <f t="shared" si="211"/>
        <v>0.96868365180467508</v>
      </c>
      <c r="FQ100" s="246">
        <f>IF($EH100="",#N/A,SUM($FP$4:FP100))</f>
        <v>23.052813957039511</v>
      </c>
      <c r="FR100" s="82">
        <f>IFERROR(FQ100/COUNTA($J$4:J100),#N/A)</f>
        <v>0.23765787584576817</v>
      </c>
      <c r="FS100" s="82">
        <f>IFERROR(($FQ100-$FQ57)/COUNTA($J57:$J100),#N/A)</f>
        <v>0.19578847217503326</v>
      </c>
      <c r="FT100" s="82">
        <f t="shared" si="220"/>
        <v>0.25153665730157732</v>
      </c>
      <c r="FU100" s="337">
        <f>IF(AND(HB100="MOC",GZ100=""),#N/A,IFERROR(FQ100-HE100,FQ100-0))-14.53</f>
        <v>5.9661157391442874</v>
      </c>
      <c r="FV100" s="57" t="str">
        <f t="shared" si="192"/>
        <v>SW</v>
      </c>
      <c r="FW100" s="57" t="s">
        <v>2732</v>
      </c>
      <c r="FX100" s="57" t="str">
        <f t="shared" si="193"/>
        <v/>
      </c>
      <c r="FY100" s="57" t="str">
        <f t="shared" si="194"/>
        <v/>
      </c>
      <c r="FZ100" s="57">
        <f t="shared" si="195"/>
        <v>1</v>
      </c>
      <c r="GA100" s="57" t="str">
        <f t="shared" si="196"/>
        <v>Long</v>
      </c>
      <c r="GB100" s="57" t="str">
        <f t="shared" si="197"/>
        <v/>
      </c>
      <c r="GC100" s="57" t="str">
        <f t="shared" si="198"/>
        <v/>
      </c>
      <c r="GD100" s="57" t="str">
        <f t="shared" si="199"/>
        <v/>
      </c>
      <c r="GE100" s="62">
        <f t="shared" si="114"/>
        <v>62.8</v>
      </c>
      <c r="GF100" s="62" t="s">
        <v>2779</v>
      </c>
      <c r="GG100" s="199">
        <v>6</v>
      </c>
      <c r="GH100" s="207">
        <f t="shared" si="200"/>
        <v>376.79999999999995</v>
      </c>
      <c r="GI100" s="199">
        <v>6</v>
      </c>
      <c r="GJ100" s="200">
        <v>66.45</v>
      </c>
      <c r="GK100" s="63">
        <f t="shared" si="201"/>
        <v>21.900000000000091</v>
      </c>
      <c r="GL100" s="63">
        <f t="shared" si="115"/>
        <v>17.880000000000052</v>
      </c>
      <c r="GM100" s="82">
        <f t="shared" si="202"/>
        <v>0.79087048832272</v>
      </c>
      <c r="GN100" s="82">
        <f>IF($GZ100="",#N/A,SUM(GM$4:GM100))</f>
        <v>16.464913165419503</v>
      </c>
      <c r="GO100" s="82" t="str">
        <f t="shared" si="203"/>
        <v/>
      </c>
      <c r="GP100" s="82">
        <f>IF($GZ100="",#N/A,SUM(GO$4:GO100))</f>
        <v>9.4128017764878535</v>
      </c>
      <c r="GQ100" s="82" t="str">
        <f t="shared" si="204"/>
        <v/>
      </c>
      <c r="GR100" s="82">
        <f>IF($GZ100="",#N/A,SUM(GQ$4:GQ100))</f>
        <v>4.4357077153157531</v>
      </c>
      <c r="GS100" s="63" t="e">
        <f t="shared" si="212"/>
        <v>#N/A</v>
      </c>
      <c r="GT100" s="63" t="e">
        <f>IF($GZ100="",#N/A,SUM(GS$4:GS100))</f>
        <v>#N/A</v>
      </c>
      <c r="GU100" s="63" t="str">
        <f t="shared" si="213"/>
        <v/>
      </c>
      <c r="GV100" s="63" t="e">
        <f>IF($GZ100="",#N/A,SUM(GU$4:GU100))</f>
        <v>#N/A</v>
      </c>
      <c r="GW100" s="63" t="str">
        <f t="shared" si="214"/>
        <v/>
      </c>
      <c r="GX100" s="63" t="e">
        <f>IF($GZ100="",#N/A,SUM(GW$4:GW100))</f>
        <v>#N/A</v>
      </c>
      <c r="GY100" s="63" t="e">
        <f>IF(EJ100="",#N/A,SUM($EJ$4:EJ100))</f>
        <v>#N/A</v>
      </c>
      <c r="GZ100" s="159">
        <v>65.78</v>
      </c>
      <c r="HA100" s="63">
        <f t="shared" si="205"/>
        <v>-4.0200000000000387</v>
      </c>
      <c r="HB100" s="62" t="s">
        <v>2538</v>
      </c>
      <c r="HC100" s="60">
        <f>IFERROR(VLOOKUP(E100,Expectancy!$P$4:$S$19,1+C100,FALSE),"")</f>
        <v>-0.17081772033279666</v>
      </c>
      <c r="HD100" s="82">
        <f t="shared" si="206"/>
        <v>0.96868365180467508</v>
      </c>
      <c r="HE100" s="60">
        <f>IF(HD100="",#N/A,SUM($HD$4:HD100))</f>
        <v>2.5566982178952236</v>
      </c>
      <c r="HF100" s="85">
        <f>IF(HD100="",#N/A,IF(HB100="Skip",#N/A,SUM($HG$4:HG100)))</f>
        <v>78.07000000000005</v>
      </c>
      <c r="HG100" s="63">
        <f t="shared" si="207"/>
        <v>21.900000000000091</v>
      </c>
      <c r="HH100" s="82">
        <f t="shared" si="208"/>
        <v>0.79087048832272</v>
      </c>
    </row>
    <row r="101" spans="1:216" x14ac:dyDescent="0.25">
      <c r="A101" s="57" t="s">
        <v>1557</v>
      </c>
      <c r="B101" s="58" t="s">
        <v>5157</v>
      </c>
      <c r="C101" s="386">
        <f t="shared" si="118"/>
        <v>3</v>
      </c>
      <c r="D101" s="372" t="str">
        <f>_xlfn.XLOOKUP(A101,[1]SP500!$A$2:$A$502,[1]SP500!$D$2:$D$502,"N")</f>
        <v>Y</v>
      </c>
      <c r="E101" s="57" t="str">
        <f>_xlfn.XLOOKUP(A101,[1]SP500!$A$2:$A$655,[1]SP500!$B$2:$B$655)</f>
        <v>SMH</v>
      </c>
      <c r="F101" s="59">
        <v>45686</v>
      </c>
      <c r="G101" s="57" t="str">
        <f t="shared" si="119"/>
        <v>AMC</v>
      </c>
      <c r="H101" s="57" t="str">
        <f t="shared" si="120"/>
        <v>s</v>
      </c>
      <c r="I101" s="159">
        <v>122.05</v>
      </c>
      <c r="J101" s="158">
        <v>102</v>
      </c>
      <c r="K101" s="61">
        <f t="shared" si="121"/>
        <v>-0.16427693568209747</v>
      </c>
      <c r="L101" s="87">
        <f t="shared" si="122"/>
        <v>-60.149999999999977</v>
      </c>
      <c r="M101" s="130">
        <f t="shared" si="112"/>
        <v>0</v>
      </c>
      <c r="N101" s="169" t="str">
        <f t="shared" si="123"/>
        <v/>
      </c>
      <c r="O101" s="169">
        <f>IF($J101="",#N/A,SUM($N$4:N101))</f>
        <v>191.87069717818946</v>
      </c>
      <c r="P101" s="174" t="str">
        <f t="shared" si="124"/>
        <v/>
      </c>
      <c r="Q101" s="174">
        <f>IF($J101="",#N/A,SUM($P$4:P101))</f>
        <v>42.406464916880907</v>
      </c>
      <c r="R101" s="178">
        <f t="shared" si="125"/>
        <v>-60.149999999999977</v>
      </c>
      <c r="S101" s="178">
        <f>IF($J101="",#N/A,SUM($R$4:R101))</f>
        <v>291.06712647901867</v>
      </c>
      <c r="T101" s="290" t="str">
        <f t="shared" si="126"/>
        <v/>
      </c>
      <c r="U101" s="290">
        <f>IF($J101="",#N/A,SUM($T$4:T101))</f>
        <v>6.8206151941164483</v>
      </c>
      <c r="V101" s="291" t="str">
        <f t="shared" si="127"/>
        <v/>
      </c>
      <c r="W101" s="291">
        <f>IF($J101="",#N/A,SUM($V$4:V101))</f>
        <v>1.3832092337058488</v>
      </c>
      <c r="X101" s="292">
        <f t="shared" si="128"/>
        <v>-2.7379489280349576</v>
      </c>
      <c r="Y101" s="283">
        <f>IF($J101="",#N/A,SUM($X$4:X101))</f>
        <v>12.11104060118225</v>
      </c>
      <c r="Z101" s="304" t="str">
        <f t="shared" si="129"/>
        <v/>
      </c>
      <c r="AA101" s="313" t="e">
        <f>IF($J101="",#N/A,SUM(Z$4:Z101))</f>
        <v>#N/A</v>
      </c>
      <c r="AB101" s="314" t="str">
        <f t="shared" si="130"/>
        <v/>
      </c>
      <c r="AC101" s="314" t="e">
        <f>IF($J101="",#N/A,SUM(AB$4:AB101))</f>
        <v>#N/A</v>
      </c>
      <c r="AD101" s="315" t="str">
        <f t="shared" si="131"/>
        <v/>
      </c>
      <c r="AE101" s="315" t="e">
        <f>IF($J101="",#N/A,SUM(AD$4:AD101))</f>
        <v>#N/A</v>
      </c>
      <c r="AF101" s="315" t="e">
        <f>IF($J101="",#N/A,SUM(AD$4:AD101,AB$4:AB101,Z$4:Z101))</f>
        <v>#N/A</v>
      </c>
      <c r="AG101" s="304" t="str">
        <f t="shared" si="132"/>
        <v/>
      </c>
      <c r="AH101" s="313" t="e">
        <f>IF($J101="",#N/A,SUM(AG$4:AG101))</f>
        <v>#N/A</v>
      </c>
      <c r="AI101" s="314" t="str">
        <f t="shared" si="133"/>
        <v/>
      </c>
      <c r="AJ101" s="314" t="e">
        <f>IF($J101="",#N/A,SUM(AI$4:AI101))</f>
        <v>#N/A</v>
      </c>
      <c r="AK101" s="315" t="str">
        <f t="shared" si="134"/>
        <v/>
      </c>
      <c r="AL101" s="315" t="e">
        <f>IF($J101="",#N/A,SUM(AK$4:AK101))</f>
        <v>#N/A</v>
      </c>
      <c r="AM101" s="315" t="e">
        <f>IF($J101="",#N/A,SUM(AK$4:AK101,AI$4:AI101,AG$4:AG101))</f>
        <v>#N/A</v>
      </c>
      <c r="AN101" s="304" t="str">
        <f t="shared" si="135"/>
        <v/>
      </c>
      <c r="AO101" s="313" t="e">
        <f>IF($J101="",#N/A,SUM(AN$4:AN101))</f>
        <v>#N/A</v>
      </c>
      <c r="AP101" s="314" t="str">
        <f t="shared" si="136"/>
        <v/>
      </c>
      <c r="AQ101" s="314" t="e">
        <f>IF($J101="",#N/A,SUM(AP$4:AP101))</f>
        <v>#N/A</v>
      </c>
      <c r="AR101" s="315" t="str">
        <f t="shared" si="137"/>
        <v/>
      </c>
      <c r="AS101" s="315" t="e">
        <f>IF($J101="",#N/A,SUM(AR$4:AR101))</f>
        <v>#N/A</v>
      </c>
      <c r="AT101" s="315" t="e">
        <f>IF($J101="",#N/A,SUM(AR$4:AR101,AP$4:AP101,AN$4:AN101))</f>
        <v>#N/A</v>
      </c>
      <c r="AU101" s="304" t="str">
        <f t="shared" si="138"/>
        <v/>
      </c>
      <c r="AV101" s="313" t="e">
        <f>IF($J101="",#N/A,SUM(AU$4:AU101))</f>
        <v>#N/A</v>
      </c>
      <c r="AW101" s="314" t="str">
        <f t="shared" si="139"/>
        <v/>
      </c>
      <c r="AX101" s="314" t="e">
        <f>IF($J101="",#N/A,SUM(AW$4:AW101))</f>
        <v>#N/A</v>
      </c>
      <c r="AY101" s="315" t="str">
        <f t="shared" si="140"/>
        <v/>
      </c>
      <c r="AZ101" s="315" t="e">
        <f>IF($J101="",#N/A,SUM(AY$4:AY101))</f>
        <v>#N/A</v>
      </c>
      <c r="BA101" s="315" t="e">
        <f>IF($J101="",#N/A,SUM(AY$4:AY101,AW$4:AW101,AU$4:AU101))</f>
        <v>#N/A</v>
      </c>
      <c r="BB101" s="304" t="str">
        <f t="shared" si="141"/>
        <v/>
      </c>
      <c r="BC101" s="313" t="e">
        <f>IF($J101="",#N/A,SUM(BB$4:BB101))</f>
        <v>#N/A</v>
      </c>
      <c r="BD101" s="314" t="str">
        <f t="shared" si="142"/>
        <v/>
      </c>
      <c r="BE101" s="314" t="e">
        <f>IF($J101="",#N/A,SUM(BD$4:BD101))</f>
        <v>#N/A</v>
      </c>
      <c r="BF101" s="315" t="str">
        <f t="shared" si="143"/>
        <v/>
      </c>
      <c r="BG101" s="315" t="e">
        <f>IF($J101="",#N/A,SUM(BF$4:BF101))</f>
        <v>#N/A</v>
      </c>
      <c r="BH101" s="315" t="e">
        <f>IF($J101="",#N/A,SUM(BF$4:BF101,BD$4:BD101,BB$4:BB101))</f>
        <v>#N/A</v>
      </c>
      <c r="BI101" s="304" t="str">
        <f t="shared" si="144"/>
        <v/>
      </c>
      <c r="BJ101" s="313" t="e">
        <f>IF($J101="",#N/A,SUM(BI$4:BI101))</f>
        <v>#N/A</v>
      </c>
      <c r="BK101" s="314" t="str">
        <f t="shared" si="145"/>
        <v/>
      </c>
      <c r="BL101" s="314" t="e">
        <f>IF($J101="",#N/A,SUM(BK$4:BK101))</f>
        <v>#N/A</v>
      </c>
      <c r="BM101" s="315" t="str">
        <f t="shared" si="146"/>
        <v/>
      </c>
      <c r="BN101" s="315" t="e">
        <f>IF($J101="",#N/A,SUM(BM$4:BM101))</f>
        <v>#N/A</v>
      </c>
      <c r="BO101" s="315" t="e">
        <f>IF($J101="",#N/A,SUM(BM$4:BM101,BK$4:BK101,BI$4:BI101))</f>
        <v>#N/A</v>
      </c>
      <c r="BP101" s="304" t="str">
        <f t="shared" si="147"/>
        <v/>
      </c>
      <c r="BQ101" s="313" t="e">
        <f>IF($J101="",#N/A,SUM(BP$4:BP101))</f>
        <v>#N/A</v>
      </c>
      <c r="BR101" s="314" t="str">
        <f t="shared" si="148"/>
        <v/>
      </c>
      <c r="BS101" s="314" t="e">
        <f>IF($J101="",#N/A,SUM(BR$4:BR101))</f>
        <v>#N/A</v>
      </c>
      <c r="BT101" s="315" t="str">
        <f t="shared" si="149"/>
        <v/>
      </c>
      <c r="BU101" s="315" t="e">
        <f>IF($J101="",#N/A,SUM(BT$4:BT101))</f>
        <v>#N/A</v>
      </c>
      <c r="BV101" s="315" t="e">
        <f>IF($J101="",#N/A,SUM(BT$4:BT101,BR$4:BR101,BP$4:BP101))</f>
        <v>#N/A</v>
      </c>
      <c r="BW101" s="304" t="str">
        <f t="shared" si="150"/>
        <v/>
      </c>
      <c r="BX101" s="313" t="e">
        <f>IF($J101="",#N/A,SUM(BW$4:BW101))</f>
        <v>#N/A</v>
      </c>
      <c r="BY101" s="314" t="str">
        <f t="shared" si="151"/>
        <v/>
      </c>
      <c r="BZ101" s="314" t="e">
        <f>IF($J101="",#N/A,SUM(BY$4:BY101))</f>
        <v>#N/A</v>
      </c>
      <c r="CA101" s="315" t="str">
        <f t="shared" si="152"/>
        <v/>
      </c>
      <c r="CB101" s="315" t="e">
        <f>IF($J101="",#N/A,SUM(CA$4:CA101))</f>
        <v>#N/A</v>
      </c>
      <c r="CC101" s="315" t="e">
        <f>IF($J101="",#N/A,SUM(CA$4:CA101,BY$4:BY101,BW$4:BW101))</f>
        <v>#N/A</v>
      </c>
      <c r="CD101" s="304" t="str">
        <f t="shared" si="153"/>
        <v/>
      </c>
      <c r="CE101" s="313" t="e">
        <f>IF($J101="",#N/A,SUM(CD$4:CD101))</f>
        <v>#N/A</v>
      </c>
      <c r="CF101" s="314" t="str">
        <f t="shared" si="154"/>
        <v/>
      </c>
      <c r="CG101" s="314" t="e">
        <f>IF($J101="",#N/A,SUM(CF$4:CF101))</f>
        <v>#N/A</v>
      </c>
      <c r="CH101" s="315" t="str">
        <f t="shared" si="155"/>
        <v/>
      </c>
      <c r="CI101" s="315" t="e">
        <f>IF($J101="",#N/A,SUM(CH$4:CH101))</f>
        <v>#N/A</v>
      </c>
      <c r="CJ101" s="315" t="e">
        <f>IF($J101="",#N/A,SUM(CH$4:CH101,CF$4:CF101,CD$4:CD101))</f>
        <v>#N/A</v>
      </c>
      <c r="CK101" s="304" t="str">
        <f t="shared" si="156"/>
        <v/>
      </c>
      <c r="CL101" s="313" t="e">
        <f>IF($J101="",#N/A,SUM(CK$4:CK101))</f>
        <v>#N/A</v>
      </c>
      <c r="CM101" s="314" t="str">
        <f t="shared" si="157"/>
        <v/>
      </c>
      <c r="CN101" s="314" t="e">
        <f>IF($J101="",#N/A,SUM(CM$4:CM101))</f>
        <v>#N/A</v>
      </c>
      <c r="CO101" s="315">
        <f t="shared" si="158"/>
        <v>-2.7379489280349576</v>
      </c>
      <c r="CP101" s="315" t="e">
        <f>IF($J101="",#N/A,SUM(CO$4:CO101))</f>
        <v>#N/A</v>
      </c>
      <c r="CQ101" s="315" t="e">
        <f>IF($J101="",#N/A,SUM(CO$4:CO101,CM$4:CM101,CK$4:CK101))</f>
        <v>#N/A</v>
      </c>
      <c r="CR101" s="304" t="str">
        <f t="shared" si="159"/>
        <v/>
      </c>
      <c r="CS101" s="313" t="e">
        <f>IF($J101="",#N/A,SUM(CR$4:CR101))</f>
        <v>#N/A</v>
      </c>
      <c r="CT101" s="314" t="str">
        <f t="shared" si="160"/>
        <v/>
      </c>
      <c r="CU101" s="314" t="e">
        <f>IF($J101="",#N/A,SUM(CT$4:CT101))</f>
        <v>#N/A</v>
      </c>
      <c r="CV101" s="315" t="str">
        <f t="shared" si="161"/>
        <v/>
      </c>
      <c r="CW101" s="315" t="e">
        <f>IF($J101="",#N/A,SUM(CV$4:CV101))</f>
        <v>#N/A</v>
      </c>
      <c r="CX101" s="315" t="e">
        <f>IF($J101="",#N/A,SUM(CV$4:CV101,CT$4:CT101,CR$4:CR101))</f>
        <v>#N/A</v>
      </c>
      <c r="CY101" s="304" t="str">
        <f t="shared" si="162"/>
        <v/>
      </c>
      <c r="CZ101" s="313" t="e">
        <f>IF($J101="",#N/A,SUM(CY$4:CY101))</f>
        <v>#N/A</v>
      </c>
      <c r="DA101" s="314" t="str">
        <f t="shared" si="163"/>
        <v/>
      </c>
      <c r="DB101" s="314" t="e">
        <f>IF($J101="",#N/A,SUM(DA$4:DA101))</f>
        <v>#N/A</v>
      </c>
      <c r="DC101" s="315" t="str">
        <f t="shared" si="164"/>
        <v/>
      </c>
      <c r="DD101" s="315" t="e">
        <f>IF($J101="",#N/A,SUM(DC$4:DC101))</f>
        <v>#N/A</v>
      </c>
      <c r="DE101" s="315" t="e">
        <f>IF($J101="",#N/A,SUM(DC$4:DC101,DA$4:DA101,CY$4:CY101))</f>
        <v>#N/A</v>
      </c>
      <c r="DF101" s="304" t="str">
        <f t="shared" si="165"/>
        <v/>
      </c>
      <c r="DG101" s="313" t="e">
        <f>IF($J101="",#N/A,SUM(DF$4:DF101))</f>
        <v>#N/A</v>
      </c>
      <c r="DH101" s="314" t="str">
        <f t="shared" si="166"/>
        <v/>
      </c>
      <c r="DI101" s="314" t="e">
        <f>IF($J101="",#N/A,SUM(DH$4:DH101))</f>
        <v>#N/A</v>
      </c>
      <c r="DJ101" s="315" t="str">
        <f t="shared" si="167"/>
        <v/>
      </c>
      <c r="DK101" s="315" t="e">
        <f>IF($J101="",#N/A,SUM(DJ$4:DJ101))</f>
        <v>#N/A</v>
      </c>
      <c r="DL101" s="315" t="e">
        <f>IF($J101="",#N/A,SUM(DJ$4:DJ101,DH$4:DH101,DF$4:DF101))</f>
        <v>#N/A</v>
      </c>
      <c r="DM101" s="304" t="str">
        <f t="shared" si="168"/>
        <v/>
      </c>
      <c r="DN101" s="313" t="e">
        <f>IF($J101="",#N/A,SUM(DM$4:DM101))</f>
        <v>#N/A</v>
      </c>
      <c r="DO101" s="314" t="str">
        <f t="shared" si="169"/>
        <v/>
      </c>
      <c r="DP101" s="314" t="e">
        <f>IF($J101="",#N/A,SUM(DO$4:DO101))</f>
        <v>#N/A</v>
      </c>
      <c r="DQ101" s="315" t="str">
        <f t="shared" si="170"/>
        <v/>
      </c>
      <c r="DR101" s="315" t="e">
        <f>IF($J101="",#N/A,SUM(DQ$4:DQ101))</f>
        <v>#N/A</v>
      </c>
      <c r="DS101" s="315" t="e">
        <f>IF($J101="",#N/A,SUM(DQ$4:DQ101,DO$4:DO101,DM$4:DM101))</f>
        <v>#N/A</v>
      </c>
      <c r="DT101" s="304" t="str">
        <f t="shared" si="171"/>
        <v/>
      </c>
      <c r="DU101" s="313" t="e">
        <f>IF($J101="",#N/A,SUM(DT$4:DT101))</f>
        <v>#N/A</v>
      </c>
      <c r="DV101" s="314" t="str">
        <f t="shared" si="172"/>
        <v/>
      </c>
      <c r="DW101" s="314" t="e">
        <f>IF($J101="",#N/A,SUM(DV$4:DV101))</f>
        <v>#N/A</v>
      </c>
      <c r="DX101" s="315" t="str">
        <f t="shared" si="173"/>
        <v/>
      </c>
      <c r="DY101" s="315" t="e">
        <f>IF($J101="",#N/A,SUM(DX$4:DX101))</f>
        <v>#N/A</v>
      </c>
      <c r="DZ101" s="315" t="e">
        <f>IF($J101="",#N/A,SUM(DX$4:DX101,DV$4:DV101,DT$4:DT101))</f>
        <v>#N/A</v>
      </c>
      <c r="EA101" s="304" t="str">
        <f t="shared" si="174"/>
        <v/>
      </c>
      <c r="EB101" s="313" t="e">
        <f>IF($J101="",#N/A,SUM(EA$4:EA101))</f>
        <v>#N/A</v>
      </c>
      <c r="EC101" s="314" t="str">
        <f t="shared" si="175"/>
        <v/>
      </c>
      <c r="ED101" s="314" t="e">
        <f>IF($J101="",#N/A,SUM(EC$4:EC101))</f>
        <v>#N/A</v>
      </c>
      <c r="EE101" s="315" t="str">
        <f t="shared" si="176"/>
        <v/>
      </c>
      <c r="EF101" s="315" t="e">
        <f>IF($J101="",#N/A,SUM(EE$4:EE101))</f>
        <v>#N/A</v>
      </c>
      <c r="EG101" s="315" t="e">
        <f>IF($J101="",#N/A,SUM(EE$4:EE101,EC$4:EC101,EA$4:EA101))</f>
        <v>#N/A</v>
      </c>
      <c r="EH101" s="130">
        <f t="shared" si="177"/>
        <v>-60.149999999999977</v>
      </c>
      <c r="EI101" s="63">
        <f>IF(EH101="",#N/A,SUM($EH$4:EH101))</f>
        <v>525.34428857408909</v>
      </c>
      <c r="EJ101" s="223" t="e">
        <f t="shared" si="178"/>
        <v>#N/A</v>
      </c>
      <c r="EK101" s="63" t="e">
        <f>IF($GZ101="",#N/A,SUM(EJ$4:EJ101))</f>
        <v>#N/A</v>
      </c>
      <c r="EL101" s="60">
        <f t="shared" si="209"/>
        <v>-2.7379489280349576</v>
      </c>
      <c r="EM101" s="60">
        <f>IF(EL101="",NA(),SUM($EL$4:EL101))</f>
        <v>20.435513081400277</v>
      </c>
      <c r="EN101" s="60" t="str">
        <f t="shared" si="179"/>
        <v/>
      </c>
      <c r="EO101" s="60" t="e">
        <f>IF(EN101="",NA(),SUM($EN$4:EN101))</f>
        <v>#N/A</v>
      </c>
      <c r="EP101" s="60">
        <f t="shared" si="180"/>
        <v>-2.7379489280349576</v>
      </c>
      <c r="EQ101" s="60">
        <f>IF(EP101="",NA(),SUM($EP$4:EP101))</f>
        <v>12.231688653577976</v>
      </c>
      <c r="ER101" s="60" t="str">
        <f t="shared" si="181"/>
        <v/>
      </c>
      <c r="ES101" s="60" t="e">
        <f>IF(ER101="",NA(),SUM($ER$4:ER101))</f>
        <v>#N/A</v>
      </c>
      <c r="ET101" s="60" t="str">
        <f t="shared" si="182"/>
        <v/>
      </c>
      <c r="EU101" s="60" t="e">
        <f>IF(ET101="",NA(),SUM($ET$4:ET101))</f>
        <v>#N/A</v>
      </c>
      <c r="EV101" s="60" t="str">
        <f t="shared" si="183"/>
        <v/>
      </c>
      <c r="EW101" s="60" t="e">
        <f>IF(EV101="",NA(),SUM($EV$4:EV101))</f>
        <v>#N/A</v>
      </c>
      <c r="EX101" s="60" t="str">
        <f t="shared" si="184"/>
        <v/>
      </c>
      <c r="EY101" s="60" t="e">
        <f>IF(EX101="",NA(),SUM($EX$4:EX101))</f>
        <v>#N/A</v>
      </c>
      <c r="EZ101" s="60" t="str">
        <f t="shared" si="185"/>
        <v/>
      </c>
      <c r="FA101" s="60" t="e">
        <f>IF(EZ101="",NA(),SUM($EZ$4:EZ101))</f>
        <v>#N/A</v>
      </c>
      <c r="FB101" s="246" t="str">
        <f t="shared" si="210"/>
        <v/>
      </c>
      <c r="FC101" s="246" t="e">
        <f>IF($FB101="",#N/A,SUM(FB$4:$FB101))</f>
        <v>#N/A</v>
      </c>
      <c r="FD101" s="60" t="str">
        <f t="shared" si="186"/>
        <v/>
      </c>
      <c r="FE101" s="60" t="e">
        <f>IF($FD101="",#N/A,SUM($FD$4:FD101))</f>
        <v>#N/A</v>
      </c>
      <c r="FF101" s="60" t="str">
        <f t="shared" si="187"/>
        <v/>
      </c>
      <c r="FG101" s="60" t="e">
        <f>IF($FF101="",#N/A,SUM($FF$4:FF101))</f>
        <v>#N/A</v>
      </c>
      <c r="FH101" s="60" t="str">
        <f t="shared" si="188"/>
        <v/>
      </c>
      <c r="FI101" s="60" t="e">
        <f>IF($FH101="",#N/A,SUM($FH$4:FH101))</f>
        <v>#N/A</v>
      </c>
      <c r="FJ101" s="60" t="str">
        <f t="shared" si="189"/>
        <v/>
      </c>
      <c r="FK101" s="60" t="e">
        <f>IF($FJ101="",#N/A,SUM($FJ$4:FJ101))</f>
        <v>#N/A</v>
      </c>
      <c r="FL101" s="60">
        <f t="shared" si="190"/>
        <v>1.7861532158951254</v>
      </c>
      <c r="FM101" s="60">
        <f>IF($FL101="",#N/A,SUM($FL$4:FL101))</f>
        <v>1.9534426222661287</v>
      </c>
      <c r="FN101" s="82">
        <f t="shared" si="191"/>
        <v>-0.95179571213983205</v>
      </c>
      <c r="FO101" s="82">
        <f>IF($FN101="",#N/A,SUM(FN$4:$FN101))</f>
        <v>29.987463899525622</v>
      </c>
      <c r="FP101" s="82">
        <f t="shared" si="211"/>
        <v>-2.7379489280349576</v>
      </c>
      <c r="FQ101" s="246">
        <f>IF($EH101="",#N/A,SUM($FP$4:FP101))</f>
        <v>20.314865029004554</v>
      </c>
      <c r="FR101" s="82">
        <f>IFERROR(FQ101/COUNTA($J$4:J101),#N/A)</f>
        <v>0.20729454111229137</v>
      </c>
      <c r="FS101" s="82">
        <f>IFERROR(($FQ101-$FQ58)/COUNTA($J58:$J101),#N/A)</f>
        <v>0.1352710727952785</v>
      </c>
      <c r="FT101" s="82">
        <f t="shared" si="220"/>
        <v>6.9325876400615591E-2</v>
      </c>
      <c r="FU101" s="337">
        <f>IF(AND(HB101="MOC",GZ101=""),#N/A,IFERROR(FQ101-HE101,FQ101-0))-14.53</f>
        <v>5.9661157391442874</v>
      </c>
      <c r="FV101" s="57" t="str">
        <f t="shared" si="192"/>
        <v>SW</v>
      </c>
      <c r="FW101" s="57" t="s">
        <v>2732</v>
      </c>
      <c r="FX101" s="57" t="str">
        <f t="shared" si="193"/>
        <v/>
      </c>
      <c r="FY101" s="57" t="str">
        <f t="shared" si="194"/>
        <v/>
      </c>
      <c r="FZ101" s="57" t="str">
        <f t="shared" si="195"/>
        <v/>
      </c>
      <c r="GA101" s="57" t="str">
        <f t="shared" si="196"/>
        <v>Long</v>
      </c>
      <c r="GB101" s="57" t="str">
        <f t="shared" si="197"/>
        <v/>
      </c>
      <c r="GC101" s="57" t="str">
        <f t="shared" si="198"/>
        <v/>
      </c>
      <c r="GD101" s="57">
        <f t="shared" si="199"/>
        <v>1</v>
      </c>
      <c r="GE101" s="62">
        <f t="shared" si="114"/>
        <v>122.05</v>
      </c>
      <c r="GF101" s="62" t="s">
        <v>2779</v>
      </c>
      <c r="GG101" s="199">
        <v>3</v>
      </c>
      <c r="GH101" s="207">
        <f t="shared" si="200"/>
        <v>366.15</v>
      </c>
      <c r="GI101" s="199">
        <v>3</v>
      </c>
      <c r="GJ101" s="200">
        <v>102</v>
      </c>
      <c r="GK101" s="63">
        <f t="shared" si="201"/>
        <v>-60.149999999999977</v>
      </c>
      <c r="GL101" s="63">
        <f t="shared" si="115"/>
        <v>-20.909999999999968</v>
      </c>
      <c r="GM101" s="82">
        <f t="shared" si="202"/>
        <v>-0.95179571213983205</v>
      </c>
      <c r="GN101" s="82">
        <f>IF($GZ101="",#N/A,SUM(GM$4:GM101))</f>
        <v>15.513117453279671</v>
      </c>
      <c r="GO101" s="82" t="str">
        <f t="shared" si="203"/>
        <v/>
      </c>
      <c r="GP101" s="82">
        <f>IF($GZ101="",#N/A,SUM(GO$4:GO101))</f>
        <v>9.4128017764878535</v>
      </c>
      <c r="GQ101" s="82" t="str">
        <f t="shared" si="204"/>
        <v/>
      </c>
      <c r="GR101" s="82">
        <f>IF($GZ101="",#N/A,SUM(GQ$4:GQ101))</f>
        <v>4.4357077153157531</v>
      </c>
      <c r="GS101" s="63" t="e">
        <f t="shared" si="212"/>
        <v>#N/A</v>
      </c>
      <c r="GT101" s="63" t="e">
        <f>IF($GZ101="",#N/A,SUM(GS$4:GS101))</f>
        <v>#N/A</v>
      </c>
      <c r="GU101" s="63" t="str">
        <f t="shared" si="213"/>
        <v/>
      </c>
      <c r="GV101" s="63" t="e">
        <f>IF($GZ101="",#N/A,SUM(GU$4:GU101))</f>
        <v>#N/A</v>
      </c>
      <c r="GW101" s="63" t="str">
        <f t="shared" si="214"/>
        <v/>
      </c>
      <c r="GX101" s="63" t="e">
        <f>IF($GZ101="",#N/A,SUM(GW$4:GW101))</f>
        <v>#N/A</v>
      </c>
      <c r="GY101" s="63" t="e">
        <f>IF(EJ101="",#N/A,SUM($EJ$4:EJ101))</f>
        <v>#N/A</v>
      </c>
      <c r="GZ101" s="159">
        <v>115.08</v>
      </c>
      <c r="HA101" s="63">
        <f t="shared" si="205"/>
        <v>39.240000000000009</v>
      </c>
      <c r="HB101" s="62" t="s">
        <v>2538</v>
      </c>
      <c r="HC101" s="60">
        <f>IFERROR(VLOOKUP(E101,Expectancy!$P$4:$S$19,1+C101,FALSE),"")</f>
        <v>-0.16876070792161713</v>
      </c>
      <c r="HD101" s="82">
        <f t="shared" si="206"/>
        <v>-2.7379489280349576</v>
      </c>
      <c r="HE101" s="60">
        <f>IF(HD101="",#N/A,SUM($HD$4:HD101))</f>
        <v>-0.18125071013973404</v>
      </c>
      <c r="HF101" s="85">
        <f>IF(HD101="",#N/A,IF(HB101="Skip",#N/A,SUM($HG$4:HG101)))</f>
        <v>17.920000000000073</v>
      </c>
      <c r="HG101" s="63">
        <f t="shared" si="207"/>
        <v>-60.149999999999977</v>
      </c>
      <c r="HH101" s="82">
        <f t="shared" si="208"/>
        <v>-0.95179571213983205</v>
      </c>
    </row>
    <row r="102" spans="1:216" x14ac:dyDescent="0.25">
      <c r="A102" s="57" t="s">
        <v>1582</v>
      </c>
      <c r="B102" s="58" t="s">
        <v>5151</v>
      </c>
      <c r="C102" s="386">
        <f t="shared" si="118"/>
        <v>3</v>
      </c>
      <c r="D102" s="372" t="str">
        <f>_xlfn.XLOOKUP(A102,[1]SP500!$A$2:$A$502,[1]SP500!$D$2:$D$502,"N")</f>
        <v>Y</v>
      </c>
      <c r="E102" s="57" t="str">
        <f>_xlfn.XLOOKUP(A102,[1]SP500!$A$2:$A$655,[1]SP500!$B$2:$B$655)</f>
        <v>XLI</v>
      </c>
      <c r="F102" s="59">
        <v>45686</v>
      </c>
      <c r="G102" s="57" t="str">
        <f t="shared" si="119"/>
        <v>AMC</v>
      </c>
      <c r="H102" s="57" t="str">
        <f t="shared" si="120"/>
        <v>s</v>
      </c>
      <c r="I102" s="159">
        <v>107.93</v>
      </c>
      <c r="J102" s="158">
        <v>99.6</v>
      </c>
      <c r="K102" s="61">
        <f t="shared" si="121"/>
        <v>-7.7179653479106936E-2</v>
      </c>
      <c r="L102" s="87">
        <f t="shared" si="122"/>
        <v>-33.32000000000005</v>
      </c>
      <c r="M102" s="130">
        <f t="shared" si="112"/>
        <v>0</v>
      </c>
      <c r="N102" s="169" t="str">
        <f t="shared" si="123"/>
        <v/>
      </c>
      <c r="O102" s="169">
        <f>IF($J102="",#N/A,SUM($N$4:N102))</f>
        <v>191.87069717818946</v>
      </c>
      <c r="P102" s="174" t="str">
        <f t="shared" si="124"/>
        <v/>
      </c>
      <c r="Q102" s="174">
        <f>IF($J102="",#N/A,SUM($P$4:P102))</f>
        <v>42.406464916880907</v>
      </c>
      <c r="R102" s="178">
        <f t="shared" si="125"/>
        <v>-33.32000000000005</v>
      </c>
      <c r="S102" s="178">
        <f>IF($J102="",#N/A,SUM($R$4:R102))</f>
        <v>257.74712647901862</v>
      </c>
      <c r="T102" s="290" t="str">
        <f t="shared" si="126"/>
        <v/>
      </c>
      <c r="U102" s="290">
        <f>IF($J102="",#N/A,SUM($T$4:T102))</f>
        <v>6.8206151941164483</v>
      </c>
      <c r="V102" s="291" t="str">
        <f t="shared" si="127"/>
        <v/>
      </c>
      <c r="W102" s="291">
        <f>IF($J102="",#N/A,SUM($V$4:V102))</f>
        <v>1.3832092337058488</v>
      </c>
      <c r="X102" s="292">
        <f t="shared" si="128"/>
        <v>-1.2863275579851157</v>
      </c>
      <c r="Y102" s="283">
        <f>IF($J102="",#N/A,SUM($X$4:X102))</f>
        <v>10.824713043197134</v>
      </c>
      <c r="Z102" s="304" t="str">
        <f t="shared" si="129"/>
        <v/>
      </c>
      <c r="AA102" s="313" t="e">
        <f>IF($J102="",#N/A,SUM(Z$4:Z102))</f>
        <v>#N/A</v>
      </c>
      <c r="AB102" s="314" t="str">
        <f t="shared" si="130"/>
        <v/>
      </c>
      <c r="AC102" s="314" t="e">
        <f>IF($J102="",#N/A,SUM(AB$4:AB102))</f>
        <v>#N/A</v>
      </c>
      <c r="AD102" s="315" t="str">
        <f t="shared" si="131"/>
        <v/>
      </c>
      <c r="AE102" s="315" t="e">
        <f>IF($J102="",#N/A,SUM(AD$4:AD102))</f>
        <v>#N/A</v>
      </c>
      <c r="AF102" s="315" t="e">
        <f>IF($J102="",#N/A,SUM(AD$4:AD102,AB$4:AB102,Z$4:Z102))</f>
        <v>#N/A</v>
      </c>
      <c r="AG102" s="304" t="str">
        <f t="shared" si="132"/>
        <v/>
      </c>
      <c r="AH102" s="313" t="e">
        <f>IF($J102="",#N/A,SUM(AG$4:AG102))</f>
        <v>#N/A</v>
      </c>
      <c r="AI102" s="314" t="str">
        <f t="shared" si="133"/>
        <v/>
      </c>
      <c r="AJ102" s="314" t="e">
        <f>IF($J102="",#N/A,SUM(AI$4:AI102))</f>
        <v>#N/A</v>
      </c>
      <c r="AK102" s="315" t="str">
        <f t="shared" si="134"/>
        <v/>
      </c>
      <c r="AL102" s="315" t="e">
        <f>IF($J102="",#N/A,SUM(AK$4:AK102))</f>
        <v>#N/A</v>
      </c>
      <c r="AM102" s="315" t="e">
        <f>IF($J102="",#N/A,SUM(AK$4:AK102,AI$4:AI102,AG$4:AG102))</f>
        <v>#N/A</v>
      </c>
      <c r="AN102" s="304" t="str">
        <f t="shared" si="135"/>
        <v/>
      </c>
      <c r="AO102" s="313" t="e">
        <f>IF($J102="",#N/A,SUM(AN$4:AN102))</f>
        <v>#N/A</v>
      </c>
      <c r="AP102" s="314" t="str">
        <f t="shared" si="136"/>
        <v/>
      </c>
      <c r="AQ102" s="314" t="e">
        <f>IF($J102="",#N/A,SUM(AP$4:AP102))</f>
        <v>#N/A</v>
      </c>
      <c r="AR102" s="315" t="str">
        <f t="shared" si="137"/>
        <v/>
      </c>
      <c r="AS102" s="315" t="e">
        <f>IF($J102="",#N/A,SUM(AR$4:AR102))</f>
        <v>#N/A</v>
      </c>
      <c r="AT102" s="315" t="e">
        <f>IF($J102="",#N/A,SUM(AR$4:AR102,AP$4:AP102,AN$4:AN102))</f>
        <v>#N/A</v>
      </c>
      <c r="AU102" s="304" t="str">
        <f t="shared" si="138"/>
        <v/>
      </c>
      <c r="AV102" s="313" t="e">
        <f>IF($J102="",#N/A,SUM(AU$4:AU102))</f>
        <v>#N/A</v>
      </c>
      <c r="AW102" s="314" t="str">
        <f t="shared" si="139"/>
        <v/>
      </c>
      <c r="AX102" s="314" t="e">
        <f>IF($J102="",#N/A,SUM(AW$4:AW102))</f>
        <v>#N/A</v>
      </c>
      <c r="AY102" s="315" t="str">
        <f t="shared" si="140"/>
        <v/>
      </c>
      <c r="AZ102" s="315" t="e">
        <f>IF($J102="",#N/A,SUM(AY$4:AY102))</f>
        <v>#N/A</v>
      </c>
      <c r="BA102" s="315" t="e">
        <f>IF($J102="",#N/A,SUM(AY$4:AY102,AW$4:AW102,AU$4:AU102))</f>
        <v>#N/A</v>
      </c>
      <c r="BB102" s="304" t="str">
        <f t="shared" si="141"/>
        <v/>
      </c>
      <c r="BC102" s="313" t="e">
        <f>IF($J102="",#N/A,SUM(BB$4:BB102))</f>
        <v>#N/A</v>
      </c>
      <c r="BD102" s="314" t="str">
        <f t="shared" si="142"/>
        <v/>
      </c>
      <c r="BE102" s="314" t="e">
        <f>IF($J102="",#N/A,SUM(BD$4:BD102))</f>
        <v>#N/A</v>
      </c>
      <c r="BF102" s="315" t="str">
        <f t="shared" si="143"/>
        <v/>
      </c>
      <c r="BG102" s="315" t="e">
        <f>IF($J102="",#N/A,SUM(BF$4:BF102))</f>
        <v>#N/A</v>
      </c>
      <c r="BH102" s="315" t="e">
        <f>IF($J102="",#N/A,SUM(BF$4:BF102,BD$4:BD102,BB$4:BB102))</f>
        <v>#N/A</v>
      </c>
      <c r="BI102" s="304" t="str">
        <f t="shared" si="144"/>
        <v/>
      </c>
      <c r="BJ102" s="313" t="e">
        <f>IF($J102="",#N/A,SUM(BI$4:BI102))</f>
        <v>#N/A</v>
      </c>
      <c r="BK102" s="314" t="str">
        <f t="shared" si="145"/>
        <v/>
      </c>
      <c r="BL102" s="314" t="e">
        <f>IF($J102="",#N/A,SUM(BK$4:BK102))</f>
        <v>#N/A</v>
      </c>
      <c r="BM102" s="315" t="str">
        <f t="shared" si="146"/>
        <v/>
      </c>
      <c r="BN102" s="315" t="e">
        <f>IF($J102="",#N/A,SUM(BM$4:BM102))</f>
        <v>#N/A</v>
      </c>
      <c r="BO102" s="315" t="e">
        <f>IF($J102="",#N/A,SUM(BM$4:BM102,BK$4:BK102,BI$4:BI102))</f>
        <v>#N/A</v>
      </c>
      <c r="BP102" s="304" t="str">
        <f t="shared" si="147"/>
        <v/>
      </c>
      <c r="BQ102" s="313" t="e">
        <f>IF($J102="",#N/A,SUM(BP$4:BP102))</f>
        <v>#N/A</v>
      </c>
      <c r="BR102" s="314" t="str">
        <f t="shared" si="148"/>
        <v/>
      </c>
      <c r="BS102" s="314" t="e">
        <f>IF($J102="",#N/A,SUM(BR$4:BR102))</f>
        <v>#N/A</v>
      </c>
      <c r="BT102" s="315">
        <f t="shared" si="149"/>
        <v>-1.2863275579851157</v>
      </c>
      <c r="BU102" s="315" t="e">
        <f>IF($J102="",#N/A,SUM(BT$4:BT102))</f>
        <v>#N/A</v>
      </c>
      <c r="BV102" s="315" t="e">
        <f>IF($J102="",#N/A,SUM(BT$4:BT102,BR$4:BR102,BP$4:BP102))</f>
        <v>#N/A</v>
      </c>
      <c r="BW102" s="304" t="str">
        <f t="shared" si="150"/>
        <v/>
      </c>
      <c r="BX102" s="313" t="e">
        <f>IF($J102="",#N/A,SUM(BW$4:BW102))</f>
        <v>#N/A</v>
      </c>
      <c r="BY102" s="314" t="str">
        <f t="shared" si="151"/>
        <v/>
      </c>
      <c r="BZ102" s="314" t="e">
        <f>IF($J102="",#N/A,SUM(BY$4:BY102))</f>
        <v>#N/A</v>
      </c>
      <c r="CA102" s="315" t="str">
        <f t="shared" si="152"/>
        <v/>
      </c>
      <c r="CB102" s="315" t="e">
        <f>IF($J102="",#N/A,SUM(CA$4:CA102))</f>
        <v>#N/A</v>
      </c>
      <c r="CC102" s="315" t="e">
        <f>IF($J102="",#N/A,SUM(CA$4:CA102,BY$4:BY102,BW$4:BW102))</f>
        <v>#N/A</v>
      </c>
      <c r="CD102" s="304" t="str">
        <f t="shared" si="153"/>
        <v/>
      </c>
      <c r="CE102" s="313" t="e">
        <f>IF($J102="",#N/A,SUM(CD$4:CD102))</f>
        <v>#N/A</v>
      </c>
      <c r="CF102" s="314" t="str">
        <f t="shared" si="154"/>
        <v/>
      </c>
      <c r="CG102" s="314" t="e">
        <f>IF($J102="",#N/A,SUM(CF$4:CF102))</f>
        <v>#N/A</v>
      </c>
      <c r="CH102" s="315" t="str">
        <f t="shared" si="155"/>
        <v/>
      </c>
      <c r="CI102" s="315" t="e">
        <f>IF($J102="",#N/A,SUM(CH$4:CH102))</f>
        <v>#N/A</v>
      </c>
      <c r="CJ102" s="315" t="e">
        <f>IF($J102="",#N/A,SUM(CH$4:CH102,CF$4:CF102,CD$4:CD102))</f>
        <v>#N/A</v>
      </c>
      <c r="CK102" s="304" t="str">
        <f t="shared" si="156"/>
        <v/>
      </c>
      <c r="CL102" s="313" t="e">
        <f>IF($J102="",#N/A,SUM(CK$4:CK102))</f>
        <v>#N/A</v>
      </c>
      <c r="CM102" s="314" t="str">
        <f t="shared" si="157"/>
        <v/>
      </c>
      <c r="CN102" s="314" t="e">
        <f>IF($J102="",#N/A,SUM(CM$4:CM102))</f>
        <v>#N/A</v>
      </c>
      <c r="CO102" s="315" t="str">
        <f t="shared" si="158"/>
        <v/>
      </c>
      <c r="CP102" s="315" t="e">
        <f>IF($J102="",#N/A,SUM(CO$4:CO102))</f>
        <v>#N/A</v>
      </c>
      <c r="CQ102" s="315" t="e">
        <f>IF($J102="",#N/A,SUM(CO$4:CO102,CM$4:CM102,CK$4:CK102))</f>
        <v>#N/A</v>
      </c>
      <c r="CR102" s="304" t="str">
        <f t="shared" si="159"/>
        <v/>
      </c>
      <c r="CS102" s="313" t="e">
        <f>IF($J102="",#N/A,SUM(CR$4:CR102))</f>
        <v>#N/A</v>
      </c>
      <c r="CT102" s="314" t="str">
        <f t="shared" si="160"/>
        <v/>
      </c>
      <c r="CU102" s="314" t="e">
        <f>IF($J102="",#N/A,SUM(CT$4:CT102))</f>
        <v>#N/A</v>
      </c>
      <c r="CV102" s="315" t="str">
        <f t="shared" si="161"/>
        <v/>
      </c>
      <c r="CW102" s="315" t="e">
        <f>IF($J102="",#N/A,SUM(CV$4:CV102))</f>
        <v>#N/A</v>
      </c>
      <c r="CX102" s="315" t="e">
        <f>IF($J102="",#N/A,SUM(CV$4:CV102,CT$4:CT102,CR$4:CR102))</f>
        <v>#N/A</v>
      </c>
      <c r="CY102" s="304" t="str">
        <f t="shared" si="162"/>
        <v/>
      </c>
      <c r="CZ102" s="313" t="e">
        <f>IF($J102="",#N/A,SUM(CY$4:CY102))</f>
        <v>#N/A</v>
      </c>
      <c r="DA102" s="314" t="str">
        <f t="shared" si="163"/>
        <v/>
      </c>
      <c r="DB102" s="314" t="e">
        <f>IF($J102="",#N/A,SUM(DA$4:DA102))</f>
        <v>#N/A</v>
      </c>
      <c r="DC102" s="315" t="str">
        <f t="shared" si="164"/>
        <v/>
      </c>
      <c r="DD102" s="315" t="e">
        <f>IF($J102="",#N/A,SUM(DC$4:DC102))</f>
        <v>#N/A</v>
      </c>
      <c r="DE102" s="315" t="e">
        <f>IF($J102="",#N/A,SUM(DC$4:DC102,DA$4:DA102,CY$4:CY102))</f>
        <v>#N/A</v>
      </c>
      <c r="DF102" s="304" t="str">
        <f t="shared" si="165"/>
        <v/>
      </c>
      <c r="DG102" s="313" t="e">
        <f>IF($J102="",#N/A,SUM(DF$4:DF102))</f>
        <v>#N/A</v>
      </c>
      <c r="DH102" s="314" t="str">
        <f t="shared" si="166"/>
        <v/>
      </c>
      <c r="DI102" s="314" t="e">
        <f>IF($J102="",#N/A,SUM(DH$4:DH102))</f>
        <v>#N/A</v>
      </c>
      <c r="DJ102" s="315" t="str">
        <f t="shared" si="167"/>
        <v/>
      </c>
      <c r="DK102" s="315" t="e">
        <f>IF($J102="",#N/A,SUM(DJ$4:DJ102))</f>
        <v>#N/A</v>
      </c>
      <c r="DL102" s="315" t="e">
        <f>IF($J102="",#N/A,SUM(DJ$4:DJ102,DH$4:DH102,DF$4:DF102))</f>
        <v>#N/A</v>
      </c>
      <c r="DM102" s="304" t="str">
        <f t="shared" si="168"/>
        <v/>
      </c>
      <c r="DN102" s="313" t="e">
        <f>IF($J102="",#N/A,SUM(DM$4:DM102))</f>
        <v>#N/A</v>
      </c>
      <c r="DO102" s="314" t="str">
        <f t="shared" si="169"/>
        <v/>
      </c>
      <c r="DP102" s="314" t="e">
        <f>IF($J102="",#N/A,SUM(DO$4:DO102))</f>
        <v>#N/A</v>
      </c>
      <c r="DQ102" s="315" t="str">
        <f t="shared" si="170"/>
        <v/>
      </c>
      <c r="DR102" s="315" t="e">
        <f>IF($J102="",#N/A,SUM(DQ$4:DQ102))</f>
        <v>#N/A</v>
      </c>
      <c r="DS102" s="315" t="e">
        <f>IF($J102="",#N/A,SUM(DQ$4:DQ102,DO$4:DO102,DM$4:DM102))</f>
        <v>#N/A</v>
      </c>
      <c r="DT102" s="304" t="str">
        <f t="shared" si="171"/>
        <v/>
      </c>
      <c r="DU102" s="313" t="e">
        <f>IF($J102="",#N/A,SUM(DT$4:DT102))</f>
        <v>#N/A</v>
      </c>
      <c r="DV102" s="314" t="str">
        <f t="shared" si="172"/>
        <v/>
      </c>
      <c r="DW102" s="314" t="e">
        <f>IF($J102="",#N/A,SUM(DV$4:DV102))</f>
        <v>#N/A</v>
      </c>
      <c r="DX102" s="315" t="str">
        <f t="shared" si="173"/>
        <v/>
      </c>
      <c r="DY102" s="315" t="e">
        <f>IF($J102="",#N/A,SUM(DX$4:DX102))</f>
        <v>#N/A</v>
      </c>
      <c r="DZ102" s="315" t="e">
        <f>IF($J102="",#N/A,SUM(DX$4:DX102,DV$4:DV102,DT$4:DT102))</f>
        <v>#N/A</v>
      </c>
      <c r="EA102" s="304" t="str">
        <f t="shared" si="174"/>
        <v/>
      </c>
      <c r="EB102" s="313" t="e">
        <f>IF($J102="",#N/A,SUM(EA$4:EA102))</f>
        <v>#N/A</v>
      </c>
      <c r="EC102" s="314" t="str">
        <f t="shared" si="175"/>
        <v/>
      </c>
      <c r="ED102" s="314" t="e">
        <f>IF($J102="",#N/A,SUM(EC$4:EC102))</f>
        <v>#N/A</v>
      </c>
      <c r="EE102" s="315" t="str">
        <f t="shared" si="176"/>
        <v/>
      </c>
      <c r="EF102" s="315" t="e">
        <f>IF($J102="",#N/A,SUM(EE$4:EE102))</f>
        <v>#N/A</v>
      </c>
      <c r="EG102" s="315" t="e">
        <f>IF($J102="",#N/A,SUM(EE$4:EE102,EC$4:EC102,EA$4:EA102))</f>
        <v>#N/A</v>
      </c>
      <c r="EH102" s="130">
        <f t="shared" si="177"/>
        <v>-33.32000000000005</v>
      </c>
      <c r="EI102" s="63">
        <f>IF(EH102="",#N/A,SUM($EH$4:EH102))</f>
        <v>492.02428857408904</v>
      </c>
      <c r="EJ102" s="223" t="e">
        <f t="shared" si="178"/>
        <v>#N/A</v>
      </c>
      <c r="EK102" s="63" t="e">
        <f>IF($GZ102="",#N/A,SUM(EJ$4:EJ102))</f>
        <v>#N/A</v>
      </c>
      <c r="EL102" s="60">
        <f t="shared" si="209"/>
        <v>-1.2863275579851157</v>
      </c>
      <c r="EM102" s="60">
        <f>IF(EL102="",NA(),SUM($EL$4:EL102))</f>
        <v>19.149185523415163</v>
      </c>
      <c r="EN102" s="60" t="str">
        <f t="shared" si="179"/>
        <v/>
      </c>
      <c r="EO102" s="60" t="e">
        <f>IF(EN102="",NA(),SUM($EN$4:EN102))</f>
        <v>#N/A</v>
      </c>
      <c r="EP102" s="60">
        <f t="shared" si="180"/>
        <v>-1.2863275579851157</v>
      </c>
      <c r="EQ102" s="60">
        <f>IF(EP102="",NA(),SUM($EP$4:EP102))</f>
        <v>10.94536109559286</v>
      </c>
      <c r="ER102" s="60" t="str">
        <f t="shared" si="181"/>
        <v/>
      </c>
      <c r="ES102" s="60" t="e">
        <f>IF(ER102="",NA(),SUM($ER$4:ER102))</f>
        <v>#N/A</v>
      </c>
      <c r="ET102" s="60" t="str">
        <f t="shared" si="182"/>
        <v/>
      </c>
      <c r="EU102" s="60" t="e">
        <f>IF(ET102="",NA(),SUM($ET$4:ET102))</f>
        <v>#N/A</v>
      </c>
      <c r="EV102" s="60" t="str">
        <f t="shared" si="183"/>
        <v/>
      </c>
      <c r="EW102" s="60" t="e">
        <f>IF(EV102="",NA(),SUM($EV$4:EV102))</f>
        <v>#N/A</v>
      </c>
      <c r="EX102" s="60" t="str">
        <f t="shared" si="184"/>
        <v/>
      </c>
      <c r="EY102" s="60" t="e">
        <f>IF(EX102="",NA(),SUM($EX$4:EX102))</f>
        <v>#N/A</v>
      </c>
      <c r="EZ102" s="60" t="str">
        <f t="shared" si="185"/>
        <v/>
      </c>
      <c r="FA102" s="60" t="e">
        <f>IF(EZ102="",NA(),SUM($EZ$4:EZ102))</f>
        <v>#N/A</v>
      </c>
      <c r="FB102" s="246" t="str">
        <f t="shared" si="210"/>
        <v/>
      </c>
      <c r="FC102" s="246" t="e">
        <f>IF($FB102="",#N/A,SUM(FB$4:$FB102))</f>
        <v>#N/A</v>
      </c>
      <c r="FD102" s="60" t="str">
        <f t="shared" si="186"/>
        <v/>
      </c>
      <c r="FE102" s="60" t="e">
        <f>IF($FD102="",#N/A,SUM($FD$4:FD102))</f>
        <v>#N/A</v>
      </c>
      <c r="FF102" s="60" t="str">
        <f t="shared" si="187"/>
        <v/>
      </c>
      <c r="FG102" s="60" t="e">
        <f>IF($FF102="",#N/A,SUM($FF$4:FF102))</f>
        <v>#N/A</v>
      </c>
      <c r="FH102" s="60" t="str">
        <f t="shared" si="188"/>
        <v/>
      </c>
      <c r="FI102" s="60" t="e">
        <f>IF($FH102="",#N/A,SUM($FH$4:FH102))</f>
        <v>#N/A</v>
      </c>
      <c r="FJ102" s="60" t="str">
        <f t="shared" si="189"/>
        <v/>
      </c>
      <c r="FK102" s="60" t="e">
        <f>IF($FJ102="",#N/A,SUM($FJ$4:FJ102))</f>
        <v>#N/A</v>
      </c>
      <c r="FL102" s="60">
        <f t="shared" si="190"/>
        <v>0.12971370332623056</v>
      </c>
      <c r="FM102" s="60">
        <f>IF($FL102="",#N/A,SUM($FL$4:FL102))</f>
        <v>2.0831563255923591</v>
      </c>
      <c r="FN102" s="82">
        <f t="shared" si="191"/>
        <v>-1.1566138546588851</v>
      </c>
      <c r="FO102" s="82">
        <f>IF($FN102="",#N/A,SUM(FN$4:$FN102))</f>
        <v>28.830850044866736</v>
      </c>
      <c r="FP102" s="82">
        <f t="shared" si="211"/>
        <v>-1.2863275579851157</v>
      </c>
      <c r="FQ102" s="246">
        <f>IF($EH102="",#N/A,SUM($FP$4:FP102))</f>
        <v>19.02853747101944</v>
      </c>
      <c r="FR102" s="82">
        <f>IFERROR(FQ102/COUNTA($J$4:J102),#N/A)</f>
        <v>0.19220744920221658</v>
      </c>
      <c r="FS102" s="82">
        <f>IFERROR(($FQ102-$FQ59)/COUNTA($J59:$J102),#N/A)</f>
        <v>0.1150274920479951</v>
      </c>
      <c r="FT102" s="82">
        <f t="shared" si="220"/>
        <v>5.004350300275559E-2</v>
      </c>
      <c r="FU102" s="337">
        <f>IF(AND(HB102="MOC",GZ102=""),#N/A,IFERROR(FQ102-HE102,FQ102-0))-14.53</f>
        <v>5.9661157391442909</v>
      </c>
      <c r="FV102" s="57" t="str">
        <f t="shared" si="192"/>
        <v>SW</v>
      </c>
      <c r="FW102" s="57" t="s">
        <v>2732</v>
      </c>
      <c r="FX102" s="57" t="str">
        <f t="shared" si="193"/>
        <v/>
      </c>
      <c r="FY102" s="57" t="str">
        <f t="shared" si="194"/>
        <v/>
      </c>
      <c r="FZ102" s="57" t="str">
        <f t="shared" si="195"/>
        <v/>
      </c>
      <c r="GA102" s="57" t="str">
        <f t="shared" si="196"/>
        <v>Long</v>
      </c>
      <c r="GB102" s="57" t="str">
        <f t="shared" si="197"/>
        <v/>
      </c>
      <c r="GC102" s="57" t="str">
        <f t="shared" si="198"/>
        <v/>
      </c>
      <c r="GD102" s="57">
        <f t="shared" si="199"/>
        <v>1</v>
      </c>
      <c r="GE102" s="62">
        <f t="shared" si="114"/>
        <v>107.93</v>
      </c>
      <c r="GF102" s="62" t="s">
        <v>2779</v>
      </c>
      <c r="GG102" s="199">
        <v>4</v>
      </c>
      <c r="GH102" s="207">
        <f t="shared" si="200"/>
        <v>431.72</v>
      </c>
      <c r="GI102" s="199">
        <v>4</v>
      </c>
      <c r="GJ102" s="200">
        <v>99.6</v>
      </c>
      <c r="GK102" s="63">
        <f t="shared" si="201"/>
        <v>-33.32000000000005</v>
      </c>
      <c r="GL102" s="63">
        <f t="shared" si="115"/>
        <v>-29.960000000000036</v>
      </c>
      <c r="GM102" s="82">
        <f t="shared" si="202"/>
        <v>-1.1566138546588851</v>
      </c>
      <c r="GN102" s="82">
        <f>IF($GZ102="",#N/A,SUM(GM$4:GM102))</f>
        <v>14.356503598620787</v>
      </c>
      <c r="GO102" s="82" t="str">
        <f t="shared" si="203"/>
        <v/>
      </c>
      <c r="GP102" s="82">
        <f>IF($GZ102="",#N/A,SUM(GO$4:GO102))</f>
        <v>9.4128017764878535</v>
      </c>
      <c r="GQ102" s="82" t="str">
        <f t="shared" si="204"/>
        <v/>
      </c>
      <c r="GR102" s="82">
        <f>IF($GZ102="",#N/A,SUM(GQ$4:GQ102))</f>
        <v>4.4357077153157531</v>
      </c>
      <c r="GS102" s="63" t="e">
        <f t="shared" si="212"/>
        <v>#N/A</v>
      </c>
      <c r="GT102" s="63" t="e">
        <f>IF($GZ102="",#N/A,SUM(GS$4:GS102))</f>
        <v>#N/A</v>
      </c>
      <c r="GU102" s="63" t="str">
        <f t="shared" si="213"/>
        <v/>
      </c>
      <c r="GV102" s="63" t="e">
        <f>IF($GZ102="",#N/A,SUM(GU$4:GU102))</f>
        <v>#N/A</v>
      </c>
      <c r="GW102" s="63" t="str">
        <f t="shared" si="214"/>
        <v/>
      </c>
      <c r="GX102" s="63" t="e">
        <f>IF($GZ102="",#N/A,SUM(GW$4:GW102))</f>
        <v>#N/A</v>
      </c>
      <c r="GY102" s="63" t="e">
        <f>IF(EJ102="",#N/A,SUM($EJ$4:EJ102))</f>
        <v>#N/A</v>
      </c>
      <c r="GZ102" s="159">
        <v>100.44</v>
      </c>
      <c r="HA102" s="63">
        <f t="shared" si="205"/>
        <v>3.3600000000000136</v>
      </c>
      <c r="HB102" s="62" t="s">
        <v>2538</v>
      </c>
      <c r="HC102" s="60">
        <f>IFERROR(VLOOKUP(E102,Expectancy!$P$4:$S$19,1+C102,FALSE),"")</f>
        <v>2.40735201201209E-2</v>
      </c>
      <c r="HD102" s="82">
        <f t="shared" si="206"/>
        <v>-1.2863275579851157</v>
      </c>
      <c r="HE102" s="60">
        <f>IF(HD102="",#N/A,SUM($HD$4:HD102))</f>
        <v>-1.4675782681248497</v>
      </c>
      <c r="HF102" s="85">
        <f>IF(HD102="",#N/A,IF(HB102="Skip",#N/A,SUM($HG$4:HG102)))</f>
        <v>-15.399999999999977</v>
      </c>
      <c r="HG102" s="63">
        <f t="shared" si="207"/>
        <v>-33.32000000000005</v>
      </c>
      <c r="HH102" s="82">
        <f t="shared" si="208"/>
        <v>-1.1566138546588851</v>
      </c>
    </row>
    <row r="103" spans="1:216" x14ac:dyDescent="0.25">
      <c r="A103" s="57" t="s">
        <v>1096</v>
      </c>
      <c r="B103" s="58" t="s">
        <v>5153</v>
      </c>
      <c r="C103" s="386">
        <f t="shared" si="118"/>
        <v>1</v>
      </c>
      <c r="D103" s="372" t="str">
        <f>_xlfn.XLOOKUP(A103,[1]SP500!$A$2:$A$502,[1]SP500!$D$2:$D$502,"N")</f>
        <v>N</v>
      </c>
      <c r="E103" s="57" t="str">
        <f>_xlfn.XLOOKUP(A103,[1]SP500!$A$2:$A$655,[1]SP500!$B$2:$B$655)</f>
        <v>IGV</v>
      </c>
      <c r="F103" s="227">
        <v>45686</v>
      </c>
      <c r="G103" s="57" t="str">
        <f t="shared" si="119"/>
        <v>AMC</v>
      </c>
      <c r="H103" s="57" t="str">
        <f t="shared" si="120"/>
        <v>o</v>
      </c>
      <c r="I103" s="159">
        <v>80.63</v>
      </c>
      <c r="J103" s="159">
        <v>83</v>
      </c>
      <c r="K103" s="61">
        <f t="shared" si="121"/>
        <v>2.939352598288484E-2</v>
      </c>
      <c r="L103" s="87">
        <f t="shared" si="122"/>
        <v>11.757410393153918</v>
      </c>
      <c r="M103" s="214" t="e">
        <f t="shared" si="112"/>
        <v>#N/A</v>
      </c>
      <c r="N103" s="169">
        <f t="shared" si="123"/>
        <v>11.757410393153918</v>
      </c>
      <c r="O103" s="169">
        <f>IF($J103="",#N/A,SUM($N$4:N103))</f>
        <v>203.62810757134338</v>
      </c>
      <c r="P103" s="174" t="str">
        <f t="shared" si="124"/>
        <v/>
      </c>
      <c r="Q103" s="174">
        <f>IF($J103="",#N/A,SUM($P$4:P103))</f>
        <v>42.406464916880907</v>
      </c>
      <c r="R103" s="178" t="str">
        <f t="shared" si="125"/>
        <v/>
      </c>
      <c r="S103" s="178">
        <f>IF($J103="",#N/A,SUM($R$4:R103))</f>
        <v>257.74712647901862</v>
      </c>
      <c r="T103" s="290">
        <f t="shared" si="126"/>
        <v>0.48989209971474662</v>
      </c>
      <c r="U103" s="290">
        <f>IF($J103="",#N/A,SUM($T$4:T103))</f>
        <v>7.3105072938311952</v>
      </c>
      <c r="V103" s="291" t="str">
        <f t="shared" si="127"/>
        <v/>
      </c>
      <c r="W103" s="291">
        <f>IF($J103="",#N/A,SUM($V$4:V103))</f>
        <v>1.3832092337058488</v>
      </c>
      <c r="X103" s="292" t="str">
        <f t="shared" si="128"/>
        <v/>
      </c>
      <c r="Y103" s="283">
        <f>IF($J103="",#N/A,SUM($X$4:X103))</f>
        <v>10.824713043197134</v>
      </c>
      <c r="Z103" s="304" t="str">
        <f t="shared" si="129"/>
        <v/>
      </c>
      <c r="AA103" s="313" t="e">
        <f>IF($J103="",#N/A,SUM(Z$4:Z103))</f>
        <v>#N/A</v>
      </c>
      <c r="AB103" s="314" t="str">
        <f t="shared" si="130"/>
        <v/>
      </c>
      <c r="AC103" s="314" t="e">
        <f>IF($J103="",#N/A,SUM(AB$4:AB103))</f>
        <v>#N/A</v>
      </c>
      <c r="AD103" s="315" t="str">
        <f t="shared" si="131"/>
        <v/>
      </c>
      <c r="AE103" s="315" t="e">
        <f>IF($J103="",#N/A,SUM(AD$4:AD103))</f>
        <v>#N/A</v>
      </c>
      <c r="AF103" s="315" t="e">
        <f>IF($J103="",#N/A,SUM(AD$4:AD103,AB$4:AB103,Z$4:Z103))</f>
        <v>#N/A</v>
      </c>
      <c r="AG103" s="304">
        <f t="shared" si="132"/>
        <v>0.48989209971474662</v>
      </c>
      <c r="AH103" s="313" t="e">
        <f>IF($J103="",#N/A,SUM(AG$4:AG103))</f>
        <v>#N/A</v>
      </c>
      <c r="AI103" s="314" t="str">
        <f t="shared" si="133"/>
        <v/>
      </c>
      <c r="AJ103" s="314" t="e">
        <f>IF($J103="",#N/A,SUM(AI$4:AI103))</f>
        <v>#N/A</v>
      </c>
      <c r="AK103" s="315" t="str">
        <f t="shared" si="134"/>
        <v/>
      </c>
      <c r="AL103" s="315" t="e">
        <f>IF($J103="",#N/A,SUM(AK$4:AK103))</f>
        <v>#N/A</v>
      </c>
      <c r="AM103" s="315" t="e">
        <f>IF($J103="",#N/A,SUM(AK$4:AK103,AI$4:AI103,AG$4:AG103))</f>
        <v>#N/A</v>
      </c>
      <c r="AN103" s="304" t="str">
        <f t="shared" si="135"/>
        <v/>
      </c>
      <c r="AO103" s="313" t="e">
        <f>IF($J103="",#N/A,SUM(AN$4:AN103))</f>
        <v>#N/A</v>
      </c>
      <c r="AP103" s="314" t="str">
        <f t="shared" si="136"/>
        <v/>
      </c>
      <c r="AQ103" s="314" t="e">
        <f>IF($J103="",#N/A,SUM(AP$4:AP103))</f>
        <v>#N/A</v>
      </c>
      <c r="AR103" s="315" t="str">
        <f t="shared" si="137"/>
        <v/>
      </c>
      <c r="AS103" s="315" t="e">
        <f>IF($J103="",#N/A,SUM(AR$4:AR103))</f>
        <v>#N/A</v>
      </c>
      <c r="AT103" s="315" t="e">
        <f>IF($J103="",#N/A,SUM(AR$4:AR103,AP$4:AP103,AN$4:AN103))</f>
        <v>#N/A</v>
      </c>
      <c r="AU103" s="304" t="str">
        <f t="shared" si="138"/>
        <v/>
      </c>
      <c r="AV103" s="313" t="e">
        <f>IF($J103="",#N/A,SUM(AU$4:AU103))</f>
        <v>#N/A</v>
      </c>
      <c r="AW103" s="314" t="str">
        <f t="shared" si="139"/>
        <v/>
      </c>
      <c r="AX103" s="314" t="e">
        <f>IF($J103="",#N/A,SUM(AW$4:AW103))</f>
        <v>#N/A</v>
      </c>
      <c r="AY103" s="315" t="str">
        <f t="shared" si="140"/>
        <v/>
      </c>
      <c r="AZ103" s="315" t="e">
        <f>IF($J103="",#N/A,SUM(AY$4:AY103))</f>
        <v>#N/A</v>
      </c>
      <c r="BA103" s="315" t="e">
        <f>IF($J103="",#N/A,SUM(AY$4:AY103,AW$4:AW103,AU$4:AU103))</f>
        <v>#N/A</v>
      </c>
      <c r="BB103" s="304" t="str">
        <f t="shared" si="141"/>
        <v/>
      </c>
      <c r="BC103" s="313" t="e">
        <f>IF($J103="",#N/A,SUM(BB$4:BB103))</f>
        <v>#N/A</v>
      </c>
      <c r="BD103" s="314" t="str">
        <f t="shared" si="142"/>
        <v/>
      </c>
      <c r="BE103" s="314" t="e">
        <f>IF($J103="",#N/A,SUM(BD$4:BD103))</f>
        <v>#N/A</v>
      </c>
      <c r="BF103" s="315" t="str">
        <f t="shared" si="143"/>
        <v/>
      </c>
      <c r="BG103" s="315" t="e">
        <f>IF($J103="",#N/A,SUM(BF$4:BF103))</f>
        <v>#N/A</v>
      </c>
      <c r="BH103" s="315" t="e">
        <f>IF($J103="",#N/A,SUM(BF$4:BF103,BD$4:BD103,BB$4:BB103))</f>
        <v>#N/A</v>
      </c>
      <c r="BI103" s="304" t="str">
        <f t="shared" si="144"/>
        <v/>
      </c>
      <c r="BJ103" s="313" t="e">
        <f>IF($J103="",#N/A,SUM(BI$4:BI103))</f>
        <v>#N/A</v>
      </c>
      <c r="BK103" s="314" t="str">
        <f t="shared" si="145"/>
        <v/>
      </c>
      <c r="BL103" s="314" t="e">
        <f>IF($J103="",#N/A,SUM(BK$4:BK103))</f>
        <v>#N/A</v>
      </c>
      <c r="BM103" s="315" t="str">
        <f t="shared" si="146"/>
        <v/>
      </c>
      <c r="BN103" s="315" t="e">
        <f>IF($J103="",#N/A,SUM(BM$4:BM103))</f>
        <v>#N/A</v>
      </c>
      <c r="BO103" s="315" t="e">
        <f>IF($J103="",#N/A,SUM(BM$4:BM103,BK$4:BK103,BI$4:BI103))</f>
        <v>#N/A</v>
      </c>
      <c r="BP103" s="304" t="str">
        <f t="shared" si="147"/>
        <v/>
      </c>
      <c r="BQ103" s="313" t="e">
        <f>IF($J103="",#N/A,SUM(BP$4:BP103))</f>
        <v>#N/A</v>
      </c>
      <c r="BR103" s="314" t="str">
        <f t="shared" si="148"/>
        <v/>
      </c>
      <c r="BS103" s="314" t="e">
        <f>IF($J103="",#N/A,SUM(BR$4:BR103))</f>
        <v>#N/A</v>
      </c>
      <c r="BT103" s="315" t="str">
        <f t="shared" si="149"/>
        <v/>
      </c>
      <c r="BU103" s="315" t="e">
        <f>IF($J103="",#N/A,SUM(BT$4:BT103))</f>
        <v>#N/A</v>
      </c>
      <c r="BV103" s="315" t="e">
        <f>IF($J103="",#N/A,SUM(BT$4:BT103,BR$4:BR103,BP$4:BP103))</f>
        <v>#N/A</v>
      </c>
      <c r="BW103" s="304" t="str">
        <f t="shared" si="150"/>
        <v/>
      </c>
      <c r="BX103" s="313" t="e">
        <f>IF($J103="",#N/A,SUM(BW$4:BW103))</f>
        <v>#N/A</v>
      </c>
      <c r="BY103" s="314" t="str">
        <f t="shared" si="151"/>
        <v/>
      </c>
      <c r="BZ103" s="314" t="e">
        <f>IF($J103="",#N/A,SUM(BY$4:BY103))</f>
        <v>#N/A</v>
      </c>
      <c r="CA103" s="315" t="str">
        <f t="shared" si="152"/>
        <v/>
      </c>
      <c r="CB103" s="315" t="e">
        <f>IF($J103="",#N/A,SUM(CA$4:CA103))</f>
        <v>#N/A</v>
      </c>
      <c r="CC103" s="315" t="e">
        <f>IF($J103="",#N/A,SUM(CA$4:CA103,BY$4:BY103,BW$4:BW103))</f>
        <v>#N/A</v>
      </c>
      <c r="CD103" s="304" t="str">
        <f t="shared" si="153"/>
        <v/>
      </c>
      <c r="CE103" s="313" t="e">
        <f>IF($J103="",#N/A,SUM(CD$4:CD103))</f>
        <v>#N/A</v>
      </c>
      <c r="CF103" s="314" t="str">
        <f t="shared" si="154"/>
        <v/>
      </c>
      <c r="CG103" s="314" t="e">
        <f>IF($J103="",#N/A,SUM(CF$4:CF103))</f>
        <v>#N/A</v>
      </c>
      <c r="CH103" s="315" t="str">
        <f t="shared" si="155"/>
        <v/>
      </c>
      <c r="CI103" s="315" t="e">
        <f>IF($J103="",#N/A,SUM(CH$4:CH103))</f>
        <v>#N/A</v>
      </c>
      <c r="CJ103" s="315" t="e">
        <f>IF($J103="",#N/A,SUM(CH$4:CH103,CF$4:CF103,CD$4:CD103))</f>
        <v>#N/A</v>
      </c>
      <c r="CK103" s="304" t="str">
        <f t="shared" si="156"/>
        <v/>
      </c>
      <c r="CL103" s="313" t="e">
        <f>IF($J103="",#N/A,SUM(CK$4:CK103))</f>
        <v>#N/A</v>
      </c>
      <c r="CM103" s="314" t="str">
        <f t="shared" si="157"/>
        <v/>
      </c>
      <c r="CN103" s="314" t="e">
        <f>IF($J103="",#N/A,SUM(CM$4:CM103))</f>
        <v>#N/A</v>
      </c>
      <c r="CO103" s="315" t="str">
        <f t="shared" si="158"/>
        <v/>
      </c>
      <c r="CP103" s="315" t="e">
        <f>IF($J103="",#N/A,SUM(CO$4:CO103))</f>
        <v>#N/A</v>
      </c>
      <c r="CQ103" s="315" t="e">
        <f>IF($J103="",#N/A,SUM(CO$4:CO103,CM$4:CM103,CK$4:CK103))</f>
        <v>#N/A</v>
      </c>
      <c r="CR103" s="304" t="str">
        <f t="shared" si="159"/>
        <v/>
      </c>
      <c r="CS103" s="313" t="e">
        <f>IF($J103="",#N/A,SUM(CR$4:CR103))</f>
        <v>#N/A</v>
      </c>
      <c r="CT103" s="314" t="str">
        <f t="shared" si="160"/>
        <v/>
      </c>
      <c r="CU103" s="314" t="e">
        <f>IF($J103="",#N/A,SUM(CT$4:CT103))</f>
        <v>#N/A</v>
      </c>
      <c r="CV103" s="315" t="str">
        <f t="shared" si="161"/>
        <v/>
      </c>
      <c r="CW103" s="315" t="e">
        <f>IF($J103="",#N/A,SUM(CV$4:CV103))</f>
        <v>#N/A</v>
      </c>
      <c r="CX103" s="315" t="e">
        <f>IF($J103="",#N/A,SUM(CV$4:CV103,CT$4:CT103,CR$4:CR103))</f>
        <v>#N/A</v>
      </c>
      <c r="CY103" s="304" t="str">
        <f t="shared" si="162"/>
        <v/>
      </c>
      <c r="CZ103" s="313" t="e">
        <f>IF($J103="",#N/A,SUM(CY$4:CY103))</f>
        <v>#N/A</v>
      </c>
      <c r="DA103" s="314" t="str">
        <f t="shared" si="163"/>
        <v/>
      </c>
      <c r="DB103" s="314" t="e">
        <f>IF($J103="",#N/A,SUM(DA$4:DA103))</f>
        <v>#N/A</v>
      </c>
      <c r="DC103" s="315" t="str">
        <f t="shared" si="164"/>
        <v/>
      </c>
      <c r="DD103" s="315" t="e">
        <f>IF($J103="",#N/A,SUM(DC$4:DC103))</f>
        <v>#N/A</v>
      </c>
      <c r="DE103" s="315" t="e">
        <f>IF($J103="",#N/A,SUM(DC$4:DC103,DA$4:DA103,CY$4:CY103))</f>
        <v>#N/A</v>
      </c>
      <c r="DF103" s="304" t="str">
        <f t="shared" si="165"/>
        <v/>
      </c>
      <c r="DG103" s="313" t="e">
        <f>IF($J103="",#N/A,SUM(DF$4:DF103))</f>
        <v>#N/A</v>
      </c>
      <c r="DH103" s="314" t="str">
        <f t="shared" si="166"/>
        <v/>
      </c>
      <c r="DI103" s="314" t="e">
        <f>IF($J103="",#N/A,SUM(DH$4:DH103))</f>
        <v>#N/A</v>
      </c>
      <c r="DJ103" s="315" t="str">
        <f t="shared" si="167"/>
        <v/>
      </c>
      <c r="DK103" s="315" t="e">
        <f>IF($J103="",#N/A,SUM(DJ$4:DJ103))</f>
        <v>#N/A</v>
      </c>
      <c r="DL103" s="315" t="e">
        <f>IF($J103="",#N/A,SUM(DJ$4:DJ103,DH$4:DH103,DF$4:DF103))</f>
        <v>#N/A</v>
      </c>
      <c r="DM103" s="304" t="str">
        <f t="shared" si="168"/>
        <v/>
      </c>
      <c r="DN103" s="313" t="e">
        <f>IF($J103="",#N/A,SUM(DM$4:DM103))</f>
        <v>#N/A</v>
      </c>
      <c r="DO103" s="314" t="str">
        <f t="shared" si="169"/>
        <v/>
      </c>
      <c r="DP103" s="314" t="e">
        <f>IF($J103="",#N/A,SUM(DO$4:DO103))</f>
        <v>#N/A</v>
      </c>
      <c r="DQ103" s="315" t="str">
        <f t="shared" si="170"/>
        <v/>
      </c>
      <c r="DR103" s="315" t="e">
        <f>IF($J103="",#N/A,SUM(DQ$4:DQ103))</f>
        <v>#N/A</v>
      </c>
      <c r="DS103" s="315" t="e">
        <f>IF($J103="",#N/A,SUM(DQ$4:DQ103,DO$4:DO103,DM$4:DM103))</f>
        <v>#N/A</v>
      </c>
      <c r="DT103" s="304" t="str">
        <f t="shared" si="171"/>
        <v/>
      </c>
      <c r="DU103" s="313" t="e">
        <f>IF($J103="",#N/A,SUM(DT$4:DT103))</f>
        <v>#N/A</v>
      </c>
      <c r="DV103" s="314" t="str">
        <f t="shared" si="172"/>
        <v/>
      </c>
      <c r="DW103" s="314" t="e">
        <f>IF($J103="",#N/A,SUM(DV$4:DV103))</f>
        <v>#N/A</v>
      </c>
      <c r="DX103" s="315" t="str">
        <f t="shared" si="173"/>
        <v/>
      </c>
      <c r="DY103" s="315" t="e">
        <f>IF($J103="",#N/A,SUM(DX$4:DX103))</f>
        <v>#N/A</v>
      </c>
      <c r="DZ103" s="315" t="e">
        <f>IF($J103="",#N/A,SUM(DX$4:DX103,DV$4:DV103,DT$4:DT103))</f>
        <v>#N/A</v>
      </c>
      <c r="EA103" s="304" t="str">
        <f t="shared" si="174"/>
        <v/>
      </c>
      <c r="EB103" s="313" t="e">
        <f>IF($J103="",#N/A,SUM(EA$4:EA103))</f>
        <v>#N/A</v>
      </c>
      <c r="EC103" s="314" t="str">
        <f t="shared" si="175"/>
        <v/>
      </c>
      <c r="ED103" s="314" t="e">
        <f>IF($J103="",#N/A,SUM(EC$4:EC103))</f>
        <v>#N/A</v>
      </c>
      <c r="EE103" s="315" t="str">
        <f t="shared" si="176"/>
        <v/>
      </c>
      <c r="EF103" s="315" t="e">
        <f>IF($J103="",#N/A,SUM(EE$4:EE103))</f>
        <v>#N/A</v>
      </c>
      <c r="EG103" s="315" t="e">
        <f>IF($J103="",#N/A,SUM(EE$4:EE103,EC$4:EC103,EA$4:EA103))</f>
        <v>#N/A</v>
      </c>
      <c r="EH103" s="130">
        <f t="shared" si="177"/>
        <v>11.757410393153918</v>
      </c>
      <c r="EI103" s="63">
        <f>IF(EH103="",#N/A,SUM($EH$4:EH103))</f>
        <v>503.78169896724296</v>
      </c>
      <c r="EJ103" s="223" t="e">
        <f t="shared" si="178"/>
        <v>#N/A</v>
      </c>
      <c r="EK103" s="63" t="e">
        <f>IF($GZ103="",#N/A,SUM(EJ$4:EJ103))</f>
        <v>#N/A</v>
      </c>
      <c r="EL103" s="60" t="str">
        <f t="shared" si="209"/>
        <v/>
      </c>
      <c r="EM103" s="60" t="e">
        <f>IF(EL103="",NA(),SUM($EL$4:EL103))</f>
        <v>#N/A</v>
      </c>
      <c r="EN103" s="60" t="str">
        <f t="shared" si="179"/>
        <v/>
      </c>
      <c r="EO103" s="60" t="e">
        <f>IF(EN103="",NA(),SUM($EN$4:EN103))</f>
        <v>#N/A</v>
      </c>
      <c r="EP103" s="60" t="str">
        <f t="shared" si="180"/>
        <v/>
      </c>
      <c r="EQ103" s="60" t="e">
        <f>IF(EP103="",NA(),SUM($EP$4:EP103))</f>
        <v>#N/A</v>
      </c>
      <c r="ER103" s="60" t="str">
        <f t="shared" si="181"/>
        <v/>
      </c>
      <c r="ES103" s="60" t="e">
        <f>IF(ER103="",NA(),SUM($ER$4:ER103))</f>
        <v>#N/A</v>
      </c>
      <c r="ET103" s="60">
        <f t="shared" si="182"/>
        <v>0.48989209971474662</v>
      </c>
      <c r="EU103" s="60">
        <f>IF(ET103="",NA(),SUM($ET$4:ET103))</f>
        <v>0.36924404731901972</v>
      </c>
      <c r="EV103" s="60">
        <f t="shared" si="183"/>
        <v>0.48989209971474662</v>
      </c>
      <c r="EW103" s="60">
        <f>IF(EV103="",NA(),SUM($EV$4:EV103))</f>
        <v>0.48989209971474662</v>
      </c>
      <c r="EX103" s="60" t="str">
        <f t="shared" si="184"/>
        <v/>
      </c>
      <c r="EY103" s="60" t="e">
        <f>IF(EX103="",NA(),SUM($EX$4:EX103))</f>
        <v>#N/A</v>
      </c>
      <c r="EZ103" s="60" t="str">
        <f t="shared" si="185"/>
        <v/>
      </c>
      <c r="FA103" s="60" t="e">
        <f>IF(EZ103="",NA(),SUM($EZ$4:EZ103))</f>
        <v>#N/A</v>
      </c>
      <c r="FB103" s="246" t="str">
        <f t="shared" si="210"/>
        <v/>
      </c>
      <c r="FC103" s="246" t="e">
        <f>IF($FB103="",#N/A,SUM(FB$4:$FB103))</f>
        <v>#N/A</v>
      </c>
      <c r="FD103" s="60" t="str">
        <f t="shared" si="186"/>
        <v/>
      </c>
      <c r="FE103" s="60" t="e">
        <f>IF($FD103="",#N/A,SUM($FD$4:FD103))</f>
        <v>#N/A</v>
      </c>
      <c r="FF103" s="60">
        <f t="shared" si="187"/>
        <v>0.89296787796105548</v>
      </c>
      <c r="FG103" s="60">
        <f>IF($FF103="",#N/A,SUM($FF$4:FF103))</f>
        <v>1.2579439576079099</v>
      </c>
      <c r="FH103" s="60" t="str">
        <f t="shared" si="188"/>
        <v/>
      </c>
      <c r="FI103" s="60" t="e">
        <f>IF($FH103="",#N/A,SUM($FH$4:FH103))</f>
        <v>#N/A</v>
      </c>
      <c r="FJ103" s="60" t="str">
        <f t="shared" si="189"/>
        <v/>
      </c>
      <c r="FK103" s="60" t="e">
        <f>IF($FJ103="",#N/A,SUM($FJ$4:FJ103))</f>
        <v>#N/A</v>
      </c>
      <c r="FL103" s="60" t="str">
        <f t="shared" si="190"/>
        <v/>
      </c>
      <c r="FM103" s="60" t="e">
        <f>IF($FL103="",#N/A,SUM($FL$4:FL103))</f>
        <v>#N/A</v>
      </c>
      <c r="FN103" s="82">
        <f t="shared" si="191"/>
        <v>1.3828599776758022</v>
      </c>
      <c r="FO103" s="82">
        <f>IF($FN103="",#N/A,SUM(FN$4:$FN103))</f>
        <v>30.213710022542539</v>
      </c>
      <c r="FP103" s="82">
        <f t="shared" si="211"/>
        <v>0.48989209971474662</v>
      </c>
      <c r="FQ103" s="246">
        <f>IF($EH103="",#N/A,SUM($FP$4:FP103))</f>
        <v>19.518429570734188</v>
      </c>
      <c r="FR103" s="82">
        <f>IFERROR(FQ103/COUNTA($J$4:J103),#N/A)</f>
        <v>0.19518429570734189</v>
      </c>
      <c r="FS103" s="82" t="e">
        <f>IFERROR(($FQ103-#REF!)/COUNTA($J60:$J103),#N/A)</f>
        <v>#N/A</v>
      </c>
      <c r="FT103" s="82">
        <f t="shared" si="220"/>
        <v>9.2808070351738117E-2</v>
      </c>
      <c r="FU103" s="273"/>
      <c r="FV103" s="57" t="str">
        <f t="shared" si="192"/>
        <v>Up</v>
      </c>
      <c r="FW103" s="57" t="s">
        <v>2733</v>
      </c>
      <c r="FX103" s="57">
        <f t="shared" si="193"/>
        <v>1</v>
      </c>
      <c r="FY103" s="57" t="str">
        <f t="shared" si="194"/>
        <v/>
      </c>
      <c r="FZ103" s="57" t="str">
        <f t="shared" si="195"/>
        <v/>
      </c>
      <c r="GA103" s="57" t="str">
        <f t="shared" si="196"/>
        <v>Long</v>
      </c>
      <c r="GB103" s="57" t="str">
        <f t="shared" si="197"/>
        <v/>
      </c>
      <c r="GC103" s="57" t="str">
        <f t="shared" si="198"/>
        <v/>
      </c>
      <c r="GD103" s="57" t="str">
        <f t="shared" si="199"/>
        <v/>
      </c>
      <c r="GE103" s="62">
        <f t="shared" si="114"/>
        <v>80.63</v>
      </c>
      <c r="GF103" s="62" t="s">
        <v>2779</v>
      </c>
      <c r="GG103" s="99">
        <f>400/I103</f>
        <v>4.9609326553392039</v>
      </c>
      <c r="GH103" s="207">
        <f t="shared" si="200"/>
        <v>400</v>
      </c>
      <c r="GI103" s="99">
        <f>GG103</f>
        <v>4.9609326553392039</v>
      </c>
      <c r="GJ103" s="98">
        <f>J103</f>
        <v>83</v>
      </c>
      <c r="GK103" s="63">
        <f t="shared" si="201"/>
        <v>11.757410393153918</v>
      </c>
      <c r="GL103" s="63">
        <f t="shared" si="115"/>
        <v>33.18863946421925</v>
      </c>
      <c r="GM103" s="82" t="str">
        <f t="shared" si="202"/>
        <v/>
      </c>
      <c r="GN103" s="82">
        <f>IF($GZ103="",#N/A,SUM(GM$4:GM103))</f>
        <v>14.356503598620787</v>
      </c>
      <c r="GO103" s="82">
        <f t="shared" si="203"/>
        <v>1.3828599776758022</v>
      </c>
      <c r="GP103" s="82">
        <f>IF($GZ103="",#N/A,SUM(GO$4:GO103))</f>
        <v>10.795661754163655</v>
      </c>
      <c r="GQ103" s="82" t="str">
        <f t="shared" si="204"/>
        <v/>
      </c>
      <c r="GR103" s="82">
        <f>IF($GZ103="",#N/A,SUM(GQ$4:GQ103))</f>
        <v>4.4357077153157531</v>
      </c>
      <c r="GS103" s="63" t="str">
        <f t="shared" si="212"/>
        <v/>
      </c>
      <c r="GT103" s="63" t="e">
        <f>IF($GZ103="",#N/A,SUM(GS$4:GS103))</f>
        <v>#N/A</v>
      </c>
      <c r="GU103" s="63" t="e">
        <f t="shared" si="213"/>
        <v>#N/A</v>
      </c>
      <c r="GV103" s="63" t="e">
        <f>IF($GZ103="",#N/A,SUM(GU$4:GU103))</f>
        <v>#N/A</v>
      </c>
      <c r="GW103" s="63" t="str">
        <f t="shared" si="214"/>
        <v/>
      </c>
      <c r="GX103" s="63" t="e">
        <f>IF($GZ103="",#N/A,SUM(GW$4:GW103))</f>
        <v>#N/A</v>
      </c>
      <c r="GY103" s="63" t="e">
        <f>IF(EJ103="",#N/A,SUM($EJ$4:EJ103))</f>
        <v>#N/A</v>
      </c>
      <c r="GZ103" s="159">
        <v>87.32</v>
      </c>
      <c r="HA103" s="63">
        <f t="shared" si="205"/>
        <v>21.431229071065331</v>
      </c>
      <c r="HB103" s="62" t="s">
        <v>4970</v>
      </c>
      <c r="HC103" s="60">
        <f>IFERROR(VLOOKUP(E103,Expectancy!$P$4:$S$19,1+C103,FALSE),"")</f>
        <v>1.0051961559281768</v>
      </c>
      <c r="HD103" s="82" t="str">
        <f t="shared" si="206"/>
        <v/>
      </c>
      <c r="HE103" s="60" t="e">
        <f>IF(HD103="",#N/A,SUM($HD$4:HD103))</f>
        <v>#N/A</v>
      </c>
      <c r="HF103" s="85" t="e">
        <f>IF(HD103="",#N/A,IF(HB103="Skip",#N/A,SUM($HG$4:HG103)))</f>
        <v>#N/A</v>
      </c>
      <c r="HG103" s="62" t="str">
        <f t="shared" si="207"/>
        <v/>
      </c>
      <c r="HH103" s="82">
        <f t="shared" si="208"/>
        <v>1.3828599776758022</v>
      </c>
    </row>
    <row r="104" spans="1:216" x14ac:dyDescent="0.25">
      <c r="A104" s="57" t="s">
        <v>1287</v>
      </c>
      <c r="B104" s="58" t="s">
        <v>5158</v>
      </c>
      <c r="C104" s="386">
        <f t="shared" si="118"/>
        <v>1</v>
      </c>
      <c r="D104" s="372" t="str">
        <f>_xlfn.XLOOKUP(A104,[1]SP500!$A$2:$A$502,[1]SP500!$D$2:$D$502,"N")</f>
        <v>Y</v>
      </c>
      <c r="E104" s="57" t="str">
        <f>_xlfn.XLOOKUP(A104,[1]SP500!$A$2:$A$655,[1]SP500!$B$2:$B$655)</f>
        <v>XLF</v>
      </c>
      <c r="F104" s="59">
        <v>45687</v>
      </c>
      <c r="G104" s="57" t="str">
        <f t="shared" si="119"/>
        <v>BMO</v>
      </c>
      <c r="H104" s="57" t="str">
        <f t="shared" si="120"/>
        <v>s</v>
      </c>
      <c r="I104" s="159">
        <v>548.79999999999995</v>
      </c>
      <c r="J104" s="158">
        <v>555</v>
      </c>
      <c r="K104" s="61">
        <f t="shared" si="121"/>
        <v>1.1297376093294545E-2</v>
      </c>
      <c r="L104" s="87">
        <f t="shared" si="122"/>
        <v>6.2000000000000455</v>
      </c>
      <c r="M104" s="130">
        <f t="shared" si="112"/>
        <v>0</v>
      </c>
      <c r="N104" s="169">
        <f t="shared" si="123"/>
        <v>6.2000000000000455</v>
      </c>
      <c r="O104" s="169">
        <f>IF($J104="",#N/A,SUM($N$4:N104))</f>
        <v>209.82810757134342</v>
      </c>
      <c r="P104" s="174" t="str">
        <f t="shared" si="124"/>
        <v/>
      </c>
      <c r="Q104" s="174">
        <f>IF($J104="",#N/A,SUM($P$4:P104))</f>
        <v>42.406464916880907</v>
      </c>
      <c r="R104" s="178" t="str">
        <f t="shared" si="125"/>
        <v/>
      </c>
      <c r="S104" s="178">
        <f>IF($J104="",#N/A,SUM($R$4:R104))</f>
        <v>257.74712647901862</v>
      </c>
      <c r="T104" s="290">
        <f t="shared" si="126"/>
        <v>0.18828960155490906</v>
      </c>
      <c r="U104" s="290">
        <f>IF($J104="",#N/A,SUM($T$4:T104))</f>
        <v>7.4987968953861044</v>
      </c>
      <c r="V104" s="291" t="str">
        <f t="shared" si="127"/>
        <v/>
      </c>
      <c r="W104" s="291">
        <f>IF($J104="",#N/A,SUM($V$4:V104))</f>
        <v>1.3832092337058488</v>
      </c>
      <c r="X104" s="292" t="str">
        <f t="shared" si="128"/>
        <v/>
      </c>
      <c r="Y104" s="283">
        <f>IF($J104="",#N/A,SUM($X$4:X104))</f>
        <v>10.824713043197134</v>
      </c>
      <c r="Z104" s="304" t="str">
        <f t="shared" si="129"/>
        <v/>
      </c>
      <c r="AA104" s="313" t="e">
        <f>IF($J104="",#N/A,SUM(Z$4:Z104))</f>
        <v>#N/A</v>
      </c>
      <c r="AB104" s="314" t="str">
        <f t="shared" si="130"/>
        <v/>
      </c>
      <c r="AC104" s="314" t="e">
        <f>IF($J104="",#N/A,SUM(AB$4:AB104))</f>
        <v>#N/A</v>
      </c>
      <c r="AD104" s="315" t="str">
        <f t="shared" si="131"/>
        <v/>
      </c>
      <c r="AE104" s="315" t="e">
        <f>IF($J104="",#N/A,SUM(AD$4:AD104))</f>
        <v>#N/A</v>
      </c>
      <c r="AF104" s="315" t="e">
        <f>IF($J104="",#N/A,SUM(AD$4:AD104,AB$4:AB104,Z$4:Z104))</f>
        <v>#N/A</v>
      </c>
      <c r="AG104" s="304" t="str">
        <f t="shared" si="132"/>
        <v/>
      </c>
      <c r="AH104" s="313" t="e">
        <f>IF($J104="",#N/A,SUM(AG$4:AG104))</f>
        <v>#N/A</v>
      </c>
      <c r="AI104" s="314" t="str">
        <f t="shared" si="133"/>
        <v/>
      </c>
      <c r="AJ104" s="314" t="e">
        <f>IF($J104="",#N/A,SUM(AI$4:AI104))</f>
        <v>#N/A</v>
      </c>
      <c r="AK104" s="315" t="str">
        <f t="shared" si="134"/>
        <v/>
      </c>
      <c r="AL104" s="315" t="e">
        <f>IF($J104="",#N/A,SUM(AK$4:AK104))</f>
        <v>#N/A</v>
      </c>
      <c r="AM104" s="315" t="e">
        <f>IF($J104="",#N/A,SUM(AK$4:AK104,AI$4:AI104,AG$4:AG104))</f>
        <v>#N/A</v>
      </c>
      <c r="AN104" s="304" t="str">
        <f t="shared" si="135"/>
        <v/>
      </c>
      <c r="AO104" s="313" t="e">
        <f>IF($J104="",#N/A,SUM(AN$4:AN104))</f>
        <v>#N/A</v>
      </c>
      <c r="AP104" s="314" t="str">
        <f t="shared" si="136"/>
        <v/>
      </c>
      <c r="AQ104" s="314" t="e">
        <f>IF($J104="",#N/A,SUM(AP$4:AP104))</f>
        <v>#N/A</v>
      </c>
      <c r="AR104" s="315" t="str">
        <f t="shared" si="137"/>
        <v/>
      </c>
      <c r="AS104" s="315" t="e">
        <f>IF($J104="",#N/A,SUM(AR$4:AR104))</f>
        <v>#N/A</v>
      </c>
      <c r="AT104" s="315" t="e">
        <f>IF($J104="",#N/A,SUM(AR$4:AR104,AP$4:AP104,AN$4:AN104))</f>
        <v>#N/A</v>
      </c>
      <c r="AU104" s="304" t="str">
        <f t="shared" si="138"/>
        <v/>
      </c>
      <c r="AV104" s="313" t="e">
        <f>IF($J104="",#N/A,SUM(AU$4:AU104))</f>
        <v>#N/A</v>
      </c>
      <c r="AW104" s="314" t="str">
        <f t="shared" si="139"/>
        <v/>
      </c>
      <c r="AX104" s="314" t="e">
        <f>IF($J104="",#N/A,SUM(AW$4:AW104))</f>
        <v>#N/A</v>
      </c>
      <c r="AY104" s="315" t="str">
        <f t="shared" si="140"/>
        <v/>
      </c>
      <c r="AZ104" s="315" t="e">
        <f>IF($J104="",#N/A,SUM(AY$4:AY104))</f>
        <v>#N/A</v>
      </c>
      <c r="BA104" s="315" t="e">
        <f>IF($J104="",#N/A,SUM(AY$4:AY104,AW$4:AW104,AU$4:AU104))</f>
        <v>#N/A</v>
      </c>
      <c r="BB104" s="304" t="str">
        <f t="shared" si="141"/>
        <v/>
      </c>
      <c r="BC104" s="313" t="e">
        <f>IF($J104="",#N/A,SUM(BB$4:BB104))</f>
        <v>#N/A</v>
      </c>
      <c r="BD104" s="314" t="str">
        <f t="shared" si="142"/>
        <v/>
      </c>
      <c r="BE104" s="314" t="e">
        <f>IF($J104="",#N/A,SUM(BD$4:BD104))</f>
        <v>#N/A</v>
      </c>
      <c r="BF104" s="315" t="str">
        <f t="shared" si="143"/>
        <v/>
      </c>
      <c r="BG104" s="315" t="e">
        <f>IF($J104="",#N/A,SUM(BF$4:BF104))</f>
        <v>#N/A</v>
      </c>
      <c r="BH104" s="315" t="e">
        <f>IF($J104="",#N/A,SUM(BF$4:BF104,BD$4:BD104,BB$4:BB104))</f>
        <v>#N/A</v>
      </c>
      <c r="BI104" s="304">
        <f t="shared" si="144"/>
        <v>0.18828960155490906</v>
      </c>
      <c r="BJ104" s="313" t="e">
        <f>IF($J104="",#N/A,SUM(BI$4:BI104))</f>
        <v>#N/A</v>
      </c>
      <c r="BK104" s="314" t="str">
        <f t="shared" si="145"/>
        <v/>
      </c>
      <c r="BL104" s="314" t="e">
        <f>IF($J104="",#N/A,SUM(BK$4:BK104))</f>
        <v>#N/A</v>
      </c>
      <c r="BM104" s="315" t="str">
        <f t="shared" si="146"/>
        <v/>
      </c>
      <c r="BN104" s="315" t="e">
        <f>IF($J104="",#N/A,SUM(BM$4:BM104))</f>
        <v>#N/A</v>
      </c>
      <c r="BO104" s="315" t="e">
        <f>IF($J104="",#N/A,SUM(BM$4:BM104,BK$4:BK104,BI$4:BI104))</f>
        <v>#N/A</v>
      </c>
      <c r="BP104" s="304" t="str">
        <f t="shared" si="147"/>
        <v/>
      </c>
      <c r="BQ104" s="313" t="e">
        <f>IF($J104="",#N/A,SUM(BP$4:BP104))</f>
        <v>#N/A</v>
      </c>
      <c r="BR104" s="314" t="str">
        <f t="shared" si="148"/>
        <v/>
      </c>
      <c r="BS104" s="314" t="e">
        <f>IF($J104="",#N/A,SUM(BR$4:BR104))</f>
        <v>#N/A</v>
      </c>
      <c r="BT104" s="315" t="str">
        <f t="shared" si="149"/>
        <v/>
      </c>
      <c r="BU104" s="315" t="e">
        <f>IF($J104="",#N/A,SUM(BT$4:BT104))</f>
        <v>#N/A</v>
      </c>
      <c r="BV104" s="315" t="e">
        <f>IF($J104="",#N/A,SUM(BT$4:BT104,BR$4:BR104,BP$4:BP104))</f>
        <v>#N/A</v>
      </c>
      <c r="BW104" s="304" t="str">
        <f t="shared" si="150"/>
        <v/>
      </c>
      <c r="BX104" s="313" t="e">
        <f>IF($J104="",#N/A,SUM(BW$4:BW104))</f>
        <v>#N/A</v>
      </c>
      <c r="BY104" s="314" t="str">
        <f t="shared" si="151"/>
        <v/>
      </c>
      <c r="BZ104" s="314" t="e">
        <f>IF($J104="",#N/A,SUM(BY$4:BY104))</f>
        <v>#N/A</v>
      </c>
      <c r="CA104" s="315" t="str">
        <f t="shared" si="152"/>
        <v/>
      </c>
      <c r="CB104" s="315" t="e">
        <f>IF($J104="",#N/A,SUM(CA$4:CA104))</f>
        <v>#N/A</v>
      </c>
      <c r="CC104" s="315" t="e">
        <f>IF($J104="",#N/A,SUM(CA$4:CA104,BY$4:BY104,BW$4:BW104))</f>
        <v>#N/A</v>
      </c>
      <c r="CD104" s="304" t="str">
        <f t="shared" si="153"/>
        <v/>
      </c>
      <c r="CE104" s="313" t="e">
        <f>IF($J104="",#N/A,SUM(CD$4:CD104))</f>
        <v>#N/A</v>
      </c>
      <c r="CF104" s="314" t="str">
        <f t="shared" si="154"/>
        <v/>
      </c>
      <c r="CG104" s="314" t="e">
        <f>IF($J104="",#N/A,SUM(CF$4:CF104))</f>
        <v>#N/A</v>
      </c>
      <c r="CH104" s="315" t="str">
        <f t="shared" si="155"/>
        <v/>
      </c>
      <c r="CI104" s="315" t="e">
        <f>IF($J104="",#N/A,SUM(CH$4:CH104))</f>
        <v>#N/A</v>
      </c>
      <c r="CJ104" s="315" t="e">
        <f>IF($J104="",#N/A,SUM(CH$4:CH104,CF$4:CF104,CD$4:CD104))</f>
        <v>#N/A</v>
      </c>
      <c r="CK104" s="304" t="str">
        <f t="shared" si="156"/>
        <v/>
      </c>
      <c r="CL104" s="313" t="e">
        <f>IF($J104="",#N/A,SUM(CK$4:CK104))</f>
        <v>#N/A</v>
      </c>
      <c r="CM104" s="314" t="str">
        <f t="shared" si="157"/>
        <v/>
      </c>
      <c r="CN104" s="314" t="e">
        <f>IF($J104="",#N/A,SUM(CM$4:CM104))</f>
        <v>#N/A</v>
      </c>
      <c r="CO104" s="315" t="str">
        <f t="shared" si="158"/>
        <v/>
      </c>
      <c r="CP104" s="315" t="e">
        <f>IF($J104="",#N/A,SUM(CO$4:CO104))</f>
        <v>#N/A</v>
      </c>
      <c r="CQ104" s="315" t="e">
        <f>IF($J104="",#N/A,SUM(CO$4:CO104,CM$4:CM104,CK$4:CK104))</f>
        <v>#N/A</v>
      </c>
      <c r="CR104" s="304" t="str">
        <f t="shared" si="159"/>
        <v/>
      </c>
      <c r="CS104" s="313" t="e">
        <f>IF($J104="",#N/A,SUM(CR$4:CR104))</f>
        <v>#N/A</v>
      </c>
      <c r="CT104" s="314" t="str">
        <f t="shared" si="160"/>
        <v/>
      </c>
      <c r="CU104" s="314" t="e">
        <f>IF($J104="",#N/A,SUM(CT$4:CT104))</f>
        <v>#N/A</v>
      </c>
      <c r="CV104" s="315" t="str">
        <f t="shared" si="161"/>
        <v/>
      </c>
      <c r="CW104" s="315" t="e">
        <f>IF($J104="",#N/A,SUM(CV$4:CV104))</f>
        <v>#N/A</v>
      </c>
      <c r="CX104" s="315" t="e">
        <f>IF($J104="",#N/A,SUM(CV$4:CV104,CT$4:CT104,CR$4:CR104))</f>
        <v>#N/A</v>
      </c>
      <c r="CY104" s="304" t="str">
        <f t="shared" si="162"/>
        <v/>
      </c>
      <c r="CZ104" s="313" t="e">
        <f>IF($J104="",#N/A,SUM(CY$4:CY104))</f>
        <v>#N/A</v>
      </c>
      <c r="DA104" s="314" t="str">
        <f t="shared" si="163"/>
        <v/>
      </c>
      <c r="DB104" s="314" t="e">
        <f>IF($J104="",#N/A,SUM(DA$4:DA104))</f>
        <v>#N/A</v>
      </c>
      <c r="DC104" s="315" t="str">
        <f t="shared" si="164"/>
        <v/>
      </c>
      <c r="DD104" s="315" t="e">
        <f>IF($J104="",#N/A,SUM(DC$4:DC104))</f>
        <v>#N/A</v>
      </c>
      <c r="DE104" s="315" t="e">
        <f>IF($J104="",#N/A,SUM(DC$4:DC104,DA$4:DA104,CY$4:CY104))</f>
        <v>#N/A</v>
      </c>
      <c r="DF104" s="304" t="str">
        <f t="shared" si="165"/>
        <v/>
      </c>
      <c r="DG104" s="313" t="e">
        <f>IF($J104="",#N/A,SUM(DF$4:DF104))</f>
        <v>#N/A</v>
      </c>
      <c r="DH104" s="314" t="str">
        <f t="shared" si="166"/>
        <v/>
      </c>
      <c r="DI104" s="314" t="e">
        <f>IF($J104="",#N/A,SUM(DH$4:DH104))</f>
        <v>#N/A</v>
      </c>
      <c r="DJ104" s="315" t="str">
        <f t="shared" si="167"/>
        <v/>
      </c>
      <c r="DK104" s="315" t="e">
        <f>IF($J104="",#N/A,SUM(DJ$4:DJ104))</f>
        <v>#N/A</v>
      </c>
      <c r="DL104" s="315" t="e">
        <f>IF($J104="",#N/A,SUM(DJ$4:DJ104,DH$4:DH104,DF$4:DF104))</f>
        <v>#N/A</v>
      </c>
      <c r="DM104" s="304" t="str">
        <f t="shared" si="168"/>
        <v/>
      </c>
      <c r="DN104" s="313" t="e">
        <f>IF($J104="",#N/A,SUM(DM$4:DM104))</f>
        <v>#N/A</v>
      </c>
      <c r="DO104" s="314" t="str">
        <f t="shared" si="169"/>
        <v/>
      </c>
      <c r="DP104" s="314" t="e">
        <f>IF($J104="",#N/A,SUM(DO$4:DO104))</f>
        <v>#N/A</v>
      </c>
      <c r="DQ104" s="315" t="str">
        <f t="shared" si="170"/>
        <v/>
      </c>
      <c r="DR104" s="315" t="e">
        <f>IF($J104="",#N/A,SUM(DQ$4:DQ104))</f>
        <v>#N/A</v>
      </c>
      <c r="DS104" s="315" t="e">
        <f>IF($J104="",#N/A,SUM(DQ$4:DQ104,DO$4:DO104,DM$4:DM104))</f>
        <v>#N/A</v>
      </c>
      <c r="DT104" s="304" t="str">
        <f t="shared" si="171"/>
        <v/>
      </c>
      <c r="DU104" s="313" t="e">
        <f>IF($J104="",#N/A,SUM(DT$4:DT104))</f>
        <v>#N/A</v>
      </c>
      <c r="DV104" s="314" t="str">
        <f t="shared" si="172"/>
        <v/>
      </c>
      <c r="DW104" s="314" t="e">
        <f>IF($J104="",#N/A,SUM(DV$4:DV104))</f>
        <v>#N/A</v>
      </c>
      <c r="DX104" s="315" t="str">
        <f t="shared" si="173"/>
        <v/>
      </c>
      <c r="DY104" s="315" t="e">
        <f>IF($J104="",#N/A,SUM(DX$4:DX104))</f>
        <v>#N/A</v>
      </c>
      <c r="DZ104" s="315" t="e">
        <f>IF($J104="",#N/A,SUM(DX$4:DX104,DV$4:DV104,DT$4:DT104))</f>
        <v>#N/A</v>
      </c>
      <c r="EA104" s="304" t="str">
        <f t="shared" si="174"/>
        <v/>
      </c>
      <c r="EB104" s="313" t="e">
        <f>IF($J104="",#N/A,SUM(EA$4:EA104))</f>
        <v>#N/A</v>
      </c>
      <c r="EC104" s="314" t="str">
        <f t="shared" si="175"/>
        <v/>
      </c>
      <c r="ED104" s="314" t="e">
        <f>IF($J104="",#N/A,SUM(EC$4:EC104))</f>
        <v>#N/A</v>
      </c>
      <c r="EE104" s="315" t="str">
        <f t="shared" si="176"/>
        <v/>
      </c>
      <c r="EF104" s="315" t="e">
        <f>IF($J104="",#N/A,SUM(EE$4:EE104))</f>
        <v>#N/A</v>
      </c>
      <c r="EG104" s="315" t="e">
        <f>IF($J104="",#N/A,SUM(EE$4:EE104,EC$4:EC104,EA$4:EA104))</f>
        <v>#N/A</v>
      </c>
      <c r="EH104" s="130">
        <f t="shared" si="177"/>
        <v>6.2000000000000455</v>
      </c>
      <c r="EI104" s="63">
        <f>IF(EH104="",#N/A,SUM($EH$4:EH104))</f>
        <v>509.98169896724301</v>
      </c>
      <c r="EJ104" s="223" t="e">
        <f t="shared" si="178"/>
        <v>#N/A</v>
      </c>
      <c r="EK104" s="63" t="e">
        <f>IF($GZ104="",#N/A,SUM(EJ$4:EJ104))</f>
        <v>#N/A</v>
      </c>
      <c r="EL104" s="60">
        <f t="shared" si="209"/>
        <v>0.18828960155490906</v>
      </c>
      <c r="EM104" s="60">
        <f>IF(EL104="",NA(),SUM($EL$4:EL104))</f>
        <v>19.337475124970073</v>
      </c>
      <c r="EN104" s="60">
        <f t="shared" si="179"/>
        <v>0.18828960155490906</v>
      </c>
      <c r="EO104" s="60">
        <f>IF(EN104="",NA(),SUM($EN$4:EN104))</f>
        <v>7.0089047956713575</v>
      </c>
      <c r="EP104" s="60" t="str">
        <f t="shared" si="180"/>
        <v/>
      </c>
      <c r="EQ104" s="60" t="e">
        <f>IF(EP104="",NA(),SUM($EP$4:EP104))</f>
        <v>#N/A</v>
      </c>
      <c r="ER104" s="60" t="str">
        <f t="shared" si="181"/>
        <v/>
      </c>
      <c r="ES104" s="60" t="e">
        <f>IF(ER104="",NA(),SUM($ER$4:ER104))</f>
        <v>#N/A</v>
      </c>
      <c r="ET104" s="60" t="str">
        <f t="shared" si="182"/>
        <v/>
      </c>
      <c r="EU104" s="60" t="e">
        <f>IF(ET104="",NA(),SUM($ET$4:ET104))</f>
        <v>#N/A</v>
      </c>
      <c r="EV104" s="60" t="str">
        <f t="shared" si="183"/>
        <v/>
      </c>
      <c r="EW104" s="60" t="e">
        <f>IF(EV104="",NA(),SUM($EV$4:EV104))</f>
        <v>#N/A</v>
      </c>
      <c r="EX104" s="60" t="str">
        <f t="shared" si="184"/>
        <v/>
      </c>
      <c r="EY104" s="60" t="e">
        <f>IF(EX104="",NA(),SUM($EX$4:EX104))</f>
        <v>#N/A</v>
      </c>
      <c r="EZ104" s="60" t="str">
        <f t="shared" si="185"/>
        <v/>
      </c>
      <c r="FA104" s="60" t="e">
        <f>IF(EZ104="",NA(),SUM($EZ$4:EZ104))</f>
        <v>#N/A</v>
      </c>
      <c r="FB104" s="246" t="str">
        <f t="shared" si="210"/>
        <v/>
      </c>
      <c r="FC104" s="246" t="e">
        <f>IF($FB104="",#N/A,SUM(FB$4:$FB104))</f>
        <v>#N/A</v>
      </c>
      <c r="FD104" s="60" t="str">
        <f t="shared" si="186"/>
        <v/>
      </c>
      <c r="FE104" s="60" t="e">
        <f>IF($FD104="",#N/A,SUM($FD$4:FD104))</f>
        <v>#N/A</v>
      </c>
      <c r="FF104" s="60">
        <f t="shared" si="187"/>
        <v>0.33436588921282773</v>
      </c>
      <c r="FG104" s="60">
        <f>IF($FF104="",#N/A,SUM($FF$4:FF104))</f>
        <v>1.5923098468207377</v>
      </c>
      <c r="FH104" s="60" t="str">
        <f t="shared" si="188"/>
        <v/>
      </c>
      <c r="FI104" s="60" t="e">
        <f>IF($FH104="",#N/A,SUM($FH$4:FH104))</f>
        <v>#N/A</v>
      </c>
      <c r="FJ104" s="60" t="str">
        <f t="shared" si="189"/>
        <v/>
      </c>
      <c r="FK104" s="60" t="e">
        <f>IF($FJ104="",#N/A,SUM($FJ$4:FJ104))</f>
        <v>#N/A</v>
      </c>
      <c r="FL104" s="60" t="str">
        <f t="shared" si="190"/>
        <v/>
      </c>
      <c r="FM104" s="60" t="e">
        <f>IF($FL104="",#N/A,SUM($FL$4:FL104))</f>
        <v>#N/A</v>
      </c>
      <c r="FN104" s="82">
        <f t="shared" si="191"/>
        <v>0.52265549076773676</v>
      </c>
      <c r="FO104" s="82">
        <f>IF($FN104="",#N/A,SUM(FN$4:$FN104))</f>
        <v>30.736365513310275</v>
      </c>
      <c r="FP104" s="82">
        <f t="shared" si="211"/>
        <v>0.18828960155490906</v>
      </c>
      <c r="FQ104" s="246">
        <f>IF($EH104="",#N/A,SUM($FP$4:FP104))</f>
        <v>19.706719172289098</v>
      </c>
      <c r="FR104" s="82">
        <f>IFERROR(FQ104/COUNTA($J$4:J104),#N/A)</f>
        <v>0.19511603140880296</v>
      </c>
      <c r="FS104" s="82">
        <f>IFERROR(($FQ104-$FQ60)/COUNTA($J60:$J104),#N/A)</f>
        <v>0.12916985652943744</v>
      </c>
      <c r="FT104" s="82">
        <f t="shared" ref="FT104:FT110" si="221">IFERROR(($FQ104-$FQ81)/COUNTA($J81:$J104),#N/A)</f>
        <v>7.4130781972095036E-2</v>
      </c>
      <c r="FU104" s="337">
        <f>IF(AND(HB104="MOC",GZ104=""),#N/A,IFERROR(FQ104-HE104,FQ104-0))-14.53</f>
        <v>6.4560078388590387</v>
      </c>
      <c r="FV104" s="57" t="str">
        <f t="shared" si="192"/>
        <v>Up</v>
      </c>
      <c r="FW104" s="57" t="s">
        <v>2733</v>
      </c>
      <c r="FX104" s="57">
        <f t="shared" si="193"/>
        <v>1</v>
      </c>
      <c r="FY104" s="57" t="str">
        <f t="shared" si="194"/>
        <v/>
      </c>
      <c r="FZ104" s="57" t="str">
        <f t="shared" si="195"/>
        <v/>
      </c>
      <c r="GA104" s="57" t="str">
        <f t="shared" si="196"/>
        <v>Long</v>
      </c>
      <c r="GB104" s="57" t="str">
        <f t="shared" si="197"/>
        <v/>
      </c>
      <c r="GC104" s="57" t="str">
        <f t="shared" si="198"/>
        <v/>
      </c>
      <c r="GD104" s="57" t="str">
        <f t="shared" si="199"/>
        <v/>
      </c>
      <c r="GE104" s="62">
        <f t="shared" si="114"/>
        <v>548.79999999999995</v>
      </c>
      <c r="GF104" s="62" t="s">
        <v>2779</v>
      </c>
      <c r="GG104" s="199">
        <v>1</v>
      </c>
      <c r="GH104" s="207">
        <f t="shared" si="200"/>
        <v>548.79999999999995</v>
      </c>
      <c r="GI104" s="199">
        <v>1</v>
      </c>
      <c r="GJ104" s="200">
        <v>555</v>
      </c>
      <c r="GK104" s="63">
        <f t="shared" si="201"/>
        <v>6.2000000000000455</v>
      </c>
      <c r="GL104" s="63">
        <f t="shared" si="115"/>
        <v>17.210000000000036</v>
      </c>
      <c r="GM104" s="82" t="str">
        <f t="shared" si="202"/>
        <v/>
      </c>
      <c r="GN104" s="82">
        <f>IF($GZ104="",#N/A,SUM(GM$4:GM104))</f>
        <v>14.356503598620787</v>
      </c>
      <c r="GO104" s="82">
        <f t="shared" si="203"/>
        <v>0.52265549076773676</v>
      </c>
      <c r="GP104" s="82">
        <f>IF($GZ104="",#N/A,SUM(GO$4:GO104))</f>
        <v>11.318317244931391</v>
      </c>
      <c r="GQ104" s="82" t="str">
        <f t="shared" si="204"/>
        <v/>
      </c>
      <c r="GR104" s="82">
        <f>IF($GZ104="",#N/A,SUM(GQ$4:GQ104))</f>
        <v>4.4357077153157531</v>
      </c>
      <c r="GS104" s="63" t="str">
        <f t="shared" si="212"/>
        <v/>
      </c>
      <c r="GT104" s="63" t="e">
        <f>IF($GZ104="",#N/A,SUM(GS$4:GS104))</f>
        <v>#N/A</v>
      </c>
      <c r="GU104" s="63" t="e">
        <f t="shared" si="213"/>
        <v>#N/A</v>
      </c>
      <c r="GV104" s="63" t="e">
        <f>IF($GZ104="",#N/A,SUM(GU$4:GU104))</f>
        <v>#N/A</v>
      </c>
      <c r="GW104" s="63" t="str">
        <f t="shared" si="214"/>
        <v/>
      </c>
      <c r="GX104" s="63" t="e">
        <f>IF($GZ104="",#N/A,SUM(GW$4:GW104))</f>
        <v>#N/A</v>
      </c>
      <c r="GY104" s="63" t="e">
        <f>IF(EJ104="",#N/A,SUM($EJ$4:EJ104))</f>
        <v>#N/A</v>
      </c>
      <c r="GZ104" s="159">
        <v>566.01</v>
      </c>
      <c r="HA104" s="63">
        <f t="shared" si="205"/>
        <v>11.009999999999991</v>
      </c>
      <c r="HB104" s="62" t="s">
        <v>2538</v>
      </c>
      <c r="HC104" s="60">
        <f>IFERROR(VLOOKUP(E104,Expectancy!$P$4:$S$19,1+C104,FALSE),"")</f>
        <v>-7.9483352726509887E-2</v>
      </c>
      <c r="HD104" s="82">
        <f t="shared" si="206"/>
        <v>0.18828960155490906</v>
      </c>
      <c r="HE104" s="60">
        <f>IF(HD104="",#N/A,SUM($HD$4:HD104))</f>
        <v>-1.2792886665699406</v>
      </c>
      <c r="HF104" s="85">
        <f>IF(HD104="",#N/A,IF(HB104="Skip",#N/A,SUM($HG$4:HG104)))</f>
        <v>-9.1999999999999318</v>
      </c>
      <c r="HG104" s="63">
        <f t="shared" si="207"/>
        <v>6.2000000000000455</v>
      </c>
      <c r="HH104" s="82">
        <f t="shared" si="208"/>
        <v>0.52265549076773676</v>
      </c>
    </row>
    <row r="105" spans="1:216" x14ac:dyDescent="0.25">
      <c r="A105" s="57" t="s">
        <v>1297</v>
      </c>
      <c r="B105" s="58" t="s">
        <v>5159</v>
      </c>
      <c r="C105" s="386">
        <f t="shared" si="118"/>
        <v>1</v>
      </c>
      <c r="D105" s="372" t="str">
        <f>_xlfn.XLOOKUP(A105,[1]SP500!$A$2:$A$502,[1]SP500!$D$2:$D$502,"N")</f>
        <v>Y</v>
      </c>
      <c r="E105" s="57" t="str">
        <f>_xlfn.XLOOKUP(A105,[1]SP500!$A$2:$A$655,[1]SP500!$B$2:$B$655)</f>
        <v>XLF</v>
      </c>
      <c r="F105" s="59">
        <v>45687</v>
      </c>
      <c r="G105" s="57" t="str">
        <f t="shared" si="119"/>
        <v>BMO</v>
      </c>
      <c r="H105" s="57" t="str">
        <f t="shared" si="120"/>
        <v>s</v>
      </c>
      <c r="I105" s="159">
        <v>185.38</v>
      </c>
      <c r="J105" s="158">
        <v>188</v>
      </c>
      <c r="K105" s="61">
        <f t="shared" si="121"/>
        <v>1.413313194519368E-2</v>
      </c>
      <c r="L105" s="87">
        <f t="shared" si="122"/>
        <v>7.8600000000000136</v>
      </c>
      <c r="M105" s="130">
        <f t="shared" si="112"/>
        <v>0</v>
      </c>
      <c r="N105" s="169">
        <f t="shared" si="123"/>
        <v>7.8600000000000136</v>
      </c>
      <c r="O105" s="169">
        <f>IF($J105="",#N/A,SUM($N$4:N105))</f>
        <v>217.68810757134344</v>
      </c>
      <c r="P105" s="174" t="str">
        <f t="shared" si="124"/>
        <v/>
      </c>
      <c r="Q105" s="174">
        <f>IF($J105="",#N/A,SUM($P$4:P105))</f>
        <v>42.406464916880907</v>
      </c>
      <c r="R105" s="178" t="str">
        <f t="shared" si="125"/>
        <v/>
      </c>
      <c r="S105" s="178">
        <f>IF($J105="",#N/A,SUM($R$4:R105))</f>
        <v>257.74712647901862</v>
      </c>
      <c r="T105" s="290">
        <f t="shared" si="126"/>
        <v>0.23555219908656133</v>
      </c>
      <c r="U105" s="290">
        <f>IF($J105="",#N/A,SUM($T$4:T105))</f>
        <v>7.7343490944726661</v>
      </c>
      <c r="V105" s="291" t="str">
        <f t="shared" si="127"/>
        <v/>
      </c>
      <c r="W105" s="291">
        <f>IF($J105="",#N/A,SUM($V$4:V105))</f>
        <v>1.3832092337058488</v>
      </c>
      <c r="X105" s="292" t="str">
        <f t="shared" si="128"/>
        <v/>
      </c>
      <c r="Y105" s="283">
        <f>IF($J105="",#N/A,SUM($X$4:X105))</f>
        <v>10.824713043197134</v>
      </c>
      <c r="Z105" s="304" t="str">
        <f t="shared" si="129"/>
        <v/>
      </c>
      <c r="AA105" s="313" t="e">
        <f>IF($J105="",#N/A,SUM(Z$4:Z105))</f>
        <v>#N/A</v>
      </c>
      <c r="AB105" s="314" t="str">
        <f t="shared" si="130"/>
        <v/>
      </c>
      <c r="AC105" s="314" t="e">
        <f>IF($J105="",#N/A,SUM(AB$4:AB105))</f>
        <v>#N/A</v>
      </c>
      <c r="AD105" s="315" t="str">
        <f t="shared" si="131"/>
        <v/>
      </c>
      <c r="AE105" s="315" t="e">
        <f>IF($J105="",#N/A,SUM(AD$4:AD105))</f>
        <v>#N/A</v>
      </c>
      <c r="AF105" s="315" t="e">
        <f>IF($J105="",#N/A,SUM(AD$4:AD105,AB$4:AB105,Z$4:Z105))</f>
        <v>#N/A</v>
      </c>
      <c r="AG105" s="304" t="str">
        <f t="shared" si="132"/>
        <v/>
      </c>
      <c r="AH105" s="313" t="e">
        <f>IF($J105="",#N/A,SUM(AG$4:AG105))</f>
        <v>#N/A</v>
      </c>
      <c r="AI105" s="314" t="str">
        <f t="shared" si="133"/>
        <v/>
      </c>
      <c r="AJ105" s="314" t="e">
        <f>IF($J105="",#N/A,SUM(AI$4:AI105))</f>
        <v>#N/A</v>
      </c>
      <c r="AK105" s="315" t="str">
        <f t="shared" si="134"/>
        <v/>
      </c>
      <c r="AL105" s="315" t="e">
        <f>IF($J105="",#N/A,SUM(AK$4:AK105))</f>
        <v>#N/A</v>
      </c>
      <c r="AM105" s="315" t="e">
        <f>IF($J105="",#N/A,SUM(AK$4:AK105,AI$4:AI105,AG$4:AG105))</f>
        <v>#N/A</v>
      </c>
      <c r="AN105" s="304" t="str">
        <f t="shared" si="135"/>
        <v/>
      </c>
      <c r="AO105" s="313" t="e">
        <f>IF($J105="",#N/A,SUM(AN$4:AN105))</f>
        <v>#N/A</v>
      </c>
      <c r="AP105" s="314" t="str">
        <f t="shared" si="136"/>
        <v/>
      </c>
      <c r="AQ105" s="314" t="e">
        <f>IF($J105="",#N/A,SUM(AP$4:AP105))</f>
        <v>#N/A</v>
      </c>
      <c r="AR105" s="315" t="str">
        <f t="shared" si="137"/>
        <v/>
      </c>
      <c r="AS105" s="315" t="e">
        <f>IF($J105="",#N/A,SUM(AR$4:AR105))</f>
        <v>#N/A</v>
      </c>
      <c r="AT105" s="315" t="e">
        <f>IF($J105="",#N/A,SUM(AR$4:AR105,AP$4:AP105,AN$4:AN105))</f>
        <v>#N/A</v>
      </c>
      <c r="AU105" s="304" t="str">
        <f t="shared" si="138"/>
        <v/>
      </c>
      <c r="AV105" s="313" t="e">
        <f>IF($J105="",#N/A,SUM(AU$4:AU105))</f>
        <v>#N/A</v>
      </c>
      <c r="AW105" s="314" t="str">
        <f t="shared" si="139"/>
        <v/>
      </c>
      <c r="AX105" s="314" t="e">
        <f>IF($J105="",#N/A,SUM(AW$4:AW105))</f>
        <v>#N/A</v>
      </c>
      <c r="AY105" s="315" t="str">
        <f t="shared" si="140"/>
        <v/>
      </c>
      <c r="AZ105" s="315" t="e">
        <f>IF($J105="",#N/A,SUM(AY$4:AY105))</f>
        <v>#N/A</v>
      </c>
      <c r="BA105" s="315" t="e">
        <f>IF($J105="",#N/A,SUM(AY$4:AY105,AW$4:AW105,AU$4:AU105))</f>
        <v>#N/A</v>
      </c>
      <c r="BB105" s="304" t="str">
        <f t="shared" si="141"/>
        <v/>
      </c>
      <c r="BC105" s="313" t="e">
        <f>IF($J105="",#N/A,SUM(BB$4:BB105))</f>
        <v>#N/A</v>
      </c>
      <c r="BD105" s="314" t="str">
        <f t="shared" si="142"/>
        <v/>
      </c>
      <c r="BE105" s="314" t="e">
        <f>IF($J105="",#N/A,SUM(BD$4:BD105))</f>
        <v>#N/A</v>
      </c>
      <c r="BF105" s="315" t="str">
        <f t="shared" si="143"/>
        <v/>
      </c>
      <c r="BG105" s="315" t="e">
        <f>IF($J105="",#N/A,SUM(BF$4:BF105))</f>
        <v>#N/A</v>
      </c>
      <c r="BH105" s="315" t="e">
        <f>IF($J105="",#N/A,SUM(BF$4:BF105,BD$4:BD105,BB$4:BB105))</f>
        <v>#N/A</v>
      </c>
      <c r="BI105" s="304">
        <f t="shared" si="144"/>
        <v>0.23555219908656133</v>
      </c>
      <c r="BJ105" s="313" t="e">
        <f>IF($J105="",#N/A,SUM(BI$4:BI105))</f>
        <v>#N/A</v>
      </c>
      <c r="BK105" s="314" t="str">
        <f t="shared" si="145"/>
        <v/>
      </c>
      <c r="BL105" s="314" t="e">
        <f>IF($J105="",#N/A,SUM(BK$4:BK105))</f>
        <v>#N/A</v>
      </c>
      <c r="BM105" s="315" t="str">
        <f t="shared" si="146"/>
        <v/>
      </c>
      <c r="BN105" s="315" t="e">
        <f>IF($J105="",#N/A,SUM(BM$4:BM105))</f>
        <v>#N/A</v>
      </c>
      <c r="BO105" s="315" t="e">
        <f>IF($J105="",#N/A,SUM(BM$4:BM105,BK$4:BK105,BI$4:BI105))</f>
        <v>#N/A</v>
      </c>
      <c r="BP105" s="304" t="str">
        <f t="shared" si="147"/>
        <v/>
      </c>
      <c r="BQ105" s="313" t="e">
        <f>IF($J105="",#N/A,SUM(BP$4:BP105))</f>
        <v>#N/A</v>
      </c>
      <c r="BR105" s="314" t="str">
        <f t="shared" si="148"/>
        <v/>
      </c>
      <c r="BS105" s="314" t="e">
        <f>IF($J105="",#N/A,SUM(BR$4:BR105))</f>
        <v>#N/A</v>
      </c>
      <c r="BT105" s="315" t="str">
        <f t="shared" si="149"/>
        <v/>
      </c>
      <c r="BU105" s="315" t="e">
        <f>IF($J105="",#N/A,SUM(BT$4:BT105))</f>
        <v>#N/A</v>
      </c>
      <c r="BV105" s="315" t="e">
        <f>IF($J105="",#N/A,SUM(BT$4:BT105,BR$4:BR105,BP$4:BP105))</f>
        <v>#N/A</v>
      </c>
      <c r="BW105" s="304" t="str">
        <f t="shared" si="150"/>
        <v/>
      </c>
      <c r="BX105" s="313" t="e">
        <f>IF($J105="",#N/A,SUM(BW$4:BW105))</f>
        <v>#N/A</v>
      </c>
      <c r="BY105" s="314" t="str">
        <f t="shared" si="151"/>
        <v/>
      </c>
      <c r="BZ105" s="314" t="e">
        <f>IF($J105="",#N/A,SUM(BY$4:BY105))</f>
        <v>#N/A</v>
      </c>
      <c r="CA105" s="315" t="str">
        <f t="shared" si="152"/>
        <v/>
      </c>
      <c r="CB105" s="315" t="e">
        <f>IF($J105="",#N/A,SUM(CA$4:CA105))</f>
        <v>#N/A</v>
      </c>
      <c r="CC105" s="315" t="e">
        <f>IF($J105="",#N/A,SUM(CA$4:CA105,BY$4:BY105,BW$4:BW105))</f>
        <v>#N/A</v>
      </c>
      <c r="CD105" s="304" t="str">
        <f t="shared" si="153"/>
        <v/>
      </c>
      <c r="CE105" s="313" t="e">
        <f>IF($J105="",#N/A,SUM(CD$4:CD105))</f>
        <v>#N/A</v>
      </c>
      <c r="CF105" s="314" t="str">
        <f t="shared" si="154"/>
        <v/>
      </c>
      <c r="CG105" s="314" t="e">
        <f>IF($J105="",#N/A,SUM(CF$4:CF105))</f>
        <v>#N/A</v>
      </c>
      <c r="CH105" s="315" t="str">
        <f t="shared" si="155"/>
        <v/>
      </c>
      <c r="CI105" s="315" t="e">
        <f>IF($J105="",#N/A,SUM(CH$4:CH105))</f>
        <v>#N/A</v>
      </c>
      <c r="CJ105" s="315" t="e">
        <f>IF($J105="",#N/A,SUM(CH$4:CH105,CF$4:CF105,CD$4:CD105))</f>
        <v>#N/A</v>
      </c>
      <c r="CK105" s="304" t="str">
        <f t="shared" si="156"/>
        <v/>
      </c>
      <c r="CL105" s="313" t="e">
        <f>IF($J105="",#N/A,SUM(CK$4:CK105))</f>
        <v>#N/A</v>
      </c>
      <c r="CM105" s="314" t="str">
        <f t="shared" si="157"/>
        <v/>
      </c>
      <c r="CN105" s="314" t="e">
        <f>IF($J105="",#N/A,SUM(CM$4:CM105))</f>
        <v>#N/A</v>
      </c>
      <c r="CO105" s="315" t="str">
        <f t="shared" si="158"/>
        <v/>
      </c>
      <c r="CP105" s="315" t="e">
        <f>IF($J105="",#N/A,SUM(CO$4:CO105))</f>
        <v>#N/A</v>
      </c>
      <c r="CQ105" s="315" t="e">
        <f>IF($J105="",#N/A,SUM(CO$4:CO105,CM$4:CM105,CK$4:CK105))</f>
        <v>#N/A</v>
      </c>
      <c r="CR105" s="304" t="str">
        <f t="shared" si="159"/>
        <v/>
      </c>
      <c r="CS105" s="313" t="e">
        <f>IF($J105="",#N/A,SUM(CR$4:CR105))</f>
        <v>#N/A</v>
      </c>
      <c r="CT105" s="314" t="str">
        <f t="shared" si="160"/>
        <v/>
      </c>
      <c r="CU105" s="314" t="e">
        <f>IF($J105="",#N/A,SUM(CT$4:CT105))</f>
        <v>#N/A</v>
      </c>
      <c r="CV105" s="315" t="str">
        <f t="shared" si="161"/>
        <v/>
      </c>
      <c r="CW105" s="315" t="e">
        <f>IF($J105="",#N/A,SUM(CV$4:CV105))</f>
        <v>#N/A</v>
      </c>
      <c r="CX105" s="315" t="e">
        <f>IF($J105="",#N/A,SUM(CV$4:CV105,CT$4:CT105,CR$4:CR105))</f>
        <v>#N/A</v>
      </c>
      <c r="CY105" s="304" t="str">
        <f t="shared" si="162"/>
        <v/>
      </c>
      <c r="CZ105" s="313" t="e">
        <f>IF($J105="",#N/A,SUM(CY$4:CY105))</f>
        <v>#N/A</v>
      </c>
      <c r="DA105" s="314" t="str">
        <f t="shared" si="163"/>
        <v/>
      </c>
      <c r="DB105" s="314" t="e">
        <f>IF($J105="",#N/A,SUM(DA$4:DA105))</f>
        <v>#N/A</v>
      </c>
      <c r="DC105" s="315" t="str">
        <f t="shared" si="164"/>
        <v/>
      </c>
      <c r="DD105" s="315" t="e">
        <f>IF($J105="",#N/A,SUM(DC$4:DC105))</f>
        <v>#N/A</v>
      </c>
      <c r="DE105" s="315" t="e">
        <f>IF($J105="",#N/A,SUM(DC$4:DC105,DA$4:DA105,CY$4:CY105))</f>
        <v>#N/A</v>
      </c>
      <c r="DF105" s="304" t="str">
        <f t="shared" si="165"/>
        <v/>
      </c>
      <c r="DG105" s="313" t="e">
        <f>IF($J105="",#N/A,SUM(DF$4:DF105))</f>
        <v>#N/A</v>
      </c>
      <c r="DH105" s="314" t="str">
        <f t="shared" si="166"/>
        <v/>
      </c>
      <c r="DI105" s="314" t="e">
        <f>IF($J105="",#N/A,SUM(DH$4:DH105))</f>
        <v>#N/A</v>
      </c>
      <c r="DJ105" s="315" t="str">
        <f t="shared" si="167"/>
        <v/>
      </c>
      <c r="DK105" s="315" t="e">
        <f>IF($J105="",#N/A,SUM(DJ$4:DJ105))</f>
        <v>#N/A</v>
      </c>
      <c r="DL105" s="315" t="e">
        <f>IF($J105="",#N/A,SUM(DJ$4:DJ105,DH$4:DH105,DF$4:DF105))</f>
        <v>#N/A</v>
      </c>
      <c r="DM105" s="304" t="str">
        <f t="shared" si="168"/>
        <v/>
      </c>
      <c r="DN105" s="313" t="e">
        <f>IF($J105="",#N/A,SUM(DM$4:DM105))</f>
        <v>#N/A</v>
      </c>
      <c r="DO105" s="314" t="str">
        <f t="shared" si="169"/>
        <v/>
      </c>
      <c r="DP105" s="314" t="e">
        <f>IF($J105="",#N/A,SUM(DO$4:DO105))</f>
        <v>#N/A</v>
      </c>
      <c r="DQ105" s="315" t="str">
        <f t="shared" si="170"/>
        <v/>
      </c>
      <c r="DR105" s="315" t="e">
        <f>IF($J105="",#N/A,SUM(DQ$4:DQ105))</f>
        <v>#N/A</v>
      </c>
      <c r="DS105" s="315" t="e">
        <f>IF($J105="",#N/A,SUM(DQ$4:DQ105,DO$4:DO105,DM$4:DM105))</f>
        <v>#N/A</v>
      </c>
      <c r="DT105" s="304" t="str">
        <f t="shared" si="171"/>
        <v/>
      </c>
      <c r="DU105" s="313" t="e">
        <f>IF($J105="",#N/A,SUM(DT$4:DT105))</f>
        <v>#N/A</v>
      </c>
      <c r="DV105" s="314" t="str">
        <f t="shared" si="172"/>
        <v/>
      </c>
      <c r="DW105" s="314" t="e">
        <f>IF($J105="",#N/A,SUM(DV$4:DV105))</f>
        <v>#N/A</v>
      </c>
      <c r="DX105" s="315" t="str">
        <f t="shared" si="173"/>
        <v/>
      </c>
      <c r="DY105" s="315" t="e">
        <f>IF($J105="",#N/A,SUM(DX$4:DX105))</f>
        <v>#N/A</v>
      </c>
      <c r="DZ105" s="315" t="e">
        <f>IF($J105="",#N/A,SUM(DX$4:DX105,DV$4:DV105,DT$4:DT105))</f>
        <v>#N/A</v>
      </c>
      <c r="EA105" s="304" t="str">
        <f t="shared" si="174"/>
        <v/>
      </c>
      <c r="EB105" s="313" t="e">
        <f>IF($J105="",#N/A,SUM(EA$4:EA105))</f>
        <v>#N/A</v>
      </c>
      <c r="EC105" s="314" t="str">
        <f t="shared" si="175"/>
        <v/>
      </c>
      <c r="ED105" s="314" t="e">
        <f>IF($J105="",#N/A,SUM(EC$4:EC105))</f>
        <v>#N/A</v>
      </c>
      <c r="EE105" s="315" t="str">
        <f t="shared" si="176"/>
        <v/>
      </c>
      <c r="EF105" s="315" t="e">
        <f>IF($J105="",#N/A,SUM(EE$4:EE105))</f>
        <v>#N/A</v>
      </c>
      <c r="EG105" s="315" t="e">
        <f>IF($J105="",#N/A,SUM(EE$4:EE105,EC$4:EC105,EA$4:EA105))</f>
        <v>#N/A</v>
      </c>
      <c r="EH105" s="130">
        <f t="shared" si="177"/>
        <v>7.8600000000000136</v>
      </c>
      <c r="EI105" s="63">
        <f>IF(EH105="",#N/A,SUM($EH$4:EH105))</f>
        <v>517.84169896724302</v>
      </c>
      <c r="EJ105" s="223" t="e">
        <f t="shared" si="178"/>
        <v>#N/A</v>
      </c>
      <c r="EK105" s="63" t="e">
        <f>IF($GZ105="",#N/A,SUM(EJ$4:EJ105))</f>
        <v>#N/A</v>
      </c>
      <c r="EL105" s="60">
        <f t="shared" si="209"/>
        <v>0.23555219908656133</v>
      </c>
      <c r="EM105" s="60">
        <f>IF(EL105="",NA(),SUM($EL$4:EL105))</f>
        <v>19.573027324056635</v>
      </c>
      <c r="EN105" s="60">
        <f t="shared" si="179"/>
        <v>0.23555219908656133</v>
      </c>
      <c r="EO105" s="60">
        <f>IF(EN105="",NA(),SUM($EN$4:EN105))</f>
        <v>7.2444569947579192</v>
      </c>
      <c r="EP105" s="60" t="str">
        <f t="shared" si="180"/>
        <v/>
      </c>
      <c r="EQ105" s="60" t="e">
        <f>IF(EP105="",NA(),SUM($EP$4:EP105))</f>
        <v>#N/A</v>
      </c>
      <c r="ER105" s="60" t="str">
        <f t="shared" si="181"/>
        <v/>
      </c>
      <c r="ES105" s="60" t="e">
        <f>IF(ER105="",NA(),SUM($ER$4:ER105))</f>
        <v>#N/A</v>
      </c>
      <c r="ET105" s="60" t="str">
        <f t="shared" si="182"/>
        <v/>
      </c>
      <c r="EU105" s="60" t="e">
        <f>IF(ET105="",NA(),SUM($ET$4:ET105))</f>
        <v>#N/A</v>
      </c>
      <c r="EV105" s="60" t="str">
        <f t="shared" si="183"/>
        <v/>
      </c>
      <c r="EW105" s="60" t="e">
        <f>IF(EV105="",NA(),SUM($EV$4:EV105))</f>
        <v>#N/A</v>
      </c>
      <c r="EX105" s="60" t="str">
        <f t="shared" si="184"/>
        <v/>
      </c>
      <c r="EY105" s="60" t="e">
        <f>IF(EX105="",NA(),SUM($EX$4:EX105))</f>
        <v>#N/A</v>
      </c>
      <c r="EZ105" s="60" t="str">
        <f t="shared" si="185"/>
        <v/>
      </c>
      <c r="FA105" s="60" t="e">
        <f>IF(EZ105="",NA(),SUM($EZ$4:EZ105))</f>
        <v>#N/A</v>
      </c>
      <c r="FB105" s="246" t="str">
        <f t="shared" si="210"/>
        <v/>
      </c>
      <c r="FC105" s="246" t="e">
        <f>IF($FB105="",#N/A,SUM(FB$4:$FB105))</f>
        <v>#N/A</v>
      </c>
      <c r="FD105" s="60" t="str">
        <f t="shared" si="186"/>
        <v/>
      </c>
      <c r="FE105" s="60" t="e">
        <f>IF($FD105="",#N/A,SUM($FD$4:FD105))</f>
        <v>#N/A</v>
      </c>
      <c r="FF105" s="60">
        <f t="shared" si="187"/>
        <v>-0.91883338727658403</v>
      </c>
      <c r="FG105" s="60">
        <f>IF($FF105="",#N/A,SUM($FF$4:FF105))</f>
        <v>0.67347645954415369</v>
      </c>
      <c r="FH105" s="60" t="str">
        <f t="shared" si="188"/>
        <v/>
      </c>
      <c r="FI105" s="60" t="e">
        <f>IF($FH105="",#N/A,SUM($FH$4:FH105))</f>
        <v>#N/A</v>
      </c>
      <c r="FJ105" s="60" t="str">
        <f t="shared" si="189"/>
        <v/>
      </c>
      <c r="FK105" s="60" t="e">
        <f>IF($FJ105="",#N/A,SUM($FJ$4:FJ105))</f>
        <v>#N/A</v>
      </c>
      <c r="FL105" s="60" t="str">
        <f t="shared" si="190"/>
        <v/>
      </c>
      <c r="FM105" s="60" t="e">
        <f>IF($FL105="",#N/A,SUM($FL$4:FL105))</f>
        <v>#N/A</v>
      </c>
      <c r="FN105" s="82">
        <f t="shared" si="191"/>
        <v>-0.6832811881900227</v>
      </c>
      <c r="FO105" s="82">
        <f>IF($FN105="",#N/A,SUM(FN$4:$FN105))</f>
        <v>30.053084325120253</v>
      </c>
      <c r="FP105" s="82">
        <f t="shared" si="211"/>
        <v>0.23555219908656133</v>
      </c>
      <c r="FQ105" s="246">
        <f>IF($EH105="",#N/A,SUM($FP$4:FP105))</f>
        <v>19.942271371375661</v>
      </c>
      <c r="FR105" s="82">
        <f>IFERROR(FQ105/COUNTA($J$4:J105),#N/A)</f>
        <v>0.19551246442525158</v>
      </c>
      <c r="FS105" s="82">
        <f>IFERROR(($FQ105-$FQ61)/COUNTA($J61:$J105),#N/A)</f>
        <v>0.12168916987377104</v>
      </c>
      <c r="FT105" s="82">
        <f t="shared" si="221"/>
        <v>0.10273413951582129</v>
      </c>
      <c r="FU105" s="337">
        <f>IF(AND(HB105="MOC",GZ105=""),#N/A,IFERROR(FQ105-HE105,FQ105-0))-14.53</f>
        <v>6.4560078388590387</v>
      </c>
      <c r="FV105" s="57" t="str">
        <f t="shared" si="192"/>
        <v>Up</v>
      </c>
      <c r="FW105" s="57" t="s">
        <v>2733</v>
      </c>
      <c r="FX105" s="57">
        <f t="shared" si="193"/>
        <v>1</v>
      </c>
      <c r="FY105" s="57" t="str">
        <f t="shared" si="194"/>
        <v/>
      </c>
      <c r="FZ105" s="57" t="str">
        <f t="shared" si="195"/>
        <v/>
      </c>
      <c r="GA105" s="57" t="str">
        <f t="shared" si="196"/>
        <v>Long</v>
      </c>
      <c r="GB105" s="57" t="str">
        <f t="shared" si="197"/>
        <v/>
      </c>
      <c r="GC105" s="57" t="str">
        <f t="shared" si="198"/>
        <v/>
      </c>
      <c r="GD105" s="57" t="str">
        <f t="shared" si="199"/>
        <v/>
      </c>
      <c r="GE105" s="62">
        <f t="shared" si="114"/>
        <v>185.38</v>
      </c>
      <c r="GF105" s="62" t="s">
        <v>2779</v>
      </c>
      <c r="GG105" s="199">
        <v>3</v>
      </c>
      <c r="GH105" s="207">
        <f t="shared" si="200"/>
        <v>556.14</v>
      </c>
      <c r="GI105" s="199">
        <v>3</v>
      </c>
      <c r="GJ105" s="200">
        <v>188</v>
      </c>
      <c r="GK105" s="63">
        <f t="shared" si="201"/>
        <v>7.8600000000000136</v>
      </c>
      <c r="GL105" s="63">
        <f t="shared" si="115"/>
        <v>-22.799999999999955</v>
      </c>
      <c r="GM105" s="82" t="str">
        <f t="shared" si="202"/>
        <v/>
      </c>
      <c r="GN105" s="82">
        <f>IF($GZ105="",#N/A,SUM(GM$4:GM105))</f>
        <v>14.356503598620787</v>
      </c>
      <c r="GO105" s="82">
        <f t="shared" si="203"/>
        <v>-0.6832811881900227</v>
      </c>
      <c r="GP105" s="82">
        <f>IF($GZ105="",#N/A,SUM(GO$4:GO105))</f>
        <v>10.635036056741368</v>
      </c>
      <c r="GQ105" s="82" t="str">
        <f t="shared" si="204"/>
        <v/>
      </c>
      <c r="GR105" s="82">
        <f>IF($GZ105="",#N/A,SUM(GQ$4:GQ105))</f>
        <v>4.4357077153157531</v>
      </c>
      <c r="GS105" s="63" t="str">
        <f t="shared" si="212"/>
        <v/>
      </c>
      <c r="GT105" s="63" t="e">
        <f>IF($GZ105="",#N/A,SUM(GS$4:GS105))</f>
        <v>#N/A</v>
      </c>
      <c r="GU105" s="63" t="e">
        <f t="shared" si="213"/>
        <v>#N/A</v>
      </c>
      <c r="GV105" s="63" t="e">
        <f>IF($GZ105="",#N/A,SUM(GU$4:GU105))</f>
        <v>#N/A</v>
      </c>
      <c r="GW105" s="63" t="str">
        <f t="shared" si="214"/>
        <v/>
      </c>
      <c r="GX105" s="63" t="e">
        <f>IF($GZ105="",#N/A,SUM(GW$4:GW105))</f>
        <v>#N/A</v>
      </c>
      <c r="GY105" s="63" t="e">
        <f>IF(EJ105="",#N/A,SUM($EJ$4:EJ105))</f>
        <v>#N/A</v>
      </c>
      <c r="GZ105" s="159">
        <v>177.78</v>
      </c>
      <c r="HA105" s="63">
        <f t="shared" si="205"/>
        <v>-30.659999999999968</v>
      </c>
      <c r="HB105" s="62" t="s">
        <v>2538</v>
      </c>
      <c r="HC105" s="60">
        <f>IFERROR(VLOOKUP(E105,Expectancy!$P$4:$S$19,1+C105,FALSE),"")</f>
        <v>-7.9483352726509887E-2</v>
      </c>
      <c r="HD105" s="82">
        <f t="shared" si="206"/>
        <v>0.23555219908656133</v>
      </c>
      <c r="HE105" s="60">
        <f>IF(HD105="",#N/A,SUM($HD$4:HD105))</f>
        <v>-1.0437364674833791</v>
      </c>
      <c r="HF105" s="85">
        <f>IF(HD105="",#N/A,IF(HB105="Skip",#N/A,SUM($HG$4:HG105)))</f>
        <v>-1.3399999999999181</v>
      </c>
      <c r="HG105" s="63">
        <f t="shared" si="207"/>
        <v>7.8600000000000136</v>
      </c>
      <c r="HH105" s="82">
        <f t="shared" si="208"/>
        <v>-0.6832811881900227</v>
      </c>
    </row>
    <row r="106" spans="1:216" x14ac:dyDescent="0.25">
      <c r="A106" s="57" t="s">
        <v>1309</v>
      </c>
      <c r="B106" s="58" t="s">
        <v>5160</v>
      </c>
      <c r="C106" s="386">
        <f t="shared" si="118"/>
        <v>3</v>
      </c>
      <c r="D106" s="372" t="str">
        <f>_xlfn.XLOOKUP(A106,[1]SP500!$A$2:$A$502,[1]SP500!$D$2:$D$502,"N")</f>
        <v>Y</v>
      </c>
      <c r="E106" s="57" t="str">
        <f>_xlfn.XLOOKUP(A106,[1]SP500!$A$2:$A$655,[1]SP500!$B$2:$B$655)</f>
        <v>XLV</v>
      </c>
      <c r="F106" s="59">
        <v>45687</v>
      </c>
      <c r="G106" s="57" t="str">
        <f t="shared" si="119"/>
        <v>BMO</v>
      </c>
      <c r="H106" s="57" t="str">
        <f t="shared" si="120"/>
        <v>o</v>
      </c>
      <c r="I106" s="162">
        <v>568.23</v>
      </c>
      <c r="J106" s="159">
        <v>590.6</v>
      </c>
      <c r="K106" s="93">
        <f t="shared" si="121"/>
        <v>3.9367861605335876E-2</v>
      </c>
      <c r="L106" s="87">
        <f t="shared" si="122"/>
        <v>15.747144642134344</v>
      </c>
      <c r="M106" s="214" t="e">
        <f t="shared" si="112"/>
        <v>#N/A</v>
      </c>
      <c r="N106" s="168" t="str">
        <f t="shared" si="123"/>
        <v/>
      </c>
      <c r="O106" s="168">
        <f>IF($J106="",#N/A,SUM($N$4:N106))</f>
        <v>217.68810757134344</v>
      </c>
      <c r="P106" s="173" t="str">
        <f t="shared" si="124"/>
        <v/>
      </c>
      <c r="Q106" s="173">
        <f>IF($J106="",#N/A,SUM($P$4:P106))</f>
        <v>42.406464916880907</v>
      </c>
      <c r="R106" s="177">
        <f t="shared" si="125"/>
        <v>15.747144642134344</v>
      </c>
      <c r="S106" s="177">
        <f>IF($J106="",#N/A,SUM($R$4:R106))</f>
        <v>273.49427112115296</v>
      </c>
      <c r="T106" s="293" t="str">
        <f t="shared" si="126"/>
        <v/>
      </c>
      <c r="U106" s="293">
        <f>IF($J106="",#N/A,SUM($T$4:T106))</f>
        <v>7.7343490944726661</v>
      </c>
      <c r="V106" s="294" t="str">
        <f t="shared" si="127"/>
        <v/>
      </c>
      <c r="W106" s="294">
        <f>IF($J106="",#N/A,SUM($V$4:V106))</f>
        <v>1.3832092337058488</v>
      </c>
      <c r="X106" s="295">
        <f t="shared" si="128"/>
        <v>0.65613102675559765</v>
      </c>
      <c r="Y106" s="283">
        <f>IF($J106="",#N/A,SUM($X$4:X106))</f>
        <v>11.480844069952731</v>
      </c>
      <c r="Z106" s="304" t="str">
        <f t="shared" si="129"/>
        <v/>
      </c>
      <c r="AA106" s="316" t="e">
        <f>IF($J106="",#N/A,SUM(Z$4:Z106))</f>
        <v>#N/A</v>
      </c>
      <c r="AB106" s="317" t="str">
        <f t="shared" si="130"/>
        <v/>
      </c>
      <c r="AC106" s="317" t="e">
        <f>IF($J106="",#N/A,SUM(AB$4:AB106))</f>
        <v>#N/A</v>
      </c>
      <c r="AD106" s="318" t="str">
        <f t="shared" si="131"/>
        <v/>
      </c>
      <c r="AE106" s="318" t="e">
        <f>IF($J106="",#N/A,SUM(AD$4:AD106))</f>
        <v>#N/A</v>
      </c>
      <c r="AF106" s="318" t="e">
        <f>IF($J106="",#N/A,SUM(AD$4:AD106,AB$4:AB106,Z$4:Z106))</f>
        <v>#N/A</v>
      </c>
      <c r="AG106" s="304" t="str">
        <f t="shared" si="132"/>
        <v/>
      </c>
      <c r="AH106" s="316" t="e">
        <f>IF($J106="",#N/A,SUM(AG$4:AG106))</f>
        <v>#N/A</v>
      </c>
      <c r="AI106" s="317" t="str">
        <f t="shared" si="133"/>
        <v/>
      </c>
      <c r="AJ106" s="317" t="e">
        <f>IF($J106="",#N/A,SUM(AI$4:AI106))</f>
        <v>#N/A</v>
      </c>
      <c r="AK106" s="318" t="str">
        <f t="shared" si="134"/>
        <v/>
      </c>
      <c r="AL106" s="318" t="e">
        <f>IF($J106="",#N/A,SUM(AK$4:AK106))</f>
        <v>#N/A</v>
      </c>
      <c r="AM106" s="318" t="e">
        <f>IF($J106="",#N/A,SUM(AK$4:AK106,AI$4:AI106,AG$4:AG106))</f>
        <v>#N/A</v>
      </c>
      <c r="AN106" s="304" t="str">
        <f t="shared" si="135"/>
        <v/>
      </c>
      <c r="AO106" s="316" t="e">
        <f>IF($J106="",#N/A,SUM(AN$4:AN106))</f>
        <v>#N/A</v>
      </c>
      <c r="AP106" s="317" t="str">
        <f t="shared" si="136"/>
        <v/>
      </c>
      <c r="AQ106" s="317" t="e">
        <f>IF($J106="",#N/A,SUM(AP$4:AP106))</f>
        <v>#N/A</v>
      </c>
      <c r="AR106" s="318" t="str">
        <f t="shared" si="137"/>
        <v/>
      </c>
      <c r="AS106" s="318" t="e">
        <f>IF($J106="",#N/A,SUM(AR$4:AR106))</f>
        <v>#N/A</v>
      </c>
      <c r="AT106" s="318" t="e">
        <f>IF($J106="",#N/A,SUM(AR$4:AR106,AP$4:AP106,AN$4:AN106))</f>
        <v>#N/A</v>
      </c>
      <c r="AU106" s="304" t="str">
        <f t="shared" si="138"/>
        <v/>
      </c>
      <c r="AV106" s="316" t="e">
        <f>IF($J106="",#N/A,SUM(AU$4:AU106))</f>
        <v>#N/A</v>
      </c>
      <c r="AW106" s="317" t="str">
        <f t="shared" si="139"/>
        <v/>
      </c>
      <c r="AX106" s="317" t="e">
        <f>IF($J106="",#N/A,SUM(AW$4:AW106))</f>
        <v>#N/A</v>
      </c>
      <c r="AY106" s="318" t="str">
        <f t="shared" si="140"/>
        <v/>
      </c>
      <c r="AZ106" s="318" t="e">
        <f>IF($J106="",#N/A,SUM(AY$4:AY106))</f>
        <v>#N/A</v>
      </c>
      <c r="BA106" s="318" t="e">
        <f>IF($J106="",#N/A,SUM(AY$4:AY106,AW$4:AW106,AU$4:AU106))</f>
        <v>#N/A</v>
      </c>
      <c r="BB106" s="304" t="str">
        <f t="shared" si="141"/>
        <v/>
      </c>
      <c r="BC106" s="316" t="e">
        <f>IF($J106="",#N/A,SUM(BB$4:BB106))</f>
        <v>#N/A</v>
      </c>
      <c r="BD106" s="317" t="str">
        <f t="shared" si="142"/>
        <v/>
      </c>
      <c r="BE106" s="317" t="e">
        <f>IF($J106="",#N/A,SUM(BD$4:BD106))</f>
        <v>#N/A</v>
      </c>
      <c r="BF106" s="318" t="str">
        <f t="shared" si="143"/>
        <v/>
      </c>
      <c r="BG106" s="318" t="e">
        <f>IF($J106="",#N/A,SUM(BF$4:BF106))</f>
        <v>#N/A</v>
      </c>
      <c r="BH106" s="318" t="e">
        <f>IF($J106="",#N/A,SUM(BF$4:BF106,BD$4:BD106,BB$4:BB106))</f>
        <v>#N/A</v>
      </c>
      <c r="BI106" s="304" t="str">
        <f t="shared" si="144"/>
        <v/>
      </c>
      <c r="BJ106" s="316" t="e">
        <f>IF($J106="",#N/A,SUM(BI$4:BI106))</f>
        <v>#N/A</v>
      </c>
      <c r="BK106" s="317" t="str">
        <f t="shared" si="145"/>
        <v/>
      </c>
      <c r="BL106" s="317" t="e">
        <f>IF($J106="",#N/A,SUM(BK$4:BK106))</f>
        <v>#N/A</v>
      </c>
      <c r="BM106" s="318" t="str">
        <f t="shared" si="146"/>
        <v/>
      </c>
      <c r="BN106" s="318" t="e">
        <f>IF($J106="",#N/A,SUM(BM$4:BM106))</f>
        <v>#N/A</v>
      </c>
      <c r="BO106" s="318" t="e">
        <f>IF($J106="",#N/A,SUM(BM$4:BM106,BK$4:BK106,BI$4:BI106))</f>
        <v>#N/A</v>
      </c>
      <c r="BP106" s="304" t="str">
        <f t="shared" si="147"/>
        <v/>
      </c>
      <c r="BQ106" s="316" t="e">
        <f>IF($J106="",#N/A,SUM(BP$4:BP106))</f>
        <v>#N/A</v>
      </c>
      <c r="BR106" s="317" t="str">
        <f t="shared" si="148"/>
        <v/>
      </c>
      <c r="BS106" s="317" t="e">
        <f>IF($J106="",#N/A,SUM(BR$4:BR106))</f>
        <v>#N/A</v>
      </c>
      <c r="BT106" s="318" t="str">
        <f t="shared" si="149"/>
        <v/>
      </c>
      <c r="BU106" s="318" t="e">
        <f>IF($J106="",#N/A,SUM(BT$4:BT106))</f>
        <v>#N/A</v>
      </c>
      <c r="BV106" s="318" t="e">
        <f>IF($J106="",#N/A,SUM(BT$4:BT106,BR$4:BR106,BP$4:BP106))</f>
        <v>#N/A</v>
      </c>
      <c r="BW106" s="304" t="str">
        <f t="shared" si="150"/>
        <v/>
      </c>
      <c r="BX106" s="316" t="e">
        <f>IF($J106="",#N/A,SUM(BW$4:BW106))</f>
        <v>#N/A</v>
      </c>
      <c r="BY106" s="317" t="str">
        <f t="shared" si="151"/>
        <v/>
      </c>
      <c r="BZ106" s="317" t="e">
        <f>IF($J106="",#N/A,SUM(BY$4:BY106))</f>
        <v>#N/A</v>
      </c>
      <c r="CA106" s="318">
        <f t="shared" si="152"/>
        <v>0.65613102675559765</v>
      </c>
      <c r="CB106" s="318" t="e">
        <f>IF($J106="",#N/A,SUM(CA$4:CA106))</f>
        <v>#N/A</v>
      </c>
      <c r="CC106" s="318" t="e">
        <f>IF($J106="",#N/A,SUM(CA$4:CA106,BY$4:BY106,BW$4:BW106))</f>
        <v>#N/A</v>
      </c>
      <c r="CD106" s="304" t="str">
        <f t="shared" si="153"/>
        <v/>
      </c>
      <c r="CE106" s="316" t="e">
        <f>IF($J106="",#N/A,SUM(CD$4:CD106))</f>
        <v>#N/A</v>
      </c>
      <c r="CF106" s="317" t="str">
        <f t="shared" si="154"/>
        <v/>
      </c>
      <c r="CG106" s="317" t="e">
        <f>IF($J106="",#N/A,SUM(CF$4:CF106))</f>
        <v>#N/A</v>
      </c>
      <c r="CH106" s="318" t="str">
        <f t="shared" si="155"/>
        <v/>
      </c>
      <c r="CI106" s="318" t="e">
        <f>IF($J106="",#N/A,SUM(CH$4:CH106))</f>
        <v>#N/A</v>
      </c>
      <c r="CJ106" s="318" t="e">
        <f>IF($J106="",#N/A,SUM(CH$4:CH106,CF$4:CF106,CD$4:CD106))</f>
        <v>#N/A</v>
      </c>
      <c r="CK106" s="304" t="str">
        <f t="shared" si="156"/>
        <v/>
      </c>
      <c r="CL106" s="316" t="e">
        <f>IF($J106="",#N/A,SUM(CK$4:CK106))</f>
        <v>#N/A</v>
      </c>
      <c r="CM106" s="317" t="str">
        <f t="shared" si="157"/>
        <v/>
      </c>
      <c r="CN106" s="317" t="e">
        <f>IF($J106="",#N/A,SUM(CM$4:CM106))</f>
        <v>#N/A</v>
      </c>
      <c r="CO106" s="318" t="str">
        <f t="shared" si="158"/>
        <v/>
      </c>
      <c r="CP106" s="318" t="e">
        <f>IF($J106="",#N/A,SUM(CO$4:CO106))</f>
        <v>#N/A</v>
      </c>
      <c r="CQ106" s="318" t="e">
        <f>IF($J106="",#N/A,SUM(CO$4:CO106,CM$4:CM106,CK$4:CK106))</f>
        <v>#N/A</v>
      </c>
      <c r="CR106" s="304" t="str">
        <f t="shared" si="159"/>
        <v/>
      </c>
      <c r="CS106" s="316" t="e">
        <f>IF($J106="",#N/A,SUM(CR$4:CR106))</f>
        <v>#N/A</v>
      </c>
      <c r="CT106" s="317" t="str">
        <f t="shared" si="160"/>
        <v/>
      </c>
      <c r="CU106" s="317" t="e">
        <f>IF($J106="",#N/A,SUM(CT$4:CT106))</f>
        <v>#N/A</v>
      </c>
      <c r="CV106" s="318" t="str">
        <f t="shared" si="161"/>
        <v/>
      </c>
      <c r="CW106" s="318" t="e">
        <f>IF($J106="",#N/A,SUM(CV$4:CV106))</f>
        <v>#N/A</v>
      </c>
      <c r="CX106" s="318" t="e">
        <f>IF($J106="",#N/A,SUM(CV$4:CV106,CT$4:CT106,CR$4:CR106))</f>
        <v>#N/A</v>
      </c>
      <c r="CY106" s="304" t="str">
        <f t="shared" si="162"/>
        <v/>
      </c>
      <c r="CZ106" s="316" t="e">
        <f>IF($J106="",#N/A,SUM(CY$4:CY106))</f>
        <v>#N/A</v>
      </c>
      <c r="DA106" s="317" t="str">
        <f t="shared" si="163"/>
        <v/>
      </c>
      <c r="DB106" s="317" t="e">
        <f>IF($J106="",#N/A,SUM(DA$4:DA106))</f>
        <v>#N/A</v>
      </c>
      <c r="DC106" s="318" t="str">
        <f t="shared" si="164"/>
        <v/>
      </c>
      <c r="DD106" s="318" t="e">
        <f>IF($J106="",#N/A,SUM(DC$4:DC106))</f>
        <v>#N/A</v>
      </c>
      <c r="DE106" s="318" t="e">
        <f>IF($J106="",#N/A,SUM(DC$4:DC106,DA$4:DA106,CY$4:CY106))</f>
        <v>#N/A</v>
      </c>
      <c r="DF106" s="304" t="str">
        <f t="shared" si="165"/>
        <v/>
      </c>
      <c r="DG106" s="316" t="e">
        <f>IF($J106="",#N/A,SUM(DF$4:DF106))</f>
        <v>#N/A</v>
      </c>
      <c r="DH106" s="317" t="str">
        <f t="shared" si="166"/>
        <v/>
      </c>
      <c r="DI106" s="317" t="e">
        <f>IF($J106="",#N/A,SUM(DH$4:DH106))</f>
        <v>#N/A</v>
      </c>
      <c r="DJ106" s="318" t="str">
        <f t="shared" si="167"/>
        <v/>
      </c>
      <c r="DK106" s="318" t="e">
        <f>IF($J106="",#N/A,SUM(DJ$4:DJ106))</f>
        <v>#N/A</v>
      </c>
      <c r="DL106" s="318" t="e">
        <f>IF($J106="",#N/A,SUM(DJ$4:DJ106,DH$4:DH106,DF$4:DF106))</f>
        <v>#N/A</v>
      </c>
      <c r="DM106" s="304" t="str">
        <f t="shared" si="168"/>
        <v/>
      </c>
      <c r="DN106" s="316" t="e">
        <f>IF($J106="",#N/A,SUM(DM$4:DM106))</f>
        <v>#N/A</v>
      </c>
      <c r="DO106" s="317" t="str">
        <f t="shared" si="169"/>
        <v/>
      </c>
      <c r="DP106" s="317" t="e">
        <f>IF($J106="",#N/A,SUM(DO$4:DO106))</f>
        <v>#N/A</v>
      </c>
      <c r="DQ106" s="318" t="str">
        <f t="shared" si="170"/>
        <v/>
      </c>
      <c r="DR106" s="318" t="e">
        <f>IF($J106="",#N/A,SUM(DQ$4:DQ106))</f>
        <v>#N/A</v>
      </c>
      <c r="DS106" s="318" t="e">
        <f>IF($J106="",#N/A,SUM(DQ$4:DQ106,DO$4:DO106,DM$4:DM106))</f>
        <v>#N/A</v>
      </c>
      <c r="DT106" s="304" t="str">
        <f t="shared" si="171"/>
        <v/>
      </c>
      <c r="DU106" s="316" t="e">
        <f>IF($J106="",#N/A,SUM(DT$4:DT106))</f>
        <v>#N/A</v>
      </c>
      <c r="DV106" s="317" t="str">
        <f t="shared" si="172"/>
        <v/>
      </c>
      <c r="DW106" s="317" t="e">
        <f>IF($J106="",#N/A,SUM(DV$4:DV106))</f>
        <v>#N/A</v>
      </c>
      <c r="DX106" s="318" t="str">
        <f t="shared" si="173"/>
        <v/>
      </c>
      <c r="DY106" s="318" t="e">
        <f>IF($J106="",#N/A,SUM(DX$4:DX106))</f>
        <v>#N/A</v>
      </c>
      <c r="DZ106" s="318" t="e">
        <f>IF($J106="",#N/A,SUM(DX$4:DX106,DV$4:DV106,DT$4:DT106))</f>
        <v>#N/A</v>
      </c>
      <c r="EA106" s="304" t="str">
        <f t="shared" si="174"/>
        <v/>
      </c>
      <c r="EB106" s="316" t="e">
        <f>IF($J106="",#N/A,SUM(EA$4:EA106))</f>
        <v>#N/A</v>
      </c>
      <c r="EC106" s="317" t="str">
        <f t="shared" si="175"/>
        <v/>
      </c>
      <c r="ED106" s="317" t="e">
        <f>IF($J106="",#N/A,SUM(EC$4:EC106))</f>
        <v>#N/A</v>
      </c>
      <c r="EE106" s="318" t="str">
        <f t="shared" si="176"/>
        <v/>
      </c>
      <c r="EF106" s="318" t="e">
        <f>IF($J106="",#N/A,SUM(EE$4:EE106))</f>
        <v>#N/A</v>
      </c>
      <c r="EG106" s="318" t="e">
        <f>IF($J106="",#N/A,SUM(EE$4:EE106,EC$4:EC106,EA$4:EA106))</f>
        <v>#N/A</v>
      </c>
      <c r="EH106" s="211">
        <f t="shared" si="177"/>
        <v>15.747144642134344</v>
      </c>
      <c r="EI106" s="63">
        <f>IF(EH106="",#N/A,SUM($EH$4:EH106))</f>
        <v>533.58884360937736</v>
      </c>
      <c r="EJ106" s="223" t="e">
        <f t="shared" si="178"/>
        <v>#N/A</v>
      </c>
      <c r="EK106" s="63" t="e">
        <f>IF($GZ106="",#N/A,SUM(EJ$4:EJ106))</f>
        <v>#N/A</v>
      </c>
      <c r="EL106" s="60">
        <f t="shared" si="209"/>
        <v>0.65613102675559765</v>
      </c>
      <c r="EM106" s="60">
        <f>IF(EL106="",NA(),SUM($EL$4:EL106))</f>
        <v>20.229158350812234</v>
      </c>
      <c r="EN106" s="60" t="str">
        <f t="shared" si="179"/>
        <v/>
      </c>
      <c r="EO106" s="60" t="e">
        <f>IF(EN106="",NA(),SUM($EN$4:EN106))</f>
        <v>#N/A</v>
      </c>
      <c r="EP106" s="60">
        <f t="shared" si="180"/>
        <v>0.65613102675559765</v>
      </c>
      <c r="EQ106" s="60">
        <f>IF(EP106="",NA(),SUM($EP$4:EP106))</f>
        <v>11.601492122348457</v>
      </c>
      <c r="ER106" s="60" t="str">
        <f t="shared" si="181"/>
        <v/>
      </c>
      <c r="ES106" s="60" t="e">
        <f>IF(ER106="",NA(),SUM($ER$4:ER106))</f>
        <v>#N/A</v>
      </c>
      <c r="ET106" s="60" t="str">
        <f t="shared" si="182"/>
        <v/>
      </c>
      <c r="EU106" s="60" t="e">
        <f>IF(ET106="",NA(),SUM($ET$4:ET106))</f>
        <v>#N/A</v>
      </c>
      <c r="EV106" s="60" t="str">
        <f t="shared" si="183"/>
        <v/>
      </c>
      <c r="EW106" s="60" t="e">
        <f>IF(EV106="",NA(),SUM($EV$4:EV106))</f>
        <v>#N/A</v>
      </c>
      <c r="EX106" s="60" t="str">
        <f t="shared" si="184"/>
        <v/>
      </c>
      <c r="EY106" s="60" t="e">
        <f>IF(EX106="",NA(),SUM($EX$4:EX106))</f>
        <v>#N/A</v>
      </c>
      <c r="EZ106" s="60" t="str">
        <f t="shared" si="185"/>
        <v/>
      </c>
      <c r="FA106" s="60" t="e">
        <f>IF(EZ106="",NA(),SUM($EZ$4:EZ106))</f>
        <v>#N/A</v>
      </c>
      <c r="FB106" s="246" t="str">
        <f t="shared" si="210"/>
        <v/>
      </c>
      <c r="FC106" s="246" t="e">
        <f>IF($FB106="",#N/A,SUM(FB$4:$FB106))</f>
        <v>#N/A</v>
      </c>
      <c r="FD106" s="60" t="str">
        <f t="shared" si="186"/>
        <v/>
      </c>
      <c r="FE106" s="60" t="e">
        <f>IF($FD106="",#N/A,SUM($FD$4:FD106))</f>
        <v>#N/A</v>
      </c>
      <c r="FF106" s="60" t="str">
        <f t="shared" si="187"/>
        <v/>
      </c>
      <c r="FG106" s="60" t="e">
        <f>IF($FF106="",#N/A,SUM($FF$4:FF106))</f>
        <v>#N/A</v>
      </c>
      <c r="FH106" s="60" t="str">
        <f t="shared" si="188"/>
        <v/>
      </c>
      <c r="FI106" s="60" t="e">
        <f>IF($FH106="",#N/A,SUM($FH$4:FH106))</f>
        <v>#N/A</v>
      </c>
      <c r="FJ106" s="60">
        <f t="shared" si="189"/>
        <v>0.47339985569223819</v>
      </c>
      <c r="FK106" s="60">
        <f>IF($FJ106="",#N/A,SUM($FJ$4:FJ106))</f>
        <v>1.9220340855235323</v>
      </c>
      <c r="FL106" s="60" t="str">
        <f t="shared" si="190"/>
        <v/>
      </c>
      <c r="FM106" s="60" t="e">
        <f>IF($FL106="",#N/A,SUM($FL$4:FL106))</f>
        <v>#N/A</v>
      </c>
      <c r="FN106" s="82">
        <f t="shared" si="191"/>
        <v>1.1295308824478358</v>
      </c>
      <c r="FO106" s="82">
        <f>IF($FN106="",#N/A,SUM(FN$4:$FN106))</f>
        <v>31.182615207568087</v>
      </c>
      <c r="FP106" s="82">
        <f t="shared" si="211"/>
        <v>0.65613102675559765</v>
      </c>
      <c r="FQ106" s="246">
        <f>IF($EH106="",#N/A,SUM($FP$4:FP106))</f>
        <v>20.59840239813126</v>
      </c>
      <c r="FR106" s="82">
        <f>IFERROR(FQ106/COUNTA($J$4:J106),#N/A)</f>
        <v>0.19998448930224524</v>
      </c>
      <c r="FS106" s="82">
        <f>IFERROR(($FQ106-$FQ62)/COUNTA($J62:$J106),#N/A)</f>
        <v>0.1362698593572288</v>
      </c>
      <c r="FT106" s="82">
        <f t="shared" si="221"/>
        <v>0.11650110731285516</v>
      </c>
      <c r="FU106" s="273"/>
      <c r="FV106" s="57" t="str">
        <f t="shared" si="192"/>
        <v>SW</v>
      </c>
      <c r="FW106" s="79" t="s">
        <v>2732</v>
      </c>
      <c r="FX106" s="57" t="str">
        <f t="shared" si="193"/>
        <v/>
      </c>
      <c r="FY106" s="57" t="str">
        <f t="shared" si="194"/>
        <v/>
      </c>
      <c r="FZ106" s="57">
        <f t="shared" si="195"/>
        <v>1</v>
      </c>
      <c r="GA106" s="57" t="str">
        <f t="shared" si="196"/>
        <v>Long</v>
      </c>
      <c r="GB106" s="57" t="str">
        <f t="shared" si="197"/>
        <v/>
      </c>
      <c r="GC106" s="57" t="str">
        <f t="shared" si="198"/>
        <v/>
      </c>
      <c r="GD106" s="57" t="str">
        <f t="shared" si="199"/>
        <v/>
      </c>
      <c r="GE106" s="62">
        <f t="shared" si="114"/>
        <v>568.23</v>
      </c>
      <c r="GF106" s="62" t="s">
        <v>2779</v>
      </c>
      <c r="GG106" s="99">
        <f>400/I106</f>
        <v>0.70394030586206291</v>
      </c>
      <c r="GH106" s="207">
        <f t="shared" si="200"/>
        <v>400</v>
      </c>
      <c r="GI106" s="99">
        <f>GG106</f>
        <v>0.70394030586206291</v>
      </c>
      <c r="GJ106" s="98">
        <f>J106</f>
        <v>590.6</v>
      </c>
      <c r="GK106" s="96">
        <f t="shared" si="201"/>
        <v>15.747144642134344</v>
      </c>
      <c r="GL106" s="63">
        <f t="shared" si="115"/>
        <v>27.108741178748062</v>
      </c>
      <c r="GM106" s="82">
        <f t="shared" si="202"/>
        <v>1.1295308824478358</v>
      </c>
      <c r="GN106" s="82">
        <f>IF($GZ106="",#N/A,SUM(GM$4:GM106))</f>
        <v>15.486034481068623</v>
      </c>
      <c r="GO106" s="82" t="str">
        <f t="shared" si="203"/>
        <v/>
      </c>
      <c r="GP106" s="82">
        <f>IF($GZ106="",#N/A,SUM(GO$4:GO106))</f>
        <v>10.635036056741368</v>
      </c>
      <c r="GQ106" s="82" t="str">
        <f t="shared" si="204"/>
        <v/>
      </c>
      <c r="GR106" s="82">
        <f>IF($GZ106="",#N/A,SUM(GQ$4:GQ106))</f>
        <v>4.4357077153157531</v>
      </c>
      <c r="GS106" s="63" t="e">
        <f t="shared" si="212"/>
        <v>#N/A</v>
      </c>
      <c r="GT106" s="63" t="e">
        <f>IF($GZ106="",#N/A,SUM(GS$4:GS106))</f>
        <v>#N/A</v>
      </c>
      <c r="GU106" s="63" t="str">
        <f t="shared" si="213"/>
        <v/>
      </c>
      <c r="GV106" s="63" t="e">
        <f>IF($GZ106="",#N/A,SUM(GU$4:GU106))</f>
        <v>#N/A</v>
      </c>
      <c r="GW106" s="63" t="str">
        <f t="shared" si="214"/>
        <v/>
      </c>
      <c r="GX106" s="63" t="e">
        <f>IF($GZ106="",#N/A,SUM(GW$4:GW106))</f>
        <v>#N/A</v>
      </c>
      <c r="GY106" s="63" t="e">
        <f>IF(EJ106="",#N/A,SUM($EJ$4:EJ106))</f>
        <v>#N/A</v>
      </c>
      <c r="GZ106" s="159">
        <v>606.74</v>
      </c>
      <c r="HA106" s="63">
        <f t="shared" si="205"/>
        <v>11.361596536613717</v>
      </c>
      <c r="HB106" s="130" t="s">
        <v>4970</v>
      </c>
      <c r="HC106" s="60">
        <f>IFERROR(VLOOKUP(E106,Expectancy!$P$4:$S$19,1+C106,FALSE),"")</f>
        <v>-0.15084750675779673</v>
      </c>
      <c r="HD106" s="82" t="str">
        <f t="shared" si="206"/>
        <v/>
      </c>
      <c r="HE106" s="60" t="e">
        <f>IF(HD106="",#N/A,SUM($HD$4:HD106))</f>
        <v>#N/A</v>
      </c>
      <c r="HF106" s="85" t="e">
        <f>IF(HD106="",#N/A,IF(HB106="Skip",#N/A,SUM($HG$4:HG106)))</f>
        <v>#N/A</v>
      </c>
      <c r="HG106" s="205" t="str">
        <f t="shared" si="207"/>
        <v/>
      </c>
      <c r="HH106" s="82">
        <f t="shared" si="208"/>
        <v>1.1295308824478358</v>
      </c>
    </row>
    <row r="107" spans="1:216" x14ac:dyDescent="0.25">
      <c r="A107" s="57" t="s">
        <v>1313</v>
      </c>
      <c r="B107" s="58" t="s">
        <v>5161</v>
      </c>
      <c r="C107" s="386">
        <f t="shared" si="118"/>
        <v>3</v>
      </c>
      <c r="D107" s="372" t="str">
        <f>_xlfn.XLOOKUP(A107,[1]SP500!$A$2:$A$502,[1]SP500!$D$2:$D$502,"N")</f>
        <v>Y</v>
      </c>
      <c r="E107" s="57" t="str">
        <f>_xlfn.XLOOKUP(A107,[1]SP500!$A$2:$A$655,[1]SP500!$B$2:$B$655)</f>
        <v>XLI</v>
      </c>
      <c r="F107" s="59">
        <v>45687</v>
      </c>
      <c r="G107" s="57" t="str">
        <f t="shared" si="119"/>
        <v>BMO</v>
      </c>
      <c r="H107" s="57" t="str">
        <f t="shared" si="120"/>
        <v>s</v>
      </c>
      <c r="I107" s="159">
        <v>393.23</v>
      </c>
      <c r="J107" s="159">
        <v>373.5</v>
      </c>
      <c r="K107" s="61">
        <f t="shared" si="121"/>
        <v>-5.0174198306334759E-2</v>
      </c>
      <c r="L107" s="87">
        <f t="shared" si="122"/>
        <v>-19.730000000000018</v>
      </c>
      <c r="M107" s="130">
        <f t="shared" si="112"/>
        <v>0</v>
      </c>
      <c r="N107" s="169" t="str">
        <f t="shared" si="123"/>
        <v/>
      </c>
      <c r="O107" s="169">
        <f>IF($J107="",#N/A,SUM($N$4:N107))</f>
        <v>217.68810757134344</v>
      </c>
      <c r="P107" s="174" t="str">
        <f t="shared" si="124"/>
        <v/>
      </c>
      <c r="Q107" s="174">
        <f>IF($J107="",#N/A,SUM($P$4:P107))</f>
        <v>42.406464916880907</v>
      </c>
      <c r="R107" s="178">
        <f t="shared" si="125"/>
        <v>-19.730000000000018</v>
      </c>
      <c r="S107" s="178">
        <f>IF($J107="",#N/A,SUM($R$4:R107))</f>
        <v>253.76427112115294</v>
      </c>
      <c r="T107" s="290" t="str">
        <f t="shared" si="126"/>
        <v/>
      </c>
      <c r="U107" s="290">
        <f>IF($J107="",#N/A,SUM($T$4:T107))</f>
        <v>7.7343490944726661</v>
      </c>
      <c r="V107" s="291" t="str">
        <f t="shared" si="127"/>
        <v/>
      </c>
      <c r="W107" s="291">
        <f>IF($J107="",#N/A,SUM($V$4:V107))</f>
        <v>1.3832092337058488</v>
      </c>
      <c r="X107" s="292">
        <f t="shared" si="128"/>
        <v>-0.83623663843891261</v>
      </c>
      <c r="Y107" s="283">
        <f>IF($J107="",#N/A,SUM($X$4:X107))</f>
        <v>10.644607431513819</v>
      </c>
      <c r="Z107" s="304" t="str">
        <f t="shared" si="129"/>
        <v/>
      </c>
      <c r="AA107" s="313" t="e">
        <f>IF($J107="",#N/A,SUM(Z$4:Z107))</f>
        <v>#N/A</v>
      </c>
      <c r="AB107" s="314" t="str">
        <f t="shared" si="130"/>
        <v/>
      </c>
      <c r="AC107" s="314" t="e">
        <f>IF($J107="",#N/A,SUM(AB$4:AB107))</f>
        <v>#N/A</v>
      </c>
      <c r="AD107" s="315" t="str">
        <f t="shared" si="131"/>
        <v/>
      </c>
      <c r="AE107" s="315" t="e">
        <f>IF($J107="",#N/A,SUM(AD$4:AD107))</f>
        <v>#N/A</v>
      </c>
      <c r="AF107" s="315" t="e">
        <f>IF($J107="",#N/A,SUM(AD$4:AD107,AB$4:AB107,Z$4:Z107))</f>
        <v>#N/A</v>
      </c>
      <c r="AG107" s="304" t="str">
        <f t="shared" si="132"/>
        <v/>
      </c>
      <c r="AH107" s="313" t="e">
        <f>IF($J107="",#N/A,SUM(AG$4:AG107))</f>
        <v>#N/A</v>
      </c>
      <c r="AI107" s="314" t="str">
        <f t="shared" si="133"/>
        <v/>
      </c>
      <c r="AJ107" s="314" t="e">
        <f>IF($J107="",#N/A,SUM(AI$4:AI107))</f>
        <v>#N/A</v>
      </c>
      <c r="AK107" s="315" t="str">
        <f t="shared" si="134"/>
        <v/>
      </c>
      <c r="AL107" s="315" t="e">
        <f>IF($J107="",#N/A,SUM(AK$4:AK107))</f>
        <v>#N/A</v>
      </c>
      <c r="AM107" s="315" t="e">
        <f>IF($J107="",#N/A,SUM(AK$4:AK107,AI$4:AI107,AG$4:AG107))</f>
        <v>#N/A</v>
      </c>
      <c r="AN107" s="304" t="str">
        <f t="shared" si="135"/>
        <v/>
      </c>
      <c r="AO107" s="313" t="e">
        <f>IF($J107="",#N/A,SUM(AN$4:AN107))</f>
        <v>#N/A</v>
      </c>
      <c r="AP107" s="314" t="str">
        <f t="shared" si="136"/>
        <v/>
      </c>
      <c r="AQ107" s="314" t="e">
        <f>IF($J107="",#N/A,SUM(AP$4:AP107))</f>
        <v>#N/A</v>
      </c>
      <c r="AR107" s="315" t="str">
        <f t="shared" si="137"/>
        <v/>
      </c>
      <c r="AS107" s="315" t="e">
        <f>IF($J107="",#N/A,SUM(AR$4:AR107))</f>
        <v>#N/A</v>
      </c>
      <c r="AT107" s="315" t="e">
        <f>IF($J107="",#N/A,SUM(AR$4:AR107,AP$4:AP107,AN$4:AN107))</f>
        <v>#N/A</v>
      </c>
      <c r="AU107" s="304" t="str">
        <f t="shared" si="138"/>
        <v/>
      </c>
      <c r="AV107" s="313" t="e">
        <f>IF($J107="",#N/A,SUM(AU$4:AU107))</f>
        <v>#N/A</v>
      </c>
      <c r="AW107" s="314" t="str">
        <f t="shared" si="139"/>
        <v/>
      </c>
      <c r="AX107" s="314" t="e">
        <f>IF($J107="",#N/A,SUM(AW$4:AW107))</f>
        <v>#N/A</v>
      </c>
      <c r="AY107" s="315" t="str">
        <f t="shared" si="140"/>
        <v/>
      </c>
      <c r="AZ107" s="315" t="e">
        <f>IF($J107="",#N/A,SUM(AY$4:AY107))</f>
        <v>#N/A</v>
      </c>
      <c r="BA107" s="315" t="e">
        <f>IF($J107="",#N/A,SUM(AY$4:AY107,AW$4:AW107,AU$4:AU107))</f>
        <v>#N/A</v>
      </c>
      <c r="BB107" s="304" t="str">
        <f t="shared" si="141"/>
        <v/>
      </c>
      <c r="BC107" s="313" t="e">
        <f>IF($J107="",#N/A,SUM(BB$4:BB107))</f>
        <v>#N/A</v>
      </c>
      <c r="BD107" s="314" t="str">
        <f t="shared" si="142"/>
        <v/>
      </c>
      <c r="BE107" s="314" t="e">
        <f>IF($J107="",#N/A,SUM(BD$4:BD107))</f>
        <v>#N/A</v>
      </c>
      <c r="BF107" s="315" t="str">
        <f t="shared" si="143"/>
        <v/>
      </c>
      <c r="BG107" s="315" t="e">
        <f>IF($J107="",#N/A,SUM(BF$4:BF107))</f>
        <v>#N/A</v>
      </c>
      <c r="BH107" s="315" t="e">
        <f>IF($J107="",#N/A,SUM(BF$4:BF107,BD$4:BD107,BB$4:BB107))</f>
        <v>#N/A</v>
      </c>
      <c r="BI107" s="304" t="str">
        <f t="shared" si="144"/>
        <v/>
      </c>
      <c r="BJ107" s="313" t="e">
        <f>IF($J107="",#N/A,SUM(BI$4:BI107))</f>
        <v>#N/A</v>
      </c>
      <c r="BK107" s="314" t="str">
        <f t="shared" si="145"/>
        <v/>
      </c>
      <c r="BL107" s="314" t="e">
        <f>IF($J107="",#N/A,SUM(BK$4:BK107))</f>
        <v>#N/A</v>
      </c>
      <c r="BM107" s="315" t="str">
        <f t="shared" si="146"/>
        <v/>
      </c>
      <c r="BN107" s="315" t="e">
        <f>IF($J107="",#N/A,SUM(BM$4:BM107))</f>
        <v>#N/A</v>
      </c>
      <c r="BO107" s="315" t="e">
        <f>IF($J107="",#N/A,SUM(BM$4:BM107,BK$4:BK107,BI$4:BI107))</f>
        <v>#N/A</v>
      </c>
      <c r="BP107" s="304" t="str">
        <f t="shared" si="147"/>
        <v/>
      </c>
      <c r="BQ107" s="313" t="e">
        <f>IF($J107="",#N/A,SUM(BP$4:BP107))</f>
        <v>#N/A</v>
      </c>
      <c r="BR107" s="314" t="str">
        <f t="shared" si="148"/>
        <v/>
      </c>
      <c r="BS107" s="314" t="e">
        <f>IF($J107="",#N/A,SUM(BR$4:BR107))</f>
        <v>#N/A</v>
      </c>
      <c r="BT107" s="315">
        <f t="shared" si="149"/>
        <v>-0.83623663843891261</v>
      </c>
      <c r="BU107" s="315" t="e">
        <f>IF($J107="",#N/A,SUM(BT$4:BT107))</f>
        <v>#N/A</v>
      </c>
      <c r="BV107" s="315" t="e">
        <f>IF($J107="",#N/A,SUM(BT$4:BT107,BR$4:BR107,BP$4:BP107))</f>
        <v>#N/A</v>
      </c>
      <c r="BW107" s="304" t="str">
        <f t="shared" si="150"/>
        <v/>
      </c>
      <c r="BX107" s="313" t="e">
        <f>IF($J107="",#N/A,SUM(BW$4:BW107))</f>
        <v>#N/A</v>
      </c>
      <c r="BY107" s="314" t="str">
        <f t="shared" si="151"/>
        <v/>
      </c>
      <c r="BZ107" s="314" t="e">
        <f>IF($J107="",#N/A,SUM(BY$4:BY107))</f>
        <v>#N/A</v>
      </c>
      <c r="CA107" s="315" t="str">
        <f t="shared" si="152"/>
        <v/>
      </c>
      <c r="CB107" s="315" t="e">
        <f>IF($J107="",#N/A,SUM(CA$4:CA107))</f>
        <v>#N/A</v>
      </c>
      <c r="CC107" s="315" t="e">
        <f>IF($J107="",#N/A,SUM(CA$4:CA107,BY$4:BY107,BW$4:BW107))</f>
        <v>#N/A</v>
      </c>
      <c r="CD107" s="304" t="str">
        <f t="shared" si="153"/>
        <v/>
      </c>
      <c r="CE107" s="313" t="e">
        <f>IF($J107="",#N/A,SUM(CD$4:CD107))</f>
        <v>#N/A</v>
      </c>
      <c r="CF107" s="314" t="str">
        <f t="shared" si="154"/>
        <v/>
      </c>
      <c r="CG107" s="314" t="e">
        <f>IF($J107="",#N/A,SUM(CF$4:CF107))</f>
        <v>#N/A</v>
      </c>
      <c r="CH107" s="315" t="str">
        <f t="shared" si="155"/>
        <v/>
      </c>
      <c r="CI107" s="315" t="e">
        <f>IF($J107="",#N/A,SUM(CH$4:CH107))</f>
        <v>#N/A</v>
      </c>
      <c r="CJ107" s="315" t="e">
        <f>IF($J107="",#N/A,SUM(CH$4:CH107,CF$4:CF107,CD$4:CD107))</f>
        <v>#N/A</v>
      </c>
      <c r="CK107" s="304" t="str">
        <f t="shared" si="156"/>
        <v/>
      </c>
      <c r="CL107" s="313" t="e">
        <f>IF($J107="",#N/A,SUM(CK$4:CK107))</f>
        <v>#N/A</v>
      </c>
      <c r="CM107" s="314" t="str">
        <f t="shared" si="157"/>
        <v/>
      </c>
      <c r="CN107" s="314" t="e">
        <f>IF($J107="",#N/A,SUM(CM$4:CM107))</f>
        <v>#N/A</v>
      </c>
      <c r="CO107" s="315" t="str">
        <f t="shared" si="158"/>
        <v/>
      </c>
      <c r="CP107" s="315" t="e">
        <f>IF($J107="",#N/A,SUM(CO$4:CO107))</f>
        <v>#N/A</v>
      </c>
      <c r="CQ107" s="315" t="e">
        <f>IF($J107="",#N/A,SUM(CO$4:CO107,CM$4:CM107,CK$4:CK107))</f>
        <v>#N/A</v>
      </c>
      <c r="CR107" s="304" t="str">
        <f t="shared" si="159"/>
        <v/>
      </c>
      <c r="CS107" s="313" t="e">
        <f>IF($J107="",#N/A,SUM(CR$4:CR107))</f>
        <v>#N/A</v>
      </c>
      <c r="CT107" s="314" t="str">
        <f t="shared" si="160"/>
        <v/>
      </c>
      <c r="CU107" s="314" t="e">
        <f>IF($J107="",#N/A,SUM(CT$4:CT107))</f>
        <v>#N/A</v>
      </c>
      <c r="CV107" s="315" t="str">
        <f t="shared" si="161"/>
        <v/>
      </c>
      <c r="CW107" s="315" t="e">
        <f>IF($J107="",#N/A,SUM(CV$4:CV107))</f>
        <v>#N/A</v>
      </c>
      <c r="CX107" s="315" t="e">
        <f>IF($J107="",#N/A,SUM(CV$4:CV107,CT$4:CT107,CR$4:CR107))</f>
        <v>#N/A</v>
      </c>
      <c r="CY107" s="304" t="str">
        <f t="shared" si="162"/>
        <v/>
      </c>
      <c r="CZ107" s="313" t="e">
        <f>IF($J107="",#N/A,SUM(CY$4:CY107))</f>
        <v>#N/A</v>
      </c>
      <c r="DA107" s="314" t="str">
        <f t="shared" si="163"/>
        <v/>
      </c>
      <c r="DB107" s="314" t="e">
        <f>IF($J107="",#N/A,SUM(DA$4:DA107))</f>
        <v>#N/A</v>
      </c>
      <c r="DC107" s="315" t="str">
        <f t="shared" si="164"/>
        <v/>
      </c>
      <c r="DD107" s="315" t="e">
        <f>IF($J107="",#N/A,SUM(DC$4:DC107))</f>
        <v>#N/A</v>
      </c>
      <c r="DE107" s="315" t="e">
        <f>IF($J107="",#N/A,SUM(DC$4:DC107,DA$4:DA107,CY$4:CY107))</f>
        <v>#N/A</v>
      </c>
      <c r="DF107" s="304" t="str">
        <f t="shared" si="165"/>
        <v/>
      </c>
      <c r="DG107" s="313" t="e">
        <f>IF($J107="",#N/A,SUM(DF$4:DF107))</f>
        <v>#N/A</v>
      </c>
      <c r="DH107" s="314" t="str">
        <f t="shared" si="166"/>
        <v/>
      </c>
      <c r="DI107" s="314" t="e">
        <f>IF($J107="",#N/A,SUM(DH$4:DH107))</f>
        <v>#N/A</v>
      </c>
      <c r="DJ107" s="315" t="str">
        <f t="shared" si="167"/>
        <v/>
      </c>
      <c r="DK107" s="315" t="e">
        <f>IF($J107="",#N/A,SUM(DJ$4:DJ107))</f>
        <v>#N/A</v>
      </c>
      <c r="DL107" s="315" t="e">
        <f>IF($J107="",#N/A,SUM(DJ$4:DJ107,DH$4:DH107,DF$4:DF107))</f>
        <v>#N/A</v>
      </c>
      <c r="DM107" s="304" t="str">
        <f t="shared" si="168"/>
        <v/>
      </c>
      <c r="DN107" s="313" t="e">
        <f>IF($J107="",#N/A,SUM(DM$4:DM107))</f>
        <v>#N/A</v>
      </c>
      <c r="DO107" s="314" t="str">
        <f t="shared" si="169"/>
        <v/>
      </c>
      <c r="DP107" s="314" t="e">
        <f>IF($J107="",#N/A,SUM(DO$4:DO107))</f>
        <v>#N/A</v>
      </c>
      <c r="DQ107" s="315" t="str">
        <f t="shared" si="170"/>
        <v/>
      </c>
      <c r="DR107" s="315" t="e">
        <f>IF($J107="",#N/A,SUM(DQ$4:DQ107))</f>
        <v>#N/A</v>
      </c>
      <c r="DS107" s="315" t="e">
        <f>IF($J107="",#N/A,SUM(DQ$4:DQ107,DO$4:DO107,DM$4:DM107))</f>
        <v>#N/A</v>
      </c>
      <c r="DT107" s="304" t="str">
        <f t="shared" si="171"/>
        <v/>
      </c>
      <c r="DU107" s="313" t="e">
        <f>IF($J107="",#N/A,SUM(DT$4:DT107))</f>
        <v>#N/A</v>
      </c>
      <c r="DV107" s="314" t="str">
        <f t="shared" si="172"/>
        <v/>
      </c>
      <c r="DW107" s="314" t="e">
        <f>IF($J107="",#N/A,SUM(DV$4:DV107))</f>
        <v>#N/A</v>
      </c>
      <c r="DX107" s="315" t="str">
        <f t="shared" si="173"/>
        <v/>
      </c>
      <c r="DY107" s="315" t="e">
        <f>IF($J107="",#N/A,SUM(DX$4:DX107))</f>
        <v>#N/A</v>
      </c>
      <c r="DZ107" s="315" t="e">
        <f>IF($J107="",#N/A,SUM(DX$4:DX107,DV$4:DV107,DT$4:DT107))</f>
        <v>#N/A</v>
      </c>
      <c r="EA107" s="304" t="str">
        <f t="shared" si="174"/>
        <v/>
      </c>
      <c r="EB107" s="313" t="e">
        <f>IF($J107="",#N/A,SUM(EA$4:EA107))</f>
        <v>#N/A</v>
      </c>
      <c r="EC107" s="314" t="str">
        <f t="shared" si="175"/>
        <v/>
      </c>
      <c r="ED107" s="314" t="e">
        <f>IF($J107="",#N/A,SUM(EC$4:EC107))</f>
        <v>#N/A</v>
      </c>
      <c r="EE107" s="315" t="str">
        <f t="shared" si="176"/>
        <v/>
      </c>
      <c r="EF107" s="315" t="e">
        <f>IF($J107="",#N/A,SUM(EE$4:EE107))</f>
        <v>#N/A</v>
      </c>
      <c r="EG107" s="315" t="e">
        <f>IF($J107="",#N/A,SUM(EE$4:EE107,EC$4:EC107,EA$4:EA107))</f>
        <v>#N/A</v>
      </c>
      <c r="EH107" s="130">
        <f t="shared" si="177"/>
        <v>-19.730000000000018</v>
      </c>
      <c r="EI107" s="63">
        <f>IF(EH107="",#N/A,SUM($EH$4:EH107))</f>
        <v>513.85884360937735</v>
      </c>
      <c r="EJ107" s="223" t="e">
        <f t="shared" si="178"/>
        <v>#N/A</v>
      </c>
      <c r="EK107" s="63" t="e">
        <f>IF($GZ107="",#N/A,SUM(EJ$4:EJ107))</f>
        <v>#N/A</v>
      </c>
      <c r="EL107" s="60">
        <f t="shared" si="209"/>
        <v>-0.83623663843891261</v>
      </c>
      <c r="EM107" s="60">
        <f>IF(EL107="",NA(),SUM($EL$4:EL107))</f>
        <v>19.392921712373322</v>
      </c>
      <c r="EN107" s="60" t="str">
        <f t="shared" si="179"/>
        <v/>
      </c>
      <c r="EO107" s="60" t="e">
        <f>IF(EN107="",NA(),SUM($EN$4:EN107))</f>
        <v>#N/A</v>
      </c>
      <c r="EP107" s="60">
        <f t="shared" si="180"/>
        <v>-0.83623663843891261</v>
      </c>
      <c r="EQ107" s="60">
        <f>IF(EP107="",NA(),SUM($EP$4:EP107))</f>
        <v>10.765255483909545</v>
      </c>
      <c r="ER107" s="60" t="str">
        <f t="shared" si="181"/>
        <v/>
      </c>
      <c r="ES107" s="60" t="e">
        <f>IF(ER107="",NA(),SUM($ER$4:ER107))</f>
        <v>#N/A</v>
      </c>
      <c r="ET107" s="60" t="str">
        <f t="shared" si="182"/>
        <v/>
      </c>
      <c r="EU107" s="60" t="e">
        <f>IF(ET107="",NA(),SUM($ET$4:ET107))</f>
        <v>#N/A</v>
      </c>
      <c r="EV107" s="60" t="str">
        <f t="shared" si="183"/>
        <v/>
      </c>
      <c r="EW107" s="60" t="e">
        <f>IF(EV107="",NA(),SUM($EV$4:EV107))</f>
        <v>#N/A</v>
      </c>
      <c r="EX107" s="60" t="str">
        <f t="shared" si="184"/>
        <v/>
      </c>
      <c r="EY107" s="60" t="e">
        <f>IF(EX107="",NA(),SUM($EX$4:EX107))</f>
        <v>#N/A</v>
      </c>
      <c r="EZ107" s="60" t="str">
        <f t="shared" si="185"/>
        <v/>
      </c>
      <c r="FA107" s="60" t="e">
        <f>IF(EZ107="",NA(),SUM($EZ$4:EZ107))</f>
        <v>#N/A</v>
      </c>
      <c r="FB107" s="246" t="str">
        <f t="shared" si="210"/>
        <v/>
      </c>
      <c r="FC107" s="246" t="e">
        <f>IF($FB107="",#N/A,SUM(FB$4:$FB107))</f>
        <v>#N/A</v>
      </c>
      <c r="FD107" s="60" t="str">
        <f t="shared" si="186"/>
        <v/>
      </c>
      <c r="FE107" s="60" t="e">
        <f>IF($FD107="",#N/A,SUM($FD$4:FD107))</f>
        <v>#N/A</v>
      </c>
      <c r="FF107" s="60" t="str">
        <f t="shared" si="187"/>
        <v/>
      </c>
      <c r="FG107" s="60" t="e">
        <f>IF($FF107="",#N/A,SUM($FF$4:FF107))</f>
        <v>#N/A</v>
      </c>
      <c r="FH107" s="60" t="str">
        <f t="shared" si="188"/>
        <v/>
      </c>
      <c r="FI107" s="60" t="e">
        <f>IF($FH107="",#N/A,SUM($FH$4:FH107))</f>
        <v>#N/A</v>
      </c>
      <c r="FJ107" s="60" t="str">
        <f t="shared" si="189"/>
        <v/>
      </c>
      <c r="FK107" s="60" t="e">
        <f>IF($FJ107="",#N/A,SUM($FJ$4:FJ107))</f>
        <v>#N/A</v>
      </c>
      <c r="FL107" s="60">
        <f t="shared" si="190"/>
        <v>6.2728343886954141E-2</v>
      </c>
      <c r="FM107" s="60">
        <f>IF($FL107="",#N/A,SUM($FL$4:FL107))</f>
        <v>2.1458846694793134</v>
      </c>
      <c r="FN107" s="82">
        <f t="shared" si="191"/>
        <v>-0.77350829455195846</v>
      </c>
      <c r="FO107" s="82">
        <f>IF($FN107="",#N/A,SUM(FN$4:$FN107))</f>
        <v>30.409106913016128</v>
      </c>
      <c r="FP107" s="82">
        <f t="shared" si="211"/>
        <v>-0.83623663843891261</v>
      </c>
      <c r="FQ107" s="246">
        <f>IF($EH107="",#N/A,SUM($FP$4:FP107))</f>
        <v>19.762165759692348</v>
      </c>
      <c r="FR107" s="82">
        <f>IFERROR(FQ107/COUNTA($J$4:J107),#N/A)</f>
        <v>0.19002082461242642</v>
      </c>
      <c r="FS107" s="82">
        <f>IFERROR(($FQ107-$FQ63)/COUNTA($J63:$J107),#N/A)</f>
        <v>0.11349680206605967</v>
      </c>
      <c r="FT107" s="82">
        <f t="shared" si="221"/>
        <v>5.851593709027355E-2</v>
      </c>
      <c r="FU107" s="337">
        <f t="shared" ref="FU107:FU112" si="222">IF(AND(HB107="MOC",GZ107=""),#N/A,IFERROR(FQ107-HE107,FQ107-0))-14.53</f>
        <v>7.1121388656146411</v>
      </c>
      <c r="FV107" s="57" t="str">
        <f t="shared" si="192"/>
        <v>SW</v>
      </c>
      <c r="FW107" s="57" t="s">
        <v>2732</v>
      </c>
      <c r="FX107" s="57" t="str">
        <f t="shared" si="193"/>
        <v/>
      </c>
      <c r="FY107" s="57" t="str">
        <f t="shared" si="194"/>
        <v/>
      </c>
      <c r="FZ107" s="57" t="str">
        <f t="shared" si="195"/>
        <v/>
      </c>
      <c r="GA107" s="57" t="str">
        <f t="shared" si="196"/>
        <v>Long</v>
      </c>
      <c r="GB107" s="57" t="str">
        <f t="shared" si="197"/>
        <v/>
      </c>
      <c r="GC107" s="57" t="str">
        <f t="shared" si="198"/>
        <v/>
      </c>
      <c r="GD107" s="57">
        <f t="shared" si="199"/>
        <v>1</v>
      </c>
      <c r="GE107" s="62">
        <f t="shared" si="114"/>
        <v>393.23</v>
      </c>
      <c r="GF107" s="62" t="s">
        <v>2779</v>
      </c>
      <c r="GG107" s="199">
        <v>1</v>
      </c>
      <c r="GH107" s="207">
        <f t="shared" si="200"/>
        <v>393.23</v>
      </c>
      <c r="GI107" s="199">
        <v>1</v>
      </c>
      <c r="GJ107" s="200">
        <v>373.5</v>
      </c>
      <c r="GK107" s="63">
        <f t="shared" si="201"/>
        <v>-19.730000000000018</v>
      </c>
      <c r="GL107" s="63">
        <f t="shared" si="115"/>
        <v>-18.25</v>
      </c>
      <c r="GM107" s="82">
        <f t="shared" si="202"/>
        <v>-0.77350829455195846</v>
      </c>
      <c r="GN107" s="82">
        <f>IF($GZ107="",#N/A,SUM(GM$4:GM107))</f>
        <v>14.712526186516666</v>
      </c>
      <c r="GO107" s="82" t="str">
        <f t="shared" si="203"/>
        <v/>
      </c>
      <c r="GP107" s="82">
        <f>IF($GZ107="",#N/A,SUM(GO$4:GO107))</f>
        <v>10.635036056741368</v>
      </c>
      <c r="GQ107" s="82" t="str">
        <f t="shared" si="204"/>
        <v/>
      </c>
      <c r="GR107" s="82">
        <f>IF($GZ107="",#N/A,SUM(GQ$4:GQ107))</f>
        <v>4.4357077153157531</v>
      </c>
      <c r="GS107" s="63" t="e">
        <f t="shared" si="212"/>
        <v>#N/A</v>
      </c>
      <c r="GT107" s="63" t="e">
        <f>IF($GZ107="",#N/A,SUM(GS$4:GS107))</f>
        <v>#N/A</v>
      </c>
      <c r="GU107" s="63" t="str">
        <f t="shared" si="213"/>
        <v/>
      </c>
      <c r="GV107" s="63" t="e">
        <f>IF($GZ107="",#N/A,SUM(GU$4:GU107))</f>
        <v>#N/A</v>
      </c>
      <c r="GW107" s="63" t="str">
        <f t="shared" si="214"/>
        <v/>
      </c>
      <c r="GX107" s="63" t="e">
        <f>IF($GZ107="",#N/A,SUM(GW$4:GW107))</f>
        <v>#N/A</v>
      </c>
      <c r="GY107" s="63" t="e">
        <f>IF(EJ107="",#N/A,SUM($EJ$4:EJ107))</f>
        <v>#N/A</v>
      </c>
      <c r="GZ107" s="159">
        <v>374.98</v>
      </c>
      <c r="HA107" s="63">
        <f t="shared" si="205"/>
        <v>1.4800000000000182</v>
      </c>
      <c r="HB107" s="62" t="s">
        <v>2538</v>
      </c>
      <c r="HC107" s="60">
        <f>IFERROR(VLOOKUP(E107,Expectancy!$P$4:$S$19,1+C107,FALSE),"")</f>
        <v>2.40735201201209E-2</v>
      </c>
      <c r="HD107" s="82">
        <f t="shared" si="206"/>
        <v>-0.83623663843891261</v>
      </c>
      <c r="HE107" s="60">
        <f>IF(HD107="",#N/A,SUM($HD$4:HD107))</f>
        <v>-1.8799731059222917</v>
      </c>
      <c r="HF107" s="85">
        <f>IF(HD107="",#N/A,IF(HB107="Skip",#N/A,SUM($HG$4:HG107)))</f>
        <v>-21.069999999999936</v>
      </c>
      <c r="HG107" s="63">
        <f t="shared" si="207"/>
        <v>-19.730000000000018</v>
      </c>
      <c r="HH107" s="82">
        <f t="shared" si="208"/>
        <v>-0.77350829455195846</v>
      </c>
    </row>
    <row r="108" spans="1:216" x14ac:dyDescent="0.25">
      <c r="A108" s="57" t="s">
        <v>1319</v>
      </c>
      <c r="B108" s="58" t="s">
        <v>5162</v>
      </c>
      <c r="C108" s="386">
        <f t="shared" si="118"/>
        <v>2</v>
      </c>
      <c r="D108" s="372" t="str">
        <f>_xlfn.XLOOKUP(A108,[1]SP500!$A$2:$A$502,[1]SP500!$D$2:$D$502,"N")</f>
        <v>Y</v>
      </c>
      <c r="E108" s="57" t="str">
        <f>_xlfn.XLOOKUP(A108,[1]SP500!$A$2:$A$655,[1]SP500!$B$2:$B$655)</f>
        <v>XLC</v>
      </c>
      <c r="F108" s="59">
        <v>45687</v>
      </c>
      <c r="G108" s="57" t="str">
        <f t="shared" si="119"/>
        <v>BMO</v>
      </c>
      <c r="H108" s="57" t="str">
        <f t="shared" si="120"/>
        <v>s</v>
      </c>
      <c r="I108" s="159">
        <v>37.36</v>
      </c>
      <c r="J108" s="159">
        <v>34.42</v>
      </c>
      <c r="K108" s="61">
        <f t="shared" si="121"/>
        <v>-7.8693790149892875E-2</v>
      </c>
      <c r="L108" s="87">
        <f t="shared" si="122"/>
        <v>29.399999999999977</v>
      </c>
      <c r="M108" s="130">
        <f t="shared" si="112"/>
        <v>0</v>
      </c>
      <c r="N108" s="169" t="str">
        <f t="shared" si="123"/>
        <v/>
      </c>
      <c r="O108" s="169">
        <f>IF($J108="",#N/A,SUM($N$4:N108))</f>
        <v>217.68810757134344</v>
      </c>
      <c r="P108" s="174">
        <f t="shared" si="124"/>
        <v>29.399999999999977</v>
      </c>
      <c r="Q108" s="174">
        <f>IF($J108="",#N/A,SUM($P$4:P108))</f>
        <v>71.806464916880884</v>
      </c>
      <c r="R108" s="178" t="str">
        <f t="shared" si="125"/>
        <v/>
      </c>
      <c r="S108" s="178">
        <f>IF($J108="",#N/A,SUM($R$4:R108))</f>
        <v>253.76427112115294</v>
      </c>
      <c r="T108" s="290" t="str">
        <f t="shared" si="126"/>
        <v/>
      </c>
      <c r="U108" s="290">
        <f>IF($J108="",#N/A,SUM($T$4:T108))</f>
        <v>7.7343490944726661</v>
      </c>
      <c r="V108" s="291">
        <f t="shared" si="127"/>
        <v>1.3115631691648812</v>
      </c>
      <c r="W108" s="291">
        <f>IF($J108="",#N/A,SUM($V$4:V108))</f>
        <v>2.6947724028707301</v>
      </c>
      <c r="X108" s="292" t="str">
        <f t="shared" si="128"/>
        <v/>
      </c>
      <c r="Y108" s="283">
        <f>IF($J108="",#N/A,SUM($X$4:X108))</f>
        <v>10.644607431513819</v>
      </c>
      <c r="Z108" s="304" t="str">
        <f t="shared" si="129"/>
        <v/>
      </c>
      <c r="AA108" s="313" t="e">
        <f>IF($J108="",#N/A,SUM(Z$4:Z108))</f>
        <v>#N/A</v>
      </c>
      <c r="AB108" s="314" t="str">
        <f t="shared" si="130"/>
        <v/>
      </c>
      <c r="AC108" s="314" t="e">
        <f>IF($J108="",#N/A,SUM(AB$4:AB108))</f>
        <v>#N/A</v>
      </c>
      <c r="AD108" s="315" t="str">
        <f t="shared" si="131"/>
        <v/>
      </c>
      <c r="AE108" s="315" t="e">
        <f>IF($J108="",#N/A,SUM(AD$4:AD108))</f>
        <v>#N/A</v>
      </c>
      <c r="AF108" s="315" t="e">
        <f>IF($J108="",#N/A,SUM(AD$4:AD108,AB$4:AB108,Z$4:Z108))</f>
        <v>#N/A</v>
      </c>
      <c r="AG108" s="304" t="str">
        <f t="shared" si="132"/>
        <v/>
      </c>
      <c r="AH108" s="313" t="e">
        <f>IF($J108="",#N/A,SUM(AG$4:AG108))</f>
        <v>#N/A</v>
      </c>
      <c r="AI108" s="314" t="str">
        <f t="shared" si="133"/>
        <v/>
      </c>
      <c r="AJ108" s="314" t="e">
        <f>IF($J108="",#N/A,SUM(AI$4:AI108))</f>
        <v>#N/A</v>
      </c>
      <c r="AK108" s="315" t="str">
        <f t="shared" si="134"/>
        <v/>
      </c>
      <c r="AL108" s="315" t="e">
        <f>IF($J108="",#N/A,SUM(AK$4:AK108))</f>
        <v>#N/A</v>
      </c>
      <c r="AM108" s="315" t="e">
        <f>IF($J108="",#N/A,SUM(AK$4:AK108,AI$4:AI108,AG$4:AG108))</f>
        <v>#N/A</v>
      </c>
      <c r="AN108" s="304" t="str">
        <f t="shared" si="135"/>
        <v/>
      </c>
      <c r="AO108" s="313" t="e">
        <f>IF($J108="",#N/A,SUM(AN$4:AN108))</f>
        <v>#N/A</v>
      </c>
      <c r="AP108" s="314" t="str">
        <f t="shared" si="136"/>
        <v/>
      </c>
      <c r="AQ108" s="314" t="e">
        <f>IF($J108="",#N/A,SUM(AP$4:AP108))</f>
        <v>#N/A</v>
      </c>
      <c r="AR108" s="315" t="str">
        <f t="shared" si="137"/>
        <v/>
      </c>
      <c r="AS108" s="315" t="e">
        <f>IF($J108="",#N/A,SUM(AR$4:AR108))</f>
        <v>#N/A</v>
      </c>
      <c r="AT108" s="315" t="e">
        <f>IF($J108="",#N/A,SUM(AR$4:AR108,AP$4:AP108,AN$4:AN108))</f>
        <v>#N/A</v>
      </c>
      <c r="AU108" s="304" t="str">
        <f t="shared" si="138"/>
        <v/>
      </c>
      <c r="AV108" s="313" t="e">
        <f>IF($J108="",#N/A,SUM(AU$4:AU108))</f>
        <v>#N/A</v>
      </c>
      <c r="AW108" s="314" t="str">
        <f t="shared" si="139"/>
        <v/>
      </c>
      <c r="AX108" s="314" t="e">
        <f>IF($J108="",#N/A,SUM(AW$4:AW108))</f>
        <v>#N/A</v>
      </c>
      <c r="AY108" s="315" t="str">
        <f t="shared" si="140"/>
        <v/>
      </c>
      <c r="AZ108" s="315" t="e">
        <f>IF($J108="",#N/A,SUM(AY$4:AY108))</f>
        <v>#N/A</v>
      </c>
      <c r="BA108" s="315" t="e">
        <f>IF($J108="",#N/A,SUM(AY$4:AY108,AW$4:AW108,AU$4:AU108))</f>
        <v>#N/A</v>
      </c>
      <c r="BB108" s="304" t="str">
        <f t="shared" si="141"/>
        <v/>
      </c>
      <c r="BC108" s="313" t="e">
        <f>IF($J108="",#N/A,SUM(BB$4:BB108))</f>
        <v>#N/A</v>
      </c>
      <c r="BD108" s="314">
        <f t="shared" si="142"/>
        <v>1.3115631691648812</v>
      </c>
      <c r="BE108" s="314" t="e">
        <f>IF($J108="",#N/A,SUM(BD$4:BD108))</f>
        <v>#N/A</v>
      </c>
      <c r="BF108" s="315" t="str">
        <f t="shared" si="143"/>
        <v/>
      </c>
      <c r="BG108" s="315" t="e">
        <f>IF($J108="",#N/A,SUM(BF$4:BF108))</f>
        <v>#N/A</v>
      </c>
      <c r="BH108" s="315" t="e">
        <f>IF($J108="",#N/A,SUM(BF$4:BF108,BD$4:BD108,BB$4:BB108))</f>
        <v>#N/A</v>
      </c>
      <c r="BI108" s="304" t="str">
        <f t="shared" si="144"/>
        <v/>
      </c>
      <c r="BJ108" s="313" t="e">
        <f>IF($J108="",#N/A,SUM(BI$4:BI108))</f>
        <v>#N/A</v>
      </c>
      <c r="BK108" s="314" t="str">
        <f t="shared" si="145"/>
        <v/>
      </c>
      <c r="BL108" s="314" t="e">
        <f>IF($J108="",#N/A,SUM(BK$4:BK108))</f>
        <v>#N/A</v>
      </c>
      <c r="BM108" s="315" t="str">
        <f t="shared" si="146"/>
        <v/>
      </c>
      <c r="BN108" s="315" t="e">
        <f>IF($J108="",#N/A,SUM(BM$4:BM108))</f>
        <v>#N/A</v>
      </c>
      <c r="BO108" s="315" t="e">
        <f>IF($J108="",#N/A,SUM(BM$4:BM108,BK$4:BK108,BI$4:BI108))</f>
        <v>#N/A</v>
      </c>
      <c r="BP108" s="304" t="str">
        <f t="shared" si="147"/>
        <v/>
      </c>
      <c r="BQ108" s="313" t="e">
        <f>IF($J108="",#N/A,SUM(BP$4:BP108))</f>
        <v>#N/A</v>
      </c>
      <c r="BR108" s="314" t="str">
        <f t="shared" si="148"/>
        <v/>
      </c>
      <c r="BS108" s="314" t="e">
        <f>IF($J108="",#N/A,SUM(BR$4:BR108))</f>
        <v>#N/A</v>
      </c>
      <c r="BT108" s="315" t="str">
        <f t="shared" si="149"/>
        <v/>
      </c>
      <c r="BU108" s="315" t="e">
        <f>IF($J108="",#N/A,SUM(BT$4:BT108))</f>
        <v>#N/A</v>
      </c>
      <c r="BV108" s="315" t="e">
        <f>IF($J108="",#N/A,SUM(BT$4:BT108,BR$4:BR108,BP$4:BP108))</f>
        <v>#N/A</v>
      </c>
      <c r="BW108" s="304" t="str">
        <f t="shared" si="150"/>
        <v/>
      </c>
      <c r="BX108" s="313" t="e">
        <f>IF($J108="",#N/A,SUM(BW$4:BW108))</f>
        <v>#N/A</v>
      </c>
      <c r="BY108" s="314" t="str">
        <f t="shared" si="151"/>
        <v/>
      </c>
      <c r="BZ108" s="314" t="e">
        <f>IF($J108="",#N/A,SUM(BY$4:BY108))</f>
        <v>#N/A</v>
      </c>
      <c r="CA108" s="315" t="str">
        <f t="shared" si="152"/>
        <v/>
      </c>
      <c r="CB108" s="315" t="e">
        <f>IF($J108="",#N/A,SUM(CA$4:CA108))</f>
        <v>#N/A</v>
      </c>
      <c r="CC108" s="315" t="e">
        <f>IF($J108="",#N/A,SUM(CA$4:CA108,BY$4:BY108,BW$4:BW108))</f>
        <v>#N/A</v>
      </c>
      <c r="CD108" s="304" t="str">
        <f t="shared" si="153"/>
        <v/>
      </c>
      <c r="CE108" s="313" t="e">
        <f>IF($J108="",#N/A,SUM(CD$4:CD108))</f>
        <v>#N/A</v>
      </c>
      <c r="CF108" s="314" t="str">
        <f t="shared" si="154"/>
        <v/>
      </c>
      <c r="CG108" s="314" t="e">
        <f>IF($J108="",#N/A,SUM(CF$4:CF108))</f>
        <v>#N/A</v>
      </c>
      <c r="CH108" s="315" t="str">
        <f t="shared" si="155"/>
        <v/>
      </c>
      <c r="CI108" s="315" t="e">
        <f>IF($J108="",#N/A,SUM(CH$4:CH108))</f>
        <v>#N/A</v>
      </c>
      <c r="CJ108" s="315" t="e">
        <f>IF($J108="",#N/A,SUM(CH$4:CH108,CF$4:CF108,CD$4:CD108))</f>
        <v>#N/A</v>
      </c>
      <c r="CK108" s="304" t="str">
        <f t="shared" si="156"/>
        <v/>
      </c>
      <c r="CL108" s="313" t="e">
        <f>IF($J108="",#N/A,SUM(CK$4:CK108))</f>
        <v>#N/A</v>
      </c>
      <c r="CM108" s="314" t="str">
        <f t="shared" si="157"/>
        <v/>
      </c>
      <c r="CN108" s="314" t="e">
        <f>IF($J108="",#N/A,SUM(CM$4:CM108))</f>
        <v>#N/A</v>
      </c>
      <c r="CO108" s="315" t="str">
        <f t="shared" si="158"/>
        <v/>
      </c>
      <c r="CP108" s="315" t="e">
        <f>IF($J108="",#N/A,SUM(CO$4:CO108))</f>
        <v>#N/A</v>
      </c>
      <c r="CQ108" s="315" t="e">
        <f>IF($J108="",#N/A,SUM(CO$4:CO108,CM$4:CM108,CK$4:CK108))</f>
        <v>#N/A</v>
      </c>
      <c r="CR108" s="304" t="str">
        <f t="shared" si="159"/>
        <v/>
      </c>
      <c r="CS108" s="313" t="e">
        <f>IF($J108="",#N/A,SUM(CR$4:CR108))</f>
        <v>#N/A</v>
      </c>
      <c r="CT108" s="314" t="str">
        <f t="shared" si="160"/>
        <v/>
      </c>
      <c r="CU108" s="314" t="e">
        <f>IF($J108="",#N/A,SUM(CT$4:CT108))</f>
        <v>#N/A</v>
      </c>
      <c r="CV108" s="315" t="str">
        <f t="shared" si="161"/>
        <v/>
      </c>
      <c r="CW108" s="315" t="e">
        <f>IF($J108="",#N/A,SUM(CV$4:CV108))</f>
        <v>#N/A</v>
      </c>
      <c r="CX108" s="315" t="e">
        <f>IF($J108="",#N/A,SUM(CV$4:CV108,CT$4:CT108,CR$4:CR108))</f>
        <v>#N/A</v>
      </c>
      <c r="CY108" s="304" t="str">
        <f t="shared" si="162"/>
        <v/>
      </c>
      <c r="CZ108" s="313" t="e">
        <f>IF($J108="",#N/A,SUM(CY$4:CY108))</f>
        <v>#N/A</v>
      </c>
      <c r="DA108" s="314" t="str">
        <f t="shared" si="163"/>
        <v/>
      </c>
      <c r="DB108" s="314" t="e">
        <f>IF($J108="",#N/A,SUM(DA$4:DA108))</f>
        <v>#N/A</v>
      </c>
      <c r="DC108" s="315" t="str">
        <f t="shared" si="164"/>
        <v/>
      </c>
      <c r="DD108" s="315" t="e">
        <f>IF($J108="",#N/A,SUM(DC$4:DC108))</f>
        <v>#N/A</v>
      </c>
      <c r="DE108" s="315" t="e">
        <f>IF($J108="",#N/A,SUM(DC$4:DC108,DA$4:DA108,CY$4:CY108))</f>
        <v>#N/A</v>
      </c>
      <c r="DF108" s="304" t="str">
        <f t="shared" si="165"/>
        <v/>
      </c>
      <c r="DG108" s="313" t="e">
        <f>IF($J108="",#N/A,SUM(DF$4:DF108))</f>
        <v>#N/A</v>
      </c>
      <c r="DH108" s="314" t="str">
        <f t="shared" si="166"/>
        <v/>
      </c>
      <c r="DI108" s="314" t="e">
        <f>IF($J108="",#N/A,SUM(DH$4:DH108))</f>
        <v>#N/A</v>
      </c>
      <c r="DJ108" s="315" t="str">
        <f t="shared" si="167"/>
        <v/>
      </c>
      <c r="DK108" s="315" t="e">
        <f>IF($J108="",#N/A,SUM(DJ$4:DJ108))</f>
        <v>#N/A</v>
      </c>
      <c r="DL108" s="315" t="e">
        <f>IF($J108="",#N/A,SUM(DJ$4:DJ108,DH$4:DH108,DF$4:DF108))</f>
        <v>#N/A</v>
      </c>
      <c r="DM108" s="304" t="str">
        <f t="shared" si="168"/>
        <v/>
      </c>
      <c r="DN108" s="313" t="e">
        <f>IF($J108="",#N/A,SUM(DM$4:DM108))</f>
        <v>#N/A</v>
      </c>
      <c r="DO108" s="314" t="str">
        <f t="shared" si="169"/>
        <v/>
      </c>
      <c r="DP108" s="314" t="e">
        <f>IF($J108="",#N/A,SUM(DO$4:DO108))</f>
        <v>#N/A</v>
      </c>
      <c r="DQ108" s="315" t="str">
        <f t="shared" si="170"/>
        <v/>
      </c>
      <c r="DR108" s="315" t="e">
        <f>IF($J108="",#N/A,SUM(DQ$4:DQ108))</f>
        <v>#N/A</v>
      </c>
      <c r="DS108" s="315" t="e">
        <f>IF($J108="",#N/A,SUM(DQ$4:DQ108,DO$4:DO108,DM$4:DM108))</f>
        <v>#N/A</v>
      </c>
      <c r="DT108" s="304" t="str">
        <f t="shared" si="171"/>
        <v/>
      </c>
      <c r="DU108" s="313" t="e">
        <f>IF($J108="",#N/A,SUM(DT$4:DT108))</f>
        <v>#N/A</v>
      </c>
      <c r="DV108" s="314" t="str">
        <f t="shared" si="172"/>
        <v/>
      </c>
      <c r="DW108" s="314" t="e">
        <f>IF($J108="",#N/A,SUM(DV$4:DV108))</f>
        <v>#N/A</v>
      </c>
      <c r="DX108" s="315" t="str">
        <f t="shared" si="173"/>
        <v/>
      </c>
      <c r="DY108" s="315" t="e">
        <f>IF($J108="",#N/A,SUM(DX$4:DX108))</f>
        <v>#N/A</v>
      </c>
      <c r="DZ108" s="315" t="e">
        <f>IF($J108="",#N/A,SUM(DX$4:DX108,DV$4:DV108,DT$4:DT108))</f>
        <v>#N/A</v>
      </c>
      <c r="EA108" s="304" t="str">
        <f t="shared" si="174"/>
        <v/>
      </c>
      <c r="EB108" s="313" t="e">
        <f>IF($J108="",#N/A,SUM(EA$4:EA108))</f>
        <v>#N/A</v>
      </c>
      <c r="EC108" s="314" t="str">
        <f t="shared" si="175"/>
        <v/>
      </c>
      <c r="ED108" s="314" t="e">
        <f>IF($J108="",#N/A,SUM(EC$4:EC108))</f>
        <v>#N/A</v>
      </c>
      <c r="EE108" s="315" t="str">
        <f t="shared" si="176"/>
        <v/>
      </c>
      <c r="EF108" s="315" t="e">
        <f>IF($J108="",#N/A,SUM(EE$4:EE108))</f>
        <v>#N/A</v>
      </c>
      <c r="EG108" s="315" t="e">
        <f>IF($J108="",#N/A,SUM(EE$4:EE108,EC$4:EC108,EA$4:EA108))</f>
        <v>#N/A</v>
      </c>
      <c r="EH108" s="130">
        <f t="shared" si="177"/>
        <v>29.399999999999977</v>
      </c>
      <c r="EI108" s="63">
        <f>IF(EH108="",#N/A,SUM($EH$4:EH108))</f>
        <v>543.25884360937732</v>
      </c>
      <c r="EJ108" s="223" t="e">
        <f t="shared" si="178"/>
        <v>#N/A</v>
      </c>
      <c r="EK108" s="63" t="e">
        <f>IF($GZ108="",#N/A,SUM(EJ$4:EJ108))</f>
        <v>#N/A</v>
      </c>
      <c r="EL108" s="60">
        <f t="shared" si="209"/>
        <v>1.3115631691648812</v>
      </c>
      <c r="EM108" s="60">
        <f>IF(EL108="",NA(),SUM($EL$4:EL108))</f>
        <v>20.704484881538203</v>
      </c>
      <c r="EN108" s="60" t="str">
        <f t="shared" si="179"/>
        <v/>
      </c>
      <c r="EO108" s="60" t="e">
        <f>IF(EN108="",NA(),SUM($EN$4:EN108))</f>
        <v>#N/A</v>
      </c>
      <c r="EP108" s="60" t="str">
        <f t="shared" si="180"/>
        <v/>
      </c>
      <c r="EQ108" s="60" t="e">
        <f>IF(EP108="",NA(),SUM($EP$4:EP108))</f>
        <v>#N/A</v>
      </c>
      <c r="ER108" s="60">
        <f t="shared" si="181"/>
        <v>1.3115631691648812</v>
      </c>
      <c r="ES108" s="60">
        <f>IF(ER108="",NA(),SUM($ER$4:ER108))</f>
        <v>2.6947724028707301</v>
      </c>
      <c r="ET108" s="60" t="str">
        <f t="shared" si="182"/>
        <v/>
      </c>
      <c r="EU108" s="60" t="e">
        <f>IF(ET108="",NA(),SUM($ET$4:ET108))</f>
        <v>#N/A</v>
      </c>
      <c r="EV108" s="60" t="str">
        <f t="shared" si="183"/>
        <v/>
      </c>
      <c r="EW108" s="60" t="e">
        <f>IF(EV108="",NA(),SUM($EV$4:EV108))</f>
        <v>#N/A</v>
      </c>
      <c r="EX108" s="60" t="str">
        <f t="shared" si="184"/>
        <v/>
      </c>
      <c r="EY108" s="60" t="e">
        <f>IF(EX108="",NA(),SUM($EX$4:EX108))</f>
        <v>#N/A</v>
      </c>
      <c r="EZ108" s="60" t="str">
        <f t="shared" si="185"/>
        <v/>
      </c>
      <c r="FA108" s="60" t="e">
        <f>IF(EZ108="",NA(),SUM($EZ$4:EZ108))</f>
        <v>#N/A</v>
      </c>
      <c r="FB108" s="246">
        <f t="shared" si="210"/>
        <v>0.52194860813704702</v>
      </c>
      <c r="FC108" s="246">
        <f>IF($FB108="",#N/A,SUM(FB$4:$FB108))</f>
        <v>2.9406953340949782</v>
      </c>
      <c r="FD108" s="60" t="str">
        <f t="shared" si="186"/>
        <v/>
      </c>
      <c r="FE108" s="60" t="e">
        <f>IF($FD108="",#N/A,SUM($FD$4:FD108))</f>
        <v>#N/A</v>
      </c>
      <c r="FF108" s="60" t="str">
        <f t="shared" si="187"/>
        <v/>
      </c>
      <c r="FG108" s="60" t="e">
        <f>IF($FF108="",#N/A,SUM($FF$4:FF108))</f>
        <v>#N/A</v>
      </c>
      <c r="FH108" s="60" t="str">
        <f t="shared" si="188"/>
        <v/>
      </c>
      <c r="FI108" s="60" t="e">
        <f>IF($FH108="",#N/A,SUM($FH$4:FH108))</f>
        <v>#N/A</v>
      </c>
      <c r="FJ108" s="60" t="str">
        <f t="shared" si="189"/>
        <v/>
      </c>
      <c r="FK108" s="60" t="e">
        <f>IF($FJ108="",#N/A,SUM($FJ$4:FJ108))</f>
        <v>#N/A</v>
      </c>
      <c r="FL108" s="60" t="str">
        <f t="shared" si="190"/>
        <v/>
      </c>
      <c r="FM108" s="60" t="e">
        <f>IF($FL108="",#N/A,SUM($FL$4:FL108))</f>
        <v>#N/A</v>
      </c>
      <c r="FN108" s="82">
        <f t="shared" si="191"/>
        <v>1.8335117773019283</v>
      </c>
      <c r="FO108" s="82">
        <f>IF($FN108="",#N/A,SUM(FN$4:$FN108))</f>
        <v>32.242618690318054</v>
      </c>
      <c r="FP108" s="82">
        <f t="shared" si="211"/>
        <v>1.3115631691648812</v>
      </c>
      <c r="FQ108" s="246">
        <f>IF($EH108="",#N/A,SUM($FP$4:FP108))</f>
        <v>21.073728928857228</v>
      </c>
      <c r="FR108" s="82">
        <f>IFERROR(FQ108/COUNTA($J$4:J108),#N/A)</f>
        <v>0.20070218027483075</v>
      </c>
      <c r="FS108" s="82">
        <f>IFERROR(($FQ108-$FQ64)/COUNTA($J64:$J108),#N/A)</f>
        <v>0.13313314076021424</v>
      </c>
      <c r="FT108" s="82">
        <f t="shared" si="221"/>
        <v>7.8981618705497983E-2</v>
      </c>
      <c r="FU108" s="337">
        <f t="shared" si="222"/>
        <v>7.1121388656146411</v>
      </c>
      <c r="FV108" s="57" t="str">
        <f t="shared" si="192"/>
        <v>Dwn</v>
      </c>
      <c r="FW108" s="57" t="s">
        <v>2733</v>
      </c>
      <c r="FX108" s="57" t="str">
        <f t="shared" si="193"/>
        <v/>
      </c>
      <c r="FY108" s="57" t="str">
        <f t="shared" si="194"/>
        <v/>
      </c>
      <c r="FZ108" s="57" t="str">
        <f t="shared" si="195"/>
        <v/>
      </c>
      <c r="GA108" s="57" t="str">
        <f t="shared" si="196"/>
        <v>Short</v>
      </c>
      <c r="GB108" s="57">
        <f t="shared" si="197"/>
        <v>1</v>
      </c>
      <c r="GC108" s="57" t="str">
        <f t="shared" si="198"/>
        <v/>
      </c>
      <c r="GD108" s="57" t="str">
        <f t="shared" si="199"/>
        <v/>
      </c>
      <c r="GE108" s="62">
        <f t="shared" si="114"/>
        <v>37.36</v>
      </c>
      <c r="GF108" s="62" t="s">
        <v>2780</v>
      </c>
      <c r="GG108" s="199">
        <v>10</v>
      </c>
      <c r="GH108" s="207">
        <f t="shared" si="200"/>
        <v>373.6</v>
      </c>
      <c r="GI108" s="199">
        <v>10</v>
      </c>
      <c r="GJ108" s="200">
        <v>34.42</v>
      </c>
      <c r="GK108" s="63">
        <f t="shared" si="201"/>
        <v>29.399999999999977</v>
      </c>
      <c r="GL108" s="63">
        <f t="shared" si="115"/>
        <v>41.100000000000023</v>
      </c>
      <c r="GM108" s="82" t="str">
        <f t="shared" si="202"/>
        <v/>
      </c>
      <c r="GN108" s="82">
        <f>IF($GZ108="",#N/A,SUM(GM$4:GM108))</f>
        <v>14.712526186516666</v>
      </c>
      <c r="GO108" s="82" t="str">
        <f t="shared" si="203"/>
        <v/>
      </c>
      <c r="GP108" s="82">
        <f>IF($GZ108="",#N/A,SUM(GO$4:GO108))</f>
        <v>10.635036056741368</v>
      </c>
      <c r="GQ108" s="82">
        <f t="shared" si="204"/>
        <v>1.8335117773019283</v>
      </c>
      <c r="GR108" s="82">
        <f>IF($GZ108="",#N/A,SUM(GQ$4:GQ108))</f>
        <v>6.2692194926176814</v>
      </c>
      <c r="GS108" s="63" t="str">
        <f t="shared" si="212"/>
        <v/>
      </c>
      <c r="GT108" s="63" t="e">
        <f>IF($GZ108="",#N/A,SUM(GS$4:GS108))</f>
        <v>#N/A</v>
      </c>
      <c r="GU108" s="63" t="str">
        <f t="shared" si="213"/>
        <v/>
      </c>
      <c r="GV108" s="63" t="e">
        <f>IF($GZ108="",#N/A,SUM(GU$4:GU108))</f>
        <v>#N/A</v>
      </c>
      <c r="GW108" s="63" t="e">
        <f t="shared" si="214"/>
        <v>#N/A</v>
      </c>
      <c r="GX108" s="63" t="e">
        <f>IF($GZ108="",#N/A,SUM(GW$4:GW108))</f>
        <v>#N/A</v>
      </c>
      <c r="GY108" s="63" t="e">
        <f>IF(EJ108="",#N/A,SUM($EJ$4:EJ108))</f>
        <v>#N/A</v>
      </c>
      <c r="GZ108" s="159">
        <v>33.25</v>
      </c>
      <c r="HA108" s="63">
        <f t="shared" si="205"/>
        <v>11.700000000000045</v>
      </c>
      <c r="HB108" s="62" t="s">
        <v>2538</v>
      </c>
      <c r="HC108" s="60">
        <f>IFERROR(VLOOKUP(E108,Expectancy!$P$4:$S$19,1+C108,FALSE),"")</f>
        <v>-4.003891381455995E-2</v>
      </c>
      <c r="HD108" s="82">
        <f t="shared" si="206"/>
        <v>1.3115631691648812</v>
      </c>
      <c r="HE108" s="60">
        <f>IF(HD108="",#N/A,SUM($HD$4:HD108))</f>
        <v>-0.56840993675741047</v>
      </c>
      <c r="HF108" s="85">
        <f>IF(HD108="",#N/A,IF(HB108="Skip",#N/A,SUM($HG$4:HG108)))</f>
        <v>8.3300000000000409</v>
      </c>
      <c r="HG108" s="63">
        <f t="shared" si="207"/>
        <v>29.399999999999977</v>
      </c>
      <c r="HH108" s="82">
        <f t="shared" si="208"/>
        <v>1.8335117773019283</v>
      </c>
    </row>
    <row r="109" spans="1:216" x14ac:dyDescent="0.25">
      <c r="A109" s="57" t="s">
        <v>1342</v>
      </c>
      <c r="B109" s="58" t="s">
        <v>5160</v>
      </c>
      <c r="C109" s="386">
        <f t="shared" si="118"/>
        <v>3</v>
      </c>
      <c r="D109" s="372" t="str">
        <f>_xlfn.XLOOKUP(A109,[1]SP500!$A$2:$A$502,[1]SP500!$D$2:$D$502,"N")</f>
        <v>Y</v>
      </c>
      <c r="E109" s="57" t="str">
        <f>_xlfn.XLOOKUP(A109,[1]SP500!$A$2:$A$655,[1]SP500!$B$2:$B$655)</f>
        <v>XLI</v>
      </c>
      <c r="F109" s="59">
        <v>45687</v>
      </c>
      <c r="G109" s="57" t="str">
        <f t="shared" si="119"/>
        <v>BMO</v>
      </c>
      <c r="H109" s="57" t="str">
        <f t="shared" si="120"/>
        <v>s</v>
      </c>
      <c r="I109" s="159">
        <v>133.78</v>
      </c>
      <c r="J109" s="159">
        <v>117.39</v>
      </c>
      <c r="K109" s="61">
        <f t="shared" si="121"/>
        <v>-0.12251457616983107</v>
      </c>
      <c r="L109" s="87">
        <f t="shared" si="122"/>
        <v>-47.829999999999984</v>
      </c>
      <c r="M109" s="130">
        <f t="shared" si="112"/>
        <v>1.2299999999999613</v>
      </c>
      <c r="N109" s="169" t="str">
        <f t="shared" si="123"/>
        <v/>
      </c>
      <c r="O109" s="169">
        <f>IF($J109="",#N/A,SUM($N$4:N109))</f>
        <v>217.68810757134344</v>
      </c>
      <c r="P109" s="174" t="str">
        <f t="shared" si="124"/>
        <v/>
      </c>
      <c r="Q109" s="174">
        <f>IF($J109="",#N/A,SUM($P$4:P109))</f>
        <v>71.806464916880884</v>
      </c>
      <c r="R109" s="178">
        <f t="shared" si="125"/>
        <v>-47.829999999999984</v>
      </c>
      <c r="S109" s="178">
        <f>IF($J109="",#N/A,SUM($R$4:R109))</f>
        <v>205.93427112115296</v>
      </c>
      <c r="T109" s="290" t="str">
        <f t="shared" si="126"/>
        <v/>
      </c>
      <c r="U109" s="290">
        <f>IF($J109="",#N/A,SUM($T$4:T109))</f>
        <v>7.7343490944726661</v>
      </c>
      <c r="V109" s="291" t="str">
        <f t="shared" si="127"/>
        <v/>
      </c>
      <c r="W109" s="291">
        <f>IF($J109="",#N/A,SUM($V$4:V109))</f>
        <v>2.6947724028707301</v>
      </c>
      <c r="X109" s="292">
        <f t="shared" si="128"/>
        <v>-1.992916666666666</v>
      </c>
      <c r="Y109" s="283">
        <f>IF($J109="",#N/A,SUM($X$4:X109))</f>
        <v>8.651690764847153</v>
      </c>
      <c r="Z109" s="304" t="str">
        <f t="shared" si="129"/>
        <v/>
      </c>
      <c r="AA109" s="313" t="e">
        <f>IF($J109="",#N/A,SUM(Z$4:Z109))</f>
        <v>#N/A</v>
      </c>
      <c r="AB109" s="314" t="str">
        <f t="shared" si="130"/>
        <v/>
      </c>
      <c r="AC109" s="314" t="e">
        <f>IF($J109="",#N/A,SUM(AB$4:AB109))</f>
        <v>#N/A</v>
      </c>
      <c r="AD109" s="315" t="str">
        <f t="shared" si="131"/>
        <v/>
      </c>
      <c r="AE109" s="315" t="e">
        <f>IF($J109="",#N/A,SUM(AD$4:AD109))</f>
        <v>#N/A</v>
      </c>
      <c r="AF109" s="315" t="e">
        <f>IF($J109="",#N/A,SUM(AD$4:AD109,AB$4:AB109,Z$4:Z109))</f>
        <v>#N/A</v>
      </c>
      <c r="AG109" s="304" t="str">
        <f t="shared" si="132"/>
        <v/>
      </c>
      <c r="AH109" s="313" t="e">
        <f>IF($J109="",#N/A,SUM(AG$4:AG109))</f>
        <v>#N/A</v>
      </c>
      <c r="AI109" s="314" t="str">
        <f t="shared" si="133"/>
        <v/>
      </c>
      <c r="AJ109" s="314" t="e">
        <f>IF($J109="",#N/A,SUM(AI$4:AI109))</f>
        <v>#N/A</v>
      </c>
      <c r="AK109" s="315" t="str">
        <f t="shared" si="134"/>
        <v/>
      </c>
      <c r="AL109" s="315" t="e">
        <f>IF($J109="",#N/A,SUM(AK$4:AK109))</f>
        <v>#N/A</v>
      </c>
      <c r="AM109" s="315" t="e">
        <f>IF($J109="",#N/A,SUM(AK$4:AK109,AI$4:AI109,AG$4:AG109))</f>
        <v>#N/A</v>
      </c>
      <c r="AN109" s="304" t="str">
        <f t="shared" si="135"/>
        <v/>
      </c>
      <c r="AO109" s="313" t="e">
        <f>IF($J109="",#N/A,SUM(AN$4:AN109))</f>
        <v>#N/A</v>
      </c>
      <c r="AP109" s="314" t="str">
        <f t="shared" si="136"/>
        <v/>
      </c>
      <c r="AQ109" s="314" t="e">
        <f>IF($J109="",#N/A,SUM(AP$4:AP109))</f>
        <v>#N/A</v>
      </c>
      <c r="AR109" s="315" t="str">
        <f t="shared" si="137"/>
        <v/>
      </c>
      <c r="AS109" s="315" t="e">
        <f>IF($J109="",#N/A,SUM(AR$4:AR109))</f>
        <v>#N/A</v>
      </c>
      <c r="AT109" s="315" t="e">
        <f>IF($J109="",#N/A,SUM(AR$4:AR109,AP$4:AP109,AN$4:AN109))</f>
        <v>#N/A</v>
      </c>
      <c r="AU109" s="304" t="str">
        <f t="shared" si="138"/>
        <v/>
      </c>
      <c r="AV109" s="313" t="e">
        <f>IF($J109="",#N/A,SUM(AU$4:AU109))</f>
        <v>#N/A</v>
      </c>
      <c r="AW109" s="314" t="str">
        <f t="shared" si="139"/>
        <v/>
      </c>
      <c r="AX109" s="314" t="e">
        <f>IF($J109="",#N/A,SUM(AW$4:AW109))</f>
        <v>#N/A</v>
      </c>
      <c r="AY109" s="315" t="str">
        <f t="shared" si="140"/>
        <v/>
      </c>
      <c r="AZ109" s="315" t="e">
        <f>IF($J109="",#N/A,SUM(AY$4:AY109))</f>
        <v>#N/A</v>
      </c>
      <c r="BA109" s="315" t="e">
        <f>IF($J109="",#N/A,SUM(AY$4:AY109,AW$4:AW109,AU$4:AU109))</f>
        <v>#N/A</v>
      </c>
      <c r="BB109" s="304" t="str">
        <f t="shared" si="141"/>
        <v/>
      </c>
      <c r="BC109" s="313" t="e">
        <f>IF($J109="",#N/A,SUM(BB$4:BB109))</f>
        <v>#N/A</v>
      </c>
      <c r="BD109" s="314" t="str">
        <f t="shared" si="142"/>
        <v/>
      </c>
      <c r="BE109" s="314" t="e">
        <f>IF($J109="",#N/A,SUM(BD$4:BD109))</f>
        <v>#N/A</v>
      </c>
      <c r="BF109" s="315" t="str">
        <f t="shared" si="143"/>
        <v/>
      </c>
      <c r="BG109" s="315" t="e">
        <f>IF($J109="",#N/A,SUM(BF$4:BF109))</f>
        <v>#N/A</v>
      </c>
      <c r="BH109" s="315" t="e">
        <f>IF($J109="",#N/A,SUM(BF$4:BF109,BD$4:BD109,BB$4:BB109))</f>
        <v>#N/A</v>
      </c>
      <c r="BI109" s="304" t="str">
        <f t="shared" si="144"/>
        <v/>
      </c>
      <c r="BJ109" s="313" t="e">
        <f>IF($J109="",#N/A,SUM(BI$4:BI109))</f>
        <v>#N/A</v>
      </c>
      <c r="BK109" s="314" t="str">
        <f t="shared" si="145"/>
        <v/>
      </c>
      <c r="BL109" s="314" t="e">
        <f>IF($J109="",#N/A,SUM(BK$4:BK109))</f>
        <v>#N/A</v>
      </c>
      <c r="BM109" s="315" t="str">
        <f t="shared" si="146"/>
        <v/>
      </c>
      <c r="BN109" s="315" t="e">
        <f>IF($J109="",#N/A,SUM(BM$4:BM109))</f>
        <v>#N/A</v>
      </c>
      <c r="BO109" s="315" t="e">
        <f>IF($J109="",#N/A,SUM(BM$4:BM109,BK$4:BK109,BI$4:BI109))</f>
        <v>#N/A</v>
      </c>
      <c r="BP109" s="304" t="str">
        <f t="shared" si="147"/>
        <v/>
      </c>
      <c r="BQ109" s="313" t="e">
        <f>IF($J109="",#N/A,SUM(BP$4:BP109))</f>
        <v>#N/A</v>
      </c>
      <c r="BR109" s="314" t="str">
        <f t="shared" si="148"/>
        <v/>
      </c>
      <c r="BS109" s="314" t="e">
        <f>IF($J109="",#N/A,SUM(BR$4:BR109))</f>
        <v>#N/A</v>
      </c>
      <c r="BT109" s="315">
        <f t="shared" si="149"/>
        <v>-1.992916666666666</v>
      </c>
      <c r="BU109" s="315" t="e">
        <f>IF($J109="",#N/A,SUM(BT$4:BT109))</f>
        <v>#N/A</v>
      </c>
      <c r="BV109" s="315" t="e">
        <f>IF($J109="",#N/A,SUM(BT$4:BT109,BR$4:BR109,BP$4:BP109))</f>
        <v>#N/A</v>
      </c>
      <c r="BW109" s="304" t="str">
        <f t="shared" si="150"/>
        <v/>
      </c>
      <c r="BX109" s="313" t="e">
        <f>IF($J109="",#N/A,SUM(BW$4:BW109))</f>
        <v>#N/A</v>
      </c>
      <c r="BY109" s="314" t="str">
        <f t="shared" si="151"/>
        <v/>
      </c>
      <c r="BZ109" s="314" t="e">
        <f>IF($J109="",#N/A,SUM(BY$4:BY109))</f>
        <v>#N/A</v>
      </c>
      <c r="CA109" s="315" t="str">
        <f t="shared" si="152"/>
        <v/>
      </c>
      <c r="CB109" s="315" t="e">
        <f>IF($J109="",#N/A,SUM(CA$4:CA109))</f>
        <v>#N/A</v>
      </c>
      <c r="CC109" s="315" t="e">
        <f>IF($J109="",#N/A,SUM(CA$4:CA109,BY$4:BY109,BW$4:BW109))</f>
        <v>#N/A</v>
      </c>
      <c r="CD109" s="304" t="str">
        <f t="shared" si="153"/>
        <v/>
      </c>
      <c r="CE109" s="313" t="e">
        <f>IF($J109="",#N/A,SUM(CD$4:CD109))</f>
        <v>#N/A</v>
      </c>
      <c r="CF109" s="314" t="str">
        <f t="shared" si="154"/>
        <v/>
      </c>
      <c r="CG109" s="314" t="e">
        <f>IF($J109="",#N/A,SUM(CF$4:CF109))</f>
        <v>#N/A</v>
      </c>
      <c r="CH109" s="315" t="str">
        <f t="shared" si="155"/>
        <v/>
      </c>
      <c r="CI109" s="315" t="e">
        <f>IF($J109="",#N/A,SUM(CH$4:CH109))</f>
        <v>#N/A</v>
      </c>
      <c r="CJ109" s="315" t="e">
        <f>IF($J109="",#N/A,SUM(CH$4:CH109,CF$4:CF109,CD$4:CD109))</f>
        <v>#N/A</v>
      </c>
      <c r="CK109" s="304" t="str">
        <f t="shared" si="156"/>
        <v/>
      </c>
      <c r="CL109" s="313" t="e">
        <f>IF($J109="",#N/A,SUM(CK$4:CK109))</f>
        <v>#N/A</v>
      </c>
      <c r="CM109" s="314" t="str">
        <f t="shared" si="157"/>
        <v/>
      </c>
      <c r="CN109" s="314" t="e">
        <f>IF($J109="",#N/A,SUM(CM$4:CM109))</f>
        <v>#N/A</v>
      </c>
      <c r="CO109" s="315" t="str">
        <f t="shared" si="158"/>
        <v/>
      </c>
      <c r="CP109" s="315" t="e">
        <f>IF($J109="",#N/A,SUM(CO$4:CO109))</f>
        <v>#N/A</v>
      </c>
      <c r="CQ109" s="315" t="e">
        <f>IF($J109="",#N/A,SUM(CO$4:CO109,CM$4:CM109,CK$4:CK109))</f>
        <v>#N/A</v>
      </c>
      <c r="CR109" s="304" t="str">
        <f t="shared" si="159"/>
        <v/>
      </c>
      <c r="CS109" s="313" t="e">
        <f>IF($J109="",#N/A,SUM(CR$4:CR109))</f>
        <v>#N/A</v>
      </c>
      <c r="CT109" s="314" t="str">
        <f t="shared" si="160"/>
        <v/>
      </c>
      <c r="CU109" s="314" t="e">
        <f>IF($J109="",#N/A,SUM(CT$4:CT109))</f>
        <v>#N/A</v>
      </c>
      <c r="CV109" s="315" t="str">
        <f t="shared" si="161"/>
        <v/>
      </c>
      <c r="CW109" s="315" t="e">
        <f>IF($J109="",#N/A,SUM(CV$4:CV109))</f>
        <v>#N/A</v>
      </c>
      <c r="CX109" s="315" t="e">
        <f>IF($J109="",#N/A,SUM(CV$4:CV109,CT$4:CT109,CR$4:CR109))</f>
        <v>#N/A</v>
      </c>
      <c r="CY109" s="304" t="str">
        <f t="shared" si="162"/>
        <v/>
      </c>
      <c r="CZ109" s="313" t="e">
        <f>IF($J109="",#N/A,SUM(CY$4:CY109))</f>
        <v>#N/A</v>
      </c>
      <c r="DA109" s="314" t="str">
        <f t="shared" si="163"/>
        <v/>
      </c>
      <c r="DB109" s="314" t="e">
        <f>IF($J109="",#N/A,SUM(DA$4:DA109))</f>
        <v>#N/A</v>
      </c>
      <c r="DC109" s="315" t="str">
        <f t="shared" si="164"/>
        <v/>
      </c>
      <c r="DD109" s="315" t="e">
        <f>IF($J109="",#N/A,SUM(DC$4:DC109))</f>
        <v>#N/A</v>
      </c>
      <c r="DE109" s="315" t="e">
        <f>IF($J109="",#N/A,SUM(DC$4:DC109,DA$4:DA109,CY$4:CY109))</f>
        <v>#N/A</v>
      </c>
      <c r="DF109" s="304" t="str">
        <f t="shared" si="165"/>
        <v/>
      </c>
      <c r="DG109" s="313" t="e">
        <f>IF($J109="",#N/A,SUM(DF$4:DF109))</f>
        <v>#N/A</v>
      </c>
      <c r="DH109" s="314" t="str">
        <f t="shared" si="166"/>
        <v/>
      </c>
      <c r="DI109" s="314" t="e">
        <f>IF($J109="",#N/A,SUM(DH$4:DH109))</f>
        <v>#N/A</v>
      </c>
      <c r="DJ109" s="315" t="str">
        <f t="shared" si="167"/>
        <v/>
      </c>
      <c r="DK109" s="315" t="e">
        <f>IF($J109="",#N/A,SUM(DJ$4:DJ109))</f>
        <v>#N/A</v>
      </c>
      <c r="DL109" s="315" t="e">
        <f>IF($J109="",#N/A,SUM(DJ$4:DJ109,DH$4:DH109,DF$4:DF109))</f>
        <v>#N/A</v>
      </c>
      <c r="DM109" s="304" t="str">
        <f t="shared" si="168"/>
        <v/>
      </c>
      <c r="DN109" s="313" t="e">
        <f>IF($J109="",#N/A,SUM(DM$4:DM109))</f>
        <v>#N/A</v>
      </c>
      <c r="DO109" s="314" t="str">
        <f t="shared" si="169"/>
        <v/>
      </c>
      <c r="DP109" s="314" t="e">
        <f>IF($J109="",#N/A,SUM(DO$4:DO109))</f>
        <v>#N/A</v>
      </c>
      <c r="DQ109" s="315" t="str">
        <f t="shared" si="170"/>
        <v/>
      </c>
      <c r="DR109" s="315" t="e">
        <f>IF($J109="",#N/A,SUM(DQ$4:DQ109))</f>
        <v>#N/A</v>
      </c>
      <c r="DS109" s="315" t="e">
        <f>IF($J109="",#N/A,SUM(DQ$4:DQ109,DO$4:DO109,DM$4:DM109))</f>
        <v>#N/A</v>
      </c>
      <c r="DT109" s="304" t="str">
        <f t="shared" si="171"/>
        <v/>
      </c>
      <c r="DU109" s="313" t="e">
        <f>IF($J109="",#N/A,SUM(DT$4:DT109))</f>
        <v>#N/A</v>
      </c>
      <c r="DV109" s="314" t="str">
        <f t="shared" si="172"/>
        <v/>
      </c>
      <c r="DW109" s="314" t="e">
        <f>IF($J109="",#N/A,SUM(DV$4:DV109))</f>
        <v>#N/A</v>
      </c>
      <c r="DX109" s="315" t="str">
        <f t="shared" si="173"/>
        <v/>
      </c>
      <c r="DY109" s="315" t="e">
        <f>IF($J109="",#N/A,SUM(DX$4:DX109))</f>
        <v>#N/A</v>
      </c>
      <c r="DZ109" s="315" t="e">
        <f>IF($J109="",#N/A,SUM(DX$4:DX109,DV$4:DV109,DT$4:DT109))</f>
        <v>#N/A</v>
      </c>
      <c r="EA109" s="304" t="str">
        <f t="shared" si="174"/>
        <v/>
      </c>
      <c r="EB109" s="313" t="e">
        <f>IF($J109="",#N/A,SUM(EA$4:EA109))</f>
        <v>#N/A</v>
      </c>
      <c r="EC109" s="314" t="str">
        <f t="shared" si="175"/>
        <v/>
      </c>
      <c r="ED109" s="314" t="e">
        <f>IF($J109="",#N/A,SUM(EC$4:EC109))</f>
        <v>#N/A</v>
      </c>
      <c r="EE109" s="315" t="str">
        <f t="shared" si="176"/>
        <v/>
      </c>
      <c r="EF109" s="315" t="e">
        <f>IF($J109="",#N/A,SUM(EE$4:EE109))</f>
        <v>#N/A</v>
      </c>
      <c r="EG109" s="315" t="e">
        <f>IF($J109="",#N/A,SUM(EE$4:EE109,EC$4:EC109,EA$4:EA109))</f>
        <v>#N/A</v>
      </c>
      <c r="EH109" s="130">
        <f t="shared" si="177"/>
        <v>-47.829999999999984</v>
      </c>
      <c r="EI109" s="63">
        <f>IF(EH109="",#N/A,SUM($EH$4:EH109))</f>
        <v>495.42884360937734</v>
      </c>
      <c r="EJ109" s="223" t="e">
        <f t="shared" si="178"/>
        <v>#N/A</v>
      </c>
      <c r="EK109" s="63" t="e">
        <f>IF($GZ109="",#N/A,SUM(EJ$4:EJ109))</f>
        <v>#N/A</v>
      </c>
      <c r="EL109" s="60">
        <f t="shared" si="209"/>
        <v>-1.992916666666666</v>
      </c>
      <c r="EM109" s="60">
        <f>IF(EL109="",NA(),SUM($EL$4:EL109))</f>
        <v>18.711568214871537</v>
      </c>
      <c r="EN109" s="60" t="str">
        <f t="shared" si="179"/>
        <v/>
      </c>
      <c r="EO109" s="60" t="e">
        <f>IF(EN109="",NA(),SUM($EN$4:EN109))</f>
        <v>#N/A</v>
      </c>
      <c r="EP109" s="60">
        <f t="shared" si="180"/>
        <v>-1.992916666666666</v>
      </c>
      <c r="EQ109" s="60">
        <f>IF(EP109="",NA(),SUM($EP$4:EP109))</f>
        <v>8.7723388172428791</v>
      </c>
      <c r="ER109" s="60" t="str">
        <f t="shared" si="181"/>
        <v/>
      </c>
      <c r="ES109" s="60" t="e">
        <f>IF(ER109="",NA(),SUM($ER$4:ER109))</f>
        <v>#N/A</v>
      </c>
      <c r="ET109" s="60" t="str">
        <f t="shared" si="182"/>
        <v/>
      </c>
      <c r="EU109" s="60" t="e">
        <f>IF(ET109="",NA(),SUM($ET$4:ET109))</f>
        <v>#N/A</v>
      </c>
      <c r="EV109" s="60" t="str">
        <f t="shared" si="183"/>
        <v/>
      </c>
      <c r="EW109" s="60" t="e">
        <f>IF(EV109="",NA(),SUM($EV$4:EV109))</f>
        <v>#N/A</v>
      </c>
      <c r="EX109" s="60" t="str">
        <f t="shared" si="184"/>
        <v/>
      </c>
      <c r="EY109" s="60" t="e">
        <f>IF(EX109="",NA(),SUM($EX$4:EX109))</f>
        <v>#N/A</v>
      </c>
      <c r="EZ109" s="60" t="str">
        <f t="shared" si="185"/>
        <v/>
      </c>
      <c r="FA109" s="60" t="e">
        <f>IF(EZ109="",NA(),SUM($EZ$4:EZ109))</f>
        <v>#N/A</v>
      </c>
      <c r="FB109" s="246" t="str">
        <f t="shared" si="210"/>
        <v/>
      </c>
      <c r="FC109" s="246" t="e">
        <f>IF($FB109="",#N/A,SUM(FB$4:$FB109))</f>
        <v>#N/A</v>
      </c>
      <c r="FD109" s="60" t="str">
        <f t="shared" si="186"/>
        <v/>
      </c>
      <c r="FE109" s="60" t="e">
        <f>IF($FD109="",#N/A,SUM($FD$4:FD109))</f>
        <v>#N/A</v>
      </c>
      <c r="FF109" s="60" t="str">
        <f t="shared" si="187"/>
        <v/>
      </c>
      <c r="FG109" s="60" t="e">
        <f>IF($FF109="",#N/A,SUM($FF$4:FF109))</f>
        <v>#N/A</v>
      </c>
      <c r="FH109" s="60" t="str">
        <f t="shared" si="188"/>
        <v/>
      </c>
      <c r="FI109" s="60" t="e">
        <f>IF($FH109="",#N/A,SUM($FH$4:FH109))</f>
        <v>#N/A</v>
      </c>
      <c r="FJ109" s="60" t="str">
        <f t="shared" si="189"/>
        <v/>
      </c>
      <c r="FK109" s="60" t="e">
        <f>IF($FJ109="",#N/A,SUM($FJ$4:FJ109))</f>
        <v>#N/A</v>
      </c>
      <c r="FL109" s="60">
        <f t="shared" si="190"/>
        <v>-0.31124999999999892</v>
      </c>
      <c r="FM109" s="60">
        <f>IF($FL109="",#N/A,SUM($FL$4:FL109))</f>
        <v>1.8346346694793145</v>
      </c>
      <c r="FN109" s="82">
        <f t="shared" si="191"/>
        <v>-2.3041666666666649</v>
      </c>
      <c r="FO109" s="82">
        <f>IF($FN109="",#N/A,SUM(FN$4:$FN109))</f>
        <v>29.93845202365139</v>
      </c>
      <c r="FP109" s="82">
        <f t="shared" si="211"/>
        <v>-1.992916666666666</v>
      </c>
      <c r="FQ109" s="246">
        <f>IF($EH109="",#N/A,SUM($FP$4:FP109))</f>
        <v>19.080812262190562</v>
      </c>
      <c r="FR109" s="82">
        <f>IFERROR(FQ109/COUNTA($J$4:J109),#N/A)</f>
        <v>0.18000766285085437</v>
      </c>
      <c r="FS109" s="82" t="e">
        <f>IFERROR(($FQ109-#REF!)/COUNTA($J65:$J109),#N/A)</f>
        <v>#N/A</v>
      </c>
      <c r="FT109" s="82">
        <f t="shared" si="221"/>
        <v>1.2536874467017642E-2</v>
      </c>
      <c r="FU109" s="337">
        <f t="shared" si="222"/>
        <v>7.0608888656146416</v>
      </c>
      <c r="FV109" s="57" t="str">
        <f t="shared" si="192"/>
        <v>SW</v>
      </c>
      <c r="FW109" s="57" t="s">
        <v>2732</v>
      </c>
      <c r="FX109" s="57" t="str">
        <f t="shared" si="193"/>
        <v/>
      </c>
      <c r="FY109" s="57" t="str">
        <f t="shared" si="194"/>
        <v/>
      </c>
      <c r="FZ109" s="57" t="str">
        <f t="shared" si="195"/>
        <v/>
      </c>
      <c r="GA109" s="57" t="str">
        <f t="shared" si="196"/>
        <v>Long</v>
      </c>
      <c r="GB109" s="57" t="str">
        <f t="shared" si="197"/>
        <v/>
      </c>
      <c r="GC109" s="57" t="str">
        <f t="shared" si="198"/>
        <v/>
      </c>
      <c r="GD109" s="57">
        <f t="shared" si="199"/>
        <v>1</v>
      </c>
      <c r="GE109" s="62">
        <f t="shared" si="114"/>
        <v>133.78</v>
      </c>
      <c r="GF109" s="62" t="s">
        <v>2779</v>
      </c>
      <c r="GG109" s="199">
        <f>400/I109</f>
        <v>2.989983555090447</v>
      </c>
      <c r="GH109" s="207">
        <f t="shared" si="200"/>
        <v>400</v>
      </c>
      <c r="GI109" s="199">
        <v>3</v>
      </c>
      <c r="GJ109" s="200">
        <v>117.8</v>
      </c>
      <c r="GK109" s="63">
        <f t="shared" si="201"/>
        <v>-46.600000000000023</v>
      </c>
      <c r="GL109" s="63">
        <f t="shared" si="115"/>
        <v>-55.299999999999955</v>
      </c>
      <c r="GM109" s="82">
        <f t="shared" si="202"/>
        <v>-2.3041666666666649</v>
      </c>
      <c r="GN109" s="82">
        <f>IF($GZ109="",#N/A,SUM(GM$4:GM109))</f>
        <v>12.40835951985</v>
      </c>
      <c r="GO109" s="82" t="str">
        <f t="shared" si="203"/>
        <v/>
      </c>
      <c r="GP109" s="82">
        <f>IF($GZ109="",#N/A,SUM(GO$4:GO109))</f>
        <v>10.635036056741368</v>
      </c>
      <c r="GQ109" s="82" t="str">
        <f t="shared" si="204"/>
        <v/>
      </c>
      <c r="GR109" s="82">
        <f>IF($GZ109="",#N/A,SUM(GQ$4:GQ109))</f>
        <v>6.2692194926176814</v>
      </c>
      <c r="GS109" s="63" t="e">
        <f t="shared" si="212"/>
        <v>#N/A</v>
      </c>
      <c r="GT109" s="63" t="e">
        <f>IF($GZ109="",#N/A,SUM(GS$4:GS109))</f>
        <v>#N/A</v>
      </c>
      <c r="GU109" s="63" t="str">
        <f t="shared" si="213"/>
        <v/>
      </c>
      <c r="GV109" s="63" t="e">
        <f>IF($GZ109="",#N/A,SUM(GU$4:GU109))</f>
        <v>#N/A</v>
      </c>
      <c r="GW109" s="63" t="str">
        <f t="shared" si="214"/>
        <v/>
      </c>
      <c r="GX109" s="63" t="e">
        <f>IF($GZ109="",#N/A,SUM(GW$4:GW109))</f>
        <v>#N/A</v>
      </c>
      <c r="GY109" s="63" t="e">
        <f>IF(EJ109="",#N/A,SUM($EJ$4:EJ109))</f>
        <v>#N/A</v>
      </c>
      <c r="GZ109" s="159">
        <v>114.9</v>
      </c>
      <c r="HA109" s="63">
        <f t="shared" si="205"/>
        <v>-7.4699999999999704</v>
      </c>
      <c r="HB109" s="62" t="s">
        <v>2538</v>
      </c>
      <c r="HC109" s="60">
        <f>IFERROR(VLOOKUP(E109,Expectancy!$P$4:$S$19,1+C109,FALSE),"")</f>
        <v>2.40735201201209E-2</v>
      </c>
      <c r="HD109" s="82">
        <f t="shared" si="206"/>
        <v>-1.9416666666666675</v>
      </c>
      <c r="HE109" s="60">
        <f>IF(HD109="",#N/A,SUM($HD$4:HD109))</f>
        <v>-2.510076603424078</v>
      </c>
      <c r="HF109" s="85">
        <f>IF(HD109="",#N/A,IF(HB109="Skip",#N/A,SUM($HG$4:HG109)))</f>
        <v>-38.269999999999982</v>
      </c>
      <c r="HG109" s="63">
        <f t="shared" si="207"/>
        <v>-46.600000000000023</v>
      </c>
      <c r="HH109" s="82">
        <f t="shared" si="208"/>
        <v>-2.3041666666666649</v>
      </c>
    </row>
    <row r="110" spans="1:216" x14ac:dyDescent="0.25">
      <c r="A110" s="57" t="s">
        <v>1345</v>
      </c>
      <c r="B110" s="58" t="s">
        <v>5162</v>
      </c>
      <c r="C110" s="386">
        <f t="shared" si="118"/>
        <v>3</v>
      </c>
      <c r="D110" s="372" t="str">
        <f>_xlfn.XLOOKUP(A110,[1]SP500!$A$2:$A$502,[1]SP500!$D$2:$D$502,"N")</f>
        <v>Y</v>
      </c>
      <c r="E110" s="57" t="str">
        <f>_xlfn.XLOOKUP(A110,[1]SP500!$A$2:$A$655,[1]SP500!$B$2:$B$655)</f>
        <v>INS</v>
      </c>
      <c r="F110" s="59">
        <v>45687</v>
      </c>
      <c r="G110" s="57" t="str">
        <f t="shared" si="119"/>
        <v>BMO</v>
      </c>
      <c r="H110" s="57" t="str">
        <f t="shared" si="120"/>
        <v>s</v>
      </c>
      <c r="I110" s="159">
        <v>219.31</v>
      </c>
      <c r="J110" s="159">
        <v>223.5</v>
      </c>
      <c r="K110" s="61">
        <f t="shared" si="121"/>
        <v>1.9105375951848972E-2</v>
      </c>
      <c r="L110" s="87">
        <f t="shared" si="122"/>
        <v>8.3799999999999955</v>
      </c>
      <c r="M110" s="130">
        <f t="shared" si="112"/>
        <v>-2.6000000000000227</v>
      </c>
      <c r="N110" s="169" t="str">
        <f t="shared" si="123"/>
        <v/>
      </c>
      <c r="O110" s="169">
        <f>IF($J110="",#N/A,SUM($N$4:N110))</f>
        <v>217.68810757134344</v>
      </c>
      <c r="P110" s="174" t="str">
        <f t="shared" si="124"/>
        <v/>
      </c>
      <c r="Q110" s="174">
        <f>IF($J110="",#N/A,SUM($P$4:P110))</f>
        <v>71.806464916880884</v>
      </c>
      <c r="R110" s="178">
        <f t="shared" si="125"/>
        <v>8.3799999999999955</v>
      </c>
      <c r="S110" s="178">
        <f>IF($J110="",#N/A,SUM($R$4:R110))</f>
        <v>214.31427112115296</v>
      </c>
      <c r="T110" s="290" t="str">
        <f t="shared" si="126"/>
        <v/>
      </c>
      <c r="U110" s="290">
        <f>IF($J110="",#N/A,SUM($T$4:T110))</f>
        <v>7.7343490944726661</v>
      </c>
      <c r="V110" s="291" t="str">
        <f t="shared" si="127"/>
        <v/>
      </c>
      <c r="W110" s="291">
        <f>IF($J110="",#N/A,SUM($V$4:V110))</f>
        <v>2.6947724028707301</v>
      </c>
      <c r="X110" s="292">
        <f t="shared" si="128"/>
        <v>0.31842293253081616</v>
      </c>
      <c r="Y110" s="283">
        <f>IF($J110="",#N/A,SUM($X$4:X110))</f>
        <v>8.97011369737797</v>
      </c>
      <c r="Z110" s="304" t="str">
        <f t="shared" si="129"/>
        <v/>
      </c>
      <c r="AA110" s="313" t="e">
        <f>IF($J110="",#N/A,SUM(Z$4:Z110))</f>
        <v>#N/A</v>
      </c>
      <c r="AB110" s="314" t="str">
        <f t="shared" si="130"/>
        <v/>
      </c>
      <c r="AC110" s="314" t="e">
        <f>IF($J110="",#N/A,SUM(AB$4:AB110))</f>
        <v>#N/A</v>
      </c>
      <c r="AD110" s="315" t="str">
        <f t="shared" si="131"/>
        <v/>
      </c>
      <c r="AE110" s="315" t="e">
        <f>IF($J110="",#N/A,SUM(AD$4:AD110))</f>
        <v>#N/A</v>
      </c>
      <c r="AF110" s="315" t="e">
        <f>IF($J110="",#N/A,SUM(AD$4:AD110,AB$4:AB110,Z$4:Z110))</f>
        <v>#N/A</v>
      </c>
      <c r="AG110" s="304" t="str">
        <f t="shared" si="132"/>
        <v/>
      </c>
      <c r="AH110" s="313" t="e">
        <f>IF($J110="",#N/A,SUM(AG$4:AG110))</f>
        <v>#N/A</v>
      </c>
      <c r="AI110" s="314" t="str">
        <f t="shared" si="133"/>
        <v/>
      </c>
      <c r="AJ110" s="314" t="e">
        <f>IF($J110="",#N/A,SUM(AI$4:AI110))</f>
        <v>#N/A</v>
      </c>
      <c r="AK110" s="315" t="str">
        <f t="shared" si="134"/>
        <v/>
      </c>
      <c r="AL110" s="315" t="e">
        <f>IF($J110="",#N/A,SUM(AK$4:AK110))</f>
        <v>#N/A</v>
      </c>
      <c r="AM110" s="315" t="e">
        <f>IF($J110="",#N/A,SUM(AK$4:AK110,AI$4:AI110,AG$4:AG110))</f>
        <v>#N/A</v>
      </c>
      <c r="AN110" s="304" t="str">
        <f t="shared" si="135"/>
        <v/>
      </c>
      <c r="AO110" s="313" t="e">
        <f>IF($J110="",#N/A,SUM(AN$4:AN110))</f>
        <v>#N/A</v>
      </c>
      <c r="AP110" s="314" t="str">
        <f t="shared" si="136"/>
        <v/>
      </c>
      <c r="AQ110" s="314" t="e">
        <f>IF($J110="",#N/A,SUM(AP$4:AP110))</f>
        <v>#N/A</v>
      </c>
      <c r="AR110" s="315" t="str">
        <f t="shared" si="137"/>
        <v/>
      </c>
      <c r="AS110" s="315" t="e">
        <f>IF($J110="",#N/A,SUM(AR$4:AR110))</f>
        <v>#N/A</v>
      </c>
      <c r="AT110" s="315" t="e">
        <f>IF($J110="",#N/A,SUM(AR$4:AR110,AP$4:AP110,AN$4:AN110))</f>
        <v>#N/A</v>
      </c>
      <c r="AU110" s="304" t="str">
        <f t="shared" si="138"/>
        <v/>
      </c>
      <c r="AV110" s="313" t="e">
        <f>IF($J110="",#N/A,SUM(AU$4:AU110))</f>
        <v>#N/A</v>
      </c>
      <c r="AW110" s="314" t="str">
        <f t="shared" si="139"/>
        <v/>
      </c>
      <c r="AX110" s="314" t="e">
        <f>IF($J110="",#N/A,SUM(AW$4:AW110))</f>
        <v>#N/A</v>
      </c>
      <c r="AY110" s="315" t="str">
        <f t="shared" si="140"/>
        <v/>
      </c>
      <c r="AZ110" s="315" t="e">
        <f>IF($J110="",#N/A,SUM(AY$4:AY110))</f>
        <v>#N/A</v>
      </c>
      <c r="BA110" s="315" t="e">
        <f>IF($J110="",#N/A,SUM(AY$4:AY110,AW$4:AW110,AU$4:AU110))</f>
        <v>#N/A</v>
      </c>
      <c r="BB110" s="304" t="str">
        <f t="shared" si="141"/>
        <v/>
      </c>
      <c r="BC110" s="313" t="e">
        <f>IF($J110="",#N/A,SUM(BB$4:BB110))</f>
        <v>#N/A</v>
      </c>
      <c r="BD110" s="314" t="str">
        <f t="shared" si="142"/>
        <v/>
      </c>
      <c r="BE110" s="314" t="e">
        <f>IF($J110="",#N/A,SUM(BD$4:BD110))</f>
        <v>#N/A</v>
      </c>
      <c r="BF110" s="315" t="str">
        <f t="shared" si="143"/>
        <v/>
      </c>
      <c r="BG110" s="315" t="e">
        <f>IF($J110="",#N/A,SUM(BF$4:BF110))</f>
        <v>#N/A</v>
      </c>
      <c r="BH110" s="315" t="e">
        <f>IF($J110="",#N/A,SUM(BF$4:BF110,BD$4:BD110,BB$4:BB110))</f>
        <v>#N/A</v>
      </c>
      <c r="BI110" s="304" t="str">
        <f t="shared" si="144"/>
        <v/>
      </c>
      <c r="BJ110" s="313" t="e">
        <f>IF($J110="",#N/A,SUM(BI$4:BI110))</f>
        <v>#N/A</v>
      </c>
      <c r="BK110" s="314" t="str">
        <f t="shared" si="145"/>
        <v/>
      </c>
      <c r="BL110" s="314" t="e">
        <f>IF($J110="",#N/A,SUM(BK$4:BK110))</f>
        <v>#N/A</v>
      </c>
      <c r="BM110" s="315" t="str">
        <f t="shared" si="146"/>
        <v/>
      </c>
      <c r="BN110" s="315" t="e">
        <f>IF($J110="",#N/A,SUM(BM$4:BM110))</f>
        <v>#N/A</v>
      </c>
      <c r="BO110" s="315" t="e">
        <f>IF($J110="",#N/A,SUM(BM$4:BM110,BK$4:BK110,BI$4:BI110))</f>
        <v>#N/A</v>
      </c>
      <c r="BP110" s="304" t="str">
        <f t="shared" si="147"/>
        <v/>
      </c>
      <c r="BQ110" s="313" t="e">
        <f>IF($J110="",#N/A,SUM(BP$4:BP110))</f>
        <v>#N/A</v>
      </c>
      <c r="BR110" s="314" t="str">
        <f t="shared" si="148"/>
        <v/>
      </c>
      <c r="BS110" s="314" t="e">
        <f>IF($J110="",#N/A,SUM(BR$4:BR110))</f>
        <v>#N/A</v>
      </c>
      <c r="BT110" s="315" t="str">
        <f t="shared" si="149"/>
        <v/>
      </c>
      <c r="BU110" s="315" t="e">
        <f>IF($J110="",#N/A,SUM(BT$4:BT110))</f>
        <v>#N/A</v>
      </c>
      <c r="BV110" s="315" t="e">
        <f>IF($J110="",#N/A,SUM(BT$4:BT110,BR$4:BR110,BP$4:BP110))</f>
        <v>#N/A</v>
      </c>
      <c r="BW110" s="304" t="str">
        <f t="shared" si="150"/>
        <v/>
      </c>
      <c r="BX110" s="313" t="e">
        <f>IF($J110="",#N/A,SUM(BW$4:BW110))</f>
        <v>#N/A</v>
      </c>
      <c r="BY110" s="314" t="str">
        <f t="shared" si="151"/>
        <v/>
      </c>
      <c r="BZ110" s="314" t="e">
        <f>IF($J110="",#N/A,SUM(BY$4:BY110))</f>
        <v>#N/A</v>
      </c>
      <c r="CA110" s="315" t="str">
        <f t="shared" si="152"/>
        <v/>
      </c>
      <c r="CB110" s="315" t="e">
        <f>IF($J110="",#N/A,SUM(CA$4:CA110))</f>
        <v>#N/A</v>
      </c>
      <c r="CC110" s="315" t="e">
        <f>IF($J110="",#N/A,SUM(CA$4:CA110,BY$4:BY110,BW$4:BW110))</f>
        <v>#N/A</v>
      </c>
      <c r="CD110" s="304" t="str">
        <f t="shared" si="153"/>
        <v/>
      </c>
      <c r="CE110" s="313" t="e">
        <f>IF($J110="",#N/A,SUM(CD$4:CD110))</f>
        <v>#N/A</v>
      </c>
      <c r="CF110" s="314" t="str">
        <f t="shared" si="154"/>
        <v/>
      </c>
      <c r="CG110" s="314" t="e">
        <f>IF($J110="",#N/A,SUM(CF$4:CF110))</f>
        <v>#N/A</v>
      </c>
      <c r="CH110" s="315" t="str">
        <f t="shared" si="155"/>
        <v/>
      </c>
      <c r="CI110" s="315" t="e">
        <f>IF($J110="",#N/A,SUM(CH$4:CH110))</f>
        <v>#N/A</v>
      </c>
      <c r="CJ110" s="315" t="e">
        <f>IF($J110="",#N/A,SUM(CH$4:CH110,CF$4:CF110,CD$4:CD110))</f>
        <v>#N/A</v>
      </c>
      <c r="CK110" s="304" t="str">
        <f t="shared" si="156"/>
        <v/>
      </c>
      <c r="CL110" s="313" t="e">
        <f>IF($J110="",#N/A,SUM(CK$4:CK110))</f>
        <v>#N/A</v>
      </c>
      <c r="CM110" s="314" t="str">
        <f t="shared" si="157"/>
        <v/>
      </c>
      <c r="CN110" s="314" t="e">
        <f>IF($J110="",#N/A,SUM(CM$4:CM110))</f>
        <v>#N/A</v>
      </c>
      <c r="CO110" s="315" t="str">
        <f t="shared" si="158"/>
        <v/>
      </c>
      <c r="CP110" s="315" t="e">
        <f>IF($J110="",#N/A,SUM(CO$4:CO110))</f>
        <v>#N/A</v>
      </c>
      <c r="CQ110" s="315" t="e">
        <f>IF($J110="",#N/A,SUM(CO$4:CO110,CM$4:CM110,CK$4:CK110))</f>
        <v>#N/A</v>
      </c>
      <c r="CR110" s="304" t="str">
        <f t="shared" si="159"/>
        <v/>
      </c>
      <c r="CS110" s="313" t="e">
        <f>IF($J110="",#N/A,SUM(CR$4:CR110))</f>
        <v>#N/A</v>
      </c>
      <c r="CT110" s="314" t="str">
        <f t="shared" si="160"/>
        <v/>
      </c>
      <c r="CU110" s="314" t="e">
        <f>IF($J110="",#N/A,SUM(CT$4:CT110))</f>
        <v>#N/A</v>
      </c>
      <c r="CV110" s="315" t="str">
        <f t="shared" si="161"/>
        <v/>
      </c>
      <c r="CW110" s="315" t="e">
        <f>IF($J110="",#N/A,SUM(CV$4:CV110))</f>
        <v>#N/A</v>
      </c>
      <c r="CX110" s="315" t="e">
        <f>IF($J110="",#N/A,SUM(CV$4:CV110,CT$4:CT110,CR$4:CR110))</f>
        <v>#N/A</v>
      </c>
      <c r="CY110" s="304" t="str">
        <f t="shared" si="162"/>
        <v/>
      </c>
      <c r="CZ110" s="313" t="e">
        <f>IF($J110="",#N/A,SUM(CY$4:CY110))</f>
        <v>#N/A</v>
      </c>
      <c r="DA110" s="314" t="str">
        <f t="shared" si="163"/>
        <v/>
      </c>
      <c r="DB110" s="314" t="e">
        <f>IF($J110="",#N/A,SUM(DA$4:DA110))</f>
        <v>#N/A</v>
      </c>
      <c r="DC110" s="315" t="str">
        <f t="shared" si="164"/>
        <v/>
      </c>
      <c r="DD110" s="315" t="e">
        <f>IF($J110="",#N/A,SUM(DC$4:DC110))</f>
        <v>#N/A</v>
      </c>
      <c r="DE110" s="315" t="e">
        <f>IF($J110="",#N/A,SUM(DC$4:DC110,DA$4:DA110,CY$4:CY110))</f>
        <v>#N/A</v>
      </c>
      <c r="DF110" s="304" t="str">
        <f t="shared" si="165"/>
        <v/>
      </c>
      <c r="DG110" s="313" t="e">
        <f>IF($J110="",#N/A,SUM(DF$4:DF110))</f>
        <v>#N/A</v>
      </c>
      <c r="DH110" s="314" t="str">
        <f t="shared" si="166"/>
        <v/>
      </c>
      <c r="DI110" s="314" t="e">
        <f>IF($J110="",#N/A,SUM(DH$4:DH110))</f>
        <v>#N/A</v>
      </c>
      <c r="DJ110" s="315" t="str">
        <f t="shared" si="167"/>
        <v/>
      </c>
      <c r="DK110" s="315" t="e">
        <f>IF($J110="",#N/A,SUM(DJ$4:DJ110))</f>
        <v>#N/A</v>
      </c>
      <c r="DL110" s="315" t="e">
        <f>IF($J110="",#N/A,SUM(DJ$4:DJ110,DH$4:DH110,DF$4:DF110))</f>
        <v>#N/A</v>
      </c>
      <c r="DM110" s="304" t="str">
        <f t="shared" si="168"/>
        <v/>
      </c>
      <c r="DN110" s="313" t="e">
        <f>IF($J110="",#N/A,SUM(DM$4:DM110))</f>
        <v>#N/A</v>
      </c>
      <c r="DO110" s="314" t="str">
        <f t="shared" si="169"/>
        <v/>
      </c>
      <c r="DP110" s="314" t="e">
        <f>IF($J110="",#N/A,SUM(DO$4:DO110))</f>
        <v>#N/A</v>
      </c>
      <c r="DQ110" s="315">
        <f t="shared" si="170"/>
        <v>0.31842293253081616</v>
      </c>
      <c r="DR110" s="315" t="e">
        <f>IF($J110="",#N/A,SUM(DQ$4:DQ110))</f>
        <v>#N/A</v>
      </c>
      <c r="DS110" s="315" t="e">
        <f>IF($J110="",#N/A,SUM(DQ$4:DQ110,DO$4:DO110,DM$4:DM110))</f>
        <v>#N/A</v>
      </c>
      <c r="DT110" s="304" t="str">
        <f t="shared" si="171"/>
        <v/>
      </c>
      <c r="DU110" s="313" t="e">
        <f>IF($J110="",#N/A,SUM(DT$4:DT110))</f>
        <v>#N/A</v>
      </c>
      <c r="DV110" s="314" t="str">
        <f t="shared" si="172"/>
        <v/>
      </c>
      <c r="DW110" s="314" t="e">
        <f>IF($J110="",#N/A,SUM(DV$4:DV110))</f>
        <v>#N/A</v>
      </c>
      <c r="DX110" s="315" t="str">
        <f t="shared" si="173"/>
        <v/>
      </c>
      <c r="DY110" s="315" t="e">
        <f>IF($J110="",#N/A,SUM(DX$4:DX110))</f>
        <v>#N/A</v>
      </c>
      <c r="DZ110" s="315" t="e">
        <f>IF($J110="",#N/A,SUM(DX$4:DX110,DV$4:DV110,DT$4:DT110))</f>
        <v>#N/A</v>
      </c>
      <c r="EA110" s="304" t="str">
        <f t="shared" si="174"/>
        <v/>
      </c>
      <c r="EB110" s="313" t="e">
        <f>IF($J110="",#N/A,SUM(EA$4:EA110))</f>
        <v>#N/A</v>
      </c>
      <c r="EC110" s="314" t="str">
        <f t="shared" si="175"/>
        <v/>
      </c>
      <c r="ED110" s="314" t="e">
        <f>IF($J110="",#N/A,SUM(EC$4:EC110))</f>
        <v>#N/A</v>
      </c>
      <c r="EE110" s="315" t="str">
        <f t="shared" si="176"/>
        <v/>
      </c>
      <c r="EF110" s="315" t="e">
        <f>IF($J110="",#N/A,SUM(EE$4:EE110))</f>
        <v>#N/A</v>
      </c>
      <c r="EG110" s="315" t="e">
        <f>IF($J110="",#N/A,SUM(EE$4:EE110,EC$4:EC110,EA$4:EA110))</f>
        <v>#N/A</v>
      </c>
      <c r="EH110" s="130">
        <f t="shared" si="177"/>
        <v>8.3799999999999955</v>
      </c>
      <c r="EI110" s="63">
        <f>IF(EH110="",#N/A,SUM($EH$4:EH110))</f>
        <v>503.80884360937733</v>
      </c>
      <c r="EJ110" s="223" t="e">
        <f t="shared" si="178"/>
        <v>#N/A</v>
      </c>
      <c r="EK110" s="63" t="e">
        <f>IF($GZ110="",#N/A,SUM(EJ$4:EJ110))</f>
        <v>#N/A</v>
      </c>
      <c r="EL110" s="60">
        <f t="shared" si="209"/>
        <v>0.31842293253081616</v>
      </c>
      <c r="EM110" s="60">
        <f>IF(EL110="",NA(),SUM($EL$4:EL110))</f>
        <v>19.029991147402352</v>
      </c>
      <c r="EN110" s="60" t="str">
        <f t="shared" si="179"/>
        <v/>
      </c>
      <c r="EO110" s="60" t="e">
        <f>IF(EN110="",NA(),SUM($EN$4:EN110))</f>
        <v>#N/A</v>
      </c>
      <c r="EP110" s="60">
        <f t="shared" si="180"/>
        <v>0.31842293253081616</v>
      </c>
      <c r="EQ110" s="60">
        <f>IF(EP110="",NA(),SUM($EP$4:EP110))</f>
        <v>9.0907617497736961</v>
      </c>
      <c r="ER110" s="60" t="str">
        <f t="shared" si="181"/>
        <v/>
      </c>
      <c r="ES110" s="60" t="e">
        <f>IF(ER110="",NA(),SUM($ER$4:ER110))</f>
        <v>#N/A</v>
      </c>
      <c r="ET110" s="60" t="str">
        <f t="shared" si="182"/>
        <v/>
      </c>
      <c r="EU110" s="60" t="e">
        <f>IF(ET110="",NA(),SUM($ET$4:ET110))</f>
        <v>#N/A</v>
      </c>
      <c r="EV110" s="60" t="str">
        <f t="shared" si="183"/>
        <v/>
      </c>
      <c r="EW110" s="60" t="e">
        <f>IF(EV110="",NA(),SUM($EV$4:EV110))</f>
        <v>#N/A</v>
      </c>
      <c r="EX110" s="60" t="str">
        <f t="shared" si="184"/>
        <v/>
      </c>
      <c r="EY110" s="60" t="e">
        <f>IF(EX110="",NA(),SUM($EX$4:EX110))</f>
        <v>#N/A</v>
      </c>
      <c r="EZ110" s="60" t="str">
        <f t="shared" si="185"/>
        <v/>
      </c>
      <c r="FA110" s="60" t="e">
        <f>IF(EZ110="",NA(),SUM($EZ$4:EZ110))</f>
        <v>#N/A</v>
      </c>
      <c r="FB110" s="246" t="str">
        <f t="shared" si="210"/>
        <v/>
      </c>
      <c r="FC110" s="246" t="e">
        <f>IF($FB110="",#N/A,SUM(FB$4:$FB110))</f>
        <v>#N/A</v>
      </c>
      <c r="FD110" s="60" t="str">
        <f t="shared" si="186"/>
        <v/>
      </c>
      <c r="FE110" s="60" t="e">
        <f>IF($FD110="",#N/A,SUM($FD$4:FD110))</f>
        <v>#N/A</v>
      </c>
      <c r="FF110" s="60" t="str">
        <f t="shared" si="187"/>
        <v/>
      </c>
      <c r="FG110" s="60" t="e">
        <f>IF($FF110="",#N/A,SUM($FF$4:FF110))</f>
        <v>#N/A</v>
      </c>
      <c r="FH110" s="60" t="str">
        <f t="shared" si="188"/>
        <v/>
      </c>
      <c r="FI110" s="60" t="e">
        <f>IF($FH110="",#N/A,SUM($FH$4:FH110))</f>
        <v>#N/A</v>
      </c>
      <c r="FJ110" s="60">
        <f t="shared" si="189"/>
        <v>-0.20290912407094883</v>
      </c>
      <c r="FK110" s="60">
        <f>IF($FJ110="",#N/A,SUM($FJ$4:FJ110))</f>
        <v>1.7191249614525834</v>
      </c>
      <c r="FL110" s="60" t="str">
        <f t="shared" si="190"/>
        <v/>
      </c>
      <c r="FM110" s="60" t="e">
        <f>IF($FL110="",#N/A,SUM($FL$4:FL110))</f>
        <v>#N/A</v>
      </c>
      <c r="FN110" s="82">
        <f t="shared" si="191"/>
        <v>0.11551380845986733</v>
      </c>
      <c r="FO110" s="82">
        <f>IF($FN110="",#N/A,SUM(FN$4:$FN110))</f>
        <v>30.053965832111256</v>
      </c>
      <c r="FP110" s="82">
        <f t="shared" si="211"/>
        <v>0.31842293253081616</v>
      </c>
      <c r="FQ110" s="246">
        <f>IF($EH110="",#N/A,SUM($FP$4:FP110))</f>
        <v>19.399235194721378</v>
      </c>
      <c r="FR110" s="82">
        <f>IFERROR(FQ110/COUNTA($J$4:J110),#N/A)</f>
        <v>0.18130126350206896</v>
      </c>
      <c r="FS110" s="82">
        <f t="shared" ref="FS110:FS119" si="223">IFERROR(($FQ110-$FQ65)/COUNTA($J65:$J110),#N/A)</f>
        <v>7.6090379770855809E-2</v>
      </c>
      <c r="FT110" s="82">
        <f t="shared" si="221"/>
        <v>3.0831498838956861E-2</v>
      </c>
      <c r="FU110" s="337">
        <f t="shared" si="222"/>
        <v>7.1596835702184745</v>
      </c>
      <c r="FV110" s="57" t="str">
        <f t="shared" si="192"/>
        <v>SW</v>
      </c>
      <c r="FW110" s="57" t="s">
        <v>2732</v>
      </c>
      <c r="FX110" s="57" t="str">
        <f t="shared" si="193"/>
        <v/>
      </c>
      <c r="FY110" s="57" t="str">
        <f t="shared" si="194"/>
        <v/>
      </c>
      <c r="FZ110" s="57">
        <f t="shared" si="195"/>
        <v>1</v>
      </c>
      <c r="GA110" s="57" t="str">
        <f t="shared" si="196"/>
        <v>Long</v>
      </c>
      <c r="GB110" s="57" t="str">
        <f t="shared" si="197"/>
        <v/>
      </c>
      <c r="GC110" s="57" t="str">
        <f t="shared" si="198"/>
        <v/>
      </c>
      <c r="GD110" s="57" t="str">
        <f t="shared" si="199"/>
        <v/>
      </c>
      <c r="GE110" s="62">
        <f t="shared" si="114"/>
        <v>219.31</v>
      </c>
      <c r="GF110" s="62" t="s">
        <v>2779</v>
      </c>
      <c r="GG110" s="199">
        <v>2</v>
      </c>
      <c r="GH110" s="207">
        <f t="shared" si="200"/>
        <v>438.62</v>
      </c>
      <c r="GI110" s="199">
        <v>2</v>
      </c>
      <c r="GJ110" s="200">
        <v>222.2</v>
      </c>
      <c r="GK110" s="63">
        <f t="shared" si="201"/>
        <v>5.7799999999999727</v>
      </c>
      <c r="GL110" s="63">
        <f t="shared" si="115"/>
        <v>3.0400000000000205</v>
      </c>
      <c r="GM110" s="82">
        <f t="shared" si="202"/>
        <v>0.11551380845986733</v>
      </c>
      <c r="GN110" s="82">
        <f>IF($GZ110="",#N/A,SUM(GM$4:GM110))</f>
        <v>12.523873328309868</v>
      </c>
      <c r="GO110" s="82" t="str">
        <f t="shared" si="203"/>
        <v/>
      </c>
      <c r="GP110" s="82">
        <f>IF($GZ110="",#N/A,SUM(GO$4:GO110))</f>
        <v>10.635036056741368</v>
      </c>
      <c r="GQ110" s="82" t="str">
        <f t="shared" si="204"/>
        <v/>
      </c>
      <c r="GR110" s="82">
        <f>IF($GZ110="",#N/A,SUM(GQ$4:GQ110))</f>
        <v>6.2692194926176814</v>
      </c>
      <c r="GS110" s="63" t="e">
        <f t="shared" si="212"/>
        <v>#N/A</v>
      </c>
      <c r="GT110" s="63" t="e">
        <f>IF($GZ110="",#N/A,SUM(GS$4:GS110))</f>
        <v>#N/A</v>
      </c>
      <c r="GU110" s="63" t="str">
        <f t="shared" si="213"/>
        <v/>
      </c>
      <c r="GV110" s="63" t="e">
        <f>IF($GZ110="",#N/A,SUM(GU$4:GU110))</f>
        <v>#N/A</v>
      </c>
      <c r="GW110" s="63" t="str">
        <f t="shared" si="214"/>
        <v/>
      </c>
      <c r="GX110" s="63" t="e">
        <f>IF($GZ110="",#N/A,SUM(GW$4:GW110))</f>
        <v>#N/A</v>
      </c>
      <c r="GY110" s="63" t="e">
        <f>IF(EJ110="",#N/A,SUM($EJ$4:EJ110))</f>
        <v>#N/A</v>
      </c>
      <c r="GZ110" s="159">
        <v>220.83</v>
      </c>
      <c r="HA110" s="63">
        <f t="shared" si="205"/>
        <v>-5.339999999999975</v>
      </c>
      <c r="HB110" s="62" t="s">
        <v>2538</v>
      </c>
      <c r="HC110" s="60">
        <f>IFERROR(VLOOKUP(E110,Expectancy!$P$4:$S$19,1+C110,FALSE),"")</f>
        <v>-3.1543782927977014E-2</v>
      </c>
      <c r="HD110" s="82">
        <f t="shared" si="206"/>
        <v>0.21962822792698208</v>
      </c>
      <c r="HE110" s="60">
        <f>IF(HD110="",#N/A,SUM($HD$4:HD110))</f>
        <v>-2.2904483754970961</v>
      </c>
      <c r="HF110" s="85">
        <f>IF(HD110="",#N/A,IF(HB110="Skip",#N/A,SUM($HG$4:HG110)))</f>
        <v>-32.490000000000009</v>
      </c>
      <c r="HG110" s="63">
        <f t="shared" si="207"/>
        <v>5.7799999999999727</v>
      </c>
      <c r="HH110" s="82">
        <f t="shared" si="208"/>
        <v>0.11551380845986733</v>
      </c>
    </row>
    <row r="111" spans="1:216" x14ac:dyDescent="0.25">
      <c r="A111" s="57" t="s">
        <v>1351</v>
      </c>
      <c r="B111" s="58" t="s">
        <v>5162</v>
      </c>
      <c r="C111" s="386">
        <f t="shared" si="118"/>
        <v>3</v>
      </c>
      <c r="D111" s="372" t="str">
        <f>_xlfn.XLOOKUP(A111,[1]SP500!$A$2:$A$502,[1]SP500!$D$2:$D$502,"N")</f>
        <v>Y</v>
      </c>
      <c r="E111" s="57" t="str">
        <f>_xlfn.XLOOKUP(A111,[1]SP500!$A$2:$A$655,[1]SP500!$B$2:$B$655)</f>
        <v>XLP</v>
      </c>
      <c r="F111" s="59">
        <v>45687</v>
      </c>
      <c r="G111" s="57" t="str">
        <f t="shared" si="119"/>
        <v>BMO</v>
      </c>
      <c r="H111" s="57" t="str">
        <f t="shared" si="120"/>
        <v>s</v>
      </c>
      <c r="I111" s="158">
        <v>52.66</v>
      </c>
      <c r="J111" s="159">
        <v>51.02</v>
      </c>
      <c r="K111" s="61">
        <f t="shared" si="121"/>
        <v>-3.1143182681351949E-2</v>
      </c>
      <c r="L111" s="87">
        <f t="shared" si="122"/>
        <v>-13.119999999999948</v>
      </c>
      <c r="M111" s="130">
        <f t="shared" si="112"/>
        <v>-0.16000000000002501</v>
      </c>
      <c r="N111" s="169" t="str">
        <f t="shared" si="123"/>
        <v/>
      </c>
      <c r="O111" s="169">
        <f>IF($J111="",#N/A,SUM($N$4:N111))</f>
        <v>217.68810757134344</v>
      </c>
      <c r="P111" s="174" t="str">
        <f t="shared" si="124"/>
        <v/>
      </c>
      <c r="Q111" s="174">
        <f>IF($J111="",#N/A,SUM($P$4:P111))</f>
        <v>71.806464916880884</v>
      </c>
      <c r="R111" s="178">
        <f t="shared" si="125"/>
        <v>-13.119999999999948</v>
      </c>
      <c r="S111" s="178">
        <f>IF($J111="",#N/A,SUM($R$4:R111))</f>
        <v>201.19427112115301</v>
      </c>
      <c r="T111" s="290" t="str">
        <f t="shared" si="126"/>
        <v/>
      </c>
      <c r="U111" s="290">
        <f>IF($J111="",#N/A,SUM($T$4:T111))</f>
        <v>7.7343490944726661</v>
      </c>
      <c r="V111" s="291" t="str">
        <f t="shared" si="127"/>
        <v/>
      </c>
      <c r="W111" s="291">
        <f>IF($J111="",#N/A,SUM($V$4:V111))</f>
        <v>2.6947724028707301</v>
      </c>
      <c r="X111" s="292">
        <f t="shared" si="128"/>
        <v>-0.51905304468919911</v>
      </c>
      <c r="Y111" s="283">
        <f>IF($J111="",#N/A,SUM($X$4:X111))</f>
        <v>8.4510606526887706</v>
      </c>
      <c r="Z111" s="304" t="str">
        <f t="shared" si="129"/>
        <v/>
      </c>
      <c r="AA111" s="313" t="e">
        <f>IF($J111="",#N/A,SUM(Z$4:Z111))</f>
        <v>#N/A</v>
      </c>
      <c r="AB111" s="314" t="str">
        <f t="shared" si="130"/>
        <v/>
      </c>
      <c r="AC111" s="314" t="e">
        <f>IF($J111="",#N/A,SUM(AB$4:AB111))</f>
        <v>#N/A</v>
      </c>
      <c r="AD111" s="315" t="str">
        <f t="shared" si="131"/>
        <v/>
      </c>
      <c r="AE111" s="315" t="e">
        <f>IF($J111="",#N/A,SUM(AD$4:AD111))</f>
        <v>#N/A</v>
      </c>
      <c r="AF111" s="315" t="e">
        <f>IF($J111="",#N/A,SUM(AD$4:AD111,AB$4:AB111,Z$4:Z111))</f>
        <v>#N/A</v>
      </c>
      <c r="AG111" s="304" t="str">
        <f t="shared" si="132"/>
        <v/>
      </c>
      <c r="AH111" s="313" t="e">
        <f>IF($J111="",#N/A,SUM(AG$4:AG111))</f>
        <v>#N/A</v>
      </c>
      <c r="AI111" s="314" t="str">
        <f t="shared" si="133"/>
        <v/>
      </c>
      <c r="AJ111" s="314" t="e">
        <f>IF($J111="",#N/A,SUM(AI$4:AI111))</f>
        <v>#N/A</v>
      </c>
      <c r="AK111" s="315" t="str">
        <f t="shared" si="134"/>
        <v/>
      </c>
      <c r="AL111" s="315" t="e">
        <f>IF($J111="",#N/A,SUM(AK$4:AK111))</f>
        <v>#N/A</v>
      </c>
      <c r="AM111" s="315" t="e">
        <f>IF($J111="",#N/A,SUM(AK$4:AK111,AI$4:AI111,AG$4:AG111))</f>
        <v>#N/A</v>
      </c>
      <c r="AN111" s="304" t="str">
        <f t="shared" si="135"/>
        <v/>
      </c>
      <c r="AO111" s="313" t="e">
        <f>IF($J111="",#N/A,SUM(AN$4:AN111))</f>
        <v>#N/A</v>
      </c>
      <c r="AP111" s="314" t="str">
        <f t="shared" si="136"/>
        <v/>
      </c>
      <c r="AQ111" s="314" t="e">
        <f>IF($J111="",#N/A,SUM(AP$4:AP111))</f>
        <v>#N/A</v>
      </c>
      <c r="AR111" s="315" t="str">
        <f t="shared" si="137"/>
        <v/>
      </c>
      <c r="AS111" s="315" t="e">
        <f>IF($J111="",#N/A,SUM(AR$4:AR111))</f>
        <v>#N/A</v>
      </c>
      <c r="AT111" s="315" t="e">
        <f>IF($J111="",#N/A,SUM(AR$4:AR111,AP$4:AP111,AN$4:AN111))</f>
        <v>#N/A</v>
      </c>
      <c r="AU111" s="304" t="str">
        <f t="shared" si="138"/>
        <v/>
      </c>
      <c r="AV111" s="313" t="e">
        <f>IF($J111="",#N/A,SUM(AU$4:AU111))</f>
        <v>#N/A</v>
      </c>
      <c r="AW111" s="314" t="str">
        <f t="shared" si="139"/>
        <v/>
      </c>
      <c r="AX111" s="314" t="e">
        <f>IF($J111="",#N/A,SUM(AW$4:AW111))</f>
        <v>#N/A</v>
      </c>
      <c r="AY111" s="315">
        <f t="shared" si="140"/>
        <v>-0.51905304468919911</v>
      </c>
      <c r="AZ111" s="315" t="e">
        <f>IF($J111="",#N/A,SUM(AY$4:AY111))</f>
        <v>#N/A</v>
      </c>
      <c r="BA111" s="315" t="e">
        <f>IF($J111="",#N/A,SUM(AY$4:AY111,AW$4:AW111,AU$4:AU111))</f>
        <v>#N/A</v>
      </c>
      <c r="BB111" s="304" t="str">
        <f t="shared" si="141"/>
        <v/>
      </c>
      <c r="BC111" s="313" t="e">
        <f>IF($J111="",#N/A,SUM(BB$4:BB111))</f>
        <v>#N/A</v>
      </c>
      <c r="BD111" s="314" t="str">
        <f t="shared" si="142"/>
        <v/>
      </c>
      <c r="BE111" s="314" t="e">
        <f>IF($J111="",#N/A,SUM(BD$4:BD111))</f>
        <v>#N/A</v>
      </c>
      <c r="BF111" s="315" t="str">
        <f t="shared" si="143"/>
        <v/>
      </c>
      <c r="BG111" s="315" t="e">
        <f>IF($J111="",#N/A,SUM(BF$4:BF111))</f>
        <v>#N/A</v>
      </c>
      <c r="BH111" s="315" t="e">
        <f>IF($J111="",#N/A,SUM(BF$4:BF111,BD$4:BD111,BB$4:BB111))</f>
        <v>#N/A</v>
      </c>
      <c r="BI111" s="304" t="str">
        <f t="shared" si="144"/>
        <v/>
      </c>
      <c r="BJ111" s="313" t="e">
        <f>IF($J111="",#N/A,SUM(BI$4:BI111))</f>
        <v>#N/A</v>
      </c>
      <c r="BK111" s="314" t="str">
        <f t="shared" si="145"/>
        <v/>
      </c>
      <c r="BL111" s="314" t="e">
        <f>IF($J111="",#N/A,SUM(BK$4:BK111))</f>
        <v>#N/A</v>
      </c>
      <c r="BM111" s="315" t="str">
        <f t="shared" si="146"/>
        <v/>
      </c>
      <c r="BN111" s="315" t="e">
        <f>IF($J111="",#N/A,SUM(BM$4:BM111))</f>
        <v>#N/A</v>
      </c>
      <c r="BO111" s="315" t="e">
        <f>IF($J111="",#N/A,SUM(BM$4:BM111,BK$4:BK111,BI$4:BI111))</f>
        <v>#N/A</v>
      </c>
      <c r="BP111" s="304" t="str">
        <f t="shared" si="147"/>
        <v/>
      </c>
      <c r="BQ111" s="313" t="e">
        <f>IF($J111="",#N/A,SUM(BP$4:BP111))</f>
        <v>#N/A</v>
      </c>
      <c r="BR111" s="314" t="str">
        <f t="shared" si="148"/>
        <v/>
      </c>
      <c r="BS111" s="314" t="e">
        <f>IF($J111="",#N/A,SUM(BR$4:BR111))</f>
        <v>#N/A</v>
      </c>
      <c r="BT111" s="315" t="str">
        <f t="shared" si="149"/>
        <v/>
      </c>
      <c r="BU111" s="315" t="e">
        <f>IF($J111="",#N/A,SUM(BT$4:BT111))</f>
        <v>#N/A</v>
      </c>
      <c r="BV111" s="315" t="e">
        <f>IF($J111="",#N/A,SUM(BT$4:BT111,BR$4:BR111,BP$4:BP111))</f>
        <v>#N/A</v>
      </c>
      <c r="BW111" s="304" t="str">
        <f t="shared" si="150"/>
        <v/>
      </c>
      <c r="BX111" s="313" t="e">
        <f>IF($J111="",#N/A,SUM(BW$4:BW111))</f>
        <v>#N/A</v>
      </c>
      <c r="BY111" s="314" t="str">
        <f t="shared" si="151"/>
        <v/>
      </c>
      <c r="BZ111" s="314" t="e">
        <f>IF($J111="",#N/A,SUM(BY$4:BY111))</f>
        <v>#N/A</v>
      </c>
      <c r="CA111" s="315" t="str">
        <f t="shared" si="152"/>
        <v/>
      </c>
      <c r="CB111" s="315" t="e">
        <f>IF($J111="",#N/A,SUM(CA$4:CA111))</f>
        <v>#N/A</v>
      </c>
      <c r="CC111" s="315" t="e">
        <f>IF($J111="",#N/A,SUM(CA$4:CA111,BY$4:BY111,BW$4:BW111))</f>
        <v>#N/A</v>
      </c>
      <c r="CD111" s="304" t="str">
        <f t="shared" si="153"/>
        <v/>
      </c>
      <c r="CE111" s="313" t="e">
        <f>IF($J111="",#N/A,SUM(CD$4:CD111))</f>
        <v>#N/A</v>
      </c>
      <c r="CF111" s="314" t="str">
        <f t="shared" si="154"/>
        <v/>
      </c>
      <c r="CG111" s="314" t="e">
        <f>IF($J111="",#N/A,SUM(CF$4:CF111))</f>
        <v>#N/A</v>
      </c>
      <c r="CH111" s="315" t="str">
        <f t="shared" si="155"/>
        <v/>
      </c>
      <c r="CI111" s="315" t="e">
        <f>IF($J111="",#N/A,SUM(CH$4:CH111))</f>
        <v>#N/A</v>
      </c>
      <c r="CJ111" s="315" t="e">
        <f>IF($J111="",#N/A,SUM(CH$4:CH111,CF$4:CF111,CD$4:CD111))</f>
        <v>#N/A</v>
      </c>
      <c r="CK111" s="304" t="str">
        <f t="shared" si="156"/>
        <v/>
      </c>
      <c r="CL111" s="313" t="e">
        <f>IF($J111="",#N/A,SUM(CK$4:CK111))</f>
        <v>#N/A</v>
      </c>
      <c r="CM111" s="314" t="str">
        <f t="shared" si="157"/>
        <v/>
      </c>
      <c r="CN111" s="314" t="e">
        <f>IF($J111="",#N/A,SUM(CM$4:CM111))</f>
        <v>#N/A</v>
      </c>
      <c r="CO111" s="315" t="str">
        <f t="shared" si="158"/>
        <v/>
      </c>
      <c r="CP111" s="315" t="e">
        <f>IF($J111="",#N/A,SUM(CO$4:CO111))</f>
        <v>#N/A</v>
      </c>
      <c r="CQ111" s="315" t="e">
        <f>IF($J111="",#N/A,SUM(CO$4:CO111,CM$4:CM111,CK$4:CK111))</f>
        <v>#N/A</v>
      </c>
      <c r="CR111" s="304" t="str">
        <f t="shared" si="159"/>
        <v/>
      </c>
      <c r="CS111" s="313" t="e">
        <f>IF($J111="",#N/A,SUM(CR$4:CR111))</f>
        <v>#N/A</v>
      </c>
      <c r="CT111" s="314" t="str">
        <f t="shared" si="160"/>
        <v/>
      </c>
      <c r="CU111" s="314" t="e">
        <f>IF($J111="",#N/A,SUM(CT$4:CT111))</f>
        <v>#N/A</v>
      </c>
      <c r="CV111" s="315" t="str">
        <f t="shared" si="161"/>
        <v/>
      </c>
      <c r="CW111" s="315" t="e">
        <f>IF($J111="",#N/A,SUM(CV$4:CV111))</f>
        <v>#N/A</v>
      </c>
      <c r="CX111" s="315" t="e">
        <f>IF($J111="",#N/A,SUM(CV$4:CV111,CT$4:CT111,CR$4:CR111))</f>
        <v>#N/A</v>
      </c>
      <c r="CY111" s="304" t="str">
        <f t="shared" si="162"/>
        <v/>
      </c>
      <c r="CZ111" s="313" t="e">
        <f>IF($J111="",#N/A,SUM(CY$4:CY111))</f>
        <v>#N/A</v>
      </c>
      <c r="DA111" s="314" t="str">
        <f t="shared" si="163"/>
        <v/>
      </c>
      <c r="DB111" s="314" t="e">
        <f>IF($J111="",#N/A,SUM(DA$4:DA111))</f>
        <v>#N/A</v>
      </c>
      <c r="DC111" s="315" t="str">
        <f t="shared" si="164"/>
        <v/>
      </c>
      <c r="DD111" s="315" t="e">
        <f>IF($J111="",#N/A,SUM(DC$4:DC111))</f>
        <v>#N/A</v>
      </c>
      <c r="DE111" s="315" t="e">
        <f>IF($J111="",#N/A,SUM(DC$4:DC111,DA$4:DA111,CY$4:CY111))</f>
        <v>#N/A</v>
      </c>
      <c r="DF111" s="304" t="str">
        <f t="shared" si="165"/>
        <v/>
      </c>
      <c r="DG111" s="313" t="e">
        <f>IF($J111="",#N/A,SUM(DF$4:DF111))</f>
        <v>#N/A</v>
      </c>
      <c r="DH111" s="314" t="str">
        <f t="shared" si="166"/>
        <v/>
      </c>
      <c r="DI111" s="314" t="e">
        <f>IF($J111="",#N/A,SUM(DH$4:DH111))</f>
        <v>#N/A</v>
      </c>
      <c r="DJ111" s="315" t="str">
        <f t="shared" si="167"/>
        <v/>
      </c>
      <c r="DK111" s="315" t="e">
        <f>IF($J111="",#N/A,SUM(DJ$4:DJ111))</f>
        <v>#N/A</v>
      </c>
      <c r="DL111" s="315" t="e">
        <f>IF($J111="",#N/A,SUM(DJ$4:DJ111,DH$4:DH111,DF$4:DF111))</f>
        <v>#N/A</v>
      </c>
      <c r="DM111" s="304" t="str">
        <f t="shared" si="168"/>
        <v/>
      </c>
      <c r="DN111" s="313" t="e">
        <f>IF($J111="",#N/A,SUM(DM$4:DM111))</f>
        <v>#N/A</v>
      </c>
      <c r="DO111" s="314" t="str">
        <f t="shared" si="169"/>
        <v/>
      </c>
      <c r="DP111" s="314" t="e">
        <f>IF($J111="",#N/A,SUM(DO$4:DO111))</f>
        <v>#N/A</v>
      </c>
      <c r="DQ111" s="315" t="str">
        <f t="shared" si="170"/>
        <v/>
      </c>
      <c r="DR111" s="315" t="e">
        <f>IF($J111="",#N/A,SUM(DQ$4:DQ111))</f>
        <v>#N/A</v>
      </c>
      <c r="DS111" s="315" t="e">
        <f>IF($J111="",#N/A,SUM(DQ$4:DQ111,DO$4:DO111,DM$4:DM111))</f>
        <v>#N/A</v>
      </c>
      <c r="DT111" s="304" t="str">
        <f t="shared" si="171"/>
        <v/>
      </c>
      <c r="DU111" s="313" t="e">
        <f>IF($J111="",#N/A,SUM(DT$4:DT111))</f>
        <v>#N/A</v>
      </c>
      <c r="DV111" s="314" t="str">
        <f t="shared" si="172"/>
        <v/>
      </c>
      <c r="DW111" s="314" t="e">
        <f>IF($J111="",#N/A,SUM(DV$4:DV111))</f>
        <v>#N/A</v>
      </c>
      <c r="DX111" s="315" t="str">
        <f t="shared" si="173"/>
        <v/>
      </c>
      <c r="DY111" s="315" t="e">
        <f>IF($J111="",#N/A,SUM(DX$4:DX111))</f>
        <v>#N/A</v>
      </c>
      <c r="DZ111" s="315" t="e">
        <f>IF($J111="",#N/A,SUM(DX$4:DX111,DV$4:DV111,DT$4:DT111))</f>
        <v>#N/A</v>
      </c>
      <c r="EA111" s="304" t="str">
        <f t="shared" si="174"/>
        <v/>
      </c>
      <c r="EB111" s="313" t="e">
        <f>IF($J111="",#N/A,SUM(EA$4:EA111))</f>
        <v>#N/A</v>
      </c>
      <c r="EC111" s="314" t="str">
        <f t="shared" si="175"/>
        <v/>
      </c>
      <c r="ED111" s="314" t="e">
        <f>IF($J111="",#N/A,SUM(EC$4:EC111))</f>
        <v>#N/A</v>
      </c>
      <c r="EE111" s="315" t="str">
        <f t="shared" si="176"/>
        <v/>
      </c>
      <c r="EF111" s="315" t="e">
        <f>IF($J111="",#N/A,SUM(EE$4:EE111))</f>
        <v>#N/A</v>
      </c>
      <c r="EG111" s="315" t="e">
        <f>IF($J111="",#N/A,SUM(EE$4:EE111,EC$4:EC111,EA$4:EA111))</f>
        <v>#N/A</v>
      </c>
      <c r="EH111" s="130">
        <f t="shared" si="177"/>
        <v>-13.119999999999948</v>
      </c>
      <c r="EI111" s="63">
        <f>IF(EH111="",#N/A,SUM($EH$4:EH111))</f>
        <v>490.68884360937739</v>
      </c>
      <c r="EJ111" s="223" t="e">
        <f t="shared" si="178"/>
        <v>#N/A</v>
      </c>
      <c r="EK111" s="63" t="e">
        <f>IF($GZ111="",#N/A,SUM(EJ$4:EJ111))</f>
        <v>#N/A</v>
      </c>
      <c r="EL111" s="60">
        <f t="shared" si="209"/>
        <v>-0.51905304468919911</v>
      </c>
      <c r="EM111" s="60">
        <f>IF(EL111="",NA(),SUM($EL$4:EL111))</f>
        <v>18.510938102713155</v>
      </c>
      <c r="EN111" s="60" t="str">
        <f t="shared" si="179"/>
        <v/>
      </c>
      <c r="EO111" s="60" t="e">
        <f>IF(EN111="",NA(),SUM($EN$4:EN111))</f>
        <v>#N/A</v>
      </c>
      <c r="EP111" s="60">
        <f t="shared" si="180"/>
        <v>-0.51905304468919911</v>
      </c>
      <c r="EQ111" s="60">
        <f>IF(EP111="",NA(),SUM($EP$4:EP111))</f>
        <v>8.5717087050844967</v>
      </c>
      <c r="ER111" s="60" t="str">
        <f t="shared" si="181"/>
        <v/>
      </c>
      <c r="ES111" s="60" t="e">
        <f>IF(ER111="",NA(),SUM($ER$4:ER111))</f>
        <v>#N/A</v>
      </c>
      <c r="ET111" s="60" t="str">
        <f t="shared" si="182"/>
        <v/>
      </c>
      <c r="EU111" s="60" t="e">
        <f>IF(ET111="",NA(),SUM($ET$4:ET111))</f>
        <v>#N/A</v>
      </c>
      <c r="EV111" s="60" t="str">
        <f t="shared" si="183"/>
        <v/>
      </c>
      <c r="EW111" s="60" t="e">
        <f>IF(EV111="",NA(),SUM($EV$4:EV111))</f>
        <v>#N/A</v>
      </c>
      <c r="EX111" s="60" t="str">
        <f t="shared" si="184"/>
        <v/>
      </c>
      <c r="EY111" s="60" t="e">
        <f>IF(EX111="",NA(),SUM($EX$4:EX111))</f>
        <v>#N/A</v>
      </c>
      <c r="EZ111" s="60" t="str">
        <f t="shared" si="185"/>
        <v/>
      </c>
      <c r="FA111" s="60" t="e">
        <f>IF(EZ111="",NA(),SUM($EZ$4:EZ111))</f>
        <v>#N/A</v>
      </c>
      <c r="FB111" s="246" t="str">
        <f t="shared" si="210"/>
        <v/>
      </c>
      <c r="FC111" s="246" t="e">
        <f>IF($FB111="",#N/A,SUM(FB$4:$FB111))</f>
        <v>#N/A</v>
      </c>
      <c r="FD111" s="60" t="str">
        <f t="shared" si="186"/>
        <v/>
      </c>
      <c r="FE111" s="60" t="e">
        <f>IF($FD111="",#N/A,SUM($FD$4:FD111))</f>
        <v>#N/A</v>
      </c>
      <c r="FF111" s="60" t="str">
        <f t="shared" si="187"/>
        <v/>
      </c>
      <c r="FG111" s="60" t="e">
        <f>IF($FF111="",#N/A,SUM($FF$4:FF111))</f>
        <v>#N/A</v>
      </c>
      <c r="FH111" s="60" t="str">
        <f t="shared" si="188"/>
        <v/>
      </c>
      <c r="FI111" s="60" t="e">
        <f>IF($FH111="",#N/A,SUM($FH$4:FH111))</f>
        <v>#N/A</v>
      </c>
      <c r="FJ111" s="60" t="str">
        <f t="shared" si="189"/>
        <v/>
      </c>
      <c r="FK111" s="60" t="e">
        <f>IF($FJ111="",#N/A,SUM($FJ$4:FJ111))</f>
        <v>#N/A</v>
      </c>
      <c r="FL111" s="60">
        <f t="shared" si="190"/>
        <v>0.16457779465755029</v>
      </c>
      <c r="FM111" s="60">
        <f>IF($FL111="",#N/A,SUM($FL$4:FL111))</f>
        <v>1.9992124641368649</v>
      </c>
      <c r="FN111" s="82">
        <f t="shared" si="191"/>
        <v>-0.35447525003164881</v>
      </c>
      <c r="FO111" s="82">
        <f>IF($FN111="",#N/A,SUM(FN$4:$FN111))</f>
        <v>29.699490582079608</v>
      </c>
      <c r="FP111" s="82">
        <f t="shared" si="211"/>
        <v>-0.51905304468919911</v>
      </c>
      <c r="FQ111" s="246">
        <f>IF($EH111="",#N/A,SUM($FP$4:FP111))</f>
        <v>18.88018215003218</v>
      </c>
      <c r="FR111" s="82">
        <f>IFERROR(FQ111/COUNTA($J$4:J111),#N/A)</f>
        <v>0.17481650138918686</v>
      </c>
      <c r="FS111" s="82">
        <f t="shared" si="223"/>
        <v>4.3233940233215931E-2</v>
      </c>
      <c r="FT111" s="82">
        <f t="shared" ref="FT111:FT122" si="224">IFERROR(($FQ111-$FQ87)/COUNTA($J87:$J111),#N/A)</f>
        <v>8.8361170978306803E-3</v>
      </c>
      <c r="FU111" s="337">
        <f t="shared" si="222"/>
        <v>7.166013485397615</v>
      </c>
      <c r="FV111" s="57" t="str">
        <f t="shared" si="192"/>
        <v>SW</v>
      </c>
      <c r="FW111" s="57" t="s">
        <v>2732</v>
      </c>
      <c r="FX111" s="57" t="str">
        <f t="shared" si="193"/>
        <v/>
      </c>
      <c r="FY111" s="57" t="str">
        <f t="shared" si="194"/>
        <v/>
      </c>
      <c r="FZ111" s="57" t="str">
        <f t="shared" si="195"/>
        <v/>
      </c>
      <c r="GA111" s="57" t="str">
        <f t="shared" si="196"/>
        <v>Long</v>
      </c>
      <c r="GB111" s="57" t="str">
        <f t="shared" si="197"/>
        <v/>
      </c>
      <c r="GC111" s="57" t="str">
        <f t="shared" si="198"/>
        <v/>
      </c>
      <c r="GD111" s="57">
        <f t="shared" si="199"/>
        <v>1</v>
      </c>
      <c r="GE111" s="62">
        <f t="shared" si="114"/>
        <v>52.66</v>
      </c>
      <c r="GF111" s="62" t="s">
        <v>2779</v>
      </c>
      <c r="GG111" s="199">
        <v>8</v>
      </c>
      <c r="GH111" s="207">
        <f t="shared" si="200"/>
        <v>421.28</v>
      </c>
      <c r="GI111" s="199">
        <v>8</v>
      </c>
      <c r="GJ111" s="200">
        <v>51</v>
      </c>
      <c r="GK111" s="63">
        <f t="shared" si="201"/>
        <v>-13.279999999999973</v>
      </c>
      <c r="GL111" s="63">
        <f t="shared" si="115"/>
        <v>-8.9599999999999795</v>
      </c>
      <c r="GM111" s="82">
        <f t="shared" si="202"/>
        <v>-0.35447525003164881</v>
      </c>
      <c r="GN111" s="82">
        <f>IF($GZ111="",#N/A,SUM(GM$4:GM111))</f>
        <v>12.169398078278219</v>
      </c>
      <c r="GO111" s="82" t="str">
        <f t="shared" si="203"/>
        <v/>
      </c>
      <c r="GP111" s="82">
        <f>IF($GZ111="",#N/A,SUM(GO$4:GO111))</f>
        <v>10.635036056741368</v>
      </c>
      <c r="GQ111" s="82" t="str">
        <f t="shared" si="204"/>
        <v/>
      </c>
      <c r="GR111" s="82">
        <f>IF($GZ111="",#N/A,SUM(GQ$4:GQ111))</f>
        <v>6.2692194926176814</v>
      </c>
      <c r="GS111" s="63" t="e">
        <f t="shared" si="212"/>
        <v>#N/A</v>
      </c>
      <c r="GT111" s="63" t="e">
        <f>IF($GZ111="",#N/A,SUM(GS$4:GS111))</f>
        <v>#N/A</v>
      </c>
      <c r="GU111" s="63" t="str">
        <f t="shared" si="213"/>
        <v/>
      </c>
      <c r="GV111" s="63" t="e">
        <f>IF($GZ111="",#N/A,SUM(GU$4:GU111))</f>
        <v>#N/A</v>
      </c>
      <c r="GW111" s="63" t="str">
        <f t="shared" si="214"/>
        <v/>
      </c>
      <c r="GX111" s="63" t="e">
        <f>IF($GZ111="",#N/A,SUM(GW$4:GW111))</f>
        <v>#N/A</v>
      </c>
      <c r="GY111" s="63" t="e">
        <f>IF(EJ111="",#N/A,SUM($EJ$4:EJ111))</f>
        <v>#N/A</v>
      </c>
      <c r="GZ111" s="159">
        <v>51.54</v>
      </c>
      <c r="HA111" s="63">
        <f t="shared" si="205"/>
        <v>4.1599999999999682</v>
      </c>
      <c r="HB111" s="62" t="s">
        <v>2538</v>
      </c>
      <c r="HC111" s="60">
        <f>IFERROR(VLOOKUP(E111,Expectancy!$P$4:$S$19,1+C111,FALSE),"")</f>
        <v>0.40561946259505821</v>
      </c>
      <c r="HD111" s="82">
        <f t="shared" si="206"/>
        <v>-0.52538295986833672</v>
      </c>
      <c r="HE111" s="60">
        <f>IF(HD111="",#N/A,SUM($HD$4:HD111))</f>
        <v>-2.815831335365433</v>
      </c>
      <c r="HF111" s="85">
        <f>IF(HD111="",#N/A,IF(HB111="Skip",#N/A,SUM($HG$4:HG111)))</f>
        <v>-45.769999999999982</v>
      </c>
      <c r="HG111" s="63">
        <f t="shared" si="207"/>
        <v>-13.279999999999973</v>
      </c>
      <c r="HH111" s="82">
        <f t="shared" si="208"/>
        <v>-0.35447525003164881</v>
      </c>
    </row>
    <row r="112" spans="1:216" x14ac:dyDescent="0.25">
      <c r="A112" s="57" t="s">
        <v>1354</v>
      </c>
      <c r="B112" s="58" t="s">
        <v>5162</v>
      </c>
      <c r="C112" s="386">
        <f t="shared" si="118"/>
        <v>3</v>
      </c>
      <c r="D112" s="372" t="str">
        <f>_xlfn.XLOOKUP(A112,[1]SP500!$A$2:$A$502,[1]SP500!$D$2:$D$502,"N")</f>
        <v>Y</v>
      </c>
      <c r="E112" s="57" t="str">
        <f>_xlfn.XLOOKUP(A112,[1]SP500!$A$2:$A$655,[1]SP500!$B$2:$B$655)</f>
        <v>XLB</v>
      </c>
      <c r="F112" s="59">
        <v>45687</v>
      </c>
      <c r="G112" s="57" t="str">
        <f t="shared" si="119"/>
        <v>BMO</v>
      </c>
      <c r="H112" s="57" t="str">
        <f t="shared" si="120"/>
        <v>s</v>
      </c>
      <c r="I112" s="159">
        <v>360.41</v>
      </c>
      <c r="J112" s="159">
        <v>362.33</v>
      </c>
      <c r="K112" s="61">
        <f t="shared" si="121"/>
        <v>5.3272661690850947E-3</v>
      </c>
      <c r="L112" s="87">
        <f t="shared" si="122"/>
        <v>1.9199999999999591</v>
      </c>
      <c r="M112" s="130">
        <f t="shared" si="112"/>
        <v>0</v>
      </c>
      <c r="N112" s="169" t="str">
        <f t="shared" si="123"/>
        <v/>
      </c>
      <c r="O112" s="169">
        <f>IF($J112="",#N/A,SUM($N$4:N112))</f>
        <v>217.68810757134344</v>
      </c>
      <c r="P112" s="174" t="str">
        <f t="shared" si="124"/>
        <v/>
      </c>
      <c r="Q112" s="174">
        <f>IF($J112="",#N/A,SUM($P$4:P112))</f>
        <v>71.806464916880884</v>
      </c>
      <c r="R112" s="178">
        <f t="shared" si="125"/>
        <v>1.9199999999999591</v>
      </c>
      <c r="S112" s="178">
        <f>IF($J112="",#N/A,SUM($R$4:R112))</f>
        <v>203.11427112115297</v>
      </c>
      <c r="T112" s="290" t="str">
        <f t="shared" si="126"/>
        <v/>
      </c>
      <c r="U112" s="290">
        <f>IF($J112="",#N/A,SUM($T$4:T112))</f>
        <v>7.7343490944726661</v>
      </c>
      <c r="V112" s="291" t="str">
        <f t="shared" si="127"/>
        <v/>
      </c>
      <c r="W112" s="291">
        <f>IF($J112="",#N/A,SUM($V$4:V112))</f>
        <v>2.6947724028707301</v>
      </c>
      <c r="X112" s="292">
        <f t="shared" si="128"/>
        <v>8.8787769484751575E-2</v>
      </c>
      <c r="Y112" s="283">
        <f>IF($J112="",#N/A,SUM($X$4:X112))</f>
        <v>8.539848422173522</v>
      </c>
      <c r="Z112" s="304" t="str">
        <f t="shared" si="129"/>
        <v/>
      </c>
      <c r="AA112" s="313" t="e">
        <f>IF($J112="",#N/A,SUM(Z$4:Z112))</f>
        <v>#N/A</v>
      </c>
      <c r="AB112" s="314" t="str">
        <f t="shared" si="130"/>
        <v/>
      </c>
      <c r="AC112" s="314" t="e">
        <f>IF($J112="",#N/A,SUM(AB$4:AB112))</f>
        <v>#N/A</v>
      </c>
      <c r="AD112" s="315" t="str">
        <f t="shared" si="131"/>
        <v/>
      </c>
      <c r="AE112" s="315" t="e">
        <f>IF($J112="",#N/A,SUM(AD$4:AD112))</f>
        <v>#N/A</v>
      </c>
      <c r="AF112" s="315" t="e">
        <f>IF($J112="",#N/A,SUM(AD$4:AD112,AB$4:AB112,Z$4:Z112))</f>
        <v>#N/A</v>
      </c>
      <c r="AG112" s="304" t="str">
        <f t="shared" si="132"/>
        <v/>
      </c>
      <c r="AH112" s="313" t="e">
        <f>IF($J112="",#N/A,SUM(AG$4:AG112))</f>
        <v>#N/A</v>
      </c>
      <c r="AI112" s="314" t="str">
        <f t="shared" si="133"/>
        <v/>
      </c>
      <c r="AJ112" s="314" t="e">
        <f>IF($J112="",#N/A,SUM(AI$4:AI112))</f>
        <v>#N/A</v>
      </c>
      <c r="AK112" s="315" t="str">
        <f t="shared" si="134"/>
        <v/>
      </c>
      <c r="AL112" s="315" t="e">
        <f>IF($J112="",#N/A,SUM(AK$4:AK112))</f>
        <v>#N/A</v>
      </c>
      <c r="AM112" s="315" t="e">
        <f>IF($J112="",#N/A,SUM(AK$4:AK112,AI$4:AI112,AG$4:AG112))</f>
        <v>#N/A</v>
      </c>
      <c r="AN112" s="304" t="str">
        <f t="shared" si="135"/>
        <v/>
      </c>
      <c r="AO112" s="313" t="e">
        <f>IF($J112="",#N/A,SUM(AN$4:AN112))</f>
        <v>#N/A</v>
      </c>
      <c r="AP112" s="314" t="str">
        <f t="shared" si="136"/>
        <v/>
      </c>
      <c r="AQ112" s="314" t="e">
        <f>IF($J112="",#N/A,SUM(AP$4:AP112))</f>
        <v>#N/A</v>
      </c>
      <c r="AR112" s="315" t="str">
        <f t="shared" si="137"/>
        <v/>
      </c>
      <c r="AS112" s="315" t="e">
        <f>IF($J112="",#N/A,SUM(AR$4:AR112))</f>
        <v>#N/A</v>
      </c>
      <c r="AT112" s="315" t="e">
        <f>IF($J112="",#N/A,SUM(AR$4:AR112,AP$4:AP112,AN$4:AN112))</f>
        <v>#N/A</v>
      </c>
      <c r="AU112" s="304" t="str">
        <f t="shared" si="138"/>
        <v/>
      </c>
      <c r="AV112" s="313" t="e">
        <f>IF($J112="",#N/A,SUM(AU$4:AU112))</f>
        <v>#N/A</v>
      </c>
      <c r="AW112" s="314" t="str">
        <f t="shared" si="139"/>
        <v/>
      </c>
      <c r="AX112" s="314" t="e">
        <f>IF($J112="",#N/A,SUM(AW$4:AW112))</f>
        <v>#N/A</v>
      </c>
      <c r="AY112" s="315" t="str">
        <f t="shared" si="140"/>
        <v/>
      </c>
      <c r="AZ112" s="315" t="e">
        <f>IF($J112="",#N/A,SUM(AY$4:AY112))</f>
        <v>#N/A</v>
      </c>
      <c r="BA112" s="315" t="e">
        <f>IF($J112="",#N/A,SUM(AY$4:AY112,AW$4:AW112,AU$4:AU112))</f>
        <v>#N/A</v>
      </c>
      <c r="BB112" s="304" t="str">
        <f t="shared" si="141"/>
        <v/>
      </c>
      <c r="BC112" s="313" t="e">
        <f>IF($J112="",#N/A,SUM(BB$4:BB112))</f>
        <v>#N/A</v>
      </c>
      <c r="BD112" s="314" t="str">
        <f t="shared" si="142"/>
        <v/>
      </c>
      <c r="BE112" s="314" t="e">
        <f>IF($J112="",#N/A,SUM(BD$4:BD112))</f>
        <v>#N/A</v>
      </c>
      <c r="BF112" s="315" t="str">
        <f t="shared" si="143"/>
        <v/>
      </c>
      <c r="BG112" s="315" t="e">
        <f>IF($J112="",#N/A,SUM(BF$4:BF112))</f>
        <v>#N/A</v>
      </c>
      <c r="BH112" s="315" t="e">
        <f>IF($J112="",#N/A,SUM(BF$4:BF112,BD$4:BD112,BB$4:BB112))</f>
        <v>#N/A</v>
      </c>
      <c r="BI112" s="304" t="str">
        <f t="shared" si="144"/>
        <v/>
      </c>
      <c r="BJ112" s="313" t="e">
        <f>IF($J112="",#N/A,SUM(BI$4:BI112))</f>
        <v>#N/A</v>
      </c>
      <c r="BK112" s="314" t="str">
        <f t="shared" si="145"/>
        <v/>
      </c>
      <c r="BL112" s="314" t="e">
        <f>IF($J112="",#N/A,SUM(BK$4:BK112))</f>
        <v>#N/A</v>
      </c>
      <c r="BM112" s="315" t="str">
        <f t="shared" si="146"/>
        <v/>
      </c>
      <c r="BN112" s="315" t="e">
        <f>IF($J112="",#N/A,SUM(BM$4:BM112))</f>
        <v>#N/A</v>
      </c>
      <c r="BO112" s="315" t="e">
        <f>IF($J112="",#N/A,SUM(BM$4:BM112,BK$4:BK112,BI$4:BI112))</f>
        <v>#N/A</v>
      </c>
      <c r="BP112" s="304" t="str">
        <f t="shared" si="147"/>
        <v/>
      </c>
      <c r="BQ112" s="313" t="e">
        <f>IF($J112="",#N/A,SUM(BP$4:BP112))</f>
        <v>#N/A</v>
      </c>
      <c r="BR112" s="314" t="str">
        <f t="shared" si="148"/>
        <v/>
      </c>
      <c r="BS112" s="314" t="e">
        <f>IF($J112="",#N/A,SUM(BR$4:BR112))</f>
        <v>#N/A</v>
      </c>
      <c r="BT112" s="315" t="str">
        <f t="shared" si="149"/>
        <v/>
      </c>
      <c r="BU112" s="315" t="e">
        <f>IF($J112="",#N/A,SUM(BT$4:BT112))</f>
        <v>#N/A</v>
      </c>
      <c r="BV112" s="315" t="e">
        <f>IF($J112="",#N/A,SUM(BT$4:BT112,BR$4:BR112,BP$4:BP112))</f>
        <v>#N/A</v>
      </c>
      <c r="BW112" s="304" t="str">
        <f t="shared" si="150"/>
        <v/>
      </c>
      <c r="BX112" s="313" t="e">
        <f>IF($J112="",#N/A,SUM(BW$4:BW112))</f>
        <v>#N/A</v>
      </c>
      <c r="BY112" s="314" t="str">
        <f t="shared" si="151"/>
        <v/>
      </c>
      <c r="BZ112" s="314" t="e">
        <f>IF($J112="",#N/A,SUM(BY$4:BY112))</f>
        <v>#N/A</v>
      </c>
      <c r="CA112" s="315" t="str">
        <f t="shared" si="152"/>
        <v/>
      </c>
      <c r="CB112" s="315" t="e">
        <f>IF($J112="",#N/A,SUM(CA$4:CA112))</f>
        <v>#N/A</v>
      </c>
      <c r="CC112" s="315" t="e">
        <f>IF($J112="",#N/A,SUM(CA$4:CA112,BY$4:BY112,BW$4:BW112))</f>
        <v>#N/A</v>
      </c>
      <c r="CD112" s="304" t="str">
        <f t="shared" si="153"/>
        <v/>
      </c>
      <c r="CE112" s="313" t="e">
        <f>IF($J112="",#N/A,SUM(CD$4:CD112))</f>
        <v>#N/A</v>
      </c>
      <c r="CF112" s="314" t="str">
        <f t="shared" si="154"/>
        <v/>
      </c>
      <c r="CG112" s="314" t="e">
        <f>IF($J112="",#N/A,SUM(CF$4:CF112))</f>
        <v>#N/A</v>
      </c>
      <c r="CH112" s="315">
        <f t="shared" si="155"/>
        <v>8.8787769484751575E-2</v>
      </c>
      <c r="CI112" s="315" t="e">
        <f>IF($J112="",#N/A,SUM(CH$4:CH112))</f>
        <v>#N/A</v>
      </c>
      <c r="CJ112" s="315" t="e">
        <f>IF($J112="",#N/A,SUM(CH$4:CH112,CF$4:CF112,CD$4:CD112))</f>
        <v>#N/A</v>
      </c>
      <c r="CK112" s="304" t="str">
        <f t="shared" si="156"/>
        <v/>
      </c>
      <c r="CL112" s="313" t="e">
        <f>IF($J112="",#N/A,SUM(CK$4:CK112))</f>
        <v>#N/A</v>
      </c>
      <c r="CM112" s="314" t="str">
        <f t="shared" si="157"/>
        <v/>
      </c>
      <c r="CN112" s="314" t="e">
        <f>IF($J112="",#N/A,SUM(CM$4:CM112))</f>
        <v>#N/A</v>
      </c>
      <c r="CO112" s="315" t="str">
        <f t="shared" si="158"/>
        <v/>
      </c>
      <c r="CP112" s="315" t="e">
        <f>IF($J112="",#N/A,SUM(CO$4:CO112))</f>
        <v>#N/A</v>
      </c>
      <c r="CQ112" s="315" t="e">
        <f>IF($J112="",#N/A,SUM(CO$4:CO112,CM$4:CM112,CK$4:CK112))</f>
        <v>#N/A</v>
      </c>
      <c r="CR112" s="304" t="str">
        <f t="shared" si="159"/>
        <v/>
      </c>
      <c r="CS112" s="313" t="e">
        <f>IF($J112="",#N/A,SUM(CR$4:CR112))</f>
        <v>#N/A</v>
      </c>
      <c r="CT112" s="314" t="str">
        <f t="shared" si="160"/>
        <v/>
      </c>
      <c r="CU112" s="314" t="e">
        <f>IF($J112="",#N/A,SUM(CT$4:CT112))</f>
        <v>#N/A</v>
      </c>
      <c r="CV112" s="315" t="str">
        <f t="shared" si="161"/>
        <v/>
      </c>
      <c r="CW112" s="315" t="e">
        <f>IF($J112="",#N/A,SUM(CV$4:CV112))</f>
        <v>#N/A</v>
      </c>
      <c r="CX112" s="315" t="e">
        <f>IF($J112="",#N/A,SUM(CV$4:CV112,CT$4:CT112,CR$4:CR112))</f>
        <v>#N/A</v>
      </c>
      <c r="CY112" s="304" t="str">
        <f t="shared" si="162"/>
        <v/>
      </c>
      <c r="CZ112" s="313" t="e">
        <f>IF($J112="",#N/A,SUM(CY$4:CY112))</f>
        <v>#N/A</v>
      </c>
      <c r="DA112" s="314" t="str">
        <f t="shared" si="163"/>
        <v/>
      </c>
      <c r="DB112" s="314" t="e">
        <f>IF($J112="",#N/A,SUM(DA$4:DA112))</f>
        <v>#N/A</v>
      </c>
      <c r="DC112" s="315" t="str">
        <f t="shared" si="164"/>
        <v/>
      </c>
      <c r="DD112" s="315" t="e">
        <f>IF($J112="",#N/A,SUM(DC$4:DC112))</f>
        <v>#N/A</v>
      </c>
      <c r="DE112" s="315" t="e">
        <f>IF($J112="",#N/A,SUM(DC$4:DC112,DA$4:DA112,CY$4:CY112))</f>
        <v>#N/A</v>
      </c>
      <c r="DF112" s="304" t="str">
        <f t="shared" si="165"/>
        <v/>
      </c>
      <c r="DG112" s="313" t="e">
        <f>IF($J112="",#N/A,SUM(DF$4:DF112))</f>
        <v>#N/A</v>
      </c>
      <c r="DH112" s="314" t="str">
        <f t="shared" si="166"/>
        <v/>
      </c>
      <c r="DI112" s="314" t="e">
        <f>IF($J112="",#N/A,SUM(DH$4:DH112))</f>
        <v>#N/A</v>
      </c>
      <c r="DJ112" s="315" t="str">
        <f t="shared" si="167"/>
        <v/>
      </c>
      <c r="DK112" s="315" t="e">
        <f>IF($J112="",#N/A,SUM(DJ$4:DJ112))</f>
        <v>#N/A</v>
      </c>
      <c r="DL112" s="315" t="e">
        <f>IF($J112="",#N/A,SUM(DJ$4:DJ112,DH$4:DH112,DF$4:DF112))</f>
        <v>#N/A</v>
      </c>
      <c r="DM112" s="304" t="str">
        <f t="shared" si="168"/>
        <v/>
      </c>
      <c r="DN112" s="313" t="e">
        <f>IF($J112="",#N/A,SUM(DM$4:DM112))</f>
        <v>#N/A</v>
      </c>
      <c r="DO112" s="314" t="str">
        <f t="shared" si="169"/>
        <v/>
      </c>
      <c r="DP112" s="314" t="e">
        <f>IF($J112="",#N/A,SUM(DO$4:DO112))</f>
        <v>#N/A</v>
      </c>
      <c r="DQ112" s="315" t="str">
        <f t="shared" si="170"/>
        <v/>
      </c>
      <c r="DR112" s="315" t="e">
        <f>IF($J112="",#N/A,SUM(DQ$4:DQ112))</f>
        <v>#N/A</v>
      </c>
      <c r="DS112" s="315" t="e">
        <f>IF($J112="",#N/A,SUM(DQ$4:DQ112,DO$4:DO112,DM$4:DM112))</f>
        <v>#N/A</v>
      </c>
      <c r="DT112" s="304" t="str">
        <f t="shared" si="171"/>
        <v/>
      </c>
      <c r="DU112" s="313" t="e">
        <f>IF($J112="",#N/A,SUM(DT$4:DT112))</f>
        <v>#N/A</v>
      </c>
      <c r="DV112" s="314" t="str">
        <f t="shared" si="172"/>
        <v/>
      </c>
      <c r="DW112" s="314" t="e">
        <f>IF($J112="",#N/A,SUM(DV$4:DV112))</f>
        <v>#N/A</v>
      </c>
      <c r="DX112" s="315" t="str">
        <f t="shared" si="173"/>
        <v/>
      </c>
      <c r="DY112" s="315" t="e">
        <f>IF($J112="",#N/A,SUM(DX$4:DX112))</f>
        <v>#N/A</v>
      </c>
      <c r="DZ112" s="315" t="e">
        <f>IF($J112="",#N/A,SUM(DX$4:DX112,DV$4:DV112,DT$4:DT112))</f>
        <v>#N/A</v>
      </c>
      <c r="EA112" s="304" t="str">
        <f t="shared" si="174"/>
        <v/>
      </c>
      <c r="EB112" s="313" t="e">
        <f>IF($J112="",#N/A,SUM(EA$4:EA112))</f>
        <v>#N/A</v>
      </c>
      <c r="EC112" s="314" t="str">
        <f t="shared" si="175"/>
        <v/>
      </c>
      <c r="ED112" s="314" t="e">
        <f>IF($J112="",#N/A,SUM(EC$4:EC112))</f>
        <v>#N/A</v>
      </c>
      <c r="EE112" s="315" t="str">
        <f t="shared" si="176"/>
        <v/>
      </c>
      <c r="EF112" s="315" t="e">
        <f>IF($J112="",#N/A,SUM(EE$4:EE112))</f>
        <v>#N/A</v>
      </c>
      <c r="EG112" s="315" t="e">
        <f>IF($J112="",#N/A,SUM(EE$4:EE112,EC$4:EC112,EA$4:EA112))</f>
        <v>#N/A</v>
      </c>
      <c r="EH112" s="130">
        <f t="shared" si="177"/>
        <v>1.9199999999999591</v>
      </c>
      <c r="EI112" s="63">
        <f>IF(EH112="",#N/A,SUM($EH$4:EH112))</f>
        <v>492.60884360937735</v>
      </c>
      <c r="EJ112" s="223" t="e">
        <f t="shared" si="178"/>
        <v>#N/A</v>
      </c>
      <c r="EK112" s="63" t="e">
        <f>IF($GZ112="",#N/A,SUM(EJ$4:EJ112))</f>
        <v>#N/A</v>
      </c>
      <c r="EL112" s="60">
        <f t="shared" si="209"/>
        <v>8.8787769484751575E-2</v>
      </c>
      <c r="EM112" s="60">
        <f>IF(EL112="",NA(),SUM($EL$4:EL112))</f>
        <v>18.599725872197908</v>
      </c>
      <c r="EN112" s="60" t="str">
        <f t="shared" si="179"/>
        <v/>
      </c>
      <c r="EO112" s="60" t="e">
        <f>IF(EN112="",NA(),SUM($EN$4:EN112))</f>
        <v>#N/A</v>
      </c>
      <c r="EP112" s="60">
        <f t="shared" si="180"/>
        <v>8.8787769484751575E-2</v>
      </c>
      <c r="EQ112" s="60">
        <f>IF(EP112="",NA(),SUM($EP$4:EP112))</f>
        <v>8.6604964745692481</v>
      </c>
      <c r="ER112" s="60" t="str">
        <f t="shared" si="181"/>
        <v/>
      </c>
      <c r="ES112" s="60" t="e">
        <f>IF(ER112="",NA(),SUM($ER$4:ER112))</f>
        <v>#N/A</v>
      </c>
      <c r="ET112" s="60" t="str">
        <f t="shared" si="182"/>
        <v/>
      </c>
      <c r="EU112" s="60" t="e">
        <f>IF(ET112="",NA(),SUM($ET$4:ET112))</f>
        <v>#N/A</v>
      </c>
      <c r="EV112" s="60" t="str">
        <f t="shared" si="183"/>
        <v/>
      </c>
      <c r="EW112" s="60" t="e">
        <f>IF(EV112="",NA(),SUM($EV$4:EV112))</f>
        <v>#N/A</v>
      </c>
      <c r="EX112" s="60" t="str">
        <f t="shared" si="184"/>
        <v/>
      </c>
      <c r="EY112" s="60" t="e">
        <f>IF(EX112="",NA(),SUM($EX$4:EX112))</f>
        <v>#N/A</v>
      </c>
      <c r="EZ112" s="60" t="str">
        <f t="shared" si="185"/>
        <v/>
      </c>
      <c r="FA112" s="60" t="e">
        <f>IF(EZ112="",NA(),SUM($EZ$4:EZ112))</f>
        <v>#N/A</v>
      </c>
      <c r="FB112" s="246" t="str">
        <f t="shared" si="210"/>
        <v/>
      </c>
      <c r="FC112" s="246" t="e">
        <f>IF($FB112="",#N/A,SUM(FB$4:$FB112))</f>
        <v>#N/A</v>
      </c>
      <c r="FD112" s="60" t="str">
        <f t="shared" si="186"/>
        <v/>
      </c>
      <c r="FE112" s="60" t="e">
        <f>IF($FD112="",#N/A,SUM($FD$4:FD112))</f>
        <v>#N/A</v>
      </c>
      <c r="FF112" s="60" t="str">
        <f t="shared" si="187"/>
        <v/>
      </c>
      <c r="FG112" s="60" t="e">
        <f>IF($FF112="",#N/A,SUM($FF$4:FF112))</f>
        <v>#N/A</v>
      </c>
      <c r="FH112" s="60" t="str">
        <f t="shared" si="188"/>
        <v/>
      </c>
      <c r="FI112" s="60" t="e">
        <f>IF($FH112="",#N/A,SUM($FH$4:FH112))</f>
        <v>#N/A</v>
      </c>
      <c r="FJ112" s="60">
        <f t="shared" si="189"/>
        <v>0.14890448840672321</v>
      </c>
      <c r="FK112" s="60">
        <f>IF($FJ112="",#N/A,SUM($FJ$4:FJ112))</f>
        <v>1.8680294498593066</v>
      </c>
      <c r="FL112" s="60" t="str">
        <f t="shared" si="190"/>
        <v/>
      </c>
      <c r="FM112" s="60" t="e">
        <f>IF($FL112="",#N/A,SUM($FL$4:FL112))</f>
        <v>#N/A</v>
      </c>
      <c r="FN112" s="82">
        <f t="shared" si="191"/>
        <v>0.2376922578914748</v>
      </c>
      <c r="FO112" s="82">
        <f>IF($FN112="",#N/A,SUM(FN$4:$FN112))</f>
        <v>29.937182839971083</v>
      </c>
      <c r="FP112" s="82">
        <f t="shared" si="211"/>
        <v>8.8787769484751575E-2</v>
      </c>
      <c r="FQ112" s="246">
        <f>IF($EH112="",#N/A,SUM($FP$4:FP112))</f>
        <v>18.968969919516933</v>
      </c>
      <c r="FR112" s="82">
        <f>IFERROR(FQ112/COUNTA($J$4:J112),#N/A)</f>
        <v>0.17402724696804525</v>
      </c>
      <c r="FS112" s="82">
        <f t="shared" si="223"/>
        <v>3.2442820772617044E-2</v>
      </c>
      <c r="FT112" s="82">
        <f t="shared" si="224"/>
        <v>-3.8103620740125875E-2</v>
      </c>
      <c r="FU112" s="337">
        <f t="shared" si="222"/>
        <v>7.166013485397615</v>
      </c>
      <c r="FV112" s="57" t="str">
        <f t="shared" si="192"/>
        <v>SW</v>
      </c>
      <c r="FW112" s="57" t="s">
        <v>2732</v>
      </c>
      <c r="FX112" s="57" t="str">
        <f t="shared" si="193"/>
        <v/>
      </c>
      <c r="FY112" s="57" t="str">
        <f t="shared" si="194"/>
        <v/>
      </c>
      <c r="FZ112" s="57">
        <f t="shared" si="195"/>
        <v>1</v>
      </c>
      <c r="GA112" s="57" t="str">
        <f t="shared" si="196"/>
        <v>Long</v>
      </c>
      <c r="GB112" s="57" t="str">
        <f t="shared" si="197"/>
        <v/>
      </c>
      <c r="GC112" s="57" t="str">
        <f t="shared" si="198"/>
        <v/>
      </c>
      <c r="GD112" s="57" t="str">
        <f t="shared" si="199"/>
        <v/>
      </c>
      <c r="GE112" s="62">
        <f t="shared" si="114"/>
        <v>360.41</v>
      </c>
      <c r="GF112" s="62" t="s">
        <v>2779</v>
      </c>
      <c r="GG112" s="199">
        <v>1</v>
      </c>
      <c r="GH112" s="207">
        <f t="shared" si="200"/>
        <v>360.41</v>
      </c>
      <c r="GI112" s="199">
        <v>1</v>
      </c>
      <c r="GJ112" s="200">
        <v>362.33</v>
      </c>
      <c r="GK112" s="63">
        <f t="shared" si="201"/>
        <v>1.9199999999999591</v>
      </c>
      <c r="GL112" s="63">
        <f t="shared" si="115"/>
        <v>5.1399999999999864</v>
      </c>
      <c r="GM112" s="82">
        <f t="shared" si="202"/>
        <v>0.2376922578914748</v>
      </c>
      <c r="GN112" s="82">
        <f>IF($GZ112="",#N/A,SUM(GM$4:GM112))</f>
        <v>12.407090336169693</v>
      </c>
      <c r="GO112" s="82" t="str">
        <f t="shared" si="203"/>
        <v/>
      </c>
      <c r="GP112" s="82">
        <f>IF($GZ112="",#N/A,SUM(GO$4:GO112))</f>
        <v>10.635036056741368</v>
      </c>
      <c r="GQ112" s="82" t="str">
        <f t="shared" si="204"/>
        <v/>
      </c>
      <c r="GR112" s="82">
        <f>IF($GZ112="",#N/A,SUM(GQ$4:GQ112))</f>
        <v>6.2692194926176814</v>
      </c>
      <c r="GS112" s="63" t="e">
        <f t="shared" si="212"/>
        <v>#N/A</v>
      </c>
      <c r="GT112" s="63" t="e">
        <f>IF($GZ112="",#N/A,SUM(GS$4:GS112))</f>
        <v>#N/A</v>
      </c>
      <c r="GU112" s="63" t="str">
        <f t="shared" si="213"/>
        <v/>
      </c>
      <c r="GV112" s="63" t="e">
        <f>IF($GZ112="",#N/A,SUM(GU$4:GU112))</f>
        <v>#N/A</v>
      </c>
      <c r="GW112" s="63" t="str">
        <f t="shared" si="214"/>
        <v/>
      </c>
      <c r="GX112" s="63" t="e">
        <f>IF($GZ112="",#N/A,SUM(GW$4:GW112))</f>
        <v>#N/A</v>
      </c>
      <c r="GY112" s="63" t="e">
        <f>IF(EJ112="",#N/A,SUM($EJ$4:EJ112))</f>
        <v>#N/A</v>
      </c>
      <c r="GZ112" s="159">
        <v>365.55</v>
      </c>
      <c r="HA112" s="63">
        <f t="shared" si="205"/>
        <v>3.2200000000000273</v>
      </c>
      <c r="HB112" s="62" t="s">
        <v>2538</v>
      </c>
      <c r="HC112" s="60">
        <f>IFERROR(VLOOKUP(E112,Expectancy!$P$4:$S$19,1+C112,FALSE),"")</f>
        <v>-0.22212962098938482</v>
      </c>
      <c r="HD112" s="82">
        <f t="shared" si="206"/>
        <v>8.8787769484751575E-2</v>
      </c>
      <c r="HE112" s="60">
        <f>IF(HD112="",#N/A,SUM($HD$4:HD112))</f>
        <v>-2.7270435658806815</v>
      </c>
      <c r="HF112" s="85">
        <f>IF(HD112="",#N/A,IF(HB112="Skip",#N/A,SUM($HG$4:HG112)))</f>
        <v>-43.850000000000023</v>
      </c>
      <c r="HG112" s="63">
        <f t="shared" si="207"/>
        <v>1.9199999999999591</v>
      </c>
      <c r="HH112" s="82">
        <f t="shared" si="208"/>
        <v>0.2376922578914748</v>
      </c>
    </row>
    <row r="113" spans="1:216" x14ac:dyDescent="0.25">
      <c r="A113" s="57" t="s">
        <v>1356</v>
      </c>
      <c r="B113" s="58" t="s">
        <v>5161</v>
      </c>
      <c r="C113" s="386">
        <f t="shared" si="118"/>
        <v>3</v>
      </c>
      <c r="D113" s="372" t="str">
        <f>_xlfn.XLOOKUP(A113,[1]SP500!$A$2:$A$502,[1]SP500!$D$2:$D$502,"N")</f>
        <v>Y</v>
      </c>
      <c r="E113" s="57" t="str">
        <f>_xlfn.XLOOKUP(A113,[1]SP500!$A$2:$A$655,[1]SP500!$B$2:$B$655)</f>
        <v>XLI</v>
      </c>
      <c r="F113" s="59">
        <v>45687</v>
      </c>
      <c r="G113" s="57" t="str">
        <f t="shared" si="119"/>
        <v>BMO</v>
      </c>
      <c r="H113" s="57" t="str">
        <f t="shared" si="120"/>
        <v>o</v>
      </c>
      <c r="I113" s="162">
        <v>364</v>
      </c>
      <c r="J113" s="159">
        <v>363.01</v>
      </c>
      <c r="K113" s="93">
        <f t="shared" si="121"/>
        <v>-2.7197802197802446E-3</v>
      </c>
      <c r="L113" s="87">
        <f t="shared" si="122"/>
        <v>-1.087912087912116</v>
      </c>
      <c r="M113" s="214" t="e">
        <f t="shared" si="112"/>
        <v>#N/A</v>
      </c>
      <c r="N113" s="168" t="str">
        <f t="shared" si="123"/>
        <v/>
      </c>
      <c r="O113" s="168">
        <f>IF($J113="",#N/A,SUM($N$4:N113))</f>
        <v>217.68810757134344</v>
      </c>
      <c r="P113" s="173" t="str">
        <f t="shared" si="124"/>
        <v/>
      </c>
      <c r="Q113" s="173">
        <f>IF($J113="",#N/A,SUM($P$4:P113))</f>
        <v>71.806464916880884</v>
      </c>
      <c r="R113" s="177">
        <f t="shared" si="125"/>
        <v>-1.087912087912116</v>
      </c>
      <c r="S113" s="177">
        <f>IF($J113="",#N/A,SUM($R$4:R113))</f>
        <v>202.02635903324085</v>
      </c>
      <c r="T113" s="293" t="str">
        <f t="shared" si="126"/>
        <v/>
      </c>
      <c r="U113" s="293">
        <f>IF($J113="",#N/A,SUM($T$4:T113))</f>
        <v>7.7343490944726661</v>
      </c>
      <c r="V113" s="294" t="str">
        <f t="shared" si="127"/>
        <v/>
      </c>
      <c r="W113" s="294">
        <f>IF($J113="",#N/A,SUM($V$4:V113))</f>
        <v>2.6947724028707301</v>
      </c>
      <c r="X113" s="295">
        <f t="shared" si="128"/>
        <v>-4.5329670329671494E-2</v>
      </c>
      <c r="Y113" s="283">
        <f>IF($J113="",#N/A,SUM($X$4:X113))</f>
        <v>8.4945187518438505</v>
      </c>
      <c r="Z113" s="304" t="str">
        <f t="shared" si="129"/>
        <v/>
      </c>
      <c r="AA113" s="316" t="e">
        <f>IF($J113="",#N/A,SUM(Z$4:Z113))</f>
        <v>#N/A</v>
      </c>
      <c r="AB113" s="317" t="str">
        <f t="shared" si="130"/>
        <v/>
      </c>
      <c r="AC113" s="317" t="e">
        <f>IF($J113="",#N/A,SUM(AB$4:AB113))</f>
        <v>#N/A</v>
      </c>
      <c r="AD113" s="318" t="str">
        <f t="shared" si="131"/>
        <v/>
      </c>
      <c r="AE113" s="318" t="e">
        <f>IF($J113="",#N/A,SUM(AD$4:AD113))</f>
        <v>#N/A</v>
      </c>
      <c r="AF113" s="318" t="e">
        <f>IF($J113="",#N/A,SUM(AD$4:AD113,AB$4:AB113,Z$4:Z113))</f>
        <v>#N/A</v>
      </c>
      <c r="AG113" s="304" t="str">
        <f t="shared" si="132"/>
        <v/>
      </c>
      <c r="AH113" s="316" t="e">
        <f>IF($J113="",#N/A,SUM(AG$4:AG113))</f>
        <v>#N/A</v>
      </c>
      <c r="AI113" s="317" t="str">
        <f t="shared" si="133"/>
        <v/>
      </c>
      <c r="AJ113" s="317" t="e">
        <f>IF($J113="",#N/A,SUM(AI$4:AI113))</f>
        <v>#N/A</v>
      </c>
      <c r="AK113" s="318" t="str">
        <f t="shared" si="134"/>
        <v/>
      </c>
      <c r="AL113" s="318" t="e">
        <f>IF($J113="",#N/A,SUM(AK$4:AK113))</f>
        <v>#N/A</v>
      </c>
      <c r="AM113" s="318" t="e">
        <f>IF($J113="",#N/A,SUM(AK$4:AK113,AI$4:AI113,AG$4:AG113))</f>
        <v>#N/A</v>
      </c>
      <c r="AN113" s="304" t="str">
        <f t="shared" si="135"/>
        <v/>
      </c>
      <c r="AO113" s="316" t="e">
        <f>IF($J113="",#N/A,SUM(AN$4:AN113))</f>
        <v>#N/A</v>
      </c>
      <c r="AP113" s="317" t="str">
        <f t="shared" si="136"/>
        <v/>
      </c>
      <c r="AQ113" s="317" t="e">
        <f>IF($J113="",#N/A,SUM(AP$4:AP113))</f>
        <v>#N/A</v>
      </c>
      <c r="AR113" s="318" t="str">
        <f t="shared" si="137"/>
        <v/>
      </c>
      <c r="AS113" s="318" t="e">
        <f>IF($J113="",#N/A,SUM(AR$4:AR113))</f>
        <v>#N/A</v>
      </c>
      <c r="AT113" s="318" t="e">
        <f>IF($J113="",#N/A,SUM(AR$4:AR113,AP$4:AP113,AN$4:AN113))</f>
        <v>#N/A</v>
      </c>
      <c r="AU113" s="304" t="str">
        <f t="shared" si="138"/>
        <v/>
      </c>
      <c r="AV113" s="316" t="e">
        <f>IF($J113="",#N/A,SUM(AU$4:AU113))</f>
        <v>#N/A</v>
      </c>
      <c r="AW113" s="317" t="str">
        <f t="shared" si="139"/>
        <v/>
      </c>
      <c r="AX113" s="317" t="e">
        <f>IF($J113="",#N/A,SUM(AW$4:AW113))</f>
        <v>#N/A</v>
      </c>
      <c r="AY113" s="318" t="str">
        <f t="shared" si="140"/>
        <v/>
      </c>
      <c r="AZ113" s="318" t="e">
        <f>IF($J113="",#N/A,SUM(AY$4:AY113))</f>
        <v>#N/A</v>
      </c>
      <c r="BA113" s="318" t="e">
        <f>IF($J113="",#N/A,SUM(AY$4:AY113,AW$4:AW113,AU$4:AU113))</f>
        <v>#N/A</v>
      </c>
      <c r="BB113" s="304" t="str">
        <f t="shared" si="141"/>
        <v/>
      </c>
      <c r="BC113" s="316" t="e">
        <f>IF($J113="",#N/A,SUM(BB$4:BB113))</f>
        <v>#N/A</v>
      </c>
      <c r="BD113" s="317" t="str">
        <f t="shared" si="142"/>
        <v/>
      </c>
      <c r="BE113" s="317" t="e">
        <f>IF($J113="",#N/A,SUM(BD$4:BD113))</f>
        <v>#N/A</v>
      </c>
      <c r="BF113" s="318" t="str">
        <f t="shared" si="143"/>
        <v/>
      </c>
      <c r="BG113" s="318" t="e">
        <f>IF($J113="",#N/A,SUM(BF$4:BF113))</f>
        <v>#N/A</v>
      </c>
      <c r="BH113" s="318" t="e">
        <f>IF($J113="",#N/A,SUM(BF$4:BF113,BD$4:BD113,BB$4:BB113))</f>
        <v>#N/A</v>
      </c>
      <c r="BI113" s="304" t="str">
        <f t="shared" si="144"/>
        <v/>
      </c>
      <c r="BJ113" s="316" t="e">
        <f>IF($J113="",#N/A,SUM(BI$4:BI113))</f>
        <v>#N/A</v>
      </c>
      <c r="BK113" s="317" t="str">
        <f t="shared" si="145"/>
        <v/>
      </c>
      <c r="BL113" s="317" t="e">
        <f>IF($J113="",#N/A,SUM(BK$4:BK113))</f>
        <v>#N/A</v>
      </c>
      <c r="BM113" s="318" t="str">
        <f t="shared" si="146"/>
        <v/>
      </c>
      <c r="BN113" s="318" t="e">
        <f>IF($J113="",#N/A,SUM(BM$4:BM113))</f>
        <v>#N/A</v>
      </c>
      <c r="BO113" s="318" t="e">
        <f>IF($J113="",#N/A,SUM(BM$4:BM113,BK$4:BK113,BI$4:BI113))</f>
        <v>#N/A</v>
      </c>
      <c r="BP113" s="304" t="str">
        <f t="shared" si="147"/>
        <v/>
      </c>
      <c r="BQ113" s="316" t="e">
        <f>IF($J113="",#N/A,SUM(BP$4:BP113))</f>
        <v>#N/A</v>
      </c>
      <c r="BR113" s="317" t="str">
        <f t="shared" si="148"/>
        <v/>
      </c>
      <c r="BS113" s="317" t="e">
        <f>IF($J113="",#N/A,SUM(BR$4:BR113))</f>
        <v>#N/A</v>
      </c>
      <c r="BT113" s="318">
        <f t="shared" si="149"/>
        <v>-4.5329670329671494E-2</v>
      </c>
      <c r="BU113" s="318" t="e">
        <f>IF($J113="",#N/A,SUM(BT$4:BT113))</f>
        <v>#N/A</v>
      </c>
      <c r="BV113" s="318" t="e">
        <f>IF($J113="",#N/A,SUM(BT$4:BT113,BR$4:BR113,BP$4:BP113))</f>
        <v>#N/A</v>
      </c>
      <c r="BW113" s="304" t="str">
        <f t="shared" si="150"/>
        <v/>
      </c>
      <c r="BX113" s="316" t="e">
        <f>IF($J113="",#N/A,SUM(BW$4:BW113))</f>
        <v>#N/A</v>
      </c>
      <c r="BY113" s="317" t="str">
        <f t="shared" si="151"/>
        <v/>
      </c>
      <c r="BZ113" s="317" t="e">
        <f>IF($J113="",#N/A,SUM(BY$4:BY113))</f>
        <v>#N/A</v>
      </c>
      <c r="CA113" s="318" t="str">
        <f t="shared" si="152"/>
        <v/>
      </c>
      <c r="CB113" s="318" t="e">
        <f>IF($J113="",#N/A,SUM(CA$4:CA113))</f>
        <v>#N/A</v>
      </c>
      <c r="CC113" s="318" t="e">
        <f>IF($J113="",#N/A,SUM(CA$4:CA113,BY$4:BY113,BW$4:BW113))</f>
        <v>#N/A</v>
      </c>
      <c r="CD113" s="304" t="str">
        <f t="shared" si="153"/>
        <v/>
      </c>
      <c r="CE113" s="316" t="e">
        <f>IF($J113="",#N/A,SUM(CD$4:CD113))</f>
        <v>#N/A</v>
      </c>
      <c r="CF113" s="317" t="str">
        <f t="shared" si="154"/>
        <v/>
      </c>
      <c r="CG113" s="317" t="e">
        <f>IF($J113="",#N/A,SUM(CF$4:CF113))</f>
        <v>#N/A</v>
      </c>
      <c r="CH113" s="318" t="str">
        <f t="shared" si="155"/>
        <v/>
      </c>
      <c r="CI113" s="318" t="e">
        <f>IF($J113="",#N/A,SUM(CH$4:CH113))</f>
        <v>#N/A</v>
      </c>
      <c r="CJ113" s="318" t="e">
        <f>IF($J113="",#N/A,SUM(CH$4:CH113,CF$4:CF113,CD$4:CD113))</f>
        <v>#N/A</v>
      </c>
      <c r="CK113" s="304" t="str">
        <f t="shared" si="156"/>
        <v/>
      </c>
      <c r="CL113" s="316" t="e">
        <f>IF($J113="",#N/A,SUM(CK$4:CK113))</f>
        <v>#N/A</v>
      </c>
      <c r="CM113" s="317" t="str">
        <f t="shared" si="157"/>
        <v/>
      </c>
      <c r="CN113" s="317" t="e">
        <f>IF($J113="",#N/A,SUM(CM$4:CM113))</f>
        <v>#N/A</v>
      </c>
      <c r="CO113" s="318" t="str">
        <f t="shared" si="158"/>
        <v/>
      </c>
      <c r="CP113" s="318" t="e">
        <f>IF($J113="",#N/A,SUM(CO$4:CO113))</f>
        <v>#N/A</v>
      </c>
      <c r="CQ113" s="318" t="e">
        <f>IF($J113="",#N/A,SUM(CO$4:CO113,CM$4:CM113,CK$4:CK113))</f>
        <v>#N/A</v>
      </c>
      <c r="CR113" s="304" t="str">
        <f t="shared" si="159"/>
        <v/>
      </c>
      <c r="CS113" s="316" t="e">
        <f>IF($J113="",#N/A,SUM(CR$4:CR113))</f>
        <v>#N/A</v>
      </c>
      <c r="CT113" s="317" t="str">
        <f t="shared" si="160"/>
        <v/>
      </c>
      <c r="CU113" s="317" t="e">
        <f>IF($J113="",#N/A,SUM(CT$4:CT113))</f>
        <v>#N/A</v>
      </c>
      <c r="CV113" s="318" t="str">
        <f t="shared" si="161"/>
        <v/>
      </c>
      <c r="CW113" s="318" t="e">
        <f>IF($J113="",#N/A,SUM(CV$4:CV113))</f>
        <v>#N/A</v>
      </c>
      <c r="CX113" s="318" t="e">
        <f>IF($J113="",#N/A,SUM(CV$4:CV113,CT$4:CT113,CR$4:CR113))</f>
        <v>#N/A</v>
      </c>
      <c r="CY113" s="304" t="str">
        <f t="shared" si="162"/>
        <v/>
      </c>
      <c r="CZ113" s="316" t="e">
        <f>IF($J113="",#N/A,SUM(CY$4:CY113))</f>
        <v>#N/A</v>
      </c>
      <c r="DA113" s="317" t="str">
        <f t="shared" si="163"/>
        <v/>
      </c>
      <c r="DB113" s="317" t="e">
        <f>IF($J113="",#N/A,SUM(DA$4:DA113))</f>
        <v>#N/A</v>
      </c>
      <c r="DC113" s="318" t="str">
        <f t="shared" si="164"/>
        <v/>
      </c>
      <c r="DD113" s="318" t="e">
        <f>IF($J113="",#N/A,SUM(DC$4:DC113))</f>
        <v>#N/A</v>
      </c>
      <c r="DE113" s="318" t="e">
        <f>IF($J113="",#N/A,SUM(DC$4:DC113,DA$4:DA113,CY$4:CY113))</f>
        <v>#N/A</v>
      </c>
      <c r="DF113" s="304" t="str">
        <f t="shared" si="165"/>
        <v/>
      </c>
      <c r="DG113" s="316" t="e">
        <f>IF($J113="",#N/A,SUM(DF$4:DF113))</f>
        <v>#N/A</v>
      </c>
      <c r="DH113" s="317" t="str">
        <f t="shared" si="166"/>
        <v/>
      </c>
      <c r="DI113" s="317" t="e">
        <f>IF($J113="",#N/A,SUM(DH$4:DH113))</f>
        <v>#N/A</v>
      </c>
      <c r="DJ113" s="318" t="str">
        <f t="shared" si="167"/>
        <v/>
      </c>
      <c r="DK113" s="318" t="e">
        <f>IF($J113="",#N/A,SUM(DJ$4:DJ113))</f>
        <v>#N/A</v>
      </c>
      <c r="DL113" s="318" t="e">
        <f>IF($J113="",#N/A,SUM(DJ$4:DJ113,DH$4:DH113,DF$4:DF113))</f>
        <v>#N/A</v>
      </c>
      <c r="DM113" s="304" t="str">
        <f t="shared" si="168"/>
        <v/>
      </c>
      <c r="DN113" s="316" t="e">
        <f>IF($J113="",#N/A,SUM(DM$4:DM113))</f>
        <v>#N/A</v>
      </c>
      <c r="DO113" s="317" t="str">
        <f t="shared" si="169"/>
        <v/>
      </c>
      <c r="DP113" s="317" t="e">
        <f>IF($J113="",#N/A,SUM(DO$4:DO113))</f>
        <v>#N/A</v>
      </c>
      <c r="DQ113" s="318" t="str">
        <f t="shared" si="170"/>
        <v/>
      </c>
      <c r="DR113" s="318" t="e">
        <f>IF($J113="",#N/A,SUM(DQ$4:DQ113))</f>
        <v>#N/A</v>
      </c>
      <c r="DS113" s="318" t="e">
        <f>IF($J113="",#N/A,SUM(DQ$4:DQ113,DO$4:DO113,DM$4:DM113))</f>
        <v>#N/A</v>
      </c>
      <c r="DT113" s="304" t="str">
        <f t="shared" si="171"/>
        <v/>
      </c>
      <c r="DU113" s="316" t="e">
        <f>IF($J113="",#N/A,SUM(DT$4:DT113))</f>
        <v>#N/A</v>
      </c>
      <c r="DV113" s="317" t="str">
        <f t="shared" si="172"/>
        <v/>
      </c>
      <c r="DW113" s="317" t="e">
        <f>IF($J113="",#N/A,SUM(DV$4:DV113))</f>
        <v>#N/A</v>
      </c>
      <c r="DX113" s="318" t="str">
        <f t="shared" si="173"/>
        <v/>
      </c>
      <c r="DY113" s="318" t="e">
        <f>IF($J113="",#N/A,SUM(DX$4:DX113))</f>
        <v>#N/A</v>
      </c>
      <c r="DZ113" s="318" t="e">
        <f>IF($J113="",#N/A,SUM(DX$4:DX113,DV$4:DV113,DT$4:DT113))</f>
        <v>#N/A</v>
      </c>
      <c r="EA113" s="304" t="str">
        <f t="shared" si="174"/>
        <v/>
      </c>
      <c r="EB113" s="316" t="e">
        <f>IF($J113="",#N/A,SUM(EA$4:EA113))</f>
        <v>#N/A</v>
      </c>
      <c r="EC113" s="317" t="str">
        <f t="shared" si="175"/>
        <v/>
      </c>
      <c r="ED113" s="317" t="e">
        <f>IF($J113="",#N/A,SUM(EC$4:EC113))</f>
        <v>#N/A</v>
      </c>
      <c r="EE113" s="318" t="str">
        <f t="shared" si="176"/>
        <v/>
      </c>
      <c r="EF113" s="318" t="e">
        <f>IF($J113="",#N/A,SUM(EE$4:EE113))</f>
        <v>#N/A</v>
      </c>
      <c r="EG113" s="318" t="e">
        <f>IF($J113="",#N/A,SUM(EE$4:EE113,EC$4:EC113,EA$4:EA113))</f>
        <v>#N/A</v>
      </c>
      <c r="EH113" s="211">
        <f t="shared" si="177"/>
        <v>-1.087912087912116</v>
      </c>
      <c r="EI113" s="63">
        <f>IF(EH113="",#N/A,SUM($EH$4:EH113))</f>
        <v>491.52093152146523</v>
      </c>
      <c r="EJ113" s="223" t="e">
        <f t="shared" si="178"/>
        <v>#N/A</v>
      </c>
      <c r="EK113" s="63" t="e">
        <f>IF($GZ113="",#N/A,SUM(EJ$4:EJ113))</f>
        <v>#N/A</v>
      </c>
      <c r="EL113" s="60">
        <f t="shared" si="209"/>
        <v>-4.5329670329671494E-2</v>
      </c>
      <c r="EM113" s="60">
        <f>IF(EL113="",NA(),SUM($EL$4:EL113))</f>
        <v>18.554396201868236</v>
      </c>
      <c r="EN113" s="60" t="str">
        <f t="shared" si="179"/>
        <v/>
      </c>
      <c r="EO113" s="60" t="e">
        <f>IF(EN113="",NA(),SUM($EN$4:EN113))</f>
        <v>#N/A</v>
      </c>
      <c r="EP113" s="60">
        <f t="shared" si="180"/>
        <v>-4.5329670329671494E-2</v>
      </c>
      <c r="EQ113" s="60">
        <f>IF(EP113="",NA(),SUM($EP$4:EP113))</f>
        <v>8.6151668042395766</v>
      </c>
      <c r="ER113" s="60" t="str">
        <f t="shared" si="181"/>
        <v/>
      </c>
      <c r="ES113" s="60" t="e">
        <f>IF(ER113="",NA(),SUM($ER$4:ER113))</f>
        <v>#N/A</v>
      </c>
      <c r="ET113" s="60" t="str">
        <f t="shared" si="182"/>
        <v/>
      </c>
      <c r="EU113" s="60" t="e">
        <f>IF(ET113="",NA(),SUM($ET$4:ET113))</f>
        <v>#N/A</v>
      </c>
      <c r="EV113" s="60" t="str">
        <f t="shared" si="183"/>
        <v/>
      </c>
      <c r="EW113" s="60" t="e">
        <f>IF(EV113="",NA(),SUM($EV$4:EV113))</f>
        <v>#N/A</v>
      </c>
      <c r="EX113" s="60" t="str">
        <f t="shared" si="184"/>
        <v/>
      </c>
      <c r="EY113" s="60" t="e">
        <f>IF(EX113="",NA(),SUM($EX$4:EX113))</f>
        <v>#N/A</v>
      </c>
      <c r="EZ113" s="60" t="str">
        <f t="shared" si="185"/>
        <v/>
      </c>
      <c r="FA113" s="60" t="e">
        <f>IF(EZ113="",NA(),SUM($EZ$4:EZ113))</f>
        <v>#N/A</v>
      </c>
      <c r="FB113" s="246" t="str">
        <f t="shared" si="210"/>
        <v/>
      </c>
      <c r="FC113" s="246" t="e">
        <f>IF($FB113="",#N/A,SUM(FB$4:$FB113))</f>
        <v>#N/A</v>
      </c>
      <c r="FD113" s="60" t="str">
        <f t="shared" si="186"/>
        <v/>
      </c>
      <c r="FE113" s="60" t="e">
        <f>IF($FD113="",#N/A,SUM($FD$4:FD113))</f>
        <v>#N/A</v>
      </c>
      <c r="FF113" s="60" t="str">
        <f t="shared" si="187"/>
        <v/>
      </c>
      <c r="FG113" s="60" t="e">
        <f>IF($FF113="",#N/A,SUM($FF$4:FF113))</f>
        <v>#N/A</v>
      </c>
      <c r="FH113" s="60" t="str">
        <f t="shared" si="188"/>
        <v/>
      </c>
      <c r="FI113" s="60" t="e">
        <f>IF($FH113="",#N/A,SUM($FH$4:FH113))</f>
        <v>#N/A</v>
      </c>
      <c r="FJ113" s="60" t="str">
        <f t="shared" si="189"/>
        <v/>
      </c>
      <c r="FK113" s="60" t="e">
        <f>IF($FJ113="",#N/A,SUM($FJ$4:FJ113))</f>
        <v>#N/A</v>
      </c>
      <c r="FL113" s="60">
        <f t="shared" si="190"/>
        <v>0.15155677655677616</v>
      </c>
      <c r="FM113" s="60">
        <f>IF($FL113="",#N/A,SUM($FL$4:FL113))</f>
        <v>2.1507692406936409</v>
      </c>
      <c r="FN113" s="82">
        <f t="shared" si="191"/>
        <v>0.10622710622710466</v>
      </c>
      <c r="FO113" s="82">
        <f>IF($FN113="",#N/A,SUM(FN$4:$FN113))</f>
        <v>30.043409946198189</v>
      </c>
      <c r="FP113" s="82">
        <f t="shared" si="211"/>
        <v>-4.5329670329671494E-2</v>
      </c>
      <c r="FQ113" s="246">
        <f>IF($EH113="",#N/A,SUM($FP$4:FP113))</f>
        <v>18.923640249187262</v>
      </c>
      <c r="FR113" s="82">
        <f>IFERROR(FQ113/COUNTA($J$4:J113),#N/A)</f>
        <v>0.17203309317442966</v>
      </c>
      <c r="FS113" s="82">
        <f t="shared" si="223"/>
        <v>1.6265153958390791E-2</v>
      </c>
      <c r="FT113" s="82">
        <f t="shared" si="224"/>
        <v>-2.7399857516804928E-2</v>
      </c>
      <c r="FU113" s="273"/>
      <c r="FV113" s="57" t="str">
        <f t="shared" si="192"/>
        <v>SW</v>
      </c>
      <c r="FW113" s="79" t="s">
        <v>2732</v>
      </c>
      <c r="FX113" s="57" t="str">
        <f t="shared" si="193"/>
        <v/>
      </c>
      <c r="FY113" s="57" t="str">
        <f t="shared" si="194"/>
        <v/>
      </c>
      <c r="FZ113" s="57" t="str">
        <f t="shared" si="195"/>
        <v/>
      </c>
      <c r="GA113" s="57" t="str">
        <f t="shared" si="196"/>
        <v>Long</v>
      </c>
      <c r="GB113" s="57" t="str">
        <f t="shared" si="197"/>
        <v/>
      </c>
      <c r="GC113" s="57" t="str">
        <f t="shared" si="198"/>
        <v/>
      </c>
      <c r="GD113" s="57">
        <f t="shared" si="199"/>
        <v>1</v>
      </c>
      <c r="GE113" s="62">
        <f t="shared" si="114"/>
        <v>364</v>
      </c>
      <c r="GF113" s="62" t="s">
        <v>2779</v>
      </c>
      <c r="GG113" s="99">
        <f>400/I113</f>
        <v>1.098901098901099</v>
      </c>
      <c r="GH113" s="207">
        <f t="shared" si="200"/>
        <v>400.00000000000006</v>
      </c>
      <c r="GI113" s="99">
        <f>GG113</f>
        <v>1.098901098901099</v>
      </c>
      <c r="GJ113" s="98">
        <f>J113</f>
        <v>363.01</v>
      </c>
      <c r="GK113" s="96">
        <f t="shared" si="201"/>
        <v>-1.087912087912116</v>
      </c>
      <c r="GL113" s="63">
        <f t="shared" si="115"/>
        <v>2.549450549450512</v>
      </c>
      <c r="GM113" s="82">
        <f t="shared" si="202"/>
        <v>0.10622710622710466</v>
      </c>
      <c r="GN113" s="82">
        <f>IF($GZ113="",#N/A,SUM(GM$4:GM113))</f>
        <v>12.513317442396797</v>
      </c>
      <c r="GO113" s="82" t="str">
        <f t="shared" si="203"/>
        <v/>
      </c>
      <c r="GP113" s="82">
        <f>IF($GZ113="",#N/A,SUM(GO$4:GO113))</f>
        <v>10.635036056741368</v>
      </c>
      <c r="GQ113" s="82" t="str">
        <f t="shared" si="204"/>
        <v/>
      </c>
      <c r="GR113" s="82">
        <f>IF($GZ113="",#N/A,SUM(GQ$4:GQ113))</f>
        <v>6.2692194926176814</v>
      </c>
      <c r="GS113" s="63" t="e">
        <f t="shared" si="212"/>
        <v>#N/A</v>
      </c>
      <c r="GT113" s="63" t="e">
        <f>IF($GZ113="",#N/A,SUM(GS$4:GS113))</f>
        <v>#N/A</v>
      </c>
      <c r="GU113" s="63" t="str">
        <f t="shared" si="213"/>
        <v/>
      </c>
      <c r="GV113" s="63" t="e">
        <f>IF($GZ113="",#N/A,SUM(GU$4:GU113))</f>
        <v>#N/A</v>
      </c>
      <c r="GW113" s="63" t="str">
        <f t="shared" si="214"/>
        <v/>
      </c>
      <c r="GX113" s="63" t="e">
        <f>IF($GZ113="",#N/A,SUM(GW$4:GW113))</f>
        <v>#N/A</v>
      </c>
      <c r="GY113" s="63" t="e">
        <f>IF(EJ113="",#N/A,SUM($EJ$4:EJ113))</f>
        <v>#N/A</v>
      </c>
      <c r="GZ113" s="159">
        <v>366.32</v>
      </c>
      <c r="HA113" s="63">
        <f t="shared" si="205"/>
        <v>3.637362637362628</v>
      </c>
      <c r="HB113" s="130" t="s">
        <v>4970</v>
      </c>
      <c r="HC113" s="60">
        <f>IFERROR(VLOOKUP(E113,Expectancy!$P$4:$S$19,1+C113,FALSE),"")</f>
        <v>2.40735201201209E-2</v>
      </c>
      <c r="HD113" s="82" t="str">
        <f t="shared" si="206"/>
        <v/>
      </c>
      <c r="HE113" s="60" t="e">
        <f>IF(HD113="",#N/A,SUM($HD$4:HD113))</f>
        <v>#N/A</v>
      </c>
      <c r="HF113" s="85" t="e">
        <f>IF(HD113="",#N/A,IF(HB113="Skip",#N/A,SUM($HG$4:HG113)))</f>
        <v>#N/A</v>
      </c>
      <c r="HG113" s="205" t="str">
        <f t="shared" si="207"/>
        <v/>
      </c>
      <c r="HH113" s="82">
        <f t="shared" si="208"/>
        <v>0.10622710622710466</v>
      </c>
    </row>
    <row r="114" spans="1:216" x14ac:dyDescent="0.25">
      <c r="A114" s="57" t="s">
        <v>1357</v>
      </c>
      <c r="B114" s="58" t="s">
        <v>5160</v>
      </c>
      <c r="C114" s="386">
        <f t="shared" si="118"/>
        <v>2</v>
      </c>
      <c r="D114" s="372" t="str">
        <f>_xlfn.XLOOKUP(A114,[1]SP500!$A$2:$A$502,[1]SP500!$D$2:$D$502,"N")</f>
        <v>Y</v>
      </c>
      <c r="E114" s="57" t="str">
        <f>_xlfn.XLOOKUP(A114,[1]SP500!$A$2:$A$655,[1]SP500!$B$2:$B$655)</f>
        <v>H-INS</v>
      </c>
      <c r="F114" s="59">
        <v>45687</v>
      </c>
      <c r="G114" s="57" t="str">
        <f t="shared" si="119"/>
        <v>BMO</v>
      </c>
      <c r="H114" s="57" t="str">
        <f t="shared" si="120"/>
        <v>s</v>
      </c>
      <c r="I114" s="159">
        <v>303.31</v>
      </c>
      <c r="J114" s="159">
        <v>275</v>
      </c>
      <c r="K114" s="61">
        <f t="shared" si="121"/>
        <v>-9.3336850087369361E-2</v>
      </c>
      <c r="L114" s="87">
        <f t="shared" si="122"/>
        <v>28.310000000000002</v>
      </c>
      <c r="M114" s="130">
        <f t="shared" si="112"/>
        <v>2.0199999999999818</v>
      </c>
      <c r="N114" s="169" t="str">
        <f t="shared" si="123"/>
        <v/>
      </c>
      <c r="O114" s="169">
        <f>IF($J114="",#N/A,SUM($N$4:N114))</f>
        <v>217.68810757134344</v>
      </c>
      <c r="P114" s="174">
        <f t="shared" si="124"/>
        <v>28.310000000000002</v>
      </c>
      <c r="Q114" s="174">
        <f>IF($J114="",#N/A,SUM($P$4:P114))</f>
        <v>100.11646491688089</v>
      </c>
      <c r="R114" s="178" t="str">
        <f t="shared" si="125"/>
        <v/>
      </c>
      <c r="S114" s="178">
        <f>IF($J114="",#N/A,SUM($R$4:R114))</f>
        <v>202.02635903324085</v>
      </c>
      <c r="T114" s="290" t="str">
        <f t="shared" si="126"/>
        <v/>
      </c>
      <c r="U114" s="290">
        <f>IF($J114="",#N/A,SUM($T$4:T114))</f>
        <v>7.7343490944726661</v>
      </c>
      <c r="V114" s="291">
        <f t="shared" si="127"/>
        <v>1.5556141681228228</v>
      </c>
      <c r="W114" s="291">
        <f>IF($J114="",#N/A,SUM($V$4:V114))</f>
        <v>4.2503865709935527</v>
      </c>
      <c r="X114" s="292" t="str">
        <f t="shared" si="128"/>
        <v/>
      </c>
      <c r="Y114" s="283">
        <f>IF($J114="",#N/A,SUM($X$4:X114))</f>
        <v>8.4945187518438505</v>
      </c>
      <c r="Z114" s="304" t="str">
        <f t="shared" si="129"/>
        <v/>
      </c>
      <c r="AA114" s="313" t="e">
        <f>IF($J114="",#N/A,SUM(Z$4:Z114))</f>
        <v>#N/A</v>
      </c>
      <c r="AB114" s="314" t="str">
        <f t="shared" si="130"/>
        <v/>
      </c>
      <c r="AC114" s="314" t="e">
        <f>IF($J114="",#N/A,SUM(AB$4:AB114))</f>
        <v>#N/A</v>
      </c>
      <c r="AD114" s="315" t="str">
        <f t="shared" si="131"/>
        <v/>
      </c>
      <c r="AE114" s="315" t="e">
        <f>IF($J114="",#N/A,SUM(AD$4:AD114))</f>
        <v>#N/A</v>
      </c>
      <c r="AF114" s="315" t="e">
        <f>IF($J114="",#N/A,SUM(AD$4:AD114,AB$4:AB114,Z$4:Z114))</f>
        <v>#N/A</v>
      </c>
      <c r="AG114" s="304" t="str">
        <f t="shared" si="132"/>
        <v/>
      </c>
      <c r="AH114" s="313" t="e">
        <f>IF($J114="",#N/A,SUM(AG$4:AG114))</f>
        <v>#N/A</v>
      </c>
      <c r="AI114" s="314" t="str">
        <f t="shared" si="133"/>
        <v/>
      </c>
      <c r="AJ114" s="314" t="e">
        <f>IF($J114="",#N/A,SUM(AI$4:AI114))</f>
        <v>#N/A</v>
      </c>
      <c r="AK114" s="315" t="str">
        <f t="shared" si="134"/>
        <v/>
      </c>
      <c r="AL114" s="315" t="e">
        <f>IF($J114="",#N/A,SUM(AK$4:AK114))</f>
        <v>#N/A</v>
      </c>
      <c r="AM114" s="315" t="e">
        <f>IF($J114="",#N/A,SUM(AK$4:AK114,AI$4:AI114,AG$4:AG114))</f>
        <v>#N/A</v>
      </c>
      <c r="AN114" s="304" t="str">
        <f t="shared" si="135"/>
        <v/>
      </c>
      <c r="AO114" s="313" t="e">
        <f>IF($J114="",#N/A,SUM(AN$4:AN114))</f>
        <v>#N/A</v>
      </c>
      <c r="AP114" s="314" t="str">
        <f t="shared" si="136"/>
        <v/>
      </c>
      <c r="AQ114" s="314" t="e">
        <f>IF($J114="",#N/A,SUM(AP$4:AP114))</f>
        <v>#N/A</v>
      </c>
      <c r="AR114" s="315" t="str">
        <f t="shared" si="137"/>
        <v/>
      </c>
      <c r="AS114" s="315" t="e">
        <f>IF($J114="",#N/A,SUM(AR$4:AR114))</f>
        <v>#N/A</v>
      </c>
      <c r="AT114" s="315" t="e">
        <f>IF($J114="",#N/A,SUM(AR$4:AR114,AP$4:AP114,AN$4:AN114))</f>
        <v>#N/A</v>
      </c>
      <c r="AU114" s="304" t="str">
        <f t="shared" si="138"/>
        <v/>
      </c>
      <c r="AV114" s="313" t="e">
        <f>IF($J114="",#N/A,SUM(AU$4:AU114))</f>
        <v>#N/A</v>
      </c>
      <c r="AW114" s="314" t="str">
        <f t="shared" si="139"/>
        <v/>
      </c>
      <c r="AX114" s="314" t="e">
        <f>IF($J114="",#N/A,SUM(AW$4:AW114))</f>
        <v>#N/A</v>
      </c>
      <c r="AY114" s="315" t="str">
        <f t="shared" si="140"/>
        <v/>
      </c>
      <c r="AZ114" s="315" t="e">
        <f>IF($J114="",#N/A,SUM(AY$4:AY114))</f>
        <v>#N/A</v>
      </c>
      <c r="BA114" s="315" t="e">
        <f>IF($J114="",#N/A,SUM(AY$4:AY114,AW$4:AW114,AU$4:AU114))</f>
        <v>#N/A</v>
      </c>
      <c r="BB114" s="304" t="str">
        <f t="shared" si="141"/>
        <v/>
      </c>
      <c r="BC114" s="313" t="e">
        <f>IF($J114="",#N/A,SUM(BB$4:BB114))</f>
        <v>#N/A</v>
      </c>
      <c r="BD114" s="314" t="str">
        <f t="shared" si="142"/>
        <v/>
      </c>
      <c r="BE114" s="314" t="e">
        <f>IF($J114="",#N/A,SUM(BD$4:BD114))</f>
        <v>#N/A</v>
      </c>
      <c r="BF114" s="315" t="str">
        <f t="shared" si="143"/>
        <v/>
      </c>
      <c r="BG114" s="315" t="e">
        <f>IF($J114="",#N/A,SUM(BF$4:BF114))</f>
        <v>#N/A</v>
      </c>
      <c r="BH114" s="315" t="e">
        <f>IF($J114="",#N/A,SUM(BF$4:BF114,BD$4:BD114,BB$4:BB114))</f>
        <v>#N/A</v>
      </c>
      <c r="BI114" s="304" t="str">
        <f t="shared" si="144"/>
        <v/>
      </c>
      <c r="BJ114" s="313" t="e">
        <f>IF($J114="",#N/A,SUM(BI$4:BI114))</f>
        <v>#N/A</v>
      </c>
      <c r="BK114" s="314" t="str">
        <f t="shared" si="145"/>
        <v/>
      </c>
      <c r="BL114" s="314" t="e">
        <f>IF($J114="",#N/A,SUM(BK$4:BK114))</f>
        <v>#N/A</v>
      </c>
      <c r="BM114" s="315" t="str">
        <f t="shared" si="146"/>
        <v/>
      </c>
      <c r="BN114" s="315" t="e">
        <f>IF($J114="",#N/A,SUM(BM$4:BM114))</f>
        <v>#N/A</v>
      </c>
      <c r="BO114" s="315" t="e">
        <f>IF($J114="",#N/A,SUM(BM$4:BM114,BK$4:BK114,BI$4:BI114))</f>
        <v>#N/A</v>
      </c>
      <c r="BP114" s="304" t="str">
        <f t="shared" si="147"/>
        <v/>
      </c>
      <c r="BQ114" s="313" t="e">
        <f>IF($J114="",#N/A,SUM(BP$4:BP114))</f>
        <v>#N/A</v>
      </c>
      <c r="BR114" s="314" t="str">
        <f t="shared" si="148"/>
        <v/>
      </c>
      <c r="BS114" s="314" t="e">
        <f>IF($J114="",#N/A,SUM(BR$4:BR114))</f>
        <v>#N/A</v>
      </c>
      <c r="BT114" s="315" t="str">
        <f t="shared" si="149"/>
        <v/>
      </c>
      <c r="BU114" s="315" t="e">
        <f>IF($J114="",#N/A,SUM(BT$4:BT114))</f>
        <v>#N/A</v>
      </c>
      <c r="BV114" s="315" t="e">
        <f>IF($J114="",#N/A,SUM(BT$4:BT114,BR$4:BR114,BP$4:BP114))</f>
        <v>#N/A</v>
      </c>
      <c r="BW114" s="304" t="str">
        <f t="shared" si="150"/>
        <v/>
      </c>
      <c r="BX114" s="313" t="e">
        <f>IF($J114="",#N/A,SUM(BW$4:BW114))</f>
        <v>#N/A</v>
      </c>
      <c r="BY114" s="314" t="str">
        <f t="shared" si="151"/>
        <v/>
      </c>
      <c r="BZ114" s="314" t="e">
        <f>IF($J114="",#N/A,SUM(BY$4:BY114))</f>
        <v>#N/A</v>
      </c>
      <c r="CA114" s="315" t="str">
        <f t="shared" si="152"/>
        <v/>
      </c>
      <c r="CB114" s="315" t="e">
        <f>IF($J114="",#N/A,SUM(CA$4:CA114))</f>
        <v>#N/A</v>
      </c>
      <c r="CC114" s="315" t="e">
        <f>IF($J114="",#N/A,SUM(CA$4:CA114,BY$4:BY114,BW$4:BW114))</f>
        <v>#N/A</v>
      </c>
      <c r="CD114" s="304" t="str">
        <f t="shared" si="153"/>
        <v/>
      </c>
      <c r="CE114" s="313" t="e">
        <f>IF($J114="",#N/A,SUM(CD$4:CD114))</f>
        <v>#N/A</v>
      </c>
      <c r="CF114" s="314" t="str">
        <f t="shared" si="154"/>
        <v/>
      </c>
      <c r="CG114" s="314" t="e">
        <f>IF($J114="",#N/A,SUM(CF$4:CF114))</f>
        <v>#N/A</v>
      </c>
      <c r="CH114" s="315" t="str">
        <f t="shared" si="155"/>
        <v/>
      </c>
      <c r="CI114" s="315" t="e">
        <f>IF($J114="",#N/A,SUM(CH$4:CH114))</f>
        <v>#N/A</v>
      </c>
      <c r="CJ114" s="315" t="e">
        <f>IF($J114="",#N/A,SUM(CH$4:CH114,CF$4:CF114,CD$4:CD114))</f>
        <v>#N/A</v>
      </c>
      <c r="CK114" s="304" t="str">
        <f t="shared" si="156"/>
        <v/>
      </c>
      <c r="CL114" s="313" t="e">
        <f>IF($J114="",#N/A,SUM(CK$4:CK114))</f>
        <v>#N/A</v>
      </c>
      <c r="CM114" s="314" t="str">
        <f t="shared" si="157"/>
        <v/>
      </c>
      <c r="CN114" s="314" t="e">
        <f>IF($J114="",#N/A,SUM(CM$4:CM114))</f>
        <v>#N/A</v>
      </c>
      <c r="CO114" s="315" t="str">
        <f t="shared" si="158"/>
        <v/>
      </c>
      <c r="CP114" s="315" t="e">
        <f>IF($J114="",#N/A,SUM(CO$4:CO114))</f>
        <v>#N/A</v>
      </c>
      <c r="CQ114" s="315" t="e">
        <f>IF($J114="",#N/A,SUM(CO$4:CO114,CM$4:CM114,CK$4:CK114))</f>
        <v>#N/A</v>
      </c>
      <c r="CR114" s="304" t="str">
        <f t="shared" si="159"/>
        <v/>
      </c>
      <c r="CS114" s="313" t="e">
        <f>IF($J114="",#N/A,SUM(CR$4:CR114))</f>
        <v>#N/A</v>
      </c>
      <c r="CT114" s="314" t="str">
        <f t="shared" si="160"/>
        <v/>
      </c>
      <c r="CU114" s="314" t="e">
        <f>IF($J114="",#N/A,SUM(CT$4:CT114))</f>
        <v>#N/A</v>
      </c>
      <c r="CV114" s="315" t="str">
        <f t="shared" si="161"/>
        <v/>
      </c>
      <c r="CW114" s="315" t="e">
        <f>IF($J114="",#N/A,SUM(CV$4:CV114))</f>
        <v>#N/A</v>
      </c>
      <c r="CX114" s="315" t="e">
        <f>IF($J114="",#N/A,SUM(CV$4:CV114,CT$4:CT114,CR$4:CR114))</f>
        <v>#N/A</v>
      </c>
      <c r="CY114" s="304" t="str">
        <f t="shared" si="162"/>
        <v/>
      </c>
      <c r="CZ114" s="313" t="e">
        <f>IF($J114="",#N/A,SUM(CY$4:CY114))</f>
        <v>#N/A</v>
      </c>
      <c r="DA114" s="314" t="str">
        <f t="shared" si="163"/>
        <v/>
      </c>
      <c r="DB114" s="314" t="e">
        <f>IF($J114="",#N/A,SUM(DA$4:DA114))</f>
        <v>#N/A</v>
      </c>
      <c r="DC114" s="315" t="str">
        <f t="shared" si="164"/>
        <v/>
      </c>
      <c r="DD114" s="315" t="e">
        <f>IF($J114="",#N/A,SUM(DC$4:DC114))</f>
        <v>#N/A</v>
      </c>
      <c r="DE114" s="315" t="e">
        <f>IF($J114="",#N/A,SUM(DC$4:DC114,DA$4:DA114,CY$4:CY114))</f>
        <v>#N/A</v>
      </c>
      <c r="DF114" s="304" t="str">
        <f t="shared" si="165"/>
        <v/>
      </c>
      <c r="DG114" s="313" t="e">
        <f>IF($J114="",#N/A,SUM(DF$4:DF114))</f>
        <v>#N/A</v>
      </c>
      <c r="DH114" s="314" t="str">
        <f t="shared" si="166"/>
        <v/>
      </c>
      <c r="DI114" s="314" t="e">
        <f>IF($J114="",#N/A,SUM(DH$4:DH114))</f>
        <v>#N/A</v>
      </c>
      <c r="DJ114" s="315" t="str">
        <f t="shared" si="167"/>
        <v/>
      </c>
      <c r="DK114" s="315" t="e">
        <f>IF($J114="",#N/A,SUM(DJ$4:DJ114))</f>
        <v>#N/A</v>
      </c>
      <c r="DL114" s="315" t="e">
        <f>IF($J114="",#N/A,SUM(DJ$4:DJ114,DH$4:DH114,DF$4:DF114))</f>
        <v>#N/A</v>
      </c>
      <c r="DM114" s="304" t="str">
        <f t="shared" si="168"/>
        <v/>
      </c>
      <c r="DN114" s="313" t="e">
        <f>IF($J114="",#N/A,SUM(DM$4:DM114))</f>
        <v>#N/A</v>
      </c>
      <c r="DO114" s="314" t="str">
        <f t="shared" si="169"/>
        <v/>
      </c>
      <c r="DP114" s="314" t="e">
        <f>IF($J114="",#N/A,SUM(DO$4:DO114))</f>
        <v>#N/A</v>
      </c>
      <c r="DQ114" s="315" t="str">
        <f t="shared" si="170"/>
        <v/>
      </c>
      <c r="DR114" s="315" t="e">
        <f>IF($J114="",#N/A,SUM(DQ$4:DQ114))</f>
        <v>#N/A</v>
      </c>
      <c r="DS114" s="315" t="e">
        <f>IF($J114="",#N/A,SUM(DQ$4:DQ114,DO$4:DO114,DM$4:DM114))</f>
        <v>#N/A</v>
      </c>
      <c r="DT114" s="304" t="str">
        <f t="shared" si="171"/>
        <v/>
      </c>
      <c r="DU114" s="313" t="e">
        <f>IF($J114="",#N/A,SUM(DT$4:DT114))</f>
        <v>#N/A</v>
      </c>
      <c r="DV114" s="314">
        <f t="shared" si="172"/>
        <v>1.5556141681228228</v>
      </c>
      <c r="DW114" s="314" t="e">
        <f>IF($J114="",#N/A,SUM(DV$4:DV114))</f>
        <v>#N/A</v>
      </c>
      <c r="DX114" s="315" t="str">
        <f t="shared" si="173"/>
        <v/>
      </c>
      <c r="DY114" s="315" t="e">
        <f>IF($J114="",#N/A,SUM(DX$4:DX114))</f>
        <v>#N/A</v>
      </c>
      <c r="DZ114" s="315" t="e">
        <f>IF($J114="",#N/A,SUM(DX$4:DX114,DV$4:DV114,DT$4:DT114))</f>
        <v>#N/A</v>
      </c>
      <c r="EA114" s="304" t="str">
        <f t="shared" si="174"/>
        <v/>
      </c>
      <c r="EB114" s="313" t="e">
        <f>IF($J114="",#N/A,SUM(EA$4:EA114))</f>
        <v>#N/A</v>
      </c>
      <c r="EC114" s="314" t="str">
        <f t="shared" si="175"/>
        <v/>
      </c>
      <c r="ED114" s="314" t="e">
        <f>IF($J114="",#N/A,SUM(EC$4:EC114))</f>
        <v>#N/A</v>
      </c>
      <c r="EE114" s="315" t="str">
        <f t="shared" si="176"/>
        <v/>
      </c>
      <c r="EF114" s="315" t="e">
        <f>IF($J114="",#N/A,SUM(EE$4:EE114))</f>
        <v>#N/A</v>
      </c>
      <c r="EG114" s="315" t="e">
        <f>IF($J114="",#N/A,SUM(EE$4:EE114,EC$4:EC114,EA$4:EA114))</f>
        <v>#N/A</v>
      </c>
      <c r="EH114" s="130">
        <f t="shared" si="177"/>
        <v>28.310000000000002</v>
      </c>
      <c r="EI114" s="63">
        <f>IF(EH114="",#N/A,SUM($EH$4:EH114))</f>
        <v>519.83093152146523</v>
      </c>
      <c r="EJ114" s="223" t="e">
        <f t="shared" si="178"/>
        <v>#N/A</v>
      </c>
      <c r="EK114" s="63" t="e">
        <f>IF($GZ114="",#N/A,SUM(EJ$4:EJ114))</f>
        <v>#N/A</v>
      </c>
      <c r="EL114" s="60">
        <f t="shared" si="209"/>
        <v>1.5556141681228228</v>
      </c>
      <c r="EM114" s="60">
        <f>IF(EL114="",NA(),SUM($EL$4:EL114))</f>
        <v>20.110010369991059</v>
      </c>
      <c r="EN114" s="60" t="str">
        <f t="shared" si="179"/>
        <v/>
      </c>
      <c r="EO114" s="60" t="e">
        <f>IF(EN114="",NA(),SUM($EN$4:EN114))</f>
        <v>#N/A</v>
      </c>
      <c r="EP114" s="60" t="str">
        <f t="shared" si="180"/>
        <v/>
      </c>
      <c r="EQ114" s="60" t="e">
        <f>IF(EP114="",NA(),SUM($EP$4:EP114))</f>
        <v>#N/A</v>
      </c>
      <c r="ER114" s="60">
        <f t="shared" si="181"/>
        <v>1.5556141681228228</v>
      </c>
      <c r="ES114" s="60">
        <f>IF(ER114="",NA(),SUM($ER$4:ER114))</f>
        <v>4.2503865709935527</v>
      </c>
      <c r="ET114" s="60" t="str">
        <f t="shared" si="182"/>
        <v/>
      </c>
      <c r="EU114" s="60" t="e">
        <f>IF(ET114="",NA(),SUM($ET$4:ET114))</f>
        <v>#N/A</v>
      </c>
      <c r="EV114" s="60" t="str">
        <f t="shared" si="183"/>
        <v/>
      </c>
      <c r="EW114" s="60" t="e">
        <f>IF(EV114="",NA(),SUM($EV$4:EV114))</f>
        <v>#N/A</v>
      </c>
      <c r="EX114" s="60" t="str">
        <f t="shared" si="184"/>
        <v/>
      </c>
      <c r="EY114" s="60" t="e">
        <f>IF(EX114="",NA(),SUM($EX$4:EX114))</f>
        <v>#N/A</v>
      </c>
      <c r="EZ114" s="60" t="str">
        <f t="shared" si="185"/>
        <v/>
      </c>
      <c r="FA114" s="60" t="e">
        <f>IF(EZ114="",NA(),SUM($EZ$4:EZ114))</f>
        <v>#N/A</v>
      </c>
      <c r="FB114" s="246">
        <f t="shared" si="210"/>
        <v>-0.43849526886683687</v>
      </c>
      <c r="FC114" s="246">
        <f>IF($FB114="",#N/A,SUM(FB$4:$FB114))</f>
        <v>2.5022000652281413</v>
      </c>
      <c r="FD114" s="60" t="str">
        <f t="shared" si="186"/>
        <v/>
      </c>
      <c r="FE114" s="60" t="e">
        <f>IF($FD114="",#N/A,SUM($FD$4:FD114))</f>
        <v>#N/A</v>
      </c>
      <c r="FF114" s="60" t="str">
        <f t="shared" si="187"/>
        <v/>
      </c>
      <c r="FG114" s="60" t="e">
        <f>IF($FF114="",#N/A,SUM($FF$4:FF114))</f>
        <v>#N/A</v>
      </c>
      <c r="FH114" s="60" t="str">
        <f t="shared" si="188"/>
        <v/>
      </c>
      <c r="FI114" s="60" t="e">
        <f>IF($FH114="",#N/A,SUM($FH$4:FH114))</f>
        <v>#N/A</v>
      </c>
      <c r="FJ114" s="60" t="str">
        <f t="shared" si="189"/>
        <v/>
      </c>
      <c r="FK114" s="60" t="e">
        <f>IF($FJ114="",#N/A,SUM($FJ$4:FJ114))</f>
        <v>#N/A</v>
      </c>
      <c r="FL114" s="60" t="str">
        <f t="shared" si="190"/>
        <v/>
      </c>
      <c r="FM114" s="60" t="e">
        <f>IF($FL114="",#N/A,SUM($FL$4:FL114))</f>
        <v>#N/A</v>
      </c>
      <c r="FN114" s="82">
        <f t="shared" si="191"/>
        <v>1.117118899255986</v>
      </c>
      <c r="FO114" s="82">
        <f>IF($FN114="",#N/A,SUM(FN$4:$FN114))</f>
        <v>31.160528845454174</v>
      </c>
      <c r="FP114" s="82">
        <f t="shared" si="211"/>
        <v>1.5556141681228228</v>
      </c>
      <c r="FQ114" s="246">
        <f>IF($EH114="",#N/A,SUM($FP$4:FP114))</f>
        <v>20.479254417310084</v>
      </c>
      <c r="FR114" s="82">
        <f>IFERROR(FQ114/COUNTA($J$4:J114),#N/A)</f>
        <v>0.1844977875433341</v>
      </c>
      <c r="FS114" s="82">
        <f t="shared" si="223"/>
        <v>7.6075865499277182E-2</v>
      </c>
      <c r="FT114" s="82">
        <f t="shared" si="224"/>
        <v>7.0333642960434734E-2</v>
      </c>
      <c r="FU114" s="337">
        <f>IF(AND(HB114="MOC",GZ114=""),#N/A,IFERROR(FQ114-HE114,FQ114-0))-14.53</f>
        <v>7.0096862658059127</v>
      </c>
      <c r="FV114" s="57" t="str">
        <f t="shared" si="192"/>
        <v>Dwn</v>
      </c>
      <c r="FW114" s="57" t="s">
        <v>2733</v>
      </c>
      <c r="FX114" s="57" t="str">
        <f t="shared" si="193"/>
        <v/>
      </c>
      <c r="FY114" s="57" t="str">
        <f t="shared" si="194"/>
        <v/>
      </c>
      <c r="FZ114" s="57" t="str">
        <f t="shared" si="195"/>
        <v/>
      </c>
      <c r="GA114" s="57" t="str">
        <f t="shared" si="196"/>
        <v>Short</v>
      </c>
      <c r="GB114" s="57">
        <f t="shared" si="197"/>
        <v>1</v>
      </c>
      <c r="GC114" s="57" t="str">
        <f t="shared" si="198"/>
        <v/>
      </c>
      <c r="GD114" s="57" t="str">
        <f t="shared" si="199"/>
        <v/>
      </c>
      <c r="GE114" s="62">
        <f t="shared" si="114"/>
        <v>303.31</v>
      </c>
      <c r="GF114" s="62" t="s">
        <v>2780</v>
      </c>
      <c r="GG114" s="199">
        <v>1</v>
      </c>
      <c r="GH114" s="207">
        <f t="shared" si="200"/>
        <v>303.31</v>
      </c>
      <c r="GI114" s="199">
        <v>1</v>
      </c>
      <c r="GJ114" s="200">
        <v>272.98</v>
      </c>
      <c r="GK114" s="63">
        <f t="shared" si="201"/>
        <v>30.329999999999984</v>
      </c>
      <c r="GL114" s="63">
        <f t="shared" si="115"/>
        <v>20.329999999999984</v>
      </c>
      <c r="GM114" s="82" t="str">
        <f t="shared" si="202"/>
        <v/>
      </c>
      <c r="GN114" s="82">
        <f>IF($GZ114="",#N/A,SUM(GM$4:GM114))</f>
        <v>12.513317442396797</v>
      </c>
      <c r="GO114" s="82" t="str">
        <f t="shared" si="203"/>
        <v/>
      </c>
      <c r="GP114" s="82">
        <f>IF($GZ114="",#N/A,SUM(GO$4:GO114))</f>
        <v>10.635036056741368</v>
      </c>
      <c r="GQ114" s="82">
        <f t="shared" si="204"/>
        <v>1.117118899255986</v>
      </c>
      <c r="GR114" s="82">
        <f>IF($GZ114="",#N/A,SUM(GQ$4:GQ114))</f>
        <v>7.3863383918736671</v>
      </c>
      <c r="GS114" s="63" t="str">
        <f t="shared" si="212"/>
        <v/>
      </c>
      <c r="GT114" s="63" t="e">
        <f>IF($GZ114="",#N/A,SUM(GS$4:GS114))</f>
        <v>#N/A</v>
      </c>
      <c r="GU114" s="63" t="str">
        <f t="shared" si="213"/>
        <v/>
      </c>
      <c r="GV114" s="63" t="e">
        <f>IF($GZ114="",#N/A,SUM(GU$4:GU114))</f>
        <v>#N/A</v>
      </c>
      <c r="GW114" s="63" t="e">
        <f t="shared" si="214"/>
        <v>#N/A</v>
      </c>
      <c r="GX114" s="63" t="e">
        <f>IF($GZ114="",#N/A,SUM(GW$4:GW114))</f>
        <v>#N/A</v>
      </c>
      <c r="GY114" s="63" t="e">
        <f>IF(EJ114="",#N/A,SUM($EJ$4:EJ114))</f>
        <v>#N/A</v>
      </c>
      <c r="GZ114" s="159">
        <v>282.98</v>
      </c>
      <c r="HA114" s="63">
        <f t="shared" si="205"/>
        <v>-7.9800000000000182</v>
      </c>
      <c r="HB114" s="62" t="s">
        <v>2538</v>
      </c>
      <c r="HC114" s="60">
        <f>IFERROR(VLOOKUP(E114,Expectancy!$P$4:$S$19,1+C114,FALSE),"")</f>
        <v>0.50993626802888359</v>
      </c>
      <c r="HD114" s="82">
        <f t="shared" si="206"/>
        <v>1.6666117173848529</v>
      </c>
      <c r="HE114" s="60">
        <f>IF(HD114="",#N/A,SUM($HD$4:HD114))</f>
        <v>-1.0604318484958286</v>
      </c>
      <c r="HF114" s="85">
        <f>IF(HD114="",#N/A,IF(HB114="Skip",#N/A,SUM($HG$4:HG114)))</f>
        <v>-13.520000000000039</v>
      </c>
      <c r="HG114" s="63">
        <f t="shared" si="207"/>
        <v>30.329999999999984</v>
      </c>
      <c r="HH114" s="82">
        <f t="shared" si="208"/>
        <v>1.117118899255986</v>
      </c>
    </row>
    <row r="115" spans="1:216" x14ac:dyDescent="0.25">
      <c r="A115" s="57" t="s">
        <v>1360</v>
      </c>
      <c r="B115" s="58" t="s">
        <v>5163</v>
      </c>
      <c r="C115" s="386">
        <f t="shared" si="118"/>
        <v>3</v>
      </c>
      <c r="D115" s="372" t="str">
        <f>_xlfn.XLOOKUP(A115,[1]SP500!$A$2:$A$502,[1]SP500!$D$2:$D$502,"N")</f>
        <v>Y</v>
      </c>
      <c r="E115" s="57" t="str">
        <f>_xlfn.XLOOKUP(A115,[1]SP500!$A$2:$A$655,[1]SP500!$B$2:$B$655)</f>
        <v>XLI</v>
      </c>
      <c r="F115" s="59">
        <v>45687</v>
      </c>
      <c r="G115" s="57" t="str">
        <f t="shared" si="119"/>
        <v>BMO</v>
      </c>
      <c r="H115" s="57" t="str">
        <f t="shared" si="120"/>
        <v>o</v>
      </c>
      <c r="I115" s="162">
        <v>665.81</v>
      </c>
      <c r="J115" s="159">
        <v>689.4</v>
      </c>
      <c r="K115" s="93">
        <f t="shared" si="121"/>
        <v>3.5430528228774023E-2</v>
      </c>
      <c r="L115" s="87">
        <f t="shared" si="122"/>
        <v>14.172211291509598</v>
      </c>
      <c r="M115" s="214" t="e">
        <f t="shared" si="112"/>
        <v>#N/A</v>
      </c>
      <c r="N115" s="168" t="str">
        <f t="shared" si="123"/>
        <v/>
      </c>
      <c r="O115" s="168">
        <f>IF($J115="",#N/A,SUM($N$4:N115))</f>
        <v>217.68810757134344</v>
      </c>
      <c r="P115" s="173" t="str">
        <f t="shared" si="124"/>
        <v/>
      </c>
      <c r="Q115" s="173">
        <f>IF($J115="",#N/A,SUM($P$4:P115))</f>
        <v>100.11646491688089</v>
      </c>
      <c r="R115" s="177">
        <f t="shared" si="125"/>
        <v>14.172211291509598</v>
      </c>
      <c r="S115" s="177">
        <f>IF($J115="",#N/A,SUM($R$4:R115))</f>
        <v>216.19857032475045</v>
      </c>
      <c r="T115" s="293" t="str">
        <f t="shared" si="126"/>
        <v/>
      </c>
      <c r="U115" s="293">
        <f>IF($J115="",#N/A,SUM($T$4:T115))</f>
        <v>7.7343490944726661</v>
      </c>
      <c r="V115" s="294" t="str">
        <f t="shared" si="127"/>
        <v/>
      </c>
      <c r="W115" s="294">
        <f>IF($J115="",#N/A,SUM($V$4:V115))</f>
        <v>4.2503865709935527</v>
      </c>
      <c r="X115" s="295">
        <f t="shared" si="128"/>
        <v>0.59050880381289994</v>
      </c>
      <c r="Y115" s="283">
        <f>IF($J115="",#N/A,SUM($X$4:X115))</f>
        <v>9.085027555656751</v>
      </c>
      <c r="Z115" s="304" t="str">
        <f t="shared" si="129"/>
        <v/>
      </c>
      <c r="AA115" s="316" t="e">
        <f>IF($J115="",#N/A,SUM(Z$4:Z115))</f>
        <v>#N/A</v>
      </c>
      <c r="AB115" s="317" t="str">
        <f t="shared" si="130"/>
        <v/>
      </c>
      <c r="AC115" s="317" t="e">
        <f>IF($J115="",#N/A,SUM(AB$4:AB115))</f>
        <v>#N/A</v>
      </c>
      <c r="AD115" s="318" t="str">
        <f t="shared" si="131"/>
        <v/>
      </c>
      <c r="AE115" s="318" t="e">
        <f>IF($J115="",#N/A,SUM(AD$4:AD115))</f>
        <v>#N/A</v>
      </c>
      <c r="AF115" s="318" t="e">
        <f>IF($J115="",#N/A,SUM(AD$4:AD115,AB$4:AB115,Z$4:Z115))</f>
        <v>#N/A</v>
      </c>
      <c r="AG115" s="304" t="str">
        <f t="shared" si="132"/>
        <v/>
      </c>
      <c r="AH115" s="316" t="e">
        <f>IF($J115="",#N/A,SUM(AG$4:AG115))</f>
        <v>#N/A</v>
      </c>
      <c r="AI115" s="317" t="str">
        <f t="shared" si="133"/>
        <v/>
      </c>
      <c r="AJ115" s="317" t="e">
        <f>IF($J115="",#N/A,SUM(AI$4:AI115))</f>
        <v>#N/A</v>
      </c>
      <c r="AK115" s="318" t="str">
        <f t="shared" si="134"/>
        <v/>
      </c>
      <c r="AL115" s="318" t="e">
        <f>IF($J115="",#N/A,SUM(AK$4:AK115))</f>
        <v>#N/A</v>
      </c>
      <c r="AM115" s="318" t="e">
        <f>IF($J115="",#N/A,SUM(AK$4:AK115,AI$4:AI115,AG$4:AG115))</f>
        <v>#N/A</v>
      </c>
      <c r="AN115" s="304" t="str">
        <f t="shared" si="135"/>
        <v/>
      </c>
      <c r="AO115" s="316" t="e">
        <f>IF($J115="",#N/A,SUM(AN$4:AN115))</f>
        <v>#N/A</v>
      </c>
      <c r="AP115" s="317" t="str">
        <f t="shared" si="136"/>
        <v/>
      </c>
      <c r="AQ115" s="317" t="e">
        <f>IF($J115="",#N/A,SUM(AP$4:AP115))</f>
        <v>#N/A</v>
      </c>
      <c r="AR115" s="318" t="str">
        <f t="shared" si="137"/>
        <v/>
      </c>
      <c r="AS115" s="318" t="e">
        <f>IF($J115="",#N/A,SUM(AR$4:AR115))</f>
        <v>#N/A</v>
      </c>
      <c r="AT115" s="318" t="e">
        <f>IF($J115="",#N/A,SUM(AR$4:AR115,AP$4:AP115,AN$4:AN115))</f>
        <v>#N/A</v>
      </c>
      <c r="AU115" s="304" t="str">
        <f t="shared" si="138"/>
        <v/>
      </c>
      <c r="AV115" s="316" t="e">
        <f>IF($J115="",#N/A,SUM(AU$4:AU115))</f>
        <v>#N/A</v>
      </c>
      <c r="AW115" s="317" t="str">
        <f t="shared" si="139"/>
        <v/>
      </c>
      <c r="AX115" s="317" t="e">
        <f>IF($J115="",#N/A,SUM(AW$4:AW115))</f>
        <v>#N/A</v>
      </c>
      <c r="AY115" s="318" t="str">
        <f t="shared" si="140"/>
        <v/>
      </c>
      <c r="AZ115" s="318" t="e">
        <f>IF($J115="",#N/A,SUM(AY$4:AY115))</f>
        <v>#N/A</v>
      </c>
      <c r="BA115" s="318" t="e">
        <f>IF($J115="",#N/A,SUM(AY$4:AY115,AW$4:AW115,AU$4:AU115))</f>
        <v>#N/A</v>
      </c>
      <c r="BB115" s="304" t="str">
        <f t="shared" si="141"/>
        <v/>
      </c>
      <c r="BC115" s="316" t="e">
        <f>IF($J115="",#N/A,SUM(BB$4:BB115))</f>
        <v>#N/A</v>
      </c>
      <c r="BD115" s="317" t="str">
        <f t="shared" si="142"/>
        <v/>
      </c>
      <c r="BE115" s="317" t="e">
        <f>IF($J115="",#N/A,SUM(BD$4:BD115))</f>
        <v>#N/A</v>
      </c>
      <c r="BF115" s="318" t="str">
        <f t="shared" si="143"/>
        <v/>
      </c>
      <c r="BG115" s="318" t="e">
        <f>IF($J115="",#N/A,SUM(BF$4:BF115))</f>
        <v>#N/A</v>
      </c>
      <c r="BH115" s="318" t="e">
        <f>IF($J115="",#N/A,SUM(BF$4:BF115,BD$4:BD115,BB$4:BB115))</f>
        <v>#N/A</v>
      </c>
      <c r="BI115" s="304" t="str">
        <f t="shared" si="144"/>
        <v/>
      </c>
      <c r="BJ115" s="316" t="e">
        <f>IF($J115="",#N/A,SUM(BI$4:BI115))</f>
        <v>#N/A</v>
      </c>
      <c r="BK115" s="317" t="str">
        <f t="shared" si="145"/>
        <v/>
      </c>
      <c r="BL115" s="317" t="e">
        <f>IF($J115="",#N/A,SUM(BK$4:BK115))</f>
        <v>#N/A</v>
      </c>
      <c r="BM115" s="318" t="str">
        <f t="shared" si="146"/>
        <v/>
      </c>
      <c r="BN115" s="318" t="e">
        <f>IF($J115="",#N/A,SUM(BM$4:BM115))</f>
        <v>#N/A</v>
      </c>
      <c r="BO115" s="318" t="e">
        <f>IF($J115="",#N/A,SUM(BM$4:BM115,BK$4:BK115,BI$4:BI115))</f>
        <v>#N/A</v>
      </c>
      <c r="BP115" s="304" t="str">
        <f t="shared" si="147"/>
        <v/>
      </c>
      <c r="BQ115" s="316" t="e">
        <f>IF($J115="",#N/A,SUM(BP$4:BP115))</f>
        <v>#N/A</v>
      </c>
      <c r="BR115" s="317" t="str">
        <f t="shared" si="148"/>
        <v/>
      </c>
      <c r="BS115" s="317" t="e">
        <f>IF($J115="",#N/A,SUM(BR$4:BR115))</f>
        <v>#N/A</v>
      </c>
      <c r="BT115" s="318">
        <f t="shared" si="149"/>
        <v>0.59050880381289994</v>
      </c>
      <c r="BU115" s="318" t="e">
        <f>IF($J115="",#N/A,SUM(BT$4:BT115))</f>
        <v>#N/A</v>
      </c>
      <c r="BV115" s="318" t="e">
        <f>IF($J115="",#N/A,SUM(BT$4:BT115,BR$4:BR115,BP$4:BP115))</f>
        <v>#N/A</v>
      </c>
      <c r="BW115" s="304" t="str">
        <f t="shared" si="150"/>
        <v/>
      </c>
      <c r="BX115" s="316" t="e">
        <f>IF($J115="",#N/A,SUM(BW$4:BW115))</f>
        <v>#N/A</v>
      </c>
      <c r="BY115" s="317" t="str">
        <f t="shared" si="151"/>
        <v/>
      </c>
      <c r="BZ115" s="317" t="e">
        <f>IF($J115="",#N/A,SUM(BY$4:BY115))</f>
        <v>#N/A</v>
      </c>
      <c r="CA115" s="318" t="str">
        <f t="shared" si="152"/>
        <v/>
      </c>
      <c r="CB115" s="318" t="e">
        <f>IF($J115="",#N/A,SUM(CA$4:CA115))</f>
        <v>#N/A</v>
      </c>
      <c r="CC115" s="318" t="e">
        <f>IF($J115="",#N/A,SUM(CA$4:CA115,BY$4:BY115,BW$4:BW115))</f>
        <v>#N/A</v>
      </c>
      <c r="CD115" s="304" t="str">
        <f t="shared" si="153"/>
        <v/>
      </c>
      <c r="CE115" s="316" t="e">
        <f>IF($J115="",#N/A,SUM(CD$4:CD115))</f>
        <v>#N/A</v>
      </c>
      <c r="CF115" s="317" t="str">
        <f t="shared" si="154"/>
        <v/>
      </c>
      <c r="CG115" s="317" t="e">
        <f>IF($J115="",#N/A,SUM(CF$4:CF115))</f>
        <v>#N/A</v>
      </c>
      <c r="CH115" s="318" t="str">
        <f t="shared" si="155"/>
        <v/>
      </c>
      <c r="CI115" s="318" t="e">
        <f>IF($J115="",#N/A,SUM(CH$4:CH115))</f>
        <v>#N/A</v>
      </c>
      <c r="CJ115" s="318" t="e">
        <f>IF($J115="",#N/A,SUM(CH$4:CH115,CF$4:CF115,CD$4:CD115))</f>
        <v>#N/A</v>
      </c>
      <c r="CK115" s="304" t="str">
        <f t="shared" si="156"/>
        <v/>
      </c>
      <c r="CL115" s="316" t="e">
        <f>IF($J115="",#N/A,SUM(CK$4:CK115))</f>
        <v>#N/A</v>
      </c>
      <c r="CM115" s="317" t="str">
        <f t="shared" si="157"/>
        <v/>
      </c>
      <c r="CN115" s="317" t="e">
        <f>IF($J115="",#N/A,SUM(CM$4:CM115))</f>
        <v>#N/A</v>
      </c>
      <c r="CO115" s="318" t="str">
        <f t="shared" si="158"/>
        <v/>
      </c>
      <c r="CP115" s="318" t="e">
        <f>IF($J115="",#N/A,SUM(CO$4:CO115))</f>
        <v>#N/A</v>
      </c>
      <c r="CQ115" s="318" t="e">
        <f>IF($J115="",#N/A,SUM(CO$4:CO115,CM$4:CM115,CK$4:CK115))</f>
        <v>#N/A</v>
      </c>
      <c r="CR115" s="304" t="str">
        <f t="shared" si="159"/>
        <v/>
      </c>
      <c r="CS115" s="316" t="e">
        <f>IF($J115="",#N/A,SUM(CR$4:CR115))</f>
        <v>#N/A</v>
      </c>
      <c r="CT115" s="317" t="str">
        <f t="shared" si="160"/>
        <v/>
      </c>
      <c r="CU115" s="317" t="e">
        <f>IF($J115="",#N/A,SUM(CT$4:CT115))</f>
        <v>#N/A</v>
      </c>
      <c r="CV115" s="318" t="str">
        <f t="shared" si="161"/>
        <v/>
      </c>
      <c r="CW115" s="318" t="e">
        <f>IF($J115="",#N/A,SUM(CV$4:CV115))</f>
        <v>#N/A</v>
      </c>
      <c r="CX115" s="318" t="e">
        <f>IF($J115="",#N/A,SUM(CV$4:CV115,CT$4:CT115,CR$4:CR115))</f>
        <v>#N/A</v>
      </c>
      <c r="CY115" s="304" t="str">
        <f t="shared" si="162"/>
        <v/>
      </c>
      <c r="CZ115" s="316" t="e">
        <f>IF($J115="",#N/A,SUM(CY$4:CY115))</f>
        <v>#N/A</v>
      </c>
      <c r="DA115" s="317" t="str">
        <f t="shared" si="163"/>
        <v/>
      </c>
      <c r="DB115" s="317" t="e">
        <f>IF($J115="",#N/A,SUM(DA$4:DA115))</f>
        <v>#N/A</v>
      </c>
      <c r="DC115" s="318" t="str">
        <f t="shared" si="164"/>
        <v/>
      </c>
      <c r="DD115" s="318" t="e">
        <f>IF($J115="",#N/A,SUM(DC$4:DC115))</f>
        <v>#N/A</v>
      </c>
      <c r="DE115" s="318" t="e">
        <f>IF($J115="",#N/A,SUM(DC$4:DC115,DA$4:DA115,CY$4:CY115))</f>
        <v>#N/A</v>
      </c>
      <c r="DF115" s="304" t="str">
        <f t="shared" si="165"/>
        <v/>
      </c>
      <c r="DG115" s="316" t="e">
        <f>IF($J115="",#N/A,SUM(DF$4:DF115))</f>
        <v>#N/A</v>
      </c>
      <c r="DH115" s="317" t="str">
        <f t="shared" si="166"/>
        <v/>
      </c>
      <c r="DI115" s="317" t="e">
        <f>IF($J115="",#N/A,SUM(DH$4:DH115))</f>
        <v>#N/A</v>
      </c>
      <c r="DJ115" s="318" t="str">
        <f t="shared" si="167"/>
        <v/>
      </c>
      <c r="DK115" s="318" t="e">
        <f>IF($J115="",#N/A,SUM(DJ$4:DJ115))</f>
        <v>#N/A</v>
      </c>
      <c r="DL115" s="318" t="e">
        <f>IF($J115="",#N/A,SUM(DJ$4:DJ115,DH$4:DH115,DF$4:DF115))</f>
        <v>#N/A</v>
      </c>
      <c r="DM115" s="304" t="str">
        <f t="shared" si="168"/>
        <v/>
      </c>
      <c r="DN115" s="316" t="e">
        <f>IF($J115="",#N/A,SUM(DM$4:DM115))</f>
        <v>#N/A</v>
      </c>
      <c r="DO115" s="317" t="str">
        <f t="shared" si="169"/>
        <v/>
      </c>
      <c r="DP115" s="317" t="e">
        <f>IF($J115="",#N/A,SUM(DO$4:DO115))</f>
        <v>#N/A</v>
      </c>
      <c r="DQ115" s="318" t="str">
        <f t="shared" si="170"/>
        <v/>
      </c>
      <c r="DR115" s="318" t="e">
        <f>IF($J115="",#N/A,SUM(DQ$4:DQ115))</f>
        <v>#N/A</v>
      </c>
      <c r="DS115" s="318" t="e">
        <f>IF($J115="",#N/A,SUM(DQ$4:DQ115,DO$4:DO115,DM$4:DM115))</f>
        <v>#N/A</v>
      </c>
      <c r="DT115" s="304" t="str">
        <f t="shared" si="171"/>
        <v/>
      </c>
      <c r="DU115" s="316" t="e">
        <f>IF($J115="",#N/A,SUM(DT$4:DT115))</f>
        <v>#N/A</v>
      </c>
      <c r="DV115" s="317" t="str">
        <f t="shared" si="172"/>
        <v/>
      </c>
      <c r="DW115" s="317" t="e">
        <f>IF($J115="",#N/A,SUM(DV$4:DV115))</f>
        <v>#N/A</v>
      </c>
      <c r="DX115" s="318" t="str">
        <f t="shared" si="173"/>
        <v/>
      </c>
      <c r="DY115" s="318" t="e">
        <f>IF($J115="",#N/A,SUM(DX$4:DX115))</f>
        <v>#N/A</v>
      </c>
      <c r="DZ115" s="318" t="e">
        <f>IF($J115="",#N/A,SUM(DX$4:DX115,DV$4:DV115,DT$4:DT115))</f>
        <v>#N/A</v>
      </c>
      <c r="EA115" s="304" t="str">
        <f t="shared" si="174"/>
        <v/>
      </c>
      <c r="EB115" s="316" t="e">
        <f>IF($J115="",#N/A,SUM(EA$4:EA115))</f>
        <v>#N/A</v>
      </c>
      <c r="EC115" s="317" t="str">
        <f t="shared" si="175"/>
        <v/>
      </c>
      <c r="ED115" s="317" t="e">
        <f>IF($J115="",#N/A,SUM(EC$4:EC115))</f>
        <v>#N/A</v>
      </c>
      <c r="EE115" s="318" t="str">
        <f t="shared" si="176"/>
        <v/>
      </c>
      <c r="EF115" s="318" t="e">
        <f>IF($J115="",#N/A,SUM(EE$4:EE115))</f>
        <v>#N/A</v>
      </c>
      <c r="EG115" s="318" t="e">
        <f>IF($J115="",#N/A,SUM(EE$4:EE115,EC$4:EC115,EA$4:EA115))</f>
        <v>#N/A</v>
      </c>
      <c r="EH115" s="211">
        <f t="shared" si="177"/>
        <v>14.172211291509598</v>
      </c>
      <c r="EI115" s="63">
        <f>IF(EH115="",#N/A,SUM($EH$4:EH115))</f>
        <v>534.00314281297483</v>
      </c>
      <c r="EJ115" s="223" t="e">
        <f t="shared" si="178"/>
        <v>#N/A</v>
      </c>
      <c r="EK115" s="63" t="e">
        <f>IF($GZ115="",#N/A,SUM(EJ$4:EJ115))</f>
        <v>#N/A</v>
      </c>
      <c r="EL115" s="60">
        <f t="shared" si="209"/>
        <v>0.59050880381289994</v>
      </c>
      <c r="EM115" s="60">
        <f>IF(EL115="",NA(),SUM($EL$4:EL115))</f>
        <v>20.700519173803958</v>
      </c>
      <c r="EN115" s="60" t="str">
        <f t="shared" si="179"/>
        <v/>
      </c>
      <c r="EO115" s="60" t="e">
        <f>IF(EN115="",NA(),SUM($EN$4:EN115))</f>
        <v>#N/A</v>
      </c>
      <c r="EP115" s="60">
        <f t="shared" si="180"/>
        <v>0.59050880381289994</v>
      </c>
      <c r="EQ115" s="60">
        <f>IF(EP115="",NA(),SUM($EP$4:EP115))</f>
        <v>9.2056756080524771</v>
      </c>
      <c r="ER115" s="60" t="str">
        <f t="shared" si="181"/>
        <v/>
      </c>
      <c r="ES115" s="60" t="e">
        <f>IF(ER115="",NA(),SUM($ER$4:ER115))</f>
        <v>#N/A</v>
      </c>
      <c r="ET115" s="60" t="str">
        <f t="shared" si="182"/>
        <v/>
      </c>
      <c r="EU115" s="60" t="e">
        <f>IF(ET115="",NA(),SUM($ET$4:ET115))</f>
        <v>#N/A</v>
      </c>
      <c r="EV115" s="60" t="str">
        <f t="shared" si="183"/>
        <v/>
      </c>
      <c r="EW115" s="60" t="e">
        <f>IF(EV115="",NA(),SUM($EV$4:EV115))</f>
        <v>#N/A</v>
      </c>
      <c r="EX115" s="60" t="str">
        <f t="shared" si="184"/>
        <v/>
      </c>
      <c r="EY115" s="60" t="e">
        <f>IF(EX115="",NA(),SUM($EX$4:EX115))</f>
        <v>#N/A</v>
      </c>
      <c r="EZ115" s="60" t="str">
        <f t="shared" si="185"/>
        <v/>
      </c>
      <c r="FA115" s="60" t="e">
        <f>IF(EZ115="",NA(),SUM($EZ$4:EZ115))</f>
        <v>#N/A</v>
      </c>
      <c r="FB115" s="246" t="str">
        <f t="shared" si="210"/>
        <v/>
      </c>
      <c r="FC115" s="246" t="e">
        <f>IF($FB115="",#N/A,SUM(FB$4:$FB115))</f>
        <v>#N/A</v>
      </c>
      <c r="FD115" s="60" t="str">
        <f t="shared" si="186"/>
        <v/>
      </c>
      <c r="FE115" s="60" t="e">
        <f>IF($FD115="",#N/A,SUM($FD$4:FD115))</f>
        <v>#N/A</v>
      </c>
      <c r="FF115" s="60" t="str">
        <f t="shared" si="187"/>
        <v/>
      </c>
      <c r="FG115" s="60" t="e">
        <f>IF($FF115="",#N/A,SUM($FF$4:FF115))</f>
        <v>#N/A</v>
      </c>
      <c r="FH115" s="60" t="str">
        <f t="shared" si="188"/>
        <v/>
      </c>
      <c r="FI115" s="60" t="e">
        <f>IF($FH115="",#N/A,SUM($FH$4:FH115))</f>
        <v>#N/A</v>
      </c>
      <c r="FJ115" s="60">
        <f t="shared" si="189"/>
        <v>0.36271609017587514</v>
      </c>
      <c r="FK115" s="60">
        <f>IF($FJ115="",#N/A,SUM($FJ$4:FJ115))</f>
        <v>2.2307455400351817</v>
      </c>
      <c r="FL115" s="60" t="str">
        <f t="shared" si="190"/>
        <v/>
      </c>
      <c r="FM115" s="60" t="e">
        <f>IF($FL115="",#N/A,SUM($FL$4:FL115))</f>
        <v>#N/A</v>
      </c>
      <c r="FN115" s="82">
        <f t="shared" si="191"/>
        <v>0.95322489398877508</v>
      </c>
      <c r="FO115" s="82">
        <f>IF($FN115="",#N/A,SUM(FN$4:$FN115))</f>
        <v>32.113753739442949</v>
      </c>
      <c r="FP115" s="82">
        <f t="shared" si="211"/>
        <v>0.59050880381289994</v>
      </c>
      <c r="FQ115" s="246">
        <f>IF($EH115="",#N/A,SUM($FP$4:FP115))</f>
        <v>21.069763221122983</v>
      </c>
      <c r="FR115" s="82">
        <f>IFERROR(FQ115/COUNTA($J$4:J115),#N/A)</f>
        <v>0.18812288590288379</v>
      </c>
      <c r="FS115" s="82">
        <f t="shared" si="223"/>
        <v>0.10127490634041514</v>
      </c>
      <c r="FT115" s="82">
        <f t="shared" si="224"/>
        <v>6.2757356137682477E-2</v>
      </c>
      <c r="FU115" s="273"/>
      <c r="FV115" s="57" t="str">
        <f t="shared" si="192"/>
        <v>SW</v>
      </c>
      <c r="FW115" s="79" t="s">
        <v>2732</v>
      </c>
      <c r="FX115" s="57" t="str">
        <f t="shared" si="193"/>
        <v/>
      </c>
      <c r="FY115" s="57" t="str">
        <f t="shared" si="194"/>
        <v/>
      </c>
      <c r="FZ115" s="57">
        <f t="shared" si="195"/>
        <v>1</v>
      </c>
      <c r="GA115" s="57" t="str">
        <f t="shared" si="196"/>
        <v>Long</v>
      </c>
      <c r="GB115" s="57" t="str">
        <f t="shared" si="197"/>
        <v/>
      </c>
      <c r="GC115" s="57" t="str">
        <f t="shared" si="198"/>
        <v/>
      </c>
      <c r="GD115" s="57" t="str">
        <f t="shared" si="199"/>
        <v/>
      </c>
      <c r="GE115" s="62">
        <f t="shared" si="114"/>
        <v>665.81</v>
      </c>
      <c r="GF115" s="95" t="s">
        <v>2779</v>
      </c>
      <c r="GG115" s="99">
        <f>400/I115</f>
        <v>0.60077199200973253</v>
      </c>
      <c r="GH115" s="207">
        <f t="shared" si="200"/>
        <v>400</v>
      </c>
      <c r="GI115" s="99">
        <f>GG115</f>
        <v>0.60077199200973253</v>
      </c>
      <c r="GJ115" s="98">
        <f>J115</f>
        <v>689.4</v>
      </c>
      <c r="GK115" s="96">
        <f t="shared" si="201"/>
        <v>14.172211291509598</v>
      </c>
      <c r="GL115" s="63">
        <f t="shared" si="115"/>
        <v>22.877397455730602</v>
      </c>
      <c r="GM115" s="82">
        <f t="shared" si="202"/>
        <v>0.95322489398877508</v>
      </c>
      <c r="GN115" s="82">
        <f>IF($GZ115="",#N/A,SUM(GM$4:GM115))</f>
        <v>13.466542336385572</v>
      </c>
      <c r="GO115" s="82" t="str">
        <f t="shared" si="203"/>
        <v/>
      </c>
      <c r="GP115" s="82">
        <f>IF($GZ115="",#N/A,SUM(GO$4:GO115))</f>
        <v>10.635036056741368</v>
      </c>
      <c r="GQ115" s="82" t="str">
        <f t="shared" si="204"/>
        <v/>
      </c>
      <c r="GR115" s="82">
        <f>IF($GZ115="",#N/A,SUM(GQ$4:GQ115))</f>
        <v>7.3863383918736671</v>
      </c>
      <c r="GS115" s="63" t="e">
        <f t="shared" si="212"/>
        <v>#N/A</v>
      </c>
      <c r="GT115" s="63" t="e">
        <f>IF($GZ115="",#N/A,SUM(GS$4:GS115))</f>
        <v>#N/A</v>
      </c>
      <c r="GU115" s="63" t="str">
        <f t="shared" si="213"/>
        <v/>
      </c>
      <c r="GV115" s="63" t="e">
        <f>IF($GZ115="",#N/A,SUM(GU$4:GU115))</f>
        <v>#N/A</v>
      </c>
      <c r="GW115" s="63" t="str">
        <f t="shared" si="214"/>
        <v/>
      </c>
      <c r="GX115" s="63" t="e">
        <f>IF($GZ115="",#N/A,SUM(GW$4:GW115))</f>
        <v>#N/A</v>
      </c>
      <c r="GY115" s="63" t="e">
        <f>IF(EJ115="",#N/A,SUM($EJ$4:EJ115))</f>
        <v>#N/A</v>
      </c>
      <c r="GZ115" s="159">
        <v>703.89</v>
      </c>
      <c r="HA115" s="63">
        <f t="shared" si="205"/>
        <v>8.7051861642210042</v>
      </c>
      <c r="HB115" s="130" t="s">
        <v>4970</v>
      </c>
      <c r="HC115" s="60">
        <f>IFERROR(VLOOKUP(E115,Expectancy!$P$4:$S$19,1+C115,FALSE),"")</f>
        <v>2.40735201201209E-2</v>
      </c>
      <c r="HD115" s="82" t="str">
        <f t="shared" si="206"/>
        <v/>
      </c>
      <c r="HE115" s="60" t="e">
        <f>IF(HD115="",#N/A,SUM($HD$4:HD115))</f>
        <v>#N/A</v>
      </c>
      <c r="HF115" s="85" t="e">
        <f>IF(HD115="",#N/A,IF(HB115="Skip",#N/A,SUM($HG$4:HG115)))</f>
        <v>#N/A</v>
      </c>
      <c r="HG115" s="205" t="str">
        <f t="shared" si="207"/>
        <v/>
      </c>
      <c r="HH115" s="82">
        <f t="shared" si="208"/>
        <v>0.95322489398877508</v>
      </c>
    </row>
    <row r="116" spans="1:216" x14ac:dyDescent="0.25">
      <c r="A116" s="57" t="s">
        <v>1381</v>
      </c>
      <c r="B116" s="58" t="s">
        <v>5164</v>
      </c>
      <c r="C116" s="386">
        <f t="shared" si="118"/>
        <v>2</v>
      </c>
      <c r="D116" s="372" t="str">
        <f>_xlfn.XLOOKUP(A116,[1]SP500!$A$2:$A$502,[1]SP500!$D$2:$D$502,"N")</f>
        <v>Y</v>
      </c>
      <c r="E116" s="57" t="str">
        <f>_xlfn.XLOOKUP(A116,[1]SP500!$A$2:$A$655,[1]SP500!$B$2:$B$655)</f>
        <v>XLI</v>
      </c>
      <c r="F116" s="59">
        <v>45687</v>
      </c>
      <c r="G116" s="57" t="str">
        <f t="shared" si="119"/>
        <v>BMO</v>
      </c>
      <c r="H116" s="57" t="str">
        <f t="shared" si="120"/>
        <v>o</v>
      </c>
      <c r="I116" s="162">
        <v>481.54</v>
      </c>
      <c r="J116" s="159">
        <v>472</v>
      </c>
      <c r="K116" s="93">
        <f t="shared" si="121"/>
        <v>-1.9811438302114091E-2</v>
      </c>
      <c r="L116" s="87">
        <f t="shared" si="122"/>
        <v>7.9245753208456335</v>
      </c>
      <c r="M116" s="214" t="e">
        <f t="shared" si="112"/>
        <v>#N/A</v>
      </c>
      <c r="N116" s="168" t="str">
        <f t="shared" si="123"/>
        <v/>
      </c>
      <c r="O116" s="168">
        <f>IF($J116="",#N/A,SUM($N$4:N116))</f>
        <v>217.68810757134344</v>
      </c>
      <c r="P116" s="173">
        <f t="shared" si="124"/>
        <v>7.9245753208456335</v>
      </c>
      <c r="Q116" s="173">
        <f>IF($J116="",#N/A,SUM($P$4:P116))</f>
        <v>108.04104023772652</v>
      </c>
      <c r="R116" s="177" t="str">
        <f t="shared" si="125"/>
        <v/>
      </c>
      <c r="S116" s="177">
        <f>IF($J116="",#N/A,SUM($R$4:R116))</f>
        <v>216.19857032475045</v>
      </c>
      <c r="T116" s="293" t="str">
        <f t="shared" si="126"/>
        <v/>
      </c>
      <c r="U116" s="293">
        <f>IF($J116="",#N/A,SUM($T$4:T116))</f>
        <v>7.7343490944726661</v>
      </c>
      <c r="V116" s="294">
        <f t="shared" si="127"/>
        <v>0.33019063836856805</v>
      </c>
      <c r="W116" s="294">
        <f>IF($J116="",#N/A,SUM($V$4:V116))</f>
        <v>4.5805772093621204</v>
      </c>
      <c r="X116" s="295" t="str">
        <f t="shared" si="128"/>
        <v/>
      </c>
      <c r="Y116" s="283">
        <f>IF($J116="",#N/A,SUM($X$4:X116))</f>
        <v>9.085027555656751</v>
      </c>
      <c r="Z116" s="304" t="str">
        <f t="shared" si="129"/>
        <v/>
      </c>
      <c r="AA116" s="316" t="e">
        <f>IF($J116="",#N/A,SUM(Z$4:Z116))</f>
        <v>#N/A</v>
      </c>
      <c r="AB116" s="317" t="str">
        <f t="shared" si="130"/>
        <v/>
      </c>
      <c r="AC116" s="317" t="e">
        <f>IF($J116="",#N/A,SUM(AB$4:AB116))</f>
        <v>#N/A</v>
      </c>
      <c r="AD116" s="318" t="str">
        <f t="shared" si="131"/>
        <v/>
      </c>
      <c r="AE116" s="318" t="e">
        <f>IF($J116="",#N/A,SUM(AD$4:AD116))</f>
        <v>#N/A</v>
      </c>
      <c r="AF116" s="318" t="e">
        <f>IF($J116="",#N/A,SUM(AD$4:AD116,AB$4:AB116,Z$4:Z116))</f>
        <v>#N/A</v>
      </c>
      <c r="AG116" s="304" t="str">
        <f t="shared" si="132"/>
        <v/>
      </c>
      <c r="AH116" s="316" t="e">
        <f>IF($J116="",#N/A,SUM(AG$4:AG116))</f>
        <v>#N/A</v>
      </c>
      <c r="AI116" s="317" t="str">
        <f t="shared" si="133"/>
        <v/>
      </c>
      <c r="AJ116" s="317" t="e">
        <f>IF($J116="",#N/A,SUM(AI$4:AI116))</f>
        <v>#N/A</v>
      </c>
      <c r="AK116" s="318" t="str">
        <f t="shared" si="134"/>
        <v/>
      </c>
      <c r="AL116" s="318" t="e">
        <f>IF($J116="",#N/A,SUM(AK$4:AK116))</f>
        <v>#N/A</v>
      </c>
      <c r="AM116" s="318" t="e">
        <f>IF($J116="",#N/A,SUM(AK$4:AK116,AI$4:AI116,AG$4:AG116))</f>
        <v>#N/A</v>
      </c>
      <c r="AN116" s="304" t="str">
        <f t="shared" si="135"/>
        <v/>
      </c>
      <c r="AO116" s="316" t="e">
        <f>IF($J116="",#N/A,SUM(AN$4:AN116))</f>
        <v>#N/A</v>
      </c>
      <c r="AP116" s="317" t="str">
        <f t="shared" si="136"/>
        <v/>
      </c>
      <c r="AQ116" s="317" t="e">
        <f>IF($J116="",#N/A,SUM(AP$4:AP116))</f>
        <v>#N/A</v>
      </c>
      <c r="AR116" s="318" t="str">
        <f t="shared" si="137"/>
        <v/>
      </c>
      <c r="AS116" s="318" t="e">
        <f>IF($J116="",#N/A,SUM(AR$4:AR116))</f>
        <v>#N/A</v>
      </c>
      <c r="AT116" s="318" t="e">
        <f>IF($J116="",#N/A,SUM(AR$4:AR116,AP$4:AP116,AN$4:AN116))</f>
        <v>#N/A</v>
      </c>
      <c r="AU116" s="304" t="str">
        <f t="shared" si="138"/>
        <v/>
      </c>
      <c r="AV116" s="316" t="e">
        <f>IF($J116="",#N/A,SUM(AU$4:AU116))</f>
        <v>#N/A</v>
      </c>
      <c r="AW116" s="317" t="str">
        <f t="shared" si="139"/>
        <v/>
      </c>
      <c r="AX116" s="317" t="e">
        <f>IF($J116="",#N/A,SUM(AW$4:AW116))</f>
        <v>#N/A</v>
      </c>
      <c r="AY116" s="318" t="str">
        <f t="shared" si="140"/>
        <v/>
      </c>
      <c r="AZ116" s="318" t="e">
        <f>IF($J116="",#N/A,SUM(AY$4:AY116))</f>
        <v>#N/A</v>
      </c>
      <c r="BA116" s="318" t="e">
        <f>IF($J116="",#N/A,SUM(AY$4:AY116,AW$4:AW116,AU$4:AU116))</f>
        <v>#N/A</v>
      </c>
      <c r="BB116" s="304" t="str">
        <f t="shared" si="141"/>
        <v/>
      </c>
      <c r="BC116" s="316" t="e">
        <f>IF($J116="",#N/A,SUM(BB$4:BB116))</f>
        <v>#N/A</v>
      </c>
      <c r="BD116" s="317" t="str">
        <f t="shared" si="142"/>
        <v/>
      </c>
      <c r="BE116" s="317" t="e">
        <f>IF($J116="",#N/A,SUM(BD$4:BD116))</f>
        <v>#N/A</v>
      </c>
      <c r="BF116" s="318" t="str">
        <f t="shared" si="143"/>
        <v/>
      </c>
      <c r="BG116" s="318" t="e">
        <f>IF($J116="",#N/A,SUM(BF$4:BF116))</f>
        <v>#N/A</v>
      </c>
      <c r="BH116" s="318" t="e">
        <f>IF($J116="",#N/A,SUM(BF$4:BF116,BD$4:BD116,BB$4:BB116))</f>
        <v>#N/A</v>
      </c>
      <c r="BI116" s="304" t="str">
        <f t="shared" si="144"/>
        <v/>
      </c>
      <c r="BJ116" s="316" t="e">
        <f>IF($J116="",#N/A,SUM(BI$4:BI116))</f>
        <v>#N/A</v>
      </c>
      <c r="BK116" s="317" t="str">
        <f t="shared" si="145"/>
        <v/>
      </c>
      <c r="BL116" s="317" t="e">
        <f>IF($J116="",#N/A,SUM(BK$4:BK116))</f>
        <v>#N/A</v>
      </c>
      <c r="BM116" s="318" t="str">
        <f t="shared" si="146"/>
        <v/>
      </c>
      <c r="BN116" s="318" t="e">
        <f>IF($J116="",#N/A,SUM(BM$4:BM116))</f>
        <v>#N/A</v>
      </c>
      <c r="BO116" s="318" t="e">
        <f>IF($J116="",#N/A,SUM(BM$4:BM116,BK$4:BK116,BI$4:BI116))</f>
        <v>#N/A</v>
      </c>
      <c r="BP116" s="304" t="str">
        <f t="shared" si="147"/>
        <v/>
      </c>
      <c r="BQ116" s="316" t="e">
        <f>IF($J116="",#N/A,SUM(BP$4:BP116))</f>
        <v>#N/A</v>
      </c>
      <c r="BR116" s="317">
        <f t="shared" si="148"/>
        <v>0.33019063836856805</v>
      </c>
      <c r="BS116" s="317" t="e">
        <f>IF($J116="",#N/A,SUM(BR$4:BR116))</f>
        <v>#N/A</v>
      </c>
      <c r="BT116" s="318" t="str">
        <f t="shared" si="149"/>
        <v/>
      </c>
      <c r="BU116" s="318" t="e">
        <f>IF($J116="",#N/A,SUM(BT$4:BT116))</f>
        <v>#N/A</v>
      </c>
      <c r="BV116" s="318" t="e">
        <f>IF($J116="",#N/A,SUM(BT$4:BT116,BR$4:BR116,BP$4:BP116))</f>
        <v>#N/A</v>
      </c>
      <c r="BW116" s="304" t="str">
        <f t="shared" si="150"/>
        <v/>
      </c>
      <c r="BX116" s="316" t="e">
        <f>IF($J116="",#N/A,SUM(BW$4:BW116))</f>
        <v>#N/A</v>
      </c>
      <c r="BY116" s="317" t="str">
        <f t="shared" si="151"/>
        <v/>
      </c>
      <c r="BZ116" s="317" t="e">
        <f>IF($J116="",#N/A,SUM(BY$4:BY116))</f>
        <v>#N/A</v>
      </c>
      <c r="CA116" s="318" t="str">
        <f t="shared" si="152"/>
        <v/>
      </c>
      <c r="CB116" s="318" t="e">
        <f>IF($J116="",#N/A,SUM(CA$4:CA116))</f>
        <v>#N/A</v>
      </c>
      <c r="CC116" s="318" t="e">
        <f>IF($J116="",#N/A,SUM(CA$4:CA116,BY$4:BY116,BW$4:BW116))</f>
        <v>#N/A</v>
      </c>
      <c r="CD116" s="304" t="str">
        <f t="shared" si="153"/>
        <v/>
      </c>
      <c r="CE116" s="316" t="e">
        <f>IF($J116="",#N/A,SUM(CD$4:CD116))</f>
        <v>#N/A</v>
      </c>
      <c r="CF116" s="317" t="str">
        <f t="shared" si="154"/>
        <v/>
      </c>
      <c r="CG116" s="317" t="e">
        <f>IF($J116="",#N/A,SUM(CF$4:CF116))</f>
        <v>#N/A</v>
      </c>
      <c r="CH116" s="318" t="str">
        <f t="shared" si="155"/>
        <v/>
      </c>
      <c r="CI116" s="318" t="e">
        <f>IF($J116="",#N/A,SUM(CH$4:CH116))</f>
        <v>#N/A</v>
      </c>
      <c r="CJ116" s="318" t="e">
        <f>IF($J116="",#N/A,SUM(CH$4:CH116,CF$4:CF116,CD$4:CD116))</f>
        <v>#N/A</v>
      </c>
      <c r="CK116" s="304" t="str">
        <f t="shared" si="156"/>
        <v/>
      </c>
      <c r="CL116" s="316" t="e">
        <f>IF($J116="",#N/A,SUM(CK$4:CK116))</f>
        <v>#N/A</v>
      </c>
      <c r="CM116" s="317" t="str">
        <f t="shared" si="157"/>
        <v/>
      </c>
      <c r="CN116" s="317" t="e">
        <f>IF($J116="",#N/A,SUM(CM$4:CM116))</f>
        <v>#N/A</v>
      </c>
      <c r="CO116" s="318" t="str">
        <f t="shared" si="158"/>
        <v/>
      </c>
      <c r="CP116" s="318" t="e">
        <f>IF($J116="",#N/A,SUM(CO$4:CO116))</f>
        <v>#N/A</v>
      </c>
      <c r="CQ116" s="318" t="e">
        <f>IF($J116="",#N/A,SUM(CO$4:CO116,CM$4:CM116,CK$4:CK116))</f>
        <v>#N/A</v>
      </c>
      <c r="CR116" s="304" t="str">
        <f t="shared" si="159"/>
        <v/>
      </c>
      <c r="CS116" s="316" t="e">
        <f>IF($J116="",#N/A,SUM(CR$4:CR116))</f>
        <v>#N/A</v>
      </c>
      <c r="CT116" s="317" t="str">
        <f t="shared" si="160"/>
        <v/>
      </c>
      <c r="CU116" s="317" t="e">
        <f>IF($J116="",#N/A,SUM(CT$4:CT116))</f>
        <v>#N/A</v>
      </c>
      <c r="CV116" s="318" t="str">
        <f t="shared" si="161"/>
        <v/>
      </c>
      <c r="CW116" s="318" t="e">
        <f>IF($J116="",#N/A,SUM(CV$4:CV116))</f>
        <v>#N/A</v>
      </c>
      <c r="CX116" s="318" t="e">
        <f>IF($J116="",#N/A,SUM(CV$4:CV116,CT$4:CT116,CR$4:CR116))</f>
        <v>#N/A</v>
      </c>
      <c r="CY116" s="304" t="str">
        <f t="shared" si="162"/>
        <v/>
      </c>
      <c r="CZ116" s="316" t="e">
        <f>IF($J116="",#N/A,SUM(CY$4:CY116))</f>
        <v>#N/A</v>
      </c>
      <c r="DA116" s="317" t="str">
        <f t="shared" si="163"/>
        <v/>
      </c>
      <c r="DB116" s="317" t="e">
        <f>IF($J116="",#N/A,SUM(DA$4:DA116))</f>
        <v>#N/A</v>
      </c>
      <c r="DC116" s="318" t="str">
        <f t="shared" si="164"/>
        <v/>
      </c>
      <c r="DD116" s="318" t="e">
        <f>IF($J116="",#N/A,SUM(DC$4:DC116))</f>
        <v>#N/A</v>
      </c>
      <c r="DE116" s="318" t="e">
        <f>IF($J116="",#N/A,SUM(DC$4:DC116,DA$4:DA116,CY$4:CY116))</f>
        <v>#N/A</v>
      </c>
      <c r="DF116" s="304" t="str">
        <f t="shared" si="165"/>
        <v/>
      </c>
      <c r="DG116" s="316" t="e">
        <f>IF($J116="",#N/A,SUM(DF$4:DF116))</f>
        <v>#N/A</v>
      </c>
      <c r="DH116" s="317" t="str">
        <f t="shared" si="166"/>
        <v/>
      </c>
      <c r="DI116" s="317" t="e">
        <f>IF($J116="",#N/A,SUM(DH$4:DH116))</f>
        <v>#N/A</v>
      </c>
      <c r="DJ116" s="318" t="str">
        <f t="shared" si="167"/>
        <v/>
      </c>
      <c r="DK116" s="318" t="e">
        <f>IF($J116="",#N/A,SUM(DJ$4:DJ116))</f>
        <v>#N/A</v>
      </c>
      <c r="DL116" s="318" t="e">
        <f>IF($J116="",#N/A,SUM(DJ$4:DJ116,DH$4:DH116,DF$4:DF116))</f>
        <v>#N/A</v>
      </c>
      <c r="DM116" s="304" t="str">
        <f t="shared" si="168"/>
        <v/>
      </c>
      <c r="DN116" s="316" t="e">
        <f>IF($J116="",#N/A,SUM(DM$4:DM116))</f>
        <v>#N/A</v>
      </c>
      <c r="DO116" s="317" t="str">
        <f t="shared" si="169"/>
        <v/>
      </c>
      <c r="DP116" s="317" t="e">
        <f>IF($J116="",#N/A,SUM(DO$4:DO116))</f>
        <v>#N/A</v>
      </c>
      <c r="DQ116" s="318" t="str">
        <f t="shared" si="170"/>
        <v/>
      </c>
      <c r="DR116" s="318" t="e">
        <f>IF($J116="",#N/A,SUM(DQ$4:DQ116))</f>
        <v>#N/A</v>
      </c>
      <c r="DS116" s="318" t="e">
        <f>IF($J116="",#N/A,SUM(DQ$4:DQ116,DO$4:DO116,DM$4:DM116))</f>
        <v>#N/A</v>
      </c>
      <c r="DT116" s="304" t="str">
        <f t="shared" si="171"/>
        <v/>
      </c>
      <c r="DU116" s="316" t="e">
        <f>IF($J116="",#N/A,SUM(DT$4:DT116))</f>
        <v>#N/A</v>
      </c>
      <c r="DV116" s="317" t="str">
        <f t="shared" si="172"/>
        <v/>
      </c>
      <c r="DW116" s="317" t="e">
        <f>IF($J116="",#N/A,SUM(DV$4:DV116))</f>
        <v>#N/A</v>
      </c>
      <c r="DX116" s="318" t="str">
        <f t="shared" si="173"/>
        <v/>
      </c>
      <c r="DY116" s="318" t="e">
        <f>IF($J116="",#N/A,SUM(DX$4:DX116))</f>
        <v>#N/A</v>
      </c>
      <c r="DZ116" s="318" t="e">
        <f>IF($J116="",#N/A,SUM(DX$4:DX116,DV$4:DV116,DT$4:DT116))</f>
        <v>#N/A</v>
      </c>
      <c r="EA116" s="304" t="str">
        <f t="shared" si="174"/>
        <v/>
      </c>
      <c r="EB116" s="316" t="e">
        <f>IF($J116="",#N/A,SUM(EA$4:EA116))</f>
        <v>#N/A</v>
      </c>
      <c r="EC116" s="317" t="str">
        <f t="shared" si="175"/>
        <v/>
      </c>
      <c r="ED116" s="317" t="e">
        <f>IF($J116="",#N/A,SUM(EC$4:EC116))</f>
        <v>#N/A</v>
      </c>
      <c r="EE116" s="318" t="str">
        <f t="shared" si="176"/>
        <v/>
      </c>
      <c r="EF116" s="318" t="e">
        <f>IF($J116="",#N/A,SUM(EE$4:EE116))</f>
        <v>#N/A</v>
      </c>
      <c r="EG116" s="318" t="e">
        <f>IF($J116="",#N/A,SUM(EE$4:EE116,EC$4:EC116,EA$4:EA116))</f>
        <v>#N/A</v>
      </c>
      <c r="EH116" s="211">
        <f t="shared" si="177"/>
        <v>7.9245753208456335</v>
      </c>
      <c r="EI116" s="63">
        <f>IF(EH116="",#N/A,SUM($EH$4:EH116))</f>
        <v>541.92771813382046</v>
      </c>
      <c r="EJ116" s="223" t="e">
        <f t="shared" si="178"/>
        <v>#N/A</v>
      </c>
      <c r="EK116" s="63" t="e">
        <f>IF($GZ116="",#N/A,SUM(EJ$4:EJ116))</f>
        <v>#N/A</v>
      </c>
      <c r="EL116" s="60">
        <f t="shared" si="209"/>
        <v>0.33019063836856805</v>
      </c>
      <c r="EM116" s="60">
        <f>IF(EL116="",NA(),SUM($EL$4:EL116))</f>
        <v>21.030709812172525</v>
      </c>
      <c r="EN116" s="60" t="str">
        <f t="shared" si="179"/>
        <v/>
      </c>
      <c r="EO116" s="60" t="e">
        <f>IF(EN116="",NA(),SUM($EN$4:EN116))</f>
        <v>#N/A</v>
      </c>
      <c r="EP116" s="60" t="str">
        <f t="shared" si="180"/>
        <v/>
      </c>
      <c r="EQ116" s="60" t="e">
        <f>IF(EP116="",NA(),SUM($EP$4:EP116))</f>
        <v>#N/A</v>
      </c>
      <c r="ER116" s="60">
        <f t="shared" si="181"/>
        <v>0.33019063836856805</v>
      </c>
      <c r="ES116" s="60">
        <f>IF(ER116="",NA(),SUM($ER$4:ER116))</f>
        <v>4.5805772093621204</v>
      </c>
      <c r="ET116" s="60" t="str">
        <f t="shared" si="182"/>
        <v/>
      </c>
      <c r="EU116" s="60" t="e">
        <f>IF(ET116="",NA(),SUM($ET$4:ET116))</f>
        <v>#N/A</v>
      </c>
      <c r="EV116" s="60" t="str">
        <f t="shared" si="183"/>
        <v/>
      </c>
      <c r="EW116" s="60" t="e">
        <f>IF(EV116="",NA(),SUM($EV$4:EV116))</f>
        <v>#N/A</v>
      </c>
      <c r="EX116" s="60" t="str">
        <f t="shared" si="184"/>
        <v/>
      </c>
      <c r="EY116" s="60" t="e">
        <f>IF(EX116="",NA(),SUM($EX$4:EX116))</f>
        <v>#N/A</v>
      </c>
      <c r="EZ116" s="60" t="str">
        <f t="shared" si="185"/>
        <v/>
      </c>
      <c r="FA116" s="60" t="e">
        <f>IF(EZ116="",NA(),SUM($EZ$4:EZ116))</f>
        <v>#N/A</v>
      </c>
      <c r="FB116" s="246">
        <f t="shared" si="210"/>
        <v>-0.39352909415624993</v>
      </c>
      <c r="FC116" s="246">
        <f>IF($FB116="",#N/A,SUM(FB$4:$FB116))</f>
        <v>2.1086709710718914</v>
      </c>
      <c r="FD116" s="60" t="str">
        <f t="shared" si="186"/>
        <v/>
      </c>
      <c r="FE116" s="60" t="e">
        <f>IF($FD116="",#N/A,SUM($FD$4:FD116))</f>
        <v>#N/A</v>
      </c>
      <c r="FF116" s="60" t="str">
        <f t="shared" si="187"/>
        <v/>
      </c>
      <c r="FG116" s="60" t="e">
        <f>IF($FF116="",#N/A,SUM($FF$4:FF116))</f>
        <v>#N/A</v>
      </c>
      <c r="FH116" s="60" t="str">
        <f t="shared" si="188"/>
        <v/>
      </c>
      <c r="FI116" s="60" t="e">
        <f>IF($FH116="",#N/A,SUM($FH$4:FH116))</f>
        <v>#N/A</v>
      </c>
      <c r="FJ116" s="60" t="str">
        <f t="shared" si="189"/>
        <v/>
      </c>
      <c r="FK116" s="60" t="e">
        <f>IF($FJ116="",#N/A,SUM($FJ$4:FJ116))</f>
        <v>#N/A</v>
      </c>
      <c r="FL116" s="60" t="str">
        <f t="shared" si="190"/>
        <v/>
      </c>
      <c r="FM116" s="60" t="e">
        <f>IF($FL116="",#N/A,SUM($FL$4:FL116))</f>
        <v>#N/A</v>
      </c>
      <c r="FN116" s="82">
        <f t="shared" si="191"/>
        <v>-6.3338455787681866E-2</v>
      </c>
      <c r="FO116" s="82">
        <f>IF($FN116="",#N/A,SUM(FN$4:$FN116))</f>
        <v>32.050415283655269</v>
      </c>
      <c r="FP116" s="82">
        <f t="shared" si="211"/>
        <v>0.33019063836856805</v>
      </c>
      <c r="FQ116" s="246">
        <f>IF($EH116="",#N/A,SUM($FP$4:FP116))</f>
        <v>21.39995385949155</v>
      </c>
      <c r="FR116" s="82">
        <f>IFERROR(FQ116/COUNTA($J$4:J116),#N/A)</f>
        <v>0.18938012265036769</v>
      </c>
      <c r="FS116" s="82">
        <f t="shared" si="223"/>
        <v>0.10897682473963029</v>
      </c>
      <c r="FT116" s="82">
        <f t="shared" si="224"/>
        <v>3.8819432113614313E-2</v>
      </c>
      <c r="FU116" s="273"/>
      <c r="FV116" s="57" t="str">
        <f t="shared" si="192"/>
        <v>Dwn</v>
      </c>
      <c r="FW116" s="79" t="s">
        <v>2733</v>
      </c>
      <c r="FX116" s="57" t="str">
        <f t="shared" si="193"/>
        <v/>
      </c>
      <c r="FY116" s="57" t="str">
        <f t="shared" si="194"/>
        <v/>
      </c>
      <c r="FZ116" s="57" t="str">
        <f t="shared" si="195"/>
        <v/>
      </c>
      <c r="GA116" s="57" t="str">
        <f t="shared" si="196"/>
        <v>Short</v>
      </c>
      <c r="GB116" s="57">
        <f t="shared" si="197"/>
        <v>1</v>
      </c>
      <c r="GC116" s="57" t="str">
        <f t="shared" si="198"/>
        <v/>
      </c>
      <c r="GD116" s="57" t="str">
        <f t="shared" si="199"/>
        <v/>
      </c>
      <c r="GE116" s="62">
        <f t="shared" si="114"/>
        <v>481.54</v>
      </c>
      <c r="GF116" s="95" t="s">
        <v>2780</v>
      </c>
      <c r="GG116" s="99">
        <f>400/I116</f>
        <v>0.83066827262532705</v>
      </c>
      <c r="GH116" s="207">
        <f t="shared" si="200"/>
        <v>400</v>
      </c>
      <c r="GI116" s="99">
        <f>GG116</f>
        <v>0.83066827262532705</v>
      </c>
      <c r="GJ116" s="98">
        <f>J116</f>
        <v>472</v>
      </c>
      <c r="GK116" s="96">
        <f t="shared" si="201"/>
        <v>7.9245753208456335</v>
      </c>
      <c r="GL116" s="63">
        <f t="shared" si="115"/>
        <v>-1.5201229389043647</v>
      </c>
      <c r="GM116" s="82" t="str">
        <f t="shared" si="202"/>
        <v/>
      </c>
      <c r="GN116" s="82">
        <f>IF($GZ116="",#N/A,SUM(GM$4:GM116))</f>
        <v>13.466542336385572</v>
      </c>
      <c r="GO116" s="82" t="str">
        <f t="shared" si="203"/>
        <v/>
      </c>
      <c r="GP116" s="82">
        <f>IF($GZ116="",#N/A,SUM(GO$4:GO116))</f>
        <v>10.635036056741368</v>
      </c>
      <c r="GQ116" s="82">
        <f t="shared" si="204"/>
        <v>-6.3338455787681866E-2</v>
      </c>
      <c r="GR116" s="82">
        <f>IF($GZ116="",#N/A,SUM(GQ$4:GQ116))</f>
        <v>7.322999936085985</v>
      </c>
      <c r="GS116" s="63" t="str">
        <f t="shared" si="212"/>
        <v/>
      </c>
      <c r="GT116" s="63" t="e">
        <f>IF($GZ116="",#N/A,SUM(GS$4:GS116))</f>
        <v>#N/A</v>
      </c>
      <c r="GU116" s="63" t="str">
        <f t="shared" si="213"/>
        <v/>
      </c>
      <c r="GV116" s="63" t="e">
        <f>IF($GZ116="",#N/A,SUM(GU$4:GU116))</f>
        <v>#N/A</v>
      </c>
      <c r="GW116" s="63" t="e">
        <f t="shared" si="214"/>
        <v>#N/A</v>
      </c>
      <c r="GX116" s="63" t="e">
        <f>IF($GZ116="",#N/A,SUM(GW$4:GW116))</f>
        <v>#N/A</v>
      </c>
      <c r="GY116" s="63" t="e">
        <f>IF(EJ116="",#N/A,SUM($EJ$4:EJ116))</f>
        <v>#N/A</v>
      </c>
      <c r="GZ116" s="159">
        <v>483.37</v>
      </c>
      <c r="HA116" s="63">
        <f t="shared" si="205"/>
        <v>-9.4446982597499982</v>
      </c>
      <c r="HB116" s="130" t="s">
        <v>4970</v>
      </c>
      <c r="HC116" s="60">
        <f>IFERROR(VLOOKUP(E116,Expectancy!$P$4:$S$19,1+C116,FALSE),"")</f>
        <v>0.3117803024854584</v>
      </c>
      <c r="HD116" s="82" t="str">
        <f t="shared" si="206"/>
        <v/>
      </c>
      <c r="HE116" s="60" t="e">
        <f>IF(HD116="",#N/A,SUM($HD$4:HD116))</f>
        <v>#N/A</v>
      </c>
      <c r="HF116" s="85" t="e">
        <f>IF(HD116="",#N/A,IF(HB116="Skip",#N/A,SUM($HG$4:HG116)))</f>
        <v>#N/A</v>
      </c>
      <c r="HG116" s="205" t="str">
        <f t="shared" si="207"/>
        <v/>
      </c>
      <c r="HH116" s="82">
        <f t="shared" si="208"/>
        <v>-6.3338455787681866E-2</v>
      </c>
    </row>
    <row r="117" spans="1:216" x14ac:dyDescent="0.25">
      <c r="A117" s="57" t="s">
        <v>1401</v>
      </c>
      <c r="B117" s="58" t="s">
        <v>5159</v>
      </c>
      <c r="C117" s="386">
        <f t="shared" si="118"/>
        <v>3</v>
      </c>
      <c r="D117" s="372" t="str">
        <f>_xlfn.XLOOKUP(A117,[1]SP500!$A$2:$A$502,[1]SP500!$D$2:$D$502,"N")</f>
        <v>Y</v>
      </c>
      <c r="E117" s="57" t="str">
        <f>_xlfn.XLOOKUP(A117,[1]SP500!$A$2:$A$655,[1]SP500!$B$2:$B$655)</f>
        <v>IGV</v>
      </c>
      <c r="F117" s="59">
        <v>45687</v>
      </c>
      <c r="G117" s="57" t="str">
        <f t="shared" si="119"/>
        <v>BMO</v>
      </c>
      <c r="H117" s="57" t="str">
        <f t="shared" si="120"/>
        <v>s</v>
      </c>
      <c r="I117" s="159">
        <v>543.02</v>
      </c>
      <c r="J117" s="159">
        <v>565.99</v>
      </c>
      <c r="K117" s="61">
        <f t="shared" si="121"/>
        <v>4.230046775441057E-2</v>
      </c>
      <c r="L117" s="87">
        <f t="shared" si="122"/>
        <v>22.970000000000027</v>
      </c>
      <c r="M117" s="130">
        <f t="shared" si="112"/>
        <v>0</v>
      </c>
      <c r="N117" s="169" t="str">
        <f t="shared" si="123"/>
        <v/>
      </c>
      <c r="O117" s="169">
        <f>IF($J117="",#N/A,SUM($N$4:N117))</f>
        <v>217.68810757134344</v>
      </c>
      <c r="P117" s="174" t="str">
        <f t="shared" si="124"/>
        <v/>
      </c>
      <c r="Q117" s="174">
        <f>IF($J117="",#N/A,SUM($P$4:P117))</f>
        <v>108.04104023772652</v>
      </c>
      <c r="R117" s="178">
        <f t="shared" si="125"/>
        <v>22.970000000000027</v>
      </c>
      <c r="S117" s="178">
        <f>IF($J117="",#N/A,SUM($R$4:R117))</f>
        <v>239.16857032475048</v>
      </c>
      <c r="T117" s="290" t="str">
        <f t="shared" si="126"/>
        <v/>
      </c>
      <c r="U117" s="290">
        <f>IF($J117="",#N/A,SUM($T$4:T117))</f>
        <v>7.7343490944726661</v>
      </c>
      <c r="V117" s="291" t="str">
        <f t="shared" si="127"/>
        <v/>
      </c>
      <c r="W117" s="291">
        <f>IF($J117="",#N/A,SUM($V$4:V117))</f>
        <v>4.5805772093621204</v>
      </c>
      <c r="X117" s="292">
        <f t="shared" si="128"/>
        <v>0.70500779590684293</v>
      </c>
      <c r="Y117" s="283">
        <f>IF($J117="",#N/A,SUM($X$4:X117))</f>
        <v>9.7900353515635938</v>
      </c>
      <c r="Z117" s="304" t="str">
        <f t="shared" si="129"/>
        <v/>
      </c>
      <c r="AA117" s="313" t="e">
        <f>IF($J117="",#N/A,SUM(Z$4:Z117))</f>
        <v>#N/A</v>
      </c>
      <c r="AB117" s="314" t="str">
        <f t="shared" si="130"/>
        <v/>
      </c>
      <c r="AC117" s="314" t="e">
        <f>IF($J117="",#N/A,SUM(AB$4:AB117))</f>
        <v>#N/A</v>
      </c>
      <c r="AD117" s="315" t="str">
        <f t="shared" si="131"/>
        <v/>
      </c>
      <c r="AE117" s="315" t="e">
        <f>IF($J117="",#N/A,SUM(AD$4:AD117))</f>
        <v>#N/A</v>
      </c>
      <c r="AF117" s="315" t="e">
        <f>IF($J117="",#N/A,SUM(AD$4:AD117,AB$4:AB117,Z$4:Z117))</f>
        <v>#N/A</v>
      </c>
      <c r="AG117" s="304" t="str">
        <f t="shared" si="132"/>
        <v/>
      </c>
      <c r="AH117" s="313" t="e">
        <f>IF($J117="",#N/A,SUM(AG$4:AG117))</f>
        <v>#N/A</v>
      </c>
      <c r="AI117" s="314" t="str">
        <f t="shared" si="133"/>
        <v/>
      </c>
      <c r="AJ117" s="314" t="e">
        <f>IF($J117="",#N/A,SUM(AI$4:AI117))</f>
        <v>#N/A</v>
      </c>
      <c r="AK117" s="315">
        <f t="shared" si="134"/>
        <v>0.70500779590684293</v>
      </c>
      <c r="AL117" s="315" t="e">
        <f>IF($J117="",#N/A,SUM(AK$4:AK117))</f>
        <v>#N/A</v>
      </c>
      <c r="AM117" s="315" t="e">
        <f>IF($J117="",#N/A,SUM(AK$4:AK117,AI$4:AI117,AG$4:AG117))</f>
        <v>#N/A</v>
      </c>
      <c r="AN117" s="304" t="str">
        <f t="shared" si="135"/>
        <v/>
      </c>
      <c r="AO117" s="313" t="e">
        <f>IF($J117="",#N/A,SUM(AN$4:AN117))</f>
        <v>#N/A</v>
      </c>
      <c r="AP117" s="314" t="str">
        <f t="shared" si="136"/>
        <v/>
      </c>
      <c r="AQ117" s="314" t="e">
        <f>IF($J117="",#N/A,SUM(AP$4:AP117))</f>
        <v>#N/A</v>
      </c>
      <c r="AR117" s="315" t="str">
        <f t="shared" si="137"/>
        <v/>
      </c>
      <c r="AS117" s="315" t="e">
        <f>IF($J117="",#N/A,SUM(AR$4:AR117))</f>
        <v>#N/A</v>
      </c>
      <c r="AT117" s="315" t="e">
        <f>IF($J117="",#N/A,SUM(AR$4:AR117,AP$4:AP117,AN$4:AN117))</f>
        <v>#N/A</v>
      </c>
      <c r="AU117" s="304" t="str">
        <f t="shared" si="138"/>
        <v/>
      </c>
      <c r="AV117" s="313" t="e">
        <f>IF($J117="",#N/A,SUM(AU$4:AU117))</f>
        <v>#N/A</v>
      </c>
      <c r="AW117" s="314" t="str">
        <f t="shared" si="139"/>
        <v/>
      </c>
      <c r="AX117" s="314" t="e">
        <f>IF($J117="",#N/A,SUM(AW$4:AW117))</f>
        <v>#N/A</v>
      </c>
      <c r="AY117" s="315" t="str">
        <f t="shared" si="140"/>
        <v/>
      </c>
      <c r="AZ117" s="315" t="e">
        <f>IF($J117="",#N/A,SUM(AY$4:AY117))</f>
        <v>#N/A</v>
      </c>
      <c r="BA117" s="315" t="e">
        <f>IF($J117="",#N/A,SUM(AY$4:AY117,AW$4:AW117,AU$4:AU117))</f>
        <v>#N/A</v>
      </c>
      <c r="BB117" s="304" t="str">
        <f t="shared" si="141"/>
        <v/>
      </c>
      <c r="BC117" s="313" t="e">
        <f>IF($J117="",#N/A,SUM(BB$4:BB117))</f>
        <v>#N/A</v>
      </c>
      <c r="BD117" s="314" t="str">
        <f t="shared" si="142"/>
        <v/>
      </c>
      <c r="BE117" s="314" t="e">
        <f>IF($J117="",#N/A,SUM(BD$4:BD117))</f>
        <v>#N/A</v>
      </c>
      <c r="BF117" s="315" t="str">
        <f t="shared" si="143"/>
        <v/>
      </c>
      <c r="BG117" s="315" t="e">
        <f>IF($J117="",#N/A,SUM(BF$4:BF117))</f>
        <v>#N/A</v>
      </c>
      <c r="BH117" s="315" t="e">
        <f>IF($J117="",#N/A,SUM(BF$4:BF117,BD$4:BD117,BB$4:BB117))</f>
        <v>#N/A</v>
      </c>
      <c r="BI117" s="304" t="str">
        <f t="shared" si="144"/>
        <v/>
      </c>
      <c r="BJ117" s="313" t="e">
        <f>IF($J117="",#N/A,SUM(BI$4:BI117))</f>
        <v>#N/A</v>
      </c>
      <c r="BK117" s="314" t="str">
        <f t="shared" si="145"/>
        <v/>
      </c>
      <c r="BL117" s="314" t="e">
        <f>IF($J117="",#N/A,SUM(BK$4:BK117))</f>
        <v>#N/A</v>
      </c>
      <c r="BM117" s="315" t="str">
        <f t="shared" si="146"/>
        <v/>
      </c>
      <c r="BN117" s="315" t="e">
        <f>IF($J117="",#N/A,SUM(BM$4:BM117))</f>
        <v>#N/A</v>
      </c>
      <c r="BO117" s="315" t="e">
        <f>IF($J117="",#N/A,SUM(BM$4:BM117,BK$4:BK117,BI$4:BI117))</f>
        <v>#N/A</v>
      </c>
      <c r="BP117" s="304" t="str">
        <f t="shared" si="147"/>
        <v/>
      </c>
      <c r="BQ117" s="313" t="e">
        <f>IF($J117="",#N/A,SUM(BP$4:BP117))</f>
        <v>#N/A</v>
      </c>
      <c r="BR117" s="314" t="str">
        <f t="shared" si="148"/>
        <v/>
      </c>
      <c r="BS117" s="314" t="e">
        <f>IF($J117="",#N/A,SUM(BR$4:BR117))</f>
        <v>#N/A</v>
      </c>
      <c r="BT117" s="315" t="str">
        <f t="shared" si="149"/>
        <v/>
      </c>
      <c r="BU117" s="315" t="e">
        <f>IF($J117="",#N/A,SUM(BT$4:BT117))</f>
        <v>#N/A</v>
      </c>
      <c r="BV117" s="315" t="e">
        <f>IF($J117="",#N/A,SUM(BT$4:BT117,BR$4:BR117,BP$4:BP117))</f>
        <v>#N/A</v>
      </c>
      <c r="BW117" s="304" t="str">
        <f t="shared" si="150"/>
        <v/>
      </c>
      <c r="BX117" s="313" t="e">
        <f>IF($J117="",#N/A,SUM(BW$4:BW117))</f>
        <v>#N/A</v>
      </c>
      <c r="BY117" s="314" t="str">
        <f t="shared" si="151"/>
        <v/>
      </c>
      <c r="BZ117" s="314" t="e">
        <f>IF($J117="",#N/A,SUM(BY$4:BY117))</f>
        <v>#N/A</v>
      </c>
      <c r="CA117" s="315" t="str">
        <f t="shared" si="152"/>
        <v/>
      </c>
      <c r="CB117" s="315" t="e">
        <f>IF($J117="",#N/A,SUM(CA$4:CA117))</f>
        <v>#N/A</v>
      </c>
      <c r="CC117" s="315" t="e">
        <f>IF($J117="",#N/A,SUM(CA$4:CA117,BY$4:BY117,BW$4:BW117))</f>
        <v>#N/A</v>
      </c>
      <c r="CD117" s="304" t="str">
        <f t="shared" si="153"/>
        <v/>
      </c>
      <c r="CE117" s="313" t="e">
        <f>IF($J117="",#N/A,SUM(CD$4:CD117))</f>
        <v>#N/A</v>
      </c>
      <c r="CF117" s="314" t="str">
        <f t="shared" si="154"/>
        <v/>
      </c>
      <c r="CG117" s="314" t="e">
        <f>IF($J117="",#N/A,SUM(CF$4:CF117))</f>
        <v>#N/A</v>
      </c>
      <c r="CH117" s="315" t="str">
        <f t="shared" si="155"/>
        <v/>
      </c>
      <c r="CI117" s="315" t="e">
        <f>IF($J117="",#N/A,SUM(CH$4:CH117))</f>
        <v>#N/A</v>
      </c>
      <c r="CJ117" s="315" t="e">
        <f>IF($J117="",#N/A,SUM(CH$4:CH117,CF$4:CF117,CD$4:CD117))</f>
        <v>#N/A</v>
      </c>
      <c r="CK117" s="304" t="str">
        <f t="shared" si="156"/>
        <v/>
      </c>
      <c r="CL117" s="313" t="e">
        <f>IF($J117="",#N/A,SUM(CK$4:CK117))</f>
        <v>#N/A</v>
      </c>
      <c r="CM117" s="314" t="str">
        <f t="shared" si="157"/>
        <v/>
      </c>
      <c r="CN117" s="314" t="e">
        <f>IF($J117="",#N/A,SUM(CM$4:CM117))</f>
        <v>#N/A</v>
      </c>
      <c r="CO117" s="315" t="str">
        <f t="shared" si="158"/>
        <v/>
      </c>
      <c r="CP117" s="315" t="e">
        <f>IF($J117="",#N/A,SUM(CO$4:CO117))</f>
        <v>#N/A</v>
      </c>
      <c r="CQ117" s="315" t="e">
        <f>IF($J117="",#N/A,SUM(CO$4:CO117,CM$4:CM117,CK$4:CK117))</f>
        <v>#N/A</v>
      </c>
      <c r="CR117" s="304" t="str">
        <f t="shared" si="159"/>
        <v/>
      </c>
      <c r="CS117" s="313" t="e">
        <f>IF($J117="",#N/A,SUM(CR$4:CR117))</f>
        <v>#N/A</v>
      </c>
      <c r="CT117" s="314" t="str">
        <f t="shared" si="160"/>
        <v/>
      </c>
      <c r="CU117" s="314" t="e">
        <f>IF($J117="",#N/A,SUM(CT$4:CT117))</f>
        <v>#N/A</v>
      </c>
      <c r="CV117" s="315" t="str">
        <f t="shared" si="161"/>
        <v/>
      </c>
      <c r="CW117" s="315" t="e">
        <f>IF($J117="",#N/A,SUM(CV$4:CV117))</f>
        <v>#N/A</v>
      </c>
      <c r="CX117" s="315" t="e">
        <f>IF($J117="",#N/A,SUM(CV$4:CV117,CT$4:CT117,CR$4:CR117))</f>
        <v>#N/A</v>
      </c>
      <c r="CY117" s="304" t="str">
        <f t="shared" si="162"/>
        <v/>
      </c>
      <c r="CZ117" s="313" t="e">
        <f>IF($J117="",#N/A,SUM(CY$4:CY117))</f>
        <v>#N/A</v>
      </c>
      <c r="DA117" s="314" t="str">
        <f t="shared" si="163"/>
        <v/>
      </c>
      <c r="DB117" s="314" t="e">
        <f>IF($J117="",#N/A,SUM(DA$4:DA117))</f>
        <v>#N/A</v>
      </c>
      <c r="DC117" s="315" t="str">
        <f t="shared" si="164"/>
        <v/>
      </c>
      <c r="DD117" s="315" t="e">
        <f>IF($J117="",#N/A,SUM(DC$4:DC117))</f>
        <v>#N/A</v>
      </c>
      <c r="DE117" s="315" t="e">
        <f>IF($J117="",#N/A,SUM(DC$4:DC117,DA$4:DA117,CY$4:CY117))</f>
        <v>#N/A</v>
      </c>
      <c r="DF117" s="304" t="str">
        <f t="shared" si="165"/>
        <v/>
      </c>
      <c r="DG117" s="313" t="e">
        <f>IF($J117="",#N/A,SUM(DF$4:DF117))</f>
        <v>#N/A</v>
      </c>
      <c r="DH117" s="314" t="str">
        <f t="shared" si="166"/>
        <v/>
      </c>
      <c r="DI117" s="314" t="e">
        <f>IF($J117="",#N/A,SUM(DH$4:DH117))</f>
        <v>#N/A</v>
      </c>
      <c r="DJ117" s="315" t="str">
        <f t="shared" si="167"/>
        <v/>
      </c>
      <c r="DK117" s="315" t="e">
        <f>IF($J117="",#N/A,SUM(DJ$4:DJ117))</f>
        <v>#N/A</v>
      </c>
      <c r="DL117" s="315" t="e">
        <f>IF($J117="",#N/A,SUM(DJ$4:DJ117,DH$4:DH117,DF$4:DF117))</f>
        <v>#N/A</v>
      </c>
      <c r="DM117" s="304" t="str">
        <f t="shared" si="168"/>
        <v/>
      </c>
      <c r="DN117" s="313" t="e">
        <f>IF($J117="",#N/A,SUM(DM$4:DM117))</f>
        <v>#N/A</v>
      </c>
      <c r="DO117" s="314" t="str">
        <f t="shared" si="169"/>
        <v/>
      </c>
      <c r="DP117" s="314" t="e">
        <f>IF($J117="",#N/A,SUM(DO$4:DO117))</f>
        <v>#N/A</v>
      </c>
      <c r="DQ117" s="315" t="str">
        <f t="shared" si="170"/>
        <v/>
      </c>
      <c r="DR117" s="315" t="e">
        <f>IF($J117="",#N/A,SUM(DQ$4:DQ117))</f>
        <v>#N/A</v>
      </c>
      <c r="DS117" s="315" t="e">
        <f>IF($J117="",#N/A,SUM(DQ$4:DQ117,DO$4:DO117,DM$4:DM117))</f>
        <v>#N/A</v>
      </c>
      <c r="DT117" s="304" t="str">
        <f t="shared" si="171"/>
        <v/>
      </c>
      <c r="DU117" s="313" t="e">
        <f>IF($J117="",#N/A,SUM(DT$4:DT117))</f>
        <v>#N/A</v>
      </c>
      <c r="DV117" s="314" t="str">
        <f t="shared" si="172"/>
        <v/>
      </c>
      <c r="DW117" s="314" t="e">
        <f>IF($J117="",#N/A,SUM(DV$4:DV117))</f>
        <v>#N/A</v>
      </c>
      <c r="DX117" s="315" t="str">
        <f t="shared" si="173"/>
        <v/>
      </c>
      <c r="DY117" s="315" t="e">
        <f>IF($J117="",#N/A,SUM(DX$4:DX117))</f>
        <v>#N/A</v>
      </c>
      <c r="DZ117" s="315" t="e">
        <f>IF($J117="",#N/A,SUM(DX$4:DX117,DV$4:DV117,DT$4:DT117))</f>
        <v>#N/A</v>
      </c>
      <c r="EA117" s="304" t="str">
        <f t="shared" si="174"/>
        <v/>
      </c>
      <c r="EB117" s="313" t="e">
        <f>IF($J117="",#N/A,SUM(EA$4:EA117))</f>
        <v>#N/A</v>
      </c>
      <c r="EC117" s="314" t="str">
        <f t="shared" si="175"/>
        <v/>
      </c>
      <c r="ED117" s="314" t="e">
        <f>IF($J117="",#N/A,SUM(EC$4:EC117))</f>
        <v>#N/A</v>
      </c>
      <c r="EE117" s="315" t="str">
        <f t="shared" si="176"/>
        <v/>
      </c>
      <c r="EF117" s="315" t="e">
        <f>IF($J117="",#N/A,SUM(EE$4:EE117))</f>
        <v>#N/A</v>
      </c>
      <c r="EG117" s="315" t="e">
        <f>IF($J117="",#N/A,SUM(EE$4:EE117,EC$4:EC117,EA$4:EA117))</f>
        <v>#N/A</v>
      </c>
      <c r="EH117" s="130">
        <f t="shared" si="177"/>
        <v>22.970000000000027</v>
      </c>
      <c r="EI117" s="63">
        <f>IF(EH117="",#N/A,SUM($EH$4:EH117))</f>
        <v>564.89771813382049</v>
      </c>
      <c r="EJ117" s="223" t="e">
        <f t="shared" si="178"/>
        <v>#N/A</v>
      </c>
      <c r="EK117" s="63" t="e">
        <f>IF($GZ117="",#N/A,SUM(EJ$4:EJ117))</f>
        <v>#N/A</v>
      </c>
      <c r="EL117" s="60">
        <f t="shared" si="209"/>
        <v>0.70500779590684293</v>
      </c>
      <c r="EM117" s="60">
        <f>IF(EL117="",NA(),SUM($EL$4:EL117))</f>
        <v>21.735717608079369</v>
      </c>
      <c r="EN117" s="60" t="str">
        <f t="shared" si="179"/>
        <v/>
      </c>
      <c r="EO117" s="60" t="e">
        <f>IF(EN117="",NA(),SUM($EN$4:EN117))</f>
        <v>#N/A</v>
      </c>
      <c r="EP117" s="60">
        <f t="shared" si="180"/>
        <v>0.70500779590684293</v>
      </c>
      <c r="EQ117" s="60">
        <f>IF(EP117="",NA(),SUM($EP$4:EP117))</f>
        <v>9.9106834039593199</v>
      </c>
      <c r="ER117" s="60" t="str">
        <f t="shared" si="181"/>
        <v/>
      </c>
      <c r="ES117" s="60" t="e">
        <f>IF(ER117="",NA(),SUM($ER$4:ER117))</f>
        <v>#N/A</v>
      </c>
      <c r="ET117" s="60" t="str">
        <f t="shared" si="182"/>
        <v/>
      </c>
      <c r="EU117" s="60" t="e">
        <f>IF(ET117="",NA(),SUM($ET$4:ET117))</f>
        <v>#N/A</v>
      </c>
      <c r="EV117" s="60" t="str">
        <f t="shared" si="183"/>
        <v/>
      </c>
      <c r="EW117" s="60" t="e">
        <f>IF(EV117="",NA(),SUM($EV$4:EV117))</f>
        <v>#N/A</v>
      </c>
      <c r="EX117" s="60" t="str">
        <f t="shared" si="184"/>
        <v/>
      </c>
      <c r="EY117" s="60" t="e">
        <f>IF(EX117="",NA(),SUM($EX$4:EX117))</f>
        <v>#N/A</v>
      </c>
      <c r="EZ117" s="60" t="str">
        <f t="shared" si="185"/>
        <v/>
      </c>
      <c r="FA117" s="60" t="e">
        <f>IF(EZ117="",NA(),SUM($EZ$4:EZ117))</f>
        <v>#N/A</v>
      </c>
      <c r="FB117" s="246" t="str">
        <f t="shared" si="210"/>
        <v/>
      </c>
      <c r="FC117" s="246" t="e">
        <f>IF($FB117="",#N/A,SUM(FB$4:$FB117))</f>
        <v>#N/A</v>
      </c>
      <c r="FD117" s="60" t="str">
        <f t="shared" si="186"/>
        <v/>
      </c>
      <c r="FE117" s="60" t="e">
        <f>IF($FD117="",#N/A,SUM($FD$4:FD117))</f>
        <v>#N/A</v>
      </c>
      <c r="FF117" s="60" t="str">
        <f t="shared" si="187"/>
        <v/>
      </c>
      <c r="FG117" s="60" t="e">
        <f>IF($FF117="",#N/A,SUM($FF$4:FF117))</f>
        <v>#N/A</v>
      </c>
      <c r="FH117" s="60" t="str">
        <f t="shared" si="188"/>
        <v/>
      </c>
      <c r="FI117" s="60" t="e">
        <f>IF($FH117="",#N/A,SUM($FH$4:FH117))</f>
        <v>#N/A</v>
      </c>
      <c r="FJ117" s="60">
        <f t="shared" si="189"/>
        <v>0.14149263992732053</v>
      </c>
      <c r="FK117" s="60">
        <f>IF($FJ117="",#N/A,SUM($FJ$4:FJ117))</f>
        <v>2.3722381799625021</v>
      </c>
      <c r="FL117" s="60" t="str">
        <f t="shared" si="190"/>
        <v/>
      </c>
      <c r="FM117" s="60" t="e">
        <f>IF($FL117="",#N/A,SUM($FL$4:FL117))</f>
        <v>#N/A</v>
      </c>
      <c r="FN117" s="82">
        <f t="shared" si="191"/>
        <v>0.84650043583416346</v>
      </c>
      <c r="FO117" s="82">
        <f>IF($FN117="",#N/A,SUM(FN$4:$FN117))</f>
        <v>32.896915719489435</v>
      </c>
      <c r="FP117" s="82">
        <f t="shared" si="211"/>
        <v>0.70500779590684293</v>
      </c>
      <c r="FQ117" s="246">
        <f>IF($EH117="",#N/A,SUM($FP$4:FP117))</f>
        <v>22.104961655398395</v>
      </c>
      <c r="FR117" s="82">
        <f>IFERROR(FQ117/COUNTA($J$4:J117),#N/A)</f>
        <v>0.1939031724157754</v>
      </c>
      <c r="FS117" s="82">
        <f t="shared" si="223"/>
        <v>0.13872795304558466</v>
      </c>
      <c r="FT117" s="82">
        <f t="shared" si="224"/>
        <v>4.7065450404419097E-3</v>
      </c>
      <c r="FU117" s="337">
        <f>IF(AND(HB117="MOC",GZ117=""),#N/A,IFERROR(FQ117-HE117,FQ117-0))-14.53</f>
        <v>7.9303857079873818</v>
      </c>
      <c r="FV117" s="57" t="str">
        <f t="shared" si="192"/>
        <v>SW</v>
      </c>
      <c r="FW117" s="57" t="s">
        <v>2732</v>
      </c>
      <c r="FX117" s="57" t="str">
        <f t="shared" si="193"/>
        <v/>
      </c>
      <c r="FY117" s="57" t="str">
        <f t="shared" si="194"/>
        <v/>
      </c>
      <c r="FZ117" s="57">
        <f t="shared" si="195"/>
        <v>1</v>
      </c>
      <c r="GA117" s="57" t="str">
        <f t="shared" si="196"/>
        <v>Long</v>
      </c>
      <c r="GB117" s="57" t="str">
        <f t="shared" si="197"/>
        <v/>
      </c>
      <c r="GC117" s="57" t="str">
        <f t="shared" si="198"/>
        <v/>
      </c>
      <c r="GD117" s="57" t="str">
        <f t="shared" si="199"/>
        <v/>
      </c>
      <c r="GE117" s="62">
        <f t="shared" si="114"/>
        <v>543.02</v>
      </c>
      <c r="GF117" s="62" t="s">
        <v>2779</v>
      </c>
      <c r="GG117" s="199">
        <v>1</v>
      </c>
      <c r="GH117" s="207">
        <f t="shared" si="200"/>
        <v>543.02</v>
      </c>
      <c r="GI117" s="199">
        <v>1</v>
      </c>
      <c r="GJ117" s="200">
        <v>565.99</v>
      </c>
      <c r="GK117" s="63">
        <f t="shared" si="201"/>
        <v>22.970000000000027</v>
      </c>
      <c r="GL117" s="63">
        <f t="shared" si="115"/>
        <v>27.580000000000041</v>
      </c>
      <c r="GM117" s="82">
        <f t="shared" si="202"/>
        <v>0.84650043583416346</v>
      </c>
      <c r="GN117" s="82">
        <f>IF($GZ117="",#N/A,SUM(GM$4:GM117))</f>
        <v>14.313042772219736</v>
      </c>
      <c r="GO117" s="82" t="str">
        <f t="shared" si="203"/>
        <v/>
      </c>
      <c r="GP117" s="82">
        <f>IF($GZ117="",#N/A,SUM(GO$4:GO117))</f>
        <v>10.635036056741368</v>
      </c>
      <c r="GQ117" s="82" t="str">
        <f t="shared" si="204"/>
        <v/>
      </c>
      <c r="GR117" s="82">
        <f>IF($GZ117="",#N/A,SUM(GQ$4:GQ117))</f>
        <v>7.322999936085985</v>
      </c>
      <c r="GS117" s="63" t="e">
        <f t="shared" si="212"/>
        <v>#N/A</v>
      </c>
      <c r="GT117" s="63" t="e">
        <f>IF($GZ117="",#N/A,SUM(GS$4:GS117))</f>
        <v>#N/A</v>
      </c>
      <c r="GU117" s="63" t="str">
        <f t="shared" si="213"/>
        <v/>
      </c>
      <c r="GV117" s="63" t="e">
        <f>IF($GZ117="",#N/A,SUM(GU$4:GU117))</f>
        <v>#N/A</v>
      </c>
      <c r="GW117" s="63" t="str">
        <f t="shared" si="214"/>
        <v/>
      </c>
      <c r="GX117" s="63" t="e">
        <f>IF($GZ117="",#N/A,SUM(GW$4:GW117))</f>
        <v>#N/A</v>
      </c>
      <c r="GY117" s="63" t="e">
        <f>IF(EJ117="",#N/A,SUM($EJ$4:EJ117))</f>
        <v>#N/A</v>
      </c>
      <c r="GZ117" s="159">
        <v>570.6</v>
      </c>
      <c r="HA117" s="63">
        <f t="shared" si="205"/>
        <v>4.6100000000000136</v>
      </c>
      <c r="HB117" s="62" t="s">
        <v>2538</v>
      </c>
      <c r="HC117" s="60">
        <f>IFERROR(VLOOKUP(E117,Expectancy!$P$4:$S$19,1+C117,FALSE),"")</f>
        <v>0.27741610538114203</v>
      </c>
      <c r="HD117" s="82">
        <f t="shared" si="206"/>
        <v>0.70500779590684293</v>
      </c>
      <c r="HE117" s="60">
        <f>IF(HD117="",#N/A,SUM($HD$4:HD117))</f>
        <v>-0.35542405258898568</v>
      </c>
      <c r="HF117" s="85">
        <f>IF(HD117="",#N/A,IF(HB117="Skip",#N/A,SUM($HG$4:HG117)))</f>
        <v>9.4499999999999886</v>
      </c>
      <c r="HG117" s="63">
        <f t="shared" si="207"/>
        <v>22.970000000000027</v>
      </c>
      <c r="HH117" s="82">
        <f t="shared" si="208"/>
        <v>0.84650043583416346</v>
      </c>
    </row>
    <row r="118" spans="1:216" x14ac:dyDescent="0.25">
      <c r="A118" s="57" t="s">
        <v>1418</v>
      </c>
      <c r="B118" s="58" t="s">
        <v>5159</v>
      </c>
      <c r="C118" s="386">
        <f t="shared" si="118"/>
        <v>2</v>
      </c>
      <c r="D118" s="372" t="str">
        <f>_xlfn.XLOOKUP(A118,[1]SP500!$A$2:$A$502,[1]SP500!$D$2:$D$502,"N")</f>
        <v>Y</v>
      </c>
      <c r="E118" s="57" t="str">
        <f>_xlfn.XLOOKUP(A118,[1]SP500!$A$2:$A$655,[1]SP500!$B$2:$B$655)</f>
        <v>XLI</v>
      </c>
      <c r="F118" s="59">
        <v>45687</v>
      </c>
      <c r="G118" s="57" t="str">
        <f t="shared" si="119"/>
        <v>BMO</v>
      </c>
      <c r="H118" s="57" t="str">
        <f t="shared" si="120"/>
        <v>s</v>
      </c>
      <c r="I118" s="158">
        <v>211.95</v>
      </c>
      <c r="J118" s="159">
        <v>207.4</v>
      </c>
      <c r="K118" s="61">
        <f t="shared" si="121"/>
        <v>-2.1467327199811197E-2</v>
      </c>
      <c r="L118" s="87">
        <f t="shared" si="122"/>
        <v>9.0999999999999659</v>
      </c>
      <c r="M118" s="130">
        <f t="shared" si="112"/>
        <v>0</v>
      </c>
      <c r="N118" s="169" t="str">
        <f t="shared" si="123"/>
        <v/>
      </c>
      <c r="O118" s="169">
        <f>IF($J118="",#N/A,SUM($N$4:N118))</f>
        <v>217.68810757134344</v>
      </c>
      <c r="P118" s="174">
        <f t="shared" si="124"/>
        <v>9.0999999999999659</v>
      </c>
      <c r="Q118" s="174">
        <f>IF($J118="",#N/A,SUM($P$4:P118))</f>
        <v>117.14104023772649</v>
      </c>
      <c r="R118" s="178" t="str">
        <f t="shared" si="125"/>
        <v/>
      </c>
      <c r="S118" s="178">
        <f>IF($J118="",#N/A,SUM($R$4:R118))</f>
        <v>239.16857032475048</v>
      </c>
      <c r="T118" s="290" t="str">
        <f t="shared" si="126"/>
        <v/>
      </c>
      <c r="U118" s="290">
        <f>IF($J118="",#N/A,SUM($T$4:T118))</f>
        <v>7.7343490944726661</v>
      </c>
      <c r="V118" s="291">
        <f t="shared" si="127"/>
        <v>0.35778878666351999</v>
      </c>
      <c r="W118" s="291">
        <f>IF($J118="",#N/A,SUM($V$4:V118))</f>
        <v>4.9383659960256407</v>
      </c>
      <c r="X118" s="292" t="str">
        <f t="shared" si="128"/>
        <v/>
      </c>
      <c r="Y118" s="283">
        <f>IF($J118="",#N/A,SUM($X$4:X118))</f>
        <v>9.7900353515635938</v>
      </c>
      <c r="Z118" s="304" t="str">
        <f t="shared" si="129"/>
        <v/>
      </c>
      <c r="AA118" s="313" t="e">
        <f>IF($J118="",#N/A,SUM(Z$4:Z118))</f>
        <v>#N/A</v>
      </c>
      <c r="AB118" s="314" t="str">
        <f t="shared" si="130"/>
        <v/>
      </c>
      <c r="AC118" s="314" t="e">
        <f>IF($J118="",#N/A,SUM(AB$4:AB118))</f>
        <v>#N/A</v>
      </c>
      <c r="AD118" s="315" t="str">
        <f t="shared" si="131"/>
        <v/>
      </c>
      <c r="AE118" s="315" t="e">
        <f>IF($J118="",#N/A,SUM(AD$4:AD118))</f>
        <v>#N/A</v>
      </c>
      <c r="AF118" s="315" t="e">
        <f>IF($J118="",#N/A,SUM(AD$4:AD118,AB$4:AB118,Z$4:Z118))</f>
        <v>#N/A</v>
      </c>
      <c r="AG118" s="304" t="str">
        <f t="shared" si="132"/>
        <v/>
      </c>
      <c r="AH118" s="313" t="e">
        <f>IF($J118="",#N/A,SUM(AG$4:AG118))</f>
        <v>#N/A</v>
      </c>
      <c r="AI118" s="314" t="str">
        <f t="shared" si="133"/>
        <v/>
      </c>
      <c r="AJ118" s="314" t="e">
        <f>IF($J118="",#N/A,SUM(AI$4:AI118))</f>
        <v>#N/A</v>
      </c>
      <c r="AK118" s="315" t="str">
        <f t="shared" si="134"/>
        <v/>
      </c>
      <c r="AL118" s="315" t="e">
        <f>IF($J118="",#N/A,SUM(AK$4:AK118))</f>
        <v>#N/A</v>
      </c>
      <c r="AM118" s="315" t="e">
        <f>IF($J118="",#N/A,SUM(AK$4:AK118,AI$4:AI118,AG$4:AG118))</f>
        <v>#N/A</v>
      </c>
      <c r="AN118" s="304" t="str">
        <f t="shared" si="135"/>
        <v/>
      </c>
      <c r="AO118" s="313" t="e">
        <f>IF($J118="",#N/A,SUM(AN$4:AN118))</f>
        <v>#N/A</v>
      </c>
      <c r="AP118" s="314" t="str">
        <f t="shared" si="136"/>
        <v/>
      </c>
      <c r="AQ118" s="314" t="e">
        <f>IF($J118="",#N/A,SUM(AP$4:AP118))</f>
        <v>#N/A</v>
      </c>
      <c r="AR118" s="315" t="str">
        <f t="shared" si="137"/>
        <v/>
      </c>
      <c r="AS118" s="315" t="e">
        <f>IF($J118="",#N/A,SUM(AR$4:AR118))</f>
        <v>#N/A</v>
      </c>
      <c r="AT118" s="315" t="e">
        <f>IF($J118="",#N/A,SUM(AR$4:AR118,AP$4:AP118,AN$4:AN118))</f>
        <v>#N/A</v>
      </c>
      <c r="AU118" s="304" t="str">
        <f t="shared" si="138"/>
        <v/>
      </c>
      <c r="AV118" s="313" t="e">
        <f>IF($J118="",#N/A,SUM(AU$4:AU118))</f>
        <v>#N/A</v>
      </c>
      <c r="AW118" s="314" t="str">
        <f t="shared" si="139"/>
        <v/>
      </c>
      <c r="AX118" s="314" t="e">
        <f>IF($J118="",#N/A,SUM(AW$4:AW118))</f>
        <v>#N/A</v>
      </c>
      <c r="AY118" s="315" t="str">
        <f t="shared" si="140"/>
        <v/>
      </c>
      <c r="AZ118" s="315" t="e">
        <f>IF($J118="",#N/A,SUM(AY$4:AY118))</f>
        <v>#N/A</v>
      </c>
      <c r="BA118" s="315" t="e">
        <f>IF($J118="",#N/A,SUM(AY$4:AY118,AW$4:AW118,AU$4:AU118))</f>
        <v>#N/A</v>
      </c>
      <c r="BB118" s="304" t="str">
        <f t="shared" si="141"/>
        <v/>
      </c>
      <c r="BC118" s="313" t="e">
        <f>IF($J118="",#N/A,SUM(BB$4:BB118))</f>
        <v>#N/A</v>
      </c>
      <c r="BD118" s="314" t="str">
        <f t="shared" si="142"/>
        <v/>
      </c>
      <c r="BE118" s="314" t="e">
        <f>IF($J118="",#N/A,SUM(BD$4:BD118))</f>
        <v>#N/A</v>
      </c>
      <c r="BF118" s="315" t="str">
        <f t="shared" si="143"/>
        <v/>
      </c>
      <c r="BG118" s="315" t="e">
        <f>IF($J118="",#N/A,SUM(BF$4:BF118))</f>
        <v>#N/A</v>
      </c>
      <c r="BH118" s="315" t="e">
        <f>IF($J118="",#N/A,SUM(BF$4:BF118,BD$4:BD118,BB$4:BB118))</f>
        <v>#N/A</v>
      </c>
      <c r="BI118" s="304" t="str">
        <f t="shared" si="144"/>
        <v/>
      </c>
      <c r="BJ118" s="313" t="e">
        <f>IF($J118="",#N/A,SUM(BI$4:BI118))</f>
        <v>#N/A</v>
      </c>
      <c r="BK118" s="314" t="str">
        <f t="shared" si="145"/>
        <v/>
      </c>
      <c r="BL118" s="314" t="e">
        <f>IF($J118="",#N/A,SUM(BK$4:BK118))</f>
        <v>#N/A</v>
      </c>
      <c r="BM118" s="315" t="str">
        <f t="shared" si="146"/>
        <v/>
      </c>
      <c r="BN118" s="315" t="e">
        <f>IF($J118="",#N/A,SUM(BM$4:BM118))</f>
        <v>#N/A</v>
      </c>
      <c r="BO118" s="315" t="e">
        <f>IF($J118="",#N/A,SUM(BM$4:BM118,BK$4:BK118,BI$4:BI118))</f>
        <v>#N/A</v>
      </c>
      <c r="BP118" s="304" t="str">
        <f t="shared" si="147"/>
        <v/>
      </c>
      <c r="BQ118" s="313" t="e">
        <f>IF($J118="",#N/A,SUM(BP$4:BP118))</f>
        <v>#N/A</v>
      </c>
      <c r="BR118" s="314">
        <f t="shared" si="148"/>
        <v>0.35778878666351999</v>
      </c>
      <c r="BS118" s="314" t="e">
        <f>IF($J118="",#N/A,SUM(BR$4:BR118))</f>
        <v>#N/A</v>
      </c>
      <c r="BT118" s="315" t="str">
        <f t="shared" si="149"/>
        <v/>
      </c>
      <c r="BU118" s="315" t="e">
        <f>IF($J118="",#N/A,SUM(BT$4:BT118))</f>
        <v>#N/A</v>
      </c>
      <c r="BV118" s="315" t="e">
        <f>IF($J118="",#N/A,SUM(BT$4:BT118,BR$4:BR118,BP$4:BP118))</f>
        <v>#N/A</v>
      </c>
      <c r="BW118" s="304" t="str">
        <f t="shared" si="150"/>
        <v/>
      </c>
      <c r="BX118" s="313" t="e">
        <f>IF($J118="",#N/A,SUM(BW$4:BW118))</f>
        <v>#N/A</v>
      </c>
      <c r="BY118" s="314" t="str">
        <f t="shared" si="151"/>
        <v/>
      </c>
      <c r="BZ118" s="314" t="e">
        <f>IF($J118="",#N/A,SUM(BY$4:BY118))</f>
        <v>#N/A</v>
      </c>
      <c r="CA118" s="315" t="str">
        <f t="shared" si="152"/>
        <v/>
      </c>
      <c r="CB118" s="315" t="e">
        <f>IF($J118="",#N/A,SUM(CA$4:CA118))</f>
        <v>#N/A</v>
      </c>
      <c r="CC118" s="315" t="e">
        <f>IF($J118="",#N/A,SUM(CA$4:CA118,BY$4:BY118,BW$4:BW118))</f>
        <v>#N/A</v>
      </c>
      <c r="CD118" s="304" t="str">
        <f t="shared" si="153"/>
        <v/>
      </c>
      <c r="CE118" s="313" t="e">
        <f>IF($J118="",#N/A,SUM(CD$4:CD118))</f>
        <v>#N/A</v>
      </c>
      <c r="CF118" s="314" t="str">
        <f t="shared" si="154"/>
        <v/>
      </c>
      <c r="CG118" s="314" t="e">
        <f>IF($J118="",#N/A,SUM(CF$4:CF118))</f>
        <v>#N/A</v>
      </c>
      <c r="CH118" s="315" t="str">
        <f t="shared" si="155"/>
        <v/>
      </c>
      <c r="CI118" s="315" t="e">
        <f>IF($J118="",#N/A,SUM(CH$4:CH118))</f>
        <v>#N/A</v>
      </c>
      <c r="CJ118" s="315" t="e">
        <f>IF($J118="",#N/A,SUM(CH$4:CH118,CF$4:CF118,CD$4:CD118))</f>
        <v>#N/A</v>
      </c>
      <c r="CK118" s="304" t="str">
        <f t="shared" si="156"/>
        <v/>
      </c>
      <c r="CL118" s="313" t="e">
        <f>IF($J118="",#N/A,SUM(CK$4:CK118))</f>
        <v>#N/A</v>
      </c>
      <c r="CM118" s="314" t="str">
        <f t="shared" si="157"/>
        <v/>
      </c>
      <c r="CN118" s="314" t="e">
        <f>IF($J118="",#N/A,SUM(CM$4:CM118))</f>
        <v>#N/A</v>
      </c>
      <c r="CO118" s="315" t="str">
        <f t="shared" si="158"/>
        <v/>
      </c>
      <c r="CP118" s="315" t="e">
        <f>IF($J118="",#N/A,SUM(CO$4:CO118))</f>
        <v>#N/A</v>
      </c>
      <c r="CQ118" s="315" t="e">
        <f>IF($J118="",#N/A,SUM(CO$4:CO118,CM$4:CM118,CK$4:CK118))</f>
        <v>#N/A</v>
      </c>
      <c r="CR118" s="304" t="str">
        <f t="shared" si="159"/>
        <v/>
      </c>
      <c r="CS118" s="313" t="e">
        <f>IF($J118="",#N/A,SUM(CR$4:CR118))</f>
        <v>#N/A</v>
      </c>
      <c r="CT118" s="314" t="str">
        <f t="shared" si="160"/>
        <v/>
      </c>
      <c r="CU118" s="314" t="e">
        <f>IF($J118="",#N/A,SUM(CT$4:CT118))</f>
        <v>#N/A</v>
      </c>
      <c r="CV118" s="315" t="str">
        <f t="shared" si="161"/>
        <v/>
      </c>
      <c r="CW118" s="315" t="e">
        <f>IF($J118="",#N/A,SUM(CV$4:CV118))</f>
        <v>#N/A</v>
      </c>
      <c r="CX118" s="315" t="e">
        <f>IF($J118="",#N/A,SUM(CV$4:CV118,CT$4:CT118,CR$4:CR118))</f>
        <v>#N/A</v>
      </c>
      <c r="CY118" s="304" t="str">
        <f t="shared" si="162"/>
        <v/>
      </c>
      <c r="CZ118" s="313" t="e">
        <f>IF($J118="",#N/A,SUM(CY$4:CY118))</f>
        <v>#N/A</v>
      </c>
      <c r="DA118" s="314" t="str">
        <f t="shared" si="163"/>
        <v/>
      </c>
      <c r="DB118" s="314" t="e">
        <f>IF($J118="",#N/A,SUM(DA$4:DA118))</f>
        <v>#N/A</v>
      </c>
      <c r="DC118" s="315" t="str">
        <f t="shared" si="164"/>
        <v/>
      </c>
      <c r="DD118" s="315" t="e">
        <f>IF($J118="",#N/A,SUM(DC$4:DC118))</f>
        <v>#N/A</v>
      </c>
      <c r="DE118" s="315" t="e">
        <f>IF($J118="",#N/A,SUM(DC$4:DC118,DA$4:DA118,CY$4:CY118))</f>
        <v>#N/A</v>
      </c>
      <c r="DF118" s="304" t="str">
        <f t="shared" si="165"/>
        <v/>
      </c>
      <c r="DG118" s="313" t="e">
        <f>IF($J118="",#N/A,SUM(DF$4:DF118))</f>
        <v>#N/A</v>
      </c>
      <c r="DH118" s="314" t="str">
        <f t="shared" si="166"/>
        <v/>
      </c>
      <c r="DI118" s="314" t="e">
        <f>IF($J118="",#N/A,SUM(DH$4:DH118))</f>
        <v>#N/A</v>
      </c>
      <c r="DJ118" s="315" t="str">
        <f t="shared" si="167"/>
        <v/>
      </c>
      <c r="DK118" s="315" t="e">
        <f>IF($J118="",#N/A,SUM(DJ$4:DJ118))</f>
        <v>#N/A</v>
      </c>
      <c r="DL118" s="315" t="e">
        <f>IF($J118="",#N/A,SUM(DJ$4:DJ118,DH$4:DH118,DF$4:DF118))</f>
        <v>#N/A</v>
      </c>
      <c r="DM118" s="304" t="str">
        <f t="shared" si="168"/>
        <v/>
      </c>
      <c r="DN118" s="313" t="e">
        <f>IF($J118="",#N/A,SUM(DM$4:DM118))</f>
        <v>#N/A</v>
      </c>
      <c r="DO118" s="314" t="str">
        <f t="shared" si="169"/>
        <v/>
      </c>
      <c r="DP118" s="314" t="e">
        <f>IF($J118="",#N/A,SUM(DO$4:DO118))</f>
        <v>#N/A</v>
      </c>
      <c r="DQ118" s="315" t="str">
        <f t="shared" si="170"/>
        <v/>
      </c>
      <c r="DR118" s="315" t="e">
        <f>IF($J118="",#N/A,SUM(DQ$4:DQ118))</f>
        <v>#N/A</v>
      </c>
      <c r="DS118" s="315" t="e">
        <f>IF($J118="",#N/A,SUM(DQ$4:DQ118,DO$4:DO118,DM$4:DM118))</f>
        <v>#N/A</v>
      </c>
      <c r="DT118" s="304" t="str">
        <f t="shared" si="171"/>
        <v/>
      </c>
      <c r="DU118" s="313" t="e">
        <f>IF($J118="",#N/A,SUM(DT$4:DT118))</f>
        <v>#N/A</v>
      </c>
      <c r="DV118" s="314" t="str">
        <f t="shared" si="172"/>
        <v/>
      </c>
      <c r="DW118" s="314" t="e">
        <f>IF($J118="",#N/A,SUM(DV$4:DV118))</f>
        <v>#N/A</v>
      </c>
      <c r="DX118" s="315" t="str">
        <f t="shared" si="173"/>
        <v/>
      </c>
      <c r="DY118" s="315" t="e">
        <f>IF($J118="",#N/A,SUM(DX$4:DX118))</f>
        <v>#N/A</v>
      </c>
      <c r="DZ118" s="315" t="e">
        <f>IF($J118="",#N/A,SUM(DX$4:DX118,DV$4:DV118,DT$4:DT118))</f>
        <v>#N/A</v>
      </c>
      <c r="EA118" s="304" t="str">
        <f t="shared" si="174"/>
        <v/>
      </c>
      <c r="EB118" s="313" t="e">
        <f>IF($J118="",#N/A,SUM(EA$4:EA118))</f>
        <v>#N/A</v>
      </c>
      <c r="EC118" s="314" t="str">
        <f t="shared" si="175"/>
        <v/>
      </c>
      <c r="ED118" s="314" t="e">
        <f>IF($J118="",#N/A,SUM(EC$4:EC118))</f>
        <v>#N/A</v>
      </c>
      <c r="EE118" s="315" t="str">
        <f t="shared" si="176"/>
        <v/>
      </c>
      <c r="EF118" s="315" t="e">
        <f>IF($J118="",#N/A,SUM(EE$4:EE118))</f>
        <v>#N/A</v>
      </c>
      <c r="EG118" s="315" t="e">
        <f>IF($J118="",#N/A,SUM(EE$4:EE118,EC$4:EC118,EA$4:EA118))</f>
        <v>#N/A</v>
      </c>
      <c r="EH118" s="130">
        <f t="shared" si="177"/>
        <v>9.0999999999999659</v>
      </c>
      <c r="EI118" s="63">
        <f>IF(EH118="",#N/A,SUM($EH$4:EH118))</f>
        <v>573.9977181338204</v>
      </c>
      <c r="EJ118" s="223" t="e">
        <f t="shared" si="178"/>
        <v>#N/A</v>
      </c>
      <c r="EK118" s="63" t="e">
        <f>IF($GZ118="",#N/A,SUM(EJ$4:EJ118))</f>
        <v>#N/A</v>
      </c>
      <c r="EL118" s="60">
        <f t="shared" si="209"/>
        <v>0.35778878666351999</v>
      </c>
      <c r="EM118" s="60">
        <f>IF(EL118="",NA(),SUM($EL$4:EL118))</f>
        <v>22.093506394742889</v>
      </c>
      <c r="EN118" s="60" t="str">
        <f t="shared" si="179"/>
        <v/>
      </c>
      <c r="EO118" s="60" t="e">
        <f>IF(EN118="",NA(),SUM($EN$4:EN118))</f>
        <v>#N/A</v>
      </c>
      <c r="EP118" s="60" t="str">
        <f t="shared" si="180"/>
        <v/>
      </c>
      <c r="EQ118" s="60" t="e">
        <f>IF(EP118="",NA(),SUM($EP$4:EP118))</f>
        <v>#N/A</v>
      </c>
      <c r="ER118" s="60">
        <f t="shared" si="181"/>
        <v>0.35778878666351999</v>
      </c>
      <c r="ES118" s="60">
        <f>IF(ER118="",NA(),SUM($ER$4:ER118))</f>
        <v>4.9383659960256407</v>
      </c>
      <c r="ET118" s="60" t="str">
        <f t="shared" si="182"/>
        <v/>
      </c>
      <c r="EU118" s="60" t="e">
        <f>IF(ET118="",NA(),SUM($ET$4:ET118))</f>
        <v>#N/A</v>
      </c>
      <c r="EV118" s="60" t="str">
        <f t="shared" si="183"/>
        <v/>
      </c>
      <c r="EW118" s="60" t="e">
        <f>IF(EV118="",NA(),SUM($EV$4:EV118))</f>
        <v>#N/A</v>
      </c>
      <c r="EX118" s="60" t="str">
        <f t="shared" si="184"/>
        <v/>
      </c>
      <c r="EY118" s="60" t="e">
        <f>IF(EX118="",NA(),SUM($EX$4:EX118))</f>
        <v>#N/A</v>
      </c>
      <c r="EZ118" s="60" t="str">
        <f t="shared" si="185"/>
        <v/>
      </c>
      <c r="FA118" s="60" t="e">
        <f>IF(EZ118="",NA(),SUM($EZ$4:EZ118))</f>
        <v>#N/A</v>
      </c>
      <c r="FB118" s="246">
        <f t="shared" si="210"/>
        <v>-0.36643862546197981</v>
      </c>
      <c r="FC118" s="246">
        <f>IF($FB118="",#N/A,SUM(FB$4:$FB118))</f>
        <v>1.7422323456099116</v>
      </c>
      <c r="FD118" s="60" t="str">
        <f t="shared" si="186"/>
        <v/>
      </c>
      <c r="FE118" s="60" t="e">
        <f>IF($FD118="",#N/A,SUM($FD$4:FD118))</f>
        <v>#N/A</v>
      </c>
      <c r="FF118" s="60" t="str">
        <f t="shared" si="187"/>
        <v/>
      </c>
      <c r="FG118" s="60" t="e">
        <f>IF($FF118="",#N/A,SUM($FF$4:FF118))</f>
        <v>#N/A</v>
      </c>
      <c r="FH118" s="60" t="str">
        <f t="shared" si="188"/>
        <v/>
      </c>
      <c r="FI118" s="60" t="e">
        <f>IF($FH118="",#N/A,SUM($FH$4:FH118))</f>
        <v>#N/A</v>
      </c>
      <c r="FJ118" s="60" t="str">
        <f t="shared" si="189"/>
        <v/>
      </c>
      <c r="FK118" s="60" t="e">
        <f>IF($FJ118="",#N/A,SUM($FJ$4:FJ118))</f>
        <v>#N/A</v>
      </c>
      <c r="FL118" s="60" t="str">
        <f t="shared" si="190"/>
        <v/>
      </c>
      <c r="FM118" s="60" t="e">
        <f>IF($FL118="",#N/A,SUM($FL$4:FL118))</f>
        <v>#N/A</v>
      </c>
      <c r="FN118" s="82">
        <f t="shared" si="191"/>
        <v>-8.6498387984598295E-3</v>
      </c>
      <c r="FO118" s="82">
        <f>IF($FN118="",#N/A,SUM(FN$4:$FN118))</f>
        <v>32.888265880690973</v>
      </c>
      <c r="FP118" s="82">
        <f t="shared" si="211"/>
        <v>0.35778878666351999</v>
      </c>
      <c r="FQ118" s="246">
        <f>IF($EH118="",#N/A,SUM($FP$4:FP118))</f>
        <v>22.462750442061914</v>
      </c>
      <c r="FR118" s="82">
        <f>IFERROR(FQ118/COUNTA($J$4:J118),#N/A)</f>
        <v>0.19532826471358186</v>
      </c>
      <c r="FS118" s="82">
        <f t="shared" si="223"/>
        <v>0.16393212680811389</v>
      </c>
      <c r="FT118" s="82">
        <f t="shared" si="224"/>
        <v>-2.1789177833225749E-2</v>
      </c>
      <c r="FU118" s="337">
        <f>IF(AND(HB118="MOC",GZ118=""),#N/A,IFERROR(FQ118-HE118,FQ118-0))-14.53</f>
        <v>7.9303857079873818</v>
      </c>
      <c r="FV118" s="57" t="str">
        <f t="shared" si="192"/>
        <v>Dwn</v>
      </c>
      <c r="FW118" s="57" t="s">
        <v>2733</v>
      </c>
      <c r="FX118" s="57" t="str">
        <f t="shared" si="193"/>
        <v/>
      </c>
      <c r="FY118" s="57" t="str">
        <f t="shared" si="194"/>
        <v/>
      </c>
      <c r="FZ118" s="57" t="str">
        <f t="shared" si="195"/>
        <v/>
      </c>
      <c r="GA118" s="57" t="str">
        <f t="shared" si="196"/>
        <v>Short</v>
      </c>
      <c r="GB118" s="57">
        <f t="shared" si="197"/>
        <v>1</v>
      </c>
      <c r="GC118" s="57" t="str">
        <f t="shared" si="198"/>
        <v/>
      </c>
      <c r="GD118" s="57" t="str">
        <f t="shared" si="199"/>
        <v/>
      </c>
      <c r="GE118" s="62">
        <f t="shared" si="114"/>
        <v>211.95</v>
      </c>
      <c r="GF118" s="62" t="s">
        <v>2780</v>
      </c>
      <c r="GG118" s="199">
        <v>2</v>
      </c>
      <c r="GH118" s="207">
        <f t="shared" si="200"/>
        <v>423.9</v>
      </c>
      <c r="GI118" s="199">
        <v>2</v>
      </c>
      <c r="GJ118" s="200">
        <v>207.4</v>
      </c>
      <c r="GK118" s="63">
        <f t="shared" si="201"/>
        <v>9.0999999999999659</v>
      </c>
      <c r="GL118" s="63">
        <f t="shared" si="115"/>
        <v>-0.22000000000002728</v>
      </c>
      <c r="GM118" s="82" t="str">
        <f t="shared" si="202"/>
        <v/>
      </c>
      <c r="GN118" s="82">
        <f>IF($GZ118="",#N/A,SUM(GM$4:GM118))</f>
        <v>14.313042772219736</v>
      </c>
      <c r="GO118" s="82" t="str">
        <f t="shared" si="203"/>
        <v/>
      </c>
      <c r="GP118" s="82">
        <f>IF($GZ118="",#N/A,SUM(GO$4:GO118))</f>
        <v>10.635036056741368</v>
      </c>
      <c r="GQ118" s="82">
        <f t="shared" si="204"/>
        <v>-8.6498387984598295E-3</v>
      </c>
      <c r="GR118" s="82">
        <f>IF($GZ118="",#N/A,SUM(GQ$4:GQ118))</f>
        <v>7.3143500972875248</v>
      </c>
      <c r="GS118" s="63" t="str">
        <f t="shared" si="212"/>
        <v/>
      </c>
      <c r="GT118" s="63" t="e">
        <f>IF($GZ118="",#N/A,SUM(GS$4:GS118))</f>
        <v>#N/A</v>
      </c>
      <c r="GU118" s="63" t="str">
        <f t="shared" si="213"/>
        <v/>
      </c>
      <c r="GV118" s="63" t="e">
        <f>IF($GZ118="",#N/A,SUM(GU$4:GU118))</f>
        <v>#N/A</v>
      </c>
      <c r="GW118" s="63" t="e">
        <f t="shared" si="214"/>
        <v>#N/A</v>
      </c>
      <c r="GX118" s="63" t="e">
        <f>IF($GZ118="",#N/A,SUM(GW$4:GW118))</f>
        <v>#N/A</v>
      </c>
      <c r="GY118" s="63" t="e">
        <f>IF(EJ118="",#N/A,SUM($EJ$4:EJ118))</f>
        <v>#N/A</v>
      </c>
      <c r="GZ118" s="159">
        <v>212.06</v>
      </c>
      <c r="HA118" s="63">
        <f t="shared" si="205"/>
        <v>-9.3199999999999932</v>
      </c>
      <c r="HB118" s="62" t="s">
        <v>2538</v>
      </c>
      <c r="HC118" s="60">
        <f>IFERROR(VLOOKUP(E118,Expectancy!$P$4:$S$19,1+C118,FALSE),"")</f>
        <v>0.3117803024854584</v>
      </c>
      <c r="HD118" s="82">
        <f t="shared" si="206"/>
        <v>0.35778878666351999</v>
      </c>
      <c r="HE118" s="60">
        <f>IF(HD118="",#N/A,SUM($HD$4:HD118))</f>
        <v>2.3647340745343026E-3</v>
      </c>
      <c r="HF118" s="85">
        <f>IF(HD118="",#N/A,IF(HB118="Skip",#N/A,SUM($HG$4:HG118)))</f>
        <v>18.549999999999955</v>
      </c>
      <c r="HG118" s="63">
        <f t="shared" si="207"/>
        <v>9.0999999999999659</v>
      </c>
      <c r="HH118" s="82">
        <f t="shared" si="208"/>
        <v>-8.6498387984598295E-3</v>
      </c>
    </row>
    <row r="119" spans="1:216" x14ac:dyDescent="0.25">
      <c r="A119" s="57" t="s">
        <v>1427</v>
      </c>
      <c r="B119" s="58" t="s">
        <v>5161</v>
      </c>
      <c r="C119" s="386">
        <f t="shared" si="118"/>
        <v>3</v>
      </c>
      <c r="D119" s="372" t="str">
        <f>_xlfn.XLOOKUP(A119,[1]SP500!$A$2:$A$502,[1]SP500!$D$2:$D$502,"N")</f>
        <v>Y</v>
      </c>
      <c r="E119" s="57" t="str">
        <f>_xlfn.XLOOKUP(A119,[1]SP500!$A$2:$A$655,[1]SP500!$B$2:$B$655)</f>
        <v>XLE</v>
      </c>
      <c r="F119" s="59">
        <v>45687</v>
      </c>
      <c r="G119" s="57" t="str">
        <f t="shared" si="119"/>
        <v>BMO</v>
      </c>
      <c r="H119" s="57" t="str">
        <f t="shared" si="120"/>
        <v>s</v>
      </c>
      <c r="I119" s="159">
        <v>139.47999999999999</v>
      </c>
      <c r="J119" s="159">
        <v>143.88999999999999</v>
      </c>
      <c r="K119" s="61">
        <f t="shared" si="121"/>
        <v>3.1617436191568662E-2</v>
      </c>
      <c r="L119" s="87">
        <f t="shared" si="122"/>
        <v>13.230000000000018</v>
      </c>
      <c r="M119" s="130">
        <f t="shared" si="112"/>
        <v>0</v>
      </c>
      <c r="N119" s="169" t="str">
        <f t="shared" si="123"/>
        <v/>
      </c>
      <c r="O119" s="169">
        <f>IF($J119="",#N/A,SUM($N$4:N119))</f>
        <v>217.68810757134344</v>
      </c>
      <c r="P119" s="174" t="str">
        <f t="shared" si="124"/>
        <v/>
      </c>
      <c r="Q119" s="174">
        <f>IF($J119="",#N/A,SUM($P$4:P119))</f>
        <v>117.14104023772649</v>
      </c>
      <c r="R119" s="178">
        <f t="shared" si="125"/>
        <v>13.230000000000018</v>
      </c>
      <c r="S119" s="178">
        <f>IF($J119="",#N/A,SUM($R$4:R119))</f>
        <v>252.39857032475049</v>
      </c>
      <c r="T119" s="290" t="str">
        <f t="shared" si="126"/>
        <v/>
      </c>
      <c r="U119" s="290">
        <f>IF($J119="",#N/A,SUM($T$4:T119))</f>
        <v>7.7343490944726661</v>
      </c>
      <c r="V119" s="291" t="str">
        <f t="shared" si="127"/>
        <v/>
      </c>
      <c r="W119" s="291">
        <f>IF($J119="",#N/A,SUM($V$4:V119))</f>
        <v>4.9383659960256407</v>
      </c>
      <c r="X119" s="292">
        <f t="shared" si="128"/>
        <v>0.52695726985947888</v>
      </c>
      <c r="Y119" s="283">
        <f>IF($J119="",#N/A,SUM($X$4:X119))</f>
        <v>10.316992621423072</v>
      </c>
      <c r="Z119" s="304" t="str">
        <f t="shared" si="129"/>
        <v/>
      </c>
      <c r="AA119" s="313" t="e">
        <f>IF($J119="",#N/A,SUM(Z$4:Z119))</f>
        <v>#N/A</v>
      </c>
      <c r="AB119" s="314" t="str">
        <f t="shared" si="130"/>
        <v/>
      </c>
      <c r="AC119" s="314" t="e">
        <f>IF($J119="",#N/A,SUM(AB$4:AB119))</f>
        <v>#N/A</v>
      </c>
      <c r="AD119" s="315" t="str">
        <f t="shared" si="131"/>
        <v/>
      </c>
      <c r="AE119" s="315" t="e">
        <f>IF($J119="",#N/A,SUM(AD$4:AD119))</f>
        <v>#N/A</v>
      </c>
      <c r="AF119" s="315" t="e">
        <f>IF($J119="",#N/A,SUM(AD$4:AD119,AB$4:AB119,Z$4:Z119))</f>
        <v>#N/A</v>
      </c>
      <c r="AG119" s="304" t="str">
        <f t="shared" si="132"/>
        <v/>
      </c>
      <c r="AH119" s="313" t="e">
        <f>IF($J119="",#N/A,SUM(AG$4:AG119))</f>
        <v>#N/A</v>
      </c>
      <c r="AI119" s="314" t="str">
        <f t="shared" si="133"/>
        <v/>
      </c>
      <c r="AJ119" s="314" t="e">
        <f>IF($J119="",#N/A,SUM(AI$4:AI119))</f>
        <v>#N/A</v>
      </c>
      <c r="AK119" s="315" t="str">
        <f t="shared" si="134"/>
        <v/>
      </c>
      <c r="AL119" s="315" t="e">
        <f>IF($J119="",#N/A,SUM(AK$4:AK119))</f>
        <v>#N/A</v>
      </c>
      <c r="AM119" s="315" t="e">
        <f>IF($J119="",#N/A,SUM(AK$4:AK119,AI$4:AI119,AG$4:AG119))</f>
        <v>#N/A</v>
      </c>
      <c r="AN119" s="304" t="str">
        <f t="shared" si="135"/>
        <v/>
      </c>
      <c r="AO119" s="313" t="e">
        <f>IF($J119="",#N/A,SUM(AN$4:AN119))</f>
        <v>#N/A</v>
      </c>
      <c r="AP119" s="314" t="str">
        <f t="shared" si="136"/>
        <v/>
      </c>
      <c r="AQ119" s="314" t="e">
        <f>IF($J119="",#N/A,SUM(AP$4:AP119))</f>
        <v>#N/A</v>
      </c>
      <c r="AR119" s="315" t="str">
        <f t="shared" si="137"/>
        <v/>
      </c>
      <c r="AS119" s="315" t="e">
        <f>IF($J119="",#N/A,SUM(AR$4:AR119))</f>
        <v>#N/A</v>
      </c>
      <c r="AT119" s="315" t="e">
        <f>IF($J119="",#N/A,SUM(AR$4:AR119,AP$4:AP119,AN$4:AN119))</f>
        <v>#N/A</v>
      </c>
      <c r="AU119" s="304" t="str">
        <f t="shared" si="138"/>
        <v/>
      </c>
      <c r="AV119" s="313" t="e">
        <f>IF($J119="",#N/A,SUM(AU$4:AU119))</f>
        <v>#N/A</v>
      </c>
      <c r="AW119" s="314" t="str">
        <f t="shared" si="139"/>
        <v/>
      </c>
      <c r="AX119" s="314" t="e">
        <f>IF($J119="",#N/A,SUM(AW$4:AW119))</f>
        <v>#N/A</v>
      </c>
      <c r="AY119" s="315" t="str">
        <f t="shared" si="140"/>
        <v/>
      </c>
      <c r="AZ119" s="315" t="e">
        <f>IF($J119="",#N/A,SUM(AY$4:AY119))</f>
        <v>#N/A</v>
      </c>
      <c r="BA119" s="315" t="e">
        <f>IF($J119="",#N/A,SUM(AY$4:AY119,AW$4:AW119,AU$4:AU119))</f>
        <v>#N/A</v>
      </c>
      <c r="BB119" s="304" t="str">
        <f t="shared" si="141"/>
        <v/>
      </c>
      <c r="BC119" s="313" t="e">
        <f>IF($J119="",#N/A,SUM(BB$4:BB119))</f>
        <v>#N/A</v>
      </c>
      <c r="BD119" s="314" t="str">
        <f t="shared" si="142"/>
        <v/>
      </c>
      <c r="BE119" s="314" t="e">
        <f>IF($J119="",#N/A,SUM(BD$4:BD119))</f>
        <v>#N/A</v>
      </c>
      <c r="BF119" s="315" t="str">
        <f t="shared" si="143"/>
        <v/>
      </c>
      <c r="BG119" s="315" t="e">
        <f>IF($J119="",#N/A,SUM(BF$4:BF119))</f>
        <v>#N/A</v>
      </c>
      <c r="BH119" s="315" t="e">
        <f>IF($J119="",#N/A,SUM(BF$4:BF119,BD$4:BD119,BB$4:BB119))</f>
        <v>#N/A</v>
      </c>
      <c r="BI119" s="304" t="str">
        <f t="shared" si="144"/>
        <v/>
      </c>
      <c r="BJ119" s="313" t="e">
        <f>IF($J119="",#N/A,SUM(BI$4:BI119))</f>
        <v>#N/A</v>
      </c>
      <c r="BK119" s="314" t="str">
        <f t="shared" si="145"/>
        <v/>
      </c>
      <c r="BL119" s="314" t="e">
        <f>IF($J119="",#N/A,SUM(BK$4:BK119))</f>
        <v>#N/A</v>
      </c>
      <c r="BM119" s="315" t="str">
        <f t="shared" si="146"/>
        <v/>
      </c>
      <c r="BN119" s="315" t="e">
        <f>IF($J119="",#N/A,SUM(BM$4:BM119))</f>
        <v>#N/A</v>
      </c>
      <c r="BO119" s="315" t="e">
        <f>IF($J119="",#N/A,SUM(BM$4:BM119,BK$4:BK119,BI$4:BI119))</f>
        <v>#N/A</v>
      </c>
      <c r="BP119" s="304" t="str">
        <f t="shared" si="147"/>
        <v/>
      </c>
      <c r="BQ119" s="313" t="e">
        <f>IF($J119="",#N/A,SUM(BP$4:BP119))</f>
        <v>#N/A</v>
      </c>
      <c r="BR119" s="314" t="str">
        <f t="shared" si="148"/>
        <v/>
      </c>
      <c r="BS119" s="314" t="e">
        <f>IF($J119="",#N/A,SUM(BR$4:BR119))</f>
        <v>#N/A</v>
      </c>
      <c r="BT119" s="315" t="str">
        <f t="shared" si="149"/>
        <v/>
      </c>
      <c r="BU119" s="315" t="e">
        <f>IF($J119="",#N/A,SUM(BT$4:BT119))</f>
        <v>#N/A</v>
      </c>
      <c r="BV119" s="315" t="e">
        <f>IF($J119="",#N/A,SUM(BT$4:BT119,BR$4:BR119,BP$4:BP119))</f>
        <v>#N/A</v>
      </c>
      <c r="BW119" s="304" t="str">
        <f t="shared" si="150"/>
        <v/>
      </c>
      <c r="BX119" s="313" t="e">
        <f>IF($J119="",#N/A,SUM(BW$4:BW119))</f>
        <v>#N/A</v>
      </c>
      <c r="BY119" s="314" t="str">
        <f t="shared" si="151"/>
        <v/>
      </c>
      <c r="BZ119" s="314" t="e">
        <f>IF($J119="",#N/A,SUM(BY$4:BY119))</f>
        <v>#N/A</v>
      </c>
      <c r="CA119" s="315" t="str">
        <f t="shared" si="152"/>
        <v/>
      </c>
      <c r="CB119" s="315" t="e">
        <f>IF($J119="",#N/A,SUM(CA$4:CA119))</f>
        <v>#N/A</v>
      </c>
      <c r="CC119" s="315" t="e">
        <f>IF($J119="",#N/A,SUM(CA$4:CA119,BY$4:BY119,BW$4:BW119))</f>
        <v>#N/A</v>
      </c>
      <c r="CD119" s="304" t="str">
        <f t="shared" si="153"/>
        <v/>
      </c>
      <c r="CE119" s="313" t="e">
        <f>IF($J119="",#N/A,SUM(CD$4:CD119))</f>
        <v>#N/A</v>
      </c>
      <c r="CF119" s="314" t="str">
        <f t="shared" si="154"/>
        <v/>
      </c>
      <c r="CG119" s="314" t="e">
        <f>IF($J119="",#N/A,SUM(CF$4:CF119))</f>
        <v>#N/A</v>
      </c>
      <c r="CH119" s="315" t="str">
        <f t="shared" si="155"/>
        <v/>
      </c>
      <c r="CI119" s="315" t="e">
        <f>IF($J119="",#N/A,SUM(CH$4:CH119))</f>
        <v>#N/A</v>
      </c>
      <c r="CJ119" s="315" t="e">
        <f>IF($J119="",#N/A,SUM(CH$4:CH119,CF$4:CF119,CD$4:CD119))</f>
        <v>#N/A</v>
      </c>
      <c r="CK119" s="304" t="str">
        <f t="shared" si="156"/>
        <v/>
      </c>
      <c r="CL119" s="313" t="e">
        <f>IF($J119="",#N/A,SUM(CK$4:CK119))</f>
        <v>#N/A</v>
      </c>
      <c r="CM119" s="314" t="str">
        <f t="shared" si="157"/>
        <v/>
      </c>
      <c r="CN119" s="314" t="e">
        <f>IF($J119="",#N/A,SUM(CM$4:CM119))</f>
        <v>#N/A</v>
      </c>
      <c r="CO119" s="315" t="str">
        <f t="shared" si="158"/>
        <v/>
      </c>
      <c r="CP119" s="315" t="e">
        <f>IF($J119="",#N/A,SUM(CO$4:CO119))</f>
        <v>#N/A</v>
      </c>
      <c r="CQ119" s="315" t="e">
        <f>IF($J119="",#N/A,SUM(CO$4:CO119,CM$4:CM119,CK$4:CK119))</f>
        <v>#N/A</v>
      </c>
      <c r="CR119" s="304" t="str">
        <f t="shared" si="159"/>
        <v/>
      </c>
      <c r="CS119" s="313" t="e">
        <f>IF($J119="",#N/A,SUM(CR$4:CR119))</f>
        <v>#N/A</v>
      </c>
      <c r="CT119" s="314" t="str">
        <f t="shared" si="160"/>
        <v/>
      </c>
      <c r="CU119" s="314" t="e">
        <f>IF($J119="",#N/A,SUM(CT$4:CT119))</f>
        <v>#N/A</v>
      </c>
      <c r="CV119" s="315">
        <f t="shared" si="161"/>
        <v>0.52695726985947888</v>
      </c>
      <c r="CW119" s="315" t="e">
        <f>IF($J119="",#N/A,SUM(CV$4:CV119))</f>
        <v>#N/A</v>
      </c>
      <c r="CX119" s="315" t="e">
        <f>IF($J119="",#N/A,SUM(CV$4:CV119,CT$4:CT119,CR$4:CR119))</f>
        <v>#N/A</v>
      </c>
      <c r="CY119" s="304" t="str">
        <f t="shared" si="162"/>
        <v/>
      </c>
      <c r="CZ119" s="313" t="e">
        <f>IF($J119="",#N/A,SUM(CY$4:CY119))</f>
        <v>#N/A</v>
      </c>
      <c r="DA119" s="314" t="str">
        <f t="shared" si="163"/>
        <v/>
      </c>
      <c r="DB119" s="314" t="e">
        <f>IF($J119="",#N/A,SUM(DA$4:DA119))</f>
        <v>#N/A</v>
      </c>
      <c r="DC119" s="315" t="str">
        <f t="shared" si="164"/>
        <v/>
      </c>
      <c r="DD119" s="315" t="e">
        <f>IF($J119="",#N/A,SUM(DC$4:DC119))</f>
        <v>#N/A</v>
      </c>
      <c r="DE119" s="315" t="e">
        <f>IF($J119="",#N/A,SUM(DC$4:DC119,DA$4:DA119,CY$4:CY119))</f>
        <v>#N/A</v>
      </c>
      <c r="DF119" s="304" t="str">
        <f t="shared" si="165"/>
        <v/>
      </c>
      <c r="DG119" s="313" t="e">
        <f>IF($J119="",#N/A,SUM(DF$4:DF119))</f>
        <v>#N/A</v>
      </c>
      <c r="DH119" s="314" t="str">
        <f t="shared" si="166"/>
        <v/>
      </c>
      <c r="DI119" s="314" t="e">
        <f>IF($J119="",#N/A,SUM(DH$4:DH119))</f>
        <v>#N/A</v>
      </c>
      <c r="DJ119" s="315" t="str">
        <f t="shared" si="167"/>
        <v/>
      </c>
      <c r="DK119" s="315" t="e">
        <f>IF($J119="",#N/A,SUM(DJ$4:DJ119))</f>
        <v>#N/A</v>
      </c>
      <c r="DL119" s="315" t="e">
        <f>IF($J119="",#N/A,SUM(DJ$4:DJ119,DH$4:DH119,DF$4:DF119))</f>
        <v>#N/A</v>
      </c>
      <c r="DM119" s="304" t="str">
        <f t="shared" si="168"/>
        <v/>
      </c>
      <c r="DN119" s="313" t="e">
        <f>IF($J119="",#N/A,SUM(DM$4:DM119))</f>
        <v>#N/A</v>
      </c>
      <c r="DO119" s="314" t="str">
        <f t="shared" si="169"/>
        <v/>
      </c>
      <c r="DP119" s="314" t="e">
        <f>IF($J119="",#N/A,SUM(DO$4:DO119))</f>
        <v>#N/A</v>
      </c>
      <c r="DQ119" s="315" t="str">
        <f t="shared" si="170"/>
        <v/>
      </c>
      <c r="DR119" s="315" t="e">
        <f>IF($J119="",#N/A,SUM(DQ$4:DQ119))</f>
        <v>#N/A</v>
      </c>
      <c r="DS119" s="315" t="e">
        <f>IF($J119="",#N/A,SUM(DQ$4:DQ119,DO$4:DO119,DM$4:DM119))</f>
        <v>#N/A</v>
      </c>
      <c r="DT119" s="304" t="str">
        <f t="shared" si="171"/>
        <v/>
      </c>
      <c r="DU119" s="313" t="e">
        <f>IF($J119="",#N/A,SUM(DT$4:DT119))</f>
        <v>#N/A</v>
      </c>
      <c r="DV119" s="314" t="str">
        <f t="shared" si="172"/>
        <v/>
      </c>
      <c r="DW119" s="314" t="e">
        <f>IF($J119="",#N/A,SUM(DV$4:DV119))</f>
        <v>#N/A</v>
      </c>
      <c r="DX119" s="315" t="str">
        <f t="shared" si="173"/>
        <v/>
      </c>
      <c r="DY119" s="315" t="e">
        <f>IF($J119="",#N/A,SUM(DX$4:DX119))</f>
        <v>#N/A</v>
      </c>
      <c r="DZ119" s="315" t="e">
        <f>IF($J119="",#N/A,SUM(DX$4:DX119,DV$4:DV119,DT$4:DT119))</f>
        <v>#N/A</v>
      </c>
      <c r="EA119" s="304" t="str">
        <f t="shared" si="174"/>
        <v/>
      </c>
      <c r="EB119" s="313" t="e">
        <f>IF($J119="",#N/A,SUM(EA$4:EA119))</f>
        <v>#N/A</v>
      </c>
      <c r="EC119" s="314" t="str">
        <f t="shared" si="175"/>
        <v/>
      </c>
      <c r="ED119" s="314" t="e">
        <f>IF($J119="",#N/A,SUM(EC$4:EC119))</f>
        <v>#N/A</v>
      </c>
      <c r="EE119" s="315" t="str">
        <f t="shared" si="176"/>
        <v/>
      </c>
      <c r="EF119" s="315" t="e">
        <f>IF($J119="",#N/A,SUM(EE$4:EE119))</f>
        <v>#N/A</v>
      </c>
      <c r="EG119" s="315" t="e">
        <f>IF($J119="",#N/A,SUM(EE$4:EE119,EC$4:EC119,EA$4:EA119))</f>
        <v>#N/A</v>
      </c>
      <c r="EH119" s="130">
        <f t="shared" si="177"/>
        <v>13.230000000000018</v>
      </c>
      <c r="EI119" s="63">
        <f>IF(EH119="",#N/A,SUM($EH$4:EH119))</f>
        <v>587.22771813382042</v>
      </c>
      <c r="EJ119" s="223" t="e">
        <f t="shared" si="178"/>
        <v>#N/A</v>
      </c>
      <c r="EK119" s="63" t="e">
        <f>IF($GZ119="",#N/A,SUM(EJ$4:EJ119))</f>
        <v>#N/A</v>
      </c>
      <c r="EL119" s="60">
        <f t="shared" si="209"/>
        <v>0.52695726985947888</v>
      </c>
      <c r="EM119" s="60">
        <f>IF(EL119="",NA(),SUM($EL$4:EL119))</f>
        <v>22.620463664602369</v>
      </c>
      <c r="EN119" s="60" t="str">
        <f t="shared" si="179"/>
        <v/>
      </c>
      <c r="EO119" s="60" t="e">
        <f>IF(EN119="",NA(),SUM($EN$4:EN119))</f>
        <v>#N/A</v>
      </c>
      <c r="EP119" s="60">
        <f t="shared" si="180"/>
        <v>0.52695726985947888</v>
      </c>
      <c r="EQ119" s="60">
        <f>IF(EP119="",NA(),SUM($EP$4:EP119))</f>
        <v>10.437640673818798</v>
      </c>
      <c r="ER119" s="60" t="str">
        <f t="shared" si="181"/>
        <v/>
      </c>
      <c r="ES119" s="60" t="e">
        <f>IF(ER119="",NA(),SUM($ER$4:ER119))</f>
        <v>#N/A</v>
      </c>
      <c r="ET119" s="60" t="str">
        <f t="shared" si="182"/>
        <v/>
      </c>
      <c r="EU119" s="60" t="e">
        <f>IF(ET119="",NA(),SUM($ET$4:ET119))</f>
        <v>#N/A</v>
      </c>
      <c r="EV119" s="60" t="str">
        <f t="shared" si="183"/>
        <v/>
      </c>
      <c r="EW119" s="60" t="e">
        <f>IF(EV119="",NA(),SUM($EV$4:EV119))</f>
        <v>#N/A</v>
      </c>
      <c r="EX119" s="60" t="str">
        <f t="shared" si="184"/>
        <v/>
      </c>
      <c r="EY119" s="60" t="e">
        <f>IF(EX119="",NA(),SUM($EX$4:EX119))</f>
        <v>#N/A</v>
      </c>
      <c r="EZ119" s="60" t="str">
        <f t="shared" si="185"/>
        <v/>
      </c>
      <c r="FA119" s="60" t="e">
        <f>IF(EZ119="",NA(),SUM($EZ$4:EZ119))</f>
        <v>#N/A</v>
      </c>
      <c r="FB119" s="246" t="str">
        <f t="shared" si="210"/>
        <v/>
      </c>
      <c r="FC119" s="246" t="e">
        <f>IF($FB119="",#N/A,SUM(FB$4:$FB119))</f>
        <v>#N/A</v>
      </c>
      <c r="FD119" s="60" t="str">
        <f t="shared" si="186"/>
        <v/>
      </c>
      <c r="FE119" s="60" t="e">
        <f>IF($FD119="",#N/A,SUM($FD$4:FD119))</f>
        <v>#N/A</v>
      </c>
      <c r="FF119" s="60" t="str">
        <f t="shared" si="187"/>
        <v/>
      </c>
      <c r="FG119" s="60" t="e">
        <f>IF($FF119="",#N/A,SUM($FF$4:FF119))</f>
        <v>#N/A</v>
      </c>
      <c r="FH119" s="60" t="str">
        <f t="shared" si="188"/>
        <v/>
      </c>
      <c r="FI119" s="60" t="e">
        <f>IF($FH119="",#N/A,SUM($FH$4:FH119))</f>
        <v>#N/A</v>
      </c>
      <c r="FJ119" s="60">
        <f t="shared" si="189"/>
        <v>-1.0120925341745519</v>
      </c>
      <c r="FK119" s="60">
        <f>IF($FJ119="",#N/A,SUM($FJ$4:FJ119))</f>
        <v>1.3601456457879502</v>
      </c>
      <c r="FL119" s="60" t="str">
        <f t="shared" si="190"/>
        <v/>
      </c>
      <c r="FM119" s="60" t="e">
        <f>IF($FL119="",#N/A,SUM($FL$4:FL119))</f>
        <v>#N/A</v>
      </c>
      <c r="FN119" s="82">
        <f t="shared" si="191"/>
        <v>-0.48513526431507309</v>
      </c>
      <c r="FO119" s="82">
        <f>IF($FN119="",#N/A,SUM(FN$4:$FN119))</f>
        <v>32.403130616375897</v>
      </c>
      <c r="FP119" s="82">
        <f t="shared" si="211"/>
        <v>0.52695726985947888</v>
      </c>
      <c r="FQ119" s="246">
        <f>IF($EH119="",#N/A,SUM($FP$4:FP119))</f>
        <v>22.989707711921394</v>
      </c>
      <c r="FR119" s="82">
        <f>IFERROR(FQ119/COUNTA($J$4:J119),#N/A)</f>
        <v>0.19818713544759822</v>
      </c>
      <c r="FS119" s="82">
        <f t="shared" si="223"/>
        <v>0.15497539058440185</v>
      </c>
      <c r="FT119" s="82">
        <f t="shared" si="224"/>
        <v>-1.9608524834122107E-2</v>
      </c>
      <c r="FU119" s="337">
        <f>IF(AND(HB119="MOC",GZ119=""),#N/A,IFERROR(FQ119-HE119,FQ119-0))-14.53</f>
        <v>7.9303857079873818</v>
      </c>
      <c r="FV119" s="57" t="str">
        <f t="shared" si="192"/>
        <v>SW</v>
      </c>
      <c r="FW119" s="57" t="s">
        <v>2732</v>
      </c>
      <c r="FX119" s="57" t="str">
        <f t="shared" si="193"/>
        <v/>
      </c>
      <c r="FY119" s="57" t="str">
        <f t="shared" si="194"/>
        <v/>
      </c>
      <c r="FZ119" s="57">
        <f t="shared" si="195"/>
        <v>1</v>
      </c>
      <c r="GA119" s="57" t="str">
        <f t="shared" si="196"/>
        <v>Long</v>
      </c>
      <c r="GB119" s="57" t="str">
        <f t="shared" si="197"/>
        <v/>
      </c>
      <c r="GC119" s="57" t="str">
        <f t="shared" si="198"/>
        <v/>
      </c>
      <c r="GD119" s="57" t="str">
        <f t="shared" si="199"/>
        <v/>
      </c>
      <c r="GE119" s="62">
        <f t="shared" si="114"/>
        <v>139.47999999999999</v>
      </c>
      <c r="GF119" s="62" t="s">
        <v>2779</v>
      </c>
      <c r="GG119" s="199">
        <v>3</v>
      </c>
      <c r="GH119" s="207">
        <f t="shared" si="200"/>
        <v>418.43999999999994</v>
      </c>
      <c r="GI119" s="199">
        <v>3</v>
      </c>
      <c r="GJ119" s="200">
        <v>143.88999999999999</v>
      </c>
      <c r="GK119" s="63">
        <f t="shared" si="201"/>
        <v>13.230000000000018</v>
      </c>
      <c r="GL119" s="63">
        <f t="shared" si="115"/>
        <v>-12.17999999999995</v>
      </c>
      <c r="GM119" s="82">
        <f t="shared" si="202"/>
        <v>-0.48513526431507309</v>
      </c>
      <c r="GN119" s="82">
        <f>IF($GZ119="",#N/A,SUM(GM$4:GM119))</f>
        <v>13.827907507904664</v>
      </c>
      <c r="GO119" s="82" t="str">
        <f t="shared" si="203"/>
        <v/>
      </c>
      <c r="GP119" s="82">
        <f>IF($GZ119="",#N/A,SUM(GO$4:GO119))</f>
        <v>10.635036056741368</v>
      </c>
      <c r="GQ119" s="82" t="str">
        <f t="shared" si="204"/>
        <v/>
      </c>
      <c r="GR119" s="82">
        <f>IF($GZ119="",#N/A,SUM(GQ$4:GQ119))</f>
        <v>7.3143500972875248</v>
      </c>
      <c r="GS119" s="63" t="e">
        <f t="shared" si="212"/>
        <v>#N/A</v>
      </c>
      <c r="GT119" s="63" t="e">
        <f>IF($GZ119="",#N/A,SUM(GS$4:GS119))</f>
        <v>#N/A</v>
      </c>
      <c r="GU119" s="63" t="str">
        <f t="shared" si="213"/>
        <v/>
      </c>
      <c r="GV119" s="63" t="e">
        <f>IF($GZ119="",#N/A,SUM(GU$4:GU119))</f>
        <v>#N/A</v>
      </c>
      <c r="GW119" s="63" t="str">
        <f t="shared" si="214"/>
        <v/>
      </c>
      <c r="GX119" s="63" t="e">
        <f>IF($GZ119="",#N/A,SUM(GW$4:GW119))</f>
        <v>#N/A</v>
      </c>
      <c r="GY119" s="63" t="e">
        <f>IF(EJ119="",#N/A,SUM($EJ$4:EJ119))</f>
        <v>#N/A</v>
      </c>
      <c r="GZ119" s="159">
        <v>135.41999999999999</v>
      </c>
      <c r="HA119" s="63">
        <f t="shared" si="205"/>
        <v>-25.409999999999968</v>
      </c>
      <c r="HB119" s="62" t="s">
        <v>2538</v>
      </c>
      <c r="HC119" s="60">
        <f>IFERROR(VLOOKUP(E119,Expectancy!$P$4:$S$19,1+C119,FALSE),"")</f>
        <v>-0.14347628028912107</v>
      </c>
      <c r="HD119" s="82">
        <f t="shared" si="206"/>
        <v>0.52695726985947888</v>
      </c>
      <c r="HE119" s="60">
        <f>IF(HD119="",#N/A,SUM($HD$4:HD119))</f>
        <v>0.52932200393401319</v>
      </c>
      <c r="HF119" s="85">
        <f>IF(HD119="",#N/A,IF(HB119="Skip",#N/A,SUM($HG$4:HG119)))</f>
        <v>31.779999999999973</v>
      </c>
      <c r="HG119" s="63">
        <f t="shared" si="207"/>
        <v>13.230000000000018</v>
      </c>
      <c r="HH119" s="82">
        <f t="shared" si="208"/>
        <v>-0.48513526431507309</v>
      </c>
    </row>
    <row r="120" spans="1:216" x14ac:dyDescent="0.25">
      <c r="A120" s="57" t="s">
        <v>1475</v>
      </c>
      <c r="B120" s="58" t="s">
        <v>5160</v>
      </c>
      <c r="C120" s="386">
        <f t="shared" si="118"/>
        <v>2</v>
      </c>
      <c r="D120" s="372" t="str">
        <f>_xlfn.XLOOKUP(A120,[1]SP500!$A$2:$A$502,[1]SP500!$D$2:$D$502,"N")</f>
        <v>N</v>
      </c>
      <c r="E120" s="57" t="str">
        <f>_xlfn.XLOOKUP(A120,[1]SP500!$A$2:$A$655,[1]SP500!$B$2:$B$655)</f>
        <v>XLB</v>
      </c>
      <c r="F120" s="59">
        <v>45687</v>
      </c>
      <c r="G120" s="57" t="str">
        <f t="shared" si="119"/>
        <v>BMO</v>
      </c>
      <c r="H120" s="57" t="str">
        <f t="shared" si="120"/>
        <v>s</v>
      </c>
      <c r="I120" s="159">
        <v>41.05</v>
      </c>
      <c r="J120" s="159">
        <v>39.32</v>
      </c>
      <c r="K120" s="61">
        <f t="shared" si="121"/>
        <v>-4.2143727161997491E-2</v>
      </c>
      <c r="L120" s="87">
        <f t="shared" si="122"/>
        <v>17.300000000000011</v>
      </c>
      <c r="M120" s="130">
        <f t="shared" si="112"/>
        <v>-0.80000000000001137</v>
      </c>
      <c r="N120" s="169" t="str">
        <f t="shared" si="123"/>
        <v/>
      </c>
      <c r="O120" s="169">
        <f>IF($J120="",#N/A,SUM($N$4:N120))</f>
        <v>217.68810757134344</v>
      </c>
      <c r="P120" s="174">
        <f t="shared" si="124"/>
        <v>17.300000000000011</v>
      </c>
      <c r="Q120" s="174">
        <f>IF($J120="",#N/A,SUM($P$4:P120))</f>
        <v>134.4410402377265</v>
      </c>
      <c r="R120" s="178" t="str">
        <f t="shared" si="125"/>
        <v/>
      </c>
      <c r="S120" s="178">
        <f>IF($J120="",#N/A,SUM($R$4:R120))</f>
        <v>252.39857032475049</v>
      </c>
      <c r="T120" s="290" t="str">
        <f t="shared" si="126"/>
        <v/>
      </c>
      <c r="U120" s="290">
        <f>IF($J120="",#N/A,SUM($T$4:T120))</f>
        <v>7.7343490944726661</v>
      </c>
      <c r="V120" s="291">
        <f t="shared" si="127"/>
        <v>0.70239545269995984</v>
      </c>
      <c r="W120" s="291">
        <f>IF($J120="",#N/A,SUM($V$4:V120))</f>
        <v>5.6407614487256001</v>
      </c>
      <c r="X120" s="292" t="str">
        <f t="shared" si="128"/>
        <v/>
      </c>
      <c r="Y120" s="283">
        <f>IF($J120="",#N/A,SUM($X$4:X120))</f>
        <v>10.316992621423072</v>
      </c>
      <c r="Z120" s="304" t="str">
        <f t="shared" si="129"/>
        <v/>
      </c>
      <c r="AA120" s="313" t="e">
        <f>IF($J120="",#N/A,SUM(Z$4:Z120))</f>
        <v>#N/A</v>
      </c>
      <c r="AB120" s="314" t="str">
        <f t="shared" si="130"/>
        <v/>
      </c>
      <c r="AC120" s="314" t="e">
        <f>IF($J120="",#N/A,SUM(AB$4:AB120))</f>
        <v>#N/A</v>
      </c>
      <c r="AD120" s="315" t="str">
        <f t="shared" si="131"/>
        <v/>
      </c>
      <c r="AE120" s="315" t="e">
        <f>IF($J120="",#N/A,SUM(AD$4:AD120))</f>
        <v>#N/A</v>
      </c>
      <c r="AF120" s="315" t="e">
        <f>IF($J120="",#N/A,SUM(AD$4:AD120,AB$4:AB120,Z$4:Z120))</f>
        <v>#N/A</v>
      </c>
      <c r="AG120" s="304" t="str">
        <f t="shared" si="132"/>
        <v/>
      </c>
      <c r="AH120" s="313" t="e">
        <f>IF($J120="",#N/A,SUM(AG$4:AG120))</f>
        <v>#N/A</v>
      </c>
      <c r="AI120" s="314" t="str">
        <f t="shared" si="133"/>
        <v/>
      </c>
      <c r="AJ120" s="314" t="e">
        <f>IF($J120="",#N/A,SUM(AI$4:AI120))</f>
        <v>#N/A</v>
      </c>
      <c r="AK120" s="315" t="str">
        <f t="shared" si="134"/>
        <v/>
      </c>
      <c r="AL120" s="315" t="e">
        <f>IF($J120="",#N/A,SUM(AK$4:AK120))</f>
        <v>#N/A</v>
      </c>
      <c r="AM120" s="315" t="e">
        <f>IF($J120="",#N/A,SUM(AK$4:AK120,AI$4:AI120,AG$4:AG120))</f>
        <v>#N/A</v>
      </c>
      <c r="AN120" s="304" t="str">
        <f t="shared" si="135"/>
        <v/>
      </c>
      <c r="AO120" s="313" t="e">
        <f>IF($J120="",#N/A,SUM(AN$4:AN120))</f>
        <v>#N/A</v>
      </c>
      <c r="AP120" s="314" t="str">
        <f t="shared" si="136"/>
        <v/>
      </c>
      <c r="AQ120" s="314" t="e">
        <f>IF($J120="",#N/A,SUM(AP$4:AP120))</f>
        <v>#N/A</v>
      </c>
      <c r="AR120" s="315" t="str">
        <f t="shared" si="137"/>
        <v/>
      </c>
      <c r="AS120" s="315" t="e">
        <f>IF($J120="",#N/A,SUM(AR$4:AR120))</f>
        <v>#N/A</v>
      </c>
      <c r="AT120" s="315" t="e">
        <f>IF($J120="",#N/A,SUM(AR$4:AR120,AP$4:AP120,AN$4:AN120))</f>
        <v>#N/A</v>
      </c>
      <c r="AU120" s="304" t="str">
        <f t="shared" si="138"/>
        <v/>
      </c>
      <c r="AV120" s="313" t="e">
        <f>IF($J120="",#N/A,SUM(AU$4:AU120))</f>
        <v>#N/A</v>
      </c>
      <c r="AW120" s="314" t="str">
        <f t="shared" si="139"/>
        <v/>
      </c>
      <c r="AX120" s="314" t="e">
        <f>IF($J120="",#N/A,SUM(AW$4:AW120))</f>
        <v>#N/A</v>
      </c>
      <c r="AY120" s="315" t="str">
        <f t="shared" si="140"/>
        <v/>
      </c>
      <c r="AZ120" s="315" t="e">
        <f>IF($J120="",#N/A,SUM(AY$4:AY120))</f>
        <v>#N/A</v>
      </c>
      <c r="BA120" s="315" t="e">
        <f>IF($J120="",#N/A,SUM(AY$4:AY120,AW$4:AW120,AU$4:AU120))</f>
        <v>#N/A</v>
      </c>
      <c r="BB120" s="304" t="str">
        <f t="shared" si="141"/>
        <v/>
      </c>
      <c r="BC120" s="313" t="e">
        <f>IF($J120="",#N/A,SUM(BB$4:BB120))</f>
        <v>#N/A</v>
      </c>
      <c r="BD120" s="314" t="str">
        <f t="shared" si="142"/>
        <v/>
      </c>
      <c r="BE120" s="314" t="e">
        <f>IF($J120="",#N/A,SUM(BD$4:BD120))</f>
        <v>#N/A</v>
      </c>
      <c r="BF120" s="315" t="str">
        <f t="shared" si="143"/>
        <v/>
      </c>
      <c r="BG120" s="315" t="e">
        <f>IF($J120="",#N/A,SUM(BF$4:BF120))</f>
        <v>#N/A</v>
      </c>
      <c r="BH120" s="315" t="e">
        <f>IF($J120="",#N/A,SUM(BF$4:BF120,BD$4:BD120,BB$4:BB120))</f>
        <v>#N/A</v>
      </c>
      <c r="BI120" s="304" t="str">
        <f t="shared" si="144"/>
        <v/>
      </c>
      <c r="BJ120" s="313" t="e">
        <f>IF($J120="",#N/A,SUM(BI$4:BI120))</f>
        <v>#N/A</v>
      </c>
      <c r="BK120" s="314" t="str">
        <f t="shared" si="145"/>
        <v/>
      </c>
      <c r="BL120" s="314" t="e">
        <f>IF($J120="",#N/A,SUM(BK$4:BK120))</f>
        <v>#N/A</v>
      </c>
      <c r="BM120" s="315" t="str">
        <f t="shared" si="146"/>
        <v/>
      </c>
      <c r="BN120" s="315" t="e">
        <f>IF($J120="",#N/A,SUM(BM$4:BM120))</f>
        <v>#N/A</v>
      </c>
      <c r="BO120" s="315" t="e">
        <f>IF($J120="",#N/A,SUM(BM$4:BM120,BK$4:BK120,BI$4:BI120))</f>
        <v>#N/A</v>
      </c>
      <c r="BP120" s="304" t="str">
        <f t="shared" si="147"/>
        <v/>
      </c>
      <c r="BQ120" s="313" t="e">
        <f>IF($J120="",#N/A,SUM(BP$4:BP120))</f>
        <v>#N/A</v>
      </c>
      <c r="BR120" s="314" t="str">
        <f t="shared" si="148"/>
        <v/>
      </c>
      <c r="BS120" s="314" t="e">
        <f>IF($J120="",#N/A,SUM(BR$4:BR120))</f>
        <v>#N/A</v>
      </c>
      <c r="BT120" s="315" t="str">
        <f t="shared" si="149"/>
        <v/>
      </c>
      <c r="BU120" s="315" t="e">
        <f>IF($J120="",#N/A,SUM(BT$4:BT120))</f>
        <v>#N/A</v>
      </c>
      <c r="BV120" s="315" t="e">
        <f>IF($J120="",#N/A,SUM(BT$4:BT120,BR$4:BR120,BP$4:BP120))</f>
        <v>#N/A</v>
      </c>
      <c r="BW120" s="304" t="str">
        <f t="shared" si="150"/>
        <v/>
      </c>
      <c r="BX120" s="313" t="e">
        <f>IF($J120="",#N/A,SUM(BW$4:BW120))</f>
        <v>#N/A</v>
      </c>
      <c r="BY120" s="314" t="str">
        <f t="shared" si="151"/>
        <v/>
      </c>
      <c r="BZ120" s="314" t="e">
        <f>IF($J120="",#N/A,SUM(BY$4:BY120))</f>
        <v>#N/A</v>
      </c>
      <c r="CA120" s="315" t="str">
        <f t="shared" si="152"/>
        <v/>
      </c>
      <c r="CB120" s="315" t="e">
        <f>IF($J120="",#N/A,SUM(CA$4:CA120))</f>
        <v>#N/A</v>
      </c>
      <c r="CC120" s="315" t="e">
        <f>IF($J120="",#N/A,SUM(CA$4:CA120,BY$4:BY120,BW$4:BW120))</f>
        <v>#N/A</v>
      </c>
      <c r="CD120" s="304" t="str">
        <f t="shared" si="153"/>
        <v/>
      </c>
      <c r="CE120" s="313" t="e">
        <f>IF($J120="",#N/A,SUM(CD$4:CD120))</f>
        <v>#N/A</v>
      </c>
      <c r="CF120" s="314">
        <f t="shared" si="154"/>
        <v>0.70239545269995984</v>
      </c>
      <c r="CG120" s="314" t="e">
        <f>IF($J120="",#N/A,SUM(CF$4:CF120))</f>
        <v>#N/A</v>
      </c>
      <c r="CH120" s="315" t="str">
        <f t="shared" si="155"/>
        <v/>
      </c>
      <c r="CI120" s="315" t="e">
        <f>IF($J120="",#N/A,SUM(CH$4:CH120))</f>
        <v>#N/A</v>
      </c>
      <c r="CJ120" s="315" t="e">
        <f>IF($J120="",#N/A,SUM(CH$4:CH120,CF$4:CF120,CD$4:CD120))</f>
        <v>#N/A</v>
      </c>
      <c r="CK120" s="304" t="str">
        <f t="shared" si="156"/>
        <v/>
      </c>
      <c r="CL120" s="313" t="e">
        <f>IF($J120="",#N/A,SUM(CK$4:CK120))</f>
        <v>#N/A</v>
      </c>
      <c r="CM120" s="314" t="str">
        <f t="shared" si="157"/>
        <v/>
      </c>
      <c r="CN120" s="314" t="e">
        <f>IF($J120="",#N/A,SUM(CM$4:CM120))</f>
        <v>#N/A</v>
      </c>
      <c r="CO120" s="315" t="str">
        <f t="shared" si="158"/>
        <v/>
      </c>
      <c r="CP120" s="315" t="e">
        <f>IF($J120="",#N/A,SUM(CO$4:CO120))</f>
        <v>#N/A</v>
      </c>
      <c r="CQ120" s="315" t="e">
        <f>IF($J120="",#N/A,SUM(CO$4:CO120,CM$4:CM120,CK$4:CK120))</f>
        <v>#N/A</v>
      </c>
      <c r="CR120" s="304" t="str">
        <f t="shared" si="159"/>
        <v/>
      </c>
      <c r="CS120" s="313" t="e">
        <f>IF($J120="",#N/A,SUM(CR$4:CR120))</f>
        <v>#N/A</v>
      </c>
      <c r="CT120" s="314" t="str">
        <f t="shared" si="160"/>
        <v/>
      </c>
      <c r="CU120" s="314" t="e">
        <f>IF($J120="",#N/A,SUM(CT$4:CT120))</f>
        <v>#N/A</v>
      </c>
      <c r="CV120" s="315" t="str">
        <f t="shared" si="161"/>
        <v/>
      </c>
      <c r="CW120" s="315" t="e">
        <f>IF($J120="",#N/A,SUM(CV$4:CV120))</f>
        <v>#N/A</v>
      </c>
      <c r="CX120" s="315" t="e">
        <f>IF($J120="",#N/A,SUM(CV$4:CV120,CT$4:CT120,CR$4:CR120))</f>
        <v>#N/A</v>
      </c>
      <c r="CY120" s="304" t="str">
        <f t="shared" si="162"/>
        <v/>
      </c>
      <c r="CZ120" s="313" t="e">
        <f>IF($J120="",#N/A,SUM(CY$4:CY120))</f>
        <v>#N/A</v>
      </c>
      <c r="DA120" s="314" t="str">
        <f t="shared" si="163"/>
        <v/>
      </c>
      <c r="DB120" s="314" t="e">
        <f>IF($J120="",#N/A,SUM(DA$4:DA120))</f>
        <v>#N/A</v>
      </c>
      <c r="DC120" s="315" t="str">
        <f t="shared" si="164"/>
        <v/>
      </c>
      <c r="DD120" s="315" t="e">
        <f>IF($J120="",#N/A,SUM(DC$4:DC120))</f>
        <v>#N/A</v>
      </c>
      <c r="DE120" s="315" t="e">
        <f>IF($J120="",#N/A,SUM(DC$4:DC120,DA$4:DA120,CY$4:CY120))</f>
        <v>#N/A</v>
      </c>
      <c r="DF120" s="304" t="str">
        <f t="shared" si="165"/>
        <v/>
      </c>
      <c r="DG120" s="313" t="e">
        <f>IF($J120="",#N/A,SUM(DF$4:DF120))</f>
        <v>#N/A</v>
      </c>
      <c r="DH120" s="314" t="str">
        <f t="shared" si="166"/>
        <v/>
      </c>
      <c r="DI120" s="314" t="e">
        <f>IF($J120="",#N/A,SUM(DH$4:DH120))</f>
        <v>#N/A</v>
      </c>
      <c r="DJ120" s="315" t="str">
        <f t="shared" si="167"/>
        <v/>
      </c>
      <c r="DK120" s="315" t="e">
        <f>IF($J120="",#N/A,SUM(DJ$4:DJ120))</f>
        <v>#N/A</v>
      </c>
      <c r="DL120" s="315" t="e">
        <f>IF($J120="",#N/A,SUM(DJ$4:DJ120,DH$4:DH120,DF$4:DF120))</f>
        <v>#N/A</v>
      </c>
      <c r="DM120" s="304" t="str">
        <f t="shared" si="168"/>
        <v/>
      </c>
      <c r="DN120" s="313" t="e">
        <f>IF($J120="",#N/A,SUM(DM$4:DM120))</f>
        <v>#N/A</v>
      </c>
      <c r="DO120" s="314" t="str">
        <f t="shared" si="169"/>
        <v/>
      </c>
      <c r="DP120" s="314" t="e">
        <f>IF($J120="",#N/A,SUM(DO$4:DO120))</f>
        <v>#N/A</v>
      </c>
      <c r="DQ120" s="315" t="str">
        <f t="shared" si="170"/>
        <v/>
      </c>
      <c r="DR120" s="315" t="e">
        <f>IF($J120="",#N/A,SUM(DQ$4:DQ120))</f>
        <v>#N/A</v>
      </c>
      <c r="DS120" s="315" t="e">
        <f>IF($J120="",#N/A,SUM(DQ$4:DQ120,DO$4:DO120,DM$4:DM120))</f>
        <v>#N/A</v>
      </c>
      <c r="DT120" s="304" t="str">
        <f t="shared" si="171"/>
        <v/>
      </c>
      <c r="DU120" s="313" t="e">
        <f>IF($J120="",#N/A,SUM(DT$4:DT120))</f>
        <v>#N/A</v>
      </c>
      <c r="DV120" s="314" t="str">
        <f t="shared" si="172"/>
        <v/>
      </c>
      <c r="DW120" s="314" t="e">
        <f>IF($J120="",#N/A,SUM(DV$4:DV120))</f>
        <v>#N/A</v>
      </c>
      <c r="DX120" s="315" t="str">
        <f t="shared" si="173"/>
        <v/>
      </c>
      <c r="DY120" s="315" t="e">
        <f>IF($J120="",#N/A,SUM(DX$4:DX120))</f>
        <v>#N/A</v>
      </c>
      <c r="DZ120" s="315" t="e">
        <f>IF($J120="",#N/A,SUM(DX$4:DX120,DV$4:DV120,DT$4:DT120))</f>
        <v>#N/A</v>
      </c>
      <c r="EA120" s="304" t="str">
        <f t="shared" si="174"/>
        <v/>
      </c>
      <c r="EB120" s="313" t="e">
        <f>IF($J120="",#N/A,SUM(EA$4:EA120))</f>
        <v>#N/A</v>
      </c>
      <c r="EC120" s="314" t="str">
        <f t="shared" si="175"/>
        <v/>
      </c>
      <c r="ED120" s="314" t="e">
        <f>IF($J120="",#N/A,SUM(EC$4:EC120))</f>
        <v>#N/A</v>
      </c>
      <c r="EE120" s="315" t="str">
        <f t="shared" si="176"/>
        <v/>
      </c>
      <c r="EF120" s="315" t="e">
        <f>IF($J120="",#N/A,SUM(EE$4:EE120))</f>
        <v>#N/A</v>
      </c>
      <c r="EG120" s="315" t="e">
        <f>IF($J120="",#N/A,SUM(EE$4:EE120,EC$4:EC120,EA$4:EA120))</f>
        <v>#N/A</v>
      </c>
      <c r="EH120" s="130">
        <f t="shared" si="177"/>
        <v>17.300000000000011</v>
      </c>
      <c r="EI120" s="63">
        <f>IF(EH120="",#N/A,SUM($EH$4:EH120))</f>
        <v>604.52771813382037</v>
      </c>
      <c r="EJ120" s="223" t="e">
        <f t="shared" si="178"/>
        <v>#N/A</v>
      </c>
      <c r="EK120" s="63" t="e">
        <f>IF($GZ120="",#N/A,SUM(EJ$4:EJ120))</f>
        <v>#N/A</v>
      </c>
      <c r="EL120" s="60" t="str">
        <f t="shared" si="209"/>
        <v/>
      </c>
      <c r="EM120" s="60" t="e">
        <f>IF(EL120="",NA(),SUM($EL$4:EL120))</f>
        <v>#N/A</v>
      </c>
      <c r="EN120" s="60" t="str">
        <f t="shared" si="179"/>
        <v/>
      </c>
      <c r="EO120" s="60" t="e">
        <f>IF(EN120="",NA(),SUM($EN$4:EN120))</f>
        <v>#N/A</v>
      </c>
      <c r="EP120" s="60" t="str">
        <f t="shared" si="180"/>
        <v/>
      </c>
      <c r="EQ120" s="60" t="e">
        <f>IF(EP120="",NA(),SUM($EP$4:EP120))</f>
        <v>#N/A</v>
      </c>
      <c r="ER120" s="60" t="str">
        <f t="shared" si="181"/>
        <v/>
      </c>
      <c r="ES120" s="60" t="e">
        <f>IF(ER120="",NA(),SUM($ER$4:ER120))</f>
        <v>#N/A</v>
      </c>
      <c r="ET120" s="60">
        <f t="shared" si="182"/>
        <v>0.70239545269995984</v>
      </c>
      <c r="EU120" s="60">
        <f>IF(ET120="",NA(),SUM($ET$4:ET120))</f>
        <v>1.0716395000189796</v>
      </c>
      <c r="EV120" s="60" t="str">
        <f t="shared" si="183"/>
        <v/>
      </c>
      <c r="EW120" s="60" t="e">
        <f>IF(EV120="",NA(),SUM($EV$4:EV120))</f>
        <v>#N/A</v>
      </c>
      <c r="EX120" s="60" t="str">
        <f t="shared" si="184"/>
        <v/>
      </c>
      <c r="EY120" s="60" t="e">
        <f>IF(EX120="",NA(),SUM($EX$4:EX120))</f>
        <v>#N/A</v>
      </c>
      <c r="EZ120" s="60">
        <f t="shared" si="185"/>
        <v>0.70239545269995984</v>
      </c>
      <c r="FA120" s="60">
        <f>IF(EZ120="",NA(),SUM($EZ$4:EZ120))</f>
        <v>0.70239545269995984</v>
      </c>
      <c r="FB120" s="246">
        <f t="shared" si="210"/>
        <v>0.31262687779131104</v>
      </c>
      <c r="FC120" s="246">
        <f>IF($FB120="",#N/A,SUM(FB$4:$FB120))</f>
        <v>2.0548592234012224</v>
      </c>
      <c r="FD120" s="60" t="str">
        <f t="shared" si="186"/>
        <v/>
      </c>
      <c r="FE120" s="60" t="e">
        <f>IF($FD120="",#N/A,SUM($FD$4:FD120))</f>
        <v>#N/A</v>
      </c>
      <c r="FF120" s="60" t="str">
        <f t="shared" si="187"/>
        <v/>
      </c>
      <c r="FG120" s="60" t="e">
        <f>IF($FF120="",#N/A,SUM($FF$4:FF120))</f>
        <v>#N/A</v>
      </c>
      <c r="FH120" s="60" t="str">
        <f t="shared" si="188"/>
        <v/>
      </c>
      <c r="FI120" s="60" t="e">
        <f>IF($FH120="",#N/A,SUM($FH$4:FH120))</f>
        <v>#N/A</v>
      </c>
      <c r="FJ120" s="60" t="str">
        <f t="shared" si="189"/>
        <v/>
      </c>
      <c r="FK120" s="60" t="e">
        <f>IF($FJ120="",#N/A,SUM($FJ$4:FJ120))</f>
        <v>#N/A</v>
      </c>
      <c r="FL120" s="60" t="str">
        <f t="shared" si="190"/>
        <v/>
      </c>
      <c r="FM120" s="60" t="e">
        <f>IF($FL120="",#N/A,SUM($FL$4:FL120))</f>
        <v>#N/A</v>
      </c>
      <c r="FN120" s="82">
        <f t="shared" si="191"/>
        <v>1.0150223304912709</v>
      </c>
      <c r="FO120" s="82">
        <f>IF($FN120="",#N/A,SUM(FN$4:$FN120))</f>
        <v>33.418152946867167</v>
      </c>
      <c r="FP120" s="82">
        <f t="shared" si="211"/>
        <v>0.70239545269995984</v>
      </c>
      <c r="FQ120" s="246">
        <f>IF($EH120="",#N/A,SUM($FP$4:FP120))</f>
        <v>23.692103164621354</v>
      </c>
      <c r="FR120" s="82">
        <f>IFERROR(FQ120/COUNTA($J$4:J120),#N/A)</f>
        <v>0.20249660824462695</v>
      </c>
      <c r="FS120" s="82" t="e">
        <f>IFERROR(($FQ120-#REF!)/COUNTA($J75:$J120),#N/A)</f>
        <v>#N/A</v>
      </c>
      <c r="FT120" s="82">
        <f t="shared" si="224"/>
        <v>1.2077796566651955E-3</v>
      </c>
      <c r="FU120" s="337">
        <f>IF(AND(HB120="MOC",GZ120=""),#N/A,IFERROR(FQ120-HE120,FQ120-0))-14.53</f>
        <v>7.9628664225631045</v>
      </c>
      <c r="FV120" s="57" t="str">
        <f t="shared" si="192"/>
        <v>Dwn</v>
      </c>
      <c r="FW120" s="57" t="s">
        <v>2733</v>
      </c>
      <c r="FX120" s="57" t="str">
        <f t="shared" si="193"/>
        <v/>
      </c>
      <c r="FY120" s="57" t="str">
        <f t="shared" si="194"/>
        <v/>
      </c>
      <c r="FZ120" s="57" t="str">
        <f t="shared" si="195"/>
        <v/>
      </c>
      <c r="GA120" s="57" t="str">
        <f t="shared" si="196"/>
        <v>Short</v>
      </c>
      <c r="GB120" s="57">
        <f t="shared" si="197"/>
        <v>1</v>
      </c>
      <c r="GC120" s="57" t="str">
        <f t="shared" si="198"/>
        <v/>
      </c>
      <c r="GD120" s="57" t="str">
        <f t="shared" si="199"/>
        <v/>
      </c>
      <c r="GE120" s="62">
        <f t="shared" si="114"/>
        <v>41.05</v>
      </c>
      <c r="GF120" s="62" t="s">
        <v>2780</v>
      </c>
      <c r="GG120" s="199">
        <v>10</v>
      </c>
      <c r="GH120" s="207">
        <f t="shared" si="200"/>
        <v>410.5</v>
      </c>
      <c r="GI120" s="199">
        <v>10</v>
      </c>
      <c r="GJ120" s="200">
        <v>39.4</v>
      </c>
      <c r="GK120" s="63">
        <f t="shared" si="201"/>
        <v>16.5</v>
      </c>
      <c r="GL120" s="63">
        <f t="shared" si="115"/>
        <v>25</v>
      </c>
      <c r="GM120" s="82" t="str">
        <f t="shared" si="202"/>
        <v/>
      </c>
      <c r="GN120" s="82">
        <f>IF($GZ120="",#N/A,SUM(GM$4:GM120))</f>
        <v>13.827907507904664</v>
      </c>
      <c r="GO120" s="82" t="str">
        <f t="shared" si="203"/>
        <v/>
      </c>
      <c r="GP120" s="82">
        <f>IF($GZ120="",#N/A,SUM(GO$4:GO120))</f>
        <v>10.635036056741368</v>
      </c>
      <c r="GQ120" s="82">
        <f t="shared" si="204"/>
        <v>1.0150223304912709</v>
      </c>
      <c r="GR120" s="82">
        <f>IF($GZ120="",#N/A,SUM(GQ$4:GQ120))</f>
        <v>8.3293724277787966</v>
      </c>
      <c r="GS120" s="63" t="str">
        <f t="shared" si="212"/>
        <v/>
      </c>
      <c r="GT120" s="63" t="e">
        <f>IF($GZ120="",#N/A,SUM(GS$4:GS120))</f>
        <v>#N/A</v>
      </c>
      <c r="GU120" s="63" t="str">
        <f t="shared" si="213"/>
        <v/>
      </c>
      <c r="GV120" s="63" t="e">
        <f>IF($GZ120="",#N/A,SUM(GU$4:GU120))</f>
        <v>#N/A</v>
      </c>
      <c r="GW120" s="63" t="e">
        <f t="shared" si="214"/>
        <v>#N/A</v>
      </c>
      <c r="GX120" s="63" t="e">
        <f>IF($GZ120="",#N/A,SUM(GW$4:GW120))</f>
        <v>#N/A</v>
      </c>
      <c r="GY120" s="63" t="e">
        <f>IF(EJ120="",#N/A,SUM($EJ$4:EJ120))</f>
        <v>#N/A</v>
      </c>
      <c r="GZ120" s="159">
        <v>38.549999999999997</v>
      </c>
      <c r="HA120" s="63">
        <f t="shared" si="205"/>
        <v>7.6999999999999886</v>
      </c>
      <c r="HB120" s="62" t="s">
        <v>2538</v>
      </c>
      <c r="HC120" s="60">
        <f>IFERROR(VLOOKUP(E120,Expectancy!$P$4:$S$19,1+C120,FALSE),"")</f>
        <v>0.73529829292760662</v>
      </c>
      <c r="HD120" s="82">
        <f t="shared" si="206"/>
        <v>0.66991473812423874</v>
      </c>
      <c r="HE120" s="60">
        <f>IF(HD120="",#N/A,SUM($HD$4:HD120))</f>
        <v>1.1992367420582519</v>
      </c>
      <c r="HF120" s="85">
        <f>IF(HD120="",#N/A,IF(HB120="Skip",#N/A,SUM($HG$4:HG120)))</f>
        <v>48.279999999999973</v>
      </c>
      <c r="HG120" s="63">
        <f t="shared" si="207"/>
        <v>16.5</v>
      </c>
      <c r="HH120" s="82">
        <f t="shared" si="208"/>
        <v>1.0150223304912709</v>
      </c>
    </row>
    <row r="121" spans="1:216" x14ac:dyDescent="0.25">
      <c r="A121" s="57" t="s">
        <v>16</v>
      </c>
      <c r="B121" s="58" t="s">
        <v>5164</v>
      </c>
      <c r="C121" s="386">
        <f t="shared" si="118"/>
        <v>1</v>
      </c>
      <c r="D121" s="372" t="str">
        <f>_xlfn.XLOOKUP(A121,[1]SP500!$A$2:$A$502,[1]SP500!$D$2:$D$502,"N")</f>
        <v>Y</v>
      </c>
      <c r="E121" s="57" t="str">
        <f>_xlfn.XLOOKUP(A121,[1]SP500!$A$2:$A$655,[1]SP500!$B$2:$B$655)</f>
        <v>XLV</v>
      </c>
      <c r="F121" s="59">
        <v>45687</v>
      </c>
      <c r="G121" s="57" t="str">
        <f t="shared" si="119"/>
        <v>BMO</v>
      </c>
      <c r="H121" s="57" t="str">
        <f t="shared" si="120"/>
        <v>o</v>
      </c>
      <c r="I121" s="162">
        <v>127.76</v>
      </c>
      <c r="J121" s="159">
        <v>127.16</v>
      </c>
      <c r="K121" s="93">
        <f t="shared" si="121"/>
        <v>-4.6963055729493464E-3</v>
      </c>
      <c r="L121" s="87">
        <f t="shared" si="122"/>
        <v>-1.8785222291797368</v>
      </c>
      <c r="M121" s="214" t="e">
        <f t="shared" si="112"/>
        <v>#N/A</v>
      </c>
      <c r="N121" s="168">
        <f t="shared" si="123"/>
        <v>-1.8785222291797368</v>
      </c>
      <c r="O121" s="168">
        <f>IF($J121="",#N/A,SUM($N$4:N121))</f>
        <v>215.8095853421637</v>
      </c>
      <c r="P121" s="173" t="str">
        <f t="shared" si="124"/>
        <v/>
      </c>
      <c r="Q121" s="173">
        <f>IF($J121="",#N/A,SUM($P$4:P121))</f>
        <v>134.4410402377265</v>
      </c>
      <c r="R121" s="177" t="str">
        <f t="shared" si="125"/>
        <v/>
      </c>
      <c r="S121" s="177">
        <f>IF($J121="",#N/A,SUM($R$4:R121))</f>
        <v>252.39857032475049</v>
      </c>
      <c r="T121" s="293">
        <f t="shared" si="126"/>
        <v>-7.8271759549155703E-2</v>
      </c>
      <c r="U121" s="293">
        <f>IF($J121="",#N/A,SUM($T$4:T121))</f>
        <v>7.6560773349235101</v>
      </c>
      <c r="V121" s="294" t="str">
        <f t="shared" si="127"/>
        <v/>
      </c>
      <c r="W121" s="294">
        <f>IF($J121="",#N/A,SUM($V$4:V121))</f>
        <v>5.6407614487256001</v>
      </c>
      <c r="X121" s="295" t="str">
        <f t="shared" si="128"/>
        <v/>
      </c>
      <c r="Y121" s="283">
        <f>IF($J121="",#N/A,SUM($X$4:X121))</f>
        <v>10.316992621423072</v>
      </c>
      <c r="Z121" s="304" t="str">
        <f t="shared" si="129"/>
        <v/>
      </c>
      <c r="AA121" s="316" t="e">
        <f>IF($J121="",#N/A,SUM(Z$4:Z121))</f>
        <v>#N/A</v>
      </c>
      <c r="AB121" s="317" t="str">
        <f t="shared" si="130"/>
        <v/>
      </c>
      <c r="AC121" s="317" t="e">
        <f>IF($J121="",#N/A,SUM(AB$4:AB121))</f>
        <v>#N/A</v>
      </c>
      <c r="AD121" s="318" t="str">
        <f t="shared" si="131"/>
        <v/>
      </c>
      <c r="AE121" s="318" t="e">
        <f>IF($J121="",#N/A,SUM(AD$4:AD121))</f>
        <v>#N/A</v>
      </c>
      <c r="AF121" s="318" t="e">
        <f>IF($J121="",#N/A,SUM(AD$4:AD121,AB$4:AB121,Z$4:Z121))</f>
        <v>#N/A</v>
      </c>
      <c r="AG121" s="304" t="str">
        <f t="shared" si="132"/>
        <v/>
      </c>
      <c r="AH121" s="316" t="e">
        <f>IF($J121="",#N/A,SUM(AG$4:AG121))</f>
        <v>#N/A</v>
      </c>
      <c r="AI121" s="317" t="str">
        <f t="shared" si="133"/>
        <v/>
      </c>
      <c r="AJ121" s="317" t="e">
        <f>IF($J121="",#N/A,SUM(AI$4:AI121))</f>
        <v>#N/A</v>
      </c>
      <c r="AK121" s="318" t="str">
        <f t="shared" si="134"/>
        <v/>
      </c>
      <c r="AL121" s="318" t="e">
        <f>IF($J121="",#N/A,SUM(AK$4:AK121))</f>
        <v>#N/A</v>
      </c>
      <c r="AM121" s="318" t="e">
        <f>IF($J121="",#N/A,SUM(AK$4:AK121,AI$4:AI121,AG$4:AG121))</f>
        <v>#N/A</v>
      </c>
      <c r="AN121" s="304" t="str">
        <f t="shared" si="135"/>
        <v/>
      </c>
      <c r="AO121" s="316" t="e">
        <f>IF($J121="",#N/A,SUM(AN$4:AN121))</f>
        <v>#N/A</v>
      </c>
      <c r="AP121" s="317" t="str">
        <f t="shared" si="136"/>
        <v/>
      </c>
      <c r="AQ121" s="317" t="e">
        <f>IF($J121="",#N/A,SUM(AP$4:AP121))</f>
        <v>#N/A</v>
      </c>
      <c r="AR121" s="318" t="str">
        <f t="shared" si="137"/>
        <v/>
      </c>
      <c r="AS121" s="318" t="e">
        <f>IF($J121="",#N/A,SUM(AR$4:AR121))</f>
        <v>#N/A</v>
      </c>
      <c r="AT121" s="318" t="e">
        <f>IF($J121="",#N/A,SUM(AR$4:AR121,AP$4:AP121,AN$4:AN121))</f>
        <v>#N/A</v>
      </c>
      <c r="AU121" s="304" t="str">
        <f t="shared" si="138"/>
        <v/>
      </c>
      <c r="AV121" s="316" t="e">
        <f>IF($J121="",#N/A,SUM(AU$4:AU121))</f>
        <v>#N/A</v>
      </c>
      <c r="AW121" s="317" t="str">
        <f t="shared" si="139"/>
        <v/>
      </c>
      <c r="AX121" s="317" t="e">
        <f>IF($J121="",#N/A,SUM(AW$4:AW121))</f>
        <v>#N/A</v>
      </c>
      <c r="AY121" s="318" t="str">
        <f t="shared" si="140"/>
        <v/>
      </c>
      <c r="AZ121" s="318" t="e">
        <f>IF($J121="",#N/A,SUM(AY$4:AY121))</f>
        <v>#N/A</v>
      </c>
      <c r="BA121" s="318" t="e">
        <f>IF($J121="",#N/A,SUM(AY$4:AY121,AW$4:AW121,AU$4:AU121))</f>
        <v>#N/A</v>
      </c>
      <c r="BB121" s="304" t="str">
        <f t="shared" si="141"/>
        <v/>
      </c>
      <c r="BC121" s="316" t="e">
        <f>IF($J121="",#N/A,SUM(BB$4:BB121))</f>
        <v>#N/A</v>
      </c>
      <c r="BD121" s="317" t="str">
        <f t="shared" si="142"/>
        <v/>
      </c>
      <c r="BE121" s="317" t="e">
        <f>IF($J121="",#N/A,SUM(BD$4:BD121))</f>
        <v>#N/A</v>
      </c>
      <c r="BF121" s="318" t="str">
        <f t="shared" si="143"/>
        <v/>
      </c>
      <c r="BG121" s="318" t="e">
        <f>IF($J121="",#N/A,SUM(BF$4:BF121))</f>
        <v>#N/A</v>
      </c>
      <c r="BH121" s="318" t="e">
        <f>IF($J121="",#N/A,SUM(BF$4:BF121,BD$4:BD121,BB$4:BB121))</f>
        <v>#N/A</v>
      </c>
      <c r="BI121" s="304" t="str">
        <f t="shared" si="144"/>
        <v/>
      </c>
      <c r="BJ121" s="316" t="e">
        <f>IF($J121="",#N/A,SUM(BI$4:BI121))</f>
        <v>#N/A</v>
      </c>
      <c r="BK121" s="317" t="str">
        <f t="shared" si="145"/>
        <v/>
      </c>
      <c r="BL121" s="317" t="e">
        <f>IF($J121="",#N/A,SUM(BK$4:BK121))</f>
        <v>#N/A</v>
      </c>
      <c r="BM121" s="318" t="str">
        <f t="shared" si="146"/>
        <v/>
      </c>
      <c r="BN121" s="318" t="e">
        <f>IF($J121="",#N/A,SUM(BM$4:BM121))</f>
        <v>#N/A</v>
      </c>
      <c r="BO121" s="318" t="e">
        <f>IF($J121="",#N/A,SUM(BM$4:BM121,BK$4:BK121,BI$4:BI121))</f>
        <v>#N/A</v>
      </c>
      <c r="BP121" s="304" t="str">
        <f t="shared" si="147"/>
        <v/>
      </c>
      <c r="BQ121" s="316" t="e">
        <f>IF($J121="",#N/A,SUM(BP$4:BP121))</f>
        <v>#N/A</v>
      </c>
      <c r="BR121" s="317" t="str">
        <f t="shared" si="148"/>
        <v/>
      </c>
      <c r="BS121" s="317" t="e">
        <f>IF($J121="",#N/A,SUM(BR$4:BR121))</f>
        <v>#N/A</v>
      </c>
      <c r="BT121" s="318" t="str">
        <f t="shared" si="149"/>
        <v/>
      </c>
      <c r="BU121" s="318" t="e">
        <f>IF($J121="",#N/A,SUM(BT$4:BT121))</f>
        <v>#N/A</v>
      </c>
      <c r="BV121" s="318" t="e">
        <f>IF($J121="",#N/A,SUM(BT$4:BT121,BR$4:BR121,BP$4:BP121))</f>
        <v>#N/A</v>
      </c>
      <c r="BW121" s="304">
        <f t="shared" si="150"/>
        <v>-7.8271759549155703E-2</v>
      </c>
      <c r="BX121" s="316" t="e">
        <f>IF($J121="",#N/A,SUM(BW$4:BW121))</f>
        <v>#N/A</v>
      </c>
      <c r="BY121" s="317" t="str">
        <f t="shared" si="151"/>
        <v/>
      </c>
      <c r="BZ121" s="317" t="e">
        <f>IF($J121="",#N/A,SUM(BY$4:BY121))</f>
        <v>#N/A</v>
      </c>
      <c r="CA121" s="318" t="str">
        <f t="shared" si="152"/>
        <v/>
      </c>
      <c r="CB121" s="318" t="e">
        <f>IF($J121="",#N/A,SUM(CA$4:CA121))</f>
        <v>#N/A</v>
      </c>
      <c r="CC121" s="318" t="e">
        <f>IF($J121="",#N/A,SUM(CA$4:CA121,BY$4:BY121,BW$4:BW121))</f>
        <v>#N/A</v>
      </c>
      <c r="CD121" s="304" t="str">
        <f t="shared" si="153"/>
        <v/>
      </c>
      <c r="CE121" s="316" t="e">
        <f>IF($J121="",#N/A,SUM(CD$4:CD121))</f>
        <v>#N/A</v>
      </c>
      <c r="CF121" s="317" t="str">
        <f t="shared" si="154"/>
        <v/>
      </c>
      <c r="CG121" s="317" t="e">
        <f>IF($J121="",#N/A,SUM(CF$4:CF121))</f>
        <v>#N/A</v>
      </c>
      <c r="CH121" s="318" t="str">
        <f t="shared" si="155"/>
        <v/>
      </c>
      <c r="CI121" s="318" t="e">
        <f>IF($J121="",#N/A,SUM(CH$4:CH121))</f>
        <v>#N/A</v>
      </c>
      <c r="CJ121" s="318" t="e">
        <f>IF($J121="",#N/A,SUM(CH$4:CH121,CF$4:CF121,CD$4:CD121))</f>
        <v>#N/A</v>
      </c>
      <c r="CK121" s="304" t="str">
        <f t="shared" si="156"/>
        <v/>
      </c>
      <c r="CL121" s="316" t="e">
        <f>IF($J121="",#N/A,SUM(CK$4:CK121))</f>
        <v>#N/A</v>
      </c>
      <c r="CM121" s="317" t="str">
        <f t="shared" si="157"/>
        <v/>
      </c>
      <c r="CN121" s="317" t="e">
        <f>IF($J121="",#N/A,SUM(CM$4:CM121))</f>
        <v>#N/A</v>
      </c>
      <c r="CO121" s="318" t="str">
        <f t="shared" si="158"/>
        <v/>
      </c>
      <c r="CP121" s="318" t="e">
        <f>IF($J121="",#N/A,SUM(CO$4:CO121))</f>
        <v>#N/A</v>
      </c>
      <c r="CQ121" s="318" t="e">
        <f>IF($J121="",#N/A,SUM(CO$4:CO121,CM$4:CM121,CK$4:CK121))</f>
        <v>#N/A</v>
      </c>
      <c r="CR121" s="304" t="str">
        <f t="shared" si="159"/>
        <v/>
      </c>
      <c r="CS121" s="316" t="e">
        <f>IF($J121="",#N/A,SUM(CR$4:CR121))</f>
        <v>#N/A</v>
      </c>
      <c r="CT121" s="317" t="str">
        <f t="shared" si="160"/>
        <v/>
      </c>
      <c r="CU121" s="317" t="e">
        <f>IF($J121="",#N/A,SUM(CT$4:CT121))</f>
        <v>#N/A</v>
      </c>
      <c r="CV121" s="318" t="str">
        <f t="shared" si="161"/>
        <v/>
      </c>
      <c r="CW121" s="318" t="e">
        <f>IF($J121="",#N/A,SUM(CV$4:CV121))</f>
        <v>#N/A</v>
      </c>
      <c r="CX121" s="318" t="e">
        <f>IF($J121="",#N/A,SUM(CV$4:CV121,CT$4:CT121,CR$4:CR121))</f>
        <v>#N/A</v>
      </c>
      <c r="CY121" s="304" t="str">
        <f t="shared" si="162"/>
        <v/>
      </c>
      <c r="CZ121" s="316" t="e">
        <f>IF($J121="",#N/A,SUM(CY$4:CY121))</f>
        <v>#N/A</v>
      </c>
      <c r="DA121" s="317" t="str">
        <f t="shared" si="163"/>
        <v/>
      </c>
      <c r="DB121" s="317" t="e">
        <f>IF($J121="",#N/A,SUM(DA$4:DA121))</f>
        <v>#N/A</v>
      </c>
      <c r="DC121" s="318" t="str">
        <f t="shared" si="164"/>
        <v/>
      </c>
      <c r="DD121" s="318" t="e">
        <f>IF($J121="",#N/A,SUM(DC$4:DC121))</f>
        <v>#N/A</v>
      </c>
      <c r="DE121" s="318" t="e">
        <f>IF($J121="",#N/A,SUM(DC$4:DC121,DA$4:DA121,CY$4:CY121))</f>
        <v>#N/A</v>
      </c>
      <c r="DF121" s="304" t="str">
        <f t="shared" si="165"/>
        <v/>
      </c>
      <c r="DG121" s="316" t="e">
        <f>IF($J121="",#N/A,SUM(DF$4:DF121))</f>
        <v>#N/A</v>
      </c>
      <c r="DH121" s="317" t="str">
        <f t="shared" si="166"/>
        <v/>
      </c>
      <c r="DI121" s="317" t="e">
        <f>IF($J121="",#N/A,SUM(DH$4:DH121))</f>
        <v>#N/A</v>
      </c>
      <c r="DJ121" s="318" t="str">
        <f t="shared" si="167"/>
        <v/>
      </c>
      <c r="DK121" s="318" t="e">
        <f>IF($J121="",#N/A,SUM(DJ$4:DJ121))</f>
        <v>#N/A</v>
      </c>
      <c r="DL121" s="318" t="e">
        <f>IF($J121="",#N/A,SUM(DJ$4:DJ121,DH$4:DH121,DF$4:DF121))</f>
        <v>#N/A</v>
      </c>
      <c r="DM121" s="304" t="str">
        <f t="shared" si="168"/>
        <v/>
      </c>
      <c r="DN121" s="316" t="e">
        <f>IF($J121="",#N/A,SUM(DM$4:DM121))</f>
        <v>#N/A</v>
      </c>
      <c r="DO121" s="317" t="str">
        <f t="shared" si="169"/>
        <v/>
      </c>
      <c r="DP121" s="317" t="e">
        <f>IF($J121="",#N/A,SUM(DO$4:DO121))</f>
        <v>#N/A</v>
      </c>
      <c r="DQ121" s="318" t="str">
        <f t="shared" si="170"/>
        <v/>
      </c>
      <c r="DR121" s="318" t="e">
        <f>IF($J121="",#N/A,SUM(DQ$4:DQ121))</f>
        <v>#N/A</v>
      </c>
      <c r="DS121" s="318" t="e">
        <f>IF($J121="",#N/A,SUM(DQ$4:DQ121,DO$4:DO121,DM$4:DM121))</f>
        <v>#N/A</v>
      </c>
      <c r="DT121" s="304" t="str">
        <f t="shared" si="171"/>
        <v/>
      </c>
      <c r="DU121" s="316" t="e">
        <f>IF($J121="",#N/A,SUM(DT$4:DT121))</f>
        <v>#N/A</v>
      </c>
      <c r="DV121" s="317" t="str">
        <f t="shared" si="172"/>
        <v/>
      </c>
      <c r="DW121" s="317" t="e">
        <f>IF($J121="",#N/A,SUM(DV$4:DV121))</f>
        <v>#N/A</v>
      </c>
      <c r="DX121" s="318" t="str">
        <f t="shared" si="173"/>
        <v/>
      </c>
      <c r="DY121" s="318" t="e">
        <f>IF($J121="",#N/A,SUM(DX$4:DX121))</f>
        <v>#N/A</v>
      </c>
      <c r="DZ121" s="318" t="e">
        <f>IF($J121="",#N/A,SUM(DX$4:DX121,DV$4:DV121,DT$4:DT121))</f>
        <v>#N/A</v>
      </c>
      <c r="EA121" s="304" t="str">
        <f t="shared" si="174"/>
        <v/>
      </c>
      <c r="EB121" s="316" t="e">
        <f>IF($J121="",#N/A,SUM(EA$4:EA121))</f>
        <v>#N/A</v>
      </c>
      <c r="EC121" s="317" t="str">
        <f t="shared" si="175"/>
        <v/>
      </c>
      <c r="ED121" s="317" t="e">
        <f>IF($J121="",#N/A,SUM(EC$4:EC121))</f>
        <v>#N/A</v>
      </c>
      <c r="EE121" s="318" t="str">
        <f t="shared" si="176"/>
        <v/>
      </c>
      <c r="EF121" s="318" t="e">
        <f>IF($J121="",#N/A,SUM(EE$4:EE121))</f>
        <v>#N/A</v>
      </c>
      <c r="EG121" s="318" t="e">
        <f>IF($J121="",#N/A,SUM(EE$4:EE121,EC$4:EC121,EA$4:EA121))</f>
        <v>#N/A</v>
      </c>
      <c r="EH121" s="211">
        <f t="shared" si="177"/>
        <v>-1.8785222291797368</v>
      </c>
      <c r="EI121" s="63">
        <f>IF(EH121="",#N/A,SUM($EH$4:EH121))</f>
        <v>602.64919590464069</v>
      </c>
      <c r="EJ121" s="223" t="e">
        <f t="shared" si="178"/>
        <v>#N/A</v>
      </c>
      <c r="EK121" s="63" t="e">
        <f>IF($GZ121="",#N/A,SUM(EJ$4:EJ121))</f>
        <v>#N/A</v>
      </c>
      <c r="EL121" s="60">
        <f t="shared" si="209"/>
        <v>-7.8271759549155703E-2</v>
      </c>
      <c r="EM121" s="60">
        <f>IF(EL121="",NA(),SUM($EL$4:EL121))</f>
        <v>22.542191905053212</v>
      </c>
      <c r="EN121" s="60">
        <f t="shared" si="179"/>
        <v>-7.8271759549155703E-2</v>
      </c>
      <c r="EO121" s="60">
        <f>IF(EN121="",NA(),SUM($EN$4:EN121))</f>
        <v>7.1661852352087632</v>
      </c>
      <c r="EP121" s="60" t="str">
        <f t="shared" si="180"/>
        <v/>
      </c>
      <c r="EQ121" s="60" t="e">
        <f>IF(EP121="",NA(),SUM($EP$4:EP121))</f>
        <v>#N/A</v>
      </c>
      <c r="ER121" s="60" t="str">
        <f t="shared" si="181"/>
        <v/>
      </c>
      <c r="ES121" s="60" t="e">
        <f>IF(ER121="",NA(),SUM($ER$4:ER121))</f>
        <v>#N/A</v>
      </c>
      <c r="ET121" s="60" t="str">
        <f t="shared" si="182"/>
        <v/>
      </c>
      <c r="EU121" s="60" t="e">
        <f>IF(ET121="",NA(),SUM($ET$4:ET121))</f>
        <v>#N/A</v>
      </c>
      <c r="EV121" s="60" t="str">
        <f t="shared" si="183"/>
        <v/>
      </c>
      <c r="EW121" s="60" t="e">
        <f>IF(EV121="",NA(),SUM($EV$4:EV121))</f>
        <v>#N/A</v>
      </c>
      <c r="EX121" s="60" t="str">
        <f t="shared" si="184"/>
        <v/>
      </c>
      <c r="EY121" s="60" t="e">
        <f>IF(EX121="",NA(),SUM($EX$4:EX121))</f>
        <v>#N/A</v>
      </c>
      <c r="EZ121" s="60" t="str">
        <f t="shared" si="185"/>
        <v/>
      </c>
      <c r="FA121" s="60" t="e">
        <f>IF(EZ121="",NA(),SUM($EZ$4:EZ121))</f>
        <v>#N/A</v>
      </c>
      <c r="FB121" s="246" t="str">
        <f t="shared" si="210"/>
        <v/>
      </c>
      <c r="FC121" s="246" t="e">
        <f>IF($FB121="",#N/A,SUM(FB$4:$FB121))</f>
        <v>#N/A</v>
      </c>
      <c r="FD121" s="60" t="str">
        <f t="shared" si="186"/>
        <v/>
      </c>
      <c r="FE121" s="60" t="e">
        <f>IF($FD121="",#N/A,SUM($FD$4:FD121))</f>
        <v>#N/A</v>
      </c>
      <c r="FF121" s="60" t="str">
        <f t="shared" si="187"/>
        <v/>
      </c>
      <c r="FG121" s="60" t="e">
        <f>IF($FF121="",#N/A,SUM($FF$4:FF121))</f>
        <v>#N/A</v>
      </c>
      <c r="FH121" s="60">
        <f t="shared" si="188"/>
        <v>0.14349822584011682</v>
      </c>
      <c r="FI121" s="60">
        <f>IF($FH121="",#N/A,SUM($FH$4:FH121))</f>
        <v>2.3707087285646637</v>
      </c>
      <c r="FJ121" s="60" t="str">
        <f t="shared" si="189"/>
        <v/>
      </c>
      <c r="FK121" s="60" t="e">
        <f>IF($FJ121="",#N/A,SUM($FJ$4:FJ121))</f>
        <v>#N/A</v>
      </c>
      <c r="FL121" s="60" t="str">
        <f t="shared" si="190"/>
        <v/>
      </c>
      <c r="FM121" s="60" t="e">
        <f>IF($FL121="",#N/A,SUM($FL$4:FL121))</f>
        <v>#N/A</v>
      </c>
      <c r="FN121" s="82">
        <f t="shared" si="191"/>
        <v>6.5226466290961113E-2</v>
      </c>
      <c r="FO121" s="82">
        <f>IF($FN121="",#N/A,SUM(FN$4:$FN121))</f>
        <v>33.483379413158126</v>
      </c>
      <c r="FP121" s="82">
        <f t="shared" si="211"/>
        <v>-7.8271759549155703E-2</v>
      </c>
      <c r="FQ121" s="246">
        <f>IF($EH121="",#N/A,SUM($FP$4:FP121))</f>
        <v>23.613831405072197</v>
      </c>
      <c r="FR121" s="82">
        <f>IFERROR(FQ121/COUNTA($J$4:J121),#N/A)</f>
        <v>0.20011721529722201</v>
      </c>
      <c r="FS121" s="82">
        <f>IFERROR(($FQ121-$FQ75)/COUNTA($J75:$J121),#N/A)</f>
        <v>0.1650918802427386</v>
      </c>
      <c r="FT121" s="82">
        <f t="shared" si="224"/>
        <v>-8.6127007324654416E-3</v>
      </c>
      <c r="FU121" s="273"/>
      <c r="FV121" s="57" t="str">
        <f t="shared" si="192"/>
        <v>Up</v>
      </c>
      <c r="FW121" s="79" t="s">
        <v>2734</v>
      </c>
      <c r="FX121" s="57" t="str">
        <f t="shared" si="193"/>
        <v/>
      </c>
      <c r="FY121" s="57" t="str">
        <f t="shared" si="194"/>
        <v/>
      </c>
      <c r="FZ121" s="57" t="str">
        <f t="shared" si="195"/>
        <v/>
      </c>
      <c r="GA121" s="57" t="str">
        <f t="shared" si="196"/>
        <v>Long</v>
      </c>
      <c r="GB121" s="57" t="str">
        <f t="shared" si="197"/>
        <v/>
      </c>
      <c r="GC121" s="57">
        <f t="shared" si="198"/>
        <v>1</v>
      </c>
      <c r="GD121" s="57" t="str">
        <f t="shared" si="199"/>
        <v/>
      </c>
      <c r="GE121" s="62">
        <f t="shared" si="114"/>
        <v>127.76</v>
      </c>
      <c r="GF121" s="95" t="s">
        <v>2779</v>
      </c>
      <c r="GG121" s="99">
        <f>400/I121</f>
        <v>3.1308703819661865</v>
      </c>
      <c r="GH121" s="207">
        <f t="shared" si="200"/>
        <v>400</v>
      </c>
      <c r="GI121" s="99">
        <f>GG121</f>
        <v>3.1308703819661865</v>
      </c>
      <c r="GJ121" s="98">
        <f>J121</f>
        <v>127.16</v>
      </c>
      <c r="GK121" s="96">
        <f t="shared" si="201"/>
        <v>-1.8785222291797368</v>
      </c>
      <c r="GL121" s="63">
        <f t="shared" si="115"/>
        <v>1.5654351909830666</v>
      </c>
      <c r="GM121" s="82" t="str">
        <f t="shared" si="202"/>
        <v/>
      </c>
      <c r="GN121" s="82">
        <f>IF($GZ121="",#N/A,SUM(GM$4:GM121))</f>
        <v>13.827907507904664</v>
      </c>
      <c r="GO121" s="82">
        <f t="shared" si="203"/>
        <v>6.5226466290961113E-2</v>
      </c>
      <c r="GP121" s="82">
        <f>IF($GZ121="",#N/A,SUM(GO$4:GO121))</f>
        <v>10.700262523032329</v>
      </c>
      <c r="GQ121" s="82" t="str">
        <f t="shared" si="204"/>
        <v/>
      </c>
      <c r="GR121" s="82">
        <f>IF($GZ121="",#N/A,SUM(GQ$4:GQ121))</f>
        <v>8.3293724277787966</v>
      </c>
      <c r="GS121" s="63" t="str">
        <f t="shared" si="212"/>
        <v/>
      </c>
      <c r="GT121" s="63" t="e">
        <f>IF($GZ121="",#N/A,SUM(GS$4:GS121))</f>
        <v>#N/A</v>
      </c>
      <c r="GU121" s="63" t="e">
        <f t="shared" si="213"/>
        <v>#N/A</v>
      </c>
      <c r="GV121" s="63" t="e">
        <f>IF($GZ121="",#N/A,SUM(GU$4:GU121))</f>
        <v>#N/A</v>
      </c>
      <c r="GW121" s="63" t="str">
        <f t="shared" si="214"/>
        <v/>
      </c>
      <c r="GX121" s="63" t="e">
        <f>IF($GZ121="",#N/A,SUM(GW$4:GW121))</f>
        <v>#N/A</v>
      </c>
      <c r="GY121" s="63" t="e">
        <f>IF(EJ121="",#N/A,SUM($EJ$4:EJ121))</f>
        <v>#N/A</v>
      </c>
      <c r="GZ121" s="159">
        <v>128.26</v>
      </c>
      <c r="HA121" s="63">
        <f t="shared" si="205"/>
        <v>3.4439574201628034</v>
      </c>
      <c r="HB121" s="130" t="s">
        <v>4970</v>
      </c>
      <c r="HC121" s="60">
        <f>IFERROR(VLOOKUP(E121,Expectancy!$P$4:$S$19,1+C121,FALSE),"")</f>
        <v>-0.45514116799985843</v>
      </c>
      <c r="HD121" s="82" t="str">
        <f t="shared" si="206"/>
        <v/>
      </c>
      <c r="HE121" s="60" t="e">
        <f>IF(HD121="",#N/A,SUM($HD$4:HD121))</f>
        <v>#N/A</v>
      </c>
      <c r="HF121" s="85" t="e">
        <f>IF(HD121="",#N/A,IF(HB121="Skip",#N/A,SUM($HG$4:HG121)))</f>
        <v>#N/A</v>
      </c>
      <c r="HG121" s="205" t="str">
        <f t="shared" si="207"/>
        <v/>
      </c>
      <c r="HH121" s="82">
        <f t="shared" si="208"/>
        <v>6.5226466290961113E-2</v>
      </c>
    </row>
    <row r="122" spans="1:216" x14ac:dyDescent="0.25">
      <c r="A122" s="57" t="s">
        <v>1483</v>
      </c>
      <c r="B122" s="58" t="s">
        <v>5159</v>
      </c>
      <c r="C122" s="386">
        <f t="shared" si="118"/>
        <v>3</v>
      </c>
      <c r="D122" s="372" t="str">
        <f>_xlfn.XLOOKUP(A122,[1]SP500!$A$2:$A$502,[1]SP500!$D$2:$D$502,"N")</f>
        <v>Y</v>
      </c>
      <c r="E122" s="57" t="str">
        <f>_xlfn.XLOOKUP(A122,[1]SP500!$A$2:$A$655,[1]SP500!$B$2:$B$655)</f>
        <v>XLY</v>
      </c>
      <c r="F122" s="59">
        <v>45687</v>
      </c>
      <c r="G122" s="57" t="str">
        <f t="shared" si="119"/>
        <v>BMO</v>
      </c>
      <c r="H122" s="57" t="str">
        <f t="shared" si="120"/>
        <v>s</v>
      </c>
      <c r="I122" s="159">
        <v>57.16</v>
      </c>
      <c r="J122" s="159">
        <v>54.04</v>
      </c>
      <c r="K122" s="61">
        <f t="shared" si="121"/>
        <v>-5.4583624912526198E-2</v>
      </c>
      <c r="L122" s="87">
        <f t="shared" si="122"/>
        <v>-21.720000000000027</v>
      </c>
      <c r="M122" s="130">
        <f t="shared" si="112"/>
        <v>0</v>
      </c>
      <c r="N122" s="169" t="str">
        <f t="shared" si="123"/>
        <v/>
      </c>
      <c r="O122" s="169">
        <f>IF($J122="",#N/A,SUM($N$4:N122))</f>
        <v>215.8095853421637</v>
      </c>
      <c r="P122" s="174" t="str">
        <f t="shared" si="124"/>
        <v/>
      </c>
      <c r="Q122" s="174">
        <f>IF($J122="",#N/A,SUM($P$4:P122))</f>
        <v>134.4410402377265</v>
      </c>
      <c r="R122" s="178">
        <f t="shared" si="125"/>
        <v>-21.720000000000027</v>
      </c>
      <c r="S122" s="178">
        <f>IF($J122="",#N/A,SUM($R$4:R122))</f>
        <v>230.67857032475047</v>
      </c>
      <c r="T122" s="290" t="str">
        <f t="shared" si="126"/>
        <v/>
      </c>
      <c r="U122" s="290">
        <f>IF($J122="",#N/A,SUM($T$4:T122))</f>
        <v>7.6560773349235101</v>
      </c>
      <c r="V122" s="291" t="str">
        <f t="shared" si="127"/>
        <v/>
      </c>
      <c r="W122" s="291">
        <f>IF($J122="",#N/A,SUM($V$4:V122))</f>
        <v>5.6407614487256001</v>
      </c>
      <c r="X122" s="292">
        <f t="shared" si="128"/>
        <v>-0.90500000000000114</v>
      </c>
      <c r="Y122" s="283">
        <f>IF($J122="",#N/A,SUM($X$4:X122))</f>
        <v>9.4119926214230709</v>
      </c>
      <c r="Z122" s="304" t="str">
        <f t="shared" si="129"/>
        <v/>
      </c>
      <c r="AA122" s="313" t="e">
        <f>IF($J122="",#N/A,SUM(Z$4:Z122))</f>
        <v>#N/A</v>
      </c>
      <c r="AB122" s="314" t="str">
        <f t="shared" si="130"/>
        <v/>
      </c>
      <c r="AC122" s="314" t="e">
        <f>IF($J122="",#N/A,SUM(AB$4:AB122))</f>
        <v>#N/A</v>
      </c>
      <c r="AD122" s="315" t="str">
        <f t="shared" si="131"/>
        <v/>
      </c>
      <c r="AE122" s="315" t="e">
        <f>IF($J122="",#N/A,SUM(AD$4:AD122))</f>
        <v>#N/A</v>
      </c>
      <c r="AF122" s="315" t="e">
        <f>IF($J122="",#N/A,SUM(AD$4:AD122,AB$4:AB122,Z$4:Z122))</f>
        <v>#N/A</v>
      </c>
      <c r="AG122" s="304" t="str">
        <f t="shared" si="132"/>
        <v/>
      </c>
      <c r="AH122" s="313" t="e">
        <f>IF($J122="",#N/A,SUM(AG$4:AG122))</f>
        <v>#N/A</v>
      </c>
      <c r="AI122" s="314" t="str">
        <f t="shared" si="133"/>
        <v/>
      </c>
      <c r="AJ122" s="314" t="e">
        <f>IF($J122="",#N/A,SUM(AI$4:AI122))</f>
        <v>#N/A</v>
      </c>
      <c r="AK122" s="315" t="str">
        <f t="shared" si="134"/>
        <v/>
      </c>
      <c r="AL122" s="315" t="e">
        <f>IF($J122="",#N/A,SUM(AK$4:AK122))</f>
        <v>#N/A</v>
      </c>
      <c r="AM122" s="315" t="e">
        <f>IF($J122="",#N/A,SUM(AK$4:AK122,AI$4:AI122,AG$4:AG122))</f>
        <v>#N/A</v>
      </c>
      <c r="AN122" s="304" t="str">
        <f t="shared" si="135"/>
        <v/>
      </c>
      <c r="AO122" s="313" t="e">
        <f>IF($J122="",#N/A,SUM(AN$4:AN122))</f>
        <v>#N/A</v>
      </c>
      <c r="AP122" s="314" t="str">
        <f t="shared" si="136"/>
        <v/>
      </c>
      <c r="AQ122" s="314" t="e">
        <f>IF($J122="",#N/A,SUM(AP$4:AP122))</f>
        <v>#N/A</v>
      </c>
      <c r="AR122" s="315">
        <f t="shared" si="137"/>
        <v>-0.90500000000000114</v>
      </c>
      <c r="AS122" s="315" t="e">
        <f>IF($J122="",#N/A,SUM(AR$4:AR122))</f>
        <v>#N/A</v>
      </c>
      <c r="AT122" s="315" t="e">
        <f>IF($J122="",#N/A,SUM(AR$4:AR122,AP$4:AP122,AN$4:AN122))</f>
        <v>#N/A</v>
      </c>
      <c r="AU122" s="304" t="str">
        <f t="shared" si="138"/>
        <v/>
      </c>
      <c r="AV122" s="313" t="e">
        <f>IF($J122="",#N/A,SUM(AU$4:AU122))</f>
        <v>#N/A</v>
      </c>
      <c r="AW122" s="314" t="str">
        <f t="shared" si="139"/>
        <v/>
      </c>
      <c r="AX122" s="314" t="e">
        <f>IF($J122="",#N/A,SUM(AW$4:AW122))</f>
        <v>#N/A</v>
      </c>
      <c r="AY122" s="315" t="str">
        <f t="shared" si="140"/>
        <v/>
      </c>
      <c r="AZ122" s="315" t="e">
        <f>IF($J122="",#N/A,SUM(AY$4:AY122))</f>
        <v>#N/A</v>
      </c>
      <c r="BA122" s="315" t="e">
        <f>IF($J122="",#N/A,SUM(AY$4:AY122,AW$4:AW122,AU$4:AU122))</f>
        <v>#N/A</v>
      </c>
      <c r="BB122" s="304" t="str">
        <f t="shared" si="141"/>
        <v/>
      </c>
      <c r="BC122" s="313" t="e">
        <f>IF($J122="",#N/A,SUM(BB$4:BB122))</f>
        <v>#N/A</v>
      </c>
      <c r="BD122" s="314" t="str">
        <f t="shared" si="142"/>
        <v/>
      </c>
      <c r="BE122" s="314" t="e">
        <f>IF($J122="",#N/A,SUM(BD$4:BD122))</f>
        <v>#N/A</v>
      </c>
      <c r="BF122" s="315" t="str">
        <f t="shared" si="143"/>
        <v/>
      </c>
      <c r="BG122" s="315" t="e">
        <f>IF($J122="",#N/A,SUM(BF$4:BF122))</f>
        <v>#N/A</v>
      </c>
      <c r="BH122" s="315" t="e">
        <f>IF($J122="",#N/A,SUM(BF$4:BF122,BD$4:BD122,BB$4:BB122))</f>
        <v>#N/A</v>
      </c>
      <c r="BI122" s="304" t="str">
        <f t="shared" si="144"/>
        <v/>
      </c>
      <c r="BJ122" s="313" t="e">
        <f>IF($J122="",#N/A,SUM(BI$4:BI122))</f>
        <v>#N/A</v>
      </c>
      <c r="BK122" s="314" t="str">
        <f t="shared" si="145"/>
        <v/>
      </c>
      <c r="BL122" s="314" t="e">
        <f>IF($J122="",#N/A,SUM(BK$4:BK122))</f>
        <v>#N/A</v>
      </c>
      <c r="BM122" s="315" t="str">
        <f t="shared" si="146"/>
        <v/>
      </c>
      <c r="BN122" s="315" t="e">
        <f>IF($J122="",#N/A,SUM(BM$4:BM122))</f>
        <v>#N/A</v>
      </c>
      <c r="BO122" s="315" t="e">
        <f>IF($J122="",#N/A,SUM(BM$4:BM122,BK$4:BK122,BI$4:BI122))</f>
        <v>#N/A</v>
      </c>
      <c r="BP122" s="304" t="str">
        <f t="shared" si="147"/>
        <v/>
      </c>
      <c r="BQ122" s="313" t="e">
        <f>IF($J122="",#N/A,SUM(BP$4:BP122))</f>
        <v>#N/A</v>
      </c>
      <c r="BR122" s="314" t="str">
        <f t="shared" si="148"/>
        <v/>
      </c>
      <c r="BS122" s="314" t="e">
        <f>IF($J122="",#N/A,SUM(BR$4:BR122))</f>
        <v>#N/A</v>
      </c>
      <c r="BT122" s="315" t="str">
        <f t="shared" si="149"/>
        <v/>
      </c>
      <c r="BU122" s="315" t="e">
        <f>IF($J122="",#N/A,SUM(BT$4:BT122))</f>
        <v>#N/A</v>
      </c>
      <c r="BV122" s="315" t="e">
        <f>IF($J122="",#N/A,SUM(BT$4:BT122,BR$4:BR122,BP$4:BP122))</f>
        <v>#N/A</v>
      </c>
      <c r="BW122" s="304" t="str">
        <f t="shared" si="150"/>
        <v/>
      </c>
      <c r="BX122" s="313" t="e">
        <f>IF($J122="",#N/A,SUM(BW$4:BW122))</f>
        <v>#N/A</v>
      </c>
      <c r="BY122" s="314" t="str">
        <f t="shared" si="151"/>
        <v/>
      </c>
      <c r="BZ122" s="314" t="e">
        <f>IF($J122="",#N/A,SUM(BY$4:BY122))</f>
        <v>#N/A</v>
      </c>
      <c r="CA122" s="315" t="str">
        <f t="shared" si="152"/>
        <v/>
      </c>
      <c r="CB122" s="315" t="e">
        <f>IF($J122="",#N/A,SUM(CA$4:CA122))</f>
        <v>#N/A</v>
      </c>
      <c r="CC122" s="315" t="e">
        <f>IF($J122="",#N/A,SUM(CA$4:CA122,BY$4:BY122,BW$4:BW122))</f>
        <v>#N/A</v>
      </c>
      <c r="CD122" s="304" t="str">
        <f t="shared" si="153"/>
        <v/>
      </c>
      <c r="CE122" s="313" t="e">
        <f>IF($J122="",#N/A,SUM(CD$4:CD122))</f>
        <v>#N/A</v>
      </c>
      <c r="CF122" s="314" t="str">
        <f t="shared" si="154"/>
        <v/>
      </c>
      <c r="CG122" s="314" t="e">
        <f>IF($J122="",#N/A,SUM(CF$4:CF122))</f>
        <v>#N/A</v>
      </c>
      <c r="CH122" s="315" t="str">
        <f t="shared" si="155"/>
        <v/>
      </c>
      <c r="CI122" s="315" t="e">
        <f>IF($J122="",#N/A,SUM(CH$4:CH122))</f>
        <v>#N/A</v>
      </c>
      <c r="CJ122" s="315" t="e">
        <f>IF($J122="",#N/A,SUM(CH$4:CH122,CF$4:CF122,CD$4:CD122))</f>
        <v>#N/A</v>
      </c>
      <c r="CK122" s="304" t="str">
        <f t="shared" si="156"/>
        <v/>
      </c>
      <c r="CL122" s="313" t="e">
        <f>IF($J122="",#N/A,SUM(CK$4:CK122))</f>
        <v>#N/A</v>
      </c>
      <c r="CM122" s="314" t="str">
        <f t="shared" si="157"/>
        <v/>
      </c>
      <c r="CN122" s="314" t="e">
        <f>IF($J122="",#N/A,SUM(CM$4:CM122))</f>
        <v>#N/A</v>
      </c>
      <c r="CO122" s="315" t="str">
        <f t="shared" si="158"/>
        <v/>
      </c>
      <c r="CP122" s="315" t="e">
        <f>IF($J122="",#N/A,SUM(CO$4:CO122))</f>
        <v>#N/A</v>
      </c>
      <c r="CQ122" s="315" t="e">
        <f>IF($J122="",#N/A,SUM(CO$4:CO122,CM$4:CM122,CK$4:CK122))</f>
        <v>#N/A</v>
      </c>
      <c r="CR122" s="304" t="str">
        <f t="shared" si="159"/>
        <v/>
      </c>
      <c r="CS122" s="313" t="e">
        <f>IF($J122="",#N/A,SUM(CR$4:CR122))</f>
        <v>#N/A</v>
      </c>
      <c r="CT122" s="314" t="str">
        <f t="shared" si="160"/>
        <v/>
      </c>
      <c r="CU122" s="314" t="e">
        <f>IF($J122="",#N/A,SUM(CT$4:CT122))</f>
        <v>#N/A</v>
      </c>
      <c r="CV122" s="315" t="str">
        <f t="shared" si="161"/>
        <v/>
      </c>
      <c r="CW122" s="315" t="e">
        <f>IF($J122="",#N/A,SUM(CV$4:CV122))</f>
        <v>#N/A</v>
      </c>
      <c r="CX122" s="315" t="e">
        <f>IF($J122="",#N/A,SUM(CV$4:CV122,CT$4:CT122,CR$4:CR122))</f>
        <v>#N/A</v>
      </c>
      <c r="CY122" s="304" t="str">
        <f t="shared" si="162"/>
        <v/>
      </c>
      <c r="CZ122" s="313" t="e">
        <f>IF($J122="",#N/A,SUM(CY$4:CY122))</f>
        <v>#N/A</v>
      </c>
      <c r="DA122" s="314" t="str">
        <f t="shared" si="163"/>
        <v/>
      </c>
      <c r="DB122" s="314" t="e">
        <f>IF($J122="",#N/A,SUM(DA$4:DA122))</f>
        <v>#N/A</v>
      </c>
      <c r="DC122" s="315" t="str">
        <f t="shared" si="164"/>
        <v/>
      </c>
      <c r="DD122" s="315" t="e">
        <f>IF($J122="",#N/A,SUM(DC$4:DC122))</f>
        <v>#N/A</v>
      </c>
      <c r="DE122" s="315" t="e">
        <f>IF($J122="",#N/A,SUM(DC$4:DC122,DA$4:DA122,CY$4:CY122))</f>
        <v>#N/A</v>
      </c>
      <c r="DF122" s="304" t="str">
        <f t="shared" si="165"/>
        <v/>
      </c>
      <c r="DG122" s="313" t="e">
        <f>IF($J122="",#N/A,SUM(DF$4:DF122))</f>
        <v>#N/A</v>
      </c>
      <c r="DH122" s="314" t="str">
        <f t="shared" si="166"/>
        <v/>
      </c>
      <c r="DI122" s="314" t="e">
        <f>IF($J122="",#N/A,SUM(DH$4:DH122))</f>
        <v>#N/A</v>
      </c>
      <c r="DJ122" s="315" t="str">
        <f t="shared" si="167"/>
        <v/>
      </c>
      <c r="DK122" s="315" t="e">
        <f>IF($J122="",#N/A,SUM(DJ$4:DJ122))</f>
        <v>#N/A</v>
      </c>
      <c r="DL122" s="315" t="e">
        <f>IF($J122="",#N/A,SUM(DJ$4:DJ122,DH$4:DH122,DF$4:DF122))</f>
        <v>#N/A</v>
      </c>
      <c r="DM122" s="304" t="str">
        <f t="shared" si="168"/>
        <v/>
      </c>
      <c r="DN122" s="313" t="e">
        <f>IF($J122="",#N/A,SUM(DM$4:DM122))</f>
        <v>#N/A</v>
      </c>
      <c r="DO122" s="314" t="str">
        <f t="shared" si="169"/>
        <v/>
      </c>
      <c r="DP122" s="314" t="e">
        <f>IF($J122="",#N/A,SUM(DO$4:DO122))</f>
        <v>#N/A</v>
      </c>
      <c r="DQ122" s="315" t="str">
        <f t="shared" si="170"/>
        <v/>
      </c>
      <c r="DR122" s="315" t="e">
        <f>IF($J122="",#N/A,SUM(DQ$4:DQ122))</f>
        <v>#N/A</v>
      </c>
      <c r="DS122" s="315" t="e">
        <f>IF($J122="",#N/A,SUM(DQ$4:DQ122,DO$4:DO122,DM$4:DM122))</f>
        <v>#N/A</v>
      </c>
      <c r="DT122" s="304" t="str">
        <f t="shared" si="171"/>
        <v/>
      </c>
      <c r="DU122" s="313" t="e">
        <f>IF($J122="",#N/A,SUM(DT$4:DT122))</f>
        <v>#N/A</v>
      </c>
      <c r="DV122" s="314" t="str">
        <f t="shared" si="172"/>
        <v/>
      </c>
      <c r="DW122" s="314" t="e">
        <f>IF($J122="",#N/A,SUM(DV$4:DV122))</f>
        <v>#N/A</v>
      </c>
      <c r="DX122" s="315" t="str">
        <f t="shared" si="173"/>
        <v/>
      </c>
      <c r="DY122" s="315" t="e">
        <f>IF($J122="",#N/A,SUM(DX$4:DX122))</f>
        <v>#N/A</v>
      </c>
      <c r="DZ122" s="315" t="e">
        <f>IF($J122="",#N/A,SUM(DX$4:DX122,DV$4:DV122,DT$4:DT122))</f>
        <v>#N/A</v>
      </c>
      <c r="EA122" s="304" t="str">
        <f t="shared" si="174"/>
        <v/>
      </c>
      <c r="EB122" s="313" t="e">
        <f>IF($J122="",#N/A,SUM(EA$4:EA122))</f>
        <v>#N/A</v>
      </c>
      <c r="EC122" s="314" t="str">
        <f t="shared" si="175"/>
        <v/>
      </c>
      <c r="ED122" s="314" t="e">
        <f>IF($J122="",#N/A,SUM(EC$4:EC122))</f>
        <v>#N/A</v>
      </c>
      <c r="EE122" s="315" t="str">
        <f t="shared" si="176"/>
        <v/>
      </c>
      <c r="EF122" s="315" t="e">
        <f>IF($J122="",#N/A,SUM(EE$4:EE122))</f>
        <v>#N/A</v>
      </c>
      <c r="EG122" s="315" t="e">
        <f>IF($J122="",#N/A,SUM(EE$4:EE122,EC$4:EC122,EA$4:EA122))</f>
        <v>#N/A</v>
      </c>
      <c r="EH122" s="130">
        <f t="shared" si="177"/>
        <v>-21.720000000000027</v>
      </c>
      <c r="EI122" s="63">
        <f>IF(EH122="",#N/A,SUM($EH$4:EH122))</f>
        <v>580.92919590464066</v>
      </c>
      <c r="EJ122" s="223" t="e">
        <f t="shared" si="178"/>
        <v>#N/A</v>
      </c>
      <c r="EK122" s="63" t="e">
        <f>IF($GZ122="",#N/A,SUM(EJ$4:EJ122))</f>
        <v>#N/A</v>
      </c>
      <c r="EL122" s="60">
        <f t="shared" si="209"/>
        <v>-0.90500000000000114</v>
      </c>
      <c r="EM122" s="60">
        <f>IF(EL122="",NA(),SUM($EL$4:EL122))</f>
        <v>21.637191905053211</v>
      </c>
      <c r="EN122" s="60" t="str">
        <f t="shared" si="179"/>
        <v/>
      </c>
      <c r="EO122" s="60" t="e">
        <f>IF(EN122="",NA(),SUM($EN$4:EN122))</f>
        <v>#N/A</v>
      </c>
      <c r="EP122" s="60">
        <f t="shared" si="180"/>
        <v>-0.90500000000000114</v>
      </c>
      <c r="EQ122" s="60">
        <f>IF(EP122="",NA(),SUM($EP$4:EP122))</f>
        <v>9.532640673818797</v>
      </c>
      <c r="ER122" s="60" t="str">
        <f t="shared" si="181"/>
        <v/>
      </c>
      <c r="ES122" s="60" t="e">
        <f>IF(ER122="",NA(),SUM($ER$4:ER122))</f>
        <v>#N/A</v>
      </c>
      <c r="ET122" s="60" t="str">
        <f t="shared" si="182"/>
        <v/>
      </c>
      <c r="EU122" s="60" t="e">
        <f>IF(ET122="",NA(),SUM($ET$4:ET122))</f>
        <v>#N/A</v>
      </c>
      <c r="EV122" s="60" t="str">
        <f t="shared" si="183"/>
        <v/>
      </c>
      <c r="EW122" s="60" t="e">
        <f>IF(EV122="",NA(),SUM($EV$4:EV122))</f>
        <v>#N/A</v>
      </c>
      <c r="EX122" s="60" t="str">
        <f t="shared" si="184"/>
        <v/>
      </c>
      <c r="EY122" s="60" t="e">
        <f>IF(EX122="",NA(),SUM($EX$4:EX122))</f>
        <v>#N/A</v>
      </c>
      <c r="EZ122" s="60" t="str">
        <f t="shared" si="185"/>
        <v/>
      </c>
      <c r="FA122" s="60" t="e">
        <f>IF(EZ122="",NA(),SUM($EZ$4:EZ122))</f>
        <v>#N/A</v>
      </c>
      <c r="FB122" s="246" t="str">
        <f t="shared" si="210"/>
        <v/>
      </c>
      <c r="FC122" s="246" t="e">
        <f>IF($FB122="",#N/A,SUM(FB$4:$FB122))</f>
        <v>#N/A</v>
      </c>
      <c r="FD122" s="60" t="str">
        <f t="shared" si="186"/>
        <v/>
      </c>
      <c r="FE122" s="60" t="e">
        <f>IF($FD122="",#N/A,SUM($FD$4:FD122))</f>
        <v>#N/A</v>
      </c>
      <c r="FF122" s="60" t="str">
        <f t="shared" si="187"/>
        <v/>
      </c>
      <c r="FG122" s="60" t="e">
        <f>IF($FF122="",#N/A,SUM($FF$4:FF122))</f>
        <v>#N/A</v>
      </c>
      <c r="FH122" s="60" t="str">
        <f t="shared" si="188"/>
        <v/>
      </c>
      <c r="FI122" s="60" t="e">
        <f>IF($FH122="",#N/A,SUM($FH$4:FH122))</f>
        <v>#N/A</v>
      </c>
      <c r="FJ122" s="60" t="str">
        <f t="shared" si="189"/>
        <v/>
      </c>
      <c r="FK122" s="60" t="e">
        <f>IF($FJ122="",#N/A,SUM($FJ$4:FJ122))</f>
        <v>#N/A</v>
      </c>
      <c r="FL122" s="60">
        <f t="shared" si="190"/>
        <v>7.291666666666663E-2</v>
      </c>
      <c r="FM122" s="60">
        <f>IF($FL122="",#N/A,SUM($FL$4:FL122))</f>
        <v>2.2236859073603075</v>
      </c>
      <c r="FN122" s="82">
        <f t="shared" si="191"/>
        <v>-0.83208333333333451</v>
      </c>
      <c r="FO122" s="82">
        <f>IF($FN122="",#N/A,SUM(FN$4:$FN122))</f>
        <v>32.651296079824789</v>
      </c>
      <c r="FP122" s="82">
        <f t="shared" si="211"/>
        <v>-0.90500000000000114</v>
      </c>
      <c r="FQ122" s="246">
        <f>IF($EH122="",#N/A,SUM($FP$4:FP122))</f>
        <v>22.708831405072196</v>
      </c>
      <c r="FR122" s="82">
        <f>IFERROR(FQ122/COUNTA($J$4:J122),#N/A)</f>
        <v>0.19083051600901005</v>
      </c>
      <c r="FS122" s="82">
        <f>IFERROR(($FQ122-$FQ76)/COUNTA($J76:$J122),#N/A)</f>
        <v>0.14028825133557588</v>
      </c>
      <c r="FT122" s="82">
        <f t="shared" si="224"/>
        <v>1.766331431089924E-2</v>
      </c>
      <c r="FU122" s="337">
        <f>IF(AND(HB122="MOC",GZ122=""),#N/A,IFERROR(FQ122-HE122,FQ122-0))-14.53</f>
        <v>7.8845946630139476</v>
      </c>
      <c r="FV122" s="57" t="str">
        <f t="shared" si="192"/>
        <v>SW</v>
      </c>
      <c r="FW122" s="57" t="s">
        <v>2732</v>
      </c>
      <c r="FX122" s="57" t="str">
        <f t="shared" si="193"/>
        <v/>
      </c>
      <c r="FY122" s="57" t="str">
        <f t="shared" si="194"/>
        <v/>
      </c>
      <c r="FZ122" s="57" t="str">
        <f t="shared" si="195"/>
        <v/>
      </c>
      <c r="GA122" s="57" t="str">
        <f t="shared" si="196"/>
        <v>Long</v>
      </c>
      <c r="GB122" s="57" t="str">
        <f t="shared" si="197"/>
        <v/>
      </c>
      <c r="GC122" s="57" t="str">
        <f t="shared" si="198"/>
        <v/>
      </c>
      <c r="GD122" s="57">
        <f t="shared" si="199"/>
        <v>1</v>
      </c>
      <c r="GE122" s="62">
        <f t="shared" si="114"/>
        <v>57.16</v>
      </c>
      <c r="GF122" s="62" t="s">
        <v>2779</v>
      </c>
      <c r="GG122" s="199">
        <f>400/I122</f>
        <v>6.9979006298110571</v>
      </c>
      <c r="GH122" s="207">
        <f t="shared" si="200"/>
        <v>400</v>
      </c>
      <c r="GI122" s="199">
        <v>7</v>
      </c>
      <c r="GJ122" s="200">
        <v>54.04</v>
      </c>
      <c r="GK122" s="63">
        <f t="shared" si="201"/>
        <v>-21.720000000000027</v>
      </c>
      <c r="GL122" s="63">
        <f t="shared" si="115"/>
        <v>-19.970000000000027</v>
      </c>
      <c r="GM122" s="82">
        <f t="shared" si="202"/>
        <v>-0.83208333333333451</v>
      </c>
      <c r="GN122" s="82">
        <f>IF($GZ122="",#N/A,SUM(GM$4:GM122))</f>
        <v>12.995824174571329</v>
      </c>
      <c r="GO122" s="82" t="str">
        <f t="shared" si="203"/>
        <v/>
      </c>
      <c r="GP122" s="82">
        <f>IF($GZ122="",#N/A,SUM(GO$4:GO122))</f>
        <v>10.700262523032329</v>
      </c>
      <c r="GQ122" s="82" t="str">
        <f t="shared" si="204"/>
        <v/>
      </c>
      <c r="GR122" s="82">
        <f>IF($GZ122="",#N/A,SUM(GQ$4:GQ122))</f>
        <v>8.3293724277787966</v>
      </c>
      <c r="GS122" s="63" t="e">
        <f t="shared" si="212"/>
        <v>#N/A</v>
      </c>
      <c r="GT122" s="63" t="e">
        <f>IF($GZ122="",#N/A,SUM(GS$4:GS122))</f>
        <v>#N/A</v>
      </c>
      <c r="GU122" s="63" t="str">
        <f t="shared" si="213"/>
        <v/>
      </c>
      <c r="GV122" s="63" t="e">
        <f>IF($GZ122="",#N/A,SUM(GU$4:GU122))</f>
        <v>#N/A</v>
      </c>
      <c r="GW122" s="63" t="str">
        <f t="shared" si="214"/>
        <v/>
      </c>
      <c r="GX122" s="63" t="e">
        <f>IF($GZ122="",#N/A,SUM(GW$4:GW122))</f>
        <v>#N/A</v>
      </c>
      <c r="GY122" s="63" t="e">
        <f>IF(EJ122="",#N/A,SUM($EJ$4:EJ122))</f>
        <v>#N/A</v>
      </c>
      <c r="GZ122" s="159">
        <v>54.29</v>
      </c>
      <c r="HA122" s="63">
        <f t="shared" si="205"/>
        <v>1.75</v>
      </c>
      <c r="HB122" s="62" t="s">
        <v>2538</v>
      </c>
      <c r="HC122" s="60">
        <f>IFERROR(VLOOKUP(E122,Expectancy!$P$4:$S$19,1+C122,FALSE),"")</f>
        <v>0.48685636958953199</v>
      </c>
      <c r="HD122" s="82">
        <f t="shared" si="206"/>
        <v>-0.90500000000000114</v>
      </c>
      <c r="HE122" s="60">
        <f>IF(HD122="",#N/A,SUM($HD$4:HD122))</f>
        <v>0.29423674205825079</v>
      </c>
      <c r="HF122" s="85">
        <f>IF(HD122="",#N/A,IF(HB122="Skip",#N/A,SUM($HG$4:HG122)))</f>
        <v>26.559999999999945</v>
      </c>
      <c r="HG122" s="63">
        <f t="shared" si="207"/>
        <v>-21.720000000000027</v>
      </c>
      <c r="HH122" s="82">
        <f t="shared" si="208"/>
        <v>-0.83208333333333451</v>
      </c>
    </row>
    <row r="123" spans="1:216" x14ac:dyDescent="0.25">
      <c r="A123" s="57" t="s">
        <v>1491</v>
      </c>
      <c r="B123" s="58" t="s">
        <v>5161</v>
      </c>
      <c r="C123" s="386">
        <f t="shared" si="118"/>
        <v>3</v>
      </c>
      <c r="D123" s="372" t="str">
        <f>_xlfn.XLOOKUP(A123,[1]SP500!$A$2:$A$502,[1]SP500!$D$2:$D$502,"N")</f>
        <v>Y</v>
      </c>
      <c r="E123" s="57" t="str">
        <f>_xlfn.XLOOKUP(A123,[1]SP500!$A$2:$A$655,[1]SP500!$B$2:$B$655)</f>
        <v>XLI</v>
      </c>
      <c r="F123" s="59">
        <v>45687</v>
      </c>
      <c r="G123" s="57" t="str">
        <f t="shared" si="119"/>
        <v>BMO</v>
      </c>
      <c r="H123" s="57" t="str">
        <f t="shared" si="120"/>
        <v>s</v>
      </c>
      <c r="I123" s="159">
        <v>197.36</v>
      </c>
      <c r="J123" s="158">
        <v>210</v>
      </c>
      <c r="K123" s="61">
        <f t="shared" si="121"/>
        <v>6.40453992703688E-2</v>
      </c>
      <c r="L123" s="87">
        <f t="shared" si="122"/>
        <v>25.279999999999973</v>
      </c>
      <c r="M123" s="130">
        <f t="shared" si="112"/>
        <v>0</v>
      </c>
      <c r="N123" s="169" t="str">
        <f t="shared" si="123"/>
        <v/>
      </c>
      <c r="O123" s="169">
        <f>IF($J123="",#N/A,SUM($N$4:N123))</f>
        <v>215.8095853421637</v>
      </c>
      <c r="P123" s="174" t="str">
        <f t="shared" si="124"/>
        <v/>
      </c>
      <c r="Q123" s="174">
        <f>IF($J123="",#N/A,SUM($P$4:P123))</f>
        <v>134.4410402377265</v>
      </c>
      <c r="R123" s="178">
        <f t="shared" si="125"/>
        <v>25.279999999999973</v>
      </c>
      <c r="S123" s="178">
        <f>IF($J123="",#N/A,SUM($R$4:R123))</f>
        <v>255.95857032475044</v>
      </c>
      <c r="T123" s="290" t="str">
        <f t="shared" si="126"/>
        <v/>
      </c>
      <c r="U123" s="290">
        <f>IF($J123="",#N/A,SUM($T$4:T123))</f>
        <v>7.6560773349235101</v>
      </c>
      <c r="V123" s="291" t="str">
        <f t="shared" si="127"/>
        <v/>
      </c>
      <c r="W123" s="291">
        <f>IF($J123="",#N/A,SUM($V$4:V123))</f>
        <v>5.6407614487256001</v>
      </c>
      <c r="X123" s="292">
        <f t="shared" si="128"/>
        <v>1.0674233211728135</v>
      </c>
      <c r="Y123" s="283">
        <f>IF($J123="",#N/A,SUM($X$4:X123))</f>
        <v>10.479415942595885</v>
      </c>
      <c r="Z123" s="304" t="str">
        <f t="shared" si="129"/>
        <v/>
      </c>
      <c r="AA123" s="313" t="e">
        <f>IF($J123="",#N/A,SUM(Z$4:Z123))</f>
        <v>#N/A</v>
      </c>
      <c r="AB123" s="314" t="str">
        <f t="shared" si="130"/>
        <v/>
      </c>
      <c r="AC123" s="314" t="e">
        <f>IF($J123="",#N/A,SUM(AB$4:AB123))</f>
        <v>#N/A</v>
      </c>
      <c r="AD123" s="315" t="str">
        <f t="shared" si="131"/>
        <v/>
      </c>
      <c r="AE123" s="315" t="e">
        <f>IF($J123="",#N/A,SUM(AD$4:AD123))</f>
        <v>#N/A</v>
      </c>
      <c r="AF123" s="315" t="e">
        <f>IF($J123="",#N/A,SUM(AD$4:AD123,AB$4:AB123,Z$4:Z123))</f>
        <v>#N/A</v>
      </c>
      <c r="AG123" s="304" t="str">
        <f t="shared" si="132"/>
        <v/>
      </c>
      <c r="AH123" s="313" t="e">
        <f>IF($J123="",#N/A,SUM(AG$4:AG123))</f>
        <v>#N/A</v>
      </c>
      <c r="AI123" s="314" t="str">
        <f t="shared" si="133"/>
        <v/>
      </c>
      <c r="AJ123" s="314" t="e">
        <f>IF($J123="",#N/A,SUM(AI$4:AI123))</f>
        <v>#N/A</v>
      </c>
      <c r="AK123" s="315" t="str">
        <f t="shared" si="134"/>
        <v/>
      </c>
      <c r="AL123" s="315" t="e">
        <f>IF($J123="",#N/A,SUM(AK$4:AK123))</f>
        <v>#N/A</v>
      </c>
      <c r="AM123" s="315" t="e">
        <f>IF($J123="",#N/A,SUM(AK$4:AK123,AI$4:AI123,AG$4:AG123))</f>
        <v>#N/A</v>
      </c>
      <c r="AN123" s="304" t="str">
        <f t="shared" si="135"/>
        <v/>
      </c>
      <c r="AO123" s="313" t="e">
        <f>IF($J123="",#N/A,SUM(AN$4:AN123))</f>
        <v>#N/A</v>
      </c>
      <c r="AP123" s="314" t="str">
        <f t="shared" si="136"/>
        <v/>
      </c>
      <c r="AQ123" s="314" t="e">
        <f>IF($J123="",#N/A,SUM(AP$4:AP123))</f>
        <v>#N/A</v>
      </c>
      <c r="AR123" s="315" t="str">
        <f t="shared" si="137"/>
        <v/>
      </c>
      <c r="AS123" s="315" t="e">
        <f>IF($J123="",#N/A,SUM(AR$4:AR123))</f>
        <v>#N/A</v>
      </c>
      <c r="AT123" s="315" t="e">
        <f>IF($J123="",#N/A,SUM(AR$4:AR123,AP$4:AP123,AN$4:AN123))</f>
        <v>#N/A</v>
      </c>
      <c r="AU123" s="304" t="str">
        <f t="shared" si="138"/>
        <v/>
      </c>
      <c r="AV123" s="313" t="e">
        <f>IF($J123="",#N/A,SUM(AU$4:AU123))</f>
        <v>#N/A</v>
      </c>
      <c r="AW123" s="314" t="str">
        <f t="shared" si="139"/>
        <v/>
      </c>
      <c r="AX123" s="314" t="e">
        <f>IF($J123="",#N/A,SUM(AW$4:AW123))</f>
        <v>#N/A</v>
      </c>
      <c r="AY123" s="315" t="str">
        <f t="shared" si="140"/>
        <v/>
      </c>
      <c r="AZ123" s="315" t="e">
        <f>IF($J123="",#N/A,SUM(AY$4:AY123))</f>
        <v>#N/A</v>
      </c>
      <c r="BA123" s="315" t="e">
        <f>IF($J123="",#N/A,SUM(AY$4:AY123,AW$4:AW123,AU$4:AU123))</f>
        <v>#N/A</v>
      </c>
      <c r="BB123" s="304" t="str">
        <f t="shared" si="141"/>
        <v/>
      </c>
      <c r="BC123" s="313" t="e">
        <f>IF($J123="",#N/A,SUM(BB$4:BB123))</f>
        <v>#N/A</v>
      </c>
      <c r="BD123" s="314" t="str">
        <f t="shared" si="142"/>
        <v/>
      </c>
      <c r="BE123" s="314" t="e">
        <f>IF($J123="",#N/A,SUM(BD$4:BD123))</f>
        <v>#N/A</v>
      </c>
      <c r="BF123" s="315" t="str">
        <f t="shared" si="143"/>
        <v/>
      </c>
      <c r="BG123" s="315" t="e">
        <f>IF($J123="",#N/A,SUM(BF$4:BF123))</f>
        <v>#N/A</v>
      </c>
      <c r="BH123" s="315" t="e">
        <f>IF($J123="",#N/A,SUM(BF$4:BF123,BD$4:BD123,BB$4:BB123))</f>
        <v>#N/A</v>
      </c>
      <c r="BI123" s="304" t="str">
        <f t="shared" si="144"/>
        <v/>
      </c>
      <c r="BJ123" s="313" t="e">
        <f>IF($J123="",#N/A,SUM(BI$4:BI123))</f>
        <v>#N/A</v>
      </c>
      <c r="BK123" s="314" t="str">
        <f t="shared" si="145"/>
        <v/>
      </c>
      <c r="BL123" s="314" t="e">
        <f>IF($J123="",#N/A,SUM(BK$4:BK123))</f>
        <v>#N/A</v>
      </c>
      <c r="BM123" s="315" t="str">
        <f t="shared" si="146"/>
        <v/>
      </c>
      <c r="BN123" s="315" t="e">
        <f>IF($J123="",#N/A,SUM(BM$4:BM123))</f>
        <v>#N/A</v>
      </c>
      <c r="BO123" s="315" t="e">
        <f>IF($J123="",#N/A,SUM(BM$4:BM123,BK$4:BK123,BI$4:BI123))</f>
        <v>#N/A</v>
      </c>
      <c r="BP123" s="304" t="str">
        <f t="shared" si="147"/>
        <v/>
      </c>
      <c r="BQ123" s="313" t="e">
        <f>IF($J123="",#N/A,SUM(BP$4:BP123))</f>
        <v>#N/A</v>
      </c>
      <c r="BR123" s="314" t="str">
        <f t="shared" si="148"/>
        <v/>
      </c>
      <c r="BS123" s="314" t="e">
        <f>IF($J123="",#N/A,SUM(BR$4:BR123))</f>
        <v>#N/A</v>
      </c>
      <c r="BT123" s="315">
        <f t="shared" si="149"/>
        <v>1.0674233211728135</v>
      </c>
      <c r="BU123" s="315" t="e">
        <f>IF($J123="",#N/A,SUM(BT$4:BT123))</f>
        <v>#N/A</v>
      </c>
      <c r="BV123" s="315" t="e">
        <f>IF($J123="",#N/A,SUM(BT$4:BT123,BR$4:BR123,BP$4:BP123))</f>
        <v>#N/A</v>
      </c>
      <c r="BW123" s="304" t="str">
        <f t="shared" si="150"/>
        <v/>
      </c>
      <c r="BX123" s="313" t="e">
        <f>IF($J123="",#N/A,SUM(BW$4:BW123))</f>
        <v>#N/A</v>
      </c>
      <c r="BY123" s="314" t="str">
        <f t="shared" si="151"/>
        <v/>
      </c>
      <c r="BZ123" s="314" t="e">
        <f>IF($J123="",#N/A,SUM(BY$4:BY123))</f>
        <v>#N/A</v>
      </c>
      <c r="CA123" s="315" t="str">
        <f t="shared" si="152"/>
        <v/>
      </c>
      <c r="CB123" s="315" t="e">
        <f>IF($J123="",#N/A,SUM(CA$4:CA123))</f>
        <v>#N/A</v>
      </c>
      <c r="CC123" s="315" t="e">
        <f>IF($J123="",#N/A,SUM(CA$4:CA123,BY$4:BY123,BW$4:BW123))</f>
        <v>#N/A</v>
      </c>
      <c r="CD123" s="304" t="str">
        <f t="shared" si="153"/>
        <v/>
      </c>
      <c r="CE123" s="313" t="e">
        <f>IF($J123="",#N/A,SUM(CD$4:CD123))</f>
        <v>#N/A</v>
      </c>
      <c r="CF123" s="314" t="str">
        <f t="shared" si="154"/>
        <v/>
      </c>
      <c r="CG123" s="314" t="e">
        <f>IF($J123="",#N/A,SUM(CF$4:CF123))</f>
        <v>#N/A</v>
      </c>
      <c r="CH123" s="315" t="str">
        <f t="shared" si="155"/>
        <v/>
      </c>
      <c r="CI123" s="315" t="e">
        <f>IF($J123="",#N/A,SUM(CH$4:CH123))</f>
        <v>#N/A</v>
      </c>
      <c r="CJ123" s="315" t="e">
        <f>IF($J123="",#N/A,SUM(CH$4:CH123,CF$4:CF123,CD$4:CD123))</f>
        <v>#N/A</v>
      </c>
      <c r="CK123" s="304" t="str">
        <f t="shared" si="156"/>
        <v/>
      </c>
      <c r="CL123" s="313" t="e">
        <f>IF($J123="",#N/A,SUM(CK$4:CK123))</f>
        <v>#N/A</v>
      </c>
      <c r="CM123" s="314" t="str">
        <f t="shared" si="157"/>
        <v/>
      </c>
      <c r="CN123" s="314" t="e">
        <f>IF($J123="",#N/A,SUM(CM$4:CM123))</f>
        <v>#N/A</v>
      </c>
      <c r="CO123" s="315" t="str">
        <f t="shared" si="158"/>
        <v/>
      </c>
      <c r="CP123" s="315" t="e">
        <f>IF($J123="",#N/A,SUM(CO$4:CO123))</f>
        <v>#N/A</v>
      </c>
      <c r="CQ123" s="315" t="e">
        <f>IF($J123="",#N/A,SUM(CO$4:CO123,CM$4:CM123,CK$4:CK123))</f>
        <v>#N/A</v>
      </c>
      <c r="CR123" s="304" t="str">
        <f t="shared" si="159"/>
        <v/>
      </c>
      <c r="CS123" s="313" t="e">
        <f>IF($J123="",#N/A,SUM(CR$4:CR123))</f>
        <v>#N/A</v>
      </c>
      <c r="CT123" s="314" t="str">
        <f t="shared" si="160"/>
        <v/>
      </c>
      <c r="CU123" s="314" t="e">
        <f>IF($J123="",#N/A,SUM(CT$4:CT123))</f>
        <v>#N/A</v>
      </c>
      <c r="CV123" s="315" t="str">
        <f t="shared" si="161"/>
        <v/>
      </c>
      <c r="CW123" s="315" t="e">
        <f>IF($J123="",#N/A,SUM(CV$4:CV123))</f>
        <v>#N/A</v>
      </c>
      <c r="CX123" s="315" t="e">
        <f>IF($J123="",#N/A,SUM(CV$4:CV123,CT$4:CT123,CR$4:CR123))</f>
        <v>#N/A</v>
      </c>
      <c r="CY123" s="304" t="str">
        <f t="shared" si="162"/>
        <v/>
      </c>
      <c r="CZ123" s="313" t="e">
        <f>IF($J123="",#N/A,SUM(CY$4:CY123))</f>
        <v>#N/A</v>
      </c>
      <c r="DA123" s="314" t="str">
        <f t="shared" si="163"/>
        <v/>
      </c>
      <c r="DB123" s="314" t="e">
        <f>IF($J123="",#N/A,SUM(DA$4:DA123))</f>
        <v>#N/A</v>
      </c>
      <c r="DC123" s="315" t="str">
        <f t="shared" si="164"/>
        <v/>
      </c>
      <c r="DD123" s="315" t="e">
        <f>IF($J123="",#N/A,SUM(DC$4:DC123))</f>
        <v>#N/A</v>
      </c>
      <c r="DE123" s="315" t="e">
        <f>IF($J123="",#N/A,SUM(DC$4:DC123,DA$4:DA123,CY$4:CY123))</f>
        <v>#N/A</v>
      </c>
      <c r="DF123" s="304" t="str">
        <f t="shared" si="165"/>
        <v/>
      </c>
      <c r="DG123" s="313" t="e">
        <f>IF($J123="",#N/A,SUM(DF$4:DF123))</f>
        <v>#N/A</v>
      </c>
      <c r="DH123" s="314" t="str">
        <f t="shared" si="166"/>
        <v/>
      </c>
      <c r="DI123" s="314" t="e">
        <f>IF($J123="",#N/A,SUM(DH$4:DH123))</f>
        <v>#N/A</v>
      </c>
      <c r="DJ123" s="315" t="str">
        <f t="shared" si="167"/>
        <v/>
      </c>
      <c r="DK123" s="315" t="e">
        <f>IF($J123="",#N/A,SUM(DJ$4:DJ123))</f>
        <v>#N/A</v>
      </c>
      <c r="DL123" s="315" t="e">
        <f>IF($J123="",#N/A,SUM(DJ$4:DJ123,DH$4:DH123,DF$4:DF123))</f>
        <v>#N/A</v>
      </c>
      <c r="DM123" s="304" t="str">
        <f t="shared" si="168"/>
        <v/>
      </c>
      <c r="DN123" s="313" t="e">
        <f>IF($J123="",#N/A,SUM(DM$4:DM123))</f>
        <v>#N/A</v>
      </c>
      <c r="DO123" s="314" t="str">
        <f t="shared" si="169"/>
        <v/>
      </c>
      <c r="DP123" s="314" t="e">
        <f>IF($J123="",#N/A,SUM(DO$4:DO123))</f>
        <v>#N/A</v>
      </c>
      <c r="DQ123" s="315" t="str">
        <f t="shared" si="170"/>
        <v/>
      </c>
      <c r="DR123" s="315" t="e">
        <f>IF($J123="",#N/A,SUM(DQ$4:DQ123))</f>
        <v>#N/A</v>
      </c>
      <c r="DS123" s="315" t="e">
        <f>IF($J123="",#N/A,SUM(DQ$4:DQ123,DO$4:DO123,DM$4:DM123))</f>
        <v>#N/A</v>
      </c>
      <c r="DT123" s="304" t="str">
        <f t="shared" si="171"/>
        <v/>
      </c>
      <c r="DU123" s="313" t="e">
        <f>IF($J123="",#N/A,SUM(DT$4:DT123))</f>
        <v>#N/A</v>
      </c>
      <c r="DV123" s="314" t="str">
        <f t="shared" si="172"/>
        <v/>
      </c>
      <c r="DW123" s="314" t="e">
        <f>IF($J123="",#N/A,SUM(DV$4:DV123))</f>
        <v>#N/A</v>
      </c>
      <c r="DX123" s="315" t="str">
        <f t="shared" si="173"/>
        <v/>
      </c>
      <c r="DY123" s="315" t="e">
        <f>IF($J123="",#N/A,SUM(DX$4:DX123))</f>
        <v>#N/A</v>
      </c>
      <c r="DZ123" s="315" t="e">
        <f>IF($J123="",#N/A,SUM(DX$4:DX123,DV$4:DV123,DT$4:DT123))</f>
        <v>#N/A</v>
      </c>
      <c r="EA123" s="304" t="str">
        <f t="shared" si="174"/>
        <v/>
      </c>
      <c r="EB123" s="313" t="e">
        <f>IF($J123="",#N/A,SUM(EA$4:EA123))</f>
        <v>#N/A</v>
      </c>
      <c r="EC123" s="314" t="str">
        <f t="shared" si="175"/>
        <v/>
      </c>
      <c r="ED123" s="314" t="e">
        <f>IF($J123="",#N/A,SUM(EC$4:EC123))</f>
        <v>#N/A</v>
      </c>
      <c r="EE123" s="315" t="str">
        <f t="shared" si="176"/>
        <v/>
      </c>
      <c r="EF123" s="315" t="e">
        <f>IF($J123="",#N/A,SUM(EE$4:EE123))</f>
        <v>#N/A</v>
      </c>
      <c r="EG123" s="315" t="e">
        <f>IF($J123="",#N/A,SUM(EE$4:EE123,EC$4:EC123,EA$4:EA123))</f>
        <v>#N/A</v>
      </c>
      <c r="EH123" s="130">
        <f t="shared" si="177"/>
        <v>25.279999999999973</v>
      </c>
      <c r="EI123" s="63">
        <f>IF(EH123="",#N/A,SUM($EH$4:EH123))</f>
        <v>606.20919590464064</v>
      </c>
      <c r="EJ123" s="223" t="e">
        <f t="shared" si="178"/>
        <v>#N/A</v>
      </c>
      <c r="EK123" s="63" t="e">
        <f>IF($GZ123="",#N/A,SUM(EJ$4:EJ123))</f>
        <v>#N/A</v>
      </c>
      <c r="EL123" s="60">
        <f t="shared" si="209"/>
        <v>1.0674233211728135</v>
      </c>
      <c r="EM123" s="60">
        <f>IF(EL123="",NA(),SUM($EL$4:EL123))</f>
        <v>22.704615226226025</v>
      </c>
      <c r="EN123" s="60" t="str">
        <f t="shared" si="179"/>
        <v/>
      </c>
      <c r="EO123" s="60" t="e">
        <f>IF(EN123="",NA(),SUM($EN$4:EN123))</f>
        <v>#N/A</v>
      </c>
      <c r="EP123" s="60">
        <f t="shared" si="180"/>
        <v>1.0674233211728135</v>
      </c>
      <c r="EQ123" s="60">
        <f>IF(EP123="",NA(),SUM($EP$4:EP123))</f>
        <v>10.600063994991611</v>
      </c>
      <c r="ER123" s="60" t="str">
        <f t="shared" si="181"/>
        <v/>
      </c>
      <c r="ES123" s="60" t="e">
        <f>IF(ER123="",NA(),SUM($ER$4:ER123))</f>
        <v>#N/A</v>
      </c>
      <c r="ET123" s="60" t="str">
        <f t="shared" si="182"/>
        <v/>
      </c>
      <c r="EU123" s="60" t="e">
        <f>IF(ET123="",NA(),SUM($ET$4:ET123))</f>
        <v>#N/A</v>
      </c>
      <c r="EV123" s="60" t="str">
        <f t="shared" si="183"/>
        <v/>
      </c>
      <c r="EW123" s="60" t="e">
        <f>IF(EV123="",NA(),SUM($EV$4:EV123))</f>
        <v>#N/A</v>
      </c>
      <c r="EX123" s="60" t="str">
        <f t="shared" si="184"/>
        <v/>
      </c>
      <c r="EY123" s="60" t="e">
        <f>IF(EX123="",NA(),SUM($EX$4:EX123))</f>
        <v>#N/A</v>
      </c>
      <c r="EZ123" s="60" t="str">
        <f t="shared" si="185"/>
        <v/>
      </c>
      <c r="FA123" s="60" t="e">
        <f>IF(EZ123="",NA(),SUM($EZ$4:EZ123))</f>
        <v>#N/A</v>
      </c>
      <c r="FB123" s="246" t="str">
        <f t="shared" si="210"/>
        <v/>
      </c>
      <c r="FC123" s="246" t="e">
        <f>IF($FB123="",#N/A,SUM(FB$4:$FB123))</f>
        <v>#N/A</v>
      </c>
      <c r="FD123" s="60" t="str">
        <f t="shared" si="186"/>
        <v/>
      </c>
      <c r="FE123" s="60" t="e">
        <f>IF($FD123="",#N/A,SUM($FD$4:FD123))</f>
        <v>#N/A</v>
      </c>
      <c r="FF123" s="60" t="str">
        <f t="shared" si="187"/>
        <v/>
      </c>
      <c r="FG123" s="60" t="e">
        <f>IF($FF123="",#N/A,SUM($FF$4:FF123))</f>
        <v>#N/A</v>
      </c>
      <c r="FH123" s="60" t="str">
        <f t="shared" si="188"/>
        <v/>
      </c>
      <c r="FI123" s="60" t="e">
        <f>IF($FH123="",#N/A,SUM($FH$4:FH123))</f>
        <v>#N/A</v>
      </c>
      <c r="FJ123" s="60">
        <f t="shared" si="189"/>
        <v>-0.38677205783002411</v>
      </c>
      <c r="FK123" s="60">
        <f>IF($FJ123="",#N/A,SUM($FJ$4:FJ123))</f>
        <v>0.97337358795792606</v>
      </c>
      <c r="FL123" s="60" t="str">
        <f t="shared" si="190"/>
        <v/>
      </c>
      <c r="FM123" s="60" t="e">
        <f>IF($FL123="",#N/A,SUM($FL$4:FL123))</f>
        <v>#N/A</v>
      </c>
      <c r="FN123" s="82">
        <f t="shared" si="191"/>
        <v>0.68065126334278936</v>
      </c>
      <c r="FO123" s="82">
        <f>IF($FN123="",#N/A,SUM(FN$4:$FN123))</f>
        <v>33.331947343167577</v>
      </c>
      <c r="FP123" s="82">
        <f t="shared" si="211"/>
        <v>1.0674233211728135</v>
      </c>
      <c r="FQ123" s="246">
        <f>IF($EH123="",#N/A,SUM($FP$4:FP123))</f>
        <v>23.776254726245011</v>
      </c>
      <c r="FR123" s="82">
        <f>IFERROR(FQ123/COUNTA($J$4:J123),#N/A)</f>
        <v>0.19813545605204175</v>
      </c>
      <c r="FS123" s="82">
        <f>IFERROR(($FQ123-$FQ77)/COUNTA($J77:$J123),#N/A)</f>
        <v>0.15491197682962379</v>
      </c>
      <c r="FT123" s="82">
        <f t="shared" ref="FT123:FT140" si="225">IFERROR(($FQ123-$FQ98)/COUNTA($J98:$J123),#N/A)</f>
        <v>5.8038699190203664E-2</v>
      </c>
      <c r="FU123" s="337">
        <f>IF(AND(HB123="MOC",GZ123=""),#N/A,IFERROR(FQ123-HE123,FQ123-0))-14.53</f>
        <v>7.8845946630139476</v>
      </c>
      <c r="FV123" s="57" t="str">
        <f t="shared" si="192"/>
        <v>SW</v>
      </c>
      <c r="FW123" s="57" t="s">
        <v>2732</v>
      </c>
      <c r="FX123" s="57" t="str">
        <f t="shared" si="193"/>
        <v/>
      </c>
      <c r="FY123" s="57" t="str">
        <f t="shared" si="194"/>
        <v/>
      </c>
      <c r="FZ123" s="57">
        <f t="shared" si="195"/>
        <v>1</v>
      </c>
      <c r="GA123" s="57" t="str">
        <f t="shared" si="196"/>
        <v>Long</v>
      </c>
      <c r="GB123" s="57" t="str">
        <f t="shared" si="197"/>
        <v/>
      </c>
      <c r="GC123" s="57" t="str">
        <f t="shared" si="198"/>
        <v/>
      </c>
      <c r="GD123" s="57" t="str">
        <f t="shared" si="199"/>
        <v/>
      </c>
      <c r="GE123" s="62">
        <f t="shared" si="114"/>
        <v>197.36</v>
      </c>
      <c r="GF123" s="62" t="s">
        <v>2779</v>
      </c>
      <c r="GG123" s="199">
        <v>2</v>
      </c>
      <c r="GH123" s="207">
        <f t="shared" si="200"/>
        <v>394.72</v>
      </c>
      <c r="GI123" s="199">
        <v>2</v>
      </c>
      <c r="GJ123" s="200">
        <v>210</v>
      </c>
      <c r="GK123" s="63">
        <f t="shared" si="201"/>
        <v>25.279999999999973</v>
      </c>
      <c r="GL123" s="63">
        <f t="shared" si="115"/>
        <v>16.119999999999948</v>
      </c>
      <c r="GM123" s="82">
        <f t="shared" si="202"/>
        <v>0.68065126334278936</v>
      </c>
      <c r="GN123" s="82">
        <f>IF($GZ123="",#N/A,SUM(GM$4:GM123))</f>
        <v>13.676475437914117</v>
      </c>
      <c r="GO123" s="82" t="str">
        <f t="shared" si="203"/>
        <v/>
      </c>
      <c r="GP123" s="82">
        <f>IF($GZ123="",#N/A,SUM(GO$4:GO123))</f>
        <v>10.700262523032329</v>
      </c>
      <c r="GQ123" s="82" t="str">
        <f t="shared" si="204"/>
        <v/>
      </c>
      <c r="GR123" s="82">
        <f>IF($GZ123="",#N/A,SUM(GQ$4:GQ123))</f>
        <v>8.3293724277787966</v>
      </c>
      <c r="GS123" s="63" t="e">
        <f t="shared" si="212"/>
        <v>#N/A</v>
      </c>
      <c r="GT123" s="63" t="e">
        <f>IF($GZ123="",#N/A,SUM(GS$4:GS123))</f>
        <v>#N/A</v>
      </c>
      <c r="GU123" s="63" t="str">
        <f t="shared" si="213"/>
        <v/>
      </c>
      <c r="GV123" s="63" t="e">
        <f>IF($GZ123="",#N/A,SUM(GU$4:GU123))</f>
        <v>#N/A</v>
      </c>
      <c r="GW123" s="63" t="str">
        <f t="shared" si="214"/>
        <v/>
      </c>
      <c r="GX123" s="63" t="e">
        <f>IF($GZ123="",#N/A,SUM(GW$4:GW123))</f>
        <v>#N/A</v>
      </c>
      <c r="GY123" s="63" t="e">
        <f>IF(EJ123="",#N/A,SUM($EJ$4:EJ123))</f>
        <v>#N/A</v>
      </c>
      <c r="GZ123" s="159">
        <v>205.42</v>
      </c>
      <c r="HA123" s="63">
        <f t="shared" si="205"/>
        <v>-9.160000000000025</v>
      </c>
      <c r="HB123" s="62" t="s">
        <v>2538</v>
      </c>
      <c r="HC123" s="60">
        <f>IFERROR(VLOOKUP(E123,Expectancy!$P$4:$S$19,1+C123,FALSE),"")</f>
        <v>2.40735201201209E-2</v>
      </c>
      <c r="HD123" s="82">
        <f t="shared" si="206"/>
        <v>1.0674233211728135</v>
      </c>
      <c r="HE123" s="60">
        <f>IF(HD123="",#N/A,SUM($HD$4:HD123))</f>
        <v>1.3616600632310643</v>
      </c>
      <c r="HF123" s="85">
        <f>IF(HD123="",#N/A,IF(HB123="Skip",#N/A,SUM($HG$4:HG123)))</f>
        <v>51.839999999999918</v>
      </c>
      <c r="HG123" s="63">
        <f t="shared" si="207"/>
        <v>25.279999999999973</v>
      </c>
      <c r="HH123" s="82">
        <f t="shared" si="208"/>
        <v>0.68065126334278936</v>
      </c>
    </row>
    <row r="124" spans="1:216" x14ac:dyDescent="0.25">
      <c r="A124" s="57" t="s">
        <v>1497</v>
      </c>
      <c r="B124" s="58" t="s">
        <v>5161</v>
      </c>
      <c r="C124" s="386">
        <f t="shared" si="118"/>
        <v>2</v>
      </c>
      <c r="D124" s="372" t="str">
        <f>_xlfn.XLOOKUP(A124,[1]SP500!$A$2:$A$502,[1]SP500!$D$2:$D$502,"N")</f>
        <v>Y</v>
      </c>
      <c r="E124" s="57" t="str">
        <f>_xlfn.XLOOKUP(A124,[1]SP500!$A$2:$A$655,[1]SP500!$B$2:$B$655)</f>
        <v>XHB</v>
      </c>
      <c r="F124" s="59">
        <v>45687</v>
      </c>
      <c r="G124" s="57" t="str">
        <f t="shared" si="119"/>
        <v>BMO</v>
      </c>
      <c r="H124" s="57" t="str">
        <f t="shared" si="120"/>
        <v>s</v>
      </c>
      <c r="I124" s="159">
        <v>112.99</v>
      </c>
      <c r="J124" s="159">
        <v>116.38</v>
      </c>
      <c r="K124" s="61">
        <f t="shared" si="121"/>
        <v>3.0002655102221443E-2</v>
      </c>
      <c r="L124" s="87">
        <f t="shared" si="122"/>
        <v>-13.560000000000002</v>
      </c>
      <c r="M124" s="130">
        <f t="shared" si="112"/>
        <v>0</v>
      </c>
      <c r="N124" s="169" t="str">
        <f t="shared" si="123"/>
        <v/>
      </c>
      <c r="O124" s="169">
        <f>IF($J124="",#N/A,SUM($N$4:N124))</f>
        <v>215.8095853421637</v>
      </c>
      <c r="P124" s="174">
        <f t="shared" si="124"/>
        <v>-13.560000000000002</v>
      </c>
      <c r="Q124" s="174">
        <f>IF($J124="",#N/A,SUM($P$4:P124))</f>
        <v>120.88104023772649</v>
      </c>
      <c r="R124" s="178" t="str">
        <f t="shared" si="125"/>
        <v/>
      </c>
      <c r="S124" s="178">
        <f>IF($J124="",#N/A,SUM($R$4:R124))</f>
        <v>255.95857032475044</v>
      </c>
      <c r="T124" s="290" t="str">
        <f t="shared" si="126"/>
        <v/>
      </c>
      <c r="U124" s="290">
        <f>IF($J124="",#N/A,SUM($T$4:T124))</f>
        <v>7.6560773349235101</v>
      </c>
      <c r="V124" s="291">
        <f t="shared" si="127"/>
        <v>-0.50004425170369071</v>
      </c>
      <c r="W124" s="291">
        <f>IF($J124="",#N/A,SUM($V$4:V124))</f>
        <v>5.1407171970219094</v>
      </c>
      <c r="X124" s="292" t="str">
        <f t="shared" si="128"/>
        <v/>
      </c>
      <c r="Y124" s="283">
        <f>IF($J124="",#N/A,SUM($X$4:X124))</f>
        <v>10.479415942595885</v>
      </c>
      <c r="Z124" s="304" t="str">
        <f t="shared" si="129"/>
        <v/>
      </c>
      <c r="AA124" s="313" t="e">
        <f>IF($J124="",#N/A,SUM(Z$4:Z124))</f>
        <v>#N/A</v>
      </c>
      <c r="AB124" s="314" t="str">
        <f t="shared" si="130"/>
        <v/>
      </c>
      <c r="AC124" s="314" t="e">
        <f>IF($J124="",#N/A,SUM(AB$4:AB124))</f>
        <v>#N/A</v>
      </c>
      <c r="AD124" s="315" t="str">
        <f t="shared" si="131"/>
        <v/>
      </c>
      <c r="AE124" s="315" t="e">
        <f>IF($J124="",#N/A,SUM(AD$4:AD124))</f>
        <v>#N/A</v>
      </c>
      <c r="AF124" s="315" t="e">
        <f>IF($J124="",#N/A,SUM(AD$4:AD124,AB$4:AB124,Z$4:Z124))</f>
        <v>#N/A</v>
      </c>
      <c r="AG124" s="304" t="str">
        <f t="shared" si="132"/>
        <v/>
      </c>
      <c r="AH124" s="313" t="e">
        <f>IF($J124="",#N/A,SUM(AG$4:AG124))</f>
        <v>#N/A</v>
      </c>
      <c r="AI124" s="314" t="str">
        <f t="shared" si="133"/>
        <v/>
      </c>
      <c r="AJ124" s="314" t="e">
        <f>IF($J124="",#N/A,SUM(AI$4:AI124))</f>
        <v>#N/A</v>
      </c>
      <c r="AK124" s="315" t="str">
        <f t="shared" si="134"/>
        <v/>
      </c>
      <c r="AL124" s="315" t="e">
        <f>IF($J124="",#N/A,SUM(AK$4:AK124))</f>
        <v>#N/A</v>
      </c>
      <c r="AM124" s="315" t="e">
        <f>IF($J124="",#N/A,SUM(AK$4:AK124,AI$4:AI124,AG$4:AG124))</f>
        <v>#N/A</v>
      </c>
      <c r="AN124" s="304" t="str">
        <f t="shared" si="135"/>
        <v/>
      </c>
      <c r="AO124" s="313" t="e">
        <f>IF($J124="",#N/A,SUM(AN$4:AN124))</f>
        <v>#N/A</v>
      </c>
      <c r="AP124" s="314" t="str">
        <f t="shared" si="136"/>
        <v/>
      </c>
      <c r="AQ124" s="314" t="e">
        <f>IF($J124="",#N/A,SUM(AP$4:AP124))</f>
        <v>#N/A</v>
      </c>
      <c r="AR124" s="315" t="str">
        <f t="shared" si="137"/>
        <v/>
      </c>
      <c r="AS124" s="315" t="e">
        <f>IF($J124="",#N/A,SUM(AR$4:AR124))</f>
        <v>#N/A</v>
      </c>
      <c r="AT124" s="315" t="e">
        <f>IF($J124="",#N/A,SUM(AR$4:AR124,AP$4:AP124,AN$4:AN124))</f>
        <v>#N/A</v>
      </c>
      <c r="AU124" s="304" t="str">
        <f t="shared" si="138"/>
        <v/>
      </c>
      <c r="AV124" s="313" t="e">
        <f>IF($J124="",#N/A,SUM(AU$4:AU124))</f>
        <v>#N/A</v>
      </c>
      <c r="AW124" s="314" t="str">
        <f t="shared" si="139"/>
        <v/>
      </c>
      <c r="AX124" s="314" t="e">
        <f>IF($J124="",#N/A,SUM(AW$4:AW124))</f>
        <v>#N/A</v>
      </c>
      <c r="AY124" s="315" t="str">
        <f t="shared" si="140"/>
        <v/>
      </c>
      <c r="AZ124" s="315" t="e">
        <f>IF($J124="",#N/A,SUM(AY$4:AY124))</f>
        <v>#N/A</v>
      </c>
      <c r="BA124" s="315" t="e">
        <f>IF($J124="",#N/A,SUM(AY$4:AY124,AW$4:AW124,AU$4:AU124))</f>
        <v>#N/A</v>
      </c>
      <c r="BB124" s="304" t="str">
        <f t="shared" si="141"/>
        <v/>
      </c>
      <c r="BC124" s="313" t="e">
        <f>IF($J124="",#N/A,SUM(BB$4:BB124))</f>
        <v>#N/A</v>
      </c>
      <c r="BD124" s="314" t="str">
        <f t="shared" si="142"/>
        <v/>
      </c>
      <c r="BE124" s="314" t="e">
        <f>IF($J124="",#N/A,SUM(BD$4:BD124))</f>
        <v>#N/A</v>
      </c>
      <c r="BF124" s="315" t="str">
        <f t="shared" si="143"/>
        <v/>
      </c>
      <c r="BG124" s="315" t="e">
        <f>IF($J124="",#N/A,SUM(BF$4:BF124))</f>
        <v>#N/A</v>
      </c>
      <c r="BH124" s="315" t="e">
        <f>IF($J124="",#N/A,SUM(BF$4:BF124,BD$4:BD124,BB$4:BB124))</f>
        <v>#N/A</v>
      </c>
      <c r="BI124" s="304" t="str">
        <f t="shared" si="144"/>
        <v/>
      </c>
      <c r="BJ124" s="313" t="e">
        <f>IF($J124="",#N/A,SUM(BI$4:BI124))</f>
        <v>#N/A</v>
      </c>
      <c r="BK124" s="314" t="str">
        <f t="shared" si="145"/>
        <v/>
      </c>
      <c r="BL124" s="314" t="e">
        <f>IF($J124="",#N/A,SUM(BK$4:BK124))</f>
        <v>#N/A</v>
      </c>
      <c r="BM124" s="315" t="str">
        <f t="shared" si="146"/>
        <v/>
      </c>
      <c r="BN124" s="315" t="e">
        <f>IF($J124="",#N/A,SUM(BM$4:BM124))</f>
        <v>#N/A</v>
      </c>
      <c r="BO124" s="315" t="e">
        <f>IF($J124="",#N/A,SUM(BM$4:BM124,BK$4:BK124,BI$4:BI124))</f>
        <v>#N/A</v>
      </c>
      <c r="BP124" s="304" t="str">
        <f t="shared" si="147"/>
        <v/>
      </c>
      <c r="BQ124" s="313" t="e">
        <f>IF($J124="",#N/A,SUM(BP$4:BP124))</f>
        <v>#N/A</v>
      </c>
      <c r="BR124" s="314" t="str">
        <f t="shared" si="148"/>
        <v/>
      </c>
      <c r="BS124" s="314" t="e">
        <f>IF($J124="",#N/A,SUM(BR$4:BR124))</f>
        <v>#N/A</v>
      </c>
      <c r="BT124" s="315" t="str">
        <f t="shared" si="149"/>
        <v/>
      </c>
      <c r="BU124" s="315" t="e">
        <f>IF($J124="",#N/A,SUM(BT$4:BT124))</f>
        <v>#N/A</v>
      </c>
      <c r="BV124" s="315" t="e">
        <f>IF($J124="",#N/A,SUM(BT$4:BT124,BR$4:BR124,BP$4:BP124))</f>
        <v>#N/A</v>
      </c>
      <c r="BW124" s="304" t="str">
        <f t="shared" si="150"/>
        <v/>
      </c>
      <c r="BX124" s="313" t="e">
        <f>IF($J124="",#N/A,SUM(BW$4:BW124))</f>
        <v>#N/A</v>
      </c>
      <c r="BY124" s="314" t="str">
        <f t="shared" si="151"/>
        <v/>
      </c>
      <c r="BZ124" s="314" t="e">
        <f>IF($J124="",#N/A,SUM(BY$4:BY124))</f>
        <v>#N/A</v>
      </c>
      <c r="CA124" s="315" t="str">
        <f t="shared" si="152"/>
        <v/>
      </c>
      <c r="CB124" s="315" t="e">
        <f>IF($J124="",#N/A,SUM(CA$4:CA124))</f>
        <v>#N/A</v>
      </c>
      <c r="CC124" s="315" t="e">
        <f>IF($J124="",#N/A,SUM(CA$4:CA124,BY$4:BY124,BW$4:BW124))</f>
        <v>#N/A</v>
      </c>
      <c r="CD124" s="304" t="str">
        <f t="shared" si="153"/>
        <v/>
      </c>
      <c r="CE124" s="313" t="e">
        <f>IF($J124="",#N/A,SUM(CD$4:CD124))</f>
        <v>#N/A</v>
      </c>
      <c r="CF124" s="314" t="str">
        <f t="shared" si="154"/>
        <v/>
      </c>
      <c r="CG124" s="314" t="e">
        <f>IF($J124="",#N/A,SUM(CF$4:CF124))</f>
        <v>#N/A</v>
      </c>
      <c r="CH124" s="315" t="str">
        <f t="shared" si="155"/>
        <v/>
      </c>
      <c r="CI124" s="315" t="e">
        <f>IF($J124="",#N/A,SUM(CH$4:CH124))</f>
        <v>#N/A</v>
      </c>
      <c r="CJ124" s="315" t="e">
        <f>IF($J124="",#N/A,SUM(CH$4:CH124,CF$4:CF124,CD$4:CD124))</f>
        <v>#N/A</v>
      </c>
      <c r="CK124" s="304" t="str">
        <f t="shared" si="156"/>
        <v/>
      </c>
      <c r="CL124" s="313" t="e">
        <f>IF($J124="",#N/A,SUM(CK$4:CK124))</f>
        <v>#N/A</v>
      </c>
      <c r="CM124" s="314" t="str">
        <f t="shared" si="157"/>
        <v/>
      </c>
      <c r="CN124" s="314" t="e">
        <f>IF($J124="",#N/A,SUM(CM$4:CM124))</f>
        <v>#N/A</v>
      </c>
      <c r="CO124" s="315" t="str">
        <f t="shared" si="158"/>
        <v/>
      </c>
      <c r="CP124" s="315" t="e">
        <f>IF($J124="",#N/A,SUM(CO$4:CO124))</f>
        <v>#N/A</v>
      </c>
      <c r="CQ124" s="315" t="e">
        <f>IF($J124="",#N/A,SUM(CO$4:CO124,CM$4:CM124,CK$4:CK124))</f>
        <v>#N/A</v>
      </c>
      <c r="CR124" s="304" t="str">
        <f t="shared" si="159"/>
        <v/>
      </c>
      <c r="CS124" s="313" t="e">
        <f>IF($J124="",#N/A,SUM(CR$4:CR124))</f>
        <v>#N/A</v>
      </c>
      <c r="CT124" s="314" t="str">
        <f t="shared" si="160"/>
        <v/>
      </c>
      <c r="CU124" s="314" t="e">
        <f>IF($J124="",#N/A,SUM(CT$4:CT124))</f>
        <v>#N/A</v>
      </c>
      <c r="CV124" s="315" t="str">
        <f t="shared" si="161"/>
        <v/>
      </c>
      <c r="CW124" s="315" t="e">
        <f>IF($J124="",#N/A,SUM(CV$4:CV124))</f>
        <v>#N/A</v>
      </c>
      <c r="CX124" s="315" t="e">
        <f>IF($J124="",#N/A,SUM(CV$4:CV124,CT$4:CT124,CR$4:CR124))</f>
        <v>#N/A</v>
      </c>
      <c r="CY124" s="304" t="str">
        <f t="shared" si="162"/>
        <v/>
      </c>
      <c r="CZ124" s="313" t="e">
        <f>IF($J124="",#N/A,SUM(CY$4:CY124))</f>
        <v>#N/A</v>
      </c>
      <c r="DA124" s="314" t="str">
        <f t="shared" si="163"/>
        <v/>
      </c>
      <c r="DB124" s="314" t="e">
        <f>IF($J124="",#N/A,SUM(DA$4:DA124))</f>
        <v>#N/A</v>
      </c>
      <c r="DC124" s="315" t="str">
        <f t="shared" si="164"/>
        <v/>
      </c>
      <c r="DD124" s="315" t="e">
        <f>IF($J124="",#N/A,SUM(DC$4:DC124))</f>
        <v>#N/A</v>
      </c>
      <c r="DE124" s="315" t="e">
        <f>IF($J124="",#N/A,SUM(DC$4:DC124,DA$4:DA124,CY$4:CY124))</f>
        <v>#N/A</v>
      </c>
      <c r="DF124" s="304" t="str">
        <f t="shared" si="165"/>
        <v/>
      </c>
      <c r="DG124" s="313" t="e">
        <f>IF($J124="",#N/A,SUM(DF$4:DF124))</f>
        <v>#N/A</v>
      </c>
      <c r="DH124" s="314" t="str">
        <f t="shared" si="166"/>
        <v/>
      </c>
      <c r="DI124" s="314" t="e">
        <f>IF($J124="",#N/A,SUM(DH$4:DH124))</f>
        <v>#N/A</v>
      </c>
      <c r="DJ124" s="315" t="str">
        <f t="shared" si="167"/>
        <v/>
      </c>
      <c r="DK124" s="315" t="e">
        <f>IF($J124="",#N/A,SUM(DJ$4:DJ124))</f>
        <v>#N/A</v>
      </c>
      <c r="DL124" s="315" t="e">
        <f>IF($J124="",#N/A,SUM(DJ$4:DJ124,DH$4:DH124,DF$4:DF124))</f>
        <v>#N/A</v>
      </c>
      <c r="DM124" s="304" t="str">
        <f t="shared" si="168"/>
        <v/>
      </c>
      <c r="DN124" s="313" t="e">
        <f>IF($J124="",#N/A,SUM(DM$4:DM124))</f>
        <v>#N/A</v>
      </c>
      <c r="DO124" s="314" t="str">
        <f t="shared" si="169"/>
        <v/>
      </c>
      <c r="DP124" s="314" t="e">
        <f>IF($J124="",#N/A,SUM(DO$4:DO124))</f>
        <v>#N/A</v>
      </c>
      <c r="DQ124" s="315" t="str">
        <f t="shared" si="170"/>
        <v/>
      </c>
      <c r="DR124" s="315" t="e">
        <f>IF($J124="",#N/A,SUM(DQ$4:DQ124))</f>
        <v>#N/A</v>
      </c>
      <c r="DS124" s="315" t="e">
        <f>IF($J124="",#N/A,SUM(DQ$4:DQ124,DO$4:DO124,DM$4:DM124))</f>
        <v>#N/A</v>
      </c>
      <c r="DT124" s="304" t="str">
        <f t="shared" si="171"/>
        <v/>
      </c>
      <c r="DU124" s="313" t="e">
        <f>IF($J124="",#N/A,SUM(DT$4:DT124))</f>
        <v>#N/A</v>
      </c>
      <c r="DV124" s="314" t="str">
        <f t="shared" si="172"/>
        <v/>
      </c>
      <c r="DW124" s="314" t="e">
        <f>IF($J124="",#N/A,SUM(DV$4:DV124))</f>
        <v>#N/A</v>
      </c>
      <c r="DX124" s="315" t="str">
        <f t="shared" si="173"/>
        <v/>
      </c>
      <c r="DY124" s="315" t="e">
        <f>IF($J124="",#N/A,SUM(DX$4:DX124))</f>
        <v>#N/A</v>
      </c>
      <c r="DZ124" s="315" t="e">
        <f>IF($J124="",#N/A,SUM(DX$4:DX124,DV$4:DV124,DT$4:DT124))</f>
        <v>#N/A</v>
      </c>
      <c r="EA124" s="304" t="str">
        <f t="shared" si="174"/>
        <v/>
      </c>
      <c r="EB124" s="313" t="e">
        <f>IF($J124="",#N/A,SUM(EA$4:EA124))</f>
        <v>#N/A</v>
      </c>
      <c r="EC124" s="314">
        <f t="shared" si="175"/>
        <v>-0.50004425170369071</v>
      </c>
      <c r="ED124" s="314" t="e">
        <f>IF($J124="",#N/A,SUM(EC$4:EC124))</f>
        <v>#N/A</v>
      </c>
      <c r="EE124" s="315" t="str">
        <f t="shared" si="176"/>
        <v/>
      </c>
      <c r="EF124" s="315" t="e">
        <f>IF($J124="",#N/A,SUM(EE$4:EE124))</f>
        <v>#N/A</v>
      </c>
      <c r="EG124" s="315" t="e">
        <f>IF($J124="",#N/A,SUM(EE$4:EE124,EC$4:EC124,EA$4:EA124))</f>
        <v>#N/A</v>
      </c>
      <c r="EH124" s="130">
        <f t="shared" si="177"/>
        <v>-13.560000000000002</v>
      </c>
      <c r="EI124" s="63">
        <f>IF(EH124="",#N/A,SUM($EH$4:EH124))</f>
        <v>592.64919590464069</v>
      </c>
      <c r="EJ124" s="223" t="e">
        <f t="shared" si="178"/>
        <v>#N/A</v>
      </c>
      <c r="EK124" s="63" t="e">
        <f>IF($GZ124="",#N/A,SUM(EJ$4:EJ124))</f>
        <v>#N/A</v>
      </c>
      <c r="EL124" s="60">
        <f t="shared" si="209"/>
        <v>-0.50004425170369071</v>
      </c>
      <c r="EM124" s="60">
        <f>IF(EL124="",NA(),SUM($EL$4:EL124))</f>
        <v>22.204570974522333</v>
      </c>
      <c r="EN124" s="60" t="str">
        <f t="shared" si="179"/>
        <v/>
      </c>
      <c r="EO124" s="60" t="e">
        <f>IF(EN124="",NA(),SUM($EN$4:EN124))</f>
        <v>#N/A</v>
      </c>
      <c r="EP124" s="60" t="str">
        <f t="shared" si="180"/>
        <v/>
      </c>
      <c r="EQ124" s="60" t="e">
        <f>IF(EP124="",NA(),SUM($EP$4:EP124))</f>
        <v>#N/A</v>
      </c>
      <c r="ER124" s="60">
        <f t="shared" si="181"/>
        <v>-0.50004425170369071</v>
      </c>
      <c r="ES124" s="60">
        <f>IF(ER124="",NA(),SUM($ER$4:ER124))</f>
        <v>4.43832174432195</v>
      </c>
      <c r="ET124" s="60" t="str">
        <f t="shared" si="182"/>
        <v/>
      </c>
      <c r="EU124" s="60" t="e">
        <f>IF(ET124="",NA(),SUM($ET$4:ET124))</f>
        <v>#N/A</v>
      </c>
      <c r="EV124" s="60" t="str">
        <f t="shared" si="183"/>
        <v/>
      </c>
      <c r="EW124" s="60" t="e">
        <f>IF(EV124="",NA(),SUM($EV$4:EV124))</f>
        <v>#N/A</v>
      </c>
      <c r="EX124" s="60" t="str">
        <f t="shared" si="184"/>
        <v/>
      </c>
      <c r="EY124" s="60" t="e">
        <f>IF(EX124="",NA(),SUM($EX$4:EX124))</f>
        <v>#N/A</v>
      </c>
      <c r="EZ124" s="60" t="str">
        <f t="shared" si="185"/>
        <v/>
      </c>
      <c r="FA124" s="60" t="e">
        <f>IF(EZ124="",NA(),SUM($EZ$4:EZ124))</f>
        <v>#N/A</v>
      </c>
      <c r="FB124" s="246" t="str">
        <f t="shared" si="210"/>
        <v/>
      </c>
      <c r="FC124" s="246" t="e">
        <f>IF($FB124="",#N/A,SUM(FB$4:$FB124))</f>
        <v>#N/A</v>
      </c>
      <c r="FD124" s="60">
        <f t="shared" si="186"/>
        <v>-0.31418709620320517</v>
      </c>
      <c r="FE124" s="60">
        <f>IF($FD124="",#N/A,SUM($FD$4:FD124))</f>
        <v>0.31956465944876689</v>
      </c>
      <c r="FF124" s="60" t="str">
        <f t="shared" si="187"/>
        <v/>
      </c>
      <c r="FG124" s="60" t="e">
        <f>IF($FF124="",#N/A,SUM($FF$4:FF124))</f>
        <v>#N/A</v>
      </c>
      <c r="FH124" s="60" t="str">
        <f t="shared" si="188"/>
        <v/>
      </c>
      <c r="FI124" s="60" t="e">
        <f>IF($FH124="",#N/A,SUM($FH$4:FH124))</f>
        <v>#N/A</v>
      </c>
      <c r="FJ124" s="60" t="str">
        <f t="shared" si="189"/>
        <v/>
      </c>
      <c r="FK124" s="60" t="e">
        <f>IF($FJ124="",#N/A,SUM($FJ$4:FJ124))</f>
        <v>#N/A</v>
      </c>
      <c r="FL124" s="60" t="str">
        <f t="shared" si="190"/>
        <v/>
      </c>
      <c r="FM124" s="60" t="e">
        <f>IF($FL124="",#N/A,SUM($FL$4:FL124))</f>
        <v>#N/A</v>
      </c>
      <c r="FN124" s="82">
        <f t="shared" si="191"/>
        <v>-0.81423134790689589</v>
      </c>
      <c r="FO124" s="82">
        <f>IF($FN124="",#N/A,SUM(FN$4:$FN124))</f>
        <v>32.51771599526068</v>
      </c>
      <c r="FP124" s="82">
        <f t="shared" si="211"/>
        <v>-0.50004425170369071</v>
      </c>
      <c r="FQ124" s="246">
        <f>IF($EH124="",#N/A,SUM($FP$4:FP124))</f>
        <v>23.276210474541319</v>
      </c>
      <c r="FR124" s="82">
        <f>IFERROR(FQ124/COUNTA($J$4:J124),#N/A)</f>
        <v>0.19236537582265553</v>
      </c>
      <c r="FS124" s="82">
        <f>IFERROR(($FQ124-$FQ78)/COUNTA($J78:$J124),#N/A)</f>
        <v>0.17150694657314533</v>
      </c>
      <c r="FT124" s="82">
        <f t="shared" si="225"/>
        <v>4.5849237281018557E-2</v>
      </c>
      <c r="FU124" s="337">
        <f>IF(AND(HB124="MOC",GZ124=""),#N/A,IFERROR(FQ124-HE124,FQ124-0))-14.53</f>
        <v>7.8845946630139476</v>
      </c>
      <c r="FV124" s="57" t="str">
        <f t="shared" si="192"/>
        <v>Dwn</v>
      </c>
      <c r="FW124" s="57" t="s">
        <v>2734</v>
      </c>
      <c r="FX124" s="57" t="str">
        <f t="shared" si="193"/>
        <v/>
      </c>
      <c r="FY124" s="57">
        <f t="shared" si="194"/>
        <v>1</v>
      </c>
      <c r="FZ124" s="57" t="str">
        <f t="shared" si="195"/>
        <v/>
      </c>
      <c r="GA124" s="57" t="str">
        <f t="shared" si="196"/>
        <v>Short</v>
      </c>
      <c r="GB124" s="57" t="str">
        <f t="shared" si="197"/>
        <v/>
      </c>
      <c r="GC124" s="57" t="str">
        <f t="shared" si="198"/>
        <v/>
      </c>
      <c r="GD124" s="57" t="str">
        <f t="shared" si="199"/>
        <v/>
      </c>
      <c r="GE124" s="62">
        <f t="shared" si="114"/>
        <v>112.99</v>
      </c>
      <c r="GF124" s="62" t="s">
        <v>2780</v>
      </c>
      <c r="GG124" s="199">
        <v>4</v>
      </c>
      <c r="GH124" s="207">
        <f t="shared" si="200"/>
        <v>451.96</v>
      </c>
      <c r="GI124" s="199">
        <v>4</v>
      </c>
      <c r="GJ124" s="200">
        <v>116.38</v>
      </c>
      <c r="GK124" s="63">
        <f t="shared" si="201"/>
        <v>-13.560000000000002</v>
      </c>
      <c r="GL124" s="63">
        <f t="shared" si="115"/>
        <v>-22.080000000000041</v>
      </c>
      <c r="GM124" s="82" t="str">
        <f t="shared" si="202"/>
        <v/>
      </c>
      <c r="GN124" s="82">
        <f>IF($GZ124="",#N/A,SUM(GM$4:GM124))</f>
        <v>13.676475437914117</v>
      </c>
      <c r="GO124" s="82" t="str">
        <f t="shared" si="203"/>
        <v/>
      </c>
      <c r="GP124" s="82">
        <f>IF($GZ124="",#N/A,SUM(GO$4:GO124))</f>
        <v>10.700262523032329</v>
      </c>
      <c r="GQ124" s="82">
        <f t="shared" si="204"/>
        <v>-0.81423134790689589</v>
      </c>
      <c r="GR124" s="82">
        <f>IF($GZ124="",#N/A,SUM(GQ$4:GQ124))</f>
        <v>7.5151410798719009</v>
      </c>
      <c r="GS124" s="63" t="str">
        <f t="shared" si="212"/>
        <v/>
      </c>
      <c r="GT124" s="63" t="e">
        <f>IF($GZ124="",#N/A,SUM(GS$4:GS124))</f>
        <v>#N/A</v>
      </c>
      <c r="GU124" s="63" t="str">
        <f t="shared" si="213"/>
        <v/>
      </c>
      <c r="GV124" s="63" t="e">
        <f>IF($GZ124="",#N/A,SUM(GU$4:GU124))</f>
        <v>#N/A</v>
      </c>
      <c r="GW124" s="63" t="e">
        <f t="shared" si="214"/>
        <v>#N/A</v>
      </c>
      <c r="GX124" s="63" t="e">
        <f>IF($GZ124="",#N/A,SUM(GW$4:GW124))</f>
        <v>#N/A</v>
      </c>
      <c r="GY124" s="63" t="e">
        <f>IF(EJ124="",#N/A,SUM($EJ$4:EJ124))</f>
        <v>#N/A</v>
      </c>
      <c r="GZ124" s="159">
        <v>118.51</v>
      </c>
      <c r="HA124" s="63">
        <f t="shared" si="205"/>
        <v>-8.5200000000000387</v>
      </c>
      <c r="HB124" s="62" t="s">
        <v>2538</v>
      </c>
      <c r="HC124" s="60">
        <f>IFERROR(VLOOKUP(E124,Expectancy!$P$4:$S$19,1+C124,FALSE),"")</f>
        <v>0.17536249656639069</v>
      </c>
      <c r="HD124" s="82">
        <f t="shared" si="206"/>
        <v>-0.50004425170369071</v>
      </c>
      <c r="HE124" s="60">
        <f>IF(HD124="",#N/A,SUM($HD$4:HD124))</f>
        <v>0.86161581152737354</v>
      </c>
      <c r="HF124" s="85">
        <f>IF(HD124="",#N/A,IF(HB124="Skip",#N/A,SUM($HG$4:HG124)))</f>
        <v>38.279999999999916</v>
      </c>
      <c r="HG124" s="63">
        <f t="shared" si="207"/>
        <v>-13.560000000000002</v>
      </c>
      <c r="HH124" s="82">
        <f t="shared" si="208"/>
        <v>-0.81423134790689589</v>
      </c>
    </row>
    <row r="125" spans="1:216" x14ac:dyDescent="0.25">
      <c r="A125" s="57" t="s">
        <v>1531</v>
      </c>
      <c r="B125" s="58" t="s">
        <v>5163</v>
      </c>
      <c r="C125" s="386">
        <f t="shared" si="118"/>
        <v>3</v>
      </c>
      <c r="D125" s="372" t="str">
        <f>_xlfn.XLOOKUP(A125,[1]SP500!$A$2:$A$502,[1]SP500!$D$2:$D$502,"N")</f>
        <v>Y</v>
      </c>
      <c r="E125" s="57" t="str">
        <f>_xlfn.XLOOKUP(A125,[1]SP500!$A$2:$A$655,[1]SP500!$B$2:$B$655)</f>
        <v>XLB</v>
      </c>
      <c r="F125" s="59">
        <v>45687</v>
      </c>
      <c r="G125" s="57" t="str">
        <f t="shared" si="119"/>
        <v>BMO</v>
      </c>
      <c r="H125" s="57" t="str">
        <f t="shared" si="120"/>
        <v>s</v>
      </c>
      <c r="I125" s="159">
        <v>57.98</v>
      </c>
      <c r="J125" s="159">
        <v>55.21</v>
      </c>
      <c r="K125" s="61">
        <f t="shared" si="121"/>
        <v>-4.7775094860296588E-2</v>
      </c>
      <c r="L125" s="87">
        <f t="shared" si="122"/>
        <v>-19.38999999999993</v>
      </c>
      <c r="M125" s="130">
        <f t="shared" si="112"/>
        <v>-1.3299999999999841</v>
      </c>
      <c r="N125" s="169" t="str">
        <f t="shared" si="123"/>
        <v/>
      </c>
      <c r="O125" s="169">
        <f>IF($J125="",#N/A,SUM($N$4:N125))</f>
        <v>215.8095853421637</v>
      </c>
      <c r="P125" s="174" t="str">
        <f t="shared" si="124"/>
        <v/>
      </c>
      <c r="Q125" s="174">
        <f>IF($J125="",#N/A,SUM($P$4:P125))</f>
        <v>120.88104023772649</v>
      </c>
      <c r="R125" s="178">
        <f t="shared" si="125"/>
        <v>-19.38999999999993</v>
      </c>
      <c r="S125" s="178">
        <f>IF($J125="",#N/A,SUM($R$4:R125))</f>
        <v>236.56857032475051</v>
      </c>
      <c r="T125" s="290" t="str">
        <f t="shared" si="126"/>
        <v/>
      </c>
      <c r="U125" s="290">
        <f>IF($J125="",#N/A,SUM($T$4:T125))</f>
        <v>7.6560773349235101</v>
      </c>
      <c r="V125" s="291" t="str">
        <f t="shared" si="127"/>
        <v/>
      </c>
      <c r="W125" s="291">
        <f>IF($J125="",#N/A,SUM($V$4:V125))</f>
        <v>5.1407171970219094</v>
      </c>
      <c r="X125" s="292">
        <f t="shared" si="128"/>
        <v>-0.79625158100494142</v>
      </c>
      <c r="Y125" s="283">
        <f>IF($J125="",#N/A,SUM($X$4:X125))</f>
        <v>9.6831643615909435</v>
      </c>
      <c r="Z125" s="304" t="str">
        <f t="shared" si="129"/>
        <v/>
      </c>
      <c r="AA125" s="313" t="e">
        <f>IF($J125="",#N/A,SUM(Z$4:Z125))</f>
        <v>#N/A</v>
      </c>
      <c r="AB125" s="314" t="str">
        <f t="shared" si="130"/>
        <v/>
      </c>
      <c r="AC125" s="314" t="e">
        <f>IF($J125="",#N/A,SUM(AB$4:AB125))</f>
        <v>#N/A</v>
      </c>
      <c r="AD125" s="315" t="str">
        <f t="shared" si="131"/>
        <v/>
      </c>
      <c r="AE125" s="315" t="e">
        <f>IF($J125="",#N/A,SUM(AD$4:AD125))</f>
        <v>#N/A</v>
      </c>
      <c r="AF125" s="315" t="e">
        <f>IF($J125="",#N/A,SUM(AD$4:AD125,AB$4:AB125,Z$4:Z125))</f>
        <v>#N/A</v>
      </c>
      <c r="AG125" s="304" t="str">
        <f t="shared" si="132"/>
        <v/>
      </c>
      <c r="AH125" s="313" t="e">
        <f>IF($J125="",#N/A,SUM(AG$4:AG125))</f>
        <v>#N/A</v>
      </c>
      <c r="AI125" s="314" t="str">
        <f t="shared" si="133"/>
        <v/>
      </c>
      <c r="AJ125" s="314" t="e">
        <f>IF($J125="",#N/A,SUM(AI$4:AI125))</f>
        <v>#N/A</v>
      </c>
      <c r="AK125" s="315" t="str">
        <f t="shared" si="134"/>
        <v/>
      </c>
      <c r="AL125" s="315" t="e">
        <f>IF($J125="",#N/A,SUM(AK$4:AK125))</f>
        <v>#N/A</v>
      </c>
      <c r="AM125" s="315" t="e">
        <f>IF($J125="",#N/A,SUM(AK$4:AK125,AI$4:AI125,AG$4:AG125))</f>
        <v>#N/A</v>
      </c>
      <c r="AN125" s="304" t="str">
        <f t="shared" si="135"/>
        <v/>
      </c>
      <c r="AO125" s="313" t="e">
        <f>IF($J125="",#N/A,SUM(AN$4:AN125))</f>
        <v>#N/A</v>
      </c>
      <c r="AP125" s="314" t="str">
        <f t="shared" si="136"/>
        <v/>
      </c>
      <c r="AQ125" s="314" t="e">
        <f>IF($J125="",#N/A,SUM(AP$4:AP125))</f>
        <v>#N/A</v>
      </c>
      <c r="AR125" s="315" t="str">
        <f t="shared" si="137"/>
        <v/>
      </c>
      <c r="AS125" s="315" t="e">
        <f>IF($J125="",#N/A,SUM(AR$4:AR125))</f>
        <v>#N/A</v>
      </c>
      <c r="AT125" s="315" t="e">
        <f>IF($J125="",#N/A,SUM(AR$4:AR125,AP$4:AP125,AN$4:AN125))</f>
        <v>#N/A</v>
      </c>
      <c r="AU125" s="304" t="str">
        <f t="shared" si="138"/>
        <v/>
      </c>
      <c r="AV125" s="313" t="e">
        <f>IF($J125="",#N/A,SUM(AU$4:AU125))</f>
        <v>#N/A</v>
      </c>
      <c r="AW125" s="314" t="str">
        <f t="shared" si="139"/>
        <v/>
      </c>
      <c r="AX125" s="314" t="e">
        <f>IF($J125="",#N/A,SUM(AW$4:AW125))</f>
        <v>#N/A</v>
      </c>
      <c r="AY125" s="315" t="str">
        <f t="shared" si="140"/>
        <v/>
      </c>
      <c r="AZ125" s="315" t="e">
        <f>IF($J125="",#N/A,SUM(AY$4:AY125))</f>
        <v>#N/A</v>
      </c>
      <c r="BA125" s="315" t="e">
        <f>IF($J125="",#N/A,SUM(AY$4:AY125,AW$4:AW125,AU$4:AU125))</f>
        <v>#N/A</v>
      </c>
      <c r="BB125" s="304" t="str">
        <f t="shared" si="141"/>
        <v/>
      </c>
      <c r="BC125" s="313" t="e">
        <f>IF($J125="",#N/A,SUM(BB$4:BB125))</f>
        <v>#N/A</v>
      </c>
      <c r="BD125" s="314" t="str">
        <f t="shared" si="142"/>
        <v/>
      </c>
      <c r="BE125" s="314" t="e">
        <f>IF($J125="",#N/A,SUM(BD$4:BD125))</f>
        <v>#N/A</v>
      </c>
      <c r="BF125" s="315" t="str">
        <f t="shared" si="143"/>
        <v/>
      </c>
      <c r="BG125" s="315" t="e">
        <f>IF($J125="",#N/A,SUM(BF$4:BF125))</f>
        <v>#N/A</v>
      </c>
      <c r="BH125" s="315" t="e">
        <f>IF($J125="",#N/A,SUM(BF$4:BF125,BD$4:BD125,BB$4:BB125))</f>
        <v>#N/A</v>
      </c>
      <c r="BI125" s="304" t="str">
        <f t="shared" si="144"/>
        <v/>
      </c>
      <c r="BJ125" s="313" t="e">
        <f>IF($J125="",#N/A,SUM(BI$4:BI125))</f>
        <v>#N/A</v>
      </c>
      <c r="BK125" s="314" t="str">
        <f t="shared" si="145"/>
        <v/>
      </c>
      <c r="BL125" s="314" t="e">
        <f>IF($J125="",#N/A,SUM(BK$4:BK125))</f>
        <v>#N/A</v>
      </c>
      <c r="BM125" s="315" t="str">
        <f t="shared" si="146"/>
        <v/>
      </c>
      <c r="BN125" s="315" t="e">
        <f>IF($J125="",#N/A,SUM(BM$4:BM125))</f>
        <v>#N/A</v>
      </c>
      <c r="BO125" s="315" t="e">
        <f>IF($J125="",#N/A,SUM(BM$4:BM125,BK$4:BK125,BI$4:BI125))</f>
        <v>#N/A</v>
      </c>
      <c r="BP125" s="304" t="str">
        <f t="shared" si="147"/>
        <v/>
      </c>
      <c r="BQ125" s="313" t="e">
        <f>IF($J125="",#N/A,SUM(BP$4:BP125))</f>
        <v>#N/A</v>
      </c>
      <c r="BR125" s="314" t="str">
        <f t="shared" si="148"/>
        <v/>
      </c>
      <c r="BS125" s="314" t="e">
        <f>IF($J125="",#N/A,SUM(BR$4:BR125))</f>
        <v>#N/A</v>
      </c>
      <c r="BT125" s="315" t="str">
        <f t="shared" si="149"/>
        <v/>
      </c>
      <c r="BU125" s="315" t="e">
        <f>IF($J125="",#N/A,SUM(BT$4:BT125))</f>
        <v>#N/A</v>
      </c>
      <c r="BV125" s="315" t="e">
        <f>IF($J125="",#N/A,SUM(BT$4:BT125,BR$4:BR125,BP$4:BP125))</f>
        <v>#N/A</v>
      </c>
      <c r="BW125" s="304" t="str">
        <f t="shared" si="150"/>
        <v/>
      </c>
      <c r="BX125" s="313" t="e">
        <f>IF($J125="",#N/A,SUM(BW$4:BW125))</f>
        <v>#N/A</v>
      </c>
      <c r="BY125" s="314" t="str">
        <f t="shared" si="151"/>
        <v/>
      </c>
      <c r="BZ125" s="314" t="e">
        <f>IF($J125="",#N/A,SUM(BY$4:BY125))</f>
        <v>#N/A</v>
      </c>
      <c r="CA125" s="315" t="str">
        <f t="shared" si="152"/>
        <v/>
      </c>
      <c r="CB125" s="315" t="e">
        <f>IF($J125="",#N/A,SUM(CA$4:CA125))</f>
        <v>#N/A</v>
      </c>
      <c r="CC125" s="315" t="e">
        <f>IF($J125="",#N/A,SUM(CA$4:CA125,BY$4:BY125,BW$4:BW125))</f>
        <v>#N/A</v>
      </c>
      <c r="CD125" s="304" t="str">
        <f t="shared" si="153"/>
        <v/>
      </c>
      <c r="CE125" s="313" t="e">
        <f>IF($J125="",#N/A,SUM(CD$4:CD125))</f>
        <v>#N/A</v>
      </c>
      <c r="CF125" s="314" t="str">
        <f t="shared" si="154"/>
        <v/>
      </c>
      <c r="CG125" s="314" t="e">
        <f>IF($J125="",#N/A,SUM(CF$4:CF125))</f>
        <v>#N/A</v>
      </c>
      <c r="CH125" s="315">
        <f t="shared" si="155"/>
        <v>-0.79625158100494142</v>
      </c>
      <c r="CI125" s="315" t="e">
        <f>IF($J125="",#N/A,SUM(CH$4:CH125))</f>
        <v>#N/A</v>
      </c>
      <c r="CJ125" s="315" t="e">
        <f>IF($J125="",#N/A,SUM(CH$4:CH125,CF$4:CF125,CD$4:CD125))</f>
        <v>#N/A</v>
      </c>
      <c r="CK125" s="304" t="str">
        <f t="shared" si="156"/>
        <v/>
      </c>
      <c r="CL125" s="313" t="e">
        <f>IF($J125="",#N/A,SUM(CK$4:CK125))</f>
        <v>#N/A</v>
      </c>
      <c r="CM125" s="314" t="str">
        <f t="shared" si="157"/>
        <v/>
      </c>
      <c r="CN125" s="314" t="e">
        <f>IF($J125="",#N/A,SUM(CM$4:CM125))</f>
        <v>#N/A</v>
      </c>
      <c r="CO125" s="315" t="str">
        <f t="shared" si="158"/>
        <v/>
      </c>
      <c r="CP125" s="315" t="e">
        <f>IF($J125="",#N/A,SUM(CO$4:CO125))</f>
        <v>#N/A</v>
      </c>
      <c r="CQ125" s="315" t="e">
        <f>IF($J125="",#N/A,SUM(CO$4:CO125,CM$4:CM125,CK$4:CK125))</f>
        <v>#N/A</v>
      </c>
      <c r="CR125" s="304" t="str">
        <f t="shared" si="159"/>
        <v/>
      </c>
      <c r="CS125" s="313" t="e">
        <f>IF($J125="",#N/A,SUM(CR$4:CR125))</f>
        <v>#N/A</v>
      </c>
      <c r="CT125" s="314" t="str">
        <f t="shared" si="160"/>
        <v/>
      </c>
      <c r="CU125" s="314" t="e">
        <f>IF($J125="",#N/A,SUM(CT$4:CT125))</f>
        <v>#N/A</v>
      </c>
      <c r="CV125" s="315" t="str">
        <f t="shared" si="161"/>
        <v/>
      </c>
      <c r="CW125" s="315" t="e">
        <f>IF($J125="",#N/A,SUM(CV$4:CV125))</f>
        <v>#N/A</v>
      </c>
      <c r="CX125" s="315" t="e">
        <f>IF($J125="",#N/A,SUM(CV$4:CV125,CT$4:CT125,CR$4:CR125))</f>
        <v>#N/A</v>
      </c>
      <c r="CY125" s="304" t="str">
        <f t="shared" si="162"/>
        <v/>
      </c>
      <c r="CZ125" s="313" t="e">
        <f>IF($J125="",#N/A,SUM(CY$4:CY125))</f>
        <v>#N/A</v>
      </c>
      <c r="DA125" s="314" t="str">
        <f t="shared" si="163"/>
        <v/>
      </c>
      <c r="DB125" s="314" t="e">
        <f>IF($J125="",#N/A,SUM(DA$4:DA125))</f>
        <v>#N/A</v>
      </c>
      <c r="DC125" s="315" t="str">
        <f t="shared" si="164"/>
        <v/>
      </c>
      <c r="DD125" s="315" t="e">
        <f>IF($J125="",#N/A,SUM(DC$4:DC125))</f>
        <v>#N/A</v>
      </c>
      <c r="DE125" s="315" t="e">
        <f>IF($J125="",#N/A,SUM(DC$4:DC125,DA$4:DA125,CY$4:CY125))</f>
        <v>#N/A</v>
      </c>
      <c r="DF125" s="304" t="str">
        <f t="shared" si="165"/>
        <v/>
      </c>
      <c r="DG125" s="313" t="e">
        <f>IF($J125="",#N/A,SUM(DF$4:DF125))</f>
        <v>#N/A</v>
      </c>
      <c r="DH125" s="314" t="str">
        <f t="shared" si="166"/>
        <v/>
      </c>
      <c r="DI125" s="314" t="e">
        <f>IF($J125="",#N/A,SUM(DH$4:DH125))</f>
        <v>#N/A</v>
      </c>
      <c r="DJ125" s="315" t="str">
        <f t="shared" si="167"/>
        <v/>
      </c>
      <c r="DK125" s="315" t="e">
        <f>IF($J125="",#N/A,SUM(DJ$4:DJ125))</f>
        <v>#N/A</v>
      </c>
      <c r="DL125" s="315" t="e">
        <f>IF($J125="",#N/A,SUM(DJ$4:DJ125,DH$4:DH125,DF$4:DF125))</f>
        <v>#N/A</v>
      </c>
      <c r="DM125" s="304" t="str">
        <f t="shared" si="168"/>
        <v/>
      </c>
      <c r="DN125" s="313" t="e">
        <f>IF($J125="",#N/A,SUM(DM$4:DM125))</f>
        <v>#N/A</v>
      </c>
      <c r="DO125" s="314" t="str">
        <f t="shared" si="169"/>
        <v/>
      </c>
      <c r="DP125" s="314" t="e">
        <f>IF($J125="",#N/A,SUM(DO$4:DO125))</f>
        <v>#N/A</v>
      </c>
      <c r="DQ125" s="315" t="str">
        <f t="shared" si="170"/>
        <v/>
      </c>
      <c r="DR125" s="315" t="e">
        <f>IF($J125="",#N/A,SUM(DQ$4:DQ125))</f>
        <v>#N/A</v>
      </c>
      <c r="DS125" s="315" t="e">
        <f>IF($J125="",#N/A,SUM(DQ$4:DQ125,DO$4:DO125,DM$4:DM125))</f>
        <v>#N/A</v>
      </c>
      <c r="DT125" s="304" t="str">
        <f t="shared" si="171"/>
        <v/>
      </c>
      <c r="DU125" s="313" t="e">
        <f>IF($J125="",#N/A,SUM(DT$4:DT125))</f>
        <v>#N/A</v>
      </c>
      <c r="DV125" s="314" t="str">
        <f t="shared" si="172"/>
        <v/>
      </c>
      <c r="DW125" s="314" t="e">
        <f>IF($J125="",#N/A,SUM(DV$4:DV125))</f>
        <v>#N/A</v>
      </c>
      <c r="DX125" s="315" t="str">
        <f t="shared" si="173"/>
        <v/>
      </c>
      <c r="DY125" s="315" t="e">
        <f>IF($J125="",#N/A,SUM(DX$4:DX125))</f>
        <v>#N/A</v>
      </c>
      <c r="DZ125" s="315" t="e">
        <f>IF($J125="",#N/A,SUM(DX$4:DX125,DV$4:DV125,DT$4:DT125))</f>
        <v>#N/A</v>
      </c>
      <c r="EA125" s="304" t="str">
        <f t="shared" si="174"/>
        <v/>
      </c>
      <c r="EB125" s="313" t="e">
        <f>IF($J125="",#N/A,SUM(EA$4:EA125))</f>
        <v>#N/A</v>
      </c>
      <c r="EC125" s="314" t="str">
        <f t="shared" si="175"/>
        <v/>
      </c>
      <c r="ED125" s="314" t="e">
        <f>IF($J125="",#N/A,SUM(EC$4:EC125))</f>
        <v>#N/A</v>
      </c>
      <c r="EE125" s="315" t="str">
        <f t="shared" si="176"/>
        <v/>
      </c>
      <c r="EF125" s="315" t="e">
        <f>IF($J125="",#N/A,SUM(EE$4:EE125))</f>
        <v>#N/A</v>
      </c>
      <c r="EG125" s="315" t="e">
        <f>IF($J125="",#N/A,SUM(EE$4:EE125,EC$4:EC125,EA$4:EA125))</f>
        <v>#N/A</v>
      </c>
      <c r="EH125" s="130">
        <f t="shared" si="177"/>
        <v>-19.38999999999993</v>
      </c>
      <c r="EI125" s="63">
        <f>IF(EH125="",#N/A,SUM($EH$4:EH125))</f>
        <v>573.25919590464082</v>
      </c>
      <c r="EJ125" s="223" t="e">
        <f t="shared" si="178"/>
        <v>#N/A</v>
      </c>
      <c r="EK125" s="63" t="e">
        <f>IF($GZ125="",#N/A,SUM(EJ$4:EJ125))</f>
        <v>#N/A</v>
      </c>
      <c r="EL125" s="60">
        <f t="shared" si="209"/>
        <v>-0.79625158100494142</v>
      </c>
      <c r="EM125" s="60">
        <f>IF(EL125="",NA(),SUM($EL$4:EL125))</f>
        <v>21.408319393517392</v>
      </c>
      <c r="EN125" s="60" t="str">
        <f t="shared" si="179"/>
        <v/>
      </c>
      <c r="EO125" s="60" t="e">
        <f>IF(EN125="",NA(),SUM($EN$4:EN125))</f>
        <v>#N/A</v>
      </c>
      <c r="EP125" s="60">
        <f t="shared" si="180"/>
        <v>-0.79625158100494142</v>
      </c>
      <c r="EQ125" s="60">
        <f>IF(EP125="",NA(),SUM($EP$4:EP125))</f>
        <v>9.8038124139866696</v>
      </c>
      <c r="ER125" s="60" t="str">
        <f t="shared" si="181"/>
        <v/>
      </c>
      <c r="ES125" s="60" t="e">
        <f>IF(ER125="",NA(),SUM($ER$4:ER125))</f>
        <v>#N/A</v>
      </c>
      <c r="ET125" s="60" t="str">
        <f t="shared" si="182"/>
        <v/>
      </c>
      <c r="EU125" s="60" t="e">
        <f>IF(ET125="",NA(),SUM($ET$4:ET125))</f>
        <v>#N/A</v>
      </c>
      <c r="EV125" s="60" t="str">
        <f t="shared" si="183"/>
        <v/>
      </c>
      <c r="EW125" s="60" t="e">
        <f>IF(EV125="",NA(),SUM($EV$4:EV125))</f>
        <v>#N/A</v>
      </c>
      <c r="EX125" s="60" t="str">
        <f t="shared" si="184"/>
        <v/>
      </c>
      <c r="EY125" s="60" t="e">
        <f>IF(EX125="",NA(),SUM($EX$4:EX125))</f>
        <v>#N/A</v>
      </c>
      <c r="EZ125" s="60" t="str">
        <f t="shared" si="185"/>
        <v/>
      </c>
      <c r="FA125" s="60" t="e">
        <f>IF(EZ125="",NA(),SUM($EZ$4:EZ125))</f>
        <v>#N/A</v>
      </c>
      <c r="FB125" s="246" t="str">
        <f t="shared" si="210"/>
        <v/>
      </c>
      <c r="FC125" s="246" t="e">
        <f>IF($FB125="",#N/A,SUM(FB$4:$FB125))</f>
        <v>#N/A</v>
      </c>
      <c r="FD125" s="60" t="str">
        <f t="shared" si="186"/>
        <v/>
      </c>
      <c r="FE125" s="60" t="e">
        <f>IF($FD125="",#N/A,SUM($FD$4:FD125))</f>
        <v>#N/A</v>
      </c>
      <c r="FF125" s="60" t="str">
        <f t="shared" si="187"/>
        <v/>
      </c>
      <c r="FG125" s="60" t="e">
        <f>IF($FF125="",#N/A,SUM($FF$4:FF125))</f>
        <v>#N/A</v>
      </c>
      <c r="FH125" s="60" t="str">
        <f t="shared" si="188"/>
        <v/>
      </c>
      <c r="FI125" s="60" t="e">
        <f>IF($FH125="",#N/A,SUM($FH$4:FH125))</f>
        <v>#N/A</v>
      </c>
      <c r="FJ125" s="60" t="str">
        <f t="shared" si="189"/>
        <v/>
      </c>
      <c r="FK125" s="60" t="e">
        <f>IF($FJ125="",#N/A,SUM($FJ$4:FJ125))</f>
        <v>#N/A</v>
      </c>
      <c r="FL125" s="60">
        <f t="shared" si="190"/>
        <v>0.52891801770725289</v>
      </c>
      <c r="FM125" s="60">
        <f>IF($FL125="",#N/A,SUM($FL$4:FL125))</f>
        <v>2.7526039250675605</v>
      </c>
      <c r="FN125" s="82">
        <f t="shared" si="191"/>
        <v>-0.26733356329768854</v>
      </c>
      <c r="FO125" s="82">
        <f>IF($FN125="",#N/A,SUM(FN$4:$FN125))</f>
        <v>32.25038243196299</v>
      </c>
      <c r="FP125" s="82">
        <f t="shared" si="211"/>
        <v>-0.79625158100494142</v>
      </c>
      <c r="FQ125" s="246">
        <f>IF($EH125="",#N/A,SUM($FP$4:FP125))</f>
        <v>22.479958893536377</v>
      </c>
      <c r="FR125" s="82">
        <f>IFERROR(FQ125/COUNTA($J$4:J125),#N/A)</f>
        <v>0.1842619581437408</v>
      </c>
      <c r="FS125" s="82">
        <f>IFERROR(($FQ125-$FQ79)/COUNTA($J79:$J125),#N/A)</f>
        <v>0.10555215738577801</v>
      </c>
      <c r="FT125" s="82">
        <f t="shared" si="225"/>
        <v>-2.2032887057812846E-2</v>
      </c>
      <c r="FU125" s="337">
        <f>IF(AND(HB125="MOC",GZ125=""),#N/A,IFERROR(FQ125-HE125,FQ125-0))-14.53</f>
        <v>7.9392111974511064</v>
      </c>
      <c r="FV125" s="57" t="str">
        <f t="shared" si="192"/>
        <v>SW</v>
      </c>
      <c r="FW125" s="57" t="s">
        <v>2732</v>
      </c>
      <c r="FX125" s="57" t="str">
        <f t="shared" si="193"/>
        <v/>
      </c>
      <c r="FY125" s="57" t="str">
        <f t="shared" si="194"/>
        <v/>
      </c>
      <c r="FZ125" s="57" t="str">
        <f t="shared" si="195"/>
        <v/>
      </c>
      <c r="GA125" s="57" t="str">
        <f t="shared" si="196"/>
        <v>Long</v>
      </c>
      <c r="GB125" s="57" t="str">
        <f t="shared" si="197"/>
        <v/>
      </c>
      <c r="GC125" s="57" t="str">
        <f t="shared" si="198"/>
        <v/>
      </c>
      <c r="GD125" s="57">
        <f t="shared" si="199"/>
        <v>1</v>
      </c>
      <c r="GE125" s="62">
        <f t="shared" si="114"/>
        <v>57.98</v>
      </c>
      <c r="GF125" s="62" t="s">
        <v>2779</v>
      </c>
      <c r="GG125" s="199">
        <v>7</v>
      </c>
      <c r="GH125" s="207">
        <f t="shared" si="200"/>
        <v>405.85999999999996</v>
      </c>
      <c r="GI125" s="199">
        <v>7</v>
      </c>
      <c r="GJ125" s="200">
        <v>55.02</v>
      </c>
      <c r="GK125" s="63">
        <f t="shared" si="201"/>
        <v>-20.719999999999914</v>
      </c>
      <c r="GL125" s="63">
        <f t="shared" si="115"/>
        <v>-6.5099999999999909</v>
      </c>
      <c r="GM125" s="82">
        <f t="shared" si="202"/>
        <v>-0.26733356329768854</v>
      </c>
      <c r="GN125" s="82">
        <f>IF($GZ125="",#N/A,SUM(GM$4:GM125))</f>
        <v>13.409141874616429</v>
      </c>
      <c r="GO125" s="82" t="str">
        <f t="shared" si="203"/>
        <v/>
      </c>
      <c r="GP125" s="82">
        <f>IF($GZ125="",#N/A,SUM(GO$4:GO125))</f>
        <v>10.700262523032329</v>
      </c>
      <c r="GQ125" s="82" t="str">
        <f t="shared" si="204"/>
        <v/>
      </c>
      <c r="GR125" s="82">
        <f>IF($GZ125="",#N/A,SUM(GQ$4:GQ125))</f>
        <v>7.5151410798719009</v>
      </c>
      <c r="GS125" s="63" t="e">
        <f t="shared" si="212"/>
        <v>#N/A</v>
      </c>
      <c r="GT125" s="63" t="e">
        <f>IF($GZ125="",#N/A,SUM(GS$4:GS125))</f>
        <v>#N/A</v>
      </c>
      <c r="GU125" s="63" t="str">
        <f t="shared" si="213"/>
        <v/>
      </c>
      <c r="GV125" s="63" t="e">
        <f>IF($GZ125="",#N/A,SUM(GU$4:GU125))</f>
        <v>#N/A</v>
      </c>
      <c r="GW125" s="63" t="str">
        <f t="shared" si="214"/>
        <v/>
      </c>
      <c r="GX125" s="63" t="e">
        <f>IF($GZ125="",#N/A,SUM(GW$4:GW125))</f>
        <v>#N/A</v>
      </c>
      <c r="GY125" s="63" t="e">
        <f>IF(EJ125="",#N/A,SUM($EJ$4:EJ125))</f>
        <v>#N/A</v>
      </c>
      <c r="GZ125" s="159">
        <v>57.05</v>
      </c>
      <c r="HA125" s="63">
        <f t="shared" si="205"/>
        <v>12.879999999999939</v>
      </c>
      <c r="HB125" s="62" t="s">
        <v>2538</v>
      </c>
      <c r="HC125" s="60">
        <f>IFERROR(VLOOKUP(E125,Expectancy!$P$4:$S$19,1+C125,FALSE),"")</f>
        <v>-0.22212962098938482</v>
      </c>
      <c r="HD125" s="82">
        <f t="shared" si="206"/>
        <v>-0.85086811544210306</v>
      </c>
      <c r="HE125" s="60">
        <f>IF(HD125="",#N/A,SUM($HD$4:HD125))</f>
        <v>1.0747696085270486E-2</v>
      </c>
      <c r="HF125" s="85">
        <f>IF(HD125="",#N/A,IF(HB125="Skip",#N/A,SUM($HG$4:HG125)))</f>
        <v>17.560000000000002</v>
      </c>
      <c r="HG125" s="63">
        <f t="shared" si="207"/>
        <v>-20.719999999999914</v>
      </c>
      <c r="HH125" s="82">
        <f t="shared" si="208"/>
        <v>-0.26733356329768854</v>
      </c>
    </row>
    <row r="126" spans="1:216" x14ac:dyDescent="0.25">
      <c r="A126" s="57" t="s">
        <v>1541</v>
      </c>
      <c r="B126" s="58" t="s">
        <v>5164</v>
      </c>
      <c r="C126" s="386">
        <f t="shared" si="118"/>
        <v>3</v>
      </c>
      <c r="D126" s="372" t="str">
        <f>_xlfn.XLOOKUP(A126,[1]SP500!$A$2:$A$502,[1]SP500!$D$2:$D$502,"N")</f>
        <v>Y</v>
      </c>
      <c r="E126" s="57" t="str">
        <f>_xlfn.XLOOKUP(A126,[1]SP500!$A$2:$A$655,[1]SP500!$B$2:$B$655)</f>
        <v>XLI</v>
      </c>
      <c r="F126" s="59">
        <v>45687</v>
      </c>
      <c r="G126" s="57" t="str">
        <f t="shared" si="119"/>
        <v>BMO</v>
      </c>
      <c r="H126" s="57" t="str">
        <f t="shared" si="120"/>
        <v>o</v>
      </c>
      <c r="I126" s="162">
        <v>31.65</v>
      </c>
      <c r="J126" s="159">
        <v>31.29</v>
      </c>
      <c r="K126" s="93">
        <f t="shared" si="121"/>
        <v>-1.1374407582938371E-2</v>
      </c>
      <c r="L126" s="87">
        <f t="shared" si="122"/>
        <v>-4.5497630331753385</v>
      </c>
      <c r="M126" s="214" t="e">
        <f t="shared" ref="M126:M189" si="226">IF(L126="","",IF(HG126="",#N/A,IF(HB126="Open",HG126-L126,#N/A)))</f>
        <v>#N/A</v>
      </c>
      <c r="N126" s="168" t="str">
        <f t="shared" si="123"/>
        <v/>
      </c>
      <c r="O126" s="168">
        <f>IF($J126="",#N/A,SUM($N$4:N126))</f>
        <v>215.8095853421637</v>
      </c>
      <c r="P126" s="173" t="str">
        <f t="shared" si="124"/>
        <v/>
      </c>
      <c r="Q126" s="173">
        <f>IF($J126="",#N/A,SUM($P$4:P126))</f>
        <v>120.88104023772649</v>
      </c>
      <c r="R126" s="177">
        <f t="shared" si="125"/>
        <v>-4.5497630331753385</v>
      </c>
      <c r="S126" s="177">
        <f>IF($J126="",#N/A,SUM($R$4:R126))</f>
        <v>232.01880729157517</v>
      </c>
      <c r="T126" s="293" t="str">
        <f t="shared" si="126"/>
        <v/>
      </c>
      <c r="U126" s="293">
        <f>IF($J126="",#N/A,SUM($T$4:T126))</f>
        <v>7.6560773349235101</v>
      </c>
      <c r="V126" s="294" t="str">
        <f t="shared" si="127"/>
        <v/>
      </c>
      <c r="W126" s="294">
        <f>IF($J126="",#N/A,SUM($V$4:V126))</f>
        <v>5.1407171970219094</v>
      </c>
      <c r="X126" s="295">
        <f t="shared" si="128"/>
        <v>-0.1895734597156391</v>
      </c>
      <c r="Y126" s="283">
        <f>IF($J126="",#N/A,SUM($X$4:X126))</f>
        <v>9.4935909018753044</v>
      </c>
      <c r="Z126" s="304" t="str">
        <f t="shared" si="129"/>
        <v/>
      </c>
      <c r="AA126" s="316" t="e">
        <f>IF($J126="",#N/A,SUM(Z$4:Z126))</f>
        <v>#N/A</v>
      </c>
      <c r="AB126" s="317" t="str">
        <f t="shared" si="130"/>
        <v/>
      </c>
      <c r="AC126" s="317" t="e">
        <f>IF($J126="",#N/A,SUM(AB$4:AB126))</f>
        <v>#N/A</v>
      </c>
      <c r="AD126" s="318" t="str">
        <f t="shared" si="131"/>
        <v/>
      </c>
      <c r="AE126" s="318" t="e">
        <f>IF($J126="",#N/A,SUM(AD$4:AD126))</f>
        <v>#N/A</v>
      </c>
      <c r="AF126" s="318" t="e">
        <f>IF($J126="",#N/A,SUM(AD$4:AD126,AB$4:AB126,Z$4:Z126))</f>
        <v>#N/A</v>
      </c>
      <c r="AG126" s="304" t="str">
        <f t="shared" si="132"/>
        <v/>
      </c>
      <c r="AH126" s="316" t="e">
        <f>IF($J126="",#N/A,SUM(AG$4:AG126))</f>
        <v>#N/A</v>
      </c>
      <c r="AI126" s="317" t="str">
        <f t="shared" si="133"/>
        <v/>
      </c>
      <c r="AJ126" s="317" t="e">
        <f>IF($J126="",#N/A,SUM(AI$4:AI126))</f>
        <v>#N/A</v>
      </c>
      <c r="AK126" s="318" t="str">
        <f t="shared" si="134"/>
        <v/>
      </c>
      <c r="AL126" s="318" t="e">
        <f>IF($J126="",#N/A,SUM(AK$4:AK126))</f>
        <v>#N/A</v>
      </c>
      <c r="AM126" s="318" t="e">
        <f>IF($J126="",#N/A,SUM(AK$4:AK126,AI$4:AI126,AG$4:AG126))</f>
        <v>#N/A</v>
      </c>
      <c r="AN126" s="304" t="str">
        <f t="shared" si="135"/>
        <v/>
      </c>
      <c r="AO126" s="316" t="e">
        <f>IF($J126="",#N/A,SUM(AN$4:AN126))</f>
        <v>#N/A</v>
      </c>
      <c r="AP126" s="317" t="str">
        <f t="shared" si="136"/>
        <v/>
      </c>
      <c r="AQ126" s="317" t="e">
        <f>IF($J126="",#N/A,SUM(AP$4:AP126))</f>
        <v>#N/A</v>
      </c>
      <c r="AR126" s="318" t="str">
        <f t="shared" si="137"/>
        <v/>
      </c>
      <c r="AS126" s="318" t="e">
        <f>IF($J126="",#N/A,SUM(AR$4:AR126))</f>
        <v>#N/A</v>
      </c>
      <c r="AT126" s="318" t="e">
        <f>IF($J126="",#N/A,SUM(AR$4:AR126,AP$4:AP126,AN$4:AN126))</f>
        <v>#N/A</v>
      </c>
      <c r="AU126" s="304" t="str">
        <f t="shared" si="138"/>
        <v/>
      </c>
      <c r="AV126" s="316" t="e">
        <f>IF($J126="",#N/A,SUM(AU$4:AU126))</f>
        <v>#N/A</v>
      </c>
      <c r="AW126" s="317" t="str">
        <f t="shared" si="139"/>
        <v/>
      </c>
      <c r="AX126" s="317" t="e">
        <f>IF($J126="",#N/A,SUM(AW$4:AW126))</f>
        <v>#N/A</v>
      </c>
      <c r="AY126" s="318" t="str">
        <f t="shared" si="140"/>
        <v/>
      </c>
      <c r="AZ126" s="318" t="e">
        <f>IF($J126="",#N/A,SUM(AY$4:AY126))</f>
        <v>#N/A</v>
      </c>
      <c r="BA126" s="318" t="e">
        <f>IF($J126="",#N/A,SUM(AY$4:AY126,AW$4:AW126,AU$4:AU126))</f>
        <v>#N/A</v>
      </c>
      <c r="BB126" s="304" t="str">
        <f t="shared" si="141"/>
        <v/>
      </c>
      <c r="BC126" s="316" t="e">
        <f>IF($J126="",#N/A,SUM(BB$4:BB126))</f>
        <v>#N/A</v>
      </c>
      <c r="BD126" s="317" t="str">
        <f t="shared" si="142"/>
        <v/>
      </c>
      <c r="BE126" s="317" t="e">
        <f>IF($J126="",#N/A,SUM(BD$4:BD126))</f>
        <v>#N/A</v>
      </c>
      <c r="BF126" s="318" t="str">
        <f t="shared" si="143"/>
        <v/>
      </c>
      <c r="BG126" s="318" t="e">
        <f>IF($J126="",#N/A,SUM(BF$4:BF126))</f>
        <v>#N/A</v>
      </c>
      <c r="BH126" s="318" t="e">
        <f>IF($J126="",#N/A,SUM(BF$4:BF126,BD$4:BD126,BB$4:BB126))</f>
        <v>#N/A</v>
      </c>
      <c r="BI126" s="304" t="str">
        <f t="shared" si="144"/>
        <v/>
      </c>
      <c r="BJ126" s="316" t="e">
        <f>IF($J126="",#N/A,SUM(BI$4:BI126))</f>
        <v>#N/A</v>
      </c>
      <c r="BK126" s="317" t="str">
        <f t="shared" si="145"/>
        <v/>
      </c>
      <c r="BL126" s="317" t="e">
        <f>IF($J126="",#N/A,SUM(BK$4:BK126))</f>
        <v>#N/A</v>
      </c>
      <c r="BM126" s="318" t="str">
        <f t="shared" si="146"/>
        <v/>
      </c>
      <c r="BN126" s="318" t="e">
        <f>IF($J126="",#N/A,SUM(BM$4:BM126))</f>
        <v>#N/A</v>
      </c>
      <c r="BO126" s="318" t="e">
        <f>IF($J126="",#N/A,SUM(BM$4:BM126,BK$4:BK126,BI$4:BI126))</f>
        <v>#N/A</v>
      </c>
      <c r="BP126" s="304" t="str">
        <f t="shared" si="147"/>
        <v/>
      </c>
      <c r="BQ126" s="316" t="e">
        <f>IF($J126="",#N/A,SUM(BP$4:BP126))</f>
        <v>#N/A</v>
      </c>
      <c r="BR126" s="317" t="str">
        <f t="shared" si="148"/>
        <v/>
      </c>
      <c r="BS126" s="317" t="e">
        <f>IF($J126="",#N/A,SUM(BR$4:BR126))</f>
        <v>#N/A</v>
      </c>
      <c r="BT126" s="318">
        <f t="shared" si="149"/>
        <v>-0.1895734597156391</v>
      </c>
      <c r="BU126" s="318" t="e">
        <f>IF($J126="",#N/A,SUM(BT$4:BT126))</f>
        <v>#N/A</v>
      </c>
      <c r="BV126" s="318" t="e">
        <f>IF($J126="",#N/A,SUM(BT$4:BT126,BR$4:BR126,BP$4:BP126))</f>
        <v>#N/A</v>
      </c>
      <c r="BW126" s="304" t="str">
        <f t="shared" si="150"/>
        <v/>
      </c>
      <c r="BX126" s="316" t="e">
        <f>IF($J126="",#N/A,SUM(BW$4:BW126))</f>
        <v>#N/A</v>
      </c>
      <c r="BY126" s="317" t="str">
        <f t="shared" si="151"/>
        <v/>
      </c>
      <c r="BZ126" s="317" t="e">
        <f>IF($J126="",#N/A,SUM(BY$4:BY126))</f>
        <v>#N/A</v>
      </c>
      <c r="CA126" s="318" t="str">
        <f t="shared" si="152"/>
        <v/>
      </c>
      <c r="CB126" s="318" t="e">
        <f>IF($J126="",#N/A,SUM(CA$4:CA126))</f>
        <v>#N/A</v>
      </c>
      <c r="CC126" s="318" t="e">
        <f>IF($J126="",#N/A,SUM(CA$4:CA126,BY$4:BY126,BW$4:BW126))</f>
        <v>#N/A</v>
      </c>
      <c r="CD126" s="304" t="str">
        <f t="shared" si="153"/>
        <v/>
      </c>
      <c r="CE126" s="316" t="e">
        <f>IF($J126="",#N/A,SUM(CD$4:CD126))</f>
        <v>#N/A</v>
      </c>
      <c r="CF126" s="317" t="str">
        <f t="shared" si="154"/>
        <v/>
      </c>
      <c r="CG126" s="317" t="e">
        <f>IF($J126="",#N/A,SUM(CF$4:CF126))</f>
        <v>#N/A</v>
      </c>
      <c r="CH126" s="318" t="str">
        <f t="shared" si="155"/>
        <v/>
      </c>
      <c r="CI126" s="318" t="e">
        <f>IF($J126="",#N/A,SUM(CH$4:CH126))</f>
        <v>#N/A</v>
      </c>
      <c r="CJ126" s="318" t="e">
        <f>IF($J126="",#N/A,SUM(CH$4:CH126,CF$4:CF126,CD$4:CD126))</f>
        <v>#N/A</v>
      </c>
      <c r="CK126" s="304" t="str">
        <f t="shared" si="156"/>
        <v/>
      </c>
      <c r="CL126" s="316" t="e">
        <f>IF($J126="",#N/A,SUM(CK$4:CK126))</f>
        <v>#N/A</v>
      </c>
      <c r="CM126" s="317" t="str">
        <f t="shared" si="157"/>
        <v/>
      </c>
      <c r="CN126" s="317" t="e">
        <f>IF($J126="",#N/A,SUM(CM$4:CM126))</f>
        <v>#N/A</v>
      </c>
      <c r="CO126" s="318" t="str">
        <f t="shared" si="158"/>
        <v/>
      </c>
      <c r="CP126" s="318" t="e">
        <f>IF($J126="",#N/A,SUM(CO$4:CO126))</f>
        <v>#N/A</v>
      </c>
      <c r="CQ126" s="318" t="e">
        <f>IF($J126="",#N/A,SUM(CO$4:CO126,CM$4:CM126,CK$4:CK126))</f>
        <v>#N/A</v>
      </c>
      <c r="CR126" s="304" t="str">
        <f t="shared" si="159"/>
        <v/>
      </c>
      <c r="CS126" s="316" t="e">
        <f>IF($J126="",#N/A,SUM(CR$4:CR126))</f>
        <v>#N/A</v>
      </c>
      <c r="CT126" s="317" t="str">
        <f t="shared" si="160"/>
        <v/>
      </c>
      <c r="CU126" s="317" t="e">
        <f>IF($J126="",#N/A,SUM(CT$4:CT126))</f>
        <v>#N/A</v>
      </c>
      <c r="CV126" s="318" t="str">
        <f t="shared" si="161"/>
        <v/>
      </c>
      <c r="CW126" s="318" t="e">
        <f>IF($J126="",#N/A,SUM(CV$4:CV126))</f>
        <v>#N/A</v>
      </c>
      <c r="CX126" s="318" t="e">
        <f>IF($J126="",#N/A,SUM(CV$4:CV126,CT$4:CT126,CR$4:CR126))</f>
        <v>#N/A</v>
      </c>
      <c r="CY126" s="304" t="str">
        <f t="shared" si="162"/>
        <v/>
      </c>
      <c r="CZ126" s="316" t="e">
        <f>IF($J126="",#N/A,SUM(CY$4:CY126))</f>
        <v>#N/A</v>
      </c>
      <c r="DA126" s="317" t="str">
        <f t="shared" si="163"/>
        <v/>
      </c>
      <c r="DB126" s="317" t="e">
        <f>IF($J126="",#N/A,SUM(DA$4:DA126))</f>
        <v>#N/A</v>
      </c>
      <c r="DC126" s="318" t="str">
        <f t="shared" si="164"/>
        <v/>
      </c>
      <c r="DD126" s="318" t="e">
        <f>IF($J126="",#N/A,SUM(DC$4:DC126))</f>
        <v>#N/A</v>
      </c>
      <c r="DE126" s="318" t="e">
        <f>IF($J126="",#N/A,SUM(DC$4:DC126,DA$4:DA126,CY$4:CY126))</f>
        <v>#N/A</v>
      </c>
      <c r="DF126" s="304" t="str">
        <f t="shared" si="165"/>
        <v/>
      </c>
      <c r="DG126" s="316" t="e">
        <f>IF($J126="",#N/A,SUM(DF$4:DF126))</f>
        <v>#N/A</v>
      </c>
      <c r="DH126" s="317" t="str">
        <f t="shared" si="166"/>
        <v/>
      </c>
      <c r="DI126" s="317" t="e">
        <f>IF($J126="",#N/A,SUM(DH$4:DH126))</f>
        <v>#N/A</v>
      </c>
      <c r="DJ126" s="318" t="str">
        <f t="shared" si="167"/>
        <v/>
      </c>
      <c r="DK126" s="318" t="e">
        <f>IF($J126="",#N/A,SUM(DJ$4:DJ126))</f>
        <v>#N/A</v>
      </c>
      <c r="DL126" s="318" t="e">
        <f>IF($J126="",#N/A,SUM(DJ$4:DJ126,DH$4:DH126,DF$4:DF126))</f>
        <v>#N/A</v>
      </c>
      <c r="DM126" s="304" t="str">
        <f t="shared" si="168"/>
        <v/>
      </c>
      <c r="DN126" s="316" t="e">
        <f>IF($J126="",#N/A,SUM(DM$4:DM126))</f>
        <v>#N/A</v>
      </c>
      <c r="DO126" s="317" t="str">
        <f t="shared" si="169"/>
        <v/>
      </c>
      <c r="DP126" s="317" t="e">
        <f>IF($J126="",#N/A,SUM(DO$4:DO126))</f>
        <v>#N/A</v>
      </c>
      <c r="DQ126" s="318" t="str">
        <f t="shared" si="170"/>
        <v/>
      </c>
      <c r="DR126" s="318" t="e">
        <f>IF($J126="",#N/A,SUM(DQ$4:DQ126))</f>
        <v>#N/A</v>
      </c>
      <c r="DS126" s="318" t="e">
        <f>IF($J126="",#N/A,SUM(DQ$4:DQ126,DO$4:DO126,DM$4:DM126))</f>
        <v>#N/A</v>
      </c>
      <c r="DT126" s="304" t="str">
        <f t="shared" si="171"/>
        <v/>
      </c>
      <c r="DU126" s="316" t="e">
        <f>IF($J126="",#N/A,SUM(DT$4:DT126))</f>
        <v>#N/A</v>
      </c>
      <c r="DV126" s="317" t="str">
        <f t="shared" si="172"/>
        <v/>
      </c>
      <c r="DW126" s="317" t="e">
        <f>IF($J126="",#N/A,SUM(DV$4:DV126))</f>
        <v>#N/A</v>
      </c>
      <c r="DX126" s="318" t="str">
        <f t="shared" si="173"/>
        <v/>
      </c>
      <c r="DY126" s="318" t="e">
        <f>IF($J126="",#N/A,SUM(DX$4:DX126))</f>
        <v>#N/A</v>
      </c>
      <c r="DZ126" s="318" t="e">
        <f>IF($J126="",#N/A,SUM(DX$4:DX126,DV$4:DV126,DT$4:DT126))</f>
        <v>#N/A</v>
      </c>
      <c r="EA126" s="304" t="str">
        <f t="shared" si="174"/>
        <v/>
      </c>
      <c r="EB126" s="316" t="e">
        <f>IF($J126="",#N/A,SUM(EA$4:EA126))</f>
        <v>#N/A</v>
      </c>
      <c r="EC126" s="317" t="str">
        <f t="shared" si="175"/>
        <v/>
      </c>
      <c r="ED126" s="317" t="e">
        <f>IF($J126="",#N/A,SUM(EC$4:EC126))</f>
        <v>#N/A</v>
      </c>
      <c r="EE126" s="318" t="str">
        <f t="shared" si="176"/>
        <v/>
      </c>
      <c r="EF126" s="318" t="e">
        <f>IF($J126="",#N/A,SUM(EE$4:EE126))</f>
        <v>#N/A</v>
      </c>
      <c r="EG126" s="318" t="e">
        <f>IF($J126="",#N/A,SUM(EE$4:EE126,EC$4:EC126,EA$4:EA126))</f>
        <v>#N/A</v>
      </c>
      <c r="EH126" s="211">
        <f t="shared" si="177"/>
        <v>-4.5497630331753385</v>
      </c>
      <c r="EI126" s="63">
        <f>IF(EH126="",#N/A,SUM($EH$4:EH126))</f>
        <v>568.70943287146542</v>
      </c>
      <c r="EJ126" s="223" t="e">
        <f t="shared" si="178"/>
        <v>#N/A</v>
      </c>
      <c r="EK126" s="63" t="e">
        <f>IF($GZ126="",#N/A,SUM(EJ$4:EJ126))</f>
        <v>#N/A</v>
      </c>
      <c r="EL126" s="60">
        <f t="shared" si="209"/>
        <v>-0.1895734597156391</v>
      </c>
      <c r="EM126" s="60">
        <f>IF(EL126="",NA(),SUM($EL$4:EL126))</f>
        <v>21.218745933801753</v>
      </c>
      <c r="EN126" s="60" t="str">
        <f t="shared" si="179"/>
        <v/>
      </c>
      <c r="EO126" s="60" t="e">
        <f>IF(EN126="",NA(),SUM($EN$4:EN126))</f>
        <v>#N/A</v>
      </c>
      <c r="EP126" s="60">
        <f t="shared" si="180"/>
        <v>-0.1895734597156391</v>
      </c>
      <c r="EQ126" s="60">
        <f>IF(EP126="",NA(),SUM($EP$4:EP126))</f>
        <v>9.6142389542710305</v>
      </c>
      <c r="ER126" s="60" t="str">
        <f t="shared" si="181"/>
        <v/>
      </c>
      <c r="ES126" s="60" t="e">
        <f>IF(ER126="",NA(),SUM($ER$4:ER126))</f>
        <v>#N/A</v>
      </c>
      <c r="ET126" s="60" t="str">
        <f t="shared" si="182"/>
        <v/>
      </c>
      <c r="EU126" s="60" t="e">
        <f>IF(ET126="",NA(),SUM($ET$4:ET126))</f>
        <v>#N/A</v>
      </c>
      <c r="EV126" s="60" t="str">
        <f t="shared" si="183"/>
        <v/>
      </c>
      <c r="EW126" s="60" t="e">
        <f>IF(EV126="",NA(),SUM($EV$4:EV126))</f>
        <v>#N/A</v>
      </c>
      <c r="EX126" s="60" t="str">
        <f t="shared" si="184"/>
        <v/>
      </c>
      <c r="EY126" s="60" t="e">
        <f>IF(EX126="",NA(),SUM($EX$4:EX126))</f>
        <v>#N/A</v>
      </c>
      <c r="EZ126" s="60" t="str">
        <f t="shared" si="185"/>
        <v/>
      </c>
      <c r="FA126" s="60" t="e">
        <f>IF(EZ126="",NA(),SUM($EZ$4:EZ126))</f>
        <v>#N/A</v>
      </c>
      <c r="FB126" s="246" t="str">
        <f t="shared" si="210"/>
        <v/>
      </c>
      <c r="FC126" s="246" t="e">
        <f>IF($FB126="",#N/A,SUM(FB$4:$FB126))</f>
        <v>#N/A</v>
      </c>
      <c r="FD126" s="60" t="str">
        <f t="shared" si="186"/>
        <v/>
      </c>
      <c r="FE126" s="60" t="e">
        <f>IF($FD126="",#N/A,SUM($FD$4:FD126))</f>
        <v>#N/A</v>
      </c>
      <c r="FF126" s="60" t="str">
        <f t="shared" si="187"/>
        <v/>
      </c>
      <c r="FG126" s="60" t="e">
        <f>IF($FF126="",#N/A,SUM($FF$4:FF126))</f>
        <v>#N/A</v>
      </c>
      <c r="FH126" s="60" t="str">
        <f t="shared" si="188"/>
        <v/>
      </c>
      <c r="FI126" s="60" t="e">
        <f>IF($FH126="",#N/A,SUM($FH$4:FH126))</f>
        <v>#N/A</v>
      </c>
      <c r="FJ126" s="60" t="str">
        <f t="shared" si="189"/>
        <v/>
      </c>
      <c r="FK126" s="60" t="e">
        <f>IF($FJ126="",#N/A,SUM($FJ$4:FJ126))</f>
        <v>#N/A</v>
      </c>
      <c r="FL126" s="60">
        <f t="shared" si="190"/>
        <v>-1.5797788309635991E-2</v>
      </c>
      <c r="FM126" s="60">
        <f>IF($FL126="",#N/A,SUM($FL$4:FL126))</f>
        <v>2.7368061367579246</v>
      </c>
      <c r="FN126" s="82">
        <f t="shared" si="191"/>
        <v>-0.20537124802527509</v>
      </c>
      <c r="FO126" s="82">
        <f>IF($FN126="",#N/A,SUM(FN$4:$FN126))</f>
        <v>32.045011183937717</v>
      </c>
      <c r="FP126" s="82">
        <f t="shared" si="211"/>
        <v>-0.1895734597156391</v>
      </c>
      <c r="FQ126" s="246">
        <f>IF($EH126="",#N/A,SUM($FP$4:FP126))</f>
        <v>22.290385433820738</v>
      </c>
      <c r="FR126" s="82">
        <f>IFERROR(FQ126/COUNTA($J$4:J126),#N/A)</f>
        <v>0.18122264580342062</v>
      </c>
      <c r="FS126" s="82" t="e">
        <f>IFERROR(($FQ126-#REF!)/COUNTA($J80:$J126),#N/A)</f>
        <v>#N/A</v>
      </c>
      <c r="FT126" s="82">
        <f t="shared" si="225"/>
        <v>7.5981554031391674E-2</v>
      </c>
      <c r="FU126" s="273"/>
      <c r="FV126" s="57" t="str">
        <f t="shared" si="192"/>
        <v>SW</v>
      </c>
      <c r="FW126" s="79" t="s">
        <v>2732</v>
      </c>
      <c r="FX126" s="57" t="str">
        <f t="shared" si="193"/>
        <v/>
      </c>
      <c r="FY126" s="57" t="str">
        <f t="shared" si="194"/>
        <v/>
      </c>
      <c r="FZ126" s="57" t="str">
        <f t="shared" si="195"/>
        <v/>
      </c>
      <c r="GA126" s="57" t="str">
        <f t="shared" si="196"/>
        <v>Long</v>
      </c>
      <c r="GB126" s="57" t="str">
        <f t="shared" si="197"/>
        <v/>
      </c>
      <c r="GC126" s="57" t="str">
        <f t="shared" si="198"/>
        <v/>
      </c>
      <c r="GD126" s="57">
        <f t="shared" si="199"/>
        <v>1</v>
      </c>
      <c r="GE126" s="62">
        <f t="shared" ref="GE126:GE189" si="227">IF(I126="","",I126)</f>
        <v>31.65</v>
      </c>
      <c r="GF126" s="95" t="s">
        <v>2779</v>
      </c>
      <c r="GG126" s="99">
        <f>400/I126</f>
        <v>12.638230647709321</v>
      </c>
      <c r="GH126" s="207">
        <f t="shared" si="200"/>
        <v>400</v>
      </c>
      <c r="GI126" s="99">
        <f>GG126</f>
        <v>12.638230647709321</v>
      </c>
      <c r="GJ126" s="98">
        <f>J126</f>
        <v>31.29</v>
      </c>
      <c r="GK126" s="96">
        <f t="shared" si="201"/>
        <v>-4.5497630331753385</v>
      </c>
      <c r="GL126" s="63">
        <f t="shared" ref="GL126:GL189" si="228">IF($GZ126="","",IF($GF126="Long",(($GZ126*$GI126)-$GH126),($GH126-($GZ126*$GI126))))</f>
        <v>-4.9289099526066025</v>
      </c>
      <c r="GM126" s="82">
        <f t="shared" si="202"/>
        <v>-0.20537124802527509</v>
      </c>
      <c r="GN126" s="82">
        <f>IF($GZ126="",#N/A,SUM(GM$4:GM126))</f>
        <v>13.203770626591155</v>
      </c>
      <c r="GO126" s="82" t="str">
        <f t="shared" si="203"/>
        <v/>
      </c>
      <c r="GP126" s="82">
        <f>IF($GZ126="",#N/A,SUM(GO$4:GO126))</f>
        <v>10.700262523032329</v>
      </c>
      <c r="GQ126" s="82" t="str">
        <f t="shared" si="204"/>
        <v/>
      </c>
      <c r="GR126" s="82">
        <f>IF($GZ126="",#N/A,SUM(GQ$4:GQ126))</f>
        <v>7.5151410798719009</v>
      </c>
      <c r="GS126" s="63" t="e">
        <f t="shared" si="212"/>
        <v>#N/A</v>
      </c>
      <c r="GT126" s="63" t="e">
        <f>IF($GZ126="",#N/A,SUM(GS$4:GS126))</f>
        <v>#N/A</v>
      </c>
      <c r="GU126" s="63" t="str">
        <f t="shared" si="213"/>
        <v/>
      </c>
      <c r="GV126" s="63" t="e">
        <f>IF($GZ126="",#N/A,SUM(GU$4:GU126))</f>
        <v>#N/A</v>
      </c>
      <c r="GW126" s="63" t="str">
        <f t="shared" si="214"/>
        <v/>
      </c>
      <c r="GX126" s="63" t="e">
        <f>IF($GZ126="",#N/A,SUM(GW$4:GW126))</f>
        <v>#N/A</v>
      </c>
      <c r="GY126" s="63" t="e">
        <f>IF(EJ126="",#N/A,SUM($EJ$4:EJ126))</f>
        <v>#N/A</v>
      </c>
      <c r="GZ126" s="159">
        <v>31.26</v>
      </c>
      <c r="HA126" s="63">
        <f t="shared" si="205"/>
        <v>-0.379146919431264</v>
      </c>
      <c r="HB126" s="130" t="s">
        <v>4970</v>
      </c>
      <c r="HC126" s="60">
        <f>IFERROR(VLOOKUP(E126,Expectancy!$P$4:$S$19,1+C126,FALSE),"")</f>
        <v>2.40735201201209E-2</v>
      </c>
      <c r="HD126" s="82" t="str">
        <f t="shared" si="206"/>
        <v/>
      </c>
      <c r="HE126" s="60" t="e">
        <f>IF(HD126="",#N/A,SUM($HD$4:HD126))</f>
        <v>#N/A</v>
      </c>
      <c r="HF126" s="85" t="e">
        <f>IF(HD126="",#N/A,IF(HB126="Skip",#N/A,SUM($HG$4:HG126)))</f>
        <v>#N/A</v>
      </c>
      <c r="HG126" s="205" t="str">
        <f t="shared" si="207"/>
        <v/>
      </c>
      <c r="HH126" s="82">
        <f t="shared" si="208"/>
        <v>-0.20537124802527509</v>
      </c>
    </row>
    <row r="127" spans="1:216" x14ac:dyDescent="0.25">
      <c r="A127" s="57" t="s">
        <v>1550</v>
      </c>
      <c r="B127" s="58" t="s">
        <v>5164</v>
      </c>
      <c r="C127" s="386">
        <f t="shared" si="118"/>
        <v>3</v>
      </c>
      <c r="D127" s="372" t="str">
        <f>_xlfn.XLOOKUP(A127,[1]SP500!$A$2:$A$502,[1]SP500!$D$2:$D$502,"N")</f>
        <v>Y</v>
      </c>
      <c r="E127" s="57" t="str">
        <f>_xlfn.XLOOKUP(A127,[1]SP500!$A$2:$A$655,[1]SP500!$B$2:$B$655)</f>
        <v>XLV</v>
      </c>
      <c r="F127" s="59">
        <v>45687</v>
      </c>
      <c r="G127" s="57" t="str">
        <f t="shared" si="119"/>
        <v>BMO</v>
      </c>
      <c r="H127" s="57" t="str">
        <f t="shared" si="120"/>
        <v>s</v>
      </c>
      <c r="I127" s="159">
        <v>155.44</v>
      </c>
      <c r="J127" s="158">
        <v>154</v>
      </c>
      <c r="K127" s="61">
        <f t="shared" si="121"/>
        <v>-9.2640247040658638E-3</v>
      </c>
      <c r="L127" s="87">
        <f t="shared" si="122"/>
        <v>-4.3199999999999932</v>
      </c>
      <c r="M127" s="130">
        <f t="shared" si="226"/>
        <v>3</v>
      </c>
      <c r="N127" s="169" t="str">
        <f t="shared" si="123"/>
        <v/>
      </c>
      <c r="O127" s="169">
        <f>IF($J127="",#N/A,SUM($N$4:N127))</f>
        <v>215.8095853421637</v>
      </c>
      <c r="P127" s="174" t="str">
        <f t="shared" si="124"/>
        <v/>
      </c>
      <c r="Q127" s="174">
        <f>IF($J127="",#N/A,SUM($P$4:P127))</f>
        <v>120.88104023772649</v>
      </c>
      <c r="R127" s="178">
        <f t="shared" si="125"/>
        <v>-4.3199999999999932</v>
      </c>
      <c r="S127" s="178">
        <f>IF($J127="",#N/A,SUM($R$4:R127))</f>
        <v>227.69880729157518</v>
      </c>
      <c r="T127" s="290" t="str">
        <f t="shared" si="126"/>
        <v/>
      </c>
      <c r="U127" s="290">
        <f>IF($J127="",#N/A,SUM($T$4:T127))</f>
        <v>7.6560773349235101</v>
      </c>
      <c r="V127" s="291" t="str">
        <f t="shared" si="127"/>
        <v/>
      </c>
      <c r="W127" s="291">
        <f>IF($J127="",#N/A,SUM($V$4:V127))</f>
        <v>5.1407171970219094</v>
      </c>
      <c r="X127" s="292">
        <f t="shared" si="128"/>
        <v>-0.15440041173443106</v>
      </c>
      <c r="Y127" s="283">
        <f>IF($J127="",#N/A,SUM($X$4:X127))</f>
        <v>9.339190490140874</v>
      </c>
      <c r="Z127" s="304" t="str">
        <f t="shared" si="129"/>
        <v/>
      </c>
      <c r="AA127" s="313" t="e">
        <f>IF($J127="",#N/A,SUM(Z$4:Z127))</f>
        <v>#N/A</v>
      </c>
      <c r="AB127" s="314" t="str">
        <f t="shared" si="130"/>
        <v/>
      </c>
      <c r="AC127" s="314" t="e">
        <f>IF($J127="",#N/A,SUM(AB$4:AB127))</f>
        <v>#N/A</v>
      </c>
      <c r="AD127" s="315" t="str">
        <f t="shared" si="131"/>
        <v/>
      </c>
      <c r="AE127" s="315" t="e">
        <f>IF($J127="",#N/A,SUM(AD$4:AD127))</f>
        <v>#N/A</v>
      </c>
      <c r="AF127" s="315" t="e">
        <f>IF($J127="",#N/A,SUM(AD$4:AD127,AB$4:AB127,Z$4:Z127))</f>
        <v>#N/A</v>
      </c>
      <c r="AG127" s="304" t="str">
        <f t="shared" si="132"/>
        <v/>
      </c>
      <c r="AH127" s="313" t="e">
        <f>IF($J127="",#N/A,SUM(AG$4:AG127))</f>
        <v>#N/A</v>
      </c>
      <c r="AI127" s="314" t="str">
        <f t="shared" si="133"/>
        <v/>
      </c>
      <c r="AJ127" s="314" t="e">
        <f>IF($J127="",#N/A,SUM(AI$4:AI127))</f>
        <v>#N/A</v>
      </c>
      <c r="AK127" s="315" t="str">
        <f t="shared" si="134"/>
        <v/>
      </c>
      <c r="AL127" s="315" t="e">
        <f>IF($J127="",#N/A,SUM(AK$4:AK127))</f>
        <v>#N/A</v>
      </c>
      <c r="AM127" s="315" t="e">
        <f>IF($J127="",#N/A,SUM(AK$4:AK127,AI$4:AI127,AG$4:AG127))</f>
        <v>#N/A</v>
      </c>
      <c r="AN127" s="304" t="str">
        <f t="shared" si="135"/>
        <v/>
      </c>
      <c r="AO127" s="313" t="e">
        <f>IF($J127="",#N/A,SUM(AN$4:AN127))</f>
        <v>#N/A</v>
      </c>
      <c r="AP127" s="314" t="str">
        <f t="shared" si="136"/>
        <v/>
      </c>
      <c r="AQ127" s="314" t="e">
        <f>IF($J127="",#N/A,SUM(AP$4:AP127))</f>
        <v>#N/A</v>
      </c>
      <c r="AR127" s="315" t="str">
        <f t="shared" si="137"/>
        <v/>
      </c>
      <c r="AS127" s="315" t="e">
        <f>IF($J127="",#N/A,SUM(AR$4:AR127))</f>
        <v>#N/A</v>
      </c>
      <c r="AT127" s="315" t="e">
        <f>IF($J127="",#N/A,SUM(AR$4:AR127,AP$4:AP127,AN$4:AN127))</f>
        <v>#N/A</v>
      </c>
      <c r="AU127" s="304" t="str">
        <f t="shared" si="138"/>
        <v/>
      </c>
      <c r="AV127" s="313" t="e">
        <f>IF($J127="",#N/A,SUM(AU$4:AU127))</f>
        <v>#N/A</v>
      </c>
      <c r="AW127" s="314" t="str">
        <f t="shared" si="139"/>
        <v/>
      </c>
      <c r="AX127" s="314" t="e">
        <f>IF($J127="",#N/A,SUM(AW$4:AW127))</f>
        <v>#N/A</v>
      </c>
      <c r="AY127" s="315" t="str">
        <f t="shared" si="140"/>
        <v/>
      </c>
      <c r="AZ127" s="315" t="e">
        <f>IF($J127="",#N/A,SUM(AY$4:AY127))</f>
        <v>#N/A</v>
      </c>
      <c r="BA127" s="315" t="e">
        <f>IF($J127="",#N/A,SUM(AY$4:AY127,AW$4:AW127,AU$4:AU127))</f>
        <v>#N/A</v>
      </c>
      <c r="BB127" s="304" t="str">
        <f t="shared" si="141"/>
        <v/>
      </c>
      <c r="BC127" s="313" t="e">
        <f>IF($J127="",#N/A,SUM(BB$4:BB127))</f>
        <v>#N/A</v>
      </c>
      <c r="BD127" s="314" t="str">
        <f t="shared" si="142"/>
        <v/>
      </c>
      <c r="BE127" s="314" t="e">
        <f>IF($J127="",#N/A,SUM(BD$4:BD127))</f>
        <v>#N/A</v>
      </c>
      <c r="BF127" s="315" t="str">
        <f t="shared" si="143"/>
        <v/>
      </c>
      <c r="BG127" s="315" t="e">
        <f>IF($J127="",#N/A,SUM(BF$4:BF127))</f>
        <v>#N/A</v>
      </c>
      <c r="BH127" s="315" t="e">
        <f>IF($J127="",#N/A,SUM(BF$4:BF127,BD$4:BD127,BB$4:BB127))</f>
        <v>#N/A</v>
      </c>
      <c r="BI127" s="304" t="str">
        <f t="shared" si="144"/>
        <v/>
      </c>
      <c r="BJ127" s="313" t="e">
        <f>IF($J127="",#N/A,SUM(BI$4:BI127))</f>
        <v>#N/A</v>
      </c>
      <c r="BK127" s="314" t="str">
        <f t="shared" si="145"/>
        <v/>
      </c>
      <c r="BL127" s="314" t="e">
        <f>IF($J127="",#N/A,SUM(BK$4:BK127))</f>
        <v>#N/A</v>
      </c>
      <c r="BM127" s="315" t="str">
        <f t="shared" si="146"/>
        <v/>
      </c>
      <c r="BN127" s="315" t="e">
        <f>IF($J127="",#N/A,SUM(BM$4:BM127))</f>
        <v>#N/A</v>
      </c>
      <c r="BO127" s="315" t="e">
        <f>IF($J127="",#N/A,SUM(BM$4:BM127,BK$4:BK127,BI$4:BI127))</f>
        <v>#N/A</v>
      </c>
      <c r="BP127" s="304" t="str">
        <f t="shared" si="147"/>
        <v/>
      </c>
      <c r="BQ127" s="313" t="e">
        <f>IF($J127="",#N/A,SUM(BP$4:BP127))</f>
        <v>#N/A</v>
      </c>
      <c r="BR127" s="314" t="str">
        <f t="shared" si="148"/>
        <v/>
      </c>
      <c r="BS127" s="314" t="e">
        <f>IF($J127="",#N/A,SUM(BR$4:BR127))</f>
        <v>#N/A</v>
      </c>
      <c r="BT127" s="315" t="str">
        <f t="shared" si="149"/>
        <v/>
      </c>
      <c r="BU127" s="315" t="e">
        <f>IF($J127="",#N/A,SUM(BT$4:BT127))</f>
        <v>#N/A</v>
      </c>
      <c r="BV127" s="315" t="e">
        <f>IF($J127="",#N/A,SUM(BT$4:BT127,BR$4:BR127,BP$4:BP127))</f>
        <v>#N/A</v>
      </c>
      <c r="BW127" s="304" t="str">
        <f t="shared" si="150"/>
        <v/>
      </c>
      <c r="BX127" s="313" t="e">
        <f>IF($J127="",#N/A,SUM(BW$4:BW127))</f>
        <v>#N/A</v>
      </c>
      <c r="BY127" s="314" t="str">
        <f t="shared" si="151"/>
        <v/>
      </c>
      <c r="BZ127" s="314" t="e">
        <f>IF($J127="",#N/A,SUM(BY$4:BY127))</f>
        <v>#N/A</v>
      </c>
      <c r="CA127" s="315">
        <f t="shared" si="152"/>
        <v>-0.15440041173443106</v>
      </c>
      <c r="CB127" s="315" t="e">
        <f>IF($J127="",#N/A,SUM(CA$4:CA127))</f>
        <v>#N/A</v>
      </c>
      <c r="CC127" s="315" t="e">
        <f>IF($J127="",#N/A,SUM(CA$4:CA127,BY$4:BY127,BW$4:BW127))</f>
        <v>#N/A</v>
      </c>
      <c r="CD127" s="304" t="str">
        <f t="shared" si="153"/>
        <v/>
      </c>
      <c r="CE127" s="313" t="e">
        <f>IF($J127="",#N/A,SUM(CD$4:CD127))</f>
        <v>#N/A</v>
      </c>
      <c r="CF127" s="314" t="str">
        <f t="shared" si="154"/>
        <v/>
      </c>
      <c r="CG127" s="314" t="e">
        <f>IF($J127="",#N/A,SUM(CF$4:CF127))</f>
        <v>#N/A</v>
      </c>
      <c r="CH127" s="315" t="str">
        <f t="shared" si="155"/>
        <v/>
      </c>
      <c r="CI127" s="315" t="e">
        <f>IF($J127="",#N/A,SUM(CH$4:CH127))</f>
        <v>#N/A</v>
      </c>
      <c r="CJ127" s="315" t="e">
        <f>IF($J127="",#N/A,SUM(CH$4:CH127,CF$4:CF127,CD$4:CD127))</f>
        <v>#N/A</v>
      </c>
      <c r="CK127" s="304" t="str">
        <f t="shared" si="156"/>
        <v/>
      </c>
      <c r="CL127" s="313" t="e">
        <f>IF($J127="",#N/A,SUM(CK$4:CK127))</f>
        <v>#N/A</v>
      </c>
      <c r="CM127" s="314" t="str">
        <f t="shared" si="157"/>
        <v/>
      </c>
      <c r="CN127" s="314" t="e">
        <f>IF($J127="",#N/A,SUM(CM$4:CM127))</f>
        <v>#N/A</v>
      </c>
      <c r="CO127" s="315" t="str">
        <f t="shared" si="158"/>
        <v/>
      </c>
      <c r="CP127" s="315" t="e">
        <f>IF($J127="",#N/A,SUM(CO$4:CO127))</f>
        <v>#N/A</v>
      </c>
      <c r="CQ127" s="315" t="e">
        <f>IF($J127="",#N/A,SUM(CO$4:CO127,CM$4:CM127,CK$4:CK127))</f>
        <v>#N/A</v>
      </c>
      <c r="CR127" s="304" t="str">
        <f t="shared" si="159"/>
        <v/>
      </c>
      <c r="CS127" s="313" t="e">
        <f>IF($J127="",#N/A,SUM(CR$4:CR127))</f>
        <v>#N/A</v>
      </c>
      <c r="CT127" s="314" t="str">
        <f t="shared" si="160"/>
        <v/>
      </c>
      <c r="CU127" s="314" t="e">
        <f>IF($J127="",#N/A,SUM(CT$4:CT127))</f>
        <v>#N/A</v>
      </c>
      <c r="CV127" s="315" t="str">
        <f t="shared" si="161"/>
        <v/>
      </c>
      <c r="CW127" s="315" t="e">
        <f>IF($J127="",#N/A,SUM(CV$4:CV127))</f>
        <v>#N/A</v>
      </c>
      <c r="CX127" s="315" t="e">
        <f>IF($J127="",#N/A,SUM(CV$4:CV127,CT$4:CT127,CR$4:CR127))</f>
        <v>#N/A</v>
      </c>
      <c r="CY127" s="304" t="str">
        <f t="shared" si="162"/>
        <v/>
      </c>
      <c r="CZ127" s="313" t="e">
        <f>IF($J127="",#N/A,SUM(CY$4:CY127))</f>
        <v>#N/A</v>
      </c>
      <c r="DA127" s="314" t="str">
        <f t="shared" si="163"/>
        <v/>
      </c>
      <c r="DB127" s="314" t="e">
        <f>IF($J127="",#N/A,SUM(DA$4:DA127))</f>
        <v>#N/A</v>
      </c>
      <c r="DC127" s="315" t="str">
        <f t="shared" si="164"/>
        <v/>
      </c>
      <c r="DD127" s="315" t="e">
        <f>IF($J127="",#N/A,SUM(DC$4:DC127))</f>
        <v>#N/A</v>
      </c>
      <c r="DE127" s="315" t="e">
        <f>IF($J127="",#N/A,SUM(DC$4:DC127,DA$4:DA127,CY$4:CY127))</f>
        <v>#N/A</v>
      </c>
      <c r="DF127" s="304" t="str">
        <f t="shared" si="165"/>
        <v/>
      </c>
      <c r="DG127" s="313" t="e">
        <f>IF($J127="",#N/A,SUM(DF$4:DF127))</f>
        <v>#N/A</v>
      </c>
      <c r="DH127" s="314" t="str">
        <f t="shared" si="166"/>
        <v/>
      </c>
      <c r="DI127" s="314" t="e">
        <f>IF($J127="",#N/A,SUM(DH$4:DH127))</f>
        <v>#N/A</v>
      </c>
      <c r="DJ127" s="315" t="str">
        <f t="shared" si="167"/>
        <v/>
      </c>
      <c r="DK127" s="315" t="e">
        <f>IF($J127="",#N/A,SUM(DJ$4:DJ127))</f>
        <v>#N/A</v>
      </c>
      <c r="DL127" s="315" t="e">
        <f>IF($J127="",#N/A,SUM(DJ$4:DJ127,DH$4:DH127,DF$4:DF127))</f>
        <v>#N/A</v>
      </c>
      <c r="DM127" s="304" t="str">
        <f t="shared" si="168"/>
        <v/>
      </c>
      <c r="DN127" s="313" t="e">
        <f>IF($J127="",#N/A,SUM(DM$4:DM127))</f>
        <v>#N/A</v>
      </c>
      <c r="DO127" s="314" t="str">
        <f t="shared" si="169"/>
        <v/>
      </c>
      <c r="DP127" s="314" t="e">
        <f>IF($J127="",#N/A,SUM(DO$4:DO127))</f>
        <v>#N/A</v>
      </c>
      <c r="DQ127" s="315" t="str">
        <f t="shared" si="170"/>
        <v/>
      </c>
      <c r="DR127" s="315" t="e">
        <f>IF($J127="",#N/A,SUM(DQ$4:DQ127))</f>
        <v>#N/A</v>
      </c>
      <c r="DS127" s="315" t="e">
        <f>IF($J127="",#N/A,SUM(DQ$4:DQ127,DO$4:DO127,DM$4:DM127))</f>
        <v>#N/A</v>
      </c>
      <c r="DT127" s="304" t="str">
        <f t="shared" si="171"/>
        <v/>
      </c>
      <c r="DU127" s="313" t="e">
        <f>IF($J127="",#N/A,SUM(DT$4:DT127))</f>
        <v>#N/A</v>
      </c>
      <c r="DV127" s="314" t="str">
        <f t="shared" si="172"/>
        <v/>
      </c>
      <c r="DW127" s="314" t="e">
        <f>IF($J127="",#N/A,SUM(DV$4:DV127))</f>
        <v>#N/A</v>
      </c>
      <c r="DX127" s="315" t="str">
        <f t="shared" si="173"/>
        <v/>
      </c>
      <c r="DY127" s="315" t="e">
        <f>IF($J127="",#N/A,SUM(DX$4:DX127))</f>
        <v>#N/A</v>
      </c>
      <c r="DZ127" s="315" t="e">
        <f>IF($J127="",#N/A,SUM(DX$4:DX127,DV$4:DV127,DT$4:DT127))</f>
        <v>#N/A</v>
      </c>
      <c r="EA127" s="304" t="str">
        <f t="shared" si="174"/>
        <v/>
      </c>
      <c r="EB127" s="313" t="e">
        <f>IF($J127="",#N/A,SUM(EA$4:EA127))</f>
        <v>#N/A</v>
      </c>
      <c r="EC127" s="314" t="str">
        <f t="shared" si="175"/>
        <v/>
      </c>
      <c r="ED127" s="314" t="e">
        <f>IF($J127="",#N/A,SUM(EC$4:EC127))</f>
        <v>#N/A</v>
      </c>
      <c r="EE127" s="315" t="str">
        <f t="shared" si="176"/>
        <v/>
      </c>
      <c r="EF127" s="315" t="e">
        <f>IF($J127="",#N/A,SUM(EE$4:EE127))</f>
        <v>#N/A</v>
      </c>
      <c r="EG127" s="315" t="e">
        <f>IF($J127="",#N/A,SUM(EE$4:EE127,EC$4:EC127,EA$4:EA127))</f>
        <v>#N/A</v>
      </c>
      <c r="EH127" s="130">
        <f t="shared" si="177"/>
        <v>-4.3199999999999932</v>
      </c>
      <c r="EI127" s="63">
        <f>IF(EH127="",#N/A,SUM($EH$4:EH127))</f>
        <v>564.38943287146549</v>
      </c>
      <c r="EJ127" s="223" t="e">
        <f t="shared" si="178"/>
        <v>#N/A</v>
      </c>
      <c r="EK127" s="63" t="e">
        <f>IF($GZ127="",#N/A,SUM(EJ$4:EJ127))</f>
        <v>#N/A</v>
      </c>
      <c r="EL127" s="60">
        <f t="shared" si="209"/>
        <v>-0.15440041173443106</v>
      </c>
      <c r="EM127" s="60">
        <f>IF(EL127="",NA(),SUM($EL$4:EL127))</f>
        <v>21.06434552206732</v>
      </c>
      <c r="EN127" s="60" t="str">
        <f t="shared" si="179"/>
        <v/>
      </c>
      <c r="EO127" s="60" t="e">
        <f>IF(EN127="",NA(),SUM($EN$4:EN127))</f>
        <v>#N/A</v>
      </c>
      <c r="EP127" s="60">
        <f t="shared" si="180"/>
        <v>-0.15440041173443106</v>
      </c>
      <c r="EQ127" s="60">
        <f>IF(EP127="",NA(),SUM($EP$4:EP127))</f>
        <v>9.4598385425366001</v>
      </c>
      <c r="ER127" s="60" t="str">
        <f t="shared" si="181"/>
        <v/>
      </c>
      <c r="ES127" s="60" t="e">
        <f>IF(ER127="",NA(),SUM($ER$4:ER127))</f>
        <v>#N/A</v>
      </c>
      <c r="ET127" s="60" t="str">
        <f t="shared" si="182"/>
        <v/>
      </c>
      <c r="EU127" s="60" t="e">
        <f>IF(ET127="",NA(),SUM($ET$4:ET127))</f>
        <v>#N/A</v>
      </c>
      <c r="EV127" s="60" t="str">
        <f t="shared" si="183"/>
        <v/>
      </c>
      <c r="EW127" s="60" t="e">
        <f>IF(EV127="",NA(),SUM($EV$4:EV127))</f>
        <v>#N/A</v>
      </c>
      <c r="EX127" s="60" t="str">
        <f t="shared" si="184"/>
        <v/>
      </c>
      <c r="EY127" s="60" t="e">
        <f>IF(EX127="",NA(),SUM($EX$4:EX127))</f>
        <v>#N/A</v>
      </c>
      <c r="EZ127" s="60" t="str">
        <f t="shared" si="185"/>
        <v/>
      </c>
      <c r="FA127" s="60" t="e">
        <f>IF(EZ127="",NA(),SUM($EZ$4:EZ127))</f>
        <v>#N/A</v>
      </c>
      <c r="FB127" s="246" t="str">
        <f t="shared" si="210"/>
        <v/>
      </c>
      <c r="FC127" s="246" t="e">
        <f>IF($FB127="",#N/A,SUM(FB$4:$FB127))</f>
        <v>#N/A</v>
      </c>
      <c r="FD127" s="60" t="str">
        <f t="shared" si="186"/>
        <v/>
      </c>
      <c r="FE127" s="60" t="e">
        <f>IF($FD127="",#N/A,SUM($FD$4:FD127))</f>
        <v>#N/A</v>
      </c>
      <c r="FF127" s="60" t="str">
        <f t="shared" si="187"/>
        <v/>
      </c>
      <c r="FG127" s="60" t="e">
        <f>IF($FF127="",#N/A,SUM($FF$4:FF127))</f>
        <v>#N/A</v>
      </c>
      <c r="FH127" s="60" t="str">
        <f t="shared" si="188"/>
        <v/>
      </c>
      <c r="FI127" s="60" t="e">
        <f>IF($FH127="",#N/A,SUM($FH$4:FH127))</f>
        <v>#N/A</v>
      </c>
      <c r="FJ127" s="60" t="str">
        <f t="shared" si="189"/>
        <v/>
      </c>
      <c r="FK127" s="60" t="e">
        <f>IF($FJ127="",#N/A,SUM($FJ$4:FJ127))</f>
        <v>#N/A</v>
      </c>
      <c r="FL127" s="60">
        <f t="shared" si="190"/>
        <v>1.0904529078744207</v>
      </c>
      <c r="FM127" s="60">
        <f>IF($FL127="",#N/A,SUM($FL$4:FL127))</f>
        <v>3.8272590446323456</v>
      </c>
      <c r="FN127" s="82">
        <f t="shared" si="191"/>
        <v>0.93605249613998964</v>
      </c>
      <c r="FO127" s="82">
        <f>IF($FN127="",#N/A,SUM(FN$4:$FN127))</f>
        <v>32.98106368007771</v>
      </c>
      <c r="FP127" s="82">
        <f t="shared" si="211"/>
        <v>-0.15440041173443106</v>
      </c>
      <c r="FQ127" s="246">
        <f>IF($EH127="",#N/A,SUM($FP$4:FP127))</f>
        <v>22.135985022086306</v>
      </c>
      <c r="FR127" s="82">
        <f>IFERROR(FQ127/COUNTA($J$4:J127),#N/A)</f>
        <v>0.1785160082426315</v>
      </c>
      <c r="FS127" s="82" t="e">
        <f>IFERROR(($FQ127-#REF!)/COUNTA($J80:$J127),#N/A)</f>
        <v>#N/A</v>
      </c>
      <c r="FT127" s="82">
        <f t="shared" si="225"/>
        <v>0.11951721350257175</v>
      </c>
      <c r="FU127" s="337">
        <f>IF(AND(HB127="MOC",GZ127=""),#N/A,IFERROR(FQ127-HE127,FQ127-0))-14.53</f>
        <v>7.6424152295865557</v>
      </c>
      <c r="FV127" s="57" t="str">
        <f t="shared" si="192"/>
        <v>SW</v>
      </c>
      <c r="FW127" s="57" t="s">
        <v>2732</v>
      </c>
      <c r="FX127" s="57" t="str">
        <f t="shared" si="193"/>
        <v/>
      </c>
      <c r="FY127" s="57" t="str">
        <f t="shared" si="194"/>
        <v/>
      </c>
      <c r="FZ127" s="57" t="str">
        <f t="shared" si="195"/>
        <v/>
      </c>
      <c r="GA127" s="57" t="str">
        <f t="shared" si="196"/>
        <v>Long</v>
      </c>
      <c r="GB127" s="57" t="str">
        <f t="shared" si="197"/>
        <v/>
      </c>
      <c r="GC127" s="57" t="str">
        <f t="shared" si="198"/>
        <v/>
      </c>
      <c r="GD127" s="57">
        <f t="shared" si="199"/>
        <v>1</v>
      </c>
      <c r="GE127" s="62">
        <f t="shared" si="227"/>
        <v>155.44</v>
      </c>
      <c r="GF127" s="62" t="s">
        <v>2779</v>
      </c>
      <c r="GG127" s="199">
        <v>3</v>
      </c>
      <c r="GH127" s="207">
        <f t="shared" si="200"/>
        <v>466.32</v>
      </c>
      <c r="GI127" s="199">
        <v>3</v>
      </c>
      <c r="GJ127" s="200">
        <v>155</v>
      </c>
      <c r="GK127" s="63">
        <f t="shared" si="201"/>
        <v>-1.3199999999999932</v>
      </c>
      <c r="GL127" s="63">
        <f t="shared" si="228"/>
        <v>26.189999999999998</v>
      </c>
      <c r="GM127" s="82">
        <f t="shared" si="202"/>
        <v>0.93605249613998964</v>
      </c>
      <c r="GN127" s="82">
        <f>IF($GZ127="",#N/A,SUM(GM$4:GM127))</f>
        <v>14.139823122731144</v>
      </c>
      <c r="GO127" s="82" t="str">
        <f t="shared" si="203"/>
        <v/>
      </c>
      <c r="GP127" s="82">
        <f>IF($GZ127="",#N/A,SUM(GO$4:GO127))</f>
        <v>10.700262523032329</v>
      </c>
      <c r="GQ127" s="82" t="str">
        <f t="shared" si="204"/>
        <v/>
      </c>
      <c r="GR127" s="82">
        <f>IF($GZ127="",#N/A,SUM(GQ$4:GQ127))</f>
        <v>7.5151410798719009</v>
      </c>
      <c r="GS127" s="63" t="e">
        <f t="shared" si="212"/>
        <v>#N/A</v>
      </c>
      <c r="GT127" s="63" t="e">
        <f>IF($GZ127="",#N/A,SUM(GS$4:GS127))</f>
        <v>#N/A</v>
      </c>
      <c r="GU127" s="63" t="str">
        <f t="shared" si="213"/>
        <v/>
      </c>
      <c r="GV127" s="63" t="e">
        <f>IF($GZ127="",#N/A,SUM(GU$4:GU127))</f>
        <v>#N/A</v>
      </c>
      <c r="GW127" s="63" t="str">
        <f t="shared" si="214"/>
        <v/>
      </c>
      <c r="GX127" s="63" t="e">
        <f>IF($GZ127="",#N/A,SUM(GW$4:GW127))</f>
        <v>#N/A</v>
      </c>
      <c r="GY127" s="63" t="e">
        <f>IF(EJ127="",#N/A,SUM($EJ$4:EJ127))</f>
        <v>#N/A</v>
      </c>
      <c r="GZ127" s="159">
        <v>164.17</v>
      </c>
      <c r="HA127" s="63">
        <f t="shared" si="205"/>
        <v>30.509999999999991</v>
      </c>
      <c r="HB127" s="62" t="s">
        <v>2538</v>
      </c>
      <c r="HC127" s="60">
        <f>IFERROR(VLOOKUP(E127,Expectancy!$P$4:$S$19,1+C127,FALSE),"")</f>
        <v>-0.15084750675779673</v>
      </c>
      <c r="HD127" s="82">
        <f t="shared" si="206"/>
        <v>-4.7177903585520431E-2</v>
      </c>
      <c r="HE127" s="60">
        <f>IF(HD127="",#N/A,SUM($HD$4:HD127))</f>
        <v>-3.6430207500249945E-2</v>
      </c>
      <c r="HF127" s="85">
        <f>IF(HD127="",#N/A,IF(HB127="Skip",#N/A,SUM($HG$4:HG127)))</f>
        <v>16.240000000000009</v>
      </c>
      <c r="HG127" s="63">
        <f t="shared" si="207"/>
        <v>-1.3199999999999932</v>
      </c>
      <c r="HH127" s="82">
        <f t="shared" si="208"/>
        <v>0.93605249613998964</v>
      </c>
    </row>
    <row r="128" spans="1:216" x14ac:dyDescent="0.25">
      <c r="A128" s="57" t="s">
        <v>1565</v>
      </c>
      <c r="B128" s="58" t="s">
        <v>5164</v>
      </c>
      <c r="C128" s="386">
        <f t="shared" si="118"/>
        <v>2</v>
      </c>
      <c r="D128" s="372" t="str">
        <f>_xlfn.XLOOKUP(A128,[1]SP500!$A$2:$A$502,[1]SP500!$D$2:$D$502,"N")</f>
        <v>Y</v>
      </c>
      <c r="E128" s="57" t="str">
        <f>_xlfn.XLOOKUP(A128,[1]SP500!$A$2:$A$655,[1]SP500!$B$2:$B$655)</f>
        <v>XLB</v>
      </c>
      <c r="F128" s="59">
        <v>45687</v>
      </c>
      <c r="G128" s="57" t="str">
        <f t="shared" si="119"/>
        <v>BMO</v>
      </c>
      <c r="H128" s="57" t="str">
        <f t="shared" si="120"/>
        <v>s</v>
      </c>
      <c r="I128" s="159">
        <v>192.91</v>
      </c>
      <c r="J128" s="159">
        <v>187.04</v>
      </c>
      <c r="K128" s="61">
        <f t="shared" si="121"/>
        <v>-3.0428697319993803E-2</v>
      </c>
      <c r="L128" s="87">
        <f t="shared" si="122"/>
        <v>11.740000000000009</v>
      </c>
      <c r="M128" s="130">
        <f t="shared" si="226"/>
        <v>1.8599999999999568</v>
      </c>
      <c r="N128" s="169" t="str">
        <f t="shared" si="123"/>
        <v/>
      </c>
      <c r="O128" s="169">
        <f>IF($J128="",#N/A,SUM($N$4:N128))</f>
        <v>215.8095853421637</v>
      </c>
      <c r="P128" s="174">
        <f t="shared" si="124"/>
        <v>11.740000000000009</v>
      </c>
      <c r="Q128" s="174">
        <f>IF($J128="",#N/A,SUM($P$4:P128))</f>
        <v>132.6210402377265</v>
      </c>
      <c r="R128" s="178" t="str">
        <f t="shared" si="125"/>
        <v/>
      </c>
      <c r="S128" s="178">
        <f>IF($J128="",#N/A,SUM($R$4:R128))</f>
        <v>227.69880729157518</v>
      </c>
      <c r="T128" s="290" t="str">
        <f t="shared" si="126"/>
        <v/>
      </c>
      <c r="U128" s="290">
        <f>IF($J128="",#N/A,SUM($T$4:T128))</f>
        <v>7.6560773349235101</v>
      </c>
      <c r="V128" s="291">
        <f t="shared" si="127"/>
        <v>0.50714495533323001</v>
      </c>
      <c r="W128" s="291">
        <f>IF($J128="",#N/A,SUM($V$4:V128))</f>
        <v>5.6478621523551391</v>
      </c>
      <c r="X128" s="292" t="str">
        <f t="shared" si="128"/>
        <v/>
      </c>
      <c r="Y128" s="283">
        <f>IF($J128="",#N/A,SUM($X$4:X128))</f>
        <v>9.339190490140874</v>
      </c>
      <c r="Z128" s="304" t="str">
        <f t="shared" si="129"/>
        <v/>
      </c>
      <c r="AA128" s="313" t="e">
        <f>IF($J128="",#N/A,SUM(Z$4:Z128))</f>
        <v>#N/A</v>
      </c>
      <c r="AB128" s="314" t="str">
        <f t="shared" si="130"/>
        <v/>
      </c>
      <c r="AC128" s="314" t="e">
        <f>IF($J128="",#N/A,SUM(AB$4:AB128))</f>
        <v>#N/A</v>
      </c>
      <c r="AD128" s="315" t="str">
        <f t="shared" si="131"/>
        <v/>
      </c>
      <c r="AE128" s="315" t="e">
        <f>IF($J128="",#N/A,SUM(AD$4:AD128))</f>
        <v>#N/A</v>
      </c>
      <c r="AF128" s="315" t="e">
        <f>IF($J128="",#N/A,SUM(AD$4:AD128,AB$4:AB128,Z$4:Z128))</f>
        <v>#N/A</v>
      </c>
      <c r="AG128" s="304" t="str">
        <f t="shared" si="132"/>
        <v/>
      </c>
      <c r="AH128" s="313" t="e">
        <f>IF($J128="",#N/A,SUM(AG$4:AG128))</f>
        <v>#N/A</v>
      </c>
      <c r="AI128" s="314" t="str">
        <f t="shared" si="133"/>
        <v/>
      </c>
      <c r="AJ128" s="314" t="e">
        <f>IF($J128="",#N/A,SUM(AI$4:AI128))</f>
        <v>#N/A</v>
      </c>
      <c r="AK128" s="315" t="str">
        <f t="shared" si="134"/>
        <v/>
      </c>
      <c r="AL128" s="315" t="e">
        <f>IF($J128="",#N/A,SUM(AK$4:AK128))</f>
        <v>#N/A</v>
      </c>
      <c r="AM128" s="315" t="e">
        <f>IF($J128="",#N/A,SUM(AK$4:AK128,AI$4:AI128,AG$4:AG128))</f>
        <v>#N/A</v>
      </c>
      <c r="AN128" s="304" t="str">
        <f t="shared" si="135"/>
        <v/>
      </c>
      <c r="AO128" s="313" t="e">
        <f>IF($J128="",#N/A,SUM(AN$4:AN128))</f>
        <v>#N/A</v>
      </c>
      <c r="AP128" s="314" t="str">
        <f t="shared" si="136"/>
        <v/>
      </c>
      <c r="AQ128" s="314" t="e">
        <f>IF($J128="",#N/A,SUM(AP$4:AP128))</f>
        <v>#N/A</v>
      </c>
      <c r="AR128" s="315" t="str">
        <f t="shared" si="137"/>
        <v/>
      </c>
      <c r="AS128" s="315" t="e">
        <f>IF($J128="",#N/A,SUM(AR$4:AR128))</f>
        <v>#N/A</v>
      </c>
      <c r="AT128" s="315" t="e">
        <f>IF($J128="",#N/A,SUM(AR$4:AR128,AP$4:AP128,AN$4:AN128))</f>
        <v>#N/A</v>
      </c>
      <c r="AU128" s="304" t="str">
        <f t="shared" si="138"/>
        <v/>
      </c>
      <c r="AV128" s="313" t="e">
        <f>IF($J128="",#N/A,SUM(AU$4:AU128))</f>
        <v>#N/A</v>
      </c>
      <c r="AW128" s="314" t="str">
        <f t="shared" si="139"/>
        <v/>
      </c>
      <c r="AX128" s="314" t="e">
        <f>IF($J128="",#N/A,SUM(AW$4:AW128))</f>
        <v>#N/A</v>
      </c>
      <c r="AY128" s="315" t="str">
        <f t="shared" si="140"/>
        <v/>
      </c>
      <c r="AZ128" s="315" t="e">
        <f>IF($J128="",#N/A,SUM(AY$4:AY128))</f>
        <v>#N/A</v>
      </c>
      <c r="BA128" s="315" t="e">
        <f>IF($J128="",#N/A,SUM(AY$4:AY128,AW$4:AW128,AU$4:AU128))</f>
        <v>#N/A</v>
      </c>
      <c r="BB128" s="304" t="str">
        <f t="shared" si="141"/>
        <v/>
      </c>
      <c r="BC128" s="313" t="e">
        <f>IF($J128="",#N/A,SUM(BB$4:BB128))</f>
        <v>#N/A</v>
      </c>
      <c r="BD128" s="314" t="str">
        <f t="shared" si="142"/>
        <v/>
      </c>
      <c r="BE128" s="314" t="e">
        <f>IF($J128="",#N/A,SUM(BD$4:BD128))</f>
        <v>#N/A</v>
      </c>
      <c r="BF128" s="315" t="str">
        <f t="shared" si="143"/>
        <v/>
      </c>
      <c r="BG128" s="315" t="e">
        <f>IF($J128="",#N/A,SUM(BF$4:BF128))</f>
        <v>#N/A</v>
      </c>
      <c r="BH128" s="315" t="e">
        <f>IF($J128="",#N/A,SUM(BF$4:BF128,BD$4:BD128,BB$4:BB128))</f>
        <v>#N/A</v>
      </c>
      <c r="BI128" s="304" t="str">
        <f t="shared" si="144"/>
        <v/>
      </c>
      <c r="BJ128" s="313" t="e">
        <f>IF($J128="",#N/A,SUM(BI$4:BI128))</f>
        <v>#N/A</v>
      </c>
      <c r="BK128" s="314" t="str">
        <f t="shared" si="145"/>
        <v/>
      </c>
      <c r="BL128" s="314" t="e">
        <f>IF($J128="",#N/A,SUM(BK$4:BK128))</f>
        <v>#N/A</v>
      </c>
      <c r="BM128" s="315" t="str">
        <f t="shared" si="146"/>
        <v/>
      </c>
      <c r="BN128" s="315" t="e">
        <f>IF($J128="",#N/A,SUM(BM$4:BM128))</f>
        <v>#N/A</v>
      </c>
      <c r="BO128" s="315" t="e">
        <f>IF($J128="",#N/A,SUM(BM$4:BM128,BK$4:BK128,BI$4:BI128))</f>
        <v>#N/A</v>
      </c>
      <c r="BP128" s="304" t="str">
        <f t="shared" si="147"/>
        <v/>
      </c>
      <c r="BQ128" s="313" t="e">
        <f>IF($J128="",#N/A,SUM(BP$4:BP128))</f>
        <v>#N/A</v>
      </c>
      <c r="BR128" s="314" t="str">
        <f t="shared" si="148"/>
        <v/>
      </c>
      <c r="BS128" s="314" t="e">
        <f>IF($J128="",#N/A,SUM(BR$4:BR128))</f>
        <v>#N/A</v>
      </c>
      <c r="BT128" s="315" t="str">
        <f t="shared" si="149"/>
        <v/>
      </c>
      <c r="BU128" s="315" t="e">
        <f>IF($J128="",#N/A,SUM(BT$4:BT128))</f>
        <v>#N/A</v>
      </c>
      <c r="BV128" s="315" t="e">
        <f>IF($J128="",#N/A,SUM(BT$4:BT128,BR$4:BR128,BP$4:BP128))</f>
        <v>#N/A</v>
      </c>
      <c r="BW128" s="304" t="str">
        <f t="shared" si="150"/>
        <v/>
      </c>
      <c r="BX128" s="313" t="e">
        <f>IF($J128="",#N/A,SUM(BW$4:BW128))</f>
        <v>#N/A</v>
      </c>
      <c r="BY128" s="314" t="str">
        <f t="shared" si="151"/>
        <v/>
      </c>
      <c r="BZ128" s="314" t="e">
        <f>IF($J128="",#N/A,SUM(BY$4:BY128))</f>
        <v>#N/A</v>
      </c>
      <c r="CA128" s="315" t="str">
        <f t="shared" si="152"/>
        <v/>
      </c>
      <c r="CB128" s="315" t="e">
        <f>IF($J128="",#N/A,SUM(CA$4:CA128))</f>
        <v>#N/A</v>
      </c>
      <c r="CC128" s="315" t="e">
        <f>IF($J128="",#N/A,SUM(CA$4:CA128,BY$4:BY128,BW$4:BW128))</f>
        <v>#N/A</v>
      </c>
      <c r="CD128" s="304" t="str">
        <f t="shared" si="153"/>
        <v/>
      </c>
      <c r="CE128" s="313" t="e">
        <f>IF($J128="",#N/A,SUM(CD$4:CD128))</f>
        <v>#N/A</v>
      </c>
      <c r="CF128" s="314">
        <f t="shared" si="154"/>
        <v>0.50714495533323001</v>
      </c>
      <c r="CG128" s="314" t="e">
        <f>IF($J128="",#N/A,SUM(CF$4:CF128))</f>
        <v>#N/A</v>
      </c>
      <c r="CH128" s="315" t="str">
        <f t="shared" si="155"/>
        <v/>
      </c>
      <c r="CI128" s="315" t="e">
        <f>IF($J128="",#N/A,SUM(CH$4:CH128))</f>
        <v>#N/A</v>
      </c>
      <c r="CJ128" s="315" t="e">
        <f>IF($J128="",#N/A,SUM(CH$4:CH128,CF$4:CF128,CD$4:CD128))</f>
        <v>#N/A</v>
      </c>
      <c r="CK128" s="304" t="str">
        <f t="shared" si="156"/>
        <v/>
      </c>
      <c r="CL128" s="313" t="e">
        <f>IF($J128="",#N/A,SUM(CK$4:CK128))</f>
        <v>#N/A</v>
      </c>
      <c r="CM128" s="314" t="str">
        <f t="shared" si="157"/>
        <v/>
      </c>
      <c r="CN128" s="314" t="e">
        <f>IF($J128="",#N/A,SUM(CM$4:CM128))</f>
        <v>#N/A</v>
      </c>
      <c r="CO128" s="315" t="str">
        <f t="shared" si="158"/>
        <v/>
      </c>
      <c r="CP128" s="315" t="e">
        <f>IF($J128="",#N/A,SUM(CO$4:CO128))</f>
        <v>#N/A</v>
      </c>
      <c r="CQ128" s="315" t="e">
        <f>IF($J128="",#N/A,SUM(CO$4:CO128,CM$4:CM128,CK$4:CK128))</f>
        <v>#N/A</v>
      </c>
      <c r="CR128" s="304" t="str">
        <f t="shared" si="159"/>
        <v/>
      </c>
      <c r="CS128" s="313" t="e">
        <f>IF($J128="",#N/A,SUM(CR$4:CR128))</f>
        <v>#N/A</v>
      </c>
      <c r="CT128" s="314" t="str">
        <f t="shared" si="160"/>
        <v/>
      </c>
      <c r="CU128" s="314" t="e">
        <f>IF($J128="",#N/A,SUM(CT$4:CT128))</f>
        <v>#N/A</v>
      </c>
      <c r="CV128" s="315" t="str">
        <f t="shared" si="161"/>
        <v/>
      </c>
      <c r="CW128" s="315" t="e">
        <f>IF($J128="",#N/A,SUM(CV$4:CV128))</f>
        <v>#N/A</v>
      </c>
      <c r="CX128" s="315" t="e">
        <f>IF($J128="",#N/A,SUM(CV$4:CV128,CT$4:CT128,CR$4:CR128))</f>
        <v>#N/A</v>
      </c>
      <c r="CY128" s="304" t="str">
        <f t="shared" si="162"/>
        <v/>
      </c>
      <c r="CZ128" s="313" t="e">
        <f>IF($J128="",#N/A,SUM(CY$4:CY128))</f>
        <v>#N/A</v>
      </c>
      <c r="DA128" s="314" t="str">
        <f t="shared" si="163"/>
        <v/>
      </c>
      <c r="DB128" s="314" t="e">
        <f>IF($J128="",#N/A,SUM(DA$4:DA128))</f>
        <v>#N/A</v>
      </c>
      <c r="DC128" s="315" t="str">
        <f t="shared" si="164"/>
        <v/>
      </c>
      <c r="DD128" s="315" t="e">
        <f>IF($J128="",#N/A,SUM(DC$4:DC128))</f>
        <v>#N/A</v>
      </c>
      <c r="DE128" s="315" t="e">
        <f>IF($J128="",#N/A,SUM(DC$4:DC128,DA$4:DA128,CY$4:CY128))</f>
        <v>#N/A</v>
      </c>
      <c r="DF128" s="304" t="str">
        <f t="shared" si="165"/>
        <v/>
      </c>
      <c r="DG128" s="313" t="e">
        <f>IF($J128="",#N/A,SUM(DF$4:DF128))</f>
        <v>#N/A</v>
      </c>
      <c r="DH128" s="314" t="str">
        <f t="shared" si="166"/>
        <v/>
      </c>
      <c r="DI128" s="314" t="e">
        <f>IF($J128="",#N/A,SUM(DH$4:DH128))</f>
        <v>#N/A</v>
      </c>
      <c r="DJ128" s="315" t="str">
        <f t="shared" si="167"/>
        <v/>
      </c>
      <c r="DK128" s="315" t="e">
        <f>IF($J128="",#N/A,SUM(DJ$4:DJ128))</f>
        <v>#N/A</v>
      </c>
      <c r="DL128" s="315" t="e">
        <f>IF($J128="",#N/A,SUM(DJ$4:DJ128,DH$4:DH128,DF$4:DF128))</f>
        <v>#N/A</v>
      </c>
      <c r="DM128" s="304" t="str">
        <f t="shared" si="168"/>
        <v/>
      </c>
      <c r="DN128" s="313" t="e">
        <f>IF($J128="",#N/A,SUM(DM$4:DM128))</f>
        <v>#N/A</v>
      </c>
      <c r="DO128" s="314" t="str">
        <f t="shared" si="169"/>
        <v/>
      </c>
      <c r="DP128" s="314" t="e">
        <f>IF($J128="",#N/A,SUM(DO$4:DO128))</f>
        <v>#N/A</v>
      </c>
      <c r="DQ128" s="315" t="str">
        <f t="shared" si="170"/>
        <v/>
      </c>
      <c r="DR128" s="315" t="e">
        <f>IF($J128="",#N/A,SUM(DQ$4:DQ128))</f>
        <v>#N/A</v>
      </c>
      <c r="DS128" s="315" t="e">
        <f>IF($J128="",#N/A,SUM(DQ$4:DQ128,DO$4:DO128,DM$4:DM128))</f>
        <v>#N/A</v>
      </c>
      <c r="DT128" s="304" t="str">
        <f t="shared" si="171"/>
        <v/>
      </c>
      <c r="DU128" s="313" t="e">
        <f>IF($J128="",#N/A,SUM(DT$4:DT128))</f>
        <v>#N/A</v>
      </c>
      <c r="DV128" s="314" t="str">
        <f t="shared" si="172"/>
        <v/>
      </c>
      <c r="DW128" s="314" t="e">
        <f>IF($J128="",#N/A,SUM(DV$4:DV128))</f>
        <v>#N/A</v>
      </c>
      <c r="DX128" s="315" t="str">
        <f t="shared" si="173"/>
        <v/>
      </c>
      <c r="DY128" s="315" t="e">
        <f>IF($J128="",#N/A,SUM(DX$4:DX128))</f>
        <v>#N/A</v>
      </c>
      <c r="DZ128" s="315" t="e">
        <f>IF($J128="",#N/A,SUM(DX$4:DX128,DV$4:DV128,DT$4:DT128))</f>
        <v>#N/A</v>
      </c>
      <c r="EA128" s="304" t="str">
        <f t="shared" si="174"/>
        <v/>
      </c>
      <c r="EB128" s="313" t="e">
        <f>IF($J128="",#N/A,SUM(EA$4:EA128))</f>
        <v>#N/A</v>
      </c>
      <c r="EC128" s="314" t="str">
        <f t="shared" si="175"/>
        <v/>
      </c>
      <c r="ED128" s="314" t="e">
        <f>IF($J128="",#N/A,SUM(EC$4:EC128))</f>
        <v>#N/A</v>
      </c>
      <c r="EE128" s="315" t="str">
        <f t="shared" si="176"/>
        <v/>
      </c>
      <c r="EF128" s="315" t="e">
        <f>IF($J128="",#N/A,SUM(EE$4:EE128))</f>
        <v>#N/A</v>
      </c>
      <c r="EG128" s="315" t="e">
        <f>IF($J128="",#N/A,SUM(EE$4:EE128,EC$4:EC128,EA$4:EA128))</f>
        <v>#N/A</v>
      </c>
      <c r="EH128" s="130">
        <f t="shared" si="177"/>
        <v>11.740000000000009</v>
      </c>
      <c r="EI128" s="63">
        <f>IF(EH128="",#N/A,SUM($EH$4:EH128))</f>
        <v>576.1294328714655</v>
      </c>
      <c r="EJ128" s="223" t="e">
        <f t="shared" si="178"/>
        <v>#N/A</v>
      </c>
      <c r="EK128" s="63" t="e">
        <f>IF($GZ128="",#N/A,SUM(EJ$4:EJ128))</f>
        <v>#N/A</v>
      </c>
      <c r="EL128" s="60">
        <f t="shared" si="209"/>
        <v>0.50714495533323001</v>
      </c>
      <c r="EM128" s="60">
        <f>IF(EL128="",NA(),SUM($EL$4:EL128))</f>
        <v>21.571490477400552</v>
      </c>
      <c r="EN128" s="60" t="str">
        <f t="shared" si="179"/>
        <v/>
      </c>
      <c r="EO128" s="60" t="e">
        <f>IF(EN128="",NA(),SUM($EN$4:EN128))</f>
        <v>#N/A</v>
      </c>
      <c r="EP128" s="60" t="str">
        <f t="shared" si="180"/>
        <v/>
      </c>
      <c r="EQ128" s="60" t="e">
        <f>IF(EP128="",NA(),SUM($EP$4:EP128))</f>
        <v>#N/A</v>
      </c>
      <c r="ER128" s="60">
        <f t="shared" si="181"/>
        <v>0.50714495533323001</v>
      </c>
      <c r="ES128" s="60">
        <f>IF(ER128="",NA(),SUM($ER$4:ER128))</f>
        <v>4.9454666996551797</v>
      </c>
      <c r="ET128" s="60" t="str">
        <f t="shared" si="182"/>
        <v/>
      </c>
      <c r="EU128" s="60" t="e">
        <f>IF(ET128="",NA(),SUM($ET$4:ET128))</f>
        <v>#N/A</v>
      </c>
      <c r="EV128" s="60" t="str">
        <f t="shared" si="183"/>
        <v/>
      </c>
      <c r="EW128" s="60" t="e">
        <f>IF(EV128="",NA(),SUM($EV$4:EV128))</f>
        <v>#N/A</v>
      </c>
      <c r="EX128" s="60" t="str">
        <f t="shared" si="184"/>
        <v/>
      </c>
      <c r="EY128" s="60" t="e">
        <f>IF(EX128="",NA(),SUM($EX$4:EX128))</f>
        <v>#N/A</v>
      </c>
      <c r="EZ128" s="60" t="str">
        <f t="shared" si="185"/>
        <v/>
      </c>
      <c r="FA128" s="60" t="e">
        <f>IF(EZ128="",NA(),SUM($EZ$4:EZ128))</f>
        <v>#N/A</v>
      </c>
      <c r="FB128" s="246">
        <f t="shared" si="210"/>
        <v>0.39310213743887334</v>
      </c>
      <c r="FC128" s="246">
        <f>IF($FB128="",#N/A,SUM(FB$4:$FB128))</f>
        <v>2.4479613608400959</v>
      </c>
      <c r="FD128" s="60" t="str">
        <f t="shared" si="186"/>
        <v/>
      </c>
      <c r="FE128" s="60" t="e">
        <f>IF($FD128="",#N/A,SUM($FD$4:FD128))</f>
        <v>#N/A</v>
      </c>
      <c r="FF128" s="60" t="str">
        <f t="shared" si="187"/>
        <v/>
      </c>
      <c r="FG128" s="60" t="e">
        <f>IF($FF128="",#N/A,SUM($FF$4:FF128))</f>
        <v>#N/A</v>
      </c>
      <c r="FH128" s="60" t="str">
        <f t="shared" si="188"/>
        <v/>
      </c>
      <c r="FI128" s="60" t="e">
        <f>IF($FH128="",#N/A,SUM($FH$4:FH128))</f>
        <v>#N/A</v>
      </c>
      <c r="FJ128" s="60" t="str">
        <f t="shared" si="189"/>
        <v/>
      </c>
      <c r="FK128" s="60" t="e">
        <f>IF($FJ128="",#N/A,SUM($FJ$4:FJ128))</f>
        <v>#N/A</v>
      </c>
      <c r="FL128" s="60" t="str">
        <f t="shared" si="190"/>
        <v/>
      </c>
      <c r="FM128" s="60" t="e">
        <f>IF($FL128="",#N/A,SUM($FL$4:FL128))</f>
        <v>#N/A</v>
      </c>
      <c r="FN128" s="82">
        <f t="shared" si="191"/>
        <v>0.90024709277210335</v>
      </c>
      <c r="FO128" s="82">
        <f>IF($FN128="",#N/A,SUM(FN$4:$FN128))</f>
        <v>33.881310772849815</v>
      </c>
      <c r="FP128" s="82">
        <f t="shared" si="211"/>
        <v>0.50714495533323001</v>
      </c>
      <c r="FQ128" s="246">
        <f>IF($EH128="",#N/A,SUM($FP$4:FP128))</f>
        <v>22.643129977419537</v>
      </c>
      <c r="FR128" s="82">
        <f>IFERROR(FQ128/COUNTA($J$4:J128),#N/A)</f>
        <v>0.18114503981935631</v>
      </c>
      <c r="FS128" s="82">
        <f t="shared" ref="FS128:FS134" si="229">IFERROR(($FQ128-$FQ80)/COUNTA($J80:$J128),#N/A)</f>
        <v>7.8641514882214811E-2</v>
      </c>
      <c r="FT128" s="82">
        <f t="shared" si="225"/>
        <v>0.12018078487251344</v>
      </c>
      <c r="FU128" s="337">
        <f>IF(AND(HB128="MOC",GZ128=""),#N/A,IFERROR(FQ128-HE128,FQ128-0))-14.53</f>
        <v>7.5620668806155376</v>
      </c>
      <c r="FV128" s="57" t="str">
        <f t="shared" si="192"/>
        <v>Dwn</v>
      </c>
      <c r="FW128" s="57" t="s">
        <v>2733</v>
      </c>
      <c r="FX128" s="57" t="str">
        <f t="shared" si="193"/>
        <v/>
      </c>
      <c r="FY128" s="57" t="str">
        <f t="shared" si="194"/>
        <v/>
      </c>
      <c r="FZ128" s="57" t="str">
        <f t="shared" si="195"/>
        <v/>
      </c>
      <c r="GA128" s="57" t="str">
        <f t="shared" si="196"/>
        <v>Short</v>
      </c>
      <c r="GB128" s="57">
        <f t="shared" si="197"/>
        <v>1</v>
      </c>
      <c r="GC128" s="57" t="str">
        <f t="shared" si="198"/>
        <v/>
      </c>
      <c r="GD128" s="57" t="str">
        <f t="shared" si="199"/>
        <v/>
      </c>
      <c r="GE128" s="62">
        <f t="shared" si="227"/>
        <v>192.91</v>
      </c>
      <c r="GF128" s="62" t="s">
        <v>2780</v>
      </c>
      <c r="GG128" s="199">
        <v>2</v>
      </c>
      <c r="GH128" s="207">
        <f t="shared" si="200"/>
        <v>385.82</v>
      </c>
      <c r="GI128" s="199">
        <v>2</v>
      </c>
      <c r="GJ128" s="200">
        <v>186.11</v>
      </c>
      <c r="GK128" s="63">
        <f t="shared" si="201"/>
        <v>13.599999999999966</v>
      </c>
      <c r="GL128" s="63">
        <f t="shared" si="228"/>
        <v>20.839999999999975</v>
      </c>
      <c r="GM128" s="82" t="str">
        <f t="shared" si="202"/>
        <v/>
      </c>
      <c r="GN128" s="82">
        <f>IF($GZ128="",#N/A,SUM(GM$4:GM128))</f>
        <v>14.139823122731144</v>
      </c>
      <c r="GO128" s="82" t="str">
        <f t="shared" si="203"/>
        <v/>
      </c>
      <c r="GP128" s="82">
        <f>IF($GZ128="",#N/A,SUM(GO$4:GO128))</f>
        <v>10.700262523032329</v>
      </c>
      <c r="GQ128" s="82">
        <f t="shared" si="204"/>
        <v>0.90024709277210335</v>
      </c>
      <c r="GR128" s="82">
        <f>IF($GZ128="",#N/A,SUM(GQ$4:GQ128))</f>
        <v>8.4153881726440041</v>
      </c>
      <c r="GS128" s="63" t="str">
        <f t="shared" si="212"/>
        <v/>
      </c>
      <c r="GT128" s="63" t="e">
        <f>IF($GZ128="",#N/A,SUM(GS$4:GS128))</f>
        <v>#N/A</v>
      </c>
      <c r="GU128" s="63" t="str">
        <f t="shared" si="213"/>
        <v/>
      </c>
      <c r="GV128" s="63" t="e">
        <f>IF($GZ128="",#N/A,SUM(GU$4:GU128))</f>
        <v>#N/A</v>
      </c>
      <c r="GW128" s="63" t="e">
        <f t="shared" si="214"/>
        <v>#N/A</v>
      </c>
      <c r="GX128" s="63" t="e">
        <f>IF($GZ128="",#N/A,SUM(GW$4:GW128))</f>
        <v>#N/A</v>
      </c>
      <c r="GY128" s="63" t="e">
        <f>IF(EJ128="",#N/A,SUM($EJ$4:EJ128))</f>
        <v>#N/A</v>
      </c>
      <c r="GZ128" s="159">
        <v>182.49</v>
      </c>
      <c r="HA128" s="63">
        <f t="shared" si="205"/>
        <v>9.0999999999999659</v>
      </c>
      <c r="HB128" s="62" t="s">
        <v>2538</v>
      </c>
      <c r="HC128" s="60">
        <f>IFERROR(VLOOKUP(E128,Expectancy!$P$4:$S$19,1+C128,FALSE),"")</f>
        <v>0.73529829292760662</v>
      </c>
      <c r="HD128" s="82">
        <f t="shared" si="206"/>
        <v>0.58749330430425095</v>
      </c>
      <c r="HE128" s="60">
        <f>IF(HD128="",#N/A,SUM($HD$4:HD128))</f>
        <v>0.55106309680400101</v>
      </c>
      <c r="HF128" s="85">
        <f>IF(HD128="",#N/A,IF(HB128="Skip",#N/A,SUM($HG$4:HG128)))</f>
        <v>29.839999999999975</v>
      </c>
      <c r="HG128" s="63">
        <f t="shared" si="207"/>
        <v>13.599999999999966</v>
      </c>
      <c r="HH128" s="82">
        <f t="shared" si="208"/>
        <v>0.90024709277210335</v>
      </c>
    </row>
    <row r="129" spans="1:216" x14ac:dyDescent="0.25">
      <c r="A129" s="57" t="s">
        <v>1597</v>
      </c>
      <c r="B129" s="58" t="s">
        <v>5159</v>
      </c>
      <c r="C129" s="386">
        <f t="shared" si="118"/>
        <v>2</v>
      </c>
      <c r="D129" s="372" t="str">
        <f>_xlfn.XLOOKUP(A129,[1]SP500!$A$2:$A$502,[1]SP500!$D$2:$D$502,"N")</f>
        <v>Y</v>
      </c>
      <c r="E129" s="57" t="str">
        <f>_xlfn.XLOOKUP(A129,[1]SP500!$A$2:$A$655,[1]SP500!$B$2:$B$655)</f>
        <v>XHB</v>
      </c>
      <c r="F129" s="59">
        <v>45687</v>
      </c>
      <c r="G129" s="57" t="str">
        <f t="shared" si="119"/>
        <v>BMO</v>
      </c>
      <c r="H129" s="57" t="str">
        <f t="shared" si="120"/>
        <v>s</v>
      </c>
      <c r="I129" s="159">
        <v>69.22</v>
      </c>
      <c r="J129" s="159">
        <v>66.510000000000005</v>
      </c>
      <c r="K129" s="61">
        <f t="shared" si="121"/>
        <v>-3.9150534527593095E-2</v>
      </c>
      <c r="L129" s="87">
        <f t="shared" si="122"/>
        <v>16.259999999999934</v>
      </c>
      <c r="M129" s="130">
        <f t="shared" si="226"/>
        <v>-4.4399999999999409</v>
      </c>
      <c r="N129" s="169" t="str">
        <f t="shared" si="123"/>
        <v/>
      </c>
      <c r="O129" s="169">
        <f>IF($J129="",#N/A,SUM($N$4:N129))</f>
        <v>215.8095853421637</v>
      </c>
      <c r="P129" s="174">
        <f t="shared" si="124"/>
        <v>16.259999999999934</v>
      </c>
      <c r="Q129" s="174">
        <f>IF($J129="",#N/A,SUM($P$4:P129))</f>
        <v>148.88104023772644</v>
      </c>
      <c r="R129" s="178" t="str">
        <f t="shared" si="125"/>
        <v/>
      </c>
      <c r="S129" s="178">
        <f>IF($J129="",#N/A,SUM($R$4:R129))</f>
        <v>227.69880729157518</v>
      </c>
      <c r="T129" s="290" t="str">
        <f t="shared" si="126"/>
        <v/>
      </c>
      <c r="U129" s="290">
        <f>IF($J129="",#N/A,SUM($T$4:T129))</f>
        <v>7.6560773349235101</v>
      </c>
      <c r="V129" s="291">
        <f t="shared" si="127"/>
        <v>0.65250890879321699</v>
      </c>
      <c r="W129" s="291">
        <f>IF($J129="",#N/A,SUM($V$4:V129))</f>
        <v>6.3003710611483559</v>
      </c>
      <c r="X129" s="292" t="str">
        <f t="shared" si="128"/>
        <v/>
      </c>
      <c r="Y129" s="283">
        <f>IF($J129="",#N/A,SUM($X$4:X129))</f>
        <v>9.339190490140874</v>
      </c>
      <c r="Z129" s="304" t="str">
        <f t="shared" si="129"/>
        <v/>
      </c>
      <c r="AA129" s="313" t="e">
        <f>IF($J129="",#N/A,SUM(Z$4:Z129))</f>
        <v>#N/A</v>
      </c>
      <c r="AB129" s="314" t="str">
        <f t="shared" si="130"/>
        <v/>
      </c>
      <c r="AC129" s="314" t="e">
        <f>IF($J129="",#N/A,SUM(AB$4:AB129))</f>
        <v>#N/A</v>
      </c>
      <c r="AD129" s="315" t="str">
        <f t="shared" si="131"/>
        <v/>
      </c>
      <c r="AE129" s="315" t="e">
        <f>IF($J129="",#N/A,SUM(AD$4:AD129))</f>
        <v>#N/A</v>
      </c>
      <c r="AF129" s="315" t="e">
        <f>IF($J129="",#N/A,SUM(AD$4:AD129,AB$4:AB129,Z$4:Z129))</f>
        <v>#N/A</v>
      </c>
      <c r="AG129" s="304" t="str">
        <f t="shared" si="132"/>
        <v/>
      </c>
      <c r="AH129" s="313" t="e">
        <f>IF($J129="",#N/A,SUM(AG$4:AG129))</f>
        <v>#N/A</v>
      </c>
      <c r="AI129" s="314" t="str">
        <f t="shared" si="133"/>
        <v/>
      </c>
      <c r="AJ129" s="314" t="e">
        <f>IF($J129="",#N/A,SUM(AI$4:AI129))</f>
        <v>#N/A</v>
      </c>
      <c r="AK129" s="315" t="str">
        <f t="shared" si="134"/>
        <v/>
      </c>
      <c r="AL129" s="315" t="e">
        <f>IF($J129="",#N/A,SUM(AK$4:AK129))</f>
        <v>#N/A</v>
      </c>
      <c r="AM129" s="315" t="e">
        <f>IF($J129="",#N/A,SUM(AK$4:AK129,AI$4:AI129,AG$4:AG129))</f>
        <v>#N/A</v>
      </c>
      <c r="AN129" s="304" t="str">
        <f t="shared" si="135"/>
        <v/>
      </c>
      <c r="AO129" s="313" t="e">
        <f>IF($J129="",#N/A,SUM(AN$4:AN129))</f>
        <v>#N/A</v>
      </c>
      <c r="AP129" s="314" t="str">
        <f t="shared" si="136"/>
        <v/>
      </c>
      <c r="AQ129" s="314" t="e">
        <f>IF($J129="",#N/A,SUM(AP$4:AP129))</f>
        <v>#N/A</v>
      </c>
      <c r="AR129" s="315" t="str">
        <f t="shared" si="137"/>
        <v/>
      </c>
      <c r="AS129" s="315" t="e">
        <f>IF($J129="",#N/A,SUM(AR$4:AR129))</f>
        <v>#N/A</v>
      </c>
      <c r="AT129" s="315" t="e">
        <f>IF($J129="",#N/A,SUM(AR$4:AR129,AP$4:AP129,AN$4:AN129))</f>
        <v>#N/A</v>
      </c>
      <c r="AU129" s="304" t="str">
        <f t="shared" si="138"/>
        <v/>
      </c>
      <c r="AV129" s="313" t="e">
        <f>IF($J129="",#N/A,SUM(AU$4:AU129))</f>
        <v>#N/A</v>
      </c>
      <c r="AW129" s="314" t="str">
        <f t="shared" si="139"/>
        <v/>
      </c>
      <c r="AX129" s="314" t="e">
        <f>IF($J129="",#N/A,SUM(AW$4:AW129))</f>
        <v>#N/A</v>
      </c>
      <c r="AY129" s="315" t="str">
        <f t="shared" si="140"/>
        <v/>
      </c>
      <c r="AZ129" s="315" t="e">
        <f>IF($J129="",#N/A,SUM(AY$4:AY129))</f>
        <v>#N/A</v>
      </c>
      <c r="BA129" s="315" t="e">
        <f>IF($J129="",#N/A,SUM(AY$4:AY129,AW$4:AW129,AU$4:AU129))</f>
        <v>#N/A</v>
      </c>
      <c r="BB129" s="304" t="str">
        <f t="shared" si="141"/>
        <v/>
      </c>
      <c r="BC129" s="313" t="e">
        <f>IF($J129="",#N/A,SUM(BB$4:BB129))</f>
        <v>#N/A</v>
      </c>
      <c r="BD129" s="314" t="str">
        <f t="shared" si="142"/>
        <v/>
      </c>
      <c r="BE129" s="314" t="e">
        <f>IF($J129="",#N/A,SUM(BD$4:BD129))</f>
        <v>#N/A</v>
      </c>
      <c r="BF129" s="315" t="str">
        <f t="shared" si="143"/>
        <v/>
      </c>
      <c r="BG129" s="315" t="e">
        <f>IF($J129="",#N/A,SUM(BF$4:BF129))</f>
        <v>#N/A</v>
      </c>
      <c r="BH129" s="315" t="e">
        <f>IF($J129="",#N/A,SUM(BF$4:BF129,BD$4:BD129,BB$4:BB129))</f>
        <v>#N/A</v>
      </c>
      <c r="BI129" s="304" t="str">
        <f t="shared" si="144"/>
        <v/>
      </c>
      <c r="BJ129" s="313" t="e">
        <f>IF($J129="",#N/A,SUM(BI$4:BI129))</f>
        <v>#N/A</v>
      </c>
      <c r="BK129" s="314" t="str">
        <f t="shared" si="145"/>
        <v/>
      </c>
      <c r="BL129" s="314" t="e">
        <f>IF($J129="",#N/A,SUM(BK$4:BK129))</f>
        <v>#N/A</v>
      </c>
      <c r="BM129" s="315" t="str">
        <f t="shared" si="146"/>
        <v/>
      </c>
      <c r="BN129" s="315" t="e">
        <f>IF($J129="",#N/A,SUM(BM$4:BM129))</f>
        <v>#N/A</v>
      </c>
      <c r="BO129" s="315" t="e">
        <f>IF($J129="",#N/A,SUM(BM$4:BM129,BK$4:BK129,BI$4:BI129))</f>
        <v>#N/A</v>
      </c>
      <c r="BP129" s="304" t="str">
        <f t="shared" si="147"/>
        <v/>
      </c>
      <c r="BQ129" s="313" t="e">
        <f>IF($J129="",#N/A,SUM(BP$4:BP129))</f>
        <v>#N/A</v>
      </c>
      <c r="BR129" s="314" t="str">
        <f t="shared" si="148"/>
        <v/>
      </c>
      <c r="BS129" s="314" t="e">
        <f>IF($J129="",#N/A,SUM(BR$4:BR129))</f>
        <v>#N/A</v>
      </c>
      <c r="BT129" s="315" t="str">
        <f t="shared" si="149"/>
        <v/>
      </c>
      <c r="BU129" s="315" t="e">
        <f>IF($J129="",#N/A,SUM(BT$4:BT129))</f>
        <v>#N/A</v>
      </c>
      <c r="BV129" s="315" t="e">
        <f>IF($J129="",#N/A,SUM(BT$4:BT129,BR$4:BR129,BP$4:BP129))</f>
        <v>#N/A</v>
      </c>
      <c r="BW129" s="304" t="str">
        <f t="shared" si="150"/>
        <v/>
      </c>
      <c r="BX129" s="313" t="e">
        <f>IF($J129="",#N/A,SUM(BW$4:BW129))</f>
        <v>#N/A</v>
      </c>
      <c r="BY129" s="314" t="str">
        <f t="shared" si="151"/>
        <v/>
      </c>
      <c r="BZ129" s="314" t="e">
        <f>IF($J129="",#N/A,SUM(BY$4:BY129))</f>
        <v>#N/A</v>
      </c>
      <c r="CA129" s="315" t="str">
        <f t="shared" si="152"/>
        <v/>
      </c>
      <c r="CB129" s="315" t="e">
        <f>IF($J129="",#N/A,SUM(CA$4:CA129))</f>
        <v>#N/A</v>
      </c>
      <c r="CC129" s="315" t="e">
        <f>IF($J129="",#N/A,SUM(CA$4:CA129,BY$4:BY129,BW$4:BW129))</f>
        <v>#N/A</v>
      </c>
      <c r="CD129" s="304" t="str">
        <f t="shared" si="153"/>
        <v/>
      </c>
      <c r="CE129" s="313" t="e">
        <f>IF($J129="",#N/A,SUM(CD$4:CD129))</f>
        <v>#N/A</v>
      </c>
      <c r="CF129" s="314" t="str">
        <f t="shared" si="154"/>
        <v/>
      </c>
      <c r="CG129" s="314" t="e">
        <f>IF($J129="",#N/A,SUM(CF$4:CF129))</f>
        <v>#N/A</v>
      </c>
      <c r="CH129" s="315" t="str">
        <f t="shared" si="155"/>
        <v/>
      </c>
      <c r="CI129" s="315" t="e">
        <f>IF($J129="",#N/A,SUM(CH$4:CH129))</f>
        <v>#N/A</v>
      </c>
      <c r="CJ129" s="315" t="e">
        <f>IF($J129="",#N/A,SUM(CH$4:CH129,CF$4:CF129,CD$4:CD129))</f>
        <v>#N/A</v>
      </c>
      <c r="CK129" s="304" t="str">
        <f t="shared" si="156"/>
        <v/>
      </c>
      <c r="CL129" s="313" t="e">
        <f>IF($J129="",#N/A,SUM(CK$4:CK129))</f>
        <v>#N/A</v>
      </c>
      <c r="CM129" s="314" t="str">
        <f t="shared" si="157"/>
        <v/>
      </c>
      <c r="CN129" s="314" t="e">
        <f>IF($J129="",#N/A,SUM(CM$4:CM129))</f>
        <v>#N/A</v>
      </c>
      <c r="CO129" s="315" t="str">
        <f t="shared" si="158"/>
        <v/>
      </c>
      <c r="CP129" s="315" t="e">
        <f>IF($J129="",#N/A,SUM(CO$4:CO129))</f>
        <v>#N/A</v>
      </c>
      <c r="CQ129" s="315" t="e">
        <f>IF($J129="",#N/A,SUM(CO$4:CO129,CM$4:CM129,CK$4:CK129))</f>
        <v>#N/A</v>
      </c>
      <c r="CR129" s="304" t="str">
        <f t="shared" si="159"/>
        <v/>
      </c>
      <c r="CS129" s="313" t="e">
        <f>IF($J129="",#N/A,SUM(CR$4:CR129))</f>
        <v>#N/A</v>
      </c>
      <c r="CT129" s="314" t="str">
        <f t="shared" si="160"/>
        <v/>
      </c>
      <c r="CU129" s="314" t="e">
        <f>IF($J129="",#N/A,SUM(CT$4:CT129))</f>
        <v>#N/A</v>
      </c>
      <c r="CV129" s="315" t="str">
        <f t="shared" si="161"/>
        <v/>
      </c>
      <c r="CW129" s="315" t="e">
        <f>IF($J129="",#N/A,SUM(CV$4:CV129))</f>
        <v>#N/A</v>
      </c>
      <c r="CX129" s="315" t="e">
        <f>IF($J129="",#N/A,SUM(CV$4:CV129,CT$4:CT129,CR$4:CR129))</f>
        <v>#N/A</v>
      </c>
      <c r="CY129" s="304" t="str">
        <f t="shared" si="162"/>
        <v/>
      </c>
      <c r="CZ129" s="313" t="e">
        <f>IF($J129="",#N/A,SUM(CY$4:CY129))</f>
        <v>#N/A</v>
      </c>
      <c r="DA129" s="314" t="str">
        <f t="shared" si="163"/>
        <v/>
      </c>
      <c r="DB129" s="314" t="e">
        <f>IF($J129="",#N/A,SUM(DA$4:DA129))</f>
        <v>#N/A</v>
      </c>
      <c r="DC129" s="315" t="str">
        <f t="shared" si="164"/>
        <v/>
      </c>
      <c r="DD129" s="315" t="e">
        <f>IF($J129="",#N/A,SUM(DC$4:DC129))</f>
        <v>#N/A</v>
      </c>
      <c r="DE129" s="315" t="e">
        <f>IF($J129="",#N/A,SUM(DC$4:DC129,DA$4:DA129,CY$4:CY129))</f>
        <v>#N/A</v>
      </c>
      <c r="DF129" s="304" t="str">
        <f t="shared" si="165"/>
        <v/>
      </c>
      <c r="DG129" s="313" t="e">
        <f>IF($J129="",#N/A,SUM(DF$4:DF129))</f>
        <v>#N/A</v>
      </c>
      <c r="DH129" s="314" t="str">
        <f t="shared" si="166"/>
        <v/>
      </c>
      <c r="DI129" s="314" t="e">
        <f>IF($J129="",#N/A,SUM(DH$4:DH129))</f>
        <v>#N/A</v>
      </c>
      <c r="DJ129" s="315" t="str">
        <f t="shared" si="167"/>
        <v/>
      </c>
      <c r="DK129" s="315" t="e">
        <f>IF($J129="",#N/A,SUM(DJ$4:DJ129))</f>
        <v>#N/A</v>
      </c>
      <c r="DL129" s="315" t="e">
        <f>IF($J129="",#N/A,SUM(DJ$4:DJ129,DH$4:DH129,DF$4:DF129))</f>
        <v>#N/A</v>
      </c>
      <c r="DM129" s="304" t="str">
        <f t="shared" si="168"/>
        <v/>
      </c>
      <c r="DN129" s="313" t="e">
        <f>IF($J129="",#N/A,SUM(DM$4:DM129))</f>
        <v>#N/A</v>
      </c>
      <c r="DO129" s="314" t="str">
        <f t="shared" si="169"/>
        <v/>
      </c>
      <c r="DP129" s="314" t="e">
        <f>IF($J129="",#N/A,SUM(DO$4:DO129))</f>
        <v>#N/A</v>
      </c>
      <c r="DQ129" s="315" t="str">
        <f t="shared" si="170"/>
        <v/>
      </c>
      <c r="DR129" s="315" t="e">
        <f>IF($J129="",#N/A,SUM(DQ$4:DQ129))</f>
        <v>#N/A</v>
      </c>
      <c r="DS129" s="315" t="e">
        <f>IF($J129="",#N/A,SUM(DQ$4:DQ129,DO$4:DO129,DM$4:DM129))</f>
        <v>#N/A</v>
      </c>
      <c r="DT129" s="304" t="str">
        <f t="shared" si="171"/>
        <v/>
      </c>
      <c r="DU129" s="313" t="e">
        <f>IF($J129="",#N/A,SUM(DT$4:DT129))</f>
        <v>#N/A</v>
      </c>
      <c r="DV129" s="314" t="str">
        <f t="shared" si="172"/>
        <v/>
      </c>
      <c r="DW129" s="314" t="e">
        <f>IF($J129="",#N/A,SUM(DV$4:DV129))</f>
        <v>#N/A</v>
      </c>
      <c r="DX129" s="315" t="str">
        <f t="shared" si="173"/>
        <v/>
      </c>
      <c r="DY129" s="315" t="e">
        <f>IF($J129="",#N/A,SUM(DX$4:DX129))</f>
        <v>#N/A</v>
      </c>
      <c r="DZ129" s="315" t="e">
        <f>IF($J129="",#N/A,SUM(DX$4:DX129,DV$4:DV129,DT$4:DT129))</f>
        <v>#N/A</v>
      </c>
      <c r="EA129" s="304" t="str">
        <f t="shared" si="174"/>
        <v/>
      </c>
      <c r="EB129" s="313" t="e">
        <f>IF($J129="",#N/A,SUM(EA$4:EA129))</f>
        <v>#N/A</v>
      </c>
      <c r="EC129" s="314">
        <f t="shared" si="175"/>
        <v>0.65250890879321699</v>
      </c>
      <c r="ED129" s="314" t="e">
        <f>IF($J129="",#N/A,SUM(EC$4:EC129))</f>
        <v>#N/A</v>
      </c>
      <c r="EE129" s="315" t="str">
        <f t="shared" si="176"/>
        <v/>
      </c>
      <c r="EF129" s="315" t="e">
        <f>IF($J129="",#N/A,SUM(EE$4:EE129))</f>
        <v>#N/A</v>
      </c>
      <c r="EG129" s="315" t="e">
        <f>IF($J129="",#N/A,SUM(EE$4:EE129,EC$4:EC129,EA$4:EA129))</f>
        <v>#N/A</v>
      </c>
      <c r="EH129" s="130">
        <f t="shared" si="177"/>
        <v>16.259999999999934</v>
      </c>
      <c r="EI129" s="63">
        <f>IF(EH129="",#N/A,SUM($EH$4:EH129))</f>
        <v>592.38943287146549</v>
      </c>
      <c r="EJ129" s="223" t="e">
        <f t="shared" si="178"/>
        <v>#N/A</v>
      </c>
      <c r="EK129" s="63" t="e">
        <f>IF($GZ129="",#N/A,SUM(EJ$4:EJ129))</f>
        <v>#N/A</v>
      </c>
      <c r="EL129" s="60">
        <f t="shared" si="209"/>
        <v>0.65250890879321699</v>
      </c>
      <c r="EM129" s="60">
        <f>IF(EL129="",NA(),SUM($EL$4:EL129))</f>
        <v>22.223999386193768</v>
      </c>
      <c r="EN129" s="60" t="str">
        <f t="shared" si="179"/>
        <v/>
      </c>
      <c r="EO129" s="60" t="e">
        <f>IF(EN129="",NA(),SUM($EN$4:EN129))</f>
        <v>#N/A</v>
      </c>
      <c r="EP129" s="60" t="str">
        <f t="shared" si="180"/>
        <v/>
      </c>
      <c r="EQ129" s="60" t="e">
        <f>IF(EP129="",NA(),SUM($EP$4:EP129))</f>
        <v>#N/A</v>
      </c>
      <c r="ER129" s="60">
        <f t="shared" si="181"/>
        <v>0.65250890879321699</v>
      </c>
      <c r="ES129" s="60">
        <f>IF(ER129="",NA(),SUM($ER$4:ER129))</f>
        <v>5.5979756084483965</v>
      </c>
      <c r="ET129" s="60" t="str">
        <f t="shared" si="182"/>
        <v/>
      </c>
      <c r="EU129" s="60" t="e">
        <f>IF(ET129="",NA(),SUM($ET$4:ET129))</f>
        <v>#N/A</v>
      </c>
      <c r="EV129" s="60" t="str">
        <f t="shared" si="183"/>
        <v/>
      </c>
      <c r="EW129" s="60" t="e">
        <f>IF(EV129="",NA(),SUM($EV$4:EV129))</f>
        <v>#N/A</v>
      </c>
      <c r="EX129" s="60" t="str">
        <f t="shared" si="184"/>
        <v/>
      </c>
      <c r="EY129" s="60" t="e">
        <f>IF(EX129="",NA(),SUM($EX$4:EX129))</f>
        <v>#N/A</v>
      </c>
      <c r="EZ129" s="60" t="str">
        <f t="shared" si="185"/>
        <v/>
      </c>
      <c r="FA129" s="60" t="e">
        <f>IF(EZ129="",NA(),SUM($EZ$4:EZ129))</f>
        <v>#N/A</v>
      </c>
      <c r="FB129" s="246">
        <f t="shared" si="210"/>
        <v>-0.19262255610131757</v>
      </c>
      <c r="FC129" s="246">
        <f>IF($FB129="",#N/A,SUM(FB$4:$FB129))</f>
        <v>2.2553388047387783</v>
      </c>
      <c r="FD129" s="60" t="str">
        <f t="shared" si="186"/>
        <v/>
      </c>
      <c r="FE129" s="60" t="e">
        <f>IF($FD129="",#N/A,SUM($FD$4:FD129))</f>
        <v>#N/A</v>
      </c>
      <c r="FF129" s="60" t="str">
        <f t="shared" si="187"/>
        <v/>
      </c>
      <c r="FG129" s="60" t="e">
        <f>IF($FF129="",#N/A,SUM($FF$4:FF129))</f>
        <v>#N/A</v>
      </c>
      <c r="FH129" s="60" t="str">
        <f t="shared" si="188"/>
        <v/>
      </c>
      <c r="FI129" s="60" t="e">
        <f>IF($FH129="",#N/A,SUM($FH$4:FH129))</f>
        <v>#N/A</v>
      </c>
      <c r="FJ129" s="60" t="str">
        <f t="shared" si="189"/>
        <v/>
      </c>
      <c r="FK129" s="60" t="e">
        <f>IF($FJ129="",#N/A,SUM($FJ$4:FJ129))</f>
        <v>#N/A</v>
      </c>
      <c r="FL129" s="60" t="str">
        <f t="shared" si="190"/>
        <v/>
      </c>
      <c r="FM129" s="60" t="e">
        <f>IF($FL129="",#N/A,SUM($FL$4:FL129))</f>
        <v>#N/A</v>
      </c>
      <c r="FN129" s="82">
        <f t="shared" si="191"/>
        <v>0.45988635269189942</v>
      </c>
      <c r="FO129" s="82">
        <f>IF($FN129="",#N/A,SUM(FN$4:$FN129))</f>
        <v>34.341197125541711</v>
      </c>
      <c r="FP129" s="82">
        <f t="shared" si="211"/>
        <v>0.65250890879321699</v>
      </c>
      <c r="FQ129" s="246">
        <f>IF($EH129="",#N/A,SUM($FP$4:FP129))</f>
        <v>23.295638886212753</v>
      </c>
      <c r="FR129" s="82">
        <f>IFERROR(FQ129/COUNTA($J$4:J129),#N/A)</f>
        <v>0.18488602290645043</v>
      </c>
      <c r="FS129" s="82">
        <f t="shared" si="229"/>
        <v>0.10955221390314154</v>
      </c>
      <c r="FT129" s="82">
        <f t="shared" si="225"/>
        <v>0.13803537361244828</v>
      </c>
      <c r="FU129" s="337">
        <f>IF(AND(HB129="MOC",GZ129=""),#N/A,IFERROR(FQ129-HE129,FQ129-0))-14.53</f>
        <v>7.7402427450092528</v>
      </c>
      <c r="FV129" s="57" t="str">
        <f t="shared" si="192"/>
        <v>Dwn</v>
      </c>
      <c r="FW129" s="57" t="s">
        <v>2733</v>
      </c>
      <c r="FX129" s="57" t="str">
        <f t="shared" si="193"/>
        <v/>
      </c>
      <c r="FY129" s="57" t="str">
        <f t="shared" si="194"/>
        <v/>
      </c>
      <c r="FZ129" s="57" t="str">
        <f t="shared" si="195"/>
        <v/>
      </c>
      <c r="GA129" s="57" t="str">
        <f t="shared" si="196"/>
        <v>Short</v>
      </c>
      <c r="GB129" s="57">
        <f t="shared" si="197"/>
        <v>1</v>
      </c>
      <c r="GC129" s="57" t="str">
        <f t="shared" si="198"/>
        <v/>
      </c>
      <c r="GD129" s="57" t="str">
        <f t="shared" si="199"/>
        <v/>
      </c>
      <c r="GE129" s="62">
        <f t="shared" si="227"/>
        <v>69.22</v>
      </c>
      <c r="GF129" s="62" t="s">
        <v>2780</v>
      </c>
      <c r="GG129" s="199">
        <v>6</v>
      </c>
      <c r="GH129" s="207">
        <f t="shared" si="200"/>
        <v>415.32</v>
      </c>
      <c r="GI129" s="199">
        <v>6</v>
      </c>
      <c r="GJ129" s="200">
        <v>67.25</v>
      </c>
      <c r="GK129" s="63">
        <f t="shared" si="201"/>
        <v>11.819999999999993</v>
      </c>
      <c r="GL129" s="63">
        <f t="shared" si="228"/>
        <v>11.45999999999998</v>
      </c>
      <c r="GM129" s="82" t="str">
        <f t="shared" si="202"/>
        <v/>
      </c>
      <c r="GN129" s="82">
        <f>IF($GZ129="",#N/A,SUM(GM$4:GM129))</f>
        <v>14.139823122731144</v>
      </c>
      <c r="GO129" s="82" t="str">
        <f t="shared" si="203"/>
        <v/>
      </c>
      <c r="GP129" s="82">
        <f>IF($GZ129="",#N/A,SUM(GO$4:GO129))</f>
        <v>10.700262523032329</v>
      </c>
      <c r="GQ129" s="82">
        <f t="shared" si="204"/>
        <v>0.45988635269189942</v>
      </c>
      <c r="GR129" s="82">
        <f>IF($GZ129="",#N/A,SUM(GQ$4:GQ129))</f>
        <v>8.8752745253359038</v>
      </c>
      <c r="GS129" s="63" t="str">
        <f t="shared" si="212"/>
        <v/>
      </c>
      <c r="GT129" s="63" t="e">
        <f>IF($GZ129="",#N/A,SUM(GS$4:GS129))</f>
        <v>#N/A</v>
      </c>
      <c r="GU129" s="63" t="str">
        <f t="shared" si="213"/>
        <v/>
      </c>
      <c r="GV129" s="63" t="e">
        <f>IF($GZ129="",#N/A,SUM(GU$4:GU129))</f>
        <v>#N/A</v>
      </c>
      <c r="GW129" s="63" t="e">
        <f t="shared" si="214"/>
        <v>#N/A</v>
      </c>
      <c r="GX129" s="63" t="e">
        <f>IF($GZ129="",#N/A,SUM(GW$4:GW129))</f>
        <v>#N/A</v>
      </c>
      <c r="GY129" s="63" t="e">
        <f>IF(EJ129="",#N/A,SUM($EJ$4:EJ129))</f>
        <v>#N/A</v>
      </c>
      <c r="GZ129" s="159">
        <v>67.31</v>
      </c>
      <c r="HA129" s="63">
        <f t="shared" si="205"/>
        <v>-4.7999999999999545</v>
      </c>
      <c r="HB129" s="62" t="s">
        <v>2538</v>
      </c>
      <c r="HC129" s="60">
        <f>IFERROR(VLOOKUP(E129,Expectancy!$P$4:$S$19,1+C129,FALSE),"")</f>
        <v>0.17536249656639069</v>
      </c>
      <c r="HD129" s="82">
        <f t="shared" si="206"/>
        <v>0.47433304439949892</v>
      </c>
      <c r="HE129" s="60">
        <f>IF(HD129="",#N/A,SUM($HD$4:HD129))</f>
        <v>1.0253961412035</v>
      </c>
      <c r="HF129" s="85">
        <f>IF(HD129="",#N/A,IF(HB129="Skip",#N/A,SUM($HG$4:HG129)))</f>
        <v>41.659999999999968</v>
      </c>
      <c r="HG129" s="63">
        <f t="shared" si="207"/>
        <v>11.819999999999993</v>
      </c>
      <c r="HH129" s="82">
        <f t="shared" si="208"/>
        <v>0.45988635269189942</v>
      </c>
    </row>
    <row r="130" spans="1:216" x14ac:dyDescent="0.25">
      <c r="A130" s="57" t="s">
        <v>548</v>
      </c>
      <c r="B130" s="58" t="s">
        <v>5161</v>
      </c>
      <c r="C130" s="386">
        <f t="shared" si="118"/>
        <v>1</v>
      </c>
      <c r="D130" s="372" t="str">
        <f>_xlfn.XLOOKUP(A130,[1]SP500!$A$2:$A$502,[1]SP500!$D$2:$D$502,"N")</f>
        <v>N</v>
      </c>
      <c r="E130" s="57" t="str">
        <f>_xlfn.XLOOKUP(A130,[1]SP500!$A$2:$A$655,[1]SP500!$B$2:$B$655)</f>
        <v>IGV</v>
      </c>
      <c r="F130" s="227">
        <v>45687</v>
      </c>
      <c r="G130" s="57" t="str">
        <f t="shared" si="119"/>
        <v>BMO</v>
      </c>
      <c r="H130" s="57" t="str">
        <f t="shared" si="120"/>
        <v>o</v>
      </c>
      <c r="I130" s="159">
        <v>57.35</v>
      </c>
      <c r="J130" s="159">
        <v>57.53</v>
      </c>
      <c r="K130" s="61">
        <f t="shared" si="121"/>
        <v>3.1386224934611983E-3</v>
      </c>
      <c r="L130" s="87">
        <f t="shared" si="122"/>
        <v>1.2554489973844625</v>
      </c>
      <c r="M130" s="214" t="e">
        <f t="shared" si="226"/>
        <v>#N/A</v>
      </c>
      <c r="N130" s="169">
        <f t="shared" si="123"/>
        <v>1.2554489973844625</v>
      </c>
      <c r="O130" s="169">
        <f>IF($J130="",#N/A,SUM($N$4:N130))</f>
        <v>217.06503433954816</v>
      </c>
      <c r="P130" s="174" t="str">
        <f t="shared" si="124"/>
        <v/>
      </c>
      <c r="Q130" s="174">
        <f>IF($J130="",#N/A,SUM($P$4:P130))</f>
        <v>148.88104023772644</v>
      </c>
      <c r="R130" s="178" t="str">
        <f t="shared" si="125"/>
        <v/>
      </c>
      <c r="S130" s="178">
        <f>IF($J130="",#N/A,SUM($R$4:R130))</f>
        <v>227.69880729157518</v>
      </c>
      <c r="T130" s="290">
        <f t="shared" si="126"/>
        <v>5.2310374891019272E-2</v>
      </c>
      <c r="U130" s="290">
        <f>IF($J130="",#N/A,SUM($T$4:T130))</f>
        <v>7.708387709814529</v>
      </c>
      <c r="V130" s="291" t="str">
        <f t="shared" si="127"/>
        <v/>
      </c>
      <c r="W130" s="291">
        <f>IF($J130="",#N/A,SUM($V$4:V130))</f>
        <v>6.3003710611483559</v>
      </c>
      <c r="X130" s="292" t="str">
        <f t="shared" si="128"/>
        <v/>
      </c>
      <c r="Y130" s="283">
        <f>IF($J130="",#N/A,SUM($X$4:X130))</f>
        <v>9.339190490140874</v>
      </c>
      <c r="Z130" s="304" t="str">
        <f t="shared" si="129"/>
        <v/>
      </c>
      <c r="AA130" s="313" t="e">
        <f>IF($J130="",#N/A,SUM(Z$4:Z130))</f>
        <v>#N/A</v>
      </c>
      <c r="AB130" s="314" t="str">
        <f t="shared" si="130"/>
        <v/>
      </c>
      <c r="AC130" s="314" t="e">
        <f>IF($J130="",#N/A,SUM(AB$4:AB130))</f>
        <v>#N/A</v>
      </c>
      <c r="AD130" s="315" t="str">
        <f t="shared" si="131"/>
        <v/>
      </c>
      <c r="AE130" s="315" t="e">
        <f>IF($J130="",#N/A,SUM(AD$4:AD130))</f>
        <v>#N/A</v>
      </c>
      <c r="AF130" s="315" t="e">
        <f>IF($J130="",#N/A,SUM(AD$4:AD130,AB$4:AB130,Z$4:Z130))</f>
        <v>#N/A</v>
      </c>
      <c r="AG130" s="304">
        <f t="shared" si="132"/>
        <v>5.2310374891019272E-2</v>
      </c>
      <c r="AH130" s="313" t="e">
        <f>IF($J130="",#N/A,SUM(AG$4:AG130))</f>
        <v>#N/A</v>
      </c>
      <c r="AI130" s="314" t="str">
        <f t="shared" si="133"/>
        <v/>
      </c>
      <c r="AJ130" s="314" t="e">
        <f>IF($J130="",#N/A,SUM(AI$4:AI130))</f>
        <v>#N/A</v>
      </c>
      <c r="AK130" s="315" t="str">
        <f t="shared" si="134"/>
        <v/>
      </c>
      <c r="AL130" s="315" t="e">
        <f>IF($J130="",#N/A,SUM(AK$4:AK130))</f>
        <v>#N/A</v>
      </c>
      <c r="AM130" s="315" t="e">
        <f>IF($J130="",#N/A,SUM(AK$4:AK130,AI$4:AI130,AG$4:AG130))</f>
        <v>#N/A</v>
      </c>
      <c r="AN130" s="304" t="str">
        <f t="shared" si="135"/>
        <v/>
      </c>
      <c r="AO130" s="313" t="e">
        <f>IF($J130="",#N/A,SUM(AN$4:AN130))</f>
        <v>#N/A</v>
      </c>
      <c r="AP130" s="314" t="str">
        <f t="shared" si="136"/>
        <v/>
      </c>
      <c r="AQ130" s="314" t="e">
        <f>IF($J130="",#N/A,SUM(AP$4:AP130))</f>
        <v>#N/A</v>
      </c>
      <c r="AR130" s="315" t="str">
        <f t="shared" si="137"/>
        <v/>
      </c>
      <c r="AS130" s="315" t="e">
        <f>IF($J130="",#N/A,SUM(AR$4:AR130))</f>
        <v>#N/A</v>
      </c>
      <c r="AT130" s="315" t="e">
        <f>IF($J130="",#N/A,SUM(AR$4:AR130,AP$4:AP130,AN$4:AN130))</f>
        <v>#N/A</v>
      </c>
      <c r="AU130" s="304" t="str">
        <f t="shared" si="138"/>
        <v/>
      </c>
      <c r="AV130" s="313" t="e">
        <f>IF($J130="",#N/A,SUM(AU$4:AU130))</f>
        <v>#N/A</v>
      </c>
      <c r="AW130" s="314" t="str">
        <f t="shared" si="139"/>
        <v/>
      </c>
      <c r="AX130" s="314" t="e">
        <f>IF($J130="",#N/A,SUM(AW$4:AW130))</f>
        <v>#N/A</v>
      </c>
      <c r="AY130" s="315" t="str">
        <f t="shared" si="140"/>
        <v/>
      </c>
      <c r="AZ130" s="315" t="e">
        <f>IF($J130="",#N/A,SUM(AY$4:AY130))</f>
        <v>#N/A</v>
      </c>
      <c r="BA130" s="315" t="e">
        <f>IF($J130="",#N/A,SUM(AY$4:AY130,AW$4:AW130,AU$4:AU130))</f>
        <v>#N/A</v>
      </c>
      <c r="BB130" s="304" t="str">
        <f t="shared" si="141"/>
        <v/>
      </c>
      <c r="BC130" s="313" t="e">
        <f>IF($J130="",#N/A,SUM(BB$4:BB130))</f>
        <v>#N/A</v>
      </c>
      <c r="BD130" s="314" t="str">
        <f t="shared" si="142"/>
        <v/>
      </c>
      <c r="BE130" s="314" t="e">
        <f>IF($J130="",#N/A,SUM(BD$4:BD130))</f>
        <v>#N/A</v>
      </c>
      <c r="BF130" s="315" t="str">
        <f t="shared" si="143"/>
        <v/>
      </c>
      <c r="BG130" s="315" t="e">
        <f>IF($J130="",#N/A,SUM(BF$4:BF130))</f>
        <v>#N/A</v>
      </c>
      <c r="BH130" s="315" t="e">
        <f>IF($J130="",#N/A,SUM(BF$4:BF130,BD$4:BD130,BB$4:BB130))</f>
        <v>#N/A</v>
      </c>
      <c r="BI130" s="304" t="str">
        <f t="shared" si="144"/>
        <v/>
      </c>
      <c r="BJ130" s="313" t="e">
        <f>IF($J130="",#N/A,SUM(BI$4:BI130))</f>
        <v>#N/A</v>
      </c>
      <c r="BK130" s="314" t="str">
        <f t="shared" si="145"/>
        <v/>
      </c>
      <c r="BL130" s="314" t="e">
        <f>IF($J130="",#N/A,SUM(BK$4:BK130))</f>
        <v>#N/A</v>
      </c>
      <c r="BM130" s="315" t="str">
        <f t="shared" si="146"/>
        <v/>
      </c>
      <c r="BN130" s="315" t="e">
        <f>IF($J130="",#N/A,SUM(BM$4:BM130))</f>
        <v>#N/A</v>
      </c>
      <c r="BO130" s="315" t="e">
        <f>IF($J130="",#N/A,SUM(BM$4:BM130,BK$4:BK130,BI$4:BI130))</f>
        <v>#N/A</v>
      </c>
      <c r="BP130" s="304" t="str">
        <f t="shared" si="147"/>
        <v/>
      </c>
      <c r="BQ130" s="313" t="e">
        <f>IF($J130="",#N/A,SUM(BP$4:BP130))</f>
        <v>#N/A</v>
      </c>
      <c r="BR130" s="314" t="str">
        <f t="shared" si="148"/>
        <v/>
      </c>
      <c r="BS130" s="314" t="e">
        <f>IF($J130="",#N/A,SUM(BR$4:BR130))</f>
        <v>#N/A</v>
      </c>
      <c r="BT130" s="315" t="str">
        <f t="shared" si="149"/>
        <v/>
      </c>
      <c r="BU130" s="315" t="e">
        <f>IF($J130="",#N/A,SUM(BT$4:BT130))</f>
        <v>#N/A</v>
      </c>
      <c r="BV130" s="315" t="e">
        <f>IF($J130="",#N/A,SUM(BT$4:BT130,BR$4:BR130,BP$4:BP130))</f>
        <v>#N/A</v>
      </c>
      <c r="BW130" s="304" t="str">
        <f t="shared" si="150"/>
        <v/>
      </c>
      <c r="BX130" s="313" t="e">
        <f>IF($J130="",#N/A,SUM(BW$4:BW130))</f>
        <v>#N/A</v>
      </c>
      <c r="BY130" s="314" t="str">
        <f t="shared" si="151"/>
        <v/>
      </c>
      <c r="BZ130" s="314" t="e">
        <f>IF($J130="",#N/A,SUM(BY$4:BY130))</f>
        <v>#N/A</v>
      </c>
      <c r="CA130" s="315" t="str">
        <f t="shared" si="152"/>
        <v/>
      </c>
      <c r="CB130" s="315" t="e">
        <f>IF($J130="",#N/A,SUM(CA$4:CA130))</f>
        <v>#N/A</v>
      </c>
      <c r="CC130" s="315" t="e">
        <f>IF($J130="",#N/A,SUM(CA$4:CA130,BY$4:BY130,BW$4:BW130))</f>
        <v>#N/A</v>
      </c>
      <c r="CD130" s="304" t="str">
        <f t="shared" si="153"/>
        <v/>
      </c>
      <c r="CE130" s="313" t="e">
        <f>IF($J130="",#N/A,SUM(CD$4:CD130))</f>
        <v>#N/A</v>
      </c>
      <c r="CF130" s="314" t="str">
        <f t="shared" si="154"/>
        <v/>
      </c>
      <c r="CG130" s="314" t="e">
        <f>IF($J130="",#N/A,SUM(CF$4:CF130))</f>
        <v>#N/A</v>
      </c>
      <c r="CH130" s="315" t="str">
        <f t="shared" si="155"/>
        <v/>
      </c>
      <c r="CI130" s="315" t="e">
        <f>IF($J130="",#N/A,SUM(CH$4:CH130))</f>
        <v>#N/A</v>
      </c>
      <c r="CJ130" s="315" t="e">
        <f>IF($J130="",#N/A,SUM(CH$4:CH130,CF$4:CF130,CD$4:CD130))</f>
        <v>#N/A</v>
      </c>
      <c r="CK130" s="304" t="str">
        <f t="shared" si="156"/>
        <v/>
      </c>
      <c r="CL130" s="313" t="e">
        <f>IF($J130="",#N/A,SUM(CK$4:CK130))</f>
        <v>#N/A</v>
      </c>
      <c r="CM130" s="314" t="str">
        <f t="shared" si="157"/>
        <v/>
      </c>
      <c r="CN130" s="314" t="e">
        <f>IF($J130="",#N/A,SUM(CM$4:CM130))</f>
        <v>#N/A</v>
      </c>
      <c r="CO130" s="315" t="str">
        <f t="shared" si="158"/>
        <v/>
      </c>
      <c r="CP130" s="315" t="e">
        <f>IF($J130="",#N/A,SUM(CO$4:CO130))</f>
        <v>#N/A</v>
      </c>
      <c r="CQ130" s="315" t="e">
        <f>IF($J130="",#N/A,SUM(CO$4:CO130,CM$4:CM130,CK$4:CK130))</f>
        <v>#N/A</v>
      </c>
      <c r="CR130" s="304" t="str">
        <f t="shared" si="159"/>
        <v/>
      </c>
      <c r="CS130" s="313" t="e">
        <f>IF($J130="",#N/A,SUM(CR$4:CR130))</f>
        <v>#N/A</v>
      </c>
      <c r="CT130" s="314" t="str">
        <f t="shared" si="160"/>
        <v/>
      </c>
      <c r="CU130" s="314" t="e">
        <f>IF($J130="",#N/A,SUM(CT$4:CT130))</f>
        <v>#N/A</v>
      </c>
      <c r="CV130" s="315" t="str">
        <f t="shared" si="161"/>
        <v/>
      </c>
      <c r="CW130" s="315" t="e">
        <f>IF($J130="",#N/A,SUM(CV$4:CV130))</f>
        <v>#N/A</v>
      </c>
      <c r="CX130" s="315" t="e">
        <f>IF($J130="",#N/A,SUM(CV$4:CV130,CT$4:CT130,CR$4:CR130))</f>
        <v>#N/A</v>
      </c>
      <c r="CY130" s="304" t="str">
        <f t="shared" si="162"/>
        <v/>
      </c>
      <c r="CZ130" s="313" t="e">
        <f>IF($J130="",#N/A,SUM(CY$4:CY130))</f>
        <v>#N/A</v>
      </c>
      <c r="DA130" s="314" t="str">
        <f t="shared" si="163"/>
        <v/>
      </c>
      <c r="DB130" s="314" t="e">
        <f>IF($J130="",#N/A,SUM(DA$4:DA130))</f>
        <v>#N/A</v>
      </c>
      <c r="DC130" s="315" t="str">
        <f t="shared" si="164"/>
        <v/>
      </c>
      <c r="DD130" s="315" t="e">
        <f>IF($J130="",#N/A,SUM(DC$4:DC130))</f>
        <v>#N/A</v>
      </c>
      <c r="DE130" s="315" t="e">
        <f>IF($J130="",#N/A,SUM(DC$4:DC130,DA$4:DA130,CY$4:CY130))</f>
        <v>#N/A</v>
      </c>
      <c r="DF130" s="304" t="str">
        <f t="shared" si="165"/>
        <v/>
      </c>
      <c r="DG130" s="313" t="e">
        <f>IF($J130="",#N/A,SUM(DF$4:DF130))</f>
        <v>#N/A</v>
      </c>
      <c r="DH130" s="314" t="str">
        <f t="shared" si="166"/>
        <v/>
      </c>
      <c r="DI130" s="314" t="e">
        <f>IF($J130="",#N/A,SUM(DH$4:DH130))</f>
        <v>#N/A</v>
      </c>
      <c r="DJ130" s="315" t="str">
        <f t="shared" si="167"/>
        <v/>
      </c>
      <c r="DK130" s="315" t="e">
        <f>IF($J130="",#N/A,SUM(DJ$4:DJ130))</f>
        <v>#N/A</v>
      </c>
      <c r="DL130" s="315" t="e">
        <f>IF($J130="",#N/A,SUM(DJ$4:DJ130,DH$4:DH130,DF$4:DF130))</f>
        <v>#N/A</v>
      </c>
      <c r="DM130" s="304" t="str">
        <f t="shared" si="168"/>
        <v/>
      </c>
      <c r="DN130" s="313" t="e">
        <f>IF($J130="",#N/A,SUM(DM$4:DM130))</f>
        <v>#N/A</v>
      </c>
      <c r="DO130" s="314" t="str">
        <f t="shared" si="169"/>
        <v/>
      </c>
      <c r="DP130" s="314" t="e">
        <f>IF($J130="",#N/A,SUM(DO$4:DO130))</f>
        <v>#N/A</v>
      </c>
      <c r="DQ130" s="315" t="str">
        <f t="shared" si="170"/>
        <v/>
      </c>
      <c r="DR130" s="315" t="e">
        <f>IF($J130="",#N/A,SUM(DQ$4:DQ130))</f>
        <v>#N/A</v>
      </c>
      <c r="DS130" s="315" t="e">
        <f>IF($J130="",#N/A,SUM(DQ$4:DQ130,DO$4:DO130,DM$4:DM130))</f>
        <v>#N/A</v>
      </c>
      <c r="DT130" s="304" t="str">
        <f t="shared" si="171"/>
        <v/>
      </c>
      <c r="DU130" s="313" t="e">
        <f>IF($J130="",#N/A,SUM(DT$4:DT130))</f>
        <v>#N/A</v>
      </c>
      <c r="DV130" s="314" t="str">
        <f t="shared" si="172"/>
        <v/>
      </c>
      <c r="DW130" s="314" t="e">
        <f>IF($J130="",#N/A,SUM(DV$4:DV130))</f>
        <v>#N/A</v>
      </c>
      <c r="DX130" s="315" t="str">
        <f t="shared" si="173"/>
        <v/>
      </c>
      <c r="DY130" s="315" t="e">
        <f>IF($J130="",#N/A,SUM(DX$4:DX130))</f>
        <v>#N/A</v>
      </c>
      <c r="DZ130" s="315" t="e">
        <f>IF($J130="",#N/A,SUM(DX$4:DX130,DV$4:DV130,DT$4:DT130))</f>
        <v>#N/A</v>
      </c>
      <c r="EA130" s="304" t="str">
        <f t="shared" si="174"/>
        <v/>
      </c>
      <c r="EB130" s="313" t="e">
        <f>IF($J130="",#N/A,SUM(EA$4:EA130))</f>
        <v>#N/A</v>
      </c>
      <c r="EC130" s="314" t="str">
        <f t="shared" si="175"/>
        <v/>
      </c>
      <c r="ED130" s="314" t="e">
        <f>IF($J130="",#N/A,SUM(EC$4:EC130))</f>
        <v>#N/A</v>
      </c>
      <c r="EE130" s="315" t="str">
        <f t="shared" si="176"/>
        <v/>
      </c>
      <c r="EF130" s="315" t="e">
        <f>IF($J130="",#N/A,SUM(EE$4:EE130))</f>
        <v>#N/A</v>
      </c>
      <c r="EG130" s="315" t="e">
        <f>IF($J130="",#N/A,SUM(EE$4:EE130,EC$4:EC130,EA$4:EA130))</f>
        <v>#N/A</v>
      </c>
      <c r="EH130" s="130">
        <f t="shared" si="177"/>
        <v>1.2554489973844625</v>
      </c>
      <c r="EI130" s="63">
        <f>IF(EH130="",#N/A,SUM($EH$4:EH130))</f>
        <v>593.64488186885001</v>
      </c>
      <c r="EJ130" s="223" t="e">
        <f t="shared" si="178"/>
        <v>#N/A</v>
      </c>
      <c r="EK130" s="63" t="e">
        <f>IF($GZ130="",#N/A,SUM(EJ$4:EJ130))</f>
        <v>#N/A</v>
      </c>
      <c r="EL130" s="60" t="str">
        <f t="shared" si="209"/>
        <v/>
      </c>
      <c r="EM130" s="60" t="e">
        <f>IF(EL130="",NA(),SUM($EL$4:EL130))</f>
        <v>#N/A</v>
      </c>
      <c r="EN130" s="60" t="str">
        <f t="shared" si="179"/>
        <v/>
      </c>
      <c r="EO130" s="60" t="e">
        <f>IF(EN130="",NA(),SUM($EN$4:EN130))</f>
        <v>#N/A</v>
      </c>
      <c r="EP130" s="60" t="str">
        <f t="shared" si="180"/>
        <v/>
      </c>
      <c r="EQ130" s="60" t="e">
        <f>IF(EP130="",NA(),SUM($EP$4:EP130))</f>
        <v>#N/A</v>
      </c>
      <c r="ER130" s="60" t="str">
        <f t="shared" si="181"/>
        <v/>
      </c>
      <c r="ES130" s="60" t="e">
        <f>IF(ER130="",NA(),SUM($ER$4:ER130))</f>
        <v>#N/A</v>
      </c>
      <c r="ET130" s="60">
        <f t="shared" si="182"/>
        <v>5.2310374891019272E-2</v>
      </c>
      <c r="EU130" s="60">
        <f>IF(ET130="",NA(),SUM($ET$4:ET130))</f>
        <v>1.1239498749099988</v>
      </c>
      <c r="EV130" s="60">
        <f t="shared" si="183"/>
        <v>5.2310374891019272E-2</v>
      </c>
      <c r="EW130" s="60">
        <f>IF(EV130="",NA(),SUM($EV$4:EV130))</f>
        <v>0.54220247460576587</v>
      </c>
      <c r="EX130" s="60" t="str">
        <f t="shared" si="184"/>
        <v/>
      </c>
      <c r="EY130" s="60" t="e">
        <f>IF(EX130="",NA(),SUM($EX$4:EX130))</f>
        <v>#N/A</v>
      </c>
      <c r="EZ130" s="60" t="str">
        <f t="shared" si="185"/>
        <v/>
      </c>
      <c r="FA130" s="60" t="e">
        <f>IF(EZ130="",NA(),SUM($EZ$4:EZ130))</f>
        <v>#N/A</v>
      </c>
      <c r="FB130" s="246" t="str">
        <f t="shared" si="210"/>
        <v/>
      </c>
      <c r="FC130" s="246" t="e">
        <f>IF($FB130="",#N/A,SUM(FB$4:$FB130))</f>
        <v>#N/A</v>
      </c>
      <c r="FD130" s="60" t="str">
        <f t="shared" si="186"/>
        <v/>
      </c>
      <c r="FE130" s="60" t="e">
        <f>IF($FD130="",#N/A,SUM($FD$4:FD130))</f>
        <v>#N/A</v>
      </c>
      <c r="FF130" s="60">
        <f t="shared" si="187"/>
        <v>6.9747166521359816E-2</v>
      </c>
      <c r="FG130" s="60">
        <f>IF($FF130="",#N/A,SUM($FF$4:FF130))</f>
        <v>0.74322362606551351</v>
      </c>
      <c r="FH130" s="60" t="str">
        <f t="shared" si="188"/>
        <v/>
      </c>
      <c r="FI130" s="60" t="e">
        <f>IF($FH130="",#N/A,SUM($FH$4:FH130))</f>
        <v>#N/A</v>
      </c>
      <c r="FJ130" s="60" t="str">
        <f t="shared" si="189"/>
        <v/>
      </c>
      <c r="FK130" s="60" t="e">
        <f>IF($FJ130="",#N/A,SUM($FJ$4:FJ130))</f>
        <v>#N/A</v>
      </c>
      <c r="FL130" s="60" t="str">
        <f t="shared" si="190"/>
        <v/>
      </c>
      <c r="FM130" s="60" t="e">
        <f>IF($FL130="",#N/A,SUM($FL$4:FL130))</f>
        <v>#N/A</v>
      </c>
      <c r="FN130" s="82">
        <f t="shared" si="191"/>
        <v>0.12205754141237908</v>
      </c>
      <c r="FO130" s="82">
        <f>IF($FN130="",#N/A,SUM(FN$4:$FN130))</f>
        <v>34.463254666954093</v>
      </c>
      <c r="FP130" s="82">
        <f t="shared" si="211"/>
        <v>5.2310374891019272E-2</v>
      </c>
      <c r="FQ130" s="246">
        <f>IF($EH130="",#N/A,SUM($FP$4:FP130))</f>
        <v>23.347949261103771</v>
      </c>
      <c r="FR130" s="82">
        <f>IFERROR(FQ130/COUNTA($J$4:J130),#N/A)</f>
        <v>0.18384212016617144</v>
      </c>
      <c r="FS130" s="82">
        <f t="shared" si="229"/>
        <v>0.11982239261444534</v>
      </c>
      <c r="FT130" s="82">
        <f t="shared" si="225"/>
        <v>0.13098761114338886</v>
      </c>
      <c r="FU130" s="99"/>
      <c r="FV130" s="57" t="str">
        <f t="shared" si="192"/>
        <v>Up</v>
      </c>
      <c r="FW130" s="57" t="s">
        <v>2733</v>
      </c>
      <c r="FX130" s="57">
        <f t="shared" si="193"/>
        <v>1</v>
      </c>
      <c r="FY130" s="57" t="str">
        <f t="shared" si="194"/>
        <v/>
      </c>
      <c r="FZ130" s="57" t="str">
        <f t="shared" si="195"/>
        <v/>
      </c>
      <c r="GA130" s="57" t="str">
        <f t="shared" si="196"/>
        <v>Long</v>
      </c>
      <c r="GB130" s="57" t="str">
        <f t="shared" si="197"/>
        <v/>
      </c>
      <c r="GC130" s="57" t="str">
        <f t="shared" si="198"/>
        <v/>
      </c>
      <c r="GD130" s="57" t="str">
        <f t="shared" si="199"/>
        <v/>
      </c>
      <c r="GE130" s="62">
        <f t="shared" si="227"/>
        <v>57.35</v>
      </c>
      <c r="GF130" s="62" t="s">
        <v>2779</v>
      </c>
      <c r="GG130" s="99">
        <f>400/I130</f>
        <v>6.9747166521360064</v>
      </c>
      <c r="GH130" s="207">
        <f t="shared" si="200"/>
        <v>400</v>
      </c>
      <c r="GI130" s="99">
        <f>GG130</f>
        <v>6.9747166521360064</v>
      </c>
      <c r="GJ130" s="98">
        <f>J130</f>
        <v>57.53</v>
      </c>
      <c r="GK130" s="63">
        <f t="shared" si="201"/>
        <v>1.2554489973844625</v>
      </c>
      <c r="GL130" s="63">
        <f t="shared" si="228"/>
        <v>2.9293809938970981</v>
      </c>
      <c r="GM130" s="82" t="str">
        <f t="shared" si="202"/>
        <v/>
      </c>
      <c r="GN130" s="82">
        <f>IF($GZ130="",#N/A,SUM(GM$4:GM130))</f>
        <v>14.139823122731144</v>
      </c>
      <c r="GO130" s="82">
        <f t="shared" si="203"/>
        <v>0.12205754141237908</v>
      </c>
      <c r="GP130" s="82">
        <f>IF($GZ130="",#N/A,SUM(GO$4:GO130))</f>
        <v>10.822320064444709</v>
      </c>
      <c r="GQ130" s="82" t="str">
        <f t="shared" si="204"/>
        <v/>
      </c>
      <c r="GR130" s="82">
        <f>IF($GZ130="",#N/A,SUM(GQ$4:GQ130))</f>
        <v>8.8752745253359038</v>
      </c>
      <c r="GS130" s="63" t="str">
        <f t="shared" si="212"/>
        <v/>
      </c>
      <c r="GT130" s="63" t="e">
        <f>IF($GZ130="",#N/A,SUM(GS$4:GS130))</f>
        <v>#N/A</v>
      </c>
      <c r="GU130" s="63" t="e">
        <f t="shared" si="213"/>
        <v>#N/A</v>
      </c>
      <c r="GV130" s="63" t="e">
        <f>IF($GZ130="",#N/A,SUM(GU$4:GU130))</f>
        <v>#N/A</v>
      </c>
      <c r="GW130" s="63" t="str">
        <f t="shared" si="214"/>
        <v/>
      </c>
      <c r="GX130" s="63" t="e">
        <f>IF($GZ130="",#N/A,SUM(GW$4:GW130))</f>
        <v>#N/A</v>
      </c>
      <c r="GY130" s="63" t="e">
        <f>IF(EJ130="",#N/A,SUM($EJ$4:EJ130))</f>
        <v>#N/A</v>
      </c>
      <c r="GZ130" s="159">
        <v>57.77</v>
      </c>
      <c r="HA130" s="63">
        <f t="shared" si="205"/>
        <v>1.6739319965126356</v>
      </c>
      <c r="HB130" s="62" t="s">
        <v>4970</v>
      </c>
      <c r="HC130" s="60">
        <f>IFERROR(VLOOKUP(E130,Expectancy!$P$4:$S$19,1+C130,FALSE),"")</f>
        <v>1.0051961559281768</v>
      </c>
      <c r="HD130" s="82" t="str">
        <f t="shared" si="206"/>
        <v/>
      </c>
      <c r="HE130" s="60" t="e">
        <f>IF(HD130="",#N/A,SUM($HD$4:HD130))</f>
        <v>#N/A</v>
      </c>
      <c r="HF130" s="85" t="e">
        <f>IF(HD130="",#N/A,IF(HB130="Skip",#N/A,SUM($HG$4:HG130)))</f>
        <v>#N/A</v>
      </c>
      <c r="HG130" s="62" t="str">
        <f t="shared" si="207"/>
        <v/>
      </c>
      <c r="HH130" s="82">
        <f t="shared" si="208"/>
        <v>0.12205754141237908</v>
      </c>
    </row>
    <row r="131" spans="1:216" x14ac:dyDescent="0.25">
      <c r="A131" s="57" t="s">
        <v>1275</v>
      </c>
      <c r="B131" s="58" t="s">
        <v>5165</v>
      </c>
      <c r="C131" s="386">
        <f t="shared" si="118"/>
        <v>3</v>
      </c>
      <c r="D131" s="372" t="str">
        <f>_xlfn.XLOOKUP(A131,[1]SP500!$A$2:$A$502,[1]SP500!$D$2:$D$502,"N")</f>
        <v>Y</v>
      </c>
      <c r="E131" s="57" t="str">
        <f>_xlfn.XLOOKUP(A131,[1]SP500!$A$2:$A$655,[1]SP500!$B$2:$B$655)</f>
        <v>XLK</v>
      </c>
      <c r="F131" s="59">
        <v>45687</v>
      </c>
      <c r="G131" s="57" t="str">
        <f t="shared" si="119"/>
        <v>AMC</v>
      </c>
      <c r="H131" s="57" t="str">
        <f t="shared" si="120"/>
        <v>o</v>
      </c>
      <c r="I131" s="162">
        <v>237.59</v>
      </c>
      <c r="J131" s="159">
        <v>247.19</v>
      </c>
      <c r="K131" s="61">
        <f t="shared" si="121"/>
        <v>4.0405740982364553E-2</v>
      </c>
      <c r="L131" s="87">
        <f t="shared" si="122"/>
        <v>16.162296392945848</v>
      </c>
      <c r="M131" s="214" t="e">
        <f t="shared" si="226"/>
        <v>#N/A</v>
      </c>
      <c r="N131" s="168" t="str">
        <f t="shared" si="123"/>
        <v/>
      </c>
      <c r="O131" s="168">
        <f>IF($J131="",#N/A,SUM($N$4:N131))</f>
        <v>217.06503433954816</v>
      </c>
      <c r="P131" s="173" t="str">
        <f t="shared" si="124"/>
        <v/>
      </c>
      <c r="Q131" s="173">
        <f>IF($J131="",#N/A,SUM($P$4:P131))</f>
        <v>148.88104023772644</v>
      </c>
      <c r="R131" s="177">
        <f t="shared" si="125"/>
        <v>16.162296392945848</v>
      </c>
      <c r="S131" s="177">
        <f>IF($J131="",#N/A,SUM($R$4:R131))</f>
        <v>243.86110368452103</v>
      </c>
      <c r="T131" s="293" t="str">
        <f t="shared" si="126"/>
        <v/>
      </c>
      <c r="U131" s="293">
        <f>IF($J131="",#N/A,SUM($T$4:T131))</f>
        <v>7.708387709814529</v>
      </c>
      <c r="V131" s="294" t="str">
        <f t="shared" si="127"/>
        <v/>
      </c>
      <c r="W131" s="294">
        <f>IF($J131="",#N/A,SUM($V$4:V131))</f>
        <v>6.3003710611483559</v>
      </c>
      <c r="X131" s="295">
        <f t="shared" si="128"/>
        <v>0.67342901637274366</v>
      </c>
      <c r="Y131" s="283">
        <f>IF($J131="",#N/A,SUM($X$4:X131))</f>
        <v>10.012619506513618</v>
      </c>
      <c r="Z131" s="304" t="str">
        <f t="shared" si="129"/>
        <v/>
      </c>
      <c r="AA131" s="316" t="e">
        <f>IF($J131="",#N/A,SUM(Z$4:Z131))</f>
        <v>#N/A</v>
      </c>
      <c r="AB131" s="317" t="str">
        <f t="shared" si="130"/>
        <v/>
      </c>
      <c r="AC131" s="317" t="e">
        <f>IF($J131="",#N/A,SUM(AB$4:AB131))</f>
        <v>#N/A</v>
      </c>
      <c r="AD131" s="318">
        <f t="shared" si="131"/>
        <v>0.67342901637274366</v>
      </c>
      <c r="AE131" s="318" t="e">
        <f>IF($J131="",#N/A,SUM(AD$4:AD131))</f>
        <v>#N/A</v>
      </c>
      <c r="AF131" s="318" t="e">
        <f>IF($J131="",#N/A,SUM(AD$4:AD131,AB$4:AB131,Z$4:Z131))</f>
        <v>#N/A</v>
      </c>
      <c r="AG131" s="304" t="str">
        <f t="shared" si="132"/>
        <v/>
      </c>
      <c r="AH131" s="316" t="e">
        <f>IF($J131="",#N/A,SUM(AG$4:AG131))</f>
        <v>#N/A</v>
      </c>
      <c r="AI131" s="317" t="str">
        <f t="shared" si="133"/>
        <v/>
      </c>
      <c r="AJ131" s="317" t="e">
        <f>IF($J131="",#N/A,SUM(AI$4:AI131))</f>
        <v>#N/A</v>
      </c>
      <c r="AK131" s="318" t="str">
        <f t="shared" si="134"/>
        <v/>
      </c>
      <c r="AL131" s="318" t="e">
        <f>IF($J131="",#N/A,SUM(AK$4:AK131))</f>
        <v>#N/A</v>
      </c>
      <c r="AM131" s="318" t="e">
        <f>IF($J131="",#N/A,SUM(AK$4:AK131,AI$4:AI131,AG$4:AG131))</f>
        <v>#N/A</v>
      </c>
      <c r="AN131" s="304" t="str">
        <f t="shared" si="135"/>
        <v/>
      </c>
      <c r="AO131" s="316" t="e">
        <f>IF($J131="",#N/A,SUM(AN$4:AN131))</f>
        <v>#N/A</v>
      </c>
      <c r="AP131" s="317" t="str">
        <f t="shared" si="136"/>
        <v/>
      </c>
      <c r="AQ131" s="317" t="e">
        <f>IF($J131="",#N/A,SUM(AP$4:AP131))</f>
        <v>#N/A</v>
      </c>
      <c r="AR131" s="318" t="str">
        <f t="shared" si="137"/>
        <v/>
      </c>
      <c r="AS131" s="318" t="e">
        <f>IF($J131="",#N/A,SUM(AR$4:AR131))</f>
        <v>#N/A</v>
      </c>
      <c r="AT131" s="318" t="e">
        <f>IF($J131="",#N/A,SUM(AR$4:AR131,AP$4:AP131,AN$4:AN131))</f>
        <v>#N/A</v>
      </c>
      <c r="AU131" s="304" t="str">
        <f t="shared" si="138"/>
        <v/>
      </c>
      <c r="AV131" s="316" t="e">
        <f>IF($J131="",#N/A,SUM(AU$4:AU131))</f>
        <v>#N/A</v>
      </c>
      <c r="AW131" s="317" t="str">
        <f t="shared" si="139"/>
        <v/>
      </c>
      <c r="AX131" s="317" t="e">
        <f>IF($J131="",#N/A,SUM(AW$4:AW131))</f>
        <v>#N/A</v>
      </c>
      <c r="AY131" s="318" t="str">
        <f t="shared" si="140"/>
        <v/>
      </c>
      <c r="AZ131" s="318" t="e">
        <f>IF($J131="",#N/A,SUM(AY$4:AY131))</f>
        <v>#N/A</v>
      </c>
      <c r="BA131" s="318" t="e">
        <f>IF($J131="",#N/A,SUM(AY$4:AY131,AW$4:AW131,AU$4:AU131))</f>
        <v>#N/A</v>
      </c>
      <c r="BB131" s="304" t="str">
        <f t="shared" si="141"/>
        <v/>
      </c>
      <c r="BC131" s="316" t="e">
        <f>IF($J131="",#N/A,SUM(BB$4:BB131))</f>
        <v>#N/A</v>
      </c>
      <c r="BD131" s="317" t="str">
        <f t="shared" si="142"/>
        <v/>
      </c>
      <c r="BE131" s="317" t="e">
        <f>IF($J131="",#N/A,SUM(BD$4:BD131))</f>
        <v>#N/A</v>
      </c>
      <c r="BF131" s="318" t="str">
        <f t="shared" si="143"/>
        <v/>
      </c>
      <c r="BG131" s="318" t="e">
        <f>IF($J131="",#N/A,SUM(BF$4:BF131))</f>
        <v>#N/A</v>
      </c>
      <c r="BH131" s="318" t="e">
        <f>IF($J131="",#N/A,SUM(BF$4:BF131,BD$4:BD131,BB$4:BB131))</f>
        <v>#N/A</v>
      </c>
      <c r="BI131" s="304" t="str">
        <f t="shared" si="144"/>
        <v/>
      </c>
      <c r="BJ131" s="316" t="e">
        <f>IF($J131="",#N/A,SUM(BI$4:BI131))</f>
        <v>#N/A</v>
      </c>
      <c r="BK131" s="317" t="str">
        <f t="shared" si="145"/>
        <v/>
      </c>
      <c r="BL131" s="317" t="e">
        <f>IF($J131="",#N/A,SUM(BK$4:BK131))</f>
        <v>#N/A</v>
      </c>
      <c r="BM131" s="318" t="str">
        <f t="shared" si="146"/>
        <v/>
      </c>
      <c r="BN131" s="318" t="e">
        <f>IF($J131="",#N/A,SUM(BM$4:BM131))</f>
        <v>#N/A</v>
      </c>
      <c r="BO131" s="318" t="e">
        <f>IF($J131="",#N/A,SUM(BM$4:BM131,BK$4:BK131,BI$4:BI131))</f>
        <v>#N/A</v>
      </c>
      <c r="BP131" s="304" t="str">
        <f t="shared" si="147"/>
        <v/>
      </c>
      <c r="BQ131" s="316" t="e">
        <f>IF($J131="",#N/A,SUM(BP$4:BP131))</f>
        <v>#N/A</v>
      </c>
      <c r="BR131" s="317" t="str">
        <f t="shared" si="148"/>
        <v/>
      </c>
      <c r="BS131" s="317" t="e">
        <f>IF($J131="",#N/A,SUM(BR$4:BR131))</f>
        <v>#N/A</v>
      </c>
      <c r="BT131" s="318" t="str">
        <f t="shared" si="149"/>
        <v/>
      </c>
      <c r="BU131" s="318" t="e">
        <f>IF($J131="",#N/A,SUM(BT$4:BT131))</f>
        <v>#N/A</v>
      </c>
      <c r="BV131" s="318" t="e">
        <f>IF($J131="",#N/A,SUM(BT$4:BT131,BR$4:BR131,BP$4:BP131))</f>
        <v>#N/A</v>
      </c>
      <c r="BW131" s="304" t="str">
        <f t="shared" si="150"/>
        <v/>
      </c>
      <c r="BX131" s="316" t="e">
        <f>IF($J131="",#N/A,SUM(BW$4:BW131))</f>
        <v>#N/A</v>
      </c>
      <c r="BY131" s="317" t="str">
        <f t="shared" si="151"/>
        <v/>
      </c>
      <c r="BZ131" s="317" t="e">
        <f>IF($J131="",#N/A,SUM(BY$4:BY131))</f>
        <v>#N/A</v>
      </c>
      <c r="CA131" s="318" t="str">
        <f t="shared" si="152"/>
        <v/>
      </c>
      <c r="CB131" s="318" t="e">
        <f>IF($J131="",#N/A,SUM(CA$4:CA131))</f>
        <v>#N/A</v>
      </c>
      <c r="CC131" s="318" t="e">
        <f>IF($J131="",#N/A,SUM(CA$4:CA131,BY$4:BY131,BW$4:BW131))</f>
        <v>#N/A</v>
      </c>
      <c r="CD131" s="304" t="str">
        <f t="shared" si="153"/>
        <v/>
      </c>
      <c r="CE131" s="316" t="e">
        <f>IF($J131="",#N/A,SUM(CD$4:CD131))</f>
        <v>#N/A</v>
      </c>
      <c r="CF131" s="317" t="str">
        <f t="shared" si="154"/>
        <v/>
      </c>
      <c r="CG131" s="317" t="e">
        <f>IF($J131="",#N/A,SUM(CF$4:CF131))</f>
        <v>#N/A</v>
      </c>
      <c r="CH131" s="318" t="str">
        <f t="shared" si="155"/>
        <v/>
      </c>
      <c r="CI131" s="318" t="e">
        <f>IF($J131="",#N/A,SUM(CH$4:CH131))</f>
        <v>#N/A</v>
      </c>
      <c r="CJ131" s="318" t="e">
        <f>IF($J131="",#N/A,SUM(CH$4:CH131,CF$4:CF131,CD$4:CD131))</f>
        <v>#N/A</v>
      </c>
      <c r="CK131" s="304" t="str">
        <f t="shared" si="156"/>
        <v/>
      </c>
      <c r="CL131" s="316" t="e">
        <f>IF($J131="",#N/A,SUM(CK$4:CK131))</f>
        <v>#N/A</v>
      </c>
      <c r="CM131" s="317" t="str">
        <f t="shared" si="157"/>
        <v/>
      </c>
      <c r="CN131" s="317" t="e">
        <f>IF($J131="",#N/A,SUM(CM$4:CM131))</f>
        <v>#N/A</v>
      </c>
      <c r="CO131" s="318" t="str">
        <f t="shared" si="158"/>
        <v/>
      </c>
      <c r="CP131" s="318" t="e">
        <f>IF($J131="",#N/A,SUM(CO$4:CO131))</f>
        <v>#N/A</v>
      </c>
      <c r="CQ131" s="318" t="e">
        <f>IF($J131="",#N/A,SUM(CO$4:CO131,CM$4:CM131,CK$4:CK131))</f>
        <v>#N/A</v>
      </c>
      <c r="CR131" s="304" t="str">
        <f t="shared" si="159"/>
        <v/>
      </c>
      <c r="CS131" s="316" t="e">
        <f>IF($J131="",#N/A,SUM(CR$4:CR131))</f>
        <v>#N/A</v>
      </c>
      <c r="CT131" s="317" t="str">
        <f t="shared" si="160"/>
        <v/>
      </c>
      <c r="CU131" s="317" t="e">
        <f>IF($J131="",#N/A,SUM(CT$4:CT131))</f>
        <v>#N/A</v>
      </c>
      <c r="CV131" s="318" t="str">
        <f t="shared" si="161"/>
        <v/>
      </c>
      <c r="CW131" s="318" t="e">
        <f>IF($J131="",#N/A,SUM(CV$4:CV131))</f>
        <v>#N/A</v>
      </c>
      <c r="CX131" s="318" t="e">
        <f>IF($J131="",#N/A,SUM(CV$4:CV131,CT$4:CT131,CR$4:CR131))</f>
        <v>#N/A</v>
      </c>
      <c r="CY131" s="304" t="str">
        <f t="shared" si="162"/>
        <v/>
      </c>
      <c r="CZ131" s="316" t="e">
        <f>IF($J131="",#N/A,SUM(CY$4:CY131))</f>
        <v>#N/A</v>
      </c>
      <c r="DA131" s="317" t="str">
        <f t="shared" si="163"/>
        <v/>
      </c>
      <c r="DB131" s="317" t="e">
        <f>IF($J131="",#N/A,SUM(DA$4:DA131))</f>
        <v>#N/A</v>
      </c>
      <c r="DC131" s="318" t="str">
        <f t="shared" si="164"/>
        <v/>
      </c>
      <c r="DD131" s="318" t="e">
        <f>IF($J131="",#N/A,SUM(DC$4:DC131))</f>
        <v>#N/A</v>
      </c>
      <c r="DE131" s="318" t="e">
        <f>IF($J131="",#N/A,SUM(DC$4:DC131,DA$4:DA131,CY$4:CY131))</f>
        <v>#N/A</v>
      </c>
      <c r="DF131" s="304" t="str">
        <f t="shared" si="165"/>
        <v/>
      </c>
      <c r="DG131" s="316" t="e">
        <f>IF($J131="",#N/A,SUM(DF$4:DF131))</f>
        <v>#N/A</v>
      </c>
      <c r="DH131" s="317" t="str">
        <f t="shared" si="166"/>
        <v/>
      </c>
      <c r="DI131" s="317" t="e">
        <f>IF($J131="",#N/A,SUM(DH$4:DH131))</f>
        <v>#N/A</v>
      </c>
      <c r="DJ131" s="318" t="str">
        <f t="shared" si="167"/>
        <v/>
      </c>
      <c r="DK131" s="318" t="e">
        <f>IF($J131="",#N/A,SUM(DJ$4:DJ131))</f>
        <v>#N/A</v>
      </c>
      <c r="DL131" s="318" t="e">
        <f>IF($J131="",#N/A,SUM(DJ$4:DJ131,DH$4:DH131,DF$4:DF131))</f>
        <v>#N/A</v>
      </c>
      <c r="DM131" s="304" t="str">
        <f t="shared" si="168"/>
        <v/>
      </c>
      <c r="DN131" s="316" t="e">
        <f>IF($J131="",#N/A,SUM(DM$4:DM131))</f>
        <v>#N/A</v>
      </c>
      <c r="DO131" s="317" t="str">
        <f t="shared" si="169"/>
        <v/>
      </c>
      <c r="DP131" s="317" t="e">
        <f>IF($J131="",#N/A,SUM(DO$4:DO131))</f>
        <v>#N/A</v>
      </c>
      <c r="DQ131" s="318" t="str">
        <f t="shared" si="170"/>
        <v/>
      </c>
      <c r="DR131" s="318" t="e">
        <f>IF($J131="",#N/A,SUM(DQ$4:DQ131))</f>
        <v>#N/A</v>
      </c>
      <c r="DS131" s="318" t="e">
        <f>IF($J131="",#N/A,SUM(DQ$4:DQ131,DO$4:DO131,DM$4:DM131))</f>
        <v>#N/A</v>
      </c>
      <c r="DT131" s="304" t="str">
        <f t="shared" si="171"/>
        <v/>
      </c>
      <c r="DU131" s="316" t="e">
        <f>IF($J131="",#N/A,SUM(DT$4:DT131))</f>
        <v>#N/A</v>
      </c>
      <c r="DV131" s="317" t="str">
        <f t="shared" si="172"/>
        <v/>
      </c>
      <c r="DW131" s="317" t="e">
        <f>IF($J131="",#N/A,SUM(DV$4:DV131))</f>
        <v>#N/A</v>
      </c>
      <c r="DX131" s="318" t="str">
        <f t="shared" si="173"/>
        <v/>
      </c>
      <c r="DY131" s="318" t="e">
        <f>IF($J131="",#N/A,SUM(DX$4:DX131))</f>
        <v>#N/A</v>
      </c>
      <c r="DZ131" s="318" t="e">
        <f>IF($J131="",#N/A,SUM(DX$4:DX131,DV$4:DV131,DT$4:DT131))</f>
        <v>#N/A</v>
      </c>
      <c r="EA131" s="304" t="str">
        <f t="shared" si="174"/>
        <v/>
      </c>
      <c r="EB131" s="316" t="e">
        <f>IF($J131="",#N/A,SUM(EA$4:EA131))</f>
        <v>#N/A</v>
      </c>
      <c r="EC131" s="317" t="str">
        <f t="shared" si="175"/>
        <v/>
      </c>
      <c r="ED131" s="317" t="e">
        <f>IF($J131="",#N/A,SUM(EC$4:EC131))</f>
        <v>#N/A</v>
      </c>
      <c r="EE131" s="318" t="str">
        <f t="shared" si="176"/>
        <v/>
      </c>
      <c r="EF131" s="318" t="e">
        <f>IF($J131="",#N/A,SUM(EE$4:EE131))</f>
        <v>#N/A</v>
      </c>
      <c r="EG131" s="318" t="e">
        <f>IF($J131="",#N/A,SUM(EE$4:EE131,EC$4:EC131,EA$4:EA131))</f>
        <v>#N/A</v>
      </c>
      <c r="EH131" s="211">
        <f t="shared" si="177"/>
        <v>16.162296392945848</v>
      </c>
      <c r="EI131" s="63">
        <f>IF(EH131="",#N/A,SUM($EH$4:EH131))</f>
        <v>609.8071782617958</v>
      </c>
      <c r="EJ131" s="223" t="e">
        <f t="shared" si="178"/>
        <v>#N/A</v>
      </c>
      <c r="EK131" s="63" t="e">
        <f>IF($GZ131="",#N/A,SUM(EJ$4:EJ131))</f>
        <v>#N/A</v>
      </c>
      <c r="EL131" s="60">
        <f t="shared" si="209"/>
        <v>0.67342901637274366</v>
      </c>
      <c r="EM131" s="60">
        <f>IF(EL131="",NA(),SUM($EL$4:EL131))</f>
        <v>22.897428402566511</v>
      </c>
      <c r="EN131" s="60" t="str">
        <f t="shared" si="179"/>
        <v/>
      </c>
      <c r="EO131" s="60" t="e">
        <f>IF(EN131="",NA(),SUM($EN$4:EN131))</f>
        <v>#N/A</v>
      </c>
      <c r="EP131" s="60">
        <f t="shared" si="180"/>
        <v>0.67342901637274366</v>
      </c>
      <c r="EQ131" s="60">
        <f>IF(EP131="",NA(),SUM($EP$4:EP131))</f>
        <v>10.133267558909344</v>
      </c>
      <c r="ER131" s="60" t="str">
        <f t="shared" si="181"/>
        <v/>
      </c>
      <c r="ES131" s="60" t="e">
        <f>IF(ER131="",NA(),SUM($ER$4:ER131))</f>
        <v>#N/A</v>
      </c>
      <c r="ET131" s="60" t="str">
        <f t="shared" si="182"/>
        <v/>
      </c>
      <c r="EU131" s="60" t="e">
        <f>IF(ET131="",NA(),SUM($ET$4:ET131))</f>
        <v>#N/A</v>
      </c>
      <c r="EV131" s="60" t="str">
        <f t="shared" si="183"/>
        <v/>
      </c>
      <c r="EW131" s="60" t="e">
        <f>IF(EV131="",NA(),SUM($EV$4:EV131))</f>
        <v>#N/A</v>
      </c>
      <c r="EX131" s="60" t="str">
        <f t="shared" si="184"/>
        <v/>
      </c>
      <c r="EY131" s="60" t="e">
        <f>IF(EX131="",NA(),SUM($EX$4:EX131))</f>
        <v>#N/A</v>
      </c>
      <c r="EZ131" s="60" t="str">
        <f t="shared" si="185"/>
        <v/>
      </c>
      <c r="FA131" s="60" t="e">
        <f>IF(EZ131="",NA(),SUM($EZ$4:EZ131))</f>
        <v>#N/A</v>
      </c>
      <c r="FB131" s="246" t="str">
        <f t="shared" si="210"/>
        <v/>
      </c>
      <c r="FC131" s="246" t="e">
        <f>IF($FB131="",#N/A,SUM(FB$4:$FB131))</f>
        <v>#N/A</v>
      </c>
      <c r="FD131" s="60" t="str">
        <f t="shared" si="186"/>
        <v/>
      </c>
      <c r="FE131" s="60" t="e">
        <f>IF($FD131="",#N/A,SUM($FD$4:FD131))</f>
        <v>#N/A</v>
      </c>
      <c r="FF131" s="60" t="str">
        <f t="shared" si="187"/>
        <v/>
      </c>
      <c r="FG131" s="60" t="e">
        <f>IF($FF131="",#N/A,SUM($FF$4:FF131))</f>
        <v>#N/A</v>
      </c>
      <c r="FH131" s="60" t="str">
        <f t="shared" si="188"/>
        <v/>
      </c>
      <c r="FI131" s="60" t="e">
        <f>IF($FH131="",#N/A,SUM($FH$4:FH131))</f>
        <v>#N/A</v>
      </c>
      <c r="FJ131" s="60">
        <f t="shared" si="189"/>
        <v>-0.78496569720947917</v>
      </c>
      <c r="FK131" s="60">
        <f>IF($FJ131="",#N/A,SUM($FJ$4:FJ131))</f>
        <v>0.18840789074844688</v>
      </c>
      <c r="FL131" s="60" t="str">
        <f t="shared" si="190"/>
        <v/>
      </c>
      <c r="FM131" s="60" t="e">
        <f>IF($FL131="",#N/A,SUM($FL$4:FL131))</f>
        <v>#N/A</v>
      </c>
      <c r="FN131" s="82">
        <f t="shared" si="191"/>
        <v>-0.11153668083673551</v>
      </c>
      <c r="FO131" s="82">
        <f>IF($FN131="",#N/A,SUM(FN$4:$FN131))</f>
        <v>34.351717986117357</v>
      </c>
      <c r="FP131" s="82">
        <f t="shared" si="211"/>
        <v>0.67342901637274366</v>
      </c>
      <c r="FQ131" s="246">
        <f>IF($EH131="",#N/A,SUM($FP$4:FP131))</f>
        <v>24.021378277476515</v>
      </c>
      <c r="FR131" s="82">
        <f>IFERROR(FQ131/COUNTA($J$4:J131),#N/A)</f>
        <v>0.18766701779278527</v>
      </c>
      <c r="FS131" s="82">
        <f t="shared" si="229"/>
        <v>0.1269184174459955</v>
      </c>
      <c r="FT131" s="82">
        <f t="shared" si="225"/>
        <v>0.13165291843635599</v>
      </c>
      <c r="FU131" s="273"/>
      <c r="FV131" s="57" t="str">
        <f t="shared" si="192"/>
        <v>SW</v>
      </c>
      <c r="FW131" s="57" t="s">
        <v>2732</v>
      </c>
      <c r="FX131" s="57" t="str">
        <f t="shared" si="193"/>
        <v/>
      </c>
      <c r="FY131" s="57" t="str">
        <f t="shared" si="194"/>
        <v/>
      </c>
      <c r="FZ131" s="57">
        <f t="shared" si="195"/>
        <v>1</v>
      </c>
      <c r="GA131" s="57" t="str">
        <f t="shared" si="196"/>
        <v>Long</v>
      </c>
      <c r="GB131" s="57" t="str">
        <f t="shared" si="197"/>
        <v/>
      </c>
      <c r="GC131" s="57" t="str">
        <f t="shared" si="198"/>
        <v/>
      </c>
      <c r="GD131" s="57" t="str">
        <f t="shared" si="199"/>
        <v/>
      </c>
      <c r="GE131" s="62">
        <f t="shared" si="227"/>
        <v>237.59</v>
      </c>
      <c r="GF131" s="95" t="s">
        <v>2779</v>
      </c>
      <c r="GG131" s="99">
        <f>400/I131</f>
        <v>1.6835725409318574</v>
      </c>
      <c r="GH131" s="207">
        <f t="shared" si="200"/>
        <v>400</v>
      </c>
      <c r="GI131" s="99">
        <f>GG131</f>
        <v>1.6835725409318574</v>
      </c>
      <c r="GJ131" s="98">
        <f>J131</f>
        <v>247.19</v>
      </c>
      <c r="GK131" s="96">
        <f t="shared" si="201"/>
        <v>16.162296392945848</v>
      </c>
      <c r="GL131" s="63">
        <f t="shared" si="228"/>
        <v>-2.6768803400816523</v>
      </c>
      <c r="GM131" s="82">
        <f t="shared" si="202"/>
        <v>-0.11153668083673551</v>
      </c>
      <c r="GN131" s="82">
        <f>IF($GZ131="",#N/A,SUM(GM$4:GM131))</f>
        <v>14.028286441894409</v>
      </c>
      <c r="GO131" s="82" t="str">
        <f t="shared" si="203"/>
        <v/>
      </c>
      <c r="GP131" s="82">
        <f>IF($GZ131="",#N/A,SUM(GO$4:GO131))</f>
        <v>10.822320064444709</v>
      </c>
      <c r="GQ131" s="82" t="str">
        <f t="shared" si="204"/>
        <v/>
      </c>
      <c r="GR131" s="82">
        <f>IF($GZ131="",#N/A,SUM(GQ$4:GQ131))</f>
        <v>8.8752745253359038</v>
      </c>
      <c r="GS131" s="63" t="e">
        <f t="shared" si="212"/>
        <v>#N/A</v>
      </c>
      <c r="GT131" s="63" t="e">
        <f>IF($GZ131="",#N/A,SUM(GS$4:GS131))</f>
        <v>#N/A</v>
      </c>
      <c r="GU131" s="63" t="str">
        <f t="shared" si="213"/>
        <v/>
      </c>
      <c r="GV131" s="63" t="e">
        <f>IF($GZ131="",#N/A,SUM(GU$4:GU131))</f>
        <v>#N/A</v>
      </c>
      <c r="GW131" s="63" t="str">
        <f t="shared" si="214"/>
        <v/>
      </c>
      <c r="GX131" s="63" t="e">
        <f>IF($GZ131="",#N/A,SUM(GW$4:GW131))</f>
        <v>#N/A</v>
      </c>
      <c r="GY131" s="63" t="e">
        <f>IF(EJ131="",#N/A,SUM($EJ$4:EJ131))</f>
        <v>#N/A</v>
      </c>
      <c r="GZ131" s="158">
        <v>236</v>
      </c>
      <c r="HA131" s="63">
        <f t="shared" si="205"/>
        <v>-18.8391767330275</v>
      </c>
      <c r="HB131" s="130" t="s">
        <v>4970</v>
      </c>
      <c r="HC131" s="60">
        <f>IFERROR(VLOOKUP(E131,Expectancy!$P$4:$S$19,1+C131,FALSE),"")</f>
        <v>-0.17081772033279666</v>
      </c>
      <c r="HD131" s="82" t="str">
        <f t="shared" si="206"/>
        <v/>
      </c>
      <c r="HE131" s="60" t="e">
        <f>IF(HD131="",#N/A,SUM($HD$4:HD131))</f>
        <v>#N/A</v>
      </c>
      <c r="HF131" s="85" t="e">
        <f>IF(HD131="",#N/A,IF(HB131="Skip",#N/A,SUM($HG$4:HG131)))</f>
        <v>#N/A</v>
      </c>
      <c r="HG131" s="205" t="str">
        <f t="shared" si="207"/>
        <v/>
      </c>
      <c r="HH131" s="82">
        <f t="shared" si="208"/>
        <v>-0.11153668083673551</v>
      </c>
    </row>
    <row r="132" spans="1:216" x14ac:dyDescent="0.25">
      <c r="A132" s="57" t="s">
        <v>1285</v>
      </c>
      <c r="B132" s="58" t="s">
        <v>5166</v>
      </c>
      <c r="C132" s="386">
        <f t="shared" ref="C132:C195" si="230">IF(FV132="Dwn",2,IF(FV132="Up",1,IF(FV132="SW",3,"x")))</f>
        <v>1</v>
      </c>
      <c r="D132" s="372" t="str">
        <f>_xlfn.XLOOKUP(A132,[1]SP500!$A$2:$A$502,[1]SP500!$D$2:$D$502,"N")</f>
        <v>Y</v>
      </c>
      <c r="E132" s="57" t="str">
        <f>_xlfn.XLOOKUP(A132,[1]SP500!$A$2:$A$655,[1]SP500!$B$2:$B$655)</f>
        <v>XLF</v>
      </c>
      <c r="F132" s="59">
        <v>45687</v>
      </c>
      <c r="G132" s="57" t="str">
        <f t="shared" ref="G132:G195" si="231">IF(ISNUMBER(FIND("After",B132,1)),"AMC",IF(ISNUMBER(FIND("Before",B132,1)),"BMO","err"))</f>
        <v>AMC</v>
      </c>
      <c r="H132" s="57" t="str">
        <f t="shared" ref="H132:H195" si="232">IF(HB132="other","o",IF(HB132="Skip","o",IF(OR(FV132="",GF132=""),"",IF(AND(FV132="Dwn",GF132="Short"),"s",IF(AND(FV132="Up",GF132="Long"),"s",IF(AND(FV132="SW",GF132="Long"),"s","o"))))))</f>
        <v>s</v>
      </c>
      <c r="I132" s="159">
        <v>343.05</v>
      </c>
      <c r="J132" s="159">
        <v>346.47</v>
      </c>
      <c r="K132" s="61">
        <f t="shared" ref="K132:K195" si="233">IF(J132="","",(J132-I132)/I132)</f>
        <v>9.9693922168780525E-3</v>
      </c>
      <c r="L132" s="87">
        <f t="shared" ref="L132:L195" si="234">IF(OR($GI132="",J132=""),"",IF($GF132="Long",(($J132*$GI132)-$GH132),($GH132-($J132*$GI132))))</f>
        <v>3.4200000000000159</v>
      </c>
      <c r="M132" s="130">
        <f t="shared" si="226"/>
        <v>3.5299999999999727</v>
      </c>
      <c r="N132" s="169">
        <f t="shared" ref="N132:N195" si="235">IF(AND($FV132="Up",$GA132="Long"),$EH132,"")</f>
        <v>3.4200000000000159</v>
      </c>
      <c r="O132" s="169">
        <f>IF($J132="",#N/A,SUM($N$4:N132))</f>
        <v>220.48503433954818</v>
      </c>
      <c r="P132" s="174" t="str">
        <f t="shared" ref="P132:P195" si="236">IF(AND($FV132="Dwn",$GA132="Short"),$EH132,"")</f>
        <v/>
      </c>
      <c r="Q132" s="174">
        <f>IF($J132="",#N/A,SUM($P$4:P132))</f>
        <v>148.88104023772644</v>
      </c>
      <c r="R132" s="178" t="str">
        <f t="shared" ref="R132:R195" si="237">IF(AND($FV132="SW",$GA132="Long"),$EH132,"")</f>
        <v/>
      </c>
      <c r="S132" s="178">
        <f>IF($J132="",#N/A,SUM($R$4:R132))</f>
        <v>243.86110368452103</v>
      </c>
      <c r="T132" s="290">
        <f t="shared" ref="T132:T195" si="238">IF(AND($FV132="Up",$GA132="Long"),$FP132,"")</f>
        <v>0.16615653694796756</v>
      </c>
      <c r="U132" s="290">
        <f>IF($J132="",#N/A,SUM($T$4:T132))</f>
        <v>7.8745442467624969</v>
      </c>
      <c r="V132" s="291" t="str">
        <f t="shared" ref="V132:V195" si="239">IF(AND($FV132="Dwn",$GA132="Short"),$FP132,"")</f>
        <v/>
      </c>
      <c r="W132" s="291">
        <f>IF($J132="",#N/A,SUM($V$4:V132))</f>
        <v>6.3003710611483559</v>
      </c>
      <c r="X132" s="292" t="str">
        <f t="shared" ref="X132:X195" si="240">IF(AND($FV132="SW",$GA132="Long"),$FP132,"")</f>
        <v/>
      </c>
      <c r="Y132" s="283">
        <f>IF($J132="",#N/A,SUM($X$4:X132))</f>
        <v>10.012619506513618</v>
      </c>
      <c r="Z132" s="304" t="str">
        <f t="shared" ref="Z132:Z195" si="241">IF(AND($FV132="Up",$GA132="Long",$E132=Z$2),$FP132,"")</f>
        <v/>
      </c>
      <c r="AA132" s="313" t="e">
        <f>IF($J132="",#N/A,SUM(Z$4:Z132))</f>
        <v>#N/A</v>
      </c>
      <c r="AB132" s="314" t="str">
        <f t="shared" ref="AB132:AB195" si="242">IF(AND($FV132="Dwn",$GA132="Short",$E132=Z$2),$FP132,"")</f>
        <v/>
      </c>
      <c r="AC132" s="314" t="e">
        <f>IF($J132="",#N/A,SUM(AB$4:AB132))</f>
        <v>#N/A</v>
      </c>
      <c r="AD132" s="315" t="str">
        <f t="shared" ref="AD132:AD195" si="243">IF(AND($FV132="SW",$GA132="Long",$E132=Z$2),$FP132,"")</f>
        <v/>
      </c>
      <c r="AE132" s="315" t="e">
        <f>IF($J132="",#N/A,SUM(AD$4:AD132))</f>
        <v>#N/A</v>
      </c>
      <c r="AF132" s="315" t="e">
        <f>IF($J132="",#N/A,SUM(AD$4:AD132,AB$4:AB132,Z$4:Z132))</f>
        <v>#N/A</v>
      </c>
      <c r="AG132" s="304" t="str">
        <f t="shared" ref="AG132:AG195" si="244">IF(AND($FV132="Up",$GA132="Long",$E132=AG$2),$FP132,"")</f>
        <v/>
      </c>
      <c r="AH132" s="313" t="e">
        <f>IF($J132="",#N/A,SUM(AG$4:AG132))</f>
        <v>#N/A</v>
      </c>
      <c r="AI132" s="314" t="str">
        <f t="shared" ref="AI132:AI195" si="245">IF(AND($FV132="Dwn",$GA132="Short",$E132=AG$2),$FP132,"")</f>
        <v/>
      </c>
      <c r="AJ132" s="314" t="e">
        <f>IF($J132="",#N/A,SUM(AI$4:AI132))</f>
        <v>#N/A</v>
      </c>
      <c r="AK132" s="315" t="str">
        <f t="shared" ref="AK132:AK195" si="246">IF(AND($FV132="SW",$GA132="Long",$E132=AG$2),$FP132,"")</f>
        <v/>
      </c>
      <c r="AL132" s="315" t="e">
        <f>IF($J132="",#N/A,SUM(AK$4:AK132))</f>
        <v>#N/A</v>
      </c>
      <c r="AM132" s="315" t="e">
        <f>IF($J132="",#N/A,SUM(AK$4:AK132,AI$4:AI132,AG$4:AG132))</f>
        <v>#N/A</v>
      </c>
      <c r="AN132" s="304" t="str">
        <f t="shared" ref="AN132:AN195" si="247">IF(AND($FV132="Up",$GA132="Long",$E132=AN$2),$FP132,"")</f>
        <v/>
      </c>
      <c r="AO132" s="313" t="e">
        <f>IF($J132="",#N/A,SUM(AN$4:AN132))</f>
        <v>#N/A</v>
      </c>
      <c r="AP132" s="314" t="str">
        <f t="shared" ref="AP132:AP195" si="248">IF(AND($FV132="Dwn",$GA132="Short",$E132=AN$2),$FP132,"")</f>
        <v/>
      </c>
      <c r="AQ132" s="314" t="e">
        <f>IF($J132="",#N/A,SUM(AP$4:AP132))</f>
        <v>#N/A</v>
      </c>
      <c r="AR132" s="315" t="str">
        <f t="shared" ref="AR132:AR195" si="249">IF(AND($FV132="SW",$GA132="Long",$E132=AN$2),$FP132,"")</f>
        <v/>
      </c>
      <c r="AS132" s="315" t="e">
        <f>IF($J132="",#N/A,SUM(AR$4:AR132))</f>
        <v>#N/A</v>
      </c>
      <c r="AT132" s="315" t="e">
        <f>IF($J132="",#N/A,SUM(AR$4:AR132,AP$4:AP132,AN$4:AN132))</f>
        <v>#N/A</v>
      </c>
      <c r="AU132" s="304" t="str">
        <f t="shared" ref="AU132:AU195" si="250">IF(AND($FV132="Up",$GA132="Long",$E132=AU$2),$FP132,"")</f>
        <v/>
      </c>
      <c r="AV132" s="313" t="e">
        <f>IF($J132="",#N/A,SUM(AU$4:AU132))</f>
        <v>#N/A</v>
      </c>
      <c r="AW132" s="314" t="str">
        <f t="shared" ref="AW132:AW195" si="251">IF(AND($FV132="Dwn",$GA132="Short",$E132=AU$2),$FP132,"")</f>
        <v/>
      </c>
      <c r="AX132" s="314" t="e">
        <f>IF($J132="",#N/A,SUM(AW$4:AW132))</f>
        <v>#N/A</v>
      </c>
      <c r="AY132" s="315" t="str">
        <f t="shared" ref="AY132:AY195" si="252">IF(AND($FV132="SW",$GA132="Long",$E132=AU$2),$FP132,"")</f>
        <v/>
      </c>
      <c r="AZ132" s="315" t="e">
        <f>IF($J132="",#N/A,SUM(AY$4:AY132))</f>
        <v>#N/A</v>
      </c>
      <c r="BA132" s="315" t="e">
        <f>IF($J132="",#N/A,SUM(AY$4:AY132,AW$4:AW132,AU$4:AU132))</f>
        <v>#N/A</v>
      </c>
      <c r="BB132" s="304" t="str">
        <f t="shared" ref="BB132:BB195" si="253">IF(AND($FV132="Up",$GA132="Long",$E132=BB$2),$FP132,"")</f>
        <v/>
      </c>
      <c r="BC132" s="313" t="e">
        <f>IF($J132="",#N/A,SUM(BB$4:BB132))</f>
        <v>#N/A</v>
      </c>
      <c r="BD132" s="314" t="str">
        <f t="shared" ref="BD132:BD195" si="254">IF(AND($FV132="Dwn",$GA132="Short",$E132=BB$2),$FP132,"")</f>
        <v/>
      </c>
      <c r="BE132" s="314" t="e">
        <f>IF($J132="",#N/A,SUM(BD$4:BD132))</f>
        <v>#N/A</v>
      </c>
      <c r="BF132" s="315" t="str">
        <f t="shared" ref="BF132:BF195" si="255">IF(AND($FV132="SW",$GA132="Long",$E132=BB$2),$FP132,"")</f>
        <v/>
      </c>
      <c r="BG132" s="315" t="e">
        <f>IF($J132="",#N/A,SUM(BF$4:BF132))</f>
        <v>#N/A</v>
      </c>
      <c r="BH132" s="315" t="e">
        <f>IF($J132="",#N/A,SUM(BF$4:BF132,BD$4:BD132,BB$4:BB132))</f>
        <v>#N/A</v>
      </c>
      <c r="BI132" s="304">
        <f t="shared" ref="BI132:BI195" si="256">IF(AND($FV132="Up",$GA132="Long",$E132=BI$2),$FP132,"")</f>
        <v>0.16615653694796756</v>
      </c>
      <c r="BJ132" s="313" t="e">
        <f>IF($J132="",#N/A,SUM(BI$4:BI132))</f>
        <v>#N/A</v>
      </c>
      <c r="BK132" s="314" t="str">
        <f t="shared" ref="BK132:BK195" si="257">IF(AND($FV132="Dwn",$GA132="Short",$E132=BI$2),$FP132,"")</f>
        <v/>
      </c>
      <c r="BL132" s="314" t="e">
        <f>IF($J132="",#N/A,SUM(BK$4:BK132))</f>
        <v>#N/A</v>
      </c>
      <c r="BM132" s="315" t="str">
        <f t="shared" ref="BM132:BM195" si="258">IF(AND($FV132="SW",$GA132="Long",$E132=BI$2),$FP132,"")</f>
        <v/>
      </c>
      <c r="BN132" s="315" t="e">
        <f>IF($J132="",#N/A,SUM(BM$4:BM132))</f>
        <v>#N/A</v>
      </c>
      <c r="BO132" s="315" t="e">
        <f>IF($J132="",#N/A,SUM(BM$4:BM132,BK$4:BK132,BI$4:BI132))</f>
        <v>#N/A</v>
      </c>
      <c r="BP132" s="304" t="str">
        <f t="shared" ref="BP132:BP195" si="259">IF(AND($FV132="Up",$GA132="Long",$E132=BP$2),$FP132,"")</f>
        <v/>
      </c>
      <c r="BQ132" s="313" t="e">
        <f>IF($J132="",#N/A,SUM(BP$4:BP132))</f>
        <v>#N/A</v>
      </c>
      <c r="BR132" s="314" t="str">
        <f t="shared" ref="BR132:BR195" si="260">IF(AND($FV132="Dwn",$GA132="Short",$E132=BP$2),$FP132,"")</f>
        <v/>
      </c>
      <c r="BS132" s="314" t="e">
        <f>IF($J132="",#N/A,SUM(BR$4:BR132))</f>
        <v>#N/A</v>
      </c>
      <c r="BT132" s="315" t="str">
        <f t="shared" ref="BT132:BT195" si="261">IF(AND($FV132="SW",$GA132="Long",$E132=BP$2),$FP132,"")</f>
        <v/>
      </c>
      <c r="BU132" s="315" t="e">
        <f>IF($J132="",#N/A,SUM(BT$4:BT132))</f>
        <v>#N/A</v>
      </c>
      <c r="BV132" s="315" t="e">
        <f>IF($J132="",#N/A,SUM(BT$4:BT132,BR$4:BR132,BP$4:BP132))</f>
        <v>#N/A</v>
      </c>
      <c r="BW132" s="304" t="str">
        <f t="shared" ref="BW132:BW195" si="262">IF(AND($FV132="Up",$GA132="Long",$E132=BW$2),$FP132,"")</f>
        <v/>
      </c>
      <c r="BX132" s="313" t="e">
        <f>IF($J132="",#N/A,SUM(BW$4:BW132))</f>
        <v>#N/A</v>
      </c>
      <c r="BY132" s="314" t="str">
        <f t="shared" ref="BY132:BY195" si="263">IF(AND($FV132="Dwn",$GA132="Short",$E132=BW$2),$FP132,"")</f>
        <v/>
      </c>
      <c r="BZ132" s="314" t="e">
        <f>IF($J132="",#N/A,SUM(BY$4:BY132))</f>
        <v>#N/A</v>
      </c>
      <c r="CA132" s="315" t="str">
        <f t="shared" ref="CA132:CA195" si="264">IF(AND($FV132="SW",$GA132="Long",$E132=BW$2),$FP132,"")</f>
        <v/>
      </c>
      <c r="CB132" s="315" t="e">
        <f>IF($J132="",#N/A,SUM(CA$4:CA132))</f>
        <v>#N/A</v>
      </c>
      <c r="CC132" s="315" t="e">
        <f>IF($J132="",#N/A,SUM(CA$4:CA132,BY$4:BY132,BW$4:BW132))</f>
        <v>#N/A</v>
      </c>
      <c r="CD132" s="304" t="str">
        <f t="shared" ref="CD132:CD195" si="265">IF(AND($FV132="Up",$GA132="Long",$E132=CD$2),$FP132,"")</f>
        <v/>
      </c>
      <c r="CE132" s="313" t="e">
        <f>IF($J132="",#N/A,SUM(CD$4:CD132))</f>
        <v>#N/A</v>
      </c>
      <c r="CF132" s="314" t="str">
        <f t="shared" ref="CF132:CF195" si="266">IF(AND($FV132="Dwn",$GA132="Short",$E132=CD$2),$FP132,"")</f>
        <v/>
      </c>
      <c r="CG132" s="314" t="e">
        <f>IF($J132="",#N/A,SUM(CF$4:CF132))</f>
        <v>#N/A</v>
      </c>
      <c r="CH132" s="315" t="str">
        <f t="shared" ref="CH132:CH195" si="267">IF(AND($FV132="SW",$GA132="Long",$E132=CD$2),$FP132,"")</f>
        <v/>
      </c>
      <c r="CI132" s="315" t="e">
        <f>IF($J132="",#N/A,SUM(CH$4:CH132))</f>
        <v>#N/A</v>
      </c>
      <c r="CJ132" s="315" t="e">
        <f>IF($J132="",#N/A,SUM(CH$4:CH132,CF$4:CF132,CD$4:CD132))</f>
        <v>#N/A</v>
      </c>
      <c r="CK132" s="304" t="str">
        <f t="shared" ref="CK132:CK195" si="268">IF(AND($FV132="Up",$GA132="Long",$E132=CK$2),$FP132,"")</f>
        <v/>
      </c>
      <c r="CL132" s="313" t="e">
        <f>IF($J132="",#N/A,SUM(CK$4:CK132))</f>
        <v>#N/A</v>
      </c>
      <c r="CM132" s="314" t="str">
        <f t="shared" ref="CM132:CM195" si="269">IF(AND($FV132="Dwn",$GA132="Short",$E132=CK$2),$FP132,"")</f>
        <v/>
      </c>
      <c r="CN132" s="314" t="e">
        <f>IF($J132="",#N/A,SUM(CM$4:CM132))</f>
        <v>#N/A</v>
      </c>
      <c r="CO132" s="315" t="str">
        <f t="shared" ref="CO132:CO195" si="270">IF(AND($FV132="SW",$GA132="Long",$E132=CK$2),$FP132,"")</f>
        <v/>
      </c>
      <c r="CP132" s="315" t="e">
        <f>IF($J132="",#N/A,SUM(CO$4:CO132))</f>
        <v>#N/A</v>
      </c>
      <c r="CQ132" s="315" t="e">
        <f>IF($J132="",#N/A,SUM(CO$4:CO132,CM$4:CM132,CK$4:CK132))</f>
        <v>#N/A</v>
      </c>
      <c r="CR132" s="304" t="str">
        <f t="shared" ref="CR132:CR195" si="271">IF(AND($FV132="Up",$GA132="Long",$E132=CR$2),$FP132,"")</f>
        <v/>
      </c>
      <c r="CS132" s="313" t="e">
        <f>IF($J132="",#N/A,SUM(CR$4:CR132))</f>
        <v>#N/A</v>
      </c>
      <c r="CT132" s="314" t="str">
        <f t="shared" ref="CT132:CT195" si="272">IF(AND($FV132="Dwn",$GA132="Short",$E132=CR$2),$FP132,"")</f>
        <v/>
      </c>
      <c r="CU132" s="314" t="e">
        <f>IF($J132="",#N/A,SUM(CT$4:CT132))</f>
        <v>#N/A</v>
      </c>
      <c r="CV132" s="315" t="str">
        <f t="shared" ref="CV132:CV195" si="273">IF(AND($FV132="SW",$GA132="Long",$E132=CR$2),$FP132,"")</f>
        <v/>
      </c>
      <c r="CW132" s="315" t="e">
        <f>IF($J132="",#N/A,SUM(CV$4:CV132))</f>
        <v>#N/A</v>
      </c>
      <c r="CX132" s="315" t="e">
        <f>IF($J132="",#N/A,SUM(CV$4:CV132,CT$4:CT132,CR$4:CR132))</f>
        <v>#N/A</v>
      </c>
      <c r="CY132" s="304" t="str">
        <f t="shared" ref="CY132:CY195" si="274">IF(AND($FV132="Up",$GA132="Long",$E132=CY$2),$FP132,"")</f>
        <v/>
      </c>
      <c r="CZ132" s="313" t="e">
        <f>IF($J132="",#N/A,SUM(CY$4:CY132))</f>
        <v>#N/A</v>
      </c>
      <c r="DA132" s="314" t="str">
        <f t="shared" ref="DA132:DA195" si="275">IF(AND($FV132="Dwn",$GA132="Short",$E132=CY$2),$FP132,"")</f>
        <v/>
      </c>
      <c r="DB132" s="314" t="e">
        <f>IF($J132="",#N/A,SUM(DA$4:DA132))</f>
        <v>#N/A</v>
      </c>
      <c r="DC132" s="315" t="str">
        <f t="shared" ref="DC132:DC195" si="276">IF(AND($FV132="SW",$GA132="Long",$E132=CY$2),$FP132,"")</f>
        <v/>
      </c>
      <c r="DD132" s="315" t="e">
        <f>IF($J132="",#N/A,SUM(DC$4:DC132))</f>
        <v>#N/A</v>
      </c>
      <c r="DE132" s="315" t="e">
        <f>IF($J132="",#N/A,SUM(DC$4:DC132,DA$4:DA132,CY$4:CY132))</f>
        <v>#N/A</v>
      </c>
      <c r="DF132" s="304" t="str">
        <f t="shared" ref="DF132:DF195" si="277">IF(AND($FV132="Up",$GA132="Long",$E132=DF$2),$FP132,"")</f>
        <v/>
      </c>
      <c r="DG132" s="313" t="e">
        <f>IF($J132="",#N/A,SUM(DF$4:DF132))</f>
        <v>#N/A</v>
      </c>
      <c r="DH132" s="314" t="str">
        <f t="shared" ref="DH132:DH195" si="278">IF(AND($FV132="Dwn",$GA132="Short",$E132=DF$2),$FP132,"")</f>
        <v/>
      </c>
      <c r="DI132" s="314" t="e">
        <f>IF($J132="",#N/A,SUM(DH$4:DH132))</f>
        <v>#N/A</v>
      </c>
      <c r="DJ132" s="315" t="str">
        <f t="shared" ref="DJ132:DJ195" si="279">IF(AND($FV132="SW",$GA132="Long",$E132=DF$2),$FP132,"")</f>
        <v/>
      </c>
      <c r="DK132" s="315" t="e">
        <f>IF($J132="",#N/A,SUM(DJ$4:DJ132))</f>
        <v>#N/A</v>
      </c>
      <c r="DL132" s="315" t="e">
        <f>IF($J132="",#N/A,SUM(DJ$4:DJ132,DH$4:DH132,DF$4:DF132))</f>
        <v>#N/A</v>
      </c>
      <c r="DM132" s="304" t="str">
        <f t="shared" ref="DM132:DM195" si="280">IF(AND($FV132="Up",$GA132="Long",$E132=DM$2),$FP132,"")</f>
        <v/>
      </c>
      <c r="DN132" s="313" t="e">
        <f>IF($J132="",#N/A,SUM(DM$4:DM132))</f>
        <v>#N/A</v>
      </c>
      <c r="DO132" s="314" t="str">
        <f t="shared" ref="DO132:DO195" si="281">IF(AND($FV132="Dwn",$GA132="Short",$E132=DM$2),$FP132,"")</f>
        <v/>
      </c>
      <c r="DP132" s="314" t="e">
        <f>IF($J132="",#N/A,SUM(DO$4:DO132))</f>
        <v>#N/A</v>
      </c>
      <c r="DQ132" s="315" t="str">
        <f t="shared" ref="DQ132:DQ195" si="282">IF(AND($FV132="SW",$GA132="Long",$E132=DM$2),$FP132,"")</f>
        <v/>
      </c>
      <c r="DR132" s="315" t="e">
        <f>IF($J132="",#N/A,SUM(DQ$4:DQ132))</f>
        <v>#N/A</v>
      </c>
      <c r="DS132" s="315" t="e">
        <f>IF($J132="",#N/A,SUM(DQ$4:DQ132,DO$4:DO132,DM$4:DM132))</f>
        <v>#N/A</v>
      </c>
      <c r="DT132" s="304" t="str">
        <f t="shared" ref="DT132:DT195" si="283">IF(AND($FV132="Up",$GA132="Long",$E132=DT$2),$FP132,"")</f>
        <v/>
      </c>
      <c r="DU132" s="313" t="e">
        <f>IF($J132="",#N/A,SUM(DT$4:DT132))</f>
        <v>#N/A</v>
      </c>
      <c r="DV132" s="314" t="str">
        <f t="shared" ref="DV132:DV195" si="284">IF(AND($FV132="Dwn",$GA132="Short",$E132=DT$2),$FP132,"")</f>
        <v/>
      </c>
      <c r="DW132" s="314" t="e">
        <f>IF($J132="",#N/A,SUM(DV$4:DV132))</f>
        <v>#N/A</v>
      </c>
      <c r="DX132" s="315" t="str">
        <f t="shared" ref="DX132:DX195" si="285">IF(AND($FV132="SW",$GA132="Long",$E132=DT$2),$FP132,"")</f>
        <v/>
      </c>
      <c r="DY132" s="315" t="e">
        <f>IF($J132="",#N/A,SUM(DX$4:DX132))</f>
        <v>#N/A</v>
      </c>
      <c r="DZ132" s="315" t="e">
        <f>IF($J132="",#N/A,SUM(DX$4:DX132,DV$4:DV132,DT$4:DT132))</f>
        <v>#N/A</v>
      </c>
      <c r="EA132" s="304" t="str">
        <f t="shared" ref="EA132:EA195" si="286">IF(AND($FV132="Up",$GA132="Long",$E132=EA$2),$FP132,"")</f>
        <v/>
      </c>
      <c r="EB132" s="313" t="e">
        <f>IF($J132="",#N/A,SUM(EA$4:EA132))</f>
        <v>#N/A</v>
      </c>
      <c r="EC132" s="314" t="str">
        <f t="shared" ref="EC132:EC195" si="287">IF(AND($FV132="Dwn",$GA132="Short",$E132=EA$2),$FP132,"")</f>
        <v/>
      </c>
      <c r="ED132" s="314" t="e">
        <f>IF($J132="",#N/A,SUM(EC$4:EC132))</f>
        <v>#N/A</v>
      </c>
      <c r="EE132" s="315" t="str">
        <f t="shared" ref="EE132:EE195" si="288">IF(AND($FV132="SW",$GA132="Long",$E132=EA$2),$FP132,"")</f>
        <v/>
      </c>
      <c r="EF132" s="315" t="e">
        <f>IF($J132="",#N/A,SUM(EE$4:EE132))</f>
        <v>#N/A</v>
      </c>
      <c r="EG132" s="315" t="e">
        <f>IF($J132="",#N/A,SUM(EE$4:EE132,EC$4:EC132,EA$4:EA132))</f>
        <v>#N/A</v>
      </c>
      <c r="EH132" s="130">
        <f t="shared" ref="EH132:EH195" si="289">IF(OR($GI132="",L132=""),"",IF($GA132="Long",(($J132*$GI132)-$GH132),($GH132-($J132*$GI132))))</f>
        <v>3.4200000000000159</v>
      </c>
      <c r="EI132" s="63">
        <f>IF(EH132="",#N/A,SUM($EH$4:EH132))</f>
        <v>613.22717826179587</v>
      </c>
      <c r="EJ132" s="223" t="e">
        <f t="shared" ref="EJ132:EJ195" si="290">IF(GZ132="","",IF(OR($GI132="",AM132=""),"",IF($GA132="Long",(($GZ132*$GI132)-$GH132),($GH132-($GZ132*$GI132)))))</f>
        <v>#N/A</v>
      </c>
      <c r="EK132" s="63" t="e">
        <f>IF($GZ132="",#N/A,SUM(EJ$4:EJ132))</f>
        <v>#N/A</v>
      </c>
      <c r="EL132" s="60">
        <f t="shared" si="209"/>
        <v>0.16615653694796756</v>
      </c>
      <c r="EM132" s="60">
        <f>IF(EL132="",NA(),SUM($EL$4:EL132))</f>
        <v>23.063584939514477</v>
      </c>
      <c r="EN132" s="60">
        <f t="shared" ref="EN132:EN195" si="291">IF(AND($FV132="Up",$GA132="Long",$D132="Y"),$EL132,"")</f>
        <v>0.16615653694796756</v>
      </c>
      <c r="EO132" s="60">
        <f>IF(EN132="",NA(),SUM($EN$4:EN132))</f>
        <v>7.332341772156731</v>
      </c>
      <c r="EP132" s="60" t="str">
        <f t="shared" ref="EP132:EP195" si="292">IF(AND($FV132="SW",$GA132="Long",$D132="Y"),$EL132,"")</f>
        <v/>
      </c>
      <c r="EQ132" s="60" t="e">
        <f>IF(EP132="",NA(),SUM($EP$4:EP132))</f>
        <v>#N/A</v>
      </c>
      <c r="ER132" s="60" t="str">
        <f t="shared" ref="ER132:ER195" si="293">IF(AND($FV132="Dwn",$GA132="Short",$D132="Y"),$EL132,"")</f>
        <v/>
      </c>
      <c r="ES132" s="60" t="e">
        <f>IF(ER132="",NA(),SUM($ER$4:ER132))</f>
        <v>#N/A</v>
      </c>
      <c r="ET132" s="60" t="str">
        <f t="shared" ref="ET132:ET195" si="294">IF($J132="","",IF($D132="N",$FP132,""))</f>
        <v/>
      </c>
      <c r="EU132" s="60" t="e">
        <f>IF(ET132="",NA(),SUM($ET$4:ET132))</f>
        <v>#N/A</v>
      </c>
      <c r="EV132" s="60" t="str">
        <f t="shared" ref="EV132:EV195" si="295">IF(AND($FV132="Up",$GA132="Long",$D132="N"),$ET132,"")</f>
        <v/>
      </c>
      <c r="EW132" s="60" t="e">
        <f>IF(EV132="",NA(),SUM($EV$4:EV132))</f>
        <v>#N/A</v>
      </c>
      <c r="EX132" s="60" t="str">
        <f t="shared" ref="EX132:EX195" si="296">IF(AND($FV132="SW",$GA132="Long",$D132="N"),$ET132,"")</f>
        <v/>
      </c>
      <c r="EY132" s="60" t="e">
        <f>IF(EX132="",NA(),SUM($EX$4:EX132))</f>
        <v>#N/A</v>
      </c>
      <c r="EZ132" s="60" t="str">
        <f t="shared" ref="EZ132:EZ195" si="297">IF(AND($FV132="Dwn",$GA132="Short",$D132="N"),$ET132,"")</f>
        <v/>
      </c>
      <c r="FA132" s="60" t="e">
        <f>IF(EZ132="",NA(),SUM($EZ$4:EZ132))</f>
        <v>#N/A</v>
      </c>
      <c r="FB132" s="246" t="str">
        <f t="shared" si="210"/>
        <v/>
      </c>
      <c r="FC132" s="246" t="e">
        <f>IF($FB132="",#N/A,SUM(FB$4:$FB132))</f>
        <v>#N/A</v>
      </c>
      <c r="FD132" s="60" t="str">
        <f t="shared" ref="FD132:FD195" si="298">IF($GZ132="","",IF(AND($FV132="Dwn",$K132&gt;0),$FN132-$FP132,""))</f>
        <v/>
      </c>
      <c r="FE132" s="60" t="e">
        <f>IF($FD132="",#N/A,SUM($FD$4:FD132))</f>
        <v>#N/A</v>
      </c>
      <c r="FF132" s="60">
        <f t="shared" ref="FF132:FF195" si="299">IF($GZ132="","",IF(AND($FV132="Up",$K132&gt;0),$FN132-$FP132,""))</f>
        <v>-0.22688626536462209</v>
      </c>
      <c r="FG132" s="60">
        <f>IF($FF132="",#N/A,SUM($FF$4:FF132))</f>
        <v>0.51633736070089142</v>
      </c>
      <c r="FH132" s="60" t="str">
        <f t="shared" ref="FH132:FH195" si="300">IF($GZ132="","",IF(AND($FV132="Up",$K132&lt;0),$FN132-$FP132,""))</f>
        <v/>
      </c>
      <c r="FI132" s="60" t="e">
        <f>IF($FH132="",#N/A,SUM($FH$4:FH132))</f>
        <v>#N/A</v>
      </c>
      <c r="FJ132" s="60" t="str">
        <f t="shared" ref="FJ132:FJ195" si="301">IF($GZ132="","",IF(AND($FV132="SW",$K132&gt;0),$FN132-$FP132,""))</f>
        <v/>
      </c>
      <c r="FK132" s="60" t="e">
        <f>IF($FJ132="",#N/A,SUM($FJ$4:FJ132))</f>
        <v>#N/A</v>
      </c>
      <c r="FL132" s="60" t="str">
        <f t="shared" ref="FL132:FL195" si="302">IF($GZ132="","",IF(AND($FV132="SW",$K132&lt;0),$FN132-$FP132,""))</f>
        <v/>
      </c>
      <c r="FM132" s="60" t="e">
        <f>IF($FL132="",#N/A,SUM($FL$4:FL132))</f>
        <v>#N/A</v>
      </c>
      <c r="FN132" s="82">
        <f t="shared" ref="FN132:FN195" si="303">IF(OR($GI132="",$GZ132=""),"",IF($GA132="Long",(($GZ132*$GI132)-$GH132)/($GH132*0.06),($GH132-($GZ132*$GI132))/($GH132*0.06)))</f>
        <v>-6.0729728416654527E-2</v>
      </c>
      <c r="FO132" s="82">
        <f>IF($FN132="",#N/A,SUM(FN$4:$FN132))</f>
        <v>34.290988257700704</v>
      </c>
      <c r="FP132" s="82">
        <f t="shared" si="211"/>
        <v>0.16615653694796756</v>
      </c>
      <c r="FQ132" s="246">
        <f>IF($EH132="",#N/A,SUM($FP$4:FP132))</f>
        <v>24.187534814424481</v>
      </c>
      <c r="FR132" s="82">
        <f>IFERROR(FQ132/COUNTA($J$4:J132),#N/A)</f>
        <v>0.18750026987925955</v>
      </c>
      <c r="FS132" s="82">
        <f t="shared" si="229"/>
        <v>0.11897452132446323</v>
      </c>
      <c r="FT132" s="82">
        <f t="shared" si="225"/>
        <v>0.17020650210508206</v>
      </c>
      <c r="FU132" s="337">
        <f t="shared" ref="FU132:FU143" si="304">IF(AND(HB132="MOC",GZ132=""),#N/A,IFERROR(FQ132-HE132,FQ132-0))-14.53</f>
        <v>8.2944813832243813</v>
      </c>
      <c r="FV132" s="57" t="str">
        <f t="shared" ref="FV132:FV195" si="305">IF(FW132="Down","Dwn",IF(FW132="Up","Up",IF(AND(FW132="",K132=""),"",IF(AND(K132&lt;0,FW132="Yes"),"Dwn",IF(AND(K132&gt;0,FW132="Yes"),"Up",IF(AND(K132&lt;0,FW132="No"),"Up",IF(AND(K132&gt;0,FW132="No"),"Dwn",IF(FW132="NA","SW","err"))))))))</f>
        <v>Up</v>
      </c>
      <c r="FW132" s="57" t="s">
        <v>2733</v>
      </c>
      <c r="FX132" s="57">
        <f t="shared" ref="FX132:FX195" si="306">IF(K132="","",IF(AND(K132&gt;0,FW132="Yes"),1,""))</f>
        <v>1</v>
      </c>
      <c r="FY132" s="57" t="str">
        <f t="shared" ref="FY132:FY195" si="307">IF(K132="","",IF(AND($K132&gt;0,$FW132="No"),1,""))</f>
        <v/>
      </c>
      <c r="FZ132" s="57" t="str">
        <f t="shared" ref="FZ132:FZ195" si="308">IF(K132="","",IF(AND($K132&gt;0,$FW132="NA"),1,""))</f>
        <v/>
      </c>
      <c r="GA132" s="57" t="str">
        <f t="shared" ref="GA132:GA195" si="309">IF(FV132="Dwn","Short","Long")</f>
        <v>Long</v>
      </c>
      <c r="GB132" s="57" t="str">
        <f t="shared" ref="GB132:GB195" si="310">IF(K132="","",IF(AND($K132&lt;0,$FW132="Yes"),1,""))</f>
        <v/>
      </c>
      <c r="GC132" s="57" t="str">
        <f t="shared" ref="GC132:GC195" si="311">IF(K132="","",IF(AND($K132&lt;0,$FW132="No"),1,""))</f>
        <v/>
      </c>
      <c r="GD132" s="57" t="str">
        <f t="shared" ref="GD132:GD195" si="312">IF(K132="","",IF(AND($K132&lt;0,$FW132="NA"),1,""))</f>
        <v/>
      </c>
      <c r="GE132" s="62">
        <f t="shared" si="227"/>
        <v>343.05</v>
      </c>
      <c r="GF132" s="62" t="s">
        <v>2779</v>
      </c>
      <c r="GG132" s="199">
        <v>1</v>
      </c>
      <c r="GH132" s="207">
        <f t="shared" ref="GH132:GH195" si="313">IF(GG132="","",GE132*GG132)</f>
        <v>343.05</v>
      </c>
      <c r="GI132" s="199">
        <v>1</v>
      </c>
      <c r="GJ132" s="200">
        <v>350</v>
      </c>
      <c r="GK132" s="63">
        <f t="shared" ref="GK132:GK195" si="314">IF($GI132="","",IF($GF132="Long",(($GJ132*$GI132)-$GH132),($GH132-($GJ132*$GI132))))</f>
        <v>6.9499999999999886</v>
      </c>
      <c r="GL132" s="63">
        <f t="shared" si="228"/>
        <v>-1.25</v>
      </c>
      <c r="GM132" s="82" t="str">
        <f t="shared" ref="GM132:GM195" si="315">IF(AND($FV132="SW",$GA132="Long"),$FN132,"")</f>
        <v/>
      </c>
      <c r="GN132" s="82">
        <f>IF($GZ132="",#N/A,SUM(GM$4:GM132))</f>
        <v>14.028286441894409</v>
      </c>
      <c r="GO132" s="82">
        <f t="shared" ref="GO132:GO195" si="316">IF(AND($FV132="UP",$GA132="Long"),$FN132,"")</f>
        <v>-6.0729728416654527E-2</v>
      </c>
      <c r="GP132" s="82">
        <f>IF($GZ132="",#N/A,SUM(GO$4:GO132))</f>
        <v>10.761590336028053</v>
      </c>
      <c r="GQ132" s="82" t="str">
        <f t="shared" ref="GQ132:GQ195" si="317">IF(AND($FV132="Dwn",$GA132="Short"),$FN132,"")</f>
        <v/>
      </c>
      <c r="GR132" s="82">
        <f>IF($GZ132="",#N/A,SUM(GQ$4:GQ132))</f>
        <v>8.8752745253359038</v>
      </c>
      <c r="GS132" s="63" t="str">
        <f t="shared" si="212"/>
        <v/>
      </c>
      <c r="GT132" s="63" t="e">
        <f>IF($GZ132="",#N/A,SUM(GS$4:GS132))</f>
        <v>#N/A</v>
      </c>
      <c r="GU132" s="63" t="e">
        <f t="shared" si="213"/>
        <v>#N/A</v>
      </c>
      <c r="GV132" s="63" t="e">
        <f>IF($GZ132="",#N/A,SUM(GU$4:GU132))</f>
        <v>#N/A</v>
      </c>
      <c r="GW132" s="63" t="str">
        <f t="shared" si="214"/>
        <v/>
      </c>
      <c r="GX132" s="63" t="e">
        <f>IF($GZ132="",#N/A,SUM(GW$4:GW132))</f>
        <v>#N/A</v>
      </c>
      <c r="GY132" s="63" t="e">
        <f>IF(EJ132="",#N/A,SUM($EJ$4:EJ132))</f>
        <v>#N/A</v>
      </c>
      <c r="GZ132" s="159">
        <v>341.8</v>
      </c>
      <c r="HA132" s="63">
        <f t="shared" ref="HA132:HA195" si="318">IF(OR(GL132="",GZ132=""),"",GL132-EH132)</f>
        <v>-4.6700000000000159</v>
      </c>
      <c r="HB132" s="62" t="s">
        <v>2538</v>
      </c>
      <c r="HC132" s="60">
        <f>IFERROR(VLOOKUP(E132,Expectancy!$P$4:$S$19,1+C132,FALSE),"")</f>
        <v>-7.9483352726509887E-2</v>
      </c>
      <c r="HD132" s="82">
        <f t="shared" ref="HD132:HD195" si="319">IF(AND(HB132="MOC",GZ132=""),"",IF(GI132="","",IF(HB132="Skip","",IF(HG132=0,0,HG132/(GH132*0.06)))))</f>
        <v>0.33765728999659861</v>
      </c>
      <c r="HE132" s="60">
        <f>IF(HD132="",#N/A,SUM($HD$4:HD132))</f>
        <v>1.3630534312000986</v>
      </c>
      <c r="HF132" s="85">
        <f>IF(HD132="",#N/A,IF(HB132="Skip",#N/A,SUM($HG$4:HG132)))</f>
        <v>48.609999999999957</v>
      </c>
      <c r="HG132" s="63">
        <f t="shared" ref="HG132:HG195" si="320">IF(HB132="","",IF(HB132="Skip","",IF(OR(HB132="open",HB132="Other"),GK132,IF(HB132="MOC",GL132,"Err"))))</f>
        <v>6.9499999999999886</v>
      </c>
      <c r="HH132" s="82">
        <f t="shared" ref="HH132:HH195" si="321">IF(OR($GI132="",$L132=""),"",IF($GA132="Long",(($GZ132*$GI132)-$GH132)/($GH132*0.06),($GH132-($GZ132*$GI132))/($GH132*0.06)))</f>
        <v>-6.0729728416654527E-2</v>
      </c>
    </row>
    <row r="133" spans="1:216" x14ac:dyDescent="0.25">
      <c r="A133" s="57" t="s">
        <v>1349</v>
      </c>
      <c r="B133" s="58" t="s">
        <v>5167</v>
      </c>
      <c r="C133" s="386">
        <f t="shared" si="230"/>
        <v>3</v>
      </c>
      <c r="D133" s="372" t="str">
        <f>_xlfn.XLOOKUP(A133,[1]SP500!$A$2:$A$502,[1]SP500!$D$2:$D$502,"N")</f>
        <v>Y</v>
      </c>
      <c r="E133" s="57" t="str">
        <f>_xlfn.XLOOKUP(A133,[1]SP500!$A$2:$A$655,[1]SP500!$B$2:$B$655)</f>
        <v>SMH</v>
      </c>
      <c r="F133" s="59">
        <v>45687</v>
      </c>
      <c r="G133" s="57" t="str">
        <f t="shared" si="231"/>
        <v>AMC</v>
      </c>
      <c r="H133" s="57" t="str">
        <f t="shared" si="232"/>
        <v>s</v>
      </c>
      <c r="I133" s="159">
        <v>20.010000000000002</v>
      </c>
      <c r="J133" s="158">
        <v>20.100000000000001</v>
      </c>
      <c r="K133" s="61">
        <f t="shared" si="233"/>
        <v>4.4977511244377738E-3</v>
      </c>
      <c r="L133" s="87">
        <f t="shared" si="234"/>
        <v>1.7999999999999545</v>
      </c>
      <c r="M133" s="130">
        <f t="shared" si="226"/>
        <v>-1.7999999999999545</v>
      </c>
      <c r="N133" s="169" t="str">
        <f t="shared" si="235"/>
        <v/>
      </c>
      <c r="O133" s="169">
        <f>IF($J133="",#N/A,SUM($N$4:N133))</f>
        <v>220.48503433954818</v>
      </c>
      <c r="P133" s="174" t="str">
        <f t="shared" si="236"/>
        <v/>
      </c>
      <c r="Q133" s="174">
        <f>IF($J133="",#N/A,SUM($P$4:P133))</f>
        <v>148.88104023772644</v>
      </c>
      <c r="R133" s="178">
        <f t="shared" si="237"/>
        <v>1.7999999999999545</v>
      </c>
      <c r="S133" s="178">
        <f>IF($J133="",#N/A,SUM($R$4:R133))</f>
        <v>245.66110368452098</v>
      </c>
      <c r="T133" s="290" t="str">
        <f t="shared" si="238"/>
        <v/>
      </c>
      <c r="U133" s="290">
        <f>IF($J133="",#N/A,SUM($T$4:T133))</f>
        <v>7.8745442467624969</v>
      </c>
      <c r="V133" s="291" t="str">
        <f t="shared" si="239"/>
        <v/>
      </c>
      <c r="W133" s="291">
        <f>IF($J133="",#N/A,SUM($V$4:V133))</f>
        <v>6.3003710611483559</v>
      </c>
      <c r="X133" s="292">
        <f t="shared" si="240"/>
        <v>7.4962518740627787E-2</v>
      </c>
      <c r="Y133" s="283">
        <f>IF($J133="",#N/A,SUM($X$4:X133))</f>
        <v>10.087582025254246</v>
      </c>
      <c r="Z133" s="304" t="str">
        <f t="shared" si="241"/>
        <v/>
      </c>
      <c r="AA133" s="313" t="e">
        <f>IF($J133="",#N/A,SUM(Z$4:Z133))</f>
        <v>#N/A</v>
      </c>
      <c r="AB133" s="314" t="str">
        <f t="shared" si="242"/>
        <v/>
      </c>
      <c r="AC133" s="314" t="e">
        <f>IF($J133="",#N/A,SUM(AB$4:AB133))</f>
        <v>#N/A</v>
      </c>
      <c r="AD133" s="315" t="str">
        <f t="shared" si="243"/>
        <v/>
      </c>
      <c r="AE133" s="315" t="e">
        <f>IF($J133="",#N/A,SUM(AD$4:AD133))</f>
        <v>#N/A</v>
      </c>
      <c r="AF133" s="315" t="e">
        <f>IF($J133="",#N/A,SUM(AD$4:AD133,AB$4:AB133,Z$4:Z133))</f>
        <v>#N/A</v>
      </c>
      <c r="AG133" s="304" t="str">
        <f t="shared" si="244"/>
        <v/>
      </c>
      <c r="AH133" s="313" t="e">
        <f>IF($J133="",#N/A,SUM(AG$4:AG133))</f>
        <v>#N/A</v>
      </c>
      <c r="AI133" s="314" t="str">
        <f t="shared" si="245"/>
        <v/>
      </c>
      <c r="AJ133" s="314" t="e">
        <f>IF($J133="",#N/A,SUM(AI$4:AI133))</f>
        <v>#N/A</v>
      </c>
      <c r="AK133" s="315" t="str">
        <f t="shared" si="246"/>
        <v/>
      </c>
      <c r="AL133" s="315" t="e">
        <f>IF($J133="",#N/A,SUM(AK$4:AK133))</f>
        <v>#N/A</v>
      </c>
      <c r="AM133" s="315" t="e">
        <f>IF($J133="",#N/A,SUM(AK$4:AK133,AI$4:AI133,AG$4:AG133))</f>
        <v>#N/A</v>
      </c>
      <c r="AN133" s="304" t="str">
        <f t="shared" si="247"/>
        <v/>
      </c>
      <c r="AO133" s="313" t="e">
        <f>IF($J133="",#N/A,SUM(AN$4:AN133))</f>
        <v>#N/A</v>
      </c>
      <c r="AP133" s="314" t="str">
        <f t="shared" si="248"/>
        <v/>
      </c>
      <c r="AQ133" s="314" t="e">
        <f>IF($J133="",#N/A,SUM(AP$4:AP133))</f>
        <v>#N/A</v>
      </c>
      <c r="AR133" s="315" t="str">
        <f t="shared" si="249"/>
        <v/>
      </c>
      <c r="AS133" s="315" t="e">
        <f>IF($J133="",#N/A,SUM(AR$4:AR133))</f>
        <v>#N/A</v>
      </c>
      <c r="AT133" s="315" t="e">
        <f>IF($J133="",#N/A,SUM(AR$4:AR133,AP$4:AP133,AN$4:AN133))</f>
        <v>#N/A</v>
      </c>
      <c r="AU133" s="304" t="str">
        <f t="shared" si="250"/>
        <v/>
      </c>
      <c r="AV133" s="313" t="e">
        <f>IF($J133="",#N/A,SUM(AU$4:AU133))</f>
        <v>#N/A</v>
      </c>
      <c r="AW133" s="314" t="str">
        <f t="shared" si="251"/>
        <v/>
      </c>
      <c r="AX133" s="314" t="e">
        <f>IF($J133="",#N/A,SUM(AW$4:AW133))</f>
        <v>#N/A</v>
      </c>
      <c r="AY133" s="315" t="str">
        <f t="shared" si="252"/>
        <v/>
      </c>
      <c r="AZ133" s="315" t="e">
        <f>IF($J133="",#N/A,SUM(AY$4:AY133))</f>
        <v>#N/A</v>
      </c>
      <c r="BA133" s="315" t="e">
        <f>IF($J133="",#N/A,SUM(AY$4:AY133,AW$4:AW133,AU$4:AU133))</f>
        <v>#N/A</v>
      </c>
      <c r="BB133" s="304" t="str">
        <f t="shared" si="253"/>
        <v/>
      </c>
      <c r="BC133" s="313" t="e">
        <f>IF($J133="",#N/A,SUM(BB$4:BB133))</f>
        <v>#N/A</v>
      </c>
      <c r="BD133" s="314" t="str">
        <f t="shared" si="254"/>
        <v/>
      </c>
      <c r="BE133" s="314" t="e">
        <f>IF($J133="",#N/A,SUM(BD$4:BD133))</f>
        <v>#N/A</v>
      </c>
      <c r="BF133" s="315" t="str">
        <f t="shared" si="255"/>
        <v/>
      </c>
      <c r="BG133" s="315" t="e">
        <f>IF($J133="",#N/A,SUM(BF$4:BF133))</f>
        <v>#N/A</v>
      </c>
      <c r="BH133" s="315" t="e">
        <f>IF($J133="",#N/A,SUM(BF$4:BF133,BD$4:BD133,BB$4:BB133))</f>
        <v>#N/A</v>
      </c>
      <c r="BI133" s="304" t="str">
        <f t="shared" si="256"/>
        <v/>
      </c>
      <c r="BJ133" s="313" t="e">
        <f>IF($J133="",#N/A,SUM(BI$4:BI133))</f>
        <v>#N/A</v>
      </c>
      <c r="BK133" s="314" t="str">
        <f t="shared" si="257"/>
        <v/>
      </c>
      <c r="BL133" s="314" t="e">
        <f>IF($J133="",#N/A,SUM(BK$4:BK133))</f>
        <v>#N/A</v>
      </c>
      <c r="BM133" s="315" t="str">
        <f t="shared" si="258"/>
        <v/>
      </c>
      <c r="BN133" s="315" t="e">
        <f>IF($J133="",#N/A,SUM(BM$4:BM133))</f>
        <v>#N/A</v>
      </c>
      <c r="BO133" s="315" t="e">
        <f>IF($J133="",#N/A,SUM(BM$4:BM133,BK$4:BK133,BI$4:BI133))</f>
        <v>#N/A</v>
      </c>
      <c r="BP133" s="304" t="str">
        <f t="shared" si="259"/>
        <v/>
      </c>
      <c r="BQ133" s="313" t="e">
        <f>IF($J133="",#N/A,SUM(BP$4:BP133))</f>
        <v>#N/A</v>
      </c>
      <c r="BR133" s="314" t="str">
        <f t="shared" si="260"/>
        <v/>
      </c>
      <c r="BS133" s="314" t="e">
        <f>IF($J133="",#N/A,SUM(BR$4:BR133))</f>
        <v>#N/A</v>
      </c>
      <c r="BT133" s="315" t="str">
        <f t="shared" si="261"/>
        <v/>
      </c>
      <c r="BU133" s="315" t="e">
        <f>IF($J133="",#N/A,SUM(BT$4:BT133))</f>
        <v>#N/A</v>
      </c>
      <c r="BV133" s="315" t="e">
        <f>IF($J133="",#N/A,SUM(BT$4:BT133,BR$4:BR133,BP$4:BP133))</f>
        <v>#N/A</v>
      </c>
      <c r="BW133" s="304" t="str">
        <f t="shared" si="262"/>
        <v/>
      </c>
      <c r="BX133" s="313" t="e">
        <f>IF($J133="",#N/A,SUM(BW$4:BW133))</f>
        <v>#N/A</v>
      </c>
      <c r="BY133" s="314" t="str">
        <f t="shared" si="263"/>
        <v/>
      </c>
      <c r="BZ133" s="314" t="e">
        <f>IF($J133="",#N/A,SUM(BY$4:BY133))</f>
        <v>#N/A</v>
      </c>
      <c r="CA133" s="315" t="str">
        <f t="shared" si="264"/>
        <v/>
      </c>
      <c r="CB133" s="315" t="e">
        <f>IF($J133="",#N/A,SUM(CA$4:CA133))</f>
        <v>#N/A</v>
      </c>
      <c r="CC133" s="315" t="e">
        <f>IF($J133="",#N/A,SUM(CA$4:CA133,BY$4:BY133,BW$4:BW133))</f>
        <v>#N/A</v>
      </c>
      <c r="CD133" s="304" t="str">
        <f t="shared" si="265"/>
        <v/>
      </c>
      <c r="CE133" s="313" t="e">
        <f>IF($J133="",#N/A,SUM(CD$4:CD133))</f>
        <v>#N/A</v>
      </c>
      <c r="CF133" s="314" t="str">
        <f t="shared" si="266"/>
        <v/>
      </c>
      <c r="CG133" s="314" t="e">
        <f>IF($J133="",#N/A,SUM(CF$4:CF133))</f>
        <v>#N/A</v>
      </c>
      <c r="CH133" s="315" t="str">
        <f t="shared" si="267"/>
        <v/>
      </c>
      <c r="CI133" s="315" t="e">
        <f>IF($J133="",#N/A,SUM(CH$4:CH133))</f>
        <v>#N/A</v>
      </c>
      <c r="CJ133" s="315" t="e">
        <f>IF($J133="",#N/A,SUM(CH$4:CH133,CF$4:CF133,CD$4:CD133))</f>
        <v>#N/A</v>
      </c>
      <c r="CK133" s="304" t="str">
        <f t="shared" si="268"/>
        <v/>
      </c>
      <c r="CL133" s="313" t="e">
        <f>IF($J133="",#N/A,SUM(CK$4:CK133))</f>
        <v>#N/A</v>
      </c>
      <c r="CM133" s="314" t="str">
        <f t="shared" si="269"/>
        <v/>
      </c>
      <c r="CN133" s="314" t="e">
        <f>IF($J133="",#N/A,SUM(CM$4:CM133))</f>
        <v>#N/A</v>
      </c>
      <c r="CO133" s="315">
        <f t="shared" si="270"/>
        <v>7.4962518740627787E-2</v>
      </c>
      <c r="CP133" s="315" t="e">
        <f>IF($J133="",#N/A,SUM(CO$4:CO133))</f>
        <v>#N/A</v>
      </c>
      <c r="CQ133" s="315" t="e">
        <f>IF($J133="",#N/A,SUM(CO$4:CO133,CM$4:CM133,CK$4:CK133))</f>
        <v>#N/A</v>
      </c>
      <c r="CR133" s="304" t="str">
        <f t="shared" si="271"/>
        <v/>
      </c>
      <c r="CS133" s="313" t="e">
        <f>IF($J133="",#N/A,SUM(CR$4:CR133))</f>
        <v>#N/A</v>
      </c>
      <c r="CT133" s="314" t="str">
        <f t="shared" si="272"/>
        <v/>
      </c>
      <c r="CU133" s="314" t="e">
        <f>IF($J133="",#N/A,SUM(CT$4:CT133))</f>
        <v>#N/A</v>
      </c>
      <c r="CV133" s="315" t="str">
        <f t="shared" si="273"/>
        <v/>
      </c>
      <c r="CW133" s="315" t="e">
        <f>IF($J133="",#N/A,SUM(CV$4:CV133))</f>
        <v>#N/A</v>
      </c>
      <c r="CX133" s="315" t="e">
        <f>IF($J133="",#N/A,SUM(CV$4:CV133,CT$4:CT133,CR$4:CR133))</f>
        <v>#N/A</v>
      </c>
      <c r="CY133" s="304" t="str">
        <f t="shared" si="274"/>
        <v/>
      </c>
      <c r="CZ133" s="313" t="e">
        <f>IF($J133="",#N/A,SUM(CY$4:CY133))</f>
        <v>#N/A</v>
      </c>
      <c r="DA133" s="314" t="str">
        <f t="shared" si="275"/>
        <v/>
      </c>
      <c r="DB133" s="314" t="e">
        <f>IF($J133="",#N/A,SUM(DA$4:DA133))</f>
        <v>#N/A</v>
      </c>
      <c r="DC133" s="315" t="str">
        <f t="shared" si="276"/>
        <v/>
      </c>
      <c r="DD133" s="315" t="e">
        <f>IF($J133="",#N/A,SUM(DC$4:DC133))</f>
        <v>#N/A</v>
      </c>
      <c r="DE133" s="315" t="e">
        <f>IF($J133="",#N/A,SUM(DC$4:DC133,DA$4:DA133,CY$4:CY133))</f>
        <v>#N/A</v>
      </c>
      <c r="DF133" s="304" t="str">
        <f t="shared" si="277"/>
        <v/>
      </c>
      <c r="DG133" s="313" t="e">
        <f>IF($J133="",#N/A,SUM(DF$4:DF133))</f>
        <v>#N/A</v>
      </c>
      <c r="DH133" s="314" t="str">
        <f t="shared" si="278"/>
        <v/>
      </c>
      <c r="DI133" s="314" t="e">
        <f>IF($J133="",#N/A,SUM(DH$4:DH133))</f>
        <v>#N/A</v>
      </c>
      <c r="DJ133" s="315" t="str">
        <f t="shared" si="279"/>
        <v/>
      </c>
      <c r="DK133" s="315" t="e">
        <f>IF($J133="",#N/A,SUM(DJ$4:DJ133))</f>
        <v>#N/A</v>
      </c>
      <c r="DL133" s="315" t="e">
        <f>IF($J133="",#N/A,SUM(DJ$4:DJ133,DH$4:DH133,DF$4:DF133))</f>
        <v>#N/A</v>
      </c>
      <c r="DM133" s="304" t="str">
        <f t="shared" si="280"/>
        <v/>
      </c>
      <c r="DN133" s="313" t="e">
        <f>IF($J133="",#N/A,SUM(DM$4:DM133))</f>
        <v>#N/A</v>
      </c>
      <c r="DO133" s="314" t="str">
        <f t="shared" si="281"/>
        <v/>
      </c>
      <c r="DP133" s="314" t="e">
        <f>IF($J133="",#N/A,SUM(DO$4:DO133))</f>
        <v>#N/A</v>
      </c>
      <c r="DQ133" s="315" t="str">
        <f t="shared" si="282"/>
        <v/>
      </c>
      <c r="DR133" s="315" t="e">
        <f>IF($J133="",#N/A,SUM(DQ$4:DQ133))</f>
        <v>#N/A</v>
      </c>
      <c r="DS133" s="315" t="e">
        <f>IF($J133="",#N/A,SUM(DQ$4:DQ133,DO$4:DO133,DM$4:DM133))</f>
        <v>#N/A</v>
      </c>
      <c r="DT133" s="304" t="str">
        <f t="shared" si="283"/>
        <v/>
      </c>
      <c r="DU133" s="313" t="e">
        <f>IF($J133="",#N/A,SUM(DT$4:DT133))</f>
        <v>#N/A</v>
      </c>
      <c r="DV133" s="314" t="str">
        <f t="shared" si="284"/>
        <v/>
      </c>
      <c r="DW133" s="314" t="e">
        <f>IF($J133="",#N/A,SUM(DV$4:DV133))</f>
        <v>#N/A</v>
      </c>
      <c r="DX133" s="315" t="str">
        <f t="shared" si="285"/>
        <v/>
      </c>
      <c r="DY133" s="315" t="e">
        <f>IF($J133="",#N/A,SUM(DX$4:DX133))</f>
        <v>#N/A</v>
      </c>
      <c r="DZ133" s="315" t="e">
        <f>IF($J133="",#N/A,SUM(DX$4:DX133,DV$4:DV133,DT$4:DT133))</f>
        <v>#N/A</v>
      </c>
      <c r="EA133" s="304" t="str">
        <f t="shared" si="286"/>
        <v/>
      </c>
      <c r="EB133" s="313" t="e">
        <f>IF($J133="",#N/A,SUM(EA$4:EA133))</f>
        <v>#N/A</v>
      </c>
      <c r="EC133" s="314" t="str">
        <f t="shared" si="287"/>
        <v/>
      </c>
      <c r="ED133" s="314" t="e">
        <f>IF($J133="",#N/A,SUM(EC$4:EC133))</f>
        <v>#N/A</v>
      </c>
      <c r="EE133" s="315" t="str">
        <f t="shared" si="288"/>
        <v/>
      </c>
      <c r="EF133" s="315" t="e">
        <f>IF($J133="",#N/A,SUM(EE$4:EE133))</f>
        <v>#N/A</v>
      </c>
      <c r="EG133" s="315" t="e">
        <f>IF($J133="",#N/A,SUM(EE$4:EE133,EC$4:EC133,EA$4:EA133))</f>
        <v>#N/A</v>
      </c>
      <c r="EH133" s="130">
        <f t="shared" si="289"/>
        <v>1.7999999999999545</v>
      </c>
      <c r="EI133" s="63">
        <f>IF(EH133="",#N/A,SUM($EH$4:EH133))</f>
        <v>615.02717826179583</v>
      </c>
      <c r="EJ133" s="223" t="e">
        <f t="shared" si="290"/>
        <v>#N/A</v>
      </c>
      <c r="EK133" s="63" t="e">
        <f>IF($GZ133="",#N/A,SUM(EJ$4:EJ133))</f>
        <v>#N/A</v>
      </c>
      <c r="EL133" s="60">
        <f t="shared" ref="EL133:EL196" si="322">IF(J133="","",IF(D133="Y",FP133,""))</f>
        <v>7.4962518740627787E-2</v>
      </c>
      <c r="EM133" s="60">
        <f>IF(EL133="",NA(),SUM($EL$4:EL133))</f>
        <v>23.138547458255104</v>
      </c>
      <c r="EN133" s="60" t="str">
        <f t="shared" si="291"/>
        <v/>
      </c>
      <c r="EO133" s="60" t="e">
        <f>IF(EN133="",NA(),SUM($EN$4:EN133))</f>
        <v>#N/A</v>
      </c>
      <c r="EP133" s="60">
        <f t="shared" si="292"/>
        <v>7.4962518740627787E-2</v>
      </c>
      <c r="EQ133" s="60">
        <f>IF(EP133="",NA(),SUM($EP$4:EP133))</f>
        <v>10.208230077649972</v>
      </c>
      <c r="ER133" s="60" t="str">
        <f t="shared" si="293"/>
        <v/>
      </c>
      <c r="ES133" s="60" t="e">
        <f>IF(ER133="",NA(),SUM($ER$4:ER133))</f>
        <v>#N/A</v>
      </c>
      <c r="ET133" s="60" t="str">
        <f t="shared" si="294"/>
        <v/>
      </c>
      <c r="EU133" s="60" t="e">
        <f>IF(ET133="",NA(),SUM($ET$4:ET133))</f>
        <v>#N/A</v>
      </c>
      <c r="EV133" s="60" t="str">
        <f t="shared" si="295"/>
        <v/>
      </c>
      <c r="EW133" s="60" t="e">
        <f>IF(EV133="",NA(),SUM($EV$4:EV133))</f>
        <v>#N/A</v>
      </c>
      <c r="EX133" s="60" t="str">
        <f t="shared" si="296"/>
        <v/>
      </c>
      <c r="EY133" s="60" t="e">
        <f>IF(EX133="",NA(),SUM($EX$4:EX133))</f>
        <v>#N/A</v>
      </c>
      <c r="EZ133" s="60" t="str">
        <f t="shared" si="297"/>
        <v/>
      </c>
      <c r="FA133" s="60" t="e">
        <f>IF(EZ133="",NA(),SUM($EZ$4:EZ133))</f>
        <v>#N/A</v>
      </c>
      <c r="FB133" s="246" t="str">
        <f t="shared" ref="FB133:FB196" si="323">IF($GZ133="","",IF(AND($FV133="Dwn",$K133&lt;0),$FN133-FP133,""))</f>
        <v/>
      </c>
      <c r="FC133" s="246" t="e">
        <f>IF($FB133="",#N/A,SUM(FB$4:$FB133))</f>
        <v>#N/A</v>
      </c>
      <c r="FD133" s="60" t="str">
        <f t="shared" si="298"/>
        <v/>
      </c>
      <c r="FE133" s="60" t="e">
        <f>IF($FD133="",#N/A,SUM($FD$4:FD133))</f>
        <v>#N/A</v>
      </c>
      <c r="FF133" s="60" t="str">
        <f t="shared" si="299"/>
        <v/>
      </c>
      <c r="FG133" s="60" t="e">
        <f>IF($FF133="",#N/A,SUM($FF$4:FF133))</f>
        <v>#N/A</v>
      </c>
      <c r="FH133" s="60" t="str">
        <f t="shared" si="300"/>
        <v/>
      </c>
      <c r="FI133" s="60" t="e">
        <f>IF($FH133="",#N/A,SUM($FH$4:FH133))</f>
        <v>#N/A</v>
      </c>
      <c r="FJ133" s="60">
        <f t="shared" si="301"/>
        <v>-0.55805430618024221</v>
      </c>
      <c r="FK133" s="60">
        <f>IF($FJ133="",#N/A,SUM($FJ$4:FJ133))</f>
        <v>-0.36964641543179533</v>
      </c>
      <c r="FL133" s="60" t="str">
        <f t="shared" si="302"/>
        <v/>
      </c>
      <c r="FM133" s="60" t="e">
        <f>IF($FL133="",#N/A,SUM($FL$4:FL133))</f>
        <v>#N/A</v>
      </c>
      <c r="FN133" s="82">
        <f t="shared" si="303"/>
        <v>-0.48309178743961445</v>
      </c>
      <c r="FO133" s="82">
        <f>IF($FN133="",#N/A,SUM(FN$4:$FN133))</f>
        <v>33.807896470261092</v>
      </c>
      <c r="FP133" s="82">
        <f t="shared" ref="FP133:FP196" si="324">IF(OR($GI133="",L133=""),"",IF($GA133="Long",(($J133*$GI133)-$GH133)/(GH133*0.06),($GH133-($J133*$GI133))/(GH133*0.06)))</f>
        <v>7.4962518740627787E-2</v>
      </c>
      <c r="FQ133" s="246">
        <f>IF($EH133="",#N/A,SUM($FP$4:FP133))</f>
        <v>24.262497333165108</v>
      </c>
      <c r="FR133" s="82">
        <f>IFERROR(FQ133/COUNTA($J$4:J133),#N/A)</f>
        <v>0.18663459487050083</v>
      </c>
      <c r="FS133" s="82">
        <f t="shared" si="229"/>
        <v>0.10376178067836389</v>
      </c>
      <c r="FT133" s="82">
        <f t="shared" si="225"/>
        <v>0.12264493862722613</v>
      </c>
      <c r="FU133" s="337">
        <f t="shared" si="304"/>
        <v>8.369443901965008</v>
      </c>
      <c r="FV133" s="57" t="str">
        <f t="shared" si="305"/>
        <v>SW</v>
      </c>
      <c r="FW133" s="57" t="s">
        <v>2732</v>
      </c>
      <c r="FX133" s="57" t="str">
        <f t="shared" si="306"/>
        <v/>
      </c>
      <c r="FY133" s="57" t="str">
        <f t="shared" si="307"/>
        <v/>
      </c>
      <c r="FZ133" s="57">
        <f t="shared" si="308"/>
        <v>1</v>
      </c>
      <c r="GA133" s="57" t="str">
        <f t="shared" si="309"/>
        <v>Long</v>
      </c>
      <c r="GB133" s="57" t="str">
        <f t="shared" si="310"/>
        <v/>
      </c>
      <c r="GC133" s="57" t="str">
        <f t="shared" si="311"/>
        <v/>
      </c>
      <c r="GD133" s="57" t="str">
        <f t="shared" si="312"/>
        <v/>
      </c>
      <c r="GE133" s="62">
        <f t="shared" si="227"/>
        <v>20.010000000000002</v>
      </c>
      <c r="GF133" s="62" t="s">
        <v>2779</v>
      </c>
      <c r="GG133" s="199">
        <v>20</v>
      </c>
      <c r="GH133" s="207">
        <f t="shared" si="313"/>
        <v>400.20000000000005</v>
      </c>
      <c r="GI133" s="199">
        <v>20</v>
      </c>
      <c r="GJ133" s="200">
        <v>20.010000000000002</v>
      </c>
      <c r="GK133" s="63">
        <f t="shared" si="314"/>
        <v>0</v>
      </c>
      <c r="GL133" s="63">
        <f t="shared" si="228"/>
        <v>-11.600000000000023</v>
      </c>
      <c r="GM133" s="82">
        <f t="shared" si="315"/>
        <v>-0.48309178743961445</v>
      </c>
      <c r="GN133" s="82">
        <f>IF($GZ133="",#N/A,SUM(GM$4:GM133))</f>
        <v>13.545194654454795</v>
      </c>
      <c r="GO133" s="82" t="str">
        <f t="shared" si="316"/>
        <v/>
      </c>
      <c r="GP133" s="82">
        <f>IF($GZ133="",#N/A,SUM(GO$4:GO133))</f>
        <v>10.761590336028053</v>
      </c>
      <c r="GQ133" s="82" t="str">
        <f t="shared" si="317"/>
        <v/>
      </c>
      <c r="GR133" s="82">
        <f>IF($GZ133="",#N/A,SUM(GQ$4:GQ133))</f>
        <v>8.8752745253359038</v>
      </c>
      <c r="GS133" s="63" t="e">
        <f t="shared" ref="GS133:GS196" si="325">IF(AND(FV133="SW",GA133="Long"),$EJ133,"")</f>
        <v>#N/A</v>
      </c>
      <c r="GT133" s="63" t="e">
        <f>IF($GZ133="",#N/A,SUM(GS$4:GS133))</f>
        <v>#N/A</v>
      </c>
      <c r="GU133" s="63" t="str">
        <f t="shared" ref="GU133:GU196" si="326">IF(AND(FV133="UP",GA133="Long"),$EJ133,"")</f>
        <v/>
      </c>
      <c r="GV133" s="63" t="e">
        <f>IF($GZ133="",#N/A,SUM(GU$4:GU133))</f>
        <v>#N/A</v>
      </c>
      <c r="GW133" s="63" t="str">
        <f t="shared" ref="GW133:GW196" si="327">IF(AND(FV133="Dwn",GA133="Short"),$EJ133,"")</f>
        <v/>
      </c>
      <c r="GX133" s="63" t="e">
        <f>IF($GZ133="",#N/A,SUM(GW$4:GW133))</f>
        <v>#N/A</v>
      </c>
      <c r="GY133" s="63" t="e">
        <f>IF(EJ133="",#N/A,SUM($EJ$4:EJ133))</f>
        <v>#N/A</v>
      </c>
      <c r="GZ133" s="159">
        <v>19.43</v>
      </c>
      <c r="HA133" s="63">
        <f t="shared" si="318"/>
        <v>-13.399999999999977</v>
      </c>
      <c r="HB133" s="62" t="s">
        <v>2538</v>
      </c>
      <c r="HC133" s="60">
        <f>IFERROR(VLOOKUP(E133,Expectancy!$P$4:$S$19,1+C133,FALSE),"")</f>
        <v>-0.16876070792161713</v>
      </c>
      <c r="HD133" s="82">
        <f t="shared" si="319"/>
        <v>0</v>
      </c>
      <c r="HE133" s="60">
        <f>IF(HD133="",#N/A,SUM($HD$4:HD133))</f>
        <v>1.3630534312000986</v>
      </c>
      <c r="HF133" s="85">
        <f>IF(HD133="",#N/A,IF(HB133="Skip",#N/A,SUM($HG$4:HG133)))</f>
        <v>48.609999999999957</v>
      </c>
      <c r="HG133" s="63">
        <f t="shared" si="320"/>
        <v>0</v>
      </c>
      <c r="HH133" s="82">
        <f t="shared" si="321"/>
        <v>-0.48309178743961445</v>
      </c>
    </row>
    <row r="134" spans="1:216" x14ac:dyDescent="0.25">
      <c r="A134" s="57" t="s">
        <v>1371</v>
      </c>
      <c r="B134" s="58" t="s">
        <v>5166</v>
      </c>
      <c r="C134" s="386">
        <f t="shared" si="230"/>
        <v>3</v>
      </c>
      <c r="D134" s="372" t="str">
        <f>_xlfn.XLOOKUP(A134,[1]SP500!$A$2:$A$502,[1]SP500!$D$2:$D$502,"N")</f>
        <v>Y</v>
      </c>
      <c r="E134" s="57" t="str">
        <f>_xlfn.XLOOKUP(A134,[1]SP500!$A$2:$A$655,[1]SP500!$B$2:$B$655)</f>
        <v>SMH</v>
      </c>
      <c r="F134" s="59">
        <v>45687</v>
      </c>
      <c r="G134" s="57" t="str">
        <f t="shared" si="231"/>
        <v>AMC</v>
      </c>
      <c r="H134" s="57" t="str">
        <f t="shared" si="232"/>
        <v>s</v>
      </c>
      <c r="I134" s="159">
        <v>742.43</v>
      </c>
      <c r="J134" s="159">
        <v>758.93</v>
      </c>
      <c r="K134" s="61">
        <f t="shared" si="233"/>
        <v>2.2224317444068803E-2</v>
      </c>
      <c r="L134" s="87">
        <f t="shared" si="234"/>
        <v>16.5</v>
      </c>
      <c r="M134" s="130">
        <f t="shared" si="226"/>
        <v>0</v>
      </c>
      <c r="N134" s="169" t="str">
        <f t="shared" si="235"/>
        <v/>
      </c>
      <c r="O134" s="169">
        <f>IF($J134="",#N/A,SUM($N$4:N134))</f>
        <v>220.48503433954818</v>
      </c>
      <c r="P134" s="174" t="str">
        <f t="shared" si="236"/>
        <v/>
      </c>
      <c r="Q134" s="174">
        <f>IF($J134="",#N/A,SUM($P$4:P134))</f>
        <v>148.88104023772644</v>
      </c>
      <c r="R134" s="178">
        <f t="shared" si="237"/>
        <v>16.5</v>
      </c>
      <c r="S134" s="178">
        <f>IF($J134="",#N/A,SUM($R$4:R134))</f>
        <v>262.16110368452098</v>
      </c>
      <c r="T134" s="290" t="str">
        <f t="shared" si="238"/>
        <v/>
      </c>
      <c r="U134" s="290">
        <f>IF($J134="",#N/A,SUM($T$4:T134))</f>
        <v>7.8745442467624969</v>
      </c>
      <c r="V134" s="291" t="str">
        <f t="shared" si="239"/>
        <v/>
      </c>
      <c r="W134" s="291">
        <f>IF($J134="",#N/A,SUM($V$4:V134))</f>
        <v>6.3003710611483559</v>
      </c>
      <c r="X134" s="292">
        <f t="shared" si="240"/>
        <v>0.37040529073448009</v>
      </c>
      <c r="Y134" s="283">
        <f>IF($J134="",#N/A,SUM($X$4:X134))</f>
        <v>10.457987315988726</v>
      </c>
      <c r="Z134" s="304" t="str">
        <f t="shared" si="241"/>
        <v/>
      </c>
      <c r="AA134" s="313" t="e">
        <f>IF($J134="",#N/A,SUM(Z$4:Z134))</f>
        <v>#N/A</v>
      </c>
      <c r="AB134" s="314" t="str">
        <f t="shared" si="242"/>
        <v/>
      </c>
      <c r="AC134" s="314" t="e">
        <f>IF($J134="",#N/A,SUM(AB$4:AB134))</f>
        <v>#N/A</v>
      </c>
      <c r="AD134" s="315" t="str">
        <f t="shared" si="243"/>
        <v/>
      </c>
      <c r="AE134" s="315" t="e">
        <f>IF($J134="",#N/A,SUM(AD$4:AD134))</f>
        <v>#N/A</v>
      </c>
      <c r="AF134" s="315" t="e">
        <f>IF($J134="",#N/A,SUM(AD$4:AD134,AB$4:AB134,Z$4:Z134))</f>
        <v>#N/A</v>
      </c>
      <c r="AG134" s="304" t="str">
        <f t="shared" si="244"/>
        <v/>
      </c>
      <c r="AH134" s="313" t="e">
        <f>IF($J134="",#N/A,SUM(AG$4:AG134))</f>
        <v>#N/A</v>
      </c>
      <c r="AI134" s="314" t="str">
        <f t="shared" si="245"/>
        <v/>
      </c>
      <c r="AJ134" s="314" t="e">
        <f>IF($J134="",#N/A,SUM(AI$4:AI134))</f>
        <v>#N/A</v>
      </c>
      <c r="AK134" s="315" t="str">
        <f t="shared" si="246"/>
        <v/>
      </c>
      <c r="AL134" s="315" t="e">
        <f>IF($J134="",#N/A,SUM(AK$4:AK134))</f>
        <v>#N/A</v>
      </c>
      <c r="AM134" s="315" t="e">
        <f>IF($J134="",#N/A,SUM(AK$4:AK134,AI$4:AI134,AG$4:AG134))</f>
        <v>#N/A</v>
      </c>
      <c r="AN134" s="304" t="str">
        <f t="shared" si="247"/>
        <v/>
      </c>
      <c r="AO134" s="313" t="e">
        <f>IF($J134="",#N/A,SUM(AN$4:AN134))</f>
        <v>#N/A</v>
      </c>
      <c r="AP134" s="314" t="str">
        <f t="shared" si="248"/>
        <v/>
      </c>
      <c r="AQ134" s="314" t="e">
        <f>IF($J134="",#N/A,SUM(AP$4:AP134))</f>
        <v>#N/A</v>
      </c>
      <c r="AR134" s="315" t="str">
        <f t="shared" si="249"/>
        <v/>
      </c>
      <c r="AS134" s="315" t="e">
        <f>IF($J134="",#N/A,SUM(AR$4:AR134))</f>
        <v>#N/A</v>
      </c>
      <c r="AT134" s="315" t="e">
        <f>IF($J134="",#N/A,SUM(AR$4:AR134,AP$4:AP134,AN$4:AN134))</f>
        <v>#N/A</v>
      </c>
      <c r="AU134" s="304" t="str">
        <f t="shared" si="250"/>
        <v/>
      </c>
      <c r="AV134" s="313" t="e">
        <f>IF($J134="",#N/A,SUM(AU$4:AU134))</f>
        <v>#N/A</v>
      </c>
      <c r="AW134" s="314" t="str">
        <f t="shared" si="251"/>
        <v/>
      </c>
      <c r="AX134" s="314" t="e">
        <f>IF($J134="",#N/A,SUM(AW$4:AW134))</f>
        <v>#N/A</v>
      </c>
      <c r="AY134" s="315" t="str">
        <f t="shared" si="252"/>
        <v/>
      </c>
      <c r="AZ134" s="315" t="e">
        <f>IF($J134="",#N/A,SUM(AY$4:AY134))</f>
        <v>#N/A</v>
      </c>
      <c r="BA134" s="315" t="e">
        <f>IF($J134="",#N/A,SUM(AY$4:AY134,AW$4:AW134,AU$4:AU134))</f>
        <v>#N/A</v>
      </c>
      <c r="BB134" s="304" t="str">
        <f t="shared" si="253"/>
        <v/>
      </c>
      <c r="BC134" s="313" t="e">
        <f>IF($J134="",#N/A,SUM(BB$4:BB134))</f>
        <v>#N/A</v>
      </c>
      <c r="BD134" s="314" t="str">
        <f t="shared" si="254"/>
        <v/>
      </c>
      <c r="BE134" s="314" t="e">
        <f>IF($J134="",#N/A,SUM(BD$4:BD134))</f>
        <v>#N/A</v>
      </c>
      <c r="BF134" s="315" t="str">
        <f t="shared" si="255"/>
        <v/>
      </c>
      <c r="BG134" s="315" t="e">
        <f>IF($J134="",#N/A,SUM(BF$4:BF134))</f>
        <v>#N/A</v>
      </c>
      <c r="BH134" s="315" t="e">
        <f>IF($J134="",#N/A,SUM(BF$4:BF134,BD$4:BD134,BB$4:BB134))</f>
        <v>#N/A</v>
      </c>
      <c r="BI134" s="304" t="str">
        <f t="shared" si="256"/>
        <v/>
      </c>
      <c r="BJ134" s="313" t="e">
        <f>IF($J134="",#N/A,SUM(BI$4:BI134))</f>
        <v>#N/A</v>
      </c>
      <c r="BK134" s="314" t="str">
        <f t="shared" si="257"/>
        <v/>
      </c>
      <c r="BL134" s="314" t="e">
        <f>IF($J134="",#N/A,SUM(BK$4:BK134))</f>
        <v>#N/A</v>
      </c>
      <c r="BM134" s="315" t="str">
        <f t="shared" si="258"/>
        <v/>
      </c>
      <c r="BN134" s="315" t="e">
        <f>IF($J134="",#N/A,SUM(BM$4:BM134))</f>
        <v>#N/A</v>
      </c>
      <c r="BO134" s="315" t="e">
        <f>IF($J134="",#N/A,SUM(BM$4:BM134,BK$4:BK134,BI$4:BI134))</f>
        <v>#N/A</v>
      </c>
      <c r="BP134" s="304" t="str">
        <f t="shared" si="259"/>
        <v/>
      </c>
      <c r="BQ134" s="313" t="e">
        <f>IF($J134="",#N/A,SUM(BP$4:BP134))</f>
        <v>#N/A</v>
      </c>
      <c r="BR134" s="314" t="str">
        <f t="shared" si="260"/>
        <v/>
      </c>
      <c r="BS134" s="314" t="e">
        <f>IF($J134="",#N/A,SUM(BR$4:BR134))</f>
        <v>#N/A</v>
      </c>
      <c r="BT134" s="315" t="str">
        <f t="shared" si="261"/>
        <v/>
      </c>
      <c r="BU134" s="315" t="e">
        <f>IF($J134="",#N/A,SUM(BT$4:BT134))</f>
        <v>#N/A</v>
      </c>
      <c r="BV134" s="315" t="e">
        <f>IF($J134="",#N/A,SUM(BT$4:BT134,BR$4:BR134,BP$4:BP134))</f>
        <v>#N/A</v>
      </c>
      <c r="BW134" s="304" t="str">
        <f t="shared" si="262"/>
        <v/>
      </c>
      <c r="BX134" s="313" t="e">
        <f>IF($J134="",#N/A,SUM(BW$4:BW134))</f>
        <v>#N/A</v>
      </c>
      <c r="BY134" s="314" t="str">
        <f t="shared" si="263"/>
        <v/>
      </c>
      <c r="BZ134" s="314" t="e">
        <f>IF($J134="",#N/A,SUM(BY$4:BY134))</f>
        <v>#N/A</v>
      </c>
      <c r="CA134" s="315" t="str">
        <f t="shared" si="264"/>
        <v/>
      </c>
      <c r="CB134" s="315" t="e">
        <f>IF($J134="",#N/A,SUM(CA$4:CA134))</f>
        <v>#N/A</v>
      </c>
      <c r="CC134" s="315" t="e">
        <f>IF($J134="",#N/A,SUM(CA$4:CA134,BY$4:BY134,BW$4:BW134))</f>
        <v>#N/A</v>
      </c>
      <c r="CD134" s="304" t="str">
        <f t="shared" si="265"/>
        <v/>
      </c>
      <c r="CE134" s="313" t="e">
        <f>IF($J134="",#N/A,SUM(CD$4:CD134))</f>
        <v>#N/A</v>
      </c>
      <c r="CF134" s="314" t="str">
        <f t="shared" si="266"/>
        <v/>
      </c>
      <c r="CG134" s="314" t="e">
        <f>IF($J134="",#N/A,SUM(CF$4:CF134))</f>
        <v>#N/A</v>
      </c>
      <c r="CH134" s="315" t="str">
        <f t="shared" si="267"/>
        <v/>
      </c>
      <c r="CI134" s="315" t="e">
        <f>IF($J134="",#N/A,SUM(CH$4:CH134))</f>
        <v>#N/A</v>
      </c>
      <c r="CJ134" s="315" t="e">
        <f>IF($J134="",#N/A,SUM(CH$4:CH134,CF$4:CF134,CD$4:CD134))</f>
        <v>#N/A</v>
      </c>
      <c r="CK134" s="304" t="str">
        <f t="shared" si="268"/>
        <v/>
      </c>
      <c r="CL134" s="313" t="e">
        <f>IF($J134="",#N/A,SUM(CK$4:CK134))</f>
        <v>#N/A</v>
      </c>
      <c r="CM134" s="314" t="str">
        <f t="shared" si="269"/>
        <v/>
      </c>
      <c r="CN134" s="314" t="e">
        <f>IF($J134="",#N/A,SUM(CM$4:CM134))</f>
        <v>#N/A</v>
      </c>
      <c r="CO134" s="315">
        <f t="shared" si="270"/>
        <v>0.37040529073448009</v>
      </c>
      <c r="CP134" s="315" t="e">
        <f>IF($J134="",#N/A,SUM(CO$4:CO134))</f>
        <v>#N/A</v>
      </c>
      <c r="CQ134" s="315" t="e">
        <f>IF($J134="",#N/A,SUM(CO$4:CO134,CM$4:CM134,CK$4:CK134))</f>
        <v>#N/A</v>
      </c>
      <c r="CR134" s="304" t="str">
        <f t="shared" si="271"/>
        <v/>
      </c>
      <c r="CS134" s="313" t="e">
        <f>IF($J134="",#N/A,SUM(CR$4:CR134))</f>
        <v>#N/A</v>
      </c>
      <c r="CT134" s="314" t="str">
        <f t="shared" si="272"/>
        <v/>
      </c>
      <c r="CU134" s="314" t="e">
        <f>IF($J134="",#N/A,SUM(CT$4:CT134))</f>
        <v>#N/A</v>
      </c>
      <c r="CV134" s="315" t="str">
        <f t="shared" si="273"/>
        <v/>
      </c>
      <c r="CW134" s="315" t="e">
        <f>IF($J134="",#N/A,SUM(CV$4:CV134))</f>
        <v>#N/A</v>
      </c>
      <c r="CX134" s="315" t="e">
        <f>IF($J134="",#N/A,SUM(CV$4:CV134,CT$4:CT134,CR$4:CR134))</f>
        <v>#N/A</v>
      </c>
      <c r="CY134" s="304" t="str">
        <f t="shared" si="274"/>
        <v/>
      </c>
      <c r="CZ134" s="313" t="e">
        <f>IF($J134="",#N/A,SUM(CY$4:CY134))</f>
        <v>#N/A</v>
      </c>
      <c r="DA134" s="314" t="str">
        <f t="shared" si="275"/>
        <v/>
      </c>
      <c r="DB134" s="314" t="e">
        <f>IF($J134="",#N/A,SUM(DA$4:DA134))</f>
        <v>#N/A</v>
      </c>
      <c r="DC134" s="315" t="str">
        <f t="shared" si="276"/>
        <v/>
      </c>
      <c r="DD134" s="315" t="e">
        <f>IF($J134="",#N/A,SUM(DC$4:DC134))</f>
        <v>#N/A</v>
      </c>
      <c r="DE134" s="315" t="e">
        <f>IF($J134="",#N/A,SUM(DC$4:DC134,DA$4:DA134,CY$4:CY134))</f>
        <v>#N/A</v>
      </c>
      <c r="DF134" s="304" t="str">
        <f t="shared" si="277"/>
        <v/>
      </c>
      <c r="DG134" s="313" t="e">
        <f>IF($J134="",#N/A,SUM(DF$4:DF134))</f>
        <v>#N/A</v>
      </c>
      <c r="DH134" s="314" t="str">
        <f t="shared" si="278"/>
        <v/>
      </c>
      <c r="DI134" s="314" t="e">
        <f>IF($J134="",#N/A,SUM(DH$4:DH134))</f>
        <v>#N/A</v>
      </c>
      <c r="DJ134" s="315" t="str">
        <f t="shared" si="279"/>
        <v/>
      </c>
      <c r="DK134" s="315" t="e">
        <f>IF($J134="",#N/A,SUM(DJ$4:DJ134))</f>
        <v>#N/A</v>
      </c>
      <c r="DL134" s="315" t="e">
        <f>IF($J134="",#N/A,SUM(DJ$4:DJ134,DH$4:DH134,DF$4:DF134))</f>
        <v>#N/A</v>
      </c>
      <c r="DM134" s="304" t="str">
        <f t="shared" si="280"/>
        <v/>
      </c>
      <c r="DN134" s="313" t="e">
        <f>IF($J134="",#N/A,SUM(DM$4:DM134))</f>
        <v>#N/A</v>
      </c>
      <c r="DO134" s="314" t="str">
        <f t="shared" si="281"/>
        <v/>
      </c>
      <c r="DP134" s="314" t="e">
        <f>IF($J134="",#N/A,SUM(DO$4:DO134))</f>
        <v>#N/A</v>
      </c>
      <c r="DQ134" s="315" t="str">
        <f t="shared" si="282"/>
        <v/>
      </c>
      <c r="DR134" s="315" t="e">
        <f>IF($J134="",#N/A,SUM(DQ$4:DQ134))</f>
        <v>#N/A</v>
      </c>
      <c r="DS134" s="315" t="e">
        <f>IF($J134="",#N/A,SUM(DQ$4:DQ134,DO$4:DO134,DM$4:DM134))</f>
        <v>#N/A</v>
      </c>
      <c r="DT134" s="304" t="str">
        <f t="shared" si="283"/>
        <v/>
      </c>
      <c r="DU134" s="313" t="e">
        <f>IF($J134="",#N/A,SUM(DT$4:DT134))</f>
        <v>#N/A</v>
      </c>
      <c r="DV134" s="314" t="str">
        <f t="shared" si="284"/>
        <v/>
      </c>
      <c r="DW134" s="314" t="e">
        <f>IF($J134="",#N/A,SUM(DV$4:DV134))</f>
        <v>#N/A</v>
      </c>
      <c r="DX134" s="315" t="str">
        <f t="shared" si="285"/>
        <v/>
      </c>
      <c r="DY134" s="315" t="e">
        <f>IF($J134="",#N/A,SUM(DX$4:DX134))</f>
        <v>#N/A</v>
      </c>
      <c r="DZ134" s="315" t="e">
        <f>IF($J134="",#N/A,SUM(DX$4:DX134,DV$4:DV134,DT$4:DT134))</f>
        <v>#N/A</v>
      </c>
      <c r="EA134" s="304" t="str">
        <f t="shared" si="286"/>
        <v/>
      </c>
      <c r="EB134" s="313" t="e">
        <f>IF($J134="",#N/A,SUM(EA$4:EA134))</f>
        <v>#N/A</v>
      </c>
      <c r="EC134" s="314" t="str">
        <f t="shared" si="287"/>
        <v/>
      </c>
      <c r="ED134" s="314" t="e">
        <f>IF($J134="",#N/A,SUM(EC$4:EC134))</f>
        <v>#N/A</v>
      </c>
      <c r="EE134" s="315" t="str">
        <f t="shared" si="288"/>
        <v/>
      </c>
      <c r="EF134" s="315" t="e">
        <f>IF($J134="",#N/A,SUM(EE$4:EE134))</f>
        <v>#N/A</v>
      </c>
      <c r="EG134" s="315" t="e">
        <f>IF($J134="",#N/A,SUM(EE$4:EE134,EC$4:EC134,EA$4:EA134))</f>
        <v>#N/A</v>
      </c>
      <c r="EH134" s="130">
        <f t="shared" si="289"/>
        <v>16.5</v>
      </c>
      <c r="EI134" s="63">
        <f>IF(EH134="",#N/A,SUM($EH$4:EH134))</f>
        <v>631.52717826179583</v>
      </c>
      <c r="EJ134" s="223" t="e">
        <f t="shared" si="290"/>
        <v>#N/A</v>
      </c>
      <c r="EK134" s="63" t="e">
        <f>IF($GZ134="",#N/A,SUM(EJ$4:EJ134))</f>
        <v>#N/A</v>
      </c>
      <c r="EL134" s="60">
        <f t="shared" si="322"/>
        <v>0.37040529073448009</v>
      </c>
      <c r="EM134" s="60">
        <f>IF(EL134="",NA(),SUM($EL$4:EL134))</f>
        <v>23.508952748989586</v>
      </c>
      <c r="EN134" s="60" t="str">
        <f t="shared" si="291"/>
        <v/>
      </c>
      <c r="EO134" s="60" t="e">
        <f>IF(EN134="",NA(),SUM($EN$4:EN134))</f>
        <v>#N/A</v>
      </c>
      <c r="EP134" s="60">
        <f t="shared" si="292"/>
        <v>0.37040529073448009</v>
      </c>
      <c r="EQ134" s="60">
        <f>IF(EP134="",NA(),SUM($EP$4:EP134))</f>
        <v>10.578635368384452</v>
      </c>
      <c r="ER134" s="60" t="str">
        <f t="shared" si="293"/>
        <v/>
      </c>
      <c r="ES134" s="60" t="e">
        <f>IF(ER134="",NA(),SUM($ER$4:ER134))</f>
        <v>#N/A</v>
      </c>
      <c r="ET134" s="60" t="str">
        <f t="shared" si="294"/>
        <v/>
      </c>
      <c r="EU134" s="60" t="e">
        <f>IF(ET134="",NA(),SUM($ET$4:ET134))</f>
        <v>#N/A</v>
      </c>
      <c r="EV134" s="60" t="str">
        <f t="shared" si="295"/>
        <v/>
      </c>
      <c r="EW134" s="60" t="e">
        <f>IF(EV134="",NA(),SUM($EV$4:EV134))</f>
        <v>#N/A</v>
      </c>
      <c r="EX134" s="60" t="str">
        <f t="shared" si="296"/>
        <v/>
      </c>
      <c r="EY134" s="60" t="e">
        <f>IF(EX134="",NA(),SUM($EX$4:EX134))</f>
        <v>#N/A</v>
      </c>
      <c r="EZ134" s="60" t="str">
        <f t="shared" si="297"/>
        <v/>
      </c>
      <c r="FA134" s="60" t="e">
        <f>IF(EZ134="",NA(),SUM($EZ$4:EZ134))</f>
        <v>#N/A</v>
      </c>
      <c r="FB134" s="246" t="str">
        <f t="shared" si="323"/>
        <v/>
      </c>
      <c r="FC134" s="246" t="e">
        <f>IF($FB134="",#N/A,SUM(FB$4:$FB134))</f>
        <v>#N/A</v>
      </c>
      <c r="FD134" s="60" t="str">
        <f t="shared" si="298"/>
        <v/>
      </c>
      <c r="FE134" s="60" t="e">
        <f>IF($FD134="",#N/A,SUM($FD$4:FD134))</f>
        <v>#N/A</v>
      </c>
      <c r="FF134" s="60" t="str">
        <f t="shared" si="299"/>
        <v/>
      </c>
      <c r="FG134" s="60" t="e">
        <f>IF($FF134="",#N/A,SUM($FF$4:FF134))</f>
        <v>#N/A</v>
      </c>
      <c r="FH134" s="60" t="str">
        <f t="shared" si="300"/>
        <v/>
      </c>
      <c r="FI134" s="60" t="e">
        <f>IF($FH134="",#N/A,SUM($FH$4:FH134))</f>
        <v>#N/A</v>
      </c>
      <c r="FJ134" s="60">
        <f t="shared" si="301"/>
        <v>-0.46446578577553765</v>
      </c>
      <c r="FK134" s="60">
        <f>IF($FJ134="",#N/A,SUM($FJ$4:FJ134))</f>
        <v>-0.83411220120733298</v>
      </c>
      <c r="FL134" s="60" t="str">
        <f t="shared" si="302"/>
        <v/>
      </c>
      <c r="FM134" s="60" t="e">
        <f>IF($FL134="",#N/A,SUM($FL$4:FL134))</f>
        <v>#N/A</v>
      </c>
      <c r="FN134" s="82">
        <f t="shared" si="303"/>
        <v>-9.4060495041057554E-2</v>
      </c>
      <c r="FO134" s="82">
        <f>IF($FN134="",#N/A,SUM(FN$4:$FN134))</f>
        <v>33.713835975220036</v>
      </c>
      <c r="FP134" s="82">
        <f t="shared" si="324"/>
        <v>0.37040529073448009</v>
      </c>
      <c r="FQ134" s="246">
        <f>IF($EH134="",#N/A,SUM($FP$4:FP134))</f>
        <v>24.632902623899589</v>
      </c>
      <c r="FR134" s="82">
        <f>IFERROR(FQ134/COUNTA($J$4:J134),#N/A)</f>
        <v>0.18803742460992054</v>
      </c>
      <c r="FS134" s="82">
        <f t="shared" si="229"/>
        <v>0.11944847650851939</v>
      </c>
      <c r="FT134" s="82">
        <f t="shared" si="225"/>
        <v>0.21354193698880872</v>
      </c>
      <c r="FU134" s="337">
        <f t="shared" si="304"/>
        <v>8.3694439019650115</v>
      </c>
      <c r="FV134" s="57" t="str">
        <f t="shared" si="305"/>
        <v>SW</v>
      </c>
      <c r="FW134" s="57" t="s">
        <v>2732</v>
      </c>
      <c r="FX134" s="57" t="str">
        <f t="shared" si="306"/>
        <v/>
      </c>
      <c r="FY134" s="57" t="str">
        <f t="shared" si="307"/>
        <v/>
      </c>
      <c r="FZ134" s="57">
        <f t="shared" si="308"/>
        <v>1</v>
      </c>
      <c r="GA134" s="57" t="str">
        <f t="shared" si="309"/>
        <v>Long</v>
      </c>
      <c r="GB134" s="57" t="str">
        <f t="shared" si="310"/>
        <v/>
      </c>
      <c r="GC134" s="57" t="str">
        <f t="shared" si="311"/>
        <v/>
      </c>
      <c r="GD134" s="57" t="str">
        <f t="shared" si="312"/>
        <v/>
      </c>
      <c r="GE134" s="62">
        <f t="shared" si="227"/>
        <v>742.43</v>
      </c>
      <c r="GF134" s="62" t="s">
        <v>2779</v>
      </c>
      <c r="GG134" s="199">
        <v>1</v>
      </c>
      <c r="GH134" s="207">
        <f t="shared" si="313"/>
        <v>742.43</v>
      </c>
      <c r="GI134" s="199">
        <v>1</v>
      </c>
      <c r="GJ134" s="200">
        <v>758.93</v>
      </c>
      <c r="GK134" s="63">
        <f t="shared" si="314"/>
        <v>16.5</v>
      </c>
      <c r="GL134" s="63">
        <f t="shared" si="228"/>
        <v>-4.1899999999999409</v>
      </c>
      <c r="GM134" s="82">
        <f t="shared" si="315"/>
        <v>-9.4060495041057554E-2</v>
      </c>
      <c r="GN134" s="82">
        <f>IF($GZ134="",#N/A,SUM(GM$4:GM134))</f>
        <v>13.451134159413737</v>
      </c>
      <c r="GO134" s="82" t="str">
        <f t="shared" si="316"/>
        <v/>
      </c>
      <c r="GP134" s="82">
        <f>IF($GZ134="",#N/A,SUM(GO$4:GO134))</f>
        <v>10.761590336028053</v>
      </c>
      <c r="GQ134" s="82" t="str">
        <f t="shared" si="317"/>
        <v/>
      </c>
      <c r="GR134" s="82">
        <f>IF($GZ134="",#N/A,SUM(GQ$4:GQ134))</f>
        <v>8.8752745253359038</v>
      </c>
      <c r="GS134" s="63" t="e">
        <f t="shared" si="325"/>
        <v>#N/A</v>
      </c>
      <c r="GT134" s="63" t="e">
        <f>IF($GZ134="",#N/A,SUM(GS$4:GS134))</f>
        <v>#N/A</v>
      </c>
      <c r="GU134" s="63" t="str">
        <f t="shared" si="326"/>
        <v/>
      </c>
      <c r="GV134" s="63" t="e">
        <f>IF($GZ134="",#N/A,SUM(GU$4:GU134))</f>
        <v>#N/A</v>
      </c>
      <c r="GW134" s="63" t="str">
        <f t="shared" si="327"/>
        <v/>
      </c>
      <c r="GX134" s="63" t="e">
        <f>IF($GZ134="",#N/A,SUM(GW$4:GW134))</f>
        <v>#N/A</v>
      </c>
      <c r="GY134" s="63" t="e">
        <f>IF(EJ134="",#N/A,SUM($EJ$4:EJ134))</f>
        <v>#N/A</v>
      </c>
      <c r="GZ134" s="159">
        <v>738.24</v>
      </c>
      <c r="HA134" s="63">
        <f t="shared" si="318"/>
        <v>-20.689999999999941</v>
      </c>
      <c r="HB134" s="62" t="s">
        <v>2538</v>
      </c>
      <c r="HC134" s="60">
        <f>IFERROR(VLOOKUP(E134,Expectancy!$P$4:$S$19,1+C134,FALSE),"")</f>
        <v>-0.16876070792161713</v>
      </c>
      <c r="HD134" s="82">
        <f t="shared" si="319"/>
        <v>0.37040529073448009</v>
      </c>
      <c r="HE134" s="60">
        <f>IF(HD134="",#N/A,SUM($HD$4:HD134))</f>
        <v>1.7334587219345787</v>
      </c>
      <c r="HF134" s="85">
        <f>IF(HD134="",#N/A,IF(HB134="Skip",#N/A,SUM($HG$4:HG134)))</f>
        <v>65.109999999999957</v>
      </c>
      <c r="HG134" s="63">
        <f t="shared" si="320"/>
        <v>16.5</v>
      </c>
      <c r="HH134" s="82">
        <f t="shared" si="321"/>
        <v>-9.4060495041057554E-2</v>
      </c>
    </row>
    <row r="135" spans="1:216" x14ac:dyDescent="0.25">
      <c r="A135" s="57" t="s">
        <v>1391</v>
      </c>
      <c r="B135" s="58" t="s">
        <v>5168</v>
      </c>
      <c r="C135" s="386">
        <f t="shared" si="230"/>
        <v>3</v>
      </c>
      <c r="D135" s="372" t="str">
        <f>_xlfn.XLOOKUP(A135,[1]SP500!$A$2:$A$502,[1]SP500!$D$2:$D$502,"N")</f>
        <v>Y</v>
      </c>
      <c r="E135" s="57" t="str">
        <f>_xlfn.XLOOKUP(A135,[1]SP500!$A$2:$A$655,[1]SP500!$B$2:$B$655)</f>
        <v>INS</v>
      </c>
      <c r="F135" s="59">
        <v>45687</v>
      </c>
      <c r="G135" s="57" t="str">
        <f t="shared" si="231"/>
        <v>AMC</v>
      </c>
      <c r="H135" s="57" t="str">
        <f t="shared" si="232"/>
        <v>s</v>
      </c>
      <c r="I135" s="159">
        <v>299.02999999999997</v>
      </c>
      <c r="J135" s="158">
        <v>298.2</v>
      </c>
      <c r="K135" s="61">
        <f t="shared" si="233"/>
        <v>-2.7756412400093107E-3</v>
      </c>
      <c r="L135" s="87">
        <f t="shared" si="234"/>
        <v>-1.6599999999999682</v>
      </c>
      <c r="M135" s="130">
        <f t="shared" si="226"/>
        <v>0</v>
      </c>
      <c r="N135" s="169" t="str">
        <f t="shared" si="235"/>
        <v/>
      </c>
      <c r="O135" s="169">
        <f>IF($J135="",#N/A,SUM($N$4:N135))</f>
        <v>220.48503433954818</v>
      </c>
      <c r="P135" s="174" t="str">
        <f t="shared" si="236"/>
        <v/>
      </c>
      <c r="Q135" s="174">
        <f>IF($J135="",#N/A,SUM($P$4:P135))</f>
        <v>148.88104023772644</v>
      </c>
      <c r="R135" s="178">
        <f t="shared" si="237"/>
        <v>-1.6599999999999682</v>
      </c>
      <c r="S135" s="178">
        <f>IF($J135="",#N/A,SUM($R$4:R135))</f>
        <v>260.50110368452101</v>
      </c>
      <c r="T135" s="290" t="str">
        <f t="shared" si="238"/>
        <v/>
      </c>
      <c r="U135" s="290">
        <f>IF($J135="",#N/A,SUM($T$4:T135))</f>
        <v>7.8745442467624969</v>
      </c>
      <c r="V135" s="291" t="str">
        <f t="shared" si="239"/>
        <v/>
      </c>
      <c r="W135" s="291">
        <f>IF($J135="",#N/A,SUM($V$4:V135))</f>
        <v>6.3003710611483559</v>
      </c>
      <c r="X135" s="292">
        <f t="shared" si="240"/>
        <v>-4.6260687333488516E-2</v>
      </c>
      <c r="Y135" s="283">
        <f>IF($J135="",#N/A,SUM($X$4:X135))</f>
        <v>10.411726628655238</v>
      </c>
      <c r="Z135" s="304" t="str">
        <f t="shared" si="241"/>
        <v/>
      </c>
      <c r="AA135" s="313" t="e">
        <f>IF($J135="",#N/A,SUM(Z$4:Z135))</f>
        <v>#N/A</v>
      </c>
      <c r="AB135" s="314" t="str">
        <f t="shared" si="242"/>
        <v/>
      </c>
      <c r="AC135" s="314" t="e">
        <f>IF($J135="",#N/A,SUM(AB$4:AB135))</f>
        <v>#N/A</v>
      </c>
      <c r="AD135" s="315" t="str">
        <f t="shared" si="243"/>
        <v/>
      </c>
      <c r="AE135" s="315" t="e">
        <f>IF($J135="",#N/A,SUM(AD$4:AD135))</f>
        <v>#N/A</v>
      </c>
      <c r="AF135" s="315" t="e">
        <f>IF($J135="",#N/A,SUM(AD$4:AD135,AB$4:AB135,Z$4:Z135))</f>
        <v>#N/A</v>
      </c>
      <c r="AG135" s="304" t="str">
        <f t="shared" si="244"/>
        <v/>
      </c>
      <c r="AH135" s="313" t="e">
        <f>IF($J135="",#N/A,SUM(AG$4:AG135))</f>
        <v>#N/A</v>
      </c>
      <c r="AI135" s="314" t="str">
        <f t="shared" si="245"/>
        <v/>
      </c>
      <c r="AJ135" s="314" t="e">
        <f>IF($J135="",#N/A,SUM(AI$4:AI135))</f>
        <v>#N/A</v>
      </c>
      <c r="AK135" s="315" t="str">
        <f t="shared" si="246"/>
        <v/>
      </c>
      <c r="AL135" s="315" t="e">
        <f>IF($J135="",#N/A,SUM(AK$4:AK135))</f>
        <v>#N/A</v>
      </c>
      <c r="AM135" s="315" t="e">
        <f>IF($J135="",#N/A,SUM(AK$4:AK135,AI$4:AI135,AG$4:AG135))</f>
        <v>#N/A</v>
      </c>
      <c r="AN135" s="304" t="str">
        <f t="shared" si="247"/>
        <v/>
      </c>
      <c r="AO135" s="313" t="e">
        <f>IF($J135="",#N/A,SUM(AN$4:AN135))</f>
        <v>#N/A</v>
      </c>
      <c r="AP135" s="314" t="str">
        <f t="shared" si="248"/>
        <v/>
      </c>
      <c r="AQ135" s="314" t="e">
        <f>IF($J135="",#N/A,SUM(AP$4:AP135))</f>
        <v>#N/A</v>
      </c>
      <c r="AR135" s="315" t="str">
        <f t="shared" si="249"/>
        <v/>
      </c>
      <c r="AS135" s="315" t="e">
        <f>IF($J135="",#N/A,SUM(AR$4:AR135))</f>
        <v>#N/A</v>
      </c>
      <c r="AT135" s="315" t="e">
        <f>IF($J135="",#N/A,SUM(AR$4:AR135,AP$4:AP135,AN$4:AN135))</f>
        <v>#N/A</v>
      </c>
      <c r="AU135" s="304" t="str">
        <f t="shared" si="250"/>
        <v/>
      </c>
      <c r="AV135" s="313" t="e">
        <f>IF($J135="",#N/A,SUM(AU$4:AU135))</f>
        <v>#N/A</v>
      </c>
      <c r="AW135" s="314" t="str">
        <f t="shared" si="251"/>
        <v/>
      </c>
      <c r="AX135" s="314" t="e">
        <f>IF($J135="",#N/A,SUM(AW$4:AW135))</f>
        <v>#N/A</v>
      </c>
      <c r="AY135" s="315" t="str">
        <f t="shared" si="252"/>
        <v/>
      </c>
      <c r="AZ135" s="315" t="e">
        <f>IF($J135="",#N/A,SUM(AY$4:AY135))</f>
        <v>#N/A</v>
      </c>
      <c r="BA135" s="315" t="e">
        <f>IF($J135="",#N/A,SUM(AY$4:AY135,AW$4:AW135,AU$4:AU135))</f>
        <v>#N/A</v>
      </c>
      <c r="BB135" s="304" t="str">
        <f t="shared" si="253"/>
        <v/>
      </c>
      <c r="BC135" s="313" t="e">
        <f>IF($J135="",#N/A,SUM(BB$4:BB135))</f>
        <v>#N/A</v>
      </c>
      <c r="BD135" s="314" t="str">
        <f t="shared" si="254"/>
        <v/>
      </c>
      <c r="BE135" s="314" t="e">
        <f>IF($J135="",#N/A,SUM(BD$4:BD135))</f>
        <v>#N/A</v>
      </c>
      <c r="BF135" s="315" t="str">
        <f t="shared" si="255"/>
        <v/>
      </c>
      <c r="BG135" s="315" t="e">
        <f>IF($J135="",#N/A,SUM(BF$4:BF135))</f>
        <v>#N/A</v>
      </c>
      <c r="BH135" s="315" t="e">
        <f>IF($J135="",#N/A,SUM(BF$4:BF135,BD$4:BD135,BB$4:BB135))</f>
        <v>#N/A</v>
      </c>
      <c r="BI135" s="304" t="str">
        <f t="shared" si="256"/>
        <v/>
      </c>
      <c r="BJ135" s="313" t="e">
        <f>IF($J135="",#N/A,SUM(BI$4:BI135))</f>
        <v>#N/A</v>
      </c>
      <c r="BK135" s="314" t="str">
        <f t="shared" si="257"/>
        <v/>
      </c>
      <c r="BL135" s="314" t="e">
        <f>IF($J135="",#N/A,SUM(BK$4:BK135))</f>
        <v>#N/A</v>
      </c>
      <c r="BM135" s="315" t="str">
        <f t="shared" si="258"/>
        <v/>
      </c>
      <c r="BN135" s="315" t="e">
        <f>IF($J135="",#N/A,SUM(BM$4:BM135))</f>
        <v>#N/A</v>
      </c>
      <c r="BO135" s="315" t="e">
        <f>IF($J135="",#N/A,SUM(BM$4:BM135,BK$4:BK135,BI$4:BI135))</f>
        <v>#N/A</v>
      </c>
      <c r="BP135" s="304" t="str">
        <f t="shared" si="259"/>
        <v/>
      </c>
      <c r="BQ135" s="313" t="e">
        <f>IF($J135="",#N/A,SUM(BP$4:BP135))</f>
        <v>#N/A</v>
      </c>
      <c r="BR135" s="314" t="str">
        <f t="shared" si="260"/>
        <v/>
      </c>
      <c r="BS135" s="314" t="e">
        <f>IF($J135="",#N/A,SUM(BR$4:BR135))</f>
        <v>#N/A</v>
      </c>
      <c r="BT135" s="315" t="str">
        <f t="shared" si="261"/>
        <v/>
      </c>
      <c r="BU135" s="315" t="e">
        <f>IF($J135="",#N/A,SUM(BT$4:BT135))</f>
        <v>#N/A</v>
      </c>
      <c r="BV135" s="315" t="e">
        <f>IF($J135="",#N/A,SUM(BT$4:BT135,BR$4:BR135,BP$4:BP135))</f>
        <v>#N/A</v>
      </c>
      <c r="BW135" s="304" t="str">
        <f t="shared" si="262"/>
        <v/>
      </c>
      <c r="BX135" s="313" t="e">
        <f>IF($J135="",#N/A,SUM(BW$4:BW135))</f>
        <v>#N/A</v>
      </c>
      <c r="BY135" s="314" t="str">
        <f t="shared" si="263"/>
        <v/>
      </c>
      <c r="BZ135" s="314" t="e">
        <f>IF($J135="",#N/A,SUM(BY$4:BY135))</f>
        <v>#N/A</v>
      </c>
      <c r="CA135" s="315" t="str">
        <f t="shared" si="264"/>
        <v/>
      </c>
      <c r="CB135" s="315" t="e">
        <f>IF($J135="",#N/A,SUM(CA$4:CA135))</f>
        <v>#N/A</v>
      </c>
      <c r="CC135" s="315" t="e">
        <f>IF($J135="",#N/A,SUM(CA$4:CA135,BY$4:BY135,BW$4:BW135))</f>
        <v>#N/A</v>
      </c>
      <c r="CD135" s="304" t="str">
        <f t="shared" si="265"/>
        <v/>
      </c>
      <c r="CE135" s="313" t="e">
        <f>IF($J135="",#N/A,SUM(CD$4:CD135))</f>
        <v>#N/A</v>
      </c>
      <c r="CF135" s="314" t="str">
        <f t="shared" si="266"/>
        <v/>
      </c>
      <c r="CG135" s="314" t="e">
        <f>IF($J135="",#N/A,SUM(CF$4:CF135))</f>
        <v>#N/A</v>
      </c>
      <c r="CH135" s="315" t="str">
        <f t="shared" si="267"/>
        <v/>
      </c>
      <c r="CI135" s="315" t="e">
        <f>IF($J135="",#N/A,SUM(CH$4:CH135))</f>
        <v>#N/A</v>
      </c>
      <c r="CJ135" s="315" t="e">
        <f>IF($J135="",#N/A,SUM(CH$4:CH135,CF$4:CF135,CD$4:CD135))</f>
        <v>#N/A</v>
      </c>
      <c r="CK135" s="304" t="str">
        <f t="shared" si="268"/>
        <v/>
      </c>
      <c r="CL135" s="313" t="e">
        <f>IF($J135="",#N/A,SUM(CK$4:CK135))</f>
        <v>#N/A</v>
      </c>
      <c r="CM135" s="314" t="str">
        <f t="shared" si="269"/>
        <v/>
      </c>
      <c r="CN135" s="314" t="e">
        <f>IF($J135="",#N/A,SUM(CM$4:CM135))</f>
        <v>#N/A</v>
      </c>
      <c r="CO135" s="315" t="str">
        <f t="shared" si="270"/>
        <v/>
      </c>
      <c r="CP135" s="315" t="e">
        <f>IF($J135="",#N/A,SUM(CO$4:CO135))</f>
        <v>#N/A</v>
      </c>
      <c r="CQ135" s="315" t="e">
        <f>IF($J135="",#N/A,SUM(CO$4:CO135,CM$4:CM135,CK$4:CK135))</f>
        <v>#N/A</v>
      </c>
      <c r="CR135" s="304" t="str">
        <f t="shared" si="271"/>
        <v/>
      </c>
      <c r="CS135" s="313" t="e">
        <f>IF($J135="",#N/A,SUM(CR$4:CR135))</f>
        <v>#N/A</v>
      </c>
      <c r="CT135" s="314" t="str">
        <f t="shared" si="272"/>
        <v/>
      </c>
      <c r="CU135" s="314" t="e">
        <f>IF($J135="",#N/A,SUM(CT$4:CT135))</f>
        <v>#N/A</v>
      </c>
      <c r="CV135" s="315" t="str">
        <f t="shared" si="273"/>
        <v/>
      </c>
      <c r="CW135" s="315" t="e">
        <f>IF($J135="",#N/A,SUM(CV$4:CV135))</f>
        <v>#N/A</v>
      </c>
      <c r="CX135" s="315" t="e">
        <f>IF($J135="",#N/A,SUM(CV$4:CV135,CT$4:CT135,CR$4:CR135))</f>
        <v>#N/A</v>
      </c>
      <c r="CY135" s="304" t="str">
        <f t="shared" si="274"/>
        <v/>
      </c>
      <c r="CZ135" s="313" t="e">
        <f>IF($J135="",#N/A,SUM(CY$4:CY135))</f>
        <v>#N/A</v>
      </c>
      <c r="DA135" s="314" t="str">
        <f t="shared" si="275"/>
        <v/>
      </c>
      <c r="DB135" s="314" t="e">
        <f>IF($J135="",#N/A,SUM(DA$4:DA135))</f>
        <v>#N/A</v>
      </c>
      <c r="DC135" s="315" t="str">
        <f t="shared" si="276"/>
        <v/>
      </c>
      <c r="DD135" s="315" t="e">
        <f>IF($J135="",#N/A,SUM(DC$4:DC135))</f>
        <v>#N/A</v>
      </c>
      <c r="DE135" s="315" t="e">
        <f>IF($J135="",#N/A,SUM(DC$4:DC135,DA$4:DA135,CY$4:CY135))</f>
        <v>#N/A</v>
      </c>
      <c r="DF135" s="304" t="str">
        <f t="shared" si="277"/>
        <v/>
      </c>
      <c r="DG135" s="313" t="e">
        <f>IF($J135="",#N/A,SUM(DF$4:DF135))</f>
        <v>#N/A</v>
      </c>
      <c r="DH135" s="314" t="str">
        <f t="shared" si="278"/>
        <v/>
      </c>
      <c r="DI135" s="314" t="e">
        <f>IF($J135="",#N/A,SUM(DH$4:DH135))</f>
        <v>#N/A</v>
      </c>
      <c r="DJ135" s="315" t="str">
        <f t="shared" si="279"/>
        <v/>
      </c>
      <c r="DK135" s="315" t="e">
        <f>IF($J135="",#N/A,SUM(DJ$4:DJ135))</f>
        <v>#N/A</v>
      </c>
      <c r="DL135" s="315" t="e">
        <f>IF($J135="",#N/A,SUM(DJ$4:DJ135,DH$4:DH135,DF$4:DF135))</f>
        <v>#N/A</v>
      </c>
      <c r="DM135" s="304" t="str">
        <f t="shared" si="280"/>
        <v/>
      </c>
      <c r="DN135" s="313" t="e">
        <f>IF($J135="",#N/A,SUM(DM$4:DM135))</f>
        <v>#N/A</v>
      </c>
      <c r="DO135" s="314" t="str">
        <f t="shared" si="281"/>
        <v/>
      </c>
      <c r="DP135" s="314" t="e">
        <f>IF($J135="",#N/A,SUM(DO$4:DO135))</f>
        <v>#N/A</v>
      </c>
      <c r="DQ135" s="315">
        <f t="shared" si="282"/>
        <v>-4.6260687333488516E-2</v>
      </c>
      <c r="DR135" s="315" t="e">
        <f>IF($J135="",#N/A,SUM(DQ$4:DQ135))</f>
        <v>#N/A</v>
      </c>
      <c r="DS135" s="315" t="e">
        <f>IF($J135="",#N/A,SUM(DQ$4:DQ135,DO$4:DO135,DM$4:DM135))</f>
        <v>#N/A</v>
      </c>
      <c r="DT135" s="304" t="str">
        <f t="shared" si="283"/>
        <v/>
      </c>
      <c r="DU135" s="313" t="e">
        <f>IF($J135="",#N/A,SUM(DT$4:DT135))</f>
        <v>#N/A</v>
      </c>
      <c r="DV135" s="314" t="str">
        <f t="shared" si="284"/>
        <v/>
      </c>
      <c r="DW135" s="314" t="e">
        <f>IF($J135="",#N/A,SUM(DV$4:DV135))</f>
        <v>#N/A</v>
      </c>
      <c r="DX135" s="315" t="str">
        <f t="shared" si="285"/>
        <v/>
      </c>
      <c r="DY135" s="315" t="e">
        <f>IF($J135="",#N/A,SUM(DX$4:DX135))</f>
        <v>#N/A</v>
      </c>
      <c r="DZ135" s="315" t="e">
        <f>IF($J135="",#N/A,SUM(DX$4:DX135,DV$4:DV135,DT$4:DT135))</f>
        <v>#N/A</v>
      </c>
      <c r="EA135" s="304" t="str">
        <f t="shared" si="286"/>
        <v/>
      </c>
      <c r="EB135" s="313" t="e">
        <f>IF($J135="",#N/A,SUM(EA$4:EA135))</f>
        <v>#N/A</v>
      </c>
      <c r="EC135" s="314" t="str">
        <f t="shared" si="287"/>
        <v/>
      </c>
      <c r="ED135" s="314" t="e">
        <f>IF($J135="",#N/A,SUM(EC$4:EC135))</f>
        <v>#N/A</v>
      </c>
      <c r="EE135" s="315" t="str">
        <f t="shared" si="288"/>
        <v/>
      </c>
      <c r="EF135" s="315" t="e">
        <f>IF($J135="",#N/A,SUM(EE$4:EE135))</f>
        <v>#N/A</v>
      </c>
      <c r="EG135" s="315" t="e">
        <f>IF($J135="",#N/A,SUM(EE$4:EE135,EC$4:EC135,EA$4:EA135))</f>
        <v>#N/A</v>
      </c>
      <c r="EH135" s="130">
        <f t="shared" si="289"/>
        <v>-1.6599999999999682</v>
      </c>
      <c r="EI135" s="63">
        <f>IF(EH135="",#N/A,SUM($EH$4:EH135))</f>
        <v>629.86717826179586</v>
      </c>
      <c r="EJ135" s="223" t="e">
        <f t="shared" si="290"/>
        <v>#N/A</v>
      </c>
      <c r="EK135" s="63" t="e">
        <f>IF($GZ135="",#N/A,SUM(EJ$4:EJ135))</f>
        <v>#N/A</v>
      </c>
      <c r="EL135" s="60">
        <f t="shared" si="322"/>
        <v>-4.6260687333488516E-2</v>
      </c>
      <c r="EM135" s="60">
        <f>IF(EL135="",NA(),SUM($EL$4:EL135))</f>
        <v>23.462692061656096</v>
      </c>
      <c r="EN135" s="60" t="str">
        <f t="shared" si="291"/>
        <v/>
      </c>
      <c r="EO135" s="60" t="e">
        <f>IF(EN135="",NA(),SUM($EN$4:EN135))</f>
        <v>#N/A</v>
      </c>
      <c r="EP135" s="60">
        <f t="shared" si="292"/>
        <v>-4.6260687333488516E-2</v>
      </c>
      <c r="EQ135" s="60">
        <f>IF(EP135="",NA(),SUM($EP$4:EP135))</f>
        <v>10.532374681050964</v>
      </c>
      <c r="ER135" s="60" t="str">
        <f t="shared" si="293"/>
        <v/>
      </c>
      <c r="ES135" s="60" t="e">
        <f>IF(ER135="",NA(),SUM($ER$4:ER135))</f>
        <v>#N/A</v>
      </c>
      <c r="ET135" s="60" t="str">
        <f t="shared" si="294"/>
        <v/>
      </c>
      <c r="EU135" s="60" t="e">
        <f>IF(ET135="",NA(),SUM($ET$4:ET135))</f>
        <v>#N/A</v>
      </c>
      <c r="EV135" s="60" t="str">
        <f t="shared" si="295"/>
        <v/>
      </c>
      <c r="EW135" s="60" t="e">
        <f>IF(EV135="",NA(),SUM($EV$4:EV135))</f>
        <v>#N/A</v>
      </c>
      <c r="EX135" s="60" t="str">
        <f t="shared" si="296"/>
        <v/>
      </c>
      <c r="EY135" s="60" t="e">
        <f>IF(EX135="",NA(),SUM($EX$4:EX135))</f>
        <v>#N/A</v>
      </c>
      <c r="EZ135" s="60" t="str">
        <f t="shared" si="297"/>
        <v/>
      </c>
      <c r="FA135" s="60" t="e">
        <f>IF(EZ135="",NA(),SUM($EZ$4:EZ135))</f>
        <v>#N/A</v>
      </c>
      <c r="FB135" s="246" t="str">
        <f t="shared" si="323"/>
        <v/>
      </c>
      <c r="FC135" s="246" t="e">
        <f>IF($FB135="",#N/A,SUM(FB$4:$FB135))</f>
        <v>#N/A</v>
      </c>
      <c r="FD135" s="60" t="str">
        <f t="shared" si="298"/>
        <v/>
      </c>
      <c r="FE135" s="60" t="e">
        <f>IF($FD135="",#N/A,SUM($FD$4:FD135))</f>
        <v>#N/A</v>
      </c>
      <c r="FF135" s="60" t="str">
        <f t="shared" si="299"/>
        <v/>
      </c>
      <c r="FG135" s="60" t="e">
        <f>IF($FF135="",#N/A,SUM($FF$4:FF135))</f>
        <v>#N/A</v>
      </c>
      <c r="FH135" s="60" t="str">
        <f t="shared" si="300"/>
        <v/>
      </c>
      <c r="FI135" s="60" t="e">
        <f>IF($FH135="",#N/A,SUM($FH$4:FH135))</f>
        <v>#N/A</v>
      </c>
      <c r="FJ135" s="60" t="str">
        <f t="shared" si="301"/>
        <v/>
      </c>
      <c r="FK135" s="60" t="e">
        <f>IF($FJ135="",#N/A,SUM($FJ$4:FJ135))</f>
        <v>#N/A</v>
      </c>
      <c r="FL135" s="60">
        <f t="shared" si="302"/>
        <v>0.20176347969546005</v>
      </c>
      <c r="FM135" s="60">
        <f>IF($FL135="",#N/A,SUM($FL$4:FL135))</f>
        <v>4.0290225243278055</v>
      </c>
      <c r="FN135" s="82">
        <f t="shared" si="303"/>
        <v>0.15550279236197154</v>
      </c>
      <c r="FO135" s="82">
        <f>IF($FN135="",#N/A,SUM(FN$4:$FN135))</f>
        <v>33.869338767582008</v>
      </c>
      <c r="FP135" s="82">
        <f t="shared" si="324"/>
        <v>-4.6260687333488516E-2</v>
      </c>
      <c r="FQ135" s="246">
        <f>IF($EH135="",#N/A,SUM($FP$4:FP135))</f>
        <v>24.5866419365661</v>
      </c>
      <c r="FR135" s="82">
        <f>IFERROR(FQ135/COUNTA($J$4:J135),#N/A)</f>
        <v>0.18626243891337954</v>
      </c>
      <c r="FS135" s="82" t="e">
        <f>IFERROR(($FQ135-#REF!)/COUNTA($J87:$J135),#N/A)</f>
        <v>#N/A</v>
      </c>
      <c r="FT135" s="82">
        <f t="shared" si="225"/>
        <v>0.19951564391710469</v>
      </c>
      <c r="FU135" s="337">
        <f t="shared" si="304"/>
        <v>8.3694439019650115</v>
      </c>
      <c r="FV135" s="57" t="str">
        <f t="shared" si="305"/>
        <v>SW</v>
      </c>
      <c r="FW135" s="57" t="s">
        <v>2732</v>
      </c>
      <c r="FX135" s="57" t="str">
        <f t="shared" si="306"/>
        <v/>
      </c>
      <c r="FY135" s="57" t="str">
        <f t="shared" si="307"/>
        <v/>
      </c>
      <c r="FZ135" s="57" t="str">
        <f t="shared" si="308"/>
        <v/>
      </c>
      <c r="GA135" s="57" t="str">
        <f t="shared" si="309"/>
        <v>Long</v>
      </c>
      <c r="GB135" s="57" t="str">
        <f t="shared" si="310"/>
        <v/>
      </c>
      <c r="GC135" s="57" t="str">
        <f t="shared" si="311"/>
        <v/>
      </c>
      <c r="GD135" s="57">
        <f t="shared" si="312"/>
        <v>1</v>
      </c>
      <c r="GE135" s="62">
        <f t="shared" si="227"/>
        <v>299.02999999999997</v>
      </c>
      <c r="GF135" s="62" t="s">
        <v>2779</v>
      </c>
      <c r="GG135" s="199">
        <v>2</v>
      </c>
      <c r="GH135" s="207">
        <f t="shared" si="313"/>
        <v>598.05999999999995</v>
      </c>
      <c r="GI135" s="199">
        <v>2</v>
      </c>
      <c r="GJ135" s="200">
        <v>298.2</v>
      </c>
      <c r="GK135" s="63">
        <f t="shared" si="314"/>
        <v>-1.6599999999999682</v>
      </c>
      <c r="GL135" s="63">
        <f t="shared" si="228"/>
        <v>5.5800000000000409</v>
      </c>
      <c r="GM135" s="82">
        <f t="shared" si="315"/>
        <v>0.15550279236197154</v>
      </c>
      <c r="GN135" s="82">
        <f>IF($GZ135="",#N/A,SUM(GM$4:GM135))</f>
        <v>13.606636951775709</v>
      </c>
      <c r="GO135" s="82" t="str">
        <f t="shared" si="316"/>
        <v/>
      </c>
      <c r="GP135" s="82">
        <f>IF($GZ135="",#N/A,SUM(GO$4:GO135))</f>
        <v>10.761590336028053</v>
      </c>
      <c r="GQ135" s="82" t="str">
        <f t="shared" si="317"/>
        <v/>
      </c>
      <c r="GR135" s="82">
        <f>IF($GZ135="",#N/A,SUM(GQ$4:GQ135))</f>
        <v>8.8752745253359038</v>
      </c>
      <c r="GS135" s="63" t="e">
        <f t="shared" si="325"/>
        <v>#N/A</v>
      </c>
      <c r="GT135" s="63" t="e">
        <f>IF($GZ135="",#N/A,SUM(GS$4:GS135))</f>
        <v>#N/A</v>
      </c>
      <c r="GU135" s="63" t="str">
        <f t="shared" si="326"/>
        <v/>
      </c>
      <c r="GV135" s="63" t="e">
        <f>IF($GZ135="",#N/A,SUM(GU$4:GU135))</f>
        <v>#N/A</v>
      </c>
      <c r="GW135" s="63" t="str">
        <f t="shared" si="327"/>
        <v/>
      </c>
      <c r="GX135" s="63" t="e">
        <f>IF($GZ135="",#N/A,SUM(GW$4:GW135))</f>
        <v>#N/A</v>
      </c>
      <c r="GY135" s="63" t="e">
        <f>IF(EJ135="",#N/A,SUM($EJ$4:EJ135))</f>
        <v>#N/A</v>
      </c>
      <c r="GZ135" s="159">
        <v>301.82</v>
      </c>
      <c r="HA135" s="63">
        <f t="shared" si="318"/>
        <v>7.2400000000000091</v>
      </c>
      <c r="HB135" s="62" t="s">
        <v>2538</v>
      </c>
      <c r="HC135" s="60">
        <f>IFERROR(VLOOKUP(E135,Expectancy!$P$4:$S$19,1+C135,FALSE),"")</f>
        <v>-3.1543782927977014E-2</v>
      </c>
      <c r="HD135" s="82">
        <f t="shared" si="319"/>
        <v>-4.6260687333488516E-2</v>
      </c>
      <c r="HE135" s="60">
        <f>IF(HD135="",#N/A,SUM($HD$4:HD135))</f>
        <v>1.6871980346010902</v>
      </c>
      <c r="HF135" s="85">
        <f>IF(HD135="",#N/A,IF(HB135="Skip",#N/A,SUM($HG$4:HG135)))</f>
        <v>63.449999999999989</v>
      </c>
      <c r="HG135" s="63">
        <f t="shared" si="320"/>
        <v>-1.6599999999999682</v>
      </c>
      <c r="HH135" s="82">
        <f t="shared" si="321"/>
        <v>0.15550279236197154</v>
      </c>
    </row>
    <row r="136" spans="1:216" x14ac:dyDescent="0.25">
      <c r="A136" s="57" t="s">
        <v>1430</v>
      </c>
      <c r="B136" s="58" t="s">
        <v>5169</v>
      </c>
      <c r="C136" s="386">
        <f t="shared" si="230"/>
        <v>1</v>
      </c>
      <c r="D136" s="372" t="str">
        <f>_xlfn.XLOOKUP(A136,[1]SP500!$A$2:$A$502,[1]SP500!$D$2:$D$502,"N")</f>
        <v>Y</v>
      </c>
      <c r="E136" s="57" t="str">
        <f>_xlfn.XLOOKUP(A136,[1]SP500!$A$2:$A$655,[1]SP500!$B$2:$B$655)</f>
        <v>XLE</v>
      </c>
      <c r="F136" s="59">
        <v>45687</v>
      </c>
      <c r="G136" s="57" t="str">
        <f t="shared" si="231"/>
        <v>AMC</v>
      </c>
      <c r="H136" s="57" t="str">
        <f t="shared" si="232"/>
        <v>s</v>
      </c>
      <c r="I136" s="158">
        <v>44.6</v>
      </c>
      <c r="J136" s="158">
        <v>46.1</v>
      </c>
      <c r="K136" s="61">
        <f t="shared" si="233"/>
        <v>3.3632286995515695E-2</v>
      </c>
      <c r="L136" s="87">
        <f t="shared" si="234"/>
        <v>13.5</v>
      </c>
      <c r="M136" s="130">
        <f t="shared" si="226"/>
        <v>-0.90000000000003411</v>
      </c>
      <c r="N136" s="169">
        <f t="shared" si="235"/>
        <v>13.5</v>
      </c>
      <c r="O136" s="169">
        <f>IF($J136="",#N/A,SUM($N$4:N136))</f>
        <v>233.98503433954818</v>
      </c>
      <c r="P136" s="174" t="str">
        <f t="shared" si="236"/>
        <v/>
      </c>
      <c r="Q136" s="174">
        <f>IF($J136="",#N/A,SUM($P$4:P136))</f>
        <v>148.88104023772644</v>
      </c>
      <c r="R136" s="178" t="str">
        <f t="shared" si="237"/>
        <v/>
      </c>
      <c r="S136" s="178">
        <f>IF($J136="",#N/A,SUM($R$4:R136))</f>
        <v>260.50110368452101</v>
      </c>
      <c r="T136" s="290">
        <f t="shared" si="238"/>
        <v>0.56053811659192831</v>
      </c>
      <c r="U136" s="290">
        <f>IF($J136="",#N/A,SUM($T$4:T136))</f>
        <v>8.4350823633544252</v>
      </c>
      <c r="V136" s="291" t="str">
        <f t="shared" si="239"/>
        <v/>
      </c>
      <c r="W136" s="291">
        <f>IF($J136="",#N/A,SUM($V$4:V136))</f>
        <v>6.3003710611483559</v>
      </c>
      <c r="X136" s="292" t="str">
        <f t="shared" si="240"/>
        <v/>
      </c>
      <c r="Y136" s="283">
        <f>IF($J136="",#N/A,SUM($X$4:X136))</f>
        <v>10.411726628655238</v>
      </c>
      <c r="Z136" s="304" t="str">
        <f t="shared" si="241"/>
        <v/>
      </c>
      <c r="AA136" s="313" t="e">
        <f>IF($J136="",#N/A,SUM(Z$4:Z136))</f>
        <v>#N/A</v>
      </c>
      <c r="AB136" s="314" t="str">
        <f t="shared" si="242"/>
        <v/>
      </c>
      <c r="AC136" s="314" t="e">
        <f>IF($J136="",#N/A,SUM(AB$4:AB136))</f>
        <v>#N/A</v>
      </c>
      <c r="AD136" s="315" t="str">
        <f t="shared" si="243"/>
        <v/>
      </c>
      <c r="AE136" s="315" t="e">
        <f>IF($J136="",#N/A,SUM(AD$4:AD136))</f>
        <v>#N/A</v>
      </c>
      <c r="AF136" s="315" t="e">
        <f>IF($J136="",#N/A,SUM(AD$4:AD136,AB$4:AB136,Z$4:Z136))</f>
        <v>#N/A</v>
      </c>
      <c r="AG136" s="304" t="str">
        <f t="shared" si="244"/>
        <v/>
      </c>
      <c r="AH136" s="313" t="e">
        <f>IF($J136="",#N/A,SUM(AG$4:AG136))</f>
        <v>#N/A</v>
      </c>
      <c r="AI136" s="314" t="str">
        <f t="shared" si="245"/>
        <v/>
      </c>
      <c r="AJ136" s="314" t="e">
        <f>IF($J136="",#N/A,SUM(AI$4:AI136))</f>
        <v>#N/A</v>
      </c>
      <c r="AK136" s="315" t="str">
        <f t="shared" si="246"/>
        <v/>
      </c>
      <c r="AL136" s="315" t="e">
        <f>IF($J136="",#N/A,SUM(AK$4:AK136))</f>
        <v>#N/A</v>
      </c>
      <c r="AM136" s="315" t="e">
        <f>IF($J136="",#N/A,SUM(AK$4:AK136,AI$4:AI136,AG$4:AG136))</f>
        <v>#N/A</v>
      </c>
      <c r="AN136" s="304" t="str">
        <f t="shared" si="247"/>
        <v/>
      </c>
      <c r="AO136" s="313" t="e">
        <f>IF($J136="",#N/A,SUM(AN$4:AN136))</f>
        <v>#N/A</v>
      </c>
      <c r="AP136" s="314" t="str">
        <f t="shared" si="248"/>
        <v/>
      </c>
      <c r="AQ136" s="314" t="e">
        <f>IF($J136="",#N/A,SUM(AP$4:AP136))</f>
        <v>#N/A</v>
      </c>
      <c r="AR136" s="315" t="str">
        <f t="shared" si="249"/>
        <v/>
      </c>
      <c r="AS136" s="315" t="e">
        <f>IF($J136="",#N/A,SUM(AR$4:AR136))</f>
        <v>#N/A</v>
      </c>
      <c r="AT136" s="315" t="e">
        <f>IF($J136="",#N/A,SUM(AR$4:AR136,AP$4:AP136,AN$4:AN136))</f>
        <v>#N/A</v>
      </c>
      <c r="AU136" s="304" t="str">
        <f t="shared" si="250"/>
        <v/>
      </c>
      <c r="AV136" s="313" t="e">
        <f>IF($J136="",#N/A,SUM(AU$4:AU136))</f>
        <v>#N/A</v>
      </c>
      <c r="AW136" s="314" t="str">
        <f t="shared" si="251"/>
        <v/>
      </c>
      <c r="AX136" s="314" t="e">
        <f>IF($J136="",#N/A,SUM(AW$4:AW136))</f>
        <v>#N/A</v>
      </c>
      <c r="AY136" s="315" t="str">
        <f t="shared" si="252"/>
        <v/>
      </c>
      <c r="AZ136" s="315" t="e">
        <f>IF($J136="",#N/A,SUM(AY$4:AY136))</f>
        <v>#N/A</v>
      </c>
      <c r="BA136" s="315" t="e">
        <f>IF($J136="",#N/A,SUM(AY$4:AY136,AW$4:AW136,AU$4:AU136))</f>
        <v>#N/A</v>
      </c>
      <c r="BB136" s="304" t="str">
        <f t="shared" si="253"/>
        <v/>
      </c>
      <c r="BC136" s="313" t="e">
        <f>IF($J136="",#N/A,SUM(BB$4:BB136))</f>
        <v>#N/A</v>
      </c>
      <c r="BD136" s="314" t="str">
        <f t="shared" si="254"/>
        <v/>
      </c>
      <c r="BE136" s="314" t="e">
        <f>IF($J136="",#N/A,SUM(BD$4:BD136))</f>
        <v>#N/A</v>
      </c>
      <c r="BF136" s="315" t="str">
        <f t="shared" si="255"/>
        <v/>
      </c>
      <c r="BG136" s="315" t="e">
        <f>IF($J136="",#N/A,SUM(BF$4:BF136))</f>
        <v>#N/A</v>
      </c>
      <c r="BH136" s="315" t="e">
        <f>IF($J136="",#N/A,SUM(BF$4:BF136,BD$4:BD136,BB$4:BB136))</f>
        <v>#N/A</v>
      </c>
      <c r="BI136" s="304" t="str">
        <f t="shared" si="256"/>
        <v/>
      </c>
      <c r="BJ136" s="313" t="e">
        <f>IF($J136="",#N/A,SUM(BI$4:BI136))</f>
        <v>#N/A</v>
      </c>
      <c r="BK136" s="314" t="str">
        <f t="shared" si="257"/>
        <v/>
      </c>
      <c r="BL136" s="314" t="e">
        <f>IF($J136="",#N/A,SUM(BK$4:BK136))</f>
        <v>#N/A</v>
      </c>
      <c r="BM136" s="315" t="str">
        <f t="shared" si="258"/>
        <v/>
      </c>
      <c r="BN136" s="315" t="e">
        <f>IF($J136="",#N/A,SUM(BM$4:BM136))</f>
        <v>#N/A</v>
      </c>
      <c r="BO136" s="315" t="e">
        <f>IF($J136="",#N/A,SUM(BM$4:BM136,BK$4:BK136,BI$4:BI136))</f>
        <v>#N/A</v>
      </c>
      <c r="BP136" s="304" t="str">
        <f t="shared" si="259"/>
        <v/>
      </c>
      <c r="BQ136" s="313" t="e">
        <f>IF($J136="",#N/A,SUM(BP$4:BP136))</f>
        <v>#N/A</v>
      </c>
      <c r="BR136" s="314" t="str">
        <f t="shared" si="260"/>
        <v/>
      </c>
      <c r="BS136" s="314" t="e">
        <f>IF($J136="",#N/A,SUM(BR$4:BR136))</f>
        <v>#N/A</v>
      </c>
      <c r="BT136" s="315" t="str">
        <f t="shared" si="261"/>
        <v/>
      </c>
      <c r="BU136" s="315" t="e">
        <f>IF($J136="",#N/A,SUM(BT$4:BT136))</f>
        <v>#N/A</v>
      </c>
      <c r="BV136" s="315" t="e">
        <f>IF($J136="",#N/A,SUM(BT$4:BT136,BR$4:BR136,BP$4:BP136))</f>
        <v>#N/A</v>
      </c>
      <c r="BW136" s="304" t="str">
        <f t="shared" si="262"/>
        <v/>
      </c>
      <c r="BX136" s="313" t="e">
        <f>IF($J136="",#N/A,SUM(BW$4:BW136))</f>
        <v>#N/A</v>
      </c>
      <c r="BY136" s="314" t="str">
        <f t="shared" si="263"/>
        <v/>
      </c>
      <c r="BZ136" s="314" t="e">
        <f>IF($J136="",#N/A,SUM(BY$4:BY136))</f>
        <v>#N/A</v>
      </c>
      <c r="CA136" s="315" t="str">
        <f t="shared" si="264"/>
        <v/>
      </c>
      <c r="CB136" s="315" t="e">
        <f>IF($J136="",#N/A,SUM(CA$4:CA136))</f>
        <v>#N/A</v>
      </c>
      <c r="CC136" s="315" t="e">
        <f>IF($J136="",#N/A,SUM(CA$4:CA136,BY$4:BY136,BW$4:BW136))</f>
        <v>#N/A</v>
      </c>
      <c r="CD136" s="304" t="str">
        <f t="shared" si="265"/>
        <v/>
      </c>
      <c r="CE136" s="313" t="e">
        <f>IF($J136="",#N/A,SUM(CD$4:CD136))</f>
        <v>#N/A</v>
      </c>
      <c r="CF136" s="314" t="str">
        <f t="shared" si="266"/>
        <v/>
      </c>
      <c r="CG136" s="314" t="e">
        <f>IF($J136="",#N/A,SUM(CF$4:CF136))</f>
        <v>#N/A</v>
      </c>
      <c r="CH136" s="315" t="str">
        <f t="shared" si="267"/>
        <v/>
      </c>
      <c r="CI136" s="315" t="e">
        <f>IF($J136="",#N/A,SUM(CH$4:CH136))</f>
        <v>#N/A</v>
      </c>
      <c r="CJ136" s="315" t="e">
        <f>IF($J136="",#N/A,SUM(CH$4:CH136,CF$4:CF136,CD$4:CD136))</f>
        <v>#N/A</v>
      </c>
      <c r="CK136" s="304" t="str">
        <f t="shared" si="268"/>
        <v/>
      </c>
      <c r="CL136" s="313" t="e">
        <f>IF($J136="",#N/A,SUM(CK$4:CK136))</f>
        <v>#N/A</v>
      </c>
      <c r="CM136" s="314" t="str">
        <f t="shared" si="269"/>
        <v/>
      </c>
      <c r="CN136" s="314" t="e">
        <f>IF($J136="",#N/A,SUM(CM$4:CM136))</f>
        <v>#N/A</v>
      </c>
      <c r="CO136" s="315" t="str">
        <f t="shared" si="270"/>
        <v/>
      </c>
      <c r="CP136" s="315" t="e">
        <f>IF($J136="",#N/A,SUM(CO$4:CO136))</f>
        <v>#N/A</v>
      </c>
      <c r="CQ136" s="315" t="e">
        <f>IF($J136="",#N/A,SUM(CO$4:CO136,CM$4:CM136,CK$4:CK136))</f>
        <v>#N/A</v>
      </c>
      <c r="CR136" s="304">
        <f t="shared" si="271"/>
        <v>0.56053811659192831</v>
      </c>
      <c r="CS136" s="313" t="e">
        <f>IF($J136="",#N/A,SUM(CR$4:CR136))</f>
        <v>#N/A</v>
      </c>
      <c r="CT136" s="314" t="str">
        <f t="shared" si="272"/>
        <v/>
      </c>
      <c r="CU136" s="314" t="e">
        <f>IF($J136="",#N/A,SUM(CT$4:CT136))</f>
        <v>#N/A</v>
      </c>
      <c r="CV136" s="315" t="str">
        <f t="shared" si="273"/>
        <v/>
      </c>
      <c r="CW136" s="315" t="e">
        <f>IF($J136="",#N/A,SUM(CV$4:CV136))</f>
        <v>#N/A</v>
      </c>
      <c r="CX136" s="315" t="e">
        <f>IF($J136="",#N/A,SUM(CV$4:CV136,CT$4:CT136,CR$4:CR136))</f>
        <v>#N/A</v>
      </c>
      <c r="CY136" s="304" t="str">
        <f t="shared" si="274"/>
        <v/>
      </c>
      <c r="CZ136" s="313" t="e">
        <f>IF($J136="",#N/A,SUM(CY$4:CY136))</f>
        <v>#N/A</v>
      </c>
      <c r="DA136" s="314" t="str">
        <f t="shared" si="275"/>
        <v/>
      </c>
      <c r="DB136" s="314" t="e">
        <f>IF($J136="",#N/A,SUM(DA$4:DA136))</f>
        <v>#N/A</v>
      </c>
      <c r="DC136" s="315" t="str">
        <f t="shared" si="276"/>
        <v/>
      </c>
      <c r="DD136" s="315" t="e">
        <f>IF($J136="",#N/A,SUM(DC$4:DC136))</f>
        <v>#N/A</v>
      </c>
      <c r="DE136" s="315" t="e">
        <f>IF($J136="",#N/A,SUM(DC$4:DC136,DA$4:DA136,CY$4:CY136))</f>
        <v>#N/A</v>
      </c>
      <c r="DF136" s="304" t="str">
        <f t="shared" si="277"/>
        <v/>
      </c>
      <c r="DG136" s="313" t="e">
        <f>IF($J136="",#N/A,SUM(DF$4:DF136))</f>
        <v>#N/A</v>
      </c>
      <c r="DH136" s="314" t="str">
        <f t="shared" si="278"/>
        <v/>
      </c>
      <c r="DI136" s="314" t="e">
        <f>IF($J136="",#N/A,SUM(DH$4:DH136))</f>
        <v>#N/A</v>
      </c>
      <c r="DJ136" s="315" t="str">
        <f t="shared" si="279"/>
        <v/>
      </c>
      <c r="DK136" s="315" t="e">
        <f>IF($J136="",#N/A,SUM(DJ$4:DJ136))</f>
        <v>#N/A</v>
      </c>
      <c r="DL136" s="315" t="e">
        <f>IF($J136="",#N/A,SUM(DJ$4:DJ136,DH$4:DH136,DF$4:DF136))</f>
        <v>#N/A</v>
      </c>
      <c r="DM136" s="304" t="str">
        <f t="shared" si="280"/>
        <v/>
      </c>
      <c r="DN136" s="313" t="e">
        <f>IF($J136="",#N/A,SUM(DM$4:DM136))</f>
        <v>#N/A</v>
      </c>
      <c r="DO136" s="314" t="str">
        <f t="shared" si="281"/>
        <v/>
      </c>
      <c r="DP136" s="314" t="e">
        <f>IF($J136="",#N/A,SUM(DO$4:DO136))</f>
        <v>#N/A</v>
      </c>
      <c r="DQ136" s="315" t="str">
        <f t="shared" si="282"/>
        <v/>
      </c>
      <c r="DR136" s="315" t="e">
        <f>IF($J136="",#N/A,SUM(DQ$4:DQ136))</f>
        <v>#N/A</v>
      </c>
      <c r="DS136" s="315" t="e">
        <f>IF($J136="",#N/A,SUM(DQ$4:DQ136,DO$4:DO136,DM$4:DM136))</f>
        <v>#N/A</v>
      </c>
      <c r="DT136" s="304" t="str">
        <f t="shared" si="283"/>
        <v/>
      </c>
      <c r="DU136" s="313" t="e">
        <f>IF($J136="",#N/A,SUM(DT$4:DT136))</f>
        <v>#N/A</v>
      </c>
      <c r="DV136" s="314" t="str">
        <f t="shared" si="284"/>
        <v/>
      </c>
      <c r="DW136" s="314" t="e">
        <f>IF($J136="",#N/A,SUM(DV$4:DV136))</f>
        <v>#N/A</v>
      </c>
      <c r="DX136" s="315" t="str">
        <f t="shared" si="285"/>
        <v/>
      </c>
      <c r="DY136" s="315" t="e">
        <f>IF($J136="",#N/A,SUM(DX$4:DX136))</f>
        <v>#N/A</v>
      </c>
      <c r="DZ136" s="315" t="e">
        <f>IF($J136="",#N/A,SUM(DX$4:DX136,DV$4:DV136,DT$4:DT136))</f>
        <v>#N/A</v>
      </c>
      <c r="EA136" s="304" t="str">
        <f t="shared" si="286"/>
        <v/>
      </c>
      <c r="EB136" s="313" t="e">
        <f>IF($J136="",#N/A,SUM(EA$4:EA136))</f>
        <v>#N/A</v>
      </c>
      <c r="EC136" s="314" t="str">
        <f t="shared" si="287"/>
        <v/>
      </c>
      <c r="ED136" s="314" t="e">
        <f>IF($J136="",#N/A,SUM(EC$4:EC136))</f>
        <v>#N/A</v>
      </c>
      <c r="EE136" s="315" t="str">
        <f t="shared" si="288"/>
        <v/>
      </c>
      <c r="EF136" s="315" t="e">
        <f>IF($J136="",#N/A,SUM(EE$4:EE136))</f>
        <v>#N/A</v>
      </c>
      <c r="EG136" s="315" t="e">
        <f>IF($J136="",#N/A,SUM(EE$4:EE136,EC$4:EC136,EA$4:EA136))</f>
        <v>#N/A</v>
      </c>
      <c r="EH136" s="130">
        <f t="shared" si="289"/>
        <v>13.5</v>
      </c>
      <c r="EI136" s="63">
        <f>IF(EH136="",#N/A,SUM($EH$4:EH136))</f>
        <v>643.36717826179586</v>
      </c>
      <c r="EJ136" s="223" t="e">
        <f t="shared" si="290"/>
        <v>#N/A</v>
      </c>
      <c r="EK136" s="63" t="e">
        <f>IF($GZ136="",#N/A,SUM(EJ$4:EJ136))</f>
        <v>#N/A</v>
      </c>
      <c r="EL136" s="60">
        <f t="shared" si="322"/>
        <v>0.56053811659192831</v>
      </c>
      <c r="EM136" s="60">
        <f>IF(EL136="",NA(),SUM($EL$4:EL136))</f>
        <v>24.023230178248024</v>
      </c>
      <c r="EN136" s="60">
        <f t="shared" si="291"/>
        <v>0.56053811659192831</v>
      </c>
      <c r="EO136" s="60">
        <f>IF(EN136="",NA(),SUM($EN$4:EN136))</f>
        <v>7.8928798887486593</v>
      </c>
      <c r="EP136" s="60" t="str">
        <f t="shared" si="292"/>
        <v/>
      </c>
      <c r="EQ136" s="60" t="e">
        <f>IF(EP136="",NA(),SUM($EP$4:EP136))</f>
        <v>#N/A</v>
      </c>
      <c r="ER136" s="60" t="str">
        <f t="shared" si="293"/>
        <v/>
      </c>
      <c r="ES136" s="60" t="e">
        <f>IF(ER136="",NA(),SUM($ER$4:ER136))</f>
        <v>#N/A</v>
      </c>
      <c r="ET136" s="60" t="str">
        <f t="shared" si="294"/>
        <v/>
      </c>
      <c r="EU136" s="60" t="e">
        <f>IF(ET136="",NA(),SUM($ET$4:ET136))</f>
        <v>#N/A</v>
      </c>
      <c r="EV136" s="60" t="str">
        <f t="shared" si="295"/>
        <v/>
      </c>
      <c r="EW136" s="60" t="e">
        <f>IF(EV136="",NA(),SUM($EV$4:EV136))</f>
        <v>#N/A</v>
      </c>
      <c r="EX136" s="60" t="str">
        <f t="shared" si="296"/>
        <v/>
      </c>
      <c r="EY136" s="60" t="e">
        <f>IF(EX136="",NA(),SUM($EX$4:EX136))</f>
        <v>#N/A</v>
      </c>
      <c r="EZ136" s="60" t="str">
        <f t="shared" si="297"/>
        <v/>
      </c>
      <c r="FA136" s="60" t="e">
        <f>IF(EZ136="",NA(),SUM($EZ$4:EZ136))</f>
        <v>#N/A</v>
      </c>
      <c r="FB136" s="246" t="str">
        <f t="shared" si="323"/>
        <v/>
      </c>
      <c r="FC136" s="246" t="e">
        <f>IF($FB136="",#N/A,SUM(FB$4:$FB136))</f>
        <v>#N/A</v>
      </c>
      <c r="FD136" s="60" t="str">
        <f t="shared" si="298"/>
        <v/>
      </c>
      <c r="FE136" s="60" t="e">
        <f>IF($FD136="",#N/A,SUM($FD$4:FD136))</f>
        <v>#N/A</v>
      </c>
      <c r="FF136" s="60">
        <f t="shared" si="299"/>
        <v>2.9895366218234853E-2</v>
      </c>
      <c r="FG136" s="60">
        <f>IF($FF136="",#N/A,SUM($FF$4:FF136))</f>
        <v>0.54623272691912628</v>
      </c>
      <c r="FH136" s="60" t="str">
        <f t="shared" si="300"/>
        <v/>
      </c>
      <c r="FI136" s="60" t="e">
        <f>IF($FH136="",#N/A,SUM($FH$4:FH136))</f>
        <v>#N/A</v>
      </c>
      <c r="FJ136" s="60" t="str">
        <f t="shared" si="301"/>
        <v/>
      </c>
      <c r="FK136" s="60" t="e">
        <f>IF($FJ136="",#N/A,SUM($FJ$4:FJ136))</f>
        <v>#N/A</v>
      </c>
      <c r="FL136" s="60" t="str">
        <f t="shared" si="302"/>
        <v/>
      </c>
      <c r="FM136" s="60" t="e">
        <f>IF($FL136="",#N/A,SUM($FL$4:FL136))</f>
        <v>#N/A</v>
      </c>
      <c r="FN136" s="82">
        <f t="shared" si="303"/>
        <v>0.59043348281016317</v>
      </c>
      <c r="FO136" s="82">
        <f>IF($FN136="",#N/A,SUM(FN$4:$FN136))</f>
        <v>34.45977225039217</v>
      </c>
      <c r="FP136" s="82">
        <f t="shared" si="324"/>
        <v>0.56053811659192831</v>
      </c>
      <c r="FQ136" s="246">
        <f>IF($EH136="",#N/A,SUM($FP$4:FP136))</f>
        <v>25.147180053158028</v>
      </c>
      <c r="FR136" s="82">
        <f>IFERROR(FQ136/COUNTA($J$4:J136),#N/A)</f>
        <v>0.18907654175306787</v>
      </c>
      <c r="FS136" s="82">
        <f>IFERROR(($FQ136-$FQ87)/COUNTA($J87:$J136),#N/A)</f>
        <v>0.1297580166114323</v>
      </c>
      <c r="FT136" s="82">
        <f t="shared" si="225"/>
        <v>0.24103838088945567</v>
      </c>
      <c r="FU136" s="337">
        <f t="shared" si="304"/>
        <v>8.406813109737806</v>
      </c>
      <c r="FV136" s="57" t="str">
        <f t="shared" si="305"/>
        <v>Up</v>
      </c>
      <c r="FW136" s="57" t="s">
        <v>2733</v>
      </c>
      <c r="FX136" s="57">
        <f t="shared" si="306"/>
        <v>1</v>
      </c>
      <c r="FY136" s="57" t="str">
        <f t="shared" si="307"/>
        <v/>
      </c>
      <c r="FZ136" s="57" t="str">
        <f t="shared" si="308"/>
        <v/>
      </c>
      <c r="GA136" s="57" t="str">
        <f t="shared" si="309"/>
        <v>Long</v>
      </c>
      <c r="GB136" s="57" t="str">
        <f t="shared" si="310"/>
        <v/>
      </c>
      <c r="GC136" s="57" t="str">
        <f t="shared" si="311"/>
        <v/>
      </c>
      <c r="GD136" s="57" t="str">
        <f t="shared" si="312"/>
        <v/>
      </c>
      <c r="GE136" s="62">
        <f t="shared" si="227"/>
        <v>44.6</v>
      </c>
      <c r="GF136" s="62" t="s">
        <v>2779</v>
      </c>
      <c r="GG136" s="199">
        <v>9</v>
      </c>
      <c r="GH136" s="207">
        <f t="shared" si="313"/>
        <v>401.40000000000003</v>
      </c>
      <c r="GI136" s="199">
        <v>9</v>
      </c>
      <c r="GJ136" s="200">
        <v>46</v>
      </c>
      <c r="GK136" s="63">
        <f t="shared" si="314"/>
        <v>12.599999999999966</v>
      </c>
      <c r="GL136" s="63">
        <f t="shared" si="228"/>
        <v>14.21999999999997</v>
      </c>
      <c r="GM136" s="82" t="str">
        <f t="shared" si="315"/>
        <v/>
      </c>
      <c r="GN136" s="82">
        <f>IF($GZ136="",#N/A,SUM(GM$4:GM136))</f>
        <v>13.606636951775709</v>
      </c>
      <c r="GO136" s="82">
        <f t="shared" si="316"/>
        <v>0.59043348281016317</v>
      </c>
      <c r="GP136" s="82">
        <f>IF($GZ136="",#N/A,SUM(GO$4:GO136))</f>
        <v>11.352023818838216</v>
      </c>
      <c r="GQ136" s="82" t="str">
        <f t="shared" si="317"/>
        <v/>
      </c>
      <c r="GR136" s="82">
        <f>IF($GZ136="",#N/A,SUM(GQ$4:GQ136))</f>
        <v>8.8752745253359038</v>
      </c>
      <c r="GS136" s="63" t="str">
        <f t="shared" si="325"/>
        <v/>
      </c>
      <c r="GT136" s="63" t="e">
        <f>IF($GZ136="",#N/A,SUM(GS$4:GS136))</f>
        <v>#N/A</v>
      </c>
      <c r="GU136" s="63" t="e">
        <f t="shared" si="326"/>
        <v>#N/A</v>
      </c>
      <c r="GV136" s="63" t="e">
        <f>IF($GZ136="",#N/A,SUM(GU$4:GU136))</f>
        <v>#N/A</v>
      </c>
      <c r="GW136" s="63" t="str">
        <f t="shared" si="327"/>
        <v/>
      </c>
      <c r="GX136" s="63" t="e">
        <f>IF($GZ136="",#N/A,SUM(GW$4:GW136))</f>
        <v>#N/A</v>
      </c>
      <c r="GY136" s="63" t="e">
        <f>IF(EJ136="",#N/A,SUM($EJ$4:EJ136))</f>
        <v>#N/A</v>
      </c>
      <c r="GZ136" s="159">
        <v>46.18</v>
      </c>
      <c r="HA136" s="63">
        <f t="shared" si="318"/>
        <v>0.71999999999997044</v>
      </c>
      <c r="HB136" s="62" t="s">
        <v>2538</v>
      </c>
      <c r="HC136" s="60">
        <f>IFERROR(VLOOKUP(E136,Expectancy!$P$4:$S$19,1+C136,FALSE),"")</f>
        <v>0.46466226518824072</v>
      </c>
      <c r="HD136" s="82">
        <f t="shared" si="319"/>
        <v>0.52316890881913158</v>
      </c>
      <c r="HE136" s="60">
        <f>IF(HD136="",#N/A,SUM($HD$4:HD136))</f>
        <v>2.2103669434202216</v>
      </c>
      <c r="HF136" s="85">
        <f>IF(HD136="",#N/A,IF(HB136="Skip",#N/A,SUM($HG$4:HG136)))</f>
        <v>76.049999999999955</v>
      </c>
      <c r="HG136" s="63">
        <f t="shared" si="320"/>
        <v>12.599999999999966</v>
      </c>
      <c r="HH136" s="82">
        <f t="shared" si="321"/>
        <v>0.59043348281016317</v>
      </c>
    </row>
    <row r="137" spans="1:216" x14ac:dyDescent="0.25">
      <c r="A137" s="57" t="s">
        <v>1455</v>
      </c>
      <c r="B137" s="58" t="s">
        <v>5166</v>
      </c>
      <c r="C137" s="386">
        <f t="shared" si="230"/>
        <v>3</v>
      </c>
      <c r="D137" s="372" t="str">
        <f>_xlfn.XLOOKUP(A137,[1]SP500!$A$2:$A$502,[1]SP500!$D$2:$D$502,"N")</f>
        <v>Y</v>
      </c>
      <c r="E137" s="57" t="str">
        <f>_xlfn.XLOOKUP(A137,[1]SP500!$A$2:$A$655,[1]SP500!$B$2:$B$655)</f>
        <v>XLV</v>
      </c>
      <c r="F137" s="59">
        <v>45687</v>
      </c>
      <c r="G137" s="57" t="str">
        <f t="shared" si="231"/>
        <v>AMC</v>
      </c>
      <c r="H137" s="57" t="str">
        <f t="shared" si="232"/>
        <v>s</v>
      </c>
      <c r="I137" s="159">
        <v>257.64999999999998</v>
      </c>
      <c r="J137" s="158">
        <v>258</v>
      </c>
      <c r="K137" s="61">
        <f t="shared" si="233"/>
        <v>1.358431981370164E-3</v>
      </c>
      <c r="L137" s="87">
        <f t="shared" si="234"/>
        <v>0.35000000000002274</v>
      </c>
      <c r="M137" s="130">
        <f t="shared" si="226"/>
        <v>1.9499999999999886</v>
      </c>
      <c r="N137" s="169" t="str">
        <f t="shared" si="235"/>
        <v/>
      </c>
      <c r="O137" s="169">
        <f>IF($J137="",#N/A,SUM($N$4:N137))</f>
        <v>233.98503433954818</v>
      </c>
      <c r="P137" s="174" t="str">
        <f t="shared" si="236"/>
        <v/>
      </c>
      <c r="Q137" s="174">
        <f>IF($J137="",#N/A,SUM($P$4:P137))</f>
        <v>148.88104023772644</v>
      </c>
      <c r="R137" s="178">
        <f t="shared" si="237"/>
        <v>0.35000000000002274</v>
      </c>
      <c r="S137" s="178">
        <f>IF($J137="",#N/A,SUM($R$4:R137))</f>
        <v>260.85110368452104</v>
      </c>
      <c r="T137" s="290" t="str">
        <f t="shared" si="238"/>
        <v/>
      </c>
      <c r="U137" s="290">
        <f>IF($J137="",#N/A,SUM($T$4:T137))</f>
        <v>8.4350823633544252</v>
      </c>
      <c r="V137" s="291" t="str">
        <f t="shared" si="239"/>
        <v/>
      </c>
      <c r="W137" s="291">
        <f>IF($J137="",#N/A,SUM($V$4:V137))</f>
        <v>6.3003710611483559</v>
      </c>
      <c r="X137" s="292">
        <f t="shared" si="240"/>
        <v>2.2640533022836067E-2</v>
      </c>
      <c r="Y137" s="283">
        <f>IF($J137="",#N/A,SUM($X$4:X137))</f>
        <v>10.434367161678074</v>
      </c>
      <c r="Z137" s="304" t="str">
        <f t="shared" si="241"/>
        <v/>
      </c>
      <c r="AA137" s="313" t="e">
        <f>IF($J137="",#N/A,SUM(Z$4:Z137))</f>
        <v>#N/A</v>
      </c>
      <c r="AB137" s="314" t="str">
        <f t="shared" si="242"/>
        <v/>
      </c>
      <c r="AC137" s="314" t="e">
        <f>IF($J137="",#N/A,SUM(AB$4:AB137))</f>
        <v>#N/A</v>
      </c>
      <c r="AD137" s="315" t="str">
        <f t="shared" si="243"/>
        <v/>
      </c>
      <c r="AE137" s="315" t="e">
        <f>IF($J137="",#N/A,SUM(AD$4:AD137))</f>
        <v>#N/A</v>
      </c>
      <c r="AF137" s="315" t="e">
        <f>IF($J137="",#N/A,SUM(AD$4:AD137,AB$4:AB137,Z$4:Z137))</f>
        <v>#N/A</v>
      </c>
      <c r="AG137" s="304" t="str">
        <f t="shared" si="244"/>
        <v/>
      </c>
      <c r="AH137" s="313" t="e">
        <f>IF($J137="",#N/A,SUM(AG$4:AG137))</f>
        <v>#N/A</v>
      </c>
      <c r="AI137" s="314" t="str">
        <f t="shared" si="245"/>
        <v/>
      </c>
      <c r="AJ137" s="314" t="e">
        <f>IF($J137="",#N/A,SUM(AI$4:AI137))</f>
        <v>#N/A</v>
      </c>
      <c r="AK137" s="315" t="str">
        <f t="shared" si="246"/>
        <v/>
      </c>
      <c r="AL137" s="315" t="e">
        <f>IF($J137="",#N/A,SUM(AK$4:AK137))</f>
        <v>#N/A</v>
      </c>
      <c r="AM137" s="315" t="e">
        <f>IF($J137="",#N/A,SUM(AK$4:AK137,AI$4:AI137,AG$4:AG137))</f>
        <v>#N/A</v>
      </c>
      <c r="AN137" s="304" t="str">
        <f t="shared" si="247"/>
        <v/>
      </c>
      <c r="AO137" s="313" t="e">
        <f>IF($J137="",#N/A,SUM(AN$4:AN137))</f>
        <v>#N/A</v>
      </c>
      <c r="AP137" s="314" t="str">
        <f t="shared" si="248"/>
        <v/>
      </c>
      <c r="AQ137" s="314" t="e">
        <f>IF($J137="",#N/A,SUM(AP$4:AP137))</f>
        <v>#N/A</v>
      </c>
      <c r="AR137" s="315" t="str">
        <f t="shared" si="249"/>
        <v/>
      </c>
      <c r="AS137" s="315" t="e">
        <f>IF($J137="",#N/A,SUM(AR$4:AR137))</f>
        <v>#N/A</v>
      </c>
      <c r="AT137" s="315" t="e">
        <f>IF($J137="",#N/A,SUM(AR$4:AR137,AP$4:AP137,AN$4:AN137))</f>
        <v>#N/A</v>
      </c>
      <c r="AU137" s="304" t="str">
        <f t="shared" si="250"/>
        <v/>
      </c>
      <c r="AV137" s="313" t="e">
        <f>IF($J137="",#N/A,SUM(AU$4:AU137))</f>
        <v>#N/A</v>
      </c>
      <c r="AW137" s="314" t="str">
        <f t="shared" si="251"/>
        <v/>
      </c>
      <c r="AX137" s="314" t="e">
        <f>IF($J137="",#N/A,SUM(AW$4:AW137))</f>
        <v>#N/A</v>
      </c>
      <c r="AY137" s="315" t="str">
        <f t="shared" si="252"/>
        <v/>
      </c>
      <c r="AZ137" s="315" t="e">
        <f>IF($J137="",#N/A,SUM(AY$4:AY137))</f>
        <v>#N/A</v>
      </c>
      <c r="BA137" s="315" t="e">
        <f>IF($J137="",#N/A,SUM(AY$4:AY137,AW$4:AW137,AU$4:AU137))</f>
        <v>#N/A</v>
      </c>
      <c r="BB137" s="304" t="str">
        <f t="shared" si="253"/>
        <v/>
      </c>
      <c r="BC137" s="313" t="e">
        <f>IF($J137="",#N/A,SUM(BB$4:BB137))</f>
        <v>#N/A</v>
      </c>
      <c r="BD137" s="314" t="str">
        <f t="shared" si="254"/>
        <v/>
      </c>
      <c r="BE137" s="314" t="e">
        <f>IF($J137="",#N/A,SUM(BD$4:BD137))</f>
        <v>#N/A</v>
      </c>
      <c r="BF137" s="315" t="str">
        <f t="shared" si="255"/>
        <v/>
      </c>
      <c r="BG137" s="315" t="e">
        <f>IF($J137="",#N/A,SUM(BF$4:BF137))</f>
        <v>#N/A</v>
      </c>
      <c r="BH137" s="315" t="e">
        <f>IF($J137="",#N/A,SUM(BF$4:BF137,BD$4:BD137,BB$4:BB137))</f>
        <v>#N/A</v>
      </c>
      <c r="BI137" s="304" t="str">
        <f t="shared" si="256"/>
        <v/>
      </c>
      <c r="BJ137" s="313" t="e">
        <f>IF($J137="",#N/A,SUM(BI$4:BI137))</f>
        <v>#N/A</v>
      </c>
      <c r="BK137" s="314" t="str">
        <f t="shared" si="257"/>
        <v/>
      </c>
      <c r="BL137" s="314" t="e">
        <f>IF($J137="",#N/A,SUM(BK$4:BK137))</f>
        <v>#N/A</v>
      </c>
      <c r="BM137" s="315" t="str">
        <f t="shared" si="258"/>
        <v/>
      </c>
      <c r="BN137" s="315" t="e">
        <f>IF($J137="",#N/A,SUM(BM$4:BM137))</f>
        <v>#N/A</v>
      </c>
      <c r="BO137" s="315" t="e">
        <f>IF($J137="",#N/A,SUM(BM$4:BM137,BK$4:BK137,BI$4:BI137))</f>
        <v>#N/A</v>
      </c>
      <c r="BP137" s="304" t="str">
        <f t="shared" si="259"/>
        <v/>
      </c>
      <c r="BQ137" s="313" t="e">
        <f>IF($J137="",#N/A,SUM(BP$4:BP137))</f>
        <v>#N/A</v>
      </c>
      <c r="BR137" s="314" t="str">
        <f t="shared" si="260"/>
        <v/>
      </c>
      <c r="BS137" s="314" t="e">
        <f>IF($J137="",#N/A,SUM(BR$4:BR137))</f>
        <v>#N/A</v>
      </c>
      <c r="BT137" s="315" t="str">
        <f t="shared" si="261"/>
        <v/>
      </c>
      <c r="BU137" s="315" t="e">
        <f>IF($J137="",#N/A,SUM(BT$4:BT137))</f>
        <v>#N/A</v>
      </c>
      <c r="BV137" s="315" t="e">
        <f>IF($J137="",#N/A,SUM(BT$4:BT137,BR$4:BR137,BP$4:BP137))</f>
        <v>#N/A</v>
      </c>
      <c r="BW137" s="304" t="str">
        <f t="shared" si="262"/>
        <v/>
      </c>
      <c r="BX137" s="313" t="e">
        <f>IF($J137="",#N/A,SUM(BW$4:BW137))</f>
        <v>#N/A</v>
      </c>
      <c r="BY137" s="314" t="str">
        <f t="shared" si="263"/>
        <v/>
      </c>
      <c r="BZ137" s="314" t="e">
        <f>IF($J137="",#N/A,SUM(BY$4:BY137))</f>
        <v>#N/A</v>
      </c>
      <c r="CA137" s="315">
        <f t="shared" si="264"/>
        <v>2.2640533022836067E-2</v>
      </c>
      <c r="CB137" s="315" t="e">
        <f>IF($J137="",#N/A,SUM(CA$4:CA137))</f>
        <v>#N/A</v>
      </c>
      <c r="CC137" s="315" t="e">
        <f>IF($J137="",#N/A,SUM(CA$4:CA137,BY$4:BY137,BW$4:BW137))</f>
        <v>#N/A</v>
      </c>
      <c r="CD137" s="304" t="str">
        <f t="shared" si="265"/>
        <v/>
      </c>
      <c r="CE137" s="313" t="e">
        <f>IF($J137="",#N/A,SUM(CD$4:CD137))</f>
        <v>#N/A</v>
      </c>
      <c r="CF137" s="314" t="str">
        <f t="shared" si="266"/>
        <v/>
      </c>
      <c r="CG137" s="314" t="e">
        <f>IF($J137="",#N/A,SUM(CF$4:CF137))</f>
        <v>#N/A</v>
      </c>
      <c r="CH137" s="315" t="str">
        <f t="shared" si="267"/>
        <v/>
      </c>
      <c r="CI137" s="315" t="e">
        <f>IF($J137="",#N/A,SUM(CH$4:CH137))</f>
        <v>#N/A</v>
      </c>
      <c r="CJ137" s="315" t="e">
        <f>IF($J137="",#N/A,SUM(CH$4:CH137,CF$4:CF137,CD$4:CD137))</f>
        <v>#N/A</v>
      </c>
      <c r="CK137" s="304" t="str">
        <f t="shared" si="268"/>
        <v/>
      </c>
      <c r="CL137" s="313" t="e">
        <f>IF($J137="",#N/A,SUM(CK$4:CK137))</f>
        <v>#N/A</v>
      </c>
      <c r="CM137" s="314" t="str">
        <f t="shared" si="269"/>
        <v/>
      </c>
      <c r="CN137" s="314" t="e">
        <f>IF($J137="",#N/A,SUM(CM$4:CM137))</f>
        <v>#N/A</v>
      </c>
      <c r="CO137" s="315" t="str">
        <f t="shared" si="270"/>
        <v/>
      </c>
      <c r="CP137" s="315" t="e">
        <f>IF($J137="",#N/A,SUM(CO$4:CO137))</f>
        <v>#N/A</v>
      </c>
      <c r="CQ137" s="315" t="e">
        <f>IF($J137="",#N/A,SUM(CO$4:CO137,CM$4:CM137,CK$4:CK137))</f>
        <v>#N/A</v>
      </c>
      <c r="CR137" s="304" t="str">
        <f t="shared" si="271"/>
        <v/>
      </c>
      <c r="CS137" s="313" t="e">
        <f>IF($J137="",#N/A,SUM(CR$4:CR137))</f>
        <v>#N/A</v>
      </c>
      <c r="CT137" s="314" t="str">
        <f t="shared" si="272"/>
        <v/>
      </c>
      <c r="CU137" s="314" t="e">
        <f>IF($J137="",#N/A,SUM(CT$4:CT137))</f>
        <v>#N/A</v>
      </c>
      <c r="CV137" s="315" t="str">
        <f t="shared" si="273"/>
        <v/>
      </c>
      <c r="CW137" s="315" t="e">
        <f>IF($J137="",#N/A,SUM(CV$4:CV137))</f>
        <v>#N/A</v>
      </c>
      <c r="CX137" s="315" t="e">
        <f>IF($J137="",#N/A,SUM(CV$4:CV137,CT$4:CT137,CR$4:CR137))</f>
        <v>#N/A</v>
      </c>
      <c r="CY137" s="304" t="str">
        <f t="shared" si="274"/>
        <v/>
      </c>
      <c r="CZ137" s="313" t="e">
        <f>IF($J137="",#N/A,SUM(CY$4:CY137))</f>
        <v>#N/A</v>
      </c>
      <c r="DA137" s="314" t="str">
        <f t="shared" si="275"/>
        <v/>
      </c>
      <c r="DB137" s="314" t="e">
        <f>IF($J137="",#N/A,SUM(DA$4:DA137))</f>
        <v>#N/A</v>
      </c>
      <c r="DC137" s="315" t="str">
        <f t="shared" si="276"/>
        <v/>
      </c>
      <c r="DD137" s="315" t="e">
        <f>IF($J137="",#N/A,SUM(DC$4:DC137))</f>
        <v>#N/A</v>
      </c>
      <c r="DE137" s="315" t="e">
        <f>IF($J137="",#N/A,SUM(DC$4:DC137,DA$4:DA137,CY$4:CY137))</f>
        <v>#N/A</v>
      </c>
      <c r="DF137" s="304" t="str">
        <f t="shared" si="277"/>
        <v/>
      </c>
      <c r="DG137" s="313" t="e">
        <f>IF($J137="",#N/A,SUM(DF$4:DF137))</f>
        <v>#N/A</v>
      </c>
      <c r="DH137" s="314" t="str">
        <f t="shared" si="278"/>
        <v/>
      </c>
      <c r="DI137" s="314" t="e">
        <f>IF($J137="",#N/A,SUM(DH$4:DH137))</f>
        <v>#N/A</v>
      </c>
      <c r="DJ137" s="315" t="str">
        <f t="shared" si="279"/>
        <v/>
      </c>
      <c r="DK137" s="315" t="e">
        <f>IF($J137="",#N/A,SUM(DJ$4:DJ137))</f>
        <v>#N/A</v>
      </c>
      <c r="DL137" s="315" t="e">
        <f>IF($J137="",#N/A,SUM(DJ$4:DJ137,DH$4:DH137,DF$4:DF137))</f>
        <v>#N/A</v>
      </c>
      <c r="DM137" s="304" t="str">
        <f t="shared" si="280"/>
        <v/>
      </c>
      <c r="DN137" s="313" t="e">
        <f>IF($J137="",#N/A,SUM(DM$4:DM137))</f>
        <v>#N/A</v>
      </c>
      <c r="DO137" s="314" t="str">
        <f t="shared" si="281"/>
        <v/>
      </c>
      <c r="DP137" s="314" t="e">
        <f>IF($J137="",#N/A,SUM(DO$4:DO137))</f>
        <v>#N/A</v>
      </c>
      <c r="DQ137" s="315" t="str">
        <f t="shared" si="282"/>
        <v/>
      </c>
      <c r="DR137" s="315" t="e">
        <f>IF($J137="",#N/A,SUM(DQ$4:DQ137))</f>
        <v>#N/A</v>
      </c>
      <c r="DS137" s="315" t="e">
        <f>IF($J137="",#N/A,SUM(DQ$4:DQ137,DO$4:DO137,DM$4:DM137))</f>
        <v>#N/A</v>
      </c>
      <c r="DT137" s="304" t="str">
        <f t="shared" si="283"/>
        <v/>
      </c>
      <c r="DU137" s="313" t="e">
        <f>IF($J137="",#N/A,SUM(DT$4:DT137))</f>
        <v>#N/A</v>
      </c>
      <c r="DV137" s="314" t="str">
        <f t="shared" si="284"/>
        <v/>
      </c>
      <c r="DW137" s="314" t="e">
        <f>IF($J137="",#N/A,SUM(DV$4:DV137))</f>
        <v>#N/A</v>
      </c>
      <c r="DX137" s="315" t="str">
        <f t="shared" si="285"/>
        <v/>
      </c>
      <c r="DY137" s="315" t="e">
        <f>IF($J137="",#N/A,SUM(DX$4:DX137))</f>
        <v>#N/A</v>
      </c>
      <c r="DZ137" s="315" t="e">
        <f>IF($J137="",#N/A,SUM(DX$4:DX137,DV$4:DV137,DT$4:DT137))</f>
        <v>#N/A</v>
      </c>
      <c r="EA137" s="304" t="str">
        <f t="shared" si="286"/>
        <v/>
      </c>
      <c r="EB137" s="313" t="e">
        <f>IF($J137="",#N/A,SUM(EA$4:EA137))</f>
        <v>#N/A</v>
      </c>
      <c r="EC137" s="314" t="str">
        <f t="shared" si="287"/>
        <v/>
      </c>
      <c r="ED137" s="314" t="e">
        <f>IF($J137="",#N/A,SUM(EC$4:EC137))</f>
        <v>#N/A</v>
      </c>
      <c r="EE137" s="315" t="str">
        <f t="shared" si="288"/>
        <v/>
      </c>
      <c r="EF137" s="315" t="e">
        <f>IF($J137="",#N/A,SUM(EE$4:EE137))</f>
        <v>#N/A</v>
      </c>
      <c r="EG137" s="315" t="e">
        <f>IF($J137="",#N/A,SUM(EE$4:EE137,EC$4:EC137,EA$4:EA137))</f>
        <v>#N/A</v>
      </c>
      <c r="EH137" s="130">
        <f t="shared" si="289"/>
        <v>0.35000000000002274</v>
      </c>
      <c r="EI137" s="63">
        <f>IF(EH137="",#N/A,SUM($EH$4:EH137))</f>
        <v>643.71717826179588</v>
      </c>
      <c r="EJ137" s="223" t="e">
        <f t="shared" si="290"/>
        <v>#N/A</v>
      </c>
      <c r="EK137" s="63" t="e">
        <f>IF($GZ137="",#N/A,SUM(EJ$4:EJ137))</f>
        <v>#N/A</v>
      </c>
      <c r="EL137" s="60">
        <f t="shared" si="322"/>
        <v>2.2640533022836067E-2</v>
      </c>
      <c r="EM137" s="60">
        <f>IF(EL137="",NA(),SUM($EL$4:EL137))</f>
        <v>24.045870711270862</v>
      </c>
      <c r="EN137" s="60" t="str">
        <f t="shared" si="291"/>
        <v/>
      </c>
      <c r="EO137" s="60" t="e">
        <f>IF(EN137="",NA(),SUM($EN$4:EN137))</f>
        <v>#N/A</v>
      </c>
      <c r="EP137" s="60">
        <f t="shared" si="292"/>
        <v>2.2640533022836067E-2</v>
      </c>
      <c r="EQ137" s="60">
        <f>IF(EP137="",NA(),SUM($EP$4:EP137))</f>
        <v>10.5550152140738</v>
      </c>
      <c r="ER137" s="60" t="str">
        <f t="shared" si="293"/>
        <v/>
      </c>
      <c r="ES137" s="60" t="e">
        <f>IF(ER137="",NA(),SUM($ER$4:ER137))</f>
        <v>#N/A</v>
      </c>
      <c r="ET137" s="60" t="str">
        <f t="shared" si="294"/>
        <v/>
      </c>
      <c r="EU137" s="60" t="e">
        <f>IF(ET137="",NA(),SUM($ET$4:ET137))</f>
        <v>#N/A</v>
      </c>
      <c r="EV137" s="60" t="str">
        <f t="shared" si="295"/>
        <v/>
      </c>
      <c r="EW137" s="60" t="e">
        <f>IF(EV137="",NA(),SUM($EV$4:EV137))</f>
        <v>#N/A</v>
      </c>
      <c r="EX137" s="60" t="str">
        <f t="shared" si="296"/>
        <v/>
      </c>
      <c r="EY137" s="60" t="e">
        <f>IF(EX137="",NA(),SUM($EX$4:EX137))</f>
        <v>#N/A</v>
      </c>
      <c r="EZ137" s="60" t="str">
        <f t="shared" si="297"/>
        <v/>
      </c>
      <c r="FA137" s="60" t="e">
        <f>IF(EZ137="",NA(),SUM($EZ$4:EZ137))</f>
        <v>#N/A</v>
      </c>
      <c r="FB137" s="246" t="str">
        <f t="shared" si="323"/>
        <v/>
      </c>
      <c r="FC137" s="246" t="e">
        <f>IF($FB137="",#N/A,SUM(FB$4:$FB137))</f>
        <v>#N/A</v>
      </c>
      <c r="FD137" s="60" t="str">
        <f t="shared" si="298"/>
        <v/>
      </c>
      <c r="FE137" s="60" t="e">
        <f>IF($FD137="",#N/A,SUM($FD$4:FD137))</f>
        <v>#N/A</v>
      </c>
      <c r="FF137" s="60" t="str">
        <f t="shared" si="299"/>
        <v/>
      </c>
      <c r="FG137" s="60" t="e">
        <f>IF($FF137="",#N/A,SUM($FF$4:FF137))</f>
        <v>#N/A</v>
      </c>
      <c r="FH137" s="60" t="str">
        <f t="shared" si="300"/>
        <v/>
      </c>
      <c r="FI137" s="60" t="e">
        <f>IF($FH137="",#N/A,SUM($FH$4:FH137))</f>
        <v>#N/A</v>
      </c>
      <c r="FJ137" s="60">
        <f t="shared" si="301"/>
        <v>-1.4114755158807164</v>
      </c>
      <c r="FK137" s="60">
        <f>IF($FJ137="",#N/A,SUM($FJ$4:FJ137))</f>
        <v>-2.2455877170880494</v>
      </c>
      <c r="FL137" s="60" t="str">
        <f t="shared" si="302"/>
        <v/>
      </c>
      <c r="FM137" s="60" t="e">
        <f>IF($FL137="",#N/A,SUM($FL$4:FL137))</f>
        <v>#N/A</v>
      </c>
      <c r="FN137" s="82">
        <f t="shared" si="303"/>
        <v>-1.3888349828578803</v>
      </c>
      <c r="FO137" s="82">
        <f>IF($FN137="",#N/A,SUM(FN$4:$FN137))</f>
        <v>33.070937267534291</v>
      </c>
      <c r="FP137" s="82">
        <f t="shared" si="324"/>
        <v>2.2640533022836067E-2</v>
      </c>
      <c r="FQ137" s="246">
        <f>IF($EH137="",#N/A,SUM($FP$4:FP137))</f>
        <v>25.169820586180865</v>
      </c>
      <c r="FR137" s="82">
        <f>IFERROR(FQ137/COUNTA($J$4:J137),#N/A)</f>
        <v>0.18783448198642436</v>
      </c>
      <c r="FS137" s="82">
        <f>IFERROR(($FQ137-$FQ88)/COUNTA($J88:$J137),#N/A)</f>
        <v>0.10496520296321571</v>
      </c>
      <c r="FT137" s="82">
        <f t="shared" si="225"/>
        <v>0.23849425641015123</v>
      </c>
      <c r="FU137" s="337">
        <f t="shared" si="304"/>
        <v>8.2806729971820179</v>
      </c>
      <c r="FV137" s="57" t="str">
        <f t="shared" si="305"/>
        <v>SW</v>
      </c>
      <c r="FW137" s="57" t="s">
        <v>2732</v>
      </c>
      <c r="FX137" s="57" t="str">
        <f t="shared" si="306"/>
        <v/>
      </c>
      <c r="FY137" s="57" t="str">
        <f t="shared" si="307"/>
        <v/>
      </c>
      <c r="FZ137" s="57">
        <f t="shared" si="308"/>
        <v>1</v>
      </c>
      <c r="GA137" s="57" t="str">
        <f t="shared" si="309"/>
        <v>Long</v>
      </c>
      <c r="GB137" s="57" t="str">
        <f t="shared" si="310"/>
        <v/>
      </c>
      <c r="GC137" s="57" t="str">
        <f t="shared" si="311"/>
        <v/>
      </c>
      <c r="GD137" s="57" t="str">
        <f t="shared" si="312"/>
        <v/>
      </c>
      <c r="GE137" s="62">
        <f t="shared" si="227"/>
        <v>257.64999999999998</v>
      </c>
      <c r="GF137" s="62" t="s">
        <v>2779</v>
      </c>
      <c r="GG137" s="199">
        <v>1</v>
      </c>
      <c r="GH137" s="207">
        <f t="shared" si="313"/>
        <v>257.64999999999998</v>
      </c>
      <c r="GI137" s="199">
        <v>1</v>
      </c>
      <c r="GJ137" s="200">
        <v>259.95</v>
      </c>
      <c r="GK137" s="63">
        <f t="shared" si="314"/>
        <v>2.3000000000000114</v>
      </c>
      <c r="GL137" s="63">
        <f t="shared" si="228"/>
        <v>-21.46999999999997</v>
      </c>
      <c r="GM137" s="82">
        <f t="shared" si="315"/>
        <v>-1.3888349828578803</v>
      </c>
      <c r="GN137" s="82">
        <f>IF($GZ137="",#N/A,SUM(GM$4:GM137))</f>
        <v>12.217801968917829</v>
      </c>
      <c r="GO137" s="82" t="str">
        <f t="shared" si="316"/>
        <v/>
      </c>
      <c r="GP137" s="82">
        <f>IF($GZ137="",#N/A,SUM(GO$4:GO137))</f>
        <v>11.352023818838216</v>
      </c>
      <c r="GQ137" s="82" t="str">
        <f t="shared" si="317"/>
        <v/>
      </c>
      <c r="GR137" s="82">
        <f>IF($GZ137="",#N/A,SUM(GQ$4:GQ137))</f>
        <v>8.8752745253359038</v>
      </c>
      <c r="GS137" s="63" t="e">
        <f t="shared" si="325"/>
        <v>#N/A</v>
      </c>
      <c r="GT137" s="63" t="e">
        <f>IF($GZ137="",#N/A,SUM(GS$4:GS137))</f>
        <v>#N/A</v>
      </c>
      <c r="GU137" s="63" t="str">
        <f t="shared" si="326"/>
        <v/>
      </c>
      <c r="GV137" s="63" t="e">
        <f>IF($GZ137="",#N/A,SUM(GU$4:GU137))</f>
        <v>#N/A</v>
      </c>
      <c r="GW137" s="63" t="str">
        <f t="shared" si="327"/>
        <v/>
      </c>
      <c r="GX137" s="63" t="e">
        <f>IF($GZ137="",#N/A,SUM(GW$4:GW137))</f>
        <v>#N/A</v>
      </c>
      <c r="GY137" s="63" t="e">
        <f>IF(EJ137="",#N/A,SUM($EJ$4:EJ137))</f>
        <v>#N/A</v>
      </c>
      <c r="GZ137" s="159">
        <v>236.18</v>
      </c>
      <c r="HA137" s="63">
        <f t="shared" si="318"/>
        <v>-21.819999999999993</v>
      </c>
      <c r="HB137" s="62" t="s">
        <v>2538</v>
      </c>
      <c r="HC137" s="60">
        <f>IFERROR(VLOOKUP(E137,Expectancy!$P$4:$S$19,1+C137,FALSE),"")</f>
        <v>-0.15084750675779673</v>
      </c>
      <c r="HD137" s="82">
        <f t="shared" si="319"/>
        <v>0.14878064557862808</v>
      </c>
      <c r="HE137" s="60">
        <f>IF(HD137="",#N/A,SUM($HD$4:HD137))</f>
        <v>2.3591475889988498</v>
      </c>
      <c r="HF137" s="85">
        <f>IF(HD137="",#N/A,IF(HB137="Skip",#N/A,SUM($HG$4:HG137)))</f>
        <v>78.349999999999966</v>
      </c>
      <c r="HG137" s="63">
        <f t="shared" si="320"/>
        <v>2.3000000000000114</v>
      </c>
      <c r="HH137" s="82">
        <f t="shared" si="321"/>
        <v>-1.3888349828578803</v>
      </c>
    </row>
    <row r="138" spans="1:216" x14ac:dyDescent="0.25">
      <c r="A138" s="57" t="s">
        <v>1461</v>
      </c>
      <c r="B138" s="58" t="s">
        <v>5168</v>
      </c>
      <c r="C138" s="386">
        <f t="shared" si="230"/>
        <v>3</v>
      </c>
      <c r="D138" s="372" t="str">
        <f>_xlfn.XLOOKUP(A138,[1]SP500!$A$2:$A$502,[1]SP500!$D$2:$D$502,"N")</f>
        <v>Y</v>
      </c>
      <c r="E138" s="57" t="str">
        <f>_xlfn.XLOOKUP(A138,[1]SP500!$A$2:$A$655,[1]SP500!$B$2:$B$655)</f>
        <v>INS</v>
      </c>
      <c r="F138" s="59">
        <v>45687</v>
      </c>
      <c r="G138" s="57" t="str">
        <f t="shared" si="231"/>
        <v>AMC</v>
      </c>
      <c r="H138" s="57" t="str">
        <f t="shared" si="232"/>
        <v>s</v>
      </c>
      <c r="I138" s="159">
        <v>114.26</v>
      </c>
      <c r="J138" s="159">
        <v>105.98</v>
      </c>
      <c r="K138" s="61">
        <f t="shared" si="233"/>
        <v>-7.24663049186067E-2</v>
      </c>
      <c r="L138" s="87">
        <f t="shared" si="234"/>
        <v>-33.120000000000005</v>
      </c>
      <c r="M138" s="130">
        <f t="shared" si="226"/>
        <v>0.47999999999996135</v>
      </c>
      <c r="N138" s="169" t="str">
        <f t="shared" si="235"/>
        <v/>
      </c>
      <c r="O138" s="169">
        <f>IF($J138="",#N/A,SUM($N$4:N138))</f>
        <v>233.98503433954818</v>
      </c>
      <c r="P138" s="174" t="str">
        <f t="shared" si="236"/>
        <v/>
      </c>
      <c r="Q138" s="174">
        <f>IF($J138="",#N/A,SUM($P$4:P138))</f>
        <v>148.88104023772644</v>
      </c>
      <c r="R138" s="178">
        <f t="shared" si="237"/>
        <v>-33.120000000000005</v>
      </c>
      <c r="S138" s="178">
        <f>IF($J138="",#N/A,SUM($R$4:R138))</f>
        <v>227.73110368452103</v>
      </c>
      <c r="T138" s="290" t="str">
        <f t="shared" si="238"/>
        <v/>
      </c>
      <c r="U138" s="290">
        <f>IF($J138="",#N/A,SUM($T$4:T138))</f>
        <v>8.4350823633544252</v>
      </c>
      <c r="V138" s="291" t="str">
        <f t="shared" si="239"/>
        <v/>
      </c>
      <c r="W138" s="291">
        <f>IF($J138="",#N/A,SUM($V$4:V138))</f>
        <v>6.3003710611483559</v>
      </c>
      <c r="X138" s="292">
        <f t="shared" si="240"/>
        <v>-1.2077717486434449</v>
      </c>
      <c r="Y138" s="283">
        <f>IF($J138="",#N/A,SUM($X$4:X138))</f>
        <v>9.2265954130346284</v>
      </c>
      <c r="Z138" s="304" t="str">
        <f t="shared" si="241"/>
        <v/>
      </c>
      <c r="AA138" s="313" t="e">
        <f>IF($J138="",#N/A,SUM(Z$4:Z138))</f>
        <v>#N/A</v>
      </c>
      <c r="AB138" s="314" t="str">
        <f t="shared" si="242"/>
        <v/>
      </c>
      <c r="AC138" s="314" t="e">
        <f>IF($J138="",#N/A,SUM(AB$4:AB138))</f>
        <v>#N/A</v>
      </c>
      <c r="AD138" s="315" t="str">
        <f t="shared" si="243"/>
        <v/>
      </c>
      <c r="AE138" s="315" t="e">
        <f>IF($J138="",#N/A,SUM(AD$4:AD138))</f>
        <v>#N/A</v>
      </c>
      <c r="AF138" s="315" t="e">
        <f>IF($J138="",#N/A,SUM(AD$4:AD138,AB$4:AB138,Z$4:Z138))</f>
        <v>#N/A</v>
      </c>
      <c r="AG138" s="304" t="str">
        <f t="shared" si="244"/>
        <v/>
      </c>
      <c r="AH138" s="313" t="e">
        <f>IF($J138="",#N/A,SUM(AG$4:AG138))</f>
        <v>#N/A</v>
      </c>
      <c r="AI138" s="314" t="str">
        <f t="shared" si="245"/>
        <v/>
      </c>
      <c r="AJ138" s="314" t="e">
        <f>IF($J138="",#N/A,SUM(AI$4:AI138))</f>
        <v>#N/A</v>
      </c>
      <c r="AK138" s="315" t="str">
        <f t="shared" si="246"/>
        <v/>
      </c>
      <c r="AL138" s="315" t="e">
        <f>IF($J138="",#N/A,SUM(AK$4:AK138))</f>
        <v>#N/A</v>
      </c>
      <c r="AM138" s="315" t="e">
        <f>IF($J138="",#N/A,SUM(AK$4:AK138,AI$4:AI138,AG$4:AG138))</f>
        <v>#N/A</v>
      </c>
      <c r="AN138" s="304" t="str">
        <f t="shared" si="247"/>
        <v/>
      </c>
      <c r="AO138" s="313" t="e">
        <f>IF($J138="",#N/A,SUM(AN$4:AN138))</f>
        <v>#N/A</v>
      </c>
      <c r="AP138" s="314" t="str">
        <f t="shared" si="248"/>
        <v/>
      </c>
      <c r="AQ138" s="314" t="e">
        <f>IF($J138="",#N/A,SUM(AP$4:AP138))</f>
        <v>#N/A</v>
      </c>
      <c r="AR138" s="315" t="str">
        <f t="shared" si="249"/>
        <v/>
      </c>
      <c r="AS138" s="315" t="e">
        <f>IF($J138="",#N/A,SUM(AR$4:AR138))</f>
        <v>#N/A</v>
      </c>
      <c r="AT138" s="315" t="e">
        <f>IF($J138="",#N/A,SUM(AR$4:AR138,AP$4:AP138,AN$4:AN138))</f>
        <v>#N/A</v>
      </c>
      <c r="AU138" s="304" t="str">
        <f t="shared" si="250"/>
        <v/>
      </c>
      <c r="AV138" s="313" t="e">
        <f>IF($J138="",#N/A,SUM(AU$4:AU138))</f>
        <v>#N/A</v>
      </c>
      <c r="AW138" s="314" t="str">
        <f t="shared" si="251"/>
        <v/>
      </c>
      <c r="AX138" s="314" t="e">
        <f>IF($J138="",#N/A,SUM(AW$4:AW138))</f>
        <v>#N/A</v>
      </c>
      <c r="AY138" s="315" t="str">
        <f t="shared" si="252"/>
        <v/>
      </c>
      <c r="AZ138" s="315" t="e">
        <f>IF($J138="",#N/A,SUM(AY$4:AY138))</f>
        <v>#N/A</v>
      </c>
      <c r="BA138" s="315" t="e">
        <f>IF($J138="",#N/A,SUM(AY$4:AY138,AW$4:AW138,AU$4:AU138))</f>
        <v>#N/A</v>
      </c>
      <c r="BB138" s="304" t="str">
        <f t="shared" si="253"/>
        <v/>
      </c>
      <c r="BC138" s="313" t="e">
        <f>IF($J138="",#N/A,SUM(BB$4:BB138))</f>
        <v>#N/A</v>
      </c>
      <c r="BD138" s="314" t="str">
        <f t="shared" si="254"/>
        <v/>
      </c>
      <c r="BE138" s="314" t="e">
        <f>IF($J138="",#N/A,SUM(BD$4:BD138))</f>
        <v>#N/A</v>
      </c>
      <c r="BF138" s="315" t="str">
        <f t="shared" si="255"/>
        <v/>
      </c>
      <c r="BG138" s="315" t="e">
        <f>IF($J138="",#N/A,SUM(BF$4:BF138))</f>
        <v>#N/A</v>
      </c>
      <c r="BH138" s="315" t="e">
        <f>IF($J138="",#N/A,SUM(BF$4:BF138,BD$4:BD138,BB$4:BB138))</f>
        <v>#N/A</v>
      </c>
      <c r="BI138" s="304" t="str">
        <f t="shared" si="256"/>
        <v/>
      </c>
      <c r="BJ138" s="313" t="e">
        <f>IF($J138="",#N/A,SUM(BI$4:BI138))</f>
        <v>#N/A</v>
      </c>
      <c r="BK138" s="314" t="str">
        <f t="shared" si="257"/>
        <v/>
      </c>
      <c r="BL138" s="314" t="e">
        <f>IF($J138="",#N/A,SUM(BK$4:BK138))</f>
        <v>#N/A</v>
      </c>
      <c r="BM138" s="315" t="str">
        <f t="shared" si="258"/>
        <v/>
      </c>
      <c r="BN138" s="315" t="e">
        <f>IF($J138="",#N/A,SUM(BM$4:BM138))</f>
        <v>#N/A</v>
      </c>
      <c r="BO138" s="315" t="e">
        <f>IF($J138="",#N/A,SUM(BM$4:BM138,BK$4:BK138,BI$4:BI138))</f>
        <v>#N/A</v>
      </c>
      <c r="BP138" s="304" t="str">
        <f t="shared" si="259"/>
        <v/>
      </c>
      <c r="BQ138" s="313" t="e">
        <f>IF($J138="",#N/A,SUM(BP$4:BP138))</f>
        <v>#N/A</v>
      </c>
      <c r="BR138" s="314" t="str">
        <f t="shared" si="260"/>
        <v/>
      </c>
      <c r="BS138" s="314" t="e">
        <f>IF($J138="",#N/A,SUM(BR$4:BR138))</f>
        <v>#N/A</v>
      </c>
      <c r="BT138" s="315" t="str">
        <f t="shared" si="261"/>
        <v/>
      </c>
      <c r="BU138" s="315" t="e">
        <f>IF($J138="",#N/A,SUM(BT$4:BT138))</f>
        <v>#N/A</v>
      </c>
      <c r="BV138" s="315" t="e">
        <f>IF($J138="",#N/A,SUM(BT$4:BT138,BR$4:BR138,BP$4:BP138))</f>
        <v>#N/A</v>
      </c>
      <c r="BW138" s="304" t="str">
        <f t="shared" si="262"/>
        <v/>
      </c>
      <c r="BX138" s="313" t="e">
        <f>IF($J138="",#N/A,SUM(BW$4:BW138))</f>
        <v>#N/A</v>
      </c>
      <c r="BY138" s="314" t="str">
        <f t="shared" si="263"/>
        <v/>
      </c>
      <c r="BZ138" s="314" t="e">
        <f>IF($J138="",#N/A,SUM(BY$4:BY138))</f>
        <v>#N/A</v>
      </c>
      <c r="CA138" s="315" t="str">
        <f t="shared" si="264"/>
        <v/>
      </c>
      <c r="CB138" s="315" t="e">
        <f>IF($J138="",#N/A,SUM(CA$4:CA138))</f>
        <v>#N/A</v>
      </c>
      <c r="CC138" s="315" t="e">
        <f>IF($J138="",#N/A,SUM(CA$4:CA138,BY$4:BY138,BW$4:BW138))</f>
        <v>#N/A</v>
      </c>
      <c r="CD138" s="304" t="str">
        <f t="shared" si="265"/>
        <v/>
      </c>
      <c r="CE138" s="313" t="e">
        <f>IF($J138="",#N/A,SUM(CD$4:CD138))</f>
        <v>#N/A</v>
      </c>
      <c r="CF138" s="314" t="str">
        <f t="shared" si="266"/>
        <v/>
      </c>
      <c r="CG138" s="314" t="e">
        <f>IF($J138="",#N/A,SUM(CF$4:CF138))</f>
        <v>#N/A</v>
      </c>
      <c r="CH138" s="315" t="str">
        <f t="shared" si="267"/>
        <v/>
      </c>
      <c r="CI138" s="315" t="e">
        <f>IF($J138="",#N/A,SUM(CH$4:CH138))</f>
        <v>#N/A</v>
      </c>
      <c r="CJ138" s="315" t="e">
        <f>IF($J138="",#N/A,SUM(CH$4:CH138,CF$4:CF138,CD$4:CD138))</f>
        <v>#N/A</v>
      </c>
      <c r="CK138" s="304" t="str">
        <f t="shared" si="268"/>
        <v/>
      </c>
      <c r="CL138" s="313" t="e">
        <f>IF($J138="",#N/A,SUM(CK$4:CK138))</f>
        <v>#N/A</v>
      </c>
      <c r="CM138" s="314" t="str">
        <f t="shared" si="269"/>
        <v/>
      </c>
      <c r="CN138" s="314" t="e">
        <f>IF($J138="",#N/A,SUM(CM$4:CM138))</f>
        <v>#N/A</v>
      </c>
      <c r="CO138" s="315" t="str">
        <f t="shared" si="270"/>
        <v/>
      </c>
      <c r="CP138" s="315" t="e">
        <f>IF($J138="",#N/A,SUM(CO$4:CO138))</f>
        <v>#N/A</v>
      </c>
      <c r="CQ138" s="315" t="e">
        <f>IF($J138="",#N/A,SUM(CO$4:CO138,CM$4:CM138,CK$4:CK138))</f>
        <v>#N/A</v>
      </c>
      <c r="CR138" s="304" t="str">
        <f t="shared" si="271"/>
        <v/>
      </c>
      <c r="CS138" s="313" t="e">
        <f>IF($J138="",#N/A,SUM(CR$4:CR138))</f>
        <v>#N/A</v>
      </c>
      <c r="CT138" s="314" t="str">
        <f t="shared" si="272"/>
        <v/>
      </c>
      <c r="CU138" s="314" t="e">
        <f>IF($J138="",#N/A,SUM(CT$4:CT138))</f>
        <v>#N/A</v>
      </c>
      <c r="CV138" s="315" t="str">
        <f t="shared" si="273"/>
        <v/>
      </c>
      <c r="CW138" s="315" t="e">
        <f>IF($J138="",#N/A,SUM(CV$4:CV138))</f>
        <v>#N/A</v>
      </c>
      <c r="CX138" s="315" t="e">
        <f>IF($J138="",#N/A,SUM(CV$4:CV138,CT$4:CT138,CR$4:CR138))</f>
        <v>#N/A</v>
      </c>
      <c r="CY138" s="304" t="str">
        <f t="shared" si="274"/>
        <v/>
      </c>
      <c r="CZ138" s="313" t="e">
        <f>IF($J138="",#N/A,SUM(CY$4:CY138))</f>
        <v>#N/A</v>
      </c>
      <c r="DA138" s="314" t="str">
        <f t="shared" si="275"/>
        <v/>
      </c>
      <c r="DB138" s="314" t="e">
        <f>IF($J138="",#N/A,SUM(DA$4:DA138))</f>
        <v>#N/A</v>
      </c>
      <c r="DC138" s="315" t="str">
        <f t="shared" si="276"/>
        <v/>
      </c>
      <c r="DD138" s="315" t="e">
        <f>IF($J138="",#N/A,SUM(DC$4:DC138))</f>
        <v>#N/A</v>
      </c>
      <c r="DE138" s="315" t="e">
        <f>IF($J138="",#N/A,SUM(DC$4:DC138,DA$4:DA138,CY$4:CY138))</f>
        <v>#N/A</v>
      </c>
      <c r="DF138" s="304" t="str">
        <f t="shared" si="277"/>
        <v/>
      </c>
      <c r="DG138" s="313" t="e">
        <f>IF($J138="",#N/A,SUM(DF$4:DF138))</f>
        <v>#N/A</v>
      </c>
      <c r="DH138" s="314" t="str">
        <f t="shared" si="278"/>
        <v/>
      </c>
      <c r="DI138" s="314" t="e">
        <f>IF($J138="",#N/A,SUM(DH$4:DH138))</f>
        <v>#N/A</v>
      </c>
      <c r="DJ138" s="315" t="str">
        <f t="shared" si="279"/>
        <v/>
      </c>
      <c r="DK138" s="315" t="e">
        <f>IF($J138="",#N/A,SUM(DJ$4:DJ138))</f>
        <v>#N/A</v>
      </c>
      <c r="DL138" s="315" t="e">
        <f>IF($J138="",#N/A,SUM(DJ$4:DJ138,DH$4:DH138,DF$4:DF138))</f>
        <v>#N/A</v>
      </c>
      <c r="DM138" s="304" t="str">
        <f t="shared" si="280"/>
        <v/>
      </c>
      <c r="DN138" s="313" t="e">
        <f>IF($J138="",#N/A,SUM(DM$4:DM138))</f>
        <v>#N/A</v>
      </c>
      <c r="DO138" s="314" t="str">
        <f t="shared" si="281"/>
        <v/>
      </c>
      <c r="DP138" s="314" t="e">
        <f>IF($J138="",#N/A,SUM(DO$4:DO138))</f>
        <v>#N/A</v>
      </c>
      <c r="DQ138" s="315">
        <f t="shared" si="282"/>
        <v>-1.2077717486434449</v>
      </c>
      <c r="DR138" s="315" t="e">
        <f>IF($J138="",#N/A,SUM(DQ$4:DQ138))</f>
        <v>#N/A</v>
      </c>
      <c r="DS138" s="315" t="e">
        <f>IF($J138="",#N/A,SUM(DQ$4:DQ138,DO$4:DO138,DM$4:DM138))</f>
        <v>#N/A</v>
      </c>
      <c r="DT138" s="304" t="str">
        <f t="shared" si="283"/>
        <v/>
      </c>
      <c r="DU138" s="313" t="e">
        <f>IF($J138="",#N/A,SUM(DT$4:DT138))</f>
        <v>#N/A</v>
      </c>
      <c r="DV138" s="314" t="str">
        <f t="shared" si="284"/>
        <v/>
      </c>
      <c r="DW138" s="314" t="e">
        <f>IF($J138="",#N/A,SUM(DV$4:DV138))</f>
        <v>#N/A</v>
      </c>
      <c r="DX138" s="315" t="str">
        <f t="shared" si="285"/>
        <v/>
      </c>
      <c r="DY138" s="315" t="e">
        <f>IF($J138="",#N/A,SUM(DX$4:DX138))</f>
        <v>#N/A</v>
      </c>
      <c r="DZ138" s="315" t="e">
        <f>IF($J138="",#N/A,SUM(DX$4:DX138,DV$4:DV138,DT$4:DT138))</f>
        <v>#N/A</v>
      </c>
      <c r="EA138" s="304" t="str">
        <f t="shared" si="286"/>
        <v/>
      </c>
      <c r="EB138" s="313" t="e">
        <f>IF($J138="",#N/A,SUM(EA$4:EA138))</f>
        <v>#N/A</v>
      </c>
      <c r="EC138" s="314" t="str">
        <f t="shared" si="287"/>
        <v/>
      </c>
      <c r="ED138" s="314" t="e">
        <f>IF($J138="",#N/A,SUM(EC$4:EC138))</f>
        <v>#N/A</v>
      </c>
      <c r="EE138" s="315" t="str">
        <f t="shared" si="288"/>
        <v/>
      </c>
      <c r="EF138" s="315" t="e">
        <f>IF($J138="",#N/A,SUM(EE$4:EE138))</f>
        <v>#N/A</v>
      </c>
      <c r="EG138" s="315" t="e">
        <f>IF($J138="",#N/A,SUM(EE$4:EE138,EC$4:EC138,EA$4:EA138))</f>
        <v>#N/A</v>
      </c>
      <c r="EH138" s="130">
        <f t="shared" si="289"/>
        <v>-33.120000000000005</v>
      </c>
      <c r="EI138" s="63">
        <f>IF(EH138="",#N/A,SUM($EH$4:EH138))</f>
        <v>610.59717826179588</v>
      </c>
      <c r="EJ138" s="223" t="e">
        <f t="shared" si="290"/>
        <v>#N/A</v>
      </c>
      <c r="EK138" s="63" t="e">
        <f>IF($GZ138="",#N/A,SUM(EJ$4:EJ138))</f>
        <v>#N/A</v>
      </c>
      <c r="EL138" s="60">
        <f t="shared" si="322"/>
        <v>-1.2077717486434449</v>
      </c>
      <c r="EM138" s="60">
        <f>IF(EL138="",NA(),SUM($EL$4:EL138))</f>
        <v>22.838098962627416</v>
      </c>
      <c r="EN138" s="60" t="str">
        <f t="shared" si="291"/>
        <v/>
      </c>
      <c r="EO138" s="60" t="e">
        <f>IF(EN138="",NA(),SUM($EN$4:EN138))</f>
        <v>#N/A</v>
      </c>
      <c r="EP138" s="60">
        <f t="shared" si="292"/>
        <v>-1.2077717486434449</v>
      </c>
      <c r="EQ138" s="60">
        <f>IF(EP138="",NA(),SUM($EP$4:EP138))</f>
        <v>9.3472434654303544</v>
      </c>
      <c r="ER138" s="60" t="str">
        <f t="shared" si="293"/>
        <v/>
      </c>
      <c r="ES138" s="60" t="e">
        <f>IF(ER138="",NA(),SUM($ER$4:ER138))</f>
        <v>#N/A</v>
      </c>
      <c r="ET138" s="60" t="str">
        <f t="shared" si="294"/>
        <v/>
      </c>
      <c r="EU138" s="60" t="e">
        <f>IF(ET138="",NA(),SUM($ET$4:ET138))</f>
        <v>#N/A</v>
      </c>
      <c r="EV138" s="60" t="str">
        <f t="shared" si="295"/>
        <v/>
      </c>
      <c r="EW138" s="60" t="e">
        <f>IF(EV138="",NA(),SUM($EV$4:EV138))</f>
        <v>#N/A</v>
      </c>
      <c r="EX138" s="60" t="str">
        <f t="shared" si="296"/>
        <v/>
      </c>
      <c r="EY138" s="60" t="e">
        <f>IF(EX138="",NA(),SUM($EX$4:EX138))</f>
        <v>#N/A</v>
      </c>
      <c r="EZ138" s="60" t="str">
        <f t="shared" si="297"/>
        <v/>
      </c>
      <c r="FA138" s="60" t="e">
        <f>IF(EZ138="",NA(),SUM($EZ$4:EZ138))</f>
        <v>#N/A</v>
      </c>
      <c r="FB138" s="246" t="str">
        <f t="shared" si="323"/>
        <v/>
      </c>
      <c r="FC138" s="246" t="e">
        <f>IF($FB138="",#N/A,SUM(FB$4:$FB138))</f>
        <v>#N/A</v>
      </c>
      <c r="FD138" s="60" t="str">
        <f t="shared" si="298"/>
        <v/>
      </c>
      <c r="FE138" s="60" t="e">
        <f>IF($FD138="",#N/A,SUM($FD$4:FD138))</f>
        <v>#N/A</v>
      </c>
      <c r="FF138" s="60" t="str">
        <f t="shared" si="299"/>
        <v/>
      </c>
      <c r="FG138" s="60" t="e">
        <f>IF($FF138="",#N/A,SUM($FF$4:FF138))</f>
        <v>#N/A</v>
      </c>
      <c r="FH138" s="60" t="str">
        <f t="shared" si="300"/>
        <v/>
      </c>
      <c r="FI138" s="60" t="e">
        <f>IF($FH138="",#N/A,SUM($FH$4:FH138))</f>
        <v>#N/A</v>
      </c>
      <c r="FJ138" s="60" t="str">
        <f t="shared" si="301"/>
        <v/>
      </c>
      <c r="FK138" s="60" t="e">
        <f>IF($FJ138="",#N/A,SUM($FJ$4:FJ138))</f>
        <v>#N/A</v>
      </c>
      <c r="FL138" s="60">
        <f t="shared" si="302"/>
        <v>0.81247447342318591</v>
      </c>
      <c r="FM138" s="60">
        <f>IF($FL138="",#N/A,SUM($FL$4:FL138))</f>
        <v>4.8414969977509914</v>
      </c>
      <c r="FN138" s="82">
        <f t="shared" si="303"/>
        <v>-0.39529727522025904</v>
      </c>
      <c r="FO138" s="82">
        <f>IF($FN138="",#N/A,SUM(FN$4:$FN138))</f>
        <v>32.675639992314032</v>
      </c>
      <c r="FP138" s="82">
        <f t="shared" si="324"/>
        <v>-1.2077717486434449</v>
      </c>
      <c r="FQ138" s="246">
        <f>IF($EH138="",#N/A,SUM($FP$4:FP138))</f>
        <v>23.96204883753742</v>
      </c>
      <c r="FR138" s="82">
        <f>IFERROR(FQ138/COUNTA($J$4:J138),#N/A)</f>
        <v>0.17749665805583273</v>
      </c>
      <c r="FS138" s="82">
        <f>IFERROR(($FQ138-$FQ89)/COUNTA($J89:$J138),#N/A)</f>
        <v>8.7068243008600707E-2</v>
      </c>
      <c r="FT138" s="82">
        <f t="shared" si="225"/>
        <v>0.19378494570577531</v>
      </c>
      <c r="FU138" s="337">
        <f t="shared" si="304"/>
        <v>8.2631690587958797</v>
      </c>
      <c r="FV138" s="57" t="str">
        <f t="shared" si="305"/>
        <v>SW</v>
      </c>
      <c r="FW138" s="57" t="s">
        <v>2732</v>
      </c>
      <c r="FX138" s="57" t="str">
        <f t="shared" si="306"/>
        <v/>
      </c>
      <c r="FY138" s="57" t="str">
        <f t="shared" si="307"/>
        <v/>
      </c>
      <c r="FZ138" s="57" t="str">
        <f t="shared" si="308"/>
        <v/>
      </c>
      <c r="GA138" s="57" t="str">
        <f t="shared" si="309"/>
        <v>Long</v>
      </c>
      <c r="GB138" s="57" t="str">
        <f t="shared" si="310"/>
        <v/>
      </c>
      <c r="GC138" s="57" t="str">
        <f t="shared" si="311"/>
        <v/>
      </c>
      <c r="GD138" s="57">
        <f t="shared" si="312"/>
        <v>1</v>
      </c>
      <c r="GE138" s="62">
        <f t="shared" si="227"/>
        <v>114.26</v>
      </c>
      <c r="GF138" s="62" t="s">
        <v>2779</v>
      </c>
      <c r="GG138" s="199">
        <v>4</v>
      </c>
      <c r="GH138" s="207">
        <f t="shared" si="313"/>
        <v>457.04</v>
      </c>
      <c r="GI138" s="199">
        <v>4</v>
      </c>
      <c r="GJ138" s="200">
        <v>106.1</v>
      </c>
      <c r="GK138" s="63">
        <f t="shared" si="314"/>
        <v>-32.640000000000043</v>
      </c>
      <c r="GL138" s="63">
        <f t="shared" si="228"/>
        <v>-10.840000000000032</v>
      </c>
      <c r="GM138" s="82">
        <f t="shared" si="315"/>
        <v>-0.39529727522025904</v>
      </c>
      <c r="GN138" s="82">
        <f>IF($GZ138="",#N/A,SUM(GM$4:GM138))</f>
        <v>11.822504693697571</v>
      </c>
      <c r="GO138" s="82" t="str">
        <f t="shared" si="316"/>
        <v/>
      </c>
      <c r="GP138" s="82">
        <f>IF($GZ138="",#N/A,SUM(GO$4:GO138))</f>
        <v>11.352023818838216</v>
      </c>
      <c r="GQ138" s="82" t="str">
        <f t="shared" si="317"/>
        <v/>
      </c>
      <c r="GR138" s="82">
        <f>IF($GZ138="",#N/A,SUM(GQ$4:GQ138))</f>
        <v>8.8752745253359038</v>
      </c>
      <c r="GS138" s="63" t="e">
        <f t="shared" si="325"/>
        <v>#N/A</v>
      </c>
      <c r="GT138" s="63" t="e">
        <f>IF($GZ138="",#N/A,SUM(GS$4:GS138))</f>
        <v>#N/A</v>
      </c>
      <c r="GU138" s="63" t="str">
        <f t="shared" si="326"/>
        <v/>
      </c>
      <c r="GV138" s="63" t="e">
        <f>IF($GZ138="",#N/A,SUM(GU$4:GU138))</f>
        <v>#N/A</v>
      </c>
      <c r="GW138" s="63" t="str">
        <f t="shared" si="327"/>
        <v/>
      </c>
      <c r="GX138" s="63" t="e">
        <f>IF($GZ138="",#N/A,SUM(GW$4:GW138))</f>
        <v>#N/A</v>
      </c>
      <c r="GY138" s="63" t="e">
        <f>IF(EJ138="",#N/A,SUM($EJ$4:EJ138))</f>
        <v>#N/A</v>
      </c>
      <c r="GZ138" s="159">
        <v>111.55</v>
      </c>
      <c r="HA138" s="63">
        <f t="shared" si="318"/>
        <v>22.279999999999973</v>
      </c>
      <c r="HB138" s="62" t="s">
        <v>2538</v>
      </c>
      <c r="HC138" s="60">
        <f>IFERROR(VLOOKUP(E138,Expectancy!$P$4:$S$19,1+C138,FALSE),"")</f>
        <v>-3.1543782927977014E-2</v>
      </c>
      <c r="HD138" s="82">
        <f t="shared" si="319"/>
        <v>-1.1902678102573094</v>
      </c>
      <c r="HE138" s="60">
        <f>IF(HD138="",#N/A,SUM($HD$4:HD138))</f>
        <v>1.1688797787415404</v>
      </c>
      <c r="HF138" s="85">
        <f>IF(HD138="",#N/A,IF(HB138="Skip",#N/A,SUM($HG$4:HG138)))</f>
        <v>45.709999999999923</v>
      </c>
      <c r="HG138" s="63">
        <f t="shared" si="320"/>
        <v>-32.640000000000043</v>
      </c>
      <c r="HH138" s="82">
        <f t="shared" si="321"/>
        <v>-0.39529727522025904</v>
      </c>
    </row>
    <row r="139" spans="1:216" x14ac:dyDescent="0.25">
      <c r="A139" s="57" t="s">
        <v>1486</v>
      </c>
      <c r="B139" s="58" t="s">
        <v>5170</v>
      </c>
      <c r="C139" s="386">
        <f t="shared" si="230"/>
        <v>2</v>
      </c>
      <c r="D139" s="372" t="str">
        <f>_xlfn.XLOOKUP(A139,[1]SP500!$A$2:$A$502,[1]SP500!$D$2:$D$502,"N")</f>
        <v>Y</v>
      </c>
      <c r="E139" s="57" t="str">
        <f>_xlfn.XLOOKUP(A139,[1]SP500!$A$2:$A$655,[1]SP500!$B$2:$B$655)</f>
        <v>XLB</v>
      </c>
      <c r="F139" s="59">
        <v>45687</v>
      </c>
      <c r="G139" s="57" t="str">
        <f t="shared" si="231"/>
        <v>AMC</v>
      </c>
      <c r="H139" s="57" t="str">
        <f t="shared" si="232"/>
        <v>s</v>
      </c>
      <c r="I139" s="159">
        <v>122.75</v>
      </c>
      <c r="J139" s="159">
        <v>115</v>
      </c>
      <c r="K139" s="61">
        <f t="shared" si="233"/>
        <v>-6.313645621181263E-2</v>
      </c>
      <c r="L139" s="87">
        <f t="shared" si="234"/>
        <v>23.25</v>
      </c>
      <c r="M139" s="130">
        <f t="shared" si="226"/>
        <v>-4.9800000000000182</v>
      </c>
      <c r="N139" s="169" t="str">
        <f t="shared" si="235"/>
        <v/>
      </c>
      <c r="O139" s="169">
        <f>IF($J139="",#N/A,SUM($N$4:N139))</f>
        <v>233.98503433954818</v>
      </c>
      <c r="P139" s="174">
        <f t="shared" si="236"/>
        <v>23.25</v>
      </c>
      <c r="Q139" s="174">
        <f>IF($J139="",#N/A,SUM($P$4:P139))</f>
        <v>172.13104023772644</v>
      </c>
      <c r="R139" s="178" t="str">
        <f t="shared" si="237"/>
        <v/>
      </c>
      <c r="S139" s="178">
        <f>IF($J139="",#N/A,SUM($R$4:R139))</f>
        <v>227.73110368452103</v>
      </c>
      <c r="T139" s="290" t="str">
        <f t="shared" si="238"/>
        <v/>
      </c>
      <c r="U139" s="290">
        <f>IF($J139="",#N/A,SUM($T$4:T139))</f>
        <v>8.4350823633544252</v>
      </c>
      <c r="V139" s="291">
        <f t="shared" si="239"/>
        <v>1.0522742701968772</v>
      </c>
      <c r="W139" s="291">
        <f>IF($J139="",#N/A,SUM($V$4:V139))</f>
        <v>7.3526453313452329</v>
      </c>
      <c r="X139" s="292" t="str">
        <f t="shared" si="240"/>
        <v/>
      </c>
      <c r="Y139" s="283">
        <f>IF($J139="",#N/A,SUM($X$4:X139))</f>
        <v>9.2265954130346284</v>
      </c>
      <c r="Z139" s="304" t="str">
        <f t="shared" si="241"/>
        <v/>
      </c>
      <c r="AA139" s="313" t="e">
        <f>IF($J139="",#N/A,SUM(Z$4:Z139))</f>
        <v>#N/A</v>
      </c>
      <c r="AB139" s="314" t="str">
        <f t="shared" si="242"/>
        <v/>
      </c>
      <c r="AC139" s="314" t="e">
        <f>IF($J139="",#N/A,SUM(AB$4:AB139))</f>
        <v>#N/A</v>
      </c>
      <c r="AD139" s="315" t="str">
        <f t="shared" si="243"/>
        <v/>
      </c>
      <c r="AE139" s="315" t="e">
        <f>IF($J139="",#N/A,SUM(AD$4:AD139))</f>
        <v>#N/A</v>
      </c>
      <c r="AF139" s="315" t="e">
        <f>IF($J139="",#N/A,SUM(AD$4:AD139,AB$4:AB139,Z$4:Z139))</f>
        <v>#N/A</v>
      </c>
      <c r="AG139" s="304" t="str">
        <f t="shared" si="244"/>
        <v/>
      </c>
      <c r="AH139" s="313" t="e">
        <f>IF($J139="",#N/A,SUM(AG$4:AG139))</f>
        <v>#N/A</v>
      </c>
      <c r="AI139" s="314" t="str">
        <f t="shared" si="245"/>
        <v/>
      </c>
      <c r="AJ139" s="314" t="e">
        <f>IF($J139="",#N/A,SUM(AI$4:AI139))</f>
        <v>#N/A</v>
      </c>
      <c r="AK139" s="315" t="str">
        <f t="shared" si="246"/>
        <v/>
      </c>
      <c r="AL139" s="315" t="e">
        <f>IF($J139="",#N/A,SUM(AK$4:AK139))</f>
        <v>#N/A</v>
      </c>
      <c r="AM139" s="315" t="e">
        <f>IF($J139="",#N/A,SUM(AK$4:AK139,AI$4:AI139,AG$4:AG139))</f>
        <v>#N/A</v>
      </c>
      <c r="AN139" s="304" t="str">
        <f t="shared" si="247"/>
        <v/>
      </c>
      <c r="AO139" s="313" t="e">
        <f>IF($J139="",#N/A,SUM(AN$4:AN139))</f>
        <v>#N/A</v>
      </c>
      <c r="AP139" s="314" t="str">
        <f t="shared" si="248"/>
        <v/>
      </c>
      <c r="AQ139" s="314" t="e">
        <f>IF($J139="",#N/A,SUM(AP$4:AP139))</f>
        <v>#N/A</v>
      </c>
      <c r="AR139" s="315" t="str">
        <f t="shared" si="249"/>
        <v/>
      </c>
      <c r="AS139" s="315" t="e">
        <f>IF($J139="",#N/A,SUM(AR$4:AR139))</f>
        <v>#N/A</v>
      </c>
      <c r="AT139" s="315" t="e">
        <f>IF($J139="",#N/A,SUM(AR$4:AR139,AP$4:AP139,AN$4:AN139))</f>
        <v>#N/A</v>
      </c>
      <c r="AU139" s="304" t="str">
        <f t="shared" si="250"/>
        <v/>
      </c>
      <c r="AV139" s="313" t="e">
        <f>IF($J139="",#N/A,SUM(AU$4:AU139))</f>
        <v>#N/A</v>
      </c>
      <c r="AW139" s="314" t="str">
        <f t="shared" si="251"/>
        <v/>
      </c>
      <c r="AX139" s="314" t="e">
        <f>IF($J139="",#N/A,SUM(AW$4:AW139))</f>
        <v>#N/A</v>
      </c>
      <c r="AY139" s="315" t="str">
        <f t="shared" si="252"/>
        <v/>
      </c>
      <c r="AZ139" s="315" t="e">
        <f>IF($J139="",#N/A,SUM(AY$4:AY139))</f>
        <v>#N/A</v>
      </c>
      <c r="BA139" s="315" t="e">
        <f>IF($J139="",#N/A,SUM(AY$4:AY139,AW$4:AW139,AU$4:AU139))</f>
        <v>#N/A</v>
      </c>
      <c r="BB139" s="304" t="str">
        <f t="shared" si="253"/>
        <v/>
      </c>
      <c r="BC139" s="313" t="e">
        <f>IF($J139="",#N/A,SUM(BB$4:BB139))</f>
        <v>#N/A</v>
      </c>
      <c r="BD139" s="314" t="str">
        <f t="shared" si="254"/>
        <v/>
      </c>
      <c r="BE139" s="314" t="e">
        <f>IF($J139="",#N/A,SUM(BD$4:BD139))</f>
        <v>#N/A</v>
      </c>
      <c r="BF139" s="315" t="str">
        <f t="shared" si="255"/>
        <v/>
      </c>
      <c r="BG139" s="315" t="e">
        <f>IF($J139="",#N/A,SUM(BF$4:BF139))</f>
        <v>#N/A</v>
      </c>
      <c r="BH139" s="315" t="e">
        <f>IF($J139="",#N/A,SUM(BF$4:BF139,BD$4:BD139,BB$4:BB139))</f>
        <v>#N/A</v>
      </c>
      <c r="BI139" s="304" t="str">
        <f t="shared" si="256"/>
        <v/>
      </c>
      <c r="BJ139" s="313" t="e">
        <f>IF($J139="",#N/A,SUM(BI$4:BI139))</f>
        <v>#N/A</v>
      </c>
      <c r="BK139" s="314" t="str">
        <f t="shared" si="257"/>
        <v/>
      </c>
      <c r="BL139" s="314" t="e">
        <f>IF($J139="",#N/A,SUM(BK$4:BK139))</f>
        <v>#N/A</v>
      </c>
      <c r="BM139" s="315" t="str">
        <f t="shared" si="258"/>
        <v/>
      </c>
      <c r="BN139" s="315" t="e">
        <f>IF($J139="",#N/A,SUM(BM$4:BM139))</f>
        <v>#N/A</v>
      </c>
      <c r="BO139" s="315" t="e">
        <f>IF($J139="",#N/A,SUM(BM$4:BM139,BK$4:BK139,BI$4:BI139))</f>
        <v>#N/A</v>
      </c>
      <c r="BP139" s="304" t="str">
        <f t="shared" si="259"/>
        <v/>
      </c>
      <c r="BQ139" s="313" t="e">
        <f>IF($J139="",#N/A,SUM(BP$4:BP139))</f>
        <v>#N/A</v>
      </c>
      <c r="BR139" s="314" t="str">
        <f t="shared" si="260"/>
        <v/>
      </c>
      <c r="BS139" s="314" t="e">
        <f>IF($J139="",#N/A,SUM(BR$4:BR139))</f>
        <v>#N/A</v>
      </c>
      <c r="BT139" s="315" t="str">
        <f t="shared" si="261"/>
        <v/>
      </c>
      <c r="BU139" s="315" t="e">
        <f>IF($J139="",#N/A,SUM(BT$4:BT139))</f>
        <v>#N/A</v>
      </c>
      <c r="BV139" s="315" t="e">
        <f>IF($J139="",#N/A,SUM(BT$4:BT139,BR$4:BR139,BP$4:BP139))</f>
        <v>#N/A</v>
      </c>
      <c r="BW139" s="304" t="str">
        <f t="shared" si="262"/>
        <v/>
      </c>
      <c r="BX139" s="313" t="e">
        <f>IF($J139="",#N/A,SUM(BW$4:BW139))</f>
        <v>#N/A</v>
      </c>
      <c r="BY139" s="314" t="str">
        <f t="shared" si="263"/>
        <v/>
      </c>
      <c r="BZ139" s="314" t="e">
        <f>IF($J139="",#N/A,SUM(BY$4:BY139))</f>
        <v>#N/A</v>
      </c>
      <c r="CA139" s="315" t="str">
        <f t="shared" si="264"/>
        <v/>
      </c>
      <c r="CB139" s="315" t="e">
        <f>IF($J139="",#N/A,SUM(CA$4:CA139))</f>
        <v>#N/A</v>
      </c>
      <c r="CC139" s="315" t="e">
        <f>IF($J139="",#N/A,SUM(CA$4:CA139,BY$4:BY139,BW$4:BW139))</f>
        <v>#N/A</v>
      </c>
      <c r="CD139" s="304" t="str">
        <f t="shared" si="265"/>
        <v/>
      </c>
      <c r="CE139" s="313" t="e">
        <f>IF($J139="",#N/A,SUM(CD$4:CD139))</f>
        <v>#N/A</v>
      </c>
      <c r="CF139" s="314">
        <f t="shared" si="266"/>
        <v>1.0522742701968772</v>
      </c>
      <c r="CG139" s="314" t="e">
        <f>IF($J139="",#N/A,SUM(CF$4:CF139))</f>
        <v>#N/A</v>
      </c>
      <c r="CH139" s="315" t="str">
        <f t="shared" si="267"/>
        <v/>
      </c>
      <c r="CI139" s="315" t="e">
        <f>IF($J139="",#N/A,SUM(CH$4:CH139))</f>
        <v>#N/A</v>
      </c>
      <c r="CJ139" s="315" t="e">
        <f>IF($J139="",#N/A,SUM(CH$4:CH139,CF$4:CF139,CD$4:CD139))</f>
        <v>#N/A</v>
      </c>
      <c r="CK139" s="304" t="str">
        <f t="shared" si="268"/>
        <v/>
      </c>
      <c r="CL139" s="313" t="e">
        <f>IF($J139="",#N/A,SUM(CK$4:CK139))</f>
        <v>#N/A</v>
      </c>
      <c r="CM139" s="314" t="str">
        <f t="shared" si="269"/>
        <v/>
      </c>
      <c r="CN139" s="314" t="e">
        <f>IF($J139="",#N/A,SUM(CM$4:CM139))</f>
        <v>#N/A</v>
      </c>
      <c r="CO139" s="315" t="str">
        <f t="shared" si="270"/>
        <v/>
      </c>
      <c r="CP139" s="315" t="e">
        <f>IF($J139="",#N/A,SUM(CO$4:CO139))</f>
        <v>#N/A</v>
      </c>
      <c r="CQ139" s="315" t="e">
        <f>IF($J139="",#N/A,SUM(CO$4:CO139,CM$4:CM139,CK$4:CK139))</f>
        <v>#N/A</v>
      </c>
      <c r="CR139" s="304" t="str">
        <f t="shared" si="271"/>
        <v/>
      </c>
      <c r="CS139" s="313" t="e">
        <f>IF($J139="",#N/A,SUM(CR$4:CR139))</f>
        <v>#N/A</v>
      </c>
      <c r="CT139" s="314" t="str">
        <f t="shared" si="272"/>
        <v/>
      </c>
      <c r="CU139" s="314" t="e">
        <f>IF($J139="",#N/A,SUM(CT$4:CT139))</f>
        <v>#N/A</v>
      </c>
      <c r="CV139" s="315" t="str">
        <f t="shared" si="273"/>
        <v/>
      </c>
      <c r="CW139" s="315" t="e">
        <f>IF($J139="",#N/A,SUM(CV$4:CV139))</f>
        <v>#N/A</v>
      </c>
      <c r="CX139" s="315" t="e">
        <f>IF($J139="",#N/A,SUM(CV$4:CV139,CT$4:CT139,CR$4:CR139))</f>
        <v>#N/A</v>
      </c>
      <c r="CY139" s="304" t="str">
        <f t="shared" si="274"/>
        <v/>
      </c>
      <c r="CZ139" s="313" t="e">
        <f>IF($J139="",#N/A,SUM(CY$4:CY139))</f>
        <v>#N/A</v>
      </c>
      <c r="DA139" s="314" t="str">
        <f t="shared" si="275"/>
        <v/>
      </c>
      <c r="DB139" s="314" t="e">
        <f>IF($J139="",#N/A,SUM(DA$4:DA139))</f>
        <v>#N/A</v>
      </c>
      <c r="DC139" s="315" t="str">
        <f t="shared" si="276"/>
        <v/>
      </c>
      <c r="DD139" s="315" t="e">
        <f>IF($J139="",#N/A,SUM(DC$4:DC139))</f>
        <v>#N/A</v>
      </c>
      <c r="DE139" s="315" t="e">
        <f>IF($J139="",#N/A,SUM(DC$4:DC139,DA$4:DA139,CY$4:CY139))</f>
        <v>#N/A</v>
      </c>
      <c r="DF139" s="304" t="str">
        <f t="shared" si="277"/>
        <v/>
      </c>
      <c r="DG139" s="313" t="e">
        <f>IF($J139="",#N/A,SUM(DF$4:DF139))</f>
        <v>#N/A</v>
      </c>
      <c r="DH139" s="314" t="str">
        <f t="shared" si="278"/>
        <v/>
      </c>
      <c r="DI139" s="314" t="e">
        <f>IF($J139="",#N/A,SUM(DH$4:DH139))</f>
        <v>#N/A</v>
      </c>
      <c r="DJ139" s="315" t="str">
        <f t="shared" si="279"/>
        <v/>
      </c>
      <c r="DK139" s="315" t="e">
        <f>IF($J139="",#N/A,SUM(DJ$4:DJ139))</f>
        <v>#N/A</v>
      </c>
      <c r="DL139" s="315" t="e">
        <f>IF($J139="",#N/A,SUM(DJ$4:DJ139,DH$4:DH139,DF$4:DF139))</f>
        <v>#N/A</v>
      </c>
      <c r="DM139" s="304" t="str">
        <f t="shared" si="280"/>
        <v/>
      </c>
      <c r="DN139" s="313" t="e">
        <f>IF($J139="",#N/A,SUM(DM$4:DM139))</f>
        <v>#N/A</v>
      </c>
      <c r="DO139" s="314" t="str">
        <f t="shared" si="281"/>
        <v/>
      </c>
      <c r="DP139" s="314" t="e">
        <f>IF($J139="",#N/A,SUM(DO$4:DO139))</f>
        <v>#N/A</v>
      </c>
      <c r="DQ139" s="315" t="str">
        <f t="shared" si="282"/>
        <v/>
      </c>
      <c r="DR139" s="315" t="e">
        <f>IF($J139="",#N/A,SUM(DQ$4:DQ139))</f>
        <v>#N/A</v>
      </c>
      <c r="DS139" s="315" t="e">
        <f>IF($J139="",#N/A,SUM(DQ$4:DQ139,DO$4:DO139,DM$4:DM139))</f>
        <v>#N/A</v>
      </c>
      <c r="DT139" s="304" t="str">
        <f t="shared" si="283"/>
        <v/>
      </c>
      <c r="DU139" s="313" t="e">
        <f>IF($J139="",#N/A,SUM(DT$4:DT139))</f>
        <v>#N/A</v>
      </c>
      <c r="DV139" s="314" t="str">
        <f t="shared" si="284"/>
        <v/>
      </c>
      <c r="DW139" s="314" t="e">
        <f>IF($J139="",#N/A,SUM(DV$4:DV139))</f>
        <v>#N/A</v>
      </c>
      <c r="DX139" s="315" t="str">
        <f t="shared" si="285"/>
        <v/>
      </c>
      <c r="DY139" s="315" t="e">
        <f>IF($J139="",#N/A,SUM(DX$4:DX139))</f>
        <v>#N/A</v>
      </c>
      <c r="DZ139" s="315" t="e">
        <f>IF($J139="",#N/A,SUM(DX$4:DX139,DV$4:DV139,DT$4:DT139))</f>
        <v>#N/A</v>
      </c>
      <c r="EA139" s="304" t="str">
        <f t="shared" si="286"/>
        <v/>
      </c>
      <c r="EB139" s="313" t="e">
        <f>IF($J139="",#N/A,SUM(EA$4:EA139))</f>
        <v>#N/A</v>
      </c>
      <c r="EC139" s="314" t="str">
        <f t="shared" si="287"/>
        <v/>
      </c>
      <c r="ED139" s="314" t="e">
        <f>IF($J139="",#N/A,SUM(EC$4:EC139))</f>
        <v>#N/A</v>
      </c>
      <c r="EE139" s="315" t="str">
        <f t="shared" si="288"/>
        <v/>
      </c>
      <c r="EF139" s="315" t="e">
        <f>IF($J139="",#N/A,SUM(EE$4:EE139))</f>
        <v>#N/A</v>
      </c>
      <c r="EG139" s="315" t="e">
        <f>IF($J139="",#N/A,SUM(EE$4:EE139,EC$4:EC139,EA$4:EA139))</f>
        <v>#N/A</v>
      </c>
      <c r="EH139" s="130">
        <f t="shared" si="289"/>
        <v>23.25</v>
      </c>
      <c r="EI139" s="63">
        <f>IF(EH139="",#N/A,SUM($EH$4:EH139))</f>
        <v>633.84717826179588</v>
      </c>
      <c r="EJ139" s="223" t="e">
        <f t="shared" si="290"/>
        <v>#N/A</v>
      </c>
      <c r="EK139" s="63" t="e">
        <f>IF($GZ139="",#N/A,SUM(EJ$4:EJ139))</f>
        <v>#N/A</v>
      </c>
      <c r="EL139" s="60">
        <f t="shared" si="322"/>
        <v>1.0522742701968772</v>
      </c>
      <c r="EM139" s="60">
        <f>IF(EL139="",NA(),SUM($EL$4:EL139))</f>
        <v>23.890373232824295</v>
      </c>
      <c r="EN139" s="60" t="str">
        <f t="shared" si="291"/>
        <v/>
      </c>
      <c r="EO139" s="60" t="e">
        <f>IF(EN139="",NA(),SUM($EN$4:EN139))</f>
        <v>#N/A</v>
      </c>
      <c r="EP139" s="60" t="str">
        <f t="shared" si="292"/>
        <v/>
      </c>
      <c r="EQ139" s="60" t="e">
        <f>IF(EP139="",NA(),SUM($EP$4:EP139))</f>
        <v>#N/A</v>
      </c>
      <c r="ER139" s="60">
        <f t="shared" si="293"/>
        <v>1.0522742701968772</v>
      </c>
      <c r="ES139" s="60">
        <f>IF(ER139="",NA(),SUM($ER$4:ER139))</f>
        <v>6.6502498786452735</v>
      </c>
      <c r="ET139" s="60" t="str">
        <f t="shared" si="294"/>
        <v/>
      </c>
      <c r="EU139" s="60" t="e">
        <f>IF(ET139="",NA(),SUM($ET$4:ET139))</f>
        <v>#N/A</v>
      </c>
      <c r="EV139" s="60" t="str">
        <f t="shared" si="295"/>
        <v/>
      </c>
      <c r="EW139" s="60" t="e">
        <f>IF(EV139="",NA(),SUM($EV$4:EV139))</f>
        <v>#N/A</v>
      </c>
      <c r="EX139" s="60" t="str">
        <f t="shared" si="296"/>
        <v/>
      </c>
      <c r="EY139" s="60" t="e">
        <f>IF(EX139="",NA(),SUM($EX$4:EX139))</f>
        <v>#N/A</v>
      </c>
      <c r="EZ139" s="60" t="str">
        <f t="shared" si="297"/>
        <v/>
      </c>
      <c r="FA139" s="60" t="e">
        <f>IF(EZ139="",NA(),SUM($EZ$4:EZ139))</f>
        <v>#N/A</v>
      </c>
      <c r="FB139" s="246">
        <f t="shared" si="323"/>
        <v>-5.1595383570943065E-2</v>
      </c>
      <c r="FC139" s="246">
        <f>IF($FB139="",#N/A,SUM(FB$4:$FB139))</f>
        <v>2.2037434211678351</v>
      </c>
      <c r="FD139" s="60" t="str">
        <f t="shared" si="298"/>
        <v/>
      </c>
      <c r="FE139" s="60" t="e">
        <f>IF($FD139="",#N/A,SUM($FD$4:FD139))</f>
        <v>#N/A</v>
      </c>
      <c r="FF139" s="60" t="str">
        <f t="shared" si="299"/>
        <v/>
      </c>
      <c r="FG139" s="60" t="e">
        <f>IF($FF139="",#N/A,SUM($FF$4:FF139))</f>
        <v>#N/A</v>
      </c>
      <c r="FH139" s="60" t="str">
        <f t="shared" si="300"/>
        <v/>
      </c>
      <c r="FI139" s="60" t="e">
        <f>IF($FH139="",#N/A,SUM($FH$4:FH139))</f>
        <v>#N/A</v>
      </c>
      <c r="FJ139" s="60" t="str">
        <f t="shared" si="301"/>
        <v/>
      </c>
      <c r="FK139" s="60" t="e">
        <f>IF($FJ139="",#N/A,SUM($FJ$4:FJ139))</f>
        <v>#N/A</v>
      </c>
      <c r="FL139" s="60" t="str">
        <f t="shared" si="302"/>
        <v/>
      </c>
      <c r="FM139" s="60" t="e">
        <f>IF($FL139="",#N/A,SUM($FL$4:FL139))</f>
        <v>#N/A</v>
      </c>
      <c r="FN139" s="82">
        <f t="shared" si="303"/>
        <v>1.0006788866259342</v>
      </c>
      <c r="FO139" s="82">
        <f>IF($FN139="",#N/A,SUM(FN$4:$FN139))</f>
        <v>33.676318878939966</v>
      </c>
      <c r="FP139" s="82">
        <f t="shared" si="324"/>
        <v>1.0522742701968772</v>
      </c>
      <c r="FQ139" s="246">
        <f>IF($EH139="",#N/A,SUM($FP$4:FP139))</f>
        <v>25.014323107734299</v>
      </c>
      <c r="FR139" s="82">
        <f>IFERROR(FQ139/COUNTA($J$4:J139),#N/A)</f>
        <v>0.18392884638039925</v>
      </c>
      <c r="FS139" s="82">
        <f>IFERROR(($FQ139-$FQ90)/COUNTA($J90:$J139),#N/A)</f>
        <v>0.12586819528870166</v>
      </c>
      <c r="FT139" s="82">
        <f t="shared" si="225"/>
        <v>0.1744257188624698</v>
      </c>
      <c r="FU139" s="337">
        <f t="shared" si="304"/>
        <v>8.488559418605794</v>
      </c>
      <c r="FV139" s="57" t="str">
        <f t="shared" si="305"/>
        <v>Dwn</v>
      </c>
      <c r="FW139" s="57" t="s">
        <v>2733</v>
      </c>
      <c r="FX139" s="57" t="str">
        <f t="shared" si="306"/>
        <v/>
      </c>
      <c r="FY139" s="57" t="str">
        <f t="shared" si="307"/>
        <v/>
      </c>
      <c r="FZ139" s="57" t="str">
        <f t="shared" si="308"/>
        <v/>
      </c>
      <c r="GA139" s="57" t="str">
        <f t="shared" si="309"/>
        <v>Short</v>
      </c>
      <c r="GB139" s="57">
        <f t="shared" si="310"/>
        <v>1</v>
      </c>
      <c r="GC139" s="57" t="str">
        <f t="shared" si="311"/>
        <v/>
      </c>
      <c r="GD139" s="57" t="str">
        <f t="shared" si="312"/>
        <v/>
      </c>
      <c r="GE139" s="62">
        <f t="shared" si="227"/>
        <v>122.75</v>
      </c>
      <c r="GF139" s="62" t="s">
        <v>2780</v>
      </c>
      <c r="GG139" s="199">
        <v>3</v>
      </c>
      <c r="GH139" s="207">
        <f t="shared" si="313"/>
        <v>368.25</v>
      </c>
      <c r="GI139" s="199">
        <v>3</v>
      </c>
      <c r="GJ139" s="200">
        <v>116.66</v>
      </c>
      <c r="GK139" s="63">
        <f t="shared" si="314"/>
        <v>18.269999999999982</v>
      </c>
      <c r="GL139" s="63">
        <f t="shared" si="228"/>
        <v>22.110000000000014</v>
      </c>
      <c r="GM139" s="82" t="str">
        <f t="shared" si="315"/>
        <v/>
      </c>
      <c r="GN139" s="82">
        <f>IF($GZ139="",#N/A,SUM(GM$4:GM139))</f>
        <v>11.822504693697571</v>
      </c>
      <c r="GO139" s="82" t="str">
        <f t="shared" si="316"/>
        <v/>
      </c>
      <c r="GP139" s="82">
        <f>IF($GZ139="",#N/A,SUM(GO$4:GO139))</f>
        <v>11.352023818838216</v>
      </c>
      <c r="GQ139" s="82">
        <f t="shared" si="317"/>
        <v>1.0006788866259342</v>
      </c>
      <c r="GR139" s="82">
        <f>IF($GZ139="",#N/A,SUM(GQ$4:GQ139))</f>
        <v>9.875953411961838</v>
      </c>
      <c r="GS139" s="63" t="str">
        <f t="shared" si="325"/>
        <v/>
      </c>
      <c r="GT139" s="63" t="e">
        <f>IF($GZ139="",#N/A,SUM(GS$4:GS139))</f>
        <v>#N/A</v>
      </c>
      <c r="GU139" s="63" t="str">
        <f t="shared" si="326"/>
        <v/>
      </c>
      <c r="GV139" s="63" t="e">
        <f>IF($GZ139="",#N/A,SUM(GU$4:GU139))</f>
        <v>#N/A</v>
      </c>
      <c r="GW139" s="63" t="e">
        <f t="shared" si="327"/>
        <v>#N/A</v>
      </c>
      <c r="GX139" s="63" t="e">
        <f>IF($GZ139="",#N/A,SUM(GW$4:GW139))</f>
        <v>#N/A</v>
      </c>
      <c r="GY139" s="63" t="e">
        <f>IF(EJ139="",#N/A,SUM($EJ$4:EJ139))</f>
        <v>#N/A</v>
      </c>
      <c r="GZ139" s="159">
        <v>115.38</v>
      </c>
      <c r="HA139" s="63">
        <f t="shared" si="318"/>
        <v>-1.1399999999999864</v>
      </c>
      <c r="HB139" s="62" t="s">
        <v>2538</v>
      </c>
      <c r="HC139" s="60">
        <f>IFERROR(VLOOKUP(E139,Expectancy!$P$4:$S$19,1+C139,FALSE),"")</f>
        <v>0.73529829292760662</v>
      </c>
      <c r="HD139" s="82">
        <f t="shared" si="319"/>
        <v>0.82688391038696463</v>
      </c>
      <c r="HE139" s="60">
        <f>IF(HD139="",#N/A,SUM($HD$4:HD139))</f>
        <v>1.9957636891285051</v>
      </c>
      <c r="HF139" s="85">
        <f>IF(HD139="",#N/A,IF(HB139="Skip",#N/A,SUM($HG$4:HG139)))</f>
        <v>63.979999999999905</v>
      </c>
      <c r="HG139" s="63">
        <f t="shared" si="320"/>
        <v>18.269999999999982</v>
      </c>
      <c r="HH139" s="82">
        <f t="shared" si="321"/>
        <v>1.0006788866259342</v>
      </c>
    </row>
    <row r="140" spans="1:216" x14ac:dyDescent="0.25">
      <c r="A140" s="57" t="s">
        <v>1495</v>
      </c>
      <c r="B140" s="58" t="s">
        <v>5166</v>
      </c>
      <c r="C140" s="386">
        <f t="shared" si="230"/>
        <v>1</v>
      </c>
      <c r="D140" s="372" t="str">
        <f>_xlfn.XLOOKUP(A140,[1]SP500!$A$2:$A$502,[1]SP500!$D$2:$D$502,"N")</f>
        <v>Y</v>
      </c>
      <c r="E140" s="57" t="str">
        <f>_xlfn.XLOOKUP(A140,[1]SP500!$A$2:$A$655,[1]SP500!$B$2:$B$655)</f>
        <v>XLY</v>
      </c>
      <c r="F140" s="59">
        <v>45687</v>
      </c>
      <c r="G140" s="57" t="str">
        <f t="shared" si="231"/>
        <v>AMC</v>
      </c>
      <c r="H140" s="57" t="str">
        <f t="shared" si="232"/>
        <v>s</v>
      </c>
      <c r="I140" s="159">
        <v>223.11</v>
      </c>
      <c r="J140" s="159">
        <v>196.1</v>
      </c>
      <c r="K140" s="61">
        <f t="shared" si="233"/>
        <v>-0.12106135986733009</v>
      </c>
      <c r="L140" s="87">
        <f t="shared" si="234"/>
        <v>-54.020000000000039</v>
      </c>
      <c r="M140" s="130">
        <f t="shared" si="226"/>
        <v>-0.19999999999998863</v>
      </c>
      <c r="N140" s="169">
        <f t="shared" si="235"/>
        <v>-54.020000000000039</v>
      </c>
      <c r="O140" s="169">
        <f>IF($J140="",#N/A,SUM($N$4:N140))</f>
        <v>179.96503433954814</v>
      </c>
      <c r="P140" s="174" t="str">
        <f t="shared" si="236"/>
        <v/>
      </c>
      <c r="Q140" s="174">
        <f>IF($J140="",#N/A,SUM($P$4:P140))</f>
        <v>172.13104023772644</v>
      </c>
      <c r="R140" s="178" t="str">
        <f t="shared" si="237"/>
        <v/>
      </c>
      <c r="S140" s="178">
        <f>IF($J140="",#N/A,SUM($R$4:R140))</f>
        <v>227.73110368452103</v>
      </c>
      <c r="T140" s="290">
        <f t="shared" si="238"/>
        <v>-2.0176893311221686</v>
      </c>
      <c r="U140" s="290">
        <f>IF($J140="",#N/A,SUM($T$4:T140))</f>
        <v>6.4173930322322565</v>
      </c>
      <c r="V140" s="291" t="str">
        <f t="shared" si="239"/>
        <v/>
      </c>
      <c r="W140" s="291">
        <f>IF($J140="",#N/A,SUM($V$4:V140))</f>
        <v>7.3526453313452329</v>
      </c>
      <c r="X140" s="292" t="str">
        <f t="shared" si="240"/>
        <v/>
      </c>
      <c r="Y140" s="283">
        <f>IF($J140="",#N/A,SUM($X$4:X140))</f>
        <v>9.2265954130346284</v>
      </c>
      <c r="Z140" s="304" t="str">
        <f t="shared" si="241"/>
        <v/>
      </c>
      <c r="AA140" s="313" t="e">
        <f>IF($J140="",#N/A,SUM(Z$4:Z140))</f>
        <v>#N/A</v>
      </c>
      <c r="AB140" s="314" t="str">
        <f t="shared" si="242"/>
        <v/>
      </c>
      <c r="AC140" s="314" t="e">
        <f>IF($J140="",#N/A,SUM(AB$4:AB140))</f>
        <v>#N/A</v>
      </c>
      <c r="AD140" s="315" t="str">
        <f t="shared" si="243"/>
        <v/>
      </c>
      <c r="AE140" s="315" t="e">
        <f>IF($J140="",#N/A,SUM(AD$4:AD140))</f>
        <v>#N/A</v>
      </c>
      <c r="AF140" s="315" t="e">
        <f>IF($J140="",#N/A,SUM(AD$4:AD140,AB$4:AB140,Z$4:Z140))</f>
        <v>#N/A</v>
      </c>
      <c r="AG140" s="304" t="str">
        <f t="shared" si="244"/>
        <v/>
      </c>
      <c r="AH140" s="313" t="e">
        <f>IF($J140="",#N/A,SUM(AG$4:AG140))</f>
        <v>#N/A</v>
      </c>
      <c r="AI140" s="314" t="str">
        <f t="shared" si="245"/>
        <v/>
      </c>
      <c r="AJ140" s="314" t="e">
        <f>IF($J140="",#N/A,SUM(AI$4:AI140))</f>
        <v>#N/A</v>
      </c>
      <c r="AK140" s="315" t="str">
        <f t="shared" si="246"/>
        <v/>
      </c>
      <c r="AL140" s="315" t="e">
        <f>IF($J140="",#N/A,SUM(AK$4:AK140))</f>
        <v>#N/A</v>
      </c>
      <c r="AM140" s="315" t="e">
        <f>IF($J140="",#N/A,SUM(AK$4:AK140,AI$4:AI140,AG$4:AG140))</f>
        <v>#N/A</v>
      </c>
      <c r="AN140" s="304">
        <f t="shared" si="247"/>
        <v>-2.0176893311221686</v>
      </c>
      <c r="AO140" s="313" t="e">
        <f>IF($J140="",#N/A,SUM(AN$4:AN140))</f>
        <v>#N/A</v>
      </c>
      <c r="AP140" s="314" t="str">
        <f t="shared" si="248"/>
        <v/>
      </c>
      <c r="AQ140" s="314" t="e">
        <f>IF($J140="",#N/A,SUM(AP$4:AP140))</f>
        <v>#N/A</v>
      </c>
      <c r="AR140" s="315" t="str">
        <f t="shared" si="249"/>
        <v/>
      </c>
      <c r="AS140" s="315" t="e">
        <f>IF($J140="",#N/A,SUM(AR$4:AR140))</f>
        <v>#N/A</v>
      </c>
      <c r="AT140" s="315" t="e">
        <f>IF($J140="",#N/A,SUM(AR$4:AR140,AP$4:AP140,AN$4:AN140))</f>
        <v>#N/A</v>
      </c>
      <c r="AU140" s="304" t="str">
        <f t="shared" si="250"/>
        <v/>
      </c>
      <c r="AV140" s="313" t="e">
        <f>IF($J140="",#N/A,SUM(AU$4:AU140))</f>
        <v>#N/A</v>
      </c>
      <c r="AW140" s="314" t="str">
        <f t="shared" si="251"/>
        <v/>
      </c>
      <c r="AX140" s="314" t="e">
        <f>IF($J140="",#N/A,SUM(AW$4:AW140))</f>
        <v>#N/A</v>
      </c>
      <c r="AY140" s="315" t="str">
        <f t="shared" si="252"/>
        <v/>
      </c>
      <c r="AZ140" s="315" t="e">
        <f>IF($J140="",#N/A,SUM(AY$4:AY140))</f>
        <v>#N/A</v>
      </c>
      <c r="BA140" s="315" t="e">
        <f>IF($J140="",#N/A,SUM(AY$4:AY140,AW$4:AW140,AU$4:AU140))</f>
        <v>#N/A</v>
      </c>
      <c r="BB140" s="304" t="str">
        <f t="shared" si="253"/>
        <v/>
      </c>
      <c r="BC140" s="313" t="e">
        <f>IF($J140="",#N/A,SUM(BB$4:BB140))</f>
        <v>#N/A</v>
      </c>
      <c r="BD140" s="314" t="str">
        <f t="shared" si="254"/>
        <v/>
      </c>
      <c r="BE140" s="314" t="e">
        <f>IF($J140="",#N/A,SUM(BD$4:BD140))</f>
        <v>#N/A</v>
      </c>
      <c r="BF140" s="315" t="str">
        <f t="shared" si="255"/>
        <v/>
      </c>
      <c r="BG140" s="315" t="e">
        <f>IF($J140="",#N/A,SUM(BF$4:BF140))</f>
        <v>#N/A</v>
      </c>
      <c r="BH140" s="315" t="e">
        <f>IF($J140="",#N/A,SUM(BF$4:BF140,BD$4:BD140,BB$4:BB140))</f>
        <v>#N/A</v>
      </c>
      <c r="BI140" s="304" t="str">
        <f t="shared" si="256"/>
        <v/>
      </c>
      <c r="BJ140" s="313" t="e">
        <f>IF($J140="",#N/A,SUM(BI$4:BI140))</f>
        <v>#N/A</v>
      </c>
      <c r="BK140" s="314" t="str">
        <f t="shared" si="257"/>
        <v/>
      </c>
      <c r="BL140" s="314" t="e">
        <f>IF($J140="",#N/A,SUM(BK$4:BK140))</f>
        <v>#N/A</v>
      </c>
      <c r="BM140" s="315" t="str">
        <f t="shared" si="258"/>
        <v/>
      </c>
      <c r="BN140" s="315" t="e">
        <f>IF($J140="",#N/A,SUM(BM$4:BM140))</f>
        <v>#N/A</v>
      </c>
      <c r="BO140" s="315" t="e">
        <f>IF($J140="",#N/A,SUM(BM$4:BM140,BK$4:BK140,BI$4:BI140))</f>
        <v>#N/A</v>
      </c>
      <c r="BP140" s="304" t="str">
        <f t="shared" si="259"/>
        <v/>
      </c>
      <c r="BQ140" s="313" t="e">
        <f>IF($J140="",#N/A,SUM(BP$4:BP140))</f>
        <v>#N/A</v>
      </c>
      <c r="BR140" s="314" t="str">
        <f t="shared" si="260"/>
        <v/>
      </c>
      <c r="BS140" s="314" t="e">
        <f>IF($J140="",#N/A,SUM(BR$4:BR140))</f>
        <v>#N/A</v>
      </c>
      <c r="BT140" s="315" t="str">
        <f t="shared" si="261"/>
        <v/>
      </c>
      <c r="BU140" s="315" t="e">
        <f>IF($J140="",#N/A,SUM(BT$4:BT140))</f>
        <v>#N/A</v>
      </c>
      <c r="BV140" s="315" t="e">
        <f>IF($J140="",#N/A,SUM(BT$4:BT140,BR$4:BR140,BP$4:BP140))</f>
        <v>#N/A</v>
      </c>
      <c r="BW140" s="304" t="str">
        <f t="shared" si="262"/>
        <v/>
      </c>
      <c r="BX140" s="313" t="e">
        <f>IF($J140="",#N/A,SUM(BW$4:BW140))</f>
        <v>#N/A</v>
      </c>
      <c r="BY140" s="314" t="str">
        <f t="shared" si="263"/>
        <v/>
      </c>
      <c r="BZ140" s="314" t="e">
        <f>IF($J140="",#N/A,SUM(BY$4:BY140))</f>
        <v>#N/A</v>
      </c>
      <c r="CA140" s="315" t="str">
        <f t="shared" si="264"/>
        <v/>
      </c>
      <c r="CB140" s="315" t="e">
        <f>IF($J140="",#N/A,SUM(CA$4:CA140))</f>
        <v>#N/A</v>
      </c>
      <c r="CC140" s="315" t="e">
        <f>IF($J140="",#N/A,SUM(CA$4:CA140,BY$4:BY140,BW$4:BW140))</f>
        <v>#N/A</v>
      </c>
      <c r="CD140" s="304" t="str">
        <f t="shared" si="265"/>
        <v/>
      </c>
      <c r="CE140" s="313" t="e">
        <f>IF($J140="",#N/A,SUM(CD$4:CD140))</f>
        <v>#N/A</v>
      </c>
      <c r="CF140" s="314" t="str">
        <f t="shared" si="266"/>
        <v/>
      </c>
      <c r="CG140" s="314" t="e">
        <f>IF($J140="",#N/A,SUM(CF$4:CF140))</f>
        <v>#N/A</v>
      </c>
      <c r="CH140" s="315" t="str">
        <f t="shared" si="267"/>
        <v/>
      </c>
      <c r="CI140" s="315" t="e">
        <f>IF($J140="",#N/A,SUM(CH$4:CH140))</f>
        <v>#N/A</v>
      </c>
      <c r="CJ140" s="315" t="e">
        <f>IF($J140="",#N/A,SUM(CH$4:CH140,CF$4:CF140,CD$4:CD140))</f>
        <v>#N/A</v>
      </c>
      <c r="CK140" s="304" t="str">
        <f t="shared" si="268"/>
        <v/>
      </c>
      <c r="CL140" s="313" t="e">
        <f>IF($J140="",#N/A,SUM(CK$4:CK140))</f>
        <v>#N/A</v>
      </c>
      <c r="CM140" s="314" t="str">
        <f t="shared" si="269"/>
        <v/>
      </c>
      <c r="CN140" s="314" t="e">
        <f>IF($J140="",#N/A,SUM(CM$4:CM140))</f>
        <v>#N/A</v>
      </c>
      <c r="CO140" s="315" t="str">
        <f t="shared" si="270"/>
        <v/>
      </c>
      <c r="CP140" s="315" t="e">
        <f>IF($J140="",#N/A,SUM(CO$4:CO140))</f>
        <v>#N/A</v>
      </c>
      <c r="CQ140" s="315" t="e">
        <f>IF($J140="",#N/A,SUM(CO$4:CO140,CM$4:CM140,CK$4:CK140))</f>
        <v>#N/A</v>
      </c>
      <c r="CR140" s="304" t="str">
        <f t="shared" si="271"/>
        <v/>
      </c>
      <c r="CS140" s="313" t="e">
        <f>IF($J140="",#N/A,SUM(CR$4:CR140))</f>
        <v>#N/A</v>
      </c>
      <c r="CT140" s="314" t="str">
        <f t="shared" si="272"/>
        <v/>
      </c>
      <c r="CU140" s="314" t="e">
        <f>IF($J140="",#N/A,SUM(CT$4:CT140))</f>
        <v>#N/A</v>
      </c>
      <c r="CV140" s="315" t="str">
        <f t="shared" si="273"/>
        <v/>
      </c>
      <c r="CW140" s="315" t="e">
        <f>IF($J140="",#N/A,SUM(CV$4:CV140))</f>
        <v>#N/A</v>
      </c>
      <c r="CX140" s="315" t="e">
        <f>IF($J140="",#N/A,SUM(CV$4:CV140,CT$4:CT140,CR$4:CR140))</f>
        <v>#N/A</v>
      </c>
      <c r="CY140" s="304" t="str">
        <f t="shared" si="274"/>
        <v/>
      </c>
      <c r="CZ140" s="313" t="e">
        <f>IF($J140="",#N/A,SUM(CY$4:CY140))</f>
        <v>#N/A</v>
      </c>
      <c r="DA140" s="314" t="str">
        <f t="shared" si="275"/>
        <v/>
      </c>
      <c r="DB140" s="314" t="e">
        <f>IF($J140="",#N/A,SUM(DA$4:DA140))</f>
        <v>#N/A</v>
      </c>
      <c r="DC140" s="315" t="str">
        <f t="shared" si="276"/>
        <v/>
      </c>
      <c r="DD140" s="315" t="e">
        <f>IF($J140="",#N/A,SUM(DC$4:DC140))</f>
        <v>#N/A</v>
      </c>
      <c r="DE140" s="315" t="e">
        <f>IF($J140="",#N/A,SUM(DC$4:DC140,DA$4:DA140,CY$4:CY140))</f>
        <v>#N/A</v>
      </c>
      <c r="DF140" s="304" t="str">
        <f t="shared" si="277"/>
        <v/>
      </c>
      <c r="DG140" s="313" t="e">
        <f>IF($J140="",#N/A,SUM(DF$4:DF140))</f>
        <v>#N/A</v>
      </c>
      <c r="DH140" s="314" t="str">
        <f t="shared" si="278"/>
        <v/>
      </c>
      <c r="DI140" s="314" t="e">
        <f>IF($J140="",#N/A,SUM(DH$4:DH140))</f>
        <v>#N/A</v>
      </c>
      <c r="DJ140" s="315" t="str">
        <f t="shared" si="279"/>
        <v/>
      </c>
      <c r="DK140" s="315" t="e">
        <f>IF($J140="",#N/A,SUM(DJ$4:DJ140))</f>
        <v>#N/A</v>
      </c>
      <c r="DL140" s="315" t="e">
        <f>IF($J140="",#N/A,SUM(DJ$4:DJ140,DH$4:DH140,DF$4:DF140))</f>
        <v>#N/A</v>
      </c>
      <c r="DM140" s="304" t="str">
        <f t="shared" si="280"/>
        <v/>
      </c>
      <c r="DN140" s="313" t="e">
        <f>IF($J140="",#N/A,SUM(DM$4:DM140))</f>
        <v>#N/A</v>
      </c>
      <c r="DO140" s="314" t="str">
        <f t="shared" si="281"/>
        <v/>
      </c>
      <c r="DP140" s="314" t="e">
        <f>IF($J140="",#N/A,SUM(DO$4:DO140))</f>
        <v>#N/A</v>
      </c>
      <c r="DQ140" s="315" t="str">
        <f t="shared" si="282"/>
        <v/>
      </c>
      <c r="DR140" s="315" t="e">
        <f>IF($J140="",#N/A,SUM(DQ$4:DQ140))</f>
        <v>#N/A</v>
      </c>
      <c r="DS140" s="315" t="e">
        <f>IF($J140="",#N/A,SUM(DQ$4:DQ140,DO$4:DO140,DM$4:DM140))</f>
        <v>#N/A</v>
      </c>
      <c r="DT140" s="304" t="str">
        <f t="shared" si="283"/>
        <v/>
      </c>
      <c r="DU140" s="313" t="e">
        <f>IF($J140="",#N/A,SUM(DT$4:DT140))</f>
        <v>#N/A</v>
      </c>
      <c r="DV140" s="314" t="str">
        <f t="shared" si="284"/>
        <v/>
      </c>
      <c r="DW140" s="314" t="e">
        <f>IF($J140="",#N/A,SUM(DV$4:DV140))</f>
        <v>#N/A</v>
      </c>
      <c r="DX140" s="315" t="str">
        <f t="shared" si="285"/>
        <v/>
      </c>
      <c r="DY140" s="315" t="e">
        <f>IF($J140="",#N/A,SUM(DX$4:DX140))</f>
        <v>#N/A</v>
      </c>
      <c r="DZ140" s="315" t="e">
        <f>IF($J140="",#N/A,SUM(DX$4:DX140,DV$4:DV140,DT$4:DT140))</f>
        <v>#N/A</v>
      </c>
      <c r="EA140" s="304" t="str">
        <f t="shared" si="286"/>
        <v/>
      </c>
      <c r="EB140" s="313" t="e">
        <f>IF($J140="",#N/A,SUM(EA$4:EA140))</f>
        <v>#N/A</v>
      </c>
      <c r="EC140" s="314" t="str">
        <f t="shared" si="287"/>
        <v/>
      </c>
      <c r="ED140" s="314" t="e">
        <f>IF($J140="",#N/A,SUM(EC$4:EC140))</f>
        <v>#N/A</v>
      </c>
      <c r="EE140" s="315" t="str">
        <f t="shared" si="288"/>
        <v/>
      </c>
      <c r="EF140" s="315" t="e">
        <f>IF($J140="",#N/A,SUM(EE$4:EE140))</f>
        <v>#N/A</v>
      </c>
      <c r="EG140" s="315" t="e">
        <f>IF($J140="",#N/A,SUM(EE$4:EE140,EC$4:EC140,EA$4:EA140))</f>
        <v>#N/A</v>
      </c>
      <c r="EH140" s="130">
        <f t="shared" si="289"/>
        <v>-54.020000000000039</v>
      </c>
      <c r="EI140" s="63">
        <f>IF(EH140="",#N/A,SUM($EH$4:EH140))</f>
        <v>579.82717826179578</v>
      </c>
      <c r="EJ140" s="223" t="e">
        <f t="shared" si="290"/>
        <v>#N/A</v>
      </c>
      <c r="EK140" s="63" t="e">
        <f>IF($GZ140="",#N/A,SUM(EJ$4:EJ140))</f>
        <v>#N/A</v>
      </c>
      <c r="EL140" s="60">
        <f t="shared" si="322"/>
        <v>-2.0176893311221686</v>
      </c>
      <c r="EM140" s="60">
        <f>IF(EL140="",NA(),SUM($EL$4:EL140))</f>
        <v>21.872683901702125</v>
      </c>
      <c r="EN140" s="60">
        <f t="shared" si="291"/>
        <v>-2.0176893311221686</v>
      </c>
      <c r="EO140" s="60">
        <f>IF(EN140="",NA(),SUM($EN$4:EN140))</f>
        <v>5.8751905576264907</v>
      </c>
      <c r="EP140" s="60" t="str">
        <f t="shared" si="292"/>
        <v/>
      </c>
      <c r="EQ140" s="60" t="e">
        <f>IF(EP140="",NA(),SUM($EP$4:EP140))</f>
        <v>#N/A</v>
      </c>
      <c r="ER140" s="60" t="str">
        <f t="shared" si="293"/>
        <v/>
      </c>
      <c r="ES140" s="60" t="e">
        <f>IF(ER140="",NA(),SUM($ER$4:ER140))</f>
        <v>#N/A</v>
      </c>
      <c r="ET140" s="60" t="str">
        <f t="shared" si="294"/>
        <v/>
      </c>
      <c r="EU140" s="60" t="e">
        <f>IF(ET140="",NA(),SUM($ET$4:ET140))</f>
        <v>#N/A</v>
      </c>
      <c r="EV140" s="60" t="str">
        <f t="shared" si="295"/>
        <v/>
      </c>
      <c r="EW140" s="60" t="e">
        <f>IF(EV140="",NA(),SUM($EV$4:EV140))</f>
        <v>#N/A</v>
      </c>
      <c r="EX140" s="60" t="str">
        <f t="shared" si="296"/>
        <v/>
      </c>
      <c r="EY140" s="60" t="e">
        <f>IF(EX140="",NA(),SUM($EX$4:EX140))</f>
        <v>#N/A</v>
      </c>
      <c r="EZ140" s="60" t="str">
        <f t="shared" si="297"/>
        <v/>
      </c>
      <c r="FA140" s="60" t="e">
        <f>IF(EZ140="",NA(),SUM($EZ$4:EZ140))</f>
        <v>#N/A</v>
      </c>
      <c r="FB140" s="246" t="str">
        <f t="shared" si="323"/>
        <v/>
      </c>
      <c r="FC140" s="246" t="e">
        <f>IF($FB140="",#N/A,SUM(FB$4:$FB140))</f>
        <v>#N/A</v>
      </c>
      <c r="FD140" s="60" t="str">
        <f t="shared" si="298"/>
        <v/>
      </c>
      <c r="FE140" s="60" t="e">
        <f>IF($FD140="",#N/A,SUM($FD$4:FD140))</f>
        <v>#N/A</v>
      </c>
      <c r="FF140" s="60" t="str">
        <f t="shared" si="299"/>
        <v/>
      </c>
      <c r="FG140" s="60" t="e">
        <f>IF($FF140="",#N/A,SUM($FF$4:FF140))</f>
        <v>#N/A</v>
      </c>
      <c r="FH140" s="60">
        <f t="shared" si="300"/>
        <v>-1.399907370056622</v>
      </c>
      <c r="FI140" s="60">
        <f>IF($FH140="",#N/A,SUM($FH$4:FH140))</f>
        <v>0.97080135850804172</v>
      </c>
      <c r="FJ140" s="60" t="str">
        <f t="shared" si="301"/>
        <v/>
      </c>
      <c r="FK140" s="60" t="e">
        <f>IF($FJ140="",#N/A,SUM($FJ$4:FJ140))</f>
        <v>#N/A</v>
      </c>
      <c r="FL140" s="60" t="str">
        <f t="shared" si="302"/>
        <v/>
      </c>
      <c r="FM140" s="60" t="e">
        <f>IF($FL140="",#N/A,SUM($FL$4:FL140))</f>
        <v>#N/A</v>
      </c>
      <c r="FN140" s="82">
        <f t="shared" si="303"/>
        <v>-3.4175967011787907</v>
      </c>
      <c r="FO140" s="82">
        <f>IF($FN140="",#N/A,SUM(FN$4:$FN140))</f>
        <v>30.258722177761175</v>
      </c>
      <c r="FP140" s="82">
        <f t="shared" si="324"/>
        <v>-2.0176893311221686</v>
      </c>
      <c r="FQ140" s="246">
        <f>IF($EH140="",#N/A,SUM($FP$4:FP140))</f>
        <v>22.996633776612128</v>
      </c>
      <c r="FR140" s="82">
        <f>IFERROR(FQ140/COUNTA($J$4:J140),#N/A)</f>
        <v>0.16785864070519801</v>
      </c>
      <c r="FS140" s="82">
        <f>IFERROR(($FQ140-$FQ91)/COUNTA($J91:$J140),#N/A)</f>
        <v>6.9916089178624144E-2</v>
      </c>
      <c r="FT140" s="82">
        <f t="shared" si="225"/>
        <v>7.4110405980351748E-2</v>
      </c>
      <c r="FU140" s="337">
        <f t="shared" si="304"/>
        <v>8.4960295753296808</v>
      </c>
      <c r="FV140" s="57" t="str">
        <f t="shared" si="305"/>
        <v>Up</v>
      </c>
      <c r="FW140" s="57" t="s">
        <v>2734</v>
      </c>
      <c r="FX140" s="57" t="str">
        <f t="shared" si="306"/>
        <v/>
      </c>
      <c r="FY140" s="57" t="str">
        <f t="shared" si="307"/>
        <v/>
      </c>
      <c r="FZ140" s="57" t="str">
        <f t="shared" si="308"/>
        <v/>
      </c>
      <c r="GA140" s="57" t="str">
        <f t="shared" si="309"/>
        <v>Long</v>
      </c>
      <c r="GB140" s="57" t="str">
        <f t="shared" si="310"/>
        <v/>
      </c>
      <c r="GC140" s="57">
        <f t="shared" si="311"/>
        <v>1</v>
      </c>
      <c r="GD140" s="57" t="str">
        <f t="shared" si="312"/>
        <v/>
      </c>
      <c r="GE140" s="62">
        <f t="shared" si="227"/>
        <v>223.11</v>
      </c>
      <c r="GF140" s="62" t="s">
        <v>2779</v>
      </c>
      <c r="GG140" s="199">
        <v>2</v>
      </c>
      <c r="GH140" s="207">
        <f t="shared" si="313"/>
        <v>446.22</v>
      </c>
      <c r="GI140" s="199">
        <v>2</v>
      </c>
      <c r="GJ140" s="200">
        <v>196</v>
      </c>
      <c r="GK140" s="63">
        <f t="shared" si="314"/>
        <v>-54.220000000000027</v>
      </c>
      <c r="GL140" s="63">
        <f t="shared" si="228"/>
        <v>-91.5</v>
      </c>
      <c r="GM140" s="82" t="str">
        <f t="shared" si="315"/>
        <v/>
      </c>
      <c r="GN140" s="82">
        <f>IF($GZ140="",#N/A,SUM(GM$4:GM140))</f>
        <v>11.822504693697571</v>
      </c>
      <c r="GO140" s="82">
        <f t="shared" si="316"/>
        <v>-3.4175967011787907</v>
      </c>
      <c r="GP140" s="82">
        <f>IF($GZ140="",#N/A,SUM(GO$4:GO140))</f>
        <v>7.9344271176594248</v>
      </c>
      <c r="GQ140" s="82" t="str">
        <f t="shared" si="317"/>
        <v/>
      </c>
      <c r="GR140" s="82">
        <f>IF($GZ140="",#N/A,SUM(GQ$4:GQ140))</f>
        <v>9.875953411961838</v>
      </c>
      <c r="GS140" s="63" t="str">
        <f t="shared" si="325"/>
        <v/>
      </c>
      <c r="GT140" s="63" t="e">
        <f>IF($GZ140="",#N/A,SUM(GS$4:GS140))</f>
        <v>#N/A</v>
      </c>
      <c r="GU140" s="63" t="e">
        <f t="shared" si="326"/>
        <v>#N/A</v>
      </c>
      <c r="GV140" s="63" t="e">
        <f>IF($GZ140="",#N/A,SUM(GU$4:GU140))</f>
        <v>#N/A</v>
      </c>
      <c r="GW140" s="63" t="str">
        <f t="shared" si="327"/>
        <v/>
      </c>
      <c r="GX140" s="63" t="e">
        <f>IF($GZ140="",#N/A,SUM(GW$4:GW140))</f>
        <v>#N/A</v>
      </c>
      <c r="GY140" s="63" t="e">
        <f>IF(EJ140="",#N/A,SUM($EJ$4:EJ140))</f>
        <v>#N/A</v>
      </c>
      <c r="GZ140" s="159">
        <v>177.36</v>
      </c>
      <c r="HA140" s="63">
        <f t="shared" si="318"/>
        <v>-37.479999999999961</v>
      </c>
      <c r="HB140" s="62" t="s">
        <v>2538</v>
      </c>
      <c r="HC140" s="60">
        <f>IFERROR(VLOOKUP(E140,Expectancy!$P$4:$S$19,1+C140,FALSE),"")</f>
        <v>9.4642213510490861E-2</v>
      </c>
      <c r="HD140" s="82">
        <f t="shared" si="319"/>
        <v>-2.0251594878460559</v>
      </c>
      <c r="HE140" s="60">
        <f>IF(HD140="",#N/A,SUM($HD$4:HD140))</f>
        <v>-2.9395798717550825E-2</v>
      </c>
      <c r="HF140" s="85">
        <f>IF(HD140="",#N/A,IF(HB140="Skip",#N/A,SUM($HG$4:HG140)))</f>
        <v>9.7599999999998772</v>
      </c>
      <c r="HG140" s="63">
        <f t="shared" si="320"/>
        <v>-54.220000000000027</v>
      </c>
      <c r="HH140" s="82">
        <f t="shared" si="321"/>
        <v>-3.4175967011787907</v>
      </c>
    </row>
    <row r="141" spans="1:216" x14ac:dyDescent="0.25">
      <c r="A141" s="57" t="s">
        <v>1548</v>
      </c>
      <c r="B141" s="58" t="s">
        <v>5166</v>
      </c>
      <c r="C141" s="386">
        <f t="shared" si="230"/>
        <v>3</v>
      </c>
      <c r="D141" s="372" t="str">
        <f>_xlfn.XLOOKUP(A141,[1]SP500!$A$2:$A$502,[1]SP500!$D$2:$D$502,"N")</f>
        <v>Y</v>
      </c>
      <c r="E141" s="57" t="str">
        <f>_xlfn.XLOOKUP(A141,[1]SP500!$A$2:$A$655,[1]SP500!$B$2:$B$655)</f>
        <v>IGV</v>
      </c>
      <c r="F141" s="59">
        <v>45687</v>
      </c>
      <c r="G141" s="57" t="str">
        <f t="shared" si="231"/>
        <v>AMC</v>
      </c>
      <c r="H141" s="57" t="str">
        <f t="shared" si="232"/>
        <v>s</v>
      </c>
      <c r="I141" s="159">
        <v>27.89</v>
      </c>
      <c r="J141" s="159">
        <v>26.614000000000001</v>
      </c>
      <c r="K141" s="61">
        <f t="shared" si="233"/>
        <v>-4.5751165292219426E-2</v>
      </c>
      <c r="L141" s="87">
        <f t="shared" si="234"/>
        <v>-17.864000000000033</v>
      </c>
      <c r="M141" s="130">
        <f t="shared" si="226"/>
        <v>-0.19599999999996953</v>
      </c>
      <c r="N141" s="169" t="str">
        <f t="shared" si="235"/>
        <v/>
      </c>
      <c r="O141" s="169">
        <f>IF($J141="",#N/A,SUM($N$4:N141))</f>
        <v>179.96503433954814</v>
      </c>
      <c r="P141" s="174" t="str">
        <f t="shared" si="236"/>
        <v/>
      </c>
      <c r="Q141" s="174">
        <f>IF($J141="",#N/A,SUM($P$4:P141))</f>
        <v>172.13104023772644</v>
      </c>
      <c r="R141" s="178">
        <f t="shared" si="237"/>
        <v>-17.864000000000033</v>
      </c>
      <c r="S141" s="178">
        <f>IF($J141="",#N/A,SUM($R$4:R141))</f>
        <v>209.867103684521</v>
      </c>
      <c r="T141" s="290" t="str">
        <f t="shared" si="238"/>
        <v/>
      </c>
      <c r="U141" s="290">
        <f>IF($J141="",#N/A,SUM($T$4:T141))</f>
        <v>6.4173930322322565</v>
      </c>
      <c r="V141" s="291" t="str">
        <f t="shared" si="239"/>
        <v/>
      </c>
      <c r="W141" s="291">
        <f>IF($J141="",#N/A,SUM($V$4:V141))</f>
        <v>7.3526453313452329</v>
      </c>
      <c r="X141" s="292">
        <f t="shared" si="240"/>
        <v>-0.76251942153699193</v>
      </c>
      <c r="Y141" s="283">
        <f>IF($J141="",#N/A,SUM($X$4:X141))</f>
        <v>8.4640759914976371</v>
      </c>
      <c r="Z141" s="304" t="str">
        <f t="shared" si="241"/>
        <v/>
      </c>
      <c r="AA141" s="313" t="e">
        <f>IF($J141="",#N/A,SUM(Z$4:Z141))</f>
        <v>#N/A</v>
      </c>
      <c r="AB141" s="314" t="str">
        <f t="shared" si="242"/>
        <v/>
      </c>
      <c r="AC141" s="314" t="e">
        <f>IF($J141="",#N/A,SUM(AB$4:AB141))</f>
        <v>#N/A</v>
      </c>
      <c r="AD141" s="315" t="str">
        <f t="shared" si="243"/>
        <v/>
      </c>
      <c r="AE141" s="315" t="e">
        <f>IF($J141="",#N/A,SUM(AD$4:AD141))</f>
        <v>#N/A</v>
      </c>
      <c r="AF141" s="315" t="e">
        <f>IF($J141="",#N/A,SUM(AD$4:AD141,AB$4:AB141,Z$4:Z141))</f>
        <v>#N/A</v>
      </c>
      <c r="AG141" s="304" t="str">
        <f t="shared" si="244"/>
        <v/>
      </c>
      <c r="AH141" s="313" t="e">
        <f>IF($J141="",#N/A,SUM(AG$4:AG141))</f>
        <v>#N/A</v>
      </c>
      <c r="AI141" s="314" t="str">
        <f t="shared" si="245"/>
        <v/>
      </c>
      <c r="AJ141" s="314" t="e">
        <f>IF($J141="",#N/A,SUM(AI$4:AI141))</f>
        <v>#N/A</v>
      </c>
      <c r="AK141" s="315">
        <f t="shared" si="246"/>
        <v>-0.76251942153699193</v>
      </c>
      <c r="AL141" s="315" t="e">
        <f>IF($J141="",#N/A,SUM(AK$4:AK141))</f>
        <v>#N/A</v>
      </c>
      <c r="AM141" s="315" t="e">
        <f>IF($J141="",#N/A,SUM(AK$4:AK141,AI$4:AI141,AG$4:AG141))</f>
        <v>#N/A</v>
      </c>
      <c r="AN141" s="304" t="str">
        <f t="shared" si="247"/>
        <v/>
      </c>
      <c r="AO141" s="313" t="e">
        <f>IF($J141="",#N/A,SUM(AN$4:AN141))</f>
        <v>#N/A</v>
      </c>
      <c r="AP141" s="314" t="str">
        <f t="shared" si="248"/>
        <v/>
      </c>
      <c r="AQ141" s="314" t="e">
        <f>IF($J141="",#N/A,SUM(AP$4:AP141))</f>
        <v>#N/A</v>
      </c>
      <c r="AR141" s="315" t="str">
        <f t="shared" si="249"/>
        <v/>
      </c>
      <c r="AS141" s="315" t="e">
        <f>IF($J141="",#N/A,SUM(AR$4:AR141))</f>
        <v>#N/A</v>
      </c>
      <c r="AT141" s="315" t="e">
        <f>IF($J141="",#N/A,SUM(AR$4:AR141,AP$4:AP141,AN$4:AN141))</f>
        <v>#N/A</v>
      </c>
      <c r="AU141" s="304" t="str">
        <f t="shared" si="250"/>
        <v/>
      </c>
      <c r="AV141" s="313" t="e">
        <f>IF($J141="",#N/A,SUM(AU$4:AU141))</f>
        <v>#N/A</v>
      </c>
      <c r="AW141" s="314" t="str">
        <f t="shared" si="251"/>
        <v/>
      </c>
      <c r="AX141" s="314" t="e">
        <f>IF($J141="",#N/A,SUM(AW$4:AW141))</f>
        <v>#N/A</v>
      </c>
      <c r="AY141" s="315" t="str">
        <f t="shared" si="252"/>
        <v/>
      </c>
      <c r="AZ141" s="315" t="e">
        <f>IF($J141="",#N/A,SUM(AY$4:AY141))</f>
        <v>#N/A</v>
      </c>
      <c r="BA141" s="315" t="e">
        <f>IF($J141="",#N/A,SUM(AY$4:AY141,AW$4:AW141,AU$4:AU141))</f>
        <v>#N/A</v>
      </c>
      <c r="BB141" s="304" t="str">
        <f t="shared" si="253"/>
        <v/>
      </c>
      <c r="BC141" s="313" t="e">
        <f>IF($J141="",#N/A,SUM(BB$4:BB141))</f>
        <v>#N/A</v>
      </c>
      <c r="BD141" s="314" t="str">
        <f t="shared" si="254"/>
        <v/>
      </c>
      <c r="BE141" s="314" t="e">
        <f>IF($J141="",#N/A,SUM(BD$4:BD141))</f>
        <v>#N/A</v>
      </c>
      <c r="BF141" s="315" t="str">
        <f t="shared" si="255"/>
        <v/>
      </c>
      <c r="BG141" s="315" t="e">
        <f>IF($J141="",#N/A,SUM(BF$4:BF141))</f>
        <v>#N/A</v>
      </c>
      <c r="BH141" s="315" t="e">
        <f>IF($J141="",#N/A,SUM(BF$4:BF141,BD$4:BD141,BB$4:BB141))</f>
        <v>#N/A</v>
      </c>
      <c r="BI141" s="304" t="str">
        <f t="shared" si="256"/>
        <v/>
      </c>
      <c r="BJ141" s="313" t="e">
        <f>IF($J141="",#N/A,SUM(BI$4:BI141))</f>
        <v>#N/A</v>
      </c>
      <c r="BK141" s="314" t="str">
        <f t="shared" si="257"/>
        <v/>
      </c>
      <c r="BL141" s="314" t="e">
        <f>IF($J141="",#N/A,SUM(BK$4:BK141))</f>
        <v>#N/A</v>
      </c>
      <c r="BM141" s="315" t="str">
        <f t="shared" si="258"/>
        <v/>
      </c>
      <c r="BN141" s="315" t="e">
        <f>IF($J141="",#N/A,SUM(BM$4:BM141))</f>
        <v>#N/A</v>
      </c>
      <c r="BO141" s="315" t="e">
        <f>IF($J141="",#N/A,SUM(BM$4:BM141,BK$4:BK141,BI$4:BI141))</f>
        <v>#N/A</v>
      </c>
      <c r="BP141" s="304" t="str">
        <f t="shared" si="259"/>
        <v/>
      </c>
      <c r="BQ141" s="313" t="e">
        <f>IF($J141="",#N/A,SUM(BP$4:BP141))</f>
        <v>#N/A</v>
      </c>
      <c r="BR141" s="314" t="str">
        <f t="shared" si="260"/>
        <v/>
      </c>
      <c r="BS141" s="314" t="e">
        <f>IF($J141="",#N/A,SUM(BR$4:BR141))</f>
        <v>#N/A</v>
      </c>
      <c r="BT141" s="315" t="str">
        <f t="shared" si="261"/>
        <v/>
      </c>
      <c r="BU141" s="315" t="e">
        <f>IF($J141="",#N/A,SUM(BT$4:BT141))</f>
        <v>#N/A</v>
      </c>
      <c r="BV141" s="315" t="e">
        <f>IF($J141="",#N/A,SUM(BT$4:BT141,BR$4:BR141,BP$4:BP141))</f>
        <v>#N/A</v>
      </c>
      <c r="BW141" s="304" t="str">
        <f t="shared" si="262"/>
        <v/>
      </c>
      <c r="BX141" s="313" t="e">
        <f>IF($J141="",#N/A,SUM(BW$4:BW141))</f>
        <v>#N/A</v>
      </c>
      <c r="BY141" s="314" t="str">
        <f t="shared" si="263"/>
        <v/>
      </c>
      <c r="BZ141" s="314" t="e">
        <f>IF($J141="",#N/A,SUM(BY$4:BY141))</f>
        <v>#N/A</v>
      </c>
      <c r="CA141" s="315" t="str">
        <f t="shared" si="264"/>
        <v/>
      </c>
      <c r="CB141" s="315" t="e">
        <f>IF($J141="",#N/A,SUM(CA$4:CA141))</f>
        <v>#N/A</v>
      </c>
      <c r="CC141" s="315" t="e">
        <f>IF($J141="",#N/A,SUM(CA$4:CA141,BY$4:BY141,BW$4:BW141))</f>
        <v>#N/A</v>
      </c>
      <c r="CD141" s="304" t="str">
        <f t="shared" si="265"/>
        <v/>
      </c>
      <c r="CE141" s="313" t="e">
        <f>IF($J141="",#N/A,SUM(CD$4:CD141))</f>
        <v>#N/A</v>
      </c>
      <c r="CF141" s="314" t="str">
        <f t="shared" si="266"/>
        <v/>
      </c>
      <c r="CG141" s="314" t="e">
        <f>IF($J141="",#N/A,SUM(CF$4:CF141))</f>
        <v>#N/A</v>
      </c>
      <c r="CH141" s="315" t="str">
        <f t="shared" si="267"/>
        <v/>
      </c>
      <c r="CI141" s="315" t="e">
        <f>IF($J141="",#N/A,SUM(CH$4:CH141))</f>
        <v>#N/A</v>
      </c>
      <c r="CJ141" s="315" t="e">
        <f>IF($J141="",#N/A,SUM(CH$4:CH141,CF$4:CF141,CD$4:CD141))</f>
        <v>#N/A</v>
      </c>
      <c r="CK141" s="304" t="str">
        <f t="shared" si="268"/>
        <v/>
      </c>
      <c r="CL141" s="313" t="e">
        <f>IF($J141="",#N/A,SUM(CK$4:CK141))</f>
        <v>#N/A</v>
      </c>
      <c r="CM141" s="314" t="str">
        <f t="shared" si="269"/>
        <v/>
      </c>
      <c r="CN141" s="314" t="e">
        <f>IF($J141="",#N/A,SUM(CM$4:CM141))</f>
        <v>#N/A</v>
      </c>
      <c r="CO141" s="315" t="str">
        <f t="shared" si="270"/>
        <v/>
      </c>
      <c r="CP141" s="315" t="e">
        <f>IF($J141="",#N/A,SUM(CO$4:CO141))</f>
        <v>#N/A</v>
      </c>
      <c r="CQ141" s="315" t="e">
        <f>IF($J141="",#N/A,SUM(CO$4:CO141,CM$4:CM141,CK$4:CK141))</f>
        <v>#N/A</v>
      </c>
      <c r="CR141" s="304" t="str">
        <f t="shared" si="271"/>
        <v/>
      </c>
      <c r="CS141" s="313" t="e">
        <f>IF($J141="",#N/A,SUM(CR$4:CR141))</f>
        <v>#N/A</v>
      </c>
      <c r="CT141" s="314" t="str">
        <f t="shared" si="272"/>
        <v/>
      </c>
      <c r="CU141" s="314" t="e">
        <f>IF($J141="",#N/A,SUM(CT$4:CT141))</f>
        <v>#N/A</v>
      </c>
      <c r="CV141" s="315" t="str">
        <f t="shared" si="273"/>
        <v/>
      </c>
      <c r="CW141" s="315" t="e">
        <f>IF($J141="",#N/A,SUM(CV$4:CV141))</f>
        <v>#N/A</v>
      </c>
      <c r="CX141" s="315" t="e">
        <f>IF($J141="",#N/A,SUM(CV$4:CV141,CT$4:CT141,CR$4:CR141))</f>
        <v>#N/A</v>
      </c>
      <c r="CY141" s="304" t="str">
        <f t="shared" si="274"/>
        <v/>
      </c>
      <c r="CZ141" s="313" t="e">
        <f>IF($J141="",#N/A,SUM(CY$4:CY141))</f>
        <v>#N/A</v>
      </c>
      <c r="DA141" s="314" t="str">
        <f t="shared" si="275"/>
        <v/>
      </c>
      <c r="DB141" s="314" t="e">
        <f>IF($J141="",#N/A,SUM(DA$4:DA141))</f>
        <v>#N/A</v>
      </c>
      <c r="DC141" s="315" t="str">
        <f t="shared" si="276"/>
        <v/>
      </c>
      <c r="DD141" s="315" t="e">
        <f>IF($J141="",#N/A,SUM(DC$4:DC141))</f>
        <v>#N/A</v>
      </c>
      <c r="DE141" s="315" t="e">
        <f>IF($J141="",#N/A,SUM(DC$4:DC141,DA$4:DA141,CY$4:CY141))</f>
        <v>#N/A</v>
      </c>
      <c r="DF141" s="304" t="str">
        <f t="shared" si="277"/>
        <v/>
      </c>
      <c r="DG141" s="313" t="e">
        <f>IF($J141="",#N/A,SUM(DF$4:DF141))</f>
        <v>#N/A</v>
      </c>
      <c r="DH141" s="314" t="str">
        <f t="shared" si="278"/>
        <v/>
      </c>
      <c r="DI141" s="314" t="e">
        <f>IF($J141="",#N/A,SUM(DH$4:DH141))</f>
        <v>#N/A</v>
      </c>
      <c r="DJ141" s="315" t="str">
        <f t="shared" si="279"/>
        <v/>
      </c>
      <c r="DK141" s="315" t="e">
        <f>IF($J141="",#N/A,SUM(DJ$4:DJ141))</f>
        <v>#N/A</v>
      </c>
      <c r="DL141" s="315" t="e">
        <f>IF($J141="",#N/A,SUM(DJ$4:DJ141,DH$4:DH141,DF$4:DF141))</f>
        <v>#N/A</v>
      </c>
      <c r="DM141" s="304" t="str">
        <f t="shared" si="280"/>
        <v/>
      </c>
      <c r="DN141" s="313" t="e">
        <f>IF($J141="",#N/A,SUM(DM$4:DM141))</f>
        <v>#N/A</v>
      </c>
      <c r="DO141" s="314" t="str">
        <f t="shared" si="281"/>
        <v/>
      </c>
      <c r="DP141" s="314" t="e">
        <f>IF($J141="",#N/A,SUM(DO$4:DO141))</f>
        <v>#N/A</v>
      </c>
      <c r="DQ141" s="315" t="str">
        <f t="shared" si="282"/>
        <v/>
      </c>
      <c r="DR141" s="315" t="e">
        <f>IF($J141="",#N/A,SUM(DQ$4:DQ141))</f>
        <v>#N/A</v>
      </c>
      <c r="DS141" s="315" t="e">
        <f>IF($J141="",#N/A,SUM(DQ$4:DQ141,DO$4:DO141,DM$4:DM141))</f>
        <v>#N/A</v>
      </c>
      <c r="DT141" s="304" t="str">
        <f t="shared" si="283"/>
        <v/>
      </c>
      <c r="DU141" s="313" t="e">
        <f>IF($J141="",#N/A,SUM(DT$4:DT141))</f>
        <v>#N/A</v>
      </c>
      <c r="DV141" s="314" t="str">
        <f t="shared" si="284"/>
        <v/>
      </c>
      <c r="DW141" s="314" t="e">
        <f>IF($J141="",#N/A,SUM(DV$4:DV141))</f>
        <v>#N/A</v>
      </c>
      <c r="DX141" s="315" t="str">
        <f t="shared" si="285"/>
        <v/>
      </c>
      <c r="DY141" s="315" t="e">
        <f>IF($J141="",#N/A,SUM(DX$4:DX141))</f>
        <v>#N/A</v>
      </c>
      <c r="DZ141" s="315" t="e">
        <f>IF($J141="",#N/A,SUM(DX$4:DX141,DV$4:DV141,DT$4:DT141))</f>
        <v>#N/A</v>
      </c>
      <c r="EA141" s="304" t="str">
        <f t="shared" si="286"/>
        <v/>
      </c>
      <c r="EB141" s="313" t="e">
        <f>IF($J141="",#N/A,SUM(EA$4:EA141))</f>
        <v>#N/A</v>
      </c>
      <c r="EC141" s="314" t="str">
        <f t="shared" si="287"/>
        <v/>
      </c>
      <c r="ED141" s="314" t="e">
        <f>IF($J141="",#N/A,SUM(EC$4:EC141))</f>
        <v>#N/A</v>
      </c>
      <c r="EE141" s="315" t="str">
        <f t="shared" si="288"/>
        <v/>
      </c>
      <c r="EF141" s="315" t="e">
        <f>IF($J141="",#N/A,SUM(EE$4:EE141))</f>
        <v>#N/A</v>
      </c>
      <c r="EG141" s="315" t="e">
        <f>IF($J141="",#N/A,SUM(EE$4:EE141,EC$4:EC141,EA$4:EA141))</f>
        <v>#N/A</v>
      </c>
      <c r="EH141" s="130">
        <f t="shared" si="289"/>
        <v>-17.864000000000033</v>
      </c>
      <c r="EI141" s="63">
        <f>IF(EH141="",#N/A,SUM($EH$4:EH141))</f>
        <v>561.96317826179575</v>
      </c>
      <c r="EJ141" s="223" t="e">
        <f t="shared" si="290"/>
        <v>#N/A</v>
      </c>
      <c r="EK141" s="63" t="e">
        <f>IF($GZ141="",#N/A,SUM(EJ$4:EJ141))</f>
        <v>#N/A</v>
      </c>
      <c r="EL141" s="60">
        <f t="shared" si="322"/>
        <v>-0.76251942153699193</v>
      </c>
      <c r="EM141" s="60">
        <f>IF(EL141="",NA(),SUM($EL$4:EL141))</f>
        <v>21.110164480165132</v>
      </c>
      <c r="EN141" s="60" t="str">
        <f t="shared" si="291"/>
        <v/>
      </c>
      <c r="EO141" s="60" t="e">
        <f>IF(EN141="",NA(),SUM($EN$4:EN141))</f>
        <v>#N/A</v>
      </c>
      <c r="EP141" s="60">
        <f t="shared" si="292"/>
        <v>-0.76251942153699193</v>
      </c>
      <c r="EQ141" s="60">
        <f>IF(EP141="",NA(),SUM($EP$4:EP141))</f>
        <v>8.5847240438933632</v>
      </c>
      <c r="ER141" s="60" t="str">
        <f t="shared" si="293"/>
        <v/>
      </c>
      <c r="ES141" s="60" t="e">
        <f>IF(ER141="",NA(),SUM($ER$4:ER141))</f>
        <v>#N/A</v>
      </c>
      <c r="ET141" s="60" t="str">
        <f t="shared" si="294"/>
        <v/>
      </c>
      <c r="EU141" s="60" t="e">
        <f>IF(ET141="",NA(),SUM($ET$4:ET141))</f>
        <v>#N/A</v>
      </c>
      <c r="EV141" s="60" t="str">
        <f t="shared" si="295"/>
        <v/>
      </c>
      <c r="EW141" s="60" t="e">
        <f>IF(EV141="",NA(),SUM($EV$4:EV141))</f>
        <v>#N/A</v>
      </c>
      <c r="EX141" s="60" t="str">
        <f t="shared" si="296"/>
        <v/>
      </c>
      <c r="EY141" s="60" t="e">
        <f>IF(EX141="",NA(),SUM($EX$4:EX141))</f>
        <v>#N/A</v>
      </c>
      <c r="EZ141" s="60" t="str">
        <f t="shared" si="297"/>
        <v/>
      </c>
      <c r="FA141" s="60" t="e">
        <f>IF(EZ141="",NA(),SUM($EZ$4:EZ141))</f>
        <v>#N/A</v>
      </c>
      <c r="FB141" s="246" t="str">
        <f t="shared" si="323"/>
        <v/>
      </c>
      <c r="FC141" s="246" t="e">
        <f>IF($FB141="",#N/A,SUM(FB$4:$FB141))</f>
        <v>#N/A</v>
      </c>
      <c r="FD141" s="60" t="str">
        <f t="shared" si="298"/>
        <v/>
      </c>
      <c r="FE141" s="60" t="e">
        <f>IF($FD141="",#N/A,SUM($FD$4:FD141))</f>
        <v>#N/A</v>
      </c>
      <c r="FF141" s="60" t="str">
        <f t="shared" si="299"/>
        <v/>
      </c>
      <c r="FG141" s="60" t="e">
        <f>IF($FF141="",#N/A,SUM($FF$4:FF141))</f>
        <v>#N/A</v>
      </c>
      <c r="FH141" s="60" t="str">
        <f t="shared" si="300"/>
        <v/>
      </c>
      <c r="FI141" s="60" t="e">
        <f>IF($FH141="",#N/A,SUM($FH$4:FH141))</f>
        <v>#N/A</v>
      </c>
      <c r="FJ141" s="60" t="str">
        <f t="shared" si="301"/>
        <v/>
      </c>
      <c r="FK141" s="60" t="e">
        <f>IF($FJ141="",#N/A,SUM($FJ$4:FJ141))</f>
        <v>#N/A</v>
      </c>
      <c r="FL141" s="60">
        <f t="shared" si="302"/>
        <v>0.17688538305246826</v>
      </c>
      <c r="FM141" s="60">
        <f>IF($FL141="",#N/A,SUM($FL$4:FL141))</f>
        <v>5.0183823808034598</v>
      </c>
      <c r="FN141" s="82">
        <f t="shared" si="303"/>
        <v>-0.58563403848452367</v>
      </c>
      <c r="FO141" s="82">
        <f>IF($FN141="",#N/A,SUM(FN$4:$FN141))</f>
        <v>29.673088139276651</v>
      </c>
      <c r="FP141" s="82">
        <f t="shared" si="324"/>
        <v>-0.76251942153699193</v>
      </c>
      <c r="FQ141" s="246">
        <f>IF($EH141="",#N/A,SUM($FP$4:FP141))</f>
        <v>22.234114355075135</v>
      </c>
      <c r="FR141" s="82">
        <f>IFERROR(FQ141/COUNTA($J$4:J141),#N/A)</f>
        <v>0.16111677068895025</v>
      </c>
      <c r="FS141" s="82">
        <f>IFERROR(($FQ141-$FQ93)/COUNTA($J93:$J141),#N/A)</f>
        <v>5.0370678711793605E-3</v>
      </c>
      <c r="FT141" s="82">
        <f t="shared" ref="FT141:FT165" si="328">IFERROR(($FQ141-$FQ117)/COUNTA($J117:$J141),#N/A)</f>
        <v>5.1661079870696366E-3</v>
      </c>
      <c r="FU141" s="337">
        <f t="shared" si="304"/>
        <v>8.5043957758794573</v>
      </c>
      <c r="FV141" s="57" t="str">
        <f t="shared" si="305"/>
        <v>SW</v>
      </c>
      <c r="FW141" s="57" t="s">
        <v>2732</v>
      </c>
      <c r="FX141" s="57" t="str">
        <f t="shared" si="306"/>
        <v/>
      </c>
      <c r="FY141" s="57" t="str">
        <f t="shared" si="307"/>
        <v/>
      </c>
      <c r="FZ141" s="57" t="str">
        <f t="shared" si="308"/>
        <v/>
      </c>
      <c r="GA141" s="57" t="str">
        <f t="shared" si="309"/>
        <v>Long</v>
      </c>
      <c r="GB141" s="57" t="str">
        <f t="shared" si="310"/>
        <v/>
      </c>
      <c r="GC141" s="57" t="str">
        <f t="shared" si="311"/>
        <v/>
      </c>
      <c r="GD141" s="57">
        <f t="shared" si="312"/>
        <v>1</v>
      </c>
      <c r="GE141" s="62">
        <f t="shared" si="227"/>
        <v>27.89</v>
      </c>
      <c r="GF141" s="62" t="s">
        <v>2779</v>
      </c>
      <c r="GG141" s="199">
        <v>14</v>
      </c>
      <c r="GH141" s="207">
        <f t="shared" si="313"/>
        <v>390.46000000000004</v>
      </c>
      <c r="GI141" s="199">
        <v>14</v>
      </c>
      <c r="GJ141" s="200">
        <v>26.6</v>
      </c>
      <c r="GK141" s="63">
        <f t="shared" si="314"/>
        <v>-18.060000000000002</v>
      </c>
      <c r="GL141" s="63">
        <f t="shared" si="228"/>
        <v>-13.720000000000027</v>
      </c>
      <c r="GM141" s="82">
        <f t="shared" si="315"/>
        <v>-0.58563403848452367</v>
      </c>
      <c r="GN141" s="82">
        <f>IF($GZ141="",#N/A,SUM(GM$4:GM141))</f>
        <v>11.236870655213048</v>
      </c>
      <c r="GO141" s="82" t="str">
        <f t="shared" si="316"/>
        <v/>
      </c>
      <c r="GP141" s="82">
        <f>IF($GZ141="",#N/A,SUM(GO$4:GO141))</f>
        <v>7.9344271176594248</v>
      </c>
      <c r="GQ141" s="82" t="str">
        <f t="shared" si="317"/>
        <v/>
      </c>
      <c r="GR141" s="82">
        <f>IF($GZ141="",#N/A,SUM(GQ$4:GQ141))</f>
        <v>9.875953411961838</v>
      </c>
      <c r="GS141" s="63" t="e">
        <f t="shared" si="325"/>
        <v>#N/A</v>
      </c>
      <c r="GT141" s="63" t="e">
        <f>IF($GZ141="",#N/A,SUM(GS$4:GS141))</f>
        <v>#N/A</v>
      </c>
      <c r="GU141" s="63" t="str">
        <f t="shared" si="326"/>
        <v/>
      </c>
      <c r="GV141" s="63" t="e">
        <f>IF($GZ141="",#N/A,SUM(GU$4:GU141))</f>
        <v>#N/A</v>
      </c>
      <c r="GW141" s="63" t="str">
        <f t="shared" si="327"/>
        <v/>
      </c>
      <c r="GX141" s="63" t="e">
        <f>IF($GZ141="",#N/A,SUM(GW$4:GW141))</f>
        <v>#N/A</v>
      </c>
      <c r="GY141" s="63" t="e">
        <f>IF(EJ141="",#N/A,SUM($EJ$4:EJ141))</f>
        <v>#N/A</v>
      </c>
      <c r="GZ141" s="159">
        <v>26.91</v>
      </c>
      <c r="HA141" s="63">
        <f t="shared" si="318"/>
        <v>4.1440000000000055</v>
      </c>
      <c r="HB141" s="62" t="s">
        <v>2538</v>
      </c>
      <c r="HC141" s="60">
        <f>IFERROR(VLOOKUP(E141,Expectancy!$P$4:$S$19,1+C141,FALSE),"")</f>
        <v>0.27741610538114203</v>
      </c>
      <c r="HD141" s="82">
        <f t="shared" si="319"/>
        <v>-0.77088562208676947</v>
      </c>
      <c r="HE141" s="60">
        <f>IF(HD141="",#N/A,SUM($HD$4:HD141))</f>
        <v>-0.8002814208043203</v>
      </c>
      <c r="HF141" s="85">
        <f>IF(HD141="",#N/A,IF(HB141="Skip",#N/A,SUM($HG$4:HG141)))</f>
        <v>-8.3000000000001251</v>
      </c>
      <c r="HG141" s="63">
        <f t="shared" si="320"/>
        <v>-18.060000000000002</v>
      </c>
      <c r="HH141" s="82">
        <f t="shared" si="321"/>
        <v>-0.58563403848452367</v>
      </c>
    </row>
    <row r="142" spans="1:216" x14ac:dyDescent="0.25">
      <c r="A142" s="57" t="s">
        <v>1110</v>
      </c>
      <c r="B142" s="58" t="s">
        <v>5171</v>
      </c>
      <c r="C142" s="386">
        <f t="shared" si="230"/>
        <v>2</v>
      </c>
      <c r="D142" s="372" t="str">
        <f>_xlfn.XLOOKUP(A142,[1]SP500!$A$2:$A$502,[1]SP500!$D$2:$D$502,"N")</f>
        <v>Y</v>
      </c>
      <c r="E142" s="57" t="str">
        <f>_xlfn.XLOOKUP(A142,[1]SP500!$A$2:$A$655,[1]SP500!$B$2:$B$655)</f>
        <v>XLK</v>
      </c>
      <c r="F142" s="59">
        <v>45687</v>
      </c>
      <c r="G142" s="57" t="str">
        <f t="shared" si="231"/>
        <v>AMC</v>
      </c>
      <c r="H142" s="57" t="str">
        <f t="shared" si="232"/>
        <v>s</v>
      </c>
      <c r="I142" s="159">
        <v>28.64</v>
      </c>
      <c r="J142" s="159">
        <v>28.7</v>
      </c>
      <c r="K142" s="61">
        <f t="shared" si="233"/>
        <v>2.0949720670390614E-3</v>
      </c>
      <c r="L142" s="87">
        <f t="shared" si="234"/>
        <v>-0.83999999999997499</v>
      </c>
      <c r="M142" s="130">
        <f t="shared" si="226"/>
        <v>-0.13999999999998636</v>
      </c>
      <c r="N142" s="169" t="str">
        <f t="shared" si="235"/>
        <v/>
      </c>
      <c r="O142" s="169">
        <f>IF($J142="",#N/A,SUM($N$4:N142))</f>
        <v>179.96503433954814</v>
      </c>
      <c r="P142" s="174">
        <f t="shared" si="236"/>
        <v>-0.83999999999997499</v>
      </c>
      <c r="Q142" s="174">
        <f>IF($J142="",#N/A,SUM($P$4:P142))</f>
        <v>171.29104023772646</v>
      </c>
      <c r="R142" s="178" t="str">
        <f t="shared" si="237"/>
        <v/>
      </c>
      <c r="S142" s="178">
        <f>IF($J142="",#N/A,SUM($R$4:R142))</f>
        <v>209.867103684521</v>
      </c>
      <c r="T142" s="290" t="str">
        <f t="shared" si="238"/>
        <v/>
      </c>
      <c r="U142" s="290">
        <f>IF($J142="",#N/A,SUM($T$4:T142))</f>
        <v>6.4173930322322565</v>
      </c>
      <c r="V142" s="291">
        <f t="shared" si="239"/>
        <v>-3.4916201117317393E-2</v>
      </c>
      <c r="W142" s="291">
        <f>IF($J142="",#N/A,SUM($V$4:V142))</f>
        <v>7.3177291302279155</v>
      </c>
      <c r="X142" s="292" t="str">
        <f t="shared" si="240"/>
        <v/>
      </c>
      <c r="Y142" s="283">
        <f>IF($J142="",#N/A,SUM($X$4:X142))</f>
        <v>8.4640759914976371</v>
      </c>
      <c r="Z142" s="304" t="str">
        <f t="shared" si="241"/>
        <v/>
      </c>
      <c r="AA142" s="313" t="e">
        <f>IF($J142="",#N/A,SUM(Z$4:Z142))</f>
        <v>#N/A</v>
      </c>
      <c r="AB142" s="314">
        <f t="shared" si="242"/>
        <v>-3.4916201117317393E-2</v>
      </c>
      <c r="AC142" s="314" t="e">
        <f>IF($J142="",#N/A,SUM(AB$4:AB142))</f>
        <v>#N/A</v>
      </c>
      <c r="AD142" s="315" t="str">
        <f t="shared" si="243"/>
        <v/>
      </c>
      <c r="AE142" s="315" t="e">
        <f>IF($J142="",#N/A,SUM(AD$4:AD142))</f>
        <v>#N/A</v>
      </c>
      <c r="AF142" s="315" t="e">
        <f>IF($J142="",#N/A,SUM(AD$4:AD142,AB$4:AB142,Z$4:Z142))</f>
        <v>#N/A</v>
      </c>
      <c r="AG142" s="304" t="str">
        <f t="shared" si="244"/>
        <v/>
      </c>
      <c r="AH142" s="313" t="e">
        <f>IF($J142="",#N/A,SUM(AG$4:AG142))</f>
        <v>#N/A</v>
      </c>
      <c r="AI142" s="314" t="str">
        <f t="shared" si="245"/>
        <v/>
      </c>
      <c r="AJ142" s="314" t="e">
        <f>IF($J142="",#N/A,SUM(AI$4:AI142))</f>
        <v>#N/A</v>
      </c>
      <c r="AK142" s="315" t="str">
        <f t="shared" si="246"/>
        <v/>
      </c>
      <c r="AL142" s="315" t="e">
        <f>IF($J142="",#N/A,SUM(AK$4:AK142))</f>
        <v>#N/A</v>
      </c>
      <c r="AM142" s="315" t="e">
        <f>IF($J142="",#N/A,SUM(AK$4:AK142,AI$4:AI142,AG$4:AG142))</f>
        <v>#N/A</v>
      </c>
      <c r="AN142" s="304" t="str">
        <f t="shared" si="247"/>
        <v/>
      </c>
      <c r="AO142" s="313" t="e">
        <f>IF($J142="",#N/A,SUM(AN$4:AN142))</f>
        <v>#N/A</v>
      </c>
      <c r="AP142" s="314" t="str">
        <f t="shared" si="248"/>
        <v/>
      </c>
      <c r="AQ142" s="314" t="e">
        <f>IF($J142="",#N/A,SUM(AP$4:AP142))</f>
        <v>#N/A</v>
      </c>
      <c r="AR142" s="315" t="str">
        <f t="shared" si="249"/>
        <v/>
      </c>
      <c r="AS142" s="315" t="e">
        <f>IF($J142="",#N/A,SUM(AR$4:AR142))</f>
        <v>#N/A</v>
      </c>
      <c r="AT142" s="315" t="e">
        <f>IF($J142="",#N/A,SUM(AR$4:AR142,AP$4:AP142,AN$4:AN142))</f>
        <v>#N/A</v>
      </c>
      <c r="AU142" s="304" t="str">
        <f t="shared" si="250"/>
        <v/>
      </c>
      <c r="AV142" s="313" t="e">
        <f>IF($J142="",#N/A,SUM(AU$4:AU142))</f>
        <v>#N/A</v>
      </c>
      <c r="AW142" s="314" t="str">
        <f t="shared" si="251"/>
        <v/>
      </c>
      <c r="AX142" s="314" t="e">
        <f>IF($J142="",#N/A,SUM(AW$4:AW142))</f>
        <v>#N/A</v>
      </c>
      <c r="AY142" s="315" t="str">
        <f t="shared" si="252"/>
        <v/>
      </c>
      <c r="AZ142" s="315" t="e">
        <f>IF($J142="",#N/A,SUM(AY$4:AY142))</f>
        <v>#N/A</v>
      </c>
      <c r="BA142" s="315" t="e">
        <f>IF($J142="",#N/A,SUM(AY$4:AY142,AW$4:AW142,AU$4:AU142))</f>
        <v>#N/A</v>
      </c>
      <c r="BB142" s="304" t="str">
        <f t="shared" si="253"/>
        <v/>
      </c>
      <c r="BC142" s="313" t="e">
        <f>IF($J142="",#N/A,SUM(BB$4:BB142))</f>
        <v>#N/A</v>
      </c>
      <c r="BD142" s="314" t="str">
        <f t="shared" si="254"/>
        <v/>
      </c>
      <c r="BE142" s="314" t="e">
        <f>IF($J142="",#N/A,SUM(BD$4:BD142))</f>
        <v>#N/A</v>
      </c>
      <c r="BF142" s="315" t="str">
        <f t="shared" si="255"/>
        <v/>
      </c>
      <c r="BG142" s="315" t="e">
        <f>IF($J142="",#N/A,SUM(BF$4:BF142))</f>
        <v>#N/A</v>
      </c>
      <c r="BH142" s="315" t="e">
        <f>IF($J142="",#N/A,SUM(BF$4:BF142,BD$4:BD142,BB$4:BB142))</f>
        <v>#N/A</v>
      </c>
      <c r="BI142" s="304" t="str">
        <f t="shared" si="256"/>
        <v/>
      </c>
      <c r="BJ142" s="313" t="e">
        <f>IF($J142="",#N/A,SUM(BI$4:BI142))</f>
        <v>#N/A</v>
      </c>
      <c r="BK142" s="314" t="str">
        <f t="shared" si="257"/>
        <v/>
      </c>
      <c r="BL142" s="314" t="e">
        <f>IF($J142="",#N/A,SUM(BK$4:BK142))</f>
        <v>#N/A</v>
      </c>
      <c r="BM142" s="315" t="str">
        <f t="shared" si="258"/>
        <v/>
      </c>
      <c r="BN142" s="315" t="e">
        <f>IF($J142="",#N/A,SUM(BM$4:BM142))</f>
        <v>#N/A</v>
      </c>
      <c r="BO142" s="315" t="e">
        <f>IF($J142="",#N/A,SUM(BM$4:BM142,BK$4:BK142,BI$4:BI142))</f>
        <v>#N/A</v>
      </c>
      <c r="BP142" s="304" t="str">
        <f t="shared" si="259"/>
        <v/>
      </c>
      <c r="BQ142" s="313" t="e">
        <f>IF($J142="",#N/A,SUM(BP$4:BP142))</f>
        <v>#N/A</v>
      </c>
      <c r="BR142" s="314" t="str">
        <f t="shared" si="260"/>
        <v/>
      </c>
      <c r="BS142" s="314" t="e">
        <f>IF($J142="",#N/A,SUM(BR$4:BR142))</f>
        <v>#N/A</v>
      </c>
      <c r="BT142" s="315" t="str">
        <f t="shared" si="261"/>
        <v/>
      </c>
      <c r="BU142" s="315" t="e">
        <f>IF($J142="",#N/A,SUM(BT$4:BT142))</f>
        <v>#N/A</v>
      </c>
      <c r="BV142" s="315" t="e">
        <f>IF($J142="",#N/A,SUM(BT$4:BT142,BR$4:BR142,BP$4:BP142))</f>
        <v>#N/A</v>
      </c>
      <c r="BW142" s="304" t="str">
        <f t="shared" si="262"/>
        <v/>
      </c>
      <c r="BX142" s="313" t="e">
        <f>IF($J142="",#N/A,SUM(BW$4:BW142))</f>
        <v>#N/A</v>
      </c>
      <c r="BY142" s="314" t="str">
        <f t="shared" si="263"/>
        <v/>
      </c>
      <c r="BZ142" s="314" t="e">
        <f>IF($J142="",#N/A,SUM(BY$4:BY142))</f>
        <v>#N/A</v>
      </c>
      <c r="CA142" s="315" t="str">
        <f t="shared" si="264"/>
        <v/>
      </c>
      <c r="CB142" s="315" t="e">
        <f>IF($J142="",#N/A,SUM(CA$4:CA142))</f>
        <v>#N/A</v>
      </c>
      <c r="CC142" s="315" t="e">
        <f>IF($J142="",#N/A,SUM(CA$4:CA142,BY$4:BY142,BW$4:BW142))</f>
        <v>#N/A</v>
      </c>
      <c r="CD142" s="304" t="str">
        <f t="shared" si="265"/>
        <v/>
      </c>
      <c r="CE142" s="313" t="e">
        <f>IF($J142="",#N/A,SUM(CD$4:CD142))</f>
        <v>#N/A</v>
      </c>
      <c r="CF142" s="314" t="str">
        <f t="shared" si="266"/>
        <v/>
      </c>
      <c r="CG142" s="314" t="e">
        <f>IF($J142="",#N/A,SUM(CF$4:CF142))</f>
        <v>#N/A</v>
      </c>
      <c r="CH142" s="315" t="str">
        <f t="shared" si="267"/>
        <v/>
      </c>
      <c r="CI142" s="315" t="e">
        <f>IF($J142="",#N/A,SUM(CH$4:CH142))</f>
        <v>#N/A</v>
      </c>
      <c r="CJ142" s="315" t="e">
        <f>IF($J142="",#N/A,SUM(CH$4:CH142,CF$4:CF142,CD$4:CD142))</f>
        <v>#N/A</v>
      </c>
      <c r="CK142" s="304" t="str">
        <f t="shared" si="268"/>
        <v/>
      </c>
      <c r="CL142" s="313" t="e">
        <f>IF($J142="",#N/A,SUM(CK$4:CK142))</f>
        <v>#N/A</v>
      </c>
      <c r="CM142" s="314" t="str">
        <f t="shared" si="269"/>
        <v/>
      </c>
      <c r="CN142" s="314" t="e">
        <f>IF($J142="",#N/A,SUM(CM$4:CM142))</f>
        <v>#N/A</v>
      </c>
      <c r="CO142" s="315" t="str">
        <f t="shared" si="270"/>
        <v/>
      </c>
      <c r="CP142" s="315" t="e">
        <f>IF($J142="",#N/A,SUM(CO$4:CO142))</f>
        <v>#N/A</v>
      </c>
      <c r="CQ142" s="315" t="e">
        <f>IF($J142="",#N/A,SUM(CO$4:CO142,CM$4:CM142,CK$4:CK142))</f>
        <v>#N/A</v>
      </c>
      <c r="CR142" s="304" t="str">
        <f t="shared" si="271"/>
        <v/>
      </c>
      <c r="CS142" s="313" t="e">
        <f>IF($J142="",#N/A,SUM(CR$4:CR142))</f>
        <v>#N/A</v>
      </c>
      <c r="CT142" s="314" t="str">
        <f t="shared" si="272"/>
        <v/>
      </c>
      <c r="CU142" s="314" t="e">
        <f>IF($J142="",#N/A,SUM(CT$4:CT142))</f>
        <v>#N/A</v>
      </c>
      <c r="CV142" s="315" t="str">
        <f t="shared" si="273"/>
        <v/>
      </c>
      <c r="CW142" s="315" t="e">
        <f>IF($J142="",#N/A,SUM(CV$4:CV142))</f>
        <v>#N/A</v>
      </c>
      <c r="CX142" s="315" t="e">
        <f>IF($J142="",#N/A,SUM(CV$4:CV142,CT$4:CT142,CR$4:CR142))</f>
        <v>#N/A</v>
      </c>
      <c r="CY142" s="304" t="str">
        <f t="shared" si="274"/>
        <v/>
      </c>
      <c r="CZ142" s="313" t="e">
        <f>IF($J142="",#N/A,SUM(CY$4:CY142))</f>
        <v>#N/A</v>
      </c>
      <c r="DA142" s="314" t="str">
        <f t="shared" si="275"/>
        <v/>
      </c>
      <c r="DB142" s="314" t="e">
        <f>IF($J142="",#N/A,SUM(DA$4:DA142))</f>
        <v>#N/A</v>
      </c>
      <c r="DC142" s="315" t="str">
        <f t="shared" si="276"/>
        <v/>
      </c>
      <c r="DD142" s="315" t="e">
        <f>IF($J142="",#N/A,SUM(DC$4:DC142))</f>
        <v>#N/A</v>
      </c>
      <c r="DE142" s="315" t="e">
        <f>IF($J142="",#N/A,SUM(DC$4:DC142,DA$4:DA142,CY$4:CY142))</f>
        <v>#N/A</v>
      </c>
      <c r="DF142" s="304" t="str">
        <f t="shared" si="277"/>
        <v/>
      </c>
      <c r="DG142" s="313" t="e">
        <f>IF($J142="",#N/A,SUM(DF$4:DF142))</f>
        <v>#N/A</v>
      </c>
      <c r="DH142" s="314" t="str">
        <f t="shared" si="278"/>
        <v/>
      </c>
      <c r="DI142" s="314" t="e">
        <f>IF($J142="",#N/A,SUM(DH$4:DH142))</f>
        <v>#N/A</v>
      </c>
      <c r="DJ142" s="315" t="str">
        <f t="shared" si="279"/>
        <v/>
      </c>
      <c r="DK142" s="315" t="e">
        <f>IF($J142="",#N/A,SUM(DJ$4:DJ142))</f>
        <v>#N/A</v>
      </c>
      <c r="DL142" s="315" t="e">
        <f>IF($J142="",#N/A,SUM(DJ$4:DJ142,DH$4:DH142,DF$4:DF142))</f>
        <v>#N/A</v>
      </c>
      <c r="DM142" s="304" t="str">
        <f t="shared" si="280"/>
        <v/>
      </c>
      <c r="DN142" s="313" t="e">
        <f>IF($J142="",#N/A,SUM(DM$4:DM142))</f>
        <v>#N/A</v>
      </c>
      <c r="DO142" s="314" t="str">
        <f t="shared" si="281"/>
        <v/>
      </c>
      <c r="DP142" s="314" t="e">
        <f>IF($J142="",#N/A,SUM(DO$4:DO142))</f>
        <v>#N/A</v>
      </c>
      <c r="DQ142" s="315" t="str">
        <f t="shared" si="282"/>
        <v/>
      </c>
      <c r="DR142" s="315" t="e">
        <f>IF($J142="",#N/A,SUM(DQ$4:DQ142))</f>
        <v>#N/A</v>
      </c>
      <c r="DS142" s="315" t="e">
        <f>IF($J142="",#N/A,SUM(DQ$4:DQ142,DO$4:DO142,DM$4:DM142))</f>
        <v>#N/A</v>
      </c>
      <c r="DT142" s="304" t="str">
        <f t="shared" si="283"/>
        <v/>
      </c>
      <c r="DU142" s="313" t="e">
        <f>IF($J142="",#N/A,SUM(DT$4:DT142))</f>
        <v>#N/A</v>
      </c>
      <c r="DV142" s="314" t="str">
        <f t="shared" si="284"/>
        <v/>
      </c>
      <c r="DW142" s="314" t="e">
        <f>IF($J142="",#N/A,SUM(DV$4:DV142))</f>
        <v>#N/A</v>
      </c>
      <c r="DX142" s="315" t="str">
        <f t="shared" si="285"/>
        <v/>
      </c>
      <c r="DY142" s="315" t="e">
        <f>IF($J142="",#N/A,SUM(DX$4:DX142))</f>
        <v>#N/A</v>
      </c>
      <c r="DZ142" s="315" t="e">
        <f>IF($J142="",#N/A,SUM(DX$4:DX142,DV$4:DV142,DT$4:DT142))</f>
        <v>#N/A</v>
      </c>
      <c r="EA142" s="304" t="str">
        <f t="shared" si="286"/>
        <v/>
      </c>
      <c r="EB142" s="313" t="e">
        <f>IF($J142="",#N/A,SUM(EA$4:EA142))</f>
        <v>#N/A</v>
      </c>
      <c r="EC142" s="314" t="str">
        <f t="shared" si="287"/>
        <v/>
      </c>
      <c r="ED142" s="314" t="e">
        <f>IF($J142="",#N/A,SUM(EC$4:EC142))</f>
        <v>#N/A</v>
      </c>
      <c r="EE142" s="315" t="str">
        <f t="shared" si="288"/>
        <v/>
      </c>
      <c r="EF142" s="315" t="e">
        <f>IF($J142="",#N/A,SUM(EE$4:EE142))</f>
        <v>#N/A</v>
      </c>
      <c r="EG142" s="315" t="e">
        <f>IF($J142="",#N/A,SUM(EE$4:EE142,EC$4:EC142,EA$4:EA142))</f>
        <v>#N/A</v>
      </c>
      <c r="EH142" s="130">
        <f t="shared" si="289"/>
        <v>-0.83999999999997499</v>
      </c>
      <c r="EI142" s="63">
        <f>IF(EH142="",#N/A,SUM($EH$4:EH142))</f>
        <v>561.12317826179583</v>
      </c>
      <c r="EJ142" s="223" t="e">
        <f t="shared" si="290"/>
        <v>#N/A</v>
      </c>
      <c r="EK142" s="63" t="e">
        <f>IF($GZ142="",#N/A,SUM(EJ$4:EJ142))</f>
        <v>#N/A</v>
      </c>
      <c r="EL142" s="60">
        <f t="shared" si="322"/>
        <v>-3.4916201117317393E-2</v>
      </c>
      <c r="EM142" s="60">
        <f>IF(EL142="",NA(),SUM($EL$4:EL142))</f>
        <v>21.075248279047816</v>
      </c>
      <c r="EN142" s="60" t="str">
        <f t="shared" si="291"/>
        <v/>
      </c>
      <c r="EO142" s="60" t="e">
        <f>IF(EN142="",NA(),SUM($EN$4:EN142))</f>
        <v>#N/A</v>
      </c>
      <c r="EP142" s="60" t="str">
        <f t="shared" si="292"/>
        <v/>
      </c>
      <c r="EQ142" s="60" t="e">
        <f>IF(EP142="",NA(),SUM($EP$4:EP142))</f>
        <v>#N/A</v>
      </c>
      <c r="ER142" s="60">
        <f t="shared" si="293"/>
        <v>-3.4916201117317393E-2</v>
      </c>
      <c r="ES142" s="60">
        <f>IF(ER142="",NA(),SUM($ER$4:ER142))</f>
        <v>6.6153336775279561</v>
      </c>
      <c r="ET142" s="60" t="str">
        <f t="shared" si="294"/>
        <v/>
      </c>
      <c r="EU142" s="60" t="e">
        <f>IF(ET142="",NA(),SUM($ET$4:ET142))</f>
        <v>#N/A</v>
      </c>
      <c r="EV142" s="60" t="str">
        <f t="shared" si="295"/>
        <v/>
      </c>
      <c r="EW142" s="60" t="e">
        <f>IF(EV142="",NA(),SUM($EV$4:EV142))</f>
        <v>#N/A</v>
      </c>
      <c r="EX142" s="60" t="str">
        <f t="shared" si="296"/>
        <v/>
      </c>
      <c r="EY142" s="60" t="e">
        <f>IF(EX142="",NA(),SUM($EX$4:EX142))</f>
        <v>#N/A</v>
      </c>
      <c r="EZ142" s="60" t="str">
        <f t="shared" si="297"/>
        <v/>
      </c>
      <c r="FA142" s="60" t="e">
        <f>IF(EZ142="",NA(),SUM($EZ$4:EZ142))</f>
        <v>#N/A</v>
      </c>
      <c r="FB142" s="246" t="str">
        <f t="shared" si="323"/>
        <v/>
      </c>
      <c r="FC142" s="246" t="e">
        <f>IF($FB142="",#N/A,SUM(FB$4:$FB142))</f>
        <v>#N/A</v>
      </c>
      <c r="FD142" s="60">
        <f t="shared" si="298"/>
        <v>0.1047486033519569</v>
      </c>
      <c r="FE142" s="60">
        <f>IF($FD142="",#N/A,SUM($FD$4:FD142))</f>
        <v>0.42431326280072379</v>
      </c>
      <c r="FF142" s="60" t="str">
        <f t="shared" si="299"/>
        <v/>
      </c>
      <c r="FG142" s="60" t="e">
        <f>IF($FF142="",#N/A,SUM($FF$4:FF142))</f>
        <v>#N/A</v>
      </c>
      <c r="FH142" s="60" t="str">
        <f t="shared" si="300"/>
        <v/>
      </c>
      <c r="FI142" s="60" t="e">
        <f>IF($FH142="",#N/A,SUM($FH$4:FH142))</f>
        <v>#N/A</v>
      </c>
      <c r="FJ142" s="60" t="str">
        <f t="shared" si="301"/>
        <v/>
      </c>
      <c r="FK142" s="60" t="e">
        <f>IF($FJ142="",#N/A,SUM($FJ$4:FJ142))</f>
        <v>#N/A</v>
      </c>
      <c r="FL142" s="60" t="str">
        <f t="shared" si="302"/>
        <v/>
      </c>
      <c r="FM142" s="60" t="e">
        <f>IF($FL142="",#N/A,SUM($FL$4:FL142))</f>
        <v>#N/A</v>
      </c>
      <c r="FN142" s="82">
        <f t="shared" si="303"/>
        <v>6.9832402234639518E-2</v>
      </c>
      <c r="FO142" s="82">
        <f>IF($FN142="",#N/A,SUM(FN$4:$FN142))</f>
        <v>29.742920541511289</v>
      </c>
      <c r="FP142" s="82">
        <f t="shared" si="324"/>
        <v>-3.4916201117317393E-2</v>
      </c>
      <c r="FQ142" s="246">
        <f>IF($EH142="",#N/A,SUM($FP$4:FP142))</f>
        <v>22.19919815395782</v>
      </c>
      <c r="FR142" s="82">
        <f>IFERROR(FQ142/COUNTA($J$4:J142),#N/A)</f>
        <v>0.1597064615392649</v>
      </c>
      <c r="FS142" s="82">
        <f>IFERROR(($FQ142-$FQ94)/COUNTA($J94:$J142),#N/A)</f>
        <v>-1.6495545590504854E-2</v>
      </c>
      <c r="FT142" s="82">
        <f t="shared" si="328"/>
        <v>-1.0542091524163766E-2</v>
      </c>
      <c r="FU142" s="337">
        <f t="shared" si="304"/>
        <v>8.5102151427323438</v>
      </c>
      <c r="FV142" s="57" t="str">
        <f t="shared" si="305"/>
        <v>Dwn</v>
      </c>
      <c r="FW142" s="57" t="s">
        <v>2734</v>
      </c>
      <c r="FX142" s="57" t="str">
        <f t="shared" si="306"/>
        <v/>
      </c>
      <c r="FY142" s="57">
        <f t="shared" si="307"/>
        <v>1</v>
      </c>
      <c r="FZ142" s="57" t="str">
        <f t="shared" si="308"/>
        <v/>
      </c>
      <c r="GA142" s="57" t="str">
        <f t="shared" si="309"/>
        <v>Short</v>
      </c>
      <c r="GB142" s="57" t="str">
        <f t="shared" si="310"/>
        <v/>
      </c>
      <c r="GC142" s="57" t="str">
        <f t="shared" si="311"/>
        <v/>
      </c>
      <c r="GD142" s="57" t="str">
        <f t="shared" si="312"/>
        <v/>
      </c>
      <c r="GE142" s="62">
        <f t="shared" si="227"/>
        <v>28.64</v>
      </c>
      <c r="GF142" s="62" t="s">
        <v>2780</v>
      </c>
      <c r="GG142" s="199">
        <v>14</v>
      </c>
      <c r="GH142" s="207">
        <f t="shared" si="313"/>
        <v>400.96000000000004</v>
      </c>
      <c r="GI142" s="199">
        <v>14</v>
      </c>
      <c r="GJ142" s="200">
        <v>28.71</v>
      </c>
      <c r="GK142" s="63">
        <f t="shared" si="314"/>
        <v>-0.97999999999996135</v>
      </c>
      <c r="GL142" s="63">
        <f t="shared" si="228"/>
        <v>1.6800000000000637</v>
      </c>
      <c r="GM142" s="82" t="str">
        <f t="shared" si="315"/>
        <v/>
      </c>
      <c r="GN142" s="82">
        <f>IF($GZ142="",#N/A,SUM(GM$4:GM142))</f>
        <v>11.236870655213048</v>
      </c>
      <c r="GO142" s="82" t="str">
        <f t="shared" si="316"/>
        <v/>
      </c>
      <c r="GP142" s="82">
        <f>IF($GZ142="",#N/A,SUM(GO$4:GO142))</f>
        <v>7.9344271176594248</v>
      </c>
      <c r="GQ142" s="82">
        <f t="shared" si="317"/>
        <v>6.9832402234639518E-2</v>
      </c>
      <c r="GR142" s="82">
        <f>IF($GZ142="",#N/A,SUM(GQ$4:GQ142))</f>
        <v>9.9457858141964781</v>
      </c>
      <c r="GS142" s="63" t="str">
        <f t="shared" si="325"/>
        <v/>
      </c>
      <c r="GT142" s="63" t="e">
        <f>IF($GZ142="",#N/A,SUM(GS$4:GS142))</f>
        <v>#N/A</v>
      </c>
      <c r="GU142" s="63" t="str">
        <f t="shared" si="326"/>
        <v/>
      </c>
      <c r="GV142" s="63" t="e">
        <f>IF($GZ142="",#N/A,SUM(GU$4:GU142))</f>
        <v>#N/A</v>
      </c>
      <c r="GW142" s="63" t="e">
        <f t="shared" si="327"/>
        <v>#N/A</v>
      </c>
      <c r="GX142" s="63" t="e">
        <f>IF($GZ142="",#N/A,SUM(GW$4:GW142))</f>
        <v>#N/A</v>
      </c>
      <c r="GY142" s="63" t="e">
        <f>IF(EJ142="",#N/A,SUM($EJ$4:EJ142))</f>
        <v>#N/A</v>
      </c>
      <c r="GZ142" s="159">
        <v>28.52</v>
      </c>
      <c r="HA142" s="63">
        <f t="shared" si="318"/>
        <v>2.5200000000000387</v>
      </c>
      <c r="HB142" s="62" t="s">
        <v>2538</v>
      </c>
      <c r="HC142" s="60">
        <f>IFERROR(VLOOKUP(E142,Expectancy!$P$4:$S$19,1+C142,FALSE),"")</f>
        <v>1.1895734332751575</v>
      </c>
      <c r="HD142" s="82">
        <f t="shared" si="319"/>
        <v>-4.0735567970203231E-2</v>
      </c>
      <c r="HE142" s="60">
        <f>IF(HD142="",#N/A,SUM($HD$4:HD142))</f>
        <v>-0.84101698877452358</v>
      </c>
      <c r="HF142" s="85">
        <f>IF(HD142="",#N/A,IF(HB142="Skip",#N/A,SUM($HG$4:HG142)))</f>
        <v>-9.2800000000000864</v>
      </c>
      <c r="HG142" s="63">
        <f t="shared" si="320"/>
        <v>-0.97999999999996135</v>
      </c>
      <c r="HH142" s="82">
        <f t="shared" si="321"/>
        <v>6.9832402234639518E-2</v>
      </c>
    </row>
    <row r="143" spans="1:216" x14ac:dyDescent="0.25">
      <c r="A143" s="57" t="s">
        <v>1590</v>
      </c>
      <c r="B143" s="58" t="s">
        <v>5168</v>
      </c>
      <c r="C143" s="386">
        <f t="shared" si="230"/>
        <v>2</v>
      </c>
      <c r="D143" s="372" t="str">
        <f>_xlfn.XLOOKUP(A143,[1]SP500!$A$2:$A$502,[1]SP500!$D$2:$D$502,"N")</f>
        <v>Y</v>
      </c>
      <c r="E143" s="57" t="str">
        <f>_xlfn.XLOOKUP(A143,[1]SP500!$A$2:$A$655,[1]SP500!$B$2:$B$655)</f>
        <v>XLB</v>
      </c>
      <c r="F143" s="59">
        <v>45687</v>
      </c>
      <c r="G143" s="57" t="str">
        <f t="shared" si="231"/>
        <v>AMC</v>
      </c>
      <c r="H143" s="57" t="str">
        <f t="shared" si="232"/>
        <v>s</v>
      </c>
      <c r="I143" s="159">
        <v>92.67</v>
      </c>
      <c r="J143" s="159">
        <v>100.93</v>
      </c>
      <c r="K143" s="61">
        <f t="shared" si="233"/>
        <v>8.9133484407035765E-2</v>
      </c>
      <c r="L143" s="87">
        <f t="shared" si="234"/>
        <v>-33.04000000000002</v>
      </c>
      <c r="M143" s="130">
        <f t="shared" si="226"/>
        <v>0</v>
      </c>
      <c r="N143" s="169" t="str">
        <f t="shared" si="235"/>
        <v/>
      </c>
      <c r="O143" s="169">
        <f>IF($J143="",#N/A,SUM($N$4:N143))</f>
        <v>179.96503433954814</v>
      </c>
      <c r="P143" s="174">
        <f t="shared" si="236"/>
        <v>-33.04000000000002</v>
      </c>
      <c r="Q143" s="174">
        <f>IF($J143="",#N/A,SUM($P$4:P143))</f>
        <v>138.25104023772644</v>
      </c>
      <c r="R143" s="178" t="str">
        <f t="shared" si="237"/>
        <v/>
      </c>
      <c r="S143" s="178">
        <f>IF($J143="",#N/A,SUM($R$4:R143))</f>
        <v>209.867103684521</v>
      </c>
      <c r="T143" s="290" t="str">
        <f t="shared" si="238"/>
        <v/>
      </c>
      <c r="U143" s="290">
        <f>IF($J143="",#N/A,SUM($T$4:T143))</f>
        <v>6.4173930322322565</v>
      </c>
      <c r="V143" s="291">
        <f t="shared" si="239"/>
        <v>-1.4855580734505962</v>
      </c>
      <c r="W143" s="291">
        <f>IF($J143="",#N/A,SUM($V$4:V143))</f>
        <v>5.8321710567773195</v>
      </c>
      <c r="X143" s="292" t="str">
        <f t="shared" si="240"/>
        <v/>
      </c>
      <c r="Y143" s="283">
        <f>IF($J143="",#N/A,SUM($X$4:X143))</f>
        <v>8.4640759914976371</v>
      </c>
      <c r="Z143" s="304" t="str">
        <f t="shared" si="241"/>
        <v/>
      </c>
      <c r="AA143" s="313" t="e">
        <f>IF($J143="",#N/A,SUM(Z$4:Z143))</f>
        <v>#N/A</v>
      </c>
      <c r="AB143" s="314" t="str">
        <f t="shared" si="242"/>
        <v/>
      </c>
      <c r="AC143" s="314" t="e">
        <f>IF($J143="",#N/A,SUM(AB$4:AB143))</f>
        <v>#N/A</v>
      </c>
      <c r="AD143" s="315" t="str">
        <f t="shared" si="243"/>
        <v/>
      </c>
      <c r="AE143" s="315" t="e">
        <f>IF($J143="",#N/A,SUM(AD$4:AD143))</f>
        <v>#N/A</v>
      </c>
      <c r="AF143" s="315" t="e">
        <f>IF($J143="",#N/A,SUM(AD$4:AD143,AB$4:AB143,Z$4:Z143))</f>
        <v>#N/A</v>
      </c>
      <c r="AG143" s="304" t="str">
        <f t="shared" si="244"/>
        <v/>
      </c>
      <c r="AH143" s="313" t="e">
        <f>IF($J143="",#N/A,SUM(AG$4:AG143))</f>
        <v>#N/A</v>
      </c>
      <c r="AI143" s="314" t="str">
        <f t="shared" si="245"/>
        <v/>
      </c>
      <c r="AJ143" s="314" t="e">
        <f>IF($J143="",#N/A,SUM(AI$4:AI143))</f>
        <v>#N/A</v>
      </c>
      <c r="AK143" s="315" t="str">
        <f t="shared" si="246"/>
        <v/>
      </c>
      <c r="AL143" s="315" t="e">
        <f>IF($J143="",#N/A,SUM(AK$4:AK143))</f>
        <v>#N/A</v>
      </c>
      <c r="AM143" s="315" t="e">
        <f>IF($J143="",#N/A,SUM(AK$4:AK143,AI$4:AI143,AG$4:AG143))</f>
        <v>#N/A</v>
      </c>
      <c r="AN143" s="304" t="str">
        <f t="shared" si="247"/>
        <v/>
      </c>
      <c r="AO143" s="313" t="e">
        <f>IF($J143="",#N/A,SUM(AN$4:AN143))</f>
        <v>#N/A</v>
      </c>
      <c r="AP143" s="314" t="str">
        <f t="shared" si="248"/>
        <v/>
      </c>
      <c r="AQ143" s="314" t="e">
        <f>IF($J143="",#N/A,SUM(AP$4:AP143))</f>
        <v>#N/A</v>
      </c>
      <c r="AR143" s="315" t="str">
        <f t="shared" si="249"/>
        <v/>
      </c>
      <c r="AS143" s="315" t="e">
        <f>IF($J143="",#N/A,SUM(AR$4:AR143))</f>
        <v>#N/A</v>
      </c>
      <c r="AT143" s="315" t="e">
        <f>IF($J143="",#N/A,SUM(AR$4:AR143,AP$4:AP143,AN$4:AN143))</f>
        <v>#N/A</v>
      </c>
      <c r="AU143" s="304" t="str">
        <f t="shared" si="250"/>
        <v/>
      </c>
      <c r="AV143" s="313" t="e">
        <f>IF($J143="",#N/A,SUM(AU$4:AU143))</f>
        <v>#N/A</v>
      </c>
      <c r="AW143" s="314" t="str">
        <f t="shared" si="251"/>
        <v/>
      </c>
      <c r="AX143" s="314" t="e">
        <f>IF($J143="",#N/A,SUM(AW$4:AW143))</f>
        <v>#N/A</v>
      </c>
      <c r="AY143" s="315" t="str">
        <f t="shared" si="252"/>
        <v/>
      </c>
      <c r="AZ143" s="315" t="e">
        <f>IF($J143="",#N/A,SUM(AY$4:AY143))</f>
        <v>#N/A</v>
      </c>
      <c r="BA143" s="315" t="e">
        <f>IF($J143="",#N/A,SUM(AY$4:AY143,AW$4:AW143,AU$4:AU143))</f>
        <v>#N/A</v>
      </c>
      <c r="BB143" s="304" t="str">
        <f t="shared" si="253"/>
        <v/>
      </c>
      <c r="BC143" s="313" t="e">
        <f>IF($J143="",#N/A,SUM(BB$4:BB143))</f>
        <v>#N/A</v>
      </c>
      <c r="BD143" s="314" t="str">
        <f t="shared" si="254"/>
        <v/>
      </c>
      <c r="BE143" s="314" t="e">
        <f>IF($J143="",#N/A,SUM(BD$4:BD143))</f>
        <v>#N/A</v>
      </c>
      <c r="BF143" s="315" t="str">
        <f t="shared" si="255"/>
        <v/>
      </c>
      <c r="BG143" s="315" t="e">
        <f>IF($J143="",#N/A,SUM(BF$4:BF143))</f>
        <v>#N/A</v>
      </c>
      <c r="BH143" s="315" t="e">
        <f>IF($J143="",#N/A,SUM(BF$4:BF143,BD$4:BD143,BB$4:BB143))</f>
        <v>#N/A</v>
      </c>
      <c r="BI143" s="304" t="str">
        <f t="shared" si="256"/>
        <v/>
      </c>
      <c r="BJ143" s="313" t="e">
        <f>IF($J143="",#N/A,SUM(BI$4:BI143))</f>
        <v>#N/A</v>
      </c>
      <c r="BK143" s="314" t="str">
        <f t="shared" si="257"/>
        <v/>
      </c>
      <c r="BL143" s="314" t="e">
        <f>IF($J143="",#N/A,SUM(BK$4:BK143))</f>
        <v>#N/A</v>
      </c>
      <c r="BM143" s="315" t="str">
        <f t="shared" si="258"/>
        <v/>
      </c>
      <c r="BN143" s="315" t="e">
        <f>IF($J143="",#N/A,SUM(BM$4:BM143))</f>
        <v>#N/A</v>
      </c>
      <c r="BO143" s="315" t="e">
        <f>IF($J143="",#N/A,SUM(BM$4:BM143,BK$4:BK143,BI$4:BI143))</f>
        <v>#N/A</v>
      </c>
      <c r="BP143" s="304" t="str">
        <f t="shared" si="259"/>
        <v/>
      </c>
      <c r="BQ143" s="313" t="e">
        <f>IF($J143="",#N/A,SUM(BP$4:BP143))</f>
        <v>#N/A</v>
      </c>
      <c r="BR143" s="314" t="str">
        <f t="shared" si="260"/>
        <v/>
      </c>
      <c r="BS143" s="314" t="e">
        <f>IF($J143="",#N/A,SUM(BR$4:BR143))</f>
        <v>#N/A</v>
      </c>
      <c r="BT143" s="315" t="str">
        <f t="shared" si="261"/>
        <v/>
      </c>
      <c r="BU143" s="315" t="e">
        <f>IF($J143="",#N/A,SUM(BT$4:BT143))</f>
        <v>#N/A</v>
      </c>
      <c r="BV143" s="315" t="e">
        <f>IF($J143="",#N/A,SUM(BT$4:BT143,BR$4:BR143,BP$4:BP143))</f>
        <v>#N/A</v>
      </c>
      <c r="BW143" s="304" t="str">
        <f t="shared" si="262"/>
        <v/>
      </c>
      <c r="BX143" s="313" t="e">
        <f>IF($J143="",#N/A,SUM(BW$4:BW143))</f>
        <v>#N/A</v>
      </c>
      <c r="BY143" s="314" t="str">
        <f t="shared" si="263"/>
        <v/>
      </c>
      <c r="BZ143" s="314" t="e">
        <f>IF($J143="",#N/A,SUM(BY$4:BY143))</f>
        <v>#N/A</v>
      </c>
      <c r="CA143" s="315" t="str">
        <f t="shared" si="264"/>
        <v/>
      </c>
      <c r="CB143" s="315" t="e">
        <f>IF($J143="",#N/A,SUM(CA$4:CA143))</f>
        <v>#N/A</v>
      </c>
      <c r="CC143" s="315" t="e">
        <f>IF($J143="",#N/A,SUM(CA$4:CA143,BY$4:BY143,BW$4:BW143))</f>
        <v>#N/A</v>
      </c>
      <c r="CD143" s="304" t="str">
        <f t="shared" si="265"/>
        <v/>
      </c>
      <c r="CE143" s="313" t="e">
        <f>IF($J143="",#N/A,SUM(CD$4:CD143))</f>
        <v>#N/A</v>
      </c>
      <c r="CF143" s="314">
        <f t="shared" si="266"/>
        <v>-1.4855580734505962</v>
      </c>
      <c r="CG143" s="314" t="e">
        <f>IF($J143="",#N/A,SUM(CF$4:CF143))</f>
        <v>#N/A</v>
      </c>
      <c r="CH143" s="315" t="str">
        <f t="shared" si="267"/>
        <v/>
      </c>
      <c r="CI143" s="315" t="e">
        <f>IF($J143="",#N/A,SUM(CH$4:CH143))</f>
        <v>#N/A</v>
      </c>
      <c r="CJ143" s="315" t="e">
        <f>IF($J143="",#N/A,SUM(CH$4:CH143,CF$4:CF143,CD$4:CD143))</f>
        <v>#N/A</v>
      </c>
      <c r="CK143" s="304" t="str">
        <f t="shared" si="268"/>
        <v/>
      </c>
      <c r="CL143" s="313" t="e">
        <f>IF($J143="",#N/A,SUM(CK$4:CK143))</f>
        <v>#N/A</v>
      </c>
      <c r="CM143" s="314" t="str">
        <f t="shared" si="269"/>
        <v/>
      </c>
      <c r="CN143" s="314" t="e">
        <f>IF($J143="",#N/A,SUM(CM$4:CM143))</f>
        <v>#N/A</v>
      </c>
      <c r="CO143" s="315" t="str">
        <f t="shared" si="270"/>
        <v/>
      </c>
      <c r="CP143" s="315" t="e">
        <f>IF($J143="",#N/A,SUM(CO$4:CO143))</f>
        <v>#N/A</v>
      </c>
      <c r="CQ143" s="315" t="e">
        <f>IF($J143="",#N/A,SUM(CO$4:CO143,CM$4:CM143,CK$4:CK143))</f>
        <v>#N/A</v>
      </c>
      <c r="CR143" s="304" t="str">
        <f t="shared" si="271"/>
        <v/>
      </c>
      <c r="CS143" s="313" t="e">
        <f>IF($J143="",#N/A,SUM(CR$4:CR143))</f>
        <v>#N/A</v>
      </c>
      <c r="CT143" s="314" t="str">
        <f t="shared" si="272"/>
        <v/>
      </c>
      <c r="CU143" s="314" t="e">
        <f>IF($J143="",#N/A,SUM(CT$4:CT143))</f>
        <v>#N/A</v>
      </c>
      <c r="CV143" s="315" t="str">
        <f t="shared" si="273"/>
        <v/>
      </c>
      <c r="CW143" s="315" t="e">
        <f>IF($J143="",#N/A,SUM(CV$4:CV143))</f>
        <v>#N/A</v>
      </c>
      <c r="CX143" s="315" t="e">
        <f>IF($J143="",#N/A,SUM(CV$4:CV143,CT$4:CT143,CR$4:CR143))</f>
        <v>#N/A</v>
      </c>
      <c r="CY143" s="304" t="str">
        <f t="shared" si="274"/>
        <v/>
      </c>
      <c r="CZ143" s="313" t="e">
        <f>IF($J143="",#N/A,SUM(CY$4:CY143))</f>
        <v>#N/A</v>
      </c>
      <c r="DA143" s="314" t="str">
        <f t="shared" si="275"/>
        <v/>
      </c>
      <c r="DB143" s="314" t="e">
        <f>IF($J143="",#N/A,SUM(DA$4:DA143))</f>
        <v>#N/A</v>
      </c>
      <c r="DC143" s="315" t="str">
        <f t="shared" si="276"/>
        <v/>
      </c>
      <c r="DD143" s="315" t="e">
        <f>IF($J143="",#N/A,SUM(DC$4:DC143))</f>
        <v>#N/A</v>
      </c>
      <c r="DE143" s="315" t="e">
        <f>IF($J143="",#N/A,SUM(DC$4:DC143,DA$4:DA143,CY$4:CY143))</f>
        <v>#N/A</v>
      </c>
      <c r="DF143" s="304" t="str">
        <f t="shared" si="277"/>
        <v/>
      </c>
      <c r="DG143" s="313" t="e">
        <f>IF($J143="",#N/A,SUM(DF$4:DF143))</f>
        <v>#N/A</v>
      </c>
      <c r="DH143" s="314" t="str">
        <f t="shared" si="278"/>
        <v/>
      </c>
      <c r="DI143" s="314" t="e">
        <f>IF($J143="",#N/A,SUM(DH$4:DH143))</f>
        <v>#N/A</v>
      </c>
      <c r="DJ143" s="315" t="str">
        <f t="shared" si="279"/>
        <v/>
      </c>
      <c r="DK143" s="315" t="e">
        <f>IF($J143="",#N/A,SUM(DJ$4:DJ143))</f>
        <v>#N/A</v>
      </c>
      <c r="DL143" s="315" t="e">
        <f>IF($J143="",#N/A,SUM(DJ$4:DJ143,DH$4:DH143,DF$4:DF143))</f>
        <v>#N/A</v>
      </c>
      <c r="DM143" s="304" t="str">
        <f t="shared" si="280"/>
        <v/>
      </c>
      <c r="DN143" s="313" t="e">
        <f>IF($J143="",#N/A,SUM(DM$4:DM143))</f>
        <v>#N/A</v>
      </c>
      <c r="DO143" s="314" t="str">
        <f t="shared" si="281"/>
        <v/>
      </c>
      <c r="DP143" s="314" t="e">
        <f>IF($J143="",#N/A,SUM(DO$4:DO143))</f>
        <v>#N/A</v>
      </c>
      <c r="DQ143" s="315" t="str">
        <f t="shared" si="282"/>
        <v/>
      </c>
      <c r="DR143" s="315" t="e">
        <f>IF($J143="",#N/A,SUM(DQ$4:DQ143))</f>
        <v>#N/A</v>
      </c>
      <c r="DS143" s="315" t="e">
        <f>IF($J143="",#N/A,SUM(DQ$4:DQ143,DO$4:DO143,DM$4:DM143))</f>
        <v>#N/A</v>
      </c>
      <c r="DT143" s="304" t="str">
        <f t="shared" si="283"/>
        <v/>
      </c>
      <c r="DU143" s="313" t="e">
        <f>IF($J143="",#N/A,SUM(DT$4:DT143))</f>
        <v>#N/A</v>
      </c>
      <c r="DV143" s="314" t="str">
        <f t="shared" si="284"/>
        <v/>
      </c>
      <c r="DW143" s="314" t="e">
        <f>IF($J143="",#N/A,SUM(DV$4:DV143))</f>
        <v>#N/A</v>
      </c>
      <c r="DX143" s="315" t="str">
        <f t="shared" si="285"/>
        <v/>
      </c>
      <c r="DY143" s="315" t="e">
        <f>IF($J143="",#N/A,SUM(DX$4:DX143))</f>
        <v>#N/A</v>
      </c>
      <c r="DZ143" s="315" t="e">
        <f>IF($J143="",#N/A,SUM(DX$4:DX143,DV$4:DV143,DT$4:DT143))</f>
        <v>#N/A</v>
      </c>
      <c r="EA143" s="304" t="str">
        <f t="shared" si="286"/>
        <v/>
      </c>
      <c r="EB143" s="313" t="e">
        <f>IF($J143="",#N/A,SUM(EA$4:EA143))</f>
        <v>#N/A</v>
      </c>
      <c r="EC143" s="314" t="str">
        <f t="shared" si="287"/>
        <v/>
      </c>
      <c r="ED143" s="314" t="e">
        <f>IF($J143="",#N/A,SUM(EC$4:EC143))</f>
        <v>#N/A</v>
      </c>
      <c r="EE143" s="315" t="str">
        <f t="shared" si="288"/>
        <v/>
      </c>
      <c r="EF143" s="315" t="e">
        <f>IF($J143="",#N/A,SUM(EE$4:EE143))</f>
        <v>#N/A</v>
      </c>
      <c r="EG143" s="315" t="e">
        <f>IF($J143="",#N/A,SUM(EE$4:EE143,EC$4:EC143,EA$4:EA143))</f>
        <v>#N/A</v>
      </c>
      <c r="EH143" s="130">
        <f t="shared" si="289"/>
        <v>-33.04000000000002</v>
      </c>
      <c r="EI143" s="63">
        <f>IF(EH143="",#N/A,SUM($EH$4:EH143))</f>
        <v>528.08317826179587</v>
      </c>
      <c r="EJ143" s="223" t="e">
        <f t="shared" si="290"/>
        <v>#N/A</v>
      </c>
      <c r="EK143" s="63" t="e">
        <f>IF($GZ143="",#N/A,SUM(EJ$4:EJ143))</f>
        <v>#N/A</v>
      </c>
      <c r="EL143" s="60">
        <f t="shared" si="322"/>
        <v>-1.4855580734505962</v>
      </c>
      <c r="EM143" s="60">
        <f>IF(EL143="",NA(),SUM($EL$4:EL143))</f>
        <v>19.589690205597218</v>
      </c>
      <c r="EN143" s="60" t="str">
        <f t="shared" si="291"/>
        <v/>
      </c>
      <c r="EO143" s="60" t="e">
        <f>IF(EN143="",NA(),SUM($EN$4:EN143))</f>
        <v>#N/A</v>
      </c>
      <c r="EP143" s="60" t="str">
        <f t="shared" si="292"/>
        <v/>
      </c>
      <c r="EQ143" s="60" t="e">
        <f>IF(EP143="",NA(),SUM($EP$4:EP143))</f>
        <v>#N/A</v>
      </c>
      <c r="ER143" s="60">
        <f t="shared" si="293"/>
        <v>-1.4855580734505962</v>
      </c>
      <c r="ES143" s="60">
        <f>IF(ER143="",NA(),SUM($ER$4:ER143))</f>
        <v>5.1297756040773601</v>
      </c>
      <c r="ET143" s="60" t="str">
        <f t="shared" si="294"/>
        <v/>
      </c>
      <c r="EU143" s="60" t="e">
        <f>IF(ET143="",NA(),SUM($ET$4:ET143))</f>
        <v>#N/A</v>
      </c>
      <c r="EV143" s="60" t="str">
        <f t="shared" si="295"/>
        <v/>
      </c>
      <c r="EW143" s="60" t="e">
        <f>IF(EV143="",NA(),SUM($EV$4:EV143))</f>
        <v>#N/A</v>
      </c>
      <c r="EX143" s="60" t="str">
        <f t="shared" si="296"/>
        <v/>
      </c>
      <c r="EY143" s="60" t="e">
        <f>IF(EX143="",NA(),SUM($EX$4:EX143))</f>
        <v>#N/A</v>
      </c>
      <c r="EZ143" s="60" t="str">
        <f t="shared" si="297"/>
        <v/>
      </c>
      <c r="FA143" s="60" t="e">
        <f>IF(EZ143="",NA(),SUM($EZ$4:EZ143))</f>
        <v>#N/A</v>
      </c>
      <c r="FB143" s="246" t="str">
        <f t="shared" si="323"/>
        <v/>
      </c>
      <c r="FC143" s="246" t="e">
        <f>IF($FB143="",#N/A,SUM(FB$4:$FB143))</f>
        <v>#N/A</v>
      </c>
      <c r="FD143" s="60">
        <f t="shared" si="298"/>
        <v>0.23020754649113351</v>
      </c>
      <c r="FE143" s="60">
        <f>IF($FD143="",#N/A,SUM($FD$4:FD143))</f>
        <v>0.6545208092918573</v>
      </c>
      <c r="FF143" s="60" t="str">
        <f t="shared" si="299"/>
        <v/>
      </c>
      <c r="FG143" s="60" t="e">
        <f>IF($FF143="",#N/A,SUM($FF$4:FF143))</f>
        <v>#N/A</v>
      </c>
      <c r="FH143" s="60" t="str">
        <f t="shared" si="300"/>
        <v/>
      </c>
      <c r="FI143" s="60" t="e">
        <f>IF($FH143="",#N/A,SUM($FH$4:FH143))</f>
        <v>#N/A</v>
      </c>
      <c r="FJ143" s="60" t="str">
        <f t="shared" si="301"/>
        <v/>
      </c>
      <c r="FK143" s="60" t="e">
        <f>IF($FJ143="",#N/A,SUM($FJ$4:FJ143))</f>
        <v>#N/A</v>
      </c>
      <c r="FL143" s="60" t="str">
        <f t="shared" si="302"/>
        <v/>
      </c>
      <c r="FM143" s="60" t="e">
        <f>IF($FL143="",#N/A,SUM($FL$4:FL143))</f>
        <v>#N/A</v>
      </c>
      <c r="FN143" s="82">
        <f t="shared" si="303"/>
        <v>-1.2553505269594627</v>
      </c>
      <c r="FO143" s="82">
        <f>IF($FN143="",#N/A,SUM(FN$4:$FN143))</f>
        <v>28.487570014551828</v>
      </c>
      <c r="FP143" s="82">
        <f t="shared" si="324"/>
        <v>-1.4855580734505962</v>
      </c>
      <c r="FQ143" s="246">
        <f>IF($EH143="",#N/A,SUM($FP$4:FP143))</f>
        <v>20.713640080507222</v>
      </c>
      <c r="FR143" s="82">
        <f>IFERROR(FQ143/COUNTA($J$4:J143),#N/A)</f>
        <v>0.14795457200362302</v>
      </c>
      <c r="FS143" s="82">
        <f>IFERROR(($FQ143-$FQ95)/COUNTA($J95:$J143),#N/A)</f>
        <v>-5.6454709229943362E-2</v>
      </c>
      <c r="FT143" s="82">
        <f t="shared" si="328"/>
        <v>-9.104270525656688E-2</v>
      </c>
      <c r="FU143" s="337">
        <f t="shared" si="304"/>
        <v>8.5102151427323438</v>
      </c>
      <c r="FV143" s="57" t="str">
        <f t="shared" si="305"/>
        <v>Dwn</v>
      </c>
      <c r="FW143" s="57" t="s">
        <v>2734</v>
      </c>
      <c r="FX143" s="57" t="str">
        <f t="shared" si="306"/>
        <v/>
      </c>
      <c r="FY143" s="57">
        <f t="shared" si="307"/>
        <v>1</v>
      </c>
      <c r="FZ143" s="57" t="str">
        <f t="shared" si="308"/>
        <v/>
      </c>
      <c r="GA143" s="57" t="str">
        <f t="shared" si="309"/>
        <v>Short</v>
      </c>
      <c r="GB143" s="57" t="str">
        <f t="shared" si="310"/>
        <v/>
      </c>
      <c r="GC143" s="57" t="str">
        <f t="shared" si="311"/>
        <v/>
      </c>
      <c r="GD143" s="57" t="str">
        <f t="shared" si="312"/>
        <v/>
      </c>
      <c r="GE143" s="62">
        <f t="shared" si="227"/>
        <v>92.67</v>
      </c>
      <c r="GF143" s="62" t="s">
        <v>2780</v>
      </c>
      <c r="GG143" s="199">
        <v>4</v>
      </c>
      <c r="GH143" s="207">
        <f t="shared" si="313"/>
        <v>370.68</v>
      </c>
      <c r="GI143" s="199">
        <v>4</v>
      </c>
      <c r="GJ143" s="200">
        <v>100.93</v>
      </c>
      <c r="GK143" s="63">
        <f t="shared" si="314"/>
        <v>-33.04000000000002</v>
      </c>
      <c r="GL143" s="63">
        <f t="shared" si="228"/>
        <v>-27.920000000000016</v>
      </c>
      <c r="GM143" s="82" t="str">
        <f t="shared" si="315"/>
        <v/>
      </c>
      <c r="GN143" s="82">
        <f>IF($GZ143="",#N/A,SUM(GM$4:GM143))</f>
        <v>11.236870655213048</v>
      </c>
      <c r="GO143" s="82" t="str">
        <f t="shared" si="316"/>
        <v/>
      </c>
      <c r="GP143" s="82">
        <f>IF($GZ143="",#N/A,SUM(GO$4:GO143))</f>
        <v>7.9344271176594248</v>
      </c>
      <c r="GQ143" s="82">
        <f t="shared" si="317"/>
        <v>-1.2553505269594627</v>
      </c>
      <c r="GR143" s="82">
        <f>IF($GZ143="",#N/A,SUM(GQ$4:GQ143))</f>
        <v>8.6904352872370154</v>
      </c>
      <c r="GS143" s="63" t="str">
        <f t="shared" si="325"/>
        <v/>
      </c>
      <c r="GT143" s="63" t="e">
        <f>IF($GZ143="",#N/A,SUM(GS$4:GS143))</f>
        <v>#N/A</v>
      </c>
      <c r="GU143" s="63" t="str">
        <f t="shared" si="326"/>
        <v/>
      </c>
      <c r="GV143" s="63" t="e">
        <f>IF($GZ143="",#N/A,SUM(GU$4:GU143))</f>
        <v>#N/A</v>
      </c>
      <c r="GW143" s="63" t="e">
        <f t="shared" si="327"/>
        <v>#N/A</v>
      </c>
      <c r="GX143" s="63" t="e">
        <f>IF($GZ143="",#N/A,SUM(GW$4:GW143))</f>
        <v>#N/A</v>
      </c>
      <c r="GY143" s="63" t="e">
        <f>IF(EJ143="",#N/A,SUM($EJ$4:EJ143))</f>
        <v>#N/A</v>
      </c>
      <c r="GZ143" s="159">
        <v>99.65</v>
      </c>
      <c r="HA143" s="63">
        <f t="shared" si="318"/>
        <v>5.1200000000000045</v>
      </c>
      <c r="HB143" s="62" t="s">
        <v>2538</v>
      </c>
      <c r="HC143" s="60">
        <f>IFERROR(VLOOKUP(E143,Expectancy!$P$4:$S$19,1+C143,FALSE),"")</f>
        <v>0.73529829292760662</v>
      </c>
      <c r="HD143" s="82">
        <f t="shared" si="319"/>
        <v>-1.4855580734505962</v>
      </c>
      <c r="HE143" s="60">
        <f>IF(HD143="",#N/A,SUM($HD$4:HD143))</f>
        <v>-2.3265750622251198</v>
      </c>
      <c r="HF143" s="85">
        <f>IF(HD143="",#N/A,IF(HB143="Skip",#N/A,SUM($HG$4:HG143)))</f>
        <v>-42.320000000000107</v>
      </c>
      <c r="HG143" s="63">
        <f t="shared" si="320"/>
        <v>-33.04000000000002</v>
      </c>
      <c r="HH143" s="82">
        <f t="shared" si="321"/>
        <v>-1.2553505269594627</v>
      </c>
    </row>
    <row r="144" spans="1:216" x14ac:dyDescent="0.25">
      <c r="A144" s="57" t="s">
        <v>1619</v>
      </c>
      <c r="B144" s="58" t="s">
        <v>5166</v>
      </c>
      <c r="C144" s="386">
        <f t="shared" si="230"/>
        <v>1</v>
      </c>
      <c r="D144" s="372" t="str">
        <f>_xlfn.XLOOKUP(A144,[1]SP500!$A$2:$A$502,[1]SP500!$D$2:$D$502,"N")</f>
        <v>N</v>
      </c>
      <c r="E144" s="57" t="str">
        <f>_xlfn.XLOOKUP(A144,[1]SP500!$A$2:$A$655,[1]SP500!$B$2:$B$655)</f>
        <v>IGV</v>
      </c>
      <c r="F144" s="227">
        <v>45687</v>
      </c>
      <c r="G144" s="57" t="str">
        <f t="shared" si="231"/>
        <v>AMC</v>
      </c>
      <c r="H144" s="57" t="str">
        <f t="shared" si="232"/>
        <v>o</v>
      </c>
      <c r="I144" s="159">
        <v>266.95</v>
      </c>
      <c r="J144" s="159">
        <v>320.51</v>
      </c>
      <c r="K144" s="61">
        <f t="shared" si="233"/>
        <v>0.20063682337516389</v>
      </c>
      <c r="L144" s="87">
        <f t="shared" si="234"/>
        <v>80.254729350065588</v>
      </c>
      <c r="M144" s="214" t="e">
        <f t="shared" si="226"/>
        <v>#N/A</v>
      </c>
      <c r="N144" s="169">
        <f t="shared" si="235"/>
        <v>80.254729350065588</v>
      </c>
      <c r="O144" s="169">
        <f>IF($J144="",#N/A,SUM($N$4:N144))</f>
        <v>260.21976368961373</v>
      </c>
      <c r="P144" s="174" t="str">
        <f t="shared" si="236"/>
        <v/>
      </c>
      <c r="Q144" s="174">
        <f>IF($J144="",#N/A,SUM($P$4:P144))</f>
        <v>138.25104023772644</v>
      </c>
      <c r="R144" s="178" t="str">
        <f t="shared" si="237"/>
        <v/>
      </c>
      <c r="S144" s="178">
        <f>IF($J144="",#N/A,SUM($R$4:R144))</f>
        <v>209.867103684521</v>
      </c>
      <c r="T144" s="290">
        <f t="shared" si="238"/>
        <v>3.3439470562527327</v>
      </c>
      <c r="U144" s="290">
        <f>IF($J144="",#N/A,SUM($T$4:T144))</f>
        <v>9.7613400884849888</v>
      </c>
      <c r="V144" s="291" t="str">
        <f t="shared" si="239"/>
        <v/>
      </c>
      <c r="W144" s="291">
        <f>IF($J144="",#N/A,SUM($V$4:V144))</f>
        <v>5.8321710567773195</v>
      </c>
      <c r="X144" s="292" t="str">
        <f t="shared" si="240"/>
        <v/>
      </c>
      <c r="Y144" s="283">
        <f>IF($J144="",#N/A,SUM($X$4:X144))</f>
        <v>8.4640759914976371</v>
      </c>
      <c r="Z144" s="304" t="str">
        <f t="shared" si="241"/>
        <v/>
      </c>
      <c r="AA144" s="313" t="e">
        <f>IF($J144="",#N/A,SUM(Z$4:Z144))</f>
        <v>#N/A</v>
      </c>
      <c r="AB144" s="314" t="str">
        <f t="shared" si="242"/>
        <v/>
      </c>
      <c r="AC144" s="314" t="e">
        <f>IF($J144="",#N/A,SUM(AB$4:AB144))</f>
        <v>#N/A</v>
      </c>
      <c r="AD144" s="315" t="str">
        <f t="shared" si="243"/>
        <v/>
      </c>
      <c r="AE144" s="315" t="e">
        <f>IF($J144="",#N/A,SUM(AD$4:AD144))</f>
        <v>#N/A</v>
      </c>
      <c r="AF144" s="315" t="e">
        <f>IF($J144="",#N/A,SUM(AD$4:AD144,AB$4:AB144,Z$4:Z144))</f>
        <v>#N/A</v>
      </c>
      <c r="AG144" s="304">
        <f t="shared" si="244"/>
        <v>3.3439470562527327</v>
      </c>
      <c r="AH144" s="313" t="e">
        <f>IF($J144="",#N/A,SUM(AG$4:AG144))</f>
        <v>#N/A</v>
      </c>
      <c r="AI144" s="314" t="str">
        <f t="shared" si="245"/>
        <v/>
      </c>
      <c r="AJ144" s="314" t="e">
        <f>IF($J144="",#N/A,SUM(AI$4:AI144))</f>
        <v>#N/A</v>
      </c>
      <c r="AK144" s="315" t="str">
        <f t="shared" si="246"/>
        <v/>
      </c>
      <c r="AL144" s="315" t="e">
        <f>IF($J144="",#N/A,SUM(AK$4:AK144))</f>
        <v>#N/A</v>
      </c>
      <c r="AM144" s="315" t="e">
        <f>IF($J144="",#N/A,SUM(AK$4:AK144,AI$4:AI144,AG$4:AG144))</f>
        <v>#N/A</v>
      </c>
      <c r="AN144" s="304" t="str">
        <f t="shared" si="247"/>
        <v/>
      </c>
      <c r="AO144" s="313" t="e">
        <f>IF($J144="",#N/A,SUM(AN$4:AN144))</f>
        <v>#N/A</v>
      </c>
      <c r="AP144" s="314" t="str">
        <f t="shared" si="248"/>
        <v/>
      </c>
      <c r="AQ144" s="314" t="e">
        <f>IF($J144="",#N/A,SUM(AP$4:AP144))</f>
        <v>#N/A</v>
      </c>
      <c r="AR144" s="315" t="str">
        <f t="shared" si="249"/>
        <v/>
      </c>
      <c r="AS144" s="315" t="e">
        <f>IF($J144="",#N/A,SUM(AR$4:AR144))</f>
        <v>#N/A</v>
      </c>
      <c r="AT144" s="315" t="e">
        <f>IF($J144="",#N/A,SUM(AR$4:AR144,AP$4:AP144,AN$4:AN144))</f>
        <v>#N/A</v>
      </c>
      <c r="AU144" s="304" t="str">
        <f t="shared" si="250"/>
        <v/>
      </c>
      <c r="AV144" s="313" t="e">
        <f>IF($J144="",#N/A,SUM(AU$4:AU144))</f>
        <v>#N/A</v>
      </c>
      <c r="AW144" s="314" t="str">
        <f t="shared" si="251"/>
        <v/>
      </c>
      <c r="AX144" s="314" t="e">
        <f>IF($J144="",#N/A,SUM(AW$4:AW144))</f>
        <v>#N/A</v>
      </c>
      <c r="AY144" s="315" t="str">
        <f t="shared" si="252"/>
        <v/>
      </c>
      <c r="AZ144" s="315" t="e">
        <f>IF($J144="",#N/A,SUM(AY$4:AY144))</f>
        <v>#N/A</v>
      </c>
      <c r="BA144" s="315" t="e">
        <f>IF($J144="",#N/A,SUM(AY$4:AY144,AW$4:AW144,AU$4:AU144))</f>
        <v>#N/A</v>
      </c>
      <c r="BB144" s="304" t="str">
        <f t="shared" si="253"/>
        <v/>
      </c>
      <c r="BC144" s="313" t="e">
        <f>IF($J144="",#N/A,SUM(BB$4:BB144))</f>
        <v>#N/A</v>
      </c>
      <c r="BD144" s="314" t="str">
        <f t="shared" si="254"/>
        <v/>
      </c>
      <c r="BE144" s="314" t="e">
        <f>IF($J144="",#N/A,SUM(BD$4:BD144))</f>
        <v>#N/A</v>
      </c>
      <c r="BF144" s="315" t="str">
        <f t="shared" si="255"/>
        <v/>
      </c>
      <c r="BG144" s="315" t="e">
        <f>IF($J144="",#N/A,SUM(BF$4:BF144))</f>
        <v>#N/A</v>
      </c>
      <c r="BH144" s="315" t="e">
        <f>IF($J144="",#N/A,SUM(BF$4:BF144,BD$4:BD144,BB$4:BB144))</f>
        <v>#N/A</v>
      </c>
      <c r="BI144" s="304" t="str">
        <f t="shared" si="256"/>
        <v/>
      </c>
      <c r="BJ144" s="313" t="e">
        <f>IF($J144="",#N/A,SUM(BI$4:BI144))</f>
        <v>#N/A</v>
      </c>
      <c r="BK144" s="314" t="str">
        <f t="shared" si="257"/>
        <v/>
      </c>
      <c r="BL144" s="314" t="e">
        <f>IF($J144="",#N/A,SUM(BK$4:BK144))</f>
        <v>#N/A</v>
      </c>
      <c r="BM144" s="315" t="str">
        <f t="shared" si="258"/>
        <v/>
      </c>
      <c r="BN144" s="315" t="e">
        <f>IF($J144="",#N/A,SUM(BM$4:BM144))</f>
        <v>#N/A</v>
      </c>
      <c r="BO144" s="315" t="e">
        <f>IF($J144="",#N/A,SUM(BM$4:BM144,BK$4:BK144,BI$4:BI144))</f>
        <v>#N/A</v>
      </c>
      <c r="BP144" s="304" t="str">
        <f t="shared" si="259"/>
        <v/>
      </c>
      <c r="BQ144" s="313" t="e">
        <f>IF($J144="",#N/A,SUM(BP$4:BP144))</f>
        <v>#N/A</v>
      </c>
      <c r="BR144" s="314" t="str">
        <f t="shared" si="260"/>
        <v/>
      </c>
      <c r="BS144" s="314" t="e">
        <f>IF($J144="",#N/A,SUM(BR$4:BR144))</f>
        <v>#N/A</v>
      </c>
      <c r="BT144" s="315" t="str">
        <f t="shared" si="261"/>
        <v/>
      </c>
      <c r="BU144" s="315" t="e">
        <f>IF($J144="",#N/A,SUM(BT$4:BT144))</f>
        <v>#N/A</v>
      </c>
      <c r="BV144" s="315" t="e">
        <f>IF($J144="",#N/A,SUM(BT$4:BT144,BR$4:BR144,BP$4:BP144))</f>
        <v>#N/A</v>
      </c>
      <c r="BW144" s="304" t="str">
        <f t="shared" si="262"/>
        <v/>
      </c>
      <c r="BX144" s="313" t="e">
        <f>IF($J144="",#N/A,SUM(BW$4:BW144))</f>
        <v>#N/A</v>
      </c>
      <c r="BY144" s="314" t="str">
        <f t="shared" si="263"/>
        <v/>
      </c>
      <c r="BZ144" s="314" t="e">
        <f>IF($J144="",#N/A,SUM(BY$4:BY144))</f>
        <v>#N/A</v>
      </c>
      <c r="CA144" s="315" t="str">
        <f t="shared" si="264"/>
        <v/>
      </c>
      <c r="CB144" s="315" t="e">
        <f>IF($J144="",#N/A,SUM(CA$4:CA144))</f>
        <v>#N/A</v>
      </c>
      <c r="CC144" s="315" t="e">
        <f>IF($J144="",#N/A,SUM(CA$4:CA144,BY$4:BY144,BW$4:BW144))</f>
        <v>#N/A</v>
      </c>
      <c r="CD144" s="304" t="str">
        <f t="shared" si="265"/>
        <v/>
      </c>
      <c r="CE144" s="313" t="e">
        <f>IF($J144="",#N/A,SUM(CD$4:CD144))</f>
        <v>#N/A</v>
      </c>
      <c r="CF144" s="314" t="str">
        <f t="shared" si="266"/>
        <v/>
      </c>
      <c r="CG144" s="314" t="e">
        <f>IF($J144="",#N/A,SUM(CF$4:CF144))</f>
        <v>#N/A</v>
      </c>
      <c r="CH144" s="315" t="str">
        <f t="shared" si="267"/>
        <v/>
      </c>
      <c r="CI144" s="315" t="e">
        <f>IF($J144="",#N/A,SUM(CH$4:CH144))</f>
        <v>#N/A</v>
      </c>
      <c r="CJ144" s="315" t="e">
        <f>IF($J144="",#N/A,SUM(CH$4:CH144,CF$4:CF144,CD$4:CD144))</f>
        <v>#N/A</v>
      </c>
      <c r="CK144" s="304" t="str">
        <f t="shared" si="268"/>
        <v/>
      </c>
      <c r="CL144" s="313" t="e">
        <f>IF($J144="",#N/A,SUM(CK$4:CK144))</f>
        <v>#N/A</v>
      </c>
      <c r="CM144" s="314" t="str">
        <f t="shared" si="269"/>
        <v/>
      </c>
      <c r="CN144" s="314" t="e">
        <f>IF($J144="",#N/A,SUM(CM$4:CM144))</f>
        <v>#N/A</v>
      </c>
      <c r="CO144" s="315" t="str">
        <f t="shared" si="270"/>
        <v/>
      </c>
      <c r="CP144" s="315" t="e">
        <f>IF($J144="",#N/A,SUM(CO$4:CO144))</f>
        <v>#N/A</v>
      </c>
      <c r="CQ144" s="315" t="e">
        <f>IF($J144="",#N/A,SUM(CO$4:CO144,CM$4:CM144,CK$4:CK144))</f>
        <v>#N/A</v>
      </c>
      <c r="CR144" s="304" t="str">
        <f t="shared" si="271"/>
        <v/>
      </c>
      <c r="CS144" s="313" t="e">
        <f>IF($J144="",#N/A,SUM(CR$4:CR144))</f>
        <v>#N/A</v>
      </c>
      <c r="CT144" s="314" t="str">
        <f t="shared" si="272"/>
        <v/>
      </c>
      <c r="CU144" s="314" t="e">
        <f>IF($J144="",#N/A,SUM(CT$4:CT144))</f>
        <v>#N/A</v>
      </c>
      <c r="CV144" s="315" t="str">
        <f t="shared" si="273"/>
        <v/>
      </c>
      <c r="CW144" s="315" t="e">
        <f>IF($J144="",#N/A,SUM(CV$4:CV144))</f>
        <v>#N/A</v>
      </c>
      <c r="CX144" s="315" t="e">
        <f>IF($J144="",#N/A,SUM(CV$4:CV144,CT$4:CT144,CR$4:CR144))</f>
        <v>#N/A</v>
      </c>
      <c r="CY144" s="304" t="str">
        <f t="shared" si="274"/>
        <v/>
      </c>
      <c r="CZ144" s="313" t="e">
        <f>IF($J144="",#N/A,SUM(CY$4:CY144))</f>
        <v>#N/A</v>
      </c>
      <c r="DA144" s="314" t="str">
        <f t="shared" si="275"/>
        <v/>
      </c>
      <c r="DB144" s="314" t="e">
        <f>IF($J144="",#N/A,SUM(DA$4:DA144))</f>
        <v>#N/A</v>
      </c>
      <c r="DC144" s="315" t="str">
        <f t="shared" si="276"/>
        <v/>
      </c>
      <c r="DD144" s="315" t="e">
        <f>IF($J144="",#N/A,SUM(DC$4:DC144))</f>
        <v>#N/A</v>
      </c>
      <c r="DE144" s="315" t="e">
        <f>IF($J144="",#N/A,SUM(DC$4:DC144,DA$4:DA144,CY$4:CY144))</f>
        <v>#N/A</v>
      </c>
      <c r="DF144" s="304" t="str">
        <f t="shared" si="277"/>
        <v/>
      </c>
      <c r="DG144" s="313" t="e">
        <f>IF($J144="",#N/A,SUM(DF$4:DF144))</f>
        <v>#N/A</v>
      </c>
      <c r="DH144" s="314" t="str">
        <f t="shared" si="278"/>
        <v/>
      </c>
      <c r="DI144" s="314" t="e">
        <f>IF($J144="",#N/A,SUM(DH$4:DH144))</f>
        <v>#N/A</v>
      </c>
      <c r="DJ144" s="315" t="str">
        <f t="shared" si="279"/>
        <v/>
      </c>
      <c r="DK144" s="315" t="e">
        <f>IF($J144="",#N/A,SUM(DJ$4:DJ144))</f>
        <v>#N/A</v>
      </c>
      <c r="DL144" s="315" t="e">
        <f>IF($J144="",#N/A,SUM(DJ$4:DJ144,DH$4:DH144,DF$4:DF144))</f>
        <v>#N/A</v>
      </c>
      <c r="DM144" s="304" t="str">
        <f t="shared" si="280"/>
        <v/>
      </c>
      <c r="DN144" s="313" t="e">
        <f>IF($J144="",#N/A,SUM(DM$4:DM144))</f>
        <v>#N/A</v>
      </c>
      <c r="DO144" s="314" t="str">
        <f t="shared" si="281"/>
        <v/>
      </c>
      <c r="DP144" s="314" t="e">
        <f>IF($J144="",#N/A,SUM(DO$4:DO144))</f>
        <v>#N/A</v>
      </c>
      <c r="DQ144" s="315" t="str">
        <f t="shared" si="282"/>
        <v/>
      </c>
      <c r="DR144" s="315" t="e">
        <f>IF($J144="",#N/A,SUM(DQ$4:DQ144))</f>
        <v>#N/A</v>
      </c>
      <c r="DS144" s="315" t="e">
        <f>IF($J144="",#N/A,SUM(DQ$4:DQ144,DO$4:DO144,DM$4:DM144))</f>
        <v>#N/A</v>
      </c>
      <c r="DT144" s="304" t="str">
        <f t="shared" si="283"/>
        <v/>
      </c>
      <c r="DU144" s="313" t="e">
        <f>IF($J144="",#N/A,SUM(DT$4:DT144))</f>
        <v>#N/A</v>
      </c>
      <c r="DV144" s="314" t="str">
        <f t="shared" si="284"/>
        <v/>
      </c>
      <c r="DW144" s="314" t="e">
        <f>IF($J144="",#N/A,SUM(DV$4:DV144))</f>
        <v>#N/A</v>
      </c>
      <c r="DX144" s="315" t="str">
        <f t="shared" si="285"/>
        <v/>
      </c>
      <c r="DY144" s="315" t="e">
        <f>IF($J144="",#N/A,SUM(DX$4:DX144))</f>
        <v>#N/A</v>
      </c>
      <c r="DZ144" s="315" t="e">
        <f>IF($J144="",#N/A,SUM(DX$4:DX144,DV$4:DV144,DT$4:DT144))</f>
        <v>#N/A</v>
      </c>
      <c r="EA144" s="304" t="str">
        <f t="shared" si="286"/>
        <v/>
      </c>
      <c r="EB144" s="313" t="e">
        <f>IF($J144="",#N/A,SUM(EA$4:EA144))</f>
        <v>#N/A</v>
      </c>
      <c r="EC144" s="314" t="str">
        <f t="shared" si="287"/>
        <v/>
      </c>
      <c r="ED144" s="314" t="e">
        <f>IF($J144="",#N/A,SUM(EC$4:EC144))</f>
        <v>#N/A</v>
      </c>
      <c r="EE144" s="315" t="str">
        <f t="shared" si="288"/>
        <v/>
      </c>
      <c r="EF144" s="315" t="e">
        <f>IF($J144="",#N/A,SUM(EE$4:EE144))</f>
        <v>#N/A</v>
      </c>
      <c r="EG144" s="315" t="e">
        <f>IF($J144="",#N/A,SUM(EE$4:EE144,EC$4:EC144,EA$4:EA144))</f>
        <v>#N/A</v>
      </c>
      <c r="EH144" s="130">
        <f t="shared" si="289"/>
        <v>80.254729350065588</v>
      </c>
      <c r="EI144" s="63">
        <f>IF(EH144="",#N/A,SUM($EH$4:EH144))</f>
        <v>608.33790761186151</v>
      </c>
      <c r="EJ144" s="223" t="e">
        <f t="shared" si="290"/>
        <v>#N/A</v>
      </c>
      <c r="EK144" s="63" t="e">
        <f>IF($GZ144="",#N/A,SUM(EJ$4:EJ144))</f>
        <v>#N/A</v>
      </c>
      <c r="EL144" s="60" t="str">
        <f t="shared" si="322"/>
        <v/>
      </c>
      <c r="EM144" s="60" t="e">
        <f>IF(EL144="",NA(),SUM($EL$4:EL144))</f>
        <v>#N/A</v>
      </c>
      <c r="EN144" s="60" t="str">
        <f t="shared" si="291"/>
        <v/>
      </c>
      <c r="EO144" s="60" t="e">
        <f>IF(EN144="",NA(),SUM($EN$4:EN144))</f>
        <v>#N/A</v>
      </c>
      <c r="EP144" s="60" t="str">
        <f t="shared" si="292"/>
        <v/>
      </c>
      <c r="EQ144" s="60" t="e">
        <f>IF(EP144="",NA(),SUM($EP$4:EP144))</f>
        <v>#N/A</v>
      </c>
      <c r="ER144" s="60" t="str">
        <f t="shared" si="293"/>
        <v/>
      </c>
      <c r="ES144" s="60" t="e">
        <f>IF(ER144="",NA(),SUM($ER$4:ER144))</f>
        <v>#N/A</v>
      </c>
      <c r="ET144" s="60">
        <f t="shared" si="294"/>
        <v>3.3439470562527327</v>
      </c>
      <c r="EU144" s="60">
        <f>IF(ET144="",NA(),SUM($ET$4:ET144))</f>
        <v>4.4678969311627315</v>
      </c>
      <c r="EV144" s="60">
        <f t="shared" si="295"/>
        <v>3.3439470562527327</v>
      </c>
      <c r="EW144" s="60">
        <f>IF(EV144="",NA(),SUM($EV$4:EV144))</f>
        <v>3.8861495308584986</v>
      </c>
      <c r="EX144" s="60" t="str">
        <f t="shared" si="296"/>
        <v/>
      </c>
      <c r="EY144" s="60" t="e">
        <f>IF(EX144="",NA(),SUM($EX$4:EX144))</f>
        <v>#N/A</v>
      </c>
      <c r="EZ144" s="60" t="str">
        <f t="shared" si="297"/>
        <v/>
      </c>
      <c r="FA144" s="60" t="e">
        <f>IF(EZ144="",NA(),SUM($EZ$4:EZ144))</f>
        <v>#N/A</v>
      </c>
      <c r="FB144" s="246" t="str">
        <f t="shared" si="323"/>
        <v/>
      </c>
      <c r="FC144" s="246" t="e">
        <f>IF($FB144="",#N/A,SUM(FB$4:$FB144))</f>
        <v>#N/A</v>
      </c>
      <c r="FD144" s="60" t="str">
        <f t="shared" si="298"/>
        <v/>
      </c>
      <c r="FE144" s="60" t="e">
        <f>IF($FD144="",#N/A,SUM($FD$4:FD144))</f>
        <v>#N/A</v>
      </c>
      <c r="FF144" s="60">
        <f t="shared" si="299"/>
        <v>-0.85721420990198016</v>
      </c>
      <c r="FG144" s="60">
        <f>IF($FF144="",#N/A,SUM($FF$4:FF144))</f>
        <v>-0.31098148298285389</v>
      </c>
      <c r="FH144" s="60" t="str">
        <f t="shared" si="300"/>
        <v/>
      </c>
      <c r="FI144" s="60" t="e">
        <f>IF($FH144="",#N/A,SUM($FH$4:FH144))</f>
        <v>#N/A</v>
      </c>
      <c r="FJ144" s="60" t="str">
        <f t="shared" si="301"/>
        <v/>
      </c>
      <c r="FK144" s="60" t="e">
        <f>IF($FJ144="",#N/A,SUM($FJ$4:FJ144))</f>
        <v>#N/A</v>
      </c>
      <c r="FL144" s="60" t="str">
        <f t="shared" si="302"/>
        <v/>
      </c>
      <c r="FM144" s="60" t="e">
        <f>IF($FL144="",#N/A,SUM($FL$4:FL144))</f>
        <v>#N/A</v>
      </c>
      <c r="FN144" s="82">
        <f t="shared" si="303"/>
        <v>2.4867328463507525</v>
      </c>
      <c r="FO144" s="82">
        <f>IF($FN144="",#N/A,SUM(FN$4:$FN144))</f>
        <v>30.974302860902579</v>
      </c>
      <c r="FP144" s="82">
        <f t="shared" si="324"/>
        <v>3.3439470562527327</v>
      </c>
      <c r="FQ144" s="246">
        <f>IF($EH144="",#N/A,SUM($FP$4:FP144))</f>
        <v>24.057587136759956</v>
      </c>
      <c r="FR144" s="82">
        <f>IFERROR(FQ144/COUNTA($J$4:J144),#N/A)</f>
        <v>0.17062118536709189</v>
      </c>
      <c r="FS144" s="82">
        <f>IFERROR(($FQ144-$FQ96)/COUNTA($J96:$J144),#N/A)</f>
        <v>8.0750706848006469E-3</v>
      </c>
      <c r="FT144" s="82">
        <f t="shared" si="328"/>
        <v>1.4619358885544075E-2</v>
      </c>
      <c r="FU144" s="99"/>
      <c r="FV144" s="57" t="str">
        <f t="shared" si="305"/>
        <v>Up</v>
      </c>
      <c r="FW144" s="57" t="s">
        <v>2733</v>
      </c>
      <c r="FX144" s="57">
        <f t="shared" si="306"/>
        <v>1</v>
      </c>
      <c r="FY144" s="57" t="str">
        <f t="shared" si="307"/>
        <v/>
      </c>
      <c r="FZ144" s="57" t="str">
        <f t="shared" si="308"/>
        <v/>
      </c>
      <c r="GA144" s="57" t="str">
        <f t="shared" si="309"/>
        <v>Long</v>
      </c>
      <c r="GB144" s="57" t="str">
        <f t="shared" si="310"/>
        <v/>
      </c>
      <c r="GC144" s="57" t="str">
        <f t="shared" si="311"/>
        <v/>
      </c>
      <c r="GD144" s="57" t="str">
        <f t="shared" si="312"/>
        <v/>
      </c>
      <c r="GE144" s="62">
        <f t="shared" si="227"/>
        <v>266.95</v>
      </c>
      <c r="GF144" s="62" t="s">
        <v>2779</v>
      </c>
      <c r="GG144" s="99">
        <f>400/I144</f>
        <v>1.4984079415620903</v>
      </c>
      <c r="GH144" s="207">
        <f t="shared" si="313"/>
        <v>400</v>
      </c>
      <c r="GI144" s="99">
        <f>GG144</f>
        <v>1.4984079415620903</v>
      </c>
      <c r="GJ144" s="98">
        <f>J144</f>
        <v>320.51</v>
      </c>
      <c r="GK144" s="63">
        <f t="shared" si="314"/>
        <v>80.254729350065588</v>
      </c>
      <c r="GL144" s="63">
        <f t="shared" si="228"/>
        <v>59.681588312418057</v>
      </c>
      <c r="GM144" s="82" t="str">
        <f t="shared" si="315"/>
        <v/>
      </c>
      <c r="GN144" s="82">
        <f>IF($GZ144="",#N/A,SUM(GM$4:GM144))</f>
        <v>11.236870655213048</v>
      </c>
      <c r="GO144" s="82">
        <f t="shared" si="316"/>
        <v>2.4867328463507525</v>
      </c>
      <c r="GP144" s="82">
        <f>IF($GZ144="",#N/A,SUM(GO$4:GO144))</f>
        <v>10.421159964010178</v>
      </c>
      <c r="GQ144" s="82" t="str">
        <f t="shared" si="317"/>
        <v/>
      </c>
      <c r="GR144" s="82">
        <f>IF($GZ144="",#N/A,SUM(GQ$4:GQ144))</f>
        <v>8.6904352872370154</v>
      </c>
      <c r="GS144" s="63" t="str">
        <f t="shared" si="325"/>
        <v/>
      </c>
      <c r="GT144" s="63" t="e">
        <f>IF($GZ144="",#N/A,SUM(GS$4:GS144))</f>
        <v>#N/A</v>
      </c>
      <c r="GU144" s="63" t="e">
        <f t="shared" si="326"/>
        <v>#N/A</v>
      </c>
      <c r="GV144" s="63" t="e">
        <f>IF($GZ144="",#N/A,SUM(GU$4:GU144))</f>
        <v>#N/A</v>
      </c>
      <c r="GW144" s="63" t="str">
        <f t="shared" si="327"/>
        <v/>
      </c>
      <c r="GX144" s="63" t="e">
        <f>IF($GZ144="",#N/A,SUM(GW$4:GW144))</f>
        <v>#N/A</v>
      </c>
      <c r="GY144" s="63" t="e">
        <f>IF(EJ144="",#N/A,SUM($EJ$4:EJ144))</f>
        <v>#N/A</v>
      </c>
      <c r="GZ144" s="159">
        <v>306.77999999999997</v>
      </c>
      <c r="HA144" s="63">
        <f t="shared" si="318"/>
        <v>-20.573141037647531</v>
      </c>
      <c r="HB144" s="62" t="s">
        <v>4970</v>
      </c>
      <c r="HC144" s="60">
        <f>IFERROR(VLOOKUP(E144,Expectancy!$P$4:$S$19,1+C144,FALSE),"")</f>
        <v>1.0051961559281768</v>
      </c>
      <c r="HD144" s="82" t="str">
        <f t="shared" si="319"/>
        <v/>
      </c>
      <c r="HE144" s="60" t="e">
        <f>IF(HD144="",#N/A,SUM($HD$4:HD144))</f>
        <v>#N/A</v>
      </c>
      <c r="HF144" s="85" t="e">
        <f>IF(HD144="",#N/A,IF(HB144="Skip",#N/A,SUM($HG$4:HG144)))</f>
        <v>#N/A</v>
      </c>
      <c r="HG144" s="62" t="str">
        <f t="shared" si="320"/>
        <v/>
      </c>
      <c r="HH144" s="82">
        <f t="shared" si="321"/>
        <v>2.4867328463507525</v>
      </c>
    </row>
    <row r="145" spans="1:216" x14ac:dyDescent="0.25">
      <c r="A145" s="57" t="s">
        <v>2479</v>
      </c>
      <c r="B145" s="58" t="s">
        <v>5166</v>
      </c>
      <c r="C145" s="386">
        <f t="shared" si="230"/>
        <v>3</v>
      </c>
      <c r="D145" s="372" t="str">
        <f>_xlfn.XLOOKUP(A145,[1]SP500!$A$2:$A$502,[1]SP500!$D$2:$D$502,"N")</f>
        <v>N</v>
      </c>
      <c r="E145" s="57" t="str">
        <f>_xlfn.XLOOKUP(A145,[1]SP500!$A$2:$A$655,[1]SP500!$B$2:$B$655)</f>
        <v>IGV</v>
      </c>
      <c r="F145" s="227">
        <v>45687</v>
      </c>
      <c r="G145" s="57" t="str">
        <f t="shared" si="231"/>
        <v>AMC</v>
      </c>
      <c r="H145" s="57" t="str">
        <f t="shared" si="232"/>
        <v>o</v>
      </c>
      <c r="I145" s="159">
        <v>253.58</v>
      </c>
      <c r="J145" s="159">
        <v>241.3</v>
      </c>
      <c r="K145" s="61">
        <f t="shared" si="233"/>
        <v>-4.8426532060888088E-2</v>
      </c>
      <c r="L145" s="87">
        <f t="shared" si="234"/>
        <v>-19.370612824355248</v>
      </c>
      <c r="M145" s="214" t="e">
        <f t="shared" si="226"/>
        <v>#N/A</v>
      </c>
      <c r="N145" s="169" t="str">
        <f t="shared" si="235"/>
        <v/>
      </c>
      <c r="O145" s="169">
        <f>IF($J145="",#N/A,SUM($N$4:N145))</f>
        <v>260.21976368961373</v>
      </c>
      <c r="P145" s="174" t="str">
        <f t="shared" si="236"/>
        <v/>
      </c>
      <c r="Q145" s="174">
        <f>IF($J145="",#N/A,SUM($P$4:P145))</f>
        <v>138.25104023772644</v>
      </c>
      <c r="R145" s="178">
        <f t="shared" si="237"/>
        <v>-19.370612824355248</v>
      </c>
      <c r="S145" s="178">
        <f>IF($J145="",#N/A,SUM($R$4:R145))</f>
        <v>190.49649086016575</v>
      </c>
      <c r="T145" s="290" t="str">
        <f t="shared" si="238"/>
        <v/>
      </c>
      <c r="U145" s="290">
        <f>IF($J145="",#N/A,SUM($T$4:T145))</f>
        <v>9.7613400884849888</v>
      </c>
      <c r="V145" s="291" t="str">
        <f t="shared" si="239"/>
        <v/>
      </c>
      <c r="W145" s="291">
        <f>IF($J145="",#N/A,SUM($V$4:V145))</f>
        <v>5.8321710567773195</v>
      </c>
      <c r="X145" s="292">
        <f t="shared" si="240"/>
        <v>-0.80710886768146872</v>
      </c>
      <c r="Y145" s="283">
        <f>IF($J145="",#N/A,SUM($X$4:X145))</f>
        <v>7.6569671238161687</v>
      </c>
      <c r="Z145" s="304" t="str">
        <f t="shared" si="241"/>
        <v/>
      </c>
      <c r="AA145" s="313" t="e">
        <f>IF($J145="",#N/A,SUM(Z$4:Z145))</f>
        <v>#N/A</v>
      </c>
      <c r="AB145" s="314" t="str">
        <f t="shared" si="242"/>
        <v/>
      </c>
      <c r="AC145" s="314" t="e">
        <f>IF($J145="",#N/A,SUM(AB$4:AB145))</f>
        <v>#N/A</v>
      </c>
      <c r="AD145" s="315" t="str">
        <f t="shared" si="243"/>
        <v/>
      </c>
      <c r="AE145" s="315" t="e">
        <f>IF($J145="",#N/A,SUM(AD$4:AD145))</f>
        <v>#N/A</v>
      </c>
      <c r="AF145" s="315" t="e">
        <f>IF($J145="",#N/A,SUM(AD$4:AD145,AB$4:AB145,Z$4:Z145))</f>
        <v>#N/A</v>
      </c>
      <c r="AG145" s="304" t="str">
        <f t="shared" si="244"/>
        <v/>
      </c>
      <c r="AH145" s="313" t="e">
        <f>IF($J145="",#N/A,SUM(AG$4:AG145))</f>
        <v>#N/A</v>
      </c>
      <c r="AI145" s="314" t="str">
        <f t="shared" si="245"/>
        <v/>
      </c>
      <c r="AJ145" s="314" t="e">
        <f>IF($J145="",#N/A,SUM(AI$4:AI145))</f>
        <v>#N/A</v>
      </c>
      <c r="AK145" s="315">
        <f t="shared" si="246"/>
        <v>-0.80710886768146872</v>
      </c>
      <c r="AL145" s="315" t="e">
        <f>IF($J145="",#N/A,SUM(AK$4:AK145))</f>
        <v>#N/A</v>
      </c>
      <c r="AM145" s="315" t="e">
        <f>IF($J145="",#N/A,SUM(AK$4:AK145,AI$4:AI145,AG$4:AG145))</f>
        <v>#N/A</v>
      </c>
      <c r="AN145" s="304" t="str">
        <f t="shared" si="247"/>
        <v/>
      </c>
      <c r="AO145" s="313" t="e">
        <f>IF($J145="",#N/A,SUM(AN$4:AN145))</f>
        <v>#N/A</v>
      </c>
      <c r="AP145" s="314" t="str">
        <f t="shared" si="248"/>
        <v/>
      </c>
      <c r="AQ145" s="314" t="e">
        <f>IF($J145="",#N/A,SUM(AP$4:AP145))</f>
        <v>#N/A</v>
      </c>
      <c r="AR145" s="315" t="str">
        <f t="shared" si="249"/>
        <v/>
      </c>
      <c r="AS145" s="315" t="e">
        <f>IF($J145="",#N/A,SUM(AR$4:AR145))</f>
        <v>#N/A</v>
      </c>
      <c r="AT145" s="315" t="e">
        <f>IF($J145="",#N/A,SUM(AR$4:AR145,AP$4:AP145,AN$4:AN145))</f>
        <v>#N/A</v>
      </c>
      <c r="AU145" s="304" t="str">
        <f t="shared" si="250"/>
        <v/>
      </c>
      <c r="AV145" s="313" t="e">
        <f>IF($J145="",#N/A,SUM(AU$4:AU145))</f>
        <v>#N/A</v>
      </c>
      <c r="AW145" s="314" t="str">
        <f t="shared" si="251"/>
        <v/>
      </c>
      <c r="AX145" s="314" t="e">
        <f>IF($J145="",#N/A,SUM(AW$4:AW145))</f>
        <v>#N/A</v>
      </c>
      <c r="AY145" s="315" t="str">
        <f t="shared" si="252"/>
        <v/>
      </c>
      <c r="AZ145" s="315" t="e">
        <f>IF($J145="",#N/A,SUM(AY$4:AY145))</f>
        <v>#N/A</v>
      </c>
      <c r="BA145" s="315" t="e">
        <f>IF($J145="",#N/A,SUM(AY$4:AY145,AW$4:AW145,AU$4:AU145))</f>
        <v>#N/A</v>
      </c>
      <c r="BB145" s="304" t="str">
        <f t="shared" si="253"/>
        <v/>
      </c>
      <c r="BC145" s="313" t="e">
        <f>IF($J145="",#N/A,SUM(BB$4:BB145))</f>
        <v>#N/A</v>
      </c>
      <c r="BD145" s="314" t="str">
        <f t="shared" si="254"/>
        <v/>
      </c>
      <c r="BE145" s="314" t="e">
        <f>IF($J145="",#N/A,SUM(BD$4:BD145))</f>
        <v>#N/A</v>
      </c>
      <c r="BF145" s="315" t="str">
        <f t="shared" si="255"/>
        <v/>
      </c>
      <c r="BG145" s="315" t="e">
        <f>IF($J145="",#N/A,SUM(BF$4:BF145))</f>
        <v>#N/A</v>
      </c>
      <c r="BH145" s="315" t="e">
        <f>IF($J145="",#N/A,SUM(BF$4:BF145,BD$4:BD145,BB$4:BB145))</f>
        <v>#N/A</v>
      </c>
      <c r="BI145" s="304" t="str">
        <f t="shared" si="256"/>
        <v/>
      </c>
      <c r="BJ145" s="313" t="e">
        <f>IF($J145="",#N/A,SUM(BI$4:BI145))</f>
        <v>#N/A</v>
      </c>
      <c r="BK145" s="314" t="str">
        <f t="shared" si="257"/>
        <v/>
      </c>
      <c r="BL145" s="314" t="e">
        <f>IF($J145="",#N/A,SUM(BK$4:BK145))</f>
        <v>#N/A</v>
      </c>
      <c r="BM145" s="315" t="str">
        <f t="shared" si="258"/>
        <v/>
      </c>
      <c r="BN145" s="315" t="e">
        <f>IF($J145="",#N/A,SUM(BM$4:BM145))</f>
        <v>#N/A</v>
      </c>
      <c r="BO145" s="315" t="e">
        <f>IF($J145="",#N/A,SUM(BM$4:BM145,BK$4:BK145,BI$4:BI145))</f>
        <v>#N/A</v>
      </c>
      <c r="BP145" s="304" t="str">
        <f t="shared" si="259"/>
        <v/>
      </c>
      <c r="BQ145" s="313" t="e">
        <f>IF($J145="",#N/A,SUM(BP$4:BP145))</f>
        <v>#N/A</v>
      </c>
      <c r="BR145" s="314" t="str">
        <f t="shared" si="260"/>
        <v/>
      </c>
      <c r="BS145" s="314" t="e">
        <f>IF($J145="",#N/A,SUM(BR$4:BR145))</f>
        <v>#N/A</v>
      </c>
      <c r="BT145" s="315" t="str">
        <f t="shared" si="261"/>
        <v/>
      </c>
      <c r="BU145" s="315" t="e">
        <f>IF($J145="",#N/A,SUM(BT$4:BT145))</f>
        <v>#N/A</v>
      </c>
      <c r="BV145" s="315" t="e">
        <f>IF($J145="",#N/A,SUM(BT$4:BT145,BR$4:BR145,BP$4:BP145))</f>
        <v>#N/A</v>
      </c>
      <c r="BW145" s="304" t="str">
        <f t="shared" si="262"/>
        <v/>
      </c>
      <c r="BX145" s="313" t="e">
        <f>IF($J145="",#N/A,SUM(BW$4:BW145))</f>
        <v>#N/A</v>
      </c>
      <c r="BY145" s="314" t="str">
        <f t="shared" si="263"/>
        <v/>
      </c>
      <c r="BZ145" s="314" t="e">
        <f>IF($J145="",#N/A,SUM(BY$4:BY145))</f>
        <v>#N/A</v>
      </c>
      <c r="CA145" s="315" t="str">
        <f t="shared" si="264"/>
        <v/>
      </c>
      <c r="CB145" s="315" t="e">
        <f>IF($J145="",#N/A,SUM(CA$4:CA145))</f>
        <v>#N/A</v>
      </c>
      <c r="CC145" s="315" t="e">
        <f>IF($J145="",#N/A,SUM(CA$4:CA145,BY$4:BY145,BW$4:BW145))</f>
        <v>#N/A</v>
      </c>
      <c r="CD145" s="304" t="str">
        <f t="shared" si="265"/>
        <v/>
      </c>
      <c r="CE145" s="313" t="e">
        <f>IF($J145="",#N/A,SUM(CD$4:CD145))</f>
        <v>#N/A</v>
      </c>
      <c r="CF145" s="314" t="str">
        <f t="shared" si="266"/>
        <v/>
      </c>
      <c r="CG145" s="314" t="e">
        <f>IF($J145="",#N/A,SUM(CF$4:CF145))</f>
        <v>#N/A</v>
      </c>
      <c r="CH145" s="315" t="str">
        <f t="shared" si="267"/>
        <v/>
      </c>
      <c r="CI145" s="315" t="e">
        <f>IF($J145="",#N/A,SUM(CH$4:CH145))</f>
        <v>#N/A</v>
      </c>
      <c r="CJ145" s="315" t="e">
        <f>IF($J145="",#N/A,SUM(CH$4:CH145,CF$4:CF145,CD$4:CD145))</f>
        <v>#N/A</v>
      </c>
      <c r="CK145" s="304" t="str">
        <f t="shared" si="268"/>
        <v/>
      </c>
      <c r="CL145" s="313" t="e">
        <f>IF($J145="",#N/A,SUM(CK$4:CK145))</f>
        <v>#N/A</v>
      </c>
      <c r="CM145" s="314" t="str">
        <f t="shared" si="269"/>
        <v/>
      </c>
      <c r="CN145" s="314" t="e">
        <f>IF($J145="",#N/A,SUM(CM$4:CM145))</f>
        <v>#N/A</v>
      </c>
      <c r="CO145" s="315" t="str">
        <f t="shared" si="270"/>
        <v/>
      </c>
      <c r="CP145" s="315" t="e">
        <f>IF($J145="",#N/A,SUM(CO$4:CO145))</f>
        <v>#N/A</v>
      </c>
      <c r="CQ145" s="315" t="e">
        <f>IF($J145="",#N/A,SUM(CO$4:CO145,CM$4:CM145,CK$4:CK145))</f>
        <v>#N/A</v>
      </c>
      <c r="CR145" s="304" t="str">
        <f t="shared" si="271"/>
        <v/>
      </c>
      <c r="CS145" s="313" t="e">
        <f>IF($J145="",#N/A,SUM(CR$4:CR145))</f>
        <v>#N/A</v>
      </c>
      <c r="CT145" s="314" t="str">
        <f t="shared" si="272"/>
        <v/>
      </c>
      <c r="CU145" s="314" t="e">
        <f>IF($J145="",#N/A,SUM(CT$4:CT145))</f>
        <v>#N/A</v>
      </c>
      <c r="CV145" s="315" t="str">
        <f t="shared" si="273"/>
        <v/>
      </c>
      <c r="CW145" s="315" t="e">
        <f>IF($J145="",#N/A,SUM(CV$4:CV145))</f>
        <v>#N/A</v>
      </c>
      <c r="CX145" s="315" t="e">
        <f>IF($J145="",#N/A,SUM(CV$4:CV145,CT$4:CT145,CR$4:CR145))</f>
        <v>#N/A</v>
      </c>
      <c r="CY145" s="304" t="str">
        <f t="shared" si="274"/>
        <v/>
      </c>
      <c r="CZ145" s="313" t="e">
        <f>IF($J145="",#N/A,SUM(CY$4:CY145))</f>
        <v>#N/A</v>
      </c>
      <c r="DA145" s="314" t="str">
        <f t="shared" si="275"/>
        <v/>
      </c>
      <c r="DB145" s="314" t="e">
        <f>IF($J145="",#N/A,SUM(DA$4:DA145))</f>
        <v>#N/A</v>
      </c>
      <c r="DC145" s="315" t="str">
        <f t="shared" si="276"/>
        <v/>
      </c>
      <c r="DD145" s="315" t="e">
        <f>IF($J145="",#N/A,SUM(DC$4:DC145))</f>
        <v>#N/A</v>
      </c>
      <c r="DE145" s="315" t="e">
        <f>IF($J145="",#N/A,SUM(DC$4:DC145,DA$4:DA145,CY$4:CY145))</f>
        <v>#N/A</v>
      </c>
      <c r="DF145" s="304" t="str">
        <f t="shared" si="277"/>
        <v/>
      </c>
      <c r="DG145" s="313" t="e">
        <f>IF($J145="",#N/A,SUM(DF$4:DF145))</f>
        <v>#N/A</v>
      </c>
      <c r="DH145" s="314" t="str">
        <f t="shared" si="278"/>
        <v/>
      </c>
      <c r="DI145" s="314" t="e">
        <f>IF($J145="",#N/A,SUM(DH$4:DH145))</f>
        <v>#N/A</v>
      </c>
      <c r="DJ145" s="315" t="str">
        <f t="shared" si="279"/>
        <v/>
      </c>
      <c r="DK145" s="315" t="e">
        <f>IF($J145="",#N/A,SUM(DJ$4:DJ145))</f>
        <v>#N/A</v>
      </c>
      <c r="DL145" s="315" t="e">
        <f>IF($J145="",#N/A,SUM(DJ$4:DJ145,DH$4:DH145,DF$4:DF145))</f>
        <v>#N/A</v>
      </c>
      <c r="DM145" s="304" t="str">
        <f t="shared" si="280"/>
        <v/>
      </c>
      <c r="DN145" s="313" t="e">
        <f>IF($J145="",#N/A,SUM(DM$4:DM145))</f>
        <v>#N/A</v>
      </c>
      <c r="DO145" s="314" t="str">
        <f t="shared" si="281"/>
        <v/>
      </c>
      <c r="DP145" s="314" t="e">
        <f>IF($J145="",#N/A,SUM(DO$4:DO145))</f>
        <v>#N/A</v>
      </c>
      <c r="DQ145" s="315" t="str">
        <f t="shared" si="282"/>
        <v/>
      </c>
      <c r="DR145" s="315" t="e">
        <f>IF($J145="",#N/A,SUM(DQ$4:DQ145))</f>
        <v>#N/A</v>
      </c>
      <c r="DS145" s="315" t="e">
        <f>IF($J145="",#N/A,SUM(DQ$4:DQ145,DO$4:DO145,DM$4:DM145))</f>
        <v>#N/A</v>
      </c>
      <c r="DT145" s="304" t="str">
        <f t="shared" si="283"/>
        <v/>
      </c>
      <c r="DU145" s="313" t="e">
        <f>IF($J145="",#N/A,SUM(DT$4:DT145))</f>
        <v>#N/A</v>
      </c>
      <c r="DV145" s="314" t="str">
        <f t="shared" si="284"/>
        <v/>
      </c>
      <c r="DW145" s="314" t="e">
        <f>IF($J145="",#N/A,SUM(DV$4:DV145))</f>
        <v>#N/A</v>
      </c>
      <c r="DX145" s="315" t="str">
        <f t="shared" si="285"/>
        <v/>
      </c>
      <c r="DY145" s="315" t="e">
        <f>IF($J145="",#N/A,SUM(DX$4:DX145))</f>
        <v>#N/A</v>
      </c>
      <c r="DZ145" s="315" t="e">
        <f>IF($J145="",#N/A,SUM(DX$4:DX145,DV$4:DV145,DT$4:DT145))</f>
        <v>#N/A</v>
      </c>
      <c r="EA145" s="304" t="str">
        <f t="shared" si="286"/>
        <v/>
      </c>
      <c r="EB145" s="313" t="e">
        <f>IF($J145="",#N/A,SUM(EA$4:EA145))</f>
        <v>#N/A</v>
      </c>
      <c r="EC145" s="314" t="str">
        <f t="shared" si="287"/>
        <v/>
      </c>
      <c r="ED145" s="314" t="e">
        <f>IF($J145="",#N/A,SUM(EC$4:EC145))</f>
        <v>#N/A</v>
      </c>
      <c r="EE145" s="315" t="str">
        <f t="shared" si="288"/>
        <v/>
      </c>
      <c r="EF145" s="315" t="e">
        <f>IF($J145="",#N/A,SUM(EE$4:EE145))</f>
        <v>#N/A</v>
      </c>
      <c r="EG145" s="315" t="e">
        <f>IF($J145="",#N/A,SUM(EE$4:EE145,EC$4:EC145,EA$4:EA145))</f>
        <v>#N/A</v>
      </c>
      <c r="EH145" s="130">
        <f t="shared" si="289"/>
        <v>-19.370612824355248</v>
      </c>
      <c r="EI145" s="63">
        <f>IF(EH145="",#N/A,SUM($EH$4:EH145))</f>
        <v>588.96729478750626</v>
      </c>
      <c r="EJ145" s="223" t="e">
        <f t="shared" si="290"/>
        <v>#N/A</v>
      </c>
      <c r="EK145" s="63" t="e">
        <f>IF($GZ145="",#N/A,SUM(EJ$4:EJ145))</f>
        <v>#N/A</v>
      </c>
      <c r="EL145" s="60" t="str">
        <f t="shared" si="322"/>
        <v/>
      </c>
      <c r="EM145" s="60" t="e">
        <f>IF(EL145="",NA(),SUM($EL$4:EL145))</f>
        <v>#N/A</v>
      </c>
      <c r="EN145" s="60" t="str">
        <f t="shared" si="291"/>
        <v/>
      </c>
      <c r="EO145" s="60" t="e">
        <f>IF(EN145="",NA(),SUM($EN$4:EN145))</f>
        <v>#N/A</v>
      </c>
      <c r="EP145" s="60" t="str">
        <f t="shared" si="292"/>
        <v/>
      </c>
      <c r="EQ145" s="60" t="e">
        <f>IF(EP145="",NA(),SUM($EP$4:EP145))</f>
        <v>#N/A</v>
      </c>
      <c r="ER145" s="60" t="str">
        <f t="shared" si="293"/>
        <v/>
      </c>
      <c r="ES145" s="60" t="e">
        <f>IF(ER145="",NA(),SUM($ER$4:ER145))</f>
        <v>#N/A</v>
      </c>
      <c r="ET145" s="60">
        <f t="shared" si="294"/>
        <v>-0.80710886768146872</v>
      </c>
      <c r="EU145" s="60">
        <f>IF(ET145="",NA(),SUM($ET$4:ET145))</f>
        <v>3.6607880634812626</v>
      </c>
      <c r="EV145" s="60" t="str">
        <f t="shared" si="295"/>
        <v/>
      </c>
      <c r="EW145" s="60" t="e">
        <f>IF(EV145="",NA(),SUM($EV$4:EV145))</f>
        <v>#N/A</v>
      </c>
      <c r="EX145" s="60">
        <f t="shared" si="296"/>
        <v>-0.80710886768146872</v>
      </c>
      <c r="EY145" s="60">
        <f>IF(EX145="",NA(),SUM($EX$4:EX145))</f>
        <v>-0.92775692007719568</v>
      </c>
      <c r="EZ145" s="60" t="str">
        <f t="shared" si="297"/>
        <v/>
      </c>
      <c r="FA145" s="60" t="e">
        <f>IF(EZ145="",NA(),SUM($EZ$4:EZ145))</f>
        <v>#N/A</v>
      </c>
      <c r="FB145" s="246" t="str">
        <f t="shared" si="323"/>
        <v/>
      </c>
      <c r="FC145" s="246" t="e">
        <f>IF($FB145="",#N/A,SUM(FB$4:$FB145))</f>
        <v>#N/A</v>
      </c>
      <c r="FD145" s="60" t="str">
        <f t="shared" si="298"/>
        <v/>
      </c>
      <c r="FE145" s="60" t="e">
        <f>IF($FD145="",#N/A,SUM($FD$4:FD145))</f>
        <v>#N/A</v>
      </c>
      <c r="FF145" s="60" t="str">
        <f t="shared" si="299"/>
        <v/>
      </c>
      <c r="FG145" s="60" t="e">
        <f>IF($FF145="",#N/A,SUM($FF$4:FF145))</f>
        <v>#N/A</v>
      </c>
      <c r="FH145" s="60" t="str">
        <f t="shared" si="300"/>
        <v/>
      </c>
      <c r="FI145" s="60" t="e">
        <f>IF($FH145="",#N/A,SUM($FH$4:FH145))</f>
        <v>#N/A</v>
      </c>
      <c r="FJ145" s="60" t="str">
        <f t="shared" si="301"/>
        <v/>
      </c>
      <c r="FK145" s="60" t="e">
        <f>IF($FJ145="",#N/A,SUM($FJ$4:FJ145))</f>
        <v>#N/A</v>
      </c>
      <c r="FL145" s="60">
        <f t="shared" si="302"/>
        <v>-0.48571128112101525</v>
      </c>
      <c r="FM145" s="60">
        <f>IF($FL145="",#N/A,SUM($FL$4:FL145))</f>
        <v>4.5326710996824442</v>
      </c>
      <c r="FN145" s="82">
        <f t="shared" si="303"/>
        <v>-1.292820148802484</v>
      </c>
      <c r="FO145" s="82">
        <f>IF($FN145="",#N/A,SUM(FN$4:$FN145))</f>
        <v>29.681482712100095</v>
      </c>
      <c r="FP145" s="82">
        <f t="shared" si="324"/>
        <v>-0.80710886768146872</v>
      </c>
      <c r="FQ145" s="246">
        <f>IF($EH145="",#N/A,SUM($FP$4:FP145))</f>
        <v>23.250478269078489</v>
      </c>
      <c r="FR145" s="82">
        <f>IFERROR(FQ145/COUNTA($J$4:J145),#N/A)</f>
        <v>0.16373576245829921</v>
      </c>
      <c r="FS145" s="82">
        <f>IFERROR(($FQ145-$FQ97)/COUNTA($J97:$J145),#N/A)</f>
        <v>-1.1809605189904995E-2</v>
      </c>
      <c r="FT145" s="82">
        <f t="shared" si="328"/>
        <v>-1.4534125439748351E-2</v>
      </c>
      <c r="FU145" s="99"/>
      <c r="FV145" s="57" t="str">
        <f t="shared" si="305"/>
        <v>SW</v>
      </c>
      <c r="FW145" s="57" t="s">
        <v>2732</v>
      </c>
      <c r="FX145" s="57" t="str">
        <f t="shared" si="306"/>
        <v/>
      </c>
      <c r="FY145" s="57" t="str">
        <f t="shared" si="307"/>
        <v/>
      </c>
      <c r="FZ145" s="57" t="str">
        <f t="shared" si="308"/>
        <v/>
      </c>
      <c r="GA145" s="57" t="str">
        <f t="shared" si="309"/>
        <v>Long</v>
      </c>
      <c r="GB145" s="57" t="str">
        <f t="shared" si="310"/>
        <v/>
      </c>
      <c r="GC145" s="57" t="str">
        <f t="shared" si="311"/>
        <v/>
      </c>
      <c r="GD145" s="57">
        <f t="shared" si="312"/>
        <v>1</v>
      </c>
      <c r="GE145" s="62">
        <f t="shared" si="227"/>
        <v>253.58</v>
      </c>
      <c r="GF145" s="62" t="s">
        <v>2779</v>
      </c>
      <c r="GG145" s="99">
        <f>400/I145</f>
        <v>1.5774114677813706</v>
      </c>
      <c r="GH145" s="207">
        <f t="shared" si="313"/>
        <v>400</v>
      </c>
      <c r="GI145" s="99">
        <f>GG145</f>
        <v>1.5774114677813706</v>
      </c>
      <c r="GJ145" s="98">
        <f>J145</f>
        <v>241.3</v>
      </c>
      <c r="GK145" s="63">
        <f t="shared" si="314"/>
        <v>-19.370612824355248</v>
      </c>
      <c r="GL145" s="63">
        <f t="shared" si="228"/>
        <v>-31.027683571259615</v>
      </c>
      <c r="GM145" s="82">
        <f t="shared" si="315"/>
        <v>-1.292820148802484</v>
      </c>
      <c r="GN145" s="82">
        <f>IF($GZ145="",#N/A,SUM(GM$4:GM145))</f>
        <v>9.944050506410564</v>
      </c>
      <c r="GO145" s="82" t="str">
        <f t="shared" si="316"/>
        <v/>
      </c>
      <c r="GP145" s="82">
        <f>IF($GZ145="",#N/A,SUM(GO$4:GO145))</f>
        <v>10.421159964010178</v>
      </c>
      <c r="GQ145" s="82" t="str">
        <f t="shared" si="317"/>
        <v/>
      </c>
      <c r="GR145" s="82">
        <f>IF($GZ145="",#N/A,SUM(GQ$4:GQ145))</f>
        <v>8.6904352872370154</v>
      </c>
      <c r="GS145" s="63" t="e">
        <f t="shared" si="325"/>
        <v>#N/A</v>
      </c>
      <c r="GT145" s="63" t="e">
        <f>IF($GZ145="",#N/A,SUM(GS$4:GS145))</f>
        <v>#N/A</v>
      </c>
      <c r="GU145" s="63" t="str">
        <f t="shared" si="326"/>
        <v/>
      </c>
      <c r="GV145" s="63" t="e">
        <f>IF($GZ145="",#N/A,SUM(GU$4:GU145))</f>
        <v>#N/A</v>
      </c>
      <c r="GW145" s="63" t="str">
        <f t="shared" si="327"/>
        <v/>
      </c>
      <c r="GX145" s="63" t="e">
        <f>IF($GZ145="",#N/A,SUM(GW$4:GW145))</f>
        <v>#N/A</v>
      </c>
      <c r="GY145" s="63" t="e">
        <f>IF(EJ145="",#N/A,SUM($EJ$4:EJ145))</f>
        <v>#N/A</v>
      </c>
      <c r="GZ145" s="159">
        <v>233.91</v>
      </c>
      <c r="HA145" s="63">
        <f t="shared" si="318"/>
        <v>-11.657070746904367</v>
      </c>
      <c r="HB145" s="62" t="s">
        <v>4970</v>
      </c>
      <c r="HC145" s="60">
        <f>IFERROR(VLOOKUP(E145,Expectancy!$P$4:$S$19,1+C145,FALSE),"")</f>
        <v>0.27741610538114203</v>
      </c>
      <c r="HD145" s="82" t="str">
        <f t="shared" si="319"/>
        <v/>
      </c>
      <c r="HE145" s="60" t="e">
        <f>IF(HD145="",#N/A,SUM($HD$4:HD145))</f>
        <v>#N/A</v>
      </c>
      <c r="HF145" s="85" t="e">
        <f>IF(HD145="",#N/A,IF(HB145="Skip",#N/A,SUM($HG$4:HG145)))</f>
        <v>#N/A</v>
      </c>
      <c r="HG145" s="62" t="str">
        <f t="shared" si="320"/>
        <v/>
      </c>
      <c r="HH145" s="82">
        <f t="shared" si="321"/>
        <v>-1.292820148802484</v>
      </c>
    </row>
    <row r="146" spans="1:216" x14ac:dyDescent="0.25">
      <c r="A146" s="57" t="s">
        <v>13</v>
      </c>
      <c r="B146" s="58" t="s">
        <v>5172</v>
      </c>
      <c r="C146" s="386">
        <f t="shared" si="230"/>
        <v>2</v>
      </c>
      <c r="D146" s="372" t="str">
        <f>_xlfn.XLOOKUP(A146,[1]SP500!$A$2:$A$502,[1]SP500!$D$2:$D$502,"N")</f>
        <v>Y</v>
      </c>
      <c r="E146" s="57" t="str">
        <f>_xlfn.XLOOKUP(A146,[1]SP500!$A$2:$A$655,[1]SP500!$B$2:$B$655)</f>
        <v>XLE</v>
      </c>
      <c r="F146" s="59">
        <v>45688</v>
      </c>
      <c r="G146" s="57" t="str">
        <f t="shared" si="231"/>
        <v>BMO</v>
      </c>
      <c r="H146" s="57" t="str">
        <f t="shared" si="232"/>
        <v>s</v>
      </c>
      <c r="I146" s="159">
        <v>109.57</v>
      </c>
      <c r="J146" s="159">
        <v>110.55</v>
      </c>
      <c r="K146" s="61">
        <f t="shared" si="233"/>
        <v>8.9440540293876433E-3</v>
      </c>
      <c r="L146" s="87">
        <f t="shared" si="234"/>
        <v>-3.9200000000000159</v>
      </c>
      <c r="M146" s="130">
        <f t="shared" si="226"/>
        <v>1.8799999999999955</v>
      </c>
      <c r="N146" s="169" t="str">
        <f t="shared" si="235"/>
        <v/>
      </c>
      <c r="O146" s="169">
        <f>IF($J146="",#N/A,SUM($N$4:N146))</f>
        <v>260.21976368961373</v>
      </c>
      <c r="P146" s="174">
        <f t="shared" si="236"/>
        <v>-3.9200000000000159</v>
      </c>
      <c r="Q146" s="174">
        <f>IF($J146="",#N/A,SUM($P$4:P146))</f>
        <v>134.33104023772643</v>
      </c>
      <c r="R146" s="178" t="str">
        <f t="shared" si="237"/>
        <v/>
      </c>
      <c r="S146" s="178">
        <f>IF($J146="",#N/A,SUM($R$4:R146))</f>
        <v>190.49649086016575</v>
      </c>
      <c r="T146" s="290" t="str">
        <f t="shared" si="238"/>
        <v/>
      </c>
      <c r="U146" s="290">
        <f>IF($J146="",#N/A,SUM($T$4:T146))</f>
        <v>9.7613400884849888</v>
      </c>
      <c r="V146" s="291">
        <f t="shared" si="239"/>
        <v>-0.14906756715646072</v>
      </c>
      <c r="W146" s="291">
        <f>IF($J146="",#N/A,SUM($V$4:V146))</f>
        <v>5.6831034896208585</v>
      </c>
      <c r="X146" s="292" t="str">
        <f t="shared" si="240"/>
        <v/>
      </c>
      <c r="Y146" s="283">
        <f>IF($J146="",#N/A,SUM($X$4:X146))</f>
        <v>7.6569671238161687</v>
      </c>
      <c r="Z146" s="304" t="str">
        <f t="shared" si="241"/>
        <v/>
      </c>
      <c r="AA146" s="313" t="e">
        <f>IF($J146="",#N/A,SUM(Z$4:Z146))</f>
        <v>#N/A</v>
      </c>
      <c r="AB146" s="314" t="str">
        <f t="shared" si="242"/>
        <v/>
      </c>
      <c r="AC146" s="314" t="e">
        <f>IF($J146="",#N/A,SUM(AB$4:AB146))</f>
        <v>#N/A</v>
      </c>
      <c r="AD146" s="315" t="str">
        <f t="shared" si="243"/>
        <v/>
      </c>
      <c r="AE146" s="315" t="e">
        <f>IF($J146="",#N/A,SUM(AD$4:AD146))</f>
        <v>#N/A</v>
      </c>
      <c r="AF146" s="315" t="e">
        <f>IF($J146="",#N/A,SUM(AD$4:AD146,AB$4:AB146,Z$4:Z146))</f>
        <v>#N/A</v>
      </c>
      <c r="AG146" s="304" t="str">
        <f t="shared" si="244"/>
        <v/>
      </c>
      <c r="AH146" s="313" t="e">
        <f>IF($J146="",#N/A,SUM(AG$4:AG146))</f>
        <v>#N/A</v>
      </c>
      <c r="AI146" s="314" t="str">
        <f t="shared" si="245"/>
        <v/>
      </c>
      <c r="AJ146" s="314" t="e">
        <f>IF($J146="",#N/A,SUM(AI$4:AI146))</f>
        <v>#N/A</v>
      </c>
      <c r="AK146" s="315" t="str">
        <f t="shared" si="246"/>
        <v/>
      </c>
      <c r="AL146" s="315" t="e">
        <f>IF($J146="",#N/A,SUM(AK$4:AK146))</f>
        <v>#N/A</v>
      </c>
      <c r="AM146" s="315" t="e">
        <f>IF($J146="",#N/A,SUM(AK$4:AK146,AI$4:AI146,AG$4:AG146))</f>
        <v>#N/A</v>
      </c>
      <c r="AN146" s="304" t="str">
        <f t="shared" si="247"/>
        <v/>
      </c>
      <c r="AO146" s="313" t="e">
        <f>IF($J146="",#N/A,SUM(AN$4:AN146))</f>
        <v>#N/A</v>
      </c>
      <c r="AP146" s="314" t="str">
        <f t="shared" si="248"/>
        <v/>
      </c>
      <c r="AQ146" s="314" t="e">
        <f>IF($J146="",#N/A,SUM(AP$4:AP146))</f>
        <v>#N/A</v>
      </c>
      <c r="AR146" s="315" t="str">
        <f t="shared" si="249"/>
        <v/>
      </c>
      <c r="AS146" s="315" t="e">
        <f>IF($J146="",#N/A,SUM(AR$4:AR146))</f>
        <v>#N/A</v>
      </c>
      <c r="AT146" s="315" t="e">
        <f>IF($J146="",#N/A,SUM(AR$4:AR146,AP$4:AP146,AN$4:AN146))</f>
        <v>#N/A</v>
      </c>
      <c r="AU146" s="304" t="str">
        <f t="shared" si="250"/>
        <v/>
      </c>
      <c r="AV146" s="313" t="e">
        <f>IF($J146="",#N/A,SUM(AU$4:AU146))</f>
        <v>#N/A</v>
      </c>
      <c r="AW146" s="314" t="str">
        <f t="shared" si="251"/>
        <v/>
      </c>
      <c r="AX146" s="314" t="e">
        <f>IF($J146="",#N/A,SUM(AW$4:AW146))</f>
        <v>#N/A</v>
      </c>
      <c r="AY146" s="315" t="str">
        <f t="shared" si="252"/>
        <v/>
      </c>
      <c r="AZ146" s="315" t="e">
        <f>IF($J146="",#N/A,SUM(AY$4:AY146))</f>
        <v>#N/A</v>
      </c>
      <c r="BA146" s="315" t="e">
        <f>IF($J146="",#N/A,SUM(AY$4:AY146,AW$4:AW146,AU$4:AU146))</f>
        <v>#N/A</v>
      </c>
      <c r="BB146" s="304" t="str">
        <f t="shared" si="253"/>
        <v/>
      </c>
      <c r="BC146" s="313" t="e">
        <f>IF($J146="",#N/A,SUM(BB$4:BB146))</f>
        <v>#N/A</v>
      </c>
      <c r="BD146" s="314" t="str">
        <f t="shared" si="254"/>
        <v/>
      </c>
      <c r="BE146" s="314" t="e">
        <f>IF($J146="",#N/A,SUM(BD$4:BD146))</f>
        <v>#N/A</v>
      </c>
      <c r="BF146" s="315" t="str">
        <f t="shared" si="255"/>
        <v/>
      </c>
      <c r="BG146" s="315" t="e">
        <f>IF($J146="",#N/A,SUM(BF$4:BF146))</f>
        <v>#N/A</v>
      </c>
      <c r="BH146" s="315" t="e">
        <f>IF($J146="",#N/A,SUM(BF$4:BF146,BD$4:BD146,BB$4:BB146))</f>
        <v>#N/A</v>
      </c>
      <c r="BI146" s="304" t="str">
        <f t="shared" si="256"/>
        <v/>
      </c>
      <c r="BJ146" s="313" t="e">
        <f>IF($J146="",#N/A,SUM(BI$4:BI146))</f>
        <v>#N/A</v>
      </c>
      <c r="BK146" s="314" t="str">
        <f t="shared" si="257"/>
        <v/>
      </c>
      <c r="BL146" s="314" t="e">
        <f>IF($J146="",#N/A,SUM(BK$4:BK146))</f>
        <v>#N/A</v>
      </c>
      <c r="BM146" s="315" t="str">
        <f t="shared" si="258"/>
        <v/>
      </c>
      <c r="BN146" s="315" t="e">
        <f>IF($J146="",#N/A,SUM(BM$4:BM146))</f>
        <v>#N/A</v>
      </c>
      <c r="BO146" s="315" t="e">
        <f>IF($J146="",#N/A,SUM(BM$4:BM146,BK$4:BK146,BI$4:BI146))</f>
        <v>#N/A</v>
      </c>
      <c r="BP146" s="304" t="str">
        <f t="shared" si="259"/>
        <v/>
      </c>
      <c r="BQ146" s="313" t="e">
        <f>IF($J146="",#N/A,SUM(BP$4:BP146))</f>
        <v>#N/A</v>
      </c>
      <c r="BR146" s="314" t="str">
        <f t="shared" si="260"/>
        <v/>
      </c>
      <c r="BS146" s="314" t="e">
        <f>IF($J146="",#N/A,SUM(BR$4:BR146))</f>
        <v>#N/A</v>
      </c>
      <c r="BT146" s="315" t="str">
        <f t="shared" si="261"/>
        <v/>
      </c>
      <c r="BU146" s="315" t="e">
        <f>IF($J146="",#N/A,SUM(BT$4:BT146))</f>
        <v>#N/A</v>
      </c>
      <c r="BV146" s="315" t="e">
        <f>IF($J146="",#N/A,SUM(BT$4:BT146,BR$4:BR146,BP$4:BP146))</f>
        <v>#N/A</v>
      </c>
      <c r="BW146" s="304" t="str">
        <f t="shared" si="262"/>
        <v/>
      </c>
      <c r="BX146" s="313" t="e">
        <f>IF($J146="",#N/A,SUM(BW$4:BW146))</f>
        <v>#N/A</v>
      </c>
      <c r="BY146" s="314" t="str">
        <f t="shared" si="263"/>
        <v/>
      </c>
      <c r="BZ146" s="314" t="e">
        <f>IF($J146="",#N/A,SUM(BY$4:BY146))</f>
        <v>#N/A</v>
      </c>
      <c r="CA146" s="315" t="str">
        <f t="shared" si="264"/>
        <v/>
      </c>
      <c r="CB146" s="315" t="e">
        <f>IF($J146="",#N/A,SUM(CA$4:CA146))</f>
        <v>#N/A</v>
      </c>
      <c r="CC146" s="315" t="e">
        <f>IF($J146="",#N/A,SUM(CA$4:CA146,BY$4:BY146,BW$4:BW146))</f>
        <v>#N/A</v>
      </c>
      <c r="CD146" s="304" t="str">
        <f t="shared" si="265"/>
        <v/>
      </c>
      <c r="CE146" s="313" t="e">
        <f>IF($J146="",#N/A,SUM(CD$4:CD146))</f>
        <v>#N/A</v>
      </c>
      <c r="CF146" s="314" t="str">
        <f t="shared" si="266"/>
        <v/>
      </c>
      <c r="CG146" s="314" t="e">
        <f>IF($J146="",#N/A,SUM(CF$4:CF146))</f>
        <v>#N/A</v>
      </c>
      <c r="CH146" s="315" t="str">
        <f t="shared" si="267"/>
        <v/>
      </c>
      <c r="CI146" s="315" t="e">
        <f>IF($J146="",#N/A,SUM(CH$4:CH146))</f>
        <v>#N/A</v>
      </c>
      <c r="CJ146" s="315" t="e">
        <f>IF($J146="",#N/A,SUM(CH$4:CH146,CF$4:CF146,CD$4:CD146))</f>
        <v>#N/A</v>
      </c>
      <c r="CK146" s="304" t="str">
        <f t="shared" si="268"/>
        <v/>
      </c>
      <c r="CL146" s="313" t="e">
        <f>IF($J146="",#N/A,SUM(CK$4:CK146))</f>
        <v>#N/A</v>
      </c>
      <c r="CM146" s="314" t="str">
        <f t="shared" si="269"/>
        <v/>
      </c>
      <c r="CN146" s="314" t="e">
        <f>IF($J146="",#N/A,SUM(CM$4:CM146))</f>
        <v>#N/A</v>
      </c>
      <c r="CO146" s="315" t="str">
        <f t="shared" si="270"/>
        <v/>
      </c>
      <c r="CP146" s="315" t="e">
        <f>IF($J146="",#N/A,SUM(CO$4:CO146))</f>
        <v>#N/A</v>
      </c>
      <c r="CQ146" s="315" t="e">
        <f>IF($J146="",#N/A,SUM(CO$4:CO146,CM$4:CM146,CK$4:CK146))</f>
        <v>#N/A</v>
      </c>
      <c r="CR146" s="304" t="str">
        <f t="shared" si="271"/>
        <v/>
      </c>
      <c r="CS146" s="313" t="e">
        <f>IF($J146="",#N/A,SUM(CR$4:CR146))</f>
        <v>#N/A</v>
      </c>
      <c r="CT146" s="314">
        <f t="shared" si="272"/>
        <v>-0.14906756715646072</v>
      </c>
      <c r="CU146" s="314" t="e">
        <f>IF($J146="",#N/A,SUM(CT$4:CT146))</f>
        <v>#N/A</v>
      </c>
      <c r="CV146" s="315" t="str">
        <f t="shared" si="273"/>
        <v/>
      </c>
      <c r="CW146" s="315" t="e">
        <f>IF($J146="",#N/A,SUM(CV$4:CV146))</f>
        <v>#N/A</v>
      </c>
      <c r="CX146" s="315" t="e">
        <f>IF($J146="",#N/A,SUM(CV$4:CV146,CT$4:CT146,CR$4:CR146))</f>
        <v>#N/A</v>
      </c>
      <c r="CY146" s="304" t="str">
        <f t="shared" si="274"/>
        <v/>
      </c>
      <c r="CZ146" s="313" t="e">
        <f>IF($J146="",#N/A,SUM(CY$4:CY146))</f>
        <v>#N/A</v>
      </c>
      <c r="DA146" s="314" t="str">
        <f t="shared" si="275"/>
        <v/>
      </c>
      <c r="DB146" s="314" t="e">
        <f>IF($J146="",#N/A,SUM(DA$4:DA146))</f>
        <v>#N/A</v>
      </c>
      <c r="DC146" s="315" t="str">
        <f t="shared" si="276"/>
        <v/>
      </c>
      <c r="DD146" s="315" t="e">
        <f>IF($J146="",#N/A,SUM(DC$4:DC146))</f>
        <v>#N/A</v>
      </c>
      <c r="DE146" s="315" t="e">
        <f>IF($J146="",#N/A,SUM(DC$4:DC146,DA$4:DA146,CY$4:CY146))</f>
        <v>#N/A</v>
      </c>
      <c r="DF146" s="304" t="str">
        <f t="shared" si="277"/>
        <v/>
      </c>
      <c r="DG146" s="313" t="e">
        <f>IF($J146="",#N/A,SUM(DF$4:DF146))</f>
        <v>#N/A</v>
      </c>
      <c r="DH146" s="314" t="str">
        <f t="shared" si="278"/>
        <v/>
      </c>
      <c r="DI146" s="314" t="e">
        <f>IF($J146="",#N/A,SUM(DH$4:DH146))</f>
        <v>#N/A</v>
      </c>
      <c r="DJ146" s="315" t="str">
        <f t="shared" si="279"/>
        <v/>
      </c>
      <c r="DK146" s="315" t="e">
        <f>IF($J146="",#N/A,SUM(DJ$4:DJ146))</f>
        <v>#N/A</v>
      </c>
      <c r="DL146" s="315" t="e">
        <f>IF($J146="",#N/A,SUM(DJ$4:DJ146,DH$4:DH146,DF$4:DF146))</f>
        <v>#N/A</v>
      </c>
      <c r="DM146" s="304" t="str">
        <f t="shared" si="280"/>
        <v/>
      </c>
      <c r="DN146" s="313" t="e">
        <f>IF($J146="",#N/A,SUM(DM$4:DM146))</f>
        <v>#N/A</v>
      </c>
      <c r="DO146" s="314" t="str">
        <f t="shared" si="281"/>
        <v/>
      </c>
      <c r="DP146" s="314" t="e">
        <f>IF($J146="",#N/A,SUM(DO$4:DO146))</f>
        <v>#N/A</v>
      </c>
      <c r="DQ146" s="315" t="str">
        <f t="shared" si="282"/>
        <v/>
      </c>
      <c r="DR146" s="315" t="e">
        <f>IF($J146="",#N/A,SUM(DQ$4:DQ146))</f>
        <v>#N/A</v>
      </c>
      <c r="DS146" s="315" t="e">
        <f>IF($J146="",#N/A,SUM(DQ$4:DQ146,DO$4:DO146,DM$4:DM146))</f>
        <v>#N/A</v>
      </c>
      <c r="DT146" s="304" t="str">
        <f t="shared" si="283"/>
        <v/>
      </c>
      <c r="DU146" s="313" t="e">
        <f>IF($J146="",#N/A,SUM(DT$4:DT146))</f>
        <v>#N/A</v>
      </c>
      <c r="DV146" s="314" t="str">
        <f t="shared" si="284"/>
        <v/>
      </c>
      <c r="DW146" s="314" t="e">
        <f>IF($J146="",#N/A,SUM(DV$4:DV146))</f>
        <v>#N/A</v>
      </c>
      <c r="DX146" s="315" t="str">
        <f t="shared" si="285"/>
        <v/>
      </c>
      <c r="DY146" s="315" t="e">
        <f>IF($J146="",#N/A,SUM(DX$4:DX146))</f>
        <v>#N/A</v>
      </c>
      <c r="DZ146" s="315" t="e">
        <f>IF($J146="",#N/A,SUM(DX$4:DX146,DV$4:DV146,DT$4:DT146))</f>
        <v>#N/A</v>
      </c>
      <c r="EA146" s="304" t="str">
        <f t="shared" si="286"/>
        <v/>
      </c>
      <c r="EB146" s="313" t="e">
        <f>IF($J146="",#N/A,SUM(EA$4:EA146))</f>
        <v>#N/A</v>
      </c>
      <c r="EC146" s="314" t="str">
        <f t="shared" si="287"/>
        <v/>
      </c>
      <c r="ED146" s="314" t="e">
        <f>IF($J146="",#N/A,SUM(EC$4:EC146))</f>
        <v>#N/A</v>
      </c>
      <c r="EE146" s="315" t="str">
        <f t="shared" si="288"/>
        <v/>
      </c>
      <c r="EF146" s="315" t="e">
        <f>IF($J146="",#N/A,SUM(EE$4:EE146))</f>
        <v>#N/A</v>
      </c>
      <c r="EG146" s="315" t="e">
        <f>IF($J146="",#N/A,SUM(EE$4:EE146,EC$4:EC146,EA$4:EA146))</f>
        <v>#N/A</v>
      </c>
      <c r="EH146" s="130">
        <f t="shared" si="289"/>
        <v>-3.9200000000000159</v>
      </c>
      <c r="EI146" s="63">
        <f>IF(EH146="",#N/A,SUM($EH$4:EH146))</f>
        <v>585.04729478750619</v>
      </c>
      <c r="EJ146" s="223" t="e">
        <f t="shared" si="290"/>
        <v>#N/A</v>
      </c>
      <c r="EK146" s="63" t="e">
        <f>IF($GZ146="",#N/A,SUM(EJ$4:EJ146))</f>
        <v>#N/A</v>
      </c>
      <c r="EL146" s="60">
        <f t="shared" si="322"/>
        <v>-0.14906756715646072</v>
      </c>
      <c r="EM146" s="60">
        <f>IF(EL146="",NA(),SUM($EL$4:EL146))</f>
        <v>19.440622638440757</v>
      </c>
      <c r="EN146" s="60" t="str">
        <f t="shared" si="291"/>
        <v/>
      </c>
      <c r="EO146" s="60" t="e">
        <f>IF(EN146="",NA(),SUM($EN$4:EN146))</f>
        <v>#N/A</v>
      </c>
      <c r="EP146" s="60" t="str">
        <f t="shared" si="292"/>
        <v/>
      </c>
      <c r="EQ146" s="60" t="e">
        <f>IF(EP146="",NA(),SUM($EP$4:EP146))</f>
        <v>#N/A</v>
      </c>
      <c r="ER146" s="60">
        <f t="shared" si="293"/>
        <v>-0.14906756715646072</v>
      </c>
      <c r="ES146" s="60">
        <f>IF(ER146="",NA(),SUM($ER$4:ER146))</f>
        <v>4.9807080369208991</v>
      </c>
      <c r="ET146" s="60" t="str">
        <f t="shared" si="294"/>
        <v/>
      </c>
      <c r="EU146" s="60" t="e">
        <f>IF(ET146="",NA(),SUM($ET$4:ET146))</f>
        <v>#N/A</v>
      </c>
      <c r="EV146" s="60" t="str">
        <f t="shared" si="295"/>
        <v/>
      </c>
      <c r="EW146" s="60" t="e">
        <f>IF(EV146="",NA(),SUM($EV$4:EV146))</f>
        <v>#N/A</v>
      </c>
      <c r="EX146" s="60" t="str">
        <f t="shared" si="296"/>
        <v/>
      </c>
      <c r="EY146" s="60" t="e">
        <f>IF(EX146="",NA(),SUM($EX$4:EX146))</f>
        <v>#N/A</v>
      </c>
      <c r="EZ146" s="60" t="str">
        <f t="shared" si="297"/>
        <v/>
      </c>
      <c r="FA146" s="60" t="e">
        <f>IF(EZ146="",NA(),SUM($EZ$4:EZ146))</f>
        <v>#N/A</v>
      </c>
      <c r="FB146" s="246" t="str">
        <f t="shared" si="323"/>
        <v/>
      </c>
      <c r="FC146" s="246" t="e">
        <f>IF($FB146="",#N/A,SUM(FB$4:$FB146))</f>
        <v>#N/A</v>
      </c>
      <c r="FD146" s="60">
        <f t="shared" si="298"/>
        <v>0.56584831614493003</v>
      </c>
      <c r="FE146" s="60">
        <f>IF($FD146="",#N/A,SUM($FD$4:FD146))</f>
        <v>1.2203691254367874</v>
      </c>
      <c r="FF146" s="60" t="str">
        <f t="shared" si="299"/>
        <v/>
      </c>
      <c r="FG146" s="60" t="e">
        <f>IF($FF146="",#N/A,SUM($FF$4:FF146))</f>
        <v>#N/A</v>
      </c>
      <c r="FH146" s="60" t="str">
        <f t="shared" si="300"/>
        <v/>
      </c>
      <c r="FI146" s="60" t="e">
        <f>IF($FH146="",#N/A,SUM($FH$4:FH146))</f>
        <v>#N/A</v>
      </c>
      <c r="FJ146" s="60" t="str">
        <f t="shared" si="301"/>
        <v/>
      </c>
      <c r="FK146" s="60" t="e">
        <f>IF($FJ146="",#N/A,SUM($FJ$4:FJ146))</f>
        <v>#N/A</v>
      </c>
      <c r="FL146" s="60" t="str">
        <f t="shared" si="302"/>
        <v/>
      </c>
      <c r="FM146" s="60" t="e">
        <f>IF($FL146="",#N/A,SUM($FL$4:FL146))</f>
        <v>#N/A</v>
      </c>
      <c r="FN146" s="82">
        <f t="shared" si="303"/>
        <v>0.41678074898846934</v>
      </c>
      <c r="FO146" s="82">
        <f>IF($FN146="",#N/A,SUM(FN$4:$FN146))</f>
        <v>30.098263461088564</v>
      </c>
      <c r="FP146" s="82">
        <f t="shared" si="324"/>
        <v>-0.14906756715646072</v>
      </c>
      <c r="FQ146" s="246">
        <f>IF($EH146="",#N/A,SUM($FP$4:FP146))</f>
        <v>23.101410701922028</v>
      </c>
      <c r="FR146" s="82">
        <f>IFERROR(FQ146/COUNTA($J$4:J146),#N/A)</f>
        <v>0.16154832658686732</v>
      </c>
      <c r="FS146" s="82" t="e">
        <f>IFERROR(($FQ146-#REF!)/COUNTA($J98:$J146),#N/A)</f>
        <v>#N/A</v>
      </c>
      <c r="FT146" s="82">
        <f t="shared" si="328"/>
        <v>1.5703171873993255E-2</v>
      </c>
      <c r="FU146" s="337">
        <f t="shared" ref="FU146:FU152" si="329">IF(AND(HB146="MOC",GZ146=""),#N/A,IFERROR(FQ146-HE146,FQ146-0))-14.53</f>
        <v>10.97556174297347</v>
      </c>
      <c r="FV146" s="57" t="str">
        <f t="shared" si="305"/>
        <v>Dwn</v>
      </c>
      <c r="FW146" s="57" t="s">
        <v>2734</v>
      </c>
      <c r="FX146" s="57" t="str">
        <f t="shared" si="306"/>
        <v/>
      </c>
      <c r="FY146" s="57">
        <f t="shared" si="307"/>
        <v>1</v>
      </c>
      <c r="FZ146" s="57" t="str">
        <f t="shared" si="308"/>
        <v/>
      </c>
      <c r="GA146" s="57" t="str">
        <f t="shared" si="309"/>
        <v>Short</v>
      </c>
      <c r="GB146" s="57" t="str">
        <f t="shared" si="310"/>
        <v/>
      </c>
      <c r="GC146" s="57" t="str">
        <f t="shared" si="311"/>
        <v/>
      </c>
      <c r="GD146" s="57" t="str">
        <f t="shared" si="312"/>
        <v/>
      </c>
      <c r="GE146" s="62">
        <f t="shared" si="227"/>
        <v>109.57</v>
      </c>
      <c r="GF146" s="62" t="s">
        <v>2780</v>
      </c>
      <c r="GG146" s="199">
        <v>4</v>
      </c>
      <c r="GH146" s="207">
        <f t="shared" si="313"/>
        <v>438.28</v>
      </c>
      <c r="GI146" s="199">
        <v>4</v>
      </c>
      <c r="GJ146" s="200">
        <v>110.08</v>
      </c>
      <c r="GK146" s="63">
        <f t="shared" si="314"/>
        <v>-2.0400000000000205</v>
      </c>
      <c r="GL146" s="63">
        <f t="shared" si="228"/>
        <v>10.95999999999998</v>
      </c>
      <c r="GM146" s="82" t="str">
        <f t="shared" si="315"/>
        <v/>
      </c>
      <c r="GN146" s="82">
        <f>IF($GZ146="",#N/A,SUM(GM$4:GM146))</f>
        <v>9.944050506410564</v>
      </c>
      <c r="GO146" s="82" t="str">
        <f t="shared" si="316"/>
        <v/>
      </c>
      <c r="GP146" s="82">
        <f>IF($GZ146="",#N/A,SUM(GO$4:GO146))</f>
        <v>10.421159964010178</v>
      </c>
      <c r="GQ146" s="82">
        <f t="shared" si="317"/>
        <v>0.41678074898846934</v>
      </c>
      <c r="GR146" s="82">
        <f>IF($GZ146="",#N/A,SUM(GQ$4:GQ146))</f>
        <v>9.1072160362254841</v>
      </c>
      <c r="GS146" s="63" t="str">
        <f t="shared" si="325"/>
        <v/>
      </c>
      <c r="GT146" s="63" t="e">
        <f>IF($GZ146="",#N/A,SUM(GS$4:GS146))</f>
        <v>#N/A</v>
      </c>
      <c r="GU146" s="63" t="str">
        <f t="shared" si="326"/>
        <v/>
      </c>
      <c r="GV146" s="63" t="e">
        <f>IF($GZ146="",#N/A,SUM(GU$4:GU146))</f>
        <v>#N/A</v>
      </c>
      <c r="GW146" s="63" t="e">
        <f t="shared" si="327"/>
        <v>#N/A</v>
      </c>
      <c r="GX146" s="63" t="e">
        <f>IF($GZ146="",#N/A,SUM(GW$4:GW146))</f>
        <v>#N/A</v>
      </c>
      <c r="GY146" s="63" t="e">
        <f>IF(EJ146="",#N/A,SUM($EJ$4:EJ146))</f>
        <v>#N/A</v>
      </c>
      <c r="GZ146" s="159">
        <v>106.83</v>
      </c>
      <c r="HA146" s="63">
        <f t="shared" si="318"/>
        <v>14.879999999999995</v>
      </c>
      <c r="HB146" s="62" t="s">
        <v>2538</v>
      </c>
      <c r="HC146" s="60">
        <f>IFERROR(VLOOKUP(E146,Expectancy!$P$4:$S$19,1+C146,FALSE),"")</f>
        <v>-3.2156442930017966E-2</v>
      </c>
      <c r="HD146" s="82">
        <f t="shared" si="319"/>
        <v>-7.7575978826321862E-2</v>
      </c>
      <c r="HE146" s="60">
        <f>IF(HD146="",#N/A,SUM($HD$4:HD146))</f>
        <v>-2.4041510410514415</v>
      </c>
      <c r="HF146" s="85">
        <f>IF(HD146="",#N/A,IF(HB146="Skip",#N/A,SUM($HG$4:HG146)))</f>
        <v>-44.360000000000127</v>
      </c>
      <c r="HG146" s="63">
        <f t="shared" si="320"/>
        <v>-2.0400000000000205</v>
      </c>
      <c r="HH146" s="82">
        <f t="shared" si="321"/>
        <v>0.41678074898846934</v>
      </c>
    </row>
    <row r="147" spans="1:216" x14ac:dyDescent="0.25">
      <c r="A147" s="491" t="s">
        <v>1292</v>
      </c>
      <c r="B147" s="58" t="s">
        <v>5173</v>
      </c>
      <c r="C147" s="386">
        <f t="shared" si="230"/>
        <v>2</v>
      </c>
      <c r="D147" s="372" t="str">
        <f>_xlfn.XLOOKUP(A147,[1]SP500!$A$2:$A$502,[1]SP500!$D$2:$D$502,"N")</f>
        <v>Y</v>
      </c>
      <c r="E147" s="57" t="str">
        <f>_xlfn.XLOOKUP(A147,[1]SP500!$A$2:$A$655,[1]SP500!$B$2:$B$655)</f>
        <v>XLV</v>
      </c>
      <c r="F147" s="59">
        <v>45688</v>
      </c>
      <c r="G147" s="57" t="str">
        <f t="shared" si="231"/>
        <v>BMO</v>
      </c>
      <c r="H147" s="57" t="str">
        <f t="shared" si="232"/>
        <v>s</v>
      </c>
      <c r="I147" s="159">
        <v>175.65</v>
      </c>
      <c r="J147" s="159">
        <v>187.3</v>
      </c>
      <c r="K147" s="61">
        <f t="shared" si="233"/>
        <v>6.6325078280671815E-2</v>
      </c>
      <c r="L147" s="87">
        <f t="shared" si="234"/>
        <v>-23.300000000000011</v>
      </c>
      <c r="M147" s="130">
        <f t="shared" si="226"/>
        <v>-1.3999999999999773</v>
      </c>
      <c r="N147" s="169" t="str">
        <f t="shared" si="235"/>
        <v/>
      </c>
      <c r="O147" s="169">
        <f>IF($J147="",#N/A,SUM($N$4:N147))</f>
        <v>260.21976368961373</v>
      </c>
      <c r="P147" s="174">
        <f t="shared" si="236"/>
        <v>-23.300000000000011</v>
      </c>
      <c r="Q147" s="174">
        <f>IF($J147="",#N/A,SUM($P$4:P147))</f>
        <v>111.03104023772642</v>
      </c>
      <c r="R147" s="178" t="str">
        <f t="shared" si="237"/>
        <v/>
      </c>
      <c r="S147" s="178">
        <f>IF($J147="",#N/A,SUM($R$4:R147))</f>
        <v>190.49649086016575</v>
      </c>
      <c r="T147" s="290" t="str">
        <f t="shared" si="238"/>
        <v/>
      </c>
      <c r="U147" s="290">
        <f>IF($J147="",#N/A,SUM($T$4:T147))</f>
        <v>9.7613400884849888</v>
      </c>
      <c r="V147" s="291">
        <f t="shared" si="239"/>
        <v>-1.1054179713445305</v>
      </c>
      <c r="W147" s="291">
        <f>IF($J147="",#N/A,SUM($V$4:V147))</f>
        <v>4.5776855182763283</v>
      </c>
      <c r="X147" s="292" t="str">
        <f t="shared" si="240"/>
        <v/>
      </c>
      <c r="Y147" s="283">
        <f>IF($J147="",#N/A,SUM($X$4:X147))</f>
        <v>7.6569671238161687</v>
      </c>
      <c r="Z147" s="304" t="str">
        <f t="shared" si="241"/>
        <v/>
      </c>
      <c r="AA147" s="313" t="e">
        <f>IF($J147="",#N/A,SUM(Z$4:Z147))</f>
        <v>#N/A</v>
      </c>
      <c r="AB147" s="314" t="str">
        <f t="shared" si="242"/>
        <v/>
      </c>
      <c r="AC147" s="314" t="e">
        <f>IF($J147="",#N/A,SUM(AB$4:AB147))</f>
        <v>#N/A</v>
      </c>
      <c r="AD147" s="315" t="str">
        <f t="shared" si="243"/>
        <v/>
      </c>
      <c r="AE147" s="315" t="e">
        <f>IF($J147="",#N/A,SUM(AD$4:AD147))</f>
        <v>#N/A</v>
      </c>
      <c r="AF147" s="315" t="e">
        <f>IF($J147="",#N/A,SUM(AD$4:AD147,AB$4:AB147,Z$4:Z147))</f>
        <v>#N/A</v>
      </c>
      <c r="AG147" s="304" t="str">
        <f t="shared" si="244"/>
        <v/>
      </c>
      <c r="AH147" s="313" t="e">
        <f>IF($J147="",#N/A,SUM(AG$4:AG147))</f>
        <v>#N/A</v>
      </c>
      <c r="AI147" s="314" t="str">
        <f t="shared" si="245"/>
        <v/>
      </c>
      <c r="AJ147" s="314" t="e">
        <f>IF($J147="",#N/A,SUM(AI$4:AI147))</f>
        <v>#N/A</v>
      </c>
      <c r="AK147" s="315" t="str">
        <f t="shared" si="246"/>
        <v/>
      </c>
      <c r="AL147" s="315" t="e">
        <f>IF($J147="",#N/A,SUM(AK$4:AK147))</f>
        <v>#N/A</v>
      </c>
      <c r="AM147" s="315" t="e">
        <f>IF($J147="",#N/A,SUM(AK$4:AK147,AI$4:AI147,AG$4:AG147))</f>
        <v>#N/A</v>
      </c>
      <c r="AN147" s="304" t="str">
        <f t="shared" si="247"/>
        <v/>
      </c>
      <c r="AO147" s="313" t="e">
        <f>IF($J147="",#N/A,SUM(AN$4:AN147))</f>
        <v>#N/A</v>
      </c>
      <c r="AP147" s="314" t="str">
        <f t="shared" si="248"/>
        <v/>
      </c>
      <c r="AQ147" s="314" t="e">
        <f>IF($J147="",#N/A,SUM(AP$4:AP147))</f>
        <v>#N/A</v>
      </c>
      <c r="AR147" s="315" t="str">
        <f t="shared" si="249"/>
        <v/>
      </c>
      <c r="AS147" s="315" t="e">
        <f>IF($J147="",#N/A,SUM(AR$4:AR147))</f>
        <v>#N/A</v>
      </c>
      <c r="AT147" s="315" t="e">
        <f>IF($J147="",#N/A,SUM(AR$4:AR147,AP$4:AP147,AN$4:AN147))</f>
        <v>#N/A</v>
      </c>
      <c r="AU147" s="304" t="str">
        <f t="shared" si="250"/>
        <v/>
      </c>
      <c r="AV147" s="313" t="e">
        <f>IF($J147="",#N/A,SUM(AU$4:AU147))</f>
        <v>#N/A</v>
      </c>
      <c r="AW147" s="314" t="str">
        <f t="shared" si="251"/>
        <v/>
      </c>
      <c r="AX147" s="314" t="e">
        <f>IF($J147="",#N/A,SUM(AW$4:AW147))</f>
        <v>#N/A</v>
      </c>
      <c r="AY147" s="315" t="str">
        <f t="shared" si="252"/>
        <v/>
      </c>
      <c r="AZ147" s="315" t="e">
        <f>IF($J147="",#N/A,SUM(AY$4:AY147))</f>
        <v>#N/A</v>
      </c>
      <c r="BA147" s="315" t="e">
        <f>IF($J147="",#N/A,SUM(AY$4:AY147,AW$4:AW147,AU$4:AU147))</f>
        <v>#N/A</v>
      </c>
      <c r="BB147" s="304" t="str">
        <f t="shared" si="253"/>
        <v/>
      </c>
      <c r="BC147" s="313" t="e">
        <f>IF($J147="",#N/A,SUM(BB$4:BB147))</f>
        <v>#N/A</v>
      </c>
      <c r="BD147" s="314" t="str">
        <f t="shared" si="254"/>
        <v/>
      </c>
      <c r="BE147" s="314" t="e">
        <f>IF($J147="",#N/A,SUM(BD$4:BD147))</f>
        <v>#N/A</v>
      </c>
      <c r="BF147" s="315" t="str">
        <f t="shared" si="255"/>
        <v/>
      </c>
      <c r="BG147" s="315" t="e">
        <f>IF($J147="",#N/A,SUM(BF$4:BF147))</f>
        <v>#N/A</v>
      </c>
      <c r="BH147" s="315" t="e">
        <f>IF($J147="",#N/A,SUM(BF$4:BF147,BD$4:BD147,BB$4:BB147))</f>
        <v>#N/A</v>
      </c>
      <c r="BI147" s="304" t="str">
        <f t="shared" si="256"/>
        <v/>
      </c>
      <c r="BJ147" s="313" t="e">
        <f>IF($J147="",#N/A,SUM(BI$4:BI147))</f>
        <v>#N/A</v>
      </c>
      <c r="BK147" s="314" t="str">
        <f t="shared" si="257"/>
        <v/>
      </c>
      <c r="BL147" s="314" t="e">
        <f>IF($J147="",#N/A,SUM(BK$4:BK147))</f>
        <v>#N/A</v>
      </c>
      <c r="BM147" s="315" t="str">
        <f t="shared" si="258"/>
        <v/>
      </c>
      <c r="BN147" s="315" t="e">
        <f>IF($J147="",#N/A,SUM(BM$4:BM147))</f>
        <v>#N/A</v>
      </c>
      <c r="BO147" s="315" t="e">
        <f>IF($J147="",#N/A,SUM(BM$4:BM147,BK$4:BK147,BI$4:BI147))</f>
        <v>#N/A</v>
      </c>
      <c r="BP147" s="304" t="str">
        <f t="shared" si="259"/>
        <v/>
      </c>
      <c r="BQ147" s="313" t="e">
        <f>IF($J147="",#N/A,SUM(BP$4:BP147))</f>
        <v>#N/A</v>
      </c>
      <c r="BR147" s="314" t="str">
        <f t="shared" si="260"/>
        <v/>
      </c>
      <c r="BS147" s="314" t="e">
        <f>IF($J147="",#N/A,SUM(BR$4:BR147))</f>
        <v>#N/A</v>
      </c>
      <c r="BT147" s="315" t="str">
        <f t="shared" si="261"/>
        <v/>
      </c>
      <c r="BU147" s="315" t="e">
        <f>IF($J147="",#N/A,SUM(BT$4:BT147))</f>
        <v>#N/A</v>
      </c>
      <c r="BV147" s="315" t="e">
        <f>IF($J147="",#N/A,SUM(BT$4:BT147,BR$4:BR147,BP$4:BP147))</f>
        <v>#N/A</v>
      </c>
      <c r="BW147" s="304" t="str">
        <f t="shared" si="262"/>
        <v/>
      </c>
      <c r="BX147" s="313" t="e">
        <f>IF($J147="",#N/A,SUM(BW$4:BW147))</f>
        <v>#N/A</v>
      </c>
      <c r="BY147" s="314">
        <f t="shared" si="263"/>
        <v>-1.1054179713445305</v>
      </c>
      <c r="BZ147" s="314" t="e">
        <f>IF($J147="",#N/A,SUM(BY$4:BY147))</f>
        <v>#N/A</v>
      </c>
      <c r="CA147" s="315" t="str">
        <f t="shared" si="264"/>
        <v/>
      </c>
      <c r="CB147" s="315" t="e">
        <f>IF($J147="",#N/A,SUM(CA$4:CA147))</f>
        <v>#N/A</v>
      </c>
      <c r="CC147" s="315" t="e">
        <f>IF($J147="",#N/A,SUM(CA$4:CA147,BY$4:BY147,BW$4:BW147))</f>
        <v>#N/A</v>
      </c>
      <c r="CD147" s="304" t="str">
        <f t="shared" si="265"/>
        <v/>
      </c>
      <c r="CE147" s="313" t="e">
        <f>IF($J147="",#N/A,SUM(CD$4:CD147))</f>
        <v>#N/A</v>
      </c>
      <c r="CF147" s="314" t="str">
        <f t="shared" si="266"/>
        <v/>
      </c>
      <c r="CG147" s="314" t="e">
        <f>IF($J147="",#N/A,SUM(CF$4:CF147))</f>
        <v>#N/A</v>
      </c>
      <c r="CH147" s="315" t="str">
        <f t="shared" si="267"/>
        <v/>
      </c>
      <c r="CI147" s="315" t="e">
        <f>IF($J147="",#N/A,SUM(CH$4:CH147))</f>
        <v>#N/A</v>
      </c>
      <c r="CJ147" s="315" t="e">
        <f>IF($J147="",#N/A,SUM(CH$4:CH147,CF$4:CF147,CD$4:CD147))</f>
        <v>#N/A</v>
      </c>
      <c r="CK147" s="304" t="str">
        <f t="shared" si="268"/>
        <v/>
      </c>
      <c r="CL147" s="313" t="e">
        <f>IF($J147="",#N/A,SUM(CK$4:CK147))</f>
        <v>#N/A</v>
      </c>
      <c r="CM147" s="314" t="str">
        <f t="shared" si="269"/>
        <v/>
      </c>
      <c r="CN147" s="314" t="e">
        <f>IF($J147="",#N/A,SUM(CM$4:CM147))</f>
        <v>#N/A</v>
      </c>
      <c r="CO147" s="315" t="str">
        <f t="shared" si="270"/>
        <v/>
      </c>
      <c r="CP147" s="315" t="e">
        <f>IF($J147="",#N/A,SUM(CO$4:CO147))</f>
        <v>#N/A</v>
      </c>
      <c r="CQ147" s="315" t="e">
        <f>IF($J147="",#N/A,SUM(CO$4:CO147,CM$4:CM147,CK$4:CK147))</f>
        <v>#N/A</v>
      </c>
      <c r="CR147" s="304" t="str">
        <f t="shared" si="271"/>
        <v/>
      </c>
      <c r="CS147" s="313" t="e">
        <f>IF($J147="",#N/A,SUM(CR$4:CR147))</f>
        <v>#N/A</v>
      </c>
      <c r="CT147" s="314" t="str">
        <f t="shared" si="272"/>
        <v/>
      </c>
      <c r="CU147" s="314" t="e">
        <f>IF($J147="",#N/A,SUM(CT$4:CT147))</f>
        <v>#N/A</v>
      </c>
      <c r="CV147" s="315" t="str">
        <f t="shared" si="273"/>
        <v/>
      </c>
      <c r="CW147" s="315" t="e">
        <f>IF($J147="",#N/A,SUM(CV$4:CV147))</f>
        <v>#N/A</v>
      </c>
      <c r="CX147" s="315" t="e">
        <f>IF($J147="",#N/A,SUM(CV$4:CV147,CT$4:CT147,CR$4:CR147))</f>
        <v>#N/A</v>
      </c>
      <c r="CY147" s="304" t="str">
        <f t="shared" si="274"/>
        <v/>
      </c>
      <c r="CZ147" s="313" t="e">
        <f>IF($J147="",#N/A,SUM(CY$4:CY147))</f>
        <v>#N/A</v>
      </c>
      <c r="DA147" s="314" t="str">
        <f t="shared" si="275"/>
        <v/>
      </c>
      <c r="DB147" s="314" t="e">
        <f>IF($J147="",#N/A,SUM(DA$4:DA147))</f>
        <v>#N/A</v>
      </c>
      <c r="DC147" s="315" t="str">
        <f t="shared" si="276"/>
        <v/>
      </c>
      <c r="DD147" s="315" t="e">
        <f>IF($J147="",#N/A,SUM(DC$4:DC147))</f>
        <v>#N/A</v>
      </c>
      <c r="DE147" s="315" t="e">
        <f>IF($J147="",#N/A,SUM(DC$4:DC147,DA$4:DA147,CY$4:CY147))</f>
        <v>#N/A</v>
      </c>
      <c r="DF147" s="304" t="str">
        <f t="shared" si="277"/>
        <v/>
      </c>
      <c r="DG147" s="313" t="e">
        <f>IF($J147="",#N/A,SUM(DF$4:DF147))</f>
        <v>#N/A</v>
      </c>
      <c r="DH147" s="314" t="str">
        <f t="shared" si="278"/>
        <v/>
      </c>
      <c r="DI147" s="314" t="e">
        <f>IF($J147="",#N/A,SUM(DH$4:DH147))</f>
        <v>#N/A</v>
      </c>
      <c r="DJ147" s="315" t="str">
        <f t="shared" si="279"/>
        <v/>
      </c>
      <c r="DK147" s="315" t="e">
        <f>IF($J147="",#N/A,SUM(DJ$4:DJ147))</f>
        <v>#N/A</v>
      </c>
      <c r="DL147" s="315" t="e">
        <f>IF($J147="",#N/A,SUM(DJ$4:DJ147,DH$4:DH147,DF$4:DF147))</f>
        <v>#N/A</v>
      </c>
      <c r="DM147" s="304" t="str">
        <f t="shared" si="280"/>
        <v/>
      </c>
      <c r="DN147" s="313" t="e">
        <f>IF($J147="",#N/A,SUM(DM$4:DM147))</f>
        <v>#N/A</v>
      </c>
      <c r="DO147" s="314" t="str">
        <f t="shared" si="281"/>
        <v/>
      </c>
      <c r="DP147" s="314" t="e">
        <f>IF($J147="",#N/A,SUM(DO$4:DO147))</f>
        <v>#N/A</v>
      </c>
      <c r="DQ147" s="315" t="str">
        <f t="shared" si="282"/>
        <v/>
      </c>
      <c r="DR147" s="315" t="e">
        <f>IF($J147="",#N/A,SUM(DQ$4:DQ147))</f>
        <v>#N/A</v>
      </c>
      <c r="DS147" s="315" t="e">
        <f>IF($J147="",#N/A,SUM(DQ$4:DQ147,DO$4:DO147,DM$4:DM147))</f>
        <v>#N/A</v>
      </c>
      <c r="DT147" s="304" t="str">
        <f t="shared" si="283"/>
        <v/>
      </c>
      <c r="DU147" s="313" t="e">
        <f>IF($J147="",#N/A,SUM(DT$4:DT147))</f>
        <v>#N/A</v>
      </c>
      <c r="DV147" s="314" t="str">
        <f t="shared" si="284"/>
        <v/>
      </c>
      <c r="DW147" s="314" t="e">
        <f>IF($J147="",#N/A,SUM(DV$4:DV147))</f>
        <v>#N/A</v>
      </c>
      <c r="DX147" s="315" t="str">
        <f t="shared" si="285"/>
        <v/>
      </c>
      <c r="DY147" s="315" t="e">
        <f>IF($J147="",#N/A,SUM(DX$4:DX147))</f>
        <v>#N/A</v>
      </c>
      <c r="DZ147" s="315" t="e">
        <f>IF($J147="",#N/A,SUM(DX$4:DX147,DV$4:DV147,DT$4:DT147))</f>
        <v>#N/A</v>
      </c>
      <c r="EA147" s="304" t="str">
        <f t="shared" si="286"/>
        <v/>
      </c>
      <c r="EB147" s="313" t="e">
        <f>IF($J147="",#N/A,SUM(EA$4:EA147))</f>
        <v>#N/A</v>
      </c>
      <c r="EC147" s="314" t="str">
        <f t="shared" si="287"/>
        <v/>
      </c>
      <c r="ED147" s="314" t="e">
        <f>IF($J147="",#N/A,SUM(EC$4:EC147))</f>
        <v>#N/A</v>
      </c>
      <c r="EE147" s="315" t="str">
        <f t="shared" si="288"/>
        <v/>
      </c>
      <c r="EF147" s="315" t="e">
        <f>IF($J147="",#N/A,SUM(EE$4:EE147))</f>
        <v>#N/A</v>
      </c>
      <c r="EG147" s="315" t="e">
        <f>IF($J147="",#N/A,SUM(EE$4:EE147,EC$4:EC147,EA$4:EA147))</f>
        <v>#N/A</v>
      </c>
      <c r="EH147" s="130">
        <f t="shared" si="289"/>
        <v>-23.300000000000011</v>
      </c>
      <c r="EI147" s="63">
        <f>IF(EH147="",#N/A,SUM($EH$4:EH147))</f>
        <v>561.74729478750623</v>
      </c>
      <c r="EJ147" s="223" t="e">
        <f t="shared" si="290"/>
        <v>#N/A</v>
      </c>
      <c r="EK147" s="63" t="e">
        <f>IF($GZ147="",#N/A,SUM(EJ$4:EJ147))</f>
        <v>#N/A</v>
      </c>
      <c r="EL147" s="60">
        <f t="shared" si="322"/>
        <v>-1.1054179713445305</v>
      </c>
      <c r="EM147" s="60">
        <f>IF(EL147="",NA(),SUM($EL$4:EL147))</f>
        <v>18.335204667096228</v>
      </c>
      <c r="EN147" s="60" t="str">
        <f t="shared" si="291"/>
        <v/>
      </c>
      <c r="EO147" s="60" t="e">
        <f>IF(EN147="",NA(),SUM($EN$4:EN147))</f>
        <v>#N/A</v>
      </c>
      <c r="EP147" s="60" t="str">
        <f t="shared" si="292"/>
        <v/>
      </c>
      <c r="EQ147" s="60" t="e">
        <f>IF(EP147="",NA(),SUM($EP$4:EP147))</f>
        <v>#N/A</v>
      </c>
      <c r="ER147" s="60">
        <f t="shared" si="293"/>
        <v>-1.1054179713445305</v>
      </c>
      <c r="ES147" s="60">
        <f>IF(ER147="",NA(),SUM($ER$4:ER147))</f>
        <v>3.8752900655763689</v>
      </c>
      <c r="ET147" s="60" t="str">
        <f t="shared" si="294"/>
        <v/>
      </c>
      <c r="EU147" s="60" t="e">
        <f>IF(ET147="",NA(),SUM($ET$4:ET147))</f>
        <v>#N/A</v>
      </c>
      <c r="EV147" s="60" t="str">
        <f t="shared" si="295"/>
        <v/>
      </c>
      <c r="EW147" s="60" t="e">
        <f>IF(EV147="",NA(),SUM($EV$4:EV147))</f>
        <v>#N/A</v>
      </c>
      <c r="EX147" s="60" t="str">
        <f t="shared" si="296"/>
        <v/>
      </c>
      <c r="EY147" s="60" t="e">
        <f>IF(EX147="",NA(),SUM($EX$4:EX147))</f>
        <v>#N/A</v>
      </c>
      <c r="EZ147" s="60" t="str">
        <f t="shared" si="297"/>
        <v/>
      </c>
      <c r="FA147" s="60" t="e">
        <f>IF(EZ147="",NA(),SUM($EZ$4:EZ147))</f>
        <v>#N/A</v>
      </c>
      <c r="FB147" s="246" t="str">
        <f t="shared" si="323"/>
        <v/>
      </c>
      <c r="FC147" s="246" t="e">
        <f>IF($FB147="",#N/A,SUM(FB$4:$FB147))</f>
        <v>#N/A</v>
      </c>
      <c r="FD147" s="60">
        <f t="shared" si="298"/>
        <v>0.32261125343960584</v>
      </c>
      <c r="FE147" s="60">
        <f>IF($FD147="",#N/A,SUM($FD$4:FD147))</f>
        <v>1.5429803788763934</v>
      </c>
      <c r="FF147" s="60" t="str">
        <f t="shared" si="299"/>
        <v/>
      </c>
      <c r="FG147" s="60" t="e">
        <f>IF($FF147="",#N/A,SUM($FF$4:FF147))</f>
        <v>#N/A</v>
      </c>
      <c r="FH147" s="60" t="str">
        <f t="shared" si="300"/>
        <v/>
      </c>
      <c r="FI147" s="60" t="e">
        <f>IF($FH147="",#N/A,SUM($FH$4:FH147))</f>
        <v>#N/A</v>
      </c>
      <c r="FJ147" s="60" t="str">
        <f t="shared" si="301"/>
        <v/>
      </c>
      <c r="FK147" s="60" t="e">
        <f>IF($FJ147="",#N/A,SUM($FJ$4:FJ147))</f>
        <v>#N/A</v>
      </c>
      <c r="FL147" s="60" t="str">
        <f t="shared" si="302"/>
        <v/>
      </c>
      <c r="FM147" s="60" t="e">
        <f>IF($FL147="",#N/A,SUM($FL$4:FL147))</f>
        <v>#N/A</v>
      </c>
      <c r="FN147" s="82">
        <f t="shared" si="303"/>
        <v>-0.78280671790492462</v>
      </c>
      <c r="FO147" s="82">
        <f>IF($FN147="",#N/A,SUM(FN$4:$FN147))</f>
        <v>29.315456743183638</v>
      </c>
      <c r="FP147" s="82">
        <f t="shared" si="324"/>
        <v>-1.1054179713445305</v>
      </c>
      <c r="FQ147" s="246">
        <f>IF($EH147="",#N/A,SUM($FP$4:FP147))</f>
        <v>21.995992730577498</v>
      </c>
      <c r="FR147" s="82">
        <f>IFERROR(FQ147/COUNTA($J$4:J147),#N/A)</f>
        <v>0.1527499495178993</v>
      </c>
      <c r="FS147" s="82">
        <f t="shared" ref="FS147:FS163" si="330">IFERROR(($FQ147-$FQ98)/COUNTA($J98:$J147),#N/A)</f>
        <v>-5.4251163344443401E-3</v>
      </c>
      <c r="FT147" s="82">
        <f t="shared" si="328"/>
        <v>-7.1210479826700493E-2</v>
      </c>
      <c r="FU147" s="337">
        <f t="shared" si="329"/>
        <v>11.041981706916916</v>
      </c>
      <c r="FV147" s="57" t="str">
        <f t="shared" si="305"/>
        <v>Dwn</v>
      </c>
      <c r="FW147" s="57" t="s">
        <v>2734</v>
      </c>
      <c r="FX147" s="57" t="str">
        <f t="shared" si="306"/>
        <v/>
      </c>
      <c r="FY147" s="57">
        <f t="shared" si="307"/>
        <v>1</v>
      </c>
      <c r="FZ147" s="57" t="str">
        <f t="shared" si="308"/>
        <v/>
      </c>
      <c r="GA147" s="57" t="str">
        <f t="shared" si="309"/>
        <v>Short</v>
      </c>
      <c r="GB147" s="57" t="str">
        <f t="shared" si="310"/>
        <v/>
      </c>
      <c r="GC147" s="57" t="str">
        <f t="shared" si="311"/>
        <v/>
      </c>
      <c r="GD147" s="57" t="str">
        <f t="shared" si="312"/>
        <v/>
      </c>
      <c r="GE147" s="62">
        <f t="shared" si="227"/>
        <v>175.65</v>
      </c>
      <c r="GF147" s="62" t="s">
        <v>2780</v>
      </c>
      <c r="GG147" s="199">
        <v>2</v>
      </c>
      <c r="GH147" s="207">
        <f t="shared" si="313"/>
        <v>351.3</v>
      </c>
      <c r="GI147" s="199">
        <v>2</v>
      </c>
      <c r="GJ147" s="200">
        <v>188</v>
      </c>
      <c r="GK147" s="63">
        <f t="shared" si="314"/>
        <v>-24.699999999999989</v>
      </c>
      <c r="GL147" s="63">
        <f t="shared" si="228"/>
        <v>-16.5</v>
      </c>
      <c r="GM147" s="82" t="str">
        <f t="shared" si="315"/>
        <v/>
      </c>
      <c r="GN147" s="82">
        <f>IF($GZ147="",#N/A,SUM(GM$4:GM147))</f>
        <v>9.944050506410564</v>
      </c>
      <c r="GO147" s="82" t="str">
        <f t="shared" si="316"/>
        <v/>
      </c>
      <c r="GP147" s="82">
        <f>IF($GZ147="",#N/A,SUM(GO$4:GO147))</f>
        <v>10.421159964010178</v>
      </c>
      <c r="GQ147" s="82">
        <f t="shared" si="317"/>
        <v>-0.78280671790492462</v>
      </c>
      <c r="GR147" s="82">
        <f>IF($GZ147="",#N/A,SUM(GQ$4:GQ147))</f>
        <v>8.3244093183205603</v>
      </c>
      <c r="GS147" s="63" t="str">
        <f t="shared" si="325"/>
        <v/>
      </c>
      <c r="GT147" s="63" t="e">
        <f>IF($GZ147="",#N/A,SUM(GS$4:GS147))</f>
        <v>#N/A</v>
      </c>
      <c r="GU147" s="63" t="str">
        <f t="shared" si="326"/>
        <v/>
      </c>
      <c r="GV147" s="63" t="e">
        <f>IF($GZ147="",#N/A,SUM(GU$4:GU147))</f>
        <v>#N/A</v>
      </c>
      <c r="GW147" s="63" t="e">
        <f t="shared" si="327"/>
        <v>#N/A</v>
      </c>
      <c r="GX147" s="63" t="e">
        <f>IF($GZ147="",#N/A,SUM(GW$4:GW147))</f>
        <v>#N/A</v>
      </c>
      <c r="GY147" s="63" t="e">
        <f>IF(EJ147="",#N/A,SUM($EJ$4:EJ147))</f>
        <v>#N/A</v>
      </c>
      <c r="GZ147" s="159">
        <v>183.9</v>
      </c>
      <c r="HA147" s="63">
        <f t="shared" si="318"/>
        <v>6.8000000000000114</v>
      </c>
      <c r="HB147" s="62" t="s">
        <v>2538</v>
      </c>
      <c r="HC147" s="60">
        <f>IFERROR(VLOOKUP(E147,Expectancy!$P$4:$S$19,1+C147,FALSE),"")</f>
        <v>0.18997806194873415</v>
      </c>
      <c r="HD147" s="82">
        <f t="shared" si="319"/>
        <v>-1.1718379352879775</v>
      </c>
      <c r="HE147" s="60">
        <f>IF(HD147="",#N/A,SUM($HD$4:HD147))</f>
        <v>-3.5759889763394188</v>
      </c>
      <c r="HF147" s="85">
        <f>IF(HD147="",#N/A,IF(HB147="Skip",#N/A,SUM($HG$4:HG147)))</f>
        <v>-69.060000000000116</v>
      </c>
      <c r="HG147" s="63">
        <f t="shared" si="320"/>
        <v>-24.699999999999989</v>
      </c>
      <c r="HH147" s="82">
        <f t="shared" si="321"/>
        <v>-0.78280671790492462</v>
      </c>
    </row>
    <row r="148" spans="1:216" x14ac:dyDescent="0.25">
      <c r="A148" s="57" t="s">
        <v>9</v>
      </c>
      <c r="B148" s="58" t="s">
        <v>5174</v>
      </c>
      <c r="C148" s="386">
        <f t="shared" si="230"/>
        <v>3</v>
      </c>
      <c r="D148" s="372" t="str">
        <f>_xlfn.XLOOKUP(A148,[1]SP500!$A$2:$A$502,[1]SP500!$D$2:$D$502,"N")</f>
        <v>Y</v>
      </c>
      <c r="E148" s="57" t="str">
        <f>_xlfn.XLOOKUP(A148,[1]SP500!$A$2:$A$655,[1]SP500!$B$2:$B$655)</f>
        <v>XLE</v>
      </c>
      <c r="F148" s="59">
        <v>45688</v>
      </c>
      <c r="G148" s="57" t="str">
        <f t="shared" si="231"/>
        <v>BMO</v>
      </c>
      <c r="H148" s="57" t="str">
        <f t="shared" si="232"/>
        <v>s</v>
      </c>
      <c r="I148" s="159">
        <v>156.32</v>
      </c>
      <c r="J148" s="159">
        <v>153.76</v>
      </c>
      <c r="K148" s="61">
        <f t="shared" si="233"/>
        <v>-1.6376663254861836E-2</v>
      </c>
      <c r="L148" s="87">
        <f t="shared" si="234"/>
        <v>-7.6800000000000068</v>
      </c>
      <c r="M148" s="130">
        <f t="shared" si="226"/>
        <v>-2.5199999999999818</v>
      </c>
      <c r="N148" s="169" t="str">
        <f t="shared" si="235"/>
        <v/>
      </c>
      <c r="O148" s="169">
        <f>IF($J148="",#N/A,SUM($N$4:N148))</f>
        <v>260.21976368961373</v>
      </c>
      <c r="P148" s="174" t="str">
        <f t="shared" si="236"/>
        <v/>
      </c>
      <c r="Q148" s="174">
        <f>IF($J148="",#N/A,SUM($P$4:P148))</f>
        <v>111.03104023772642</v>
      </c>
      <c r="R148" s="178">
        <f t="shared" si="237"/>
        <v>-7.6800000000000068</v>
      </c>
      <c r="S148" s="178">
        <f>IF($J148="",#N/A,SUM($R$4:R148))</f>
        <v>182.81649086016574</v>
      </c>
      <c r="T148" s="290" t="str">
        <f t="shared" si="238"/>
        <v/>
      </c>
      <c r="U148" s="290">
        <f>IF($J148="",#N/A,SUM($T$4:T148))</f>
        <v>9.7613400884849888</v>
      </c>
      <c r="V148" s="291" t="str">
        <f t="shared" si="239"/>
        <v/>
      </c>
      <c r="W148" s="291">
        <f>IF($J148="",#N/A,SUM($V$4:V148))</f>
        <v>4.5776855182763283</v>
      </c>
      <c r="X148" s="292">
        <f t="shared" si="240"/>
        <v>-0.27294438758103062</v>
      </c>
      <c r="Y148" s="283">
        <f>IF($J148="",#N/A,SUM($X$4:X148))</f>
        <v>7.3840227362351385</v>
      </c>
      <c r="Z148" s="304" t="str">
        <f t="shared" si="241"/>
        <v/>
      </c>
      <c r="AA148" s="313" t="e">
        <f>IF($J148="",#N/A,SUM(Z$4:Z148))</f>
        <v>#N/A</v>
      </c>
      <c r="AB148" s="314" t="str">
        <f t="shared" si="242"/>
        <v/>
      </c>
      <c r="AC148" s="314" t="e">
        <f>IF($J148="",#N/A,SUM(AB$4:AB148))</f>
        <v>#N/A</v>
      </c>
      <c r="AD148" s="315" t="str">
        <f t="shared" si="243"/>
        <v/>
      </c>
      <c r="AE148" s="315" t="e">
        <f>IF($J148="",#N/A,SUM(AD$4:AD148))</f>
        <v>#N/A</v>
      </c>
      <c r="AF148" s="315" t="e">
        <f>IF($J148="",#N/A,SUM(AD$4:AD148,AB$4:AB148,Z$4:Z148))</f>
        <v>#N/A</v>
      </c>
      <c r="AG148" s="304" t="str">
        <f t="shared" si="244"/>
        <v/>
      </c>
      <c r="AH148" s="313" t="e">
        <f>IF($J148="",#N/A,SUM(AG$4:AG148))</f>
        <v>#N/A</v>
      </c>
      <c r="AI148" s="314" t="str">
        <f t="shared" si="245"/>
        <v/>
      </c>
      <c r="AJ148" s="314" t="e">
        <f>IF($J148="",#N/A,SUM(AI$4:AI148))</f>
        <v>#N/A</v>
      </c>
      <c r="AK148" s="315" t="str">
        <f t="shared" si="246"/>
        <v/>
      </c>
      <c r="AL148" s="315" t="e">
        <f>IF($J148="",#N/A,SUM(AK$4:AK148))</f>
        <v>#N/A</v>
      </c>
      <c r="AM148" s="315" t="e">
        <f>IF($J148="",#N/A,SUM(AK$4:AK148,AI$4:AI148,AG$4:AG148))</f>
        <v>#N/A</v>
      </c>
      <c r="AN148" s="304" t="str">
        <f t="shared" si="247"/>
        <v/>
      </c>
      <c r="AO148" s="313" t="e">
        <f>IF($J148="",#N/A,SUM(AN$4:AN148))</f>
        <v>#N/A</v>
      </c>
      <c r="AP148" s="314" t="str">
        <f t="shared" si="248"/>
        <v/>
      </c>
      <c r="AQ148" s="314" t="e">
        <f>IF($J148="",#N/A,SUM(AP$4:AP148))</f>
        <v>#N/A</v>
      </c>
      <c r="AR148" s="315" t="str">
        <f t="shared" si="249"/>
        <v/>
      </c>
      <c r="AS148" s="315" t="e">
        <f>IF($J148="",#N/A,SUM(AR$4:AR148))</f>
        <v>#N/A</v>
      </c>
      <c r="AT148" s="315" t="e">
        <f>IF($J148="",#N/A,SUM(AR$4:AR148,AP$4:AP148,AN$4:AN148))</f>
        <v>#N/A</v>
      </c>
      <c r="AU148" s="304" t="str">
        <f t="shared" si="250"/>
        <v/>
      </c>
      <c r="AV148" s="313" t="e">
        <f>IF($J148="",#N/A,SUM(AU$4:AU148))</f>
        <v>#N/A</v>
      </c>
      <c r="AW148" s="314" t="str">
        <f t="shared" si="251"/>
        <v/>
      </c>
      <c r="AX148" s="314" t="e">
        <f>IF($J148="",#N/A,SUM(AW$4:AW148))</f>
        <v>#N/A</v>
      </c>
      <c r="AY148" s="315" t="str">
        <f t="shared" si="252"/>
        <v/>
      </c>
      <c r="AZ148" s="315" t="e">
        <f>IF($J148="",#N/A,SUM(AY$4:AY148))</f>
        <v>#N/A</v>
      </c>
      <c r="BA148" s="315" t="e">
        <f>IF($J148="",#N/A,SUM(AY$4:AY148,AW$4:AW148,AU$4:AU148))</f>
        <v>#N/A</v>
      </c>
      <c r="BB148" s="304" t="str">
        <f t="shared" si="253"/>
        <v/>
      </c>
      <c r="BC148" s="313" t="e">
        <f>IF($J148="",#N/A,SUM(BB$4:BB148))</f>
        <v>#N/A</v>
      </c>
      <c r="BD148" s="314" t="str">
        <f t="shared" si="254"/>
        <v/>
      </c>
      <c r="BE148" s="314" t="e">
        <f>IF($J148="",#N/A,SUM(BD$4:BD148))</f>
        <v>#N/A</v>
      </c>
      <c r="BF148" s="315" t="str">
        <f t="shared" si="255"/>
        <v/>
      </c>
      <c r="BG148" s="315" t="e">
        <f>IF($J148="",#N/A,SUM(BF$4:BF148))</f>
        <v>#N/A</v>
      </c>
      <c r="BH148" s="315" t="e">
        <f>IF($J148="",#N/A,SUM(BF$4:BF148,BD$4:BD148,BB$4:BB148))</f>
        <v>#N/A</v>
      </c>
      <c r="BI148" s="304" t="str">
        <f t="shared" si="256"/>
        <v/>
      </c>
      <c r="BJ148" s="313" t="e">
        <f>IF($J148="",#N/A,SUM(BI$4:BI148))</f>
        <v>#N/A</v>
      </c>
      <c r="BK148" s="314" t="str">
        <f t="shared" si="257"/>
        <v/>
      </c>
      <c r="BL148" s="314" t="e">
        <f>IF($J148="",#N/A,SUM(BK$4:BK148))</f>
        <v>#N/A</v>
      </c>
      <c r="BM148" s="315" t="str">
        <f t="shared" si="258"/>
        <v/>
      </c>
      <c r="BN148" s="315" t="e">
        <f>IF($J148="",#N/A,SUM(BM$4:BM148))</f>
        <v>#N/A</v>
      </c>
      <c r="BO148" s="315" t="e">
        <f>IF($J148="",#N/A,SUM(BM$4:BM148,BK$4:BK148,BI$4:BI148))</f>
        <v>#N/A</v>
      </c>
      <c r="BP148" s="304" t="str">
        <f t="shared" si="259"/>
        <v/>
      </c>
      <c r="BQ148" s="313" t="e">
        <f>IF($J148="",#N/A,SUM(BP$4:BP148))</f>
        <v>#N/A</v>
      </c>
      <c r="BR148" s="314" t="str">
        <f t="shared" si="260"/>
        <v/>
      </c>
      <c r="BS148" s="314" t="e">
        <f>IF($J148="",#N/A,SUM(BR$4:BR148))</f>
        <v>#N/A</v>
      </c>
      <c r="BT148" s="315" t="str">
        <f t="shared" si="261"/>
        <v/>
      </c>
      <c r="BU148" s="315" t="e">
        <f>IF($J148="",#N/A,SUM(BT$4:BT148))</f>
        <v>#N/A</v>
      </c>
      <c r="BV148" s="315" t="e">
        <f>IF($J148="",#N/A,SUM(BT$4:BT148,BR$4:BR148,BP$4:BP148))</f>
        <v>#N/A</v>
      </c>
      <c r="BW148" s="304" t="str">
        <f t="shared" si="262"/>
        <v/>
      </c>
      <c r="BX148" s="313" t="e">
        <f>IF($J148="",#N/A,SUM(BW$4:BW148))</f>
        <v>#N/A</v>
      </c>
      <c r="BY148" s="314" t="str">
        <f t="shared" si="263"/>
        <v/>
      </c>
      <c r="BZ148" s="314" t="e">
        <f>IF($J148="",#N/A,SUM(BY$4:BY148))</f>
        <v>#N/A</v>
      </c>
      <c r="CA148" s="315" t="str">
        <f t="shared" si="264"/>
        <v/>
      </c>
      <c r="CB148" s="315" t="e">
        <f>IF($J148="",#N/A,SUM(CA$4:CA148))</f>
        <v>#N/A</v>
      </c>
      <c r="CC148" s="315" t="e">
        <f>IF($J148="",#N/A,SUM(CA$4:CA148,BY$4:BY148,BW$4:BW148))</f>
        <v>#N/A</v>
      </c>
      <c r="CD148" s="304" t="str">
        <f t="shared" si="265"/>
        <v/>
      </c>
      <c r="CE148" s="313" t="e">
        <f>IF($J148="",#N/A,SUM(CD$4:CD148))</f>
        <v>#N/A</v>
      </c>
      <c r="CF148" s="314" t="str">
        <f t="shared" si="266"/>
        <v/>
      </c>
      <c r="CG148" s="314" t="e">
        <f>IF($J148="",#N/A,SUM(CF$4:CF148))</f>
        <v>#N/A</v>
      </c>
      <c r="CH148" s="315" t="str">
        <f t="shared" si="267"/>
        <v/>
      </c>
      <c r="CI148" s="315" t="e">
        <f>IF($J148="",#N/A,SUM(CH$4:CH148))</f>
        <v>#N/A</v>
      </c>
      <c r="CJ148" s="315" t="e">
        <f>IF($J148="",#N/A,SUM(CH$4:CH148,CF$4:CF148,CD$4:CD148))</f>
        <v>#N/A</v>
      </c>
      <c r="CK148" s="304" t="str">
        <f t="shared" si="268"/>
        <v/>
      </c>
      <c r="CL148" s="313" t="e">
        <f>IF($J148="",#N/A,SUM(CK$4:CK148))</f>
        <v>#N/A</v>
      </c>
      <c r="CM148" s="314" t="str">
        <f t="shared" si="269"/>
        <v/>
      </c>
      <c r="CN148" s="314" t="e">
        <f>IF($J148="",#N/A,SUM(CM$4:CM148))</f>
        <v>#N/A</v>
      </c>
      <c r="CO148" s="315" t="str">
        <f t="shared" si="270"/>
        <v/>
      </c>
      <c r="CP148" s="315" t="e">
        <f>IF($J148="",#N/A,SUM(CO$4:CO148))</f>
        <v>#N/A</v>
      </c>
      <c r="CQ148" s="315" t="e">
        <f>IF($J148="",#N/A,SUM(CO$4:CO148,CM$4:CM148,CK$4:CK148))</f>
        <v>#N/A</v>
      </c>
      <c r="CR148" s="304" t="str">
        <f t="shared" si="271"/>
        <v/>
      </c>
      <c r="CS148" s="313" t="e">
        <f>IF($J148="",#N/A,SUM(CR$4:CR148))</f>
        <v>#N/A</v>
      </c>
      <c r="CT148" s="314" t="str">
        <f t="shared" si="272"/>
        <v/>
      </c>
      <c r="CU148" s="314" t="e">
        <f>IF($J148="",#N/A,SUM(CT$4:CT148))</f>
        <v>#N/A</v>
      </c>
      <c r="CV148" s="315">
        <f t="shared" si="273"/>
        <v>-0.27294438758103062</v>
      </c>
      <c r="CW148" s="315" t="e">
        <f>IF($J148="",#N/A,SUM(CV$4:CV148))</f>
        <v>#N/A</v>
      </c>
      <c r="CX148" s="315" t="e">
        <f>IF($J148="",#N/A,SUM(CV$4:CV148,CT$4:CT148,CR$4:CR148))</f>
        <v>#N/A</v>
      </c>
      <c r="CY148" s="304" t="str">
        <f t="shared" si="274"/>
        <v/>
      </c>
      <c r="CZ148" s="313" t="e">
        <f>IF($J148="",#N/A,SUM(CY$4:CY148))</f>
        <v>#N/A</v>
      </c>
      <c r="DA148" s="314" t="str">
        <f t="shared" si="275"/>
        <v/>
      </c>
      <c r="DB148" s="314" t="e">
        <f>IF($J148="",#N/A,SUM(DA$4:DA148))</f>
        <v>#N/A</v>
      </c>
      <c r="DC148" s="315" t="str">
        <f t="shared" si="276"/>
        <v/>
      </c>
      <c r="DD148" s="315" t="e">
        <f>IF($J148="",#N/A,SUM(DC$4:DC148))</f>
        <v>#N/A</v>
      </c>
      <c r="DE148" s="315" t="e">
        <f>IF($J148="",#N/A,SUM(DC$4:DC148,DA$4:DA148,CY$4:CY148))</f>
        <v>#N/A</v>
      </c>
      <c r="DF148" s="304" t="str">
        <f t="shared" si="277"/>
        <v/>
      </c>
      <c r="DG148" s="313" t="e">
        <f>IF($J148="",#N/A,SUM(DF$4:DF148))</f>
        <v>#N/A</v>
      </c>
      <c r="DH148" s="314" t="str">
        <f t="shared" si="278"/>
        <v/>
      </c>
      <c r="DI148" s="314" t="e">
        <f>IF($J148="",#N/A,SUM(DH$4:DH148))</f>
        <v>#N/A</v>
      </c>
      <c r="DJ148" s="315" t="str">
        <f t="shared" si="279"/>
        <v/>
      </c>
      <c r="DK148" s="315" t="e">
        <f>IF($J148="",#N/A,SUM(DJ$4:DJ148))</f>
        <v>#N/A</v>
      </c>
      <c r="DL148" s="315" t="e">
        <f>IF($J148="",#N/A,SUM(DJ$4:DJ148,DH$4:DH148,DF$4:DF148))</f>
        <v>#N/A</v>
      </c>
      <c r="DM148" s="304" t="str">
        <f t="shared" si="280"/>
        <v/>
      </c>
      <c r="DN148" s="313" t="e">
        <f>IF($J148="",#N/A,SUM(DM$4:DM148))</f>
        <v>#N/A</v>
      </c>
      <c r="DO148" s="314" t="str">
        <f t="shared" si="281"/>
        <v/>
      </c>
      <c r="DP148" s="314" t="e">
        <f>IF($J148="",#N/A,SUM(DO$4:DO148))</f>
        <v>#N/A</v>
      </c>
      <c r="DQ148" s="315" t="str">
        <f t="shared" si="282"/>
        <v/>
      </c>
      <c r="DR148" s="315" t="e">
        <f>IF($J148="",#N/A,SUM(DQ$4:DQ148))</f>
        <v>#N/A</v>
      </c>
      <c r="DS148" s="315" t="e">
        <f>IF($J148="",#N/A,SUM(DQ$4:DQ148,DO$4:DO148,DM$4:DM148))</f>
        <v>#N/A</v>
      </c>
      <c r="DT148" s="304" t="str">
        <f t="shared" si="283"/>
        <v/>
      </c>
      <c r="DU148" s="313" t="e">
        <f>IF($J148="",#N/A,SUM(DT$4:DT148))</f>
        <v>#N/A</v>
      </c>
      <c r="DV148" s="314" t="str">
        <f t="shared" si="284"/>
        <v/>
      </c>
      <c r="DW148" s="314" t="e">
        <f>IF($J148="",#N/A,SUM(DV$4:DV148))</f>
        <v>#N/A</v>
      </c>
      <c r="DX148" s="315" t="str">
        <f t="shared" si="285"/>
        <v/>
      </c>
      <c r="DY148" s="315" t="e">
        <f>IF($J148="",#N/A,SUM(DX$4:DX148))</f>
        <v>#N/A</v>
      </c>
      <c r="DZ148" s="315" t="e">
        <f>IF($J148="",#N/A,SUM(DX$4:DX148,DV$4:DV148,DT$4:DT148))</f>
        <v>#N/A</v>
      </c>
      <c r="EA148" s="304" t="str">
        <f t="shared" si="286"/>
        <v/>
      </c>
      <c r="EB148" s="313" t="e">
        <f>IF($J148="",#N/A,SUM(EA$4:EA148))</f>
        <v>#N/A</v>
      </c>
      <c r="EC148" s="314" t="str">
        <f t="shared" si="287"/>
        <v/>
      </c>
      <c r="ED148" s="314" t="e">
        <f>IF($J148="",#N/A,SUM(EC$4:EC148))</f>
        <v>#N/A</v>
      </c>
      <c r="EE148" s="315" t="str">
        <f t="shared" si="288"/>
        <v/>
      </c>
      <c r="EF148" s="315" t="e">
        <f>IF($J148="",#N/A,SUM(EE$4:EE148))</f>
        <v>#N/A</v>
      </c>
      <c r="EG148" s="315" t="e">
        <f>IF($J148="",#N/A,SUM(EE$4:EE148,EC$4:EC148,EA$4:EA148))</f>
        <v>#N/A</v>
      </c>
      <c r="EH148" s="130">
        <f t="shared" si="289"/>
        <v>-7.6800000000000068</v>
      </c>
      <c r="EI148" s="63">
        <f>IF(EH148="",#N/A,SUM($EH$4:EH148))</f>
        <v>554.06729478750617</v>
      </c>
      <c r="EJ148" s="223" t="e">
        <f t="shared" si="290"/>
        <v>#N/A</v>
      </c>
      <c r="EK148" s="63" t="e">
        <f>IF($GZ148="",#N/A,SUM(EJ$4:EJ148))</f>
        <v>#N/A</v>
      </c>
      <c r="EL148" s="60">
        <f t="shared" si="322"/>
        <v>-0.27294438758103062</v>
      </c>
      <c r="EM148" s="60">
        <f>IF(EL148="",NA(),SUM($EL$4:EL148))</f>
        <v>18.062260279515197</v>
      </c>
      <c r="EN148" s="60" t="str">
        <f t="shared" si="291"/>
        <v/>
      </c>
      <c r="EO148" s="60" t="e">
        <f>IF(EN148="",NA(),SUM($EN$4:EN148))</f>
        <v>#N/A</v>
      </c>
      <c r="EP148" s="60">
        <f t="shared" si="292"/>
        <v>-0.27294438758103062</v>
      </c>
      <c r="EQ148" s="60">
        <f>IF(EP148="",NA(),SUM($EP$4:EP148))</f>
        <v>8.3117796563123321</v>
      </c>
      <c r="ER148" s="60" t="str">
        <f t="shared" si="293"/>
        <v/>
      </c>
      <c r="ES148" s="60" t="e">
        <f>IF(ER148="",NA(),SUM($ER$4:ER148))</f>
        <v>#N/A</v>
      </c>
      <c r="ET148" s="60" t="str">
        <f t="shared" si="294"/>
        <v/>
      </c>
      <c r="EU148" s="60" t="e">
        <f>IF(ET148="",NA(),SUM($ET$4:ET148))</f>
        <v>#N/A</v>
      </c>
      <c r="EV148" s="60" t="str">
        <f t="shared" si="295"/>
        <v/>
      </c>
      <c r="EW148" s="60" t="e">
        <f>IF(EV148="",NA(),SUM($EV$4:EV148))</f>
        <v>#N/A</v>
      </c>
      <c r="EX148" s="60" t="str">
        <f t="shared" si="296"/>
        <v/>
      </c>
      <c r="EY148" s="60" t="e">
        <f>IF(EX148="",NA(),SUM($EX$4:EX148))</f>
        <v>#N/A</v>
      </c>
      <c r="EZ148" s="60" t="str">
        <f t="shared" si="297"/>
        <v/>
      </c>
      <c r="FA148" s="60" t="e">
        <f>IF(EZ148="",NA(),SUM($EZ$4:EZ148))</f>
        <v>#N/A</v>
      </c>
      <c r="FB148" s="246" t="str">
        <f t="shared" si="323"/>
        <v/>
      </c>
      <c r="FC148" s="246" t="e">
        <f>IF($FB148="",#N/A,SUM(FB$4:$FB148))</f>
        <v>#N/A</v>
      </c>
      <c r="FD148" s="60" t="str">
        <f t="shared" si="298"/>
        <v/>
      </c>
      <c r="FE148" s="60" t="e">
        <f>IF($FD148="",#N/A,SUM($FD$4:FD148))</f>
        <v>#N/A</v>
      </c>
      <c r="FF148" s="60" t="str">
        <f t="shared" si="299"/>
        <v/>
      </c>
      <c r="FG148" s="60" t="e">
        <f>IF($FF148="",#N/A,SUM($FF$4:FF148))</f>
        <v>#N/A</v>
      </c>
      <c r="FH148" s="60" t="str">
        <f t="shared" si="300"/>
        <v/>
      </c>
      <c r="FI148" s="60" t="e">
        <f>IF($FH148="",#N/A,SUM($FH$4:FH148))</f>
        <v>#N/A</v>
      </c>
      <c r="FJ148" s="60" t="str">
        <f t="shared" si="301"/>
        <v/>
      </c>
      <c r="FK148" s="60" t="e">
        <f>IF($FJ148="",#N/A,SUM($FJ$4:FJ148))</f>
        <v>#N/A</v>
      </c>
      <c r="FL148" s="60">
        <f t="shared" si="302"/>
        <v>-0.48724837939269799</v>
      </c>
      <c r="FM148" s="60">
        <f>IF($FL148="",#N/A,SUM($FL$4:FL148))</f>
        <v>4.0454227202897464</v>
      </c>
      <c r="FN148" s="82">
        <f t="shared" si="303"/>
        <v>-0.76019276697372862</v>
      </c>
      <c r="FO148" s="82">
        <f>IF($FN148="",#N/A,SUM(FN$4:$FN148))</f>
        <v>28.555263976209911</v>
      </c>
      <c r="FP148" s="82">
        <f t="shared" si="324"/>
        <v>-0.27294438758103062</v>
      </c>
      <c r="FQ148" s="246">
        <f>IF($EH148="",#N/A,SUM($FP$4:FP148))</f>
        <v>21.723048342996467</v>
      </c>
      <c r="FR148" s="82">
        <f>IFERROR(FQ148/COUNTA($J$4:J148),#N/A)</f>
        <v>0.14981412650342391</v>
      </c>
      <c r="FS148" s="82">
        <f t="shared" si="330"/>
        <v>-7.221639244767388E-3</v>
      </c>
      <c r="FT148" s="82">
        <f t="shared" si="328"/>
        <v>-6.2126485261794075E-2</v>
      </c>
      <c r="FU148" s="337">
        <f t="shared" si="329"/>
        <v>11.131541584091943</v>
      </c>
      <c r="FV148" s="57" t="str">
        <f t="shared" si="305"/>
        <v>SW</v>
      </c>
      <c r="FW148" s="57" t="s">
        <v>2732</v>
      </c>
      <c r="FX148" s="57" t="str">
        <f t="shared" si="306"/>
        <v/>
      </c>
      <c r="FY148" s="57" t="str">
        <f t="shared" si="307"/>
        <v/>
      </c>
      <c r="FZ148" s="57" t="str">
        <f t="shared" si="308"/>
        <v/>
      </c>
      <c r="GA148" s="57" t="str">
        <f t="shared" si="309"/>
        <v>Long</v>
      </c>
      <c r="GB148" s="57" t="str">
        <f t="shared" si="310"/>
        <v/>
      </c>
      <c r="GC148" s="57" t="str">
        <f t="shared" si="311"/>
        <v/>
      </c>
      <c r="GD148" s="57">
        <f t="shared" si="312"/>
        <v>1</v>
      </c>
      <c r="GE148" s="62">
        <f t="shared" si="227"/>
        <v>156.32</v>
      </c>
      <c r="GF148" s="62" t="s">
        <v>2779</v>
      </c>
      <c r="GG148" s="199">
        <v>3</v>
      </c>
      <c r="GH148" s="207">
        <f t="shared" si="313"/>
        <v>468.96</v>
      </c>
      <c r="GI148" s="199">
        <v>3</v>
      </c>
      <c r="GJ148" s="200">
        <v>152.91999999999999</v>
      </c>
      <c r="GK148" s="63">
        <f t="shared" si="314"/>
        <v>-10.199999999999989</v>
      </c>
      <c r="GL148" s="63">
        <f t="shared" si="228"/>
        <v>-21.389999999999986</v>
      </c>
      <c r="GM148" s="82">
        <f t="shared" si="315"/>
        <v>-0.76019276697372862</v>
      </c>
      <c r="GN148" s="82">
        <f>IF($GZ148="",#N/A,SUM(GM$4:GM148))</f>
        <v>9.183857739436835</v>
      </c>
      <c r="GO148" s="82" t="str">
        <f t="shared" si="316"/>
        <v/>
      </c>
      <c r="GP148" s="82">
        <f>IF($GZ148="",#N/A,SUM(GO$4:GO148))</f>
        <v>10.421159964010178</v>
      </c>
      <c r="GQ148" s="82" t="str">
        <f t="shared" si="317"/>
        <v/>
      </c>
      <c r="GR148" s="82">
        <f>IF($GZ148="",#N/A,SUM(GQ$4:GQ148))</f>
        <v>8.3244093183205603</v>
      </c>
      <c r="GS148" s="63" t="e">
        <f t="shared" si="325"/>
        <v>#N/A</v>
      </c>
      <c r="GT148" s="63" t="e">
        <f>IF($GZ148="",#N/A,SUM(GS$4:GS148))</f>
        <v>#N/A</v>
      </c>
      <c r="GU148" s="63" t="str">
        <f t="shared" si="326"/>
        <v/>
      </c>
      <c r="GV148" s="63" t="e">
        <f>IF($GZ148="",#N/A,SUM(GU$4:GU148))</f>
        <v>#N/A</v>
      </c>
      <c r="GW148" s="63" t="str">
        <f t="shared" si="327"/>
        <v/>
      </c>
      <c r="GX148" s="63" t="e">
        <f>IF($GZ148="",#N/A,SUM(GW$4:GW148))</f>
        <v>#N/A</v>
      </c>
      <c r="GY148" s="63" t="e">
        <f>IF(EJ148="",#N/A,SUM($EJ$4:EJ148))</f>
        <v>#N/A</v>
      </c>
      <c r="GZ148" s="159">
        <v>149.19</v>
      </c>
      <c r="HA148" s="63">
        <f t="shared" si="318"/>
        <v>-13.70999999999998</v>
      </c>
      <c r="HB148" s="62" t="s">
        <v>2538</v>
      </c>
      <c r="HC148" s="60">
        <f>IFERROR(VLOOKUP(E148,Expectancy!$P$4:$S$19,1+C148,FALSE),"")</f>
        <v>-0.14347628028912107</v>
      </c>
      <c r="HD148" s="82">
        <f t="shared" si="319"/>
        <v>-0.36250426475605557</v>
      </c>
      <c r="HE148" s="60">
        <f>IF(HD148="",#N/A,SUM($HD$4:HD148))</f>
        <v>-3.9384932410954745</v>
      </c>
      <c r="HF148" s="85">
        <f>IF(HD148="",#N/A,IF(HB148="Skip",#N/A,SUM($HG$4:HG148)))</f>
        <v>-79.260000000000105</v>
      </c>
      <c r="HG148" s="63">
        <f t="shared" si="320"/>
        <v>-10.199999999999989</v>
      </c>
      <c r="HH148" s="82">
        <f t="shared" si="321"/>
        <v>-0.76019276697372862</v>
      </c>
    </row>
    <row r="149" spans="1:216" x14ac:dyDescent="0.25">
      <c r="A149" s="57" t="s">
        <v>1330</v>
      </c>
      <c r="B149" s="58" t="s">
        <v>5172</v>
      </c>
      <c r="C149" s="386">
        <f t="shared" si="230"/>
        <v>3</v>
      </c>
      <c r="D149" s="372" t="str">
        <f>_xlfn.XLOOKUP(A149,[1]SP500!$A$2:$A$502,[1]SP500!$D$2:$D$502,"N")</f>
        <v>Y</v>
      </c>
      <c r="E149" s="57" t="str">
        <f>_xlfn.XLOOKUP(A149,[1]SP500!$A$2:$A$655,[1]SP500!$B$2:$B$655)</f>
        <v>XLI</v>
      </c>
      <c r="F149" s="59">
        <v>45688</v>
      </c>
      <c r="G149" s="57" t="str">
        <f t="shared" si="231"/>
        <v>BMO</v>
      </c>
      <c r="H149" s="57" t="str">
        <f t="shared" si="232"/>
        <v>s</v>
      </c>
      <c r="I149" s="158">
        <v>327.10000000000002</v>
      </c>
      <c r="J149" s="159">
        <v>322.02</v>
      </c>
      <c r="K149" s="61">
        <f t="shared" si="233"/>
        <v>-1.5530418832161542E-2</v>
      </c>
      <c r="L149" s="87">
        <f t="shared" si="234"/>
        <v>-5.0800000000000409</v>
      </c>
      <c r="M149" s="130">
        <f t="shared" si="226"/>
        <v>-0.95999999999997954</v>
      </c>
      <c r="N149" s="169" t="str">
        <f t="shared" si="235"/>
        <v/>
      </c>
      <c r="O149" s="169">
        <f>IF($J149="",#N/A,SUM($N$4:N149))</f>
        <v>260.21976368961373</v>
      </c>
      <c r="P149" s="174" t="str">
        <f t="shared" si="236"/>
        <v/>
      </c>
      <c r="Q149" s="174">
        <f>IF($J149="",#N/A,SUM($P$4:P149))</f>
        <v>111.03104023772642</v>
      </c>
      <c r="R149" s="178">
        <f t="shared" si="237"/>
        <v>-5.0800000000000409</v>
      </c>
      <c r="S149" s="178">
        <f>IF($J149="",#N/A,SUM($R$4:R149))</f>
        <v>177.7364908601657</v>
      </c>
      <c r="T149" s="290" t="str">
        <f t="shared" si="238"/>
        <v/>
      </c>
      <c r="U149" s="290">
        <f>IF($J149="",#N/A,SUM($T$4:T149))</f>
        <v>9.7613400884849888</v>
      </c>
      <c r="V149" s="291" t="str">
        <f t="shared" si="239"/>
        <v/>
      </c>
      <c r="W149" s="291">
        <f>IF($J149="",#N/A,SUM($V$4:V149))</f>
        <v>4.5776855182763283</v>
      </c>
      <c r="X149" s="292">
        <f t="shared" si="240"/>
        <v>-0.25884031386935902</v>
      </c>
      <c r="Y149" s="283">
        <f>IF($J149="",#N/A,SUM($X$4:X149))</f>
        <v>7.1251824223657794</v>
      </c>
      <c r="Z149" s="304" t="str">
        <f t="shared" si="241"/>
        <v/>
      </c>
      <c r="AA149" s="313" t="e">
        <f>IF($J149="",#N/A,SUM(Z$4:Z149))</f>
        <v>#N/A</v>
      </c>
      <c r="AB149" s="314" t="str">
        <f t="shared" si="242"/>
        <v/>
      </c>
      <c r="AC149" s="314" t="e">
        <f>IF($J149="",#N/A,SUM(AB$4:AB149))</f>
        <v>#N/A</v>
      </c>
      <c r="AD149" s="315" t="str">
        <f t="shared" si="243"/>
        <v/>
      </c>
      <c r="AE149" s="315" t="e">
        <f>IF($J149="",#N/A,SUM(AD$4:AD149))</f>
        <v>#N/A</v>
      </c>
      <c r="AF149" s="315" t="e">
        <f>IF($J149="",#N/A,SUM(AD$4:AD149,AB$4:AB149,Z$4:Z149))</f>
        <v>#N/A</v>
      </c>
      <c r="AG149" s="304" t="str">
        <f t="shared" si="244"/>
        <v/>
      </c>
      <c r="AH149" s="313" t="e">
        <f>IF($J149="",#N/A,SUM(AG$4:AG149))</f>
        <v>#N/A</v>
      </c>
      <c r="AI149" s="314" t="str">
        <f t="shared" si="245"/>
        <v/>
      </c>
      <c r="AJ149" s="314" t="e">
        <f>IF($J149="",#N/A,SUM(AI$4:AI149))</f>
        <v>#N/A</v>
      </c>
      <c r="AK149" s="315" t="str">
        <f t="shared" si="246"/>
        <v/>
      </c>
      <c r="AL149" s="315" t="e">
        <f>IF($J149="",#N/A,SUM(AK$4:AK149))</f>
        <v>#N/A</v>
      </c>
      <c r="AM149" s="315" t="e">
        <f>IF($J149="",#N/A,SUM(AK$4:AK149,AI$4:AI149,AG$4:AG149))</f>
        <v>#N/A</v>
      </c>
      <c r="AN149" s="304" t="str">
        <f t="shared" si="247"/>
        <v/>
      </c>
      <c r="AO149" s="313" t="e">
        <f>IF($J149="",#N/A,SUM(AN$4:AN149))</f>
        <v>#N/A</v>
      </c>
      <c r="AP149" s="314" t="str">
        <f t="shared" si="248"/>
        <v/>
      </c>
      <c r="AQ149" s="314" t="e">
        <f>IF($J149="",#N/A,SUM(AP$4:AP149))</f>
        <v>#N/A</v>
      </c>
      <c r="AR149" s="315" t="str">
        <f t="shared" si="249"/>
        <v/>
      </c>
      <c r="AS149" s="315" t="e">
        <f>IF($J149="",#N/A,SUM(AR$4:AR149))</f>
        <v>#N/A</v>
      </c>
      <c r="AT149" s="315" t="e">
        <f>IF($J149="",#N/A,SUM(AR$4:AR149,AP$4:AP149,AN$4:AN149))</f>
        <v>#N/A</v>
      </c>
      <c r="AU149" s="304" t="str">
        <f t="shared" si="250"/>
        <v/>
      </c>
      <c r="AV149" s="313" t="e">
        <f>IF($J149="",#N/A,SUM(AU$4:AU149))</f>
        <v>#N/A</v>
      </c>
      <c r="AW149" s="314" t="str">
        <f t="shared" si="251"/>
        <v/>
      </c>
      <c r="AX149" s="314" t="e">
        <f>IF($J149="",#N/A,SUM(AW$4:AW149))</f>
        <v>#N/A</v>
      </c>
      <c r="AY149" s="315" t="str">
        <f t="shared" si="252"/>
        <v/>
      </c>
      <c r="AZ149" s="315" t="e">
        <f>IF($J149="",#N/A,SUM(AY$4:AY149))</f>
        <v>#N/A</v>
      </c>
      <c r="BA149" s="315" t="e">
        <f>IF($J149="",#N/A,SUM(AY$4:AY149,AW$4:AW149,AU$4:AU149))</f>
        <v>#N/A</v>
      </c>
      <c r="BB149" s="304" t="str">
        <f t="shared" si="253"/>
        <v/>
      </c>
      <c r="BC149" s="313" t="e">
        <f>IF($J149="",#N/A,SUM(BB$4:BB149))</f>
        <v>#N/A</v>
      </c>
      <c r="BD149" s="314" t="str">
        <f t="shared" si="254"/>
        <v/>
      </c>
      <c r="BE149" s="314" t="e">
        <f>IF($J149="",#N/A,SUM(BD$4:BD149))</f>
        <v>#N/A</v>
      </c>
      <c r="BF149" s="315" t="str">
        <f t="shared" si="255"/>
        <v/>
      </c>
      <c r="BG149" s="315" t="e">
        <f>IF($J149="",#N/A,SUM(BF$4:BF149))</f>
        <v>#N/A</v>
      </c>
      <c r="BH149" s="315" t="e">
        <f>IF($J149="",#N/A,SUM(BF$4:BF149,BD$4:BD149,BB$4:BB149))</f>
        <v>#N/A</v>
      </c>
      <c r="BI149" s="304" t="str">
        <f t="shared" si="256"/>
        <v/>
      </c>
      <c r="BJ149" s="313" t="e">
        <f>IF($J149="",#N/A,SUM(BI$4:BI149))</f>
        <v>#N/A</v>
      </c>
      <c r="BK149" s="314" t="str">
        <f t="shared" si="257"/>
        <v/>
      </c>
      <c r="BL149" s="314" t="e">
        <f>IF($J149="",#N/A,SUM(BK$4:BK149))</f>
        <v>#N/A</v>
      </c>
      <c r="BM149" s="315" t="str">
        <f t="shared" si="258"/>
        <v/>
      </c>
      <c r="BN149" s="315" t="e">
        <f>IF($J149="",#N/A,SUM(BM$4:BM149))</f>
        <v>#N/A</v>
      </c>
      <c r="BO149" s="315" t="e">
        <f>IF($J149="",#N/A,SUM(BM$4:BM149,BK$4:BK149,BI$4:BI149))</f>
        <v>#N/A</v>
      </c>
      <c r="BP149" s="304" t="str">
        <f t="shared" si="259"/>
        <v/>
      </c>
      <c r="BQ149" s="313" t="e">
        <f>IF($J149="",#N/A,SUM(BP$4:BP149))</f>
        <v>#N/A</v>
      </c>
      <c r="BR149" s="314" t="str">
        <f t="shared" si="260"/>
        <v/>
      </c>
      <c r="BS149" s="314" t="e">
        <f>IF($J149="",#N/A,SUM(BR$4:BR149))</f>
        <v>#N/A</v>
      </c>
      <c r="BT149" s="315">
        <f t="shared" si="261"/>
        <v>-0.25884031386935902</v>
      </c>
      <c r="BU149" s="315" t="e">
        <f>IF($J149="",#N/A,SUM(BT$4:BT149))</f>
        <v>#N/A</v>
      </c>
      <c r="BV149" s="315" t="e">
        <f>IF($J149="",#N/A,SUM(BT$4:BT149,BR$4:BR149,BP$4:BP149))</f>
        <v>#N/A</v>
      </c>
      <c r="BW149" s="304" t="str">
        <f t="shared" si="262"/>
        <v/>
      </c>
      <c r="BX149" s="313" t="e">
        <f>IF($J149="",#N/A,SUM(BW$4:BW149))</f>
        <v>#N/A</v>
      </c>
      <c r="BY149" s="314" t="str">
        <f t="shared" si="263"/>
        <v/>
      </c>
      <c r="BZ149" s="314" t="e">
        <f>IF($J149="",#N/A,SUM(BY$4:BY149))</f>
        <v>#N/A</v>
      </c>
      <c r="CA149" s="315" t="str">
        <f t="shared" si="264"/>
        <v/>
      </c>
      <c r="CB149" s="315" t="e">
        <f>IF($J149="",#N/A,SUM(CA$4:CA149))</f>
        <v>#N/A</v>
      </c>
      <c r="CC149" s="315" t="e">
        <f>IF($J149="",#N/A,SUM(CA$4:CA149,BY$4:BY149,BW$4:BW149))</f>
        <v>#N/A</v>
      </c>
      <c r="CD149" s="304" t="str">
        <f t="shared" si="265"/>
        <v/>
      </c>
      <c r="CE149" s="313" t="e">
        <f>IF($J149="",#N/A,SUM(CD$4:CD149))</f>
        <v>#N/A</v>
      </c>
      <c r="CF149" s="314" t="str">
        <f t="shared" si="266"/>
        <v/>
      </c>
      <c r="CG149" s="314" t="e">
        <f>IF($J149="",#N/A,SUM(CF$4:CF149))</f>
        <v>#N/A</v>
      </c>
      <c r="CH149" s="315" t="str">
        <f t="shared" si="267"/>
        <v/>
      </c>
      <c r="CI149" s="315" t="e">
        <f>IF($J149="",#N/A,SUM(CH$4:CH149))</f>
        <v>#N/A</v>
      </c>
      <c r="CJ149" s="315" t="e">
        <f>IF($J149="",#N/A,SUM(CH$4:CH149,CF$4:CF149,CD$4:CD149))</f>
        <v>#N/A</v>
      </c>
      <c r="CK149" s="304" t="str">
        <f t="shared" si="268"/>
        <v/>
      </c>
      <c r="CL149" s="313" t="e">
        <f>IF($J149="",#N/A,SUM(CK$4:CK149))</f>
        <v>#N/A</v>
      </c>
      <c r="CM149" s="314" t="str">
        <f t="shared" si="269"/>
        <v/>
      </c>
      <c r="CN149" s="314" t="e">
        <f>IF($J149="",#N/A,SUM(CM$4:CM149))</f>
        <v>#N/A</v>
      </c>
      <c r="CO149" s="315" t="str">
        <f t="shared" si="270"/>
        <v/>
      </c>
      <c r="CP149" s="315" t="e">
        <f>IF($J149="",#N/A,SUM(CO$4:CO149))</f>
        <v>#N/A</v>
      </c>
      <c r="CQ149" s="315" t="e">
        <f>IF($J149="",#N/A,SUM(CO$4:CO149,CM$4:CM149,CK$4:CK149))</f>
        <v>#N/A</v>
      </c>
      <c r="CR149" s="304" t="str">
        <f t="shared" si="271"/>
        <v/>
      </c>
      <c r="CS149" s="313" t="e">
        <f>IF($J149="",#N/A,SUM(CR$4:CR149))</f>
        <v>#N/A</v>
      </c>
      <c r="CT149" s="314" t="str">
        <f t="shared" si="272"/>
        <v/>
      </c>
      <c r="CU149" s="314" t="e">
        <f>IF($J149="",#N/A,SUM(CT$4:CT149))</f>
        <v>#N/A</v>
      </c>
      <c r="CV149" s="315" t="str">
        <f t="shared" si="273"/>
        <v/>
      </c>
      <c r="CW149" s="315" t="e">
        <f>IF($J149="",#N/A,SUM(CV$4:CV149))</f>
        <v>#N/A</v>
      </c>
      <c r="CX149" s="315" t="e">
        <f>IF($J149="",#N/A,SUM(CV$4:CV149,CT$4:CT149,CR$4:CR149))</f>
        <v>#N/A</v>
      </c>
      <c r="CY149" s="304" t="str">
        <f t="shared" si="274"/>
        <v/>
      </c>
      <c r="CZ149" s="313" t="e">
        <f>IF($J149="",#N/A,SUM(CY$4:CY149))</f>
        <v>#N/A</v>
      </c>
      <c r="DA149" s="314" t="str">
        <f t="shared" si="275"/>
        <v/>
      </c>
      <c r="DB149" s="314" t="e">
        <f>IF($J149="",#N/A,SUM(DA$4:DA149))</f>
        <v>#N/A</v>
      </c>
      <c r="DC149" s="315" t="str">
        <f t="shared" si="276"/>
        <v/>
      </c>
      <c r="DD149" s="315" t="e">
        <f>IF($J149="",#N/A,SUM(DC$4:DC149))</f>
        <v>#N/A</v>
      </c>
      <c r="DE149" s="315" t="e">
        <f>IF($J149="",#N/A,SUM(DC$4:DC149,DA$4:DA149,CY$4:CY149))</f>
        <v>#N/A</v>
      </c>
      <c r="DF149" s="304" t="str">
        <f t="shared" si="277"/>
        <v/>
      </c>
      <c r="DG149" s="313" t="e">
        <f>IF($J149="",#N/A,SUM(DF$4:DF149))</f>
        <v>#N/A</v>
      </c>
      <c r="DH149" s="314" t="str">
        <f t="shared" si="278"/>
        <v/>
      </c>
      <c r="DI149" s="314" t="e">
        <f>IF($J149="",#N/A,SUM(DH$4:DH149))</f>
        <v>#N/A</v>
      </c>
      <c r="DJ149" s="315" t="str">
        <f t="shared" si="279"/>
        <v/>
      </c>
      <c r="DK149" s="315" t="e">
        <f>IF($J149="",#N/A,SUM(DJ$4:DJ149))</f>
        <v>#N/A</v>
      </c>
      <c r="DL149" s="315" t="e">
        <f>IF($J149="",#N/A,SUM(DJ$4:DJ149,DH$4:DH149,DF$4:DF149))</f>
        <v>#N/A</v>
      </c>
      <c r="DM149" s="304" t="str">
        <f t="shared" si="280"/>
        <v/>
      </c>
      <c r="DN149" s="313" t="e">
        <f>IF($J149="",#N/A,SUM(DM$4:DM149))</f>
        <v>#N/A</v>
      </c>
      <c r="DO149" s="314" t="str">
        <f t="shared" si="281"/>
        <v/>
      </c>
      <c r="DP149" s="314" t="e">
        <f>IF($J149="",#N/A,SUM(DO$4:DO149))</f>
        <v>#N/A</v>
      </c>
      <c r="DQ149" s="315" t="str">
        <f t="shared" si="282"/>
        <v/>
      </c>
      <c r="DR149" s="315" t="e">
        <f>IF($J149="",#N/A,SUM(DQ$4:DQ149))</f>
        <v>#N/A</v>
      </c>
      <c r="DS149" s="315" t="e">
        <f>IF($J149="",#N/A,SUM(DQ$4:DQ149,DO$4:DO149,DM$4:DM149))</f>
        <v>#N/A</v>
      </c>
      <c r="DT149" s="304" t="str">
        <f t="shared" si="283"/>
        <v/>
      </c>
      <c r="DU149" s="313" t="e">
        <f>IF($J149="",#N/A,SUM(DT$4:DT149))</f>
        <v>#N/A</v>
      </c>
      <c r="DV149" s="314" t="str">
        <f t="shared" si="284"/>
        <v/>
      </c>
      <c r="DW149" s="314" t="e">
        <f>IF($J149="",#N/A,SUM(DV$4:DV149))</f>
        <v>#N/A</v>
      </c>
      <c r="DX149" s="315" t="str">
        <f t="shared" si="285"/>
        <v/>
      </c>
      <c r="DY149" s="315" t="e">
        <f>IF($J149="",#N/A,SUM(DX$4:DX149))</f>
        <v>#N/A</v>
      </c>
      <c r="DZ149" s="315" t="e">
        <f>IF($J149="",#N/A,SUM(DX$4:DX149,DV$4:DV149,DT$4:DT149))</f>
        <v>#N/A</v>
      </c>
      <c r="EA149" s="304" t="str">
        <f t="shared" si="286"/>
        <v/>
      </c>
      <c r="EB149" s="313" t="e">
        <f>IF($J149="",#N/A,SUM(EA$4:EA149))</f>
        <v>#N/A</v>
      </c>
      <c r="EC149" s="314" t="str">
        <f t="shared" si="287"/>
        <v/>
      </c>
      <c r="ED149" s="314" t="e">
        <f>IF($J149="",#N/A,SUM(EC$4:EC149))</f>
        <v>#N/A</v>
      </c>
      <c r="EE149" s="315" t="str">
        <f t="shared" si="288"/>
        <v/>
      </c>
      <c r="EF149" s="315" t="e">
        <f>IF($J149="",#N/A,SUM(EE$4:EE149))</f>
        <v>#N/A</v>
      </c>
      <c r="EG149" s="315" t="e">
        <f>IF($J149="",#N/A,SUM(EE$4:EE149,EC$4:EC149,EA$4:EA149))</f>
        <v>#N/A</v>
      </c>
      <c r="EH149" s="130">
        <f t="shared" si="289"/>
        <v>-5.0800000000000409</v>
      </c>
      <c r="EI149" s="63">
        <f>IF(EH149="",#N/A,SUM($EH$4:EH149))</f>
        <v>548.98729478750613</v>
      </c>
      <c r="EJ149" s="223" t="e">
        <f t="shared" si="290"/>
        <v>#N/A</v>
      </c>
      <c r="EK149" s="63" t="e">
        <f>IF($GZ149="",#N/A,SUM(EJ$4:EJ149))</f>
        <v>#N/A</v>
      </c>
      <c r="EL149" s="60">
        <f t="shared" si="322"/>
        <v>-0.25884031386935902</v>
      </c>
      <c r="EM149" s="60">
        <f>IF(EL149="",NA(),SUM($EL$4:EL149))</f>
        <v>17.803419965645837</v>
      </c>
      <c r="EN149" s="60" t="str">
        <f t="shared" si="291"/>
        <v/>
      </c>
      <c r="EO149" s="60" t="e">
        <f>IF(EN149="",NA(),SUM($EN$4:EN149))</f>
        <v>#N/A</v>
      </c>
      <c r="EP149" s="60">
        <f t="shared" si="292"/>
        <v>-0.25884031386935902</v>
      </c>
      <c r="EQ149" s="60">
        <f>IF(EP149="",NA(),SUM($EP$4:EP149))</f>
        <v>8.0529393424429738</v>
      </c>
      <c r="ER149" s="60" t="str">
        <f t="shared" si="293"/>
        <v/>
      </c>
      <c r="ES149" s="60" t="e">
        <f>IF(ER149="",NA(),SUM($ER$4:ER149))</f>
        <v>#N/A</v>
      </c>
      <c r="ET149" s="60" t="str">
        <f t="shared" si="294"/>
        <v/>
      </c>
      <c r="EU149" s="60" t="e">
        <f>IF(ET149="",NA(),SUM($ET$4:ET149))</f>
        <v>#N/A</v>
      </c>
      <c r="EV149" s="60" t="str">
        <f t="shared" si="295"/>
        <v/>
      </c>
      <c r="EW149" s="60" t="e">
        <f>IF(EV149="",NA(),SUM($EV$4:EV149))</f>
        <v>#N/A</v>
      </c>
      <c r="EX149" s="60" t="str">
        <f t="shared" si="296"/>
        <v/>
      </c>
      <c r="EY149" s="60" t="e">
        <f>IF(EX149="",NA(),SUM($EX$4:EX149))</f>
        <v>#N/A</v>
      </c>
      <c r="EZ149" s="60" t="str">
        <f t="shared" si="297"/>
        <v/>
      </c>
      <c r="FA149" s="60" t="e">
        <f>IF(EZ149="",NA(),SUM($EZ$4:EZ149))</f>
        <v>#N/A</v>
      </c>
      <c r="FB149" s="246" t="str">
        <f t="shared" si="323"/>
        <v/>
      </c>
      <c r="FC149" s="246" t="e">
        <f>IF($FB149="",#N/A,SUM(FB$4:$FB149))</f>
        <v>#N/A</v>
      </c>
      <c r="FD149" s="60" t="str">
        <f t="shared" si="298"/>
        <v/>
      </c>
      <c r="FE149" s="60" t="e">
        <f>IF($FD149="",#N/A,SUM($FD$4:FD149))</f>
        <v>#N/A</v>
      </c>
      <c r="FF149" s="60" t="str">
        <f t="shared" si="299"/>
        <v/>
      </c>
      <c r="FG149" s="60" t="e">
        <f>IF($FF149="",#N/A,SUM($FF$4:FF149))</f>
        <v>#N/A</v>
      </c>
      <c r="FH149" s="60" t="str">
        <f t="shared" si="300"/>
        <v/>
      </c>
      <c r="FI149" s="60" t="e">
        <f>IF($FH149="",#N/A,SUM($FH$4:FH149))</f>
        <v>#N/A</v>
      </c>
      <c r="FJ149" s="60" t="str">
        <f t="shared" si="301"/>
        <v/>
      </c>
      <c r="FK149" s="60" t="e">
        <f>IF($FJ149="",#N/A,SUM($FJ$4:FJ149))</f>
        <v>#N/A</v>
      </c>
      <c r="FL149" s="60">
        <f t="shared" si="302"/>
        <v>0.22521145419341768</v>
      </c>
      <c r="FM149" s="60">
        <f>IF($FL149="",#N/A,SUM($FL$4:FL149))</f>
        <v>4.2706341744831642</v>
      </c>
      <c r="FN149" s="82">
        <f t="shared" si="303"/>
        <v>-3.3628859675941349E-2</v>
      </c>
      <c r="FO149" s="82">
        <f>IF($FN149="",#N/A,SUM(FN$4:$FN149))</f>
        <v>28.521635116533968</v>
      </c>
      <c r="FP149" s="82">
        <f t="shared" si="324"/>
        <v>-0.25884031386935902</v>
      </c>
      <c r="FQ149" s="246">
        <f>IF($EH149="",#N/A,SUM($FP$4:FP149))</f>
        <v>21.464208029127107</v>
      </c>
      <c r="FR149" s="82">
        <f>IFERROR(FQ149/COUNTA($J$4:J149),#N/A)</f>
        <v>0.14701512348717197</v>
      </c>
      <c r="FS149" s="82">
        <f t="shared" si="330"/>
        <v>-3.1772118558248082E-2</v>
      </c>
      <c r="FT149" s="82">
        <f t="shared" si="328"/>
        <v>-4.0630034576370801E-2</v>
      </c>
      <c r="FU149" s="337">
        <f t="shared" si="329"/>
        <v>11.180456289075126</v>
      </c>
      <c r="FV149" s="57" t="str">
        <f t="shared" si="305"/>
        <v>SW</v>
      </c>
      <c r="FW149" s="57" t="s">
        <v>2732</v>
      </c>
      <c r="FX149" s="57" t="str">
        <f t="shared" si="306"/>
        <v/>
      </c>
      <c r="FY149" s="57" t="str">
        <f t="shared" si="307"/>
        <v/>
      </c>
      <c r="FZ149" s="57" t="str">
        <f t="shared" si="308"/>
        <v/>
      </c>
      <c r="GA149" s="57" t="str">
        <f t="shared" si="309"/>
        <v>Long</v>
      </c>
      <c r="GB149" s="57" t="str">
        <f t="shared" si="310"/>
        <v/>
      </c>
      <c r="GC149" s="57" t="str">
        <f t="shared" si="311"/>
        <v/>
      </c>
      <c r="GD149" s="57">
        <f t="shared" si="312"/>
        <v>1</v>
      </c>
      <c r="GE149" s="62">
        <f t="shared" si="227"/>
        <v>327.10000000000002</v>
      </c>
      <c r="GF149" s="62" t="s">
        <v>2779</v>
      </c>
      <c r="GG149" s="199">
        <v>1</v>
      </c>
      <c r="GH149" s="207">
        <f t="shared" si="313"/>
        <v>327.10000000000002</v>
      </c>
      <c r="GI149" s="199">
        <v>1</v>
      </c>
      <c r="GJ149" s="200">
        <v>321.06</v>
      </c>
      <c r="GK149" s="63">
        <f t="shared" si="314"/>
        <v>-6.0400000000000205</v>
      </c>
      <c r="GL149" s="63">
        <f t="shared" si="228"/>
        <v>-0.66000000000002501</v>
      </c>
      <c r="GM149" s="82">
        <f t="shared" si="315"/>
        <v>-3.3628859675941349E-2</v>
      </c>
      <c r="GN149" s="82">
        <f>IF($GZ149="",#N/A,SUM(GM$4:GM149))</f>
        <v>9.1502288797608937</v>
      </c>
      <c r="GO149" s="82" t="str">
        <f t="shared" si="316"/>
        <v/>
      </c>
      <c r="GP149" s="82">
        <f>IF($GZ149="",#N/A,SUM(GO$4:GO149))</f>
        <v>10.421159964010178</v>
      </c>
      <c r="GQ149" s="82" t="str">
        <f t="shared" si="317"/>
        <v/>
      </c>
      <c r="GR149" s="82">
        <f>IF($GZ149="",#N/A,SUM(GQ$4:GQ149))</f>
        <v>8.3244093183205603</v>
      </c>
      <c r="GS149" s="63" t="e">
        <f t="shared" si="325"/>
        <v>#N/A</v>
      </c>
      <c r="GT149" s="63" t="e">
        <f>IF($GZ149="",#N/A,SUM(GS$4:GS149))</f>
        <v>#N/A</v>
      </c>
      <c r="GU149" s="63" t="str">
        <f t="shared" si="326"/>
        <v/>
      </c>
      <c r="GV149" s="63" t="e">
        <f>IF($GZ149="",#N/A,SUM(GU$4:GU149))</f>
        <v>#N/A</v>
      </c>
      <c r="GW149" s="63" t="str">
        <f t="shared" si="327"/>
        <v/>
      </c>
      <c r="GX149" s="63" t="e">
        <f>IF($GZ149="",#N/A,SUM(GW$4:GW149))</f>
        <v>#N/A</v>
      </c>
      <c r="GY149" s="63" t="e">
        <f>IF(EJ149="",#N/A,SUM($EJ$4:EJ149))</f>
        <v>#N/A</v>
      </c>
      <c r="GZ149" s="159">
        <v>326.44</v>
      </c>
      <c r="HA149" s="63">
        <f t="shared" si="318"/>
        <v>4.4200000000000159</v>
      </c>
      <c r="HB149" s="62" t="s">
        <v>2538</v>
      </c>
      <c r="HC149" s="60">
        <f>IFERROR(VLOOKUP(E149,Expectancy!$P$4:$S$19,1+C149,FALSE),"")</f>
        <v>2.40735201201209E-2</v>
      </c>
      <c r="HD149" s="82">
        <f t="shared" si="319"/>
        <v>-0.30775501885254358</v>
      </c>
      <c r="HE149" s="60">
        <f>IF(HD149="",#N/A,SUM($HD$4:HD149))</f>
        <v>-4.2462482599480182</v>
      </c>
      <c r="HF149" s="85">
        <f>IF(HD149="",#N/A,IF(HB149="Skip",#N/A,SUM($HG$4:HG149)))</f>
        <v>-85.300000000000125</v>
      </c>
      <c r="HG149" s="63">
        <f t="shared" si="320"/>
        <v>-6.0400000000000205</v>
      </c>
      <c r="HH149" s="82">
        <f t="shared" si="321"/>
        <v>-3.3628859675941349E-2</v>
      </c>
    </row>
    <row r="150" spans="1:216" x14ac:dyDescent="0.25">
      <c r="A150" s="57" t="s">
        <v>1373</v>
      </c>
      <c r="B150" s="58" t="s">
        <v>5175</v>
      </c>
      <c r="C150" s="386">
        <f t="shared" si="230"/>
        <v>3</v>
      </c>
      <c r="D150" s="372" t="str">
        <f>_xlfn.XLOOKUP(A150,[1]SP500!$A$2:$A$502,[1]SP500!$D$2:$D$502,"N")</f>
        <v>Y</v>
      </c>
      <c r="E150" s="57" t="str">
        <f>_xlfn.XLOOKUP(A150,[1]SP500!$A$2:$A$655,[1]SP500!$B$2:$B$655)</f>
        <v>INS</v>
      </c>
      <c r="F150" s="59">
        <v>45688</v>
      </c>
      <c r="G150" s="57" t="str">
        <f t="shared" si="231"/>
        <v>BMO</v>
      </c>
      <c r="H150" s="57" t="str">
        <f t="shared" si="232"/>
        <v>s</v>
      </c>
      <c r="I150" s="159">
        <v>372.15</v>
      </c>
      <c r="J150" s="159">
        <v>371.05</v>
      </c>
      <c r="K150" s="61">
        <f t="shared" si="233"/>
        <v>-2.955797393524025E-3</v>
      </c>
      <c r="L150" s="87">
        <f t="shared" si="234"/>
        <v>-1.0999999999999659</v>
      </c>
      <c r="M150" s="130">
        <f t="shared" si="226"/>
        <v>0</v>
      </c>
      <c r="N150" s="169" t="str">
        <f t="shared" si="235"/>
        <v/>
      </c>
      <c r="O150" s="169">
        <f>IF($J150="",#N/A,SUM($N$4:N150))</f>
        <v>260.21976368961373</v>
      </c>
      <c r="P150" s="174" t="str">
        <f t="shared" si="236"/>
        <v/>
      </c>
      <c r="Q150" s="174">
        <f>IF($J150="",#N/A,SUM($P$4:P150))</f>
        <v>111.03104023772642</v>
      </c>
      <c r="R150" s="178">
        <f t="shared" si="237"/>
        <v>-1.0999999999999659</v>
      </c>
      <c r="S150" s="178">
        <f>IF($J150="",#N/A,SUM($R$4:R150))</f>
        <v>176.63649086016574</v>
      </c>
      <c r="T150" s="290" t="str">
        <f t="shared" si="238"/>
        <v/>
      </c>
      <c r="U150" s="290">
        <f>IF($J150="",#N/A,SUM($T$4:T150))</f>
        <v>9.7613400884849888</v>
      </c>
      <c r="V150" s="291" t="str">
        <f t="shared" si="239"/>
        <v/>
      </c>
      <c r="W150" s="291">
        <f>IF($J150="",#N/A,SUM($V$4:V150))</f>
        <v>4.5776855182763283</v>
      </c>
      <c r="X150" s="292">
        <f t="shared" si="240"/>
        <v>-4.9263289892067089E-2</v>
      </c>
      <c r="Y150" s="283">
        <f>IF($J150="",#N/A,SUM($X$4:X150))</f>
        <v>7.0759191324737118</v>
      </c>
      <c r="Z150" s="304" t="str">
        <f t="shared" si="241"/>
        <v/>
      </c>
      <c r="AA150" s="313" t="e">
        <f>IF($J150="",#N/A,SUM(Z$4:Z150))</f>
        <v>#N/A</v>
      </c>
      <c r="AB150" s="314" t="str">
        <f t="shared" si="242"/>
        <v/>
      </c>
      <c r="AC150" s="314" t="e">
        <f>IF($J150="",#N/A,SUM(AB$4:AB150))</f>
        <v>#N/A</v>
      </c>
      <c r="AD150" s="315" t="str">
        <f t="shared" si="243"/>
        <v/>
      </c>
      <c r="AE150" s="315" t="e">
        <f>IF($J150="",#N/A,SUM(AD$4:AD150))</f>
        <v>#N/A</v>
      </c>
      <c r="AF150" s="315" t="e">
        <f>IF($J150="",#N/A,SUM(AD$4:AD150,AB$4:AB150,Z$4:Z150))</f>
        <v>#N/A</v>
      </c>
      <c r="AG150" s="304" t="str">
        <f t="shared" si="244"/>
        <v/>
      </c>
      <c r="AH150" s="313" t="e">
        <f>IF($J150="",#N/A,SUM(AG$4:AG150))</f>
        <v>#N/A</v>
      </c>
      <c r="AI150" s="314" t="str">
        <f t="shared" si="245"/>
        <v/>
      </c>
      <c r="AJ150" s="314" t="e">
        <f>IF($J150="",#N/A,SUM(AI$4:AI150))</f>
        <v>#N/A</v>
      </c>
      <c r="AK150" s="315" t="str">
        <f t="shared" si="246"/>
        <v/>
      </c>
      <c r="AL150" s="315" t="e">
        <f>IF($J150="",#N/A,SUM(AK$4:AK150))</f>
        <v>#N/A</v>
      </c>
      <c r="AM150" s="315" t="e">
        <f>IF($J150="",#N/A,SUM(AK$4:AK150,AI$4:AI150,AG$4:AG150))</f>
        <v>#N/A</v>
      </c>
      <c r="AN150" s="304" t="str">
        <f t="shared" si="247"/>
        <v/>
      </c>
      <c r="AO150" s="313" t="e">
        <f>IF($J150="",#N/A,SUM(AN$4:AN150))</f>
        <v>#N/A</v>
      </c>
      <c r="AP150" s="314" t="str">
        <f t="shared" si="248"/>
        <v/>
      </c>
      <c r="AQ150" s="314" t="e">
        <f>IF($J150="",#N/A,SUM(AP$4:AP150))</f>
        <v>#N/A</v>
      </c>
      <c r="AR150" s="315" t="str">
        <f t="shared" si="249"/>
        <v/>
      </c>
      <c r="AS150" s="315" t="e">
        <f>IF($J150="",#N/A,SUM(AR$4:AR150))</f>
        <v>#N/A</v>
      </c>
      <c r="AT150" s="315" t="e">
        <f>IF($J150="",#N/A,SUM(AR$4:AR150,AP$4:AP150,AN$4:AN150))</f>
        <v>#N/A</v>
      </c>
      <c r="AU150" s="304" t="str">
        <f t="shared" si="250"/>
        <v/>
      </c>
      <c r="AV150" s="313" t="e">
        <f>IF($J150="",#N/A,SUM(AU$4:AU150))</f>
        <v>#N/A</v>
      </c>
      <c r="AW150" s="314" t="str">
        <f t="shared" si="251"/>
        <v/>
      </c>
      <c r="AX150" s="314" t="e">
        <f>IF($J150="",#N/A,SUM(AW$4:AW150))</f>
        <v>#N/A</v>
      </c>
      <c r="AY150" s="315" t="str">
        <f t="shared" si="252"/>
        <v/>
      </c>
      <c r="AZ150" s="315" t="e">
        <f>IF($J150="",#N/A,SUM(AY$4:AY150))</f>
        <v>#N/A</v>
      </c>
      <c r="BA150" s="315" t="e">
        <f>IF($J150="",#N/A,SUM(AY$4:AY150,AW$4:AW150,AU$4:AU150))</f>
        <v>#N/A</v>
      </c>
      <c r="BB150" s="304" t="str">
        <f t="shared" si="253"/>
        <v/>
      </c>
      <c r="BC150" s="313" t="e">
        <f>IF($J150="",#N/A,SUM(BB$4:BB150))</f>
        <v>#N/A</v>
      </c>
      <c r="BD150" s="314" t="str">
        <f t="shared" si="254"/>
        <v/>
      </c>
      <c r="BE150" s="314" t="e">
        <f>IF($J150="",#N/A,SUM(BD$4:BD150))</f>
        <v>#N/A</v>
      </c>
      <c r="BF150" s="315" t="str">
        <f t="shared" si="255"/>
        <v/>
      </c>
      <c r="BG150" s="315" t="e">
        <f>IF($J150="",#N/A,SUM(BF$4:BF150))</f>
        <v>#N/A</v>
      </c>
      <c r="BH150" s="315" t="e">
        <f>IF($J150="",#N/A,SUM(BF$4:BF150,BD$4:BD150,BB$4:BB150))</f>
        <v>#N/A</v>
      </c>
      <c r="BI150" s="304" t="str">
        <f t="shared" si="256"/>
        <v/>
      </c>
      <c r="BJ150" s="313" t="e">
        <f>IF($J150="",#N/A,SUM(BI$4:BI150))</f>
        <v>#N/A</v>
      </c>
      <c r="BK150" s="314" t="str">
        <f t="shared" si="257"/>
        <v/>
      </c>
      <c r="BL150" s="314" t="e">
        <f>IF($J150="",#N/A,SUM(BK$4:BK150))</f>
        <v>#N/A</v>
      </c>
      <c r="BM150" s="315" t="str">
        <f t="shared" si="258"/>
        <v/>
      </c>
      <c r="BN150" s="315" t="e">
        <f>IF($J150="",#N/A,SUM(BM$4:BM150))</f>
        <v>#N/A</v>
      </c>
      <c r="BO150" s="315" t="e">
        <f>IF($J150="",#N/A,SUM(BM$4:BM150,BK$4:BK150,BI$4:BI150))</f>
        <v>#N/A</v>
      </c>
      <c r="BP150" s="304" t="str">
        <f t="shared" si="259"/>
        <v/>
      </c>
      <c r="BQ150" s="313" t="e">
        <f>IF($J150="",#N/A,SUM(BP$4:BP150))</f>
        <v>#N/A</v>
      </c>
      <c r="BR150" s="314" t="str">
        <f t="shared" si="260"/>
        <v/>
      </c>
      <c r="BS150" s="314" t="e">
        <f>IF($J150="",#N/A,SUM(BR$4:BR150))</f>
        <v>#N/A</v>
      </c>
      <c r="BT150" s="315" t="str">
        <f t="shared" si="261"/>
        <v/>
      </c>
      <c r="BU150" s="315" t="e">
        <f>IF($J150="",#N/A,SUM(BT$4:BT150))</f>
        <v>#N/A</v>
      </c>
      <c r="BV150" s="315" t="e">
        <f>IF($J150="",#N/A,SUM(BT$4:BT150,BR$4:BR150,BP$4:BP150))</f>
        <v>#N/A</v>
      </c>
      <c r="BW150" s="304" t="str">
        <f t="shared" si="262"/>
        <v/>
      </c>
      <c r="BX150" s="313" t="e">
        <f>IF($J150="",#N/A,SUM(BW$4:BW150))</f>
        <v>#N/A</v>
      </c>
      <c r="BY150" s="314" t="str">
        <f t="shared" si="263"/>
        <v/>
      </c>
      <c r="BZ150" s="314" t="e">
        <f>IF($J150="",#N/A,SUM(BY$4:BY150))</f>
        <v>#N/A</v>
      </c>
      <c r="CA150" s="315" t="str">
        <f t="shared" si="264"/>
        <v/>
      </c>
      <c r="CB150" s="315" t="e">
        <f>IF($J150="",#N/A,SUM(CA$4:CA150))</f>
        <v>#N/A</v>
      </c>
      <c r="CC150" s="315" t="e">
        <f>IF($J150="",#N/A,SUM(CA$4:CA150,BY$4:BY150,BW$4:BW150))</f>
        <v>#N/A</v>
      </c>
      <c r="CD150" s="304" t="str">
        <f t="shared" si="265"/>
        <v/>
      </c>
      <c r="CE150" s="313" t="e">
        <f>IF($J150="",#N/A,SUM(CD$4:CD150))</f>
        <v>#N/A</v>
      </c>
      <c r="CF150" s="314" t="str">
        <f t="shared" si="266"/>
        <v/>
      </c>
      <c r="CG150" s="314" t="e">
        <f>IF($J150="",#N/A,SUM(CF$4:CF150))</f>
        <v>#N/A</v>
      </c>
      <c r="CH150" s="315" t="str">
        <f t="shared" si="267"/>
        <v/>
      </c>
      <c r="CI150" s="315" t="e">
        <f>IF($J150="",#N/A,SUM(CH$4:CH150))</f>
        <v>#N/A</v>
      </c>
      <c r="CJ150" s="315" t="e">
        <f>IF($J150="",#N/A,SUM(CH$4:CH150,CF$4:CF150,CD$4:CD150))</f>
        <v>#N/A</v>
      </c>
      <c r="CK150" s="304" t="str">
        <f t="shared" si="268"/>
        <v/>
      </c>
      <c r="CL150" s="313" t="e">
        <f>IF($J150="",#N/A,SUM(CK$4:CK150))</f>
        <v>#N/A</v>
      </c>
      <c r="CM150" s="314" t="str">
        <f t="shared" si="269"/>
        <v/>
      </c>
      <c r="CN150" s="314" t="e">
        <f>IF($J150="",#N/A,SUM(CM$4:CM150))</f>
        <v>#N/A</v>
      </c>
      <c r="CO150" s="315" t="str">
        <f t="shared" si="270"/>
        <v/>
      </c>
      <c r="CP150" s="315" t="e">
        <f>IF($J150="",#N/A,SUM(CO$4:CO150))</f>
        <v>#N/A</v>
      </c>
      <c r="CQ150" s="315" t="e">
        <f>IF($J150="",#N/A,SUM(CO$4:CO150,CM$4:CM150,CK$4:CK150))</f>
        <v>#N/A</v>
      </c>
      <c r="CR150" s="304" t="str">
        <f t="shared" si="271"/>
        <v/>
      </c>
      <c r="CS150" s="313" t="e">
        <f>IF($J150="",#N/A,SUM(CR$4:CR150))</f>
        <v>#N/A</v>
      </c>
      <c r="CT150" s="314" t="str">
        <f t="shared" si="272"/>
        <v/>
      </c>
      <c r="CU150" s="314" t="e">
        <f>IF($J150="",#N/A,SUM(CT$4:CT150))</f>
        <v>#N/A</v>
      </c>
      <c r="CV150" s="315" t="str">
        <f t="shared" si="273"/>
        <v/>
      </c>
      <c r="CW150" s="315" t="e">
        <f>IF($J150="",#N/A,SUM(CV$4:CV150))</f>
        <v>#N/A</v>
      </c>
      <c r="CX150" s="315" t="e">
        <f>IF($J150="",#N/A,SUM(CV$4:CV150,CT$4:CT150,CR$4:CR150))</f>
        <v>#N/A</v>
      </c>
      <c r="CY150" s="304" t="str">
        <f t="shared" si="274"/>
        <v/>
      </c>
      <c r="CZ150" s="313" t="e">
        <f>IF($J150="",#N/A,SUM(CY$4:CY150))</f>
        <v>#N/A</v>
      </c>
      <c r="DA150" s="314" t="str">
        <f t="shared" si="275"/>
        <v/>
      </c>
      <c r="DB150" s="314" t="e">
        <f>IF($J150="",#N/A,SUM(DA$4:DA150))</f>
        <v>#N/A</v>
      </c>
      <c r="DC150" s="315" t="str">
        <f t="shared" si="276"/>
        <v/>
      </c>
      <c r="DD150" s="315" t="e">
        <f>IF($J150="",#N/A,SUM(DC$4:DC150))</f>
        <v>#N/A</v>
      </c>
      <c r="DE150" s="315" t="e">
        <f>IF($J150="",#N/A,SUM(DC$4:DC150,DA$4:DA150,CY$4:CY150))</f>
        <v>#N/A</v>
      </c>
      <c r="DF150" s="304" t="str">
        <f t="shared" si="277"/>
        <v/>
      </c>
      <c r="DG150" s="313" t="e">
        <f>IF($J150="",#N/A,SUM(DF$4:DF150))</f>
        <v>#N/A</v>
      </c>
      <c r="DH150" s="314" t="str">
        <f t="shared" si="278"/>
        <v/>
      </c>
      <c r="DI150" s="314" t="e">
        <f>IF($J150="",#N/A,SUM(DH$4:DH150))</f>
        <v>#N/A</v>
      </c>
      <c r="DJ150" s="315" t="str">
        <f t="shared" si="279"/>
        <v/>
      </c>
      <c r="DK150" s="315" t="e">
        <f>IF($J150="",#N/A,SUM(DJ$4:DJ150))</f>
        <v>#N/A</v>
      </c>
      <c r="DL150" s="315" t="e">
        <f>IF($J150="",#N/A,SUM(DJ$4:DJ150,DH$4:DH150,DF$4:DF150))</f>
        <v>#N/A</v>
      </c>
      <c r="DM150" s="304" t="str">
        <f t="shared" si="280"/>
        <v/>
      </c>
      <c r="DN150" s="313" t="e">
        <f>IF($J150="",#N/A,SUM(DM$4:DM150))</f>
        <v>#N/A</v>
      </c>
      <c r="DO150" s="314" t="str">
        <f t="shared" si="281"/>
        <v/>
      </c>
      <c r="DP150" s="314" t="e">
        <f>IF($J150="",#N/A,SUM(DO$4:DO150))</f>
        <v>#N/A</v>
      </c>
      <c r="DQ150" s="315">
        <f t="shared" si="282"/>
        <v>-4.9263289892067089E-2</v>
      </c>
      <c r="DR150" s="315" t="e">
        <f>IF($J150="",#N/A,SUM(DQ$4:DQ150))</f>
        <v>#N/A</v>
      </c>
      <c r="DS150" s="315" t="e">
        <f>IF($J150="",#N/A,SUM(DQ$4:DQ150,DO$4:DO150,DM$4:DM150))</f>
        <v>#N/A</v>
      </c>
      <c r="DT150" s="304" t="str">
        <f t="shared" si="283"/>
        <v/>
      </c>
      <c r="DU150" s="313" t="e">
        <f>IF($J150="",#N/A,SUM(DT$4:DT150))</f>
        <v>#N/A</v>
      </c>
      <c r="DV150" s="314" t="str">
        <f t="shared" si="284"/>
        <v/>
      </c>
      <c r="DW150" s="314" t="e">
        <f>IF($J150="",#N/A,SUM(DV$4:DV150))</f>
        <v>#N/A</v>
      </c>
      <c r="DX150" s="315" t="str">
        <f t="shared" si="285"/>
        <v/>
      </c>
      <c r="DY150" s="315" t="e">
        <f>IF($J150="",#N/A,SUM(DX$4:DX150))</f>
        <v>#N/A</v>
      </c>
      <c r="DZ150" s="315" t="e">
        <f>IF($J150="",#N/A,SUM(DX$4:DX150,DV$4:DV150,DT$4:DT150))</f>
        <v>#N/A</v>
      </c>
      <c r="EA150" s="304" t="str">
        <f t="shared" si="286"/>
        <v/>
      </c>
      <c r="EB150" s="313" t="e">
        <f>IF($J150="",#N/A,SUM(EA$4:EA150))</f>
        <v>#N/A</v>
      </c>
      <c r="EC150" s="314" t="str">
        <f t="shared" si="287"/>
        <v/>
      </c>
      <c r="ED150" s="314" t="e">
        <f>IF($J150="",#N/A,SUM(EC$4:EC150))</f>
        <v>#N/A</v>
      </c>
      <c r="EE150" s="315" t="str">
        <f t="shared" si="288"/>
        <v/>
      </c>
      <c r="EF150" s="315" t="e">
        <f>IF($J150="",#N/A,SUM(EE$4:EE150))</f>
        <v>#N/A</v>
      </c>
      <c r="EG150" s="315" t="e">
        <f>IF($J150="",#N/A,SUM(EE$4:EE150,EC$4:EC150,EA$4:EA150))</f>
        <v>#N/A</v>
      </c>
      <c r="EH150" s="130">
        <f t="shared" si="289"/>
        <v>-1.0999999999999659</v>
      </c>
      <c r="EI150" s="63">
        <f>IF(EH150="",#N/A,SUM($EH$4:EH150))</f>
        <v>547.88729478750611</v>
      </c>
      <c r="EJ150" s="223" t="e">
        <f t="shared" si="290"/>
        <v>#N/A</v>
      </c>
      <c r="EK150" s="63" t="e">
        <f>IF($GZ150="",#N/A,SUM(EJ$4:EJ150))</f>
        <v>#N/A</v>
      </c>
      <c r="EL150" s="60">
        <f t="shared" si="322"/>
        <v>-4.9263289892067089E-2</v>
      </c>
      <c r="EM150" s="60">
        <f>IF(EL150="",NA(),SUM($EL$4:EL150))</f>
        <v>17.754156675753769</v>
      </c>
      <c r="EN150" s="60" t="str">
        <f t="shared" si="291"/>
        <v/>
      </c>
      <c r="EO150" s="60" t="e">
        <f>IF(EN150="",NA(),SUM($EN$4:EN150))</f>
        <v>#N/A</v>
      </c>
      <c r="EP150" s="60">
        <f t="shared" si="292"/>
        <v>-4.9263289892067089E-2</v>
      </c>
      <c r="EQ150" s="60">
        <f>IF(EP150="",NA(),SUM($EP$4:EP150))</f>
        <v>8.0036760525509063</v>
      </c>
      <c r="ER150" s="60" t="str">
        <f t="shared" si="293"/>
        <v/>
      </c>
      <c r="ES150" s="60" t="e">
        <f>IF(ER150="",NA(),SUM($ER$4:ER150))</f>
        <v>#N/A</v>
      </c>
      <c r="ET150" s="60" t="str">
        <f t="shared" si="294"/>
        <v/>
      </c>
      <c r="EU150" s="60" t="e">
        <f>IF(ET150="",NA(),SUM($ET$4:ET150))</f>
        <v>#N/A</v>
      </c>
      <c r="EV150" s="60" t="str">
        <f t="shared" si="295"/>
        <v/>
      </c>
      <c r="EW150" s="60" t="e">
        <f>IF(EV150="",NA(),SUM($EV$4:EV150))</f>
        <v>#N/A</v>
      </c>
      <c r="EX150" s="60" t="str">
        <f t="shared" si="296"/>
        <v/>
      </c>
      <c r="EY150" s="60" t="e">
        <f>IF(EX150="",NA(),SUM($EX$4:EX150))</f>
        <v>#N/A</v>
      </c>
      <c r="EZ150" s="60" t="str">
        <f t="shared" si="297"/>
        <v/>
      </c>
      <c r="FA150" s="60" t="e">
        <f>IF(EZ150="",NA(),SUM($EZ$4:EZ150))</f>
        <v>#N/A</v>
      </c>
      <c r="FB150" s="246" t="str">
        <f t="shared" si="323"/>
        <v/>
      </c>
      <c r="FC150" s="246" t="e">
        <f>IF($FB150="",#N/A,SUM(FB$4:$FB150))</f>
        <v>#N/A</v>
      </c>
      <c r="FD150" s="60" t="str">
        <f t="shared" si="298"/>
        <v/>
      </c>
      <c r="FE150" s="60" t="e">
        <f>IF($FD150="",#N/A,SUM($FD$4:FD150))</f>
        <v>#N/A</v>
      </c>
      <c r="FF150" s="60" t="str">
        <f t="shared" si="299"/>
        <v/>
      </c>
      <c r="FG150" s="60" t="e">
        <f>IF($FF150="",#N/A,SUM($FF$4:FF150))</f>
        <v>#N/A</v>
      </c>
      <c r="FH150" s="60" t="str">
        <f t="shared" si="300"/>
        <v/>
      </c>
      <c r="FI150" s="60" t="e">
        <f>IF($FH150="",#N/A,SUM($FH$4:FH150))</f>
        <v>#N/A</v>
      </c>
      <c r="FJ150" s="60" t="str">
        <f t="shared" si="301"/>
        <v/>
      </c>
      <c r="FK150" s="60" t="e">
        <f>IF($FJ150="",#N/A,SUM($FJ$4:FJ150))</f>
        <v>#N/A</v>
      </c>
      <c r="FL150" s="60">
        <f t="shared" si="302"/>
        <v>-1.0300506068342437E-2</v>
      </c>
      <c r="FM150" s="60">
        <f>IF($FL150="",#N/A,SUM($FL$4:FL150))</f>
        <v>4.2603336684148214</v>
      </c>
      <c r="FN150" s="82">
        <f t="shared" si="303"/>
        <v>-5.9563795960409525E-2</v>
      </c>
      <c r="FO150" s="82">
        <f>IF($FN150="",#N/A,SUM(FN$4:$FN150))</f>
        <v>28.462071320573557</v>
      </c>
      <c r="FP150" s="82">
        <f t="shared" si="324"/>
        <v>-4.9263289892067089E-2</v>
      </c>
      <c r="FQ150" s="246">
        <f>IF($EH150="",#N/A,SUM($FP$4:FP150))</f>
        <v>21.41494473923504</v>
      </c>
      <c r="FR150" s="82">
        <f>IFERROR(FQ150/COUNTA($J$4:J150),#N/A)</f>
        <v>0.14567989618527238</v>
      </c>
      <c r="FS150" s="82">
        <f t="shared" si="330"/>
        <v>2.2001594204609703E-2</v>
      </c>
      <c r="FT150" s="82">
        <f t="shared" si="328"/>
        <v>-3.5017627783427943E-2</v>
      </c>
      <c r="FU150" s="337">
        <f t="shared" si="329"/>
        <v>11.180456289075126</v>
      </c>
      <c r="FV150" s="57" t="str">
        <f t="shared" si="305"/>
        <v>SW</v>
      </c>
      <c r="FW150" s="57" t="s">
        <v>2732</v>
      </c>
      <c r="FX150" s="57" t="str">
        <f t="shared" si="306"/>
        <v/>
      </c>
      <c r="FY150" s="57" t="str">
        <f t="shared" si="307"/>
        <v/>
      </c>
      <c r="FZ150" s="57" t="str">
        <f t="shared" si="308"/>
        <v/>
      </c>
      <c r="GA150" s="57" t="str">
        <f t="shared" si="309"/>
        <v>Long</v>
      </c>
      <c r="GB150" s="57" t="str">
        <f t="shared" si="310"/>
        <v/>
      </c>
      <c r="GC150" s="57" t="str">
        <f t="shared" si="311"/>
        <v/>
      </c>
      <c r="GD150" s="57">
        <f t="shared" si="312"/>
        <v>1</v>
      </c>
      <c r="GE150" s="62">
        <f t="shared" si="227"/>
        <v>372.15</v>
      </c>
      <c r="GF150" s="62" t="s">
        <v>2779</v>
      </c>
      <c r="GG150" s="199">
        <v>1</v>
      </c>
      <c r="GH150" s="207">
        <f t="shared" si="313"/>
        <v>372.15</v>
      </c>
      <c r="GI150" s="199">
        <v>1</v>
      </c>
      <c r="GJ150" s="200">
        <v>371.05</v>
      </c>
      <c r="GK150" s="63">
        <f t="shared" si="314"/>
        <v>-1.0999999999999659</v>
      </c>
      <c r="GL150" s="63">
        <f t="shared" si="228"/>
        <v>-1.3299999999999841</v>
      </c>
      <c r="GM150" s="82">
        <f t="shared" si="315"/>
        <v>-5.9563795960409525E-2</v>
      </c>
      <c r="GN150" s="82">
        <f>IF($GZ150="",#N/A,SUM(GM$4:GM150))</f>
        <v>9.0906650838004843</v>
      </c>
      <c r="GO150" s="82" t="str">
        <f t="shared" si="316"/>
        <v/>
      </c>
      <c r="GP150" s="82">
        <f>IF($GZ150="",#N/A,SUM(GO$4:GO150))</f>
        <v>10.421159964010178</v>
      </c>
      <c r="GQ150" s="82" t="str">
        <f t="shared" si="317"/>
        <v/>
      </c>
      <c r="GR150" s="82">
        <f>IF($GZ150="",#N/A,SUM(GQ$4:GQ150))</f>
        <v>8.3244093183205603</v>
      </c>
      <c r="GS150" s="63" t="e">
        <f t="shared" si="325"/>
        <v>#N/A</v>
      </c>
      <c r="GT150" s="63" t="e">
        <f>IF($GZ150="",#N/A,SUM(GS$4:GS150))</f>
        <v>#N/A</v>
      </c>
      <c r="GU150" s="63" t="str">
        <f t="shared" si="326"/>
        <v/>
      </c>
      <c r="GV150" s="63" t="e">
        <f>IF($GZ150="",#N/A,SUM(GU$4:GU150))</f>
        <v>#N/A</v>
      </c>
      <c r="GW150" s="63" t="str">
        <f t="shared" si="327"/>
        <v/>
      </c>
      <c r="GX150" s="63" t="e">
        <f>IF($GZ150="",#N/A,SUM(GW$4:GW150))</f>
        <v>#N/A</v>
      </c>
      <c r="GY150" s="63" t="e">
        <f>IF(EJ150="",#N/A,SUM($EJ$4:EJ150))</f>
        <v>#N/A</v>
      </c>
      <c r="GZ150" s="159">
        <v>370.82</v>
      </c>
      <c r="HA150" s="63">
        <f t="shared" si="318"/>
        <v>-0.23000000000001819</v>
      </c>
      <c r="HB150" s="62" t="s">
        <v>2538</v>
      </c>
      <c r="HC150" s="60">
        <f>IFERROR(VLOOKUP(E150,Expectancy!$P$4:$S$19,1+C150,FALSE),"")</f>
        <v>-3.1543782927977014E-2</v>
      </c>
      <c r="HD150" s="82">
        <f t="shared" si="319"/>
        <v>-4.9263289892067089E-2</v>
      </c>
      <c r="HE150" s="60">
        <f>IF(HD150="",#N/A,SUM($HD$4:HD150))</f>
        <v>-4.2955115498400858</v>
      </c>
      <c r="HF150" s="85">
        <f>IF(HD150="",#N/A,IF(HB150="Skip",#N/A,SUM($HG$4:HG150)))</f>
        <v>-86.400000000000091</v>
      </c>
      <c r="HG150" s="63">
        <f t="shared" si="320"/>
        <v>-1.0999999999999659</v>
      </c>
      <c r="HH150" s="82">
        <f t="shared" si="321"/>
        <v>-5.9563795960409525E-2</v>
      </c>
    </row>
    <row r="151" spans="1:216" x14ac:dyDescent="0.25">
      <c r="A151" s="57" t="s">
        <v>1379</v>
      </c>
      <c r="B151" s="58" t="s">
        <v>5176</v>
      </c>
      <c r="C151" s="386">
        <f t="shared" si="230"/>
        <v>2</v>
      </c>
      <c r="D151" s="372" t="str">
        <f>_xlfn.XLOOKUP(A151,[1]SP500!$A$2:$A$502,[1]SP500!$D$2:$D$502,"N")</f>
        <v>Y</v>
      </c>
      <c r="E151" s="57" t="str">
        <f>_xlfn.XLOOKUP(A151,[1]SP500!$A$2:$A$655,[1]SP500!$B$2:$B$655)</f>
        <v>XLP</v>
      </c>
      <c r="F151" s="59">
        <v>45688</v>
      </c>
      <c r="G151" s="57" t="str">
        <f t="shared" si="231"/>
        <v>BMO</v>
      </c>
      <c r="H151" s="57" t="str">
        <f t="shared" si="232"/>
        <v>s</v>
      </c>
      <c r="I151" s="159">
        <v>90.89</v>
      </c>
      <c r="J151" s="159">
        <v>85.43</v>
      </c>
      <c r="K151" s="61">
        <f t="shared" si="233"/>
        <v>-6.0072615249202266E-2</v>
      </c>
      <c r="L151" s="87">
        <f t="shared" si="234"/>
        <v>21.839999999999975</v>
      </c>
      <c r="M151" s="130">
        <f t="shared" si="226"/>
        <v>0</v>
      </c>
      <c r="N151" s="169" t="str">
        <f t="shared" si="235"/>
        <v/>
      </c>
      <c r="O151" s="169">
        <f>IF($J151="",#N/A,SUM($N$4:N151))</f>
        <v>260.21976368961373</v>
      </c>
      <c r="P151" s="174">
        <f t="shared" si="236"/>
        <v>21.839999999999975</v>
      </c>
      <c r="Q151" s="174">
        <f>IF($J151="",#N/A,SUM($P$4:P151))</f>
        <v>132.87104023772639</v>
      </c>
      <c r="R151" s="178" t="str">
        <f t="shared" si="237"/>
        <v/>
      </c>
      <c r="S151" s="178">
        <f>IF($J151="",#N/A,SUM($R$4:R151))</f>
        <v>176.63649086016574</v>
      </c>
      <c r="T151" s="290" t="str">
        <f t="shared" si="238"/>
        <v/>
      </c>
      <c r="U151" s="290">
        <f>IF($J151="",#N/A,SUM($T$4:T151))</f>
        <v>9.7613400884849888</v>
      </c>
      <c r="V151" s="291">
        <f t="shared" si="239"/>
        <v>1.0012102541533709</v>
      </c>
      <c r="W151" s="291">
        <f>IF($J151="",#N/A,SUM($V$4:V151))</f>
        <v>5.578895772429699</v>
      </c>
      <c r="X151" s="292" t="str">
        <f t="shared" si="240"/>
        <v/>
      </c>
      <c r="Y151" s="283">
        <f>IF($J151="",#N/A,SUM($X$4:X151))</f>
        <v>7.0759191324737118</v>
      </c>
      <c r="Z151" s="304" t="str">
        <f t="shared" si="241"/>
        <v/>
      </c>
      <c r="AA151" s="313" t="e">
        <f>IF($J151="",#N/A,SUM(Z$4:Z151))</f>
        <v>#N/A</v>
      </c>
      <c r="AB151" s="314" t="str">
        <f t="shared" si="242"/>
        <v/>
      </c>
      <c r="AC151" s="314" t="e">
        <f>IF($J151="",#N/A,SUM(AB$4:AB151))</f>
        <v>#N/A</v>
      </c>
      <c r="AD151" s="315" t="str">
        <f t="shared" si="243"/>
        <v/>
      </c>
      <c r="AE151" s="315" t="e">
        <f>IF($J151="",#N/A,SUM(AD$4:AD151))</f>
        <v>#N/A</v>
      </c>
      <c r="AF151" s="315" t="e">
        <f>IF($J151="",#N/A,SUM(AD$4:AD151,AB$4:AB151,Z$4:Z151))</f>
        <v>#N/A</v>
      </c>
      <c r="AG151" s="304" t="str">
        <f t="shared" si="244"/>
        <v/>
      </c>
      <c r="AH151" s="313" t="e">
        <f>IF($J151="",#N/A,SUM(AG$4:AG151))</f>
        <v>#N/A</v>
      </c>
      <c r="AI151" s="314" t="str">
        <f t="shared" si="245"/>
        <v/>
      </c>
      <c r="AJ151" s="314" t="e">
        <f>IF($J151="",#N/A,SUM(AI$4:AI151))</f>
        <v>#N/A</v>
      </c>
      <c r="AK151" s="315" t="str">
        <f t="shared" si="246"/>
        <v/>
      </c>
      <c r="AL151" s="315" t="e">
        <f>IF($J151="",#N/A,SUM(AK$4:AK151))</f>
        <v>#N/A</v>
      </c>
      <c r="AM151" s="315" t="e">
        <f>IF($J151="",#N/A,SUM(AK$4:AK151,AI$4:AI151,AG$4:AG151))</f>
        <v>#N/A</v>
      </c>
      <c r="AN151" s="304" t="str">
        <f t="shared" si="247"/>
        <v/>
      </c>
      <c r="AO151" s="313" t="e">
        <f>IF($J151="",#N/A,SUM(AN$4:AN151))</f>
        <v>#N/A</v>
      </c>
      <c r="AP151" s="314" t="str">
        <f t="shared" si="248"/>
        <v/>
      </c>
      <c r="AQ151" s="314" t="e">
        <f>IF($J151="",#N/A,SUM(AP$4:AP151))</f>
        <v>#N/A</v>
      </c>
      <c r="AR151" s="315" t="str">
        <f t="shared" si="249"/>
        <v/>
      </c>
      <c r="AS151" s="315" t="e">
        <f>IF($J151="",#N/A,SUM(AR$4:AR151))</f>
        <v>#N/A</v>
      </c>
      <c r="AT151" s="315" t="e">
        <f>IF($J151="",#N/A,SUM(AR$4:AR151,AP$4:AP151,AN$4:AN151))</f>
        <v>#N/A</v>
      </c>
      <c r="AU151" s="304" t="str">
        <f t="shared" si="250"/>
        <v/>
      </c>
      <c r="AV151" s="313" t="e">
        <f>IF($J151="",#N/A,SUM(AU$4:AU151))</f>
        <v>#N/A</v>
      </c>
      <c r="AW151" s="314">
        <f t="shared" si="251"/>
        <v>1.0012102541533709</v>
      </c>
      <c r="AX151" s="314" t="e">
        <f>IF($J151="",#N/A,SUM(AW$4:AW151))</f>
        <v>#N/A</v>
      </c>
      <c r="AY151" s="315" t="str">
        <f t="shared" si="252"/>
        <v/>
      </c>
      <c r="AZ151" s="315" t="e">
        <f>IF($J151="",#N/A,SUM(AY$4:AY151))</f>
        <v>#N/A</v>
      </c>
      <c r="BA151" s="315" t="e">
        <f>IF($J151="",#N/A,SUM(AY$4:AY151,AW$4:AW151,AU$4:AU151))</f>
        <v>#N/A</v>
      </c>
      <c r="BB151" s="304" t="str">
        <f t="shared" si="253"/>
        <v/>
      </c>
      <c r="BC151" s="313" t="e">
        <f>IF($J151="",#N/A,SUM(BB$4:BB151))</f>
        <v>#N/A</v>
      </c>
      <c r="BD151" s="314" t="str">
        <f t="shared" si="254"/>
        <v/>
      </c>
      <c r="BE151" s="314" t="e">
        <f>IF($J151="",#N/A,SUM(BD$4:BD151))</f>
        <v>#N/A</v>
      </c>
      <c r="BF151" s="315" t="str">
        <f t="shared" si="255"/>
        <v/>
      </c>
      <c r="BG151" s="315" t="e">
        <f>IF($J151="",#N/A,SUM(BF$4:BF151))</f>
        <v>#N/A</v>
      </c>
      <c r="BH151" s="315" t="e">
        <f>IF($J151="",#N/A,SUM(BF$4:BF151,BD$4:BD151,BB$4:BB151))</f>
        <v>#N/A</v>
      </c>
      <c r="BI151" s="304" t="str">
        <f t="shared" si="256"/>
        <v/>
      </c>
      <c r="BJ151" s="313" t="e">
        <f>IF($J151="",#N/A,SUM(BI$4:BI151))</f>
        <v>#N/A</v>
      </c>
      <c r="BK151" s="314" t="str">
        <f t="shared" si="257"/>
        <v/>
      </c>
      <c r="BL151" s="314" t="e">
        <f>IF($J151="",#N/A,SUM(BK$4:BK151))</f>
        <v>#N/A</v>
      </c>
      <c r="BM151" s="315" t="str">
        <f t="shared" si="258"/>
        <v/>
      </c>
      <c r="BN151" s="315" t="e">
        <f>IF($J151="",#N/A,SUM(BM$4:BM151))</f>
        <v>#N/A</v>
      </c>
      <c r="BO151" s="315" t="e">
        <f>IF($J151="",#N/A,SUM(BM$4:BM151,BK$4:BK151,BI$4:BI151))</f>
        <v>#N/A</v>
      </c>
      <c r="BP151" s="304" t="str">
        <f t="shared" si="259"/>
        <v/>
      </c>
      <c r="BQ151" s="313" t="e">
        <f>IF($J151="",#N/A,SUM(BP$4:BP151))</f>
        <v>#N/A</v>
      </c>
      <c r="BR151" s="314" t="str">
        <f t="shared" si="260"/>
        <v/>
      </c>
      <c r="BS151" s="314" t="e">
        <f>IF($J151="",#N/A,SUM(BR$4:BR151))</f>
        <v>#N/A</v>
      </c>
      <c r="BT151" s="315" t="str">
        <f t="shared" si="261"/>
        <v/>
      </c>
      <c r="BU151" s="315" t="e">
        <f>IF($J151="",#N/A,SUM(BT$4:BT151))</f>
        <v>#N/A</v>
      </c>
      <c r="BV151" s="315" t="e">
        <f>IF($J151="",#N/A,SUM(BT$4:BT151,BR$4:BR151,BP$4:BP151))</f>
        <v>#N/A</v>
      </c>
      <c r="BW151" s="304" t="str">
        <f t="shared" si="262"/>
        <v/>
      </c>
      <c r="BX151" s="313" t="e">
        <f>IF($J151="",#N/A,SUM(BW$4:BW151))</f>
        <v>#N/A</v>
      </c>
      <c r="BY151" s="314" t="str">
        <f t="shared" si="263"/>
        <v/>
      </c>
      <c r="BZ151" s="314" t="e">
        <f>IF($J151="",#N/A,SUM(BY$4:BY151))</f>
        <v>#N/A</v>
      </c>
      <c r="CA151" s="315" t="str">
        <f t="shared" si="264"/>
        <v/>
      </c>
      <c r="CB151" s="315" t="e">
        <f>IF($J151="",#N/A,SUM(CA$4:CA151))</f>
        <v>#N/A</v>
      </c>
      <c r="CC151" s="315" t="e">
        <f>IF($J151="",#N/A,SUM(CA$4:CA151,BY$4:BY151,BW$4:BW151))</f>
        <v>#N/A</v>
      </c>
      <c r="CD151" s="304" t="str">
        <f t="shared" si="265"/>
        <v/>
      </c>
      <c r="CE151" s="313" t="e">
        <f>IF($J151="",#N/A,SUM(CD$4:CD151))</f>
        <v>#N/A</v>
      </c>
      <c r="CF151" s="314" t="str">
        <f t="shared" si="266"/>
        <v/>
      </c>
      <c r="CG151" s="314" t="e">
        <f>IF($J151="",#N/A,SUM(CF$4:CF151))</f>
        <v>#N/A</v>
      </c>
      <c r="CH151" s="315" t="str">
        <f t="shared" si="267"/>
        <v/>
      </c>
      <c r="CI151" s="315" t="e">
        <f>IF($J151="",#N/A,SUM(CH$4:CH151))</f>
        <v>#N/A</v>
      </c>
      <c r="CJ151" s="315" t="e">
        <f>IF($J151="",#N/A,SUM(CH$4:CH151,CF$4:CF151,CD$4:CD151))</f>
        <v>#N/A</v>
      </c>
      <c r="CK151" s="304" t="str">
        <f t="shared" si="268"/>
        <v/>
      </c>
      <c r="CL151" s="313" t="e">
        <f>IF($J151="",#N/A,SUM(CK$4:CK151))</f>
        <v>#N/A</v>
      </c>
      <c r="CM151" s="314" t="str">
        <f t="shared" si="269"/>
        <v/>
      </c>
      <c r="CN151" s="314" t="e">
        <f>IF($J151="",#N/A,SUM(CM$4:CM151))</f>
        <v>#N/A</v>
      </c>
      <c r="CO151" s="315" t="str">
        <f t="shared" si="270"/>
        <v/>
      </c>
      <c r="CP151" s="315" t="e">
        <f>IF($J151="",#N/A,SUM(CO$4:CO151))</f>
        <v>#N/A</v>
      </c>
      <c r="CQ151" s="315" t="e">
        <f>IF($J151="",#N/A,SUM(CO$4:CO151,CM$4:CM151,CK$4:CK151))</f>
        <v>#N/A</v>
      </c>
      <c r="CR151" s="304" t="str">
        <f t="shared" si="271"/>
        <v/>
      </c>
      <c r="CS151" s="313" t="e">
        <f>IF($J151="",#N/A,SUM(CR$4:CR151))</f>
        <v>#N/A</v>
      </c>
      <c r="CT151" s="314" t="str">
        <f t="shared" si="272"/>
        <v/>
      </c>
      <c r="CU151" s="314" t="e">
        <f>IF($J151="",#N/A,SUM(CT$4:CT151))</f>
        <v>#N/A</v>
      </c>
      <c r="CV151" s="315" t="str">
        <f t="shared" si="273"/>
        <v/>
      </c>
      <c r="CW151" s="315" t="e">
        <f>IF($J151="",#N/A,SUM(CV$4:CV151))</f>
        <v>#N/A</v>
      </c>
      <c r="CX151" s="315" t="e">
        <f>IF($J151="",#N/A,SUM(CV$4:CV151,CT$4:CT151,CR$4:CR151))</f>
        <v>#N/A</v>
      </c>
      <c r="CY151" s="304" t="str">
        <f t="shared" si="274"/>
        <v/>
      </c>
      <c r="CZ151" s="313" t="e">
        <f>IF($J151="",#N/A,SUM(CY$4:CY151))</f>
        <v>#N/A</v>
      </c>
      <c r="DA151" s="314" t="str">
        <f t="shared" si="275"/>
        <v/>
      </c>
      <c r="DB151" s="314" t="e">
        <f>IF($J151="",#N/A,SUM(DA$4:DA151))</f>
        <v>#N/A</v>
      </c>
      <c r="DC151" s="315" t="str">
        <f t="shared" si="276"/>
        <v/>
      </c>
      <c r="DD151" s="315" t="e">
        <f>IF($J151="",#N/A,SUM(DC$4:DC151))</f>
        <v>#N/A</v>
      </c>
      <c r="DE151" s="315" t="e">
        <f>IF($J151="",#N/A,SUM(DC$4:DC151,DA$4:DA151,CY$4:CY151))</f>
        <v>#N/A</v>
      </c>
      <c r="DF151" s="304" t="str">
        <f t="shared" si="277"/>
        <v/>
      </c>
      <c r="DG151" s="313" t="e">
        <f>IF($J151="",#N/A,SUM(DF$4:DF151))</f>
        <v>#N/A</v>
      </c>
      <c r="DH151" s="314" t="str">
        <f t="shared" si="278"/>
        <v/>
      </c>
      <c r="DI151" s="314" t="e">
        <f>IF($J151="",#N/A,SUM(DH$4:DH151))</f>
        <v>#N/A</v>
      </c>
      <c r="DJ151" s="315" t="str">
        <f t="shared" si="279"/>
        <v/>
      </c>
      <c r="DK151" s="315" t="e">
        <f>IF($J151="",#N/A,SUM(DJ$4:DJ151))</f>
        <v>#N/A</v>
      </c>
      <c r="DL151" s="315" t="e">
        <f>IF($J151="",#N/A,SUM(DJ$4:DJ151,DH$4:DH151,DF$4:DF151))</f>
        <v>#N/A</v>
      </c>
      <c r="DM151" s="304" t="str">
        <f t="shared" si="280"/>
        <v/>
      </c>
      <c r="DN151" s="313" t="e">
        <f>IF($J151="",#N/A,SUM(DM$4:DM151))</f>
        <v>#N/A</v>
      </c>
      <c r="DO151" s="314" t="str">
        <f t="shared" si="281"/>
        <v/>
      </c>
      <c r="DP151" s="314" t="e">
        <f>IF($J151="",#N/A,SUM(DO$4:DO151))</f>
        <v>#N/A</v>
      </c>
      <c r="DQ151" s="315" t="str">
        <f t="shared" si="282"/>
        <v/>
      </c>
      <c r="DR151" s="315" t="e">
        <f>IF($J151="",#N/A,SUM(DQ$4:DQ151))</f>
        <v>#N/A</v>
      </c>
      <c r="DS151" s="315" t="e">
        <f>IF($J151="",#N/A,SUM(DQ$4:DQ151,DO$4:DO151,DM$4:DM151))</f>
        <v>#N/A</v>
      </c>
      <c r="DT151" s="304" t="str">
        <f t="shared" si="283"/>
        <v/>
      </c>
      <c r="DU151" s="313" t="e">
        <f>IF($J151="",#N/A,SUM(DT$4:DT151))</f>
        <v>#N/A</v>
      </c>
      <c r="DV151" s="314" t="str">
        <f t="shared" si="284"/>
        <v/>
      </c>
      <c r="DW151" s="314" t="e">
        <f>IF($J151="",#N/A,SUM(DV$4:DV151))</f>
        <v>#N/A</v>
      </c>
      <c r="DX151" s="315" t="str">
        <f t="shared" si="285"/>
        <v/>
      </c>
      <c r="DY151" s="315" t="e">
        <f>IF($J151="",#N/A,SUM(DX$4:DX151))</f>
        <v>#N/A</v>
      </c>
      <c r="DZ151" s="315" t="e">
        <f>IF($J151="",#N/A,SUM(DX$4:DX151,DV$4:DV151,DT$4:DT151))</f>
        <v>#N/A</v>
      </c>
      <c r="EA151" s="304" t="str">
        <f t="shared" si="286"/>
        <v/>
      </c>
      <c r="EB151" s="313" t="e">
        <f>IF($J151="",#N/A,SUM(EA$4:EA151))</f>
        <v>#N/A</v>
      </c>
      <c r="EC151" s="314" t="str">
        <f t="shared" si="287"/>
        <v/>
      </c>
      <c r="ED151" s="314" t="e">
        <f>IF($J151="",#N/A,SUM(EC$4:EC151))</f>
        <v>#N/A</v>
      </c>
      <c r="EE151" s="315" t="str">
        <f t="shared" si="288"/>
        <v/>
      </c>
      <c r="EF151" s="315" t="e">
        <f>IF($J151="",#N/A,SUM(EE$4:EE151))</f>
        <v>#N/A</v>
      </c>
      <c r="EG151" s="315" t="e">
        <f>IF($J151="",#N/A,SUM(EE$4:EE151,EC$4:EC151,EA$4:EA151))</f>
        <v>#N/A</v>
      </c>
      <c r="EH151" s="130">
        <f t="shared" si="289"/>
        <v>21.839999999999975</v>
      </c>
      <c r="EI151" s="63">
        <f>IF(EH151="",#N/A,SUM($EH$4:EH151))</f>
        <v>569.72729478750603</v>
      </c>
      <c r="EJ151" s="223" t="e">
        <f t="shared" si="290"/>
        <v>#N/A</v>
      </c>
      <c r="EK151" s="63" t="e">
        <f>IF($GZ151="",#N/A,SUM(EJ$4:EJ151))</f>
        <v>#N/A</v>
      </c>
      <c r="EL151" s="60">
        <f t="shared" si="322"/>
        <v>1.0012102541533709</v>
      </c>
      <c r="EM151" s="60">
        <f>IF(EL151="",NA(),SUM($EL$4:EL151))</f>
        <v>18.75536692990714</v>
      </c>
      <c r="EN151" s="60" t="str">
        <f t="shared" si="291"/>
        <v/>
      </c>
      <c r="EO151" s="60" t="e">
        <f>IF(EN151="",NA(),SUM($EN$4:EN151))</f>
        <v>#N/A</v>
      </c>
      <c r="EP151" s="60" t="str">
        <f t="shared" si="292"/>
        <v/>
      </c>
      <c r="EQ151" s="60" t="e">
        <f>IF(EP151="",NA(),SUM($EP$4:EP151))</f>
        <v>#N/A</v>
      </c>
      <c r="ER151" s="60">
        <f t="shared" si="293"/>
        <v>1.0012102541533709</v>
      </c>
      <c r="ES151" s="60">
        <f>IF(ER151="",NA(),SUM($ER$4:ER151))</f>
        <v>4.8765003197297396</v>
      </c>
      <c r="ET151" s="60" t="str">
        <f t="shared" si="294"/>
        <v/>
      </c>
      <c r="EU151" s="60" t="e">
        <f>IF(ET151="",NA(),SUM($ET$4:ET151))</f>
        <v>#N/A</v>
      </c>
      <c r="EV151" s="60" t="str">
        <f t="shared" si="295"/>
        <v/>
      </c>
      <c r="EW151" s="60" t="e">
        <f>IF(EV151="",NA(),SUM($EV$4:EV151))</f>
        <v>#N/A</v>
      </c>
      <c r="EX151" s="60" t="str">
        <f t="shared" si="296"/>
        <v/>
      </c>
      <c r="EY151" s="60" t="e">
        <f>IF(EX151="",NA(),SUM($EX$4:EX151))</f>
        <v>#N/A</v>
      </c>
      <c r="EZ151" s="60" t="str">
        <f t="shared" si="297"/>
        <v/>
      </c>
      <c r="FA151" s="60" t="e">
        <f>IF(EZ151="",NA(),SUM($EZ$4:EZ151))</f>
        <v>#N/A</v>
      </c>
      <c r="FB151" s="246">
        <f t="shared" si="323"/>
        <v>-0.23288223860343926</v>
      </c>
      <c r="FC151" s="246">
        <f>IF($FB151="",#N/A,SUM(FB$4:$FB151))</f>
        <v>1.9708611825643958</v>
      </c>
      <c r="FD151" s="60" t="str">
        <f t="shared" si="298"/>
        <v/>
      </c>
      <c r="FE151" s="60" t="e">
        <f>IF($FD151="",#N/A,SUM($FD$4:FD151))</f>
        <v>#N/A</v>
      </c>
      <c r="FF151" s="60" t="str">
        <f t="shared" si="299"/>
        <v/>
      </c>
      <c r="FG151" s="60" t="e">
        <f>IF($FF151="",#N/A,SUM($FF$4:FF151))</f>
        <v>#N/A</v>
      </c>
      <c r="FH151" s="60" t="str">
        <f t="shared" si="300"/>
        <v/>
      </c>
      <c r="FI151" s="60" t="e">
        <f>IF($FH151="",#N/A,SUM($FH$4:FH151))</f>
        <v>#N/A</v>
      </c>
      <c r="FJ151" s="60" t="str">
        <f t="shared" si="301"/>
        <v/>
      </c>
      <c r="FK151" s="60" t="e">
        <f>IF($FJ151="",#N/A,SUM($FJ$4:FJ151))</f>
        <v>#N/A</v>
      </c>
      <c r="FL151" s="60" t="str">
        <f t="shared" si="302"/>
        <v/>
      </c>
      <c r="FM151" s="60" t="e">
        <f>IF($FL151="",#N/A,SUM($FL$4:FL151))</f>
        <v>#N/A</v>
      </c>
      <c r="FN151" s="82">
        <f t="shared" si="303"/>
        <v>0.76832801554993169</v>
      </c>
      <c r="FO151" s="82">
        <f>IF($FN151="",#N/A,SUM(FN$4:$FN151))</f>
        <v>29.23039933612349</v>
      </c>
      <c r="FP151" s="82">
        <f t="shared" si="324"/>
        <v>1.0012102541533709</v>
      </c>
      <c r="FQ151" s="246">
        <f>IF($EH151="",#N/A,SUM($FP$4:FP151))</f>
        <v>22.41615499338841</v>
      </c>
      <c r="FR151" s="82">
        <f>IFERROR(FQ151/COUNTA($J$4:J151),#N/A)</f>
        <v>0.15146050671208386</v>
      </c>
      <c r="FS151" s="82">
        <f t="shared" si="330"/>
        <v>6.77523504473794E-2</v>
      </c>
      <c r="FT151" s="82">
        <f t="shared" si="328"/>
        <v>1.1206798852084176E-2</v>
      </c>
      <c r="FU151" s="337">
        <f t="shared" si="329"/>
        <v>11.180456289075126</v>
      </c>
      <c r="FV151" s="57" t="str">
        <f t="shared" si="305"/>
        <v>Dwn</v>
      </c>
      <c r="FW151" s="57" t="s">
        <v>2733</v>
      </c>
      <c r="FX151" s="57" t="str">
        <f t="shared" si="306"/>
        <v/>
      </c>
      <c r="FY151" s="57" t="str">
        <f t="shared" si="307"/>
        <v/>
      </c>
      <c r="FZ151" s="57" t="str">
        <f t="shared" si="308"/>
        <v/>
      </c>
      <c r="GA151" s="57" t="str">
        <f t="shared" si="309"/>
        <v>Short</v>
      </c>
      <c r="GB151" s="57">
        <f t="shared" si="310"/>
        <v>1</v>
      </c>
      <c r="GC151" s="57" t="str">
        <f t="shared" si="311"/>
        <v/>
      </c>
      <c r="GD151" s="57" t="str">
        <f t="shared" si="312"/>
        <v/>
      </c>
      <c r="GE151" s="62">
        <f t="shared" si="227"/>
        <v>90.89</v>
      </c>
      <c r="GF151" s="62" t="s">
        <v>2780</v>
      </c>
      <c r="GG151" s="199">
        <v>4</v>
      </c>
      <c r="GH151" s="207">
        <f t="shared" si="313"/>
        <v>363.56</v>
      </c>
      <c r="GI151" s="199">
        <v>4</v>
      </c>
      <c r="GJ151" s="200">
        <v>85.43</v>
      </c>
      <c r="GK151" s="63">
        <f t="shared" si="314"/>
        <v>21.839999999999975</v>
      </c>
      <c r="GL151" s="63">
        <f t="shared" si="228"/>
        <v>16.759999999999991</v>
      </c>
      <c r="GM151" s="82" t="str">
        <f t="shared" si="315"/>
        <v/>
      </c>
      <c r="GN151" s="82">
        <f>IF($GZ151="",#N/A,SUM(GM$4:GM151))</f>
        <v>9.0906650838004843</v>
      </c>
      <c r="GO151" s="82" t="str">
        <f t="shared" si="316"/>
        <v/>
      </c>
      <c r="GP151" s="82">
        <f>IF($GZ151="",#N/A,SUM(GO$4:GO151))</f>
        <v>10.421159964010178</v>
      </c>
      <c r="GQ151" s="82">
        <f t="shared" si="317"/>
        <v>0.76832801554993169</v>
      </c>
      <c r="GR151" s="82">
        <f>IF($GZ151="",#N/A,SUM(GQ$4:GQ151))</f>
        <v>9.0927373338704918</v>
      </c>
      <c r="GS151" s="63" t="str">
        <f t="shared" si="325"/>
        <v/>
      </c>
      <c r="GT151" s="63" t="e">
        <f>IF($GZ151="",#N/A,SUM(GS$4:GS151))</f>
        <v>#N/A</v>
      </c>
      <c r="GU151" s="63" t="str">
        <f t="shared" si="326"/>
        <v/>
      </c>
      <c r="GV151" s="63" t="e">
        <f>IF($GZ151="",#N/A,SUM(GU$4:GU151))</f>
        <v>#N/A</v>
      </c>
      <c r="GW151" s="63" t="e">
        <f t="shared" si="327"/>
        <v>#N/A</v>
      </c>
      <c r="GX151" s="63" t="e">
        <f>IF($GZ151="",#N/A,SUM(GW$4:GW151))</f>
        <v>#N/A</v>
      </c>
      <c r="GY151" s="63" t="e">
        <f>IF(EJ151="",#N/A,SUM($EJ$4:EJ151))</f>
        <v>#N/A</v>
      </c>
      <c r="GZ151" s="159">
        <v>86.7</v>
      </c>
      <c r="HA151" s="63">
        <f t="shared" si="318"/>
        <v>-5.0799999999999841</v>
      </c>
      <c r="HB151" s="62" t="s">
        <v>2538</v>
      </c>
      <c r="HC151" s="60">
        <f>IFERROR(VLOOKUP(E151,Expectancy!$P$4:$S$19,1+C151,FALSE),"")</f>
        <v>0.30769020202715358</v>
      </c>
      <c r="HD151" s="82">
        <f t="shared" si="319"/>
        <v>1.0012102541533709</v>
      </c>
      <c r="HE151" s="60">
        <f>IF(HD151="",#N/A,SUM($HD$4:HD151))</f>
        <v>-3.294301295686715</v>
      </c>
      <c r="HF151" s="85">
        <f>IF(HD151="",#N/A,IF(HB151="Skip",#N/A,SUM($HG$4:HG151)))</f>
        <v>-64.560000000000116</v>
      </c>
      <c r="HG151" s="63">
        <f t="shared" si="320"/>
        <v>21.839999999999975</v>
      </c>
      <c r="HH151" s="82">
        <f t="shared" si="321"/>
        <v>0.76832801554993169</v>
      </c>
    </row>
    <row r="152" spans="1:216" x14ac:dyDescent="0.25">
      <c r="A152" s="57" t="s">
        <v>19</v>
      </c>
      <c r="B152" s="58" t="s">
        <v>5177</v>
      </c>
      <c r="C152" s="386">
        <f t="shared" si="230"/>
        <v>2</v>
      </c>
      <c r="D152" s="372" t="str">
        <f>_xlfn.XLOOKUP(A152,[1]SP500!$A$2:$A$502,[1]SP500!$D$2:$D$502,"N")</f>
        <v>Y</v>
      </c>
      <c r="E152" s="57" t="str">
        <f>_xlfn.XLOOKUP(A152,[1]SP500!$A$2:$A$655,[1]SP500!$B$2:$B$655)</f>
        <v>XLC</v>
      </c>
      <c r="F152" s="59">
        <v>45688</v>
      </c>
      <c r="G152" s="57" t="str">
        <f t="shared" si="231"/>
        <v>BMO</v>
      </c>
      <c r="H152" s="57" t="str">
        <f t="shared" si="232"/>
        <v>s</v>
      </c>
      <c r="I152" s="159">
        <v>336.62</v>
      </c>
      <c r="J152" s="159">
        <v>360.75</v>
      </c>
      <c r="K152" s="61">
        <f t="shared" si="233"/>
        <v>7.1683203612381896E-2</v>
      </c>
      <c r="L152" s="87">
        <f t="shared" si="234"/>
        <v>-24.129999999999995</v>
      </c>
      <c r="M152" s="130">
        <f t="shared" si="226"/>
        <v>0.32999999999998408</v>
      </c>
      <c r="N152" s="169" t="str">
        <f t="shared" si="235"/>
        <v/>
      </c>
      <c r="O152" s="169">
        <f>IF($J152="",#N/A,SUM($N$4:N152))</f>
        <v>260.21976368961373</v>
      </c>
      <c r="P152" s="174">
        <f t="shared" si="236"/>
        <v>-24.129999999999995</v>
      </c>
      <c r="Q152" s="174">
        <f>IF($J152="",#N/A,SUM($P$4:P152))</f>
        <v>108.74104023772639</v>
      </c>
      <c r="R152" s="178" t="str">
        <f t="shared" si="237"/>
        <v/>
      </c>
      <c r="S152" s="178">
        <f>IF($J152="",#N/A,SUM($R$4:R152))</f>
        <v>176.63649086016574</v>
      </c>
      <c r="T152" s="290" t="str">
        <f t="shared" si="238"/>
        <v/>
      </c>
      <c r="U152" s="290">
        <f>IF($J152="",#N/A,SUM($T$4:T152))</f>
        <v>9.7613400884849888</v>
      </c>
      <c r="V152" s="291">
        <f t="shared" si="239"/>
        <v>-1.194720060206365</v>
      </c>
      <c r="W152" s="291">
        <f>IF($J152="",#N/A,SUM($V$4:V152))</f>
        <v>4.3841757122233336</v>
      </c>
      <c r="X152" s="292" t="str">
        <f t="shared" si="240"/>
        <v/>
      </c>
      <c r="Y152" s="283">
        <f>IF($J152="",#N/A,SUM($X$4:X152))</f>
        <v>7.0759191324737118</v>
      </c>
      <c r="Z152" s="304" t="str">
        <f t="shared" si="241"/>
        <v/>
      </c>
      <c r="AA152" s="313" t="e">
        <f>IF($J152="",#N/A,SUM(Z$4:Z152))</f>
        <v>#N/A</v>
      </c>
      <c r="AB152" s="314" t="str">
        <f t="shared" si="242"/>
        <v/>
      </c>
      <c r="AC152" s="314" t="e">
        <f>IF($J152="",#N/A,SUM(AB$4:AB152))</f>
        <v>#N/A</v>
      </c>
      <c r="AD152" s="315" t="str">
        <f t="shared" si="243"/>
        <v/>
      </c>
      <c r="AE152" s="315" t="e">
        <f>IF($J152="",#N/A,SUM(AD$4:AD152))</f>
        <v>#N/A</v>
      </c>
      <c r="AF152" s="315" t="e">
        <f>IF($J152="",#N/A,SUM(AD$4:AD152,AB$4:AB152,Z$4:Z152))</f>
        <v>#N/A</v>
      </c>
      <c r="AG152" s="304" t="str">
        <f t="shared" si="244"/>
        <v/>
      </c>
      <c r="AH152" s="313" t="e">
        <f>IF($J152="",#N/A,SUM(AG$4:AG152))</f>
        <v>#N/A</v>
      </c>
      <c r="AI152" s="314" t="str">
        <f t="shared" si="245"/>
        <v/>
      </c>
      <c r="AJ152" s="314" t="e">
        <f>IF($J152="",#N/A,SUM(AI$4:AI152))</f>
        <v>#N/A</v>
      </c>
      <c r="AK152" s="315" t="str">
        <f t="shared" si="246"/>
        <v/>
      </c>
      <c r="AL152" s="315" t="e">
        <f>IF($J152="",#N/A,SUM(AK$4:AK152))</f>
        <v>#N/A</v>
      </c>
      <c r="AM152" s="315" t="e">
        <f>IF($J152="",#N/A,SUM(AK$4:AK152,AI$4:AI152,AG$4:AG152))</f>
        <v>#N/A</v>
      </c>
      <c r="AN152" s="304" t="str">
        <f t="shared" si="247"/>
        <v/>
      </c>
      <c r="AO152" s="313" t="e">
        <f>IF($J152="",#N/A,SUM(AN$4:AN152))</f>
        <v>#N/A</v>
      </c>
      <c r="AP152" s="314" t="str">
        <f t="shared" si="248"/>
        <v/>
      </c>
      <c r="AQ152" s="314" t="e">
        <f>IF($J152="",#N/A,SUM(AP$4:AP152))</f>
        <v>#N/A</v>
      </c>
      <c r="AR152" s="315" t="str">
        <f t="shared" si="249"/>
        <v/>
      </c>
      <c r="AS152" s="315" t="e">
        <f>IF($J152="",#N/A,SUM(AR$4:AR152))</f>
        <v>#N/A</v>
      </c>
      <c r="AT152" s="315" t="e">
        <f>IF($J152="",#N/A,SUM(AR$4:AR152,AP$4:AP152,AN$4:AN152))</f>
        <v>#N/A</v>
      </c>
      <c r="AU152" s="304" t="str">
        <f t="shared" si="250"/>
        <v/>
      </c>
      <c r="AV152" s="313" t="e">
        <f>IF($J152="",#N/A,SUM(AU$4:AU152))</f>
        <v>#N/A</v>
      </c>
      <c r="AW152" s="314" t="str">
        <f t="shared" si="251"/>
        <v/>
      </c>
      <c r="AX152" s="314" t="e">
        <f>IF($J152="",#N/A,SUM(AW$4:AW152))</f>
        <v>#N/A</v>
      </c>
      <c r="AY152" s="315" t="str">
        <f t="shared" si="252"/>
        <v/>
      </c>
      <c r="AZ152" s="315" t="e">
        <f>IF($J152="",#N/A,SUM(AY$4:AY152))</f>
        <v>#N/A</v>
      </c>
      <c r="BA152" s="315" t="e">
        <f>IF($J152="",#N/A,SUM(AY$4:AY152,AW$4:AW152,AU$4:AU152))</f>
        <v>#N/A</v>
      </c>
      <c r="BB152" s="304" t="str">
        <f t="shared" si="253"/>
        <v/>
      </c>
      <c r="BC152" s="313" t="e">
        <f>IF($J152="",#N/A,SUM(BB$4:BB152))</f>
        <v>#N/A</v>
      </c>
      <c r="BD152" s="314">
        <f t="shared" si="254"/>
        <v>-1.194720060206365</v>
      </c>
      <c r="BE152" s="314" t="e">
        <f>IF($J152="",#N/A,SUM(BD$4:BD152))</f>
        <v>#N/A</v>
      </c>
      <c r="BF152" s="315" t="str">
        <f t="shared" si="255"/>
        <v/>
      </c>
      <c r="BG152" s="315" t="e">
        <f>IF($J152="",#N/A,SUM(BF$4:BF152))</f>
        <v>#N/A</v>
      </c>
      <c r="BH152" s="315" t="e">
        <f>IF($J152="",#N/A,SUM(BF$4:BF152,BD$4:BD152,BB$4:BB152))</f>
        <v>#N/A</v>
      </c>
      <c r="BI152" s="304" t="str">
        <f t="shared" si="256"/>
        <v/>
      </c>
      <c r="BJ152" s="313" t="e">
        <f>IF($J152="",#N/A,SUM(BI$4:BI152))</f>
        <v>#N/A</v>
      </c>
      <c r="BK152" s="314" t="str">
        <f t="shared" si="257"/>
        <v/>
      </c>
      <c r="BL152" s="314" t="e">
        <f>IF($J152="",#N/A,SUM(BK$4:BK152))</f>
        <v>#N/A</v>
      </c>
      <c r="BM152" s="315" t="str">
        <f t="shared" si="258"/>
        <v/>
      </c>
      <c r="BN152" s="315" t="e">
        <f>IF($J152="",#N/A,SUM(BM$4:BM152))</f>
        <v>#N/A</v>
      </c>
      <c r="BO152" s="315" t="e">
        <f>IF($J152="",#N/A,SUM(BM$4:BM152,BK$4:BK152,BI$4:BI152))</f>
        <v>#N/A</v>
      </c>
      <c r="BP152" s="304" t="str">
        <f t="shared" si="259"/>
        <v/>
      </c>
      <c r="BQ152" s="313" t="e">
        <f>IF($J152="",#N/A,SUM(BP$4:BP152))</f>
        <v>#N/A</v>
      </c>
      <c r="BR152" s="314" t="str">
        <f t="shared" si="260"/>
        <v/>
      </c>
      <c r="BS152" s="314" t="e">
        <f>IF($J152="",#N/A,SUM(BR$4:BR152))</f>
        <v>#N/A</v>
      </c>
      <c r="BT152" s="315" t="str">
        <f t="shared" si="261"/>
        <v/>
      </c>
      <c r="BU152" s="315" t="e">
        <f>IF($J152="",#N/A,SUM(BT$4:BT152))</f>
        <v>#N/A</v>
      </c>
      <c r="BV152" s="315" t="e">
        <f>IF($J152="",#N/A,SUM(BT$4:BT152,BR$4:BR152,BP$4:BP152))</f>
        <v>#N/A</v>
      </c>
      <c r="BW152" s="304" t="str">
        <f t="shared" si="262"/>
        <v/>
      </c>
      <c r="BX152" s="313" t="e">
        <f>IF($J152="",#N/A,SUM(BW$4:BW152))</f>
        <v>#N/A</v>
      </c>
      <c r="BY152" s="314" t="str">
        <f t="shared" si="263"/>
        <v/>
      </c>
      <c r="BZ152" s="314" t="e">
        <f>IF($J152="",#N/A,SUM(BY$4:BY152))</f>
        <v>#N/A</v>
      </c>
      <c r="CA152" s="315" t="str">
        <f t="shared" si="264"/>
        <v/>
      </c>
      <c r="CB152" s="315" t="e">
        <f>IF($J152="",#N/A,SUM(CA$4:CA152))</f>
        <v>#N/A</v>
      </c>
      <c r="CC152" s="315" t="e">
        <f>IF($J152="",#N/A,SUM(CA$4:CA152,BY$4:BY152,BW$4:BW152))</f>
        <v>#N/A</v>
      </c>
      <c r="CD152" s="304" t="str">
        <f t="shared" si="265"/>
        <v/>
      </c>
      <c r="CE152" s="313" t="e">
        <f>IF($J152="",#N/A,SUM(CD$4:CD152))</f>
        <v>#N/A</v>
      </c>
      <c r="CF152" s="314" t="str">
        <f t="shared" si="266"/>
        <v/>
      </c>
      <c r="CG152" s="314" t="e">
        <f>IF($J152="",#N/A,SUM(CF$4:CF152))</f>
        <v>#N/A</v>
      </c>
      <c r="CH152" s="315" t="str">
        <f t="shared" si="267"/>
        <v/>
      </c>
      <c r="CI152" s="315" t="e">
        <f>IF($J152="",#N/A,SUM(CH$4:CH152))</f>
        <v>#N/A</v>
      </c>
      <c r="CJ152" s="315" t="e">
        <f>IF($J152="",#N/A,SUM(CH$4:CH152,CF$4:CF152,CD$4:CD152))</f>
        <v>#N/A</v>
      </c>
      <c r="CK152" s="304" t="str">
        <f t="shared" si="268"/>
        <v/>
      </c>
      <c r="CL152" s="313" t="e">
        <f>IF($J152="",#N/A,SUM(CK$4:CK152))</f>
        <v>#N/A</v>
      </c>
      <c r="CM152" s="314" t="str">
        <f t="shared" si="269"/>
        <v/>
      </c>
      <c r="CN152" s="314" t="e">
        <f>IF($J152="",#N/A,SUM(CM$4:CM152))</f>
        <v>#N/A</v>
      </c>
      <c r="CO152" s="315" t="str">
        <f t="shared" si="270"/>
        <v/>
      </c>
      <c r="CP152" s="315" t="e">
        <f>IF($J152="",#N/A,SUM(CO$4:CO152))</f>
        <v>#N/A</v>
      </c>
      <c r="CQ152" s="315" t="e">
        <f>IF($J152="",#N/A,SUM(CO$4:CO152,CM$4:CM152,CK$4:CK152))</f>
        <v>#N/A</v>
      </c>
      <c r="CR152" s="304" t="str">
        <f t="shared" si="271"/>
        <v/>
      </c>
      <c r="CS152" s="313" t="e">
        <f>IF($J152="",#N/A,SUM(CR$4:CR152))</f>
        <v>#N/A</v>
      </c>
      <c r="CT152" s="314" t="str">
        <f t="shared" si="272"/>
        <v/>
      </c>
      <c r="CU152" s="314" t="e">
        <f>IF($J152="",#N/A,SUM(CT$4:CT152))</f>
        <v>#N/A</v>
      </c>
      <c r="CV152" s="315" t="str">
        <f t="shared" si="273"/>
        <v/>
      </c>
      <c r="CW152" s="315" t="e">
        <f>IF($J152="",#N/A,SUM(CV$4:CV152))</f>
        <v>#N/A</v>
      </c>
      <c r="CX152" s="315" t="e">
        <f>IF($J152="",#N/A,SUM(CV$4:CV152,CT$4:CT152,CR$4:CR152))</f>
        <v>#N/A</v>
      </c>
      <c r="CY152" s="304" t="str">
        <f t="shared" si="274"/>
        <v/>
      </c>
      <c r="CZ152" s="313" t="e">
        <f>IF($J152="",#N/A,SUM(CY$4:CY152))</f>
        <v>#N/A</v>
      </c>
      <c r="DA152" s="314" t="str">
        <f t="shared" si="275"/>
        <v/>
      </c>
      <c r="DB152" s="314" t="e">
        <f>IF($J152="",#N/A,SUM(DA$4:DA152))</f>
        <v>#N/A</v>
      </c>
      <c r="DC152" s="315" t="str">
        <f t="shared" si="276"/>
        <v/>
      </c>
      <c r="DD152" s="315" t="e">
        <f>IF($J152="",#N/A,SUM(DC$4:DC152))</f>
        <v>#N/A</v>
      </c>
      <c r="DE152" s="315" t="e">
        <f>IF($J152="",#N/A,SUM(DC$4:DC152,DA$4:DA152,CY$4:CY152))</f>
        <v>#N/A</v>
      </c>
      <c r="DF152" s="304" t="str">
        <f t="shared" si="277"/>
        <v/>
      </c>
      <c r="DG152" s="313" t="e">
        <f>IF($J152="",#N/A,SUM(DF$4:DF152))</f>
        <v>#N/A</v>
      </c>
      <c r="DH152" s="314" t="str">
        <f t="shared" si="278"/>
        <v/>
      </c>
      <c r="DI152" s="314" t="e">
        <f>IF($J152="",#N/A,SUM(DH$4:DH152))</f>
        <v>#N/A</v>
      </c>
      <c r="DJ152" s="315" t="str">
        <f t="shared" si="279"/>
        <v/>
      </c>
      <c r="DK152" s="315" t="e">
        <f>IF($J152="",#N/A,SUM(DJ$4:DJ152))</f>
        <v>#N/A</v>
      </c>
      <c r="DL152" s="315" t="e">
        <f>IF($J152="",#N/A,SUM(DJ$4:DJ152,DH$4:DH152,DF$4:DF152))</f>
        <v>#N/A</v>
      </c>
      <c r="DM152" s="304" t="str">
        <f t="shared" si="280"/>
        <v/>
      </c>
      <c r="DN152" s="313" t="e">
        <f>IF($J152="",#N/A,SUM(DM$4:DM152))</f>
        <v>#N/A</v>
      </c>
      <c r="DO152" s="314" t="str">
        <f t="shared" si="281"/>
        <v/>
      </c>
      <c r="DP152" s="314" t="e">
        <f>IF($J152="",#N/A,SUM(DO$4:DO152))</f>
        <v>#N/A</v>
      </c>
      <c r="DQ152" s="315" t="str">
        <f t="shared" si="282"/>
        <v/>
      </c>
      <c r="DR152" s="315" t="e">
        <f>IF($J152="",#N/A,SUM(DQ$4:DQ152))</f>
        <v>#N/A</v>
      </c>
      <c r="DS152" s="315" t="e">
        <f>IF($J152="",#N/A,SUM(DQ$4:DQ152,DO$4:DO152,DM$4:DM152))</f>
        <v>#N/A</v>
      </c>
      <c r="DT152" s="304" t="str">
        <f t="shared" si="283"/>
        <v/>
      </c>
      <c r="DU152" s="313" t="e">
        <f>IF($J152="",#N/A,SUM(DT$4:DT152))</f>
        <v>#N/A</v>
      </c>
      <c r="DV152" s="314" t="str">
        <f t="shared" si="284"/>
        <v/>
      </c>
      <c r="DW152" s="314" t="e">
        <f>IF($J152="",#N/A,SUM(DV$4:DV152))</f>
        <v>#N/A</v>
      </c>
      <c r="DX152" s="315" t="str">
        <f t="shared" si="285"/>
        <v/>
      </c>
      <c r="DY152" s="315" t="e">
        <f>IF($J152="",#N/A,SUM(DX$4:DX152))</f>
        <v>#N/A</v>
      </c>
      <c r="DZ152" s="315" t="e">
        <f>IF($J152="",#N/A,SUM(DX$4:DX152,DV$4:DV152,DT$4:DT152))</f>
        <v>#N/A</v>
      </c>
      <c r="EA152" s="304" t="str">
        <f t="shared" si="286"/>
        <v/>
      </c>
      <c r="EB152" s="313" t="e">
        <f>IF($J152="",#N/A,SUM(EA$4:EA152))</f>
        <v>#N/A</v>
      </c>
      <c r="EC152" s="314" t="str">
        <f t="shared" si="287"/>
        <v/>
      </c>
      <c r="ED152" s="314" t="e">
        <f>IF($J152="",#N/A,SUM(EC$4:EC152))</f>
        <v>#N/A</v>
      </c>
      <c r="EE152" s="315" t="str">
        <f t="shared" si="288"/>
        <v/>
      </c>
      <c r="EF152" s="315" t="e">
        <f>IF($J152="",#N/A,SUM(EE$4:EE152))</f>
        <v>#N/A</v>
      </c>
      <c r="EG152" s="315" t="e">
        <f>IF($J152="",#N/A,SUM(EE$4:EE152,EC$4:EC152,EA$4:EA152))</f>
        <v>#N/A</v>
      </c>
      <c r="EH152" s="130">
        <f t="shared" si="289"/>
        <v>-24.129999999999995</v>
      </c>
      <c r="EI152" s="63">
        <f>IF(EH152="",#N/A,SUM($EH$4:EH152))</f>
        <v>545.59729478750603</v>
      </c>
      <c r="EJ152" s="223" t="e">
        <f t="shared" si="290"/>
        <v>#N/A</v>
      </c>
      <c r="EK152" s="63" t="e">
        <f>IF($GZ152="",#N/A,SUM(EJ$4:EJ152))</f>
        <v>#N/A</v>
      </c>
      <c r="EL152" s="60">
        <f t="shared" si="322"/>
        <v>-1.194720060206365</v>
      </c>
      <c r="EM152" s="60">
        <f>IF(EL152="",NA(),SUM($EL$4:EL152))</f>
        <v>17.560646869700776</v>
      </c>
      <c r="EN152" s="60" t="str">
        <f t="shared" si="291"/>
        <v/>
      </c>
      <c r="EO152" s="60" t="e">
        <f>IF(EN152="",NA(),SUM($EN$4:EN152))</f>
        <v>#N/A</v>
      </c>
      <c r="EP152" s="60" t="str">
        <f t="shared" si="292"/>
        <v/>
      </c>
      <c r="EQ152" s="60" t="e">
        <f>IF(EP152="",NA(),SUM($EP$4:EP152))</f>
        <v>#N/A</v>
      </c>
      <c r="ER152" s="60">
        <f t="shared" si="293"/>
        <v>-1.194720060206365</v>
      </c>
      <c r="ES152" s="60">
        <f>IF(ER152="",NA(),SUM($ER$4:ER152))</f>
        <v>3.6817802595233746</v>
      </c>
      <c r="ET152" s="60" t="str">
        <f t="shared" si="294"/>
        <v/>
      </c>
      <c r="EU152" s="60" t="e">
        <f>IF(ET152="",NA(),SUM($ET$4:ET152))</f>
        <v>#N/A</v>
      </c>
      <c r="EV152" s="60" t="str">
        <f t="shared" si="295"/>
        <v/>
      </c>
      <c r="EW152" s="60" t="e">
        <f>IF(EV152="",NA(),SUM($EV$4:EV152))</f>
        <v>#N/A</v>
      </c>
      <c r="EX152" s="60" t="str">
        <f t="shared" si="296"/>
        <v/>
      </c>
      <c r="EY152" s="60" t="e">
        <f>IF(EX152="",NA(),SUM($EX$4:EX152))</f>
        <v>#N/A</v>
      </c>
      <c r="EZ152" s="60" t="str">
        <f t="shared" si="297"/>
        <v/>
      </c>
      <c r="FA152" s="60" t="e">
        <f>IF(EZ152="",NA(),SUM($EZ$4:EZ152))</f>
        <v>#N/A</v>
      </c>
      <c r="FB152" s="246" t="str">
        <f t="shared" si="323"/>
        <v/>
      </c>
      <c r="FC152" s="246" t="e">
        <f>IF($FB152="",#N/A,SUM(FB$4:$FB152))</f>
        <v>#N/A</v>
      </c>
      <c r="FD152" s="60">
        <f t="shared" si="298"/>
        <v>0.75555027429544641</v>
      </c>
      <c r="FE152" s="60">
        <f>IF($FD152="",#N/A,SUM($FD$4:FD152))</f>
        <v>2.2985306531718397</v>
      </c>
      <c r="FF152" s="60" t="str">
        <f t="shared" si="299"/>
        <v/>
      </c>
      <c r="FG152" s="60" t="e">
        <f>IF($FF152="",#N/A,SUM($FF$4:FF152))</f>
        <v>#N/A</v>
      </c>
      <c r="FH152" s="60" t="str">
        <f t="shared" si="300"/>
        <v/>
      </c>
      <c r="FI152" s="60" t="e">
        <f>IF($FH152="",#N/A,SUM($FH$4:FH152))</f>
        <v>#N/A</v>
      </c>
      <c r="FJ152" s="60" t="str">
        <f t="shared" si="301"/>
        <v/>
      </c>
      <c r="FK152" s="60" t="e">
        <f>IF($FJ152="",#N/A,SUM($FJ$4:FJ152))</f>
        <v>#N/A</v>
      </c>
      <c r="FL152" s="60" t="str">
        <f t="shared" si="302"/>
        <v/>
      </c>
      <c r="FM152" s="60" t="e">
        <f>IF($FL152="",#N/A,SUM($FL$4:FL152))</f>
        <v>#N/A</v>
      </c>
      <c r="FN152" s="82">
        <f t="shared" si="303"/>
        <v>-0.4391697859109186</v>
      </c>
      <c r="FO152" s="82">
        <f>IF($FN152="",#N/A,SUM(FN$4:$FN152))</f>
        <v>28.79122955021257</v>
      </c>
      <c r="FP152" s="82">
        <f t="shared" si="324"/>
        <v>-1.194720060206365</v>
      </c>
      <c r="FQ152" s="246">
        <f>IF($EH152="",#N/A,SUM($FP$4:FP152))</f>
        <v>21.221434933182046</v>
      </c>
      <c r="FR152" s="82">
        <f>IFERROR(FQ152/COUNTA($J$4:J152),#N/A)</f>
        <v>0.1424257378065909</v>
      </c>
      <c r="FS152" s="82">
        <f t="shared" si="330"/>
        <v>3.4060107248957153E-2</v>
      </c>
      <c r="FT152" s="82">
        <f t="shared" si="328"/>
        <v>-5.6867801769499661E-2</v>
      </c>
      <c r="FU152" s="337">
        <f t="shared" si="329"/>
        <v>11.164117390613955</v>
      </c>
      <c r="FV152" s="57" t="str">
        <f t="shared" si="305"/>
        <v>Dwn</v>
      </c>
      <c r="FW152" s="57" t="s">
        <v>2734</v>
      </c>
      <c r="FX152" s="57" t="str">
        <f t="shared" si="306"/>
        <v/>
      </c>
      <c r="FY152" s="57">
        <f t="shared" si="307"/>
        <v>1</v>
      </c>
      <c r="FZ152" s="57" t="str">
        <f t="shared" si="308"/>
        <v/>
      </c>
      <c r="GA152" s="57" t="str">
        <f t="shared" si="309"/>
        <v>Short</v>
      </c>
      <c r="GB152" s="57" t="str">
        <f t="shared" si="310"/>
        <v/>
      </c>
      <c r="GC152" s="57" t="str">
        <f t="shared" si="311"/>
        <v/>
      </c>
      <c r="GD152" s="57" t="str">
        <f t="shared" si="312"/>
        <v/>
      </c>
      <c r="GE152" s="62">
        <f t="shared" si="227"/>
        <v>336.62</v>
      </c>
      <c r="GF152" s="62" t="s">
        <v>2780</v>
      </c>
      <c r="GG152" s="199">
        <v>1</v>
      </c>
      <c r="GH152" s="207">
        <f t="shared" si="313"/>
        <v>336.62</v>
      </c>
      <c r="GI152" s="199">
        <v>1</v>
      </c>
      <c r="GJ152" s="200">
        <v>360.42</v>
      </c>
      <c r="GK152" s="63">
        <f t="shared" si="314"/>
        <v>-23.800000000000011</v>
      </c>
      <c r="GL152" s="63">
        <f t="shared" si="228"/>
        <v>-8.8700000000000045</v>
      </c>
      <c r="GM152" s="82" t="str">
        <f t="shared" si="315"/>
        <v/>
      </c>
      <c r="GN152" s="82">
        <f>IF($GZ152="",#N/A,SUM(GM$4:GM152))</f>
        <v>9.0906650838004843</v>
      </c>
      <c r="GO152" s="82" t="str">
        <f t="shared" si="316"/>
        <v/>
      </c>
      <c r="GP152" s="82">
        <f>IF($GZ152="",#N/A,SUM(GO$4:GO152))</f>
        <v>10.421159964010178</v>
      </c>
      <c r="GQ152" s="82">
        <f t="shared" si="317"/>
        <v>-0.4391697859109186</v>
      </c>
      <c r="GR152" s="82">
        <f>IF($GZ152="",#N/A,SUM(GQ$4:GQ152))</f>
        <v>8.6535675479595735</v>
      </c>
      <c r="GS152" s="63" t="str">
        <f t="shared" si="325"/>
        <v/>
      </c>
      <c r="GT152" s="63" t="e">
        <f>IF($GZ152="",#N/A,SUM(GS$4:GS152))</f>
        <v>#N/A</v>
      </c>
      <c r="GU152" s="63" t="str">
        <f t="shared" si="326"/>
        <v/>
      </c>
      <c r="GV152" s="63" t="e">
        <f>IF($GZ152="",#N/A,SUM(GU$4:GU152))</f>
        <v>#N/A</v>
      </c>
      <c r="GW152" s="63" t="e">
        <f t="shared" si="327"/>
        <v>#N/A</v>
      </c>
      <c r="GX152" s="63" t="e">
        <f>IF($GZ152="",#N/A,SUM(GW$4:GW152))</f>
        <v>#N/A</v>
      </c>
      <c r="GY152" s="63" t="e">
        <f>IF(EJ152="",#N/A,SUM($EJ$4:EJ152))</f>
        <v>#N/A</v>
      </c>
      <c r="GZ152" s="159">
        <v>345.49</v>
      </c>
      <c r="HA152" s="63">
        <f t="shared" si="318"/>
        <v>15.259999999999991</v>
      </c>
      <c r="HB152" s="62" t="s">
        <v>2538</v>
      </c>
      <c r="HC152" s="60">
        <f>IFERROR(VLOOKUP(E152,Expectancy!$P$4:$S$19,1+C152,FALSE),"")</f>
        <v>-4.003891381455995E-2</v>
      </c>
      <c r="HD152" s="82">
        <f t="shared" si="319"/>
        <v>-1.1783811617451931</v>
      </c>
      <c r="HE152" s="60">
        <f>IF(HD152="",#N/A,SUM($HD$4:HD152))</f>
        <v>-4.4726824574319082</v>
      </c>
      <c r="HF152" s="85">
        <f>IF(HD152="",#N/A,IF(HB152="Skip",#N/A,SUM($HG$4:HG152)))</f>
        <v>-88.360000000000127</v>
      </c>
      <c r="HG152" s="63">
        <f t="shared" si="320"/>
        <v>-23.800000000000011</v>
      </c>
      <c r="HH152" s="82">
        <f t="shared" si="321"/>
        <v>-0.4391697859109186</v>
      </c>
    </row>
    <row r="153" spans="1:216" x14ac:dyDescent="0.25">
      <c r="A153" s="57" t="s">
        <v>1406</v>
      </c>
      <c r="B153" s="58" t="s">
        <v>5178</v>
      </c>
      <c r="C153" s="386">
        <f t="shared" si="230"/>
        <v>3</v>
      </c>
      <c r="D153" s="372" t="str">
        <f>_xlfn.XLOOKUP(A153,[1]SP500!$A$2:$A$502,[1]SP500!$D$2:$D$502,"N")</f>
        <v>Y</v>
      </c>
      <c r="E153" s="57" t="str">
        <f>_xlfn.XLOOKUP(A153,[1]SP500!$A$2:$A$655,[1]SP500!$B$2:$B$655)</f>
        <v>XLI</v>
      </c>
      <c r="F153" s="59">
        <v>45688</v>
      </c>
      <c r="G153" s="57" t="str">
        <f t="shared" si="231"/>
        <v>BMO</v>
      </c>
      <c r="H153" s="57" t="str">
        <f t="shared" si="232"/>
        <v>o</v>
      </c>
      <c r="I153" s="162">
        <v>1126.07</v>
      </c>
      <c r="J153" s="159">
        <v>1062.2</v>
      </c>
      <c r="K153" s="61">
        <f t="shared" si="233"/>
        <v>-5.6719386894242718E-2</v>
      </c>
      <c r="L153" s="87">
        <f t="shared" si="234"/>
        <v>-22.687754757697064</v>
      </c>
      <c r="M153" s="214" t="e">
        <f t="shared" si="226"/>
        <v>#N/A</v>
      </c>
      <c r="N153" s="168" t="str">
        <f t="shared" si="235"/>
        <v/>
      </c>
      <c r="O153" s="168">
        <f>IF($J153="",#N/A,SUM($N$4:N153))</f>
        <v>260.21976368961373</v>
      </c>
      <c r="P153" s="173" t="str">
        <f t="shared" si="236"/>
        <v/>
      </c>
      <c r="Q153" s="173">
        <f>IF($J153="",#N/A,SUM($P$4:P153))</f>
        <v>108.74104023772639</v>
      </c>
      <c r="R153" s="177">
        <f t="shared" si="237"/>
        <v>-22.687754757697064</v>
      </c>
      <c r="S153" s="177">
        <f>IF($J153="",#N/A,SUM($R$4:R153))</f>
        <v>153.94873610246867</v>
      </c>
      <c r="T153" s="293" t="str">
        <f t="shared" si="238"/>
        <v/>
      </c>
      <c r="U153" s="293">
        <f>IF($J153="",#N/A,SUM($T$4:T153))</f>
        <v>9.7613400884849888</v>
      </c>
      <c r="V153" s="294" t="str">
        <f t="shared" si="239"/>
        <v/>
      </c>
      <c r="W153" s="294">
        <f>IF($J153="",#N/A,SUM($V$4:V153))</f>
        <v>4.3841757122233336</v>
      </c>
      <c r="X153" s="295">
        <f t="shared" si="240"/>
        <v>-0.9453231149040443</v>
      </c>
      <c r="Y153" s="283">
        <f>IF($J153="",#N/A,SUM($X$4:X153))</f>
        <v>6.1305960175696672</v>
      </c>
      <c r="Z153" s="304" t="str">
        <f t="shared" si="241"/>
        <v/>
      </c>
      <c r="AA153" s="316" t="e">
        <f>IF($J153="",#N/A,SUM(Z$4:Z153))</f>
        <v>#N/A</v>
      </c>
      <c r="AB153" s="317" t="str">
        <f t="shared" si="242"/>
        <v/>
      </c>
      <c r="AC153" s="317" t="e">
        <f>IF($J153="",#N/A,SUM(AB$4:AB153))</f>
        <v>#N/A</v>
      </c>
      <c r="AD153" s="318" t="str">
        <f t="shared" si="243"/>
        <v/>
      </c>
      <c r="AE153" s="318" t="e">
        <f>IF($J153="",#N/A,SUM(AD$4:AD153))</f>
        <v>#N/A</v>
      </c>
      <c r="AF153" s="318" t="e">
        <f>IF($J153="",#N/A,SUM(AD$4:AD153,AB$4:AB153,Z$4:Z153))</f>
        <v>#N/A</v>
      </c>
      <c r="AG153" s="304" t="str">
        <f t="shared" si="244"/>
        <v/>
      </c>
      <c r="AH153" s="316" t="e">
        <f>IF($J153="",#N/A,SUM(AG$4:AG153))</f>
        <v>#N/A</v>
      </c>
      <c r="AI153" s="317" t="str">
        <f t="shared" si="245"/>
        <v/>
      </c>
      <c r="AJ153" s="317" t="e">
        <f>IF($J153="",#N/A,SUM(AI$4:AI153))</f>
        <v>#N/A</v>
      </c>
      <c r="AK153" s="318" t="str">
        <f t="shared" si="246"/>
        <v/>
      </c>
      <c r="AL153" s="318" t="e">
        <f>IF($J153="",#N/A,SUM(AK$4:AK153))</f>
        <v>#N/A</v>
      </c>
      <c r="AM153" s="318" t="e">
        <f>IF($J153="",#N/A,SUM(AK$4:AK153,AI$4:AI153,AG$4:AG153))</f>
        <v>#N/A</v>
      </c>
      <c r="AN153" s="304" t="str">
        <f t="shared" si="247"/>
        <v/>
      </c>
      <c r="AO153" s="316" t="e">
        <f>IF($J153="",#N/A,SUM(AN$4:AN153))</f>
        <v>#N/A</v>
      </c>
      <c r="AP153" s="317" t="str">
        <f t="shared" si="248"/>
        <v/>
      </c>
      <c r="AQ153" s="317" t="e">
        <f>IF($J153="",#N/A,SUM(AP$4:AP153))</f>
        <v>#N/A</v>
      </c>
      <c r="AR153" s="318" t="str">
        <f t="shared" si="249"/>
        <v/>
      </c>
      <c r="AS153" s="318" t="e">
        <f>IF($J153="",#N/A,SUM(AR$4:AR153))</f>
        <v>#N/A</v>
      </c>
      <c r="AT153" s="318" t="e">
        <f>IF($J153="",#N/A,SUM(AR$4:AR153,AP$4:AP153,AN$4:AN153))</f>
        <v>#N/A</v>
      </c>
      <c r="AU153" s="304" t="str">
        <f t="shared" si="250"/>
        <v/>
      </c>
      <c r="AV153" s="316" t="e">
        <f>IF($J153="",#N/A,SUM(AU$4:AU153))</f>
        <v>#N/A</v>
      </c>
      <c r="AW153" s="317" t="str">
        <f t="shared" si="251"/>
        <v/>
      </c>
      <c r="AX153" s="317" t="e">
        <f>IF($J153="",#N/A,SUM(AW$4:AW153))</f>
        <v>#N/A</v>
      </c>
      <c r="AY153" s="318" t="str">
        <f t="shared" si="252"/>
        <v/>
      </c>
      <c r="AZ153" s="318" t="e">
        <f>IF($J153="",#N/A,SUM(AY$4:AY153))</f>
        <v>#N/A</v>
      </c>
      <c r="BA153" s="318" t="e">
        <f>IF($J153="",#N/A,SUM(AY$4:AY153,AW$4:AW153,AU$4:AU153))</f>
        <v>#N/A</v>
      </c>
      <c r="BB153" s="304" t="str">
        <f t="shared" si="253"/>
        <v/>
      </c>
      <c r="BC153" s="316" t="e">
        <f>IF($J153="",#N/A,SUM(BB$4:BB153))</f>
        <v>#N/A</v>
      </c>
      <c r="BD153" s="317" t="str">
        <f t="shared" si="254"/>
        <v/>
      </c>
      <c r="BE153" s="317" t="e">
        <f>IF($J153="",#N/A,SUM(BD$4:BD153))</f>
        <v>#N/A</v>
      </c>
      <c r="BF153" s="318" t="str">
        <f t="shared" si="255"/>
        <v/>
      </c>
      <c r="BG153" s="318" t="e">
        <f>IF($J153="",#N/A,SUM(BF$4:BF153))</f>
        <v>#N/A</v>
      </c>
      <c r="BH153" s="318" t="e">
        <f>IF($J153="",#N/A,SUM(BF$4:BF153,BD$4:BD153,BB$4:BB153))</f>
        <v>#N/A</v>
      </c>
      <c r="BI153" s="304" t="str">
        <f t="shared" si="256"/>
        <v/>
      </c>
      <c r="BJ153" s="316" t="e">
        <f>IF($J153="",#N/A,SUM(BI$4:BI153))</f>
        <v>#N/A</v>
      </c>
      <c r="BK153" s="317" t="str">
        <f t="shared" si="257"/>
        <v/>
      </c>
      <c r="BL153" s="317" t="e">
        <f>IF($J153="",#N/A,SUM(BK$4:BK153))</f>
        <v>#N/A</v>
      </c>
      <c r="BM153" s="318" t="str">
        <f t="shared" si="258"/>
        <v/>
      </c>
      <c r="BN153" s="318" t="e">
        <f>IF($J153="",#N/A,SUM(BM$4:BM153))</f>
        <v>#N/A</v>
      </c>
      <c r="BO153" s="318" t="e">
        <f>IF($J153="",#N/A,SUM(BM$4:BM153,BK$4:BK153,BI$4:BI153))</f>
        <v>#N/A</v>
      </c>
      <c r="BP153" s="304" t="str">
        <f t="shared" si="259"/>
        <v/>
      </c>
      <c r="BQ153" s="316" t="e">
        <f>IF($J153="",#N/A,SUM(BP$4:BP153))</f>
        <v>#N/A</v>
      </c>
      <c r="BR153" s="317" t="str">
        <f t="shared" si="260"/>
        <v/>
      </c>
      <c r="BS153" s="317" t="e">
        <f>IF($J153="",#N/A,SUM(BR$4:BR153))</f>
        <v>#N/A</v>
      </c>
      <c r="BT153" s="318">
        <f t="shared" si="261"/>
        <v>-0.9453231149040443</v>
      </c>
      <c r="BU153" s="318" t="e">
        <f>IF($J153="",#N/A,SUM(BT$4:BT153))</f>
        <v>#N/A</v>
      </c>
      <c r="BV153" s="318" t="e">
        <f>IF($J153="",#N/A,SUM(BT$4:BT153,BR$4:BR153,BP$4:BP153))</f>
        <v>#N/A</v>
      </c>
      <c r="BW153" s="304" t="str">
        <f t="shared" si="262"/>
        <v/>
      </c>
      <c r="BX153" s="316" t="e">
        <f>IF($J153="",#N/A,SUM(BW$4:BW153))</f>
        <v>#N/A</v>
      </c>
      <c r="BY153" s="317" t="str">
        <f t="shared" si="263"/>
        <v/>
      </c>
      <c r="BZ153" s="317" t="e">
        <f>IF($J153="",#N/A,SUM(BY$4:BY153))</f>
        <v>#N/A</v>
      </c>
      <c r="CA153" s="318" t="str">
        <f t="shared" si="264"/>
        <v/>
      </c>
      <c r="CB153" s="318" t="e">
        <f>IF($J153="",#N/A,SUM(CA$4:CA153))</f>
        <v>#N/A</v>
      </c>
      <c r="CC153" s="318" t="e">
        <f>IF($J153="",#N/A,SUM(CA$4:CA153,BY$4:BY153,BW$4:BW153))</f>
        <v>#N/A</v>
      </c>
      <c r="CD153" s="304" t="str">
        <f t="shared" si="265"/>
        <v/>
      </c>
      <c r="CE153" s="316" t="e">
        <f>IF($J153="",#N/A,SUM(CD$4:CD153))</f>
        <v>#N/A</v>
      </c>
      <c r="CF153" s="317" t="str">
        <f t="shared" si="266"/>
        <v/>
      </c>
      <c r="CG153" s="317" t="e">
        <f>IF($J153="",#N/A,SUM(CF$4:CF153))</f>
        <v>#N/A</v>
      </c>
      <c r="CH153" s="318" t="str">
        <f t="shared" si="267"/>
        <v/>
      </c>
      <c r="CI153" s="318" t="e">
        <f>IF($J153="",#N/A,SUM(CH$4:CH153))</f>
        <v>#N/A</v>
      </c>
      <c r="CJ153" s="318" t="e">
        <f>IF($J153="",#N/A,SUM(CH$4:CH153,CF$4:CF153,CD$4:CD153))</f>
        <v>#N/A</v>
      </c>
      <c r="CK153" s="304" t="str">
        <f t="shared" si="268"/>
        <v/>
      </c>
      <c r="CL153" s="316" t="e">
        <f>IF($J153="",#N/A,SUM(CK$4:CK153))</f>
        <v>#N/A</v>
      </c>
      <c r="CM153" s="317" t="str">
        <f t="shared" si="269"/>
        <v/>
      </c>
      <c r="CN153" s="317" t="e">
        <f>IF($J153="",#N/A,SUM(CM$4:CM153))</f>
        <v>#N/A</v>
      </c>
      <c r="CO153" s="318" t="str">
        <f t="shared" si="270"/>
        <v/>
      </c>
      <c r="CP153" s="318" t="e">
        <f>IF($J153="",#N/A,SUM(CO$4:CO153))</f>
        <v>#N/A</v>
      </c>
      <c r="CQ153" s="318" t="e">
        <f>IF($J153="",#N/A,SUM(CO$4:CO153,CM$4:CM153,CK$4:CK153))</f>
        <v>#N/A</v>
      </c>
      <c r="CR153" s="304" t="str">
        <f t="shared" si="271"/>
        <v/>
      </c>
      <c r="CS153" s="316" t="e">
        <f>IF($J153="",#N/A,SUM(CR$4:CR153))</f>
        <v>#N/A</v>
      </c>
      <c r="CT153" s="317" t="str">
        <f t="shared" si="272"/>
        <v/>
      </c>
      <c r="CU153" s="317" t="e">
        <f>IF($J153="",#N/A,SUM(CT$4:CT153))</f>
        <v>#N/A</v>
      </c>
      <c r="CV153" s="318" t="str">
        <f t="shared" si="273"/>
        <v/>
      </c>
      <c r="CW153" s="318" t="e">
        <f>IF($J153="",#N/A,SUM(CV$4:CV153))</f>
        <v>#N/A</v>
      </c>
      <c r="CX153" s="318" t="e">
        <f>IF($J153="",#N/A,SUM(CV$4:CV153,CT$4:CT153,CR$4:CR153))</f>
        <v>#N/A</v>
      </c>
      <c r="CY153" s="304" t="str">
        <f t="shared" si="274"/>
        <v/>
      </c>
      <c r="CZ153" s="316" t="e">
        <f>IF($J153="",#N/A,SUM(CY$4:CY153))</f>
        <v>#N/A</v>
      </c>
      <c r="DA153" s="317" t="str">
        <f t="shared" si="275"/>
        <v/>
      </c>
      <c r="DB153" s="317" t="e">
        <f>IF($J153="",#N/A,SUM(DA$4:DA153))</f>
        <v>#N/A</v>
      </c>
      <c r="DC153" s="318" t="str">
        <f t="shared" si="276"/>
        <v/>
      </c>
      <c r="DD153" s="318" t="e">
        <f>IF($J153="",#N/A,SUM(DC$4:DC153))</f>
        <v>#N/A</v>
      </c>
      <c r="DE153" s="318" t="e">
        <f>IF($J153="",#N/A,SUM(DC$4:DC153,DA$4:DA153,CY$4:CY153))</f>
        <v>#N/A</v>
      </c>
      <c r="DF153" s="304" t="str">
        <f t="shared" si="277"/>
        <v/>
      </c>
      <c r="DG153" s="316" t="e">
        <f>IF($J153="",#N/A,SUM(DF$4:DF153))</f>
        <v>#N/A</v>
      </c>
      <c r="DH153" s="317" t="str">
        <f t="shared" si="278"/>
        <v/>
      </c>
      <c r="DI153" s="317" t="e">
        <f>IF($J153="",#N/A,SUM(DH$4:DH153))</f>
        <v>#N/A</v>
      </c>
      <c r="DJ153" s="318" t="str">
        <f t="shared" si="279"/>
        <v/>
      </c>
      <c r="DK153" s="318" t="e">
        <f>IF($J153="",#N/A,SUM(DJ$4:DJ153))</f>
        <v>#N/A</v>
      </c>
      <c r="DL153" s="318" t="e">
        <f>IF($J153="",#N/A,SUM(DJ$4:DJ153,DH$4:DH153,DF$4:DF153))</f>
        <v>#N/A</v>
      </c>
      <c r="DM153" s="304" t="str">
        <f t="shared" si="280"/>
        <v/>
      </c>
      <c r="DN153" s="316" t="e">
        <f>IF($J153="",#N/A,SUM(DM$4:DM153))</f>
        <v>#N/A</v>
      </c>
      <c r="DO153" s="317" t="str">
        <f t="shared" si="281"/>
        <v/>
      </c>
      <c r="DP153" s="317" t="e">
        <f>IF($J153="",#N/A,SUM(DO$4:DO153))</f>
        <v>#N/A</v>
      </c>
      <c r="DQ153" s="318" t="str">
        <f t="shared" si="282"/>
        <v/>
      </c>
      <c r="DR153" s="318" t="e">
        <f>IF($J153="",#N/A,SUM(DQ$4:DQ153))</f>
        <v>#N/A</v>
      </c>
      <c r="DS153" s="318" t="e">
        <f>IF($J153="",#N/A,SUM(DQ$4:DQ153,DO$4:DO153,DM$4:DM153))</f>
        <v>#N/A</v>
      </c>
      <c r="DT153" s="304" t="str">
        <f t="shared" si="283"/>
        <v/>
      </c>
      <c r="DU153" s="316" t="e">
        <f>IF($J153="",#N/A,SUM(DT$4:DT153))</f>
        <v>#N/A</v>
      </c>
      <c r="DV153" s="317" t="str">
        <f t="shared" si="284"/>
        <v/>
      </c>
      <c r="DW153" s="317" t="e">
        <f>IF($J153="",#N/A,SUM(DV$4:DV153))</f>
        <v>#N/A</v>
      </c>
      <c r="DX153" s="318" t="str">
        <f t="shared" si="285"/>
        <v/>
      </c>
      <c r="DY153" s="318" t="e">
        <f>IF($J153="",#N/A,SUM(DX$4:DX153))</f>
        <v>#N/A</v>
      </c>
      <c r="DZ153" s="318" t="e">
        <f>IF($J153="",#N/A,SUM(DX$4:DX153,DV$4:DV153,DT$4:DT153))</f>
        <v>#N/A</v>
      </c>
      <c r="EA153" s="304" t="str">
        <f t="shared" si="286"/>
        <v/>
      </c>
      <c r="EB153" s="316" t="e">
        <f>IF($J153="",#N/A,SUM(EA$4:EA153))</f>
        <v>#N/A</v>
      </c>
      <c r="EC153" s="317" t="str">
        <f t="shared" si="287"/>
        <v/>
      </c>
      <c r="ED153" s="317" t="e">
        <f>IF($J153="",#N/A,SUM(EC$4:EC153))</f>
        <v>#N/A</v>
      </c>
      <c r="EE153" s="318" t="str">
        <f t="shared" si="288"/>
        <v/>
      </c>
      <c r="EF153" s="318" t="e">
        <f>IF($J153="",#N/A,SUM(EE$4:EE153))</f>
        <v>#N/A</v>
      </c>
      <c r="EG153" s="318" t="e">
        <f>IF($J153="",#N/A,SUM(EE$4:EE153,EC$4:EC153,EA$4:EA153))</f>
        <v>#N/A</v>
      </c>
      <c r="EH153" s="211">
        <f t="shared" si="289"/>
        <v>-22.687754757697064</v>
      </c>
      <c r="EI153" s="63">
        <f>IF(EH153="",#N/A,SUM($EH$4:EH153))</f>
        <v>522.90954002980902</v>
      </c>
      <c r="EJ153" s="223" t="e">
        <f t="shared" si="290"/>
        <v>#N/A</v>
      </c>
      <c r="EK153" s="63" t="e">
        <f>IF($GZ153="",#N/A,SUM(EJ$4:EJ153))</f>
        <v>#N/A</v>
      </c>
      <c r="EL153" s="60">
        <f t="shared" si="322"/>
        <v>-0.9453231149040443</v>
      </c>
      <c r="EM153" s="60">
        <f>IF(EL153="",NA(),SUM($EL$4:EL153))</f>
        <v>16.61532375479673</v>
      </c>
      <c r="EN153" s="60" t="str">
        <f t="shared" si="291"/>
        <v/>
      </c>
      <c r="EO153" s="60" t="e">
        <f>IF(EN153="",NA(),SUM($EN$4:EN153))</f>
        <v>#N/A</v>
      </c>
      <c r="EP153" s="60">
        <f t="shared" si="292"/>
        <v>-0.9453231149040443</v>
      </c>
      <c r="EQ153" s="60">
        <f>IF(EP153="",NA(),SUM($EP$4:EP153))</f>
        <v>7.0583529376468617</v>
      </c>
      <c r="ER153" s="60" t="str">
        <f t="shared" si="293"/>
        <v/>
      </c>
      <c r="ES153" s="60" t="e">
        <f>IF(ER153="",NA(),SUM($ER$4:ER153))</f>
        <v>#N/A</v>
      </c>
      <c r="ET153" s="60" t="str">
        <f t="shared" si="294"/>
        <v/>
      </c>
      <c r="EU153" s="60" t="e">
        <f>IF(ET153="",NA(),SUM($ET$4:ET153))</f>
        <v>#N/A</v>
      </c>
      <c r="EV153" s="60" t="str">
        <f t="shared" si="295"/>
        <v/>
      </c>
      <c r="EW153" s="60" t="e">
        <f>IF(EV153="",NA(),SUM($EV$4:EV153))</f>
        <v>#N/A</v>
      </c>
      <c r="EX153" s="60" t="str">
        <f t="shared" si="296"/>
        <v/>
      </c>
      <c r="EY153" s="60" t="e">
        <f>IF(EX153="",NA(),SUM($EX$4:EX153))</f>
        <v>#N/A</v>
      </c>
      <c r="EZ153" s="60" t="str">
        <f t="shared" si="297"/>
        <v/>
      </c>
      <c r="FA153" s="60" t="e">
        <f>IF(EZ153="",NA(),SUM($EZ$4:EZ153))</f>
        <v>#N/A</v>
      </c>
      <c r="FB153" s="246" t="str">
        <f t="shared" si="323"/>
        <v/>
      </c>
      <c r="FC153" s="246" t="e">
        <f>IF($FB153="",#N/A,SUM(FB$4:$FB153))</f>
        <v>#N/A</v>
      </c>
      <c r="FD153" s="60" t="str">
        <f t="shared" si="298"/>
        <v/>
      </c>
      <c r="FE153" s="60" t="e">
        <f>IF($FD153="",#N/A,SUM($FD$4:FD153))</f>
        <v>#N/A</v>
      </c>
      <c r="FF153" s="60" t="str">
        <f t="shared" si="299"/>
        <v/>
      </c>
      <c r="FG153" s="60" t="e">
        <f>IF($FF153="",#N/A,SUM($FF$4:FF153))</f>
        <v>#N/A</v>
      </c>
      <c r="FH153" s="60" t="str">
        <f t="shared" si="300"/>
        <v/>
      </c>
      <c r="FI153" s="60" t="e">
        <f>IF($FH153="",#N/A,SUM($FH$4:FH153))</f>
        <v>#N/A</v>
      </c>
      <c r="FJ153" s="60" t="str">
        <f t="shared" si="301"/>
        <v/>
      </c>
      <c r="FK153" s="60" t="e">
        <f>IF($FJ153="",#N/A,SUM($FJ$4:FJ153))</f>
        <v>#N/A</v>
      </c>
      <c r="FL153" s="60">
        <f t="shared" si="302"/>
        <v>6.9563467043185501E-3</v>
      </c>
      <c r="FM153" s="60">
        <f>IF($FL153="",#N/A,SUM($FL$4:FL153))</f>
        <v>4.2672900151191397</v>
      </c>
      <c r="FN153" s="82">
        <f t="shared" si="303"/>
        <v>-0.93836676819972575</v>
      </c>
      <c r="FO153" s="82">
        <f>IF($FN153="",#N/A,SUM(FN$4:$FN153))</f>
        <v>27.852862782012846</v>
      </c>
      <c r="FP153" s="82">
        <f t="shared" si="324"/>
        <v>-0.9453231149040443</v>
      </c>
      <c r="FQ153" s="246">
        <f>IF($EH153="",#N/A,SUM($FP$4:FP153))</f>
        <v>20.276111818278</v>
      </c>
      <c r="FR153" s="82">
        <f>IFERROR(FQ153/COUNTA($J$4:J153),#N/A)</f>
        <v>0.13517407878852</v>
      </c>
      <c r="FS153" s="82">
        <f t="shared" si="330"/>
        <v>1.1387852919778041E-2</v>
      </c>
      <c r="FT153" s="82">
        <f t="shared" si="328"/>
        <v>-0.12078108271739012</v>
      </c>
      <c r="FU153" s="273"/>
      <c r="FV153" s="57" t="str">
        <f t="shared" si="305"/>
        <v>SW</v>
      </c>
      <c r="FW153" s="79" t="s">
        <v>2732</v>
      </c>
      <c r="FX153" s="57" t="str">
        <f t="shared" si="306"/>
        <v/>
      </c>
      <c r="FY153" s="57" t="str">
        <f t="shared" si="307"/>
        <v/>
      </c>
      <c r="FZ153" s="57" t="str">
        <f t="shared" si="308"/>
        <v/>
      </c>
      <c r="GA153" s="57" t="str">
        <f t="shared" si="309"/>
        <v>Long</v>
      </c>
      <c r="GB153" s="57" t="str">
        <f t="shared" si="310"/>
        <v/>
      </c>
      <c r="GC153" s="57" t="str">
        <f t="shared" si="311"/>
        <v/>
      </c>
      <c r="GD153" s="57">
        <f t="shared" si="312"/>
        <v>1</v>
      </c>
      <c r="GE153" s="62">
        <f t="shared" si="227"/>
        <v>1126.07</v>
      </c>
      <c r="GF153" s="95" t="s">
        <v>2779</v>
      </c>
      <c r="GG153" s="99">
        <f>400/I153</f>
        <v>0.3552177040503699</v>
      </c>
      <c r="GH153" s="207">
        <f t="shared" si="313"/>
        <v>400</v>
      </c>
      <c r="GI153" s="99">
        <f>GG153</f>
        <v>0.3552177040503699</v>
      </c>
      <c r="GJ153" s="98">
        <f>J153</f>
        <v>1062.2</v>
      </c>
      <c r="GK153" s="96">
        <f t="shared" si="314"/>
        <v>-22.687754757697064</v>
      </c>
      <c r="GL153" s="63">
        <f t="shared" si="228"/>
        <v>-22.520802436793417</v>
      </c>
      <c r="GM153" s="82">
        <f t="shared" si="315"/>
        <v>-0.93836676819972575</v>
      </c>
      <c r="GN153" s="82">
        <f>IF($GZ153="",#N/A,SUM(GM$4:GM153))</f>
        <v>8.152298315600758</v>
      </c>
      <c r="GO153" s="82" t="str">
        <f t="shared" si="316"/>
        <v/>
      </c>
      <c r="GP153" s="82">
        <f>IF($GZ153="",#N/A,SUM(GO$4:GO153))</f>
        <v>10.421159964010178</v>
      </c>
      <c r="GQ153" s="82" t="str">
        <f t="shared" si="317"/>
        <v/>
      </c>
      <c r="GR153" s="82">
        <f>IF($GZ153="",#N/A,SUM(GQ$4:GQ153))</f>
        <v>8.6535675479595735</v>
      </c>
      <c r="GS153" s="63" t="e">
        <f t="shared" si="325"/>
        <v>#N/A</v>
      </c>
      <c r="GT153" s="63" t="e">
        <f>IF($GZ153="",#N/A,SUM(GS$4:GS153))</f>
        <v>#N/A</v>
      </c>
      <c r="GU153" s="63" t="str">
        <f t="shared" si="326"/>
        <v/>
      </c>
      <c r="GV153" s="63" t="e">
        <f>IF($GZ153="",#N/A,SUM(GU$4:GU153))</f>
        <v>#N/A</v>
      </c>
      <c r="GW153" s="63" t="str">
        <f t="shared" si="327"/>
        <v/>
      </c>
      <c r="GX153" s="63" t="e">
        <f>IF($GZ153="",#N/A,SUM(GW$4:GW153))</f>
        <v>#N/A</v>
      </c>
      <c r="GY153" s="63" t="e">
        <f>IF(EJ153="",#N/A,SUM($EJ$4:EJ153))</f>
        <v>#N/A</v>
      </c>
      <c r="GZ153" s="159">
        <v>1062.67</v>
      </c>
      <c r="HA153" s="63">
        <f t="shared" si="318"/>
        <v>0.16695232090364698</v>
      </c>
      <c r="HB153" s="130" t="s">
        <v>4970</v>
      </c>
      <c r="HC153" s="60">
        <f>IFERROR(VLOOKUP(E153,Expectancy!$P$4:$S$19,1+C153,FALSE),"")</f>
        <v>2.40735201201209E-2</v>
      </c>
      <c r="HD153" s="82" t="str">
        <f t="shared" si="319"/>
        <v/>
      </c>
      <c r="HE153" s="60" t="e">
        <f>IF(HD153="",#N/A,SUM($HD$4:HD153))</f>
        <v>#N/A</v>
      </c>
      <c r="HF153" s="85" t="e">
        <f>IF(HD153="",#N/A,IF(HB153="Skip",#N/A,SUM($HG$4:HG153)))</f>
        <v>#N/A</v>
      </c>
      <c r="HG153" s="205" t="str">
        <f t="shared" si="320"/>
        <v/>
      </c>
      <c r="HH153" s="82">
        <f t="shared" si="321"/>
        <v>-0.93836676819972575</v>
      </c>
    </row>
    <row r="154" spans="1:216" x14ac:dyDescent="0.25">
      <c r="A154" s="57" t="s">
        <v>1410</v>
      </c>
      <c r="B154" s="58" t="s">
        <v>5177</v>
      </c>
      <c r="C154" s="386">
        <f t="shared" si="230"/>
        <v>2</v>
      </c>
      <c r="D154" s="372" t="str">
        <f>_xlfn.XLOOKUP(A154,[1]SP500!$A$2:$A$502,[1]SP500!$D$2:$D$502,"N")</f>
        <v>Y</v>
      </c>
      <c r="E154" s="57" t="str">
        <f>_xlfn.XLOOKUP(A154,[1]SP500!$A$2:$A$655,[1]SP500!$B$2:$B$655)</f>
        <v>XLE</v>
      </c>
      <c r="F154" s="59">
        <v>45688</v>
      </c>
      <c r="G154" s="57" t="str">
        <f t="shared" si="231"/>
        <v>BMO</v>
      </c>
      <c r="H154" s="57" t="str">
        <f t="shared" si="232"/>
        <v>s</v>
      </c>
      <c r="I154" s="159">
        <v>120.84</v>
      </c>
      <c r="J154" s="159">
        <v>119.96</v>
      </c>
      <c r="K154" s="61">
        <f t="shared" si="233"/>
        <v>-7.2823568354850182E-3</v>
      </c>
      <c r="L154" s="87">
        <f t="shared" si="234"/>
        <v>2.6399999999999864</v>
      </c>
      <c r="M154" s="130">
        <f t="shared" si="226"/>
        <v>0</v>
      </c>
      <c r="N154" s="169" t="str">
        <f t="shared" si="235"/>
        <v/>
      </c>
      <c r="O154" s="169">
        <f>IF($J154="",#N/A,SUM($N$4:N154))</f>
        <v>260.21976368961373</v>
      </c>
      <c r="P154" s="174">
        <f t="shared" si="236"/>
        <v>2.6399999999999864</v>
      </c>
      <c r="Q154" s="174">
        <f>IF($J154="",#N/A,SUM($P$4:P154))</f>
        <v>111.38104023772638</v>
      </c>
      <c r="R154" s="178" t="str">
        <f t="shared" si="237"/>
        <v/>
      </c>
      <c r="S154" s="178">
        <f>IF($J154="",#N/A,SUM($R$4:R154))</f>
        <v>153.94873610246867</v>
      </c>
      <c r="T154" s="290" t="str">
        <f t="shared" si="238"/>
        <v/>
      </c>
      <c r="U154" s="290">
        <f>IF($J154="",#N/A,SUM($T$4:T154))</f>
        <v>9.7613400884849888</v>
      </c>
      <c r="V154" s="291">
        <f t="shared" si="239"/>
        <v>0.12137261392474837</v>
      </c>
      <c r="W154" s="291">
        <f>IF($J154="",#N/A,SUM($V$4:V154))</f>
        <v>4.505548326148082</v>
      </c>
      <c r="X154" s="292" t="str">
        <f t="shared" si="240"/>
        <v/>
      </c>
      <c r="Y154" s="283">
        <f>IF($J154="",#N/A,SUM($X$4:X154))</f>
        <v>6.1305960175696672</v>
      </c>
      <c r="Z154" s="304" t="str">
        <f t="shared" si="241"/>
        <v/>
      </c>
      <c r="AA154" s="313" t="e">
        <f>IF($J154="",#N/A,SUM(Z$4:Z154))</f>
        <v>#N/A</v>
      </c>
      <c r="AB154" s="314" t="str">
        <f t="shared" si="242"/>
        <v/>
      </c>
      <c r="AC154" s="314" t="e">
        <f>IF($J154="",#N/A,SUM(AB$4:AB154))</f>
        <v>#N/A</v>
      </c>
      <c r="AD154" s="315" t="str">
        <f t="shared" si="243"/>
        <v/>
      </c>
      <c r="AE154" s="315" t="e">
        <f>IF($J154="",#N/A,SUM(AD$4:AD154))</f>
        <v>#N/A</v>
      </c>
      <c r="AF154" s="315" t="e">
        <f>IF($J154="",#N/A,SUM(AD$4:AD154,AB$4:AB154,Z$4:Z154))</f>
        <v>#N/A</v>
      </c>
      <c r="AG154" s="304" t="str">
        <f t="shared" si="244"/>
        <v/>
      </c>
      <c r="AH154" s="313" t="e">
        <f>IF($J154="",#N/A,SUM(AG$4:AG154))</f>
        <v>#N/A</v>
      </c>
      <c r="AI154" s="314" t="str">
        <f t="shared" si="245"/>
        <v/>
      </c>
      <c r="AJ154" s="314" t="e">
        <f>IF($J154="",#N/A,SUM(AI$4:AI154))</f>
        <v>#N/A</v>
      </c>
      <c r="AK154" s="315" t="str">
        <f t="shared" si="246"/>
        <v/>
      </c>
      <c r="AL154" s="315" t="e">
        <f>IF($J154="",#N/A,SUM(AK$4:AK154))</f>
        <v>#N/A</v>
      </c>
      <c r="AM154" s="315" t="e">
        <f>IF($J154="",#N/A,SUM(AK$4:AK154,AI$4:AI154,AG$4:AG154))</f>
        <v>#N/A</v>
      </c>
      <c r="AN154" s="304" t="str">
        <f t="shared" si="247"/>
        <v/>
      </c>
      <c r="AO154" s="313" t="e">
        <f>IF($J154="",#N/A,SUM(AN$4:AN154))</f>
        <v>#N/A</v>
      </c>
      <c r="AP154" s="314" t="str">
        <f t="shared" si="248"/>
        <v/>
      </c>
      <c r="AQ154" s="314" t="e">
        <f>IF($J154="",#N/A,SUM(AP$4:AP154))</f>
        <v>#N/A</v>
      </c>
      <c r="AR154" s="315" t="str">
        <f t="shared" si="249"/>
        <v/>
      </c>
      <c r="AS154" s="315" t="e">
        <f>IF($J154="",#N/A,SUM(AR$4:AR154))</f>
        <v>#N/A</v>
      </c>
      <c r="AT154" s="315" t="e">
        <f>IF($J154="",#N/A,SUM(AR$4:AR154,AP$4:AP154,AN$4:AN154))</f>
        <v>#N/A</v>
      </c>
      <c r="AU154" s="304" t="str">
        <f t="shared" si="250"/>
        <v/>
      </c>
      <c r="AV154" s="313" t="e">
        <f>IF($J154="",#N/A,SUM(AU$4:AU154))</f>
        <v>#N/A</v>
      </c>
      <c r="AW154" s="314" t="str">
        <f t="shared" si="251"/>
        <v/>
      </c>
      <c r="AX154" s="314" t="e">
        <f>IF($J154="",#N/A,SUM(AW$4:AW154))</f>
        <v>#N/A</v>
      </c>
      <c r="AY154" s="315" t="str">
        <f t="shared" si="252"/>
        <v/>
      </c>
      <c r="AZ154" s="315" t="e">
        <f>IF($J154="",#N/A,SUM(AY$4:AY154))</f>
        <v>#N/A</v>
      </c>
      <c r="BA154" s="315" t="e">
        <f>IF($J154="",#N/A,SUM(AY$4:AY154,AW$4:AW154,AU$4:AU154))</f>
        <v>#N/A</v>
      </c>
      <c r="BB154" s="304" t="str">
        <f t="shared" si="253"/>
        <v/>
      </c>
      <c r="BC154" s="313" t="e">
        <f>IF($J154="",#N/A,SUM(BB$4:BB154))</f>
        <v>#N/A</v>
      </c>
      <c r="BD154" s="314" t="str">
        <f t="shared" si="254"/>
        <v/>
      </c>
      <c r="BE154" s="314" t="e">
        <f>IF($J154="",#N/A,SUM(BD$4:BD154))</f>
        <v>#N/A</v>
      </c>
      <c r="BF154" s="315" t="str">
        <f t="shared" si="255"/>
        <v/>
      </c>
      <c r="BG154" s="315" t="e">
        <f>IF($J154="",#N/A,SUM(BF$4:BF154))</f>
        <v>#N/A</v>
      </c>
      <c r="BH154" s="315" t="e">
        <f>IF($J154="",#N/A,SUM(BF$4:BF154,BD$4:BD154,BB$4:BB154))</f>
        <v>#N/A</v>
      </c>
      <c r="BI154" s="304" t="str">
        <f t="shared" si="256"/>
        <v/>
      </c>
      <c r="BJ154" s="313" t="e">
        <f>IF($J154="",#N/A,SUM(BI$4:BI154))</f>
        <v>#N/A</v>
      </c>
      <c r="BK154" s="314" t="str">
        <f t="shared" si="257"/>
        <v/>
      </c>
      <c r="BL154" s="314" t="e">
        <f>IF($J154="",#N/A,SUM(BK$4:BK154))</f>
        <v>#N/A</v>
      </c>
      <c r="BM154" s="315" t="str">
        <f t="shared" si="258"/>
        <v/>
      </c>
      <c r="BN154" s="315" t="e">
        <f>IF($J154="",#N/A,SUM(BM$4:BM154))</f>
        <v>#N/A</v>
      </c>
      <c r="BO154" s="315" t="e">
        <f>IF($J154="",#N/A,SUM(BM$4:BM154,BK$4:BK154,BI$4:BI154))</f>
        <v>#N/A</v>
      </c>
      <c r="BP154" s="304" t="str">
        <f t="shared" si="259"/>
        <v/>
      </c>
      <c r="BQ154" s="313" t="e">
        <f>IF($J154="",#N/A,SUM(BP$4:BP154))</f>
        <v>#N/A</v>
      </c>
      <c r="BR154" s="314" t="str">
        <f t="shared" si="260"/>
        <v/>
      </c>
      <c r="BS154" s="314" t="e">
        <f>IF($J154="",#N/A,SUM(BR$4:BR154))</f>
        <v>#N/A</v>
      </c>
      <c r="BT154" s="315" t="str">
        <f t="shared" si="261"/>
        <v/>
      </c>
      <c r="BU154" s="315" t="e">
        <f>IF($J154="",#N/A,SUM(BT$4:BT154))</f>
        <v>#N/A</v>
      </c>
      <c r="BV154" s="315" t="e">
        <f>IF($J154="",#N/A,SUM(BT$4:BT154,BR$4:BR154,BP$4:BP154))</f>
        <v>#N/A</v>
      </c>
      <c r="BW154" s="304" t="str">
        <f t="shared" si="262"/>
        <v/>
      </c>
      <c r="BX154" s="313" t="e">
        <f>IF($J154="",#N/A,SUM(BW$4:BW154))</f>
        <v>#N/A</v>
      </c>
      <c r="BY154" s="314" t="str">
        <f t="shared" si="263"/>
        <v/>
      </c>
      <c r="BZ154" s="314" t="e">
        <f>IF($J154="",#N/A,SUM(BY$4:BY154))</f>
        <v>#N/A</v>
      </c>
      <c r="CA154" s="315" t="str">
        <f t="shared" si="264"/>
        <v/>
      </c>
      <c r="CB154" s="315" t="e">
        <f>IF($J154="",#N/A,SUM(CA$4:CA154))</f>
        <v>#N/A</v>
      </c>
      <c r="CC154" s="315" t="e">
        <f>IF($J154="",#N/A,SUM(CA$4:CA154,BY$4:BY154,BW$4:BW154))</f>
        <v>#N/A</v>
      </c>
      <c r="CD154" s="304" t="str">
        <f t="shared" si="265"/>
        <v/>
      </c>
      <c r="CE154" s="313" t="e">
        <f>IF($J154="",#N/A,SUM(CD$4:CD154))</f>
        <v>#N/A</v>
      </c>
      <c r="CF154" s="314" t="str">
        <f t="shared" si="266"/>
        <v/>
      </c>
      <c r="CG154" s="314" t="e">
        <f>IF($J154="",#N/A,SUM(CF$4:CF154))</f>
        <v>#N/A</v>
      </c>
      <c r="CH154" s="315" t="str">
        <f t="shared" si="267"/>
        <v/>
      </c>
      <c r="CI154" s="315" t="e">
        <f>IF($J154="",#N/A,SUM(CH$4:CH154))</f>
        <v>#N/A</v>
      </c>
      <c r="CJ154" s="315" t="e">
        <f>IF($J154="",#N/A,SUM(CH$4:CH154,CF$4:CF154,CD$4:CD154))</f>
        <v>#N/A</v>
      </c>
      <c r="CK154" s="304" t="str">
        <f t="shared" si="268"/>
        <v/>
      </c>
      <c r="CL154" s="313" t="e">
        <f>IF($J154="",#N/A,SUM(CK$4:CK154))</f>
        <v>#N/A</v>
      </c>
      <c r="CM154" s="314" t="str">
        <f t="shared" si="269"/>
        <v/>
      </c>
      <c r="CN154" s="314" t="e">
        <f>IF($J154="",#N/A,SUM(CM$4:CM154))</f>
        <v>#N/A</v>
      </c>
      <c r="CO154" s="315" t="str">
        <f t="shared" si="270"/>
        <v/>
      </c>
      <c r="CP154" s="315" t="e">
        <f>IF($J154="",#N/A,SUM(CO$4:CO154))</f>
        <v>#N/A</v>
      </c>
      <c r="CQ154" s="315" t="e">
        <f>IF($J154="",#N/A,SUM(CO$4:CO154,CM$4:CM154,CK$4:CK154))</f>
        <v>#N/A</v>
      </c>
      <c r="CR154" s="304" t="str">
        <f t="shared" si="271"/>
        <v/>
      </c>
      <c r="CS154" s="313" t="e">
        <f>IF($J154="",#N/A,SUM(CR$4:CR154))</f>
        <v>#N/A</v>
      </c>
      <c r="CT154" s="314">
        <f t="shared" si="272"/>
        <v>0.12137261392474837</v>
      </c>
      <c r="CU154" s="314" t="e">
        <f>IF($J154="",#N/A,SUM(CT$4:CT154))</f>
        <v>#N/A</v>
      </c>
      <c r="CV154" s="315" t="str">
        <f t="shared" si="273"/>
        <v/>
      </c>
      <c r="CW154" s="315" t="e">
        <f>IF($J154="",#N/A,SUM(CV$4:CV154))</f>
        <v>#N/A</v>
      </c>
      <c r="CX154" s="315" t="e">
        <f>IF($J154="",#N/A,SUM(CV$4:CV154,CT$4:CT154,CR$4:CR154))</f>
        <v>#N/A</v>
      </c>
      <c r="CY154" s="304" t="str">
        <f t="shared" si="274"/>
        <v/>
      </c>
      <c r="CZ154" s="313" t="e">
        <f>IF($J154="",#N/A,SUM(CY$4:CY154))</f>
        <v>#N/A</v>
      </c>
      <c r="DA154" s="314" t="str">
        <f t="shared" si="275"/>
        <v/>
      </c>
      <c r="DB154" s="314" t="e">
        <f>IF($J154="",#N/A,SUM(DA$4:DA154))</f>
        <v>#N/A</v>
      </c>
      <c r="DC154" s="315" t="str">
        <f t="shared" si="276"/>
        <v/>
      </c>
      <c r="DD154" s="315" t="e">
        <f>IF($J154="",#N/A,SUM(DC$4:DC154))</f>
        <v>#N/A</v>
      </c>
      <c r="DE154" s="315" t="e">
        <f>IF($J154="",#N/A,SUM(DC$4:DC154,DA$4:DA154,CY$4:CY154))</f>
        <v>#N/A</v>
      </c>
      <c r="DF154" s="304" t="str">
        <f t="shared" si="277"/>
        <v/>
      </c>
      <c r="DG154" s="313" t="e">
        <f>IF($J154="",#N/A,SUM(DF$4:DF154))</f>
        <v>#N/A</v>
      </c>
      <c r="DH154" s="314" t="str">
        <f t="shared" si="278"/>
        <v/>
      </c>
      <c r="DI154" s="314" t="e">
        <f>IF($J154="",#N/A,SUM(DH$4:DH154))</f>
        <v>#N/A</v>
      </c>
      <c r="DJ154" s="315" t="str">
        <f t="shared" si="279"/>
        <v/>
      </c>
      <c r="DK154" s="315" t="e">
        <f>IF($J154="",#N/A,SUM(DJ$4:DJ154))</f>
        <v>#N/A</v>
      </c>
      <c r="DL154" s="315" t="e">
        <f>IF($J154="",#N/A,SUM(DJ$4:DJ154,DH$4:DH154,DF$4:DF154))</f>
        <v>#N/A</v>
      </c>
      <c r="DM154" s="304" t="str">
        <f t="shared" si="280"/>
        <v/>
      </c>
      <c r="DN154" s="313" t="e">
        <f>IF($J154="",#N/A,SUM(DM$4:DM154))</f>
        <v>#N/A</v>
      </c>
      <c r="DO154" s="314" t="str">
        <f t="shared" si="281"/>
        <v/>
      </c>
      <c r="DP154" s="314" t="e">
        <f>IF($J154="",#N/A,SUM(DO$4:DO154))</f>
        <v>#N/A</v>
      </c>
      <c r="DQ154" s="315" t="str">
        <f t="shared" si="282"/>
        <v/>
      </c>
      <c r="DR154" s="315" t="e">
        <f>IF($J154="",#N/A,SUM(DQ$4:DQ154))</f>
        <v>#N/A</v>
      </c>
      <c r="DS154" s="315" t="e">
        <f>IF($J154="",#N/A,SUM(DQ$4:DQ154,DO$4:DO154,DM$4:DM154))</f>
        <v>#N/A</v>
      </c>
      <c r="DT154" s="304" t="str">
        <f t="shared" si="283"/>
        <v/>
      </c>
      <c r="DU154" s="313" t="e">
        <f>IF($J154="",#N/A,SUM(DT$4:DT154))</f>
        <v>#N/A</v>
      </c>
      <c r="DV154" s="314" t="str">
        <f t="shared" si="284"/>
        <v/>
      </c>
      <c r="DW154" s="314" t="e">
        <f>IF($J154="",#N/A,SUM(DV$4:DV154))</f>
        <v>#N/A</v>
      </c>
      <c r="DX154" s="315" t="str">
        <f t="shared" si="285"/>
        <v/>
      </c>
      <c r="DY154" s="315" t="e">
        <f>IF($J154="",#N/A,SUM(DX$4:DX154))</f>
        <v>#N/A</v>
      </c>
      <c r="DZ154" s="315" t="e">
        <f>IF($J154="",#N/A,SUM(DX$4:DX154,DV$4:DV154,DT$4:DT154))</f>
        <v>#N/A</v>
      </c>
      <c r="EA154" s="304" t="str">
        <f t="shared" si="286"/>
        <v/>
      </c>
      <c r="EB154" s="313" t="e">
        <f>IF($J154="",#N/A,SUM(EA$4:EA154))</f>
        <v>#N/A</v>
      </c>
      <c r="EC154" s="314" t="str">
        <f t="shared" si="287"/>
        <v/>
      </c>
      <c r="ED154" s="314" t="e">
        <f>IF($J154="",#N/A,SUM(EC$4:EC154))</f>
        <v>#N/A</v>
      </c>
      <c r="EE154" s="315" t="str">
        <f t="shared" si="288"/>
        <v/>
      </c>
      <c r="EF154" s="315" t="e">
        <f>IF($J154="",#N/A,SUM(EE$4:EE154))</f>
        <v>#N/A</v>
      </c>
      <c r="EG154" s="315" t="e">
        <f>IF($J154="",#N/A,SUM(EE$4:EE154,EC$4:EC154,EA$4:EA154))</f>
        <v>#N/A</v>
      </c>
      <c r="EH154" s="130">
        <f t="shared" si="289"/>
        <v>2.6399999999999864</v>
      </c>
      <c r="EI154" s="63">
        <f>IF(EH154="",#N/A,SUM($EH$4:EH154))</f>
        <v>525.54954002980901</v>
      </c>
      <c r="EJ154" s="223" t="e">
        <f t="shared" si="290"/>
        <v>#N/A</v>
      </c>
      <c r="EK154" s="63" t="e">
        <f>IF($GZ154="",#N/A,SUM(EJ$4:EJ154))</f>
        <v>#N/A</v>
      </c>
      <c r="EL154" s="60">
        <f t="shared" si="322"/>
        <v>0.12137261392474837</v>
      </c>
      <c r="EM154" s="60">
        <f>IF(EL154="",NA(),SUM($EL$4:EL154))</f>
        <v>16.736696368721478</v>
      </c>
      <c r="EN154" s="60" t="str">
        <f t="shared" si="291"/>
        <v/>
      </c>
      <c r="EO154" s="60" t="e">
        <f>IF(EN154="",NA(),SUM($EN$4:EN154))</f>
        <v>#N/A</v>
      </c>
      <c r="EP154" s="60" t="str">
        <f t="shared" si="292"/>
        <v/>
      </c>
      <c r="EQ154" s="60" t="e">
        <f>IF(EP154="",NA(),SUM($EP$4:EP154))</f>
        <v>#N/A</v>
      </c>
      <c r="ER154" s="60">
        <f t="shared" si="293"/>
        <v>0.12137261392474837</v>
      </c>
      <c r="ES154" s="60">
        <f>IF(ER154="",NA(),SUM($ER$4:ER154))</f>
        <v>3.803152873448123</v>
      </c>
      <c r="ET154" s="60" t="str">
        <f t="shared" si="294"/>
        <v/>
      </c>
      <c r="EU154" s="60" t="e">
        <f>IF(ET154="",NA(),SUM($ET$4:ET154))</f>
        <v>#N/A</v>
      </c>
      <c r="EV154" s="60" t="str">
        <f t="shared" si="295"/>
        <v/>
      </c>
      <c r="EW154" s="60" t="e">
        <f>IF(EV154="",NA(),SUM($EV$4:EV154))</f>
        <v>#N/A</v>
      </c>
      <c r="EX154" s="60" t="str">
        <f t="shared" si="296"/>
        <v/>
      </c>
      <c r="EY154" s="60" t="e">
        <f>IF(EX154="",NA(),SUM($EX$4:EX154))</f>
        <v>#N/A</v>
      </c>
      <c r="EZ154" s="60" t="str">
        <f t="shared" si="297"/>
        <v/>
      </c>
      <c r="FA154" s="60" t="e">
        <f>IF(EZ154="",NA(),SUM($EZ$4:EZ154))</f>
        <v>#N/A</v>
      </c>
      <c r="FB154" s="246">
        <f t="shared" si="323"/>
        <v>0.28825995807127802</v>
      </c>
      <c r="FC154" s="246">
        <f>IF($FB154="",#N/A,SUM(FB$4:$FB154))</f>
        <v>2.2591211406356737</v>
      </c>
      <c r="FD154" s="60" t="str">
        <f t="shared" si="298"/>
        <v/>
      </c>
      <c r="FE154" s="60" t="e">
        <f>IF($FD154="",#N/A,SUM($FD$4:FD154))</f>
        <v>#N/A</v>
      </c>
      <c r="FF154" s="60" t="str">
        <f t="shared" si="299"/>
        <v/>
      </c>
      <c r="FG154" s="60" t="e">
        <f>IF($FF154="",#N/A,SUM($FF$4:FF154))</f>
        <v>#N/A</v>
      </c>
      <c r="FH154" s="60" t="str">
        <f t="shared" si="300"/>
        <v/>
      </c>
      <c r="FI154" s="60" t="e">
        <f>IF($FH154="",#N/A,SUM($FH$4:FH154))</f>
        <v>#N/A</v>
      </c>
      <c r="FJ154" s="60" t="str">
        <f t="shared" si="301"/>
        <v/>
      </c>
      <c r="FK154" s="60" t="e">
        <f>IF($FJ154="",#N/A,SUM($FJ$4:FJ154))</f>
        <v>#N/A</v>
      </c>
      <c r="FL154" s="60" t="str">
        <f t="shared" si="302"/>
        <v/>
      </c>
      <c r="FM154" s="60" t="e">
        <f>IF($FL154="",#N/A,SUM($FL$4:FL154))</f>
        <v>#N/A</v>
      </c>
      <c r="FN154" s="82">
        <f t="shared" si="303"/>
        <v>0.40963257199602637</v>
      </c>
      <c r="FO154" s="82">
        <f>IF($FN154="",#N/A,SUM(FN$4:$FN154))</f>
        <v>28.262495354008873</v>
      </c>
      <c r="FP154" s="82">
        <f t="shared" si="324"/>
        <v>0.12137261392474837</v>
      </c>
      <c r="FQ154" s="246">
        <f>IF($EH154="",#N/A,SUM($FP$4:FP154))</f>
        <v>20.397484432202749</v>
      </c>
      <c r="FR154" s="82">
        <f>IFERROR(FQ154/COUNTA($J$4:J154),#N/A)</f>
        <v>0.1350826783589586</v>
      </c>
      <c r="FS154" s="82">
        <f t="shared" si="330"/>
        <v>9.1042612165417574E-3</v>
      </c>
      <c r="FT154" s="82">
        <f t="shared" si="328"/>
        <v>-0.11801859315604091</v>
      </c>
      <c r="FU154" s="337">
        <f t="shared" ref="FU154:FU186" si="331">IF(AND(HB154="MOC",GZ154=""),#N/A,IFERROR(FQ154-HE154,FQ154-0))-14.53</f>
        <v>10.218794275709909</v>
      </c>
      <c r="FV154" s="57" t="str">
        <f t="shared" si="305"/>
        <v>Dwn</v>
      </c>
      <c r="FW154" s="57" t="s">
        <v>2733</v>
      </c>
      <c r="FX154" s="57" t="str">
        <f t="shared" si="306"/>
        <v/>
      </c>
      <c r="FY154" s="57" t="str">
        <f t="shared" si="307"/>
        <v/>
      </c>
      <c r="FZ154" s="57" t="str">
        <f t="shared" si="308"/>
        <v/>
      </c>
      <c r="GA154" s="57" t="str">
        <f t="shared" si="309"/>
        <v>Short</v>
      </c>
      <c r="GB154" s="57">
        <f t="shared" si="310"/>
        <v>1</v>
      </c>
      <c r="GC154" s="57" t="str">
        <f t="shared" si="311"/>
        <v/>
      </c>
      <c r="GD154" s="57" t="str">
        <f t="shared" si="312"/>
        <v/>
      </c>
      <c r="GE154" s="62">
        <f t="shared" si="227"/>
        <v>120.84</v>
      </c>
      <c r="GF154" s="62" t="s">
        <v>2780</v>
      </c>
      <c r="GG154" s="199">
        <v>3</v>
      </c>
      <c r="GH154" s="207">
        <f t="shared" si="313"/>
        <v>362.52</v>
      </c>
      <c r="GI154" s="199">
        <v>3</v>
      </c>
      <c r="GJ154" s="200">
        <v>119.96</v>
      </c>
      <c r="GK154" s="63">
        <f t="shared" si="314"/>
        <v>2.6399999999999864</v>
      </c>
      <c r="GL154" s="63">
        <f t="shared" si="228"/>
        <v>8.9099999999999682</v>
      </c>
      <c r="GM154" s="82" t="str">
        <f t="shared" si="315"/>
        <v/>
      </c>
      <c r="GN154" s="82">
        <f>IF($GZ154="",#N/A,SUM(GM$4:GM154))</f>
        <v>8.152298315600758</v>
      </c>
      <c r="GO154" s="82" t="str">
        <f t="shared" si="316"/>
        <v/>
      </c>
      <c r="GP154" s="82">
        <f>IF($GZ154="",#N/A,SUM(GO$4:GO154))</f>
        <v>10.421159964010178</v>
      </c>
      <c r="GQ154" s="82">
        <f t="shared" si="317"/>
        <v>0.40963257199602637</v>
      </c>
      <c r="GR154" s="82">
        <f>IF($GZ154="",#N/A,SUM(GQ$4:GQ154))</f>
        <v>9.0632001199555994</v>
      </c>
      <c r="GS154" s="63" t="str">
        <f t="shared" si="325"/>
        <v/>
      </c>
      <c r="GT154" s="63" t="e">
        <f>IF($GZ154="",#N/A,SUM(GS$4:GS154))</f>
        <v>#N/A</v>
      </c>
      <c r="GU154" s="63" t="str">
        <f t="shared" si="326"/>
        <v/>
      </c>
      <c r="GV154" s="63" t="e">
        <f>IF($GZ154="",#N/A,SUM(GU$4:GU154))</f>
        <v>#N/A</v>
      </c>
      <c r="GW154" s="63" t="e">
        <f t="shared" si="327"/>
        <v>#N/A</v>
      </c>
      <c r="GX154" s="63" t="e">
        <f>IF($GZ154="",#N/A,SUM(GW$4:GW154))</f>
        <v>#N/A</v>
      </c>
      <c r="GY154" s="63" t="e">
        <f>IF(EJ154="",#N/A,SUM($EJ$4:EJ154))</f>
        <v>#N/A</v>
      </c>
      <c r="GZ154" s="159">
        <v>117.87</v>
      </c>
      <c r="HA154" s="63">
        <f t="shared" si="318"/>
        <v>6.2699999999999818</v>
      </c>
      <c r="HB154" s="62" t="s">
        <v>2538</v>
      </c>
      <c r="HC154" s="60">
        <f>IFERROR(VLOOKUP(E154,Expectancy!$P$4:$S$19,1+C154,FALSE),"")</f>
        <v>-3.2156442930017966E-2</v>
      </c>
      <c r="HD154" s="82">
        <f t="shared" si="319"/>
        <v>0.12137261392474837</v>
      </c>
      <c r="HE154" s="60">
        <f>IF(HD154="",#N/A,SUM($HD$4:HD154))</f>
        <v>-4.3513098435071598</v>
      </c>
      <c r="HF154" s="85">
        <f>IF(HD154="",#N/A,IF(HB154="Skip",#N/A,SUM($HG$4:HG154)))</f>
        <v>-85.720000000000141</v>
      </c>
      <c r="HG154" s="63">
        <f t="shared" si="320"/>
        <v>2.6399999999999864</v>
      </c>
      <c r="HH154" s="82">
        <f t="shared" si="321"/>
        <v>0.40963257199602637</v>
      </c>
    </row>
    <row r="155" spans="1:216" x14ac:dyDescent="0.25">
      <c r="A155" s="57" t="s">
        <v>18</v>
      </c>
      <c r="B155" s="58" t="s">
        <v>5176</v>
      </c>
      <c r="C155" s="386">
        <f t="shared" si="230"/>
        <v>3</v>
      </c>
      <c r="D155" s="372" t="str">
        <f>_xlfn.XLOOKUP(A155,[1]SP500!$A$2:$A$502,[1]SP500!$D$2:$D$502,"N")</f>
        <v>Y</v>
      </c>
      <c r="E155" s="57" t="str">
        <f>_xlfn.XLOOKUP(A155,[1]SP500!$A$2:$A$655,[1]SP500!$B$2:$B$655)</f>
        <v>XLP</v>
      </c>
      <c r="F155" s="59">
        <v>45688</v>
      </c>
      <c r="G155" s="57" t="str">
        <f t="shared" si="231"/>
        <v>BMO</v>
      </c>
      <c r="H155" s="57" t="str">
        <f t="shared" si="232"/>
        <v>s</v>
      </c>
      <c r="I155" s="159">
        <v>107.12</v>
      </c>
      <c r="J155" s="158">
        <v>107</v>
      </c>
      <c r="K155" s="61">
        <f t="shared" si="233"/>
        <v>-1.1202389843166967E-3</v>
      </c>
      <c r="L155" s="87">
        <f t="shared" si="234"/>
        <v>-0.48000000000001819</v>
      </c>
      <c r="M155" s="130">
        <f t="shared" si="226"/>
        <v>-5.3999999999999773</v>
      </c>
      <c r="N155" s="169" t="str">
        <f t="shared" si="235"/>
        <v/>
      </c>
      <c r="O155" s="169">
        <f>IF($J155="",#N/A,SUM($N$4:N155))</f>
        <v>260.21976368961373</v>
      </c>
      <c r="P155" s="174" t="str">
        <f t="shared" si="236"/>
        <v/>
      </c>
      <c r="Q155" s="174">
        <f>IF($J155="",#N/A,SUM($P$4:P155))</f>
        <v>111.38104023772638</v>
      </c>
      <c r="R155" s="178">
        <f t="shared" si="237"/>
        <v>-0.48000000000001819</v>
      </c>
      <c r="S155" s="178">
        <f>IF($J155="",#N/A,SUM($R$4:R155))</f>
        <v>153.46873610246865</v>
      </c>
      <c r="T155" s="290" t="str">
        <f t="shared" si="238"/>
        <v/>
      </c>
      <c r="U155" s="290">
        <f>IF($J155="",#N/A,SUM($T$4:T155))</f>
        <v>9.7613400884849888</v>
      </c>
      <c r="V155" s="291" t="str">
        <f t="shared" si="239"/>
        <v/>
      </c>
      <c r="W155" s="291">
        <f>IF($J155="",#N/A,SUM($V$4:V155))</f>
        <v>4.505548326148082</v>
      </c>
      <c r="X155" s="292">
        <f t="shared" si="240"/>
        <v>-1.867064973861161E-2</v>
      </c>
      <c r="Y155" s="283">
        <f>IF($J155="",#N/A,SUM($X$4:X155))</f>
        <v>6.1119253678310557</v>
      </c>
      <c r="Z155" s="304" t="str">
        <f t="shared" si="241"/>
        <v/>
      </c>
      <c r="AA155" s="313" t="e">
        <f>IF($J155="",#N/A,SUM(Z$4:Z155))</f>
        <v>#N/A</v>
      </c>
      <c r="AB155" s="314" t="str">
        <f t="shared" si="242"/>
        <v/>
      </c>
      <c r="AC155" s="314" t="e">
        <f>IF($J155="",#N/A,SUM(AB$4:AB155))</f>
        <v>#N/A</v>
      </c>
      <c r="AD155" s="315" t="str">
        <f t="shared" si="243"/>
        <v/>
      </c>
      <c r="AE155" s="315" t="e">
        <f>IF($J155="",#N/A,SUM(AD$4:AD155))</f>
        <v>#N/A</v>
      </c>
      <c r="AF155" s="315" t="e">
        <f>IF($J155="",#N/A,SUM(AD$4:AD155,AB$4:AB155,Z$4:Z155))</f>
        <v>#N/A</v>
      </c>
      <c r="AG155" s="304" t="str">
        <f t="shared" si="244"/>
        <v/>
      </c>
      <c r="AH155" s="313" t="e">
        <f>IF($J155="",#N/A,SUM(AG$4:AG155))</f>
        <v>#N/A</v>
      </c>
      <c r="AI155" s="314" t="str">
        <f t="shared" si="245"/>
        <v/>
      </c>
      <c r="AJ155" s="314" t="e">
        <f>IF($J155="",#N/A,SUM(AI$4:AI155))</f>
        <v>#N/A</v>
      </c>
      <c r="AK155" s="315" t="str">
        <f t="shared" si="246"/>
        <v/>
      </c>
      <c r="AL155" s="315" t="e">
        <f>IF($J155="",#N/A,SUM(AK$4:AK155))</f>
        <v>#N/A</v>
      </c>
      <c r="AM155" s="315" t="e">
        <f>IF($J155="",#N/A,SUM(AK$4:AK155,AI$4:AI155,AG$4:AG155))</f>
        <v>#N/A</v>
      </c>
      <c r="AN155" s="304" t="str">
        <f t="shared" si="247"/>
        <v/>
      </c>
      <c r="AO155" s="313" t="e">
        <f>IF($J155="",#N/A,SUM(AN$4:AN155))</f>
        <v>#N/A</v>
      </c>
      <c r="AP155" s="314" t="str">
        <f t="shared" si="248"/>
        <v/>
      </c>
      <c r="AQ155" s="314" t="e">
        <f>IF($J155="",#N/A,SUM(AP$4:AP155))</f>
        <v>#N/A</v>
      </c>
      <c r="AR155" s="315" t="str">
        <f t="shared" si="249"/>
        <v/>
      </c>
      <c r="AS155" s="315" t="e">
        <f>IF($J155="",#N/A,SUM(AR$4:AR155))</f>
        <v>#N/A</v>
      </c>
      <c r="AT155" s="315" t="e">
        <f>IF($J155="",#N/A,SUM(AR$4:AR155,AP$4:AP155,AN$4:AN155))</f>
        <v>#N/A</v>
      </c>
      <c r="AU155" s="304" t="str">
        <f t="shared" si="250"/>
        <v/>
      </c>
      <c r="AV155" s="313" t="e">
        <f>IF($J155="",#N/A,SUM(AU$4:AU155))</f>
        <v>#N/A</v>
      </c>
      <c r="AW155" s="314" t="str">
        <f t="shared" si="251"/>
        <v/>
      </c>
      <c r="AX155" s="314" t="e">
        <f>IF($J155="",#N/A,SUM(AW$4:AW155))</f>
        <v>#N/A</v>
      </c>
      <c r="AY155" s="315">
        <f t="shared" si="252"/>
        <v>-1.867064973861161E-2</v>
      </c>
      <c r="AZ155" s="315" t="e">
        <f>IF($J155="",#N/A,SUM(AY$4:AY155))</f>
        <v>#N/A</v>
      </c>
      <c r="BA155" s="315" t="e">
        <f>IF($J155="",#N/A,SUM(AY$4:AY155,AW$4:AW155,AU$4:AU155))</f>
        <v>#N/A</v>
      </c>
      <c r="BB155" s="304" t="str">
        <f t="shared" si="253"/>
        <v/>
      </c>
      <c r="BC155" s="313" t="e">
        <f>IF($J155="",#N/A,SUM(BB$4:BB155))</f>
        <v>#N/A</v>
      </c>
      <c r="BD155" s="314" t="str">
        <f t="shared" si="254"/>
        <v/>
      </c>
      <c r="BE155" s="314" t="e">
        <f>IF($J155="",#N/A,SUM(BD$4:BD155))</f>
        <v>#N/A</v>
      </c>
      <c r="BF155" s="315" t="str">
        <f t="shared" si="255"/>
        <v/>
      </c>
      <c r="BG155" s="315" t="e">
        <f>IF($J155="",#N/A,SUM(BF$4:BF155))</f>
        <v>#N/A</v>
      </c>
      <c r="BH155" s="315" t="e">
        <f>IF($J155="",#N/A,SUM(BF$4:BF155,BD$4:BD155,BB$4:BB155))</f>
        <v>#N/A</v>
      </c>
      <c r="BI155" s="304" t="str">
        <f t="shared" si="256"/>
        <v/>
      </c>
      <c r="BJ155" s="313" t="e">
        <f>IF($J155="",#N/A,SUM(BI$4:BI155))</f>
        <v>#N/A</v>
      </c>
      <c r="BK155" s="314" t="str">
        <f t="shared" si="257"/>
        <v/>
      </c>
      <c r="BL155" s="314" t="e">
        <f>IF($J155="",#N/A,SUM(BK$4:BK155))</f>
        <v>#N/A</v>
      </c>
      <c r="BM155" s="315" t="str">
        <f t="shared" si="258"/>
        <v/>
      </c>
      <c r="BN155" s="315" t="e">
        <f>IF($J155="",#N/A,SUM(BM$4:BM155))</f>
        <v>#N/A</v>
      </c>
      <c r="BO155" s="315" t="e">
        <f>IF($J155="",#N/A,SUM(BM$4:BM155,BK$4:BK155,BI$4:BI155))</f>
        <v>#N/A</v>
      </c>
      <c r="BP155" s="304" t="str">
        <f t="shared" si="259"/>
        <v/>
      </c>
      <c r="BQ155" s="313" t="e">
        <f>IF($J155="",#N/A,SUM(BP$4:BP155))</f>
        <v>#N/A</v>
      </c>
      <c r="BR155" s="314" t="str">
        <f t="shared" si="260"/>
        <v/>
      </c>
      <c r="BS155" s="314" t="e">
        <f>IF($J155="",#N/A,SUM(BR$4:BR155))</f>
        <v>#N/A</v>
      </c>
      <c r="BT155" s="315" t="str">
        <f t="shared" si="261"/>
        <v/>
      </c>
      <c r="BU155" s="315" t="e">
        <f>IF($J155="",#N/A,SUM(BT$4:BT155))</f>
        <v>#N/A</v>
      </c>
      <c r="BV155" s="315" t="e">
        <f>IF($J155="",#N/A,SUM(BT$4:BT155,BR$4:BR155,BP$4:BP155))</f>
        <v>#N/A</v>
      </c>
      <c r="BW155" s="304" t="str">
        <f t="shared" si="262"/>
        <v/>
      </c>
      <c r="BX155" s="313" t="e">
        <f>IF($J155="",#N/A,SUM(BW$4:BW155))</f>
        <v>#N/A</v>
      </c>
      <c r="BY155" s="314" t="str">
        <f t="shared" si="263"/>
        <v/>
      </c>
      <c r="BZ155" s="314" t="e">
        <f>IF($J155="",#N/A,SUM(BY$4:BY155))</f>
        <v>#N/A</v>
      </c>
      <c r="CA155" s="315" t="str">
        <f t="shared" si="264"/>
        <v/>
      </c>
      <c r="CB155" s="315" t="e">
        <f>IF($J155="",#N/A,SUM(CA$4:CA155))</f>
        <v>#N/A</v>
      </c>
      <c r="CC155" s="315" t="e">
        <f>IF($J155="",#N/A,SUM(CA$4:CA155,BY$4:BY155,BW$4:BW155))</f>
        <v>#N/A</v>
      </c>
      <c r="CD155" s="304" t="str">
        <f t="shared" si="265"/>
        <v/>
      </c>
      <c r="CE155" s="313" t="e">
        <f>IF($J155="",#N/A,SUM(CD$4:CD155))</f>
        <v>#N/A</v>
      </c>
      <c r="CF155" s="314" t="str">
        <f t="shared" si="266"/>
        <v/>
      </c>
      <c r="CG155" s="314" t="e">
        <f>IF($J155="",#N/A,SUM(CF$4:CF155))</f>
        <v>#N/A</v>
      </c>
      <c r="CH155" s="315" t="str">
        <f t="shared" si="267"/>
        <v/>
      </c>
      <c r="CI155" s="315" t="e">
        <f>IF($J155="",#N/A,SUM(CH$4:CH155))</f>
        <v>#N/A</v>
      </c>
      <c r="CJ155" s="315" t="e">
        <f>IF($J155="",#N/A,SUM(CH$4:CH155,CF$4:CF155,CD$4:CD155))</f>
        <v>#N/A</v>
      </c>
      <c r="CK155" s="304" t="str">
        <f t="shared" si="268"/>
        <v/>
      </c>
      <c r="CL155" s="313" t="e">
        <f>IF($J155="",#N/A,SUM(CK$4:CK155))</f>
        <v>#N/A</v>
      </c>
      <c r="CM155" s="314" t="str">
        <f t="shared" si="269"/>
        <v/>
      </c>
      <c r="CN155" s="314" t="e">
        <f>IF($J155="",#N/A,SUM(CM$4:CM155))</f>
        <v>#N/A</v>
      </c>
      <c r="CO155" s="315" t="str">
        <f t="shared" si="270"/>
        <v/>
      </c>
      <c r="CP155" s="315" t="e">
        <f>IF($J155="",#N/A,SUM(CO$4:CO155))</f>
        <v>#N/A</v>
      </c>
      <c r="CQ155" s="315" t="e">
        <f>IF($J155="",#N/A,SUM(CO$4:CO155,CM$4:CM155,CK$4:CK155))</f>
        <v>#N/A</v>
      </c>
      <c r="CR155" s="304" t="str">
        <f t="shared" si="271"/>
        <v/>
      </c>
      <c r="CS155" s="313" t="e">
        <f>IF($J155="",#N/A,SUM(CR$4:CR155))</f>
        <v>#N/A</v>
      </c>
      <c r="CT155" s="314" t="str">
        <f t="shared" si="272"/>
        <v/>
      </c>
      <c r="CU155" s="314" t="e">
        <f>IF($J155="",#N/A,SUM(CT$4:CT155))</f>
        <v>#N/A</v>
      </c>
      <c r="CV155" s="315" t="str">
        <f t="shared" si="273"/>
        <v/>
      </c>
      <c r="CW155" s="315" t="e">
        <f>IF($J155="",#N/A,SUM(CV$4:CV155))</f>
        <v>#N/A</v>
      </c>
      <c r="CX155" s="315" t="e">
        <f>IF($J155="",#N/A,SUM(CV$4:CV155,CT$4:CT155,CR$4:CR155))</f>
        <v>#N/A</v>
      </c>
      <c r="CY155" s="304" t="str">
        <f t="shared" si="274"/>
        <v/>
      </c>
      <c r="CZ155" s="313" t="e">
        <f>IF($J155="",#N/A,SUM(CY$4:CY155))</f>
        <v>#N/A</v>
      </c>
      <c r="DA155" s="314" t="str">
        <f t="shared" si="275"/>
        <v/>
      </c>
      <c r="DB155" s="314" t="e">
        <f>IF($J155="",#N/A,SUM(DA$4:DA155))</f>
        <v>#N/A</v>
      </c>
      <c r="DC155" s="315" t="str">
        <f t="shared" si="276"/>
        <v/>
      </c>
      <c r="DD155" s="315" t="e">
        <f>IF($J155="",#N/A,SUM(DC$4:DC155))</f>
        <v>#N/A</v>
      </c>
      <c r="DE155" s="315" t="e">
        <f>IF($J155="",#N/A,SUM(DC$4:DC155,DA$4:DA155,CY$4:CY155))</f>
        <v>#N/A</v>
      </c>
      <c r="DF155" s="304" t="str">
        <f t="shared" si="277"/>
        <v/>
      </c>
      <c r="DG155" s="313" t="e">
        <f>IF($J155="",#N/A,SUM(DF$4:DF155))</f>
        <v>#N/A</v>
      </c>
      <c r="DH155" s="314" t="str">
        <f t="shared" si="278"/>
        <v/>
      </c>
      <c r="DI155" s="314" t="e">
        <f>IF($J155="",#N/A,SUM(DH$4:DH155))</f>
        <v>#N/A</v>
      </c>
      <c r="DJ155" s="315" t="str">
        <f t="shared" si="279"/>
        <v/>
      </c>
      <c r="DK155" s="315" t="e">
        <f>IF($J155="",#N/A,SUM(DJ$4:DJ155))</f>
        <v>#N/A</v>
      </c>
      <c r="DL155" s="315" t="e">
        <f>IF($J155="",#N/A,SUM(DJ$4:DJ155,DH$4:DH155,DF$4:DF155))</f>
        <v>#N/A</v>
      </c>
      <c r="DM155" s="304" t="str">
        <f t="shared" si="280"/>
        <v/>
      </c>
      <c r="DN155" s="313" t="e">
        <f>IF($J155="",#N/A,SUM(DM$4:DM155))</f>
        <v>#N/A</v>
      </c>
      <c r="DO155" s="314" t="str">
        <f t="shared" si="281"/>
        <v/>
      </c>
      <c r="DP155" s="314" t="e">
        <f>IF($J155="",#N/A,SUM(DO$4:DO155))</f>
        <v>#N/A</v>
      </c>
      <c r="DQ155" s="315" t="str">
        <f t="shared" si="282"/>
        <v/>
      </c>
      <c r="DR155" s="315" t="e">
        <f>IF($J155="",#N/A,SUM(DQ$4:DQ155))</f>
        <v>#N/A</v>
      </c>
      <c r="DS155" s="315" t="e">
        <f>IF($J155="",#N/A,SUM(DQ$4:DQ155,DO$4:DO155,DM$4:DM155))</f>
        <v>#N/A</v>
      </c>
      <c r="DT155" s="304" t="str">
        <f t="shared" si="283"/>
        <v/>
      </c>
      <c r="DU155" s="313" t="e">
        <f>IF($J155="",#N/A,SUM(DT$4:DT155))</f>
        <v>#N/A</v>
      </c>
      <c r="DV155" s="314" t="str">
        <f t="shared" si="284"/>
        <v/>
      </c>
      <c r="DW155" s="314" t="e">
        <f>IF($J155="",#N/A,SUM(DV$4:DV155))</f>
        <v>#N/A</v>
      </c>
      <c r="DX155" s="315" t="str">
        <f t="shared" si="285"/>
        <v/>
      </c>
      <c r="DY155" s="315" t="e">
        <f>IF($J155="",#N/A,SUM(DX$4:DX155))</f>
        <v>#N/A</v>
      </c>
      <c r="DZ155" s="315" t="e">
        <f>IF($J155="",#N/A,SUM(DX$4:DX155,DV$4:DV155,DT$4:DT155))</f>
        <v>#N/A</v>
      </c>
      <c r="EA155" s="304" t="str">
        <f t="shared" si="286"/>
        <v/>
      </c>
      <c r="EB155" s="313" t="e">
        <f>IF($J155="",#N/A,SUM(EA$4:EA155))</f>
        <v>#N/A</v>
      </c>
      <c r="EC155" s="314" t="str">
        <f t="shared" si="287"/>
        <v/>
      </c>
      <c r="ED155" s="314" t="e">
        <f>IF($J155="",#N/A,SUM(EC$4:EC155))</f>
        <v>#N/A</v>
      </c>
      <c r="EE155" s="315" t="str">
        <f t="shared" si="288"/>
        <v/>
      </c>
      <c r="EF155" s="315" t="e">
        <f>IF($J155="",#N/A,SUM(EE$4:EE155))</f>
        <v>#N/A</v>
      </c>
      <c r="EG155" s="315" t="e">
        <f>IF($J155="",#N/A,SUM(EE$4:EE155,EC$4:EC155,EA$4:EA155))</f>
        <v>#N/A</v>
      </c>
      <c r="EH155" s="130">
        <f t="shared" si="289"/>
        <v>-0.48000000000001819</v>
      </c>
      <c r="EI155" s="63">
        <f>IF(EH155="",#N/A,SUM($EH$4:EH155))</f>
        <v>525.06954002980899</v>
      </c>
      <c r="EJ155" s="223" t="e">
        <f t="shared" si="290"/>
        <v>#N/A</v>
      </c>
      <c r="EK155" s="63" t="e">
        <f>IF($GZ155="",#N/A,SUM(EJ$4:EJ155))</f>
        <v>#N/A</v>
      </c>
      <c r="EL155" s="60">
        <f t="shared" si="322"/>
        <v>-1.867064973861161E-2</v>
      </c>
      <c r="EM155" s="60">
        <f>IF(EL155="",NA(),SUM($EL$4:EL155))</f>
        <v>16.718025718982865</v>
      </c>
      <c r="EN155" s="60" t="str">
        <f t="shared" si="291"/>
        <v/>
      </c>
      <c r="EO155" s="60" t="e">
        <f>IF(EN155="",NA(),SUM($EN$4:EN155))</f>
        <v>#N/A</v>
      </c>
      <c r="EP155" s="60">
        <f t="shared" si="292"/>
        <v>-1.867064973861161E-2</v>
      </c>
      <c r="EQ155" s="60">
        <f>IF(EP155="",NA(),SUM($EP$4:EP155))</f>
        <v>7.0396822879082501</v>
      </c>
      <c r="ER155" s="60" t="str">
        <f t="shared" si="293"/>
        <v/>
      </c>
      <c r="ES155" s="60" t="e">
        <f>IF(ER155="",NA(),SUM($ER$4:ER155))</f>
        <v>#N/A</v>
      </c>
      <c r="ET155" s="60" t="str">
        <f t="shared" si="294"/>
        <v/>
      </c>
      <c r="EU155" s="60" t="e">
        <f>IF(ET155="",NA(),SUM($ET$4:ET155))</f>
        <v>#N/A</v>
      </c>
      <c r="EV155" s="60" t="str">
        <f t="shared" si="295"/>
        <v/>
      </c>
      <c r="EW155" s="60" t="e">
        <f>IF(EV155="",NA(),SUM($EV$4:EV155))</f>
        <v>#N/A</v>
      </c>
      <c r="EX155" s="60" t="str">
        <f t="shared" si="296"/>
        <v/>
      </c>
      <c r="EY155" s="60" t="e">
        <f>IF(EX155="",NA(),SUM($EX$4:EX155))</f>
        <v>#N/A</v>
      </c>
      <c r="EZ155" s="60" t="str">
        <f t="shared" si="297"/>
        <v/>
      </c>
      <c r="FA155" s="60" t="e">
        <f>IF(EZ155="",NA(),SUM($EZ$4:EZ155))</f>
        <v>#N/A</v>
      </c>
      <c r="FB155" s="246" t="str">
        <f t="shared" si="323"/>
        <v/>
      </c>
      <c r="FC155" s="246" t="e">
        <f>IF($FB155="",#N/A,SUM(FB$4:$FB155))</f>
        <v>#N/A</v>
      </c>
      <c r="FD155" s="60" t="str">
        <f t="shared" si="298"/>
        <v/>
      </c>
      <c r="FE155" s="60" t="e">
        <f>IF($FD155="",#N/A,SUM($FD$4:FD155))</f>
        <v>#N/A</v>
      </c>
      <c r="FF155" s="60" t="str">
        <f t="shared" si="299"/>
        <v/>
      </c>
      <c r="FG155" s="60" t="e">
        <f>IF($FF155="",#N/A,SUM($FF$4:FF155))</f>
        <v>#N/A</v>
      </c>
      <c r="FH155" s="60" t="str">
        <f t="shared" si="300"/>
        <v/>
      </c>
      <c r="FI155" s="60" t="e">
        <f>IF($FH155="",#N/A,SUM($FH$4:FH155))</f>
        <v>#N/A</v>
      </c>
      <c r="FJ155" s="60" t="str">
        <f t="shared" si="301"/>
        <v/>
      </c>
      <c r="FK155" s="60" t="e">
        <f>IF($FJ155="",#N/A,SUM($FJ$4:FJ155))</f>
        <v>#N/A</v>
      </c>
      <c r="FL155" s="60">
        <f t="shared" si="302"/>
        <v>-0.23027134677620179</v>
      </c>
      <c r="FM155" s="60">
        <f>IF($FL155="",#N/A,SUM($FL$4:FL155))</f>
        <v>4.0370186683429381</v>
      </c>
      <c r="FN155" s="82">
        <f t="shared" si="303"/>
        <v>-0.24894199651481339</v>
      </c>
      <c r="FO155" s="82">
        <f>IF($FN155="",#N/A,SUM(FN$4:$FN155))</f>
        <v>28.013553357494061</v>
      </c>
      <c r="FP155" s="82">
        <f t="shared" si="324"/>
        <v>-1.867064973861161E-2</v>
      </c>
      <c r="FQ155" s="246">
        <f>IF($EH155="",#N/A,SUM($FP$4:FP155))</f>
        <v>20.378813782464135</v>
      </c>
      <c r="FR155" s="82">
        <f>IFERROR(FQ155/COUNTA($J$4:J155),#N/A)</f>
        <v>0.13407114330568509</v>
      </c>
      <c r="FS155" s="82">
        <f t="shared" si="330"/>
        <v>-4.391772313342486E-3</v>
      </c>
      <c r="FT155" s="82">
        <f t="shared" si="328"/>
        <v>-0.1457025798004952</v>
      </c>
      <c r="FU155" s="337">
        <f t="shared" si="331"/>
        <v>10.42883908526928</v>
      </c>
      <c r="FV155" s="57" t="str">
        <f t="shared" si="305"/>
        <v>SW</v>
      </c>
      <c r="FW155" s="57" t="s">
        <v>2732</v>
      </c>
      <c r="FX155" s="57" t="str">
        <f t="shared" si="306"/>
        <v/>
      </c>
      <c r="FY155" s="57" t="str">
        <f t="shared" si="307"/>
        <v/>
      </c>
      <c r="FZ155" s="57" t="str">
        <f t="shared" si="308"/>
        <v/>
      </c>
      <c r="GA155" s="57" t="str">
        <f t="shared" si="309"/>
        <v>Long</v>
      </c>
      <c r="GB155" s="57" t="str">
        <f t="shared" si="310"/>
        <v/>
      </c>
      <c r="GC155" s="57" t="str">
        <f t="shared" si="311"/>
        <v/>
      </c>
      <c r="GD155" s="57">
        <f t="shared" si="312"/>
        <v>1</v>
      </c>
      <c r="GE155" s="62">
        <f t="shared" si="227"/>
        <v>107.12</v>
      </c>
      <c r="GF155" s="62" t="s">
        <v>2779</v>
      </c>
      <c r="GG155" s="199">
        <v>4</v>
      </c>
      <c r="GH155" s="207">
        <f t="shared" si="313"/>
        <v>428.48</v>
      </c>
      <c r="GI155" s="199">
        <v>4</v>
      </c>
      <c r="GJ155" s="200">
        <v>105.65</v>
      </c>
      <c r="GK155" s="63">
        <f t="shared" si="314"/>
        <v>-5.8799999999999955</v>
      </c>
      <c r="GL155" s="63">
        <f t="shared" si="228"/>
        <v>-6.4000000000000341</v>
      </c>
      <c r="GM155" s="82">
        <f t="shared" si="315"/>
        <v>-0.24894199651481339</v>
      </c>
      <c r="GN155" s="82">
        <f>IF($GZ155="",#N/A,SUM(GM$4:GM155))</f>
        <v>7.9033563190859448</v>
      </c>
      <c r="GO155" s="82" t="str">
        <f t="shared" si="316"/>
        <v/>
      </c>
      <c r="GP155" s="82">
        <f>IF($GZ155="",#N/A,SUM(GO$4:GO155))</f>
        <v>10.421159964010178</v>
      </c>
      <c r="GQ155" s="82" t="str">
        <f t="shared" si="317"/>
        <v/>
      </c>
      <c r="GR155" s="82">
        <f>IF($GZ155="",#N/A,SUM(GQ$4:GQ155))</f>
        <v>9.0632001199555994</v>
      </c>
      <c r="GS155" s="63" t="e">
        <f t="shared" si="325"/>
        <v>#N/A</v>
      </c>
      <c r="GT155" s="63" t="e">
        <f>IF($GZ155="",#N/A,SUM(GS$4:GS155))</f>
        <v>#N/A</v>
      </c>
      <c r="GU155" s="63" t="str">
        <f t="shared" si="326"/>
        <v/>
      </c>
      <c r="GV155" s="63" t="e">
        <f>IF($GZ155="",#N/A,SUM(GU$4:GU155))</f>
        <v>#N/A</v>
      </c>
      <c r="GW155" s="63" t="str">
        <f t="shared" si="327"/>
        <v/>
      </c>
      <c r="GX155" s="63" t="e">
        <f>IF($GZ155="",#N/A,SUM(GW$4:GW155))</f>
        <v>#N/A</v>
      </c>
      <c r="GY155" s="63" t="e">
        <f>IF(EJ155="",#N/A,SUM($EJ$4:EJ155))</f>
        <v>#N/A</v>
      </c>
      <c r="GZ155" s="159">
        <v>105.52</v>
      </c>
      <c r="HA155" s="63">
        <f t="shared" si="318"/>
        <v>-5.9200000000000159</v>
      </c>
      <c r="HB155" s="62" t="s">
        <v>2538</v>
      </c>
      <c r="HC155" s="60">
        <f>IFERROR(VLOOKUP(E155,Expectancy!$P$4:$S$19,1+C155,FALSE),"")</f>
        <v>0.40561946259505821</v>
      </c>
      <c r="HD155" s="82">
        <f t="shared" si="319"/>
        <v>-0.2287154592979834</v>
      </c>
      <c r="HE155" s="60">
        <f>IF(HD155="",#N/A,SUM($HD$4:HD155))</f>
        <v>-4.5800253028051428</v>
      </c>
      <c r="HF155" s="85">
        <f>IF(HD155="",#N/A,IF(HB155="Skip",#N/A,SUM($HG$4:HG155)))</f>
        <v>-91.600000000000136</v>
      </c>
      <c r="HG155" s="63">
        <f t="shared" si="320"/>
        <v>-5.8799999999999955</v>
      </c>
      <c r="HH155" s="82">
        <f t="shared" si="321"/>
        <v>-0.24894199651481339</v>
      </c>
    </row>
    <row r="156" spans="1:216" x14ac:dyDescent="0.25">
      <c r="A156" s="57" t="s">
        <v>14</v>
      </c>
      <c r="B156" s="58" t="s">
        <v>5172</v>
      </c>
      <c r="C156" s="386">
        <f t="shared" si="230"/>
        <v>2</v>
      </c>
      <c r="D156" s="372" t="str">
        <f>_xlfn.XLOOKUP(A156,[1]SP500!$A$2:$A$502,[1]SP500!$D$2:$D$502,"N")</f>
        <v>Y</v>
      </c>
      <c r="E156" s="57" t="str">
        <f>_xlfn.XLOOKUP(A156,[1]SP500!$A$2:$A$655,[1]SP500!$B$2:$B$655)</f>
        <v>XLB</v>
      </c>
      <c r="F156" s="59">
        <v>45688</v>
      </c>
      <c r="G156" s="57" t="str">
        <f t="shared" si="231"/>
        <v>BMO</v>
      </c>
      <c r="H156" s="57" t="str">
        <f t="shared" si="232"/>
        <v>s</v>
      </c>
      <c r="I156" s="159">
        <v>76.12</v>
      </c>
      <c r="J156" s="159">
        <v>77.84</v>
      </c>
      <c r="K156" s="61">
        <f t="shared" si="233"/>
        <v>2.2595901208617954E-2</v>
      </c>
      <c r="L156" s="87">
        <f t="shared" si="234"/>
        <v>-10.319999999999993</v>
      </c>
      <c r="M156" s="130">
        <f t="shared" si="226"/>
        <v>0</v>
      </c>
      <c r="N156" s="169" t="str">
        <f t="shared" si="235"/>
        <v/>
      </c>
      <c r="O156" s="169">
        <f>IF($J156="",#N/A,SUM($N$4:N156))</f>
        <v>260.21976368961373</v>
      </c>
      <c r="P156" s="174">
        <f t="shared" si="236"/>
        <v>-10.319999999999993</v>
      </c>
      <c r="Q156" s="174">
        <f>IF($J156="",#N/A,SUM($P$4:P156))</f>
        <v>101.06104023772639</v>
      </c>
      <c r="R156" s="178" t="str">
        <f t="shared" si="237"/>
        <v/>
      </c>
      <c r="S156" s="178">
        <f>IF($J156="",#N/A,SUM($R$4:R156))</f>
        <v>153.46873610246865</v>
      </c>
      <c r="T156" s="290" t="str">
        <f t="shared" si="238"/>
        <v/>
      </c>
      <c r="U156" s="290">
        <f>IF($J156="",#N/A,SUM($T$4:T156))</f>
        <v>9.7613400884849888</v>
      </c>
      <c r="V156" s="291">
        <f t="shared" si="239"/>
        <v>-0.37659835347696591</v>
      </c>
      <c r="W156" s="291">
        <f>IF($J156="",#N/A,SUM($V$4:V156))</f>
        <v>4.1289499726711156</v>
      </c>
      <c r="X156" s="292" t="str">
        <f t="shared" si="240"/>
        <v/>
      </c>
      <c r="Y156" s="283">
        <f>IF($J156="",#N/A,SUM($X$4:X156))</f>
        <v>6.1119253678310557</v>
      </c>
      <c r="Z156" s="304" t="str">
        <f t="shared" si="241"/>
        <v/>
      </c>
      <c r="AA156" s="313" t="e">
        <f>IF($J156="",#N/A,SUM(Z$4:Z156))</f>
        <v>#N/A</v>
      </c>
      <c r="AB156" s="314" t="str">
        <f t="shared" si="242"/>
        <v/>
      </c>
      <c r="AC156" s="314" t="e">
        <f>IF($J156="",#N/A,SUM(AB$4:AB156))</f>
        <v>#N/A</v>
      </c>
      <c r="AD156" s="315" t="str">
        <f t="shared" si="243"/>
        <v/>
      </c>
      <c r="AE156" s="315" t="e">
        <f>IF($J156="",#N/A,SUM(AD$4:AD156))</f>
        <v>#N/A</v>
      </c>
      <c r="AF156" s="315" t="e">
        <f>IF($J156="",#N/A,SUM(AD$4:AD156,AB$4:AB156,Z$4:Z156))</f>
        <v>#N/A</v>
      </c>
      <c r="AG156" s="304" t="str">
        <f t="shared" si="244"/>
        <v/>
      </c>
      <c r="AH156" s="313" t="e">
        <f>IF($J156="",#N/A,SUM(AG$4:AG156))</f>
        <v>#N/A</v>
      </c>
      <c r="AI156" s="314" t="str">
        <f t="shared" si="245"/>
        <v/>
      </c>
      <c r="AJ156" s="314" t="e">
        <f>IF($J156="",#N/A,SUM(AI$4:AI156))</f>
        <v>#N/A</v>
      </c>
      <c r="AK156" s="315" t="str">
        <f t="shared" si="246"/>
        <v/>
      </c>
      <c r="AL156" s="315" t="e">
        <f>IF($J156="",#N/A,SUM(AK$4:AK156))</f>
        <v>#N/A</v>
      </c>
      <c r="AM156" s="315" t="e">
        <f>IF($J156="",#N/A,SUM(AK$4:AK156,AI$4:AI156,AG$4:AG156))</f>
        <v>#N/A</v>
      </c>
      <c r="AN156" s="304" t="str">
        <f t="shared" si="247"/>
        <v/>
      </c>
      <c r="AO156" s="313" t="e">
        <f>IF($J156="",#N/A,SUM(AN$4:AN156))</f>
        <v>#N/A</v>
      </c>
      <c r="AP156" s="314" t="str">
        <f t="shared" si="248"/>
        <v/>
      </c>
      <c r="AQ156" s="314" t="e">
        <f>IF($J156="",#N/A,SUM(AP$4:AP156))</f>
        <v>#N/A</v>
      </c>
      <c r="AR156" s="315" t="str">
        <f t="shared" si="249"/>
        <v/>
      </c>
      <c r="AS156" s="315" t="e">
        <f>IF($J156="",#N/A,SUM(AR$4:AR156))</f>
        <v>#N/A</v>
      </c>
      <c r="AT156" s="315" t="e">
        <f>IF($J156="",#N/A,SUM(AR$4:AR156,AP$4:AP156,AN$4:AN156))</f>
        <v>#N/A</v>
      </c>
      <c r="AU156" s="304" t="str">
        <f t="shared" si="250"/>
        <v/>
      </c>
      <c r="AV156" s="313" t="e">
        <f>IF($J156="",#N/A,SUM(AU$4:AU156))</f>
        <v>#N/A</v>
      </c>
      <c r="AW156" s="314" t="str">
        <f t="shared" si="251"/>
        <v/>
      </c>
      <c r="AX156" s="314" t="e">
        <f>IF($J156="",#N/A,SUM(AW$4:AW156))</f>
        <v>#N/A</v>
      </c>
      <c r="AY156" s="315" t="str">
        <f t="shared" si="252"/>
        <v/>
      </c>
      <c r="AZ156" s="315" t="e">
        <f>IF($J156="",#N/A,SUM(AY$4:AY156))</f>
        <v>#N/A</v>
      </c>
      <c r="BA156" s="315" t="e">
        <f>IF($J156="",#N/A,SUM(AY$4:AY156,AW$4:AW156,AU$4:AU156))</f>
        <v>#N/A</v>
      </c>
      <c r="BB156" s="304" t="str">
        <f t="shared" si="253"/>
        <v/>
      </c>
      <c r="BC156" s="313" t="e">
        <f>IF($J156="",#N/A,SUM(BB$4:BB156))</f>
        <v>#N/A</v>
      </c>
      <c r="BD156" s="314" t="str">
        <f t="shared" si="254"/>
        <v/>
      </c>
      <c r="BE156" s="314" t="e">
        <f>IF($J156="",#N/A,SUM(BD$4:BD156))</f>
        <v>#N/A</v>
      </c>
      <c r="BF156" s="315" t="str">
        <f t="shared" si="255"/>
        <v/>
      </c>
      <c r="BG156" s="315" t="e">
        <f>IF($J156="",#N/A,SUM(BF$4:BF156))</f>
        <v>#N/A</v>
      </c>
      <c r="BH156" s="315" t="e">
        <f>IF($J156="",#N/A,SUM(BF$4:BF156,BD$4:BD156,BB$4:BB156))</f>
        <v>#N/A</v>
      </c>
      <c r="BI156" s="304" t="str">
        <f t="shared" si="256"/>
        <v/>
      </c>
      <c r="BJ156" s="313" t="e">
        <f>IF($J156="",#N/A,SUM(BI$4:BI156))</f>
        <v>#N/A</v>
      </c>
      <c r="BK156" s="314" t="str">
        <f t="shared" si="257"/>
        <v/>
      </c>
      <c r="BL156" s="314" t="e">
        <f>IF($J156="",#N/A,SUM(BK$4:BK156))</f>
        <v>#N/A</v>
      </c>
      <c r="BM156" s="315" t="str">
        <f t="shared" si="258"/>
        <v/>
      </c>
      <c r="BN156" s="315" t="e">
        <f>IF($J156="",#N/A,SUM(BM$4:BM156))</f>
        <v>#N/A</v>
      </c>
      <c r="BO156" s="315" t="e">
        <f>IF($J156="",#N/A,SUM(BM$4:BM156,BK$4:BK156,BI$4:BI156))</f>
        <v>#N/A</v>
      </c>
      <c r="BP156" s="304" t="str">
        <f t="shared" si="259"/>
        <v/>
      </c>
      <c r="BQ156" s="313" t="e">
        <f>IF($J156="",#N/A,SUM(BP$4:BP156))</f>
        <v>#N/A</v>
      </c>
      <c r="BR156" s="314" t="str">
        <f t="shared" si="260"/>
        <v/>
      </c>
      <c r="BS156" s="314" t="e">
        <f>IF($J156="",#N/A,SUM(BR$4:BR156))</f>
        <v>#N/A</v>
      </c>
      <c r="BT156" s="315" t="str">
        <f t="shared" si="261"/>
        <v/>
      </c>
      <c r="BU156" s="315" t="e">
        <f>IF($J156="",#N/A,SUM(BT$4:BT156))</f>
        <v>#N/A</v>
      </c>
      <c r="BV156" s="315" t="e">
        <f>IF($J156="",#N/A,SUM(BT$4:BT156,BR$4:BR156,BP$4:BP156))</f>
        <v>#N/A</v>
      </c>
      <c r="BW156" s="304" t="str">
        <f t="shared" si="262"/>
        <v/>
      </c>
      <c r="BX156" s="313" t="e">
        <f>IF($J156="",#N/A,SUM(BW$4:BW156))</f>
        <v>#N/A</v>
      </c>
      <c r="BY156" s="314" t="str">
        <f t="shared" si="263"/>
        <v/>
      </c>
      <c r="BZ156" s="314" t="e">
        <f>IF($J156="",#N/A,SUM(BY$4:BY156))</f>
        <v>#N/A</v>
      </c>
      <c r="CA156" s="315" t="str">
        <f t="shared" si="264"/>
        <v/>
      </c>
      <c r="CB156" s="315" t="e">
        <f>IF($J156="",#N/A,SUM(CA$4:CA156))</f>
        <v>#N/A</v>
      </c>
      <c r="CC156" s="315" t="e">
        <f>IF($J156="",#N/A,SUM(CA$4:CA156,BY$4:BY156,BW$4:BW156))</f>
        <v>#N/A</v>
      </c>
      <c r="CD156" s="304" t="str">
        <f t="shared" si="265"/>
        <v/>
      </c>
      <c r="CE156" s="313" t="e">
        <f>IF($J156="",#N/A,SUM(CD$4:CD156))</f>
        <v>#N/A</v>
      </c>
      <c r="CF156" s="314">
        <f t="shared" si="266"/>
        <v>-0.37659835347696591</v>
      </c>
      <c r="CG156" s="314" t="e">
        <f>IF($J156="",#N/A,SUM(CF$4:CF156))</f>
        <v>#N/A</v>
      </c>
      <c r="CH156" s="315" t="str">
        <f t="shared" si="267"/>
        <v/>
      </c>
      <c r="CI156" s="315" t="e">
        <f>IF($J156="",#N/A,SUM(CH$4:CH156))</f>
        <v>#N/A</v>
      </c>
      <c r="CJ156" s="315" t="e">
        <f>IF($J156="",#N/A,SUM(CH$4:CH156,CF$4:CF156,CD$4:CD156))</f>
        <v>#N/A</v>
      </c>
      <c r="CK156" s="304" t="str">
        <f t="shared" si="268"/>
        <v/>
      </c>
      <c r="CL156" s="313" t="e">
        <f>IF($J156="",#N/A,SUM(CK$4:CK156))</f>
        <v>#N/A</v>
      </c>
      <c r="CM156" s="314" t="str">
        <f t="shared" si="269"/>
        <v/>
      </c>
      <c r="CN156" s="314" t="e">
        <f>IF($J156="",#N/A,SUM(CM$4:CM156))</f>
        <v>#N/A</v>
      </c>
      <c r="CO156" s="315" t="str">
        <f t="shared" si="270"/>
        <v/>
      </c>
      <c r="CP156" s="315" t="e">
        <f>IF($J156="",#N/A,SUM(CO$4:CO156))</f>
        <v>#N/A</v>
      </c>
      <c r="CQ156" s="315" t="e">
        <f>IF($J156="",#N/A,SUM(CO$4:CO156,CM$4:CM156,CK$4:CK156))</f>
        <v>#N/A</v>
      </c>
      <c r="CR156" s="304" t="str">
        <f t="shared" si="271"/>
        <v/>
      </c>
      <c r="CS156" s="313" t="e">
        <f>IF($J156="",#N/A,SUM(CR$4:CR156))</f>
        <v>#N/A</v>
      </c>
      <c r="CT156" s="314" t="str">
        <f t="shared" si="272"/>
        <v/>
      </c>
      <c r="CU156" s="314" t="e">
        <f>IF($J156="",#N/A,SUM(CT$4:CT156))</f>
        <v>#N/A</v>
      </c>
      <c r="CV156" s="315" t="str">
        <f t="shared" si="273"/>
        <v/>
      </c>
      <c r="CW156" s="315" t="e">
        <f>IF($J156="",#N/A,SUM(CV$4:CV156))</f>
        <v>#N/A</v>
      </c>
      <c r="CX156" s="315" t="e">
        <f>IF($J156="",#N/A,SUM(CV$4:CV156,CT$4:CT156,CR$4:CR156))</f>
        <v>#N/A</v>
      </c>
      <c r="CY156" s="304" t="str">
        <f t="shared" si="274"/>
        <v/>
      </c>
      <c r="CZ156" s="313" t="e">
        <f>IF($J156="",#N/A,SUM(CY$4:CY156))</f>
        <v>#N/A</v>
      </c>
      <c r="DA156" s="314" t="str">
        <f t="shared" si="275"/>
        <v/>
      </c>
      <c r="DB156" s="314" t="e">
        <f>IF($J156="",#N/A,SUM(DA$4:DA156))</f>
        <v>#N/A</v>
      </c>
      <c r="DC156" s="315" t="str">
        <f t="shared" si="276"/>
        <v/>
      </c>
      <c r="DD156" s="315" t="e">
        <f>IF($J156="",#N/A,SUM(DC$4:DC156))</f>
        <v>#N/A</v>
      </c>
      <c r="DE156" s="315" t="e">
        <f>IF($J156="",#N/A,SUM(DC$4:DC156,DA$4:DA156,CY$4:CY156))</f>
        <v>#N/A</v>
      </c>
      <c r="DF156" s="304" t="str">
        <f t="shared" si="277"/>
        <v/>
      </c>
      <c r="DG156" s="313" t="e">
        <f>IF($J156="",#N/A,SUM(DF$4:DF156))</f>
        <v>#N/A</v>
      </c>
      <c r="DH156" s="314" t="str">
        <f t="shared" si="278"/>
        <v/>
      </c>
      <c r="DI156" s="314" t="e">
        <f>IF($J156="",#N/A,SUM(DH$4:DH156))</f>
        <v>#N/A</v>
      </c>
      <c r="DJ156" s="315" t="str">
        <f t="shared" si="279"/>
        <v/>
      </c>
      <c r="DK156" s="315" t="e">
        <f>IF($J156="",#N/A,SUM(DJ$4:DJ156))</f>
        <v>#N/A</v>
      </c>
      <c r="DL156" s="315" t="e">
        <f>IF($J156="",#N/A,SUM(DJ$4:DJ156,DH$4:DH156,DF$4:DF156))</f>
        <v>#N/A</v>
      </c>
      <c r="DM156" s="304" t="str">
        <f t="shared" si="280"/>
        <v/>
      </c>
      <c r="DN156" s="313" t="e">
        <f>IF($J156="",#N/A,SUM(DM$4:DM156))</f>
        <v>#N/A</v>
      </c>
      <c r="DO156" s="314" t="str">
        <f t="shared" si="281"/>
        <v/>
      </c>
      <c r="DP156" s="314" t="e">
        <f>IF($J156="",#N/A,SUM(DO$4:DO156))</f>
        <v>#N/A</v>
      </c>
      <c r="DQ156" s="315" t="str">
        <f t="shared" si="282"/>
        <v/>
      </c>
      <c r="DR156" s="315" t="e">
        <f>IF($J156="",#N/A,SUM(DQ$4:DQ156))</f>
        <v>#N/A</v>
      </c>
      <c r="DS156" s="315" t="e">
        <f>IF($J156="",#N/A,SUM(DQ$4:DQ156,DO$4:DO156,DM$4:DM156))</f>
        <v>#N/A</v>
      </c>
      <c r="DT156" s="304" t="str">
        <f t="shared" si="283"/>
        <v/>
      </c>
      <c r="DU156" s="313" t="e">
        <f>IF($J156="",#N/A,SUM(DT$4:DT156))</f>
        <v>#N/A</v>
      </c>
      <c r="DV156" s="314" t="str">
        <f t="shared" si="284"/>
        <v/>
      </c>
      <c r="DW156" s="314" t="e">
        <f>IF($J156="",#N/A,SUM(DV$4:DV156))</f>
        <v>#N/A</v>
      </c>
      <c r="DX156" s="315" t="str">
        <f t="shared" si="285"/>
        <v/>
      </c>
      <c r="DY156" s="315" t="e">
        <f>IF($J156="",#N/A,SUM(DX$4:DX156))</f>
        <v>#N/A</v>
      </c>
      <c r="DZ156" s="315" t="e">
        <f>IF($J156="",#N/A,SUM(DX$4:DX156,DV$4:DV156,DT$4:DT156))</f>
        <v>#N/A</v>
      </c>
      <c r="EA156" s="304" t="str">
        <f t="shared" si="286"/>
        <v/>
      </c>
      <c r="EB156" s="313" t="e">
        <f>IF($J156="",#N/A,SUM(EA$4:EA156))</f>
        <v>#N/A</v>
      </c>
      <c r="EC156" s="314" t="str">
        <f t="shared" si="287"/>
        <v/>
      </c>
      <c r="ED156" s="314" t="e">
        <f>IF($J156="",#N/A,SUM(EC$4:EC156))</f>
        <v>#N/A</v>
      </c>
      <c r="EE156" s="315" t="str">
        <f t="shared" si="288"/>
        <v/>
      </c>
      <c r="EF156" s="315" t="e">
        <f>IF($J156="",#N/A,SUM(EE$4:EE156))</f>
        <v>#N/A</v>
      </c>
      <c r="EG156" s="315" t="e">
        <f>IF($J156="",#N/A,SUM(EE$4:EE156,EC$4:EC156,EA$4:EA156))</f>
        <v>#N/A</v>
      </c>
      <c r="EH156" s="130">
        <f t="shared" si="289"/>
        <v>-10.319999999999993</v>
      </c>
      <c r="EI156" s="63">
        <f>IF(EH156="",#N/A,SUM($EH$4:EH156))</f>
        <v>514.74954002980894</v>
      </c>
      <c r="EJ156" s="223" t="e">
        <f t="shared" si="290"/>
        <v>#N/A</v>
      </c>
      <c r="EK156" s="63" t="e">
        <f>IF($GZ156="",#N/A,SUM(EJ$4:EJ156))</f>
        <v>#N/A</v>
      </c>
      <c r="EL156" s="60">
        <f t="shared" si="322"/>
        <v>-0.37659835347696591</v>
      </c>
      <c r="EM156" s="60">
        <f>IF(EL156="",NA(),SUM($EL$4:EL156))</f>
        <v>16.341427365505901</v>
      </c>
      <c r="EN156" s="60" t="str">
        <f t="shared" si="291"/>
        <v/>
      </c>
      <c r="EO156" s="60" t="e">
        <f>IF(EN156="",NA(),SUM($EN$4:EN156))</f>
        <v>#N/A</v>
      </c>
      <c r="EP156" s="60" t="str">
        <f t="shared" si="292"/>
        <v/>
      </c>
      <c r="EQ156" s="60" t="e">
        <f>IF(EP156="",NA(),SUM($EP$4:EP156))</f>
        <v>#N/A</v>
      </c>
      <c r="ER156" s="60">
        <f t="shared" si="293"/>
        <v>-0.37659835347696591</v>
      </c>
      <c r="ES156" s="60">
        <f>IF(ER156="",NA(),SUM($ER$4:ER156))</f>
        <v>3.4265545199711571</v>
      </c>
      <c r="ET156" s="60" t="str">
        <f t="shared" si="294"/>
        <v/>
      </c>
      <c r="EU156" s="60" t="e">
        <f>IF(ET156="",NA(),SUM($ET$4:ET156))</f>
        <v>#N/A</v>
      </c>
      <c r="EV156" s="60" t="str">
        <f t="shared" si="295"/>
        <v/>
      </c>
      <c r="EW156" s="60" t="e">
        <f>IF(EV156="",NA(),SUM($EV$4:EV156))</f>
        <v>#N/A</v>
      </c>
      <c r="EX156" s="60" t="str">
        <f t="shared" si="296"/>
        <v/>
      </c>
      <c r="EY156" s="60" t="e">
        <f>IF(EX156="",NA(),SUM($EX$4:EX156))</f>
        <v>#N/A</v>
      </c>
      <c r="EZ156" s="60" t="str">
        <f t="shared" si="297"/>
        <v/>
      </c>
      <c r="FA156" s="60" t="e">
        <f>IF(EZ156="",NA(),SUM($EZ$4:EZ156))</f>
        <v>#N/A</v>
      </c>
      <c r="FB156" s="246" t="str">
        <f t="shared" si="323"/>
        <v/>
      </c>
      <c r="FC156" s="246" t="e">
        <f>IF($FB156="",#N/A,SUM(FB$4:$FB156))</f>
        <v>#N/A</v>
      </c>
      <c r="FD156" s="60">
        <f t="shared" si="298"/>
        <v>0.46855841653529418</v>
      </c>
      <c r="FE156" s="60">
        <f>IF($FD156="",#N/A,SUM($FD$4:FD156))</f>
        <v>2.7670890697071338</v>
      </c>
      <c r="FF156" s="60" t="str">
        <f t="shared" si="299"/>
        <v/>
      </c>
      <c r="FG156" s="60" t="e">
        <f>IF($FF156="",#N/A,SUM($FF$4:FF156))</f>
        <v>#N/A</v>
      </c>
      <c r="FH156" s="60" t="str">
        <f t="shared" si="300"/>
        <v/>
      </c>
      <c r="FI156" s="60" t="e">
        <f>IF($FH156="",#N/A,SUM($FH$4:FH156))</f>
        <v>#N/A</v>
      </c>
      <c r="FJ156" s="60" t="str">
        <f t="shared" si="301"/>
        <v/>
      </c>
      <c r="FK156" s="60" t="e">
        <f>IF($FJ156="",#N/A,SUM($FJ$4:FJ156))</f>
        <v>#N/A</v>
      </c>
      <c r="FL156" s="60" t="str">
        <f t="shared" si="302"/>
        <v/>
      </c>
      <c r="FM156" s="60" t="e">
        <f>IF($FL156="",#N/A,SUM($FL$4:FL156))</f>
        <v>#N/A</v>
      </c>
      <c r="FN156" s="82">
        <f t="shared" si="303"/>
        <v>9.1960063058328281E-2</v>
      </c>
      <c r="FO156" s="82">
        <f>IF($FN156="",#N/A,SUM(FN$4:$FN156))</f>
        <v>28.105513420552388</v>
      </c>
      <c r="FP156" s="82">
        <f t="shared" si="324"/>
        <v>-0.37659835347696591</v>
      </c>
      <c r="FQ156" s="246">
        <f>IF($EH156="",#N/A,SUM($FP$4:FP156))</f>
        <v>20.002215428987171</v>
      </c>
      <c r="FR156" s="82">
        <f>IFERROR(FQ156/COUNTA($J$4:J156),#N/A)</f>
        <v>0.13073343417638675</v>
      </c>
      <c r="FS156" s="82">
        <f t="shared" si="330"/>
        <v>4.8009933858964614E-3</v>
      </c>
      <c r="FT156" s="82">
        <f t="shared" si="328"/>
        <v>-0.16741277541749242</v>
      </c>
      <c r="FU156" s="337">
        <f t="shared" si="331"/>
        <v>10.42883908526928</v>
      </c>
      <c r="FV156" s="57" t="str">
        <f t="shared" si="305"/>
        <v>Dwn</v>
      </c>
      <c r="FW156" s="57" t="s">
        <v>2734</v>
      </c>
      <c r="FX156" s="57" t="str">
        <f t="shared" si="306"/>
        <v/>
      </c>
      <c r="FY156" s="57">
        <f t="shared" si="307"/>
        <v>1</v>
      </c>
      <c r="FZ156" s="57" t="str">
        <f t="shared" si="308"/>
        <v/>
      </c>
      <c r="GA156" s="57" t="str">
        <f t="shared" si="309"/>
        <v>Short</v>
      </c>
      <c r="GB156" s="57" t="str">
        <f t="shared" si="310"/>
        <v/>
      </c>
      <c r="GC156" s="57" t="str">
        <f t="shared" si="311"/>
        <v/>
      </c>
      <c r="GD156" s="57" t="str">
        <f t="shared" si="312"/>
        <v/>
      </c>
      <c r="GE156" s="62">
        <f t="shared" si="227"/>
        <v>76.12</v>
      </c>
      <c r="GF156" s="62" t="s">
        <v>2780</v>
      </c>
      <c r="GG156" s="199">
        <v>6</v>
      </c>
      <c r="GH156" s="207">
        <f t="shared" si="313"/>
        <v>456.72</v>
      </c>
      <c r="GI156" s="199">
        <v>6</v>
      </c>
      <c r="GJ156" s="200">
        <v>77.84</v>
      </c>
      <c r="GK156" s="63">
        <f t="shared" si="314"/>
        <v>-10.319999999999993</v>
      </c>
      <c r="GL156" s="63">
        <f t="shared" si="228"/>
        <v>2.5199999999999818</v>
      </c>
      <c r="GM156" s="82" t="str">
        <f t="shared" si="315"/>
        <v/>
      </c>
      <c r="GN156" s="82">
        <f>IF($GZ156="",#N/A,SUM(GM$4:GM156))</f>
        <v>7.9033563190859448</v>
      </c>
      <c r="GO156" s="82" t="str">
        <f t="shared" si="316"/>
        <v/>
      </c>
      <c r="GP156" s="82">
        <f>IF($GZ156="",#N/A,SUM(GO$4:GO156))</f>
        <v>10.421159964010178</v>
      </c>
      <c r="GQ156" s="82">
        <f t="shared" si="317"/>
        <v>9.1960063058328281E-2</v>
      </c>
      <c r="GR156" s="82">
        <f>IF($GZ156="",#N/A,SUM(GQ$4:GQ156))</f>
        <v>9.155160183013928</v>
      </c>
      <c r="GS156" s="63" t="str">
        <f t="shared" si="325"/>
        <v/>
      </c>
      <c r="GT156" s="63" t="e">
        <f>IF($GZ156="",#N/A,SUM(GS$4:GS156))</f>
        <v>#N/A</v>
      </c>
      <c r="GU156" s="63" t="str">
        <f t="shared" si="326"/>
        <v/>
      </c>
      <c r="GV156" s="63" t="e">
        <f>IF($GZ156="",#N/A,SUM(GU$4:GU156))</f>
        <v>#N/A</v>
      </c>
      <c r="GW156" s="63" t="e">
        <f t="shared" si="327"/>
        <v>#N/A</v>
      </c>
      <c r="GX156" s="63" t="e">
        <f>IF($GZ156="",#N/A,SUM(GW$4:GW156))</f>
        <v>#N/A</v>
      </c>
      <c r="GY156" s="63" t="e">
        <f>IF(EJ156="",#N/A,SUM($EJ$4:EJ156))</f>
        <v>#N/A</v>
      </c>
      <c r="GZ156" s="159">
        <v>75.7</v>
      </c>
      <c r="HA156" s="63">
        <f t="shared" si="318"/>
        <v>12.839999999999975</v>
      </c>
      <c r="HB156" s="62" t="s">
        <v>2538</v>
      </c>
      <c r="HC156" s="60">
        <f>IFERROR(VLOOKUP(E156,Expectancy!$P$4:$S$19,1+C156,FALSE),"")</f>
        <v>0.73529829292760662</v>
      </c>
      <c r="HD156" s="82">
        <f t="shared" si="319"/>
        <v>-0.37659835347696591</v>
      </c>
      <c r="HE156" s="60">
        <f>IF(HD156="",#N/A,SUM($HD$4:HD156))</f>
        <v>-4.9566236562821082</v>
      </c>
      <c r="HF156" s="85">
        <f>IF(HD156="",#N/A,IF(HB156="Skip",#N/A,SUM($HG$4:HG156)))</f>
        <v>-101.92000000000013</v>
      </c>
      <c r="HG156" s="63">
        <f t="shared" si="320"/>
        <v>-10.319999999999993</v>
      </c>
      <c r="HH156" s="82">
        <f t="shared" si="321"/>
        <v>9.1960063058328281E-2</v>
      </c>
    </row>
    <row r="157" spans="1:216" x14ac:dyDescent="0.25">
      <c r="A157" s="57" t="s">
        <v>197</v>
      </c>
      <c r="B157" s="58" t="s">
        <v>5177</v>
      </c>
      <c r="C157" s="386">
        <f t="shared" si="230"/>
        <v>1</v>
      </c>
      <c r="D157" s="372" t="str">
        <f>_xlfn.XLOOKUP(A157,[1]SP500!$A$2:$A$502,[1]SP500!$D$2:$D$502,"N")</f>
        <v>Y</v>
      </c>
      <c r="E157" s="57" t="str">
        <f>_xlfn.XLOOKUP(A157,[1]SP500!$A$2:$A$655,[1]SP500!$B$2:$B$655)</f>
        <v>XLI</v>
      </c>
      <c r="F157" s="59">
        <v>45688</v>
      </c>
      <c r="G157" s="57" t="str">
        <f t="shared" si="231"/>
        <v>BMO</v>
      </c>
      <c r="H157" s="57" t="str">
        <f t="shared" si="232"/>
        <v>s</v>
      </c>
      <c r="I157" s="159">
        <v>239.12</v>
      </c>
      <c r="J157" s="159">
        <v>231.03</v>
      </c>
      <c r="K157" s="61">
        <f t="shared" si="233"/>
        <v>-3.3832385413181683E-2</v>
      </c>
      <c r="L157" s="87">
        <f t="shared" si="234"/>
        <v>-16.180000000000007</v>
      </c>
      <c r="M157" s="130">
        <f t="shared" si="226"/>
        <v>0</v>
      </c>
      <c r="N157" s="169">
        <f t="shared" si="235"/>
        <v>-16.180000000000007</v>
      </c>
      <c r="O157" s="169">
        <f>IF($J157="",#N/A,SUM($N$4:N157))</f>
        <v>244.03976368961372</v>
      </c>
      <c r="P157" s="174" t="str">
        <f t="shared" si="236"/>
        <v/>
      </c>
      <c r="Q157" s="174">
        <f>IF($J157="",#N/A,SUM($P$4:P157))</f>
        <v>101.06104023772639</v>
      </c>
      <c r="R157" s="178" t="str">
        <f t="shared" si="237"/>
        <v/>
      </c>
      <c r="S157" s="178">
        <f>IF($J157="",#N/A,SUM($R$4:R157))</f>
        <v>153.46873610246865</v>
      </c>
      <c r="T157" s="290">
        <f t="shared" si="238"/>
        <v>-0.56387309021969467</v>
      </c>
      <c r="U157" s="290">
        <f>IF($J157="",#N/A,SUM($T$4:T157))</f>
        <v>9.1974669982652948</v>
      </c>
      <c r="V157" s="291" t="str">
        <f t="shared" si="239"/>
        <v/>
      </c>
      <c r="W157" s="291">
        <f>IF($J157="",#N/A,SUM($V$4:V157))</f>
        <v>4.1289499726711156</v>
      </c>
      <c r="X157" s="292" t="str">
        <f t="shared" si="240"/>
        <v/>
      </c>
      <c r="Y157" s="283">
        <f>IF($J157="",#N/A,SUM($X$4:X157))</f>
        <v>6.1119253678310557</v>
      </c>
      <c r="Z157" s="304" t="str">
        <f t="shared" si="241"/>
        <v/>
      </c>
      <c r="AA157" s="313" t="e">
        <f>IF($J157="",#N/A,SUM(Z$4:Z157))</f>
        <v>#N/A</v>
      </c>
      <c r="AB157" s="314" t="str">
        <f t="shared" si="242"/>
        <v/>
      </c>
      <c r="AC157" s="314" t="e">
        <f>IF($J157="",#N/A,SUM(AB$4:AB157))</f>
        <v>#N/A</v>
      </c>
      <c r="AD157" s="315" t="str">
        <f t="shared" si="243"/>
        <v/>
      </c>
      <c r="AE157" s="315" t="e">
        <f>IF($J157="",#N/A,SUM(AD$4:AD157))</f>
        <v>#N/A</v>
      </c>
      <c r="AF157" s="315" t="e">
        <f>IF($J157="",#N/A,SUM(AD$4:AD157,AB$4:AB157,Z$4:Z157))</f>
        <v>#N/A</v>
      </c>
      <c r="AG157" s="304" t="str">
        <f t="shared" si="244"/>
        <v/>
      </c>
      <c r="AH157" s="313" t="e">
        <f>IF($J157="",#N/A,SUM(AG$4:AG157))</f>
        <v>#N/A</v>
      </c>
      <c r="AI157" s="314" t="str">
        <f t="shared" si="245"/>
        <v/>
      </c>
      <c r="AJ157" s="314" t="e">
        <f>IF($J157="",#N/A,SUM(AI$4:AI157))</f>
        <v>#N/A</v>
      </c>
      <c r="AK157" s="315" t="str">
        <f t="shared" si="246"/>
        <v/>
      </c>
      <c r="AL157" s="315" t="e">
        <f>IF($J157="",#N/A,SUM(AK$4:AK157))</f>
        <v>#N/A</v>
      </c>
      <c r="AM157" s="315" t="e">
        <f>IF($J157="",#N/A,SUM(AK$4:AK157,AI$4:AI157,AG$4:AG157))</f>
        <v>#N/A</v>
      </c>
      <c r="AN157" s="304" t="str">
        <f t="shared" si="247"/>
        <v/>
      </c>
      <c r="AO157" s="313" t="e">
        <f>IF($J157="",#N/A,SUM(AN$4:AN157))</f>
        <v>#N/A</v>
      </c>
      <c r="AP157" s="314" t="str">
        <f t="shared" si="248"/>
        <v/>
      </c>
      <c r="AQ157" s="314" t="e">
        <f>IF($J157="",#N/A,SUM(AP$4:AP157))</f>
        <v>#N/A</v>
      </c>
      <c r="AR157" s="315" t="str">
        <f t="shared" si="249"/>
        <v/>
      </c>
      <c r="AS157" s="315" t="e">
        <f>IF($J157="",#N/A,SUM(AR$4:AR157))</f>
        <v>#N/A</v>
      </c>
      <c r="AT157" s="315" t="e">
        <f>IF($J157="",#N/A,SUM(AR$4:AR157,AP$4:AP157,AN$4:AN157))</f>
        <v>#N/A</v>
      </c>
      <c r="AU157" s="304" t="str">
        <f t="shared" si="250"/>
        <v/>
      </c>
      <c r="AV157" s="313" t="e">
        <f>IF($J157="",#N/A,SUM(AU$4:AU157))</f>
        <v>#N/A</v>
      </c>
      <c r="AW157" s="314" t="str">
        <f t="shared" si="251"/>
        <v/>
      </c>
      <c r="AX157" s="314" t="e">
        <f>IF($J157="",#N/A,SUM(AW$4:AW157))</f>
        <v>#N/A</v>
      </c>
      <c r="AY157" s="315" t="str">
        <f t="shared" si="252"/>
        <v/>
      </c>
      <c r="AZ157" s="315" t="e">
        <f>IF($J157="",#N/A,SUM(AY$4:AY157))</f>
        <v>#N/A</v>
      </c>
      <c r="BA157" s="315" t="e">
        <f>IF($J157="",#N/A,SUM(AY$4:AY157,AW$4:AW157,AU$4:AU157))</f>
        <v>#N/A</v>
      </c>
      <c r="BB157" s="304" t="str">
        <f t="shared" si="253"/>
        <v/>
      </c>
      <c r="BC157" s="313" t="e">
        <f>IF($J157="",#N/A,SUM(BB$4:BB157))</f>
        <v>#N/A</v>
      </c>
      <c r="BD157" s="314" t="str">
        <f t="shared" si="254"/>
        <v/>
      </c>
      <c r="BE157" s="314" t="e">
        <f>IF($J157="",#N/A,SUM(BD$4:BD157))</f>
        <v>#N/A</v>
      </c>
      <c r="BF157" s="315" t="str">
        <f t="shared" si="255"/>
        <v/>
      </c>
      <c r="BG157" s="315" t="e">
        <f>IF($J157="",#N/A,SUM(BF$4:BF157))</f>
        <v>#N/A</v>
      </c>
      <c r="BH157" s="315" t="e">
        <f>IF($J157="",#N/A,SUM(BF$4:BF157,BD$4:BD157,BB$4:BB157))</f>
        <v>#N/A</v>
      </c>
      <c r="BI157" s="304" t="str">
        <f t="shared" si="256"/>
        <v/>
      </c>
      <c r="BJ157" s="313" t="e">
        <f>IF($J157="",#N/A,SUM(BI$4:BI157))</f>
        <v>#N/A</v>
      </c>
      <c r="BK157" s="314" t="str">
        <f t="shared" si="257"/>
        <v/>
      </c>
      <c r="BL157" s="314" t="e">
        <f>IF($J157="",#N/A,SUM(BK$4:BK157))</f>
        <v>#N/A</v>
      </c>
      <c r="BM157" s="315" t="str">
        <f t="shared" si="258"/>
        <v/>
      </c>
      <c r="BN157" s="315" t="e">
        <f>IF($J157="",#N/A,SUM(BM$4:BM157))</f>
        <v>#N/A</v>
      </c>
      <c r="BO157" s="315" t="e">
        <f>IF($J157="",#N/A,SUM(BM$4:BM157,BK$4:BK157,BI$4:BI157))</f>
        <v>#N/A</v>
      </c>
      <c r="BP157" s="304">
        <f t="shared" si="259"/>
        <v>-0.56387309021969467</v>
      </c>
      <c r="BQ157" s="313" t="e">
        <f>IF($J157="",#N/A,SUM(BP$4:BP157))</f>
        <v>#N/A</v>
      </c>
      <c r="BR157" s="314" t="str">
        <f t="shared" si="260"/>
        <v/>
      </c>
      <c r="BS157" s="314" t="e">
        <f>IF($J157="",#N/A,SUM(BR$4:BR157))</f>
        <v>#N/A</v>
      </c>
      <c r="BT157" s="315" t="str">
        <f t="shared" si="261"/>
        <v/>
      </c>
      <c r="BU157" s="315" t="e">
        <f>IF($J157="",#N/A,SUM(BT$4:BT157))</f>
        <v>#N/A</v>
      </c>
      <c r="BV157" s="315" t="e">
        <f>IF($J157="",#N/A,SUM(BT$4:BT157,BR$4:BR157,BP$4:BP157))</f>
        <v>#N/A</v>
      </c>
      <c r="BW157" s="304" t="str">
        <f t="shared" si="262"/>
        <v/>
      </c>
      <c r="BX157" s="313" t="e">
        <f>IF($J157="",#N/A,SUM(BW$4:BW157))</f>
        <v>#N/A</v>
      </c>
      <c r="BY157" s="314" t="str">
        <f t="shared" si="263"/>
        <v/>
      </c>
      <c r="BZ157" s="314" t="e">
        <f>IF($J157="",#N/A,SUM(BY$4:BY157))</f>
        <v>#N/A</v>
      </c>
      <c r="CA157" s="315" t="str">
        <f t="shared" si="264"/>
        <v/>
      </c>
      <c r="CB157" s="315" t="e">
        <f>IF($J157="",#N/A,SUM(CA$4:CA157))</f>
        <v>#N/A</v>
      </c>
      <c r="CC157" s="315" t="e">
        <f>IF($J157="",#N/A,SUM(CA$4:CA157,BY$4:BY157,BW$4:BW157))</f>
        <v>#N/A</v>
      </c>
      <c r="CD157" s="304" t="str">
        <f t="shared" si="265"/>
        <v/>
      </c>
      <c r="CE157" s="313" t="e">
        <f>IF($J157="",#N/A,SUM(CD$4:CD157))</f>
        <v>#N/A</v>
      </c>
      <c r="CF157" s="314" t="str">
        <f t="shared" si="266"/>
        <v/>
      </c>
      <c r="CG157" s="314" t="e">
        <f>IF($J157="",#N/A,SUM(CF$4:CF157))</f>
        <v>#N/A</v>
      </c>
      <c r="CH157" s="315" t="str">
        <f t="shared" si="267"/>
        <v/>
      </c>
      <c r="CI157" s="315" t="e">
        <f>IF($J157="",#N/A,SUM(CH$4:CH157))</f>
        <v>#N/A</v>
      </c>
      <c r="CJ157" s="315" t="e">
        <f>IF($J157="",#N/A,SUM(CH$4:CH157,CF$4:CF157,CD$4:CD157))</f>
        <v>#N/A</v>
      </c>
      <c r="CK157" s="304" t="str">
        <f t="shared" si="268"/>
        <v/>
      </c>
      <c r="CL157" s="313" t="e">
        <f>IF($J157="",#N/A,SUM(CK$4:CK157))</f>
        <v>#N/A</v>
      </c>
      <c r="CM157" s="314" t="str">
        <f t="shared" si="269"/>
        <v/>
      </c>
      <c r="CN157" s="314" t="e">
        <f>IF($J157="",#N/A,SUM(CM$4:CM157))</f>
        <v>#N/A</v>
      </c>
      <c r="CO157" s="315" t="str">
        <f t="shared" si="270"/>
        <v/>
      </c>
      <c r="CP157" s="315" t="e">
        <f>IF($J157="",#N/A,SUM(CO$4:CO157))</f>
        <v>#N/A</v>
      </c>
      <c r="CQ157" s="315" t="e">
        <f>IF($J157="",#N/A,SUM(CO$4:CO157,CM$4:CM157,CK$4:CK157))</f>
        <v>#N/A</v>
      </c>
      <c r="CR157" s="304" t="str">
        <f t="shared" si="271"/>
        <v/>
      </c>
      <c r="CS157" s="313" t="e">
        <f>IF($J157="",#N/A,SUM(CR$4:CR157))</f>
        <v>#N/A</v>
      </c>
      <c r="CT157" s="314" t="str">
        <f t="shared" si="272"/>
        <v/>
      </c>
      <c r="CU157" s="314" t="e">
        <f>IF($J157="",#N/A,SUM(CT$4:CT157))</f>
        <v>#N/A</v>
      </c>
      <c r="CV157" s="315" t="str">
        <f t="shared" si="273"/>
        <v/>
      </c>
      <c r="CW157" s="315" t="e">
        <f>IF($J157="",#N/A,SUM(CV$4:CV157))</f>
        <v>#N/A</v>
      </c>
      <c r="CX157" s="315" t="e">
        <f>IF($J157="",#N/A,SUM(CV$4:CV157,CT$4:CT157,CR$4:CR157))</f>
        <v>#N/A</v>
      </c>
      <c r="CY157" s="304" t="str">
        <f t="shared" si="274"/>
        <v/>
      </c>
      <c r="CZ157" s="313" t="e">
        <f>IF($J157="",#N/A,SUM(CY$4:CY157))</f>
        <v>#N/A</v>
      </c>
      <c r="DA157" s="314" t="str">
        <f t="shared" si="275"/>
        <v/>
      </c>
      <c r="DB157" s="314" t="e">
        <f>IF($J157="",#N/A,SUM(DA$4:DA157))</f>
        <v>#N/A</v>
      </c>
      <c r="DC157" s="315" t="str">
        <f t="shared" si="276"/>
        <v/>
      </c>
      <c r="DD157" s="315" t="e">
        <f>IF($J157="",#N/A,SUM(DC$4:DC157))</f>
        <v>#N/A</v>
      </c>
      <c r="DE157" s="315" t="e">
        <f>IF($J157="",#N/A,SUM(DC$4:DC157,DA$4:DA157,CY$4:CY157))</f>
        <v>#N/A</v>
      </c>
      <c r="DF157" s="304" t="str">
        <f t="shared" si="277"/>
        <v/>
      </c>
      <c r="DG157" s="313" t="e">
        <f>IF($J157="",#N/A,SUM(DF$4:DF157))</f>
        <v>#N/A</v>
      </c>
      <c r="DH157" s="314" t="str">
        <f t="shared" si="278"/>
        <v/>
      </c>
      <c r="DI157" s="314" t="e">
        <f>IF($J157="",#N/A,SUM(DH$4:DH157))</f>
        <v>#N/A</v>
      </c>
      <c r="DJ157" s="315" t="str">
        <f t="shared" si="279"/>
        <v/>
      </c>
      <c r="DK157" s="315" t="e">
        <f>IF($J157="",#N/A,SUM(DJ$4:DJ157))</f>
        <v>#N/A</v>
      </c>
      <c r="DL157" s="315" t="e">
        <f>IF($J157="",#N/A,SUM(DJ$4:DJ157,DH$4:DH157,DF$4:DF157))</f>
        <v>#N/A</v>
      </c>
      <c r="DM157" s="304" t="str">
        <f t="shared" si="280"/>
        <v/>
      </c>
      <c r="DN157" s="313" t="e">
        <f>IF($J157="",#N/A,SUM(DM$4:DM157))</f>
        <v>#N/A</v>
      </c>
      <c r="DO157" s="314" t="str">
        <f t="shared" si="281"/>
        <v/>
      </c>
      <c r="DP157" s="314" t="e">
        <f>IF($J157="",#N/A,SUM(DO$4:DO157))</f>
        <v>#N/A</v>
      </c>
      <c r="DQ157" s="315" t="str">
        <f t="shared" si="282"/>
        <v/>
      </c>
      <c r="DR157" s="315" t="e">
        <f>IF($J157="",#N/A,SUM(DQ$4:DQ157))</f>
        <v>#N/A</v>
      </c>
      <c r="DS157" s="315" t="e">
        <f>IF($J157="",#N/A,SUM(DQ$4:DQ157,DO$4:DO157,DM$4:DM157))</f>
        <v>#N/A</v>
      </c>
      <c r="DT157" s="304" t="str">
        <f t="shared" si="283"/>
        <v/>
      </c>
      <c r="DU157" s="313" t="e">
        <f>IF($J157="",#N/A,SUM(DT$4:DT157))</f>
        <v>#N/A</v>
      </c>
      <c r="DV157" s="314" t="str">
        <f t="shared" si="284"/>
        <v/>
      </c>
      <c r="DW157" s="314" t="e">
        <f>IF($J157="",#N/A,SUM(DV$4:DV157))</f>
        <v>#N/A</v>
      </c>
      <c r="DX157" s="315" t="str">
        <f t="shared" si="285"/>
        <v/>
      </c>
      <c r="DY157" s="315" t="e">
        <f>IF($J157="",#N/A,SUM(DX$4:DX157))</f>
        <v>#N/A</v>
      </c>
      <c r="DZ157" s="315" t="e">
        <f>IF($J157="",#N/A,SUM(DX$4:DX157,DV$4:DV157,DT$4:DT157))</f>
        <v>#N/A</v>
      </c>
      <c r="EA157" s="304" t="str">
        <f t="shared" si="286"/>
        <v/>
      </c>
      <c r="EB157" s="313" t="e">
        <f>IF($J157="",#N/A,SUM(EA$4:EA157))</f>
        <v>#N/A</v>
      </c>
      <c r="EC157" s="314" t="str">
        <f t="shared" si="287"/>
        <v/>
      </c>
      <c r="ED157" s="314" t="e">
        <f>IF($J157="",#N/A,SUM(EC$4:EC157))</f>
        <v>#N/A</v>
      </c>
      <c r="EE157" s="315" t="str">
        <f t="shared" si="288"/>
        <v/>
      </c>
      <c r="EF157" s="315" t="e">
        <f>IF($J157="",#N/A,SUM(EE$4:EE157))</f>
        <v>#N/A</v>
      </c>
      <c r="EG157" s="315" t="e">
        <f>IF($J157="",#N/A,SUM(EE$4:EE157,EC$4:EC157,EA$4:EA157))</f>
        <v>#N/A</v>
      </c>
      <c r="EH157" s="130">
        <f t="shared" si="289"/>
        <v>-16.180000000000007</v>
      </c>
      <c r="EI157" s="63">
        <f>IF(EH157="",#N/A,SUM($EH$4:EH157))</f>
        <v>498.56954002980893</v>
      </c>
      <c r="EJ157" s="223" t="e">
        <f t="shared" si="290"/>
        <v>#N/A</v>
      </c>
      <c r="EK157" s="63" t="e">
        <f>IF($GZ157="",#N/A,SUM(EJ$4:EJ157))</f>
        <v>#N/A</v>
      </c>
      <c r="EL157" s="60">
        <f t="shared" si="322"/>
        <v>-0.56387309021969467</v>
      </c>
      <c r="EM157" s="60">
        <f>IF(EL157="",NA(),SUM($EL$4:EL157))</f>
        <v>15.777554275286207</v>
      </c>
      <c r="EN157" s="60">
        <f t="shared" si="291"/>
        <v>-0.56387309021969467</v>
      </c>
      <c r="EO157" s="60">
        <f>IF(EN157="",NA(),SUM($EN$4:EN157))</f>
        <v>5.3113174674067958</v>
      </c>
      <c r="EP157" s="60" t="str">
        <f t="shared" si="292"/>
        <v/>
      </c>
      <c r="EQ157" s="60" t="e">
        <f>IF(EP157="",NA(),SUM($EP$4:EP157))</f>
        <v>#N/A</v>
      </c>
      <c r="ER157" s="60" t="str">
        <f t="shared" si="293"/>
        <v/>
      </c>
      <c r="ES157" s="60" t="e">
        <f>IF(ER157="",NA(),SUM($ER$4:ER157))</f>
        <v>#N/A</v>
      </c>
      <c r="ET157" s="60" t="str">
        <f t="shared" si="294"/>
        <v/>
      </c>
      <c r="EU157" s="60" t="e">
        <f>IF(ET157="",NA(),SUM($ET$4:ET157))</f>
        <v>#N/A</v>
      </c>
      <c r="EV157" s="60" t="str">
        <f t="shared" si="295"/>
        <v/>
      </c>
      <c r="EW157" s="60" t="e">
        <f>IF(EV157="",NA(),SUM($EV$4:EV157))</f>
        <v>#N/A</v>
      </c>
      <c r="EX157" s="60" t="str">
        <f t="shared" si="296"/>
        <v/>
      </c>
      <c r="EY157" s="60" t="e">
        <f>IF(EX157="",NA(),SUM($EX$4:EX157))</f>
        <v>#N/A</v>
      </c>
      <c r="EZ157" s="60" t="str">
        <f t="shared" si="297"/>
        <v/>
      </c>
      <c r="FA157" s="60" t="e">
        <f>IF(EZ157="",NA(),SUM($EZ$4:EZ157))</f>
        <v>#N/A</v>
      </c>
      <c r="FB157" s="246" t="str">
        <f t="shared" si="323"/>
        <v/>
      </c>
      <c r="FC157" s="246" t="e">
        <f>IF($FB157="",#N/A,SUM(FB$4:$FB157))</f>
        <v>#N/A</v>
      </c>
      <c r="FD157" s="60" t="str">
        <f t="shared" si="298"/>
        <v/>
      </c>
      <c r="FE157" s="60" t="e">
        <f>IF($FD157="",#N/A,SUM($FD$4:FD157))</f>
        <v>#N/A</v>
      </c>
      <c r="FF157" s="60" t="str">
        <f t="shared" si="299"/>
        <v/>
      </c>
      <c r="FG157" s="60" t="e">
        <f>IF($FF157="",#N/A,SUM($FF$4:FF157))</f>
        <v>#N/A</v>
      </c>
      <c r="FH157" s="60">
        <f t="shared" si="300"/>
        <v>0.50114308018289266</v>
      </c>
      <c r="FI157" s="60">
        <f>IF($FH157="",#N/A,SUM($FH$4:FH157))</f>
        <v>1.4719444386909344</v>
      </c>
      <c r="FJ157" s="60" t="str">
        <f t="shared" si="301"/>
        <v/>
      </c>
      <c r="FK157" s="60" t="e">
        <f>IF($FJ157="",#N/A,SUM($FJ$4:FJ157))</f>
        <v>#N/A</v>
      </c>
      <c r="FL157" s="60" t="str">
        <f t="shared" si="302"/>
        <v/>
      </c>
      <c r="FM157" s="60" t="e">
        <f>IF($FL157="",#N/A,SUM($FL$4:FL157))</f>
        <v>#N/A</v>
      </c>
      <c r="FN157" s="82">
        <f t="shared" si="303"/>
        <v>-6.2730010036802009E-2</v>
      </c>
      <c r="FO157" s="82">
        <f>IF($FN157="",#N/A,SUM(FN$4:$FN157))</f>
        <v>28.042783410515586</v>
      </c>
      <c r="FP157" s="82">
        <f t="shared" si="324"/>
        <v>-0.56387309021969467</v>
      </c>
      <c r="FQ157" s="246">
        <f>IF($EH157="",#N/A,SUM($FP$4:FP157))</f>
        <v>19.438342338767477</v>
      </c>
      <c r="FR157" s="82">
        <f>IFERROR(FQ157/COUNTA($J$4:J157),#N/A)</f>
        <v>0.1262230021997888</v>
      </c>
      <c r="FS157" s="82">
        <f t="shared" si="330"/>
        <v>-3.2707731801795037E-2</v>
      </c>
      <c r="FT157" s="82">
        <f t="shared" si="328"/>
        <v>-0.19296619977590523</v>
      </c>
      <c r="FU157" s="337">
        <f t="shared" si="331"/>
        <v>10.42883908526928</v>
      </c>
      <c r="FV157" s="57" t="str">
        <f t="shared" si="305"/>
        <v>Up</v>
      </c>
      <c r="FW157" s="57" t="s">
        <v>2734</v>
      </c>
      <c r="FX157" s="57" t="str">
        <f t="shared" si="306"/>
        <v/>
      </c>
      <c r="FY157" s="57" t="str">
        <f t="shared" si="307"/>
        <v/>
      </c>
      <c r="FZ157" s="57" t="str">
        <f t="shared" si="308"/>
        <v/>
      </c>
      <c r="GA157" s="57" t="str">
        <f t="shared" si="309"/>
        <v>Long</v>
      </c>
      <c r="GB157" s="57" t="str">
        <f t="shared" si="310"/>
        <v/>
      </c>
      <c r="GC157" s="57">
        <f t="shared" si="311"/>
        <v>1</v>
      </c>
      <c r="GD157" s="57" t="str">
        <f t="shared" si="312"/>
        <v/>
      </c>
      <c r="GE157" s="62">
        <f t="shared" si="227"/>
        <v>239.12</v>
      </c>
      <c r="GF157" s="62" t="s">
        <v>2779</v>
      </c>
      <c r="GG157" s="199">
        <v>2</v>
      </c>
      <c r="GH157" s="207">
        <f t="shared" si="313"/>
        <v>478.24</v>
      </c>
      <c r="GI157" s="199">
        <v>2</v>
      </c>
      <c r="GJ157" s="200">
        <v>231.03</v>
      </c>
      <c r="GK157" s="63">
        <f t="shared" si="314"/>
        <v>-16.180000000000007</v>
      </c>
      <c r="GL157" s="63">
        <f t="shared" si="228"/>
        <v>-1.8000000000000114</v>
      </c>
      <c r="GM157" s="82" t="str">
        <f t="shared" si="315"/>
        <v/>
      </c>
      <c r="GN157" s="82">
        <f>IF($GZ157="",#N/A,SUM(GM$4:GM157))</f>
        <v>7.9033563190859448</v>
      </c>
      <c r="GO157" s="82">
        <f t="shared" si="316"/>
        <v>-6.2730010036802009E-2</v>
      </c>
      <c r="GP157" s="82">
        <f>IF($GZ157="",#N/A,SUM(GO$4:GO157))</f>
        <v>10.358429953973376</v>
      </c>
      <c r="GQ157" s="82" t="str">
        <f t="shared" si="317"/>
        <v/>
      </c>
      <c r="GR157" s="82">
        <f>IF($GZ157="",#N/A,SUM(GQ$4:GQ157))</f>
        <v>9.155160183013928</v>
      </c>
      <c r="GS157" s="63" t="str">
        <f t="shared" si="325"/>
        <v/>
      </c>
      <c r="GT157" s="63" t="e">
        <f>IF($GZ157="",#N/A,SUM(GS$4:GS157))</f>
        <v>#N/A</v>
      </c>
      <c r="GU157" s="63" t="e">
        <f t="shared" si="326"/>
        <v>#N/A</v>
      </c>
      <c r="GV157" s="63" t="e">
        <f>IF($GZ157="",#N/A,SUM(GU$4:GU157))</f>
        <v>#N/A</v>
      </c>
      <c r="GW157" s="63" t="str">
        <f t="shared" si="327"/>
        <v/>
      </c>
      <c r="GX157" s="63" t="e">
        <f>IF($GZ157="",#N/A,SUM(GW$4:GW157))</f>
        <v>#N/A</v>
      </c>
      <c r="GY157" s="63" t="e">
        <f>IF(EJ157="",#N/A,SUM($EJ$4:EJ157))</f>
        <v>#N/A</v>
      </c>
      <c r="GZ157" s="159">
        <v>238.22</v>
      </c>
      <c r="HA157" s="63">
        <f t="shared" si="318"/>
        <v>14.379999999999995</v>
      </c>
      <c r="HB157" s="62" t="s">
        <v>2538</v>
      </c>
      <c r="HC157" s="60">
        <f>IFERROR(VLOOKUP(E157,Expectancy!$P$4:$S$19,1+C157,FALSE),"")</f>
        <v>-4.1762476788754908E-2</v>
      </c>
      <c r="HD157" s="82">
        <f t="shared" si="319"/>
        <v>-0.56387309021969467</v>
      </c>
      <c r="HE157" s="60">
        <f>IF(HD157="",#N/A,SUM($HD$4:HD157))</f>
        <v>-5.5204967465018031</v>
      </c>
      <c r="HF157" s="85">
        <f>IF(HD157="",#N/A,IF(HB157="Skip",#N/A,SUM($HG$4:HG157)))</f>
        <v>-118.10000000000014</v>
      </c>
      <c r="HG157" s="63">
        <f t="shared" si="320"/>
        <v>-16.180000000000007</v>
      </c>
      <c r="HH157" s="82">
        <f t="shared" si="321"/>
        <v>-6.2730010036802009E-2</v>
      </c>
    </row>
    <row r="158" spans="1:216" x14ac:dyDescent="0.25">
      <c r="A158" s="57" t="s">
        <v>36</v>
      </c>
      <c r="B158" s="58" t="s">
        <v>5179</v>
      </c>
      <c r="C158" s="386">
        <f t="shared" si="230"/>
        <v>3</v>
      </c>
      <c r="D158" s="372" t="str">
        <f>_xlfn.XLOOKUP(A158,[1]SP500!$A$2:$A$502,[1]SP500!$D$2:$D$502,"N")</f>
        <v>Y</v>
      </c>
      <c r="E158" s="57" t="str">
        <f>_xlfn.XLOOKUP(A158,[1]SP500!$A$2:$A$655,[1]SP500!$B$2:$B$655)</f>
        <v>XLV</v>
      </c>
      <c r="F158" s="59">
        <v>45688</v>
      </c>
      <c r="G158" s="57" t="str">
        <f t="shared" si="231"/>
        <v>BMO</v>
      </c>
      <c r="H158" s="57" t="str">
        <f t="shared" si="232"/>
        <v>s</v>
      </c>
      <c r="I158" s="159">
        <v>126.84</v>
      </c>
      <c r="J158" s="159">
        <v>125.47</v>
      </c>
      <c r="K158" s="61">
        <f t="shared" si="233"/>
        <v>-1.0801009145380042E-2</v>
      </c>
      <c r="L158" s="87">
        <f t="shared" si="234"/>
        <v>-4.1100000000000136</v>
      </c>
      <c r="M158" s="130">
        <f t="shared" si="226"/>
        <v>0</v>
      </c>
      <c r="N158" s="169" t="str">
        <f t="shared" si="235"/>
        <v/>
      </c>
      <c r="O158" s="169">
        <f>IF($J158="",#N/A,SUM($N$4:N158))</f>
        <v>244.03976368961372</v>
      </c>
      <c r="P158" s="174" t="str">
        <f t="shared" si="236"/>
        <v/>
      </c>
      <c r="Q158" s="174">
        <f>IF($J158="",#N/A,SUM($P$4:P158))</f>
        <v>101.06104023772639</v>
      </c>
      <c r="R158" s="178">
        <f t="shared" si="237"/>
        <v>-4.1100000000000136</v>
      </c>
      <c r="S158" s="178">
        <f>IF($J158="",#N/A,SUM($R$4:R158))</f>
        <v>149.35873610246864</v>
      </c>
      <c r="T158" s="290" t="str">
        <f t="shared" si="238"/>
        <v/>
      </c>
      <c r="U158" s="290">
        <f>IF($J158="",#N/A,SUM($T$4:T158))</f>
        <v>9.1974669982652948</v>
      </c>
      <c r="V158" s="291" t="str">
        <f t="shared" si="239"/>
        <v/>
      </c>
      <c r="W158" s="291">
        <f>IF($J158="",#N/A,SUM($V$4:V158))</f>
        <v>4.1289499726711156</v>
      </c>
      <c r="X158" s="292">
        <f t="shared" si="240"/>
        <v>-0.18001681908966738</v>
      </c>
      <c r="Y158" s="283">
        <f>IF($J158="",#N/A,SUM($X$4:X158))</f>
        <v>5.9319085487413883</v>
      </c>
      <c r="Z158" s="304" t="str">
        <f t="shared" si="241"/>
        <v/>
      </c>
      <c r="AA158" s="313" t="e">
        <f>IF($J158="",#N/A,SUM(Z$4:Z158))</f>
        <v>#N/A</v>
      </c>
      <c r="AB158" s="314" t="str">
        <f t="shared" si="242"/>
        <v/>
      </c>
      <c r="AC158" s="314" t="e">
        <f>IF($J158="",#N/A,SUM(AB$4:AB158))</f>
        <v>#N/A</v>
      </c>
      <c r="AD158" s="315" t="str">
        <f t="shared" si="243"/>
        <v/>
      </c>
      <c r="AE158" s="315" t="e">
        <f>IF($J158="",#N/A,SUM(AD$4:AD158))</f>
        <v>#N/A</v>
      </c>
      <c r="AF158" s="315" t="e">
        <f>IF($J158="",#N/A,SUM(AD$4:AD158,AB$4:AB158,Z$4:Z158))</f>
        <v>#N/A</v>
      </c>
      <c r="AG158" s="304" t="str">
        <f t="shared" si="244"/>
        <v/>
      </c>
      <c r="AH158" s="313" t="e">
        <f>IF($J158="",#N/A,SUM(AG$4:AG158))</f>
        <v>#N/A</v>
      </c>
      <c r="AI158" s="314" t="str">
        <f t="shared" si="245"/>
        <v/>
      </c>
      <c r="AJ158" s="314" t="e">
        <f>IF($J158="",#N/A,SUM(AI$4:AI158))</f>
        <v>#N/A</v>
      </c>
      <c r="AK158" s="315" t="str">
        <f t="shared" si="246"/>
        <v/>
      </c>
      <c r="AL158" s="315" t="e">
        <f>IF($J158="",#N/A,SUM(AK$4:AK158))</f>
        <v>#N/A</v>
      </c>
      <c r="AM158" s="315" t="e">
        <f>IF($J158="",#N/A,SUM(AK$4:AK158,AI$4:AI158,AG$4:AG158))</f>
        <v>#N/A</v>
      </c>
      <c r="AN158" s="304" t="str">
        <f t="shared" si="247"/>
        <v/>
      </c>
      <c r="AO158" s="313" t="e">
        <f>IF($J158="",#N/A,SUM(AN$4:AN158))</f>
        <v>#N/A</v>
      </c>
      <c r="AP158" s="314" t="str">
        <f t="shared" si="248"/>
        <v/>
      </c>
      <c r="AQ158" s="314" t="e">
        <f>IF($J158="",#N/A,SUM(AP$4:AP158))</f>
        <v>#N/A</v>
      </c>
      <c r="AR158" s="315" t="str">
        <f t="shared" si="249"/>
        <v/>
      </c>
      <c r="AS158" s="315" t="e">
        <f>IF($J158="",#N/A,SUM(AR$4:AR158))</f>
        <v>#N/A</v>
      </c>
      <c r="AT158" s="315" t="e">
        <f>IF($J158="",#N/A,SUM(AR$4:AR158,AP$4:AP158,AN$4:AN158))</f>
        <v>#N/A</v>
      </c>
      <c r="AU158" s="304" t="str">
        <f t="shared" si="250"/>
        <v/>
      </c>
      <c r="AV158" s="313" t="e">
        <f>IF($J158="",#N/A,SUM(AU$4:AU158))</f>
        <v>#N/A</v>
      </c>
      <c r="AW158" s="314" t="str">
        <f t="shared" si="251"/>
        <v/>
      </c>
      <c r="AX158" s="314" t="e">
        <f>IF($J158="",#N/A,SUM(AW$4:AW158))</f>
        <v>#N/A</v>
      </c>
      <c r="AY158" s="315" t="str">
        <f t="shared" si="252"/>
        <v/>
      </c>
      <c r="AZ158" s="315" t="e">
        <f>IF($J158="",#N/A,SUM(AY$4:AY158))</f>
        <v>#N/A</v>
      </c>
      <c r="BA158" s="315" t="e">
        <f>IF($J158="",#N/A,SUM(AY$4:AY158,AW$4:AW158,AU$4:AU158))</f>
        <v>#N/A</v>
      </c>
      <c r="BB158" s="304" t="str">
        <f t="shared" si="253"/>
        <v/>
      </c>
      <c r="BC158" s="313" t="e">
        <f>IF($J158="",#N/A,SUM(BB$4:BB158))</f>
        <v>#N/A</v>
      </c>
      <c r="BD158" s="314" t="str">
        <f t="shared" si="254"/>
        <v/>
      </c>
      <c r="BE158" s="314" t="e">
        <f>IF($J158="",#N/A,SUM(BD$4:BD158))</f>
        <v>#N/A</v>
      </c>
      <c r="BF158" s="315" t="str">
        <f t="shared" si="255"/>
        <v/>
      </c>
      <c r="BG158" s="315" t="e">
        <f>IF($J158="",#N/A,SUM(BF$4:BF158))</f>
        <v>#N/A</v>
      </c>
      <c r="BH158" s="315" t="e">
        <f>IF($J158="",#N/A,SUM(BF$4:BF158,BD$4:BD158,BB$4:BB158))</f>
        <v>#N/A</v>
      </c>
      <c r="BI158" s="304" t="str">
        <f t="shared" si="256"/>
        <v/>
      </c>
      <c r="BJ158" s="313" t="e">
        <f>IF($J158="",#N/A,SUM(BI$4:BI158))</f>
        <v>#N/A</v>
      </c>
      <c r="BK158" s="314" t="str">
        <f t="shared" si="257"/>
        <v/>
      </c>
      <c r="BL158" s="314" t="e">
        <f>IF($J158="",#N/A,SUM(BK$4:BK158))</f>
        <v>#N/A</v>
      </c>
      <c r="BM158" s="315" t="str">
        <f t="shared" si="258"/>
        <v/>
      </c>
      <c r="BN158" s="315" t="e">
        <f>IF($J158="",#N/A,SUM(BM$4:BM158))</f>
        <v>#N/A</v>
      </c>
      <c r="BO158" s="315" t="e">
        <f>IF($J158="",#N/A,SUM(BM$4:BM158,BK$4:BK158,BI$4:BI158))</f>
        <v>#N/A</v>
      </c>
      <c r="BP158" s="304" t="str">
        <f t="shared" si="259"/>
        <v/>
      </c>
      <c r="BQ158" s="313" t="e">
        <f>IF($J158="",#N/A,SUM(BP$4:BP158))</f>
        <v>#N/A</v>
      </c>
      <c r="BR158" s="314" t="str">
        <f t="shared" si="260"/>
        <v/>
      </c>
      <c r="BS158" s="314" t="e">
        <f>IF($J158="",#N/A,SUM(BR$4:BR158))</f>
        <v>#N/A</v>
      </c>
      <c r="BT158" s="315" t="str">
        <f t="shared" si="261"/>
        <v/>
      </c>
      <c r="BU158" s="315" t="e">
        <f>IF($J158="",#N/A,SUM(BT$4:BT158))</f>
        <v>#N/A</v>
      </c>
      <c r="BV158" s="315" t="e">
        <f>IF($J158="",#N/A,SUM(BT$4:BT158,BR$4:BR158,BP$4:BP158))</f>
        <v>#N/A</v>
      </c>
      <c r="BW158" s="304" t="str">
        <f t="shared" si="262"/>
        <v/>
      </c>
      <c r="BX158" s="313" t="e">
        <f>IF($J158="",#N/A,SUM(BW$4:BW158))</f>
        <v>#N/A</v>
      </c>
      <c r="BY158" s="314" t="str">
        <f t="shared" si="263"/>
        <v/>
      </c>
      <c r="BZ158" s="314" t="e">
        <f>IF($J158="",#N/A,SUM(BY$4:BY158))</f>
        <v>#N/A</v>
      </c>
      <c r="CA158" s="315">
        <f t="shared" si="264"/>
        <v>-0.18001681908966738</v>
      </c>
      <c r="CB158" s="315" t="e">
        <f>IF($J158="",#N/A,SUM(CA$4:CA158))</f>
        <v>#N/A</v>
      </c>
      <c r="CC158" s="315" t="e">
        <f>IF($J158="",#N/A,SUM(CA$4:CA158,BY$4:BY158,BW$4:BW158))</f>
        <v>#N/A</v>
      </c>
      <c r="CD158" s="304" t="str">
        <f t="shared" si="265"/>
        <v/>
      </c>
      <c r="CE158" s="313" t="e">
        <f>IF($J158="",#N/A,SUM(CD$4:CD158))</f>
        <v>#N/A</v>
      </c>
      <c r="CF158" s="314" t="str">
        <f t="shared" si="266"/>
        <v/>
      </c>
      <c r="CG158" s="314" t="e">
        <f>IF($J158="",#N/A,SUM(CF$4:CF158))</f>
        <v>#N/A</v>
      </c>
      <c r="CH158" s="315" t="str">
        <f t="shared" si="267"/>
        <v/>
      </c>
      <c r="CI158" s="315" t="e">
        <f>IF($J158="",#N/A,SUM(CH$4:CH158))</f>
        <v>#N/A</v>
      </c>
      <c r="CJ158" s="315" t="e">
        <f>IF($J158="",#N/A,SUM(CH$4:CH158,CF$4:CF158,CD$4:CD158))</f>
        <v>#N/A</v>
      </c>
      <c r="CK158" s="304" t="str">
        <f t="shared" si="268"/>
        <v/>
      </c>
      <c r="CL158" s="313" t="e">
        <f>IF($J158="",#N/A,SUM(CK$4:CK158))</f>
        <v>#N/A</v>
      </c>
      <c r="CM158" s="314" t="str">
        <f t="shared" si="269"/>
        <v/>
      </c>
      <c r="CN158" s="314" t="e">
        <f>IF($J158="",#N/A,SUM(CM$4:CM158))</f>
        <v>#N/A</v>
      </c>
      <c r="CO158" s="315" t="str">
        <f t="shared" si="270"/>
        <v/>
      </c>
      <c r="CP158" s="315" t="e">
        <f>IF($J158="",#N/A,SUM(CO$4:CO158))</f>
        <v>#N/A</v>
      </c>
      <c r="CQ158" s="315" t="e">
        <f>IF($J158="",#N/A,SUM(CO$4:CO158,CM$4:CM158,CK$4:CK158))</f>
        <v>#N/A</v>
      </c>
      <c r="CR158" s="304" t="str">
        <f t="shared" si="271"/>
        <v/>
      </c>
      <c r="CS158" s="313" t="e">
        <f>IF($J158="",#N/A,SUM(CR$4:CR158))</f>
        <v>#N/A</v>
      </c>
      <c r="CT158" s="314" t="str">
        <f t="shared" si="272"/>
        <v/>
      </c>
      <c r="CU158" s="314" t="e">
        <f>IF($J158="",#N/A,SUM(CT$4:CT158))</f>
        <v>#N/A</v>
      </c>
      <c r="CV158" s="315" t="str">
        <f t="shared" si="273"/>
        <v/>
      </c>
      <c r="CW158" s="315" t="e">
        <f>IF($J158="",#N/A,SUM(CV$4:CV158))</f>
        <v>#N/A</v>
      </c>
      <c r="CX158" s="315" t="e">
        <f>IF($J158="",#N/A,SUM(CV$4:CV158,CT$4:CT158,CR$4:CR158))</f>
        <v>#N/A</v>
      </c>
      <c r="CY158" s="304" t="str">
        <f t="shared" si="274"/>
        <v/>
      </c>
      <c r="CZ158" s="313" t="e">
        <f>IF($J158="",#N/A,SUM(CY$4:CY158))</f>
        <v>#N/A</v>
      </c>
      <c r="DA158" s="314" t="str">
        <f t="shared" si="275"/>
        <v/>
      </c>
      <c r="DB158" s="314" t="e">
        <f>IF($J158="",#N/A,SUM(DA$4:DA158))</f>
        <v>#N/A</v>
      </c>
      <c r="DC158" s="315" t="str">
        <f t="shared" si="276"/>
        <v/>
      </c>
      <c r="DD158" s="315" t="e">
        <f>IF($J158="",#N/A,SUM(DC$4:DC158))</f>
        <v>#N/A</v>
      </c>
      <c r="DE158" s="315" t="e">
        <f>IF($J158="",#N/A,SUM(DC$4:DC158,DA$4:DA158,CY$4:CY158))</f>
        <v>#N/A</v>
      </c>
      <c r="DF158" s="304" t="str">
        <f t="shared" si="277"/>
        <v/>
      </c>
      <c r="DG158" s="313" t="e">
        <f>IF($J158="",#N/A,SUM(DF$4:DF158))</f>
        <v>#N/A</v>
      </c>
      <c r="DH158" s="314" t="str">
        <f t="shared" si="278"/>
        <v/>
      </c>
      <c r="DI158" s="314" t="e">
        <f>IF($J158="",#N/A,SUM(DH$4:DH158))</f>
        <v>#N/A</v>
      </c>
      <c r="DJ158" s="315" t="str">
        <f t="shared" si="279"/>
        <v/>
      </c>
      <c r="DK158" s="315" t="e">
        <f>IF($J158="",#N/A,SUM(DJ$4:DJ158))</f>
        <v>#N/A</v>
      </c>
      <c r="DL158" s="315" t="e">
        <f>IF($J158="",#N/A,SUM(DJ$4:DJ158,DH$4:DH158,DF$4:DF158))</f>
        <v>#N/A</v>
      </c>
      <c r="DM158" s="304" t="str">
        <f t="shared" si="280"/>
        <v/>
      </c>
      <c r="DN158" s="313" t="e">
        <f>IF($J158="",#N/A,SUM(DM$4:DM158))</f>
        <v>#N/A</v>
      </c>
      <c r="DO158" s="314" t="str">
        <f t="shared" si="281"/>
        <v/>
      </c>
      <c r="DP158" s="314" t="e">
        <f>IF($J158="",#N/A,SUM(DO$4:DO158))</f>
        <v>#N/A</v>
      </c>
      <c r="DQ158" s="315" t="str">
        <f t="shared" si="282"/>
        <v/>
      </c>
      <c r="DR158" s="315" t="e">
        <f>IF($J158="",#N/A,SUM(DQ$4:DQ158))</f>
        <v>#N/A</v>
      </c>
      <c r="DS158" s="315" t="e">
        <f>IF($J158="",#N/A,SUM(DQ$4:DQ158,DO$4:DO158,DM$4:DM158))</f>
        <v>#N/A</v>
      </c>
      <c r="DT158" s="304" t="str">
        <f t="shared" si="283"/>
        <v/>
      </c>
      <c r="DU158" s="313" t="e">
        <f>IF($J158="",#N/A,SUM(DT$4:DT158))</f>
        <v>#N/A</v>
      </c>
      <c r="DV158" s="314" t="str">
        <f t="shared" si="284"/>
        <v/>
      </c>
      <c r="DW158" s="314" t="e">
        <f>IF($J158="",#N/A,SUM(DV$4:DV158))</f>
        <v>#N/A</v>
      </c>
      <c r="DX158" s="315" t="str">
        <f t="shared" si="285"/>
        <v/>
      </c>
      <c r="DY158" s="315" t="e">
        <f>IF($J158="",#N/A,SUM(DX$4:DX158))</f>
        <v>#N/A</v>
      </c>
      <c r="DZ158" s="315" t="e">
        <f>IF($J158="",#N/A,SUM(DX$4:DX158,DV$4:DV158,DT$4:DT158))</f>
        <v>#N/A</v>
      </c>
      <c r="EA158" s="304" t="str">
        <f t="shared" si="286"/>
        <v/>
      </c>
      <c r="EB158" s="313" t="e">
        <f>IF($J158="",#N/A,SUM(EA$4:EA158))</f>
        <v>#N/A</v>
      </c>
      <c r="EC158" s="314" t="str">
        <f t="shared" si="287"/>
        <v/>
      </c>
      <c r="ED158" s="314" t="e">
        <f>IF($J158="",#N/A,SUM(EC$4:EC158))</f>
        <v>#N/A</v>
      </c>
      <c r="EE158" s="315" t="str">
        <f t="shared" si="288"/>
        <v/>
      </c>
      <c r="EF158" s="315" t="e">
        <f>IF($J158="",#N/A,SUM(EE$4:EE158))</f>
        <v>#N/A</v>
      </c>
      <c r="EG158" s="315" t="e">
        <f>IF($J158="",#N/A,SUM(EE$4:EE158,EC$4:EC158,EA$4:EA158))</f>
        <v>#N/A</v>
      </c>
      <c r="EH158" s="130">
        <f t="shared" si="289"/>
        <v>-4.1100000000000136</v>
      </c>
      <c r="EI158" s="63">
        <f>IF(EH158="",#N/A,SUM($EH$4:EH158))</f>
        <v>494.45954002980892</v>
      </c>
      <c r="EJ158" s="223" t="e">
        <f t="shared" si="290"/>
        <v>#N/A</v>
      </c>
      <c r="EK158" s="63" t="e">
        <f>IF($GZ158="",#N/A,SUM(EJ$4:EJ158))</f>
        <v>#N/A</v>
      </c>
      <c r="EL158" s="60">
        <f t="shared" si="322"/>
        <v>-0.18001681908966738</v>
      </c>
      <c r="EM158" s="60">
        <f>IF(EL158="",NA(),SUM($EL$4:EL158))</f>
        <v>15.597537456196539</v>
      </c>
      <c r="EN158" s="60" t="str">
        <f t="shared" si="291"/>
        <v/>
      </c>
      <c r="EO158" s="60" t="e">
        <f>IF(EN158="",NA(),SUM($EN$4:EN158))</f>
        <v>#N/A</v>
      </c>
      <c r="EP158" s="60">
        <f t="shared" si="292"/>
        <v>-0.18001681908966738</v>
      </c>
      <c r="EQ158" s="60">
        <f>IF(EP158="",NA(),SUM($EP$4:EP158))</f>
        <v>6.8596654688185827</v>
      </c>
      <c r="ER158" s="60" t="str">
        <f t="shared" si="293"/>
        <v/>
      </c>
      <c r="ES158" s="60" t="e">
        <f>IF(ER158="",NA(),SUM($ER$4:ER158))</f>
        <v>#N/A</v>
      </c>
      <c r="ET158" s="60" t="str">
        <f t="shared" si="294"/>
        <v/>
      </c>
      <c r="EU158" s="60" t="e">
        <f>IF(ET158="",NA(),SUM($ET$4:ET158))</f>
        <v>#N/A</v>
      </c>
      <c r="EV158" s="60" t="str">
        <f t="shared" si="295"/>
        <v/>
      </c>
      <c r="EW158" s="60" t="e">
        <f>IF(EV158="",NA(),SUM($EV$4:EV158))</f>
        <v>#N/A</v>
      </c>
      <c r="EX158" s="60" t="str">
        <f t="shared" si="296"/>
        <v/>
      </c>
      <c r="EY158" s="60" t="e">
        <f>IF(EX158="",NA(),SUM($EX$4:EX158))</f>
        <v>#N/A</v>
      </c>
      <c r="EZ158" s="60" t="str">
        <f t="shared" si="297"/>
        <v/>
      </c>
      <c r="FA158" s="60" t="e">
        <f>IF(EZ158="",NA(),SUM($EZ$4:EZ158))</f>
        <v>#N/A</v>
      </c>
      <c r="FB158" s="246" t="str">
        <f t="shared" si="323"/>
        <v/>
      </c>
      <c r="FC158" s="246" t="e">
        <f>IF($FB158="",#N/A,SUM(FB$4:$FB158))</f>
        <v>#N/A</v>
      </c>
      <c r="FD158" s="60" t="str">
        <f t="shared" si="298"/>
        <v/>
      </c>
      <c r="FE158" s="60" t="e">
        <f>IF($FD158="",#N/A,SUM($FD$4:FD158))</f>
        <v>#N/A</v>
      </c>
      <c r="FF158" s="60" t="str">
        <f t="shared" si="299"/>
        <v/>
      </c>
      <c r="FG158" s="60" t="e">
        <f>IF($FF158="",#N/A,SUM($FF$4:FF158))</f>
        <v>#N/A</v>
      </c>
      <c r="FH158" s="60" t="str">
        <f t="shared" si="300"/>
        <v/>
      </c>
      <c r="FI158" s="60" t="e">
        <f>IF($FH158="",#N/A,SUM($FH$4:FH158))</f>
        <v>#N/A</v>
      </c>
      <c r="FJ158" s="60" t="str">
        <f t="shared" si="301"/>
        <v/>
      </c>
      <c r="FK158" s="60" t="e">
        <f>IF($FJ158="",#N/A,SUM($FJ$4:FJ158))</f>
        <v>#N/A</v>
      </c>
      <c r="FL158" s="60">
        <f t="shared" si="302"/>
        <v>8.6723431094292827E-2</v>
      </c>
      <c r="FM158" s="60">
        <f>IF($FL158="",#N/A,SUM($FL$4:FL158))</f>
        <v>4.1237420994372309</v>
      </c>
      <c r="FN158" s="82">
        <f t="shared" si="303"/>
        <v>-9.3293387995374552E-2</v>
      </c>
      <c r="FO158" s="82">
        <f>IF($FN158="",#N/A,SUM(FN$4:$FN158))</f>
        <v>27.949490022520212</v>
      </c>
      <c r="FP158" s="82">
        <f t="shared" si="324"/>
        <v>-0.18001681908966738</v>
      </c>
      <c r="FQ158" s="246">
        <f>IF($EH158="",#N/A,SUM($FP$4:FP158))</f>
        <v>19.258325519677811</v>
      </c>
      <c r="FR158" s="82">
        <f>IFERROR(FQ158/COUNTA($J$4:J158),#N/A)</f>
        <v>0.1242472614172762</v>
      </c>
      <c r="FS158" s="82">
        <f t="shared" si="330"/>
        <v>3.5502651497449733E-3</v>
      </c>
      <c r="FT158" s="82">
        <f t="shared" si="328"/>
        <v>-0.21498308416887113</v>
      </c>
      <c r="FU158" s="337">
        <f t="shared" si="331"/>
        <v>10.428839085269283</v>
      </c>
      <c r="FV158" s="57" t="str">
        <f t="shared" si="305"/>
        <v>SW</v>
      </c>
      <c r="FW158" s="57" t="s">
        <v>2732</v>
      </c>
      <c r="FX158" s="57" t="str">
        <f t="shared" si="306"/>
        <v/>
      </c>
      <c r="FY158" s="57" t="str">
        <f t="shared" si="307"/>
        <v/>
      </c>
      <c r="FZ158" s="57" t="str">
        <f t="shared" si="308"/>
        <v/>
      </c>
      <c r="GA158" s="57" t="str">
        <f t="shared" si="309"/>
        <v>Long</v>
      </c>
      <c r="GB158" s="57" t="str">
        <f t="shared" si="310"/>
        <v/>
      </c>
      <c r="GC158" s="57" t="str">
        <f t="shared" si="311"/>
        <v/>
      </c>
      <c r="GD158" s="57">
        <f t="shared" si="312"/>
        <v>1</v>
      </c>
      <c r="GE158" s="62">
        <f t="shared" si="227"/>
        <v>126.84</v>
      </c>
      <c r="GF158" s="62" t="s">
        <v>2779</v>
      </c>
      <c r="GG158" s="199">
        <v>3</v>
      </c>
      <c r="GH158" s="207">
        <f t="shared" si="313"/>
        <v>380.52</v>
      </c>
      <c r="GI158" s="199">
        <v>3</v>
      </c>
      <c r="GJ158" s="200">
        <v>125.47</v>
      </c>
      <c r="GK158" s="63">
        <f t="shared" si="314"/>
        <v>-4.1100000000000136</v>
      </c>
      <c r="GL158" s="63">
        <f t="shared" si="228"/>
        <v>-2.1299999999999955</v>
      </c>
      <c r="GM158" s="82">
        <f t="shared" si="315"/>
        <v>-9.3293387995374552E-2</v>
      </c>
      <c r="GN158" s="82">
        <f>IF($GZ158="",#N/A,SUM(GM$4:GM158))</f>
        <v>7.8100629310905703</v>
      </c>
      <c r="GO158" s="82" t="str">
        <f t="shared" si="316"/>
        <v/>
      </c>
      <c r="GP158" s="82">
        <f>IF($GZ158="",#N/A,SUM(GO$4:GO158))</f>
        <v>10.358429953973376</v>
      </c>
      <c r="GQ158" s="82" t="str">
        <f t="shared" si="317"/>
        <v/>
      </c>
      <c r="GR158" s="82">
        <f>IF($GZ158="",#N/A,SUM(GQ$4:GQ158))</f>
        <v>9.155160183013928</v>
      </c>
      <c r="GS158" s="63" t="e">
        <f t="shared" si="325"/>
        <v>#N/A</v>
      </c>
      <c r="GT158" s="63" t="e">
        <f>IF($GZ158="",#N/A,SUM(GS$4:GS158))</f>
        <v>#N/A</v>
      </c>
      <c r="GU158" s="63" t="str">
        <f t="shared" si="326"/>
        <v/>
      </c>
      <c r="GV158" s="63" t="e">
        <f>IF($GZ158="",#N/A,SUM(GU$4:GU158))</f>
        <v>#N/A</v>
      </c>
      <c r="GW158" s="63" t="str">
        <f t="shared" si="327"/>
        <v/>
      </c>
      <c r="GX158" s="63" t="e">
        <f>IF($GZ158="",#N/A,SUM(GW$4:GW158))</f>
        <v>#N/A</v>
      </c>
      <c r="GY158" s="63" t="e">
        <f>IF(EJ158="",#N/A,SUM($EJ$4:EJ158))</f>
        <v>#N/A</v>
      </c>
      <c r="GZ158" s="159">
        <v>126.13</v>
      </c>
      <c r="HA158" s="63">
        <f t="shared" si="318"/>
        <v>1.9800000000000182</v>
      </c>
      <c r="HB158" s="62" t="s">
        <v>2538</v>
      </c>
      <c r="HC158" s="60">
        <f>IFERROR(VLOOKUP(E158,Expectancy!$P$4:$S$19,1+C158,FALSE),"")</f>
        <v>-0.15084750675779673</v>
      </c>
      <c r="HD158" s="82">
        <f t="shared" si="319"/>
        <v>-0.18001681908966738</v>
      </c>
      <c r="HE158" s="60">
        <f>IF(HD158="",#N/A,SUM($HD$4:HD158))</f>
        <v>-5.7005135655914705</v>
      </c>
      <c r="HF158" s="85">
        <f>IF(HD158="",#N/A,IF(HB158="Skip",#N/A,SUM($HG$4:HG158)))</f>
        <v>-122.21000000000015</v>
      </c>
      <c r="HG158" s="63">
        <f t="shared" si="320"/>
        <v>-4.1100000000000136</v>
      </c>
      <c r="HH158" s="82">
        <f t="shared" si="321"/>
        <v>-9.3293387995374552E-2</v>
      </c>
    </row>
    <row r="159" spans="1:216" x14ac:dyDescent="0.25">
      <c r="A159" s="57" t="s">
        <v>62</v>
      </c>
      <c r="B159" s="58" t="s">
        <v>5180</v>
      </c>
      <c r="C159" s="386">
        <f t="shared" si="230"/>
        <v>2</v>
      </c>
      <c r="D159" s="372" t="str">
        <f>_xlfn.XLOOKUP(A159,[1]SP500!$A$2:$A$502,[1]SP500!$D$2:$D$502,"N")</f>
        <v>Y</v>
      </c>
      <c r="E159" s="57" t="str">
        <f>_xlfn.XLOOKUP(A159,[1]SP500!$A$2:$A$655,[1]SP500!$B$2:$B$655)</f>
        <v>XLF</v>
      </c>
      <c r="F159" s="59">
        <v>45688</v>
      </c>
      <c r="G159" s="57" t="str">
        <f t="shared" si="231"/>
        <v>BMO</v>
      </c>
      <c r="H159" s="57" t="str">
        <f t="shared" si="232"/>
        <v>s</v>
      </c>
      <c r="I159" s="159">
        <v>20.149999999999999</v>
      </c>
      <c r="J159" s="159">
        <v>20.8</v>
      </c>
      <c r="K159" s="61">
        <f t="shared" si="233"/>
        <v>3.2258064516129142E-2</v>
      </c>
      <c r="L159" s="87">
        <f t="shared" si="234"/>
        <v>-13</v>
      </c>
      <c r="M159" s="130">
        <f t="shared" si="226"/>
        <v>-5.8000000000000114</v>
      </c>
      <c r="N159" s="169" t="str">
        <f t="shared" si="235"/>
        <v/>
      </c>
      <c r="O159" s="169">
        <f>IF($J159="",#N/A,SUM($N$4:N159))</f>
        <v>244.03976368961372</v>
      </c>
      <c r="P159" s="174">
        <f t="shared" si="236"/>
        <v>-13</v>
      </c>
      <c r="Q159" s="174">
        <f>IF($J159="",#N/A,SUM($P$4:P159))</f>
        <v>88.061040237726388</v>
      </c>
      <c r="R159" s="178" t="str">
        <f t="shared" si="237"/>
        <v/>
      </c>
      <c r="S159" s="178">
        <f>IF($J159="",#N/A,SUM($R$4:R159))</f>
        <v>149.35873610246864</v>
      </c>
      <c r="T159" s="290" t="str">
        <f t="shared" si="238"/>
        <v/>
      </c>
      <c r="U159" s="290">
        <f>IF($J159="",#N/A,SUM($T$4:T159))</f>
        <v>9.1974669982652948</v>
      </c>
      <c r="V159" s="291">
        <f t="shared" si="239"/>
        <v>-0.5376344086021505</v>
      </c>
      <c r="W159" s="291">
        <f>IF($J159="",#N/A,SUM($V$4:V159))</f>
        <v>3.5913155640689651</v>
      </c>
      <c r="X159" s="292" t="str">
        <f t="shared" si="240"/>
        <v/>
      </c>
      <c r="Y159" s="283">
        <f>IF($J159="",#N/A,SUM($X$4:X159))</f>
        <v>5.9319085487413883</v>
      </c>
      <c r="Z159" s="304" t="str">
        <f t="shared" si="241"/>
        <v/>
      </c>
      <c r="AA159" s="313" t="e">
        <f>IF($J159="",#N/A,SUM(Z$4:Z159))</f>
        <v>#N/A</v>
      </c>
      <c r="AB159" s="314" t="str">
        <f t="shared" si="242"/>
        <v/>
      </c>
      <c r="AC159" s="314" t="e">
        <f>IF($J159="",#N/A,SUM(AB$4:AB159))</f>
        <v>#N/A</v>
      </c>
      <c r="AD159" s="315" t="str">
        <f t="shared" si="243"/>
        <v/>
      </c>
      <c r="AE159" s="315" t="e">
        <f>IF($J159="",#N/A,SUM(AD$4:AD159))</f>
        <v>#N/A</v>
      </c>
      <c r="AF159" s="315" t="e">
        <f>IF($J159="",#N/A,SUM(AD$4:AD159,AB$4:AB159,Z$4:Z159))</f>
        <v>#N/A</v>
      </c>
      <c r="AG159" s="304" t="str">
        <f t="shared" si="244"/>
        <v/>
      </c>
      <c r="AH159" s="313" t="e">
        <f>IF($J159="",#N/A,SUM(AG$4:AG159))</f>
        <v>#N/A</v>
      </c>
      <c r="AI159" s="314" t="str">
        <f t="shared" si="245"/>
        <v/>
      </c>
      <c r="AJ159" s="314" t="e">
        <f>IF($J159="",#N/A,SUM(AI$4:AI159))</f>
        <v>#N/A</v>
      </c>
      <c r="AK159" s="315" t="str">
        <f t="shared" si="246"/>
        <v/>
      </c>
      <c r="AL159" s="315" t="e">
        <f>IF($J159="",#N/A,SUM(AK$4:AK159))</f>
        <v>#N/A</v>
      </c>
      <c r="AM159" s="315" t="e">
        <f>IF($J159="",#N/A,SUM(AK$4:AK159,AI$4:AI159,AG$4:AG159))</f>
        <v>#N/A</v>
      </c>
      <c r="AN159" s="304" t="str">
        <f t="shared" si="247"/>
        <v/>
      </c>
      <c r="AO159" s="313" t="e">
        <f>IF($J159="",#N/A,SUM(AN$4:AN159))</f>
        <v>#N/A</v>
      </c>
      <c r="AP159" s="314" t="str">
        <f t="shared" si="248"/>
        <v/>
      </c>
      <c r="AQ159" s="314" t="e">
        <f>IF($J159="",#N/A,SUM(AP$4:AP159))</f>
        <v>#N/A</v>
      </c>
      <c r="AR159" s="315" t="str">
        <f t="shared" si="249"/>
        <v/>
      </c>
      <c r="AS159" s="315" t="e">
        <f>IF($J159="",#N/A,SUM(AR$4:AR159))</f>
        <v>#N/A</v>
      </c>
      <c r="AT159" s="315" t="e">
        <f>IF($J159="",#N/A,SUM(AR$4:AR159,AP$4:AP159,AN$4:AN159))</f>
        <v>#N/A</v>
      </c>
      <c r="AU159" s="304" t="str">
        <f t="shared" si="250"/>
        <v/>
      </c>
      <c r="AV159" s="313" t="e">
        <f>IF($J159="",#N/A,SUM(AU$4:AU159))</f>
        <v>#N/A</v>
      </c>
      <c r="AW159" s="314" t="str">
        <f t="shared" si="251"/>
        <v/>
      </c>
      <c r="AX159" s="314" t="e">
        <f>IF($J159="",#N/A,SUM(AW$4:AW159))</f>
        <v>#N/A</v>
      </c>
      <c r="AY159" s="315" t="str">
        <f t="shared" si="252"/>
        <v/>
      </c>
      <c r="AZ159" s="315" t="e">
        <f>IF($J159="",#N/A,SUM(AY$4:AY159))</f>
        <v>#N/A</v>
      </c>
      <c r="BA159" s="315" t="e">
        <f>IF($J159="",#N/A,SUM(AY$4:AY159,AW$4:AW159,AU$4:AU159))</f>
        <v>#N/A</v>
      </c>
      <c r="BB159" s="304" t="str">
        <f t="shared" si="253"/>
        <v/>
      </c>
      <c r="BC159" s="313" t="e">
        <f>IF($J159="",#N/A,SUM(BB$4:BB159))</f>
        <v>#N/A</v>
      </c>
      <c r="BD159" s="314" t="str">
        <f t="shared" si="254"/>
        <v/>
      </c>
      <c r="BE159" s="314" t="e">
        <f>IF($J159="",#N/A,SUM(BD$4:BD159))</f>
        <v>#N/A</v>
      </c>
      <c r="BF159" s="315" t="str">
        <f t="shared" si="255"/>
        <v/>
      </c>
      <c r="BG159" s="315" t="e">
        <f>IF($J159="",#N/A,SUM(BF$4:BF159))</f>
        <v>#N/A</v>
      </c>
      <c r="BH159" s="315" t="e">
        <f>IF($J159="",#N/A,SUM(BF$4:BF159,BD$4:BD159,BB$4:BB159))</f>
        <v>#N/A</v>
      </c>
      <c r="BI159" s="304" t="str">
        <f t="shared" si="256"/>
        <v/>
      </c>
      <c r="BJ159" s="313" t="e">
        <f>IF($J159="",#N/A,SUM(BI$4:BI159))</f>
        <v>#N/A</v>
      </c>
      <c r="BK159" s="314">
        <f t="shared" si="257"/>
        <v>-0.5376344086021505</v>
      </c>
      <c r="BL159" s="314" t="e">
        <f>IF($J159="",#N/A,SUM(BK$4:BK159))</f>
        <v>#N/A</v>
      </c>
      <c r="BM159" s="315" t="str">
        <f t="shared" si="258"/>
        <v/>
      </c>
      <c r="BN159" s="315" t="e">
        <f>IF($J159="",#N/A,SUM(BM$4:BM159))</f>
        <v>#N/A</v>
      </c>
      <c r="BO159" s="315" t="e">
        <f>IF($J159="",#N/A,SUM(BM$4:BM159,BK$4:BK159,BI$4:BI159))</f>
        <v>#N/A</v>
      </c>
      <c r="BP159" s="304" t="str">
        <f t="shared" si="259"/>
        <v/>
      </c>
      <c r="BQ159" s="313" t="e">
        <f>IF($J159="",#N/A,SUM(BP$4:BP159))</f>
        <v>#N/A</v>
      </c>
      <c r="BR159" s="314" t="str">
        <f t="shared" si="260"/>
        <v/>
      </c>
      <c r="BS159" s="314" t="e">
        <f>IF($J159="",#N/A,SUM(BR$4:BR159))</f>
        <v>#N/A</v>
      </c>
      <c r="BT159" s="315" t="str">
        <f t="shared" si="261"/>
        <v/>
      </c>
      <c r="BU159" s="315" t="e">
        <f>IF($J159="",#N/A,SUM(BT$4:BT159))</f>
        <v>#N/A</v>
      </c>
      <c r="BV159" s="315" t="e">
        <f>IF($J159="",#N/A,SUM(BT$4:BT159,BR$4:BR159,BP$4:BP159))</f>
        <v>#N/A</v>
      </c>
      <c r="BW159" s="304" t="str">
        <f t="shared" si="262"/>
        <v/>
      </c>
      <c r="BX159" s="313" t="e">
        <f>IF($J159="",#N/A,SUM(BW$4:BW159))</f>
        <v>#N/A</v>
      </c>
      <c r="BY159" s="314" t="str">
        <f t="shared" si="263"/>
        <v/>
      </c>
      <c r="BZ159" s="314" t="e">
        <f>IF($J159="",#N/A,SUM(BY$4:BY159))</f>
        <v>#N/A</v>
      </c>
      <c r="CA159" s="315" t="str">
        <f t="shared" si="264"/>
        <v/>
      </c>
      <c r="CB159" s="315" t="e">
        <f>IF($J159="",#N/A,SUM(CA$4:CA159))</f>
        <v>#N/A</v>
      </c>
      <c r="CC159" s="315" t="e">
        <f>IF($J159="",#N/A,SUM(CA$4:CA159,BY$4:BY159,BW$4:BW159))</f>
        <v>#N/A</v>
      </c>
      <c r="CD159" s="304" t="str">
        <f t="shared" si="265"/>
        <v/>
      </c>
      <c r="CE159" s="313" t="e">
        <f>IF($J159="",#N/A,SUM(CD$4:CD159))</f>
        <v>#N/A</v>
      </c>
      <c r="CF159" s="314" t="str">
        <f t="shared" si="266"/>
        <v/>
      </c>
      <c r="CG159" s="314" t="e">
        <f>IF($J159="",#N/A,SUM(CF$4:CF159))</f>
        <v>#N/A</v>
      </c>
      <c r="CH159" s="315" t="str">
        <f t="shared" si="267"/>
        <v/>
      </c>
      <c r="CI159" s="315" t="e">
        <f>IF($J159="",#N/A,SUM(CH$4:CH159))</f>
        <v>#N/A</v>
      </c>
      <c r="CJ159" s="315" t="e">
        <f>IF($J159="",#N/A,SUM(CH$4:CH159,CF$4:CF159,CD$4:CD159))</f>
        <v>#N/A</v>
      </c>
      <c r="CK159" s="304" t="str">
        <f t="shared" si="268"/>
        <v/>
      </c>
      <c r="CL159" s="313" t="e">
        <f>IF($J159="",#N/A,SUM(CK$4:CK159))</f>
        <v>#N/A</v>
      </c>
      <c r="CM159" s="314" t="str">
        <f t="shared" si="269"/>
        <v/>
      </c>
      <c r="CN159" s="314" t="e">
        <f>IF($J159="",#N/A,SUM(CM$4:CM159))</f>
        <v>#N/A</v>
      </c>
      <c r="CO159" s="315" t="str">
        <f t="shared" si="270"/>
        <v/>
      </c>
      <c r="CP159" s="315" t="e">
        <f>IF($J159="",#N/A,SUM(CO$4:CO159))</f>
        <v>#N/A</v>
      </c>
      <c r="CQ159" s="315" t="e">
        <f>IF($J159="",#N/A,SUM(CO$4:CO159,CM$4:CM159,CK$4:CK159))</f>
        <v>#N/A</v>
      </c>
      <c r="CR159" s="304" t="str">
        <f t="shared" si="271"/>
        <v/>
      </c>
      <c r="CS159" s="313" t="e">
        <f>IF($J159="",#N/A,SUM(CR$4:CR159))</f>
        <v>#N/A</v>
      </c>
      <c r="CT159" s="314" t="str">
        <f t="shared" si="272"/>
        <v/>
      </c>
      <c r="CU159" s="314" t="e">
        <f>IF($J159="",#N/A,SUM(CT$4:CT159))</f>
        <v>#N/A</v>
      </c>
      <c r="CV159" s="315" t="str">
        <f t="shared" si="273"/>
        <v/>
      </c>
      <c r="CW159" s="315" t="e">
        <f>IF($J159="",#N/A,SUM(CV$4:CV159))</f>
        <v>#N/A</v>
      </c>
      <c r="CX159" s="315" t="e">
        <f>IF($J159="",#N/A,SUM(CV$4:CV159,CT$4:CT159,CR$4:CR159))</f>
        <v>#N/A</v>
      </c>
      <c r="CY159" s="304" t="str">
        <f t="shared" si="274"/>
        <v/>
      </c>
      <c r="CZ159" s="313" t="e">
        <f>IF($J159="",#N/A,SUM(CY$4:CY159))</f>
        <v>#N/A</v>
      </c>
      <c r="DA159" s="314" t="str">
        <f t="shared" si="275"/>
        <v/>
      </c>
      <c r="DB159" s="314" t="e">
        <f>IF($J159="",#N/A,SUM(DA$4:DA159))</f>
        <v>#N/A</v>
      </c>
      <c r="DC159" s="315" t="str">
        <f t="shared" si="276"/>
        <v/>
      </c>
      <c r="DD159" s="315" t="e">
        <f>IF($J159="",#N/A,SUM(DC$4:DC159))</f>
        <v>#N/A</v>
      </c>
      <c r="DE159" s="315" t="e">
        <f>IF($J159="",#N/A,SUM(DC$4:DC159,DA$4:DA159,CY$4:CY159))</f>
        <v>#N/A</v>
      </c>
      <c r="DF159" s="304" t="str">
        <f t="shared" si="277"/>
        <v/>
      </c>
      <c r="DG159" s="313" t="e">
        <f>IF($J159="",#N/A,SUM(DF$4:DF159))</f>
        <v>#N/A</v>
      </c>
      <c r="DH159" s="314" t="str">
        <f t="shared" si="278"/>
        <v/>
      </c>
      <c r="DI159" s="314" t="e">
        <f>IF($J159="",#N/A,SUM(DH$4:DH159))</f>
        <v>#N/A</v>
      </c>
      <c r="DJ159" s="315" t="str">
        <f t="shared" si="279"/>
        <v/>
      </c>
      <c r="DK159" s="315" t="e">
        <f>IF($J159="",#N/A,SUM(DJ$4:DJ159))</f>
        <v>#N/A</v>
      </c>
      <c r="DL159" s="315" t="e">
        <f>IF($J159="",#N/A,SUM(DJ$4:DJ159,DH$4:DH159,DF$4:DF159))</f>
        <v>#N/A</v>
      </c>
      <c r="DM159" s="304" t="str">
        <f t="shared" si="280"/>
        <v/>
      </c>
      <c r="DN159" s="313" t="e">
        <f>IF($J159="",#N/A,SUM(DM$4:DM159))</f>
        <v>#N/A</v>
      </c>
      <c r="DO159" s="314" t="str">
        <f t="shared" si="281"/>
        <v/>
      </c>
      <c r="DP159" s="314" t="e">
        <f>IF($J159="",#N/A,SUM(DO$4:DO159))</f>
        <v>#N/A</v>
      </c>
      <c r="DQ159" s="315" t="str">
        <f t="shared" si="282"/>
        <v/>
      </c>
      <c r="DR159" s="315" t="e">
        <f>IF($J159="",#N/A,SUM(DQ$4:DQ159))</f>
        <v>#N/A</v>
      </c>
      <c r="DS159" s="315" t="e">
        <f>IF($J159="",#N/A,SUM(DQ$4:DQ159,DO$4:DO159,DM$4:DM159))</f>
        <v>#N/A</v>
      </c>
      <c r="DT159" s="304" t="str">
        <f t="shared" si="283"/>
        <v/>
      </c>
      <c r="DU159" s="313" t="e">
        <f>IF($J159="",#N/A,SUM(DT$4:DT159))</f>
        <v>#N/A</v>
      </c>
      <c r="DV159" s="314" t="str">
        <f t="shared" si="284"/>
        <v/>
      </c>
      <c r="DW159" s="314" t="e">
        <f>IF($J159="",#N/A,SUM(DV$4:DV159))</f>
        <v>#N/A</v>
      </c>
      <c r="DX159" s="315" t="str">
        <f t="shared" si="285"/>
        <v/>
      </c>
      <c r="DY159" s="315" t="e">
        <f>IF($J159="",#N/A,SUM(DX$4:DX159))</f>
        <v>#N/A</v>
      </c>
      <c r="DZ159" s="315" t="e">
        <f>IF($J159="",#N/A,SUM(DX$4:DX159,DV$4:DV159,DT$4:DT159))</f>
        <v>#N/A</v>
      </c>
      <c r="EA159" s="304" t="str">
        <f t="shared" si="286"/>
        <v/>
      </c>
      <c r="EB159" s="313" t="e">
        <f>IF($J159="",#N/A,SUM(EA$4:EA159))</f>
        <v>#N/A</v>
      </c>
      <c r="EC159" s="314" t="str">
        <f t="shared" si="287"/>
        <v/>
      </c>
      <c r="ED159" s="314" t="e">
        <f>IF($J159="",#N/A,SUM(EC$4:EC159))</f>
        <v>#N/A</v>
      </c>
      <c r="EE159" s="315" t="str">
        <f t="shared" si="288"/>
        <v/>
      </c>
      <c r="EF159" s="315" t="e">
        <f>IF($J159="",#N/A,SUM(EE$4:EE159))</f>
        <v>#N/A</v>
      </c>
      <c r="EG159" s="315" t="e">
        <f>IF($J159="",#N/A,SUM(EE$4:EE159,EC$4:EC159,EA$4:EA159))</f>
        <v>#N/A</v>
      </c>
      <c r="EH159" s="130">
        <f t="shared" si="289"/>
        <v>-13</v>
      </c>
      <c r="EI159" s="63">
        <f>IF(EH159="",#N/A,SUM($EH$4:EH159))</f>
        <v>481.45954002980892</v>
      </c>
      <c r="EJ159" s="223" t="e">
        <f t="shared" si="290"/>
        <v>#N/A</v>
      </c>
      <c r="EK159" s="63" t="e">
        <f>IF($GZ159="",#N/A,SUM(EJ$4:EJ159))</f>
        <v>#N/A</v>
      </c>
      <c r="EL159" s="60">
        <f t="shared" si="322"/>
        <v>-0.5376344086021505</v>
      </c>
      <c r="EM159" s="60">
        <f>IF(EL159="",NA(),SUM($EL$4:EL159))</f>
        <v>15.059903047594389</v>
      </c>
      <c r="EN159" s="60" t="str">
        <f t="shared" si="291"/>
        <v/>
      </c>
      <c r="EO159" s="60" t="e">
        <f>IF(EN159="",NA(),SUM($EN$4:EN159))</f>
        <v>#N/A</v>
      </c>
      <c r="EP159" s="60" t="str">
        <f t="shared" si="292"/>
        <v/>
      </c>
      <c r="EQ159" s="60" t="e">
        <f>IF(EP159="",NA(),SUM($EP$4:EP159))</f>
        <v>#N/A</v>
      </c>
      <c r="ER159" s="60">
        <f t="shared" si="293"/>
        <v>-0.5376344086021505</v>
      </c>
      <c r="ES159" s="60">
        <f>IF(ER159="",NA(),SUM($ER$4:ER159))</f>
        <v>2.8889201113690066</v>
      </c>
      <c r="ET159" s="60" t="str">
        <f t="shared" si="294"/>
        <v/>
      </c>
      <c r="EU159" s="60" t="e">
        <f>IF(ET159="",NA(),SUM($ET$4:ET159))</f>
        <v>#N/A</v>
      </c>
      <c r="EV159" s="60" t="str">
        <f t="shared" si="295"/>
        <v/>
      </c>
      <c r="EW159" s="60" t="e">
        <f>IF(EV159="",NA(),SUM($EV$4:EV159))</f>
        <v>#N/A</v>
      </c>
      <c r="EX159" s="60" t="str">
        <f t="shared" si="296"/>
        <v/>
      </c>
      <c r="EY159" s="60" t="e">
        <f>IF(EX159="",NA(),SUM($EX$4:EX159))</f>
        <v>#N/A</v>
      </c>
      <c r="EZ159" s="60" t="str">
        <f t="shared" si="297"/>
        <v/>
      </c>
      <c r="FA159" s="60" t="e">
        <f>IF(EZ159="",NA(),SUM($EZ$4:EZ159))</f>
        <v>#N/A</v>
      </c>
      <c r="FB159" s="246" t="str">
        <f t="shared" si="323"/>
        <v/>
      </c>
      <c r="FC159" s="246" t="e">
        <f>IF($FB159="",#N/A,SUM(FB$4:$FB159))</f>
        <v>#N/A</v>
      </c>
      <c r="FD159" s="60">
        <f t="shared" si="298"/>
        <v>-1.1910669975186086</v>
      </c>
      <c r="FE159" s="60">
        <f>IF($FD159="",#N/A,SUM($FD$4:FD159))</f>
        <v>1.5760220721885252</v>
      </c>
      <c r="FF159" s="60" t="str">
        <f t="shared" si="299"/>
        <v/>
      </c>
      <c r="FG159" s="60" t="e">
        <f>IF($FF159="",#N/A,SUM($FF$4:FF159))</f>
        <v>#N/A</v>
      </c>
      <c r="FH159" s="60" t="str">
        <f t="shared" si="300"/>
        <v/>
      </c>
      <c r="FI159" s="60" t="e">
        <f>IF($FH159="",#N/A,SUM($FH$4:FH159))</f>
        <v>#N/A</v>
      </c>
      <c r="FJ159" s="60" t="str">
        <f t="shared" si="301"/>
        <v/>
      </c>
      <c r="FK159" s="60" t="e">
        <f>IF($FJ159="",#N/A,SUM($FJ$4:FJ159))</f>
        <v>#N/A</v>
      </c>
      <c r="FL159" s="60" t="str">
        <f t="shared" si="302"/>
        <v/>
      </c>
      <c r="FM159" s="60" t="e">
        <f>IF($FL159="",#N/A,SUM($FL$4:FL159))</f>
        <v>#N/A</v>
      </c>
      <c r="FN159" s="82">
        <f t="shared" si="303"/>
        <v>-1.7287014061207591</v>
      </c>
      <c r="FO159" s="82">
        <f>IF($FN159="",#N/A,SUM(FN$4:$FN159))</f>
        <v>26.220788616399453</v>
      </c>
      <c r="FP159" s="82">
        <f t="shared" si="324"/>
        <v>-0.5376344086021505</v>
      </c>
      <c r="FQ159" s="246">
        <f>IF($EH159="",#N/A,SUM($FP$4:FP159))</f>
        <v>18.720691111075659</v>
      </c>
      <c r="FR159" s="82">
        <f>IFERROR(FQ159/COUNTA($J$4:J159),#N/A)</f>
        <v>0.12000443019920294</v>
      </c>
      <c r="FS159" s="82">
        <f t="shared" si="330"/>
        <v>-1.3570881672914368E-2</v>
      </c>
      <c r="FT159" s="82">
        <f t="shared" si="328"/>
        <v>-0.23463803301961761</v>
      </c>
      <c r="FU159" s="337">
        <f t="shared" si="331"/>
        <v>10.66870674449178</v>
      </c>
      <c r="FV159" s="57" t="str">
        <f t="shared" si="305"/>
        <v>Dwn</v>
      </c>
      <c r="FW159" s="57" t="s">
        <v>2734</v>
      </c>
      <c r="FX159" s="57" t="str">
        <f t="shared" si="306"/>
        <v/>
      </c>
      <c r="FY159" s="57">
        <f t="shared" si="307"/>
        <v>1</v>
      </c>
      <c r="FZ159" s="57" t="str">
        <f t="shared" si="308"/>
        <v/>
      </c>
      <c r="GA159" s="57" t="str">
        <f t="shared" si="309"/>
        <v>Short</v>
      </c>
      <c r="GB159" s="57" t="str">
        <f t="shared" si="310"/>
        <v/>
      </c>
      <c r="GC159" s="57" t="str">
        <f t="shared" si="311"/>
        <v/>
      </c>
      <c r="GD159" s="57" t="str">
        <f t="shared" si="312"/>
        <v/>
      </c>
      <c r="GE159" s="62">
        <f t="shared" si="227"/>
        <v>20.149999999999999</v>
      </c>
      <c r="GF159" s="62" t="s">
        <v>2780</v>
      </c>
      <c r="GG159" s="199">
        <v>20</v>
      </c>
      <c r="GH159" s="207">
        <f t="shared" si="313"/>
        <v>403</v>
      </c>
      <c r="GI159" s="199">
        <v>20</v>
      </c>
      <c r="GJ159" s="200">
        <v>21.09</v>
      </c>
      <c r="GK159" s="63">
        <f t="shared" si="314"/>
        <v>-18.800000000000011</v>
      </c>
      <c r="GL159" s="63">
        <f t="shared" si="228"/>
        <v>-41.799999999999955</v>
      </c>
      <c r="GM159" s="82" t="str">
        <f t="shared" si="315"/>
        <v/>
      </c>
      <c r="GN159" s="82">
        <f>IF($GZ159="",#N/A,SUM(GM$4:GM159))</f>
        <v>7.8100629310905703</v>
      </c>
      <c r="GO159" s="82" t="str">
        <f t="shared" si="316"/>
        <v/>
      </c>
      <c r="GP159" s="82">
        <f>IF($GZ159="",#N/A,SUM(GO$4:GO159))</f>
        <v>10.358429953973376</v>
      </c>
      <c r="GQ159" s="82">
        <f t="shared" si="317"/>
        <v>-1.7287014061207591</v>
      </c>
      <c r="GR159" s="82">
        <f>IF($GZ159="",#N/A,SUM(GQ$4:GQ159))</f>
        <v>7.4264587768931687</v>
      </c>
      <c r="GS159" s="63" t="str">
        <f t="shared" si="325"/>
        <v/>
      </c>
      <c r="GT159" s="63" t="e">
        <f>IF($GZ159="",#N/A,SUM(GS$4:GS159))</f>
        <v>#N/A</v>
      </c>
      <c r="GU159" s="63" t="str">
        <f t="shared" si="326"/>
        <v/>
      </c>
      <c r="GV159" s="63" t="e">
        <f>IF($GZ159="",#N/A,SUM(GU$4:GU159))</f>
        <v>#N/A</v>
      </c>
      <c r="GW159" s="63" t="e">
        <f t="shared" si="327"/>
        <v>#N/A</v>
      </c>
      <c r="GX159" s="63" t="e">
        <f>IF($GZ159="",#N/A,SUM(GW$4:GW159))</f>
        <v>#N/A</v>
      </c>
      <c r="GY159" s="63" t="e">
        <f>IF(EJ159="",#N/A,SUM($EJ$4:EJ159))</f>
        <v>#N/A</v>
      </c>
      <c r="GZ159" s="159">
        <v>22.24</v>
      </c>
      <c r="HA159" s="63">
        <f t="shared" si="318"/>
        <v>-28.799999999999955</v>
      </c>
      <c r="HB159" s="62" t="s">
        <v>2538</v>
      </c>
      <c r="HC159" s="60">
        <f>IFERROR(VLOOKUP(E159,Expectancy!$P$4:$S$19,1+C159,FALSE),"")</f>
        <v>-0.57605218740440378</v>
      </c>
      <c r="HD159" s="82">
        <f t="shared" si="319"/>
        <v>-0.77750206782464892</v>
      </c>
      <c r="HE159" s="60">
        <f>IF(HD159="",#N/A,SUM($HD$4:HD159))</f>
        <v>-6.4780156334161196</v>
      </c>
      <c r="HF159" s="85">
        <f>IF(HD159="",#N/A,IF(HB159="Skip",#N/A,SUM($HG$4:HG159)))</f>
        <v>-141.01000000000016</v>
      </c>
      <c r="HG159" s="63">
        <f t="shared" si="320"/>
        <v>-18.800000000000011</v>
      </c>
      <c r="HH159" s="82">
        <f t="shared" si="321"/>
        <v>-1.7287014061207591</v>
      </c>
    </row>
    <row r="160" spans="1:216" x14ac:dyDescent="0.25">
      <c r="A160" s="57" t="s">
        <v>1463</v>
      </c>
      <c r="B160" s="58" t="s">
        <v>5181</v>
      </c>
      <c r="C160" s="386">
        <f t="shared" si="230"/>
        <v>3</v>
      </c>
      <c r="D160" s="372" t="str">
        <f>_xlfn.XLOOKUP(A160,[1]SP500!$A$2:$A$502,[1]SP500!$D$2:$D$502,"N")</f>
        <v>Y</v>
      </c>
      <c r="E160" s="57" t="str">
        <f>_xlfn.XLOOKUP(A160,[1]SP500!$A$2:$A$655,[1]SP500!$B$2:$B$655)</f>
        <v>XLV</v>
      </c>
      <c r="F160" s="59">
        <v>45691</v>
      </c>
      <c r="G160" s="57" t="str">
        <f t="shared" si="231"/>
        <v>BMO</v>
      </c>
      <c r="H160" s="57" t="str">
        <f t="shared" si="232"/>
        <v>s</v>
      </c>
      <c r="I160" s="159">
        <v>421.69</v>
      </c>
      <c r="J160" s="158">
        <v>465</v>
      </c>
      <c r="K160" s="61">
        <f t="shared" si="233"/>
        <v>0.10270577912684674</v>
      </c>
      <c r="L160" s="87">
        <f t="shared" si="234"/>
        <v>43.31</v>
      </c>
      <c r="M160" s="130">
        <f t="shared" si="226"/>
        <v>0</v>
      </c>
      <c r="N160" s="169" t="str">
        <f t="shared" si="235"/>
        <v/>
      </c>
      <c r="O160" s="169">
        <f>IF($J160="",#N/A,SUM($N$4:N160))</f>
        <v>244.03976368961372</v>
      </c>
      <c r="P160" s="174" t="str">
        <f t="shared" si="236"/>
        <v/>
      </c>
      <c r="Q160" s="174">
        <f>IF($J160="",#N/A,SUM($P$4:P160))</f>
        <v>88.061040237726388</v>
      </c>
      <c r="R160" s="178">
        <f t="shared" si="237"/>
        <v>43.31</v>
      </c>
      <c r="S160" s="178">
        <f>IF($J160="",#N/A,SUM($R$4:R160))</f>
        <v>192.66873610246864</v>
      </c>
      <c r="T160" s="290" t="str">
        <f t="shared" si="238"/>
        <v/>
      </c>
      <c r="U160" s="290">
        <f>IF($J160="",#N/A,SUM($T$4:T160))</f>
        <v>9.1974669982652948</v>
      </c>
      <c r="V160" s="291" t="str">
        <f t="shared" si="239"/>
        <v/>
      </c>
      <c r="W160" s="291">
        <f>IF($J160="",#N/A,SUM($V$4:V160))</f>
        <v>3.5913155640689651</v>
      </c>
      <c r="X160" s="292">
        <f t="shared" si="240"/>
        <v>1.7117629854474459</v>
      </c>
      <c r="Y160" s="283">
        <f>IF($J160="",#N/A,SUM($X$4:X160))</f>
        <v>7.6436715341888339</v>
      </c>
      <c r="Z160" s="304" t="str">
        <f t="shared" si="241"/>
        <v/>
      </c>
      <c r="AA160" s="313" t="e">
        <f>IF($J160="",#N/A,SUM(Z$4:Z160))</f>
        <v>#N/A</v>
      </c>
      <c r="AB160" s="314" t="str">
        <f t="shared" si="242"/>
        <v/>
      </c>
      <c r="AC160" s="314" t="e">
        <f>IF($J160="",#N/A,SUM(AB$4:AB160))</f>
        <v>#N/A</v>
      </c>
      <c r="AD160" s="315" t="str">
        <f t="shared" si="243"/>
        <v/>
      </c>
      <c r="AE160" s="315" t="e">
        <f>IF($J160="",#N/A,SUM(AD$4:AD160))</f>
        <v>#N/A</v>
      </c>
      <c r="AF160" s="315" t="e">
        <f>IF($J160="",#N/A,SUM(AD$4:AD160,AB$4:AB160,Z$4:Z160))</f>
        <v>#N/A</v>
      </c>
      <c r="AG160" s="304" t="str">
        <f t="shared" si="244"/>
        <v/>
      </c>
      <c r="AH160" s="313" t="e">
        <f>IF($J160="",#N/A,SUM(AG$4:AG160))</f>
        <v>#N/A</v>
      </c>
      <c r="AI160" s="314" t="str">
        <f t="shared" si="245"/>
        <v/>
      </c>
      <c r="AJ160" s="314" t="e">
        <f>IF($J160="",#N/A,SUM(AI$4:AI160))</f>
        <v>#N/A</v>
      </c>
      <c r="AK160" s="315" t="str">
        <f t="shared" si="246"/>
        <v/>
      </c>
      <c r="AL160" s="315" t="e">
        <f>IF($J160="",#N/A,SUM(AK$4:AK160))</f>
        <v>#N/A</v>
      </c>
      <c r="AM160" s="315" t="e">
        <f>IF($J160="",#N/A,SUM(AK$4:AK160,AI$4:AI160,AG$4:AG160))</f>
        <v>#N/A</v>
      </c>
      <c r="AN160" s="304" t="str">
        <f t="shared" si="247"/>
        <v/>
      </c>
      <c r="AO160" s="313" t="e">
        <f>IF($J160="",#N/A,SUM(AN$4:AN160))</f>
        <v>#N/A</v>
      </c>
      <c r="AP160" s="314" t="str">
        <f t="shared" si="248"/>
        <v/>
      </c>
      <c r="AQ160" s="314" t="e">
        <f>IF($J160="",#N/A,SUM(AP$4:AP160))</f>
        <v>#N/A</v>
      </c>
      <c r="AR160" s="315" t="str">
        <f t="shared" si="249"/>
        <v/>
      </c>
      <c r="AS160" s="315" t="e">
        <f>IF($J160="",#N/A,SUM(AR$4:AR160))</f>
        <v>#N/A</v>
      </c>
      <c r="AT160" s="315" t="e">
        <f>IF($J160="",#N/A,SUM(AR$4:AR160,AP$4:AP160,AN$4:AN160))</f>
        <v>#N/A</v>
      </c>
      <c r="AU160" s="304" t="str">
        <f t="shared" si="250"/>
        <v/>
      </c>
      <c r="AV160" s="313" t="e">
        <f>IF($J160="",#N/A,SUM(AU$4:AU160))</f>
        <v>#N/A</v>
      </c>
      <c r="AW160" s="314" t="str">
        <f t="shared" si="251"/>
        <v/>
      </c>
      <c r="AX160" s="314" t="e">
        <f>IF($J160="",#N/A,SUM(AW$4:AW160))</f>
        <v>#N/A</v>
      </c>
      <c r="AY160" s="315" t="str">
        <f t="shared" si="252"/>
        <v/>
      </c>
      <c r="AZ160" s="315" t="e">
        <f>IF($J160="",#N/A,SUM(AY$4:AY160))</f>
        <v>#N/A</v>
      </c>
      <c r="BA160" s="315" t="e">
        <f>IF($J160="",#N/A,SUM(AY$4:AY160,AW$4:AW160,AU$4:AU160))</f>
        <v>#N/A</v>
      </c>
      <c r="BB160" s="304" t="str">
        <f t="shared" si="253"/>
        <v/>
      </c>
      <c r="BC160" s="313" t="e">
        <f>IF($J160="",#N/A,SUM(BB$4:BB160))</f>
        <v>#N/A</v>
      </c>
      <c r="BD160" s="314" t="str">
        <f t="shared" si="254"/>
        <v/>
      </c>
      <c r="BE160" s="314" t="e">
        <f>IF($J160="",#N/A,SUM(BD$4:BD160))</f>
        <v>#N/A</v>
      </c>
      <c r="BF160" s="315" t="str">
        <f t="shared" si="255"/>
        <v/>
      </c>
      <c r="BG160" s="315" t="e">
        <f>IF($J160="",#N/A,SUM(BF$4:BF160))</f>
        <v>#N/A</v>
      </c>
      <c r="BH160" s="315" t="e">
        <f>IF($J160="",#N/A,SUM(BF$4:BF160,BD$4:BD160,BB$4:BB160))</f>
        <v>#N/A</v>
      </c>
      <c r="BI160" s="304" t="str">
        <f t="shared" si="256"/>
        <v/>
      </c>
      <c r="BJ160" s="313" t="e">
        <f>IF($J160="",#N/A,SUM(BI$4:BI160))</f>
        <v>#N/A</v>
      </c>
      <c r="BK160" s="314" t="str">
        <f t="shared" si="257"/>
        <v/>
      </c>
      <c r="BL160" s="314" t="e">
        <f>IF($J160="",#N/A,SUM(BK$4:BK160))</f>
        <v>#N/A</v>
      </c>
      <c r="BM160" s="315" t="str">
        <f t="shared" si="258"/>
        <v/>
      </c>
      <c r="BN160" s="315" t="e">
        <f>IF($J160="",#N/A,SUM(BM$4:BM160))</f>
        <v>#N/A</v>
      </c>
      <c r="BO160" s="315" t="e">
        <f>IF($J160="",#N/A,SUM(BM$4:BM160,BK$4:BK160,BI$4:BI160))</f>
        <v>#N/A</v>
      </c>
      <c r="BP160" s="304" t="str">
        <f t="shared" si="259"/>
        <v/>
      </c>
      <c r="BQ160" s="313" t="e">
        <f>IF($J160="",#N/A,SUM(BP$4:BP160))</f>
        <v>#N/A</v>
      </c>
      <c r="BR160" s="314" t="str">
        <f t="shared" si="260"/>
        <v/>
      </c>
      <c r="BS160" s="314" t="e">
        <f>IF($J160="",#N/A,SUM(BR$4:BR160))</f>
        <v>#N/A</v>
      </c>
      <c r="BT160" s="315" t="str">
        <f t="shared" si="261"/>
        <v/>
      </c>
      <c r="BU160" s="315" t="e">
        <f>IF($J160="",#N/A,SUM(BT$4:BT160))</f>
        <v>#N/A</v>
      </c>
      <c r="BV160" s="315" t="e">
        <f>IF($J160="",#N/A,SUM(BT$4:BT160,BR$4:BR160,BP$4:BP160))</f>
        <v>#N/A</v>
      </c>
      <c r="BW160" s="304" t="str">
        <f t="shared" si="262"/>
        <v/>
      </c>
      <c r="BX160" s="313" t="e">
        <f>IF($J160="",#N/A,SUM(BW$4:BW160))</f>
        <v>#N/A</v>
      </c>
      <c r="BY160" s="314" t="str">
        <f t="shared" si="263"/>
        <v/>
      </c>
      <c r="BZ160" s="314" t="e">
        <f>IF($J160="",#N/A,SUM(BY$4:BY160))</f>
        <v>#N/A</v>
      </c>
      <c r="CA160" s="315">
        <f t="shared" si="264"/>
        <v>1.7117629854474459</v>
      </c>
      <c r="CB160" s="315" t="e">
        <f>IF($J160="",#N/A,SUM(CA$4:CA160))</f>
        <v>#N/A</v>
      </c>
      <c r="CC160" s="315" t="e">
        <f>IF($J160="",#N/A,SUM(CA$4:CA160,BY$4:BY160,BW$4:BW160))</f>
        <v>#N/A</v>
      </c>
      <c r="CD160" s="304" t="str">
        <f t="shared" si="265"/>
        <v/>
      </c>
      <c r="CE160" s="313" t="e">
        <f>IF($J160="",#N/A,SUM(CD$4:CD160))</f>
        <v>#N/A</v>
      </c>
      <c r="CF160" s="314" t="str">
        <f t="shared" si="266"/>
        <v/>
      </c>
      <c r="CG160" s="314" t="e">
        <f>IF($J160="",#N/A,SUM(CF$4:CF160))</f>
        <v>#N/A</v>
      </c>
      <c r="CH160" s="315" t="str">
        <f t="shared" si="267"/>
        <v/>
      </c>
      <c r="CI160" s="315" t="e">
        <f>IF($J160="",#N/A,SUM(CH$4:CH160))</f>
        <v>#N/A</v>
      </c>
      <c r="CJ160" s="315" t="e">
        <f>IF($J160="",#N/A,SUM(CH$4:CH160,CF$4:CF160,CD$4:CD160))</f>
        <v>#N/A</v>
      </c>
      <c r="CK160" s="304" t="str">
        <f t="shared" si="268"/>
        <v/>
      </c>
      <c r="CL160" s="313" t="e">
        <f>IF($J160="",#N/A,SUM(CK$4:CK160))</f>
        <v>#N/A</v>
      </c>
      <c r="CM160" s="314" t="str">
        <f t="shared" si="269"/>
        <v/>
      </c>
      <c r="CN160" s="314" t="e">
        <f>IF($J160="",#N/A,SUM(CM$4:CM160))</f>
        <v>#N/A</v>
      </c>
      <c r="CO160" s="315" t="str">
        <f t="shared" si="270"/>
        <v/>
      </c>
      <c r="CP160" s="315" t="e">
        <f>IF($J160="",#N/A,SUM(CO$4:CO160))</f>
        <v>#N/A</v>
      </c>
      <c r="CQ160" s="315" t="e">
        <f>IF($J160="",#N/A,SUM(CO$4:CO160,CM$4:CM160,CK$4:CK160))</f>
        <v>#N/A</v>
      </c>
      <c r="CR160" s="304" t="str">
        <f t="shared" si="271"/>
        <v/>
      </c>
      <c r="CS160" s="313" t="e">
        <f>IF($J160="",#N/A,SUM(CR$4:CR160))</f>
        <v>#N/A</v>
      </c>
      <c r="CT160" s="314" t="str">
        <f t="shared" si="272"/>
        <v/>
      </c>
      <c r="CU160" s="314" t="e">
        <f>IF($J160="",#N/A,SUM(CT$4:CT160))</f>
        <v>#N/A</v>
      </c>
      <c r="CV160" s="315" t="str">
        <f t="shared" si="273"/>
        <v/>
      </c>
      <c r="CW160" s="315" t="e">
        <f>IF($J160="",#N/A,SUM(CV$4:CV160))</f>
        <v>#N/A</v>
      </c>
      <c r="CX160" s="315" t="e">
        <f>IF($J160="",#N/A,SUM(CV$4:CV160,CT$4:CT160,CR$4:CR160))</f>
        <v>#N/A</v>
      </c>
      <c r="CY160" s="304" t="str">
        <f t="shared" si="274"/>
        <v/>
      </c>
      <c r="CZ160" s="313" t="e">
        <f>IF($J160="",#N/A,SUM(CY$4:CY160))</f>
        <v>#N/A</v>
      </c>
      <c r="DA160" s="314" t="str">
        <f t="shared" si="275"/>
        <v/>
      </c>
      <c r="DB160" s="314" t="e">
        <f>IF($J160="",#N/A,SUM(DA$4:DA160))</f>
        <v>#N/A</v>
      </c>
      <c r="DC160" s="315" t="str">
        <f t="shared" si="276"/>
        <v/>
      </c>
      <c r="DD160" s="315" t="e">
        <f>IF($J160="",#N/A,SUM(DC$4:DC160))</f>
        <v>#N/A</v>
      </c>
      <c r="DE160" s="315" t="e">
        <f>IF($J160="",#N/A,SUM(DC$4:DC160,DA$4:DA160,CY$4:CY160))</f>
        <v>#N/A</v>
      </c>
      <c r="DF160" s="304" t="str">
        <f t="shared" si="277"/>
        <v/>
      </c>
      <c r="DG160" s="313" t="e">
        <f>IF($J160="",#N/A,SUM(DF$4:DF160))</f>
        <v>#N/A</v>
      </c>
      <c r="DH160" s="314" t="str">
        <f t="shared" si="278"/>
        <v/>
      </c>
      <c r="DI160" s="314" t="e">
        <f>IF($J160="",#N/A,SUM(DH$4:DH160))</f>
        <v>#N/A</v>
      </c>
      <c r="DJ160" s="315" t="str">
        <f t="shared" si="279"/>
        <v/>
      </c>
      <c r="DK160" s="315" t="e">
        <f>IF($J160="",#N/A,SUM(DJ$4:DJ160))</f>
        <v>#N/A</v>
      </c>
      <c r="DL160" s="315" t="e">
        <f>IF($J160="",#N/A,SUM(DJ$4:DJ160,DH$4:DH160,DF$4:DF160))</f>
        <v>#N/A</v>
      </c>
      <c r="DM160" s="304" t="str">
        <f t="shared" si="280"/>
        <v/>
      </c>
      <c r="DN160" s="313" t="e">
        <f>IF($J160="",#N/A,SUM(DM$4:DM160))</f>
        <v>#N/A</v>
      </c>
      <c r="DO160" s="314" t="str">
        <f t="shared" si="281"/>
        <v/>
      </c>
      <c r="DP160" s="314" t="e">
        <f>IF($J160="",#N/A,SUM(DO$4:DO160))</f>
        <v>#N/A</v>
      </c>
      <c r="DQ160" s="315" t="str">
        <f t="shared" si="282"/>
        <v/>
      </c>
      <c r="DR160" s="315" t="e">
        <f>IF($J160="",#N/A,SUM(DQ$4:DQ160))</f>
        <v>#N/A</v>
      </c>
      <c r="DS160" s="315" t="e">
        <f>IF($J160="",#N/A,SUM(DQ$4:DQ160,DO$4:DO160,DM$4:DM160))</f>
        <v>#N/A</v>
      </c>
      <c r="DT160" s="304" t="str">
        <f t="shared" si="283"/>
        <v/>
      </c>
      <c r="DU160" s="313" t="e">
        <f>IF($J160="",#N/A,SUM(DT$4:DT160))</f>
        <v>#N/A</v>
      </c>
      <c r="DV160" s="314" t="str">
        <f t="shared" si="284"/>
        <v/>
      </c>
      <c r="DW160" s="314" t="e">
        <f>IF($J160="",#N/A,SUM(DV$4:DV160))</f>
        <v>#N/A</v>
      </c>
      <c r="DX160" s="315" t="str">
        <f t="shared" si="285"/>
        <v/>
      </c>
      <c r="DY160" s="315" t="e">
        <f>IF($J160="",#N/A,SUM(DX$4:DX160))</f>
        <v>#N/A</v>
      </c>
      <c r="DZ160" s="315" t="e">
        <f>IF($J160="",#N/A,SUM(DX$4:DX160,DV$4:DV160,DT$4:DT160))</f>
        <v>#N/A</v>
      </c>
      <c r="EA160" s="304" t="str">
        <f t="shared" si="286"/>
        <v/>
      </c>
      <c r="EB160" s="313" t="e">
        <f>IF($J160="",#N/A,SUM(EA$4:EA160))</f>
        <v>#N/A</v>
      </c>
      <c r="EC160" s="314" t="str">
        <f t="shared" si="287"/>
        <v/>
      </c>
      <c r="ED160" s="314" t="e">
        <f>IF($J160="",#N/A,SUM(EC$4:EC160))</f>
        <v>#N/A</v>
      </c>
      <c r="EE160" s="315" t="str">
        <f t="shared" si="288"/>
        <v/>
      </c>
      <c r="EF160" s="315" t="e">
        <f>IF($J160="",#N/A,SUM(EE$4:EE160))</f>
        <v>#N/A</v>
      </c>
      <c r="EG160" s="315" t="e">
        <f>IF($J160="",#N/A,SUM(EE$4:EE160,EC$4:EC160,EA$4:EA160))</f>
        <v>#N/A</v>
      </c>
      <c r="EH160" s="130">
        <f t="shared" si="289"/>
        <v>43.31</v>
      </c>
      <c r="EI160" s="63">
        <f>IF(EH160="",#N/A,SUM($EH$4:EH160))</f>
        <v>524.76954002980892</v>
      </c>
      <c r="EJ160" s="223" t="e">
        <f t="shared" si="290"/>
        <v>#N/A</v>
      </c>
      <c r="EK160" s="63" t="e">
        <f>IF($GZ160="",#N/A,SUM(EJ$4:EJ160))</f>
        <v>#N/A</v>
      </c>
      <c r="EL160" s="60">
        <f t="shared" si="322"/>
        <v>1.7117629854474459</v>
      </c>
      <c r="EM160" s="60">
        <f>IF(EL160="",NA(),SUM($EL$4:EL160))</f>
        <v>16.771666033041836</v>
      </c>
      <c r="EN160" s="60" t="str">
        <f t="shared" si="291"/>
        <v/>
      </c>
      <c r="EO160" s="60" t="e">
        <f>IF(EN160="",NA(),SUM($EN$4:EN160))</f>
        <v>#N/A</v>
      </c>
      <c r="EP160" s="60">
        <f t="shared" si="292"/>
        <v>1.7117629854474459</v>
      </c>
      <c r="EQ160" s="60">
        <f>IF(EP160="",NA(),SUM($EP$4:EP160))</f>
        <v>8.5714284542660284</v>
      </c>
      <c r="ER160" s="60" t="str">
        <f t="shared" si="293"/>
        <v/>
      </c>
      <c r="ES160" s="60" t="e">
        <f>IF(ER160="",NA(),SUM($ER$4:ER160))</f>
        <v>#N/A</v>
      </c>
      <c r="ET160" s="60" t="str">
        <f t="shared" si="294"/>
        <v/>
      </c>
      <c r="EU160" s="60" t="e">
        <f>IF(ET160="",NA(),SUM($ET$4:ET160))</f>
        <v>#N/A</v>
      </c>
      <c r="EV160" s="60" t="str">
        <f t="shared" si="295"/>
        <v/>
      </c>
      <c r="EW160" s="60" t="e">
        <f>IF(EV160="",NA(),SUM($EV$4:EV160))</f>
        <v>#N/A</v>
      </c>
      <c r="EX160" s="60" t="str">
        <f t="shared" si="296"/>
        <v/>
      </c>
      <c r="EY160" s="60" t="e">
        <f>IF(EX160="",NA(),SUM($EX$4:EX160))</f>
        <v>#N/A</v>
      </c>
      <c r="EZ160" s="60" t="str">
        <f t="shared" si="297"/>
        <v/>
      </c>
      <c r="FA160" s="60" t="e">
        <f>IF(EZ160="",NA(),SUM($EZ$4:EZ160))</f>
        <v>#N/A</v>
      </c>
      <c r="FB160" s="246" t="str">
        <f t="shared" si="323"/>
        <v/>
      </c>
      <c r="FC160" s="246" t="e">
        <f>IF($FB160="",#N/A,SUM(FB$4:$FB160))</f>
        <v>#N/A</v>
      </c>
      <c r="FD160" s="60" t="str">
        <f t="shared" si="298"/>
        <v/>
      </c>
      <c r="FE160" s="60" t="e">
        <f>IF($FD160="",#N/A,SUM($FD$4:FD160))</f>
        <v>#N/A</v>
      </c>
      <c r="FF160" s="60" t="str">
        <f t="shared" si="299"/>
        <v/>
      </c>
      <c r="FG160" s="60" t="e">
        <f>IF($FF160="",#N/A,SUM($FF$4:FF160))</f>
        <v>#N/A</v>
      </c>
      <c r="FH160" s="60" t="str">
        <f t="shared" si="300"/>
        <v/>
      </c>
      <c r="FI160" s="60" t="e">
        <f>IF($FH160="",#N/A,SUM($FH$4:FH160))</f>
        <v>#N/A</v>
      </c>
      <c r="FJ160" s="60">
        <f t="shared" si="301"/>
        <v>0.15967495869793846</v>
      </c>
      <c r="FK160" s="60">
        <f>IF($FJ160="",#N/A,SUM($FJ$4:FJ160))</f>
        <v>-2.0859127583901111</v>
      </c>
      <c r="FL160" s="60" t="str">
        <f t="shared" si="302"/>
        <v/>
      </c>
      <c r="FM160" s="60" t="e">
        <f>IF($FL160="",#N/A,SUM($FL$4:FL160))</f>
        <v>#N/A</v>
      </c>
      <c r="FN160" s="82">
        <f t="shared" si="303"/>
        <v>1.8714379441453843</v>
      </c>
      <c r="FO160" s="82">
        <f>IF($FN160="",#N/A,SUM(FN$4:$FN160))</f>
        <v>28.092226560544837</v>
      </c>
      <c r="FP160" s="82">
        <f t="shared" si="324"/>
        <v>1.7117629854474459</v>
      </c>
      <c r="FQ160" s="246">
        <f>IF($EH160="",#N/A,SUM($FP$4:FP160))</f>
        <v>20.432454096523106</v>
      </c>
      <c r="FR160" s="82">
        <f>IFERROR(FQ160/COUNTA($J$4:J160),#N/A)</f>
        <v>0.1301430197230771</v>
      </c>
      <c r="FS160" s="82">
        <f t="shared" si="330"/>
        <v>3.1045438929818515E-2</v>
      </c>
      <c r="FT160" s="82">
        <f t="shared" si="328"/>
        <v>-0.18858903826539689</v>
      </c>
      <c r="FU160" s="337">
        <f t="shared" si="331"/>
        <v>10.66870674449178</v>
      </c>
      <c r="FV160" s="57" t="str">
        <f t="shared" si="305"/>
        <v>SW</v>
      </c>
      <c r="FW160" s="57" t="s">
        <v>2732</v>
      </c>
      <c r="FX160" s="57" t="str">
        <f t="shared" si="306"/>
        <v/>
      </c>
      <c r="FY160" s="57" t="str">
        <f t="shared" si="307"/>
        <v/>
      </c>
      <c r="FZ160" s="57">
        <f t="shared" si="308"/>
        <v>1</v>
      </c>
      <c r="GA160" s="57" t="str">
        <f t="shared" si="309"/>
        <v>Long</v>
      </c>
      <c r="GB160" s="57" t="str">
        <f t="shared" si="310"/>
        <v/>
      </c>
      <c r="GC160" s="57" t="str">
        <f t="shared" si="311"/>
        <v/>
      </c>
      <c r="GD160" s="57" t="str">
        <f t="shared" si="312"/>
        <v/>
      </c>
      <c r="GE160" s="62">
        <f t="shared" si="227"/>
        <v>421.69</v>
      </c>
      <c r="GF160" s="62" t="s">
        <v>2779</v>
      </c>
      <c r="GG160" s="199">
        <v>1</v>
      </c>
      <c r="GH160" s="207">
        <f t="shared" si="313"/>
        <v>421.69</v>
      </c>
      <c r="GI160" s="199">
        <v>1</v>
      </c>
      <c r="GJ160" s="200">
        <v>465</v>
      </c>
      <c r="GK160" s="63">
        <f t="shared" si="314"/>
        <v>43.31</v>
      </c>
      <c r="GL160" s="63">
        <f t="shared" si="228"/>
        <v>47.350000000000023</v>
      </c>
      <c r="GM160" s="82">
        <f t="shared" si="315"/>
        <v>1.8714379441453843</v>
      </c>
      <c r="GN160" s="82">
        <f>IF($GZ160="",#N/A,SUM(GM$4:GM160))</f>
        <v>9.6815008752359546</v>
      </c>
      <c r="GO160" s="82" t="str">
        <f t="shared" si="316"/>
        <v/>
      </c>
      <c r="GP160" s="82">
        <f>IF($GZ160="",#N/A,SUM(GO$4:GO160))</f>
        <v>10.358429953973376</v>
      </c>
      <c r="GQ160" s="82" t="str">
        <f t="shared" si="317"/>
        <v/>
      </c>
      <c r="GR160" s="82">
        <f>IF($GZ160="",#N/A,SUM(GQ$4:GQ160))</f>
        <v>7.4264587768931687</v>
      </c>
      <c r="GS160" s="63" t="e">
        <f t="shared" si="325"/>
        <v>#N/A</v>
      </c>
      <c r="GT160" s="63" t="e">
        <f>IF($GZ160="",#N/A,SUM(GS$4:GS160))</f>
        <v>#N/A</v>
      </c>
      <c r="GU160" s="63" t="str">
        <f t="shared" si="326"/>
        <v/>
      </c>
      <c r="GV160" s="63" t="e">
        <f>IF($GZ160="",#N/A,SUM(GU$4:GU160))</f>
        <v>#N/A</v>
      </c>
      <c r="GW160" s="63" t="str">
        <f t="shared" si="327"/>
        <v/>
      </c>
      <c r="GX160" s="63" t="e">
        <f>IF($GZ160="",#N/A,SUM(GW$4:GW160))</f>
        <v>#N/A</v>
      </c>
      <c r="GY160" s="63" t="e">
        <f>IF(EJ160="",#N/A,SUM($EJ$4:EJ160))</f>
        <v>#N/A</v>
      </c>
      <c r="GZ160" s="159">
        <v>469.04</v>
      </c>
      <c r="HA160" s="63">
        <f t="shared" si="318"/>
        <v>4.0400000000000205</v>
      </c>
      <c r="HB160" s="62" t="s">
        <v>2538</v>
      </c>
      <c r="HC160" s="60">
        <f>IFERROR(VLOOKUP(E160,Expectancy!$P$4:$S$19,1+C160,FALSE),"")</f>
        <v>-0.15084750675779673</v>
      </c>
      <c r="HD160" s="82">
        <f t="shared" si="319"/>
        <v>1.7117629854474459</v>
      </c>
      <c r="HE160" s="60">
        <f>IF(HD160="",#N/A,SUM($HD$4:HD160))</f>
        <v>-4.766252647968674</v>
      </c>
      <c r="HF160" s="85">
        <f>IF(HD160="",#N/A,IF(HB160="Skip",#N/A,SUM($HG$4:HG160)))</f>
        <v>-97.700000000000159</v>
      </c>
      <c r="HG160" s="63">
        <f t="shared" si="320"/>
        <v>43.31</v>
      </c>
      <c r="HH160" s="82">
        <f t="shared" si="321"/>
        <v>1.8714379441453843</v>
      </c>
    </row>
    <row r="161" spans="1:216" x14ac:dyDescent="0.25">
      <c r="A161" s="57" t="s">
        <v>928</v>
      </c>
      <c r="B161" s="58" t="s">
        <v>5182</v>
      </c>
      <c r="C161" s="386">
        <f t="shared" si="230"/>
        <v>2</v>
      </c>
      <c r="D161" s="372" t="str">
        <f>_xlfn.XLOOKUP(A161,[1]SP500!$A$2:$A$502,[1]SP500!$D$2:$D$502,"N")</f>
        <v>Y</v>
      </c>
      <c r="E161" s="57" t="str">
        <f>_xlfn.XLOOKUP(A161,[1]SP500!$A$2:$A$655,[1]SP500!$B$2:$B$655)</f>
        <v>XLP</v>
      </c>
      <c r="F161" s="59">
        <v>45691</v>
      </c>
      <c r="G161" s="57" t="str">
        <f t="shared" si="231"/>
        <v>BMO</v>
      </c>
      <c r="H161" s="57" t="str">
        <f t="shared" si="232"/>
        <v>s</v>
      </c>
      <c r="I161" s="159">
        <v>56.49</v>
      </c>
      <c r="J161" s="159">
        <v>57.42</v>
      </c>
      <c r="K161" s="61">
        <f t="shared" si="233"/>
        <v>1.6463090812533186E-2</v>
      </c>
      <c r="L161" s="87">
        <f t="shared" si="234"/>
        <v>-6.5099999999999909</v>
      </c>
      <c r="M161" s="130">
        <f t="shared" si="226"/>
        <v>-0.56000000000000227</v>
      </c>
      <c r="N161" s="169" t="str">
        <f t="shared" si="235"/>
        <v/>
      </c>
      <c r="O161" s="169">
        <f>IF($J161="",#N/A,SUM($N$4:N161))</f>
        <v>244.03976368961372</v>
      </c>
      <c r="P161" s="174">
        <f t="shared" si="236"/>
        <v>-6.5099999999999909</v>
      </c>
      <c r="Q161" s="174">
        <f>IF($J161="",#N/A,SUM($P$4:P161))</f>
        <v>81.551040237726397</v>
      </c>
      <c r="R161" s="178" t="str">
        <f t="shared" si="237"/>
        <v/>
      </c>
      <c r="S161" s="178">
        <f>IF($J161="",#N/A,SUM($R$4:R161))</f>
        <v>192.66873610246864</v>
      </c>
      <c r="T161" s="290" t="str">
        <f t="shared" si="238"/>
        <v/>
      </c>
      <c r="U161" s="290">
        <f>IF($J161="",#N/A,SUM($T$4:T161))</f>
        <v>9.1974669982652948</v>
      </c>
      <c r="V161" s="291">
        <f t="shared" si="239"/>
        <v>-0.27438484687555281</v>
      </c>
      <c r="W161" s="291">
        <f>IF($J161="",#N/A,SUM($V$4:V161))</f>
        <v>3.3169307171934124</v>
      </c>
      <c r="X161" s="292" t="str">
        <f t="shared" si="240"/>
        <v/>
      </c>
      <c r="Y161" s="283">
        <f>IF($J161="",#N/A,SUM($X$4:X161))</f>
        <v>7.6436715341888339</v>
      </c>
      <c r="Z161" s="304" t="str">
        <f t="shared" si="241"/>
        <v/>
      </c>
      <c r="AA161" s="313" t="e">
        <f>IF($J161="",#N/A,SUM(Z$4:Z161))</f>
        <v>#N/A</v>
      </c>
      <c r="AB161" s="314" t="str">
        <f t="shared" si="242"/>
        <v/>
      </c>
      <c r="AC161" s="314" t="e">
        <f>IF($J161="",#N/A,SUM(AB$4:AB161))</f>
        <v>#N/A</v>
      </c>
      <c r="AD161" s="315" t="str">
        <f t="shared" si="243"/>
        <v/>
      </c>
      <c r="AE161" s="315" t="e">
        <f>IF($J161="",#N/A,SUM(AD$4:AD161))</f>
        <v>#N/A</v>
      </c>
      <c r="AF161" s="315" t="e">
        <f>IF($J161="",#N/A,SUM(AD$4:AD161,AB$4:AB161,Z$4:Z161))</f>
        <v>#N/A</v>
      </c>
      <c r="AG161" s="304" t="str">
        <f t="shared" si="244"/>
        <v/>
      </c>
      <c r="AH161" s="313" t="e">
        <f>IF($J161="",#N/A,SUM(AG$4:AG161))</f>
        <v>#N/A</v>
      </c>
      <c r="AI161" s="314" t="str">
        <f t="shared" si="245"/>
        <v/>
      </c>
      <c r="AJ161" s="314" t="e">
        <f>IF($J161="",#N/A,SUM(AI$4:AI161))</f>
        <v>#N/A</v>
      </c>
      <c r="AK161" s="315" t="str">
        <f t="shared" si="246"/>
        <v/>
      </c>
      <c r="AL161" s="315" t="e">
        <f>IF($J161="",#N/A,SUM(AK$4:AK161))</f>
        <v>#N/A</v>
      </c>
      <c r="AM161" s="315" t="e">
        <f>IF($J161="",#N/A,SUM(AK$4:AK161,AI$4:AI161,AG$4:AG161))</f>
        <v>#N/A</v>
      </c>
      <c r="AN161" s="304" t="str">
        <f t="shared" si="247"/>
        <v/>
      </c>
      <c r="AO161" s="313" t="e">
        <f>IF($J161="",#N/A,SUM(AN$4:AN161))</f>
        <v>#N/A</v>
      </c>
      <c r="AP161" s="314" t="str">
        <f t="shared" si="248"/>
        <v/>
      </c>
      <c r="AQ161" s="314" t="e">
        <f>IF($J161="",#N/A,SUM(AP$4:AP161))</f>
        <v>#N/A</v>
      </c>
      <c r="AR161" s="315" t="str">
        <f t="shared" si="249"/>
        <v/>
      </c>
      <c r="AS161" s="315" t="e">
        <f>IF($J161="",#N/A,SUM(AR$4:AR161))</f>
        <v>#N/A</v>
      </c>
      <c r="AT161" s="315" t="e">
        <f>IF($J161="",#N/A,SUM(AR$4:AR161,AP$4:AP161,AN$4:AN161))</f>
        <v>#N/A</v>
      </c>
      <c r="AU161" s="304" t="str">
        <f t="shared" si="250"/>
        <v/>
      </c>
      <c r="AV161" s="313" t="e">
        <f>IF($J161="",#N/A,SUM(AU$4:AU161))</f>
        <v>#N/A</v>
      </c>
      <c r="AW161" s="314">
        <f t="shared" si="251"/>
        <v>-0.27438484687555281</v>
      </c>
      <c r="AX161" s="314" t="e">
        <f>IF($J161="",#N/A,SUM(AW$4:AW161))</f>
        <v>#N/A</v>
      </c>
      <c r="AY161" s="315" t="str">
        <f t="shared" si="252"/>
        <v/>
      </c>
      <c r="AZ161" s="315" t="e">
        <f>IF($J161="",#N/A,SUM(AY$4:AY161))</f>
        <v>#N/A</v>
      </c>
      <c r="BA161" s="315" t="e">
        <f>IF($J161="",#N/A,SUM(AY$4:AY161,AW$4:AW161,AU$4:AU161))</f>
        <v>#N/A</v>
      </c>
      <c r="BB161" s="304" t="str">
        <f t="shared" si="253"/>
        <v/>
      </c>
      <c r="BC161" s="313" t="e">
        <f>IF($J161="",#N/A,SUM(BB$4:BB161))</f>
        <v>#N/A</v>
      </c>
      <c r="BD161" s="314" t="str">
        <f t="shared" si="254"/>
        <v/>
      </c>
      <c r="BE161" s="314" t="e">
        <f>IF($J161="",#N/A,SUM(BD$4:BD161))</f>
        <v>#N/A</v>
      </c>
      <c r="BF161" s="315" t="str">
        <f t="shared" si="255"/>
        <v/>
      </c>
      <c r="BG161" s="315" t="e">
        <f>IF($J161="",#N/A,SUM(BF$4:BF161))</f>
        <v>#N/A</v>
      </c>
      <c r="BH161" s="315" t="e">
        <f>IF($J161="",#N/A,SUM(BF$4:BF161,BD$4:BD161,BB$4:BB161))</f>
        <v>#N/A</v>
      </c>
      <c r="BI161" s="304" t="str">
        <f t="shared" si="256"/>
        <v/>
      </c>
      <c r="BJ161" s="313" t="e">
        <f>IF($J161="",#N/A,SUM(BI$4:BI161))</f>
        <v>#N/A</v>
      </c>
      <c r="BK161" s="314" t="str">
        <f t="shared" si="257"/>
        <v/>
      </c>
      <c r="BL161" s="314" t="e">
        <f>IF($J161="",#N/A,SUM(BK$4:BK161))</f>
        <v>#N/A</v>
      </c>
      <c r="BM161" s="315" t="str">
        <f t="shared" si="258"/>
        <v/>
      </c>
      <c r="BN161" s="315" t="e">
        <f>IF($J161="",#N/A,SUM(BM$4:BM161))</f>
        <v>#N/A</v>
      </c>
      <c r="BO161" s="315" t="e">
        <f>IF($J161="",#N/A,SUM(BM$4:BM161,BK$4:BK161,BI$4:BI161))</f>
        <v>#N/A</v>
      </c>
      <c r="BP161" s="304" t="str">
        <f t="shared" si="259"/>
        <v/>
      </c>
      <c r="BQ161" s="313" t="e">
        <f>IF($J161="",#N/A,SUM(BP$4:BP161))</f>
        <v>#N/A</v>
      </c>
      <c r="BR161" s="314" t="str">
        <f t="shared" si="260"/>
        <v/>
      </c>
      <c r="BS161" s="314" t="e">
        <f>IF($J161="",#N/A,SUM(BR$4:BR161))</f>
        <v>#N/A</v>
      </c>
      <c r="BT161" s="315" t="str">
        <f t="shared" si="261"/>
        <v/>
      </c>
      <c r="BU161" s="315" t="e">
        <f>IF($J161="",#N/A,SUM(BT$4:BT161))</f>
        <v>#N/A</v>
      </c>
      <c r="BV161" s="315" t="e">
        <f>IF($J161="",#N/A,SUM(BT$4:BT161,BR$4:BR161,BP$4:BP161))</f>
        <v>#N/A</v>
      </c>
      <c r="BW161" s="304" t="str">
        <f t="shared" si="262"/>
        <v/>
      </c>
      <c r="BX161" s="313" t="e">
        <f>IF($J161="",#N/A,SUM(BW$4:BW161))</f>
        <v>#N/A</v>
      </c>
      <c r="BY161" s="314" t="str">
        <f t="shared" si="263"/>
        <v/>
      </c>
      <c r="BZ161" s="314" t="e">
        <f>IF($J161="",#N/A,SUM(BY$4:BY161))</f>
        <v>#N/A</v>
      </c>
      <c r="CA161" s="315" t="str">
        <f t="shared" si="264"/>
        <v/>
      </c>
      <c r="CB161" s="315" t="e">
        <f>IF($J161="",#N/A,SUM(CA$4:CA161))</f>
        <v>#N/A</v>
      </c>
      <c r="CC161" s="315" t="e">
        <f>IF($J161="",#N/A,SUM(CA$4:CA161,BY$4:BY161,BW$4:BW161))</f>
        <v>#N/A</v>
      </c>
      <c r="CD161" s="304" t="str">
        <f t="shared" si="265"/>
        <v/>
      </c>
      <c r="CE161" s="313" t="e">
        <f>IF($J161="",#N/A,SUM(CD$4:CD161))</f>
        <v>#N/A</v>
      </c>
      <c r="CF161" s="314" t="str">
        <f t="shared" si="266"/>
        <v/>
      </c>
      <c r="CG161" s="314" t="e">
        <f>IF($J161="",#N/A,SUM(CF$4:CF161))</f>
        <v>#N/A</v>
      </c>
      <c r="CH161" s="315" t="str">
        <f t="shared" si="267"/>
        <v/>
      </c>
      <c r="CI161" s="315" t="e">
        <f>IF($J161="",#N/A,SUM(CH$4:CH161))</f>
        <v>#N/A</v>
      </c>
      <c r="CJ161" s="315" t="e">
        <f>IF($J161="",#N/A,SUM(CH$4:CH161,CF$4:CF161,CD$4:CD161))</f>
        <v>#N/A</v>
      </c>
      <c r="CK161" s="304" t="str">
        <f t="shared" si="268"/>
        <v/>
      </c>
      <c r="CL161" s="313" t="e">
        <f>IF($J161="",#N/A,SUM(CK$4:CK161))</f>
        <v>#N/A</v>
      </c>
      <c r="CM161" s="314" t="str">
        <f t="shared" si="269"/>
        <v/>
      </c>
      <c r="CN161" s="314" t="e">
        <f>IF($J161="",#N/A,SUM(CM$4:CM161))</f>
        <v>#N/A</v>
      </c>
      <c r="CO161" s="315" t="str">
        <f t="shared" si="270"/>
        <v/>
      </c>
      <c r="CP161" s="315" t="e">
        <f>IF($J161="",#N/A,SUM(CO$4:CO161))</f>
        <v>#N/A</v>
      </c>
      <c r="CQ161" s="315" t="e">
        <f>IF($J161="",#N/A,SUM(CO$4:CO161,CM$4:CM161,CK$4:CK161))</f>
        <v>#N/A</v>
      </c>
      <c r="CR161" s="304" t="str">
        <f t="shared" si="271"/>
        <v/>
      </c>
      <c r="CS161" s="313" t="e">
        <f>IF($J161="",#N/A,SUM(CR$4:CR161))</f>
        <v>#N/A</v>
      </c>
      <c r="CT161" s="314" t="str">
        <f t="shared" si="272"/>
        <v/>
      </c>
      <c r="CU161" s="314" t="e">
        <f>IF($J161="",#N/A,SUM(CT$4:CT161))</f>
        <v>#N/A</v>
      </c>
      <c r="CV161" s="315" t="str">
        <f t="shared" si="273"/>
        <v/>
      </c>
      <c r="CW161" s="315" t="e">
        <f>IF($J161="",#N/A,SUM(CV$4:CV161))</f>
        <v>#N/A</v>
      </c>
      <c r="CX161" s="315" t="e">
        <f>IF($J161="",#N/A,SUM(CV$4:CV161,CT$4:CT161,CR$4:CR161))</f>
        <v>#N/A</v>
      </c>
      <c r="CY161" s="304" t="str">
        <f t="shared" si="274"/>
        <v/>
      </c>
      <c r="CZ161" s="313" t="e">
        <f>IF($J161="",#N/A,SUM(CY$4:CY161))</f>
        <v>#N/A</v>
      </c>
      <c r="DA161" s="314" t="str">
        <f t="shared" si="275"/>
        <v/>
      </c>
      <c r="DB161" s="314" t="e">
        <f>IF($J161="",#N/A,SUM(DA$4:DA161))</f>
        <v>#N/A</v>
      </c>
      <c r="DC161" s="315" t="str">
        <f t="shared" si="276"/>
        <v/>
      </c>
      <c r="DD161" s="315" t="e">
        <f>IF($J161="",#N/A,SUM(DC$4:DC161))</f>
        <v>#N/A</v>
      </c>
      <c r="DE161" s="315" t="e">
        <f>IF($J161="",#N/A,SUM(DC$4:DC161,DA$4:DA161,CY$4:CY161))</f>
        <v>#N/A</v>
      </c>
      <c r="DF161" s="304" t="str">
        <f t="shared" si="277"/>
        <v/>
      </c>
      <c r="DG161" s="313" t="e">
        <f>IF($J161="",#N/A,SUM(DF$4:DF161))</f>
        <v>#N/A</v>
      </c>
      <c r="DH161" s="314" t="str">
        <f t="shared" si="278"/>
        <v/>
      </c>
      <c r="DI161" s="314" t="e">
        <f>IF($J161="",#N/A,SUM(DH$4:DH161))</f>
        <v>#N/A</v>
      </c>
      <c r="DJ161" s="315" t="str">
        <f t="shared" si="279"/>
        <v/>
      </c>
      <c r="DK161" s="315" t="e">
        <f>IF($J161="",#N/A,SUM(DJ$4:DJ161))</f>
        <v>#N/A</v>
      </c>
      <c r="DL161" s="315" t="e">
        <f>IF($J161="",#N/A,SUM(DJ$4:DJ161,DH$4:DH161,DF$4:DF161))</f>
        <v>#N/A</v>
      </c>
      <c r="DM161" s="304" t="str">
        <f t="shared" si="280"/>
        <v/>
      </c>
      <c r="DN161" s="313" t="e">
        <f>IF($J161="",#N/A,SUM(DM$4:DM161))</f>
        <v>#N/A</v>
      </c>
      <c r="DO161" s="314" t="str">
        <f t="shared" si="281"/>
        <v/>
      </c>
      <c r="DP161" s="314" t="e">
        <f>IF($J161="",#N/A,SUM(DO$4:DO161))</f>
        <v>#N/A</v>
      </c>
      <c r="DQ161" s="315" t="str">
        <f t="shared" si="282"/>
        <v/>
      </c>
      <c r="DR161" s="315" t="e">
        <f>IF($J161="",#N/A,SUM(DQ$4:DQ161))</f>
        <v>#N/A</v>
      </c>
      <c r="DS161" s="315" t="e">
        <f>IF($J161="",#N/A,SUM(DQ$4:DQ161,DO$4:DO161,DM$4:DM161))</f>
        <v>#N/A</v>
      </c>
      <c r="DT161" s="304" t="str">
        <f t="shared" si="283"/>
        <v/>
      </c>
      <c r="DU161" s="313" t="e">
        <f>IF($J161="",#N/A,SUM(DT$4:DT161))</f>
        <v>#N/A</v>
      </c>
      <c r="DV161" s="314" t="str">
        <f t="shared" si="284"/>
        <v/>
      </c>
      <c r="DW161" s="314" t="e">
        <f>IF($J161="",#N/A,SUM(DV$4:DV161))</f>
        <v>#N/A</v>
      </c>
      <c r="DX161" s="315" t="str">
        <f t="shared" si="285"/>
        <v/>
      </c>
      <c r="DY161" s="315" t="e">
        <f>IF($J161="",#N/A,SUM(DX$4:DX161))</f>
        <v>#N/A</v>
      </c>
      <c r="DZ161" s="315" t="e">
        <f>IF($J161="",#N/A,SUM(DX$4:DX161,DV$4:DV161,DT$4:DT161))</f>
        <v>#N/A</v>
      </c>
      <c r="EA161" s="304" t="str">
        <f t="shared" si="286"/>
        <v/>
      </c>
      <c r="EB161" s="313" t="e">
        <f>IF($J161="",#N/A,SUM(EA$4:EA161))</f>
        <v>#N/A</v>
      </c>
      <c r="EC161" s="314" t="str">
        <f t="shared" si="287"/>
        <v/>
      </c>
      <c r="ED161" s="314" t="e">
        <f>IF($J161="",#N/A,SUM(EC$4:EC161))</f>
        <v>#N/A</v>
      </c>
      <c r="EE161" s="315" t="str">
        <f t="shared" si="288"/>
        <v/>
      </c>
      <c r="EF161" s="315" t="e">
        <f>IF($J161="",#N/A,SUM(EE$4:EE161))</f>
        <v>#N/A</v>
      </c>
      <c r="EG161" s="315" t="e">
        <f>IF($J161="",#N/A,SUM(EE$4:EE161,EC$4:EC161,EA$4:EA161))</f>
        <v>#N/A</v>
      </c>
      <c r="EH161" s="130">
        <f t="shared" si="289"/>
        <v>-6.5099999999999909</v>
      </c>
      <c r="EI161" s="63">
        <f>IF(EH161="",#N/A,SUM($EH$4:EH161))</f>
        <v>518.25954002980893</v>
      </c>
      <c r="EJ161" s="223" t="e">
        <f t="shared" si="290"/>
        <v>#N/A</v>
      </c>
      <c r="EK161" s="63" t="e">
        <f>IF($GZ161="",#N/A,SUM(EJ$4:EJ161))</f>
        <v>#N/A</v>
      </c>
      <c r="EL161" s="60">
        <f t="shared" si="322"/>
        <v>-0.27438484687555281</v>
      </c>
      <c r="EM161" s="60">
        <f>IF(EL161="",NA(),SUM($EL$4:EL161))</f>
        <v>16.497281186166283</v>
      </c>
      <c r="EN161" s="60" t="str">
        <f t="shared" si="291"/>
        <v/>
      </c>
      <c r="EO161" s="60" t="e">
        <f>IF(EN161="",NA(),SUM($EN$4:EN161))</f>
        <v>#N/A</v>
      </c>
      <c r="EP161" s="60" t="str">
        <f t="shared" si="292"/>
        <v/>
      </c>
      <c r="EQ161" s="60" t="e">
        <f>IF(EP161="",NA(),SUM($EP$4:EP161))</f>
        <v>#N/A</v>
      </c>
      <c r="ER161" s="60">
        <f t="shared" si="293"/>
        <v>-0.27438484687555281</v>
      </c>
      <c r="ES161" s="60">
        <f>IF(ER161="",NA(),SUM($ER$4:ER161))</f>
        <v>2.6145352644934539</v>
      </c>
      <c r="ET161" s="60" t="str">
        <f t="shared" si="294"/>
        <v/>
      </c>
      <c r="EU161" s="60" t="e">
        <f>IF(ET161="",NA(),SUM($ET$4:ET161))</f>
        <v>#N/A</v>
      </c>
      <c r="EV161" s="60" t="str">
        <f t="shared" si="295"/>
        <v/>
      </c>
      <c r="EW161" s="60" t="e">
        <f>IF(EV161="",NA(),SUM($EV$4:EV161))</f>
        <v>#N/A</v>
      </c>
      <c r="EX161" s="60" t="str">
        <f t="shared" si="296"/>
        <v/>
      </c>
      <c r="EY161" s="60" t="e">
        <f>IF(EX161="",NA(),SUM($EX$4:EX161))</f>
        <v>#N/A</v>
      </c>
      <c r="EZ161" s="60" t="str">
        <f t="shared" si="297"/>
        <v/>
      </c>
      <c r="FA161" s="60" t="e">
        <f>IF(EZ161="",NA(),SUM($EZ$4:EZ161))</f>
        <v>#N/A</v>
      </c>
      <c r="FB161" s="246" t="str">
        <f t="shared" si="323"/>
        <v/>
      </c>
      <c r="FC161" s="246" t="e">
        <f>IF($FB161="",#N/A,SUM(FB$4:$FB161))</f>
        <v>#N/A</v>
      </c>
      <c r="FD161" s="60">
        <f t="shared" si="298"/>
        <v>-9.4411990322771366E-2</v>
      </c>
      <c r="FE161" s="60">
        <f>IF($FD161="",#N/A,SUM($FD$4:FD161))</f>
        <v>1.4816100818657538</v>
      </c>
      <c r="FF161" s="60" t="str">
        <f t="shared" si="299"/>
        <v/>
      </c>
      <c r="FG161" s="60" t="e">
        <f>IF($FF161="",#N/A,SUM($FF$4:FF161))</f>
        <v>#N/A</v>
      </c>
      <c r="FH161" s="60" t="str">
        <f t="shared" si="300"/>
        <v/>
      </c>
      <c r="FI161" s="60" t="e">
        <f>IF($FH161="",#N/A,SUM($FH$4:FH161))</f>
        <v>#N/A</v>
      </c>
      <c r="FJ161" s="60" t="str">
        <f t="shared" si="301"/>
        <v/>
      </c>
      <c r="FK161" s="60" t="e">
        <f>IF($FJ161="",#N/A,SUM($FJ$4:FJ161))</f>
        <v>#N/A</v>
      </c>
      <c r="FL161" s="60" t="str">
        <f t="shared" si="302"/>
        <v/>
      </c>
      <c r="FM161" s="60" t="e">
        <f>IF($FL161="",#N/A,SUM($FL$4:FL161))</f>
        <v>#N/A</v>
      </c>
      <c r="FN161" s="82">
        <f t="shared" si="303"/>
        <v>-0.36879683719832418</v>
      </c>
      <c r="FO161" s="82">
        <f>IF($FN161="",#N/A,SUM(FN$4:$FN161))</f>
        <v>27.723429723346513</v>
      </c>
      <c r="FP161" s="82">
        <f t="shared" si="324"/>
        <v>-0.27438484687555281</v>
      </c>
      <c r="FQ161" s="246">
        <f>IF($EH161="",#N/A,SUM($FP$4:FP161))</f>
        <v>20.158069249647554</v>
      </c>
      <c r="FR161" s="82">
        <f>IFERROR(FQ161/COUNTA($J$4:J161),#N/A)</f>
        <v>0.12758271676992122</v>
      </c>
      <c r="FS161" s="82">
        <f t="shared" si="330"/>
        <v>2.3781986602612406E-2</v>
      </c>
      <c r="FT161" s="82">
        <f t="shared" si="328"/>
        <v>-0.20047005346133248</v>
      </c>
      <c r="FU161" s="337">
        <f t="shared" si="331"/>
        <v>10.692309742072473</v>
      </c>
      <c r="FV161" s="57" t="str">
        <f t="shared" si="305"/>
        <v>Dwn</v>
      </c>
      <c r="FW161" s="57" t="s">
        <v>2734</v>
      </c>
      <c r="FX161" s="57" t="str">
        <f t="shared" si="306"/>
        <v/>
      </c>
      <c r="FY161" s="57">
        <f t="shared" si="307"/>
        <v>1</v>
      </c>
      <c r="FZ161" s="57" t="str">
        <f t="shared" si="308"/>
        <v/>
      </c>
      <c r="GA161" s="57" t="str">
        <f t="shared" si="309"/>
        <v>Short</v>
      </c>
      <c r="GB161" s="57" t="str">
        <f t="shared" si="310"/>
        <v/>
      </c>
      <c r="GC161" s="57" t="str">
        <f t="shared" si="311"/>
        <v/>
      </c>
      <c r="GD161" s="57" t="str">
        <f t="shared" si="312"/>
        <v/>
      </c>
      <c r="GE161" s="62">
        <f t="shared" si="227"/>
        <v>56.49</v>
      </c>
      <c r="GF161" s="62" t="s">
        <v>2780</v>
      </c>
      <c r="GG161" s="199">
        <v>7</v>
      </c>
      <c r="GH161" s="207">
        <f t="shared" si="313"/>
        <v>395.43</v>
      </c>
      <c r="GI161" s="199">
        <v>7</v>
      </c>
      <c r="GJ161" s="200">
        <v>57.5</v>
      </c>
      <c r="GK161" s="63">
        <f t="shared" si="314"/>
        <v>-7.0699999999999932</v>
      </c>
      <c r="GL161" s="63">
        <f t="shared" si="228"/>
        <v>-8.75</v>
      </c>
      <c r="GM161" s="82" t="str">
        <f t="shared" si="315"/>
        <v/>
      </c>
      <c r="GN161" s="82">
        <f>IF($GZ161="",#N/A,SUM(GM$4:GM161))</f>
        <v>9.6815008752359546</v>
      </c>
      <c r="GO161" s="82" t="str">
        <f t="shared" si="316"/>
        <v/>
      </c>
      <c r="GP161" s="82">
        <f>IF($GZ161="",#N/A,SUM(GO$4:GO161))</f>
        <v>10.358429953973376</v>
      </c>
      <c r="GQ161" s="82">
        <f t="shared" si="317"/>
        <v>-0.36879683719832418</v>
      </c>
      <c r="GR161" s="82">
        <f>IF($GZ161="",#N/A,SUM(GQ$4:GQ161))</f>
        <v>7.0576619396948441</v>
      </c>
      <c r="GS161" s="63" t="str">
        <f t="shared" si="325"/>
        <v/>
      </c>
      <c r="GT161" s="63" t="e">
        <f>IF($GZ161="",#N/A,SUM(GS$4:GS161))</f>
        <v>#N/A</v>
      </c>
      <c r="GU161" s="63" t="str">
        <f t="shared" si="326"/>
        <v/>
      </c>
      <c r="GV161" s="63" t="e">
        <f>IF($GZ161="",#N/A,SUM(GU$4:GU161))</f>
        <v>#N/A</v>
      </c>
      <c r="GW161" s="63" t="e">
        <f t="shared" si="327"/>
        <v>#N/A</v>
      </c>
      <c r="GX161" s="63" t="e">
        <f>IF($GZ161="",#N/A,SUM(GW$4:GW161))</f>
        <v>#N/A</v>
      </c>
      <c r="GY161" s="63" t="e">
        <f>IF(EJ161="",#N/A,SUM($EJ$4:EJ161))</f>
        <v>#N/A</v>
      </c>
      <c r="GZ161" s="159">
        <v>57.74</v>
      </c>
      <c r="HA161" s="63">
        <f t="shared" si="318"/>
        <v>-2.2400000000000091</v>
      </c>
      <c r="HB161" s="62" t="s">
        <v>2538</v>
      </c>
      <c r="HC161" s="60">
        <f>IFERROR(VLOOKUP(E161,Expectancy!$P$4:$S$19,1+C161,FALSE),"")</f>
        <v>0.30769020202715358</v>
      </c>
      <c r="HD161" s="82">
        <f t="shared" si="319"/>
        <v>-0.29798784445624565</v>
      </c>
      <c r="HE161" s="60">
        <f>IF(HD161="",#N/A,SUM($HD$4:HD161))</f>
        <v>-5.0642404924249194</v>
      </c>
      <c r="HF161" s="85">
        <f>IF(HD161="",#N/A,IF(HB161="Skip",#N/A,SUM($HG$4:HG161)))</f>
        <v>-104.77000000000015</v>
      </c>
      <c r="HG161" s="63">
        <f t="shared" si="320"/>
        <v>-7.0699999999999932</v>
      </c>
      <c r="HH161" s="82">
        <f t="shared" si="321"/>
        <v>-0.36879683719832418</v>
      </c>
    </row>
    <row r="162" spans="1:216" x14ac:dyDescent="0.25">
      <c r="A162" s="57" t="s">
        <v>89</v>
      </c>
      <c r="B162" s="58" t="s">
        <v>5183</v>
      </c>
      <c r="C162" s="386">
        <f t="shared" si="230"/>
        <v>1</v>
      </c>
      <c r="D162" s="372" t="str">
        <f>_xlfn.XLOOKUP(A162,[1]SP500!$A$2:$A$502,[1]SP500!$D$2:$D$502,"N")</f>
        <v>Y</v>
      </c>
      <c r="E162" s="57" t="str">
        <f>_xlfn.XLOOKUP(A162,[1]SP500!$A$2:$A$655,[1]SP500!$B$2:$B$655)</f>
        <v>IGV</v>
      </c>
      <c r="F162" s="59">
        <v>45691</v>
      </c>
      <c r="G162" s="57" t="str">
        <f t="shared" si="231"/>
        <v>AMC</v>
      </c>
      <c r="H162" s="57" t="str">
        <f t="shared" si="232"/>
        <v>s</v>
      </c>
      <c r="I162" s="159">
        <v>83.74</v>
      </c>
      <c r="J162" s="158">
        <v>102.8</v>
      </c>
      <c r="K162" s="61">
        <f t="shared" si="233"/>
        <v>0.22760926677812279</v>
      </c>
      <c r="L162" s="87">
        <f t="shared" si="234"/>
        <v>95.300000000000011</v>
      </c>
      <c r="M162" s="130">
        <f t="shared" si="226"/>
        <v>0</v>
      </c>
      <c r="N162" s="169">
        <f t="shared" si="235"/>
        <v>95.300000000000011</v>
      </c>
      <c r="O162" s="169">
        <f>IF($J162="",#N/A,SUM($N$4:N162))</f>
        <v>339.33976368961373</v>
      </c>
      <c r="P162" s="174" t="str">
        <f t="shared" si="236"/>
        <v/>
      </c>
      <c r="Q162" s="174">
        <f>IF($J162="",#N/A,SUM($P$4:P162))</f>
        <v>81.551040237726397</v>
      </c>
      <c r="R162" s="178" t="str">
        <f t="shared" si="237"/>
        <v/>
      </c>
      <c r="S162" s="178">
        <f>IF($J162="",#N/A,SUM($R$4:R162))</f>
        <v>192.66873610246864</v>
      </c>
      <c r="T162" s="290">
        <f t="shared" si="238"/>
        <v>3.7934877796353796</v>
      </c>
      <c r="U162" s="290">
        <f>IF($J162="",#N/A,SUM($T$4:T162))</f>
        <v>12.990954777900674</v>
      </c>
      <c r="V162" s="291" t="str">
        <f t="shared" si="239"/>
        <v/>
      </c>
      <c r="W162" s="291">
        <f>IF($J162="",#N/A,SUM($V$4:V162))</f>
        <v>3.3169307171934124</v>
      </c>
      <c r="X162" s="292" t="str">
        <f t="shared" si="240"/>
        <v/>
      </c>
      <c r="Y162" s="283">
        <f>IF($J162="",#N/A,SUM($X$4:X162))</f>
        <v>7.6436715341888339</v>
      </c>
      <c r="Z162" s="304" t="str">
        <f t="shared" si="241"/>
        <v/>
      </c>
      <c r="AA162" s="313" t="e">
        <f>IF($J162="",#N/A,SUM(Z$4:Z162))</f>
        <v>#N/A</v>
      </c>
      <c r="AB162" s="314" t="str">
        <f t="shared" si="242"/>
        <v/>
      </c>
      <c r="AC162" s="314" t="e">
        <f>IF($J162="",#N/A,SUM(AB$4:AB162))</f>
        <v>#N/A</v>
      </c>
      <c r="AD162" s="315" t="str">
        <f t="shared" si="243"/>
        <v/>
      </c>
      <c r="AE162" s="315" t="e">
        <f>IF($J162="",#N/A,SUM(AD$4:AD162))</f>
        <v>#N/A</v>
      </c>
      <c r="AF162" s="315" t="e">
        <f>IF($J162="",#N/A,SUM(AD$4:AD162,AB$4:AB162,Z$4:Z162))</f>
        <v>#N/A</v>
      </c>
      <c r="AG162" s="304">
        <f t="shared" si="244"/>
        <v>3.7934877796353796</v>
      </c>
      <c r="AH162" s="313" t="e">
        <f>IF($J162="",#N/A,SUM(AG$4:AG162))</f>
        <v>#N/A</v>
      </c>
      <c r="AI162" s="314" t="str">
        <f t="shared" si="245"/>
        <v/>
      </c>
      <c r="AJ162" s="314" t="e">
        <f>IF($J162="",#N/A,SUM(AI$4:AI162))</f>
        <v>#N/A</v>
      </c>
      <c r="AK162" s="315" t="str">
        <f t="shared" si="246"/>
        <v/>
      </c>
      <c r="AL162" s="315" t="e">
        <f>IF($J162="",#N/A,SUM(AK$4:AK162))</f>
        <v>#N/A</v>
      </c>
      <c r="AM162" s="315" t="e">
        <f>IF($J162="",#N/A,SUM(AK$4:AK162,AI$4:AI162,AG$4:AG162))</f>
        <v>#N/A</v>
      </c>
      <c r="AN162" s="304" t="str">
        <f t="shared" si="247"/>
        <v/>
      </c>
      <c r="AO162" s="313" t="e">
        <f>IF($J162="",#N/A,SUM(AN$4:AN162))</f>
        <v>#N/A</v>
      </c>
      <c r="AP162" s="314" t="str">
        <f t="shared" si="248"/>
        <v/>
      </c>
      <c r="AQ162" s="314" t="e">
        <f>IF($J162="",#N/A,SUM(AP$4:AP162))</f>
        <v>#N/A</v>
      </c>
      <c r="AR162" s="315" t="str">
        <f t="shared" si="249"/>
        <v/>
      </c>
      <c r="AS162" s="315" t="e">
        <f>IF($J162="",#N/A,SUM(AR$4:AR162))</f>
        <v>#N/A</v>
      </c>
      <c r="AT162" s="315" t="e">
        <f>IF($J162="",#N/A,SUM(AR$4:AR162,AP$4:AP162,AN$4:AN162))</f>
        <v>#N/A</v>
      </c>
      <c r="AU162" s="304" t="str">
        <f t="shared" si="250"/>
        <v/>
      </c>
      <c r="AV162" s="313" t="e">
        <f>IF($J162="",#N/A,SUM(AU$4:AU162))</f>
        <v>#N/A</v>
      </c>
      <c r="AW162" s="314" t="str">
        <f t="shared" si="251"/>
        <v/>
      </c>
      <c r="AX162" s="314" t="e">
        <f>IF($J162="",#N/A,SUM(AW$4:AW162))</f>
        <v>#N/A</v>
      </c>
      <c r="AY162" s="315" t="str">
        <f t="shared" si="252"/>
        <v/>
      </c>
      <c r="AZ162" s="315" t="e">
        <f>IF($J162="",#N/A,SUM(AY$4:AY162))</f>
        <v>#N/A</v>
      </c>
      <c r="BA162" s="315" t="e">
        <f>IF($J162="",#N/A,SUM(AY$4:AY162,AW$4:AW162,AU$4:AU162))</f>
        <v>#N/A</v>
      </c>
      <c r="BB162" s="304" t="str">
        <f t="shared" si="253"/>
        <v/>
      </c>
      <c r="BC162" s="313" t="e">
        <f>IF($J162="",#N/A,SUM(BB$4:BB162))</f>
        <v>#N/A</v>
      </c>
      <c r="BD162" s="314" t="str">
        <f t="shared" si="254"/>
        <v/>
      </c>
      <c r="BE162" s="314" t="e">
        <f>IF($J162="",#N/A,SUM(BD$4:BD162))</f>
        <v>#N/A</v>
      </c>
      <c r="BF162" s="315" t="str">
        <f t="shared" si="255"/>
        <v/>
      </c>
      <c r="BG162" s="315" t="e">
        <f>IF($J162="",#N/A,SUM(BF$4:BF162))</f>
        <v>#N/A</v>
      </c>
      <c r="BH162" s="315" t="e">
        <f>IF($J162="",#N/A,SUM(BF$4:BF162,BD$4:BD162,BB$4:BB162))</f>
        <v>#N/A</v>
      </c>
      <c r="BI162" s="304" t="str">
        <f t="shared" si="256"/>
        <v/>
      </c>
      <c r="BJ162" s="313" t="e">
        <f>IF($J162="",#N/A,SUM(BI$4:BI162))</f>
        <v>#N/A</v>
      </c>
      <c r="BK162" s="314" t="str">
        <f t="shared" si="257"/>
        <v/>
      </c>
      <c r="BL162" s="314" t="e">
        <f>IF($J162="",#N/A,SUM(BK$4:BK162))</f>
        <v>#N/A</v>
      </c>
      <c r="BM162" s="315" t="str">
        <f t="shared" si="258"/>
        <v/>
      </c>
      <c r="BN162" s="315" t="e">
        <f>IF($J162="",#N/A,SUM(BM$4:BM162))</f>
        <v>#N/A</v>
      </c>
      <c r="BO162" s="315" t="e">
        <f>IF($J162="",#N/A,SUM(BM$4:BM162,BK$4:BK162,BI$4:BI162))</f>
        <v>#N/A</v>
      </c>
      <c r="BP162" s="304" t="str">
        <f t="shared" si="259"/>
        <v/>
      </c>
      <c r="BQ162" s="313" t="e">
        <f>IF($J162="",#N/A,SUM(BP$4:BP162))</f>
        <v>#N/A</v>
      </c>
      <c r="BR162" s="314" t="str">
        <f t="shared" si="260"/>
        <v/>
      </c>
      <c r="BS162" s="314" t="e">
        <f>IF($J162="",#N/A,SUM(BR$4:BR162))</f>
        <v>#N/A</v>
      </c>
      <c r="BT162" s="315" t="str">
        <f t="shared" si="261"/>
        <v/>
      </c>
      <c r="BU162" s="315" t="e">
        <f>IF($J162="",#N/A,SUM(BT$4:BT162))</f>
        <v>#N/A</v>
      </c>
      <c r="BV162" s="315" t="e">
        <f>IF($J162="",#N/A,SUM(BT$4:BT162,BR$4:BR162,BP$4:BP162))</f>
        <v>#N/A</v>
      </c>
      <c r="BW162" s="304" t="str">
        <f t="shared" si="262"/>
        <v/>
      </c>
      <c r="BX162" s="313" t="e">
        <f>IF($J162="",#N/A,SUM(BW$4:BW162))</f>
        <v>#N/A</v>
      </c>
      <c r="BY162" s="314" t="str">
        <f t="shared" si="263"/>
        <v/>
      </c>
      <c r="BZ162" s="314" t="e">
        <f>IF($J162="",#N/A,SUM(BY$4:BY162))</f>
        <v>#N/A</v>
      </c>
      <c r="CA162" s="315" t="str">
        <f t="shared" si="264"/>
        <v/>
      </c>
      <c r="CB162" s="315" t="e">
        <f>IF($J162="",#N/A,SUM(CA$4:CA162))</f>
        <v>#N/A</v>
      </c>
      <c r="CC162" s="315" t="e">
        <f>IF($J162="",#N/A,SUM(CA$4:CA162,BY$4:BY162,BW$4:BW162))</f>
        <v>#N/A</v>
      </c>
      <c r="CD162" s="304" t="str">
        <f t="shared" si="265"/>
        <v/>
      </c>
      <c r="CE162" s="313" t="e">
        <f>IF($J162="",#N/A,SUM(CD$4:CD162))</f>
        <v>#N/A</v>
      </c>
      <c r="CF162" s="314" t="str">
        <f t="shared" si="266"/>
        <v/>
      </c>
      <c r="CG162" s="314" t="e">
        <f>IF($J162="",#N/A,SUM(CF$4:CF162))</f>
        <v>#N/A</v>
      </c>
      <c r="CH162" s="315" t="str">
        <f t="shared" si="267"/>
        <v/>
      </c>
      <c r="CI162" s="315" t="e">
        <f>IF($J162="",#N/A,SUM(CH$4:CH162))</f>
        <v>#N/A</v>
      </c>
      <c r="CJ162" s="315" t="e">
        <f>IF($J162="",#N/A,SUM(CH$4:CH162,CF$4:CF162,CD$4:CD162))</f>
        <v>#N/A</v>
      </c>
      <c r="CK162" s="304" t="str">
        <f t="shared" si="268"/>
        <v/>
      </c>
      <c r="CL162" s="313" t="e">
        <f>IF($J162="",#N/A,SUM(CK$4:CK162))</f>
        <v>#N/A</v>
      </c>
      <c r="CM162" s="314" t="str">
        <f t="shared" si="269"/>
        <v/>
      </c>
      <c r="CN162" s="314" t="e">
        <f>IF($J162="",#N/A,SUM(CM$4:CM162))</f>
        <v>#N/A</v>
      </c>
      <c r="CO162" s="315" t="str">
        <f t="shared" si="270"/>
        <v/>
      </c>
      <c r="CP162" s="315" t="e">
        <f>IF($J162="",#N/A,SUM(CO$4:CO162))</f>
        <v>#N/A</v>
      </c>
      <c r="CQ162" s="315" t="e">
        <f>IF($J162="",#N/A,SUM(CO$4:CO162,CM$4:CM162,CK$4:CK162))</f>
        <v>#N/A</v>
      </c>
      <c r="CR162" s="304" t="str">
        <f t="shared" si="271"/>
        <v/>
      </c>
      <c r="CS162" s="313" t="e">
        <f>IF($J162="",#N/A,SUM(CR$4:CR162))</f>
        <v>#N/A</v>
      </c>
      <c r="CT162" s="314" t="str">
        <f t="shared" si="272"/>
        <v/>
      </c>
      <c r="CU162" s="314" t="e">
        <f>IF($J162="",#N/A,SUM(CT$4:CT162))</f>
        <v>#N/A</v>
      </c>
      <c r="CV162" s="315" t="str">
        <f t="shared" si="273"/>
        <v/>
      </c>
      <c r="CW162" s="315" t="e">
        <f>IF($J162="",#N/A,SUM(CV$4:CV162))</f>
        <v>#N/A</v>
      </c>
      <c r="CX162" s="315" t="e">
        <f>IF($J162="",#N/A,SUM(CV$4:CV162,CT$4:CT162,CR$4:CR162))</f>
        <v>#N/A</v>
      </c>
      <c r="CY162" s="304" t="str">
        <f t="shared" si="274"/>
        <v/>
      </c>
      <c r="CZ162" s="313" t="e">
        <f>IF($J162="",#N/A,SUM(CY$4:CY162))</f>
        <v>#N/A</v>
      </c>
      <c r="DA162" s="314" t="str">
        <f t="shared" si="275"/>
        <v/>
      </c>
      <c r="DB162" s="314" t="e">
        <f>IF($J162="",#N/A,SUM(DA$4:DA162))</f>
        <v>#N/A</v>
      </c>
      <c r="DC162" s="315" t="str">
        <f t="shared" si="276"/>
        <v/>
      </c>
      <c r="DD162" s="315" t="e">
        <f>IF($J162="",#N/A,SUM(DC$4:DC162))</f>
        <v>#N/A</v>
      </c>
      <c r="DE162" s="315" t="e">
        <f>IF($J162="",#N/A,SUM(DC$4:DC162,DA$4:DA162,CY$4:CY162))</f>
        <v>#N/A</v>
      </c>
      <c r="DF162" s="304" t="str">
        <f t="shared" si="277"/>
        <v/>
      </c>
      <c r="DG162" s="313" t="e">
        <f>IF($J162="",#N/A,SUM(DF$4:DF162))</f>
        <v>#N/A</v>
      </c>
      <c r="DH162" s="314" t="str">
        <f t="shared" si="278"/>
        <v/>
      </c>
      <c r="DI162" s="314" t="e">
        <f>IF($J162="",#N/A,SUM(DH$4:DH162))</f>
        <v>#N/A</v>
      </c>
      <c r="DJ162" s="315" t="str">
        <f t="shared" si="279"/>
        <v/>
      </c>
      <c r="DK162" s="315" t="e">
        <f>IF($J162="",#N/A,SUM(DJ$4:DJ162))</f>
        <v>#N/A</v>
      </c>
      <c r="DL162" s="315" t="e">
        <f>IF($J162="",#N/A,SUM(DJ$4:DJ162,DH$4:DH162,DF$4:DF162))</f>
        <v>#N/A</v>
      </c>
      <c r="DM162" s="304" t="str">
        <f t="shared" si="280"/>
        <v/>
      </c>
      <c r="DN162" s="313" t="e">
        <f>IF($J162="",#N/A,SUM(DM$4:DM162))</f>
        <v>#N/A</v>
      </c>
      <c r="DO162" s="314" t="str">
        <f t="shared" si="281"/>
        <v/>
      </c>
      <c r="DP162" s="314" t="e">
        <f>IF($J162="",#N/A,SUM(DO$4:DO162))</f>
        <v>#N/A</v>
      </c>
      <c r="DQ162" s="315" t="str">
        <f t="shared" si="282"/>
        <v/>
      </c>
      <c r="DR162" s="315" t="e">
        <f>IF($J162="",#N/A,SUM(DQ$4:DQ162))</f>
        <v>#N/A</v>
      </c>
      <c r="DS162" s="315" t="e">
        <f>IF($J162="",#N/A,SUM(DQ$4:DQ162,DO$4:DO162,DM$4:DM162))</f>
        <v>#N/A</v>
      </c>
      <c r="DT162" s="304" t="str">
        <f t="shared" si="283"/>
        <v/>
      </c>
      <c r="DU162" s="313" t="e">
        <f>IF($J162="",#N/A,SUM(DT$4:DT162))</f>
        <v>#N/A</v>
      </c>
      <c r="DV162" s="314" t="str">
        <f t="shared" si="284"/>
        <v/>
      </c>
      <c r="DW162" s="314" t="e">
        <f>IF($J162="",#N/A,SUM(DV$4:DV162))</f>
        <v>#N/A</v>
      </c>
      <c r="DX162" s="315" t="str">
        <f t="shared" si="285"/>
        <v/>
      </c>
      <c r="DY162" s="315" t="e">
        <f>IF($J162="",#N/A,SUM(DX$4:DX162))</f>
        <v>#N/A</v>
      </c>
      <c r="DZ162" s="315" t="e">
        <f>IF($J162="",#N/A,SUM(DX$4:DX162,DV$4:DV162,DT$4:DT162))</f>
        <v>#N/A</v>
      </c>
      <c r="EA162" s="304" t="str">
        <f t="shared" si="286"/>
        <v/>
      </c>
      <c r="EB162" s="313" t="e">
        <f>IF($J162="",#N/A,SUM(EA$4:EA162))</f>
        <v>#N/A</v>
      </c>
      <c r="EC162" s="314" t="str">
        <f t="shared" si="287"/>
        <v/>
      </c>
      <c r="ED162" s="314" t="e">
        <f>IF($J162="",#N/A,SUM(EC$4:EC162))</f>
        <v>#N/A</v>
      </c>
      <c r="EE162" s="315" t="str">
        <f t="shared" si="288"/>
        <v/>
      </c>
      <c r="EF162" s="315" t="e">
        <f>IF($J162="",#N/A,SUM(EE$4:EE162))</f>
        <v>#N/A</v>
      </c>
      <c r="EG162" s="315" t="e">
        <f>IF($J162="",#N/A,SUM(EE$4:EE162,EC$4:EC162,EA$4:EA162))</f>
        <v>#N/A</v>
      </c>
      <c r="EH162" s="130">
        <f t="shared" si="289"/>
        <v>95.300000000000011</v>
      </c>
      <c r="EI162" s="63">
        <f>IF(EH162="",#N/A,SUM($EH$4:EH162))</f>
        <v>613.55954002980889</v>
      </c>
      <c r="EJ162" s="223" t="e">
        <f t="shared" si="290"/>
        <v>#N/A</v>
      </c>
      <c r="EK162" s="63" t="e">
        <f>IF($GZ162="",#N/A,SUM(EJ$4:EJ162))</f>
        <v>#N/A</v>
      </c>
      <c r="EL162" s="60">
        <f t="shared" si="322"/>
        <v>3.7934877796353796</v>
      </c>
      <c r="EM162" s="60">
        <f>IF(EL162="",NA(),SUM($EL$4:EL162))</f>
        <v>20.290768965801664</v>
      </c>
      <c r="EN162" s="60">
        <f t="shared" si="291"/>
        <v>3.7934877796353796</v>
      </c>
      <c r="EO162" s="60">
        <f>IF(EN162="",NA(),SUM($EN$4:EN162))</f>
        <v>9.1048052470421759</v>
      </c>
      <c r="EP162" s="60" t="str">
        <f t="shared" si="292"/>
        <v/>
      </c>
      <c r="EQ162" s="60" t="e">
        <f>IF(EP162="",NA(),SUM($EP$4:EP162))</f>
        <v>#N/A</v>
      </c>
      <c r="ER162" s="60" t="str">
        <f t="shared" si="293"/>
        <v/>
      </c>
      <c r="ES162" s="60" t="e">
        <f>IF(ER162="",NA(),SUM($ER$4:ER162))</f>
        <v>#N/A</v>
      </c>
      <c r="ET162" s="60" t="str">
        <f t="shared" si="294"/>
        <v/>
      </c>
      <c r="EU162" s="60" t="e">
        <f>IF(ET162="",NA(),SUM($ET$4:ET162))</f>
        <v>#N/A</v>
      </c>
      <c r="EV162" s="60" t="str">
        <f t="shared" si="295"/>
        <v/>
      </c>
      <c r="EW162" s="60" t="e">
        <f>IF(EV162="",NA(),SUM($EV$4:EV162))</f>
        <v>#N/A</v>
      </c>
      <c r="EX162" s="60" t="str">
        <f t="shared" si="296"/>
        <v/>
      </c>
      <c r="EY162" s="60" t="e">
        <f>IF(EX162="",NA(),SUM($EX$4:EX162))</f>
        <v>#N/A</v>
      </c>
      <c r="EZ162" s="60" t="str">
        <f t="shared" si="297"/>
        <v/>
      </c>
      <c r="FA162" s="60" t="e">
        <f>IF(EZ162="",NA(),SUM($EZ$4:EZ162))</f>
        <v>#N/A</v>
      </c>
      <c r="FB162" s="246" t="str">
        <f t="shared" si="323"/>
        <v/>
      </c>
      <c r="FC162" s="246" t="e">
        <f>IF($FB162="",#N/A,SUM(FB$4:$FB162))</f>
        <v>#N/A</v>
      </c>
      <c r="FD162" s="60" t="str">
        <f t="shared" si="298"/>
        <v/>
      </c>
      <c r="FE162" s="60" t="e">
        <f>IF($FD162="",#N/A,SUM($FD$4:FD162))</f>
        <v>#N/A</v>
      </c>
      <c r="FF162" s="60">
        <f t="shared" si="299"/>
        <v>0.20499960194251976</v>
      </c>
      <c r="FG162" s="60">
        <f>IF($FF162="",#N/A,SUM($FF$4:FF162))</f>
        <v>-0.10598188104033412</v>
      </c>
      <c r="FH162" s="60" t="str">
        <f t="shared" si="300"/>
        <v/>
      </c>
      <c r="FI162" s="60" t="e">
        <f>IF($FH162="",#N/A,SUM($FH$4:FH162))</f>
        <v>#N/A</v>
      </c>
      <c r="FJ162" s="60" t="str">
        <f t="shared" si="301"/>
        <v/>
      </c>
      <c r="FK162" s="60" t="e">
        <f>IF($FJ162="",#N/A,SUM($FJ$4:FJ162))</f>
        <v>#N/A</v>
      </c>
      <c r="FL162" s="60" t="str">
        <f t="shared" si="302"/>
        <v/>
      </c>
      <c r="FM162" s="60" t="e">
        <f>IF($FL162="",#N/A,SUM($FL$4:FL162))</f>
        <v>#N/A</v>
      </c>
      <c r="FN162" s="82">
        <f t="shared" si="303"/>
        <v>3.9984873815778994</v>
      </c>
      <c r="FO162" s="82">
        <f>IF($FN162="",#N/A,SUM(FN$4:$FN162))</f>
        <v>31.721917104924412</v>
      </c>
      <c r="FP162" s="82">
        <f t="shared" si="324"/>
        <v>3.7934877796353796</v>
      </c>
      <c r="FQ162" s="246">
        <f>IF($EH162="",#N/A,SUM($FP$4:FP162))</f>
        <v>23.951557029282935</v>
      </c>
      <c r="FR162" s="82">
        <f>IFERROR(FQ162/COUNTA($J$4:J162),#N/A)</f>
        <v>0.15063872345460966</v>
      </c>
      <c r="FS162" s="82">
        <f t="shared" si="330"/>
        <v>0.10055833560191346</v>
      </c>
      <c r="FT162" s="82">
        <f t="shared" si="328"/>
        <v>-4.1967233017942363E-4</v>
      </c>
      <c r="FU162" s="337">
        <f t="shared" si="331"/>
        <v>10.692309742072476</v>
      </c>
      <c r="FV162" s="57" t="str">
        <f t="shared" si="305"/>
        <v>Up</v>
      </c>
      <c r="FW162" s="57" t="s">
        <v>2733</v>
      </c>
      <c r="FX162" s="57">
        <f t="shared" si="306"/>
        <v>1</v>
      </c>
      <c r="FY162" s="57" t="str">
        <f t="shared" si="307"/>
        <v/>
      </c>
      <c r="FZ162" s="57" t="str">
        <f t="shared" si="308"/>
        <v/>
      </c>
      <c r="GA162" s="57" t="str">
        <f t="shared" si="309"/>
        <v>Long</v>
      </c>
      <c r="GB162" s="57" t="str">
        <f t="shared" si="310"/>
        <v/>
      </c>
      <c r="GC162" s="57" t="str">
        <f t="shared" si="311"/>
        <v/>
      </c>
      <c r="GD162" s="57" t="str">
        <f t="shared" si="312"/>
        <v/>
      </c>
      <c r="GE162" s="62">
        <f t="shared" si="227"/>
        <v>83.74</v>
      </c>
      <c r="GF162" s="62" t="s">
        <v>2779</v>
      </c>
      <c r="GG162" s="199">
        <v>5</v>
      </c>
      <c r="GH162" s="207">
        <f t="shared" si="313"/>
        <v>418.7</v>
      </c>
      <c r="GI162" s="199">
        <v>5</v>
      </c>
      <c r="GJ162" s="200">
        <v>102.8</v>
      </c>
      <c r="GK162" s="63">
        <f t="shared" si="314"/>
        <v>95.300000000000011</v>
      </c>
      <c r="GL162" s="63">
        <f t="shared" si="228"/>
        <v>100.44999999999999</v>
      </c>
      <c r="GM162" s="82" t="str">
        <f t="shared" si="315"/>
        <v/>
      </c>
      <c r="GN162" s="82">
        <f>IF($GZ162="",#N/A,SUM(GM$4:GM162))</f>
        <v>9.6815008752359546</v>
      </c>
      <c r="GO162" s="82">
        <f t="shared" si="316"/>
        <v>3.9984873815778994</v>
      </c>
      <c r="GP162" s="82">
        <f>IF($GZ162="",#N/A,SUM(GO$4:GO162))</f>
        <v>14.356917335551275</v>
      </c>
      <c r="GQ162" s="82" t="str">
        <f t="shared" si="317"/>
        <v/>
      </c>
      <c r="GR162" s="82">
        <f>IF($GZ162="",#N/A,SUM(GQ$4:GQ162))</f>
        <v>7.0576619396948441</v>
      </c>
      <c r="GS162" s="63" t="str">
        <f t="shared" si="325"/>
        <v/>
      </c>
      <c r="GT162" s="63" t="e">
        <f>IF($GZ162="",#N/A,SUM(GS$4:GS162))</f>
        <v>#N/A</v>
      </c>
      <c r="GU162" s="63" t="e">
        <f t="shared" si="326"/>
        <v>#N/A</v>
      </c>
      <c r="GV162" s="63" t="e">
        <f>IF($GZ162="",#N/A,SUM(GU$4:GU162))</f>
        <v>#N/A</v>
      </c>
      <c r="GW162" s="63" t="str">
        <f t="shared" si="327"/>
        <v/>
      </c>
      <c r="GX162" s="63" t="e">
        <f>IF($GZ162="",#N/A,SUM(GW$4:GW162))</f>
        <v>#N/A</v>
      </c>
      <c r="GY162" s="63" t="e">
        <f>IF(EJ162="",#N/A,SUM($EJ$4:EJ162))</f>
        <v>#N/A</v>
      </c>
      <c r="GZ162" s="159">
        <v>103.83</v>
      </c>
      <c r="HA162" s="63">
        <f t="shared" si="318"/>
        <v>5.1499999999999773</v>
      </c>
      <c r="HB162" s="62" t="s">
        <v>2538</v>
      </c>
      <c r="HC162" s="60">
        <f>IFERROR(VLOOKUP(E162,Expectancy!$P$4:$S$19,1+C162,FALSE),"")</f>
        <v>1.0051961559281768</v>
      </c>
      <c r="HD162" s="82">
        <f t="shared" si="319"/>
        <v>3.7934877796353796</v>
      </c>
      <c r="HE162" s="60">
        <f>IF(HD162="",#N/A,SUM($HD$4:HD162))</f>
        <v>-1.2707527127895397</v>
      </c>
      <c r="HF162" s="85">
        <f>IF(HD162="",#N/A,IF(HB162="Skip",#N/A,SUM($HG$4:HG162)))</f>
        <v>-9.470000000000141</v>
      </c>
      <c r="HG162" s="63">
        <f t="shared" si="320"/>
        <v>95.300000000000011</v>
      </c>
      <c r="HH162" s="82">
        <f t="shared" si="321"/>
        <v>3.9984873815778994</v>
      </c>
    </row>
    <row r="163" spans="1:216" x14ac:dyDescent="0.25">
      <c r="A163" s="57" t="s">
        <v>120</v>
      </c>
      <c r="B163" s="58" t="s">
        <v>5184</v>
      </c>
      <c r="C163" s="386">
        <f t="shared" si="230"/>
        <v>2</v>
      </c>
      <c r="D163" s="372" t="str">
        <f>_xlfn.XLOOKUP(A163,[1]SP500!$A$2:$A$502,[1]SP500!$D$2:$D$502,"N")</f>
        <v>Y</v>
      </c>
      <c r="E163" s="57" t="str">
        <f>_xlfn.XLOOKUP(A163,[1]SP500!$A$2:$A$655,[1]SP500!$B$2:$B$655)</f>
        <v>SMH</v>
      </c>
      <c r="F163" s="59">
        <v>45691</v>
      </c>
      <c r="G163" s="57" t="str">
        <f t="shared" si="231"/>
        <v>AMC</v>
      </c>
      <c r="H163" s="57" t="str">
        <f t="shared" si="232"/>
        <v>s</v>
      </c>
      <c r="I163" s="159">
        <v>204.73</v>
      </c>
      <c r="J163" s="159">
        <v>207.84</v>
      </c>
      <c r="K163" s="61">
        <f t="shared" si="233"/>
        <v>1.5190739022126771E-2</v>
      </c>
      <c r="L163" s="87">
        <f t="shared" si="234"/>
        <v>-6.2200000000000273</v>
      </c>
      <c r="M163" s="130">
        <f t="shared" si="226"/>
        <v>-3.1399999999999864</v>
      </c>
      <c r="N163" s="169" t="str">
        <f t="shared" si="235"/>
        <v/>
      </c>
      <c r="O163" s="169">
        <f>IF($J163="",#N/A,SUM($N$4:N163))</f>
        <v>339.33976368961373</v>
      </c>
      <c r="P163" s="174">
        <f t="shared" si="236"/>
        <v>-6.2200000000000273</v>
      </c>
      <c r="Q163" s="174">
        <f>IF($J163="",#N/A,SUM($P$4:P163))</f>
        <v>75.33104023772637</v>
      </c>
      <c r="R163" s="178" t="str">
        <f t="shared" si="237"/>
        <v/>
      </c>
      <c r="S163" s="178">
        <f>IF($J163="",#N/A,SUM($R$4:R163))</f>
        <v>192.66873610246864</v>
      </c>
      <c r="T163" s="290" t="str">
        <f t="shared" si="238"/>
        <v/>
      </c>
      <c r="U163" s="290">
        <f>IF($J163="",#N/A,SUM($T$4:T163))</f>
        <v>12.990954777900674</v>
      </c>
      <c r="V163" s="291">
        <f t="shared" si="239"/>
        <v>-0.25317898370211284</v>
      </c>
      <c r="W163" s="291">
        <f>IF($J163="",#N/A,SUM($V$4:V163))</f>
        <v>3.0637517334912996</v>
      </c>
      <c r="X163" s="292" t="str">
        <f t="shared" si="240"/>
        <v/>
      </c>
      <c r="Y163" s="283">
        <f>IF($J163="",#N/A,SUM($X$4:X163))</f>
        <v>7.6436715341888339</v>
      </c>
      <c r="Z163" s="304" t="str">
        <f t="shared" si="241"/>
        <v/>
      </c>
      <c r="AA163" s="313" t="e">
        <f>IF($J163="",#N/A,SUM(Z$4:Z163))</f>
        <v>#N/A</v>
      </c>
      <c r="AB163" s="314" t="str">
        <f t="shared" si="242"/>
        <v/>
      </c>
      <c r="AC163" s="314" t="e">
        <f>IF($J163="",#N/A,SUM(AB$4:AB163))</f>
        <v>#N/A</v>
      </c>
      <c r="AD163" s="315" t="str">
        <f t="shared" si="243"/>
        <v/>
      </c>
      <c r="AE163" s="315" t="e">
        <f>IF($J163="",#N/A,SUM(AD$4:AD163))</f>
        <v>#N/A</v>
      </c>
      <c r="AF163" s="315" t="e">
        <f>IF($J163="",#N/A,SUM(AD$4:AD163,AB$4:AB163,Z$4:Z163))</f>
        <v>#N/A</v>
      </c>
      <c r="AG163" s="304" t="str">
        <f t="shared" si="244"/>
        <v/>
      </c>
      <c r="AH163" s="313" t="e">
        <f>IF($J163="",#N/A,SUM(AG$4:AG163))</f>
        <v>#N/A</v>
      </c>
      <c r="AI163" s="314" t="str">
        <f t="shared" si="245"/>
        <v/>
      </c>
      <c r="AJ163" s="314" t="e">
        <f>IF($J163="",#N/A,SUM(AI$4:AI163))</f>
        <v>#N/A</v>
      </c>
      <c r="AK163" s="315" t="str">
        <f t="shared" si="246"/>
        <v/>
      </c>
      <c r="AL163" s="315" t="e">
        <f>IF($J163="",#N/A,SUM(AK$4:AK163))</f>
        <v>#N/A</v>
      </c>
      <c r="AM163" s="315" t="e">
        <f>IF($J163="",#N/A,SUM(AK$4:AK163,AI$4:AI163,AG$4:AG163))</f>
        <v>#N/A</v>
      </c>
      <c r="AN163" s="304" t="str">
        <f t="shared" si="247"/>
        <v/>
      </c>
      <c r="AO163" s="313" t="e">
        <f>IF($J163="",#N/A,SUM(AN$4:AN163))</f>
        <v>#N/A</v>
      </c>
      <c r="AP163" s="314" t="str">
        <f t="shared" si="248"/>
        <v/>
      </c>
      <c r="AQ163" s="314" t="e">
        <f>IF($J163="",#N/A,SUM(AP$4:AP163))</f>
        <v>#N/A</v>
      </c>
      <c r="AR163" s="315" t="str">
        <f t="shared" si="249"/>
        <v/>
      </c>
      <c r="AS163" s="315" t="e">
        <f>IF($J163="",#N/A,SUM(AR$4:AR163))</f>
        <v>#N/A</v>
      </c>
      <c r="AT163" s="315" t="e">
        <f>IF($J163="",#N/A,SUM(AR$4:AR163,AP$4:AP163,AN$4:AN163))</f>
        <v>#N/A</v>
      </c>
      <c r="AU163" s="304" t="str">
        <f t="shared" si="250"/>
        <v/>
      </c>
      <c r="AV163" s="313" t="e">
        <f>IF($J163="",#N/A,SUM(AU$4:AU163))</f>
        <v>#N/A</v>
      </c>
      <c r="AW163" s="314" t="str">
        <f t="shared" si="251"/>
        <v/>
      </c>
      <c r="AX163" s="314" t="e">
        <f>IF($J163="",#N/A,SUM(AW$4:AW163))</f>
        <v>#N/A</v>
      </c>
      <c r="AY163" s="315" t="str">
        <f t="shared" si="252"/>
        <v/>
      </c>
      <c r="AZ163" s="315" t="e">
        <f>IF($J163="",#N/A,SUM(AY$4:AY163))</f>
        <v>#N/A</v>
      </c>
      <c r="BA163" s="315" t="e">
        <f>IF($J163="",#N/A,SUM(AY$4:AY163,AW$4:AW163,AU$4:AU163))</f>
        <v>#N/A</v>
      </c>
      <c r="BB163" s="304" t="str">
        <f t="shared" si="253"/>
        <v/>
      </c>
      <c r="BC163" s="313" t="e">
        <f>IF($J163="",#N/A,SUM(BB$4:BB163))</f>
        <v>#N/A</v>
      </c>
      <c r="BD163" s="314" t="str">
        <f t="shared" si="254"/>
        <v/>
      </c>
      <c r="BE163" s="314" t="e">
        <f>IF($J163="",#N/A,SUM(BD$4:BD163))</f>
        <v>#N/A</v>
      </c>
      <c r="BF163" s="315" t="str">
        <f t="shared" si="255"/>
        <v/>
      </c>
      <c r="BG163" s="315" t="e">
        <f>IF($J163="",#N/A,SUM(BF$4:BF163))</f>
        <v>#N/A</v>
      </c>
      <c r="BH163" s="315" t="e">
        <f>IF($J163="",#N/A,SUM(BF$4:BF163,BD$4:BD163,BB$4:BB163))</f>
        <v>#N/A</v>
      </c>
      <c r="BI163" s="304" t="str">
        <f t="shared" si="256"/>
        <v/>
      </c>
      <c r="BJ163" s="313" t="e">
        <f>IF($J163="",#N/A,SUM(BI$4:BI163))</f>
        <v>#N/A</v>
      </c>
      <c r="BK163" s="314" t="str">
        <f t="shared" si="257"/>
        <v/>
      </c>
      <c r="BL163" s="314" t="e">
        <f>IF($J163="",#N/A,SUM(BK$4:BK163))</f>
        <v>#N/A</v>
      </c>
      <c r="BM163" s="315" t="str">
        <f t="shared" si="258"/>
        <v/>
      </c>
      <c r="BN163" s="315" t="e">
        <f>IF($J163="",#N/A,SUM(BM$4:BM163))</f>
        <v>#N/A</v>
      </c>
      <c r="BO163" s="315" t="e">
        <f>IF($J163="",#N/A,SUM(BM$4:BM163,BK$4:BK163,BI$4:BI163))</f>
        <v>#N/A</v>
      </c>
      <c r="BP163" s="304" t="str">
        <f t="shared" si="259"/>
        <v/>
      </c>
      <c r="BQ163" s="313" t="e">
        <f>IF($J163="",#N/A,SUM(BP$4:BP163))</f>
        <v>#N/A</v>
      </c>
      <c r="BR163" s="314" t="str">
        <f t="shared" si="260"/>
        <v/>
      </c>
      <c r="BS163" s="314" t="e">
        <f>IF($J163="",#N/A,SUM(BR$4:BR163))</f>
        <v>#N/A</v>
      </c>
      <c r="BT163" s="315" t="str">
        <f t="shared" si="261"/>
        <v/>
      </c>
      <c r="BU163" s="315" t="e">
        <f>IF($J163="",#N/A,SUM(BT$4:BT163))</f>
        <v>#N/A</v>
      </c>
      <c r="BV163" s="315" t="e">
        <f>IF($J163="",#N/A,SUM(BT$4:BT163,BR$4:BR163,BP$4:BP163))</f>
        <v>#N/A</v>
      </c>
      <c r="BW163" s="304" t="str">
        <f t="shared" si="262"/>
        <v/>
      </c>
      <c r="BX163" s="313" t="e">
        <f>IF($J163="",#N/A,SUM(BW$4:BW163))</f>
        <v>#N/A</v>
      </c>
      <c r="BY163" s="314" t="str">
        <f t="shared" si="263"/>
        <v/>
      </c>
      <c r="BZ163" s="314" t="e">
        <f>IF($J163="",#N/A,SUM(BY$4:BY163))</f>
        <v>#N/A</v>
      </c>
      <c r="CA163" s="315" t="str">
        <f t="shared" si="264"/>
        <v/>
      </c>
      <c r="CB163" s="315" t="e">
        <f>IF($J163="",#N/A,SUM(CA$4:CA163))</f>
        <v>#N/A</v>
      </c>
      <c r="CC163" s="315" t="e">
        <f>IF($J163="",#N/A,SUM(CA$4:CA163,BY$4:BY163,BW$4:BW163))</f>
        <v>#N/A</v>
      </c>
      <c r="CD163" s="304" t="str">
        <f t="shared" si="265"/>
        <v/>
      </c>
      <c r="CE163" s="313" t="e">
        <f>IF($J163="",#N/A,SUM(CD$4:CD163))</f>
        <v>#N/A</v>
      </c>
      <c r="CF163" s="314" t="str">
        <f t="shared" si="266"/>
        <v/>
      </c>
      <c r="CG163" s="314" t="e">
        <f>IF($J163="",#N/A,SUM(CF$4:CF163))</f>
        <v>#N/A</v>
      </c>
      <c r="CH163" s="315" t="str">
        <f t="shared" si="267"/>
        <v/>
      </c>
      <c r="CI163" s="315" t="e">
        <f>IF($J163="",#N/A,SUM(CH$4:CH163))</f>
        <v>#N/A</v>
      </c>
      <c r="CJ163" s="315" t="e">
        <f>IF($J163="",#N/A,SUM(CH$4:CH163,CF$4:CF163,CD$4:CD163))</f>
        <v>#N/A</v>
      </c>
      <c r="CK163" s="304" t="str">
        <f t="shared" si="268"/>
        <v/>
      </c>
      <c r="CL163" s="313" t="e">
        <f>IF($J163="",#N/A,SUM(CK$4:CK163))</f>
        <v>#N/A</v>
      </c>
      <c r="CM163" s="314">
        <f t="shared" si="269"/>
        <v>-0.25317898370211284</v>
      </c>
      <c r="CN163" s="314" t="e">
        <f>IF($J163="",#N/A,SUM(CM$4:CM163))</f>
        <v>#N/A</v>
      </c>
      <c r="CO163" s="315" t="str">
        <f t="shared" si="270"/>
        <v/>
      </c>
      <c r="CP163" s="315" t="e">
        <f>IF($J163="",#N/A,SUM(CO$4:CO163))</f>
        <v>#N/A</v>
      </c>
      <c r="CQ163" s="315" t="e">
        <f>IF($J163="",#N/A,SUM(CO$4:CO163,CM$4:CM163,CK$4:CK163))</f>
        <v>#N/A</v>
      </c>
      <c r="CR163" s="304" t="str">
        <f t="shared" si="271"/>
        <v/>
      </c>
      <c r="CS163" s="313" t="e">
        <f>IF($J163="",#N/A,SUM(CR$4:CR163))</f>
        <v>#N/A</v>
      </c>
      <c r="CT163" s="314" t="str">
        <f t="shared" si="272"/>
        <v/>
      </c>
      <c r="CU163" s="314" t="e">
        <f>IF($J163="",#N/A,SUM(CT$4:CT163))</f>
        <v>#N/A</v>
      </c>
      <c r="CV163" s="315" t="str">
        <f t="shared" si="273"/>
        <v/>
      </c>
      <c r="CW163" s="315" t="e">
        <f>IF($J163="",#N/A,SUM(CV$4:CV163))</f>
        <v>#N/A</v>
      </c>
      <c r="CX163" s="315" t="e">
        <f>IF($J163="",#N/A,SUM(CV$4:CV163,CT$4:CT163,CR$4:CR163))</f>
        <v>#N/A</v>
      </c>
      <c r="CY163" s="304" t="str">
        <f t="shared" si="274"/>
        <v/>
      </c>
      <c r="CZ163" s="313" t="e">
        <f>IF($J163="",#N/A,SUM(CY$4:CY163))</f>
        <v>#N/A</v>
      </c>
      <c r="DA163" s="314" t="str">
        <f t="shared" si="275"/>
        <v/>
      </c>
      <c r="DB163" s="314" t="e">
        <f>IF($J163="",#N/A,SUM(DA$4:DA163))</f>
        <v>#N/A</v>
      </c>
      <c r="DC163" s="315" t="str">
        <f t="shared" si="276"/>
        <v/>
      </c>
      <c r="DD163" s="315" t="e">
        <f>IF($J163="",#N/A,SUM(DC$4:DC163))</f>
        <v>#N/A</v>
      </c>
      <c r="DE163" s="315" t="e">
        <f>IF($J163="",#N/A,SUM(DC$4:DC163,DA$4:DA163,CY$4:CY163))</f>
        <v>#N/A</v>
      </c>
      <c r="DF163" s="304" t="str">
        <f t="shared" si="277"/>
        <v/>
      </c>
      <c r="DG163" s="313" t="e">
        <f>IF($J163="",#N/A,SUM(DF$4:DF163))</f>
        <v>#N/A</v>
      </c>
      <c r="DH163" s="314" t="str">
        <f t="shared" si="278"/>
        <v/>
      </c>
      <c r="DI163" s="314" t="e">
        <f>IF($J163="",#N/A,SUM(DH$4:DH163))</f>
        <v>#N/A</v>
      </c>
      <c r="DJ163" s="315" t="str">
        <f t="shared" si="279"/>
        <v/>
      </c>
      <c r="DK163" s="315" t="e">
        <f>IF($J163="",#N/A,SUM(DJ$4:DJ163))</f>
        <v>#N/A</v>
      </c>
      <c r="DL163" s="315" t="e">
        <f>IF($J163="",#N/A,SUM(DJ$4:DJ163,DH$4:DH163,DF$4:DF163))</f>
        <v>#N/A</v>
      </c>
      <c r="DM163" s="304" t="str">
        <f t="shared" si="280"/>
        <v/>
      </c>
      <c r="DN163" s="313" t="e">
        <f>IF($J163="",#N/A,SUM(DM$4:DM163))</f>
        <v>#N/A</v>
      </c>
      <c r="DO163" s="314" t="str">
        <f t="shared" si="281"/>
        <v/>
      </c>
      <c r="DP163" s="314" t="e">
        <f>IF($J163="",#N/A,SUM(DO$4:DO163))</f>
        <v>#N/A</v>
      </c>
      <c r="DQ163" s="315" t="str">
        <f t="shared" si="282"/>
        <v/>
      </c>
      <c r="DR163" s="315" t="e">
        <f>IF($J163="",#N/A,SUM(DQ$4:DQ163))</f>
        <v>#N/A</v>
      </c>
      <c r="DS163" s="315" t="e">
        <f>IF($J163="",#N/A,SUM(DQ$4:DQ163,DO$4:DO163,DM$4:DM163))</f>
        <v>#N/A</v>
      </c>
      <c r="DT163" s="304" t="str">
        <f t="shared" si="283"/>
        <v/>
      </c>
      <c r="DU163" s="313" t="e">
        <f>IF($J163="",#N/A,SUM(DT$4:DT163))</f>
        <v>#N/A</v>
      </c>
      <c r="DV163" s="314" t="str">
        <f t="shared" si="284"/>
        <v/>
      </c>
      <c r="DW163" s="314" t="e">
        <f>IF($J163="",#N/A,SUM(DV$4:DV163))</f>
        <v>#N/A</v>
      </c>
      <c r="DX163" s="315" t="str">
        <f t="shared" si="285"/>
        <v/>
      </c>
      <c r="DY163" s="315" t="e">
        <f>IF($J163="",#N/A,SUM(DX$4:DX163))</f>
        <v>#N/A</v>
      </c>
      <c r="DZ163" s="315" t="e">
        <f>IF($J163="",#N/A,SUM(DX$4:DX163,DV$4:DV163,DT$4:DT163))</f>
        <v>#N/A</v>
      </c>
      <c r="EA163" s="304" t="str">
        <f t="shared" si="286"/>
        <v/>
      </c>
      <c r="EB163" s="313" t="e">
        <f>IF($J163="",#N/A,SUM(EA$4:EA163))</f>
        <v>#N/A</v>
      </c>
      <c r="EC163" s="314" t="str">
        <f t="shared" si="287"/>
        <v/>
      </c>
      <c r="ED163" s="314" t="e">
        <f>IF($J163="",#N/A,SUM(EC$4:EC163))</f>
        <v>#N/A</v>
      </c>
      <c r="EE163" s="315" t="str">
        <f t="shared" si="288"/>
        <v/>
      </c>
      <c r="EF163" s="315" t="e">
        <f>IF($J163="",#N/A,SUM(EE$4:EE163))</f>
        <v>#N/A</v>
      </c>
      <c r="EG163" s="315" t="e">
        <f>IF($J163="",#N/A,SUM(EE$4:EE163,EC$4:EC163,EA$4:EA163))</f>
        <v>#N/A</v>
      </c>
      <c r="EH163" s="130">
        <f t="shared" si="289"/>
        <v>-6.2200000000000273</v>
      </c>
      <c r="EI163" s="63">
        <f>IF(EH163="",#N/A,SUM($EH$4:EH163))</f>
        <v>607.33954002980886</v>
      </c>
      <c r="EJ163" s="223" t="e">
        <f t="shared" si="290"/>
        <v>#N/A</v>
      </c>
      <c r="EK163" s="63" t="e">
        <f>IF($GZ163="",#N/A,SUM(EJ$4:EJ163))</f>
        <v>#N/A</v>
      </c>
      <c r="EL163" s="60">
        <f t="shared" si="322"/>
        <v>-0.25317898370211284</v>
      </c>
      <c r="EM163" s="60">
        <f>IF(EL163="",NA(),SUM($EL$4:EL163))</f>
        <v>20.037589982099551</v>
      </c>
      <c r="EN163" s="60" t="str">
        <f t="shared" si="291"/>
        <v/>
      </c>
      <c r="EO163" s="60" t="e">
        <f>IF(EN163="",NA(),SUM($EN$4:EN163))</f>
        <v>#N/A</v>
      </c>
      <c r="EP163" s="60" t="str">
        <f t="shared" si="292"/>
        <v/>
      </c>
      <c r="EQ163" s="60" t="e">
        <f>IF(EP163="",NA(),SUM($EP$4:EP163))</f>
        <v>#N/A</v>
      </c>
      <c r="ER163" s="60">
        <f t="shared" si="293"/>
        <v>-0.25317898370211284</v>
      </c>
      <c r="ES163" s="60">
        <f>IF(ER163="",NA(),SUM($ER$4:ER163))</f>
        <v>2.3613562807913411</v>
      </c>
      <c r="ET163" s="60" t="str">
        <f t="shared" si="294"/>
        <v/>
      </c>
      <c r="EU163" s="60" t="e">
        <f>IF(ET163="",NA(),SUM($ET$4:ET163))</f>
        <v>#N/A</v>
      </c>
      <c r="EV163" s="60" t="str">
        <f t="shared" si="295"/>
        <v/>
      </c>
      <c r="EW163" s="60" t="e">
        <f>IF(EV163="",NA(),SUM($EV$4:EV163))</f>
        <v>#N/A</v>
      </c>
      <c r="EX163" s="60" t="str">
        <f t="shared" si="296"/>
        <v/>
      </c>
      <c r="EY163" s="60" t="e">
        <f>IF(EX163="",NA(),SUM($EX$4:EX163))</f>
        <v>#N/A</v>
      </c>
      <c r="EZ163" s="60" t="str">
        <f t="shared" si="297"/>
        <v/>
      </c>
      <c r="FA163" s="60" t="e">
        <f>IF(EZ163="",NA(),SUM($EZ$4:EZ163))</f>
        <v>#N/A</v>
      </c>
      <c r="FB163" s="246" t="str">
        <f t="shared" si="323"/>
        <v/>
      </c>
      <c r="FC163" s="246" t="e">
        <f>IF($FB163="",#N/A,SUM(FB$4:$FB163))</f>
        <v>#N/A</v>
      </c>
      <c r="FD163" s="60">
        <f t="shared" si="298"/>
        <v>0.44285970139533348</v>
      </c>
      <c r="FE163" s="60">
        <f>IF($FD163="",#N/A,SUM($FD$4:FD163))</f>
        <v>1.9244697832610873</v>
      </c>
      <c r="FF163" s="60" t="str">
        <f t="shared" si="299"/>
        <v/>
      </c>
      <c r="FG163" s="60" t="e">
        <f>IF($FF163="",#N/A,SUM($FF$4:FF163))</f>
        <v>#N/A</v>
      </c>
      <c r="FH163" s="60" t="str">
        <f t="shared" si="300"/>
        <v/>
      </c>
      <c r="FI163" s="60" t="e">
        <f>IF($FH163="",#N/A,SUM($FH$4:FH163))</f>
        <v>#N/A</v>
      </c>
      <c r="FJ163" s="60" t="str">
        <f t="shared" si="301"/>
        <v/>
      </c>
      <c r="FK163" s="60" t="e">
        <f>IF($FJ163="",#N/A,SUM($FJ$4:FJ163))</f>
        <v>#N/A</v>
      </c>
      <c r="FL163" s="60" t="str">
        <f t="shared" si="302"/>
        <v/>
      </c>
      <c r="FM163" s="60" t="e">
        <f>IF($FL163="",#N/A,SUM($FL$4:FL163))</f>
        <v>#N/A</v>
      </c>
      <c r="FN163" s="82">
        <f t="shared" si="303"/>
        <v>0.18968071769322067</v>
      </c>
      <c r="FO163" s="82">
        <f>IF($FN163="",#N/A,SUM(FN$4:$FN163))</f>
        <v>31.911597822617633</v>
      </c>
      <c r="FP163" s="82">
        <f t="shared" si="324"/>
        <v>-0.25317898370211284</v>
      </c>
      <c r="FQ163" s="246">
        <f>IF($EH163="",#N/A,SUM($FP$4:FP163))</f>
        <v>23.698378045580821</v>
      </c>
      <c r="FR163" s="82">
        <f>IFERROR(FQ163/COUNTA($J$4:J163),#N/A)</f>
        <v>0.14811486278488012</v>
      </c>
      <c r="FS163" s="82">
        <f t="shared" si="330"/>
        <v>6.4382472565414725E-2</v>
      </c>
      <c r="FT163" s="82">
        <f t="shared" si="328"/>
        <v>-5.2637802486139119E-2</v>
      </c>
      <c r="FU163" s="337">
        <f t="shared" si="331"/>
        <v>10.820120354423702</v>
      </c>
      <c r="FV163" s="57" t="str">
        <f t="shared" si="305"/>
        <v>Dwn</v>
      </c>
      <c r="FW163" s="57" t="s">
        <v>2734</v>
      </c>
      <c r="FX163" s="57" t="str">
        <f t="shared" si="306"/>
        <v/>
      </c>
      <c r="FY163" s="57">
        <f t="shared" si="307"/>
        <v>1</v>
      </c>
      <c r="FZ163" s="57" t="str">
        <f t="shared" si="308"/>
        <v/>
      </c>
      <c r="GA163" s="57" t="str">
        <f t="shared" si="309"/>
        <v>Short</v>
      </c>
      <c r="GB163" s="57" t="str">
        <f t="shared" si="310"/>
        <v/>
      </c>
      <c r="GC163" s="57" t="str">
        <f t="shared" si="311"/>
        <v/>
      </c>
      <c r="GD163" s="57" t="str">
        <f t="shared" si="312"/>
        <v/>
      </c>
      <c r="GE163" s="62">
        <f t="shared" si="227"/>
        <v>204.73</v>
      </c>
      <c r="GF163" s="62" t="s">
        <v>2780</v>
      </c>
      <c r="GG163" s="199">
        <v>2</v>
      </c>
      <c r="GH163" s="207">
        <f t="shared" si="313"/>
        <v>409.46</v>
      </c>
      <c r="GI163" s="199">
        <v>2</v>
      </c>
      <c r="GJ163" s="200">
        <v>209.41</v>
      </c>
      <c r="GK163" s="63">
        <f t="shared" si="314"/>
        <v>-9.3600000000000136</v>
      </c>
      <c r="GL163" s="63">
        <f t="shared" si="228"/>
        <v>4.6599999999999682</v>
      </c>
      <c r="GM163" s="82" t="str">
        <f t="shared" si="315"/>
        <v/>
      </c>
      <c r="GN163" s="82">
        <f>IF($GZ163="",#N/A,SUM(GM$4:GM163))</f>
        <v>9.6815008752359546</v>
      </c>
      <c r="GO163" s="82" t="str">
        <f t="shared" si="316"/>
        <v/>
      </c>
      <c r="GP163" s="82">
        <f>IF($GZ163="",#N/A,SUM(GO$4:GO163))</f>
        <v>14.356917335551275</v>
      </c>
      <c r="GQ163" s="82">
        <f t="shared" si="317"/>
        <v>0.18968071769322067</v>
      </c>
      <c r="GR163" s="82">
        <f>IF($GZ163="",#N/A,SUM(GQ$4:GQ163))</f>
        <v>7.2473426573880646</v>
      </c>
      <c r="GS163" s="63" t="str">
        <f t="shared" si="325"/>
        <v/>
      </c>
      <c r="GT163" s="63" t="e">
        <f>IF($GZ163="",#N/A,SUM(GS$4:GS163))</f>
        <v>#N/A</v>
      </c>
      <c r="GU163" s="63" t="str">
        <f t="shared" si="326"/>
        <v/>
      </c>
      <c r="GV163" s="63" t="e">
        <f>IF($GZ163="",#N/A,SUM(GU$4:GU163))</f>
        <v>#N/A</v>
      </c>
      <c r="GW163" s="63" t="e">
        <f t="shared" si="327"/>
        <v>#N/A</v>
      </c>
      <c r="GX163" s="63" t="e">
        <f>IF($GZ163="",#N/A,SUM(GW$4:GW163))</f>
        <v>#N/A</v>
      </c>
      <c r="GY163" s="63" t="e">
        <f>IF(EJ163="",#N/A,SUM($EJ$4:EJ163))</f>
        <v>#N/A</v>
      </c>
      <c r="GZ163" s="158">
        <v>202.4</v>
      </c>
      <c r="HA163" s="63">
        <f t="shared" si="318"/>
        <v>10.879999999999995</v>
      </c>
      <c r="HB163" s="62" t="s">
        <v>2538</v>
      </c>
      <c r="HC163" s="60">
        <f>IFERROR(VLOOKUP(E163,Expectancy!$P$4:$S$19,1+C163,FALSE),"")</f>
        <v>0.6915396365341927</v>
      </c>
      <c r="HD163" s="82">
        <f t="shared" si="319"/>
        <v>-0.3809895960533391</v>
      </c>
      <c r="HE163" s="60">
        <f>IF(HD163="",#N/A,SUM($HD$4:HD163))</f>
        <v>-1.6517423088428789</v>
      </c>
      <c r="HF163" s="85">
        <f>IF(HD163="",#N/A,IF(HB163="Skip",#N/A,SUM($HG$4:HG163)))</f>
        <v>-18.830000000000155</v>
      </c>
      <c r="HG163" s="63">
        <f t="shared" si="320"/>
        <v>-9.3600000000000136</v>
      </c>
      <c r="HH163" s="82">
        <f t="shared" si="321"/>
        <v>0.18968071769322067</v>
      </c>
    </row>
    <row r="164" spans="1:216" x14ac:dyDescent="0.25">
      <c r="A164" s="57" t="s">
        <v>1525</v>
      </c>
      <c r="B164" s="58" t="s">
        <v>5184</v>
      </c>
      <c r="C164" s="386">
        <f t="shared" si="230"/>
        <v>3</v>
      </c>
      <c r="D164" s="372" t="str">
        <f>_xlfn.XLOOKUP(A164,[1]SP500!$A$2:$A$502,[1]SP500!$D$2:$D$502,"N")</f>
        <v>Y</v>
      </c>
      <c r="E164" s="57" t="str">
        <f>_xlfn.XLOOKUP(A164,[1]SP500!$A$2:$A$655,[1]SP500!$B$2:$B$655)</f>
        <v>XLP</v>
      </c>
      <c r="F164" s="59">
        <v>45691</v>
      </c>
      <c r="G164" s="57" t="str">
        <f t="shared" si="231"/>
        <v>AMC</v>
      </c>
      <c r="H164" s="57" t="str">
        <f t="shared" si="232"/>
        <v>s</v>
      </c>
      <c r="I164" s="159">
        <v>159.78</v>
      </c>
      <c r="J164" s="158">
        <v>154</v>
      </c>
      <c r="K164" s="61">
        <f t="shared" si="233"/>
        <v>-3.6174740267868329E-2</v>
      </c>
      <c r="L164" s="87">
        <f t="shared" si="234"/>
        <v>-17.340000000000032</v>
      </c>
      <c r="M164" s="130">
        <f t="shared" si="226"/>
        <v>0</v>
      </c>
      <c r="N164" s="169" t="str">
        <f t="shared" si="235"/>
        <v/>
      </c>
      <c r="O164" s="169">
        <f>IF($J164="",#N/A,SUM($N$4:N164))</f>
        <v>339.33976368961373</v>
      </c>
      <c r="P164" s="174" t="str">
        <f t="shared" si="236"/>
        <v/>
      </c>
      <c r="Q164" s="174">
        <f>IF($J164="",#N/A,SUM($P$4:P164))</f>
        <v>75.33104023772637</v>
      </c>
      <c r="R164" s="178">
        <f t="shared" si="237"/>
        <v>-17.340000000000032</v>
      </c>
      <c r="S164" s="178">
        <f>IF($J164="",#N/A,SUM($R$4:R164))</f>
        <v>175.32873610246861</v>
      </c>
      <c r="T164" s="290" t="str">
        <f t="shared" si="238"/>
        <v/>
      </c>
      <c r="U164" s="290">
        <f>IF($J164="",#N/A,SUM($T$4:T164))</f>
        <v>12.990954777900674</v>
      </c>
      <c r="V164" s="291" t="str">
        <f t="shared" si="239"/>
        <v/>
      </c>
      <c r="W164" s="291">
        <f>IF($J164="",#N/A,SUM($V$4:V164))</f>
        <v>3.0637517334912996</v>
      </c>
      <c r="X164" s="292">
        <f t="shared" si="240"/>
        <v>-0.6029123377978064</v>
      </c>
      <c r="Y164" s="283">
        <f>IF($J164="",#N/A,SUM($X$4:X164))</f>
        <v>7.0407591963910274</v>
      </c>
      <c r="Z164" s="304" t="str">
        <f t="shared" si="241"/>
        <v/>
      </c>
      <c r="AA164" s="313" t="e">
        <f>IF($J164="",#N/A,SUM(Z$4:Z164))</f>
        <v>#N/A</v>
      </c>
      <c r="AB164" s="314" t="str">
        <f t="shared" si="242"/>
        <v/>
      </c>
      <c r="AC164" s="314" t="e">
        <f>IF($J164="",#N/A,SUM(AB$4:AB164))</f>
        <v>#N/A</v>
      </c>
      <c r="AD164" s="315" t="str">
        <f t="shared" si="243"/>
        <v/>
      </c>
      <c r="AE164" s="315" t="e">
        <f>IF($J164="",#N/A,SUM(AD$4:AD164))</f>
        <v>#N/A</v>
      </c>
      <c r="AF164" s="315" t="e">
        <f>IF($J164="",#N/A,SUM(AD$4:AD164,AB$4:AB164,Z$4:Z164))</f>
        <v>#N/A</v>
      </c>
      <c r="AG164" s="304" t="str">
        <f t="shared" si="244"/>
        <v/>
      </c>
      <c r="AH164" s="313" t="e">
        <f>IF($J164="",#N/A,SUM(AG$4:AG164))</f>
        <v>#N/A</v>
      </c>
      <c r="AI164" s="314" t="str">
        <f t="shared" si="245"/>
        <v/>
      </c>
      <c r="AJ164" s="314" t="e">
        <f>IF($J164="",#N/A,SUM(AI$4:AI164))</f>
        <v>#N/A</v>
      </c>
      <c r="AK164" s="315" t="str">
        <f t="shared" si="246"/>
        <v/>
      </c>
      <c r="AL164" s="315" t="e">
        <f>IF($J164="",#N/A,SUM(AK$4:AK164))</f>
        <v>#N/A</v>
      </c>
      <c r="AM164" s="315" t="e">
        <f>IF($J164="",#N/A,SUM(AK$4:AK164,AI$4:AI164,AG$4:AG164))</f>
        <v>#N/A</v>
      </c>
      <c r="AN164" s="304" t="str">
        <f t="shared" si="247"/>
        <v/>
      </c>
      <c r="AO164" s="313" t="e">
        <f>IF($J164="",#N/A,SUM(AN$4:AN164))</f>
        <v>#N/A</v>
      </c>
      <c r="AP164" s="314" t="str">
        <f t="shared" si="248"/>
        <v/>
      </c>
      <c r="AQ164" s="314" t="e">
        <f>IF($J164="",#N/A,SUM(AP$4:AP164))</f>
        <v>#N/A</v>
      </c>
      <c r="AR164" s="315" t="str">
        <f t="shared" si="249"/>
        <v/>
      </c>
      <c r="AS164" s="315" t="e">
        <f>IF($J164="",#N/A,SUM(AR$4:AR164))</f>
        <v>#N/A</v>
      </c>
      <c r="AT164" s="315" t="e">
        <f>IF($J164="",#N/A,SUM(AR$4:AR164,AP$4:AP164,AN$4:AN164))</f>
        <v>#N/A</v>
      </c>
      <c r="AU164" s="304" t="str">
        <f t="shared" si="250"/>
        <v/>
      </c>
      <c r="AV164" s="313" t="e">
        <f>IF($J164="",#N/A,SUM(AU$4:AU164))</f>
        <v>#N/A</v>
      </c>
      <c r="AW164" s="314" t="str">
        <f t="shared" si="251"/>
        <v/>
      </c>
      <c r="AX164" s="314" t="e">
        <f>IF($J164="",#N/A,SUM(AW$4:AW164))</f>
        <v>#N/A</v>
      </c>
      <c r="AY164" s="315">
        <f t="shared" si="252"/>
        <v>-0.6029123377978064</v>
      </c>
      <c r="AZ164" s="315" t="e">
        <f>IF($J164="",#N/A,SUM(AY$4:AY164))</f>
        <v>#N/A</v>
      </c>
      <c r="BA164" s="315" t="e">
        <f>IF($J164="",#N/A,SUM(AY$4:AY164,AW$4:AW164,AU$4:AU164))</f>
        <v>#N/A</v>
      </c>
      <c r="BB164" s="304" t="str">
        <f t="shared" si="253"/>
        <v/>
      </c>
      <c r="BC164" s="313" t="e">
        <f>IF($J164="",#N/A,SUM(BB$4:BB164))</f>
        <v>#N/A</v>
      </c>
      <c r="BD164" s="314" t="str">
        <f t="shared" si="254"/>
        <v/>
      </c>
      <c r="BE164" s="314" t="e">
        <f>IF($J164="",#N/A,SUM(BD$4:BD164))</f>
        <v>#N/A</v>
      </c>
      <c r="BF164" s="315" t="str">
        <f t="shared" si="255"/>
        <v/>
      </c>
      <c r="BG164" s="315" t="e">
        <f>IF($J164="",#N/A,SUM(BF$4:BF164))</f>
        <v>#N/A</v>
      </c>
      <c r="BH164" s="315" t="e">
        <f>IF($J164="",#N/A,SUM(BF$4:BF164,BD$4:BD164,BB$4:BB164))</f>
        <v>#N/A</v>
      </c>
      <c r="BI164" s="304" t="str">
        <f t="shared" si="256"/>
        <v/>
      </c>
      <c r="BJ164" s="313" t="e">
        <f>IF($J164="",#N/A,SUM(BI$4:BI164))</f>
        <v>#N/A</v>
      </c>
      <c r="BK164" s="314" t="str">
        <f t="shared" si="257"/>
        <v/>
      </c>
      <c r="BL164" s="314" t="e">
        <f>IF($J164="",#N/A,SUM(BK$4:BK164))</f>
        <v>#N/A</v>
      </c>
      <c r="BM164" s="315" t="str">
        <f t="shared" si="258"/>
        <v/>
      </c>
      <c r="BN164" s="315" t="e">
        <f>IF($J164="",#N/A,SUM(BM$4:BM164))</f>
        <v>#N/A</v>
      </c>
      <c r="BO164" s="315" t="e">
        <f>IF($J164="",#N/A,SUM(BM$4:BM164,BK$4:BK164,BI$4:BI164))</f>
        <v>#N/A</v>
      </c>
      <c r="BP164" s="304" t="str">
        <f t="shared" si="259"/>
        <v/>
      </c>
      <c r="BQ164" s="313" t="e">
        <f>IF($J164="",#N/A,SUM(BP$4:BP164))</f>
        <v>#N/A</v>
      </c>
      <c r="BR164" s="314" t="str">
        <f t="shared" si="260"/>
        <v/>
      </c>
      <c r="BS164" s="314" t="e">
        <f>IF($J164="",#N/A,SUM(BR$4:BR164))</f>
        <v>#N/A</v>
      </c>
      <c r="BT164" s="315" t="str">
        <f t="shared" si="261"/>
        <v/>
      </c>
      <c r="BU164" s="315" t="e">
        <f>IF($J164="",#N/A,SUM(BT$4:BT164))</f>
        <v>#N/A</v>
      </c>
      <c r="BV164" s="315" t="e">
        <f>IF($J164="",#N/A,SUM(BT$4:BT164,BR$4:BR164,BP$4:BP164))</f>
        <v>#N/A</v>
      </c>
      <c r="BW164" s="304" t="str">
        <f t="shared" si="262"/>
        <v/>
      </c>
      <c r="BX164" s="313" t="e">
        <f>IF($J164="",#N/A,SUM(BW$4:BW164))</f>
        <v>#N/A</v>
      </c>
      <c r="BY164" s="314" t="str">
        <f t="shared" si="263"/>
        <v/>
      </c>
      <c r="BZ164" s="314" t="e">
        <f>IF($J164="",#N/A,SUM(BY$4:BY164))</f>
        <v>#N/A</v>
      </c>
      <c r="CA164" s="315" t="str">
        <f t="shared" si="264"/>
        <v/>
      </c>
      <c r="CB164" s="315" t="e">
        <f>IF($J164="",#N/A,SUM(CA$4:CA164))</f>
        <v>#N/A</v>
      </c>
      <c r="CC164" s="315" t="e">
        <f>IF($J164="",#N/A,SUM(CA$4:CA164,BY$4:BY164,BW$4:BW164))</f>
        <v>#N/A</v>
      </c>
      <c r="CD164" s="304" t="str">
        <f t="shared" si="265"/>
        <v/>
      </c>
      <c r="CE164" s="313" t="e">
        <f>IF($J164="",#N/A,SUM(CD$4:CD164))</f>
        <v>#N/A</v>
      </c>
      <c r="CF164" s="314" t="str">
        <f t="shared" si="266"/>
        <v/>
      </c>
      <c r="CG164" s="314" t="e">
        <f>IF($J164="",#N/A,SUM(CF$4:CF164))</f>
        <v>#N/A</v>
      </c>
      <c r="CH164" s="315" t="str">
        <f t="shared" si="267"/>
        <v/>
      </c>
      <c r="CI164" s="315" t="e">
        <f>IF($J164="",#N/A,SUM(CH$4:CH164))</f>
        <v>#N/A</v>
      </c>
      <c r="CJ164" s="315" t="e">
        <f>IF($J164="",#N/A,SUM(CH$4:CH164,CF$4:CF164,CD$4:CD164))</f>
        <v>#N/A</v>
      </c>
      <c r="CK164" s="304" t="str">
        <f t="shared" si="268"/>
        <v/>
      </c>
      <c r="CL164" s="313" t="e">
        <f>IF($J164="",#N/A,SUM(CK$4:CK164))</f>
        <v>#N/A</v>
      </c>
      <c r="CM164" s="314" t="str">
        <f t="shared" si="269"/>
        <v/>
      </c>
      <c r="CN164" s="314" t="e">
        <f>IF($J164="",#N/A,SUM(CM$4:CM164))</f>
        <v>#N/A</v>
      </c>
      <c r="CO164" s="315" t="str">
        <f t="shared" si="270"/>
        <v/>
      </c>
      <c r="CP164" s="315" t="e">
        <f>IF($J164="",#N/A,SUM(CO$4:CO164))</f>
        <v>#N/A</v>
      </c>
      <c r="CQ164" s="315" t="e">
        <f>IF($J164="",#N/A,SUM(CO$4:CO164,CM$4:CM164,CK$4:CK164))</f>
        <v>#N/A</v>
      </c>
      <c r="CR164" s="304" t="str">
        <f t="shared" si="271"/>
        <v/>
      </c>
      <c r="CS164" s="313" t="e">
        <f>IF($J164="",#N/A,SUM(CR$4:CR164))</f>
        <v>#N/A</v>
      </c>
      <c r="CT164" s="314" t="str">
        <f t="shared" si="272"/>
        <v/>
      </c>
      <c r="CU164" s="314" t="e">
        <f>IF($J164="",#N/A,SUM(CT$4:CT164))</f>
        <v>#N/A</v>
      </c>
      <c r="CV164" s="315" t="str">
        <f t="shared" si="273"/>
        <v/>
      </c>
      <c r="CW164" s="315" t="e">
        <f>IF($J164="",#N/A,SUM(CV$4:CV164))</f>
        <v>#N/A</v>
      </c>
      <c r="CX164" s="315" t="e">
        <f>IF($J164="",#N/A,SUM(CV$4:CV164,CT$4:CT164,CR$4:CR164))</f>
        <v>#N/A</v>
      </c>
      <c r="CY164" s="304" t="str">
        <f t="shared" si="274"/>
        <v/>
      </c>
      <c r="CZ164" s="313" t="e">
        <f>IF($J164="",#N/A,SUM(CY$4:CY164))</f>
        <v>#N/A</v>
      </c>
      <c r="DA164" s="314" t="str">
        <f t="shared" si="275"/>
        <v/>
      </c>
      <c r="DB164" s="314" t="e">
        <f>IF($J164="",#N/A,SUM(DA$4:DA164))</f>
        <v>#N/A</v>
      </c>
      <c r="DC164" s="315" t="str">
        <f t="shared" si="276"/>
        <v/>
      </c>
      <c r="DD164" s="315" t="e">
        <f>IF($J164="",#N/A,SUM(DC$4:DC164))</f>
        <v>#N/A</v>
      </c>
      <c r="DE164" s="315" t="e">
        <f>IF($J164="",#N/A,SUM(DC$4:DC164,DA$4:DA164,CY$4:CY164))</f>
        <v>#N/A</v>
      </c>
      <c r="DF164" s="304" t="str">
        <f t="shared" si="277"/>
        <v/>
      </c>
      <c r="DG164" s="313" t="e">
        <f>IF($J164="",#N/A,SUM(DF$4:DF164))</f>
        <v>#N/A</v>
      </c>
      <c r="DH164" s="314" t="str">
        <f t="shared" si="278"/>
        <v/>
      </c>
      <c r="DI164" s="314" t="e">
        <f>IF($J164="",#N/A,SUM(DH$4:DH164))</f>
        <v>#N/A</v>
      </c>
      <c r="DJ164" s="315" t="str">
        <f t="shared" si="279"/>
        <v/>
      </c>
      <c r="DK164" s="315" t="e">
        <f>IF($J164="",#N/A,SUM(DJ$4:DJ164))</f>
        <v>#N/A</v>
      </c>
      <c r="DL164" s="315" t="e">
        <f>IF($J164="",#N/A,SUM(DJ$4:DJ164,DH$4:DH164,DF$4:DF164))</f>
        <v>#N/A</v>
      </c>
      <c r="DM164" s="304" t="str">
        <f t="shared" si="280"/>
        <v/>
      </c>
      <c r="DN164" s="313" t="e">
        <f>IF($J164="",#N/A,SUM(DM$4:DM164))</f>
        <v>#N/A</v>
      </c>
      <c r="DO164" s="314" t="str">
        <f t="shared" si="281"/>
        <v/>
      </c>
      <c r="DP164" s="314" t="e">
        <f>IF($J164="",#N/A,SUM(DO$4:DO164))</f>
        <v>#N/A</v>
      </c>
      <c r="DQ164" s="315" t="str">
        <f t="shared" si="282"/>
        <v/>
      </c>
      <c r="DR164" s="315" t="e">
        <f>IF($J164="",#N/A,SUM(DQ$4:DQ164))</f>
        <v>#N/A</v>
      </c>
      <c r="DS164" s="315" t="e">
        <f>IF($J164="",#N/A,SUM(DQ$4:DQ164,DO$4:DO164,DM$4:DM164))</f>
        <v>#N/A</v>
      </c>
      <c r="DT164" s="304" t="str">
        <f t="shared" si="283"/>
        <v/>
      </c>
      <c r="DU164" s="313" t="e">
        <f>IF($J164="",#N/A,SUM(DT$4:DT164))</f>
        <v>#N/A</v>
      </c>
      <c r="DV164" s="314" t="str">
        <f t="shared" si="284"/>
        <v/>
      </c>
      <c r="DW164" s="314" t="e">
        <f>IF($J164="",#N/A,SUM(DV$4:DV164))</f>
        <v>#N/A</v>
      </c>
      <c r="DX164" s="315" t="str">
        <f t="shared" si="285"/>
        <v/>
      </c>
      <c r="DY164" s="315" t="e">
        <f>IF($J164="",#N/A,SUM(DX$4:DX164))</f>
        <v>#N/A</v>
      </c>
      <c r="DZ164" s="315" t="e">
        <f>IF($J164="",#N/A,SUM(DX$4:DX164,DV$4:DV164,DT$4:DT164))</f>
        <v>#N/A</v>
      </c>
      <c r="EA164" s="304" t="str">
        <f t="shared" si="286"/>
        <v/>
      </c>
      <c r="EB164" s="313" t="e">
        <f>IF($J164="",#N/A,SUM(EA$4:EA164))</f>
        <v>#N/A</v>
      </c>
      <c r="EC164" s="314" t="str">
        <f t="shared" si="287"/>
        <v/>
      </c>
      <c r="ED164" s="314" t="e">
        <f>IF($J164="",#N/A,SUM(EC$4:EC164))</f>
        <v>#N/A</v>
      </c>
      <c r="EE164" s="315" t="str">
        <f t="shared" si="288"/>
        <v/>
      </c>
      <c r="EF164" s="315" t="e">
        <f>IF($J164="",#N/A,SUM(EE$4:EE164))</f>
        <v>#N/A</v>
      </c>
      <c r="EG164" s="315" t="e">
        <f>IF($J164="",#N/A,SUM(EE$4:EE164,EC$4:EC164,EA$4:EA164))</f>
        <v>#N/A</v>
      </c>
      <c r="EH164" s="130">
        <f t="shared" si="289"/>
        <v>-17.340000000000032</v>
      </c>
      <c r="EI164" s="63">
        <f>IF(EH164="",#N/A,SUM($EH$4:EH164))</f>
        <v>589.99954002980883</v>
      </c>
      <c r="EJ164" s="223" t="e">
        <f t="shared" si="290"/>
        <v>#N/A</v>
      </c>
      <c r="EK164" s="63" t="e">
        <f>IF($GZ164="",#N/A,SUM(EJ$4:EJ164))</f>
        <v>#N/A</v>
      </c>
      <c r="EL164" s="60">
        <f t="shared" si="322"/>
        <v>-0.6029123377978064</v>
      </c>
      <c r="EM164" s="60">
        <f>IF(EL164="",NA(),SUM($EL$4:EL164))</f>
        <v>19.434677644301743</v>
      </c>
      <c r="EN164" s="60" t="str">
        <f t="shared" si="291"/>
        <v/>
      </c>
      <c r="EO164" s="60" t="e">
        <f>IF(EN164="",NA(),SUM($EN$4:EN164))</f>
        <v>#N/A</v>
      </c>
      <c r="EP164" s="60">
        <f t="shared" si="292"/>
        <v>-0.6029123377978064</v>
      </c>
      <c r="EQ164" s="60">
        <f>IF(EP164="",NA(),SUM($EP$4:EP164))</f>
        <v>7.9685161164682219</v>
      </c>
      <c r="ER164" s="60" t="str">
        <f t="shared" si="293"/>
        <v/>
      </c>
      <c r="ES164" s="60" t="e">
        <f>IF(ER164="",NA(),SUM($ER$4:ER164))</f>
        <v>#N/A</v>
      </c>
      <c r="ET164" s="60" t="str">
        <f t="shared" si="294"/>
        <v/>
      </c>
      <c r="EU164" s="60" t="e">
        <f>IF(ET164="",NA(),SUM($ET$4:ET164))</f>
        <v>#N/A</v>
      </c>
      <c r="EV164" s="60" t="str">
        <f t="shared" si="295"/>
        <v/>
      </c>
      <c r="EW164" s="60" t="e">
        <f>IF(EV164="",NA(),SUM($EV$4:EV164))</f>
        <v>#N/A</v>
      </c>
      <c r="EX164" s="60" t="str">
        <f t="shared" si="296"/>
        <v/>
      </c>
      <c r="EY164" s="60" t="e">
        <f>IF(EX164="",NA(),SUM($EX$4:EX164))</f>
        <v>#N/A</v>
      </c>
      <c r="EZ164" s="60" t="str">
        <f t="shared" si="297"/>
        <v/>
      </c>
      <c r="FA164" s="60" t="e">
        <f>IF(EZ164="",NA(),SUM($EZ$4:EZ164))</f>
        <v>#N/A</v>
      </c>
      <c r="FB164" s="246" t="str">
        <f t="shared" si="323"/>
        <v/>
      </c>
      <c r="FC164" s="246" t="e">
        <f>IF($FB164="",#N/A,SUM(FB$4:$FB164))</f>
        <v>#N/A</v>
      </c>
      <c r="FD164" s="60" t="str">
        <f t="shared" si="298"/>
        <v/>
      </c>
      <c r="FE164" s="60" t="e">
        <f>IF($FD164="",#N/A,SUM($FD$4:FD164))</f>
        <v>#N/A</v>
      </c>
      <c r="FF164" s="60" t="str">
        <f t="shared" si="299"/>
        <v/>
      </c>
      <c r="FG164" s="60" t="e">
        <f>IF($FF164="",#N/A,SUM($FF$4:FF164))</f>
        <v>#N/A</v>
      </c>
      <c r="FH164" s="60" t="str">
        <f t="shared" si="300"/>
        <v/>
      </c>
      <c r="FI164" s="60" t="e">
        <f>IF($FH164="",#N/A,SUM($FH$4:FH164))</f>
        <v>#N/A</v>
      </c>
      <c r="FJ164" s="60" t="str">
        <f t="shared" si="301"/>
        <v/>
      </c>
      <c r="FK164" s="60" t="e">
        <f>IF($FJ164="",#N/A,SUM($FJ$4:FJ164))</f>
        <v>#N/A</v>
      </c>
      <c r="FL164" s="60">
        <f t="shared" si="302"/>
        <v>-0.60395543872825141</v>
      </c>
      <c r="FM164" s="60">
        <f>IF($FL164="",#N/A,SUM($FL$4:FL164))</f>
        <v>3.5197866607089794</v>
      </c>
      <c r="FN164" s="82">
        <f t="shared" si="303"/>
        <v>-1.2068677765260578</v>
      </c>
      <c r="FO164" s="82">
        <f>IF($FN164="",#N/A,SUM(FN$4:$FN164))</f>
        <v>30.704730046091576</v>
      </c>
      <c r="FP164" s="82">
        <f t="shared" si="324"/>
        <v>-0.6029123377978064</v>
      </c>
      <c r="FQ164" s="246">
        <f>IF($EH164="",#N/A,SUM($FP$4:FP164))</f>
        <v>23.095465707783013</v>
      </c>
      <c r="FR164" s="82">
        <f>IFERROR(FQ164/COUNTA($J$4:J164),#N/A)</f>
        <v>0.14345009756386964</v>
      </c>
      <c r="FS164" s="82">
        <f>IFERROR(($FQ164-$FQ116)/COUNTA($J116:$J164),#N/A)</f>
        <v>3.4602282618193134E-2</v>
      </c>
      <c r="FT164" s="82">
        <f t="shared" si="328"/>
        <v>3.9532772468353983E-3</v>
      </c>
      <c r="FU164" s="337">
        <f t="shared" si="331"/>
        <v>10.820120354423699</v>
      </c>
      <c r="FV164" s="57" t="str">
        <f t="shared" si="305"/>
        <v>SW</v>
      </c>
      <c r="FW164" s="57" t="s">
        <v>2732</v>
      </c>
      <c r="FX164" s="57" t="str">
        <f t="shared" si="306"/>
        <v/>
      </c>
      <c r="FY164" s="57" t="str">
        <f t="shared" si="307"/>
        <v/>
      </c>
      <c r="FZ164" s="57" t="str">
        <f t="shared" si="308"/>
        <v/>
      </c>
      <c r="GA164" s="57" t="str">
        <f t="shared" si="309"/>
        <v>Long</v>
      </c>
      <c r="GB164" s="57" t="str">
        <f t="shared" si="310"/>
        <v/>
      </c>
      <c r="GC164" s="57" t="str">
        <f t="shared" si="311"/>
        <v/>
      </c>
      <c r="GD164" s="57">
        <f t="shared" si="312"/>
        <v>1</v>
      </c>
      <c r="GE164" s="62">
        <f t="shared" si="227"/>
        <v>159.78</v>
      </c>
      <c r="GF164" s="62" t="s">
        <v>2779</v>
      </c>
      <c r="GG164" s="199">
        <v>3</v>
      </c>
      <c r="GH164" s="207">
        <f t="shared" si="313"/>
        <v>479.34000000000003</v>
      </c>
      <c r="GI164" s="199">
        <v>3</v>
      </c>
      <c r="GJ164" s="200">
        <v>154</v>
      </c>
      <c r="GK164" s="63">
        <f t="shared" si="314"/>
        <v>-17.340000000000032</v>
      </c>
      <c r="GL164" s="63">
        <f t="shared" si="228"/>
        <v>-34.710000000000036</v>
      </c>
      <c r="GM164" s="82">
        <f t="shared" si="315"/>
        <v>-1.2068677765260578</v>
      </c>
      <c r="GN164" s="82">
        <f>IF($GZ164="",#N/A,SUM(GM$4:GM164))</f>
        <v>8.4746330987098961</v>
      </c>
      <c r="GO164" s="82" t="str">
        <f t="shared" si="316"/>
        <v/>
      </c>
      <c r="GP164" s="82">
        <f>IF($GZ164="",#N/A,SUM(GO$4:GO164))</f>
        <v>14.356917335551275</v>
      </c>
      <c r="GQ164" s="82" t="str">
        <f t="shared" si="317"/>
        <v/>
      </c>
      <c r="GR164" s="82">
        <f>IF($GZ164="",#N/A,SUM(GQ$4:GQ164))</f>
        <v>7.2473426573880646</v>
      </c>
      <c r="GS164" s="63" t="e">
        <f t="shared" si="325"/>
        <v>#N/A</v>
      </c>
      <c r="GT164" s="63" t="e">
        <f>IF($GZ164="",#N/A,SUM(GS$4:GS164))</f>
        <v>#N/A</v>
      </c>
      <c r="GU164" s="63" t="str">
        <f t="shared" si="326"/>
        <v/>
      </c>
      <c r="GV164" s="63" t="e">
        <f>IF($GZ164="",#N/A,SUM(GU$4:GU164))</f>
        <v>#N/A</v>
      </c>
      <c r="GW164" s="63" t="str">
        <f t="shared" si="327"/>
        <v/>
      </c>
      <c r="GX164" s="63" t="e">
        <f>IF($GZ164="",#N/A,SUM(GW$4:GW164))</f>
        <v>#N/A</v>
      </c>
      <c r="GY164" s="63" t="e">
        <f>IF(EJ164="",#N/A,SUM($EJ$4:EJ164))</f>
        <v>#N/A</v>
      </c>
      <c r="GZ164" s="159">
        <v>148.21</v>
      </c>
      <c r="HA164" s="63">
        <f t="shared" si="318"/>
        <v>-17.370000000000005</v>
      </c>
      <c r="HB164" s="62" t="s">
        <v>2538</v>
      </c>
      <c r="HC164" s="60">
        <f>IFERROR(VLOOKUP(E164,Expectancy!$P$4:$S$19,1+C164,FALSE),"")</f>
        <v>0.40561946259505821</v>
      </c>
      <c r="HD164" s="82">
        <f t="shared" si="319"/>
        <v>-0.6029123377978064</v>
      </c>
      <c r="HE164" s="60">
        <f>IF(HD164="",#N/A,SUM($HD$4:HD164))</f>
        <v>-2.2546546466406854</v>
      </c>
      <c r="HF164" s="85">
        <f>IF(HD164="",#N/A,IF(HB164="Skip",#N/A,SUM($HG$4:HG164)))</f>
        <v>-36.170000000000186</v>
      </c>
      <c r="HG164" s="63">
        <f t="shared" si="320"/>
        <v>-17.340000000000032</v>
      </c>
      <c r="HH164" s="82">
        <f t="shared" si="321"/>
        <v>-1.2068677765260578</v>
      </c>
    </row>
    <row r="165" spans="1:216" x14ac:dyDescent="0.25">
      <c r="A165" s="57" t="s">
        <v>1563</v>
      </c>
      <c r="B165" s="58" t="s">
        <v>5185</v>
      </c>
      <c r="C165" s="386">
        <f t="shared" si="230"/>
        <v>3</v>
      </c>
      <c r="D165" s="372" t="str">
        <f>_xlfn.XLOOKUP(A165,[1]SP500!$A$2:$A$502,[1]SP500!$D$2:$D$502,"N")</f>
        <v>Y</v>
      </c>
      <c r="E165" s="57" t="str">
        <f>_xlfn.XLOOKUP(A165,[1]SP500!$A$2:$A$655,[1]SP500!$B$2:$B$655)</f>
        <v>XLF</v>
      </c>
      <c r="F165" s="59">
        <v>45691</v>
      </c>
      <c r="G165" s="57" t="str">
        <f t="shared" si="231"/>
        <v>AMC</v>
      </c>
      <c r="H165" s="57" t="str">
        <f t="shared" si="232"/>
        <v>s</v>
      </c>
      <c r="I165" s="159">
        <v>345.27</v>
      </c>
      <c r="J165" s="158">
        <v>340.9</v>
      </c>
      <c r="K165" s="61">
        <f t="shared" si="233"/>
        <v>-1.2656761375155689E-2</v>
      </c>
      <c r="L165" s="87">
        <f t="shared" si="234"/>
        <v>-4.3700000000000045</v>
      </c>
      <c r="M165" s="130">
        <f t="shared" si="226"/>
        <v>0</v>
      </c>
      <c r="N165" s="169" t="str">
        <f t="shared" si="235"/>
        <v/>
      </c>
      <c r="O165" s="169">
        <f>IF($J165="",#N/A,SUM($N$4:N165))</f>
        <v>339.33976368961373</v>
      </c>
      <c r="P165" s="174" t="str">
        <f t="shared" si="236"/>
        <v/>
      </c>
      <c r="Q165" s="174">
        <f>IF($J165="",#N/A,SUM($P$4:P165))</f>
        <v>75.33104023772637</v>
      </c>
      <c r="R165" s="178">
        <f t="shared" si="237"/>
        <v>-4.3700000000000045</v>
      </c>
      <c r="S165" s="178">
        <f>IF($J165="",#N/A,SUM($R$4:R165))</f>
        <v>170.95873610246861</v>
      </c>
      <c r="T165" s="290" t="str">
        <f t="shared" si="238"/>
        <v/>
      </c>
      <c r="U165" s="290">
        <f>IF($J165="",#N/A,SUM($T$4:T165))</f>
        <v>12.990954777900674</v>
      </c>
      <c r="V165" s="291" t="str">
        <f t="shared" si="239"/>
        <v/>
      </c>
      <c r="W165" s="291">
        <f>IF($J165="",#N/A,SUM($V$4:V165))</f>
        <v>3.0637517334912996</v>
      </c>
      <c r="X165" s="292">
        <f t="shared" si="240"/>
        <v>-0.21094602291926151</v>
      </c>
      <c r="Y165" s="283">
        <f>IF($J165="",#N/A,SUM($X$4:X165))</f>
        <v>6.8298131734717655</v>
      </c>
      <c r="Z165" s="304" t="str">
        <f t="shared" si="241"/>
        <v/>
      </c>
      <c r="AA165" s="313" t="e">
        <f>IF($J165="",#N/A,SUM(Z$4:Z165))</f>
        <v>#N/A</v>
      </c>
      <c r="AB165" s="314" t="str">
        <f t="shared" si="242"/>
        <v/>
      </c>
      <c r="AC165" s="314" t="e">
        <f>IF($J165="",#N/A,SUM(AB$4:AB165))</f>
        <v>#N/A</v>
      </c>
      <c r="AD165" s="315" t="str">
        <f t="shared" si="243"/>
        <v/>
      </c>
      <c r="AE165" s="315" t="e">
        <f>IF($J165="",#N/A,SUM(AD$4:AD165))</f>
        <v>#N/A</v>
      </c>
      <c r="AF165" s="315" t="e">
        <f>IF($J165="",#N/A,SUM(AD$4:AD165,AB$4:AB165,Z$4:Z165))</f>
        <v>#N/A</v>
      </c>
      <c r="AG165" s="304" t="str">
        <f t="shared" si="244"/>
        <v/>
      </c>
      <c r="AH165" s="313" t="e">
        <f>IF($J165="",#N/A,SUM(AG$4:AG165))</f>
        <v>#N/A</v>
      </c>
      <c r="AI165" s="314" t="str">
        <f t="shared" si="245"/>
        <v/>
      </c>
      <c r="AJ165" s="314" t="e">
        <f>IF($J165="",#N/A,SUM(AI$4:AI165))</f>
        <v>#N/A</v>
      </c>
      <c r="AK165" s="315" t="str">
        <f t="shared" si="246"/>
        <v/>
      </c>
      <c r="AL165" s="315" t="e">
        <f>IF($J165="",#N/A,SUM(AK$4:AK165))</f>
        <v>#N/A</v>
      </c>
      <c r="AM165" s="315" t="e">
        <f>IF($J165="",#N/A,SUM(AK$4:AK165,AI$4:AI165,AG$4:AG165))</f>
        <v>#N/A</v>
      </c>
      <c r="AN165" s="304" t="str">
        <f t="shared" si="247"/>
        <v/>
      </c>
      <c r="AO165" s="313" t="e">
        <f>IF($J165="",#N/A,SUM(AN$4:AN165))</f>
        <v>#N/A</v>
      </c>
      <c r="AP165" s="314" t="str">
        <f t="shared" si="248"/>
        <v/>
      </c>
      <c r="AQ165" s="314" t="e">
        <f>IF($J165="",#N/A,SUM(AP$4:AP165))</f>
        <v>#N/A</v>
      </c>
      <c r="AR165" s="315" t="str">
        <f t="shared" si="249"/>
        <v/>
      </c>
      <c r="AS165" s="315" t="e">
        <f>IF($J165="",#N/A,SUM(AR$4:AR165))</f>
        <v>#N/A</v>
      </c>
      <c r="AT165" s="315" t="e">
        <f>IF($J165="",#N/A,SUM(AR$4:AR165,AP$4:AP165,AN$4:AN165))</f>
        <v>#N/A</v>
      </c>
      <c r="AU165" s="304" t="str">
        <f t="shared" si="250"/>
        <v/>
      </c>
      <c r="AV165" s="313" t="e">
        <f>IF($J165="",#N/A,SUM(AU$4:AU165))</f>
        <v>#N/A</v>
      </c>
      <c r="AW165" s="314" t="str">
        <f t="shared" si="251"/>
        <v/>
      </c>
      <c r="AX165" s="314" t="e">
        <f>IF($J165="",#N/A,SUM(AW$4:AW165))</f>
        <v>#N/A</v>
      </c>
      <c r="AY165" s="315" t="str">
        <f t="shared" si="252"/>
        <v/>
      </c>
      <c r="AZ165" s="315" t="e">
        <f>IF($J165="",#N/A,SUM(AY$4:AY165))</f>
        <v>#N/A</v>
      </c>
      <c r="BA165" s="315" t="e">
        <f>IF($J165="",#N/A,SUM(AY$4:AY165,AW$4:AW165,AU$4:AU165))</f>
        <v>#N/A</v>
      </c>
      <c r="BB165" s="304" t="str">
        <f t="shared" si="253"/>
        <v/>
      </c>
      <c r="BC165" s="313" t="e">
        <f>IF($J165="",#N/A,SUM(BB$4:BB165))</f>
        <v>#N/A</v>
      </c>
      <c r="BD165" s="314" t="str">
        <f t="shared" si="254"/>
        <v/>
      </c>
      <c r="BE165" s="314" t="e">
        <f>IF($J165="",#N/A,SUM(BD$4:BD165))</f>
        <v>#N/A</v>
      </c>
      <c r="BF165" s="315" t="str">
        <f t="shared" si="255"/>
        <v/>
      </c>
      <c r="BG165" s="315" t="e">
        <f>IF($J165="",#N/A,SUM(BF$4:BF165))</f>
        <v>#N/A</v>
      </c>
      <c r="BH165" s="315" t="e">
        <f>IF($J165="",#N/A,SUM(BF$4:BF165,BD$4:BD165,BB$4:BB165))</f>
        <v>#N/A</v>
      </c>
      <c r="BI165" s="304" t="str">
        <f t="shared" si="256"/>
        <v/>
      </c>
      <c r="BJ165" s="313" t="e">
        <f>IF($J165="",#N/A,SUM(BI$4:BI165))</f>
        <v>#N/A</v>
      </c>
      <c r="BK165" s="314" t="str">
        <f t="shared" si="257"/>
        <v/>
      </c>
      <c r="BL165" s="314" t="e">
        <f>IF($J165="",#N/A,SUM(BK$4:BK165))</f>
        <v>#N/A</v>
      </c>
      <c r="BM165" s="315">
        <f t="shared" si="258"/>
        <v>-0.21094602291926151</v>
      </c>
      <c r="BN165" s="315" t="e">
        <f>IF($J165="",#N/A,SUM(BM$4:BM165))</f>
        <v>#N/A</v>
      </c>
      <c r="BO165" s="315" t="e">
        <f>IF($J165="",#N/A,SUM(BM$4:BM165,BK$4:BK165,BI$4:BI165))</f>
        <v>#N/A</v>
      </c>
      <c r="BP165" s="304" t="str">
        <f t="shared" si="259"/>
        <v/>
      </c>
      <c r="BQ165" s="313" t="e">
        <f>IF($J165="",#N/A,SUM(BP$4:BP165))</f>
        <v>#N/A</v>
      </c>
      <c r="BR165" s="314" t="str">
        <f t="shared" si="260"/>
        <v/>
      </c>
      <c r="BS165" s="314" t="e">
        <f>IF($J165="",#N/A,SUM(BR$4:BR165))</f>
        <v>#N/A</v>
      </c>
      <c r="BT165" s="315" t="str">
        <f t="shared" si="261"/>
        <v/>
      </c>
      <c r="BU165" s="315" t="e">
        <f>IF($J165="",#N/A,SUM(BT$4:BT165))</f>
        <v>#N/A</v>
      </c>
      <c r="BV165" s="315" t="e">
        <f>IF($J165="",#N/A,SUM(BT$4:BT165,BR$4:BR165,BP$4:BP165))</f>
        <v>#N/A</v>
      </c>
      <c r="BW165" s="304" t="str">
        <f t="shared" si="262"/>
        <v/>
      </c>
      <c r="BX165" s="313" t="e">
        <f>IF($J165="",#N/A,SUM(BW$4:BW165))</f>
        <v>#N/A</v>
      </c>
      <c r="BY165" s="314" t="str">
        <f t="shared" si="263"/>
        <v/>
      </c>
      <c r="BZ165" s="314" t="e">
        <f>IF($J165="",#N/A,SUM(BY$4:BY165))</f>
        <v>#N/A</v>
      </c>
      <c r="CA165" s="315" t="str">
        <f t="shared" si="264"/>
        <v/>
      </c>
      <c r="CB165" s="315" t="e">
        <f>IF($J165="",#N/A,SUM(CA$4:CA165))</f>
        <v>#N/A</v>
      </c>
      <c r="CC165" s="315" t="e">
        <f>IF($J165="",#N/A,SUM(CA$4:CA165,BY$4:BY165,BW$4:BW165))</f>
        <v>#N/A</v>
      </c>
      <c r="CD165" s="304" t="str">
        <f t="shared" si="265"/>
        <v/>
      </c>
      <c r="CE165" s="313" t="e">
        <f>IF($J165="",#N/A,SUM(CD$4:CD165))</f>
        <v>#N/A</v>
      </c>
      <c r="CF165" s="314" t="str">
        <f t="shared" si="266"/>
        <v/>
      </c>
      <c r="CG165" s="314" t="e">
        <f>IF($J165="",#N/A,SUM(CF$4:CF165))</f>
        <v>#N/A</v>
      </c>
      <c r="CH165" s="315" t="str">
        <f t="shared" si="267"/>
        <v/>
      </c>
      <c r="CI165" s="315" t="e">
        <f>IF($J165="",#N/A,SUM(CH$4:CH165))</f>
        <v>#N/A</v>
      </c>
      <c r="CJ165" s="315" t="e">
        <f>IF($J165="",#N/A,SUM(CH$4:CH165,CF$4:CF165,CD$4:CD165))</f>
        <v>#N/A</v>
      </c>
      <c r="CK165" s="304" t="str">
        <f t="shared" si="268"/>
        <v/>
      </c>
      <c r="CL165" s="313" t="e">
        <f>IF($J165="",#N/A,SUM(CK$4:CK165))</f>
        <v>#N/A</v>
      </c>
      <c r="CM165" s="314" t="str">
        <f t="shared" si="269"/>
        <v/>
      </c>
      <c r="CN165" s="314" t="e">
        <f>IF($J165="",#N/A,SUM(CM$4:CM165))</f>
        <v>#N/A</v>
      </c>
      <c r="CO165" s="315" t="str">
        <f t="shared" si="270"/>
        <v/>
      </c>
      <c r="CP165" s="315" t="e">
        <f>IF($J165="",#N/A,SUM(CO$4:CO165))</f>
        <v>#N/A</v>
      </c>
      <c r="CQ165" s="315" t="e">
        <f>IF($J165="",#N/A,SUM(CO$4:CO165,CM$4:CM165,CK$4:CK165))</f>
        <v>#N/A</v>
      </c>
      <c r="CR165" s="304" t="str">
        <f t="shared" si="271"/>
        <v/>
      </c>
      <c r="CS165" s="313" t="e">
        <f>IF($J165="",#N/A,SUM(CR$4:CR165))</f>
        <v>#N/A</v>
      </c>
      <c r="CT165" s="314" t="str">
        <f t="shared" si="272"/>
        <v/>
      </c>
      <c r="CU165" s="314" t="e">
        <f>IF($J165="",#N/A,SUM(CT$4:CT165))</f>
        <v>#N/A</v>
      </c>
      <c r="CV165" s="315" t="str">
        <f t="shared" si="273"/>
        <v/>
      </c>
      <c r="CW165" s="315" t="e">
        <f>IF($J165="",#N/A,SUM(CV$4:CV165))</f>
        <v>#N/A</v>
      </c>
      <c r="CX165" s="315" t="e">
        <f>IF($J165="",#N/A,SUM(CV$4:CV165,CT$4:CT165,CR$4:CR165))</f>
        <v>#N/A</v>
      </c>
      <c r="CY165" s="304" t="str">
        <f t="shared" si="274"/>
        <v/>
      </c>
      <c r="CZ165" s="313" t="e">
        <f>IF($J165="",#N/A,SUM(CY$4:CY165))</f>
        <v>#N/A</v>
      </c>
      <c r="DA165" s="314" t="str">
        <f t="shared" si="275"/>
        <v/>
      </c>
      <c r="DB165" s="314" t="e">
        <f>IF($J165="",#N/A,SUM(DA$4:DA165))</f>
        <v>#N/A</v>
      </c>
      <c r="DC165" s="315" t="str">
        <f t="shared" si="276"/>
        <v/>
      </c>
      <c r="DD165" s="315" t="e">
        <f>IF($J165="",#N/A,SUM(DC$4:DC165))</f>
        <v>#N/A</v>
      </c>
      <c r="DE165" s="315" t="e">
        <f>IF($J165="",#N/A,SUM(DC$4:DC165,DA$4:DA165,CY$4:CY165))</f>
        <v>#N/A</v>
      </c>
      <c r="DF165" s="304" t="str">
        <f t="shared" si="277"/>
        <v/>
      </c>
      <c r="DG165" s="313" t="e">
        <f>IF($J165="",#N/A,SUM(DF$4:DF165))</f>
        <v>#N/A</v>
      </c>
      <c r="DH165" s="314" t="str">
        <f t="shared" si="278"/>
        <v/>
      </c>
      <c r="DI165" s="314" t="e">
        <f>IF($J165="",#N/A,SUM(DH$4:DH165))</f>
        <v>#N/A</v>
      </c>
      <c r="DJ165" s="315" t="str">
        <f t="shared" si="279"/>
        <v/>
      </c>
      <c r="DK165" s="315" t="e">
        <f>IF($J165="",#N/A,SUM(DJ$4:DJ165))</f>
        <v>#N/A</v>
      </c>
      <c r="DL165" s="315" t="e">
        <f>IF($J165="",#N/A,SUM(DJ$4:DJ165,DH$4:DH165,DF$4:DF165))</f>
        <v>#N/A</v>
      </c>
      <c r="DM165" s="304" t="str">
        <f t="shared" si="280"/>
        <v/>
      </c>
      <c r="DN165" s="313" t="e">
        <f>IF($J165="",#N/A,SUM(DM$4:DM165))</f>
        <v>#N/A</v>
      </c>
      <c r="DO165" s="314" t="str">
        <f t="shared" si="281"/>
        <v/>
      </c>
      <c r="DP165" s="314" t="e">
        <f>IF($J165="",#N/A,SUM(DO$4:DO165))</f>
        <v>#N/A</v>
      </c>
      <c r="DQ165" s="315" t="str">
        <f t="shared" si="282"/>
        <v/>
      </c>
      <c r="DR165" s="315" t="e">
        <f>IF($J165="",#N/A,SUM(DQ$4:DQ165))</f>
        <v>#N/A</v>
      </c>
      <c r="DS165" s="315" t="e">
        <f>IF($J165="",#N/A,SUM(DQ$4:DQ165,DO$4:DO165,DM$4:DM165))</f>
        <v>#N/A</v>
      </c>
      <c r="DT165" s="304" t="str">
        <f t="shared" si="283"/>
        <v/>
      </c>
      <c r="DU165" s="313" t="e">
        <f>IF($J165="",#N/A,SUM(DT$4:DT165))</f>
        <v>#N/A</v>
      </c>
      <c r="DV165" s="314" t="str">
        <f t="shared" si="284"/>
        <v/>
      </c>
      <c r="DW165" s="314" t="e">
        <f>IF($J165="",#N/A,SUM(DV$4:DV165))</f>
        <v>#N/A</v>
      </c>
      <c r="DX165" s="315" t="str">
        <f t="shared" si="285"/>
        <v/>
      </c>
      <c r="DY165" s="315" t="e">
        <f>IF($J165="",#N/A,SUM(DX$4:DX165))</f>
        <v>#N/A</v>
      </c>
      <c r="DZ165" s="315" t="e">
        <f>IF($J165="",#N/A,SUM(DX$4:DX165,DV$4:DV165,DT$4:DT165))</f>
        <v>#N/A</v>
      </c>
      <c r="EA165" s="304" t="str">
        <f t="shared" si="286"/>
        <v/>
      </c>
      <c r="EB165" s="313" t="e">
        <f>IF($J165="",#N/A,SUM(EA$4:EA165))</f>
        <v>#N/A</v>
      </c>
      <c r="EC165" s="314" t="str">
        <f t="shared" si="287"/>
        <v/>
      </c>
      <c r="ED165" s="314" t="e">
        <f>IF($J165="",#N/A,SUM(EC$4:EC165))</f>
        <v>#N/A</v>
      </c>
      <c r="EE165" s="315" t="str">
        <f t="shared" si="288"/>
        <v/>
      </c>
      <c r="EF165" s="315" t="e">
        <f>IF($J165="",#N/A,SUM(EE$4:EE165))</f>
        <v>#N/A</v>
      </c>
      <c r="EG165" s="315" t="e">
        <f>IF($J165="",#N/A,SUM(EE$4:EE165,EC$4:EC165,EA$4:EA165))</f>
        <v>#N/A</v>
      </c>
      <c r="EH165" s="130">
        <f t="shared" si="289"/>
        <v>-4.3700000000000045</v>
      </c>
      <c r="EI165" s="63">
        <f>IF(EH165="",#N/A,SUM($EH$4:EH165))</f>
        <v>585.62954002980882</v>
      </c>
      <c r="EJ165" s="223" t="e">
        <f t="shared" si="290"/>
        <v>#N/A</v>
      </c>
      <c r="EK165" s="63" t="e">
        <f>IF($GZ165="",#N/A,SUM(EJ$4:EJ165))</f>
        <v>#N/A</v>
      </c>
      <c r="EL165" s="60">
        <f t="shared" si="322"/>
        <v>-0.21094602291926151</v>
      </c>
      <c r="EM165" s="60">
        <f>IF(EL165="",NA(),SUM($EL$4:EL165))</f>
        <v>19.22373162138248</v>
      </c>
      <c r="EN165" s="60" t="str">
        <f t="shared" si="291"/>
        <v/>
      </c>
      <c r="EO165" s="60" t="e">
        <f>IF(EN165="",NA(),SUM($EN$4:EN165))</f>
        <v>#N/A</v>
      </c>
      <c r="EP165" s="60">
        <f t="shared" si="292"/>
        <v>-0.21094602291926151</v>
      </c>
      <c r="EQ165" s="60">
        <f>IF(EP165="",NA(),SUM($EP$4:EP165))</f>
        <v>7.75757009354896</v>
      </c>
      <c r="ER165" s="60" t="str">
        <f t="shared" si="293"/>
        <v/>
      </c>
      <c r="ES165" s="60" t="e">
        <f>IF(ER165="",NA(),SUM($ER$4:ER165))</f>
        <v>#N/A</v>
      </c>
      <c r="ET165" s="60" t="str">
        <f t="shared" si="294"/>
        <v/>
      </c>
      <c r="EU165" s="60" t="e">
        <f>IF(ET165="",NA(),SUM($ET$4:ET165))</f>
        <v>#N/A</v>
      </c>
      <c r="EV165" s="60" t="str">
        <f t="shared" si="295"/>
        <v/>
      </c>
      <c r="EW165" s="60" t="e">
        <f>IF(EV165="",NA(),SUM($EV$4:EV165))</f>
        <v>#N/A</v>
      </c>
      <c r="EX165" s="60" t="str">
        <f t="shared" si="296"/>
        <v/>
      </c>
      <c r="EY165" s="60" t="e">
        <f>IF(EX165="",NA(),SUM($EX$4:EX165))</f>
        <v>#N/A</v>
      </c>
      <c r="EZ165" s="60" t="str">
        <f t="shared" si="297"/>
        <v/>
      </c>
      <c r="FA165" s="60" t="e">
        <f>IF(EZ165="",NA(),SUM($EZ$4:EZ165))</f>
        <v>#N/A</v>
      </c>
      <c r="FB165" s="246" t="str">
        <f t="shared" si="323"/>
        <v/>
      </c>
      <c r="FC165" s="246" t="e">
        <f>IF($FB165="",#N/A,SUM(FB$4:$FB165))</f>
        <v>#N/A</v>
      </c>
      <c r="FD165" s="60" t="str">
        <f t="shared" si="298"/>
        <v/>
      </c>
      <c r="FE165" s="60" t="e">
        <f>IF($FD165="",#N/A,SUM($FD$4:FD165))</f>
        <v>#N/A</v>
      </c>
      <c r="FF165" s="60" t="str">
        <f t="shared" si="299"/>
        <v/>
      </c>
      <c r="FG165" s="60" t="e">
        <f>IF($FF165="",#N/A,SUM($FF$4:FF165))</f>
        <v>#N/A</v>
      </c>
      <c r="FH165" s="60" t="str">
        <f t="shared" si="300"/>
        <v/>
      </c>
      <c r="FI165" s="60" t="e">
        <f>IF($FH165="",#N/A,SUM($FH$4:FH165))</f>
        <v>#N/A</v>
      </c>
      <c r="FJ165" s="60" t="str">
        <f t="shared" si="301"/>
        <v/>
      </c>
      <c r="FK165" s="60" t="e">
        <f>IF($FJ165="",#N/A,SUM($FJ$4:FJ165))</f>
        <v>#N/A</v>
      </c>
      <c r="FL165" s="60">
        <f t="shared" si="302"/>
        <v>3.9582548923067479E-2</v>
      </c>
      <c r="FM165" s="60">
        <f>IF($FL165="",#N/A,SUM($FL$4:FL165))</f>
        <v>3.5593692096320471</v>
      </c>
      <c r="FN165" s="82">
        <f t="shared" si="303"/>
        <v>-0.17136347399619403</v>
      </c>
      <c r="FO165" s="82">
        <f>IF($FN165="",#N/A,SUM(FN$4:$FN165))</f>
        <v>30.533366572095382</v>
      </c>
      <c r="FP165" s="82">
        <f t="shared" si="324"/>
        <v>-0.21094602291926151</v>
      </c>
      <c r="FQ165" s="246">
        <f>IF($EH165="",#N/A,SUM($FP$4:FP165))</f>
        <v>22.884519684863751</v>
      </c>
      <c r="FR165" s="82">
        <f>IFERROR(FQ165/COUNTA($J$4:J165),#N/A)</f>
        <v>0.14126246719051697</v>
      </c>
      <c r="FS165" s="82">
        <f>IFERROR(($FQ165-$FQ117)/COUNTA($J117:$J165),#N/A)</f>
        <v>1.5909347540109309E-2</v>
      </c>
      <c r="FT165" s="82">
        <f t="shared" si="328"/>
        <v>2.601621319154461E-2</v>
      </c>
      <c r="FU165" s="337">
        <f t="shared" si="331"/>
        <v>10.820120354423699</v>
      </c>
      <c r="FV165" s="57" t="str">
        <f t="shared" si="305"/>
        <v>SW</v>
      </c>
      <c r="FW165" s="57" t="s">
        <v>2732</v>
      </c>
      <c r="FX165" s="57" t="str">
        <f t="shared" si="306"/>
        <v/>
      </c>
      <c r="FY165" s="57" t="str">
        <f t="shared" si="307"/>
        <v/>
      </c>
      <c r="FZ165" s="57" t="str">
        <f t="shared" si="308"/>
        <v/>
      </c>
      <c r="GA165" s="57" t="str">
        <f t="shared" si="309"/>
        <v>Long</v>
      </c>
      <c r="GB165" s="57" t="str">
        <f t="shared" si="310"/>
        <v/>
      </c>
      <c r="GC165" s="57" t="str">
        <f t="shared" si="311"/>
        <v/>
      </c>
      <c r="GD165" s="57">
        <f t="shared" si="312"/>
        <v>1</v>
      </c>
      <c r="GE165" s="62">
        <f t="shared" si="227"/>
        <v>345.27</v>
      </c>
      <c r="GF165" s="62" t="s">
        <v>2779</v>
      </c>
      <c r="GG165" s="199">
        <v>1</v>
      </c>
      <c r="GH165" s="207">
        <f t="shared" si="313"/>
        <v>345.27</v>
      </c>
      <c r="GI165" s="199">
        <v>1</v>
      </c>
      <c r="GJ165" s="200">
        <v>340.9</v>
      </c>
      <c r="GK165" s="63">
        <f t="shared" si="314"/>
        <v>-4.3700000000000045</v>
      </c>
      <c r="GL165" s="63">
        <f t="shared" si="228"/>
        <v>-3.5499999999999545</v>
      </c>
      <c r="GM165" s="82">
        <f t="shared" si="315"/>
        <v>-0.17136347399619403</v>
      </c>
      <c r="GN165" s="82">
        <f>IF($GZ165="",#N/A,SUM(GM$4:GM165))</f>
        <v>8.3032696247137014</v>
      </c>
      <c r="GO165" s="82" t="str">
        <f t="shared" si="316"/>
        <v/>
      </c>
      <c r="GP165" s="82">
        <f>IF($GZ165="",#N/A,SUM(GO$4:GO165))</f>
        <v>14.356917335551275</v>
      </c>
      <c r="GQ165" s="82" t="str">
        <f t="shared" si="317"/>
        <v/>
      </c>
      <c r="GR165" s="82">
        <f>IF($GZ165="",#N/A,SUM(GQ$4:GQ165))</f>
        <v>7.2473426573880646</v>
      </c>
      <c r="GS165" s="63" t="e">
        <f t="shared" si="325"/>
        <v>#N/A</v>
      </c>
      <c r="GT165" s="63" t="e">
        <f>IF($GZ165="",#N/A,SUM(GS$4:GS165))</f>
        <v>#N/A</v>
      </c>
      <c r="GU165" s="63" t="str">
        <f t="shared" si="326"/>
        <v/>
      </c>
      <c r="GV165" s="63" t="e">
        <f>IF($GZ165="",#N/A,SUM(GU$4:GU165))</f>
        <v>#N/A</v>
      </c>
      <c r="GW165" s="63" t="str">
        <f t="shared" si="327"/>
        <v/>
      </c>
      <c r="GX165" s="63" t="e">
        <f>IF($GZ165="",#N/A,SUM(GW$4:GW165))</f>
        <v>#N/A</v>
      </c>
      <c r="GY165" s="63" t="e">
        <f>IF(EJ165="",#N/A,SUM($EJ$4:EJ165))</f>
        <v>#N/A</v>
      </c>
      <c r="GZ165" s="159">
        <v>341.72</v>
      </c>
      <c r="HA165" s="63">
        <f t="shared" si="318"/>
        <v>0.82000000000005002</v>
      </c>
      <c r="HB165" s="62" t="s">
        <v>2538</v>
      </c>
      <c r="HC165" s="60">
        <f>IFERROR(VLOOKUP(E165,Expectancy!$P$4:$S$19,1+C165,FALSE),"")</f>
        <v>9.9793136114217987E-2</v>
      </c>
      <c r="HD165" s="82">
        <f t="shared" si="319"/>
        <v>-0.21094602291926151</v>
      </c>
      <c r="HE165" s="60">
        <f>IF(HD165="",#N/A,SUM($HD$4:HD165))</f>
        <v>-2.4656006695599468</v>
      </c>
      <c r="HF165" s="85">
        <f>IF(HD165="",#N/A,IF(HB165="Skip",#N/A,SUM($HG$4:HG165)))</f>
        <v>-40.540000000000191</v>
      </c>
      <c r="HG165" s="63">
        <f t="shared" si="320"/>
        <v>-4.3700000000000045</v>
      </c>
      <c r="HH165" s="82">
        <f t="shared" si="321"/>
        <v>-0.17136347399619403</v>
      </c>
    </row>
    <row r="166" spans="1:216" x14ac:dyDescent="0.25">
      <c r="A166" s="57" t="s">
        <v>1295</v>
      </c>
      <c r="B166" s="58" t="s">
        <v>5186</v>
      </c>
      <c r="C166" s="386">
        <f t="shared" si="230"/>
        <v>2</v>
      </c>
      <c r="D166" s="372" t="str">
        <f>_xlfn.XLOOKUP(A166,[1]SP500!$A$2:$A$502,[1]SP500!$D$2:$D$502,"N")</f>
        <v>Y</v>
      </c>
      <c r="E166" s="57" t="str">
        <f>_xlfn.XLOOKUP(A166,[1]SP500!$A$2:$A$655,[1]SP500!$B$2:$B$655)</f>
        <v>XLV</v>
      </c>
      <c r="F166" s="59">
        <v>45692</v>
      </c>
      <c r="G166" s="57" t="str">
        <f t="shared" si="231"/>
        <v>BMO</v>
      </c>
      <c r="H166" s="57" t="str">
        <f t="shared" si="232"/>
        <v>o</v>
      </c>
      <c r="I166" s="159">
        <v>99.79</v>
      </c>
      <c r="J166" s="158">
        <v>89</v>
      </c>
      <c r="K166" s="61">
        <f t="shared" si="233"/>
        <v>-0.10812706684036483</v>
      </c>
      <c r="L166" s="87">
        <f t="shared" si="234"/>
        <v>-43.999999999999943</v>
      </c>
      <c r="M166" s="130">
        <f t="shared" si="226"/>
        <v>1.1999999999999886</v>
      </c>
      <c r="N166" s="169" t="str">
        <f t="shared" si="235"/>
        <v/>
      </c>
      <c r="O166" s="169">
        <f>IF($J166="",#N/A,SUM($N$4:N166))</f>
        <v>339.33976368961373</v>
      </c>
      <c r="P166" s="174">
        <f t="shared" si="236"/>
        <v>43.999999999999943</v>
      </c>
      <c r="Q166" s="174">
        <f>IF($J166="",#N/A,SUM($P$4:P166))</f>
        <v>119.33104023772631</v>
      </c>
      <c r="R166" s="178" t="str">
        <f t="shared" si="237"/>
        <v/>
      </c>
      <c r="S166" s="178">
        <f>IF($J166="",#N/A,SUM($R$4:R166))</f>
        <v>170.95873610246861</v>
      </c>
      <c r="T166" s="290" t="str">
        <f t="shared" si="238"/>
        <v/>
      </c>
      <c r="U166" s="290">
        <f>IF($J166="",#N/A,SUM($T$4:T166))</f>
        <v>12.990954777900674</v>
      </c>
      <c r="V166" s="291">
        <f t="shared" si="239"/>
        <v>1.8333333333333313</v>
      </c>
      <c r="W166" s="291">
        <f>IF($J166="",#N/A,SUM($V$4:V166))</f>
        <v>4.8970850668246309</v>
      </c>
      <c r="X166" s="292" t="str">
        <f t="shared" si="240"/>
        <v/>
      </c>
      <c r="Y166" s="283">
        <f>IF($J166="",#N/A,SUM($X$4:X166))</f>
        <v>6.8298131734717655</v>
      </c>
      <c r="Z166" s="304" t="str">
        <f t="shared" si="241"/>
        <v/>
      </c>
      <c r="AA166" s="313" t="e">
        <f>IF($J166="",#N/A,SUM(Z$4:Z166))</f>
        <v>#N/A</v>
      </c>
      <c r="AB166" s="314" t="str">
        <f t="shared" si="242"/>
        <v/>
      </c>
      <c r="AC166" s="314" t="e">
        <f>IF($J166="",#N/A,SUM(AB$4:AB166))</f>
        <v>#N/A</v>
      </c>
      <c r="AD166" s="315" t="str">
        <f t="shared" si="243"/>
        <v/>
      </c>
      <c r="AE166" s="315" t="e">
        <f>IF($J166="",#N/A,SUM(AD$4:AD166))</f>
        <v>#N/A</v>
      </c>
      <c r="AF166" s="315" t="e">
        <f>IF($J166="",#N/A,SUM(AD$4:AD166,AB$4:AB166,Z$4:Z166))</f>
        <v>#N/A</v>
      </c>
      <c r="AG166" s="304" t="str">
        <f t="shared" si="244"/>
        <v/>
      </c>
      <c r="AH166" s="313" t="e">
        <f>IF($J166="",#N/A,SUM(AG$4:AG166))</f>
        <v>#N/A</v>
      </c>
      <c r="AI166" s="314" t="str">
        <f t="shared" si="245"/>
        <v/>
      </c>
      <c r="AJ166" s="314" t="e">
        <f>IF($J166="",#N/A,SUM(AI$4:AI166))</f>
        <v>#N/A</v>
      </c>
      <c r="AK166" s="315" t="str">
        <f t="shared" si="246"/>
        <v/>
      </c>
      <c r="AL166" s="315" t="e">
        <f>IF($J166="",#N/A,SUM(AK$4:AK166))</f>
        <v>#N/A</v>
      </c>
      <c r="AM166" s="315" t="e">
        <f>IF($J166="",#N/A,SUM(AK$4:AK166,AI$4:AI166,AG$4:AG166))</f>
        <v>#N/A</v>
      </c>
      <c r="AN166" s="304" t="str">
        <f t="shared" si="247"/>
        <v/>
      </c>
      <c r="AO166" s="313" t="e">
        <f>IF($J166="",#N/A,SUM(AN$4:AN166))</f>
        <v>#N/A</v>
      </c>
      <c r="AP166" s="314" t="str">
        <f t="shared" si="248"/>
        <v/>
      </c>
      <c r="AQ166" s="314" t="e">
        <f>IF($J166="",#N/A,SUM(AP$4:AP166))</f>
        <v>#N/A</v>
      </c>
      <c r="AR166" s="315" t="str">
        <f t="shared" si="249"/>
        <v/>
      </c>
      <c r="AS166" s="315" t="e">
        <f>IF($J166="",#N/A,SUM(AR$4:AR166))</f>
        <v>#N/A</v>
      </c>
      <c r="AT166" s="315" t="e">
        <f>IF($J166="",#N/A,SUM(AR$4:AR166,AP$4:AP166,AN$4:AN166))</f>
        <v>#N/A</v>
      </c>
      <c r="AU166" s="304" t="str">
        <f t="shared" si="250"/>
        <v/>
      </c>
      <c r="AV166" s="313" t="e">
        <f>IF($J166="",#N/A,SUM(AU$4:AU166))</f>
        <v>#N/A</v>
      </c>
      <c r="AW166" s="314" t="str">
        <f t="shared" si="251"/>
        <v/>
      </c>
      <c r="AX166" s="314" t="e">
        <f>IF($J166="",#N/A,SUM(AW$4:AW166))</f>
        <v>#N/A</v>
      </c>
      <c r="AY166" s="315" t="str">
        <f t="shared" si="252"/>
        <v/>
      </c>
      <c r="AZ166" s="315" t="e">
        <f>IF($J166="",#N/A,SUM(AY$4:AY166))</f>
        <v>#N/A</v>
      </c>
      <c r="BA166" s="315" t="e">
        <f>IF($J166="",#N/A,SUM(AY$4:AY166,AW$4:AW166,AU$4:AU166))</f>
        <v>#N/A</v>
      </c>
      <c r="BB166" s="304" t="str">
        <f t="shared" si="253"/>
        <v/>
      </c>
      <c r="BC166" s="313" t="e">
        <f>IF($J166="",#N/A,SUM(BB$4:BB166))</f>
        <v>#N/A</v>
      </c>
      <c r="BD166" s="314" t="str">
        <f t="shared" si="254"/>
        <v/>
      </c>
      <c r="BE166" s="314" t="e">
        <f>IF($J166="",#N/A,SUM(BD$4:BD166))</f>
        <v>#N/A</v>
      </c>
      <c r="BF166" s="315" t="str">
        <f t="shared" si="255"/>
        <v/>
      </c>
      <c r="BG166" s="315" t="e">
        <f>IF($J166="",#N/A,SUM(BF$4:BF166))</f>
        <v>#N/A</v>
      </c>
      <c r="BH166" s="315" t="e">
        <f>IF($J166="",#N/A,SUM(BF$4:BF166,BD$4:BD166,BB$4:BB166))</f>
        <v>#N/A</v>
      </c>
      <c r="BI166" s="304" t="str">
        <f t="shared" si="256"/>
        <v/>
      </c>
      <c r="BJ166" s="313" t="e">
        <f>IF($J166="",#N/A,SUM(BI$4:BI166))</f>
        <v>#N/A</v>
      </c>
      <c r="BK166" s="314" t="str">
        <f t="shared" si="257"/>
        <v/>
      </c>
      <c r="BL166" s="314" t="e">
        <f>IF($J166="",#N/A,SUM(BK$4:BK166))</f>
        <v>#N/A</v>
      </c>
      <c r="BM166" s="315" t="str">
        <f t="shared" si="258"/>
        <v/>
      </c>
      <c r="BN166" s="315" t="e">
        <f>IF($J166="",#N/A,SUM(BM$4:BM166))</f>
        <v>#N/A</v>
      </c>
      <c r="BO166" s="315" t="e">
        <f>IF($J166="",#N/A,SUM(BM$4:BM166,BK$4:BK166,BI$4:BI166))</f>
        <v>#N/A</v>
      </c>
      <c r="BP166" s="304" t="str">
        <f t="shared" si="259"/>
        <v/>
      </c>
      <c r="BQ166" s="313" t="e">
        <f>IF($J166="",#N/A,SUM(BP$4:BP166))</f>
        <v>#N/A</v>
      </c>
      <c r="BR166" s="314" t="str">
        <f t="shared" si="260"/>
        <v/>
      </c>
      <c r="BS166" s="314" t="e">
        <f>IF($J166="",#N/A,SUM(BR$4:BR166))</f>
        <v>#N/A</v>
      </c>
      <c r="BT166" s="315" t="str">
        <f t="shared" si="261"/>
        <v/>
      </c>
      <c r="BU166" s="315" t="e">
        <f>IF($J166="",#N/A,SUM(BT$4:BT166))</f>
        <v>#N/A</v>
      </c>
      <c r="BV166" s="315" t="e">
        <f>IF($J166="",#N/A,SUM(BT$4:BT166,BR$4:BR166,BP$4:BP166))</f>
        <v>#N/A</v>
      </c>
      <c r="BW166" s="304" t="str">
        <f t="shared" si="262"/>
        <v/>
      </c>
      <c r="BX166" s="313" t="e">
        <f>IF($J166="",#N/A,SUM(BW$4:BW166))</f>
        <v>#N/A</v>
      </c>
      <c r="BY166" s="314">
        <f t="shared" si="263"/>
        <v>1.8333333333333313</v>
      </c>
      <c r="BZ166" s="314" t="e">
        <f>IF($J166="",#N/A,SUM(BY$4:BY166))</f>
        <v>#N/A</v>
      </c>
      <c r="CA166" s="315" t="str">
        <f t="shared" si="264"/>
        <v/>
      </c>
      <c r="CB166" s="315" t="e">
        <f>IF($J166="",#N/A,SUM(CA$4:CA166))</f>
        <v>#N/A</v>
      </c>
      <c r="CC166" s="315" t="e">
        <f>IF($J166="",#N/A,SUM(CA$4:CA166,BY$4:BY166,BW$4:BW166))</f>
        <v>#N/A</v>
      </c>
      <c r="CD166" s="304" t="str">
        <f t="shared" si="265"/>
        <v/>
      </c>
      <c r="CE166" s="313" t="e">
        <f>IF($J166="",#N/A,SUM(CD$4:CD166))</f>
        <v>#N/A</v>
      </c>
      <c r="CF166" s="314" t="str">
        <f t="shared" si="266"/>
        <v/>
      </c>
      <c r="CG166" s="314" t="e">
        <f>IF($J166="",#N/A,SUM(CF$4:CF166))</f>
        <v>#N/A</v>
      </c>
      <c r="CH166" s="315" t="str">
        <f t="shared" si="267"/>
        <v/>
      </c>
      <c r="CI166" s="315" t="e">
        <f>IF($J166="",#N/A,SUM(CH$4:CH166))</f>
        <v>#N/A</v>
      </c>
      <c r="CJ166" s="315" t="e">
        <f>IF($J166="",#N/A,SUM(CH$4:CH166,CF$4:CF166,CD$4:CD166))</f>
        <v>#N/A</v>
      </c>
      <c r="CK166" s="304" t="str">
        <f t="shared" si="268"/>
        <v/>
      </c>
      <c r="CL166" s="313" t="e">
        <f>IF($J166="",#N/A,SUM(CK$4:CK166))</f>
        <v>#N/A</v>
      </c>
      <c r="CM166" s="314" t="str">
        <f t="shared" si="269"/>
        <v/>
      </c>
      <c r="CN166" s="314" t="e">
        <f>IF($J166="",#N/A,SUM(CM$4:CM166))</f>
        <v>#N/A</v>
      </c>
      <c r="CO166" s="315" t="str">
        <f t="shared" si="270"/>
        <v/>
      </c>
      <c r="CP166" s="315" t="e">
        <f>IF($J166="",#N/A,SUM(CO$4:CO166))</f>
        <v>#N/A</v>
      </c>
      <c r="CQ166" s="315" t="e">
        <f>IF($J166="",#N/A,SUM(CO$4:CO166,CM$4:CM166,CK$4:CK166))</f>
        <v>#N/A</v>
      </c>
      <c r="CR166" s="304" t="str">
        <f t="shared" si="271"/>
        <v/>
      </c>
      <c r="CS166" s="313" t="e">
        <f>IF($J166="",#N/A,SUM(CR$4:CR166))</f>
        <v>#N/A</v>
      </c>
      <c r="CT166" s="314" t="str">
        <f t="shared" si="272"/>
        <v/>
      </c>
      <c r="CU166" s="314" t="e">
        <f>IF($J166="",#N/A,SUM(CT$4:CT166))</f>
        <v>#N/A</v>
      </c>
      <c r="CV166" s="315" t="str">
        <f t="shared" si="273"/>
        <v/>
      </c>
      <c r="CW166" s="315" t="e">
        <f>IF($J166="",#N/A,SUM(CV$4:CV166))</f>
        <v>#N/A</v>
      </c>
      <c r="CX166" s="315" t="e">
        <f>IF($J166="",#N/A,SUM(CV$4:CV166,CT$4:CT166,CR$4:CR166))</f>
        <v>#N/A</v>
      </c>
      <c r="CY166" s="304" t="str">
        <f t="shared" si="274"/>
        <v/>
      </c>
      <c r="CZ166" s="313" t="e">
        <f>IF($J166="",#N/A,SUM(CY$4:CY166))</f>
        <v>#N/A</v>
      </c>
      <c r="DA166" s="314" t="str">
        <f t="shared" si="275"/>
        <v/>
      </c>
      <c r="DB166" s="314" t="e">
        <f>IF($J166="",#N/A,SUM(DA$4:DA166))</f>
        <v>#N/A</v>
      </c>
      <c r="DC166" s="315" t="str">
        <f t="shared" si="276"/>
        <v/>
      </c>
      <c r="DD166" s="315" t="e">
        <f>IF($J166="",#N/A,SUM(DC$4:DC166))</f>
        <v>#N/A</v>
      </c>
      <c r="DE166" s="315" t="e">
        <f>IF($J166="",#N/A,SUM(DC$4:DC166,DA$4:DA166,CY$4:CY166))</f>
        <v>#N/A</v>
      </c>
      <c r="DF166" s="304" t="str">
        <f t="shared" si="277"/>
        <v/>
      </c>
      <c r="DG166" s="313" t="e">
        <f>IF($J166="",#N/A,SUM(DF$4:DF166))</f>
        <v>#N/A</v>
      </c>
      <c r="DH166" s="314" t="str">
        <f t="shared" si="278"/>
        <v/>
      </c>
      <c r="DI166" s="314" t="e">
        <f>IF($J166="",#N/A,SUM(DH$4:DH166))</f>
        <v>#N/A</v>
      </c>
      <c r="DJ166" s="315" t="str">
        <f t="shared" si="279"/>
        <v/>
      </c>
      <c r="DK166" s="315" t="e">
        <f>IF($J166="",#N/A,SUM(DJ$4:DJ166))</f>
        <v>#N/A</v>
      </c>
      <c r="DL166" s="315" t="e">
        <f>IF($J166="",#N/A,SUM(DJ$4:DJ166,DH$4:DH166,DF$4:DF166))</f>
        <v>#N/A</v>
      </c>
      <c r="DM166" s="304" t="str">
        <f t="shared" si="280"/>
        <v/>
      </c>
      <c r="DN166" s="313" t="e">
        <f>IF($J166="",#N/A,SUM(DM$4:DM166))</f>
        <v>#N/A</v>
      </c>
      <c r="DO166" s="314" t="str">
        <f t="shared" si="281"/>
        <v/>
      </c>
      <c r="DP166" s="314" t="e">
        <f>IF($J166="",#N/A,SUM(DO$4:DO166))</f>
        <v>#N/A</v>
      </c>
      <c r="DQ166" s="315" t="str">
        <f t="shared" si="282"/>
        <v/>
      </c>
      <c r="DR166" s="315" t="e">
        <f>IF($J166="",#N/A,SUM(DQ$4:DQ166))</f>
        <v>#N/A</v>
      </c>
      <c r="DS166" s="315" t="e">
        <f>IF($J166="",#N/A,SUM(DQ$4:DQ166,DO$4:DO166,DM$4:DM166))</f>
        <v>#N/A</v>
      </c>
      <c r="DT166" s="304" t="str">
        <f t="shared" si="283"/>
        <v/>
      </c>
      <c r="DU166" s="313" t="e">
        <f>IF($J166="",#N/A,SUM(DT$4:DT166))</f>
        <v>#N/A</v>
      </c>
      <c r="DV166" s="314" t="str">
        <f t="shared" si="284"/>
        <v/>
      </c>
      <c r="DW166" s="314" t="e">
        <f>IF($J166="",#N/A,SUM(DV$4:DV166))</f>
        <v>#N/A</v>
      </c>
      <c r="DX166" s="315" t="str">
        <f t="shared" si="285"/>
        <v/>
      </c>
      <c r="DY166" s="315" t="e">
        <f>IF($J166="",#N/A,SUM(DX$4:DX166))</f>
        <v>#N/A</v>
      </c>
      <c r="DZ166" s="315" t="e">
        <f>IF($J166="",#N/A,SUM(DX$4:DX166,DV$4:DV166,DT$4:DT166))</f>
        <v>#N/A</v>
      </c>
      <c r="EA166" s="304" t="str">
        <f t="shared" si="286"/>
        <v/>
      </c>
      <c r="EB166" s="313" t="e">
        <f>IF($J166="",#N/A,SUM(EA$4:EA166))</f>
        <v>#N/A</v>
      </c>
      <c r="EC166" s="314" t="str">
        <f t="shared" si="287"/>
        <v/>
      </c>
      <c r="ED166" s="314" t="e">
        <f>IF($J166="",#N/A,SUM(EC$4:EC166))</f>
        <v>#N/A</v>
      </c>
      <c r="EE166" s="315" t="str">
        <f t="shared" si="288"/>
        <v/>
      </c>
      <c r="EF166" s="315" t="e">
        <f>IF($J166="",#N/A,SUM(EE$4:EE166))</f>
        <v>#N/A</v>
      </c>
      <c r="EG166" s="315" t="e">
        <f>IF($J166="",#N/A,SUM(EE$4:EE166,EC$4:EC166,EA$4:EA166))</f>
        <v>#N/A</v>
      </c>
      <c r="EH166" s="130">
        <f t="shared" si="289"/>
        <v>43.999999999999943</v>
      </c>
      <c r="EI166" s="63">
        <f>IF(EH166="",#N/A,SUM($EH$4:EH166))</f>
        <v>629.62954002980882</v>
      </c>
      <c r="EJ166" s="223" t="e">
        <f t="shared" si="290"/>
        <v>#N/A</v>
      </c>
      <c r="EK166" s="63" t="e">
        <f>IF($GZ166="",#N/A,SUM(EJ$4:EJ166))</f>
        <v>#N/A</v>
      </c>
      <c r="EL166" s="60">
        <f t="shared" si="322"/>
        <v>1.8333333333333313</v>
      </c>
      <c r="EM166" s="60">
        <f>IF(EL166="",NA(),SUM($EL$4:EL166))</f>
        <v>21.057064954715813</v>
      </c>
      <c r="EN166" s="60" t="str">
        <f t="shared" si="291"/>
        <v/>
      </c>
      <c r="EO166" s="60" t="e">
        <f>IF(EN166="",NA(),SUM($EN$4:EN166))</f>
        <v>#N/A</v>
      </c>
      <c r="EP166" s="60" t="str">
        <f t="shared" si="292"/>
        <v/>
      </c>
      <c r="EQ166" s="60" t="e">
        <f>IF(EP166="",NA(),SUM($EP$4:EP166))</f>
        <v>#N/A</v>
      </c>
      <c r="ER166" s="60">
        <f t="shared" si="293"/>
        <v>1.8333333333333313</v>
      </c>
      <c r="ES166" s="60">
        <f>IF(ER166="",NA(),SUM($ER$4:ER166))</f>
        <v>4.1946896141246723</v>
      </c>
      <c r="ET166" s="60" t="str">
        <f t="shared" si="294"/>
        <v/>
      </c>
      <c r="EU166" s="60" t="e">
        <f>IF(ET166="",NA(),SUM($ET$4:ET166))</f>
        <v>#N/A</v>
      </c>
      <c r="EV166" s="60" t="str">
        <f t="shared" si="295"/>
        <v/>
      </c>
      <c r="EW166" s="60" t="e">
        <f>IF(EV166="",NA(),SUM($EV$4:EV166))</f>
        <v>#N/A</v>
      </c>
      <c r="EX166" s="60" t="str">
        <f t="shared" si="296"/>
        <v/>
      </c>
      <c r="EY166" s="60" t="e">
        <f>IF(EX166="",NA(),SUM($EX$4:EX166))</f>
        <v>#N/A</v>
      </c>
      <c r="EZ166" s="60" t="str">
        <f t="shared" si="297"/>
        <v/>
      </c>
      <c r="FA166" s="60" t="e">
        <f>IF(EZ166="",NA(),SUM($EZ$4:EZ166))</f>
        <v>#N/A</v>
      </c>
      <c r="FB166" s="246">
        <f t="shared" si="323"/>
        <v>-0.28999999999999915</v>
      </c>
      <c r="FC166" s="246">
        <f>IF($FB166="",#N/A,SUM(FB$4:$FB166))</f>
        <v>1.9691211406356746</v>
      </c>
      <c r="FD166" s="60" t="str">
        <f t="shared" si="298"/>
        <v/>
      </c>
      <c r="FE166" s="60" t="e">
        <f>IF($FD166="",#N/A,SUM($FD$4:FD166))</f>
        <v>#N/A</v>
      </c>
      <c r="FF166" s="60" t="str">
        <f t="shared" si="299"/>
        <v/>
      </c>
      <c r="FG166" s="60" t="e">
        <f>IF($FF166="",#N/A,SUM($FF$4:FF166))</f>
        <v>#N/A</v>
      </c>
      <c r="FH166" s="60" t="str">
        <f t="shared" si="300"/>
        <v/>
      </c>
      <c r="FI166" s="60" t="e">
        <f>IF($FH166="",#N/A,SUM($FH$4:FH166))</f>
        <v>#N/A</v>
      </c>
      <c r="FJ166" s="60" t="str">
        <f t="shared" si="301"/>
        <v/>
      </c>
      <c r="FK166" s="60" t="e">
        <f>IF($FJ166="",#N/A,SUM($FJ$4:FJ166))</f>
        <v>#N/A</v>
      </c>
      <c r="FL166" s="60" t="str">
        <f t="shared" si="302"/>
        <v/>
      </c>
      <c r="FM166" s="60" t="e">
        <f>IF($FL166="",#N/A,SUM($FL$4:FL166))</f>
        <v>#N/A</v>
      </c>
      <c r="FN166" s="82">
        <f t="shared" si="303"/>
        <v>1.5433333333333321</v>
      </c>
      <c r="FO166" s="82">
        <f>IF($FN166="",#N/A,SUM(FN$4:$FN166))</f>
        <v>32.076699905428711</v>
      </c>
      <c r="FP166" s="82">
        <f t="shared" si="324"/>
        <v>1.8333333333333313</v>
      </c>
      <c r="FQ166" s="246">
        <f>IF($EH166="",#N/A,SUM($FP$4:FP166))</f>
        <v>24.717853018197083</v>
      </c>
      <c r="FR166" s="82">
        <f>IFERROR(FQ166/COUNTA($J$4:J166),#N/A)</f>
        <v>0.15164327005028885</v>
      </c>
      <c r="FS166" s="82">
        <f t="shared" ref="FS166:FS175" si="332">IFERROR(($FQ166-$FQ120)/COUNTA($J120:$J166),#N/A)</f>
        <v>2.1824464969696353E-2</v>
      </c>
      <c r="FT166" s="82">
        <f t="shared" ref="FT166:FT175" si="333">IFERROR(($FQ166-$FQ144)/COUNTA($J144:$J166),#N/A)</f>
        <v>2.8707212236396815E-2</v>
      </c>
      <c r="FU166" s="337">
        <f t="shared" si="331"/>
        <v>14.436787021090362</v>
      </c>
      <c r="FV166" s="57" t="str">
        <f t="shared" si="305"/>
        <v>Dwn</v>
      </c>
      <c r="FW166" s="57" t="s">
        <v>2733</v>
      </c>
      <c r="FX166" s="57" t="str">
        <f t="shared" si="306"/>
        <v/>
      </c>
      <c r="FY166" s="57" t="str">
        <f t="shared" si="307"/>
        <v/>
      </c>
      <c r="FZ166" s="57" t="str">
        <f t="shared" si="308"/>
        <v/>
      </c>
      <c r="GA166" s="57" t="str">
        <f t="shared" si="309"/>
        <v>Short</v>
      </c>
      <c r="GB166" s="57">
        <f t="shared" si="310"/>
        <v>1</v>
      </c>
      <c r="GC166" s="57" t="str">
        <f t="shared" si="311"/>
        <v/>
      </c>
      <c r="GD166" s="57" t="str">
        <f t="shared" si="312"/>
        <v/>
      </c>
      <c r="GE166" s="62">
        <f t="shared" si="227"/>
        <v>99.79</v>
      </c>
      <c r="GF166" s="62" t="s">
        <v>2779</v>
      </c>
      <c r="GG166" s="199">
        <f>400/I166</f>
        <v>4.0084176771219555</v>
      </c>
      <c r="GH166" s="207">
        <f t="shared" si="313"/>
        <v>399.99999999999994</v>
      </c>
      <c r="GI166" s="199">
        <v>4</v>
      </c>
      <c r="GJ166" s="200">
        <v>89.3</v>
      </c>
      <c r="GK166" s="63">
        <f t="shared" si="314"/>
        <v>-42.799999999999955</v>
      </c>
      <c r="GL166" s="63">
        <f t="shared" si="228"/>
        <v>-37.039999999999964</v>
      </c>
      <c r="GM166" s="82" t="str">
        <f t="shared" si="315"/>
        <v/>
      </c>
      <c r="GN166" s="82">
        <f>IF($GZ166="",#N/A,SUM(GM$4:GM166))</f>
        <v>8.3032696247137014</v>
      </c>
      <c r="GO166" s="82" t="str">
        <f t="shared" si="316"/>
        <v/>
      </c>
      <c r="GP166" s="82">
        <f>IF($GZ166="",#N/A,SUM(GO$4:GO166))</f>
        <v>14.356917335551275</v>
      </c>
      <c r="GQ166" s="82">
        <f t="shared" si="317"/>
        <v>1.5433333333333321</v>
      </c>
      <c r="GR166" s="82">
        <f>IF($GZ166="",#N/A,SUM(GQ$4:GQ166))</f>
        <v>8.7906759907213967</v>
      </c>
      <c r="GS166" s="63" t="str">
        <f t="shared" si="325"/>
        <v/>
      </c>
      <c r="GT166" s="63" t="e">
        <f>IF($GZ166="",#N/A,SUM(GS$4:GS166))</f>
        <v>#N/A</v>
      </c>
      <c r="GU166" s="63" t="str">
        <f t="shared" si="326"/>
        <v/>
      </c>
      <c r="GV166" s="63" t="e">
        <f>IF($GZ166="",#N/A,SUM(GU$4:GU166))</f>
        <v>#N/A</v>
      </c>
      <c r="GW166" s="63" t="e">
        <f t="shared" si="327"/>
        <v>#N/A</v>
      </c>
      <c r="GX166" s="63" t="e">
        <f>IF($GZ166="",#N/A,SUM(GW$4:GW166))</f>
        <v>#N/A</v>
      </c>
      <c r="GY166" s="63" t="e">
        <f>IF(EJ166="",#N/A,SUM($EJ$4:EJ166))</f>
        <v>#N/A</v>
      </c>
      <c r="GZ166" s="159">
        <v>90.74</v>
      </c>
      <c r="HA166" s="63">
        <f t="shared" si="318"/>
        <v>-81.039999999999907</v>
      </c>
      <c r="HB166" s="62" t="s">
        <v>2538</v>
      </c>
      <c r="HC166" s="60">
        <f>IFERROR(VLOOKUP(E166,Expectancy!$P$4:$S$19,1+C166,FALSE),"")</f>
        <v>0.18997806194873415</v>
      </c>
      <c r="HD166" s="82">
        <f t="shared" si="319"/>
        <v>-1.7833333333333317</v>
      </c>
      <c r="HE166" s="60">
        <f>IF(HD166="",#N/A,SUM($HD$4:HD166))</f>
        <v>-4.2489340028932787</v>
      </c>
      <c r="HF166" s="85">
        <f>IF(HD166="",#N/A,IF(HB166="Skip",#N/A,SUM($HG$4:HG166)))</f>
        <v>-83.340000000000146</v>
      </c>
      <c r="HG166" s="63">
        <f t="shared" si="320"/>
        <v>-42.799999999999955</v>
      </c>
      <c r="HH166" s="82">
        <f t="shared" si="321"/>
        <v>1.5433333333333321</v>
      </c>
    </row>
    <row r="167" spans="1:216" x14ac:dyDescent="0.25">
      <c r="A167" s="57" t="s">
        <v>1300</v>
      </c>
      <c r="B167" s="58" t="s">
        <v>5187</v>
      </c>
      <c r="C167" s="386">
        <f t="shared" si="230"/>
        <v>2</v>
      </c>
      <c r="D167" s="372" t="str">
        <f>_xlfn.XLOOKUP(A167,[1]SP500!$A$2:$A$502,[1]SP500!$D$2:$D$502,"N")</f>
        <v>Y</v>
      </c>
      <c r="E167" s="57" t="str">
        <f>_xlfn.XLOOKUP(A167,[1]SP500!$A$2:$A$655,[1]SP500!$B$2:$B$655)</f>
        <v>XLP</v>
      </c>
      <c r="F167" s="59">
        <v>45692</v>
      </c>
      <c r="G167" s="57" t="str">
        <f t="shared" si="231"/>
        <v>BMO</v>
      </c>
      <c r="H167" s="57" t="str">
        <f t="shared" si="232"/>
        <v>s</v>
      </c>
      <c r="I167" s="159">
        <v>150.27000000000001</v>
      </c>
      <c r="J167" s="158">
        <v>146.1</v>
      </c>
      <c r="K167" s="61">
        <f t="shared" si="233"/>
        <v>-2.7750049910161813E-2</v>
      </c>
      <c r="L167" s="87">
        <f t="shared" si="234"/>
        <v>12.510000000000105</v>
      </c>
      <c r="M167" s="130">
        <f t="shared" si="226"/>
        <v>0</v>
      </c>
      <c r="N167" s="169" t="str">
        <f t="shared" si="235"/>
        <v/>
      </c>
      <c r="O167" s="169">
        <f>IF($J167="",#N/A,SUM($N$4:N167))</f>
        <v>339.33976368961373</v>
      </c>
      <c r="P167" s="174">
        <f t="shared" si="236"/>
        <v>12.510000000000105</v>
      </c>
      <c r="Q167" s="174">
        <f>IF($J167="",#N/A,SUM($P$4:P167))</f>
        <v>131.84104023772642</v>
      </c>
      <c r="R167" s="178" t="str">
        <f t="shared" si="237"/>
        <v/>
      </c>
      <c r="S167" s="178">
        <f>IF($J167="",#N/A,SUM($R$4:R167))</f>
        <v>170.95873610246861</v>
      </c>
      <c r="T167" s="290" t="str">
        <f t="shared" si="238"/>
        <v/>
      </c>
      <c r="U167" s="290">
        <f>IF($J167="",#N/A,SUM($T$4:T167))</f>
        <v>12.990954777900674</v>
      </c>
      <c r="V167" s="291">
        <f t="shared" si="239"/>
        <v>0.4625008318360323</v>
      </c>
      <c r="W167" s="291">
        <f>IF($J167="",#N/A,SUM($V$4:V167))</f>
        <v>5.3595858986606633</v>
      </c>
      <c r="X167" s="292" t="str">
        <f t="shared" si="240"/>
        <v/>
      </c>
      <c r="Y167" s="283">
        <f>IF($J167="",#N/A,SUM($X$4:X167))</f>
        <v>6.8298131734717655</v>
      </c>
      <c r="Z167" s="304" t="str">
        <f t="shared" si="241"/>
        <v/>
      </c>
      <c r="AA167" s="313" t="e">
        <f>IF($J167="",#N/A,SUM(Z$4:Z167))</f>
        <v>#N/A</v>
      </c>
      <c r="AB167" s="314" t="str">
        <f t="shared" si="242"/>
        <v/>
      </c>
      <c r="AC167" s="314" t="e">
        <f>IF($J167="",#N/A,SUM(AB$4:AB167))</f>
        <v>#N/A</v>
      </c>
      <c r="AD167" s="315" t="str">
        <f t="shared" si="243"/>
        <v/>
      </c>
      <c r="AE167" s="315" t="e">
        <f>IF($J167="",#N/A,SUM(AD$4:AD167))</f>
        <v>#N/A</v>
      </c>
      <c r="AF167" s="315" t="e">
        <f>IF($J167="",#N/A,SUM(AD$4:AD167,AB$4:AB167,Z$4:Z167))</f>
        <v>#N/A</v>
      </c>
      <c r="AG167" s="304" t="str">
        <f t="shared" si="244"/>
        <v/>
      </c>
      <c r="AH167" s="313" t="e">
        <f>IF($J167="",#N/A,SUM(AG$4:AG167))</f>
        <v>#N/A</v>
      </c>
      <c r="AI167" s="314" t="str">
        <f t="shared" si="245"/>
        <v/>
      </c>
      <c r="AJ167" s="314" t="e">
        <f>IF($J167="",#N/A,SUM(AI$4:AI167))</f>
        <v>#N/A</v>
      </c>
      <c r="AK167" s="315" t="str">
        <f t="shared" si="246"/>
        <v/>
      </c>
      <c r="AL167" s="315" t="e">
        <f>IF($J167="",#N/A,SUM(AK$4:AK167))</f>
        <v>#N/A</v>
      </c>
      <c r="AM167" s="315" t="e">
        <f>IF($J167="",#N/A,SUM(AK$4:AK167,AI$4:AI167,AG$4:AG167))</f>
        <v>#N/A</v>
      </c>
      <c r="AN167" s="304" t="str">
        <f t="shared" si="247"/>
        <v/>
      </c>
      <c r="AO167" s="313" t="e">
        <f>IF($J167="",#N/A,SUM(AN$4:AN167))</f>
        <v>#N/A</v>
      </c>
      <c r="AP167" s="314" t="str">
        <f t="shared" si="248"/>
        <v/>
      </c>
      <c r="AQ167" s="314" t="e">
        <f>IF($J167="",#N/A,SUM(AP$4:AP167))</f>
        <v>#N/A</v>
      </c>
      <c r="AR167" s="315" t="str">
        <f t="shared" si="249"/>
        <v/>
      </c>
      <c r="AS167" s="315" t="e">
        <f>IF($J167="",#N/A,SUM(AR$4:AR167))</f>
        <v>#N/A</v>
      </c>
      <c r="AT167" s="315" t="e">
        <f>IF($J167="",#N/A,SUM(AR$4:AR167,AP$4:AP167,AN$4:AN167))</f>
        <v>#N/A</v>
      </c>
      <c r="AU167" s="304" t="str">
        <f t="shared" si="250"/>
        <v/>
      </c>
      <c r="AV167" s="313" t="e">
        <f>IF($J167="",#N/A,SUM(AU$4:AU167))</f>
        <v>#N/A</v>
      </c>
      <c r="AW167" s="314">
        <f t="shared" si="251"/>
        <v>0.4625008318360323</v>
      </c>
      <c r="AX167" s="314" t="e">
        <f>IF($J167="",#N/A,SUM(AW$4:AW167))</f>
        <v>#N/A</v>
      </c>
      <c r="AY167" s="315" t="str">
        <f t="shared" si="252"/>
        <v/>
      </c>
      <c r="AZ167" s="315" t="e">
        <f>IF($J167="",#N/A,SUM(AY$4:AY167))</f>
        <v>#N/A</v>
      </c>
      <c r="BA167" s="315" t="e">
        <f>IF($J167="",#N/A,SUM(AY$4:AY167,AW$4:AW167,AU$4:AU167))</f>
        <v>#N/A</v>
      </c>
      <c r="BB167" s="304" t="str">
        <f t="shared" si="253"/>
        <v/>
      </c>
      <c r="BC167" s="313" t="e">
        <f>IF($J167="",#N/A,SUM(BB$4:BB167))</f>
        <v>#N/A</v>
      </c>
      <c r="BD167" s="314" t="str">
        <f t="shared" si="254"/>
        <v/>
      </c>
      <c r="BE167" s="314" t="e">
        <f>IF($J167="",#N/A,SUM(BD$4:BD167))</f>
        <v>#N/A</v>
      </c>
      <c r="BF167" s="315" t="str">
        <f t="shared" si="255"/>
        <v/>
      </c>
      <c r="BG167" s="315" t="e">
        <f>IF($J167="",#N/A,SUM(BF$4:BF167))</f>
        <v>#N/A</v>
      </c>
      <c r="BH167" s="315" t="e">
        <f>IF($J167="",#N/A,SUM(BF$4:BF167,BD$4:BD167,BB$4:BB167))</f>
        <v>#N/A</v>
      </c>
      <c r="BI167" s="304" t="str">
        <f t="shared" si="256"/>
        <v/>
      </c>
      <c r="BJ167" s="313" t="e">
        <f>IF($J167="",#N/A,SUM(BI$4:BI167))</f>
        <v>#N/A</v>
      </c>
      <c r="BK167" s="314" t="str">
        <f t="shared" si="257"/>
        <v/>
      </c>
      <c r="BL167" s="314" t="e">
        <f>IF($J167="",#N/A,SUM(BK$4:BK167))</f>
        <v>#N/A</v>
      </c>
      <c r="BM167" s="315" t="str">
        <f t="shared" si="258"/>
        <v/>
      </c>
      <c r="BN167" s="315" t="e">
        <f>IF($J167="",#N/A,SUM(BM$4:BM167))</f>
        <v>#N/A</v>
      </c>
      <c r="BO167" s="315" t="e">
        <f>IF($J167="",#N/A,SUM(BM$4:BM167,BK$4:BK167,BI$4:BI167))</f>
        <v>#N/A</v>
      </c>
      <c r="BP167" s="304" t="str">
        <f t="shared" si="259"/>
        <v/>
      </c>
      <c r="BQ167" s="313" t="e">
        <f>IF($J167="",#N/A,SUM(BP$4:BP167))</f>
        <v>#N/A</v>
      </c>
      <c r="BR167" s="314" t="str">
        <f t="shared" si="260"/>
        <v/>
      </c>
      <c r="BS167" s="314" t="e">
        <f>IF($J167="",#N/A,SUM(BR$4:BR167))</f>
        <v>#N/A</v>
      </c>
      <c r="BT167" s="315" t="str">
        <f t="shared" si="261"/>
        <v/>
      </c>
      <c r="BU167" s="315" t="e">
        <f>IF($J167="",#N/A,SUM(BT$4:BT167))</f>
        <v>#N/A</v>
      </c>
      <c r="BV167" s="315" t="e">
        <f>IF($J167="",#N/A,SUM(BT$4:BT167,BR$4:BR167,BP$4:BP167))</f>
        <v>#N/A</v>
      </c>
      <c r="BW167" s="304" t="str">
        <f t="shared" si="262"/>
        <v/>
      </c>
      <c r="BX167" s="313" t="e">
        <f>IF($J167="",#N/A,SUM(BW$4:BW167))</f>
        <v>#N/A</v>
      </c>
      <c r="BY167" s="314" t="str">
        <f t="shared" si="263"/>
        <v/>
      </c>
      <c r="BZ167" s="314" t="e">
        <f>IF($J167="",#N/A,SUM(BY$4:BY167))</f>
        <v>#N/A</v>
      </c>
      <c r="CA167" s="315" t="str">
        <f t="shared" si="264"/>
        <v/>
      </c>
      <c r="CB167" s="315" t="e">
        <f>IF($J167="",#N/A,SUM(CA$4:CA167))</f>
        <v>#N/A</v>
      </c>
      <c r="CC167" s="315" t="e">
        <f>IF($J167="",#N/A,SUM(CA$4:CA167,BY$4:BY167,BW$4:BW167))</f>
        <v>#N/A</v>
      </c>
      <c r="CD167" s="304" t="str">
        <f t="shared" si="265"/>
        <v/>
      </c>
      <c r="CE167" s="313" t="e">
        <f>IF($J167="",#N/A,SUM(CD$4:CD167))</f>
        <v>#N/A</v>
      </c>
      <c r="CF167" s="314" t="str">
        <f t="shared" si="266"/>
        <v/>
      </c>
      <c r="CG167" s="314" t="e">
        <f>IF($J167="",#N/A,SUM(CF$4:CF167))</f>
        <v>#N/A</v>
      </c>
      <c r="CH167" s="315" t="str">
        <f t="shared" si="267"/>
        <v/>
      </c>
      <c r="CI167" s="315" t="e">
        <f>IF($J167="",#N/A,SUM(CH$4:CH167))</f>
        <v>#N/A</v>
      </c>
      <c r="CJ167" s="315" t="e">
        <f>IF($J167="",#N/A,SUM(CH$4:CH167,CF$4:CF167,CD$4:CD167))</f>
        <v>#N/A</v>
      </c>
      <c r="CK167" s="304" t="str">
        <f t="shared" si="268"/>
        <v/>
      </c>
      <c r="CL167" s="313" t="e">
        <f>IF($J167="",#N/A,SUM(CK$4:CK167))</f>
        <v>#N/A</v>
      </c>
      <c r="CM167" s="314" t="str">
        <f t="shared" si="269"/>
        <v/>
      </c>
      <c r="CN167" s="314" t="e">
        <f>IF($J167="",#N/A,SUM(CM$4:CM167))</f>
        <v>#N/A</v>
      </c>
      <c r="CO167" s="315" t="str">
        <f t="shared" si="270"/>
        <v/>
      </c>
      <c r="CP167" s="315" t="e">
        <f>IF($J167="",#N/A,SUM(CO$4:CO167))</f>
        <v>#N/A</v>
      </c>
      <c r="CQ167" s="315" t="e">
        <f>IF($J167="",#N/A,SUM(CO$4:CO167,CM$4:CM167,CK$4:CK167))</f>
        <v>#N/A</v>
      </c>
      <c r="CR167" s="304" t="str">
        <f t="shared" si="271"/>
        <v/>
      </c>
      <c r="CS167" s="313" t="e">
        <f>IF($J167="",#N/A,SUM(CR$4:CR167))</f>
        <v>#N/A</v>
      </c>
      <c r="CT167" s="314" t="str">
        <f t="shared" si="272"/>
        <v/>
      </c>
      <c r="CU167" s="314" t="e">
        <f>IF($J167="",#N/A,SUM(CT$4:CT167))</f>
        <v>#N/A</v>
      </c>
      <c r="CV167" s="315" t="str">
        <f t="shared" si="273"/>
        <v/>
      </c>
      <c r="CW167" s="315" t="e">
        <f>IF($J167="",#N/A,SUM(CV$4:CV167))</f>
        <v>#N/A</v>
      </c>
      <c r="CX167" s="315" t="e">
        <f>IF($J167="",#N/A,SUM(CV$4:CV167,CT$4:CT167,CR$4:CR167))</f>
        <v>#N/A</v>
      </c>
      <c r="CY167" s="304" t="str">
        <f t="shared" si="274"/>
        <v/>
      </c>
      <c r="CZ167" s="313" t="e">
        <f>IF($J167="",#N/A,SUM(CY$4:CY167))</f>
        <v>#N/A</v>
      </c>
      <c r="DA167" s="314" t="str">
        <f t="shared" si="275"/>
        <v/>
      </c>
      <c r="DB167" s="314" t="e">
        <f>IF($J167="",#N/A,SUM(DA$4:DA167))</f>
        <v>#N/A</v>
      </c>
      <c r="DC167" s="315" t="str">
        <f t="shared" si="276"/>
        <v/>
      </c>
      <c r="DD167" s="315" t="e">
        <f>IF($J167="",#N/A,SUM(DC$4:DC167))</f>
        <v>#N/A</v>
      </c>
      <c r="DE167" s="315" t="e">
        <f>IF($J167="",#N/A,SUM(DC$4:DC167,DA$4:DA167,CY$4:CY167))</f>
        <v>#N/A</v>
      </c>
      <c r="DF167" s="304" t="str">
        <f t="shared" si="277"/>
        <v/>
      </c>
      <c r="DG167" s="313" t="e">
        <f>IF($J167="",#N/A,SUM(DF$4:DF167))</f>
        <v>#N/A</v>
      </c>
      <c r="DH167" s="314" t="str">
        <f t="shared" si="278"/>
        <v/>
      </c>
      <c r="DI167" s="314" t="e">
        <f>IF($J167="",#N/A,SUM(DH$4:DH167))</f>
        <v>#N/A</v>
      </c>
      <c r="DJ167" s="315" t="str">
        <f t="shared" si="279"/>
        <v/>
      </c>
      <c r="DK167" s="315" t="e">
        <f>IF($J167="",#N/A,SUM(DJ$4:DJ167))</f>
        <v>#N/A</v>
      </c>
      <c r="DL167" s="315" t="e">
        <f>IF($J167="",#N/A,SUM(DJ$4:DJ167,DH$4:DH167,DF$4:DF167))</f>
        <v>#N/A</v>
      </c>
      <c r="DM167" s="304" t="str">
        <f t="shared" si="280"/>
        <v/>
      </c>
      <c r="DN167" s="313" t="e">
        <f>IF($J167="",#N/A,SUM(DM$4:DM167))</f>
        <v>#N/A</v>
      </c>
      <c r="DO167" s="314" t="str">
        <f t="shared" si="281"/>
        <v/>
      </c>
      <c r="DP167" s="314" t="e">
        <f>IF($J167="",#N/A,SUM(DO$4:DO167))</f>
        <v>#N/A</v>
      </c>
      <c r="DQ167" s="315" t="str">
        <f t="shared" si="282"/>
        <v/>
      </c>
      <c r="DR167" s="315" t="e">
        <f>IF($J167="",#N/A,SUM(DQ$4:DQ167))</f>
        <v>#N/A</v>
      </c>
      <c r="DS167" s="315" t="e">
        <f>IF($J167="",#N/A,SUM(DQ$4:DQ167,DO$4:DO167,DM$4:DM167))</f>
        <v>#N/A</v>
      </c>
      <c r="DT167" s="304" t="str">
        <f t="shared" si="283"/>
        <v/>
      </c>
      <c r="DU167" s="313" t="e">
        <f>IF($J167="",#N/A,SUM(DT$4:DT167))</f>
        <v>#N/A</v>
      </c>
      <c r="DV167" s="314" t="str">
        <f t="shared" si="284"/>
        <v/>
      </c>
      <c r="DW167" s="314" t="e">
        <f>IF($J167="",#N/A,SUM(DV$4:DV167))</f>
        <v>#N/A</v>
      </c>
      <c r="DX167" s="315" t="str">
        <f t="shared" si="285"/>
        <v/>
      </c>
      <c r="DY167" s="315" t="e">
        <f>IF($J167="",#N/A,SUM(DX$4:DX167))</f>
        <v>#N/A</v>
      </c>
      <c r="DZ167" s="315" t="e">
        <f>IF($J167="",#N/A,SUM(DX$4:DX167,DV$4:DV167,DT$4:DT167))</f>
        <v>#N/A</v>
      </c>
      <c r="EA167" s="304" t="str">
        <f t="shared" si="286"/>
        <v/>
      </c>
      <c r="EB167" s="313" t="e">
        <f>IF($J167="",#N/A,SUM(EA$4:EA167))</f>
        <v>#N/A</v>
      </c>
      <c r="EC167" s="314" t="str">
        <f t="shared" si="287"/>
        <v/>
      </c>
      <c r="ED167" s="314" t="e">
        <f>IF($J167="",#N/A,SUM(EC$4:EC167))</f>
        <v>#N/A</v>
      </c>
      <c r="EE167" s="315" t="str">
        <f t="shared" si="288"/>
        <v/>
      </c>
      <c r="EF167" s="315" t="e">
        <f>IF($J167="",#N/A,SUM(EE$4:EE167))</f>
        <v>#N/A</v>
      </c>
      <c r="EG167" s="315" t="e">
        <f>IF($J167="",#N/A,SUM(EE$4:EE167,EC$4:EC167,EA$4:EA167))</f>
        <v>#N/A</v>
      </c>
      <c r="EH167" s="130">
        <f t="shared" si="289"/>
        <v>12.510000000000105</v>
      </c>
      <c r="EI167" s="63">
        <f>IF(EH167="",#N/A,SUM($EH$4:EH167))</f>
        <v>642.13954002980893</v>
      </c>
      <c r="EJ167" s="223" t="e">
        <f t="shared" si="290"/>
        <v>#N/A</v>
      </c>
      <c r="EK167" s="63" t="e">
        <f>IF($GZ167="",#N/A,SUM(EJ$4:EJ167))</f>
        <v>#N/A</v>
      </c>
      <c r="EL167" s="60">
        <f t="shared" si="322"/>
        <v>0.4625008318360323</v>
      </c>
      <c r="EM167" s="60">
        <f>IF(EL167="",NA(),SUM($EL$4:EL167))</f>
        <v>21.519565786551844</v>
      </c>
      <c r="EN167" s="60" t="str">
        <f t="shared" si="291"/>
        <v/>
      </c>
      <c r="EO167" s="60" t="e">
        <f>IF(EN167="",NA(),SUM($EN$4:EN167))</f>
        <v>#N/A</v>
      </c>
      <c r="EP167" s="60" t="str">
        <f t="shared" si="292"/>
        <v/>
      </c>
      <c r="EQ167" s="60" t="e">
        <f>IF(EP167="",NA(),SUM($EP$4:EP167))</f>
        <v>#N/A</v>
      </c>
      <c r="ER167" s="60">
        <f t="shared" si="293"/>
        <v>0.4625008318360323</v>
      </c>
      <c r="ES167" s="60">
        <f>IF(ER167="",NA(),SUM($ER$4:ER167))</f>
        <v>4.6571904459607047</v>
      </c>
      <c r="ET167" s="60" t="str">
        <f t="shared" si="294"/>
        <v/>
      </c>
      <c r="EU167" s="60" t="e">
        <f>IF(ET167="",NA(),SUM($ET$4:ET167))</f>
        <v>#N/A</v>
      </c>
      <c r="EV167" s="60" t="str">
        <f t="shared" si="295"/>
        <v/>
      </c>
      <c r="EW167" s="60" t="e">
        <f>IF(EV167="",NA(),SUM($EV$4:EV167))</f>
        <v>#N/A</v>
      </c>
      <c r="EX167" s="60" t="str">
        <f t="shared" si="296"/>
        <v/>
      </c>
      <c r="EY167" s="60" t="e">
        <f>IF(EX167="",NA(),SUM($EX$4:EX167))</f>
        <v>#N/A</v>
      </c>
      <c r="EZ167" s="60" t="str">
        <f t="shared" si="297"/>
        <v/>
      </c>
      <c r="FA167" s="60" t="e">
        <f>IF(EZ167="",NA(),SUM($EZ$4:EZ167))</f>
        <v>#N/A</v>
      </c>
      <c r="FB167" s="246">
        <f t="shared" si="323"/>
        <v>0.28947893791175605</v>
      </c>
      <c r="FC167" s="246">
        <f>IF($FB167="",#N/A,SUM(FB$4:$FB167))</f>
        <v>2.2586000785474307</v>
      </c>
      <c r="FD167" s="60" t="str">
        <f t="shared" si="298"/>
        <v/>
      </c>
      <c r="FE167" s="60" t="e">
        <f>IF($FD167="",#N/A,SUM($FD$4:FD167))</f>
        <v>#N/A</v>
      </c>
      <c r="FF167" s="60" t="str">
        <f t="shared" si="299"/>
        <v/>
      </c>
      <c r="FG167" s="60" t="e">
        <f>IF($FF167="",#N/A,SUM($FF$4:FF167))</f>
        <v>#N/A</v>
      </c>
      <c r="FH167" s="60" t="str">
        <f t="shared" si="300"/>
        <v/>
      </c>
      <c r="FI167" s="60" t="e">
        <f>IF($FH167="",#N/A,SUM($FH$4:FH167))</f>
        <v>#N/A</v>
      </c>
      <c r="FJ167" s="60" t="str">
        <f t="shared" si="301"/>
        <v/>
      </c>
      <c r="FK167" s="60" t="e">
        <f>IF($FJ167="",#N/A,SUM($FJ$4:FJ167))</f>
        <v>#N/A</v>
      </c>
      <c r="FL167" s="60" t="str">
        <f t="shared" si="302"/>
        <v/>
      </c>
      <c r="FM167" s="60" t="e">
        <f>IF($FL167="",#N/A,SUM($FL$4:FL167))</f>
        <v>#N/A</v>
      </c>
      <c r="FN167" s="82">
        <f t="shared" si="303"/>
        <v>0.75197976974778835</v>
      </c>
      <c r="FO167" s="82">
        <f>IF($FN167="",#N/A,SUM(FN$4:$FN167))</f>
        <v>32.828679675176502</v>
      </c>
      <c r="FP167" s="82">
        <f t="shared" si="324"/>
        <v>0.4625008318360323</v>
      </c>
      <c r="FQ167" s="246">
        <f>IF($EH167="",#N/A,SUM($FP$4:FP167))</f>
        <v>25.180353850033114</v>
      </c>
      <c r="FR167" s="82">
        <f>IFERROR(FQ167/COUNTA($J$4:J167),#N/A)</f>
        <v>0.15353874298800679</v>
      </c>
      <c r="FS167" s="82">
        <f t="shared" si="332"/>
        <v>3.333026478640249E-2</v>
      </c>
      <c r="FT167" s="82">
        <f t="shared" si="333"/>
        <v>8.3907633954548949E-2</v>
      </c>
      <c r="FU167" s="337">
        <f t="shared" si="331"/>
        <v>14.436787021090362</v>
      </c>
      <c r="FV167" s="57" t="str">
        <f t="shared" si="305"/>
        <v>Dwn</v>
      </c>
      <c r="FW167" s="57" t="s">
        <v>2733</v>
      </c>
      <c r="FX167" s="57" t="str">
        <f t="shared" si="306"/>
        <v/>
      </c>
      <c r="FY167" s="57" t="str">
        <f t="shared" si="307"/>
        <v/>
      </c>
      <c r="FZ167" s="57" t="str">
        <f t="shared" si="308"/>
        <v/>
      </c>
      <c r="GA167" s="57" t="str">
        <f t="shared" si="309"/>
        <v>Short</v>
      </c>
      <c r="GB167" s="57">
        <f t="shared" si="310"/>
        <v>1</v>
      </c>
      <c r="GC167" s="57" t="str">
        <f t="shared" si="311"/>
        <v/>
      </c>
      <c r="GD167" s="57" t="str">
        <f t="shared" si="312"/>
        <v/>
      </c>
      <c r="GE167" s="62">
        <f t="shared" si="227"/>
        <v>150.27000000000001</v>
      </c>
      <c r="GF167" s="62" t="s">
        <v>2780</v>
      </c>
      <c r="GG167" s="199">
        <v>3</v>
      </c>
      <c r="GH167" s="207">
        <f t="shared" si="313"/>
        <v>450.81000000000006</v>
      </c>
      <c r="GI167" s="199">
        <v>3</v>
      </c>
      <c r="GJ167" s="200">
        <v>146.1</v>
      </c>
      <c r="GK167" s="63">
        <f t="shared" si="314"/>
        <v>12.510000000000105</v>
      </c>
      <c r="GL167" s="63">
        <f t="shared" si="228"/>
        <v>20.340000000000032</v>
      </c>
      <c r="GM167" s="82" t="str">
        <f t="shared" si="315"/>
        <v/>
      </c>
      <c r="GN167" s="82">
        <f>IF($GZ167="",#N/A,SUM(GM$4:GM167))</f>
        <v>8.3032696247137014</v>
      </c>
      <c r="GO167" s="82" t="str">
        <f t="shared" si="316"/>
        <v/>
      </c>
      <c r="GP167" s="82">
        <f>IF($GZ167="",#N/A,SUM(GO$4:GO167))</f>
        <v>14.356917335551275</v>
      </c>
      <c r="GQ167" s="82">
        <f t="shared" si="317"/>
        <v>0.75197976974778835</v>
      </c>
      <c r="GR167" s="82">
        <f>IF($GZ167="",#N/A,SUM(GQ$4:GQ167))</f>
        <v>9.5426557604691844</v>
      </c>
      <c r="GS167" s="63" t="str">
        <f t="shared" si="325"/>
        <v/>
      </c>
      <c r="GT167" s="63" t="e">
        <f>IF($GZ167="",#N/A,SUM(GS$4:GS167))</f>
        <v>#N/A</v>
      </c>
      <c r="GU167" s="63" t="str">
        <f t="shared" si="326"/>
        <v/>
      </c>
      <c r="GV167" s="63" t="e">
        <f>IF($GZ167="",#N/A,SUM(GU$4:GU167))</f>
        <v>#N/A</v>
      </c>
      <c r="GW167" s="63" t="e">
        <f t="shared" si="327"/>
        <v>#N/A</v>
      </c>
      <c r="GX167" s="63" t="e">
        <f>IF($GZ167="",#N/A,SUM(GW$4:GW167))</f>
        <v>#N/A</v>
      </c>
      <c r="GY167" s="63" t="e">
        <f>IF(EJ167="",#N/A,SUM($EJ$4:EJ167))</f>
        <v>#N/A</v>
      </c>
      <c r="GZ167" s="159">
        <v>143.49</v>
      </c>
      <c r="HA167" s="63">
        <f t="shared" si="318"/>
        <v>7.8299999999999272</v>
      </c>
      <c r="HB167" s="62" t="s">
        <v>2538</v>
      </c>
      <c r="HC167" s="60">
        <f>IFERROR(VLOOKUP(E167,Expectancy!$P$4:$S$19,1+C167,FALSE),"")</f>
        <v>0.30769020202715358</v>
      </c>
      <c r="HD167" s="82">
        <f t="shared" si="319"/>
        <v>0.4625008318360323</v>
      </c>
      <c r="HE167" s="60">
        <f>IF(HD167="",#N/A,SUM($HD$4:HD167))</f>
        <v>-3.7864331710572463</v>
      </c>
      <c r="HF167" s="85">
        <f>IF(HD167="",#N/A,IF(HB167="Skip",#N/A,SUM($HG$4:HG167)))</f>
        <v>-70.830000000000041</v>
      </c>
      <c r="HG167" s="63">
        <f t="shared" si="320"/>
        <v>12.510000000000105</v>
      </c>
      <c r="HH167" s="82">
        <f t="shared" si="321"/>
        <v>0.75197976974778835</v>
      </c>
    </row>
    <row r="168" spans="1:216" x14ac:dyDescent="0.25">
      <c r="A168" s="57" t="s">
        <v>1332</v>
      </c>
      <c r="B168" s="58" t="s">
        <v>5188</v>
      </c>
      <c r="C168" s="386">
        <f t="shared" si="230"/>
        <v>3</v>
      </c>
      <c r="D168" s="372" t="str">
        <f>_xlfn.XLOOKUP(A168,[1]SP500!$A$2:$A$502,[1]SP500!$D$2:$D$502,"N")</f>
        <v>Y</v>
      </c>
      <c r="E168" s="57" t="str">
        <f>_xlfn.XLOOKUP(A168,[1]SP500!$A$2:$A$655,[1]SP500!$B$2:$B$655)</f>
        <v>XLV</v>
      </c>
      <c r="F168" s="59">
        <v>45692</v>
      </c>
      <c r="G168" s="57" t="str">
        <f t="shared" si="231"/>
        <v>BMO</v>
      </c>
      <c r="H168" s="57" t="str">
        <f t="shared" si="232"/>
        <v>s</v>
      </c>
      <c r="I168" s="158">
        <v>26.2</v>
      </c>
      <c r="J168" s="158">
        <v>26.1</v>
      </c>
      <c r="K168" s="61">
        <f t="shared" si="233"/>
        <v>-3.8167938931296897E-3</v>
      </c>
      <c r="L168" s="87">
        <f t="shared" si="234"/>
        <v>-1.5</v>
      </c>
      <c r="M168" s="130">
        <f t="shared" si="226"/>
        <v>0</v>
      </c>
      <c r="N168" s="169" t="str">
        <f t="shared" si="235"/>
        <v/>
      </c>
      <c r="O168" s="169">
        <f>IF($J168="",#N/A,SUM($N$4:N168))</f>
        <v>339.33976368961373</v>
      </c>
      <c r="P168" s="174" t="str">
        <f t="shared" si="236"/>
        <v/>
      </c>
      <c r="Q168" s="174">
        <f>IF($J168="",#N/A,SUM($P$4:P168))</f>
        <v>131.84104023772642</v>
      </c>
      <c r="R168" s="178">
        <f t="shared" si="237"/>
        <v>-1.5</v>
      </c>
      <c r="S168" s="178">
        <f>IF($J168="",#N/A,SUM($R$4:R168))</f>
        <v>169.45873610246861</v>
      </c>
      <c r="T168" s="290" t="str">
        <f t="shared" si="238"/>
        <v/>
      </c>
      <c r="U168" s="290">
        <f>IF($J168="",#N/A,SUM($T$4:T168))</f>
        <v>12.990954777900674</v>
      </c>
      <c r="V168" s="291" t="str">
        <f t="shared" si="239"/>
        <v/>
      </c>
      <c r="W168" s="291">
        <f>IF($J168="",#N/A,SUM($V$4:V168))</f>
        <v>5.3595858986606633</v>
      </c>
      <c r="X168" s="292">
        <f t="shared" si="240"/>
        <v>-6.3613231552162849E-2</v>
      </c>
      <c r="Y168" s="283">
        <f>IF($J168="",#N/A,SUM($X$4:X168))</f>
        <v>6.7661999419196031</v>
      </c>
      <c r="Z168" s="304" t="str">
        <f t="shared" si="241"/>
        <v/>
      </c>
      <c r="AA168" s="313" t="e">
        <f>IF($J168="",#N/A,SUM(Z$4:Z168))</f>
        <v>#N/A</v>
      </c>
      <c r="AB168" s="314" t="str">
        <f t="shared" si="242"/>
        <v/>
      </c>
      <c r="AC168" s="314" t="e">
        <f>IF($J168="",#N/A,SUM(AB$4:AB168))</f>
        <v>#N/A</v>
      </c>
      <c r="AD168" s="315" t="str">
        <f t="shared" si="243"/>
        <v/>
      </c>
      <c r="AE168" s="315" t="e">
        <f>IF($J168="",#N/A,SUM(AD$4:AD168))</f>
        <v>#N/A</v>
      </c>
      <c r="AF168" s="315" t="e">
        <f>IF($J168="",#N/A,SUM(AD$4:AD168,AB$4:AB168,Z$4:Z168))</f>
        <v>#N/A</v>
      </c>
      <c r="AG168" s="304" t="str">
        <f t="shared" si="244"/>
        <v/>
      </c>
      <c r="AH168" s="313" t="e">
        <f>IF($J168="",#N/A,SUM(AG$4:AG168))</f>
        <v>#N/A</v>
      </c>
      <c r="AI168" s="314" t="str">
        <f t="shared" si="245"/>
        <v/>
      </c>
      <c r="AJ168" s="314" t="e">
        <f>IF($J168="",#N/A,SUM(AI$4:AI168))</f>
        <v>#N/A</v>
      </c>
      <c r="AK168" s="315" t="str">
        <f t="shared" si="246"/>
        <v/>
      </c>
      <c r="AL168" s="315" t="e">
        <f>IF($J168="",#N/A,SUM(AK$4:AK168))</f>
        <v>#N/A</v>
      </c>
      <c r="AM168" s="315" t="e">
        <f>IF($J168="",#N/A,SUM(AK$4:AK168,AI$4:AI168,AG$4:AG168))</f>
        <v>#N/A</v>
      </c>
      <c r="AN168" s="304" t="str">
        <f t="shared" si="247"/>
        <v/>
      </c>
      <c r="AO168" s="313" t="e">
        <f>IF($J168="",#N/A,SUM(AN$4:AN168))</f>
        <v>#N/A</v>
      </c>
      <c r="AP168" s="314" t="str">
        <f t="shared" si="248"/>
        <v/>
      </c>
      <c r="AQ168" s="314" t="e">
        <f>IF($J168="",#N/A,SUM(AP$4:AP168))</f>
        <v>#N/A</v>
      </c>
      <c r="AR168" s="315" t="str">
        <f t="shared" si="249"/>
        <v/>
      </c>
      <c r="AS168" s="315" t="e">
        <f>IF($J168="",#N/A,SUM(AR$4:AR168))</f>
        <v>#N/A</v>
      </c>
      <c r="AT168" s="315" t="e">
        <f>IF($J168="",#N/A,SUM(AR$4:AR168,AP$4:AP168,AN$4:AN168))</f>
        <v>#N/A</v>
      </c>
      <c r="AU168" s="304" t="str">
        <f t="shared" si="250"/>
        <v/>
      </c>
      <c r="AV168" s="313" t="e">
        <f>IF($J168="",#N/A,SUM(AU$4:AU168))</f>
        <v>#N/A</v>
      </c>
      <c r="AW168" s="314" t="str">
        <f t="shared" si="251"/>
        <v/>
      </c>
      <c r="AX168" s="314" t="e">
        <f>IF($J168="",#N/A,SUM(AW$4:AW168))</f>
        <v>#N/A</v>
      </c>
      <c r="AY168" s="315" t="str">
        <f t="shared" si="252"/>
        <v/>
      </c>
      <c r="AZ168" s="315" t="e">
        <f>IF($J168="",#N/A,SUM(AY$4:AY168))</f>
        <v>#N/A</v>
      </c>
      <c r="BA168" s="315" t="e">
        <f>IF($J168="",#N/A,SUM(AY$4:AY168,AW$4:AW168,AU$4:AU168))</f>
        <v>#N/A</v>
      </c>
      <c r="BB168" s="304" t="str">
        <f t="shared" si="253"/>
        <v/>
      </c>
      <c r="BC168" s="313" t="e">
        <f>IF($J168="",#N/A,SUM(BB$4:BB168))</f>
        <v>#N/A</v>
      </c>
      <c r="BD168" s="314" t="str">
        <f t="shared" si="254"/>
        <v/>
      </c>
      <c r="BE168" s="314" t="e">
        <f>IF($J168="",#N/A,SUM(BD$4:BD168))</f>
        <v>#N/A</v>
      </c>
      <c r="BF168" s="315" t="str">
        <f t="shared" si="255"/>
        <v/>
      </c>
      <c r="BG168" s="315" t="e">
        <f>IF($J168="",#N/A,SUM(BF$4:BF168))</f>
        <v>#N/A</v>
      </c>
      <c r="BH168" s="315" t="e">
        <f>IF($J168="",#N/A,SUM(BF$4:BF168,BD$4:BD168,BB$4:BB168))</f>
        <v>#N/A</v>
      </c>
      <c r="BI168" s="304" t="str">
        <f t="shared" si="256"/>
        <v/>
      </c>
      <c r="BJ168" s="313" t="e">
        <f>IF($J168="",#N/A,SUM(BI$4:BI168))</f>
        <v>#N/A</v>
      </c>
      <c r="BK168" s="314" t="str">
        <f t="shared" si="257"/>
        <v/>
      </c>
      <c r="BL168" s="314" t="e">
        <f>IF($J168="",#N/A,SUM(BK$4:BK168))</f>
        <v>#N/A</v>
      </c>
      <c r="BM168" s="315" t="str">
        <f t="shared" si="258"/>
        <v/>
      </c>
      <c r="BN168" s="315" t="e">
        <f>IF($J168="",#N/A,SUM(BM$4:BM168))</f>
        <v>#N/A</v>
      </c>
      <c r="BO168" s="315" t="e">
        <f>IF($J168="",#N/A,SUM(BM$4:BM168,BK$4:BK168,BI$4:BI168))</f>
        <v>#N/A</v>
      </c>
      <c r="BP168" s="304" t="str">
        <f t="shared" si="259"/>
        <v/>
      </c>
      <c r="BQ168" s="313" t="e">
        <f>IF($J168="",#N/A,SUM(BP$4:BP168))</f>
        <v>#N/A</v>
      </c>
      <c r="BR168" s="314" t="str">
        <f t="shared" si="260"/>
        <v/>
      </c>
      <c r="BS168" s="314" t="e">
        <f>IF($J168="",#N/A,SUM(BR$4:BR168))</f>
        <v>#N/A</v>
      </c>
      <c r="BT168" s="315" t="str">
        <f t="shared" si="261"/>
        <v/>
      </c>
      <c r="BU168" s="315" t="e">
        <f>IF($J168="",#N/A,SUM(BT$4:BT168))</f>
        <v>#N/A</v>
      </c>
      <c r="BV168" s="315" t="e">
        <f>IF($J168="",#N/A,SUM(BT$4:BT168,BR$4:BR168,BP$4:BP168))</f>
        <v>#N/A</v>
      </c>
      <c r="BW168" s="304" t="str">
        <f t="shared" si="262"/>
        <v/>
      </c>
      <c r="BX168" s="313" t="e">
        <f>IF($J168="",#N/A,SUM(BW$4:BW168))</f>
        <v>#N/A</v>
      </c>
      <c r="BY168" s="314" t="str">
        <f t="shared" si="263"/>
        <v/>
      </c>
      <c r="BZ168" s="314" t="e">
        <f>IF($J168="",#N/A,SUM(BY$4:BY168))</f>
        <v>#N/A</v>
      </c>
      <c r="CA168" s="315">
        <f t="shared" si="264"/>
        <v>-6.3613231552162849E-2</v>
      </c>
      <c r="CB168" s="315" t="e">
        <f>IF($J168="",#N/A,SUM(CA$4:CA168))</f>
        <v>#N/A</v>
      </c>
      <c r="CC168" s="315" t="e">
        <f>IF($J168="",#N/A,SUM(CA$4:CA168,BY$4:BY168,BW$4:BW168))</f>
        <v>#N/A</v>
      </c>
      <c r="CD168" s="304" t="str">
        <f t="shared" si="265"/>
        <v/>
      </c>
      <c r="CE168" s="313" t="e">
        <f>IF($J168="",#N/A,SUM(CD$4:CD168))</f>
        <v>#N/A</v>
      </c>
      <c r="CF168" s="314" t="str">
        <f t="shared" si="266"/>
        <v/>
      </c>
      <c r="CG168" s="314" t="e">
        <f>IF($J168="",#N/A,SUM(CF$4:CF168))</f>
        <v>#N/A</v>
      </c>
      <c r="CH168" s="315" t="str">
        <f t="shared" si="267"/>
        <v/>
      </c>
      <c r="CI168" s="315" t="e">
        <f>IF($J168="",#N/A,SUM(CH$4:CH168))</f>
        <v>#N/A</v>
      </c>
      <c r="CJ168" s="315" t="e">
        <f>IF($J168="",#N/A,SUM(CH$4:CH168,CF$4:CF168,CD$4:CD168))</f>
        <v>#N/A</v>
      </c>
      <c r="CK168" s="304" t="str">
        <f t="shared" si="268"/>
        <v/>
      </c>
      <c r="CL168" s="313" t="e">
        <f>IF($J168="",#N/A,SUM(CK$4:CK168))</f>
        <v>#N/A</v>
      </c>
      <c r="CM168" s="314" t="str">
        <f t="shared" si="269"/>
        <v/>
      </c>
      <c r="CN168" s="314" t="e">
        <f>IF($J168="",#N/A,SUM(CM$4:CM168))</f>
        <v>#N/A</v>
      </c>
      <c r="CO168" s="315" t="str">
        <f t="shared" si="270"/>
        <v/>
      </c>
      <c r="CP168" s="315" t="e">
        <f>IF($J168="",#N/A,SUM(CO$4:CO168))</f>
        <v>#N/A</v>
      </c>
      <c r="CQ168" s="315" t="e">
        <f>IF($J168="",#N/A,SUM(CO$4:CO168,CM$4:CM168,CK$4:CK168))</f>
        <v>#N/A</v>
      </c>
      <c r="CR168" s="304" t="str">
        <f t="shared" si="271"/>
        <v/>
      </c>
      <c r="CS168" s="313" t="e">
        <f>IF($J168="",#N/A,SUM(CR$4:CR168))</f>
        <v>#N/A</v>
      </c>
      <c r="CT168" s="314" t="str">
        <f t="shared" si="272"/>
        <v/>
      </c>
      <c r="CU168" s="314" t="e">
        <f>IF($J168="",#N/A,SUM(CT$4:CT168))</f>
        <v>#N/A</v>
      </c>
      <c r="CV168" s="315" t="str">
        <f t="shared" si="273"/>
        <v/>
      </c>
      <c r="CW168" s="315" t="e">
        <f>IF($J168="",#N/A,SUM(CV$4:CV168))</f>
        <v>#N/A</v>
      </c>
      <c r="CX168" s="315" t="e">
        <f>IF($J168="",#N/A,SUM(CV$4:CV168,CT$4:CT168,CR$4:CR168))</f>
        <v>#N/A</v>
      </c>
      <c r="CY168" s="304" t="str">
        <f t="shared" si="274"/>
        <v/>
      </c>
      <c r="CZ168" s="313" t="e">
        <f>IF($J168="",#N/A,SUM(CY$4:CY168))</f>
        <v>#N/A</v>
      </c>
      <c r="DA168" s="314" t="str">
        <f t="shared" si="275"/>
        <v/>
      </c>
      <c r="DB168" s="314" t="e">
        <f>IF($J168="",#N/A,SUM(DA$4:DA168))</f>
        <v>#N/A</v>
      </c>
      <c r="DC168" s="315" t="str">
        <f t="shared" si="276"/>
        <v/>
      </c>
      <c r="DD168" s="315" t="e">
        <f>IF($J168="",#N/A,SUM(DC$4:DC168))</f>
        <v>#N/A</v>
      </c>
      <c r="DE168" s="315" t="e">
        <f>IF($J168="",#N/A,SUM(DC$4:DC168,DA$4:DA168,CY$4:CY168))</f>
        <v>#N/A</v>
      </c>
      <c r="DF168" s="304" t="str">
        <f t="shared" si="277"/>
        <v/>
      </c>
      <c r="DG168" s="313" t="e">
        <f>IF($J168="",#N/A,SUM(DF$4:DF168))</f>
        <v>#N/A</v>
      </c>
      <c r="DH168" s="314" t="str">
        <f t="shared" si="278"/>
        <v/>
      </c>
      <c r="DI168" s="314" t="e">
        <f>IF($J168="",#N/A,SUM(DH$4:DH168))</f>
        <v>#N/A</v>
      </c>
      <c r="DJ168" s="315" t="str">
        <f t="shared" si="279"/>
        <v/>
      </c>
      <c r="DK168" s="315" t="e">
        <f>IF($J168="",#N/A,SUM(DJ$4:DJ168))</f>
        <v>#N/A</v>
      </c>
      <c r="DL168" s="315" t="e">
        <f>IF($J168="",#N/A,SUM(DJ$4:DJ168,DH$4:DH168,DF$4:DF168))</f>
        <v>#N/A</v>
      </c>
      <c r="DM168" s="304" t="str">
        <f t="shared" si="280"/>
        <v/>
      </c>
      <c r="DN168" s="313" t="e">
        <f>IF($J168="",#N/A,SUM(DM$4:DM168))</f>
        <v>#N/A</v>
      </c>
      <c r="DO168" s="314" t="str">
        <f t="shared" si="281"/>
        <v/>
      </c>
      <c r="DP168" s="314" t="e">
        <f>IF($J168="",#N/A,SUM(DO$4:DO168))</f>
        <v>#N/A</v>
      </c>
      <c r="DQ168" s="315" t="str">
        <f t="shared" si="282"/>
        <v/>
      </c>
      <c r="DR168" s="315" t="e">
        <f>IF($J168="",#N/A,SUM(DQ$4:DQ168))</f>
        <v>#N/A</v>
      </c>
      <c r="DS168" s="315" t="e">
        <f>IF($J168="",#N/A,SUM(DQ$4:DQ168,DO$4:DO168,DM$4:DM168))</f>
        <v>#N/A</v>
      </c>
      <c r="DT168" s="304" t="str">
        <f t="shared" si="283"/>
        <v/>
      </c>
      <c r="DU168" s="313" t="e">
        <f>IF($J168="",#N/A,SUM(DT$4:DT168))</f>
        <v>#N/A</v>
      </c>
      <c r="DV168" s="314" t="str">
        <f t="shared" si="284"/>
        <v/>
      </c>
      <c r="DW168" s="314" t="e">
        <f>IF($J168="",#N/A,SUM(DV$4:DV168))</f>
        <v>#N/A</v>
      </c>
      <c r="DX168" s="315" t="str">
        <f t="shared" si="285"/>
        <v/>
      </c>
      <c r="DY168" s="315" t="e">
        <f>IF($J168="",#N/A,SUM(DX$4:DX168))</f>
        <v>#N/A</v>
      </c>
      <c r="DZ168" s="315" t="e">
        <f>IF($J168="",#N/A,SUM(DX$4:DX168,DV$4:DV168,DT$4:DT168))</f>
        <v>#N/A</v>
      </c>
      <c r="EA168" s="304" t="str">
        <f t="shared" si="286"/>
        <v/>
      </c>
      <c r="EB168" s="313" t="e">
        <f>IF($J168="",#N/A,SUM(EA$4:EA168))</f>
        <v>#N/A</v>
      </c>
      <c r="EC168" s="314" t="str">
        <f t="shared" si="287"/>
        <v/>
      </c>
      <c r="ED168" s="314" t="e">
        <f>IF($J168="",#N/A,SUM(EC$4:EC168))</f>
        <v>#N/A</v>
      </c>
      <c r="EE168" s="315" t="str">
        <f t="shared" si="288"/>
        <v/>
      </c>
      <c r="EF168" s="315" t="e">
        <f>IF($J168="",#N/A,SUM(EE$4:EE168))</f>
        <v>#N/A</v>
      </c>
      <c r="EG168" s="315" t="e">
        <f>IF($J168="",#N/A,SUM(EE$4:EE168,EC$4:EC168,EA$4:EA168))</f>
        <v>#N/A</v>
      </c>
      <c r="EH168" s="130">
        <f t="shared" si="289"/>
        <v>-1.5</v>
      </c>
      <c r="EI168" s="63">
        <f>IF(EH168="",#N/A,SUM($EH$4:EH168))</f>
        <v>640.63954002980893</v>
      </c>
      <c r="EJ168" s="223" t="e">
        <f t="shared" si="290"/>
        <v>#N/A</v>
      </c>
      <c r="EK168" s="63" t="e">
        <f>IF($GZ168="",#N/A,SUM(EJ$4:EJ168))</f>
        <v>#N/A</v>
      </c>
      <c r="EL168" s="60">
        <f t="shared" si="322"/>
        <v>-6.3613231552162849E-2</v>
      </c>
      <c r="EM168" s="60">
        <f>IF(EL168="",NA(),SUM($EL$4:EL168))</f>
        <v>21.45595255499968</v>
      </c>
      <c r="EN168" s="60" t="str">
        <f t="shared" si="291"/>
        <v/>
      </c>
      <c r="EO168" s="60" t="e">
        <f>IF(EN168="",NA(),SUM($EN$4:EN168))</f>
        <v>#N/A</v>
      </c>
      <c r="EP168" s="60">
        <f t="shared" si="292"/>
        <v>-6.3613231552162849E-2</v>
      </c>
      <c r="EQ168" s="60">
        <f>IF(EP168="",NA(),SUM($EP$4:EP168))</f>
        <v>7.6939568619967975</v>
      </c>
      <c r="ER168" s="60" t="str">
        <f t="shared" si="293"/>
        <v/>
      </c>
      <c r="ES168" s="60" t="e">
        <f>IF(ER168="",NA(),SUM($ER$4:ER168))</f>
        <v>#N/A</v>
      </c>
      <c r="ET168" s="60" t="str">
        <f t="shared" si="294"/>
        <v/>
      </c>
      <c r="EU168" s="60" t="e">
        <f>IF(ET168="",NA(),SUM($ET$4:ET168))</f>
        <v>#N/A</v>
      </c>
      <c r="EV168" s="60" t="str">
        <f t="shared" si="295"/>
        <v/>
      </c>
      <c r="EW168" s="60" t="e">
        <f>IF(EV168="",NA(),SUM($EV$4:EV168))</f>
        <v>#N/A</v>
      </c>
      <c r="EX168" s="60" t="str">
        <f t="shared" si="296"/>
        <v/>
      </c>
      <c r="EY168" s="60" t="e">
        <f>IF(EX168="",NA(),SUM($EX$4:EX168))</f>
        <v>#N/A</v>
      </c>
      <c r="EZ168" s="60" t="str">
        <f t="shared" si="297"/>
        <v/>
      </c>
      <c r="FA168" s="60" t="e">
        <f>IF(EZ168="",NA(),SUM($EZ$4:EZ168))</f>
        <v>#N/A</v>
      </c>
      <c r="FB168" s="246" t="str">
        <f t="shared" si="323"/>
        <v/>
      </c>
      <c r="FC168" s="246" t="e">
        <f>IF($FB168="",#N/A,SUM(FB$4:$FB168))</f>
        <v>#N/A</v>
      </c>
      <c r="FD168" s="60" t="str">
        <f t="shared" si="298"/>
        <v/>
      </c>
      <c r="FE168" s="60" t="e">
        <f>IF($FD168="",#N/A,SUM($FD$4:FD168))</f>
        <v>#N/A</v>
      </c>
      <c r="FF168" s="60" t="str">
        <f t="shared" si="299"/>
        <v/>
      </c>
      <c r="FG168" s="60" t="e">
        <f>IF($FF168="",#N/A,SUM($FF$4:FF168))</f>
        <v>#N/A</v>
      </c>
      <c r="FH168" s="60" t="str">
        <f t="shared" si="300"/>
        <v/>
      </c>
      <c r="FI168" s="60" t="e">
        <f>IF($FH168="",#N/A,SUM($FH$4:FH168))</f>
        <v>#N/A</v>
      </c>
      <c r="FJ168" s="60" t="str">
        <f t="shared" si="301"/>
        <v/>
      </c>
      <c r="FK168" s="60" t="e">
        <f>IF($FJ168="",#N/A,SUM($FJ$4:FJ168))</f>
        <v>#N/A</v>
      </c>
      <c r="FL168" s="60">
        <f t="shared" si="302"/>
        <v>-0.14631043256997411</v>
      </c>
      <c r="FM168" s="60">
        <f>IF($FL168="",#N/A,SUM($FL$4:FL168))</f>
        <v>3.4130587770620728</v>
      </c>
      <c r="FN168" s="82">
        <f t="shared" si="303"/>
        <v>-0.20992366412213695</v>
      </c>
      <c r="FO168" s="82">
        <f>IF($FN168="",#N/A,SUM(FN$4:$FN168))</f>
        <v>32.618756011054366</v>
      </c>
      <c r="FP168" s="82">
        <f t="shared" si="324"/>
        <v>-6.3613231552162849E-2</v>
      </c>
      <c r="FQ168" s="246">
        <f>IF($EH168="",#N/A,SUM($FP$4:FP168))</f>
        <v>25.11674061848095</v>
      </c>
      <c r="FR168" s="82">
        <f>IFERROR(FQ168/COUNTA($J$4:J168),#N/A)</f>
        <v>0.15222267041503607</v>
      </c>
      <c r="FS168" s="82">
        <f t="shared" si="332"/>
        <v>5.1232110923590507E-2</v>
      </c>
      <c r="FT168" s="82">
        <f t="shared" si="333"/>
        <v>8.7623039850387927E-2</v>
      </c>
      <c r="FU168" s="337">
        <f t="shared" si="331"/>
        <v>14.436787021090359</v>
      </c>
      <c r="FV168" s="57" t="str">
        <f t="shared" si="305"/>
        <v>SW</v>
      </c>
      <c r="FW168" s="57" t="s">
        <v>2732</v>
      </c>
      <c r="FX168" s="57" t="str">
        <f t="shared" si="306"/>
        <v/>
      </c>
      <c r="FY168" s="57" t="str">
        <f t="shared" si="307"/>
        <v/>
      </c>
      <c r="FZ168" s="57" t="str">
        <f t="shared" si="308"/>
        <v/>
      </c>
      <c r="GA168" s="57" t="str">
        <f t="shared" si="309"/>
        <v>Long</v>
      </c>
      <c r="GB168" s="57" t="str">
        <f t="shared" si="310"/>
        <v/>
      </c>
      <c r="GC168" s="57" t="str">
        <f t="shared" si="311"/>
        <v/>
      </c>
      <c r="GD168" s="57">
        <f t="shared" si="312"/>
        <v>1</v>
      </c>
      <c r="GE168" s="62">
        <f t="shared" si="227"/>
        <v>26.2</v>
      </c>
      <c r="GF168" s="62" t="s">
        <v>2779</v>
      </c>
      <c r="GG168" s="199">
        <v>15</v>
      </c>
      <c r="GH168" s="207">
        <f t="shared" si="313"/>
        <v>393</v>
      </c>
      <c r="GI168" s="199">
        <v>15</v>
      </c>
      <c r="GJ168" s="200">
        <v>26.1</v>
      </c>
      <c r="GK168" s="63">
        <f t="shared" si="314"/>
        <v>-1.5</v>
      </c>
      <c r="GL168" s="63">
        <f t="shared" si="228"/>
        <v>-4.9499999999999886</v>
      </c>
      <c r="GM168" s="82">
        <f t="shared" si="315"/>
        <v>-0.20992366412213695</v>
      </c>
      <c r="GN168" s="82">
        <f>IF($GZ168="",#N/A,SUM(GM$4:GM168))</f>
        <v>8.0933459605915647</v>
      </c>
      <c r="GO168" s="82" t="str">
        <f t="shared" si="316"/>
        <v/>
      </c>
      <c r="GP168" s="82">
        <f>IF($GZ168="",#N/A,SUM(GO$4:GO168))</f>
        <v>14.356917335551275</v>
      </c>
      <c r="GQ168" s="82" t="str">
        <f t="shared" si="317"/>
        <v/>
      </c>
      <c r="GR168" s="82">
        <f>IF($GZ168="",#N/A,SUM(GQ$4:GQ168))</f>
        <v>9.5426557604691844</v>
      </c>
      <c r="GS168" s="63" t="e">
        <f t="shared" si="325"/>
        <v>#N/A</v>
      </c>
      <c r="GT168" s="63" t="e">
        <f>IF($GZ168="",#N/A,SUM(GS$4:GS168))</f>
        <v>#N/A</v>
      </c>
      <c r="GU168" s="63" t="str">
        <f t="shared" si="326"/>
        <v/>
      </c>
      <c r="GV168" s="63" t="e">
        <f>IF($GZ168="",#N/A,SUM(GU$4:GU168))</f>
        <v>#N/A</v>
      </c>
      <c r="GW168" s="63" t="str">
        <f t="shared" si="327"/>
        <v/>
      </c>
      <c r="GX168" s="63" t="e">
        <f>IF($GZ168="",#N/A,SUM(GW$4:GW168))</f>
        <v>#N/A</v>
      </c>
      <c r="GY168" s="63" t="e">
        <f>IF(EJ168="",#N/A,SUM($EJ$4:EJ168))</f>
        <v>#N/A</v>
      </c>
      <c r="GZ168" s="159">
        <v>25.87</v>
      </c>
      <c r="HA168" s="63">
        <f t="shared" si="318"/>
        <v>-3.4499999999999886</v>
      </c>
      <c r="HB168" s="62" t="s">
        <v>2538</v>
      </c>
      <c r="HC168" s="60">
        <f>IFERROR(VLOOKUP(E168,Expectancy!$P$4:$S$19,1+C168,FALSE),"")</f>
        <v>-0.15084750675779673</v>
      </c>
      <c r="HD168" s="82">
        <f t="shared" si="319"/>
        <v>-6.3613231552162849E-2</v>
      </c>
      <c r="HE168" s="60">
        <f>IF(HD168="",#N/A,SUM($HD$4:HD168))</f>
        <v>-3.8500464026094092</v>
      </c>
      <c r="HF168" s="85">
        <f>IF(HD168="",#N/A,IF(HB168="Skip",#N/A,SUM($HG$4:HG168)))</f>
        <v>-72.330000000000041</v>
      </c>
      <c r="HG168" s="63">
        <f t="shared" si="320"/>
        <v>-1.5</v>
      </c>
      <c r="HH168" s="82">
        <f t="shared" si="321"/>
        <v>-0.20992366412213695</v>
      </c>
    </row>
    <row r="169" spans="1:216" x14ac:dyDescent="0.25">
      <c r="A169" s="57" t="s">
        <v>1333</v>
      </c>
      <c r="B169" s="58" t="s">
        <v>5187</v>
      </c>
      <c r="C169" s="386">
        <f t="shared" si="230"/>
        <v>1</v>
      </c>
      <c r="D169" s="372" t="str">
        <f>_xlfn.XLOOKUP(A169,[1]SP500!$A$2:$A$502,[1]SP500!$D$2:$D$502,"N")</f>
        <v>Y</v>
      </c>
      <c r="E169" s="57" t="str">
        <f>_xlfn.XLOOKUP(A169,[1]SP500!$A$2:$A$655,[1]SP500!$B$2:$B$655)</f>
        <v>XLF</v>
      </c>
      <c r="F169" s="59">
        <v>45692</v>
      </c>
      <c r="G169" s="57" t="str">
        <f t="shared" si="231"/>
        <v>BMO</v>
      </c>
      <c r="H169" s="57" t="str">
        <f t="shared" si="232"/>
        <v>s</v>
      </c>
      <c r="I169" s="159">
        <v>163.22</v>
      </c>
      <c r="J169" s="159">
        <v>161.87</v>
      </c>
      <c r="K169" s="61">
        <f t="shared" si="233"/>
        <v>-8.271045215047141E-3</v>
      </c>
      <c r="L169" s="87">
        <f t="shared" si="234"/>
        <v>-4.0499999999999545</v>
      </c>
      <c r="M169" s="130">
        <f t="shared" si="226"/>
        <v>0</v>
      </c>
      <c r="N169" s="169">
        <f t="shared" si="235"/>
        <v>-4.0499999999999545</v>
      </c>
      <c r="O169" s="169">
        <f>IF($J169="",#N/A,SUM($N$4:N169))</f>
        <v>335.28976368961378</v>
      </c>
      <c r="P169" s="174" t="str">
        <f t="shared" si="236"/>
        <v/>
      </c>
      <c r="Q169" s="174">
        <f>IF($J169="",#N/A,SUM($P$4:P169))</f>
        <v>131.84104023772642</v>
      </c>
      <c r="R169" s="178" t="str">
        <f t="shared" si="237"/>
        <v/>
      </c>
      <c r="S169" s="178">
        <f>IF($J169="",#N/A,SUM($R$4:R169))</f>
        <v>169.45873610246861</v>
      </c>
      <c r="T169" s="290">
        <f t="shared" si="238"/>
        <v>-0.13785075358411805</v>
      </c>
      <c r="U169" s="290">
        <f>IF($J169="",#N/A,SUM($T$4:T169))</f>
        <v>12.853104024316556</v>
      </c>
      <c r="V169" s="291" t="str">
        <f t="shared" si="239"/>
        <v/>
      </c>
      <c r="W169" s="291">
        <f>IF($J169="",#N/A,SUM($V$4:V169))</f>
        <v>5.3595858986606633</v>
      </c>
      <c r="X169" s="292" t="str">
        <f t="shared" si="240"/>
        <v/>
      </c>
      <c r="Y169" s="283">
        <f>IF($J169="",#N/A,SUM($X$4:X169))</f>
        <v>6.7661999419196031</v>
      </c>
      <c r="Z169" s="304" t="str">
        <f t="shared" si="241"/>
        <v/>
      </c>
      <c r="AA169" s="313" t="e">
        <f>IF($J169="",#N/A,SUM(Z$4:Z169))</f>
        <v>#N/A</v>
      </c>
      <c r="AB169" s="314" t="str">
        <f t="shared" si="242"/>
        <v/>
      </c>
      <c r="AC169" s="314" t="e">
        <f>IF($J169="",#N/A,SUM(AB$4:AB169))</f>
        <v>#N/A</v>
      </c>
      <c r="AD169" s="315" t="str">
        <f t="shared" si="243"/>
        <v/>
      </c>
      <c r="AE169" s="315" t="e">
        <f>IF($J169="",#N/A,SUM(AD$4:AD169))</f>
        <v>#N/A</v>
      </c>
      <c r="AF169" s="315" t="e">
        <f>IF($J169="",#N/A,SUM(AD$4:AD169,AB$4:AB169,Z$4:Z169))</f>
        <v>#N/A</v>
      </c>
      <c r="AG169" s="304" t="str">
        <f t="shared" si="244"/>
        <v/>
      </c>
      <c r="AH169" s="313" t="e">
        <f>IF($J169="",#N/A,SUM(AG$4:AG169))</f>
        <v>#N/A</v>
      </c>
      <c r="AI169" s="314" t="str">
        <f t="shared" si="245"/>
        <v/>
      </c>
      <c r="AJ169" s="314" t="e">
        <f>IF($J169="",#N/A,SUM(AI$4:AI169))</f>
        <v>#N/A</v>
      </c>
      <c r="AK169" s="315" t="str">
        <f t="shared" si="246"/>
        <v/>
      </c>
      <c r="AL169" s="315" t="e">
        <f>IF($J169="",#N/A,SUM(AK$4:AK169))</f>
        <v>#N/A</v>
      </c>
      <c r="AM169" s="315" t="e">
        <f>IF($J169="",#N/A,SUM(AK$4:AK169,AI$4:AI169,AG$4:AG169))</f>
        <v>#N/A</v>
      </c>
      <c r="AN169" s="304" t="str">
        <f t="shared" si="247"/>
        <v/>
      </c>
      <c r="AO169" s="313" t="e">
        <f>IF($J169="",#N/A,SUM(AN$4:AN169))</f>
        <v>#N/A</v>
      </c>
      <c r="AP169" s="314" t="str">
        <f t="shared" si="248"/>
        <v/>
      </c>
      <c r="AQ169" s="314" t="e">
        <f>IF($J169="",#N/A,SUM(AP$4:AP169))</f>
        <v>#N/A</v>
      </c>
      <c r="AR169" s="315" t="str">
        <f t="shared" si="249"/>
        <v/>
      </c>
      <c r="AS169" s="315" t="e">
        <f>IF($J169="",#N/A,SUM(AR$4:AR169))</f>
        <v>#N/A</v>
      </c>
      <c r="AT169" s="315" t="e">
        <f>IF($J169="",#N/A,SUM(AR$4:AR169,AP$4:AP169,AN$4:AN169))</f>
        <v>#N/A</v>
      </c>
      <c r="AU169" s="304" t="str">
        <f t="shared" si="250"/>
        <v/>
      </c>
      <c r="AV169" s="313" t="e">
        <f>IF($J169="",#N/A,SUM(AU$4:AU169))</f>
        <v>#N/A</v>
      </c>
      <c r="AW169" s="314" t="str">
        <f t="shared" si="251"/>
        <v/>
      </c>
      <c r="AX169" s="314" t="e">
        <f>IF($J169="",#N/A,SUM(AW$4:AW169))</f>
        <v>#N/A</v>
      </c>
      <c r="AY169" s="315" t="str">
        <f t="shared" si="252"/>
        <v/>
      </c>
      <c r="AZ169" s="315" t="e">
        <f>IF($J169="",#N/A,SUM(AY$4:AY169))</f>
        <v>#N/A</v>
      </c>
      <c r="BA169" s="315" t="e">
        <f>IF($J169="",#N/A,SUM(AY$4:AY169,AW$4:AW169,AU$4:AU169))</f>
        <v>#N/A</v>
      </c>
      <c r="BB169" s="304" t="str">
        <f t="shared" si="253"/>
        <v/>
      </c>
      <c r="BC169" s="313" t="e">
        <f>IF($J169="",#N/A,SUM(BB$4:BB169))</f>
        <v>#N/A</v>
      </c>
      <c r="BD169" s="314" t="str">
        <f t="shared" si="254"/>
        <v/>
      </c>
      <c r="BE169" s="314" t="e">
        <f>IF($J169="",#N/A,SUM(BD$4:BD169))</f>
        <v>#N/A</v>
      </c>
      <c r="BF169" s="315" t="str">
        <f t="shared" si="255"/>
        <v/>
      </c>
      <c r="BG169" s="315" t="e">
        <f>IF($J169="",#N/A,SUM(BF$4:BF169))</f>
        <v>#N/A</v>
      </c>
      <c r="BH169" s="315" t="e">
        <f>IF($J169="",#N/A,SUM(BF$4:BF169,BD$4:BD169,BB$4:BB169))</f>
        <v>#N/A</v>
      </c>
      <c r="BI169" s="304">
        <f t="shared" si="256"/>
        <v>-0.13785075358411805</v>
      </c>
      <c r="BJ169" s="313" t="e">
        <f>IF($J169="",#N/A,SUM(BI$4:BI169))</f>
        <v>#N/A</v>
      </c>
      <c r="BK169" s="314" t="str">
        <f t="shared" si="257"/>
        <v/>
      </c>
      <c r="BL169" s="314" t="e">
        <f>IF($J169="",#N/A,SUM(BK$4:BK169))</f>
        <v>#N/A</v>
      </c>
      <c r="BM169" s="315" t="str">
        <f t="shared" si="258"/>
        <v/>
      </c>
      <c r="BN169" s="315" t="e">
        <f>IF($J169="",#N/A,SUM(BM$4:BM169))</f>
        <v>#N/A</v>
      </c>
      <c r="BO169" s="315" t="e">
        <f>IF($J169="",#N/A,SUM(BM$4:BM169,BK$4:BK169,BI$4:BI169))</f>
        <v>#N/A</v>
      </c>
      <c r="BP169" s="304" t="str">
        <f t="shared" si="259"/>
        <v/>
      </c>
      <c r="BQ169" s="313" t="e">
        <f>IF($J169="",#N/A,SUM(BP$4:BP169))</f>
        <v>#N/A</v>
      </c>
      <c r="BR169" s="314" t="str">
        <f t="shared" si="260"/>
        <v/>
      </c>
      <c r="BS169" s="314" t="e">
        <f>IF($J169="",#N/A,SUM(BR$4:BR169))</f>
        <v>#N/A</v>
      </c>
      <c r="BT169" s="315" t="str">
        <f t="shared" si="261"/>
        <v/>
      </c>
      <c r="BU169" s="315" t="e">
        <f>IF($J169="",#N/A,SUM(BT$4:BT169))</f>
        <v>#N/A</v>
      </c>
      <c r="BV169" s="315" t="e">
        <f>IF($J169="",#N/A,SUM(BT$4:BT169,BR$4:BR169,BP$4:BP169))</f>
        <v>#N/A</v>
      </c>
      <c r="BW169" s="304" t="str">
        <f t="shared" si="262"/>
        <v/>
      </c>
      <c r="BX169" s="313" t="e">
        <f>IF($J169="",#N/A,SUM(BW$4:BW169))</f>
        <v>#N/A</v>
      </c>
      <c r="BY169" s="314" t="str">
        <f t="shared" si="263"/>
        <v/>
      </c>
      <c r="BZ169" s="314" t="e">
        <f>IF($J169="",#N/A,SUM(BY$4:BY169))</f>
        <v>#N/A</v>
      </c>
      <c r="CA169" s="315" t="str">
        <f t="shared" si="264"/>
        <v/>
      </c>
      <c r="CB169" s="315" t="e">
        <f>IF($J169="",#N/A,SUM(CA$4:CA169))</f>
        <v>#N/A</v>
      </c>
      <c r="CC169" s="315" t="e">
        <f>IF($J169="",#N/A,SUM(CA$4:CA169,BY$4:BY169,BW$4:BW169))</f>
        <v>#N/A</v>
      </c>
      <c r="CD169" s="304" t="str">
        <f t="shared" si="265"/>
        <v/>
      </c>
      <c r="CE169" s="313" t="e">
        <f>IF($J169="",#N/A,SUM(CD$4:CD169))</f>
        <v>#N/A</v>
      </c>
      <c r="CF169" s="314" t="str">
        <f t="shared" si="266"/>
        <v/>
      </c>
      <c r="CG169" s="314" t="e">
        <f>IF($J169="",#N/A,SUM(CF$4:CF169))</f>
        <v>#N/A</v>
      </c>
      <c r="CH169" s="315" t="str">
        <f t="shared" si="267"/>
        <v/>
      </c>
      <c r="CI169" s="315" t="e">
        <f>IF($J169="",#N/A,SUM(CH$4:CH169))</f>
        <v>#N/A</v>
      </c>
      <c r="CJ169" s="315" t="e">
        <f>IF($J169="",#N/A,SUM(CH$4:CH169,CF$4:CF169,CD$4:CD169))</f>
        <v>#N/A</v>
      </c>
      <c r="CK169" s="304" t="str">
        <f t="shared" si="268"/>
        <v/>
      </c>
      <c r="CL169" s="313" t="e">
        <f>IF($J169="",#N/A,SUM(CK$4:CK169))</f>
        <v>#N/A</v>
      </c>
      <c r="CM169" s="314" t="str">
        <f t="shared" si="269"/>
        <v/>
      </c>
      <c r="CN169" s="314" t="e">
        <f>IF($J169="",#N/A,SUM(CM$4:CM169))</f>
        <v>#N/A</v>
      </c>
      <c r="CO169" s="315" t="str">
        <f t="shared" si="270"/>
        <v/>
      </c>
      <c r="CP169" s="315" t="e">
        <f>IF($J169="",#N/A,SUM(CO$4:CO169))</f>
        <v>#N/A</v>
      </c>
      <c r="CQ169" s="315" t="e">
        <f>IF($J169="",#N/A,SUM(CO$4:CO169,CM$4:CM169,CK$4:CK169))</f>
        <v>#N/A</v>
      </c>
      <c r="CR169" s="304" t="str">
        <f t="shared" si="271"/>
        <v/>
      </c>
      <c r="CS169" s="313" t="e">
        <f>IF($J169="",#N/A,SUM(CR$4:CR169))</f>
        <v>#N/A</v>
      </c>
      <c r="CT169" s="314" t="str">
        <f t="shared" si="272"/>
        <v/>
      </c>
      <c r="CU169" s="314" t="e">
        <f>IF($J169="",#N/A,SUM(CT$4:CT169))</f>
        <v>#N/A</v>
      </c>
      <c r="CV169" s="315" t="str">
        <f t="shared" si="273"/>
        <v/>
      </c>
      <c r="CW169" s="315" t="e">
        <f>IF($J169="",#N/A,SUM(CV$4:CV169))</f>
        <v>#N/A</v>
      </c>
      <c r="CX169" s="315" t="e">
        <f>IF($J169="",#N/A,SUM(CV$4:CV169,CT$4:CT169,CR$4:CR169))</f>
        <v>#N/A</v>
      </c>
      <c r="CY169" s="304" t="str">
        <f t="shared" si="274"/>
        <v/>
      </c>
      <c r="CZ169" s="313" t="e">
        <f>IF($J169="",#N/A,SUM(CY$4:CY169))</f>
        <v>#N/A</v>
      </c>
      <c r="DA169" s="314" t="str">
        <f t="shared" si="275"/>
        <v/>
      </c>
      <c r="DB169" s="314" t="e">
        <f>IF($J169="",#N/A,SUM(DA$4:DA169))</f>
        <v>#N/A</v>
      </c>
      <c r="DC169" s="315" t="str">
        <f t="shared" si="276"/>
        <v/>
      </c>
      <c r="DD169" s="315" t="e">
        <f>IF($J169="",#N/A,SUM(DC$4:DC169))</f>
        <v>#N/A</v>
      </c>
      <c r="DE169" s="315" t="e">
        <f>IF($J169="",#N/A,SUM(DC$4:DC169,DA$4:DA169,CY$4:CY169))</f>
        <v>#N/A</v>
      </c>
      <c r="DF169" s="304" t="str">
        <f t="shared" si="277"/>
        <v/>
      </c>
      <c r="DG169" s="313" t="e">
        <f>IF($J169="",#N/A,SUM(DF$4:DF169))</f>
        <v>#N/A</v>
      </c>
      <c r="DH169" s="314" t="str">
        <f t="shared" si="278"/>
        <v/>
      </c>
      <c r="DI169" s="314" t="e">
        <f>IF($J169="",#N/A,SUM(DH$4:DH169))</f>
        <v>#N/A</v>
      </c>
      <c r="DJ169" s="315" t="str">
        <f t="shared" si="279"/>
        <v/>
      </c>
      <c r="DK169" s="315" t="e">
        <f>IF($J169="",#N/A,SUM(DJ$4:DJ169))</f>
        <v>#N/A</v>
      </c>
      <c r="DL169" s="315" t="e">
        <f>IF($J169="",#N/A,SUM(DJ$4:DJ169,DH$4:DH169,DF$4:DF169))</f>
        <v>#N/A</v>
      </c>
      <c r="DM169" s="304" t="str">
        <f t="shared" si="280"/>
        <v/>
      </c>
      <c r="DN169" s="313" t="e">
        <f>IF($J169="",#N/A,SUM(DM$4:DM169))</f>
        <v>#N/A</v>
      </c>
      <c r="DO169" s="314" t="str">
        <f t="shared" si="281"/>
        <v/>
      </c>
      <c r="DP169" s="314" t="e">
        <f>IF($J169="",#N/A,SUM(DO$4:DO169))</f>
        <v>#N/A</v>
      </c>
      <c r="DQ169" s="315" t="str">
        <f t="shared" si="282"/>
        <v/>
      </c>
      <c r="DR169" s="315" t="e">
        <f>IF($J169="",#N/A,SUM(DQ$4:DQ169))</f>
        <v>#N/A</v>
      </c>
      <c r="DS169" s="315" t="e">
        <f>IF($J169="",#N/A,SUM(DQ$4:DQ169,DO$4:DO169,DM$4:DM169))</f>
        <v>#N/A</v>
      </c>
      <c r="DT169" s="304" t="str">
        <f t="shared" si="283"/>
        <v/>
      </c>
      <c r="DU169" s="313" t="e">
        <f>IF($J169="",#N/A,SUM(DT$4:DT169))</f>
        <v>#N/A</v>
      </c>
      <c r="DV169" s="314" t="str">
        <f t="shared" si="284"/>
        <v/>
      </c>
      <c r="DW169" s="314" t="e">
        <f>IF($J169="",#N/A,SUM(DV$4:DV169))</f>
        <v>#N/A</v>
      </c>
      <c r="DX169" s="315" t="str">
        <f t="shared" si="285"/>
        <v/>
      </c>
      <c r="DY169" s="315" t="e">
        <f>IF($J169="",#N/A,SUM(DX$4:DX169))</f>
        <v>#N/A</v>
      </c>
      <c r="DZ169" s="315" t="e">
        <f>IF($J169="",#N/A,SUM(DX$4:DX169,DV$4:DV169,DT$4:DT169))</f>
        <v>#N/A</v>
      </c>
      <c r="EA169" s="304" t="str">
        <f t="shared" si="286"/>
        <v/>
      </c>
      <c r="EB169" s="313" t="e">
        <f>IF($J169="",#N/A,SUM(EA$4:EA169))</f>
        <v>#N/A</v>
      </c>
      <c r="EC169" s="314" t="str">
        <f t="shared" si="287"/>
        <v/>
      </c>
      <c r="ED169" s="314" t="e">
        <f>IF($J169="",#N/A,SUM(EC$4:EC169))</f>
        <v>#N/A</v>
      </c>
      <c r="EE169" s="315" t="str">
        <f t="shared" si="288"/>
        <v/>
      </c>
      <c r="EF169" s="315" t="e">
        <f>IF($J169="",#N/A,SUM(EE$4:EE169))</f>
        <v>#N/A</v>
      </c>
      <c r="EG169" s="315" t="e">
        <f>IF($J169="",#N/A,SUM(EE$4:EE169,EC$4:EC169,EA$4:EA169))</f>
        <v>#N/A</v>
      </c>
      <c r="EH169" s="130">
        <f t="shared" si="289"/>
        <v>-4.0499999999999545</v>
      </c>
      <c r="EI169" s="63">
        <f>IF(EH169="",#N/A,SUM($EH$4:EH169))</f>
        <v>636.58954002980897</v>
      </c>
      <c r="EJ169" s="223" t="e">
        <f t="shared" si="290"/>
        <v>#N/A</v>
      </c>
      <c r="EK169" s="63" t="e">
        <f>IF($GZ169="",#N/A,SUM(EJ$4:EJ169))</f>
        <v>#N/A</v>
      </c>
      <c r="EL169" s="60">
        <f t="shared" si="322"/>
        <v>-0.13785075358411805</v>
      </c>
      <c r="EM169" s="60">
        <f>IF(EL169="",NA(),SUM($EL$4:EL169))</f>
        <v>21.318101801415562</v>
      </c>
      <c r="EN169" s="60">
        <f t="shared" si="291"/>
        <v>-0.13785075358411805</v>
      </c>
      <c r="EO169" s="60">
        <f>IF(EN169="",NA(),SUM($EN$4:EN169))</f>
        <v>8.9669544934580578</v>
      </c>
      <c r="EP169" s="60" t="str">
        <f t="shared" si="292"/>
        <v/>
      </c>
      <c r="EQ169" s="60" t="e">
        <f>IF(EP169="",NA(),SUM($EP$4:EP169))</f>
        <v>#N/A</v>
      </c>
      <c r="ER169" s="60" t="str">
        <f t="shared" si="293"/>
        <v/>
      </c>
      <c r="ES169" s="60" t="e">
        <f>IF(ER169="",NA(),SUM($ER$4:ER169))</f>
        <v>#N/A</v>
      </c>
      <c r="ET169" s="60" t="str">
        <f t="shared" si="294"/>
        <v/>
      </c>
      <c r="EU169" s="60" t="e">
        <f>IF(ET169="",NA(),SUM($ET$4:ET169))</f>
        <v>#N/A</v>
      </c>
      <c r="EV169" s="60" t="str">
        <f t="shared" si="295"/>
        <v/>
      </c>
      <c r="EW169" s="60" t="e">
        <f>IF(EV169="",NA(),SUM($EV$4:EV169))</f>
        <v>#N/A</v>
      </c>
      <c r="EX169" s="60" t="str">
        <f t="shared" si="296"/>
        <v/>
      </c>
      <c r="EY169" s="60" t="e">
        <f>IF(EX169="",NA(),SUM($EX$4:EX169))</f>
        <v>#N/A</v>
      </c>
      <c r="EZ169" s="60" t="str">
        <f t="shared" si="297"/>
        <v/>
      </c>
      <c r="FA169" s="60" t="e">
        <f>IF(EZ169="",NA(),SUM($EZ$4:EZ169))</f>
        <v>#N/A</v>
      </c>
      <c r="FB169" s="246" t="str">
        <f t="shared" si="323"/>
        <v/>
      </c>
      <c r="FC169" s="246" t="e">
        <f>IF($FB169="",#N/A,SUM(FB$4:$FB169))</f>
        <v>#N/A</v>
      </c>
      <c r="FD169" s="60" t="str">
        <f t="shared" si="298"/>
        <v/>
      </c>
      <c r="FE169" s="60" t="e">
        <f>IF($FD169="",#N/A,SUM($FD$4:FD169))</f>
        <v>#N/A</v>
      </c>
      <c r="FF169" s="60" t="str">
        <f t="shared" si="299"/>
        <v/>
      </c>
      <c r="FG169" s="60" t="e">
        <f>IF($FF169="",#N/A,SUM($FF$4:FF169))</f>
        <v>#N/A</v>
      </c>
      <c r="FH169" s="60">
        <f t="shared" si="300"/>
        <v>-1.2835436833721352</v>
      </c>
      <c r="FI169" s="60">
        <f>IF($FH169="",#N/A,SUM($FH$4:FH169))</f>
        <v>0.18840075531879918</v>
      </c>
      <c r="FJ169" s="60" t="str">
        <f t="shared" si="301"/>
        <v/>
      </c>
      <c r="FK169" s="60" t="e">
        <f>IF($FJ169="",#N/A,SUM($FJ$4:FJ169))</f>
        <v>#N/A</v>
      </c>
      <c r="FL169" s="60" t="str">
        <f t="shared" si="302"/>
        <v/>
      </c>
      <c r="FM169" s="60" t="e">
        <f>IF($FL169="",#N/A,SUM($FL$4:FL169))</f>
        <v>#N/A</v>
      </c>
      <c r="FN169" s="82">
        <f t="shared" si="303"/>
        <v>-1.4213944369562532</v>
      </c>
      <c r="FO169" s="82">
        <f>IF($FN169="",#N/A,SUM(FN$4:$FN169))</f>
        <v>31.197361574098114</v>
      </c>
      <c r="FP169" s="82">
        <f t="shared" si="324"/>
        <v>-0.13785075358411805</v>
      </c>
      <c r="FQ169" s="246">
        <f>IF($EH169="",#N/A,SUM($FP$4:FP169))</f>
        <v>24.978889864896832</v>
      </c>
      <c r="FR169" s="82">
        <f>IFERROR(FQ169/COUNTA($J$4:J169),#N/A)</f>
        <v>0.15047524014998093</v>
      </c>
      <c r="FS169" s="82">
        <f t="shared" si="332"/>
        <v>2.5587981673443009E-2</v>
      </c>
      <c r="FT169" s="82">
        <f t="shared" si="333"/>
        <v>0.1296911797530145</v>
      </c>
      <c r="FU169" s="337">
        <f t="shared" si="331"/>
        <v>14.436787021090359</v>
      </c>
      <c r="FV169" s="57" t="str">
        <f t="shared" si="305"/>
        <v>Up</v>
      </c>
      <c r="FW169" s="57" t="s">
        <v>2734</v>
      </c>
      <c r="FX169" s="57" t="str">
        <f t="shared" si="306"/>
        <v/>
      </c>
      <c r="FY169" s="57" t="str">
        <f t="shared" si="307"/>
        <v/>
      </c>
      <c r="FZ169" s="57" t="str">
        <f t="shared" si="308"/>
        <v/>
      </c>
      <c r="GA169" s="57" t="str">
        <f t="shared" si="309"/>
        <v>Long</v>
      </c>
      <c r="GB169" s="57" t="str">
        <f t="shared" si="310"/>
        <v/>
      </c>
      <c r="GC169" s="57">
        <f t="shared" si="311"/>
        <v>1</v>
      </c>
      <c r="GD169" s="57" t="str">
        <f t="shared" si="312"/>
        <v/>
      </c>
      <c r="GE169" s="62">
        <f t="shared" si="227"/>
        <v>163.22</v>
      </c>
      <c r="GF169" s="62" t="s">
        <v>2779</v>
      </c>
      <c r="GG169" s="199">
        <v>3</v>
      </c>
      <c r="GH169" s="207">
        <f t="shared" si="313"/>
        <v>489.65999999999997</v>
      </c>
      <c r="GI169" s="199">
        <v>3</v>
      </c>
      <c r="GJ169" s="200">
        <v>161.87</v>
      </c>
      <c r="GK169" s="63">
        <f t="shared" si="314"/>
        <v>-4.0499999999999545</v>
      </c>
      <c r="GL169" s="63">
        <f t="shared" si="228"/>
        <v>-41.759999999999934</v>
      </c>
      <c r="GM169" s="82" t="str">
        <f t="shared" si="315"/>
        <v/>
      </c>
      <c r="GN169" s="82">
        <f>IF($GZ169="",#N/A,SUM(GM$4:GM169))</f>
        <v>8.0933459605915647</v>
      </c>
      <c r="GO169" s="82">
        <f t="shared" si="316"/>
        <v>-1.4213944369562532</v>
      </c>
      <c r="GP169" s="82">
        <f>IF($GZ169="",#N/A,SUM(GO$4:GO169))</f>
        <v>12.935522898595021</v>
      </c>
      <c r="GQ169" s="82" t="str">
        <f t="shared" si="317"/>
        <v/>
      </c>
      <c r="GR169" s="82">
        <f>IF($GZ169="",#N/A,SUM(GQ$4:GQ169))</f>
        <v>9.5426557604691844</v>
      </c>
      <c r="GS169" s="63" t="str">
        <f t="shared" si="325"/>
        <v/>
      </c>
      <c r="GT169" s="63" t="e">
        <f>IF($GZ169="",#N/A,SUM(GS$4:GS169))</f>
        <v>#N/A</v>
      </c>
      <c r="GU169" s="63" t="e">
        <f t="shared" si="326"/>
        <v>#N/A</v>
      </c>
      <c r="GV169" s="63" t="e">
        <f>IF($GZ169="",#N/A,SUM(GU$4:GU169))</f>
        <v>#N/A</v>
      </c>
      <c r="GW169" s="63" t="str">
        <f t="shared" si="327"/>
        <v/>
      </c>
      <c r="GX169" s="63" t="e">
        <f>IF($GZ169="",#N/A,SUM(GW$4:GW169))</f>
        <v>#N/A</v>
      </c>
      <c r="GY169" s="63" t="e">
        <f>IF(EJ169="",#N/A,SUM($EJ$4:EJ169))</f>
        <v>#N/A</v>
      </c>
      <c r="GZ169" s="159">
        <v>149.30000000000001</v>
      </c>
      <c r="HA169" s="63">
        <f t="shared" si="318"/>
        <v>-37.70999999999998</v>
      </c>
      <c r="HB169" s="62" t="s">
        <v>2538</v>
      </c>
      <c r="HC169" s="60">
        <f>IFERROR(VLOOKUP(E169,Expectancy!$P$4:$S$19,1+C169,FALSE),"")</f>
        <v>-7.9483352726509887E-2</v>
      </c>
      <c r="HD169" s="82">
        <f t="shared" si="319"/>
        <v>-0.13785075358411805</v>
      </c>
      <c r="HE169" s="60">
        <f>IF(HD169="",#N/A,SUM($HD$4:HD169))</f>
        <v>-3.9878971561935272</v>
      </c>
      <c r="HF169" s="85">
        <f>IF(HD169="",#N/A,IF(HB169="Skip",#N/A,SUM($HG$4:HG169)))</f>
        <v>-76.38</v>
      </c>
      <c r="HG169" s="63">
        <f t="shared" si="320"/>
        <v>-4.0499999999999545</v>
      </c>
      <c r="HH169" s="82">
        <f t="shared" si="321"/>
        <v>-1.4213944369562532</v>
      </c>
    </row>
    <row r="170" spans="1:216" x14ac:dyDescent="0.25">
      <c r="A170" s="57" t="s">
        <v>1368</v>
      </c>
      <c r="B170" s="58" t="s">
        <v>5189</v>
      </c>
      <c r="C170" s="386">
        <f t="shared" si="230"/>
        <v>1</v>
      </c>
      <c r="D170" s="372" t="str">
        <f>_xlfn.XLOOKUP(A170,[1]SP500!$A$2:$A$502,[1]SP500!$D$2:$D$502,"N")</f>
        <v>Y</v>
      </c>
      <c r="E170" s="57" t="str">
        <f>_xlfn.XLOOKUP(A170,[1]SP500!$A$2:$A$655,[1]SP500!$B$2:$B$655)</f>
        <v>XLF</v>
      </c>
      <c r="F170" s="59">
        <v>45692</v>
      </c>
      <c r="G170" s="57" t="str">
        <f t="shared" si="231"/>
        <v>BMO</v>
      </c>
      <c r="H170" s="57" t="str">
        <f t="shared" si="232"/>
        <v>s</v>
      </c>
      <c r="I170" s="159">
        <v>89.51</v>
      </c>
      <c r="J170" s="159">
        <v>82.26</v>
      </c>
      <c r="K170" s="61">
        <f t="shared" si="233"/>
        <v>-8.0996536699810079E-2</v>
      </c>
      <c r="L170" s="87">
        <f t="shared" si="234"/>
        <v>-36.25</v>
      </c>
      <c r="M170" s="130">
        <f t="shared" si="226"/>
        <v>-5.0000000000011369E-2</v>
      </c>
      <c r="N170" s="169">
        <f t="shared" si="235"/>
        <v>-36.25</v>
      </c>
      <c r="O170" s="169">
        <f>IF($J170="",#N/A,SUM($N$4:N170))</f>
        <v>299.03976368961378</v>
      </c>
      <c r="P170" s="174" t="str">
        <f t="shared" si="236"/>
        <v/>
      </c>
      <c r="Q170" s="174">
        <f>IF($J170="",#N/A,SUM($P$4:P170))</f>
        <v>131.84104023772642</v>
      </c>
      <c r="R170" s="178" t="str">
        <f t="shared" si="237"/>
        <v/>
      </c>
      <c r="S170" s="178">
        <f>IF($J170="",#N/A,SUM($R$4:R170))</f>
        <v>169.45873610246861</v>
      </c>
      <c r="T170" s="290">
        <f t="shared" si="238"/>
        <v>-1.349942278330168</v>
      </c>
      <c r="U170" s="290">
        <f>IF($J170="",#N/A,SUM($T$4:T170))</f>
        <v>11.503161745986388</v>
      </c>
      <c r="V170" s="291" t="str">
        <f t="shared" si="239"/>
        <v/>
      </c>
      <c r="W170" s="291">
        <f>IF($J170="",#N/A,SUM($V$4:V170))</f>
        <v>5.3595858986606633</v>
      </c>
      <c r="X170" s="292" t="str">
        <f t="shared" si="240"/>
        <v/>
      </c>
      <c r="Y170" s="283">
        <f>IF($J170="",#N/A,SUM($X$4:X170))</f>
        <v>6.7661999419196031</v>
      </c>
      <c r="Z170" s="304" t="str">
        <f t="shared" si="241"/>
        <v/>
      </c>
      <c r="AA170" s="313" t="e">
        <f>IF($J170="",#N/A,SUM(Z$4:Z170))</f>
        <v>#N/A</v>
      </c>
      <c r="AB170" s="314" t="str">
        <f t="shared" si="242"/>
        <v/>
      </c>
      <c r="AC170" s="314" t="e">
        <f>IF($J170="",#N/A,SUM(AB$4:AB170))</f>
        <v>#N/A</v>
      </c>
      <c r="AD170" s="315" t="str">
        <f t="shared" si="243"/>
        <v/>
      </c>
      <c r="AE170" s="315" t="e">
        <f>IF($J170="",#N/A,SUM(AD$4:AD170))</f>
        <v>#N/A</v>
      </c>
      <c r="AF170" s="315" t="e">
        <f>IF($J170="",#N/A,SUM(AD$4:AD170,AB$4:AB170,Z$4:Z170))</f>
        <v>#N/A</v>
      </c>
      <c r="AG170" s="304" t="str">
        <f t="shared" si="244"/>
        <v/>
      </c>
      <c r="AH170" s="313" t="e">
        <f>IF($J170="",#N/A,SUM(AG$4:AG170))</f>
        <v>#N/A</v>
      </c>
      <c r="AI170" s="314" t="str">
        <f t="shared" si="245"/>
        <v/>
      </c>
      <c r="AJ170" s="314" t="e">
        <f>IF($J170="",#N/A,SUM(AI$4:AI170))</f>
        <v>#N/A</v>
      </c>
      <c r="AK170" s="315" t="str">
        <f t="shared" si="246"/>
        <v/>
      </c>
      <c r="AL170" s="315" t="e">
        <f>IF($J170="",#N/A,SUM(AK$4:AK170))</f>
        <v>#N/A</v>
      </c>
      <c r="AM170" s="315" t="e">
        <f>IF($J170="",#N/A,SUM(AK$4:AK170,AI$4:AI170,AG$4:AG170))</f>
        <v>#N/A</v>
      </c>
      <c r="AN170" s="304" t="str">
        <f t="shared" si="247"/>
        <v/>
      </c>
      <c r="AO170" s="313" t="e">
        <f>IF($J170="",#N/A,SUM(AN$4:AN170))</f>
        <v>#N/A</v>
      </c>
      <c r="AP170" s="314" t="str">
        <f t="shared" si="248"/>
        <v/>
      </c>
      <c r="AQ170" s="314" t="e">
        <f>IF($J170="",#N/A,SUM(AP$4:AP170))</f>
        <v>#N/A</v>
      </c>
      <c r="AR170" s="315" t="str">
        <f t="shared" si="249"/>
        <v/>
      </c>
      <c r="AS170" s="315" t="e">
        <f>IF($J170="",#N/A,SUM(AR$4:AR170))</f>
        <v>#N/A</v>
      </c>
      <c r="AT170" s="315" t="e">
        <f>IF($J170="",#N/A,SUM(AR$4:AR170,AP$4:AP170,AN$4:AN170))</f>
        <v>#N/A</v>
      </c>
      <c r="AU170" s="304" t="str">
        <f t="shared" si="250"/>
        <v/>
      </c>
      <c r="AV170" s="313" t="e">
        <f>IF($J170="",#N/A,SUM(AU$4:AU170))</f>
        <v>#N/A</v>
      </c>
      <c r="AW170" s="314" t="str">
        <f t="shared" si="251"/>
        <v/>
      </c>
      <c r="AX170" s="314" t="e">
        <f>IF($J170="",#N/A,SUM(AW$4:AW170))</f>
        <v>#N/A</v>
      </c>
      <c r="AY170" s="315" t="str">
        <f t="shared" si="252"/>
        <v/>
      </c>
      <c r="AZ170" s="315" t="e">
        <f>IF($J170="",#N/A,SUM(AY$4:AY170))</f>
        <v>#N/A</v>
      </c>
      <c r="BA170" s="315" t="e">
        <f>IF($J170="",#N/A,SUM(AY$4:AY170,AW$4:AW170,AU$4:AU170))</f>
        <v>#N/A</v>
      </c>
      <c r="BB170" s="304" t="str">
        <f t="shared" si="253"/>
        <v/>
      </c>
      <c r="BC170" s="313" t="e">
        <f>IF($J170="",#N/A,SUM(BB$4:BB170))</f>
        <v>#N/A</v>
      </c>
      <c r="BD170" s="314" t="str">
        <f t="shared" si="254"/>
        <v/>
      </c>
      <c r="BE170" s="314" t="e">
        <f>IF($J170="",#N/A,SUM(BD$4:BD170))</f>
        <v>#N/A</v>
      </c>
      <c r="BF170" s="315" t="str">
        <f t="shared" si="255"/>
        <v/>
      </c>
      <c r="BG170" s="315" t="e">
        <f>IF($J170="",#N/A,SUM(BF$4:BF170))</f>
        <v>#N/A</v>
      </c>
      <c r="BH170" s="315" t="e">
        <f>IF($J170="",#N/A,SUM(BF$4:BF170,BD$4:BD170,BB$4:BB170))</f>
        <v>#N/A</v>
      </c>
      <c r="BI170" s="304">
        <f t="shared" si="256"/>
        <v>-1.349942278330168</v>
      </c>
      <c r="BJ170" s="313" t="e">
        <f>IF($J170="",#N/A,SUM(BI$4:BI170))</f>
        <v>#N/A</v>
      </c>
      <c r="BK170" s="314" t="str">
        <f t="shared" si="257"/>
        <v/>
      </c>
      <c r="BL170" s="314" t="e">
        <f>IF($J170="",#N/A,SUM(BK$4:BK170))</f>
        <v>#N/A</v>
      </c>
      <c r="BM170" s="315" t="str">
        <f t="shared" si="258"/>
        <v/>
      </c>
      <c r="BN170" s="315" t="e">
        <f>IF($J170="",#N/A,SUM(BM$4:BM170))</f>
        <v>#N/A</v>
      </c>
      <c r="BO170" s="315" t="e">
        <f>IF($J170="",#N/A,SUM(BM$4:BM170,BK$4:BK170,BI$4:BI170))</f>
        <v>#N/A</v>
      </c>
      <c r="BP170" s="304" t="str">
        <f t="shared" si="259"/>
        <v/>
      </c>
      <c r="BQ170" s="313" t="e">
        <f>IF($J170="",#N/A,SUM(BP$4:BP170))</f>
        <v>#N/A</v>
      </c>
      <c r="BR170" s="314" t="str">
        <f t="shared" si="260"/>
        <v/>
      </c>
      <c r="BS170" s="314" t="e">
        <f>IF($J170="",#N/A,SUM(BR$4:BR170))</f>
        <v>#N/A</v>
      </c>
      <c r="BT170" s="315" t="str">
        <f t="shared" si="261"/>
        <v/>
      </c>
      <c r="BU170" s="315" t="e">
        <f>IF($J170="",#N/A,SUM(BT$4:BT170))</f>
        <v>#N/A</v>
      </c>
      <c r="BV170" s="315" t="e">
        <f>IF($J170="",#N/A,SUM(BT$4:BT170,BR$4:BR170,BP$4:BP170))</f>
        <v>#N/A</v>
      </c>
      <c r="BW170" s="304" t="str">
        <f t="shared" si="262"/>
        <v/>
      </c>
      <c r="BX170" s="313" t="e">
        <f>IF($J170="",#N/A,SUM(BW$4:BW170))</f>
        <v>#N/A</v>
      </c>
      <c r="BY170" s="314" t="str">
        <f t="shared" si="263"/>
        <v/>
      </c>
      <c r="BZ170" s="314" t="e">
        <f>IF($J170="",#N/A,SUM(BY$4:BY170))</f>
        <v>#N/A</v>
      </c>
      <c r="CA170" s="315" t="str">
        <f t="shared" si="264"/>
        <v/>
      </c>
      <c r="CB170" s="315" t="e">
        <f>IF($J170="",#N/A,SUM(CA$4:CA170))</f>
        <v>#N/A</v>
      </c>
      <c r="CC170" s="315" t="e">
        <f>IF($J170="",#N/A,SUM(CA$4:CA170,BY$4:BY170,BW$4:BW170))</f>
        <v>#N/A</v>
      </c>
      <c r="CD170" s="304" t="str">
        <f t="shared" si="265"/>
        <v/>
      </c>
      <c r="CE170" s="313" t="e">
        <f>IF($J170="",#N/A,SUM(CD$4:CD170))</f>
        <v>#N/A</v>
      </c>
      <c r="CF170" s="314" t="str">
        <f t="shared" si="266"/>
        <v/>
      </c>
      <c r="CG170" s="314" t="e">
        <f>IF($J170="",#N/A,SUM(CF$4:CF170))</f>
        <v>#N/A</v>
      </c>
      <c r="CH170" s="315" t="str">
        <f t="shared" si="267"/>
        <v/>
      </c>
      <c r="CI170" s="315" t="e">
        <f>IF($J170="",#N/A,SUM(CH$4:CH170))</f>
        <v>#N/A</v>
      </c>
      <c r="CJ170" s="315" t="e">
        <f>IF($J170="",#N/A,SUM(CH$4:CH170,CF$4:CF170,CD$4:CD170))</f>
        <v>#N/A</v>
      </c>
      <c r="CK170" s="304" t="str">
        <f t="shared" si="268"/>
        <v/>
      </c>
      <c r="CL170" s="313" t="e">
        <f>IF($J170="",#N/A,SUM(CK$4:CK170))</f>
        <v>#N/A</v>
      </c>
      <c r="CM170" s="314" t="str">
        <f t="shared" si="269"/>
        <v/>
      </c>
      <c r="CN170" s="314" t="e">
        <f>IF($J170="",#N/A,SUM(CM$4:CM170))</f>
        <v>#N/A</v>
      </c>
      <c r="CO170" s="315" t="str">
        <f t="shared" si="270"/>
        <v/>
      </c>
      <c r="CP170" s="315" t="e">
        <f>IF($J170="",#N/A,SUM(CO$4:CO170))</f>
        <v>#N/A</v>
      </c>
      <c r="CQ170" s="315" t="e">
        <f>IF($J170="",#N/A,SUM(CO$4:CO170,CM$4:CM170,CK$4:CK170))</f>
        <v>#N/A</v>
      </c>
      <c r="CR170" s="304" t="str">
        <f t="shared" si="271"/>
        <v/>
      </c>
      <c r="CS170" s="313" t="e">
        <f>IF($J170="",#N/A,SUM(CR$4:CR170))</f>
        <v>#N/A</v>
      </c>
      <c r="CT170" s="314" t="str">
        <f t="shared" si="272"/>
        <v/>
      </c>
      <c r="CU170" s="314" t="e">
        <f>IF($J170="",#N/A,SUM(CT$4:CT170))</f>
        <v>#N/A</v>
      </c>
      <c r="CV170" s="315" t="str">
        <f t="shared" si="273"/>
        <v/>
      </c>
      <c r="CW170" s="315" t="e">
        <f>IF($J170="",#N/A,SUM(CV$4:CV170))</f>
        <v>#N/A</v>
      </c>
      <c r="CX170" s="315" t="e">
        <f>IF($J170="",#N/A,SUM(CV$4:CV170,CT$4:CT170,CR$4:CR170))</f>
        <v>#N/A</v>
      </c>
      <c r="CY170" s="304" t="str">
        <f t="shared" si="274"/>
        <v/>
      </c>
      <c r="CZ170" s="313" t="e">
        <f>IF($J170="",#N/A,SUM(CY$4:CY170))</f>
        <v>#N/A</v>
      </c>
      <c r="DA170" s="314" t="str">
        <f t="shared" si="275"/>
        <v/>
      </c>
      <c r="DB170" s="314" t="e">
        <f>IF($J170="",#N/A,SUM(DA$4:DA170))</f>
        <v>#N/A</v>
      </c>
      <c r="DC170" s="315" t="str">
        <f t="shared" si="276"/>
        <v/>
      </c>
      <c r="DD170" s="315" t="e">
        <f>IF($J170="",#N/A,SUM(DC$4:DC170))</f>
        <v>#N/A</v>
      </c>
      <c r="DE170" s="315" t="e">
        <f>IF($J170="",#N/A,SUM(DC$4:DC170,DA$4:DA170,CY$4:CY170))</f>
        <v>#N/A</v>
      </c>
      <c r="DF170" s="304" t="str">
        <f t="shared" si="277"/>
        <v/>
      </c>
      <c r="DG170" s="313" t="e">
        <f>IF($J170="",#N/A,SUM(DF$4:DF170))</f>
        <v>#N/A</v>
      </c>
      <c r="DH170" s="314" t="str">
        <f t="shared" si="278"/>
        <v/>
      </c>
      <c r="DI170" s="314" t="e">
        <f>IF($J170="",#N/A,SUM(DH$4:DH170))</f>
        <v>#N/A</v>
      </c>
      <c r="DJ170" s="315" t="str">
        <f t="shared" si="279"/>
        <v/>
      </c>
      <c r="DK170" s="315" t="e">
        <f>IF($J170="",#N/A,SUM(DJ$4:DJ170))</f>
        <v>#N/A</v>
      </c>
      <c r="DL170" s="315" t="e">
        <f>IF($J170="",#N/A,SUM(DJ$4:DJ170,DH$4:DH170,DF$4:DF170))</f>
        <v>#N/A</v>
      </c>
      <c r="DM170" s="304" t="str">
        <f t="shared" si="280"/>
        <v/>
      </c>
      <c r="DN170" s="313" t="e">
        <f>IF($J170="",#N/A,SUM(DM$4:DM170))</f>
        <v>#N/A</v>
      </c>
      <c r="DO170" s="314" t="str">
        <f t="shared" si="281"/>
        <v/>
      </c>
      <c r="DP170" s="314" t="e">
        <f>IF($J170="",#N/A,SUM(DO$4:DO170))</f>
        <v>#N/A</v>
      </c>
      <c r="DQ170" s="315" t="str">
        <f t="shared" si="282"/>
        <v/>
      </c>
      <c r="DR170" s="315" t="e">
        <f>IF($J170="",#N/A,SUM(DQ$4:DQ170))</f>
        <v>#N/A</v>
      </c>
      <c r="DS170" s="315" t="e">
        <f>IF($J170="",#N/A,SUM(DQ$4:DQ170,DO$4:DO170,DM$4:DM170))</f>
        <v>#N/A</v>
      </c>
      <c r="DT170" s="304" t="str">
        <f t="shared" si="283"/>
        <v/>
      </c>
      <c r="DU170" s="313" t="e">
        <f>IF($J170="",#N/A,SUM(DT$4:DT170))</f>
        <v>#N/A</v>
      </c>
      <c r="DV170" s="314" t="str">
        <f t="shared" si="284"/>
        <v/>
      </c>
      <c r="DW170" s="314" t="e">
        <f>IF($J170="",#N/A,SUM(DV$4:DV170))</f>
        <v>#N/A</v>
      </c>
      <c r="DX170" s="315" t="str">
        <f t="shared" si="285"/>
        <v/>
      </c>
      <c r="DY170" s="315" t="e">
        <f>IF($J170="",#N/A,SUM(DX$4:DX170))</f>
        <v>#N/A</v>
      </c>
      <c r="DZ170" s="315" t="e">
        <f>IF($J170="",#N/A,SUM(DX$4:DX170,DV$4:DV170,DT$4:DT170))</f>
        <v>#N/A</v>
      </c>
      <c r="EA170" s="304" t="str">
        <f t="shared" si="286"/>
        <v/>
      </c>
      <c r="EB170" s="313" t="e">
        <f>IF($J170="",#N/A,SUM(EA$4:EA170))</f>
        <v>#N/A</v>
      </c>
      <c r="EC170" s="314" t="str">
        <f t="shared" si="287"/>
        <v/>
      </c>
      <c r="ED170" s="314" t="e">
        <f>IF($J170="",#N/A,SUM(EC$4:EC170))</f>
        <v>#N/A</v>
      </c>
      <c r="EE170" s="315" t="str">
        <f t="shared" si="288"/>
        <v/>
      </c>
      <c r="EF170" s="315" t="e">
        <f>IF($J170="",#N/A,SUM(EE$4:EE170))</f>
        <v>#N/A</v>
      </c>
      <c r="EG170" s="315" t="e">
        <f>IF($J170="",#N/A,SUM(EE$4:EE170,EC$4:EC170,EA$4:EA170))</f>
        <v>#N/A</v>
      </c>
      <c r="EH170" s="130">
        <f t="shared" si="289"/>
        <v>-36.25</v>
      </c>
      <c r="EI170" s="63">
        <f>IF(EH170="",#N/A,SUM($EH$4:EH170))</f>
        <v>600.33954002980897</v>
      </c>
      <c r="EJ170" s="223" t="e">
        <f t="shared" si="290"/>
        <v>#N/A</v>
      </c>
      <c r="EK170" s="63" t="e">
        <f>IF($GZ170="",#N/A,SUM(EJ$4:EJ170))</f>
        <v>#N/A</v>
      </c>
      <c r="EL170" s="60">
        <f t="shared" si="322"/>
        <v>-1.349942278330168</v>
      </c>
      <c r="EM170" s="60">
        <f>IF(EL170="",NA(),SUM($EL$4:EL170))</f>
        <v>19.968159523085394</v>
      </c>
      <c r="EN170" s="60">
        <f t="shared" si="291"/>
        <v>-1.349942278330168</v>
      </c>
      <c r="EO170" s="60">
        <f>IF(EN170="",NA(),SUM($EN$4:EN170))</f>
        <v>7.6170122151278896</v>
      </c>
      <c r="EP170" s="60" t="str">
        <f t="shared" si="292"/>
        <v/>
      </c>
      <c r="EQ170" s="60" t="e">
        <f>IF(EP170="",NA(),SUM($EP$4:EP170))</f>
        <v>#N/A</v>
      </c>
      <c r="ER170" s="60" t="str">
        <f t="shared" si="293"/>
        <v/>
      </c>
      <c r="ES170" s="60" t="e">
        <f>IF(ER170="",NA(),SUM($ER$4:ER170))</f>
        <v>#N/A</v>
      </c>
      <c r="ET170" s="60" t="str">
        <f t="shared" si="294"/>
        <v/>
      </c>
      <c r="EU170" s="60" t="e">
        <f>IF(ET170="",NA(),SUM($ET$4:ET170))</f>
        <v>#N/A</v>
      </c>
      <c r="EV170" s="60" t="str">
        <f t="shared" si="295"/>
        <v/>
      </c>
      <c r="EW170" s="60" t="e">
        <f>IF(EV170="",NA(),SUM($EV$4:EV170))</f>
        <v>#N/A</v>
      </c>
      <c r="EX170" s="60" t="str">
        <f t="shared" si="296"/>
        <v/>
      </c>
      <c r="EY170" s="60" t="e">
        <f>IF(EX170="",NA(),SUM($EX$4:EX170))</f>
        <v>#N/A</v>
      </c>
      <c r="EZ170" s="60" t="str">
        <f t="shared" si="297"/>
        <v/>
      </c>
      <c r="FA170" s="60" t="e">
        <f>IF(EZ170="",NA(),SUM($EZ$4:EZ170))</f>
        <v>#N/A</v>
      </c>
      <c r="FB170" s="246" t="str">
        <f t="shared" si="323"/>
        <v/>
      </c>
      <c r="FC170" s="246" t="e">
        <f>IF($FB170="",#N/A,SUM(FB$4:$FB170))</f>
        <v>#N/A</v>
      </c>
      <c r="FD170" s="60" t="str">
        <f t="shared" si="298"/>
        <v/>
      </c>
      <c r="FE170" s="60" t="e">
        <f>IF($FD170="",#N/A,SUM($FD$4:FD170))</f>
        <v>#N/A</v>
      </c>
      <c r="FF170" s="60" t="str">
        <f t="shared" si="299"/>
        <v/>
      </c>
      <c r="FG170" s="60" t="e">
        <f>IF($FF170="",#N/A,SUM($FF$4:FF170))</f>
        <v>#N/A</v>
      </c>
      <c r="FH170" s="60">
        <f t="shared" si="300"/>
        <v>-0.84534316463709813</v>
      </c>
      <c r="FI170" s="60">
        <f>IF($FH170="",#N/A,SUM($FH$4:FH170))</f>
        <v>-0.65694240931829895</v>
      </c>
      <c r="FJ170" s="60" t="str">
        <f t="shared" si="301"/>
        <v/>
      </c>
      <c r="FK170" s="60" t="e">
        <f>IF($FJ170="",#N/A,SUM($FJ$4:FJ170))</f>
        <v>#N/A</v>
      </c>
      <c r="FL170" s="60" t="str">
        <f t="shared" si="302"/>
        <v/>
      </c>
      <c r="FM170" s="60" t="e">
        <f>IF($FL170="",#N/A,SUM($FL$4:FL170))</f>
        <v>#N/A</v>
      </c>
      <c r="FN170" s="82">
        <f t="shared" si="303"/>
        <v>-2.1952854429672661</v>
      </c>
      <c r="FO170" s="82">
        <f>IF($FN170="",#N/A,SUM(FN$4:$FN170))</f>
        <v>29.002076131130849</v>
      </c>
      <c r="FP170" s="82">
        <f t="shared" si="324"/>
        <v>-1.349942278330168</v>
      </c>
      <c r="FQ170" s="246">
        <f>IF($EH170="",#N/A,SUM($FP$4:FP170))</f>
        <v>23.628947586566664</v>
      </c>
      <c r="FR170" s="82">
        <f>IFERROR(FQ170/COUNTA($J$4:J170),#N/A)</f>
        <v>0.14149070411117762</v>
      </c>
      <c r="FS170" s="82">
        <f t="shared" si="332"/>
        <v>7.505044936709465E-3</v>
      </c>
      <c r="FT170" s="82">
        <f t="shared" si="333"/>
        <v>8.2865184503052025E-2</v>
      </c>
      <c r="FU170" s="337">
        <f t="shared" si="331"/>
        <v>14.43864901043978</v>
      </c>
      <c r="FV170" s="57" t="str">
        <f t="shared" si="305"/>
        <v>Up</v>
      </c>
      <c r="FW170" s="57" t="s">
        <v>2734</v>
      </c>
      <c r="FX170" s="57" t="str">
        <f t="shared" si="306"/>
        <v/>
      </c>
      <c r="FY170" s="57" t="str">
        <f t="shared" si="307"/>
        <v/>
      </c>
      <c r="FZ170" s="57" t="str">
        <f t="shared" si="308"/>
        <v/>
      </c>
      <c r="GA170" s="57" t="str">
        <f t="shared" si="309"/>
        <v>Long</v>
      </c>
      <c r="GB170" s="57" t="str">
        <f t="shared" si="310"/>
        <v/>
      </c>
      <c r="GC170" s="57">
        <f t="shared" si="311"/>
        <v>1</v>
      </c>
      <c r="GD170" s="57" t="str">
        <f t="shared" si="312"/>
        <v/>
      </c>
      <c r="GE170" s="62">
        <f t="shared" si="227"/>
        <v>89.51</v>
      </c>
      <c r="GF170" s="62" t="s">
        <v>2779</v>
      </c>
      <c r="GG170" s="199">
        <v>5</v>
      </c>
      <c r="GH170" s="207">
        <f t="shared" si="313"/>
        <v>447.55</v>
      </c>
      <c r="GI170" s="199">
        <v>5</v>
      </c>
      <c r="GJ170" s="200">
        <v>82.25</v>
      </c>
      <c r="GK170" s="63">
        <f t="shared" si="314"/>
        <v>-36.300000000000011</v>
      </c>
      <c r="GL170" s="63">
        <f t="shared" si="228"/>
        <v>-58.949999999999989</v>
      </c>
      <c r="GM170" s="82" t="str">
        <f t="shared" si="315"/>
        <v/>
      </c>
      <c r="GN170" s="82">
        <f>IF($GZ170="",#N/A,SUM(GM$4:GM170))</f>
        <v>8.0933459605915647</v>
      </c>
      <c r="GO170" s="82">
        <f t="shared" si="316"/>
        <v>-2.1952854429672661</v>
      </c>
      <c r="GP170" s="82">
        <f>IF($GZ170="",#N/A,SUM(GO$4:GO170))</f>
        <v>10.740237455627755</v>
      </c>
      <c r="GQ170" s="82" t="str">
        <f t="shared" si="317"/>
        <v/>
      </c>
      <c r="GR170" s="82">
        <f>IF($GZ170="",#N/A,SUM(GQ$4:GQ170))</f>
        <v>9.5426557604691844</v>
      </c>
      <c r="GS170" s="63" t="str">
        <f t="shared" si="325"/>
        <v/>
      </c>
      <c r="GT170" s="63" t="e">
        <f>IF($GZ170="",#N/A,SUM(GS$4:GS170))</f>
        <v>#N/A</v>
      </c>
      <c r="GU170" s="63" t="e">
        <f t="shared" si="326"/>
        <v>#N/A</v>
      </c>
      <c r="GV170" s="63" t="e">
        <f>IF($GZ170="",#N/A,SUM(GU$4:GU170))</f>
        <v>#N/A</v>
      </c>
      <c r="GW170" s="63" t="str">
        <f t="shared" si="327"/>
        <v/>
      </c>
      <c r="GX170" s="63" t="e">
        <f>IF($GZ170="",#N/A,SUM(GW$4:GW170))</f>
        <v>#N/A</v>
      </c>
      <c r="GY170" s="63" t="e">
        <f>IF(EJ170="",#N/A,SUM($EJ$4:EJ170))</f>
        <v>#N/A</v>
      </c>
      <c r="GZ170" s="159">
        <v>77.72</v>
      </c>
      <c r="HA170" s="63">
        <f t="shared" si="318"/>
        <v>-22.699999999999989</v>
      </c>
      <c r="HB170" s="62" t="s">
        <v>2538</v>
      </c>
      <c r="HC170" s="60">
        <f>IFERROR(VLOOKUP(E170,Expectancy!$P$4:$S$19,1+C170,FALSE),"")</f>
        <v>-7.9483352726509887E-2</v>
      </c>
      <c r="HD170" s="82">
        <f t="shared" si="319"/>
        <v>-1.3518042676795894</v>
      </c>
      <c r="HE170" s="60">
        <f>IF(HD170="",#N/A,SUM($HD$4:HD170))</f>
        <v>-5.3397014238731169</v>
      </c>
      <c r="HF170" s="85">
        <f>IF(HD170="",#N/A,IF(HB170="Skip",#N/A,SUM($HG$4:HG170)))</f>
        <v>-112.68</v>
      </c>
      <c r="HG170" s="63">
        <f t="shared" si="320"/>
        <v>-36.300000000000011</v>
      </c>
      <c r="HH170" s="82">
        <f t="shared" si="321"/>
        <v>-2.1952854429672661</v>
      </c>
    </row>
    <row r="171" spans="1:216" x14ac:dyDescent="0.25">
      <c r="A171" s="57" t="s">
        <v>1376</v>
      </c>
      <c r="B171" s="58" t="s">
        <v>5186</v>
      </c>
      <c r="C171" s="386">
        <f t="shared" si="230"/>
        <v>2</v>
      </c>
      <c r="D171" s="372" t="str">
        <f>_xlfn.XLOOKUP(A171,[1]SP500!$A$2:$A$502,[1]SP500!$D$2:$D$502,"N")</f>
        <v>Y</v>
      </c>
      <c r="E171" s="57" t="str">
        <f>_xlfn.XLOOKUP(A171,[1]SP500!$A$2:$A$655,[1]SP500!$B$2:$B$655)</f>
        <v>XLV</v>
      </c>
      <c r="F171" s="59">
        <v>45692</v>
      </c>
      <c r="G171" s="57" t="str">
        <f t="shared" si="231"/>
        <v>BMO</v>
      </c>
      <c r="H171" s="57" t="str">
        <f t="shared" si="232"/>
        <v>s</v>
      </c>
      <c r="I171" s="159">
        <v>666.85</v>
      </c>
      <c r="J171" s="158">
        <v>650</v>
      </c>
      <c r="K171" s="61">
        <f t="shared" si="233"/>
        <v>-2.526805128589641E-2</v>
      </c>
      <c r="L171" s="87">
        <f t="shared" si="234"/>
        <v>16.850000000000023</v>
      </c>
      <c r="M171" s="130">
        <f t="shared" si="226"/>
        <v>0</v>
      </c>
      <c r="N171" s="169" t="str">
        <f t="shared" si="235"/>
        <v/>
      </c>
      <c r="O171" s="169">
        <f>IF($J171="",#N/A,SUM($N$4:N171))</f>
        <v>299.03976368961378</v>
      </c>
      <c r="P171" s="174">
        <f t="shared" si="236"/>
        <v>16.850000000000023</v>
      </c>
      <c r="Q171" s="174">
        <f>IF($J171="",#N/A,SUM($P$4:P171))</f>
        <v>148.69104023772644</v>
      </c>
      <c r="R171" s="178" t="str">
        <f t="shared" si="237"/>
        <v/>
      </c>
      <c r="S171" s="178">
        <f>IF($J171="",#N/A,SUM($R$4:R171))</f>
        <v>169.45873610246861</v>
      </c>
      <c r="T171" s="290" t="str">
        <f t="shared" si="238"/>
        <v/>
      </c>
      <c r="U171" s="290">
        <f>IF($J171="",#N/A,SUM($T$4:T171))</f>
        <v>11.503161745986388</v>
      </c>
      <c r="V171" s="291">
        <f t="shared" si="239"/>
        <v>0.42113418809827352</v>
      </c>
      <c r="W171" s="291">
        <f>IF($J171="",#N/A,SUM($V$4:V171))</f>
        <v>5.7807200867589366</v>
      </c>
      <c r="X171" s="292" t="str">
        <f t="shared" si="240"/>
        <v/>
      </c>
      <c r="Y171" s="283">
        <f>IF($J171="",#N/A,SUM($X$4:X171))</f>
        <v>6.7661999419196031</v>
      </c>
      <c r="Z171" s="304" t="str">
        <f t="shared" si="241"/>
        <v/>
      </c>
      <c r="AA171" s="313" t="e">
        <f>IF($J171="",#N/A,SUM(Z$4:Z171))</f>
        <v>#N/A</v>
      </c>
      <c r="AB171" s="314" t="str">
        <f t="shared" si="242"/>
        <v/>
      </c>
      <c r="AC171" s="314" t="e">
        <f>IF($J171="",#N/A,SUM(AB$4:AB171))</f>
        <v>#N/A</v>
      </c>
      <c r="AD171" s="315" t="str">
        <f t="shared" si="243"/>
        <v/>
      </c>
      <c r="AE171" s="315" t="e">
        <f>IF($J171="",#N/A,SUM(AD$4:AD171))</f>
        <v>#N/A</v>
      </c>
      <c r="AF171" s="315" t="e">
        <f>IF($J171="",#N/A,SUM(AD$4:AD171,AB$4:AB171,Z$4:Z171))</f>
        <v>#N/A</v>
      </c>
      <c r="AG171" s="304" t="str">
        <f t="shared" si="244"/>
        <v/>
      </c>
      <c r="AH171" s="313" t="e">
        <f>IF($J171="",#N/A,SUM(AG$4:AG171))</f>
        <v>#N/A</v>
      </c>
      <c r="AI171" s="314" t="str">
        <f t="shared" si="245"/>
        <v/>
      </c>
      <c r="AJ171" s="314" t="e">
        <f>IF($J171="",#N/A,SUM(AI$4:AI171))</f>
        <v>#N/A</v>
      </c>
      <c r="AK171" s="315" t="str">
        <f t="shared" si="246"/>
        <v/>
      </c>
      <c r="AL171" s="315" t="e">
        <f>IF($J171="",#N/A,SUM(AK$4:AK171))</f>
        <v>#N/A</v>
      </c>
      <c r="AM171" s="315" t="e">
        <f>IF($J171="",#N/A,SUM(AK$4:AK171,AI$4:AI171,AG$4:AG171))</f>
        <v>#N/A</v>
      </c>
      <c r="AN171" s="304" t="str">
        <f t="shared" si="247"/>
        <v/>
      </c>
      <c r="AO171" s="313" t="e">
        <f>IF($J171="",#N/A,SUM(AN$4:AN171))</f>
        <v>#N/A</v>
      </c>
      <c r="AP171" s="314" t="str">
        <f t="shared" si="248"/>
        <v/>
      </c>
      <c r="AQ171" s="314" t="e">
        <f>IF($J171="",#N/A,SUM(AP$4:AP171))</f>
        <v>#N/A</v>
      </c>
      <c r="AR171" s="315" t="str">
        <f t="shared" si="249"/>
        <v/>
      </c>
      <c r="AS171" s="315" t="e">
        <f>IF($J171="",#N/A,SUM(AR$4:AR171))</f>
        <v>#N/A</v>
      </c>
      <c r="AT171" s="315" t="e">
        <f>IF($J171="",#N/A,SUM(AR$4:AR171,AP$4:AP171,AN$4:AN171))</f>
        <v>#N/A</v>
      </c>
      <c r="AU171" s="304" t="str">
        <f t="shared" si="250"/>
        <v/>
      </c>
      <c r="AV171" s="313" t="e">
        <f>IF($J171="",#N/A,SUM(AU$4:AU171))</f>
        <v>#N/A</v>
      </c>
      <c r="AW171" s="314" t="str">
        <f t="shared" si="251"/>
        <v/>
      </c>
      <c r="AX171" s="314" t="e">
        <f>IF($J171="",#N/A,SUM(AW$4:AW171))</f>
        <v>#N/A</v>
      </c>
      <c r="AY171" s="315" t="str">
        <f t="shared" si="252"/>
        <v/>
      </c>
      <c r="AZ171" s="315" t="e">
        <f>IF($J171="",#N/A,SUM(AY$4:AY171))</f>
        <v>#N/A</v>
      </c>
      <c r="BA171" s="315" t="e">
        <f>IF($J171="",#N/A,SUM(AY$4:AY171,AW$4:AW171,AU$4:AU171))</f>
        <v>#N/A</v>
      </c>
      <c r="BB171" s="304" t="str">
        <f t="shared" si="253"/>
        <v/>
      </c>
      <c r="BC171" s="313" t="e">
        <f>IF($J171="",#N/A,SUM(BB$4:BB171))</f>
        <v>#N/A</v>
      </c>
      <c r="BD171" s="314" t="str">
        <f t="shared" si="254"/>
        <v/>
      </c>
      <c r="BE171" s="314" t="e">
        <f>IF($J171="",#N/A,SUM(BD$4:BD171))</f>
        <v>#N/A</v>
      </c>
      <c r="BF171" s="315" t="str">
        <f t="shared" si="255"/>
        <v/>
      </c>
      <c r="BG171" s="315" t="e">
        <f>IF($J171="",#N/A,SUM(BF$4:BF171))</f>
        <v>#N/A</v>
      </c>
      <c r="BH171" s="315" t="e">
        <f>IF($J171="",#N/A,SUM(BF$4:BF171,BD$4:BD171,BB$4:BB171))</f>
        <v>#N/A</v>
      </c>
      <c r="BI171" s="304" t="str">
        <f t="shared" si="256"/>
        <v/>
      </c>
      <c r="BJ171" s="313" t="e">
        <f>IF($J171="",#N/A,SUM(BI$4:BI171))</f>
        <v>#N/A</v>
      </c>
      <c r="BK171" s="314" t="str">
        <f t="shared" si="257"/>
        <v/>
      </c>
      <c r="BL171" s="314" t="e">
        <f>IF($J171="",#N/A,SUM(BK$4:BK171))</f>
        <v>#N/A</v>
      </c>
      <c r="BM171" s="315" t="str">
        <f t="shared" si="258"/>
        <v/>
      </c>
      <c r="BN171" s="315" t="e">
        <f>IF($J171="",#N/A,SUM(BM$4:BM171))</f>
        <v>#N/A</v>
      </c>
      <c r="BO171" s="315" t="e">
        <f>IF($J171="",#N/A,SUM(BM$4:BM171,BK$4:BK171,BI$4:BI171))</f>
        <v>#N/A</v>
      </c>
      <c r="BP171" s="304" t="str">
        <f t="shared" si="259"/>
        <v/>
      </c>
      <c r="BQ171" s="313" t="e">
        <f>IF($J171="",#N/A,SUM(BP$4:BP171))</f>
        <v>#N/A</v>
      </c>
      <c r="BR171" s="314" t="str">
        <f t="shared" si="260"/>
        <v/>
      </c>
      <c r="BS171" s="314" t="e">
        <f>IF($J171="",#N/A,SUM(BR$4:BR171))</f>
        <v>#N/A</v>
      </c>
      <c r="BT171" s="315" t="str">
        <f t="shared" si="261"/>
        <v/>
      </c>
      <c r="BU171" s="315" t="e">
        <f>IF($J171="",#N/A,SUM(BT$4:BT171))</f>
        <v>#N/A</v>
      </c>
      <c r="BV171" s="315" t="e">
        <f>IF($J171="",#N/A,SUM(BT$4:BT171,BR$4:BR171,BP$4:BP171))</f>
        <v>#N/A</v>
      </c>
      <c r="BW171" s="304" t="str">
        <f t="shared" si="262"/>
        <v/>
      </c>
      <c r="BX171" s="313" t="e">
        <f>IF($J171="",#N/A,SUM(BW$4:BW171))</f>
        <v>#N/A</v>
      </c>
      <c r="BY171" s="314">
        <f t="shared" si="263"/>
        <v>0.42113418809827352</v>
      </c>
      <c r="BZ171" s="314" t="e">
        <f>IF($J171="",#N/A,SUM(BY$4:BY171))</f>
        <v>#N/A</v>
      </c>
      <c r="CA171" s="315" t="str">
        <f t="shared" si="264"/>
        <v/>
      </c>
      <c r="CB171" s="315" t="e">
        <f>IF($J171="",#N/A,SUM(CA$4:CA171))</f>
        <v>#N/A</v>
      </c>
      <c r="CC171" s="315" t="e">
        <f>IF($J171="",#N/A,SUM(CA$4:CA171,BY$4:BY171,BW$4:BW171))</f>
        <v>#N/A</v>
      </c>
      <c r="CD171" s="304" t="str">
        <f t="shared" si="265"/>
        <v/>
      </c>
      <c r="CE171" s="313" t="e">
        <f>IF($J171="",#N/A,SUM(CD$4:CD171))</f>
        <v>#N/A</v>
      </c>
      <c r="CF171" s="314" t="str">
        <f t="shared" si="266"/>
        <v/>
      </c>
      <c r="CG171" s="314" t="e">
        <f>IF($J171="",#N/A,SUM(CF$4:CF171))</f>
        <v>#N/A</v>
      </c>
      <c r="CH171" s="315" t="str">
        <f t="shared" si="267"/>
        <v/>
      </c>
      <c r="CI171" s="315" t="e">
        <f>IF($J171="",#N/A,SUM(CH$4:CH171))</f>
        <v>#N/A</v>
      </c>
      <c r="CJ171" s="315" t="e">
        <f>IF($J171="",#N/A,SUM(CH$4:CH171,CF$4:CF171,CD$4:CD171))</f>
        <v>#N/A</v>
      </c>
      <c r="CK171" s="304" t="str">
        <f t="shared" si="268"/>
        <v/>
      </c>
      <c r="CL171" s="313" t="e">
        <f>IF($J171="",#N/A,SUM(CK$4:CK171))</f>
        <v>#N/A</v>
      </c>
      <c r="CM171" s="314" t="str">
        <f t="shared" si="269"/>
        <v/>
      </c>
      <c r="CN171" s="314" t="e">
        <f>IF($J171="",#N/A,SUM(CM$4:CM171))</f>
        <v>#N/A</v>
      </c>
      <c r="CO171" s="315" t="str">
        <f t="shared" si="270"/>
        <v/>
      </c>
      <c r="CP171" s="315" t="e">
        <f>IF($J171="",#N/A,SUM(CO$4:CO171))</f>
        <v>#N/A</v>
      </c>
      <c r="CQ171" s="315" t="e">
        <f>IF($J171="",#N/A,SUM(CO$4:CO171,CM$4:CM171,CK$4:CK171))</f>
        <v>#N/A</v>
      </c>
      <c r="CR171" s="304" t="str">
        <f t="shared" si="271"/>
        <v/>
      </c>
      <c r="CS171" s="313" t="e">
        <f>IF($J171="",#N/A,SUM(CR$4:CR171))</f>
        <v>#N/A</v>
      </c>
      <c r="CT171" s="314" t="str">
        <f t="shared" si="272"/>
        <v/>
      </c>
      <c r="CU171" s="314" t="e">
        <f>IF($J171="",#N/A,SUM(CT$4:CT171))</f>
        <v>#N/A</v>
      </c>
      <c r="CV171" s="315" t="str">
        <f t="shared" si="273"/>
        <v/>
      </c>
      <c r="CW171" s="315" t="e">
        <f>IF($J171="",#N/A,SUM(CV$4:CV171))</f>
        <v>#N/A</v>
      </c>
      <c r="CX171" s="315" t="e">
        <f>IF($J171="",#N/A,SUM(CV$4:CV171,CT$4:CT171,CR$4:CR171))</f>
        <v>#N/A</v>
      </c>
      <c r="CY171" s="304" t="str">
        <f t="shared" si="274"/>
        <v/>
      </c>
      <c r="CZ171" s="313" t="e">
        <f>IF($J171="",#N/A,SUM(CY$4:CY171))</f>
        <v>#N/A</v>
      </c>
      <c r="DA171" s="314" t="str">
        <f t="shared" si="275"/>
        <v/>
      </c>
      <c r="DB171" s="314" t="e">
        <f>IF($J171="",#N/A,SUM(DA$4:DA171))</f>
        <v>#N/A</v>
      </c>
      <c r="DC171" s="315" t="str">
        <f t="shared" si="276"/>
        <v/>
      </c>
      <c r="DD171" s="315" t="e">
        <f>IF($J171="",#N/A,SUM(DC$4:DC171))</f>
        <v>#N/A</v>
      </c>
      <c r="DE171" s="315" t="e">
        <f>IF($J171="",#N/A,SUM(DC$4:DC171,DA$4:DA171,CY$4:CY171))</f>
        <v>#N/A</v>
      </c>
      <c r="DF171" s="304" t="str">
        <f t="shared" si="277"/>
        <v/>
      </c>
      <c r="DG171" s="313" t="e">
        <f>IF($J171="",#N/A,SUM(DF$4:DF171))</f>
        <v>#N/A</v>
      </c>
      <c r="DH171" s="314" t="str">
        <f t="shared" si="278"/>
        <v/>
      </c>
      <c r="DI171" s="314" t="e">
        <f>IF($J171="",#N/A,SUM(DH$4:DH171))</f>
        <v>#N/A</v>
      </c>
      <c r="DJ171" s="315" t="str">
        <f t="shared" si="279"/>
        <v/>
      </c>
      <c r="DK171" s="315" t="e">
        <f>IF($J171="",#N/A,SUM(DJ$4:DJ171))</f>
        <v>#N/A</v>
      </c>
      <c r="DL171" s="315" t="e">
        <f>IF($J171="",#N/A,SUM(DJ$4:DJ171,DH$4:DH171,DF$4:DF171))</f>
        <v>#N/A</v>
      </c>
      <c r="DM171" s="304" t="str">
        <f t="shared" si="280"/>
        <v/>
      </c>
      <c r="DN171" s="313" t="e">
        <f>IF($J171="",#N/A,SUM(DM$4:DM171))</f>
        <v>#N/A</v>
      </c>
      <c r="DO171" s="314" t="str">
        <f t="shared" si="281"/>
        <v/>
      </c>
      <c r="DP171" s="314" t="e">
        <f>IF($J171="",#N/A,SUM(DO$4:DO171))</f>
        <v>#N/A</v>
      </c>
      <c r="DQ171" s="315" t="str">
        <f t="shared" si="282"/>
        <v/>
      </c>
      <c r="DR171" s="315" t="e">
        <f>IF($J171="",#N/A,SUM(DQ$4:DQ171))</f>
        <v>#N/A</v>
      </c>
      <c r="DS171" s="315" t="e">
        <f>IF($J171="",#N/A,SUM(DQ$4:DQ171,DO$4:DO171,DM$4:DM171))</f>
        <v>#N/A</v>
      </c>
      <c r="DT171" s="304" t="str">
        <f t="shared" si="283"/>
        <v/>
      </c>
      <c r="DU171" s="313" t="e">
        <f>IF($J171="",#N/A,SUM(DT$4:DT171))</f>
        <v>#N/A</v>
      </c>
      <c r="DV171" s="314" t="str">
        <f t="shared" si="284"/>
        <v/>
      </c>
      <c r="DW171" s="314" t="e">
        <f>IF($J171="",#N/A,SUM(DV$4:DV171))</f>
        <v>#N/A</v>
      </c>
      <c r="DX171" s="315" t="str">
        <f t="shared" si="285"/>
        <v/>
      </c>
      <c r="DY171" s="315" t="e">
        <f>IF($J171="",#N/A,SUM(DX$4:DX171))</f>
        <v>#N/A</v>
      </c>
      <c r="DZ171" s="315" t="e">
        <f>IF($J171="",#N/A,SUM(DX$4:DX171,DV$4:DV171,DT$4:DT171))</f>
        <v>#N/A</v>
      </c>
      <c r="EA171" s="304" t="str">
        <f t="shared" si="286"/>
        <v/>
      </c>
      <c r="EB171" s="313" t="e">
        <f>IF($J171="",#N/A,SUM(EA$4:EA171))</f>
        <v>#N/A</v>
      </c>
      <c r="EC171" s="314" t="str">
        <f t="shared" si="287"/>
        <v/>
      </c>
      <c r="ED171" s="314" t="e">
        <f>IF($J171="",#N/A,SUM(EC$4:EC171))</f>
        <v>#N/A</v>
      </c>
      <c r="EE171" s="315" t="str">
        <f t="shared" si="288"/>
        <v/>
      </c>
      <c r="EF171" s="315" t="e">
        <f>IF($J171="",#N/A,SUM(EE$4:EE171))</f>
        <v>#N/A</v>
      </c>
      <c r="EG171" s="315" t="e">
        <f>IF($J171="",#N/A,SUM(EE$4:EE171,EC$4:EC171,EA$4:EA171))</f>
        <v>#N/A</v>
      </c>
      <c r="EH171" s="130">
        <f t="shared" si="289"/>
        <v>16.850000000000023</v>
      </c>
      <c r="EI171" s="63">
        <f>IF(EH171="",#N/A,SUM($EH$4:EH171))</f>
        <v>617.189540029809</v>
      </c>
      <c r="EJ171" s="223" t="e">
        <f t="shared" si="290"/>
        <v>#N/A</v>
      </c>
      <c r="EK171" s="63" t="e">
        <f>IF($GZ171="",#N/A,SUM(EJ$4:EJ171))</f>
        <v>#N/A</v>
      </c>
      <c r="EL171" s="60">
        <f t="shared" si="322"/>
        <v>0.42113418809827352</v>
      </c>
      <c r="EM171" s="60">
        <f>IF(EL171="",NA(),SUM($EL$4:EL171))</f>
        <v>20.389293711183669</v>
      </c>
      <c r="EN171" s="60" t="str">
        <f t="shared" si="291"/>
        <v/>
      </c>
      <c r="EO171" s="60" t="e">
        <f>IF(EN171="",NA(),SUM($EN$4:EN171))</f>
        <v>#N/A</v>
      </c>
      <c r="EP171" s="60" t="str">
        <f t="shared" si="292"/>
        <v/>
      </c>
      <c r="EQ171" s="60" t="e">
        <f>IF(EP171="",NA(),SUM($EP$4:EP171))</f>
        <v>#N/A</v>
      </c>
      <c r="ER171" s="60">
        <f t="shared" si="293"/>
        <v>0.42113418809827352</v>
      </c>
      <c r="ES171" s="60">
        <f>IF(ER171="",NA(),SUM($ER$4:ER171))</f>
        <v>5.078324634058978</v>
      </c>
      <c r="ET171" s="60" t="str">
        <f t="shared" si="294"/>
        <v/>
      </c>
      <c r="EU171" s="60" t="e">
        <f>IF(ET171="",NA(),SUM($ET$4:ET171))</f>
        <v>#N/A</v>
      </c>
      <c r="EV171" s="60" t="str">
        <f t="shared" si="295"/>
        <v/>
      </c>
      <c r="EW171" s="60" t="e">
        <f>IF(EV171="",NA(),SUM($EV$4:EV171))</f>
        <v>#N/A</v>
      </c>
      <c r="EX171" s="60" t="str">
        <f t="shared" si="296"/>
        <v/>
      </c>
      <c r="EY171" s="60" t="e">
        <f>IF(EX171="",NA(),SUM($EX$4:EX171))</f>
        <v>#N/A</v>
      </c>
      <c r="EZ171" s="60" t="str">
        <f t="shared" si="297"/>
        <v/>
      </c>
      <c r="FA171" s="60" t="e">
        <f>IF(EZ171="",NA(),SUM($EZ$4:EZ171))</f>
        <v>#N/A</v>
      </c>
      <c r="FB171" s="246">
        <f t="shared" si="323"/>
        <v>-1.1759266201794496</v>
      </c>
      <c r="FC171" s="246">
        <f>IF($FB171="",#N/A,SUM(FB$4:$FB171))</f>
        <v>1.0826734583679811</v>
      </c>
      <c r="FD171" s="60" t="str">
        <f t="shared" si="298"/>
        <v/>
      </c>
      <c r="FE171" s="60" t="e">
        <f>IF($FD171="",#N/A,SUM($FD$4:FD171))</f>
        <v>#N/A</v>
      </c>
      <c r="FF171" s="60" t="str">
        <f t="shared" si="299"/>
        <v/>
      </c>
      <c r="FG171" s="60" t="e">
        <f>IF($FF171="",#N/A,SUM($FF$4:FF171))</f>
        <v>#N/A</v>
      </c>
      <c r="FH171" s="60" t="str">
        <f t="shared" si="300"/>
        <v/>
      </c>
      <c r="FI171" s="60" t="e">
        <f>IF($FH171="",#N/A,SUM($FH$4:FH171))</f>
        <v>#N/A</v>
      </c>
      <c r="FJ171" s="60" t="str">
        <f t="shared" si="301"/>
        <v/>
      </c>
      <c r="FK171" s="60" t="e">
        <f>IF($FJ171="",#N/A,SUM($FJ$4:FJ171))</f>
        <v>#N/A</v>
      </c>
      <c r="FL171" s="60" t="str">
        <f t="shared" si="302"/>
        <v/>
      </c>
      <c r="FM171" s="60" t="e">
        <f>IF($FL171="",#N/A,SUM($FL$4:FL171))</f>
        <v>#N/A</v>
      </c>
      <c r="FN171" s="82">
        <f t="shared" si="303"/>
        <v>-0.75479243208117597</v>
      </c>
      <c r="FO171" s="82">
        <f>IF($FN171="",#N/A,SUM(FN$4:$FN171))</f>
        <v>28.247283699049675</v>
      </c>
      <c r="FP171" s="82">
        <f t="shared" si="324"/>
        <v>0.42113418809827352</v>
      </c>
      <c r="FQ171" s="246">
        <f>IF($EH171="",#N/A,SUM($FP$4:FP171))</f>
        <v>24.050081774664939</v>
      </c>
      <c r="FR171" s="82">
        <f>IFERROR(FQ171/COUNTA($J$4:J171),#N/A)</f>
        <v>0.14315524865871987</v>
      </c>
      <c r="FS171" s="82">
        <f t="shared" si="332"/>
        <v>3.3406869811245993E-2</v>
      </c>
      <c r="FT171" s="82">
        <f t="shared" si="333"/>
        <v>0.11242929328425355</v>
      </c>
      <c r="FU171" s="337">
        <f t="shared" si="331"/>
        <v>14.438649010439784</v>
      </c>
      <c r="FV171" s="57" t="str">
        <f t="shared" si="305"/>
        <v>Dwn</v>
      </c>
      <c r="FW171" s="57" t="s">
        <v>2733</v>
      </c>
      <c r="FX171" s="57" t="str">
        <f t="shared" si="306"/>
        <v/>
      </c>
      <c r="FY171" s="57" t="str">
        <f t="shared" si="307"/>
        <v/>
      </c>
      <c r="FZ171" s="57" t="str">
        <f t="shared" si="308"/>
        <v/>
      </c>
      <c r="GA171" s="57" t="str">
        <f t="shared" si="309"/>
        <v>Short</v>
      </c>
      <c r="GB171" s="57">
        <f t="shared" si="310"/>
        <v>1</v>
      </c>
      <c r="GC171" s="57" t="str">
        <f t="shared" si="311"/>
        <v/>
      </c>
      <c r="GD171" s="57" t="str">
        <f t="shared" si="312"/>
        <v/>
      </c>
      <c r="GE171" s="62">
        <f t="shared" si="227"/>
        <v>666.85</v>
      </c>
      <c r="GF171" s="62" t="s">
        <v>2780</v>
      </c>
      <c r="GG171" s="199">
        <v>1</v>
      </c>
      <c r="GH171" s="207">
        <f t="shared" si="313"/>
        <v>666.85</v>
      </c>
      <c r="GI171" s="199">
        <v>1</v>
      </c>
      <c r="GJ171" s="200">
        <v>650</v>
      </c>
      <c r="GK171" s="63">
        <f t="shared" si="314"/>
        <v>16.850000000000023</v>
      </c>
      <c r="GL171" s="63">
        <f t="shared" si="228"/>
        <v>-30.199999999999932</v>
      </c>
      <c r="GM171" s="82" t="str">
        <f t="shared" si="315"/>
        <v/>
      </c>
      <c r="GN171" s="82">
        <f>IF($GZ171="",#N/A,SUM(GM$4:GM171))</f>
        <v>8.0933459605915647</v>
      </c>
      <c r="GO171" s="82" t="str">
        <f t="shared" si="316"/>
        <v/>
      </c>
      <c r="GP171" s="82">
        <f>IF($GZ171="",#N/A,SUM(GO$4:GO171))</f>
        <v>10.740237455627755</v>
      </c>
      <c r="GQ171" s="82">
        <f t="shared" si="317"/>
        <v>-0.75479243208117597</v>
      </c>
      <c r="GR171" s="82">
        <f>IF($GZ171="",#N/A,SUM(GQ$4:GQ171))</f>
        <v>8.7878633283880081</v>
      </c>
      <c r="GS171" s="63" t="str">
        <f t="shared" si="325"/>
        <v/>
      </c>
      <c r="GT171" s="63" t="e">
        <f>IF($GZ171="",#N/A,SUM(GS$4:GS171))</f>
        <v>#N/A</v>
      </c>
      <c r="GU171" s="63" t="str">
        <f t="shared" si="326"/>
        <v/>
      </c>
      <c r="GV171" s="63" t="e">
        <f>IF($GZ171="",#N/A,SUM(GU$4:GU171))</f>
        <v>#N/A</v>
      </c>
      <c r="GW171" s="63" t="e">
        <f t="shared" si="327"/>
        <v>#N/A</v>
      </c>
      <c r="GX171" s="63" t="e">
        <f>IF($GZ171="",#N/A,SUM(GW$4:GW171))</f>
        <v>#N/A</v>
      </c>
      <c r="GY171" s="63" t="e">
        <f>IF(EJ171="",#N/A,SUM($EJ$4:EJ171))</f>
        <v>#N/A</v>
      </c>
      <c r="GZ171" s="159">
        <v>697.05</v>
      </c>
      <c r="HA171" s="63">
        <f t="shared" si="318"/>
        <v>-47.049999999999955</v>
      </c>
      <c r="HB171" s="62" t="s">
        <v>2538</v>
      </c>
      <c r="HC171" s="60">
        <f>IFERROR(VLOOKUP(E171,Expectancy!$P$4:$S$19,1+C171,FALSE),"")</f>
        <v>0.18997806194873415</v>
      </c>
      <c r="HD171" s="82">
        <f t="shared" si="319"/>
        <v>0.42113418809827352</v>
      </c>
      <c r="HE171" s="60">
        <f>IF(HD171="",#N/A,SUM($HD$4:HD171))</f>
        <v>-4.9185672357748436</v>
      </c>
      <c r="HF171" s="85">
        <f>IF(HD171="",#N/A,IF(HB171="Skip",#N/A,SUM($HG$4:HG171)))</f>
        <v>-95.829999999999984</v>
      </c>
      <c r="HG171" s="63">
        <f t="shared" si="320"/>
        <v>16.850000000000023</v>
      </c>
      <c r="HH171" s="82">
        <f t="shared" si="321"/>
        <v>-0.75479243208117597</v>
      </c>
    </row>
    <row r="172" spans="1:216" x14ac:dyDescent="0.25">
      <c r="A172" s="57" t="s">
        <v>162</v>
      </c>
      <c r="B172" s="58" t="s">
        <v>5186</v>
      </c>
      <c r="C172" s="386">
        <f t="shared" si="230"/>
        <v>2</v>
      </c>
      <c r="D172" s="372" t="str">
        <f>_xlfn.XLOOKUP(A172,[1]SP500!$A$2:$A$502,[1]SP500!$D$2:$D$502,"N")</f>
        <v>Y</v>
      </c>
      <c r="E172" s="57" t="str">
        <f>_xlfn.XLOOKUP(A172,[1]SP500!$A$2:$A$655,[1]SP500!$B$2:$B$655)</f>
        <v>XLE</v>
      </c>
      <c r="F172" s="59">
        <v>45692</v>
      </c>
      <c r="G172" s="57" t="str">
        <f t="shared" si="231"/>
        <v>BMO</v>
      </c>
      <c r="H172" s="57" t="str">
        <f t="shared" si="232"/>
        <v>s</v>
      </c>
      <c r="I172" s="158">
        <v>147</v>
      </c>
      <c r="J172" s="159">
        <v>147.02000000000001</v>
      </c>
      <c r="K172" s="61">
        <f t="shared" si="233"/>
        <v>1.3605442176877708E-4</v>
      </c>
      <c r="L172" s="87">
        <f t="shared" si="234"/>
        <v>-6.0000000000059117E-2</v>
      </c>
      <c r="M172" s="130">
        <f t="shared" si="226"/>
        <v>0</v>
      </c>
      <c r="N172" s="169" t="str">
        <f t="shared" si="235"/>
        <v/>
      </c>
      <c r="O172" s="169">
        <f>IF($J172="",#N/A,SUM($N$4:N172))</f>
        <v>299.03976368961378</v>
      </c>
      <c r="P172" s="174">
        <f t="shared" si="236"/>
        <v>-6.0000000000059117E-2</v>
      </c>
      <c r="Q172" s="174">
        <f>IF($J172="",#N/A,SUM($P$4:P172))</f>
        <v>148.63104023772638</v>
      </c>
      <c r="R172" s="178" t="str">
        <f t="shared" si="237"/>
        <v/>
      </c>
      <c r="S172" s="178">
        <f>IF($J172="",#N/A,SUM($R$4:R172))</f>
        <v>169.45873610246861</v>
      </c>
      <c r="T172" s="290" t="str">
        <f t="shared" si="238"/>
        <v/>
      </c>
      <c r="U172" s="290">
        <f>IF($J172="",#N/A,SUM($T$4:T172))</f>
        <v>11.503161745986388</v>
      </c>
      <c r="V172" s="291">
        <f t="shared" si="239"/>
        <v>-2.2675736961473591E-3</v>
      </c>
      <c r="W172" s="291">
        <f>IF($J172="",#N/A,SUM($V$4:V172))</f>
        <v>5.7784525130627893</v>
      </c>
      <c r="X172" s="292" t="str">
        <f t="shared" si="240"/>
        <v/>
      </c>
      <c r="Y172" s="283">
        <f>IF($J172="",#N/A,SUM($X$4:X172))</f>
        <v>6.7661999419196031</v>
      </c>
      <c r="Z172" s="304" t="str">
        <f t="shared" si="241"/>
        <v/>
      </c>
      <c r="AA172" s="313" t="e">
        <f>IF($J172="",#N/A,SUM(Z$4:Z172))</f>
        <v>#N/A</v>
      </c>
      <c r="AB172" s="314" t="str">
        <f t="shared" si="242"/>
        <v/>
      </c>
      <c r="AC172" s="314" t="e">
        <f>IF($J172="",#N/A,SUM(AB$4:AB172))</f>
        <v>#N/A</v>
      </c>
      <c r="AD172" s="315" t="str">
        <f t="shared" si="243"/>
        <v/>
      </c>
      <c r="AE172" s="315" t="e">
        <f>IF($J172="",#N/A,SUM(AD$4:AD172))</f>
        <v>#N/A</v>
      </c>
      <c r="AF172" s="315" t="e">
        <f>IF($J172="",#N/A,SUM(AD$4:AD172,AB$4:AB172,Z$4:Z172))</f>
        <v>#N/A</v>
      </c>
      <c r="AG172" s="304" t="str">
        <f t="shared" si="244"/>
        <v/>
      </c>
      <c r="AH172" s="313" t="e">
        <f>IF($J172="",#N/A,SUM(AG$4:AG172))</f>
        <v>#N/A</v>
      </c>
      <c r="AI172" s="314" t="str">
        <f t="shared" si="245"/>
        <v/>
      </c>
      <c r="AJ172" s="314" t="e">
        <f>IF($J172="",#N/A,SUM(AI$4:AI172))</f>
        <v>#N/A</v>
      </c>
      <c r="AK172" s="315" t="str">
        <f t="shared" si="246"/>
        <v/>
      </c>
      <c r="AL172" s="315" t="e">
        <f>IF($J172="",#N/A,SUM(AK$4:AK172))</f>
        <v>#N/A</v>
      </c>
      <c r="AM172" s="315" t="e">
        <f>IF($J172="",#N/A,SUM(AK$4:AK172,AI$4:AI172,AG$4:AG172))</f>
        <v>#N/A</v>
      </c>
      <c r="AN172" s="304" t="str">
        <f t="shared" si="247"/>
        <v/>
      </c>
      <c r="AO172" s="313" t="e">
        <f>IF($J172="",#N/A,SUM(AN$4:AN172))</f>
        <v>#N/A</v>
      </c>
      <c r="AP172" s="314" t="str">
        <f t="shared" si="248"/>
        <v/>
      </c>
      <c r="AQ172" s="314" t="e">
        <f>IF($J172="",#N/A,SUM(AP$4:AP172))</f>
        <v>#N/A</v>
      </c>
      <c r="AR172" s="315" t="str">
        <f t="shared" si="249"/>
        <v/>
      </c>
      <c r="AS172" s="315" t="e">
        <f>IF($J172="",#N/A,SUM(AR$4:AR172))</f>
        <v>#N/A</v>
      </c>
      <c r="AT172" s="315" t="e">
        <f>IF($J172="",#N/A,SUM(AR$4:AR172,AP$4:AP172,AN$4:AN172))</f>
        <v>#N/A</v>
      </c>
      <c r="AU172" s="304" t="str">
        <f t="shared" si="250"/>
        <v/>
      </c>
      <c r="AV172" s="313" t="e">
        <f>IF($J172="",#N/A,SUM(AU$4:AU172))</f>
        <v>#N/A</v>
      </c>
      <c r="AW172" s="314" t="str">
        <f t="shared" si="251"/>
        <v/>
      </c>
      <c r="AX172" s="314" t="e">
        <f>IF($J172="",#N/A,SUM(AW$4:AW172))</f>
        <v>#N/A</v>
      </c>
      <c r="AY172" s="315" t="str">
        <f t="shared" si="252"/>
        <v/>
      </c>
      <c r="AZ172" s="315" t="e">
        <f>IF($J172="",#N/A,SUM(AY$4:AY172))</f>
        <v>#N/A</v>
      </c>
      <c r="BA172" s="315" t="e">
        <f>IF($J172="",#N/A,SUM(AY$4:AY172,AW$4:AW172,AU$4:AU172))</f>
        <v>#N/A</v>
      </c>
      <c r="BB172" s="304" t="str">
        <f t="shared" si="253"/>
        <v/>
      </c>
      <c r="BC172" s="313" t="e">
        <f>IF($J172="",#N/A,SUM(BB$4:BB172))</f>
        <v>#N/A</v>
      </c>
      <c r="BD172" s="314" t="str">
        <f t="shared" si="254"/>
        <v/>
      </c>
      <c r="BE172" s="314" t="e">
        <f>IF($J172="",#N/A,SUM(BD$4:BD172))</f>
        <v>#N/A</v>
      </c>
      <c r="BF172" s="315" t="str">
        <f t="shared" si="255"/>
        <v/>
      </c>
      <c r="BG172" s="315" t="e">
        <f>IF($J172="",#N/A,SUM(BF$4:BF172))</f>
        <v>#N/A</v>
      </c>
      <c r="BH172" s="315" t="e">
        <f>IF($J172="",#N/A,SUM(BF$4:BF172,BD$4:BD172,BB$4:BB172))</f>
        <v>#N/A</v>
      </c>
      <c r="BI172" s="304" t="str">
        <f t="shared" si="256"/>
        <v/>
      </c>
      <c r="BJ172" s="313" t="e">
        <f>IF($J172="",#N/A,SUM(BI$4:BI172))</f>
        <v>#N/A</v>
      </c>
      <c r="BK172" s="314" t="str">
        <f t="shared" si="257"/>
        <v/>
      </c>
      <c r="BL172" s="314" t="e">
        <f>IF($J172="",#N/A,SUM(BK$4:BK172))</f>
        <v>#N/A</v>
      </c>
      <c r="BM172" s="315" t="str">
        <f t="shared" si="258"/>
        <v/>
      </c>
      <c r="BN172" s="315" t="e">
        <f>IF($J172="",#N/A,SUM(BM$4:BM172))</f>
        <v>#N/A</v>
      </c>
      <c r="BO172" s="315" t="e">
        <f>IF($J172="",#N/A,SUM(BM$4:BM172,BK$4:BK172,BI$4:BI172))</f>
        <v>#N/A</v>
      </c>
      <c r="BP172" s="304" t="str">
        <f t="shared" si="259"/>
        <v/>
      </c>
      <c r="BQ172" s="313" t="e">
        <f>IF($J172="",#N/A,SUM(BP$4:BP172))</f>
        <v>#N/A</v>
      </c>
      <c r="BR172" s="314" t="str">
        <f t="shared" si="260"/>
        <v/>
      </c>
      <c r="BS172" s="314" t="e">
        <f>IF($J172="",#N/A,SUM(BR$4:BR172))</f>
        <v>#N/A</v>
      </c>
      <c r="BT172" s="315" t="str">
        <f t="shared" si="261"/>
        <v/>
      </c>
      <c r="BU172" s="315" t="e">
        <f>IF($J172="",#N/A,SUM(BT$4:BT172))</f>
        <v>#N/A</v>
      </c>
      <c r="BV172" s="315" t="e">
        <f>IF($J172="",#N/A,SUM(BT$4:BT172,BR$4:BR172,BP$4:BP172))</f>
        <v>#N/A</v>
      </c>
      <c r="BW172" s="304" t="str">
        <f t="shared" si="262"/>
        <v/>
      </c>
      <c r="BX172" s="313" t="e">
        <f>IF($J172="",#N/A,SUM(BW$4:BW172))</f>
        <v>#N/A</v>
      </c>
      <c r="BY172" s="314" t="str">
        <f t="shared" si="263"/>
        <v/>
      </c>
      <c r="BZ172" s="314" t="e">
        <f>IF($J172="",#N/A,SUM(BY$4:BY172))</f>
        <v>#N/A</v>
      </c>
      <c r="CA172" s="315" t="str">
        <f t="shared" si="264"/>
        <v/>
      </c>
      <c r="CB172" s="315" t="e">
        <f>IF($J172="",#N/A,SUM(CA$4:CA172))</f>
        <v>#N/A</v>
      </c>
      <c r="CC172" s="315" t="e">
        <f>IF($J172="",#N/A,SUM(CA$4:CA172,BY$4:BY172,BW$4:BW172))</f>
        <v>#N/A</v>
      </c>
      <c r="CD172" s="304" t="str">
        <f t="shared" si="265"/>
        <v/>
      </c>
      <c r="CE172" s="313" t="e">
        <f>IF($J172="",#N/A,SUM(CD$4:CD172))</f>
        <v>#N/A</v>
      </c>
      <c r="CF172" s="314" t="str">
        <f t="shared" si="266"/>
        <v/>
      </c>
      <c r="CG172" s="314" t="e">
        <f>IF($J172="",#N/A,SUM(CF$4:CF172))</f>
        <v>#N/A</v>
      </c>
      <c r="CH172" s="315" t="str">
        <f t="shared" si="267"/>
        <v/>
      </c>
      <c r="CI172" s="315" t="e">
        <f>IF($J172="",#N/A,SUM(CH$4:CH172))</f>
        <v>#N/A</v>
      </c>
      <c r="CJ172" s="315" t="e">
        <f>IF($J172="",#N/A,SUM(CH$4:CH172,CF$4:CF172,CD$4:CD172))</f>
        <v>#N/A</v>
      </c>
      <c r="CK172" s="304" t="str">
        <f t="shared" si="268"/>
        <v/>
      </c>
      <c r="CL172" s="313" t="e">
        <f>IF($J172="",#N/A,SUM(CK$4:CK172))</f>
        <v>#N/A</v>
      </c>
      <c r="CM172" s="314" t="str">
        <f t="shared" si="269"/>
        <v/>
      </c>
      <c r="CN172" s="314" t="e">
        <f>IF($J172="",#N/A,SUM(CM$4:CM172))</f>
        <v>#N/A</v>
      </c>
      <c r="CO172" s="315" t="str">
        <f t="shared" si="270"/>
        <v/>
      </c>
      <c r="CP172" s="315" t="e">
        <f>IF($J172="",#N/A,SUM(CO$4:CO172))</f>
        <v>#N/A</v>
      </c>
      <c r="CQ172" s="315" t="e">
        <f>IF($J172="",#N/A,SUM(CO$4:CO172,CM$4:CM172,CK$4:CK172))</f>
        <v>#N/A</v>
      </c>
      <c r="CR172" s="304" t="str">
        <f t="shared" si="271"/>
        <v/>
      </c>
      <c r="CS172" s="313" t="e">
        <f>IF($J172="",#N/A,SUM(CR$4:CR172))</f>
        <v>#N/A</v>
      </c>
      <c r="CT172" s="314">
        <f t="shared" si="272"/>
        <v>-2.2675736961473591E-3</v>
      </c>
      <c r="CU172" s="314" t="e">
        <f>IF($J172="",#N/A,SUM(CT$4:CT172))</f>
        <v>#N/A</v>
      </c>
      <c r="CV172" s="315" t="str">
        <f t="shared" si="273"/>
        <v/>
      </c>
      <c r="CW172" s="315" t="e">
        <f>IF($J172="",#N/A,SUM(CV$4:CV172))</f>
        <v>#N/A</v>
      </c>
      <c r="CX172" s="315" t="e">
        <f>IF($J172="",#N/A,SUM(CV$4:CV172,CT$4:CT172,CR$4:CR172))</f>
        <v>#N/A</v>
      </c>
      <c r="CY172" s="304" t="str">
        <f t="shared" si="274"/>
        <v/>
      </c>
      <c r="CZ172" s="313" t="e">
        <f>IF($J172="",#N/A,SUM(CY$4:CY172))</f>
        <v>#N/A</v>
      </c>
      <c r="DA172" s="314" t="str">
        <f t="shared" si="275"/>
        <v/>
      </c>
      <c r="DB172" s="314" t="e">
        <f>IF($J172="",#N/A,SUM(DA$4:DA172))</f>
        <v>#N/A</v>
      </c>
      <c r="DC172" s="315" t="str">
        <f t="shared" si="276"/>
        <v/>
      </c>
      <c r="DD172" s="315" t="e">
        <f>IF($J172="",#N/A,SUM(DC$4:DC172))</f>
        <v>#N/A</v>
      </c>
      <c r="DE172" s="315" t="e">
        <f>IF($J172="",#N/A,SUM(DC$4:DC172,DA$4:DA172,CY$4:CY172))</f>
        <v>#N/A</v>
      </c>
      <c r="DF172" s="304" t="str">
        <f t="shared" si="277"/>
        <v/>
      </c>
      <c r="DG172" s="313" t="e">
        <f>IF($J172="",#N/A,SUM(DF$4:DF172))</f>
        <v>#N/A</v>
      </c>
      <c r="DH172" s="314" t="str">
        <f t="shared" si="278"/>
        <v/>
      </c>
      <c r="DI172" s="314" t="e">
        <f>IF($J172="",#N/A,SUM(DH$4:DH172))</f>
        <v>#N/A</v>
      </c>
      <c r="DJ172" s="315" t="str">
        <f t="shared" si="279"/>
        <v/>
      </c>
      <c r="DK172" s="315" t="e">
        <f>IF($J172="",#N/A,SUM(DJ$4:DJ172))</f>
        <v>#N/A</v>
      </c>
      <c r="DL172" s="315" t="e">
        <f>IF($J172="",#N/A,SUM(DJ$4:DJ172,DH$4:DH172,DF$4:DF172))</f>
        <v>#N/A</v>
      </c>
      <c r="DM172" s="304" t="str">
        <f t="shared" si="280"/>
        <v/>
      </c>
      <c r="DN172" s="313" t="e">
        <f>IF($J172="",#N/A,SUM(DM$4:DM172))</f>
        <v>#N/A</v>
      </c>
      <c r="DO172" s="314" t="str">
        <f t="shared" si="281"/>
        <v/>
      </c>
      <c r="DP172" s="314" t="e">
        <f>IF($J172="",#N/A,SUM(DO$4:DO172))</f>
        <v>#N/A</v>
      </c>
      <c r="DQ172" s="315" t="str">
        <f t="shared" si="282"/>
        <v/>
      </c>
      <c r="DR172" s="315" t="e">
        <f>IF($J172="",#N/A,SUM(DQ$4:DQ172))</f>
        <v>#N/A</v>
      </c>
      <c r="DS172" s="315" t="e">
        <f>IF($J172="",#N/A,SUM(DQ$4:DQ172,DO$4:DO172,DM$4:DM172))</f>
        <v>#N/A</v>
      </c>
      <c r="DT172" s="304" t="str">
        <f t="shared" si="283"/>
        <v/>
      </c>
      <c r="DU172" s="313" t="e">
        <f>IF($J172="",#N/A,SUM(DT$4:DT172))</f>
        <v>#N/A</v>
      </c>
      <c r="DV172" s="314" t="str">
        <f t="shared" si="284"/>
        <v/>
      </c>
      <c r="DW172" s="314" t="e">
        <f>IF($J172="",#N/A,SUM(DV$4:DV172))</f>
        <v>#N/A</v>
      </c>
      <c r="DX172" s="315" t="str">
        <f t="shared" si="285"/>
        <v/>
      </c>
      <c r="DY172" s="315" t="e">
        <f>IF($J172="",#N/A,SUM(DX$4:DX172))</f>
        <v>#N/A</v>
      </c>
      <c r="DZ172" s="315" t="e">
        <f>IF($J172="",#N/A,SUM(DX$4:DX172,DV$4:DV172,DT$4:DT172))</f>
        <v>#N/A</v>
      </c>
      <c r="EA172" s="304" t="str">
        <f t="shared" si="286"/>
        <v/>
      </c>
      <c r="EB172" s="313" t="e">
        <f>IF($J172="",#N/A,SUM(EA$4:EA172))</f>
        <v>#N/A</v>
      </c>
      <c r="EC172" s="314" t="str">
        <f t="shared" si="287"/>
        <v/>
      </c>
      <c r="ED172" s="314" t="e">
        <f>IF($J172="",#N/A,SUM(EC$4:EC172))</f>
        <v>#N/A</v>
      </c>
      <c r="EE172" s="315" t="str">
        <f t="shared" si="288"/>
        <v/>
      </c>
      <c r="EF172" s="315" t="e">
        <f>IF($J172="",#N/A,SUM(EE$4:EE172))</f>
        <v>#N/A</v>
      </c>
      <c r="EG172" s="315" t="e">
        <f>IF($J172="",#N/A,SUM(EE$4:EE172,EC$4:EC172,EA$4:EA172))</f>
        <v>#N/A</v>
      </c>
      <c r="EH172" s="130">
        <f t="shared" si="289"/>
        <v>-6.0000000000059117E-2</v>
      </c>
      <c r="EI172" s="63">
        <f>IF(EH172="",#N/A,SUM($EH$4:EH172))</f>
        <v>617.12954002980894</v>
      </c>
      <c r="EJ172" s="223" t="e">
        <f t="shared" si="290"/>
        <v>#N/A</v>
      </c>
      <c r="EK172" s="63" t="e">
        <f>IF($GZ172="",#N/A,SUM(EJ$4:EJ172))</f>
        <v>#N/A</v>
      </c>
      <c r="EL172" s="60">
        <f t="shared" si="322"/>
        <v>-2.2675736961473591E-3</v>
      </c>
      <c r="EM172" s="60">
        <f>IF(EL172="",NA(),SUM($EL$4:EL172))</f>
        <v>20.387026137487521</v>
      </c>
      <c r="EN172" s="60" t="str">
        <f t="shared" si="291"/>
        <v/>
      </c>
      <c r="EO172" s="60" t="e">
        <f>IF(EN172="",NA(),SUM($EN$4:EN172))</f>
        <v>#N/A</v>
      </c>
      <c r="EP172" s="60" t="str">
        <f t="shared" si="292"/>
        <v/>
      </c>
      <c r="EQ172" s="60" t="e">
        <f>IF(EP172="",NA(),SUM($EP$4:EP172))</f>
        <v>#N/A</v>
      </c>
      <c r="ER172" s="60">
        <f t="shared" si="293"/>
        <v>-2.2675736961473591E-3</v>
      </c>
      <c r="ES172" s="60">
        <f>IF(ER172="",NA(),SUM($ER$4:ER172))</f>
        <v>5.0760570603628308</v>
      </c>
      <c r="ET172" s="60" t="str">
        <f t="shared" si="294"/>
        <v/>
      </c>
      <c r="EU172" s="60" t="e">
        <f>IF(ET172="",NA(),SUM($ET$4:ET172))</f>
        <v>#N/A</v>
      </c>
      <c r="EV172" s="60" t="str">
        <f t="shared" si="295"/>
        <v/>
      </c>
      <c r="EW172" s="60" t="e">
        <f>IF(EV172="",NA(),SUM($EV$4:EV172))</f>
        <v>#N/A</v>
      </c>
      <c r="EX172" s="60" t="str">
        <f t="shared" si="296"/>
        <v/>
      </c>
      <c r="EY172" s="60" t="e">
        <f>IF(EX172="",NA(),SUM($EX$4:EX172))</f>
        <v>#N/A</v>
      </c>
      <c r="EZ172" s="60" t="str">
        <f t="shared" si="297"/>
        <v/>
      </c>
      <c r="FA172" s="60" t="e">
        <f>IF(EZ172="",NA(),SUM($EZ$4:EZ172))</f>
        <v>#N/A</v>
      </c>
      <c r="FB172" s="246" t="str">
        <f t="shared" si="323"/>
        <v/>
      </c>
      <c r="FC172" s="246" t="e">
        <f>IF($FB172="",#N/A,SUM(FB$4:$FB172))</f>
        <v>#N/A</v>
      </c>
      <c r="FD172" s="60">
        <f t="shared" si="298"/>
        <v>-1.1213151927437628</v>
      </c>
      <c r="FE172" s="60">
        <f>IF($FD172="",#N/A,SUM($FD$4:FD172))</f>
        <v>0.80315459051732452</v>
      </c>
      <c r="FF172" s="60" t="str">
        <f t="shared" si="299"/>
        <v/>
      </c>
      <c r="FG172" s="60" t="e">
        <f>IF($FF172="",#N/A,SUM($FF$4:FF172))</f>
        <v>#N/A</v>
      </c>
      <c r="FH172" s="60" t="str">
        <f t="shared" si="300"/>
        <v/>
      </c>
      <c r="FI172" s="60" t="e">
        <f>IF($FH172="",#N/A,SUM($FH$4:FH172))</f>
        <v>#N/A</v>
      </c>
      <c r="FJ172" s="60" t="str">
        <f t="shared" si="301"/>
        <v/>
      </c>
      <c r="FK172" s="60" t="e">
        <f>IF($FJ172="",#N/A,SUM($FJ$4:FJ172))</f>
        <v>#N/A</v>
      </c>
      <c r="FL172" s="60" t="str">
        <f t="shared" si="302"/>
        <v/>
      </c>
      <c r="FM172" s="60" t="e">
        <f>IF($FL172="",#N/A,SUM($FL$4:FL172))</f>
        <v>#N/A</v>
      </c>
      <c r="FN172" s="82">
        <f t="shared" si="303"/>
        <v>-1.1235827664399101</v>
      </c>
      <c r="FO172" s="82">
        <f>IF($FN172="",#N/A,SUM(FN$4:$FN172))</f>
        <v>27.123700932609765</v>
      </c>
      <c r="FP172" s="82">
        <f t="shared" si="324"/>
        <v>-2.2675736961473591E-3</v>
      </c>
      <c r="FQ172" s="246">
        <f>IF($EH172="",#N/A,SUM($FP$4:FP172))</f>
        <v>24.047814200968791</v>
      </c>
      <c r="FR172" s="82">
        <f>IFERROR(FQ172/COUNTA($J$4:J172),#N/A)</f>
        <v>0.14229475858561413</v>
      </c>
      <c r="FS172" s="82">
        <f t="shared" si="332"/>
        <v>3.7392101428681969E-2</v>
      </c>
      <c r="FT172" s="82">
        <f t="shared" si="333"/>
        <v>0.11447258529277179</v>
      </c>
      <c r="FU172" s="337">
        <f t="shared" si="331"/>
        <v>14.438649010439784</v>
      </c>
      <c r="FV172" s="57" t="str">
        <f t="shared" si="305"/>
        <v>Dwn</v>
      </c>
      <c r="FW172" s="57" t="s">
        <v>2734</v>
      </c>
      <c r="FX172" s="57" t="str">
        <f t="shared" si="306"/>
        <v/>
      </c>
      <c r="FY172" s="57">
        <f t="shared" si="307"/>
        <v>1</v>
      </c>
      <c r="FZ172" s="57" t="str">
        <f t="shared" si="308"/>
        <v/>
      </c>
      <c r="GA172" s="57" t="str">
        <f t="shared" si="309"/>
        <v>Short</v>
      </c>
      <c r="GB172" s="57" t="str">
        <f t="shared" si="310"/>
        <v/>
      </c>
      <c r="GC172" s="57" t="str">
        <f t="shared" si="311"/>
        <v/>
      </c>
      <c r="GD172" s="57" t="str">
        <f t="shared" si="312"/>
        <v/>
      </c>
      <c r="GE172" s="62">
        <f t="shared" si="227"/>
        <v>147</v>
      </c>
      <c r="GF172" s="62" t="s">
        <v>2780</v>
      </c>
      <c r="GG172" s="199">
        <v>3</v>
      </c>
      <c r="GH172" s="207">
        <f t="shared" si="313"/>
        <v>441</v>
      </c>
      <c r="GI172" s="199">
        <v>3</v>
      </c>
      <c r="GJ172" s="200">
        <v>147.02000000000001</v>
      </c>
      <c r="GK172" s="63">
        <f t="shared" si="314"/>
        <v>-6.0000000000059117E-2</v>
      </c>
      <c r="GL172" s="63">
        <f t="shared" si="228"/>
        <v>-29.730000000000018</v>
      </c>
      <c r="GM172" s="82" t="str">
        <f t="shared" si="315"/>
        <v/>
      </c>
      <c r="GN172" s="82">
        <f>IF($GZ172="",#N/A,SUM(GM$4:GM172))</f>
        <v>8.0933459605915647</v>
      </c>
      <c r="GO172" s="82" t="str">
        <f t="shared" si="316"/>
        <v/>
      </c>
      <c r="GP172" s="82">
        <f>IF($GZ172="",#N/A,SUM(GO$4:GO172))</f>
        <v>10.740237455627755</v>
      </c>
      <c r="GQ172" s="82">
        <f t="shared" si="317"/>
        <v>-1.1235827664399101</v>
      </c>
      <c r="GR172" s="82">
        <f>IF($GZ172="",#N/A,SUM(GQ$4:GQ172))</f>
        <v>7.6642805619480985</v>
      </c>
      <c r="GS172" s="63" t="str">
        <f t="shared" si="325"/>
        <v/>
      </c>
      <c r="GT172" s="63" t="e">
        <f>IF($GZ172="",#N/A,SUM(GS$4:GS172))</f>
        <v>#N/A</v>
      </c>
      <c r="GU172" s="63" t="str">
        <f t="shared" si="326"/>
        <v/>
      </c>
      <c r="GV172" s="63" t="e">
        <f>IF($GZ172="",#N/A,SUM(GU$4:GU172))</f>
        <v>#N/A</v>
      </c>
      <c r="GW172" s="63" t="e">
        <f t="shared" si="327"/>
        <v>#N/A</v>
      </c>
      <c r="GX172" s="63" t="e">
        <f>IF($GZ172="",#N/A,SUM(GW$4:GW172))</f>
        <v>#N/A</v>
      </c>
      <c r="GY172" s="63" t="e">
        <f>IF(EJ172="",#N/A,SUM($EJ$4:EJ172))</f>
        <v>#N/A</v>
      </c>
      <c r="GZ172" s="159">
        <v>156.91</v>
      </c>
      <c r="HA172" s="63">
        <f t="shared" si="318"/>
        <v>-29.669999999999959</v>
      </c>
      <c r="HB172" s="62" t="s">
        <v>2538</v>
      </c>
      <c r="HC172" s="60">
        <f>IFERROR(VLOOKUP(E172,Expectancy!$P$4:$S$19,1+C172,FALSE),"")</f>
        <v>-3.2156442930017966E-2</v>
      </c>
      <c r="HD172" s="82">
        <f t="shared" si="319"/>
        <v>-2.2675736961473591E-3</v>
      </c>
      <c r="HE172" s="60">
        <f>IF(HD172="",#N/A,SUM($HD$4:HD172))</f>
        <v>-4.9208348094709908</v>
      </c>
      <c r="HF172" s="85">
        <f>IF(HD172="",#N/A,IF(HB172="Skip",#N/A,SUM($HG$4:HG172)))</f>
        <v>-95.890000000000043</v>
      </c>
      <c r="HG172" s="63">
        <f t="shared" si="320"/>
        <v>-6.0000000000059117E-2</v>
      </c>
      <c r="HH172" s="82">
        <f t="shared" si="321"/>
        <v>-1.1235827664399101</v>
      </c>
    </row>
    <row r="173" spans="1:216" x14ac:dyDescent="0.25">
      <c r="A173" s="57" t="s">
        <v>205</v>
      </c>
      <c r="B173" s="58" t="s">
        <v>5190</v>
      </c>
      <c r="C173" s="386">
        <f t="shared" si="230"/>
        <v>3</v>
      </c>
      <c r="D173" s="372" t="str">
        <f>_xlfn.XLOOKUP(A173,[1]SP500!$A$2:$A$502,[1]SP500!$D$2:$D$502,"N")</f>
        <v>Y</v>
      </c>
      <c r="E173" s="57" t="str">
        <f>_xlfn.XLOOKUP(A173,[1]SP500!$A$2:$A$655,[1]SP500!$B$2:$B$655)</f>
        <v>XLI</v>
      </c>
      <c r="F173" s="59">
        <v>45692</v>
      </c>
      <c r="G173" s="57" t="str">
        <f t="shared" si="231"/>
        <v>BMO</v>
      </c>
      <c r="H173" s="57" t="str">
        <f t="shared" si="232"/>
        <v>s</v>
      </c>
      <c r="I173" s="159">
        <v>348.21</v>
      </c>
      <c r="J173" s="158">
        <v>361</v>
      </c>
      <c r="K173" s="61">
        <f t="shared" si="233"/>
        <v>3.6730708480514691E-2</v>
      </c>
      <c r="L173" s="87">
        <f t="shared" si="234"/>
        <v>12.79000000000002</v>
      </c>
      <c r="M173" s="130">
        <f t="shared" si="226"/>
        <v>-1</v>
      </c>
      <c r="N173" s="169" t="str">
        <f t="shared" si="235"/>
        <v/>
      </c>
      <c r="O173" s="169">
        <f>IF($J173="",#N/A,SUM($N$4:N173))</f>
        <v>299.03976368961378</v>
      </c>
      <c r="P173" s="174" t="str">
        <f t="shared" si="236"/>
        <v/>
      </c>
      <c r="Q173" s="174">
        <f>IF($J173="",#N/A,SUM($P$4:P173))</f>
        <v>148.63104023772638</v>
      </c>
      <c r="R173" s="178">
        <f t="shared" si="237"/>
        <v>12.79000000000002</v>
      </c>
      <c r="S173" s="178">
        <f>IF($J173="",#N/A,SUM($R$4:R173))</f>
        <v>182.24873610246863</v>
      </c>
      <c r="T173" s="290" t="str">
        <f t="shared" si="238"/>
        <v/>
      </c>
      <c r="U173" s="290">
        <f>IF($J173="",#N/A,SUM($T$4:T173))</f>
        <v>11.503161745986388</v>
      </c>
      <c r="V173" s="291" t="str">
        <f t="shared" si="239"/>
        <v/>
      </c>
      <c r="W173" s="291">
        <f>IF($J173="",#N/A,SUM($V$4:V173))</f>
        <v>5.7784525130627893</v>
      </c>
      <c r="X173" s="292">
        <f t="shared" si="240"/>
        <v>0.61217847467524489</v>
      </c>
      <c r="Y173" s="283">
        <f>IF($J173="",#N/A,SUM($X$4:X173))</f>
        <v>7.3783784165948481</v>
      </c>
      <c r="Z173" s="304" t="str">
        <f t="shared" si="241"/>
        <v/>
      </c>
      <c r="AA173" s="313" t="e">
        <f>IF($J173="",#N/A,SUM(Z$4:Z173))</f>
        <v>#N/A</v>
      </c>
      <c r="AB173" s="314" t="str">
        <f t="shared" si="242"/>
        <v/>
      </c>
      <c r="AC173" s="314" t="e">
        <f>IF($J173="",#N/A,SUM(AB$4:AB173))</f>
        <v>#N/A</v>
      </c>
      <c r="AD173" s="315" t="str">
        <f t="shared" si="243"/>
        <v/>
      </c>
      <c r="AE173" s="315" t="e">
        <f>IF($J173="",#N/A,SUM(AD$4:AD173))</f>
        <v>#N/A</v>
      </c>
      <c r="AF173" s="315" t="e">
        <f>IF($J173="",#N/A,SUM(AD$4:AD173,AB$4:AB173,Z$4:Z173))</f>
        <v>#N/A</v>
      </c>
      <c r="AG173" s="304" t="str">
        <f t="shared" si="244"/>
        <v/>
      </c>
      <c r="AH173" s="313" t="e">
        <f>IF($J173="",#N/A,SUM(AG$4:AG173))</f>
        <v>#N/A</v>
      </c>
      <c r="AI173" s="314" t="str">
        <f t="shared" si="245"/>
        <v/>
      </c>
      <c r="AJ173" s="314" t="e">
        <f>IF($J173="",#N/A,SUM(AI$4:AI173))</f>
        <v>#N/A</v>
      </c>
      <c r="AK173" s="315" t="str">
        <f t="shared" si="246"/>
        <v/>
      </c>
      <c r="AL173" s="315" t="e">
        <f>IF($J173="",#N/A,SUM(AK$4:AK173))</f>
        <v>#N/A</v>
      </c>
      <c r="AM173" s="315" t="e">
        <f>IF($J173="",#N/A,SUM(AK$4:AK173,AI$4:AI173,AG$4:AG173))</f>
        <v>#N/A</v>
      </c>
      <c r="AN173" s="304" t="str">
        <f t="shared" si="247"/>
        <v/>
      </c>
      <c r="AO173" s="313" t="e">
        <f>IF($J173="",#N/A,SUM(AN$4:AN173))</f>
        <v>#N/A</v>
      </c>
      <c r="AP173" s="314" t="str">
        <f t="shared" si="248"/>
        <v/>
      </c>
      <c r="AQ173" s="314" t="e">
        <f>IF($J173="",#N/A,SUM(AP$4:AP173))</f>
        <v>#N/A</v>
      </c>
      <c r="AR173" s="315" t="str">
        <f t="shared" si="249"/>
        <v/>
      </c>
      <c r="AS173" s="315" t="e">
        <f>IF($J173="",#N/A,SUM(AR$4:AR173))</f>
        <v>#N/A</v>
      </c>
      <c r="AT173" s="315" t="e">
        <f>IF($J173="",#N/A,SUM(AR$4:AR173,AP$4:AP173,AN$4:AN173))</f>
        <v>#N/A</v>
      </c>
      <c r="AU173" s="304" t="str">
        <f t="shared" si="250"/>
        <v/>
      </c>
      <c r="AV173" s="313" t="e">
        <f>IF($J173="",#N/A,SUM(AU$4:AU173))</f>
        <v>#N/A</v>
      </c>
      <c r="AW173" s="314" t="str">
        <f t="shared" si="251"/>
        <v/>
      </c>
      <c r="AX173" s="314" t="e">
        <f>IF($J173="",#N/A,SUM(AW$4:AW173))</f>
        <v>#N/A</v>
      </c>
      <c r="AY173" s="315" t="str">
        <f t="shared" si="252"/>
        <v/>
      </c>
      <c r="AZ173" s="315" t="e">
        <f>IF($J173="",#N/A,SUM(AY$4:AY173))</f>
        <v>#N/A</v>
      </c>
      <c r="BA173" s="315" t="e">
        <f>IF($J173="",#N/A,SUM(AY$4:AY173,AW$4:AW173,AU$4:AU173))</f>
        <v>#N/A</v>
      </c>
      <c r="BB173" s="304" t="str">
        <f t="shared" si="253"/>
        <v/>
      </c>
      <c r="BC173" s="313" t="e">
        <f>IF($J173="",#N/A,SUM(BB$4:BB173))</f>
        <v>#N/A</v>
      </c>
      <c r="BD173" s="314" t="str">
        <f t="shared" si="254"/>
        <v/>
      </c>
      <c r="BE173" s="314" t="e">
        <f>IF($J173="",#N/A,SUM(BD$4:BD173))</f>
        <v>#N/A</v>
      </c>
      <c r="BF173" s="315" t="str">
        <f t="shared" si="255"/>
        <v/>
      </c>
      <c r="BG173" s="315" t="e">
        <f>IF($J173="",#N/A,SUM(BF$4:BF173))</f>
        <v>#N/A</v>
      </c>
      <c r="BH173" s="315" t="e">
        <f>IF($J173="",#N/A,SUM(BF$4:BF173,BD$4:BD173,BB$4:BB173))</f>
        <v>#N/A</v>
      </c>
      <c r="BI173" s="304" t="str">
        <f t="shared" si="256"/>
        <v/>
      </c>
      <c r="BJ173" s="313" t="e">
        <f>IF($J173="",#N/A,SUM(BI$4:BI173))</f>
        <v>#N/A</v>
      </c>
      <c r="BK173" s="314" t="str">
        <f t="shared" si="257"/>
        <v/>
      </c>
      <c r="BL173" s="314" t="e">
        <f>IF($J173="",#N/A,SUM(BK$4:BK173))</f>
        <v>#N/A</v>
      </c>
      <c r="BM173" s="315" t="str">
        <f t="shared" si="258"/>
        <v/>
      </c>
      <c r="BN173" s="315" t="e">
        <f>IF($J173="",#N/A,SUM(BM$4:BM173))</f>
        <v>#N/A</v>
      </c>
      <c r="BO173" s="315" t="e">
        <f>IF($J173="",#N/A,SUM(BM$4:BM173,BK$4:BK173,BI$4:BI173))</f>
        <v>#N/A</v>
      </c>
      <c r="BP173" s="304" t="str">
        <f t="shared" si="259"/>
        <v/>
      </c>
      <c r="BQ173" s="313" t="e">
        <f>IF($J173="",#N/A,SUM(BP$4:BP173))</f>
        <v>#N/A</v>
      </c>
      <c r="BR173" s="314" t="str">
        <f t="shared" si="260"/>
        <v/>
      </c>
      <c r="BS173" s="314" t="e">
        <f>IF($J173="",#N/A,SUM(BR$4:BR173))</f>
        <v>#N/A</v>
      </c>
      <c r="BT173" s="315">
        <f t="shared" si="261"/>
        <v>0.61217847467524489</v>
      </c>
      <c r="BU173" s="315" t="e">
        <f>IF($J173="",#N/A,SUM(BT$4:BT173))</f>
        <v>#N/A</v>
      </c>
      <c r="BV173" s="315" t="e">
        <f>IF($J173="",#N/A,SUM(BT$4:BT173,BR$4:BR173,BP$4:BP173))</f>
        <v>#N/A</v>
      </c>
      <c r="BW173" s="304" t="str">
        <f t="shared" si="262"/>
        <v/>
      </c>
      <c r="BX173" s="313" t="e">
        <f>IF($J173="",#N/A,SUM(BW$4:BW173))</f>
        <v>#N/A</v>
      </c>
      <c r="BY173" s="314" t="str">
        <f t="shared" si="263"/>
        <v/>
      </c>
      <c r="BZ173" s="314" t="e">
        <f>IF($J173="",#N/A,SUM(BY$4:BY173))</f>
        <v>#N/A</v>
      </c>
      <c r="CA173" s="315" t="str">
        <f t="shared" si="264"/>
        <v/>
      </c>
      <c r="CB173" s="315" t="e">
        <f>IF($J173="",#N/A,SUM(CA$4:CA173))</f>
        <v>#N/A</v>
      </c>
      <c r="CC173" s="315" t="e">
        <f>IF($J173="",#N/A,SUM(CA$4:CA173,BY$4:BY173,BW$4:BW173))</f>
        <v>#N/A</v>
      </c>
      <c r="CD173" s="304" t="str">
        <f t="shared" si="265"/>
        <v/>
      </c>
      <c r="CE173" s="313" t="e">
        <f>IF($J173="",#N/A,SUM(CD$4:CD173))</f>
        <v>#N/A</v>
      </c>
      <c r="CF173" s="314" t="str">
        <f t="shared" si="266"/>
        <v/>
      </c>
      <c r="CG173" s="314" t="e">
        <f>IF($J173="",#N/A,SUM(CF$4:CF173))</f>
        <v>#N/A</v>
      </c>
      <c r="CH173" s="315" t="str">
        <f t="shared" si="267"/>
        <v/>
      </c>
      <c r="CI173" s="315" t="e">
        <f>IF($J173="",#N/A,SUM(CH$4:CH173))</f>
        <v>#N/A</v>
      </c>
      <c r="CJ173" s="315" t="e">
        <f>IF($J173="",#N/A,SUM(CH$4:CH173,CF$4:CF173,CD$4:CD173))</f>
        <v>#N/A</v>
      </c>
      <c r="CK173" s="304" t="str">
        <f t="shared" si="268"/>
        <v/>
      </c>
      <c r="CL173" s="313" t="e">
        <f>IF($J173="",#N/A,SUM(CK$4:CK173))</f>
        <v>#N/A</v>
      </c>
      <c r="CM173" s="314" t="str">
        <f t="shared" si="269"/>
        <v/>
      </c>
      <c r="CN173" s="314" t="e">
        <f>IF($J173="",#N/A,SUM(CM$4:CM173))</f>
        <v>#N/A</v>
      </c>
      <c r="CO173" s="315" t="str">
        <f t="shared" si="270"/>
        <v/>
      </c>
      <c r="CP173" s="315" t="e">
        <f>IF($J173="",#N/A,SUM(CO$4:CO173))</f>
        <v>#N/A</v>
      </c>
      <c r="CQ173" s="315" t="e">
        <f>IF($J173="",#N/A,SUM(CO$4:CO173,CM$4:CM173,CK$4:CK173))</f>
        <v>#N/A</v>
      </c>
      <c r="CR173" s="304" t="str">
        <f t="shared" si="271"/>
        <v/>
      </c>
      <c r="CS173" s="313" t="e">
        <f>IF($J173="",#N/A,SUM(CR$4:CR173))</f>
        <v>#N/A</v>
      </c>
      <c r="CT173" s="314" t="str">
        <f t="shared" si="272"/>
        <v/>
      </c>
      <c r="CU173" s="314" t="e">
        <f>IF($J173="",#N/A,SUM(CT$4:CT173))</f>
        <v>#N/A</v>
      </c>
      <c r="CV173" s="315" t="str">
        <f t="shared" si="273"/>
        <v/>
      </c>
      <c r="CW173" s="315" t="e">
        <f>IF($J173="",#N/A,SUM(CV$4:CV173))</f>
        <v>#N/A</v>
      </c>
      <c r="CX173" s="315" t="e">
        <f>IF($J173="",#N/A,SUM(CV$4:CV173,CT$4:CT173,CR$4:CR173))</f>
        <v>#N/A</v>
      </c>
      <c r="CY173" s="304" t="str">
        <f t="shared" si="274"/>
        <v/>
      </c>
      <c r="CZ173" s="313" t="e">
        <f>IF($J173="",#N/A,SUM(CY$4:CY173))</f>
        <v>#N/A</v>
      </c>
      <c r="DA173" s="314" t="str">
        <f t="shared" si="275"/>
        <v/>
      </c>
      <c r="DB173" s="314" t="e">
        <f>IF($J173="",#N/A,SUM(DA$4:DA173))</f>
        <v>#N/A</v>
      </c>
      <c r="DC173" s="315" t="str">
        <f t="shared" si="276"/>
        <v/>
      </c>
      <c r="DD173" s="315" t="e">
        <f>IF($J173="",#N/A,SUM(DC$4:DC173))</f>
        <v>#N/A</v>
      </c>
      <c r="DE173" s="315" t="e">
        <f>IF($J173="",#N/A,SUM(DC$4:DC173,DA$4:DA173,CY$4:CY173))</f>
        <v>#N/A</v>
      </c>
      <c r="DF173" s="304" t="str">
        <f t="shared" si="277"/>
        <v/>
      </c>
      <c r="DG173" s="313" t="e">
        <f>IF($J173="",#N/A,SUM(DF$4:DF173))</f>
        <v>#N/A</v>
      </c>
      <c r="DH173" s="314" t="str">
        <f t="shared" si="278"/>
        <v/>
      </c>
      <c r="DI173" s="314" t="e">
        <f>IF($J173="",#N/A,SUM(DH$4:DH173))</f>
        <v>#N/A</v>
      </c>
      <c r="DJ173" s="315" t="str">
        <f t="shared" si="279"/>
        <v/>
      </c>
      <c r="DK173" s="315" t="e">
        <f>IF($J173="",#N/A,SUM(DJ$4:DJ173))</f>
        <v>#N/A</v>
      </c>
      <c r="DL173" s="315" t="e">
        <f>IF($J173="",#N/A,SUM(DJ$4:DJ173,DH$4:DH173,DF$4:DF173))</f>
        <v>#N/A</v>
      </c>
      <c r="DM173" s="304" t="str">
        <f t="shared" si="280"/>
        <v/>
      </c>
      <c r="DN173" s="313" t="e">
        <f>IF($J173="",#N/A,SUM(DM$4:DM173))</f>
        <v>#N/A</v>
      </c>
      <c r="DO173" s="314" t="str">
        <f t="shared" si="281"/>
        <v/>
      </c>
      <c r="DP173" s="314" t="e">
        <f>IF($J173="",#N/A,SUM(DO$4:DO173))</f>
        <v>#N/A</v>
      </c>
      <c r="DQ173" s="315" t="str">
        <f t="shared" si="282"/>
        <v/>
      </c>
      <c r="DR173" s="315" t="e">
        <f>IF($J173="",#N/A,SUM(DQ$4:DQ173))</f>
        <v>#N/A</v>
      </c>
      <c r="DS173" s="315" t="e">
        <f>IF($J173="",#N/A,SUM(DQ$4:DQ173,DO$4:DO173,DM$4:DM173))</f>
        <v>#N/A</v>
      </c>
      <c r="DT173" s="304" t="str">
        <f t="shared" si="283"/>
        <v/>
      </c>
      <c r="DU173" s="313" t="e">
        <f>IF($J173="",#N/A,SUM(DT$4:DT173))</f>
        <v>#N/A</v>
      </c>
      <c r="DV173" s="314" t="str">
        <f t="shared" si="284"/>
        <v/>
      </c>
      <c r="DW173" s="314" t="e">
        <f>IF($J173="",#N/A,SUM(DV$4:DV173))</f>
        <v>#N/A</v>
      </c>
      <c r="DX173" s="315" t="str">
        <f t="shared" si="285"/>
        <v/>
      </c>
      <c r="DY173" s="315" t="e">
        <f>IF($J173="",#N/A,SUM(DX$4:DX173))</f>
        <v>#N/A</v>
      </c>
      <c r="DZ173" s="315" t="e">
        <f>IF($J173="",#N/A,SUM(DX$4:DX173,DV$4:DV173,DT$4:DT173))</f>
        <v>#N/A</v>
      </c>
      <c r="EA173" s="304" t="str">
        <f t="shared" si="286"/>
        <v/>
      </c>
      <c r="EB173" s="313" t="e">
        <f>IF($J173="",#N/A,SUM(EA$4:EA173))</f>
        <v>#N/A</v>
      </c>
      <c r="EC173" s="314" t="str">
        <f t="shared" si="287"/>
        <v/>
      </c>
      <c r="ED173" s="314" t="e">
        <f>IF($J173="",#N/A,SUM(EC$4:EC173))</f>
        <v>#N/A</v>
      </c>
      <c r="EE173" s="315" t="str">
        <f t="shared" si="288"/>
        <v/>
      </c>
      <c r="EF173" s="315" t="e">
        <f>IF($J173="",#N/A,SUM(EE$4:EE173))</f>
        <v>#N/A</v>
      </c>
      <c r="EG173" s="315" t="e">
        <f>IF($J173="",#N/A,SUM(EE$4:EE173,EC$4:EC173,EA$4:EA173))</f>
        <v>#N/A</v>
      </c>
      <c r="EH173" s="130">
        <f t="shared" si="289"/>
        <v>12.79000000000002</v>
      </c>
      <c r="EI173" s="63">
        <f>IF(EH173="",#N/A,SUM($EH$4:EH173))</f>
        <v>629.91954002980901</v>
      </c>
      <c r="EJ173" s="223" t="e">
        <f t="shared" si="290"/>
        <v>#N/A</v>
      </c>
      <c r="EK173" s="63" t="e">
        <f>IF($GZ173="",#N/A,SUM(EJ$4:EJ173))</f>
        <v>#N/A</v>
      </c>
      <c r="EL173" s="60">
        <f t="shared" si="322"/>
        <v>0.61217847467524489</v>
      </c>
      <c r="EM173" s="60">
        <f>IF(EL173="",NA(),SUM($EL$4:EL173))</f>
        <v>20.999204612162764</v>
      </c>
      <c r="EN173" s="60" t="str">
        <f t="shared" si="291"/>
        <v/>
      </c>
      <c r="EO173" s="60" t="e">
        <f>IF(EN173="",NA(),SUM($EN$4:EN173))</f>
        <v>#N/A</v>
      </c>
      <c r="EP173" s="60">
        <f t="shared" si="292"/>
        <v>0.61217847467524489</v>
      </c>
      <c r="EQ173" s="60">
        <f>IF(EP173="",NA(),SUM($EP$4:EP173))</f>
        <v>8.3061353366720425</v>
      </c>
      <c r="ER173" s="60" t="str">
        <f t="shared" si="293"/>
        <v/>
      </c>
      <c r="ES173" s="60" t="e">
        <f>IF(ER173="",NA(),SUM($ER$4:ER173))</f>
        <v>#N/A</v>
      </c>
      <c r="ET173" s="60" t="str">
        <f t="shared" si="294"/>
        <v/>
      </c>
      <c r="EU173" s="60" t="e">
        <f>IF(ET173="",NA(),SUM($ET$4:ET173))</f>
        <v>#N/A</v>
      </c>
      <c r="EV173" s="60" t="str">
        <f t="shared" si="295"/>
        <v/>
      </c>
      <c r="EW173" s="60" t="e">
        <f>IF(EV173="",NA(),SUM($EV$4:EV173))</f>
        <v>#N/A</v>
      </c>
      <c r="EX173" s="60" t="str">
        <f t="shared" si="296"/>
        <v/>
      </c>
      <c r="EY173" s="60" t="e">
        <f>IF(EX173="",NA(),SUM($EX$4:EX173))</f>
        <v>#N/A</v>
      </c>
      <c r="EZ173" s="60" t="str">
        <f t="shared" si="297"/>
        <v/>
      </c>
      <c r="FA173" s="60" t="e">
        <f>IF(EZ173="",NA(),SUM($EZ$4:EZ173))</f>
        <v>#N/A</v>
      </c>
      <c r="FB173" s="246" t="str">
        <f t="shared" si="323"/>
        <v/>
      </c>
      <c r="FC173" s="246" t="e">
        <f>IF($FB173="",#N/A,SUM(FB$4:$FB173))</f>
        <v>#N/A</v>
      </c>
      <c r="FD173" s="60" t="str">
        <f t="shared" si="298"/>
        <v/>
      </c>
      <c r="FE173" s="60" t="e">
        <f>IF($FD173="",#N/A,SUM($FD$4:FD173))</f>
        <v>#N/A</v>
      </c>
      <c r="FF173" s="60" t="str">
        <f t="shared" si="299"/>
        <v/>
      </c>
      <c r="FG173" s="60" t="e">
        <f>IF($FF173="",#N/A,SUM($FF$4:FF173))</f>
        <v>#N/A</v>
      </c>
      <c r="FH173" s="60" t="str">
        <f t="shared" si="300"/>
        <v/>
      </c>
      <c r="FI173" s="60" t="e">
        <f>IF($FH173="",#N/A,SUM($FH$4:FH173))</f>
        <v>#N/A</v>
      </c>
      <c r="FJ173" s="60">
        <f t="shared" si="301"/>
        <v>0.12013823076113028</v>
      </c>
      <c r="FK173" s="60">
        <f>IF($FJ173="",#N/A,SUM($FJ$4:FJ173))</f>
        <v>-1.9657745276289809</v>
      </c>
      <c r="FL173" s="60" t="str">
        <f t="shared" si="302"/>
        <v/>
      </c>
      <c r="FM173" s="60" t="e">
        <f>IF($FL173="",#N/A,SUM($FL$4:FL173))</f>
        <v>#N/A</v>
      </c>
      <c r="FN173" s="82">
        <f t="shared" si="303"/>
        <v>0.73231670543637517</v>
      </c>
      <c r="FO173" s="82">
        <f>IF($FN173="",#N/A,SUM(FN$4:$FN173))</f>
        <v>27.85601763804614</v>
      </c>
      <c r="FP173" s="82">
        <f t="shared" si="324"/>
        <v>0.61217847467524489</v>
      </c>
      <c r="FQ173" s="246">
        <f>IF($EH173="",#N/A,SUM($FP$4:FP173))</f>
        <v>24.659992675644034</v>
      </c>
      <c r="FR173" s="82">
        <f>IFERROR(FQ173/COUNTA($J$4:J173),#N/A)</f>
        <v>0.1450587804449649</v>
      </c>
      <c r="FS173" s="82">
        <f t="shared" si="332"/>
        <v>5.3702290501228253E-2</v>
      </c>
      <c r="FT173" s="82">
        <f t="shared" si="333"/>
        <v>9.7558160098070598E-2</v>
      </c>
      <c r="FU173" s="337">
        <f t="shared" si="331"/>
        <v>14.486512847396407</v>
      </c>
      <c r="FV173" s="57" t="str">
        <f t="shared" si="305"/>
        <v>SW</v>
      </c>
      <c r="FW173" s="57" t="s">
        <v>2732</v>
      </c>
      <c r="FX173" s="57" t="str">
        <f t="shared" si="306"/>
        <v/>
      </c>
      <c r="FY173" s="57" t="str">
        <f t="shared" si="307"/>
        <v/>
      </c>
      <c r="FZ173" s="57">
        <f t="shared" si="308"/>
        <v>1</v>
      </c>
      <c r="GA173" s="57" t="str">
        <f t="shared" si="309"/>
        <v>Long</v>
      </c>
      <c r="GB173" s="57" t="str">
        <f t="shared" si="310"/>
        <v/>
      </c>
      <c r="GC173" s="57" t="str">
        <f t="shared" si="311"/>
        <v/>
      </c>
      <c r="GD173" s="57" t="str">
        <f t="shared" si="312"/>
        <v/>
      </c>
      <c r="GE173" s="62">
        <f t="shared" si="227"/>
        <v>348.21</v>
      </c>
      <c r="GF173" s="62" t="s">
        <v>2779</v>
      </c>
      <c r="GG173" s="199">
        <v>1</v>
      </c>
      <c r="GH173" s="207">
        <f t="shared" si="313"/>
        <v>348.21</v>
      </c>
      <c r="GI173" s="199">
        <v>1</v>
      </c>
      <c r="GJ173" s="200">
        <v>360</v>
      </c>
      <c r="GK173" s="63">
        <f t="shared" si="314"/>
        <v>11.79000000000002</v>
      </c>
      <c r="GL173" s="63">
        <f t="shared" si="228"/>
        <v>15.300000000000011</v>
      </c>
      <c r="GM173" s="82">
        <f t="shared" si="315"/>
        <v>0.73231670543637517</v>
      </c>
      <c r="GN173" s="82">
        <f>IF($GZ173="",#N/A,SUM(GM$4:GM173))</f>
        <v>8.8256626660279398</v>
      </c>
      <c r="GO173" s="82" t="str">
        <f t="shared" si="316"/>
        <v/>
      </c>
      <c r="GP173" s="82">
        <f>IF($GZ173="",#N/A,SUM(GO$4:GO173))</f>
        <v>10.740237455627755</v>
      </c>
      <c r="GQ173" s="82" t="str">
        <f t="shared" si="317"/>
        <v/>
      </c>
      <c r="GR173" s="82">
        <f>IF($GZ173="",#N/A,SUM(GQ$4:GQ173))</f>
        <v>7.6642805619480985</v>
      </c>
      <c r="GS173" s="63" t="e">
        <f t="shared" si="325"/>
        <v>#N/A</v>
      </c>
      <c r="GT173" s="63" t="e">
        <f>IF($GZ173="",#N/A,SUM(GS$4:GS173))</f>
        <v>#N/A</v>
      </c>
      <c r="GU173" s="63" t="str">
        <f t="shared" si="326"/>
        <v/>
      </c>
      <c r="GV173" s="63" t="e">
        <f>IF($GZ173="",#N/A,SUM(GU$4:GU173))</f>
        <v>#N/A</v>
      </c>
      <c r="GW173" s="63" t="str">
        <f t="shared" si="327"/>
        <v/>
      </c>
      <c r="GX173" s="63" t="e">
        <f>IF($GZ173="",#N/A,SUM(GW$4:GW173))</f>
        <v>#N/A</v>
      </c>
      <c r="GY173" s="63" t="e">
        <f>IF(EJ173="",#N/A,SUM($EJ$4:EJ173))</f>
        <v>#N/A</v>
      </c>
      <c r="GZ173" s="159">
        <v>363.51</v>
      </c>
      <c r="HA173" s="63">
        <f t="shared" si="318"/>
        <v>2.5099999999999909</v>
      </c>
      <c r="HB173" s="62" t="s">
        <v>2538</v>
      </c>
      <c r="HC173" s="60">
        <f>IFERROR(VLOOKUP(E173,Expectancy!$P$4:$S$19,1+C173,FALSE),"")</f>
        <v>2.40735201201209E-2</v>
      </c>
      <c r="HD173" s="82">
        <f t="shared" si="319"/>
        <v>0.56431463771861912</v>
      </c>
      <c r="HE173" s="60">
        <f>IF(HD173="",#N/A,SUM($HD$4:HD173))</f>
        <v>-4.3565201717523721</v>
      </c>
      <c r="HF173" s="85">
        <f>IF(HD173="",#N/A,IF(HB173="Skip",#N/A,SUM($HG$4:HG173)))</f>
        <v>-84.100000000000023</v>
      </c>
      <c r="HG173" s="63">
        <f t="shared" si="320"/>
        <v>11.79000000000002</v>
      </c>
      <c r="HH173" s="82">
        <f t="shared" si="321"/>
        <v>0.73231670543637517</v>
      </c>
    </row>
    <row r="174" spans="1:216" x14ac:dyDescent="0.25">
      <c r="A174" s="57" t="s">
        <v>1426</v>
      </c>
      <c r="B174" s="58" t="s">
        <v>5191</v>
      </c>
      <c r="C174" s="386">
        <f t="shared" si="230"/>
        <v>3</v>
      </c>
      <c r="D174" s="372" t="str">
        <f>_xlfn.XLOOKUP(A174,[1]SP500!$A$2:$A$502,[1]SP500!$D$2:$D$502,"N")</f>
        <v>Y</v>
      </c>
      <c r="E174" s="57" t="str">
        <f>_xlfn.XLOOKUP(A174,[1]SP500!$A$2:$A$655,[1]SP500!$B$2:$B$655)</f>
        <v>XLI</v>
      </c>
      <c r="F174" s="59">
        <v>45692</v>
      </c>
      <c r="G174" s="57" t="str">
        <f t="shared" si="231"/>
        <v>BMO</v>
      </c>
      <c r="H174" s="57" t="str">
        <f t="shared" si="232"/>
        <v>s</v>
      </c>
      <c r="I174" s="159">
        <v>184.13</v>
      </c>
      <c r="J174" s="158">
        <v>176</v>
      </c>
      <c r="K174" s="61">
        <f t="shared" si="233"/>
        <v>-4.4153587139520965E-2</v>
      </c>
      <c r="L174" s="87">
        <f t="shared" si="234"/>
        <v>-16.259999999999991</v>
      </c>
      <c r="M174" s="130">
        <f t="shared" si="226"/>
        <v>2</v>
      </c>
      <c r="N174" s="169" t="str">
        <f t="shared" si="235"/>
        <v/>
      </c>
      <c r="O174" s="169">
        <f>IF($J174="",#N/A,SUM($N$4:N174))</f>
        <v>299.03976368961378</v>
      </c>
      <c r="P174" s="174" t="str">
        <f t="shared" si="236"/>
        <v/>
      </c>
      <c r="Q174" s="174">
        <f>IF($J174="",#N/A,SUM($P$4:P174))</f>
        <v>148.63104023772638</v>
      </c>
      <c r="R174" s="178">
        <f t="shared" si="237"/>
        <v>-16.259999999999991</v>
      </c>
      <c r="S174" s="178">
        <f>IF($J174="",#N/A,SUM($R$4:R174))</f>
        <v>165.98873610246864</v>
      </c>
      <c r="T174" s="290" t="str">
        <f t="shared" si="238"/>
        <v/>
      </c>
      <c r="U174" s="290">
        <f>IF($J174="",#N/A,SUM($T$4:T174))</f>
        <v>11.503161745986388</v>
      </c>
      <c r="V174" s="291" t="str">
        <f t="shared" si="239"/>
        <v/>
      </c>
      <c r="W174" s="291">
        <f>IF($J174="",#N/A,SUM($V$4:V174))</f>
        <v>5.7784525130627893</v>
      </c>
      <c r="X174" s="292">
        <f t="shared" si="240"/>
        <v>-0.73589311899201615</v>
      </c>
      <c r="Y174" s="283">
        <f>IF($J174="",#N/A,SUM($X$4:X174))</f>
        <v>6.6424852976028319</v>
      </c>
      <c r="Z174" s="304" t="str">
        <f t="shared" si="241"/>
        <v/>
      </c>
      <c r="AA174" s="313" t="e">
        <f>IF($J174="",#N/A,SUM(Z$4:Z174))</f>
        <v>#N/A</v>
      </c>
      <c r="AB174" s="314" t="str">
        <f t="shared" si="242"/>
        <v/>
      </c>
      <c r="AC174" s="314" t="e">
        <f>IF($J174="",#N/A,SUM(AB$4:AB174))</f>
        <v>#N/A</v>
      </c>
      <c r="AD174" s="315" t="str">
        <f t="shared" si="243"/>
        <v/>
      </c>
      <c r="AE174" s="315" t="e">
        <f>IF($J174="",#N/A,SUM(AD$4:AD174))</f>
        <v>#N/A</v>
      </c>
      <c r="AF174" s="315" t="e">
        <f>IF($J174="",#N/A,SUM(AD$4:AD174,AB$4:AB174,Z$4:Z174))</f>
        <v>#N/A</v>
      </c>
      <c r="AG174" s="304" t="str">
        <f t="shared" si="244"/>
        <v/>
      </c>
      <c r="AH174" s="313" t="e">
        <f>IF($J174="",#N/A,SUM(AG$4:AG174))</f>
        <v>#N/A</v>
      </c>
      <c r="AI174" s="314" t="str">
        <f t="shared" si="245"/>
        <v/>
      </c>
      <c r="AJ174" s="314" t="e">
        <f>IF($J174="",#N/A,SUM(AI$4:AI174))</f>
        <v>#N/A</v>
      </c>
      <c r="AK174" s="315" t="str">
        <f t="shared" si="246"/>
        <v/>
      </c>
      <c r="AL174" s="315" t="e">
        <f>IF($J174="",#N/A,SUM(AK$4:AK174))</f>
        <v>#N/A</v>
      </c>
      <c r="AM174" s="315" t="e">
        <f>IF($J174="",#N/A,SUM(AK$4:AK174,AI$4:AI174,AG$4:AG174))</f>
        <v>#N/A</v>
      </c>
      <c r="AN174" s="304" t="str">
        <f t="shared" si="247"/>
        <v/>
      </c>
      <c r="AO174" s="313" t="e">
        <f>IF($J174="",#N/A,SUM(AN$4:AN174))</f>
        <v>#N/A</v>
      </c>
      <c r="AP174" s="314" t="str">
        <f t="shared" si="248"/>
        <v/>
      </c>
      <c r="AQ174" s="314" t="e">
        <f>IF($J174="",#N/A,SUM(AP$4:AP174))</f>
        <v>#N/A</v>
      </c>
      <c r="AR174" s="315" t="str">
        <f t="shared" si="249"/>
        <v/>
      </c>
      <c r="AS174" s="315" t="e">
        <f>IF($J174="",#N/A,SUM(AR$4:AR174))</f>
        <v>#N/A</v>
      </c>
      <c r="AT174" s="315" t="e">
        <f>IF($J174="",#N/A,SUM(AR$4:AR174,AP$4:AP174,AN$4:AN174))</f>
        <v>#N/A</v>
      </c>
      <c r="AU174" s="304" t="str">
        <f t="shared" si="250"/>
        <v/>
      </c>
      <c r="AV174" s="313" t="e">
        <f>IF($J174="",#N/A,SUM(AU$4:AU174))</f>
        <v>#N/A</v>
      </c>
      <c r="AW174" s="314" t="str">
        <f t="shared" si="251"/>
        <v/>
      </c>
      <c r="AX174" s="314" t="e">
        <f>IF($J174="",#N/A,SUM(AW$4:AW174))</f>
        <v>#N/A</v>
      </c>
      <c r="AY174" s="315" t="str">
        <f t="shared" si="252"/>
        <v/>
      </c>
      <c r="AZ174" s="315" t="e">
        <f>IF($J174="",#N/A,SUM(AY$4:AY174))</f>
        <v>#N/A</v>
      </c>
      <c r="BA174" s="315" t="e">
        <f>IF($J174="",#N/A,SUM(AY$4:AY174,AW$4:AW174,AU$4:AU174))</f>
        <v>#N/A</v>
      </c>
      <c r="BB174" s="304" t="str">
        <f t="shared" si="253"/>
        <v/>
      </c>
      <c r="BC174" s="313" t="e">
        <f>IF($J174="",#N/A,SUM(BB$4:BB174))</f>
        <v>#N/A</v>
      </c>
      <c r="BD174" s="314" t="str">
        <f t="shared" si="254"/>
        <v/>
      </c>
      <c r="BE174" s="314" t="e">
        <f>IF($J174="",#N/A,SUM(BD$4:BD174))</f>
        <v>#N/A</v>
      </c>
      <c r="BF174" s="315" t="str">
        <f t="shared" si="255"/>
        <v/>
      </c>
      <c r="BG174" s="315" t="e">
        <f>IF($J174="",#N/A,SUM(BF$4:BF174))</f>
        <v>#N/A</v>
      </c>
      <c r="BH174" s="315" t="e">
        <f>IF($J174="",#N/A,SUM(BF$4:BF174,BD$4:BD174,BB$4:BB174))</f>
        <v>#N/A</v>
      </c>
      <c r="BI174" s="304" t="str">
        <f t="shared" si="256"/>
        <v/>
      </c>
      <c r="BJ174" s="313" t="e">
        <f>IF($J174="",#N/A,SUM(BI$4:BI174))</f>
        <v>#N/A</v>
      </c>
      <c r="BK174" s="314" t="str">
        <f t="shared" si="257"/>
        <v/>
      </c>
      <c r="BL174" s="314" t="e">
        <f>IF($J174="",#N/A,SUM(BK$4:BK174))</f>
        <v>#N/A</v>
      </c>
      <c r="BM174" s="315" t="str">
        <f t="shared" si="258"/>
        <v/>
      </c>
      <c r="BN174" s="315" t="e">
        <f>IF($J174="",#N/A,SUM(BM$4:BM174))</f>
        <v>#N/A</v>
      </c>
      <c r="BO174" s="315" t="e">
        <f>IF($J174="",#N/A,SUM(BM$4:BM174,BK$4:BK174,BI$4:BI174))</f>
        <v>#N/A</v>
      </c>
      <c r="BP174" s="304" t="str">
        <f t="shared" si="259"/>
        <v/>
      </c>
      <c r="BQ174" s="313" t="e">
        <f>IF($J174="",#N/A,SUM(BP$4:BP174))</f>
        <v>#N/A</v>
      </c>
      <c r="BR174" s="314" t="str">
        <f t="shared" si="260"/>
        <v/>
      </c>
      <c r="BS174" s="314" t="e">
        <f>IF($J174="",#N/A,SUM(BR$4:BR174))</f>
        <v>#N/A</v>
      </c>
      <c r="BT174" s="315">
        <f t="shared" si="261"/>
        <v>-0.73589311899201615</v>
      </c>
      <c r="BU174" s="315" t="e">
        <f>IF($J174="",#N/A,SUM(BT$4:BT174))</f>
        <v>#N/A</v>
      </c>
      <c r="BV174" s="315" t="e">
        <f>IF($J174="",#N/A,SUM(BT$4:BT174,BR$4:BR174,BP$4:BP174))</f>
        <v>#N/A</v>
      </c>
      <c r="BW174" s="304" t="str">
        <f t="shared" si="262"/>
        <v/>
      </c>
      <c r="BX174" s="313" t="e">
        <f>IF($J174="",#N/A,SUM(BW$4:BW174))</f>
        <v>#N/A</v>
      </c>
      <c r="BY174" s="314" t="str">
        <f t="shared" si="263"/>
        <v/>
      </c>
      <c r="BZ174" s="314" t="e">
        <f>IF($J174="",#N/A,SUM(BY$4:BY174))</f>
        <v>#N/A</v>
      </c>
      <c r="CA174" s="315" t="str">
        <f t="shared" si="264"/>
        <v/>
      </c>
      <c r="CB174" s="315" t="e">
        <f>IF($J174="",#N/A,SUM(CA$4:CA174))</f>
        <v>#N/A</v>
      </c>
      <c r="CC174" s="315" t="e">
        <f>IF($J174="",#N/A,SUM(CA$4:CA174,BY$4:BY174,BW$4:BW174))</f>
        <v>#N/A</v>
      </c>
      <c r="CD174" s="304" t="str">
        <f t="shared" si="265"/>
        <v/>
      </c>
      <c r="CE174" s="313" t="e">
        <f>IF($J174="",#N/A,SUM(CD$4:CD174))</f>
        <v>#N/A</v>
      </c>
      <c r="CF174" s="314" t="str">
        <f t="shared" si="266"/>
        <v/>
      </c>
      <c r="CG174" s="314" t="e">
        <f>IF($J174="",#N/A,SUM(CF$4:CF174))</f>
        <v>#N/A</v>
      </c>
      <c r="CH174" s="315" t="str">
        <f t="shared" si="267"/>
        <v/>
      </c>
      <c r="CI174" s="315" t="e">
        <f>IF($J174="",#N/A,SUM(CH$4:CH174))</f>
        <v>#N/A</v>
      </c>
      <c r="CJ174" s="315" t="e">
        <f>IF($J174="",#N/A,SUM(CH$4:CH174,CF$4:CF174,CD$4:CD174))</f>
        <v>#N/A</v>
      </c>
      <c r="CK174" s="304" t="str">
        <f t="shared" si="268"/>
        <v/>
      </c>
      <c r="CL174" s="313" t="e">
        <f>IF($J174="",#N/A,SUM(CK$4:CK174))</f>
        <v>#N/A</v>
      </c>
      <c r="CM174" s="314" t="str">
        <f t="shared" si="269"/>
        <v/>
      </c>
      <c r="CN174" s="314" t="e">
        <f>IF($J174="",#N/A,SUM(CM$4:CM174))</f>
        <v>#N/A</v>
      </c>
      <c r="CO174" s="315" t="str">
        <f t="shared" si="270"/>
        <v/>
      </c>
      <c r="CP174" s="315" t="e">
        <f>IF($J174="",#N/A,SUM(CO$4:CO174))</f>
        <v>#N/A</v>
      </c>
      <c r="CQ174" s="315" t="e">
        <f>IF($J174="",#N/A,SUM(CO$4:CO174,CM$4:CM174,CK$4:CK174))</f>
        <v>#N/A</v>
      </c>
      <c r="CR174" s="304" t="str">
        <f t="shared" si="271"/>
        <v/>
      </c>
      <c r="CS174" s="313" t="e">
        <f>IF($J174="",#N/A,SUM(CR$4:CR174))</f>
        <v>#N/A</v>
      </c>
      <c r="CT174" s="314" t="str">
        <f t="shared" si="272"/>
        <v/>
      </c>
      <c r="CU174" s="314" t="e">
        <f>IF($J174="",#N/A,SUM(CT$4:CT174))</f>
        <v>#N/A</v>
      </c>
      <c r="CV174" s="315" t="str">
        <f t="shared" si="273"/>
        <v/>
      </c>
      <c r="CW174" s="315" t="e">
        <f>IF($J174="",#N/A,SUM(CV$4:CV174))</f>
        <v>#N/A</v>
      </c>
      <c r="CX174" s="315" t="e">
        <f>IF($J174="",#N/A,SUM(CV$4:CV174,CT$4:CT174,CR$4:CR174))</f>
        <v>#N/A</v>
      </c>
      <c r="CY174" s="304" t="str">
        <f t="shared" si="274"/>
        <v/>
      </c>
      <c r="CZ174" s="313" t="e">
        <f>IF($J174="",#N/A,SUM(CY$4:CY174))</f>
        <v>#N/A</v>
      </c>
      <c r="DA174" s="314" t="str">
        <f t="shared" si="275"/>
        <v/>
      </c>
      <c r="DB174" s="314" t="e">
        <f>IF($J174="",#N/A,SUM(DA$4:DA174))</f>
        <v>#N/A</v>
      </c>
      <c r="DC174" s="315" t="str">
        <f t="shared" si="276"/>
        <v/>
      </c>
      <c r="DD174" s="315" t="e">
        <f>IF($J174="",#N/A,SUM(DC$4:DC174))</f>
        <v>#N/A</v>
      </c>
      <c r="DE174" s="315" t="e">
        <f>IF($J174="",#N/A,SUM(DC$4:DC174,DA$4:DA174,CY$4:CY174))</f>
        <v>#N/A</v>
      </c>
      <c r="DF174" s="304" t="str">
        <f t="shared" si="277"/>
        <v/>
      </c>
      <c r="DG174" s="313" t="e">
        <f>IF($J174="",#N/A,SUM(DF$4:DF174))</f>
        <v>#N/A</v>
      </c>
      <c r="DH174" s="314" t="str">
        <f t="shared" si="278"/>
        <v/>
      </c>
      <c r="DI174" s="314" t="e">
        <f>IF($J174="",#N/A,SUM(DH$4:DH174))</f>
        <v>#N/A</v>
      </c>
      <c r="DJ174" s="315" t="str">
        <f t="shared" si="279"/>
        <v/>
      </c>
      <c r="DK174" s="315" t="e">
        <f>IF($J174="",#N/A,SUM(DJ$4:DJ174))</f>
        <v>#N/A</v>
      </c>
      <c r="DL174" s="315" t="e">
        <f>IF($J174="",#N/A,SUM(DJ$4:DJ174,DH$4:DH174,DF$4:DF174))</f>
        <v>#N/A</v>
      </c>
      <c r="DM174" s="304" t="str">
        <f t="shared" si="280"/>
        <v/>
      </c>
      <c r="DN174" s="313" t="e">
        <f>IF($J174="",#N/A,SUM(DM$4:DM174))</f>
        <v>#N/A</v>
      </c>
      <c r="DO174" s="314" t="str">
        <f t="shared" si="281"/>
        <v/>
      </c>
      <c r="DP174" s="314" t="e">
        <f>IF($J174="",#N/A,SUM(DO$4:DO174))</f>
        <v>#N/A</v>
      </c>
      <c r="DQ174" s="315" t="str">
        <f t="shared" si="282"/>
        <v/>
      </c>
      <c r="DR174" s="315" t="e">
        <f>IF($J174="",#N/A,SUM(DQ$4:DQ174))</f>
        <v>#N/A</v>
      </c>
      <c r="DS174" s="315" t="e">
        <f>IF($J174="",#N/A,SUM(DQ$4:DQ174,DO$4:DO174,DM$4:DM174))</f>
        <v>#N/A</v>
      </c>
      <c r="DT174" s="304" t="str">
        <f t="shared" si="283"/>
        <v/>
      </c>
      <c r="DU174" s="313" t="e">
        <f>IF($J174="",#N/A,SUM(DT$4:DT174))</f>
        <v>#N/A</v>
      </c>
      <c r="DV174" s="314" t="str">
        <f t="shared" si="284"/>
        <v/>
      </c>
      <c r="DW174" s="314" t="e">
        <f>IF($J174="",#N/A,SUM(DV$4:DV174))</f>
        <v>#N/A</v>
      </c>
      <c r="DX174" s="315" t="str">
        <f t="shared" si="285"/>
        <v/>
      </c>
      <c r="DY174" s="315" t="e">
        <f>IF($J174="",#N/A,SUM(DX$4:DX174))</f>
        <v>#N/A</v>
      </c>
      <c r="DZ174" s="315" t="e">
        <f>IF($J174="",#N/A,SUM(DX$4:DX174,DV$4:DV174,DT$4:DT174))</f>
        <v>#N/A</v>
      </c>
      <c r="EA174" s="304" t="str">
        <f t="shared" si="286"/>
        <v/>
      </c>
      <c r="EB174" s="313" t="e">
        <f>IF($J174="",#N/A,SUM(EA$4:EA174))</f>
        <v>#N/A</v>
      </c>
      <c r="EC174" s="314" t="str">
        <f t="shared" si="287"/>
        <v/>
      </c>
      <c r="ED174" s="314" t="e">
        <f>IF($J174="",#N/A,SUM(EC$4:EC174))</f>
        <v>#N/A</v>
      </c>
      <c r="EE174" s="315" t="str">
        <f t="shared" si="288"/>
        <v/>
      </c>
      <c r="EF174" s="315" t="e">
        <f>IF($J174="",#N/A,SUM(EE$4:EE174))</f>
        <v>#N/A</v>
      </c>
      <c r="EG174" s="315" t="e">
        <f>IF($J174="",#N/A,SUM(EE$4:EE174,EC$4:EC174,EA$4:EA174))</f>
        <v>#N/A</v>
      </c>
      <c r="EH174" s="130">
        <f t="shared" si="289"/>
        <v>-16.259999999999991</v>
      </c>
      <c r="EI174" s="63">
        <f>IF(EH174="",#N/A,SUM($EH$4:EH174))</f>
        <v>613.65954002980902</v>
      </c>
      <c r="EJ174" s="223" t="e">
        <f t="shared" si="290"/>
        <v>#N/A</v>
      </c>
      <c r="EK174" s="63" t="e">
        <f>IF($GZ174="",#N/A,SUM(EJ$4:EJ174))</f>
        <v>#N/A</v>
      </c>
      <c r="EL174" s="60">
        <f t="shared" si="322"/>
        <v>-0.73589311899201615</v>
      </c>
      <c r="EM174" s="60">
        <f>IF(EL174="",NA(),SUM($EL$4:EL174))</f>
        <v>20.263311493170747</v>
      </c>
      <c r="EN174" s="60" t="str">
        <f t="shared" si="291"/>
        <v/>
      </c>
      <c r="EO174" s="60" t="e">
        <f>IF(EN174="",NA(),SUM($EN$4:EN174))</f>
        <v>#N/A</v>
      </c>
      <c r="EP174" s="60">
        <f t="shared" si="292"/>
        <v>-0.73589311899201615</v>
      </c>
      <c r="EQ174" s="60">
        <f>IF(EP174="",NA(),SUM($EP$4:EP174))</f>
        <v>7.5702422176800264</v>
      </c>
      <c r="ER174" s="60" t="str">
        <f t="shared" si="293"/>
        <v/>
      </c>
      <c r="ES174" s="60" t="e">
        <f>IF(ER174="",NA(),SUM($ER$4:ER174))</f>
        <v>#N/A</v>
      </c>
      <c r="ET174" s="60" t="str">
        <f t="shared" si="294"/>
        <v/>
      </c>
      <c r="EU174" s="60" t="e">
        <f>IF(ET174="",NA(),SUM($ET$4:ET174))</f>
        <v>#N/A</v>
      </c>
      <c r="EV174" s="60" t="str">
        <f t="shared" si="295"/>
        <v/>
      </c>
      <c r="EW174" s="60" t="e">
        <f>IF(EV174="",NA(),SUM($EV$4:EV174))</f>
        <v>#N/A</v>
      </c>
      <c r="EX174" s="60" t="str">
        <f t="shared" si="296"/>
        <v/>
      </c>
      <c r="EY174" s="60" t="e">
        <f>IF(EX174="",NA(),SUM($EX$4:EX174))</f>
        <v>#N/A</v>
      </c>
      <c r="EZ174" s="60" t="str">
        <f t="shared" si="297"/>
        <v/>
      </c>
      <c r="FA174" s="60" t="e">
        <f>IF(EZ174="",NA(),SUM($EZ$4:EZ174))</f>
        <v>#N/A</v>
      </c>
      <c r="FB174" s="246" t="str">
        <f t="shared" si="323"/>
        <v/>
      </c>
      <c r="FC174" s="246" t="e">
        <f>IF($FB174="",#N/A,SUM(FB$4:$FB174))</f>
        <v>#N/A</v>
      </c>
      <c r="FD174" s="60" t="str">
        <f t="shared" si="298"/>
        <v/>
      </c>
      <c r="FE174" s="60" t="e">
        <f>IF($FD174="",#N/A,SUM($FD$4:FD174))</f>
        <v>#N/A</v>
      </c>
      <c r="FF174" s="60" t="str">
        <f t="shared" si="299"/>
        <v/>
      </c>
      <c r="FG174" s="60" t="e">
        <f>IF($FF174="",#N/A,SUM($FF$4:FF174))</f>
        <v>#N/A</v>
      </c>
      <c r="FH174" s="60" t="str">
        <f t="shared" si="300"/>
        <v/>
      </c>
      <c r="FI174" s="60" t="e">
        <f>IF($FH174="",#N/A,SUM($FH$4:FH174))</f>
        <v>#N/A</v>
      </c>
      <c r="FJ174" s="60" t="str">
        <f t="shared" si="301"/>
        <v/>
      </c>
      <c r="FK174" s="60" t="e">
        <f>IF($FJ174="",#N/A,SUM($FJ$4:FJ174))</f>
        <v>#N/A</v>
      </c>
      <c r="FL174" s="60">
        <f t="shared" si="302"/>
        <v>0.40732091457122688</v>
      </c>
      <c r="FM174" s="60">
        <f>IF($FL174="",#N/A,SUM($FL$4:FL174))</f>
        <v>3.8203796916332999</v>
      </c>
      <c r="FN174" s="82">
        <f t="shared" si="303"/>
        <v>-0.32857220442078927</v>
      </c>
      <c r="FO174" s="82">
        <f>IF($FN174="",#N/A,SUM(FN$4:$FN174))</f>
        <v>27.527445433625349</v>
      </c>
      <c r="FP174" s="82">
        <f t="shared" si="324"/>
        <v>-0.73589311899201615</v>
      </c>
      <c r="FQ174" s="246">
        <f>IF($EH174="",#N/A,SUM($FP$4:FP174))</f>
        <v>23.924099556652017</v>
      </c>
      <c r="FR174" s="82">
        <f>IFERROR(FQ174/COUNTA($J$4:J174),#N/A)</f>
        <v>0.13990701495118138</v>
      </c>
      <c r="FS174" s="82">
        <f t="shared" si="332"/>
        <v>2.7254671898563395E-2</v>
      </c>
      <c r="FT174" s="82">
        <f t="shared" si="333"/>
        <v>0.11750715754217265</v>
      </c>
      <c r="FU174" s="337">
        <f t="shared" si="331"/>
        <v>14.395997088602799</v>
      </c>
      <c r="FV174" s="57" t="str">
        <f t="shared" si="305"/>
        <v>SW</v>
      </c>
      <c r="FW174" s="57" t="s">
        <v>2732</v>
      </c>
      <c r="FX174" s="57" t="str">
        <f t="shared" si="306"/>
        <v/>
      </c>
      <c r="FY174" s="57" t="str">
        <f t="shared" si="307"/>
        <v/>
      </c>
      <c r="FZ174" s="57" t="str">
        <f t="shared" si="308"/>
        <v/>
      </c>
      <c r="GA174" s="57" t="str">
        <f t="shared" si="309"/>
        <v>Long</v>
      </c>
      <c r="GB174" s="57" t="str">
        <f t="shared" si="310"/>
        <v/>
      </c>
      <c r="GC174" s="57" t="str">
        <f t="shared" si="311"/>
        <v/>
      </c>
      <c r="GD174" s="57">
        <f t="shared" si="312"/>
        <v>1</v>
      </c>
      <c r="GE174" s="62">
        <f t="shared" si="227"/>
        <v>184.13</v>
      </c>
      <c r="GF174" s="62" t="s">
        <v>2779</v>
      </c>
      <c r="GG174" s="199">
        <v>2</v>
      </c>
      <c r="GH174" s="207">
        <f t="shared" si="313"/>
        <v>368.26</v>
      </c>
      <c r="GI174" s="199">
        <v>2</v>
      </c>
      <c r="GJ174" s="200">
        <v>177</v>
      </c>
      <c r="GK174" s="63">
        <f t="shared" si="314"/>
        <v>-14.259999999999991</v>
      </c>
      <c r="GL174" s="63">
        <f t="shared" si="228"/>
        <v>-7.2599999999999909</v>
      </c>
      <c r="GM174" s="82">
        <f t="shared" si="315"/>
        <v>-0.32857220442078927</v>
      </c>
      <c r="GN174" s="82">
        <f>IF($GZ174="",#N/A,SUM(GM$4:GM174))</f>
        <v>8.4970904616071508</v>
      </c>
      <c r="GO174" s="82" t="str">
        <f t="shared" si="316"/>
        <v/>
      </c>
      <c r="GP174" s="82">
        <f>IF($GZ174="",#N/A,SUM(GO$4:GO174))</f>
        <v>10.740237455627755</v>
      </c>
      <c r="GQ174" s="82" t="str">
        <f t="shared" si="317"/>
        <v/>
      </c>
      <c r="GR174" s="82">
        <f>IF($GZ174="",#N/A,SUM(GQ$4:GQ174))</f>
        <v>7.6642805619480985</v>
      </c>
      <c r="GS174" s="63" t="e">
        <f t="shared" si="325"/>
        <v>#N/A</v>
      </c>
      <c r="GT174" s="63" t="e">
        <f>IF($GZ174="",#N/A,SUM(GS$4:GS174))</f>
        <v>#N/A</v>
      </c>
      <c r="GU174" s="63" t="str">
        <f t="shared" si="326"/>
        <v/>
      </c>
      <c r="GV174" s="63" t="e">
        <f>IF($GZ174="",#N/A,SUM(GU$4:GU174))</f>
        <v>#N/A</v>
      </c>
      <c r="GW174" s="63" t="str">
        <f t="shared" si="327"/>
        <v/>
      </c>
      <c r="GX174" s="63" t="e">
        <f>IF($GZ174="",#N/A,SUM(GW$4:GW174))</f>
        <v>#N/A</v>
      </c>
      <c r="GY174" s="63" t="e">
        <f>IF(EJ174="",#N/A,SUM($EJ$4:EJ174))</f>
        <v>#N/A</v>
      </c>
      <c r="GZ174" s="159">
        <v>180.5</v>
      </c>
      <c r="HA174" s="63">
        <f t="shared" si="318"/>
        <v>9</v>
      </c>
      <c r="HB174" s="62" t="s">
        <v>2538</v>
      </c>
      <c r="HC174" s="60">
        <f>IFERROR(VLOOKUP(E174,Expectancy!$P$4:$S$19,1+C174,FALSE),"")</f>
        <v>2.40735201201209E-2</v>
      </c>
      <c r="HD174" s="82">
        <f t="shared" si="319"/>
        <v>-0.64537736019841019</v>
      </c>
      <c r="HE174" s="60">
        <f>IF(HD174="",#N/A,SUM($HD$4:HD174))</f>
        <v>-5.0018975319507826</v>
      </c>
      <c r="HF174" s="85">
        <f>IF(HD174="",#N/A,IF(HB174="Skip",#N/A,SUM($HG$4:HG174)))</f>
        <v>-98.360000000000014</v>
      </c>
      <c r="HG174" s="63">
        <f t="shared" si="320"/>
        <v>-14.259999999999991</v>
      </c>
      <c r="HH174" s="82">
        <f t="shared" si="321"/>
        <v>-0.32857220442078927</v>
      </c>
    </row>
    <row r="175" spans="1:216" x14ac:dyDescent="0.25">
      <c r="A175" s="57" t="s">
        <v>168</v>
      </c>
      <c r="B175" s="58" t="s">
        <v>5192</v>
      </c>
      <c r="C175" s="386">
        <f t="shared" si="230"/>
        <v>1</v>
      </c>
      <c r="D175" s="372" t="str">
        <f>_xlfn.XLOOKUP(A175,[1]SP500!$A$2:$A$502,[1]SP500!$D$2:$D$502,"N")</f>
        <v>Y</v>
      </c>
      <c r="E175" s="57" t="str">
        <f>_xlfn.XLOOKUP(A175,[1]SP500!$A$2:$A$655,[1]SP500!$B$2:$B$655)</f>
        <v>XLK</v>
      </c>
      <c r="F175" s="59">
        <v>45692</v>
      </c>
      <c r="G175" s="57" t="str">
        <f t="shared" si="231"/>
        <v>BMO</v>
      </c>
      <c r="H175" s="57" t="str">
        <f t="shared" si="232"/>
        <v>s</v>
      </c>
      <c r="I175" s="158">
        <v>547.79999999999995</v>
      </c>
      <c r="J175" s="159">
        <v>574.84</v>
      </c>
      <c r="K175" s="61">
        <f t="shared" si="233"/>
        <v>4.9361080686382036E-2</v>
      </c>
      <c r="L175" s="87">
        <f t="shared" si="234"/>
        <v>27.040000000000077</v>
      </c>
      <c r="M175" s="130">
        <f t="shared" si="226"/>
        <v>1.3799999999999955</v>
      </c>
      <c r="N175" s="169">
        <f t="shared" si="235"/>
        <v>27.040000000000077</v>
      </c>
      <c r="O175" s="169">
        <f>IF($J175="",#N/A,SUM($N$4:N175))</f>
        <v>326.07976368961386</v>
      </c>
      <c r="P175" s="174" t="str">
        <f t="shared" si="236"/>
        <v/>
      </c>
      <c r="Q175" s="174">
        <f>IF($J175="",#N/A,SUM($P$4:P175))</f>
        <v>148.63104023772638</v>
      </c>
      <c r="R175" s="178" t="str">
        <f t="shared" si="237"/>
        <v/>
      </c>
      <c r="S175" s="178">
        <f>IF($J175="",#N/A,SUM($R$4:R175))</f>
        <v>165.98873610246864</v>
      </c>
      <c r="T175" s="290">
        <f t="shared" si="238"/>
        <v>0.82268467810636736</v>
      </c>
      <c r="U175" s="290">
        <f>IF($J175="",#N/A,SUM($T$4:T175))</f>
        <v>12.325846424092756</v>
      </c>
      <c r="V175" s="291" t="str">
        <f t="shared" si="239"/>
        <v/>
      </c>
      <c r="W175" s="291">
        <f>IF($J175="",#N/A,SUM($V$4:V175))</f>
        <v>5.7784525130627893</v>
      </c>
      <c r="X175" s="292" t="str">
        <f t="shared" si="240"/>
        <v/>
      </c>
      <c r="Y175" s="283">
        <f>IF($J175="",#N/A,SUM($X$4:X175))</f>
        <v>6.6424852976028319</v>
      </c>
      <c r="Z175" s="304">
        <f t="shared" si="241"/>
        <v>0.82268467810636736</v>
      </c>
      <c r="AA175" s="313" t="e">
        <f>IF($J175="",#N/A,SUM(Z$4:Z175))</f>
        <v>#N/A</v>
      </c>
      <c r="AB175" s="314" t="str">
        <f t="shared" si="242"/>
        <v/>
      </c>
      <c r="AC175" s="314" t="e">
        <f>IF($J175="",#N/A,SUM(AB$4:AB175))</f>
        <v>#N/A</v>
      </c>
      <c r="AD175" s="315" t="str">
        <f t="shared" si="243"/>
        <v/>
      </c>
      <c r="AE175" s="315" t="e">
        <f>IF($J175="",#N/A,SUM(AD$4:AD175))</f>
        <v>#N/A</v>
      </c>
      <c r="AF175" s="315" t="e">
        <f>IF($J175="",#N/A,SUM(AD$4:AD175,AB$4:AB175,Z$4:Z175))</f>
        <v>#N/A</v>
      </c>
      <c r="AG175" s="304" t="str">
        <f t="shared" si="244"/>
        <v/>
      </c>
      <c r="AH175" s="313" t="e">
        <f>IF($J175="",#N/A,SUM(AG$4:AG175))</f>
        <v>#N/A</v>
      </c>
      <c r="AI175" s="314" t="str">
        <f t="shared" si="245"/>
        <v/>
      </c>
      <c r="AJ175" s="314" t="e">
        <f>IF($J175="",#N/A,SUM(AI$4:AI175))</f>
        <v>#N/A</v>
      </c>
      <c r="AK175" s="315" t="str">
        <f t="shared" si="246"/>
        <v/>
      </c>
      <c r="AL175" s="315" t="e">
        <f>IF($J175="",#N/A,SUM(AK$4:AK175))</f>
        <v>#N/A</v>
      </c>
      <c r="AM175" s="315" t="e">
        <f>IF($J175="",#N/A,SUM(AK$4:AK175,AI$4:AI175,AG$4:AG175))</f>
        <v>#N/A</v>
      </c>
      <c r="AN175" s="304" t="str">
        <f t="shared" si="247"/>
        <v/>
      </c>
      <c r="AO175" s="313" t="e">
        <f>IF($J175="",#N/A,SUM(AN$4:AN175))</f>
        <v>#N/A</v>
      </c>
      <c r="AP175" s="314" t="str">
        <f t="shared" si="248"/>
        <v/>
      </c>
      <c r="AQ175" s="314" t="e">
        <f>IF($J175="",#N/A,SUM(AP$4:AP175))</f>
        <v>#N/A</v>
      </c>
      <c r="AR175" s="315" t="str">
        <f t="shared" si="249"/>
        <v/>
      </c>
      <c r="AS175" s="315" t="e">
        <f>IF($J175="",#N/A,SUM(AR$4:AR175))</f>
        <v>#N/A</v>
      </c>
      <c r="AT175" s="315" t="e">
        <f>IF($J175="",#N/A,SUM(AR$4:AR175,AP$4:AP175,AN$4:AN175))</f>
        <v>#N/A</v>
      </c>
      <c r="AU175" s="304" t="str">
        <f t="shared" si="250"/>
        <v/>
      </c>
      <c r="AV175" s="313" t="e">
        <f>IF($J175="",#N/A,SUM(AU$4:AU175))</f>
        <v>#N/A</v>
      </c>
      <c r="AW175" s="314" t="str">
        <f t="shared" si="251"/>
        <v/>
      </c>
      <c r="AX175" s="314" t="e">
        <f>IF($J175="",#N/A,SUM(AW$4:AW175))</f>
        <v>#N/A</v>
      </c>
      <c r="AY175" s="315" t="str">
        <f t="shared" si="252"/>
        <v/>
      </c>
      <c r="AZ175" s="315" t="e">
        <f>IF($J175="",#N/A,SUM(AY$4:AY175))</f>
        <v>#N/A</v>
      </c>
      <c r="BA175" s="315" t="e">
        <f>IF($J175="",#N/A,SUM(AY$4:AY175,AW$4:AW175,AU$4:AU175))</f>
        <v>#N/A</v>
      </c>
      <c r="BB175" s="304" t="str">
        <f t="shared" si="253"/>
        <v/>
      </c>
      <c r="BC175" s="313" t="e">
        <f>IF($J175="",#N/A,SUM(BB$4:BB175))</f>
        <v>#N/A</v>
      </c>
      <c r="BD175" s="314" t="str">
        <f t="shared" si="254"/>
        <v/>
      </c>
      <c r="BE175" s="314" t="e">
        <f>IF($J175="",#N/A,SUM(BD$4:BD175))</f>
        <v>#N/A</v>
      </c>
      <c r="BF175" s="315" t="str">
        <f t="shared" si="255"/>
        <v/>
      </c>
      <c r="BG175" s="315" t="e">
        <f>IF($J175="",#N/A,SUM(BF$4:BF175))</f>
        <v>#N/A</v>
      </c>
      <c r="BH175" s="315" t="e">
        <f>IF($J175="",#N/A,SUM(BF$4:BF175,BD$4:BD175,BB$4:BB175))</f>
        <v>#N/A</v>
      </c>
      <c r="BI175" s="304" t="str">
        <f t="shared" si="256"/>
        <v/>
      </c>
      <c r="BJ175" s="313" t="e">
        <f>IF($J175="",#N/A,SUM(BI$4:BI175))</f>
        <v>#N/A</v>
      </c>
      <c r="BK175" s="314" t="str">
        <f t="shared" si="257"/>
        <v/>
      </c>
      <c r="BL175" s="314" t="e">
        <f>IF($J175="",#N/A,SUM(BK$4:BK175))</f>
        <v>#N/A</v>
      </c>
      <c r="BM175" s="315" t="str">
        <f t="shared" si="258"/>
        <v/>
      </c>
      <c r="BN175" s="315" t="e">
        <f>IF($J175="",#N/A,SUM(BM$4:BM175))</f>
        <v>#N/A</v>
      </c>
      <c r="BO175" s="315" t="e">
        <f>IF($J175="",#N/A,SUM(BM$4:BM175,BK$4:BK175,BI$4:BI175))</f>
        <v>#N/A</v>
      </c>
      <c r="BP175" s="304" t="str">
        <f t="shared" si="259"/>
        <v/>
      </c>
      <c r="BQ175" s="313" t="e">
        <f>IF($J175="",#N/A,SUM(BP$4:BP175))</f>
        <v>#N/A</v>
      </c>
      <c r="BR175" s="314" t="str">
        <f t="shared" si="260"/>
        <v/>
      </c>
      <c r="BS175" s="314" t="e">
        <f>IF($J175="",#N/A,SUM(BR$4:BR175))</f>
        <v>#N/A</v>
      </c>
      <c r="BT175" s="315" t="str">
        <f t="shared" si="261"/>
        <v/>
      </c>
      <c r="BU175" s="315" t="e">
        <f>IF($J175="",#N/A,SUM(BT$4:BT175))</f>
        <v>#N/A</v>
      </c>
      <c r="BV175" s="315" t="e">
        <f>IF($J175="",#N/A,SUM(BT$4:BT175,BR$4:BR175,BP$4:BP175))</f>
        <v>#N/A</v>
      </c>
      <c r="BW175" s="304" t="str">
        <f t="shared" si="262"/>
        <v/>
      </c>
      <c r="BX175" s="313" t="e">
        <f>IF($J175="",#N/A,SUM(BW$4:BW175))</f>
        <v>#N/A</v>
      </c>
      <c r="BY175" s="314" t="str">
        <f t="shared" si="263"/>
        <v/>
      </c>
      <c r="BZ175" s="314" t="e">
        <f>IF($J175="",#N/A,SUM(BY$4:BY175))</f>
        <v>#N/A</v>
      </c>
      <c r="CA175" s="315" t="str">
        <f t="shared" si="264"/>
        <v/>
      </c>
      <c r="CB175" s="315" t="e">
        <f>IF($J175="",#N/A,SUM(CA$4:CA175))</f>
        <v>#N/A</v>
      </c>
      <c r="CC175" s="315" t="e">
        <f>IF($J175="",#N/A,SUM(CA$4:CA175,BY$4:BY175,BW$4:BW175))</f>
        <v>#N/A</v>
      </c>
      <c r="CD175" s="304" t="str">
        <f t="shared" si="265"/>
        <v/>
      </c>
      <c r="CE175" s="313" t="e">
        <f>IF($J175="",#N/A,SUM(CD$4:CD175))</f>
        <v>#N/A</v>
      </c>
      <c r="CF175" s="314" t="str">
        <f t="shared" si="266"/>
        <v/>
      </c>
      <c r="CG175" s="314" t="e">
        <f>IF($J175="",#N/A,SUM(CF$4:CF175))</f>
        <v>#N/A</v>
      </c>
      <c r="CH175" s="315" t="str">
        <f t="shared" si="267"/>
        <v/>
      </c>
      <c r="CI175" s="315" t="e">
        <f>IF($J175="",#N/A,SUM(CH$4:CH175))</f>
        <v>#N/A</v>
      </c>
      <c r="CJ175" s="315" t="e">
        <f>IF($J175="",#N/A,SUM(CH$4:CH175,CF$4:CF175,CD$4:CD175))</f>
        <v>#N/A</v>
      </c>
      <c r="CK175" s="304" t="str">
        <f t="shared" si="268"/>
        <v/>
      </c>
      <c r="CL175" s="313" t="e">
        <f>IF($J175="",#N/A,SUM(CK$4:CK175))</f>
        <v>#N/A</v>
      </c>
      <c r="CM175" s="314" t="str">
        <f t="shared" si="269"/>
        <v/>
      </c>
      <c r="CN175" s="314" t="e">
        <f>IF($J175="",#N/A,SUM(CM$4:CM175))</f>
        <v>#N/A</v>
      </c>
      <c r="CO175" s="315" t="str">
        <f t="shared" si="270"/>
        <v/>
      </c>
      <c r="CP175" s="315" t="e">
        <f>IF($J175="",#N/A,SUM(CO$4:CO175))</f>
        <v>#N/A</v>
      </c>
      <c r="CQ175" s="315" t="e">
        <f>IF($J175="",#N/A,SUM(CO$4:CO175,CM$4:CM175,CK$4:CK175))</f>
        <v>#N/A</v>
      </c>
      <c r="CR175" s="304" t="str">
        <f t="shared" si="271"/>
        <v/>
      </c>
      <c r="CS175" s="313" t="e">
        <f>IF($J175="",#N/A,SUM(CR$4:CR175))</f>
        <v>#N/A</v>
      </c>
      <c r="CT175" s="314" t="str">
        <f t="shared" si="272"/>
        <v/>
      </c>
      <c r="CU175" s="314" t="e">
        <f>IF($J175="",#N/A,SUM(CT$4:CT175))</f>
        <v>#N/A</v>
      </c>
      <c r="CV175" s="315" t="str">
        <f t="shared" si="273"/>
        <v/>
      </c>
      <c r="CW175" s="315" t="e">
        <f>IF($J175="",#N/A,SUM(CV$4:CV175))</f>
        <v>#N/A</v>
      </c>
      <c r="CX175" s="315" t="e">
        <f>IF($J175="",#N/A,SUM(CV$4:CV175,CT$4:CT175,CR$4:CR175))</f>
        <v>#N/A</v>
      </c>
      <c r="CY175" s="304" t="str">
        <f t="shared" si="274"/>
        <v/>
      </c>
      <c r="CZ175" s="313" t="e">
        <f>IF($J175="",#N/A,SUM(CY$4:CY175))</f>
        <v>#N/A</v>
      </c>
      <c r="DA175" s="314" t="str">
        <f t="shared" si="275"/>
        <v/>
      </c>
      <c r="DB175" s="314" t="e">
        <f>IF($J175="",#N/A,SUM(DA$4:DA175))</f>
        <v>#N/A</v>
      </c>
      <c r="DC175" s="315" t="str">
        <f t="shared" si="276"/>
        <v/>
      </c>
      <c r="DD175" s="315" t="e">
        <f>IF($J175="",#N/A,SUM(DC$4:DC175))</f>
        <v>#N/A</v>
      </c>
      <c r="DE175" s="315" t="e">
        <f>IF($J175="",#N/A,SUM(DC$4:DC175,DA$4:DA175,CY$4:CY175))</f>
        <v>#N/A</v>
      </c>
      <c r="DF175" s="304" t="str">
        <f t="shared" si="277"/>
        <v/>
      </c>
      <c r="DG175" s="313" t="e">
        <f>IF($J175="",#N/A,SUM(DF$4:DF175))</f>
        <v>#N/A</v>
      </c>
      <c r="DH175" s="314" t="str">
        <f t="shared" si="278"/>
        <v/>
      </c>
      <c r="DI175" s="314" t="e">
        <f>IF($J175="",#N/A,SUM(DH$4:DH175))</f>
        <v>#N/A</v>
      </c>
      <c r="DJ175" s="315" t="str">
        <f t="shared" si="279"/>
        <v/>
      </c>
      <c r="DK175" s="315" t="e">
        <f>IF($J175="",#N/A,SUM(DJ$4:DJ175))</f>
        <v>#N/A</v>
      </c>
      <c r="DL175" s="315" t="e">
        <f>IF($J175="",#N/A,SUM(DJ$4:DJ175,DH$4:DH175,DF$4:DF175))</f>
        <v>#N/A</v>
      </c>
      <c r="DM175" s="304" t="str">
        <f t="shared" si="280"/>
        <v/>
      </c>
      <c r="DN175" s="313" t="e">
        <f>IF($J175="",#N/A,SUM(DM$4:DM175))</f>
        <v>#N/A</v>
      </c>
      <c r="DO175" s="314" t="str">
        <f t="shared" si="281"/>
        <v/>
      </c>
      <c r="DP175" s="314" t="e">
        <f>IF($J175="",#N/A,SUM(DO$4:DO175))</f>
        <v>#N/A</v>
      </c>
      <c r="DQ175" s="315" t="str">
        <f t="shared" si="282"/>
        <v/>
      </c>
      <c r="DR175" s="315" t="e">
        <f>IF($J175="",#N/A,SUM(DQ$4:DQ175))</f>
        <v>#N/A</v>
      </c>
      <c r="DS175" s="315" t="e">
        <f>IF($J175="",#N/A,SUM(DQ$4:DQ175,DO$4:DO175,DM$4:DM175))</f>
        <v>#N/A</v>
      </c>
      <c r="DT175" s="304" t="str">
        <f t="shared" si="283"/>
        <v/>
      </c>
      <c r="DU175" s="313" t="e">
        <f>IF($J175="",#N/A,SUM(DT$4:DT175))</f>
        <v>#N/A</v>
      </c>
      <c r="DV175" s="314" t="str">
        <f t="shared" si="284"/>
        <v/>
      </c>
      <c r="DW175" s="314" t="e">
        <f>IF($J175="",#N/A,SUM(DV$4:DV175))</f>
        <v>#N/A</v>
      </c>
      <c r="DX175" s="315" t="str">
        <f t="shared" si="285"/>
        <v/>
      </c>
      <c r="DY175" s="315" t="e">
        <f>IF($J175="",#N/A,SUM(DX$4:DX175))</f>
        <v>#N/A</v>
      </c>
      <c r="DZ175" s="315" t="e">
        <f>IF($J175="",#N/A,SUM(DX$4:DX175,DV$4:DV175,DT$4:DT175))</f>
        <v>#N/A</v>
      </c>
      <c r="EA175" s="304" t="str">
        <f t="shared" si="286"/>
        <v/>
      </c>
      <c r="EB175" s="313" t="e">
        <f>IF($J175="",#N/A,SUM(EA$4:EA175))</f>
        <v>#N/A</v>
      </c>
      <c r="EC175" s="314" t="str">
        <f t="shared" si="287"/>
        <v/>
      </c>
      <c r="ED175" s="314" t="e">
        <f>IF($J175="",#N/A,SUM(EC$4:EC175))</f>
        <v>#N/A</v>
      </c>
      <c r="EE175" s="315" t="str">
        <f t="shared" si="288"/>
        <v/>
      </c>
      <c r="EF175" s="315" t="e">
        <f>IF($J175="",#N/A,SUM(EE$4:EE175))</f>
        <v>#N/A</v>
      </c>
      <c r="EG175" s="315" t="e">
        <f>IF($J175="",#N/A,SUM(EE$4:EE175,EC$4:EC175,EA$4:EA175))</f>
        <v>#N/A</v>
      </c>
      <c r="EH175" s="130">
        <f t="shared" si="289"/>
        <v>27.040000000000077</v>
      </c>
      <c r="EI175" s="63">
        <f>IF(EH175="",#N/A,SUM($EH$4:EH175))</f>
        <v>640.6995400298091</v>
      </c>
      <c r="EJ175" s="223" t="e">
        <f t="shared" si="290"/>
        <v>#N/A</v>
      </c>
      <c r="EK175" s="63" t="e">
        <f>IF($GZ175="",#N/A,SUM(EJ$4:EJ175))</f>
        <v>#N/A</v>
      </c>
      <c r="EL175" s="60">
        <f t="shared" si="322"/>
        <v>0.82268467810636736</v>
      </c>
      <c r="EM175" s="60">
        <f>IF(EL175="",NA(),SUM($EL$4:EL175))</f>
        <v>21.085996171277113</v>
      </c>
      <c r="EN175" s="60">
        <f t="shared" si="291"/>
        <v>0.82268467810636736</v>
      </c>
      <c r="EO175" s="60">
        <f>IF(EN175="",NA(),SUM($EN$4:EN175))</f>
        <v>8.4396968932342578</v>
      </c>
      <c r="EP175" s="60" t="str">
        <f t="shared" si="292"/>
        <v/>
      </c>
      <c r="EQ175" s="60" t="e">
        <f>IF(EP175="",NA(),SUM($EP$4:EP175))</f>
        <v>#N/A</v>
      </c>
      <c r="ER175" s="60" t="str">
        <f t="shared" si="293"/>
        <v/>
      </c>
      <c r="ES175" s="60" t="e">
        <f>IF(ER175="",NA(),SUM($ER$4:ER175))</f>
        <v>#N/A</v>
      </c>
      <c r="ET175" s="60" t="str">
        <f t="shared" si="294"/>
        <v/>
      </c>
      <c r="EU175" s="60" t="e">
        <f>IF(ET175="",NA(),SUM($ET$4:ET175))</f>
        <v>#N/A</v>
      </c>
      <c r="EV175" s="60" t="str">
        <f t="shared" si="295"/>
        <v/>
      </c>
      <c r="EW175" s="60" t="e">
        <f>IF(EV175="",NA(),SUM($EV$4:EV175))</f>
        <v>#N/A</v>
      </c>
      <c r="EX175" s="60" t="str">
        <f t="shared" si="296"/>
        <v/>
      </c>
      <c r="EY175" s="60" t="e">
        <f>IF(EX175="",NA(),SUM($EX$4:EX175))</f>
        <v>#N/A</v>
      </c>
      <c r="EZ175" s="60" t="str">
        <f t="shared" si="297"/>
        <v/>
      </c>
      <c r="FA175" s="60" t="e">
        <f>IF(EZ175="",NA(),SUM($EZ$4:EZ175))</f>
        <v>#N/A</v>
      </c>
      <c r="FB175" s="246" t="str">
        <f t="shared" si="323"/>
        <v/>
      </c>
      <c r="FC175" s="246" t="e">
        <f>IF($FB175="",#N/A,SUM(FB$4:$FB175))</f>
        <v>#N/A</v>
      </c>
      <c r="FD175" s="60" t="str">
        <f t="shared" si="298"/>
        <v/>
      </c>
      <c r="FE175" s="60" t="e">
        <f>IF($FD175="",#N/A,SUM($FD$4:FD175))</f>
        <v>#N/A</v>
      </c>
      <c r="FF175" s="60">
        <f t="shared" si="299"/>
        <v>-0.84215650480710935</v>
      </c>
      <c r="FG175" s="60">
        <f>IF($FF175="",#N/A,SUM($FF$4:FF175))</f>
        <v>-0.94813838584744348</v>
      </c>
      <c r="FH175" s="60" t="str">
        <f t="shared" si="300"/>
        <v/>
      </c>
      <c r="FI175" s="60" t="e">
        <f>IF($FH175="",#N/A,SUM($FH$4:FH175))</f>
        <v>#N/A</v>
      </c>
      <c r="FJ175" s="60" t="str">
        <f t="shared" si="301"/>
        <v/>
      </c>
      <c r="FK175" s="60" t="e">
        <f>IF($FJ175="",#N/A,SUM($FJ$4:FJ175))</f>
        <v>#N/A</v>
      </c>
      <c r="FL175" s="60" t="str">
        <f t="shared" si="302"/>
        <v/>
      </c>
      <c r="FM175" s="60" t="e">
        <f>IF($FL175="",#N/A,SUM($FL$4:FL175))</f>
        <v>#N/A</v>
      </c>
      <c r="FN175" s="82">
        <f t="shared" si="303"/>
        <v>-1.9471826700741952E-2</v>
      </c>
      <c r="FO175" s="82">
        <f>IF($FN175="",#N/A,SUM(FN$4:$FN175))</f>
        <v>27.507973606924608</v>
      </c>
      <c r="FP175" s="82">
        <f t="shared" si="324"/>
        <v>0.82268467810636736</v>
      </c>
      <c r="FQ175" s="246">
        <f>IF($EH175="",#N/A,SUM($FP$4:FP175))</f>
        <v>24.746784234758383</v>
      </c>
      <c r="FR175" s="82">
        <f>IFERROR(FQ175/COUNTA($J$4:J175),#N/A)</f>
        <v>0.14387665252766502</v>
      </c>
      <c r="FS175" s="82">
        <f t="shared" si="332"/>
        <v>3.0875432947779363E-2</v>
      </c>
      <c r="FT175" s="82">
        <f t="shared" si="333"/>
        <v>0.1943770615861036</v>
      </c>
      <c r="FU175" s="337">
        <f t="shared" si="331"/>
        <v>14.354010962279323</v>
      </c>
      <c r="FV175" s="57" t="str">
        <f t="shared" si="305"/>
        <v>Up</v>
      </c>
      <c r="FW175" s="57" t="s">
        <v>2733</v>
      </c>
      <c r="FX175" s="57">
        <f t="shared" si="306"/>
        <v>1</v>
      </c>
      <c r="FY175" s="57" t="str">
        <f t="shared" si="307"/>
        <v/>
      </c>
      <c r="FZ175" s="57" t="str">
        <f t="shared" si="308"/>
        <v/>
      </c>
      <c r="GA175" s="57" t="str">
        <f t="shared" si="309"/>
        <v>Long</v>
      </c>
      <c r="GB175" s="57" t="str">
        <f t="shared" si="310"/>
        <v/>
      </c>
      <c r="GC175" s="57" t="str">
        <f t="shared" si="311"/>
        <v/>
      </c>
      <c r="GD175" s="57" t="str">
        <f t="shared" si="312"/>
        <v/>
      </c>
      <c r="GE175" s="62">
        <f t="shared" si="227"/>
        <v>547.79999999999995</v>
      </c>
      <c r="GF175" s="62" t="s">
        <v>2779</v>
      </c>
      <c r="GG175" s="199">
        <v>1</v>
      </c>
      <c r="GH175" s="207">
        <f t="shared" si="313"/>
        <v>547.79999999999995</v>
      </c>
      <c r="GI175" s="199">
        <v>1</v>
      </c>
      <c r="GJ175" s="200">
        <v>576.22</v>
      </c>
      <c r="GK175" s="63">
        <f t="shared" si="314"/>
        <v>28.420000000000073</v>
      </c>
      <c r="GL175" s="63">
        <f t="shared" si="228"/>
        <v>-0.63999999999998636</v>
      </c>
      <c r="GM175" s="82" t="str">
        <f t="shared" si="315"/>
        <v/>
      </c>
      <c r="GN175" s="82">
        <f>IF($GZ175="",#N/A,SUM(GM$4:GM175))</f>
        <v>8.4970904616071508</v>
      </c>
      <c r="GO175" s="82">
        <f t="shared" si="316"/>
        <v>-1.9471826700741952E-2</v>
      </c>
      <c r="GP175" s="82">
        <f>IF($GZ175="",#N/A,SUM(GO$4:GO175))</f>
        <v>10.720765628927012</v>
      </c>
      <c r="GQ175" s="82" t="str">
        <f t="shared" si="317"/>
        <v/>
      </c>
      <c r="GR175" s="82">
        <f>IF($GZ175="",#N/A,SUM(GQ$4:GQ175))</f>
        <v>7.6642805619480985</v>
      </c>
      <c r="GS175" s="63" t="str">
        <f t="shared" si="325"/>
        <v/>
      </c>
      <c r="GT175" s="63" t="e">
        <f>IF($GZ175="",#N/A,SUM(GS$4:GS175))</f>
        <v>#N/A</v>
      </c>
      <c r="GU175" s="63" t="e">
        <f t="shared" si="326"/>
        <v>#N/A</v>
      </c>
      <c r="GV175" s="63" t="e">
        <f>IF($GZ175="",#N/A,SUM(GU$4:GU175))</f>
        <v>#N/A</v>
      </c>
      <c r="GW175" s="63" t="str">
        <f t="shared" si="327"/>
        <v/>
      </c>
      <c r="GX175" s="63" t="e">
        <f>IF($GZ175="",#N/A,SUM(GW$4:GW175))</f>
        <v>#N/A</v>
      </c>
      <c r="GY175" s="63" t="e">
        <f>IF(EJ175="",#N/A,SUM($EJ$4:EJ175))</f>
        <v>#N/A</v>
      </c>
      <c r="GZ175" s="159">
        <v>547.16</v>
      </c>
      <c r="HA175" s="63">
        <f t="shared" si="318"/>
        <v>-27.680000000000064</v>
      </c>
      <c r="HB175" s="62" t="s">
        <v>2538</v>
      </c>
      <c r="HC175" s="60">
        <f>IFERROR(VLOOKUP(E175,Expectancy!$P$4:$S$19,1+C175,FALSE),"")</f>
        <v>0.35290544702120547</v>
      </c>
      <c r="HD175" s="82">
        <f t="shared" si="319"/>
        <v>0.8646708044298429</v>
      </c>
      <c r="HE175" s="60">
        <f>IF(HD175="",#N/A,SUM($HD$4:HD175))</f>
        <v>-4.1372267275209396</v>
      </c>
      <c r="HF175" s="85">
        <f>IF(HD175="",#N/A,IF(HB175="Skip",#N/A,SUM($HG$4:HG175)))</f>
        <v>-69.939999999999941</v>
      </c>
      <c r="HG175" s="63">
        <f t="shared" si="320"/>
        <v>28.420000000000073</v>
      </c>
      <c r="HH175" s="82">
        <f t="shared" si="321"/>
        <v>-1.9471826700741952E-2</v>
      </c>
    </row>
    <row r="176" spans="1:216" x14ac:dyDescent="0.25">
      <c r="A176" s="57" t="s">
        <v>1472</v>
      </c>
      <c r="B176" s="58" t="s">
        <v>5193</v>
      </c>
      <c r="C176" s="386">
        <f t="shared" si="230"/>
        <v>1</v>
      </c>
      <c r="D176" s="372" t="str">
        <f>_xlfn.XLOOKUP(A176,[1]SP500!$A$2:$A$502,[1]SP500!$D$2:$D$502,"N")</f>
        <v>Y</v>
      </c>
      <c r="E176" s="57" t="str">
        <f>_xlfn.XLOOKUP(A176,[1]SP500!$A$2:$A$655,[1]SP500!$B$2:$B$655)</f>
        <v>XLF</v>
      </c>
      <c r="F176" s="59">
        <v>45692</v>
      </c>
      <c r="G176" s="57" t="str">
        <f t="shared" si="231"/>
        <v>BMO</v>
      </c>
      <c r="H176" s="57" t="str">
        <f t="shared" si="232"/>
        <v>s</v>
      </c>
      <c r="I176" s="159">
        <v>330.67</v>
      </c>
      <c r="J176" s="159">
        <v>312.05</v>
      </c>
      <c r="K176" s="61">
        <f t="shared" si="233"/>
        <v>-5.6309916230683169E-2</v>
      </c>
      <c r="L176" s="87">
        <f t="shared" si="234"/>
        <v>-18.620000000000005</v>
      </c>
      <c r="M176" s="130">
        <f t="shared" si="226"/>
        <v>0</v>
      </c>
      <c r="N176" s="169">
        <f t="shared" si="235"/>
        <v>-18.620000000000005</v>
      </c>
      <c r="O176" s="169">
        <f>IF($J176="",#N/A,SUM($N$4:N176))</f>
        <v>307.45976368961385</v>
      </c>
      <c r="P176" s="174" t="str">
        <f t="shared" si="236"/>
        <v/>
      </c>
      <c r="Q176" s="174">
        <f>IF($J176="",#N/A,SUM($P$4:P176))</f>
        <v>148.63104023772638</v>
      </c>
      <c r="R176" s="178" t="str">
        <f t="shared" si="237"/>
        <v/>
      </c>
      <c r="S176" s="178">
        <f>IF($J176="",#N/A,SUM($R$4:R176))</f>
        <v>165.98873610246864</v>
      </c>
      <c r="T176" s="290">
        <f t="shared" si="238"/>
        <v>-0.93849860384471961</v>
      </c>
      <c r="U176" s="290">
        <f>IF($J176="",#N/A,SUM($T$4:T176))</f>
        <v>11.387347820248037</v>
      </c>
      <c r="V176" s="291" t="str">
        <f t="shared" si="239"/>
        <v/>
      </c>
      <c r="W176" s="291">
        <f>IF($J176="",#N/A,SUM($V$4:V176))</f>
        <v>5.7784525130627893</v>
      </c>
      <c r="X176" s="292" t="str">
        <f t="shared" si="240"/>
        <v/>
      </c>
      <c r="Y176" s="283">
        <f>IF($J176="",#N/A,SUM($X$4:X176))</f>
        <v>6.6424852976028319</v>
      </c>
      <c r="Z176" s="304" t="str">
        <f t="shared" si="241"/>
        <v/>
      </c>
      <c r="AA176" s="313" t="e">
        <f>IF($J176="",#N/A,SUM(Z$4:Z176))</f>
        <v>#N/A</v>
      </c>
      <c r="AB176" s="314" t="str">
        <f t="shared" si="242"/>
        <v/>
      </c>
      <c r="AC176" s="314" t="e">
        <f>IF($J176="",#N/A,SUM(AB$4:AB176))</f>
        <v>#N/A</v>
      </c>
      <c r="AD176" s="315" t="str">
        <f t="shared" si="243"/>
        <v/>
      </c>
      <c r="AE176" s="315" t="e">
        <f>IF($J176="",#N/A,SUM(AD$4:AD176))</f>
        <v>#N/A</v>
      </c>
      <c r="AF176" s="315" t="e">
        <f>IF($J176="",#N/A,SUM(AD$4:AD176,AB$4:AB176,Z$4:Z176))</f>
        <v>#N/A</v>
      </c>
      <c r="AG176" s="304" t="str">
        <f t="shared" si="244"/>
        <v/>
      </c>
      <c r="AH176" s="313" t="e">
        <f>IF($J176="",#N/A,SUM(AG$4:AG176))</f>
        <v>#N/A</v>
      </c>
      <c r="AI176" s="314" t="str">
        <f t="shared" si="245"/>
        <v/>
      </c>
      <c r="AJ176" s="314" t="e">
        <f>IF($J176="",#N/A,SUM(AI$4:AI176))</f>
        <v>#N/A</v>
      </c>
      <c r="AK176" s="315" t="str">
        <f t="shared" si="246"/>
        <v/>
      </c>
      <c r="AL176" s="315" t="e">
        <f>IF($J176="",#N/A,SUM(AK$4:AK176))</f>
        <v>#N/A</v>
      </c>
      <c r="AM176" s="315" t="e">
        <f>IF($J176="",#N/A,SUM(AK$4:AK176,AI$4:AI176,AG$4:AG176))</f>
        <v>#N/A</v>
      </c>
      <c r="AN176" s="304" t="str">
        <f t="shared" si="247"/>
        <v/>
      </c>
      <c r="AO176" s="313" t="e">
        <f>IF($J176="",#N/A,SUM(AN$4:AN176))</f>
        <v>#N/A</v>
      </c>
      <c r="AP176" s="314" t="str">
        <f t="shared" si="248"/>
        <v/>
      </c>
      <c r="AQ176" s="314" t="e">
        <f>IF($J176="",#N/A,SUM(AP$4:AP176))</f>
        <v>#N/A</v>
      </c>
      <c r="AR176" s="315" t="str">
        <f t="shared" si="249"/>
        <v/>
      </c>
      <c r="AS176" s="315" t="e">
        <f>IF($J176="",#N/A,SUM(AR$4:AR176))</f>
        <v>#N/A</v>
      </c>
      <c r="AT176" s="315" t="e">
        <f>IF($J176="",#N/A,SUM(AR$4:AR176,AP$4:AP176,AN$4:AN176))</f>
        <v>#N/A</v>
      </c>
      <c r="AU176" s="304" t="str">
        <f t="shared" si="250"/>
        <v/>
      </c>
      <c r="AV176" s="313" t="e">
        <f>IF($J176="",#N/A,SUM(AU$4:AU176))</f>
        <v>#N/A</v>
      </c>
      <c r="AW176" s="314" t="str">
        <f t="shared" si="251"/>
        <v/>
      </c>
      <c r="AX176" s="314" t="e">
        <f>IF($J176="",#N/A,SUM(AW$4:AW176))</f>
        <v>#N/A</v>
      </c>
      <c r="AY176" s="315" t="str">
        <f t="shared" si="252"/>
        <v/>
      </c>
      <c r="AZ176" s="315" t="e">
        <f>IF($J176="",#N/A,SUM(AY$4:AY176))</f>
        <v>#N/A</v>
      </c>
      <c r="BA176" s="315" t="e">
        <f>IF($J176="",#N/A,SUM(AY$4:AY176,AW$4:AW176,AU$4:AU176))</f>
        <v>#N/A</v>
      </c>
      <c r="BB176" s="304" t="str">
        <f t="shared" si="253"/>
        <v/>
      </c>
      <c r="BC176" s="313" t="e">
        <f>IF($J176="",#N/A,SUM(BB$4:BB176))</f>
        <v>#N/A</v>
      </c>
      <c r="BD176" s="314" t="str">
        <f t="shared" si="254"/>
        <v/>
      </c>
      <c r="BE176" s="314" t="e">
        <f>IF($J176="",#N/A,SUM(BD$4:BD176))</f>
        <v>#N/A</v>
      </c>
      <c r="BF176" s="315" t="str">
        <f t="shared" si="255"/>
        <v/>
      </c>
      <c r="BG176" s="315" t="e">
        <f>IF($J176="",#N/A,SUM(BF$4:BF176))</f>
        <v>#N/A</v>
      </c>
      <c r="BH176" s="315" t="e">
        <f>IF($J176="",#N/A,SUM(BF$4:BF176,BD$4:BD176,BB$4:BB176))</f>
        <v>#N/A</v>
      </c>
      <c r="BI176" s="304">
        <f t="shared" si="256"/>
        <v>-0.93849860384471961</v>
      </c>
      <c r="BJ176" s="313" t="e">
        <f>IF($J176="",#N/A,SUM(BI$4:BI176))</f>
        <v>#N/A</v>
      </c>
      <c r="BK176" s="314" t="str">
        <f t="shared" si="257"/>
        <v/>
      </c>
      <c r="BL176" s="314" t="e">
        <f>IF($J176="",#N/A,SUM(BK$4:BK176))</f>
        <v>#N/A</v>
      </c>
      <c r="BM176" s="315" t="str">
        <f t="shared" si="258"/>
        <v/>
      </c>
      <c r="BN176" s="315" t="e">
        <f>IF($J176="",#N/A,SUM(BM$4:BM176))</f>
        <v>#N/A</v>
      </c>
      <c r="BO176" s="315" t="e">
        <f>IF($J176="",#N/A,SUM(BM$4:BM176,BK$4:BK176,BI$4:BI176))</f>
        <v>#N/A</v>
      </c>
      <c r="BP176" s="304" t="str">
        <f t="shared" si="259"/>
        <v/>
      </c>
      <c r="BQ176" s="313" t="e">
        <f>IF($J176="",#N/A,SUM(BP$4:BP176))</f>
        <v>#N/A</v>
      </c>
      <c r="BR176" s="314" t="str">
        <f t="shared" si="260"/>
        <v/>
      </c>
      <c r="BS176" s="314" t="e">
        <f>IF($J176="",#N/A,SUM(BR$4:BR176))</f>
        <v>#N/A</v>
      </c>
      <c r="BT176" s="315" t="str">
        <f t="shared" si="261"/>
        <v/>
      </c>
      <c r="BU176" s="315" t="e">
        <f>IF($J176="",#N/A,SUM(BT$4:BT176))</f>
        <v>#N/A</v>
      </c>
      <c r="BV176" s="315" t="e">
        <f>IF($J176="",#N/A,SUM(BT$4:BT176,BR$4:BR176,BP$4:BP176))</f>
        <v>#N/A</v>
      </c>
      <c r="BW176" s="304" t="str">
        <f t="shared" si="262"/>
        <v/>
      </c>
      <c r="BX176" s="313" t="e">
        <f>IF($J176="",#N/A,SUM(BW$4:BW176))</f>
        <v>#N/A</v>
      </c>
      <c r="BY176" s="314" t="str">
        <f t="shared" si="263"/>
        <v/>
      </c>
      <c r="BZ176" s="314" t="e">
        <f>IF($J176="",#N/A,SUM(BY$4:BY176))</f>
        <v>#N/A</v>
      </c>
      <c r="CA176" s="315" t="str">
        <f t="shared" si="264"/>
        <v/>
      </c>
      <c r="CB176" s="315" t="e">
        <f>IF($J176="",#N/A,SUM(CA$4:CA176))</f>
        <v>#N/A</v>
      </c>
      <c r="CC176" s="315" t="e">
        <f>IF($J176="",#N/A,SUM(CA$4:CA176,BY$4:BY176,BW$4:BW176))</f>
        <v>#N/A</v>
      </c>
      <c r="CD176" s="304" t="str">
        <f t="shared" si="265"/>
        <v/>
      </c>
      <c r="CE176" s="313" t="e">
        <f>IF($J176="",#N/A,SUM(CD$4:CD176))</f>
        <v>#N/A</v>
      </c>
      <c r="CF176" s="314" t="str">
        <f t="shared" si="266"/>
        <v/>
      </c>
      <c r="CG176" s="314" t="e">
        <f>IF($J176="",#N/A,SUM(CF$4:CF176))</f>
        <v>#N/A</v>
      </c>
      <c r="CH176" s="315" t="str">
        <f t="shared" si="267"/>
        <v/>
      </c>
      <c r="CI176" s="315" t="e">
        <f>IF($J176="",#N/A,SUM(CH$4:CH176))</f>
        <v>#N/A</v>
      </c>
      <c r="CJ176" s="315" t="e">
        <f>IF($J176="",#N/A,SUM(CH$4:CH176,CF$4:CF176,CD$4:CD176))</f>
        <v>#N/A</v>
      </c>
      <c r="CK176" s="304" t="str">
        <f t="shared" si="268"/>
        <v/>
      </c>
      <c r="CL176" s="313" t="e">
        <f>IF($J176="",#N/A,SUM(CK$4:CK176))</f>
        <v>#N/A</v>
      </c>
      <c r="CM176" s="314" t="str">
        <f t="shared" si="269"/>
        <v/>
      </c>
      <c r="CN176" s="314" t="e">
        <f>IF($J176="",#N/A,SUM(CM$4:CM176))</f>
        <v>#N/A</v>
      </c>
      <c r="CO176" s="315" t="str">
        <f t="shared" si="270"/>
        <v/>
      </c>
      <c r="CP176" s="315" t="e">
        <f>IF($J176="",#N/A,SUM(CO$4:CO176))</f>
        <v>#N/A</v>
      </c>
      <c r="CQ176" s="315" t="e">
        <f>IF($J176="",#N/A,SUM(CO$4:CO176,CM$4:CM176,CK$4:CK176))</f>
        <v>#N/A</v>
      </c>
      <c r="CR176" s="304" t="str">
        <f t="shared" si="271"/>
        <v/>
      </c>
      <c r="CS176" s="313" t="e">
        <f>IF($J176="",#N/A,SUM(CR$4:CR176))</f>
        <v>#N/A</v>
      </c>
      <c r="CT176" s="314" t="str">
        <f t="shared" si="272"/>
        <v/>
      </c>
      <c r="CU176" s="314" t="e">
        <f>IF($J176="",#N/A,SUM(CT$4:CT176))</f>
        <v>#N/A</v>
      </c>
      <c r="CV176" s="315" t="str">
        <f t="shared" si="273"/>
        <v/>
      </c>
      <c r="CW176" s="315" t="e">
        <f>IF($J176="",#N/A,SUM(CV$4:CV176))</f>
        <v>#N/A</v>
      </c>
      <c r="CX176" s="315" t="e">
        <f>IF($J176="",#N/A,SUM(CV$4:CV176,CT$4:CT176,CR$4:CR176))</f>
        <v>#N/A</v>
      </c>
      <c r="CY176" s="304" t="str">
        <f t="shared" si="274"/>
        <v/>
      </c>
      <c r="CZ176" s="313" t="e">
        <f>IF($J176="",#N/A,SUM(CY$4:CY176))</f>
        <v>#N/A</v>
      </c>
      <c r="DA176" s="314" t="str">
        <f t="shared" si="275"/>
        <v/>
      </c>
      <c r="DB176" s="314" t="e">
        <f>IF($J176="",#N/A,SUM(DA$4:DA176))</f>
        <v>#N/A</v>
      </c>
      <c r="DC176" s="315" t="str">
        <f t="shared" si="276"/>
        <v/>
      </c>
      <c r="DD176" s="315" t="e">
        <f>IF($J176="",#N/A,SUM(DC$4:DC176))</f>
        <v>#N/A</v>
      </c>
      <c r="DE176" s="315" t="e">
        <f>IF($J176="",#N/A,SUM(DC$4:DC176,DA$4:DA176,CY$4:CY176))</f>
        <v>#N/A</v>
      </c>
      <c r="DF176" s="304" t="str">
        <f t="shared" si="277"/>
        <v/>
      </c>
      <c r="DG176" s="313" t="e">
        <f>IF($J176="",#N/A,SUM(DF$4:DF176))</f>
        <v>#N/A</v>
      </c>
      <c r="DH176" s="314" t="str">
        <f t="shared" si="278"/>
        <v/>
      </c>
      <c r="DI176" s="314" t="e">
        <f>IF($J176="",#N/A,SUM(DH$4:DH176))</f>
        <v>#N/A</v>
      </c>
      <c r="DJ176" s="315" t="str">
        <f t="shared" si="279"/>
        <v/>
      </c>
      <c r="DK176" s="315" t="e">
        <f>IF($J176="",#N/A,SUM(DJ$4:DJ176))</f>
        <v>#N/A</v>
      </c>
      <c r="DL176" s="315" t="e">
        <f>IF($J176="",#N/A,SUM(DJ$4:DJ176,DH$4:DH176,DF$4:DF176))</f>
        <v>#N/A</v>
      </c>
      <c r="DM176" s="304" t="str">
        <f t="shared" si="280"/>
        <v/>
      </c>
      <c r="DN176" s="313" t="e">
        <f>IF($J176="",#N/A,SUM(DM$4:DM176))</f>
        <v>#N/A</v>
      </c>
      <c r="DO176" s="314" t="str">
        <f t="shared" si="281"/>
        <v/>
      </c>
      <c r="DP176" s="314" t="e">
        <f>IF($J176="",#N/A,SUM(DO$4:DO176))</f>
        <v>#N/A</v>
      </c>
      <c r="DQ176" s="315" t="str">
        <f t="shared" si="282"/>
        <v/>
      </c>
      <c r="DR176" s="315" t="e">
        <f>IF($J176="",#N/A,SUM(DQ$4:DQ176))</f>
        <v>#N/A</v>
      </c>
      <c r="DS176" s="315" t="e">
        <f>IF($J176="",#N/A,SUM(DQ$4:DQ176,DO$4:DO176,DM$4:DM176))</f>
        <v>#N/A</v>
      </c>
      <c r="DT176" s="304" t="str">
        <f t="shared" si="283"/>
        <v/>
      </c>
      <c r="DU176" s="313" t="e">
        <f>IF($J176="",#N/A,SUM(DT$4:DT176))</f>
        <v>#N/A</v>
      </c>
      <c r="DV176" s="314" t="str">
        <f t="shared" si="284"/>
        <v/>
      </c>
      <c r="DW176" s="314" t="e">
        <f>IF($J176="",#N/A,SUM(DV$4:DV176))</f>
        <v>#N/A</v>
      </c>
      <c r="DX176" s="315" t="str">
        <f t="shared" si="285"/>
        <v/>
      </c>
      <c r="DY176" s="315" t="e">
        <f>IF($J176="",#N/A,SUM(DX$4:DX176))</f>
        <v>#N/A</v>
      </c>
      <c r="DZ176" s="315" t="e">
        <f>IF($J176="",#N/A,SUM(DX$4:DX176,DV$4:DV176,DT$4:DT176))</f>
        <v>#N/A</v>
      </c>
      <c r="EA176" s="304" t="str">
        <f t="shared" si="286"/>
        <v/>
      </c>
      <c r="EB176" s="313" t="e">
        <f>IF($J176="",#N/A,SUM(EA$4:EA176))</f>
        <v>#N/A</v>
      </c>
      <c r="EC176" s="314" t="str">
        <f t="shared" si="287"/>
        <v/>
      </c>
      <c r="ED176" s="314" t="e">
        <f>IF($J176="",#N/A,SUM(EC$4:EC176))</f>
        <v>#N/A</v>
      </c>
      <c r="EE176" s="315" t="str">
        <f t="shared" si="288"/>
        <v/>
      </c>
      <c r="EF176" s="315" t="e">
        <f>IF($J176="",#N/A,SUM(EE$4:EE176))</f>
        <v>#N/A</v>
      </c>
      <c r="EG176" s="315" t="e">
        <f>IF($J176="",#N/A,SUM(EE$4:EE176,EC$4:EC176,EA$4:EA176))</f>
        <v>#N/A</v>
      </c>
      <c r="EH176" s="130">
        <f t="shared" si="289"/>
        <v>-18.620000000000005</v>
      </c>
      <c r="EI176" s="63">
        <f>IF(EH176="",#N/A,SUM($EH$4:EH176))</f>
        <v>622.0795400298091</v>
      </c>
      <c r="EJ176" s="223" t="e">
        <f t="shared" si="290"/>
        <v>#N/A</v>
      </c>
      <c r="EK176" s="63" t="e">
        <f>IF($GZ176="",#N/A,SUM(EJ$4:EJ176))</f>
        <v>#N/A</v>
      </c>
      <c r="EL176" s="60">
        <f t="shared" si="322"/>
        <v>-0.93849860384471961</v>
      </c>
      <c r="EM176" s="60">
        <f>IF(EL176="",NA(),SUM($EL$4:EL176))</f>
        <v>20.147497567432392</v>
      </c>
      <c r="EN176" s="60">
        <f t="shared" si="291"/>
        <v>-0.93849860384471961</v>
      </c>
      <c r="EO176" s="60">
        <f>IF(EN176="",NA(),SUM($EN$4:EN176))</f>
        <v>7.5011982893895386</v>
      </c>
      <c r="EP176" s="60" t="str">
        <f t="shared" si="292"/>
        <v/>
      </c>
      <c r="EQ176" s="60" t="e">
        <f>IF(EP176="",NA(),SUM($EP$4:EP176))</f>
        <v>#N/A</v>
      </c>
      <c r="ER176" s="60" t="str">
        <f t="shared" si="293"/>
        <v/>
      </c>
      <c r="ES176" s="60" t="e">
        <f>IF(ER176="",NA(),SUM($ER$4:ER176))</f>
        <v>#N/A</v>
      </c>
      <c r="ET176" s="60" t="str">
        <f t="shared" si="294"/>
        <v/>
      </c>
      <c r="EU176" s="60" t="e">
        <f>IF(ET176="",NA(),SUM($ET$4:ET176))</f>
        <v>#N/A</v>
      </c>
      <c r="EV176" s="60" t="str">
        <f t="shared" si="295"/>
        <v/>
      </c>
      <c r="EW176" s="60" t="e">
        <f>IF(EV176="",NA(),SUM($EV$4:EV176))</f>
        <v>#N/A</v>
      </c>
      <c r="EX176" s="60" t="str">
        <f t="shared" si="296"/>
        <v/>
      </c>
      <c r="EY176" s="60" t="e">
        <f>IF(EX176="",NA(),SUM($EX$4:EX176))</f>
        <v>#N/A</v>
      </c>
      <c r="EZ176" s="60" t="str">
        <f t="shared" si="297"/>
        <v/>
      </c>
      <c r="FA176" s="60" t="e">
        <f>IF(EZ176="",NA(),SUM($EZ$4:EZ176))</f>
        <v>#N/A</v>
      </c>
      <c r="FB176" s="246" t="str">
        <f t="shared" si="323"/>
        <v/>
      </c>
      <c r="FC176" s="246" t="e">
        <f>IF($FB176="",#N/A,SUM(FB$4:$FB176))</f>
        <v>#N/A</v>
      </c>
      <c r="FD176" s="60" t="str">
        <f t="shared" si="298"/>
        <v/>
      </c>
      <c r="FE176" s="60" t="e">
        <f>IF($FD176="",#N/A,SUM($FD$4:FD176))</f>
        <v>#N/A</v>
      </c>
      <c r="FF176" s="60" t="str">
        <f t="shared" si="299"/>
        <v/>
      </c>
      <c r="FG176" s="60" t="e">
        <f>IF($FF176="",#N/A,SUM($FF$4:FF176))</f>
        <v>#N/A</v>
      </c>
      <c r="FH176" s="60">
        <f t="shared" si="300"/>
        <v>0.41632644832209309</v>
      </c>
      <c r="FI176" s="60">
        <f>IF($FH176="",#N/A,SUM($FH$4:FH176))</f>
        <v>-0.24061596099620586</v>
      </c>
      <c r="FJ176" s="60" t="str">
        <f t="shared" si="301"/>
        <v/>
      </c>
      <c r="FK176" s="60" t="e">
        <f>IF($FJ176="",#N/A,SUM($FJ$4:FJ176))</f>
        <v>#N/A</v>
      </c>
      <c r="FL176" s="60" t="str">
        <f t="shared" si="302"/>
        <v/>
      </c>
      <c r="FM176" s="60" t="e">
        <f>IF($FL176="",#N/A,SUM($FL$4:FL176))</f>
        <v>#N/A</v>
      </c>
      <c r="FN176" s="82">
        <f t="shared" si="303"/>
        <v>-0.52217215552262652</v>
      </c>
      <c r="FO176" s="82">
        <f>IF($FN176="",#N/A,SUM(FN$4:$FN176))</f>
        <v>26.985801451401983</v>
      </c>
      <c r="FP176" s="82">
        <f t="shared" si="324"/>
        <v>-0.93849860384471961</v>
      </c>
      <c r="FQ176" s="246">
        <f>IF($EH176="",#N/A,SUM($FP$4:FP176))</f>
        <v>23.808285630913662</v>
      </c>
      <c r="FR176" s="82">
        <f>IFERROR(FQ176/COUNTA($J$4:J176),#N/A)</f>
        <v>0.1376201481555703</v>
      </c>
      <c r="FS176" s="82">
        <f t="shared" ref="FS176:FS185" si="334">IFERROR(($FQ176-$FQ131)/COUNTA($J131:$J176),#N/A)</f>
        <v>-4.6324488383228833E-3</v>
      </c>
      <c r="FT176" s="82">
        <f t="shared" ref="FT176:FT190" si="335">IFERROR(($FQ176-$FQ155)/COUNTA($J155:$J176),#N/A)</f>
        <v>0.15588508402043305</v>
      </c>
      <c r="FU176" s="337">
        <f t="shared" si="331"/>
        <v>14.35401096227932</v>
      </c>
      <c r="FV176" s="57" t="str">
        <f t="shared" si="305"/>
        <v>Up</v>
      </c>
      <c r="FW176" s="57" t="s">
        <v>2734</v>
      </c>
      <c r="FX176" s="57" t="str">
        <f t="shared" si="306"/>
        <v/>
      </c>
      <c r="FY176" s="57" t="str">
        <f t="shared" si="307"/>
        <v/>
      </c>
      <c r="FZ176" s="57" t="str">
        <f t="shared" si="308"/>
        <v/>
      </c>
      <c r="GA176" s="57" t="str">
        <f t="shared" si="309"/>
        <v>Long</v>
      </c>
      <c r="GB176" s="57" t="str">
        <f t="shared" si="310"/>
        <v/>
      </c>
      <c r="GC176" s="57">
        <f t="shared" si="311"/>
        <v>1</v>
      </c>
      <c r="GD176" s="57" t="str">
        <f t="shared" si="312"/>
        <v/>
      </c>
      <c r="GE176" s="62">
        <f t="shared" si="227"/>
        <v>330.67</v>
      </c>
      <c r="GF176" s="62" t="s">
        <v>2779</v>
      </c>
      <c r="GG176" s="199">
        <v>1</v>
      </c>
      <c r="GH176" s="207">
        <f t="shared" si="313"/>
        <v>330.67</v>
      </c>
      <c r="GI176" s="199">
        <v>1</v>
      </c>
      <c r="GJ176" s="200">
        <v>312.05</v>
      </c>
      <c r="GK176" s="63">
        <f t="shared" si="314"/>
        <v>-18.620000000000005</v>
      </c>
      <c r="GL176" s="63">
        <f t="shared" si="228"/>
        <v>-10.360000000000014</v>
      </c>
      <c r="GM176" s="82" t="str">
        <f t="shared" si="315"/>
        <v/>
      </c>
      <c r="GN176" s="82">
        <f>IF($GZ176="",#N/A,SUM(GM$4:GM176))</f>
        <v>8.4970904616071508</v>
      </c>
      <c r="GO176" s="82">
        <f t="shared" si="316"/>
        <v>-0.52217215552262652</v>
      </c>
      <c r="GP176" s="82">
        <f>IF($GZ176="",#N/A,SUM(GO$4:GO176))</f>
        <v>10.198593473404385</v>
      </c>
      <c r="GQ176" s="82" t="str">
        <f t="shared" si="317"/>
        <v/>
      </c>
      <c r="GR176" s="82">
        <f>IF($GZ176="",#N/A,SUM(GQ$4:GQ176))</f>
        <v>7.6642805619480985</v>
      </c>
      <c r="GS176" s="63" t="str">
        <f t="shared" si="325"/>
        <v/>
      </c>
      <c r="GT176" s="63" t="e">
        <f>IF($GZ176="",#N/A,SUM(GS$4:GS176))</f>
        <v>#N/A</v>
      </c>
      <c r="GU176" s="63" t="e">
        <f t="shared" si="326"/>
        <v>#N/A</v>
      </c>
      <c r="GV176" s="63" t="e">
        <f>IF($GZ176="",#N/A,SUM(GU$4:GU176))</f>
        <v>#N/A</v>
      </c>
      <c r="GW176" s="63" t="str">
        <f t="shared" si="327"/>
        <v/>
      </c>
      <c r="GX176" s="63" t="e">
        <f>IF($GZ176="",#N/A,SUM(GW$4:GW176))</f>
        <v>#N/A</v>
      </c>
      <c r="GY176" s="63" t="e">
        <f>IF(EJ176="",#N/A,SUM($EJ$4:EJ176))</f>
        <v>#N/A</v>
      </c>
      <c r="GZ176" s="159">
        <v>320.31</v>
      </c>
      <c r="HA176" s="63">
        <f t="shared" si="318"/>
        <v>8.2599999999999909</v>
      </c>
      <c r="HB176" s="62" t="s">
        <v>2538</v>
      </c>
      <c r="HC176" s="60">
        <f>IFERROR(VLOOKUP(E176,Expectancy!$P$4:$S$19,1+C176,FALSE),"")</f>
        <v>-7.9483352726509887E-2</v>
      </c>
      <c r="HD176" s="82">
        <f t="shared" si="319"/>
        <v>-0.93849860384471961</v>
      </c>
      <c r="HE176" s="60">
        <f>IF(HD176="",#N/A,SUM($HD$4:HD176))</f>
        <v>-5.0757253313656587</v>
      </c>
      <c r="HF176" s="85">
        <f>IF(HD176="",#N/A,IF(HB176="Skip",#N/A,SUM($HG$4:HG176)))</f>
        <v>-88.559999999999945</v>
      </c>
      <c r="HG176" s="63">
        <f t="shared" si="320"/>
        <v>-18.620000000000005</v>
      </c>
      <c r="HH176" s="82">
        <f t="shared" si="321"/>
        <v>-0.52217215552262652</v>
      </c>
    </row>
    <row r="177" spans="1:216" x14ac:dyDescent="0.25">
      <c r="A177" s="57" t="s">
        <v>1477</v>
      </c>
      <c r="B177" s="58" t="s">
        <v>5192</v>
      </c>
      <c r="C177" s="386">
        <f t="shared" si="230"/>
        <v>3</v>
      </c>
      <c r="D177" s="372" t="str">
        <f>_xlfn.XLOOKUP(A177,[1]SP500!$A$2:$A$502,[1]SP500!$D$2:$D$502,"N")</f>
        <v>Y</v>
      </c>
      <c r="E177" s="57" t="str">
        <f>_xlfn.XLOOKUP(A177,[1]SP500!$A$2:$A$655,[1]SP500!$B$2:$B$655)</f>
        <v>H-INS</v>
      </c>
      <c r="F177" s="59">
        <v>45692</v>
      </c>
      <c r="G177" s="57" t="str">
        <f t="shared" si="231"/>
        <v>BMO</v>
      </c>
      <c r="H177" s="57" t="str">
        <f t="shared" si="232"/>
        <v>s</v>
      </c>
      <c r="I177" s="159">
        <v>64.819999999999993</v>
      </c>
      <c r="J177" s="159">
        <v>60.25</v>
      </c>
      <c r="K177" s="61">
        <f t="shared" si="233"/>
        <v>-7.0502931194075802E-2</v>
      </c>
      <c r="L177" s="87">
        <f t="shared" si="234"/>
        <v>-27.419999999999959</v>
      </c>
      <c r="M177" s="130">
        <f t="shared" si="226"/>
        <v>1.5</v>
      </c>
      <c r="N177" s="169" t="str">
        <f t="shared" si="235"/>
        <v/>
      </c>
      <c r="O177" s="169">
        <f>IF($J177="",#N/A,SUM($N$4:N177))</f>
        <v>307.45976368961385</v>
      </c>
      <c r="P177" s="174" t="str">
        <f t="shared" si="236"/>
        <v/>
      </c>
      <c r="Q177" s="174">
        <f>IF($J177="",#N/A,SUM($P$4:P177))</f>
        <v>148.63104023772638</v>
      </c>
      <c r="R177" s="178">
        <f t="shared" si="237"/>
        <v>-27.419999999999959</v>
      </c>
      <c r="S177" s="178">
        <f>IF($J177="",#N/A,SUM($R$4:R177))</f>
        <v>138.56873610246868</v>
      </c>
      <c r="T177" s="290" t="str">
        <f t="shared" si="238"/>
        <v/>
      </c>
      <c r="U177" s="290">
        <f>IF($J177="",#N/A,SUM($T$4:T177))</f>
        <v>11.387347820248037</v>
      </c>
      <c r="V177" s="291" t="str">
        <f t="shared" si="239"/>
        <v/>
      </c>
      <c r="W177" s="291">
        <f>IF($J177="",#N/A,SUM($V$4:V177))</f>
        <v>5.7784525130627893</v>
      </c>
      <c r="X177" s="292">
        <f t="shared" si="240"/>
        <v>-1.1750488532345968</v>
      </c>
      <c r="Y177" s="283">
        <f>IF($J177="",#N/A,SUM($X$4:X177))</f>
        <v>5.4674364443682348</v>
      </c>
      <c r="Z177" s="304" t="str">
        <f t="shared" si="241"/>
        <v/>
      </c>
      <c r="AA177" s="313" t="e">
        <f>IF($J177="",#N/A,SUM(Z$4:Z177))</f>
        <v>#N/A</v>
      </c>
      <c r="AB177" s="314" t="str">
        <f t="shared" si="242"/>
        <v/>
      </c>
      <c r="AC177" s="314" t="e">
        <f>IF($J177="",#N/A,SUM(AB$4:AB177))</f>
        <v>#N/A</v>
      </c>
      <c r="AD177" s="315" t="str">
        <f t="shared" si="243"/>
        <v/>
      </c>
      <c r="AE177" s="315" t="e">
        <f>IF($J177="",#N/A,SUM(AD$4:AD177))</f>
        <v>#N/A</v>
      </c>
      <c r="AF177" s="315" t="e">
        <f>IF($J177="",#N/A,SUM(AD$4:AD177,AB$4:AB177,Z$4:Z177))</f>
        <v>#N/A</v>
      </c>
      <c r="AG177" s="304" t="str">
        <f t="shared" si="244"/>
        <v/>
      </c>
      <c r="AH177" s="313" t="e">
        <f>IF($J177="",#N/A,SUM(AG$4:AG177))</f>
        <v>#N/A</v>
      </c>
      <c r="AI177" s="314" t="str">
        <f t="shared" si="245"/>
        <v/>
      </c>
      <c r="AJ177" s="314" t="e">
        <f>IF($J177="",#N/A,SUM(AI$4:AI177))</f>
        <v>#N/A</v>
      </c>
      <c r="AK177" s="315" t="str">
        <f t="shared" si="246"/>
        <v/>
      </c>
      <c r="AL177" s="315" t="e">
        <f>IF($J177="",#N/A,SUM(AK$4:AK177))</f>
        <v>#N/A</v>
      </c>
      <c r="AM177" s="315" t="e">
        <f>IF($J177="",#N/A,SUM(AK$4:AK177,AI$4:AI177,AG$4:AG177))</f>
        <v>#N/A</v>
      </c>
      <c r="AN177" s="304" t="str">
        <f t="shared" si="247"/>
        <v/>
      </c>
      <c r="AO177" s="313" t="e">
        <f>IF($J177="",#N/A,SUM(AN$4:AN177))</f>
        <v>#N/A</v>
      </c>
      <c r="AP177" s="314" t="str">
        <f t="shared" si="248"/>
        <v/>
      </c>
      <c r="AQ177" s="314" t="e">
        <f>IF($J177="",#N/A,SUM(AP$4:AP177))</f>
        <v>#N/A</v>
      </c>
      <c r="AR177" s="315" t="str">
        <f t="shared" si="249"/>
        <v/>
      </c>
      <c r="AS177" s="315" t="e">
        <f>IF($J177="",#N/A,SUM(AR$4:AR177))</f>
        <v>#N/A</v>
      </c>
      <c r="AT177" s="315" t="e">
        <f>IF($J177="",#N/A,SUM(AR$4:AR177,AP$4:AP177,AN$4:AN177))</f>
        <v>#N/A</v>
      </c>
      <c r="AU177" s="304" t="str">
        <f t="shared" si="250"/>
        <v/>
      </c>
      <c r="AV177" s="313" t="e">
        <f>IF($J177="",#N/A,SUM(AU$4:AU177))</f>
        <v>#N/A</v>
      </c>
      <c r="AW177" s="314" t="str">
        <f t="shared" si="251"/>
        <v/>
      </c>
      <c r="AX177" s="314" t="e">
        <f>IF($J177="",#N/A,SUM(AW$4:AW177))</f>
        <v>#N/A</v>
      </c>
      <c r="AY177" s="315" t="str">
        <f t="shared" si="252"/>
        <v/>
      </c>
      <c r="AZ177" s="315" t="e">
        <f>IF($J177="",#N/A,SUM(AY$4:AY177))</f>
        <v>#N/A</v>
      </c>
      <c r="BA177" s="315" t="e">
        <f>IF($J177="",#N/A,SUM(AY$4:AY177,AW$4:AW177,AU$4:AU177))</f>
        <v>#N/A</v>
      </c>
      <c r="BB177" s="304" t="str">
        <f t="shared" si="253"/>
        <v/>
      </c>
      <c r="BC177" s="313" t="e">
        <f>IF($J177="",#N/A,SUM(BB$4:BB177))</f>
        <v>#N/A</v>
      </c>
      <c r="BD177" s="314" t="str">
        <f t="shared" si="254"/>
        <v/>
      </c>
      <c r="BE177" s="314" t="e">
        <f>IF($J177="",#N/A,SUM(BD$4:BD177))</f>
        <v>#N/A</v>
      </c>
      <c r="BF177" s="315" t="str">
        <f t="shared" si="255"/>
        <v/>
      </c>
      <c r="BG177" s="315" t="e">
        <f>IF($J177="",#N/A,SUM(BF$4:BF177))</f>
        <v>#N/A</v>
      </c>
      <c r="BH177" s="315" t="e">
        <f>IF($J177="",#N/A,SUM(BF$4:BF177,BD$4:BD177,BB$4:BB177))</f>
        <v>#N/A</v>
      </c>
      <c r="BI177" s="304" t="str">
        <f t="shared" si="256"/>
        <v/>
      </c>
      <c r="BJ177" s="313" t="e">
        <f>IF($J177="",#N/A,SUM(BI$4:BI177))</f>
        <v>#N/A</v>
      </c>
      <c r="BK177" s="314" t="str">
        <f t="shared" si="257"/>
        <v/>
      </c>
      <c r="BL177" s="314" t="e">
        <f>IF($J177="",#N/A,SUM(BK$4:BK177))</f>
        <v>#N/A</v>
      </c>
      <c r="BM177" s="315" t="str">
        <f t="shared" si="258"/>
        <v/>
      </c>
      <c r="BN177" s="315" t="e">
        <f>IF($J177="",#N/A,SUM(BM$4:BM177))</f>
        <v>#N/A</v>
      </c>
      <c r="BO177" s="315" t="e">
        <f>IF($J177="",#N/A,SUM(BM$4:BM177,BK$4:BK177,BI$4:BI177))</f>
        <v>#N/A</v>
      </c>
      <c r="BP177" s="304" t="str">
        <f t="shared" si="259"/>
        <v/>
      </c>
      <c r="BQ177" s="313" t="e">
        <f>IF($J177="",#N/A,SUM(BP$4:BP177))</f>
        <v>#N/A</v>
      </c>
      <c r="BR177" s="314" t="str">
        <f t="shared" si="260"/>
        <v/>
      </c>
      <c r="BS177" s="314" t="e">
        <f>IF($J177="",#N/A,SUM(BR$4:BR177))</f>
        <v>#N/A</v>
      </c>
      <c r="BT177" s="315" t="str">
        <f t="shared" si="261"/>
        <v/>
      </c>
      <c r="BU177" s="315" t="e">
        <f>IF($J177="",#N/A,SUM(BT$4:BT177))</f>
        <v>#N/A</v>
      </c>
      <c r="BV177" s="315" t="e">
        <f>IF($J177="",#N/A,SUM(BT$4:BT177,BR$4:BR177,BP$4:BP177))</f>
        <v>#N/A</v>
      </c>
      <c r="BW177" s="304" t="str">
        <f t="shared" si="262"/>
        <v/>
      </c>
      <c r="BX177" s="313" t="e">
        <f>IF($J177="",#N/A,SUM(BW$4:BW177))</f>
        <v>#N/A</v>
      </c>
      <c r="BY177" s="314" t="str">
        <f t="shared" si="263"/>
        <v/>
      </c>
      <c r="BZ177" s="314" t="e">
        <f>IF($J177="",#N/A,SUM(BY$4:BY177))</f>
        <v>#N/A</v>
      </c>
      <c r="CA177" s="315" t="str">
        <f t="shared" si="264"/>
        <v/>
      </c>
      <c r="CB177" s="315" t="e">
        <f>IF($J177="",#N/A,SUM(CA$4:CA177))</f>
        <v>#N/A</v>
      </c>
      <c r="CC177" s="315" t="e">
        <f>IF($J177="",#N/A,SUM(CA$4:CA177,BY$4:BY177,BW$4:BW177))</f>
        <v>#N/A</v>
      </c>
      <c r="CD177" s="304" t="str">
        <f t="shared" si="265"/>
        <v/>
      </c>
      <c r="CE177" s="313" t="e">
        <f>IF($J177="",#N/A,SUM(CD$4:CD177))</f>
        <v>#N/A</v>
      </c>
      <c r="CF177" s="314" t="str">
        <f t="shared" si="266"/>
        <v/>
      </c>
      <c r="CG177" s="314" t="e">
        <f>IF($J177="",#N/A,SUM(CF$4:CF177))</f>
        <v>#N/A</v>
      </c>
      <c r="CH177" s="315" t="str">
        <f t="shared" si="267"/>
        <v/>
      </c>
      <c r="CI177" s="315" t="e">
        <f>IF($J177="",#N/A,SUM(CH$4:CH177))</f>
        <v>#N/A</v>
      </c>
      <c r="CJ177" s="315" t="e">
        <f>IF($J177="",#N/A,SUM(CH$4:CH177,CF$4:CF177,CD$4:CD177))</f>
        <v>#N/A</v>
      </c>
      <c r="CK177" s="304" t="str">
        <f t="shared" si="268"/>
        <v/>
      </c>
      <c r="CL177" s="313" t="e">
        <f>IF($J177="",#N/A,SUM(CK$4:CK177))</f>
        <v>#N/A</v>
      </c>
      <c r="CM177" s="314" t="str">
        <f t="shared" si="269"/>
        <v/>
      </c>
      <c r="CN177" s="314" t="e">
        <f>IF($J177="",#N/A,SUM(CM$4:CM177))</f>
        <v>#N/A</v>
      </c>
      <c r="CO177" s="315" t="str">
        <f t="shared" si="270"/>
        <v/>
      </c>
      <c r="CP177" s="315" t="e">
        <f>IF($J177="",#N/A,SUM(CO$4:CO177))</f>
        <v>#N/A</v>
      </c>
      <c r="CQ177" s="315" t="e">
        <f>IF($J177="",#N/A,SUM(CO$4:CO177,CM$4:CM177,CK$4:CK177))</f>
        <v>#N/A</v>
      </c>
      <c r="CR177" s="304" t="str">
        <f t="shared" si="271"/>
        <v/>
      </c>
      <c r="CS177" s="313" t="e">
        <f>IF($J177="",#N/A,SUM(CR$4:CR177))</f>
        <v>#N/A</v>
      </c>
      <c r="CT177" s="314" t="str">
        <f t="shared" si="272"/>
        <v/>
      </c>
      <c r="CU177" s="314" t="e">
        <f>IF($J177="",#N/A,SUM(CT$4:CT177))</f>
        <v>#N/A</v>
      </c>
      <c r="CV177" s="315" t="str">
        <f t="shared" si="273"/>
        <v/>
      </c>
      <c r="CW177" s="315" t="e">
        <f>IF($J177="",#N/A,SUM(CV$4:CV177))</f>
        <v>#N/A</v>
      </c>
      <c r="CX177" s="315" t="e">
        <f>IF($J177="",#N/A,SUM(CV$4:CV177,CT$4:CT177,CR$4:CR177))</f>
        <v>#N/A</v>
      </c>
      <c r="CY177" s="304" t="str">
        <f t="shared" si="274"/>
        <v/>
      </c>
      <c r="CZ177" s="313" t="e">
        <f>IF($J177="",#N/A,SUM(CY$4:CY177))</f>
        <v>#N/A</v>
      </c>
      <c r="DA177" s="314" t="str">
        <f t="shared" si="275"/>
        <v/>
      </c>
      <c r="DB177" s="314" t="e">
        <f>IF($J177="",#N/A,SUM(DA$4:DA177))</f>
        <v>#N/A</v>
      </c>
      <c r="DC177" s="315" t="str">
        <f t="shared" si="276"/>
        <v/>
      </c>
      <c r="DD177" s="315" t="e">
        <f>IF($J177="",#N/A,SUM(DC$4:DC177))</f>
        <v>#N/A</v>
      </c>
      <c r="DE177" s="315" t="e">
        <f>IF($J177="",#N/A,SUM(DC$4:DC177,DA$4:DA177,CY$4:CY177))</f>
        <v>#N/A</v>
      </c>
      <c r="DF177" s="304" t="str">
        <f t="shared" si="277"/>
        <v/>
      </c>
      <c r="DG177" s="313" t="e">
        <f>IF($J177="",#N/A,SUM(DF$4:DF177))</f>
        <v>#N/A</v>
      </c>
      <c r="DH177" s="314" t="str">
        <f t="shared" si="278"/>
        <v/>
      </c>
      <c r="DI177" s="314" t="e">
        <f>IF($J177="",#N/A,SUM(DH$4:DH177))</f>
        <v>#N/A</v>
      </c>
      <c r="DJ177" s="315" t="str">
        <f t="shared" si="279"/>
        <v/>
      </c>
      <c r="DK177" s="315" t="e">
        <f>IF($J177="",#N/A,SUM(DJ$4:DJ177))</f>
        <v>#N/A</v>
      </c>
      <c r="DL177" s="315" t="e">
        <f>IF($J177="",#N/A,SUM(DJ$4:DJ177,DH$4:DH177,DF$4:DF177))</f>
        <v>#N/A</v>
      </c>
      <c r="DM177" s="304" t="str">
        <f t="shared" si="280"/>
        <v/>
      </c>
      <c r="DN177" s="313" t="e">
        <f>IF($J177="",#N/A,SUM(DM$4:DM177))</f>
        <v>#N/A</v>
      </c>
      <c r="DO177" s="314" t="str">
        <f t="shared" si="281"/>
        <v/>
      </c>
      <c r="DP177" s="314" t="e">
        <f>IF($J177="",#N/A,SUM(DO$4:DO177))</f>
        <v>#N/A</v>
      </c>
      <c r="DQ177" s="315" t="str">
        <f t="shared" si="282"/>
        <v/>
      </c>
      <c r="DR177" s="315" t="e">
        <f>IF($J177="",#N/A,SUM(DQ$4:DQ177))</f>
        <v>#N/A</v>
      </c>
      <c r="DS177" s="315" t="e">
        <f>IF($J177="",#N/A,SUM(DQ$4:DQ177,DO$4:DO177,DM$4:DM177))</f>
        <v>#N/A</v>
      </c>
      <c r="DT177" s="304" t="str">
        <f t="shared" si="283"/>
        <v/>
      </c>
      <c r="DU177" s="313" t="e">
        <f>IF($J177="",#N/A,SUM(DT$4:DT177))</f>
        <v>#N/A</v>
      </c>
      <c r="DV177" s="314" t="str">
        <f t="shared" si="284"/>
        <v/>
      </c>
      <c r="DW177" s="314" t="e">
        <f>IF($J177="",#N/A,SUM(DV$4:DV177))</f>
        <v>#N/A</v>
      </c>
      <c r="DX177" s="315">
        <f t="shared" si="285"/>
        <v>-1.1750488532345968</v>
      </c>
      <c r="DY177" s="315" t="e">
        <f>IF($J177="",#N/A,SUM(DX$4:DX177))</f>
        <v>#N/A</v>
      </c>
      <c r="DZ177" s="315" t="e">
        <f>IF($J177="",#N/A,SUM(DX$4:DX177,DV$4:DV177,DT$4:DT177))</f>
        <v>#N/A</v>
      </c>
      <c r="EA177" s="304" t="str">
        <f t="shared" si="286"/>
        <v/>
      </c>
      <c r="EB177" s="313" t="e">
        <f>IF($J177="",#N/A,SUM(EA$4:EA177))</f>
        <v>#N/A</v>
      </c>
      <c r="EC177" s="314" t="str">
        <f t="shared" si="287"/>
        <v/>
      </c>
      <c r="ED177" s="314" t="e">
        <f>IF($J177="",#N/A,SUM(EC$4:EC177))</f>
        <v>#N/A</v>
      </c>
      <c r="EE177" s="315" t="str">
        <f t="shared" si="288"/>
        <v/>
      </c>
      <c r="EF177" s="315" t="e">
        <f>IF($J177="",#N/A,SUM(EE$4:EE177))</f>
        <v>#N/A</v>
      </c>
      <c r="EG177" s="315" t="e">
        <f>IF($J177="",#N/A,SUM(EE$4:EE177,EC$4:EC177,EA$4:EA177))</f>
        <v>#N/A</v>
      </c>
      <c r="EH177" s="130">
        <f t="shared" si="289"/>
        <v>-27.419999999999959</v>
      </c>
      <c r="EI177" s="63">
        <f>IF(EH177="",#N/A,SUM($EH$4:EH177))</f>
        <v>594.65954002980914</v>
      </c>
      <c r="EJ177" s="223" t="e">
        <f t="shared" si="290"/>
        <v>#N/A</v>
      </c>
      <c r="EK177" s="63" t="e">
        <f>IF($GZ177="",#N/A,SUM(EJ$4:EJ177))</f>
        <v>#N/A</v>
      </c>
      <c r="EL177" s="60">
        <f t="shared" si="322"/>
        <v>-1.1750488532345968</v>
      </c>
      <c r="EM177" s="60">
        <f>IF(EL177="",NA(),SUM($EL$4:EL177))</f>
        <v>18.972448714197796</v>
      </c>
      <c r="EN177" s="60" t="str">
        <f t="shared" si="291"/>
        <v/>
      </c>
      <c r="EO177" s="60" t="e">
        <f>IF(EN177="",NA(),SUM($EN$4:EN177))</f>
        <v>#N/A</v>
      </c>
      <c r="EP177" s="60">
        <f t="shared" si="292"/>
        <v>-1.1750488532345968</v>
      </c>
      <c r="EQ177" s="60">
        <f>IF(EP177="",NA(),SUM($EP$4:EP177))</f>
        <v>6.3951933644454293</v>
      </c>
      <c r="ER177" s="60" t="str">
        <f t="shared" si="293"/>
        <v/>
      </c>
      <c r="ES177" s="60" t="e">
        <f>IF(ER177="",NA(),SUM($ER$4:ER177))</f>
        <v>#N/A</v>
      </c>
      <c r="ET177" s="60" t="str">
        <f t="shared" si="294"/>
        <v/>
      </c>
      <c r="EU177" s="60" t="e">
        <f>IF(ET177="",NA(),SUM($ET$4:ET177))</f>
        <v>#N/A</v>
      </c>
      <c r="EV177" s="60" t="str">
        <f t="shared" si="295"/>
        <v/>
      </c>
      <c r="EW177" s="60" t="e">
        <f>IF(EV177="",NA(),SUM($EV$4:EV177))</f>
        <v>#N/A</v>
      </c>
      <c r="EX177" s="60" t="str">
        <f t="shared" si="296"/>
        <v/>
      </c>
      <c r="EY177" s="60" t="e">
        <f>IF(EX177="",NA(),SUM($EX$4:EX177))</f>
        <v>#N/A</v>
      </c>
      <c r="EZ177" s="60" t="str">
        <f t="shared" si="297"/>
        <v/>
      </c>
      <c r="FA177" s="60" t="e">
        <f>IF(EZ177="",NA(),SUM($EZ$4:EZ177))</f>
        <v>#N/A</v>
      </c>
      <c r="FB177" s="246" t="str">
        <f t="shared" si="323"/>
        <v/>
      </c>
      <c r="FC177" s="246" t="e">
        <f>IF($FB177="",#N/A,SUM(FB$4:$FB177))</f>
        <v>#N/A</v>
      </c>
      <c r="FD177" s="60" t="str">
        <f t="shared" si="298"/>
        <v/>
      </c>
      <c r="FE177" s="60" t="e">
        <f>IF($FD177="",#N/A,SUM($FD$4:FD177))</f>
        <v>#N/A</v>
      </c>
      <c r="FF177" s="60" t="str">
        <f t="shared" si="299"/>
        <v/>
      </c>
      <c r="FG177" s="60" t="e">
        <f>IF($FF177="",#N/A,SUM($FF$4:FF177))</f>
        <v>#N/A</v>
      </c>
      <c r="FH177" s="60" t="str">
        <f t="shared" si="300"/>
        <v/>
      </c>
      <c r="FI177" s="60" t="e">
        <f>IF($FH177="",#N/A,SUM($FH$4:FH177))</f>
        <v>#N/A</v>
      </c>
      <c r="FJ177" s="60" t="str">
        <f t="shared" si="301"/>
        <v/>
      </c>
      <c r="FK177" s="60" t="e">
        <f>IF($FJ177="",#N/A,SUM($FJ$4:FJ177))</f>
        <v>#N/A</v>
      </c>
      <c r="FL177" s="60">
        <f t="shared" si="302"/>
        <v>0.26740717885426357</v>
      </c>
      <c r="FM177" s="60">
        <f>IF($FL177="",#N/A,SUM($FL$4:FL177))</f>
        <v>4.0877868704875633</v>
      </c>
      <c r="FN177" s="82">
        <f t="shared" si="303"/>
        <v>-0.90764167438033327</v>
      </c>
      <c r="FO177" s="82">
        <f>IF($FN177="",#N/A,SUM(FN$4:$FN177))</f>
        <v>26.07815977702165</v>
      </c>
      <c r="FP177" s="82">
        <f t="shared" si="324"/>
        <v>-1.1750488532345968</v>
      </c>
      <c r="FQ177" s="246">
        <f>IF($EH177="",#N/A,SUM($FP$4:FP177))</f>
        <v>22.633236777679066</v>
      </c>
      <c r="FR177" s="82">
        <f>IFERROR(FQ177/COUNTA($J$4:J177),#N/A)</f>
        <v>0.13007607343493716</v>
      </c>
      <c r="FS177" s="82">
        <f t="shared" si="334"/>
        <v>-3.3789087755335109E-2</v>
      </c>
      <c r="FT177" s="82">
        <f t="shared" si="335"/>
        <v>0.11959187948599524</v>
      </c>
      <c r="FU177" s="337">
        <f t="shared" si="331"/>
        <v>14.289730390439354</v>
      </c>
      <c r="FV177" s="57" t="str">
        <f t="shared" si="305"/>
        <v>SW</v>
      </c>
      <c r="FW177" s="57" t="s">
        <v>2732</v>
      </c>
      <c r="FX177" s="57" t="str">
        <f t="shared" si="306"/>
        <v/>
      </c>
      <c r="FY177" s="57" t="str">
        <f t="shared" si="307"/>
        <v/>
      </c>
      <c r="FZ177" s="57" t="str">
        <f t="shared" si="308"/>
        <v/>
      </c>
      <c r="GA177" s="57" t="str">
        <f t="shared" si="309"/>
        <v>Long</v>
      </c>
      <c r="GB177" s="57" t="str">
        <f t="shared" si="310"/>
        <v/>
      </c>
      <c r="GC177" s="57" t="str">
        <f t="shared" si="311"/>
        <v/>
      </c>
      <c r="GD177" s="57">
        <f t="shared" si="312"/>
        <v>1</v>
      </c>
      <c r="GE177" s="62">
        <f t="shared" si="227"/>
        <v>64.819999999999993</v>
      </c>
      <c r="GF177" s="62" t="s">
        <v>2779</v>
      </c>
      <c r="GG177" s="199">
        <v>6</v>
      </c>
      <c r="GH177" s="207">
        <f t="shared" si="313"/>
        <v>388.91999999999996</v>
      </c>
      <c r="GI177" s="199">
        <v>6</v>
      </c>
      <c r="GJ177" s="200">
        <v>60.5</v>
      </c>
      <c r="GK177" s="63">
        <f t="shared" si="314"/>
        <v>-25.919999999999959</v>
      </c>
      <c r="GL177" s="63">
        <f t="shared" si="228"/>
        <v>-21.17999999999995</v>
      </c>
      <c r="GM177" s="82">
        <f t="shared" si="315"/>
        <v>-0.90764167438033327</v>
      </c>
      <c r="GN177" s="82">
        <f>IF($GZ177="",#N/A,SUM(GM$4:GM177))</f>
        <v>7.5894487872268179</v>
      </c>
      <c r="GO177" s="82" t="str">
        <f t="shared" si="316"/>
        <v/>
      </c>
      <c r="GP177" s="82">
        <f>IF($GZ177="",#N/A,SUM(GO$4:GO177))</f>
        <v>10.198593473404385</v>
      </c>
      <c r="GQ177" s="82" t="str">
        <f t="shared" si="317"/>
        <v/>
      </c>
      <c r="GR177" s="82">
        <f>IF($GZ177="",#N/A,SUM(GQ$4:GQ177))</f>
        <v>7.6642805619480985</v>
      </c>
      <c r="GS177" s="63" t="e">
        <f t="shared" si="325"/>
        <v>#N/A</v>
      </c>
      <c r="GT177" s="63" t="e">
        <f>IF($GZ177="",#N/A,SUM(GS$4:GS177))</f>
        <v>#N/A</v>
      </c>
      <c r="GU177" s="63" t="str">
        <f t="shared" si="326"/>
        <v/>
      </c>
      <c r="GV177" s="63" t="e">
        <f>IF($GZ177="",#N/A,SUM(GU$4:GU177))</f>
        <v>#N/A</v>
      </c>
      <c r="GW177" s="63" t="str">
        <f t="shared" si="327"/>
        <v/>
      </c>
      <c r="GX177" s="63" t="e">
        <f>IF($GZ177="",#N/A,SUM(GW$4:GW177))</f>
        <v>#N/A</v>
      </c>
      <c r="GY177" s="63" t="e">
        <f>IF(EJ177="",#N/A,SUM($EJ$4:EJ177))</f>
        <v>#N/A</v>
      </c>
      <c r="GZ177" s="159">
        <v>61.29</v>
      </c>
      <c r="HA177" s="63">
        <f t="shared" si="318"/>
        <v>6.2400000000000091</v>
      </c>
      <c r="HB177" s="62" t="s">
        <v>2538</v>
      </c>
      <c r="HC177" s="60">
        <f>IFERROR(VLOOKUP(E177,Expectancy!$P$4:$S$19,1+C177,FALSE),"")</f>
        <v>-0.28915129598148065</v>
      </c>
      <c r="HD177" s="82">
        <f t="shared" si="319"/>
        <v>-1.1107682813946296</v>
      </c>
      <c r="HE177" s="60">
        <f>IF(HD177="",#N/A,SUM($HD$4:HD177))</f>
        <v>-6.1864936127602883</v>
      </c>
      <c r="HF177" s="85">
        <f>IF(HD177="",#N/A,IF(HB177="Skip",#N/A,SUM($HG$4:HG177)))</f>
        <v>-114.4799999999999</v>
      </c>
      <c r="HG177" s="63">
        <f t="shared" si="320"/>
        <v>-25.919999999999959</v>
      </c>
      <c r="HH177" s="82">
        <f t="shared" si="321"/>
        <v>-0.90764167438033327</v>
      </c>
    </row>
    <row r="178" spans="1:216" x14ac:dyDescent="0.25">
      <c r="A178" s="57" t="s">
        <v>1478</v>
      </c>
      <c r="B178" s="58" t="s">
        <v>5191</v>
      </c>
      <c r="C178" s="386">
        <f t="shared" si="230"/>
        <v>3</v>
      </c>
      <c r="D178" s="372" t="str">
        <f>_xlfn.XLOOKUP(A178,[1]SP500!$A$2:$A$502,[1]SP500!$D$2:$D$502,"N")</f>
        <v>Y</v>
      </c>
      <c r="E178" s="57" t="str">
        <f>_xlfn.XLOOKUP(A178,[1]SP500!$A$2:$A$655,[1]SP500!$B$2:$B$655)</f>
        <v>XLI</v>
      </c>
      <c r="F178" s="59">
        <v>45692</v>
      </c>
      <c r="G178" s="57" t="str">
        <f t="shared" si="231"/>
        <v>BMO</v>
      </c>
      <c r="H178" s="57" t="str">
        <f t="shared" si="232"/>
        <v>s</v>
      </c>
      <c r="I178" s="158">
        <v>122.8</v>
      </c>
      <c r="J178" s="158">
        <v>125</v>
      </c>
      <c r="K178" s="61">
        <f t="shared" si="233"/>
        <v>1.7915309446254093E-2</v>
      </c>
      <c r="L178" s="87">
        <f t="shared" si="234"/>
        <v>6.6000000000000227</v>
      </c>
      <c r="M178" s="130">
        <f t="shared" si="226"/>
        <v>7.6499999999999773</v>
      </c>
      <c r="N178" s="169" t="str">
        <f t="shared" si="235"/>
        <v/>
      </c>
      <c r="O178" s="169">
        <f>IF($J178="",#N/A,SUM($N$4:N178))</f>
        <v>307.45976368961385</v>
      </c>
      <c r="P178" s="174" t="str">
        <f t="shared" si="236"/>
        <v/>
      </c>
      <c r="Q178" s="174">
        <f>IF($J178="",#N/A,SUM($P$4:P178))</f>
        <v>148.63104023772638</v>
      </c>
      <c r="R178" s="178">
        <f t="shared" si="237"/>
        <v>6.6000000000000227</v>
      </c>
      <c r="S178" s="178">
        <f>IF($J178="",#N/A,SUM($R$4:R178))</f>
        <v>145.1687361024687</v>
      </c>
      <c r="T178" s="290" t="str">
        <f t="shared" si="238"/>
        <v/>
      </c>
      <c r="U178" s="290">
        <f>IF($J178="",#N/A,SUM($T$4:T178))</f>
        <v>11.387347820248037</v>
      </c>
      <c r="V178" s="291" t="str">
        <f t="shared" si="239"/>
        <v/>
      </c>
      <c r="W178" s="291">
        <f>IF($J178="",#N/A,SUM($V$4:V178))</f>
        <v>5.7784525130627893</v>
      </c>
      <c r="X178" s="292">
        <f t="shared" si="240"/>
        <v>0.29858849077090222</v>
      </c>
      <c r="Y178" s="283">
        <f>IF($J178="",#N/A,SUM($X$4:X178))</f>
        <v>5.7660249351391375</v>
      </c>
      <c r="Z178" s="304" t="str">
        <f t="shared" si="241"/>
        <v/>
      </c>
      <c r="AA178" s="313" t="e">
        <f>IF($J178="",#N/A,SUM(Z$4:Z178))</f>
        <v>#N/A</v>
      </c>
      <c r="AB178" s="314" t="str">
        <f t="shared" si="242"/>
        <v/>
      </c>
      <c r="AC178" s="314" t="e">
        <f>IF($J178="",#N/A,SUM(AB$4:AB178))</f>
        <v>#N/A</v>
      </c>
      <c r="AD178" s="315" t="str">
        <f t="shared" si="243"/>
        <v/>
      </c>
      <c r="AE178" s="315" t="e">
        <f>IF($J178="",#N/A,SUM(AD$4:AD178))</f>
        <v>#N/A</v>
      </c>
      <c r="AF178" s="315" t="e">
        <f>IF($J178="",#N/A,SUM(AD$4:AD178,AB$4:AB178,Z$4:Z178))</f>
        <v>#N/A</v>
      </c>
      <c r="AG178" s="304" t="str">
        <f t="shared" si="244"/>
        <v/>
      </c>
      <c r="AH178" s="313" t="e">
        <f>IF($J178="",#N/A,SUM(AG$4:AG178))</f>
        <v>#N/A</v>
      </c>
      <c r="AI178" s="314" t="str">
        <f t="shared" si="245"/>
        <v/>
      </c>
      <c r="AJ178" s="314" t="e">
        <f>IF($J178="",#N/A,SUM(AI$4:AI178))</f>
        <v>#N/A</v>
      </c>
      <c r="AK178" s="315" t="str">
        <f t="shared" si="246"/>
        <v/>
      </c>
      <c r="AL178" s="315" t="e">
        <f>IF($J178="",#N/A,SUM(AK$4:AK178))</f>
        <v>#N/A</v>
      </c>
      <c r="AM178" s="315" t="e">
        <f>IF($J178="",#N/A,SUM(AK$4:AK178,AI$4:AI178,AG$4:AG178))</f>
        <v>#N/A</v>
      </c>
      <c r="AN178" s="304" t="str">
        <f t="shared" si="247"/>
        <v/>
      </c>
      <c r="AO178" s="313" t="e">
        <f>IF($J178="",#N/A,SUM(AN$4:AN178))</f>
        <v>#N/A</v>
      </c>
      <c r="AP178" s="314" t="str">
        <f t="shared" si="248"/>
        <v/>
      </c>
      <c r="AQ178" s="314" t="e">
        <f>IF($J178="",#N/A,SUM(AP$4:AP178))</f>
        <v>#N/A</v>
      </c>
      <c r="AR178" s="315" t="str">
        <f t="shared" si="249"/>
        <v/>
      </c>
      <c r="AS178" s="315" t="e">
        <f>IF($J178="",#N/A,SUM(AR$4:AR178))</f>
        <v>#N/A</v>
      </c>
      <c r="AT178" s="315" t="e">
        <f>IF($J178="",#N/A,SUM(AR$4:AR178,AP$4:AP178,AN$4:AN178))</f>
        <v>#N/A</v>
      </c>
      <c r="AU178" s="304" t="str">
        <f t="shared" si="250"/>
        <v/>
      </c>
      <c r="AV178" s="313" t="e">
        <f>IF($J178="",#N/A,SUM(AU$4:AU178))</f>
        <v>#N/A</v>
      </c>
      <c r="AW178" s="314" t="str">
        <f t="shared" si="251"/>
        <v/>
      </c>
      <c r="AX178" s="314" t="e">
        <f>IF($J178="",#N/A,SUM(AW$4:AW178))</f>
        <v>#N/A</v>
      </c>
      <c r="AY178" s="315" t="str">
        <f t="shared" si="252"/>
        <v/>
      </c>
      <c r="AZ178" s="315" t="e">
        <f>IF($J178="",#N/A,SUM(AY$4:AY178))</f>
        <v>#N/A</v>
      </c>
      <c r="BA178" s="315" t="e">
        <f>IF($J178="",#N/A,SUM(AY$4:AY178,AW$4:AW178,AU$4:AU178))</f>
        <v>#N/A</v>
      </c>
      <c r="BB178" s="304" t="str">
        <f t="shared" si="253"/>
        <v/>
      </c>
      <c r="BC178" s="313" t="e">
        <f>IF($J178="",#N/A,SUM(BB$4:BB178))</f>
        <v>#N/A</v>
      </c>
      <c r="BD178" s="314" t="str">
        <f t="shared" si="254"/>
        <v/>
      </c>
      <c r="BE178" s="314" t="e">
        <f>IF($J178="",#N/A,SUM(BD$4:BD178))</f>
        <v>#N/A</v>
      </c>
      <c r="BF178" s="315" t="str">
        <f t="shared" si="255"/>
        <v/>
      </c>
      <c r="BG178" s="315" t="e">
        <f>IF($J178="",#N/A,SUM(BF$4:BF178))</f>
        <v>#N/A</v>
      </c>
      <c r="BH178" s="315" t="e">
        <f>IF($J178="",#N/A,SUM(BF$4:BF178,BD$4:BD178,BB$4:BB178))</f>
        <v>#N/A</v>
      </c>
      <c r="BI178" s="304" t="str">
        <f t="shared" si="256"/>
        <v/>
      </c>
      <c r="BJ178" s="313" t="e">
        <f>IF($J178="",#N/A,SUM(BI$4:BI178))</f>
        <v>#N/A</v>
      </c>
      <c r="BK178" s="314" t="str">
        <f t="shared" si="257"/>
        <v/>
      </c>
      <c r="BL178" s="314" t="e">
        <f>IF($J178="",#N/A,SUM(BK$4:BK178))</f>
        <v>#N/A</v>
      </c>
      <c r="BM178" s="315" t="str">
        <f t="shared" si="258"/>
        <v/>
      </c>
      <c r="BN178" s="315" t="e">
        <f>IF($J178="",#N/A,SUM(BM$4:BM178))</f>
        <v>#N/A</v>
      </c>
      <c r="BO178" s="315" t="e">
        <f>IF($J178="",#N/A,SUM(BM$4:BM178,BK$4:BK178,BI$4:BI178))</f>
        <v>#N/A</v>
      </c>
      <c r="BP178" s="304" t="str">
        <f t="shared" si="259"/>
        <v/>
      </c>
      <c r="BQ178" s="313" t="e">
        <f>IF($J178="",#N/A,SUM(BP$4:BP178))</f>
        <v>#N/A</v>
      </c>
      <c r="BR178" s="314" t="str">
        <f t="shared" si="260"/>
        <v/>
      </c>
      <c r="BS178" s="314" t="e">
        <f>IF($J178="",#N/A,SUM(BR$4:BR178))</f>
        <v>#N/A</v>
      </c>
      <c r="BT178" s="315">
        <f t="shared" si="261"/>
        <v>0.29858849077090222</v>
      </c>
      <c r="BU178" s="315" t="e">
        <f>IF($J178="",#N/A,SUM(BT$4:BT178))</f>
        <v>#N/A</v>
      </c>
      <c r="BV178" s="315" t="e">
        <f>IF($J178="",#N/A,SUM(BT$4:BT178,BR$4:BR178,BP$4:BP178))</f>
        <v>#N/A</v>
      </c>
      <c r="BW178" s="304" t="str">
        <f t="shared" si="262"/>
        <v/>
      </c>
      <c r="BX178" s="313" t="e">
        <f>IF($J178="",#N/A,SUM(BW$4:BW178))</f>
        <v>#N/A</v>
      </c>
      <c r="BY178" s="314" t="str">
        <f t="shared" si="263"/>
        <v/>
      </c>
      <c r="BZ178" s="314" t="e">
        <f>IF($J178="",#N/A,SUM(BY$4:BY178))</f>
        <v>#N/A</v>
      </c>
      <c r="CA178" s="315" t="str">
        <f t="shared" si="264"/>
        <v/>
      </c>
      <c r="CB178" s="315" t="e">
        <f>IF($J178="",#N/A,SUM(CA$4:CA178))</f>
        <v>#N/A</v>
      </c>
      <c r="CC178" s="315" t="e">
        <f>IF($J178="",#N/A,SUM(CA$4:CA178,BY$4:BY178,BW$4:BW178))</f>
        <v>#N/A</v>
      </c>
      <c r="CD178" s="304" t="str">
        <f t="shared" si="265"/>
        <v/>
      </c>
      <c r="CE178" s="313" t="e">
        <f>IF($J178="",#N/A,SUM(CD$4:CD178))</f>
        <v>#N/A</v>
      </c>
      <c r="CF178" s="314" t="str">
        <f t="shared" si="266"/>
        <v/>
      </c>
      <c r="CG178" s="314" t="e">
        <f>IF($J178="",#N/A,SUM(CF$4:CF178))</f>
        <v>#N/A</v>
      </c>
      <c r="CH178" s="315" t="str">
        <f t="shared" si="267"/>
        <v/>
      </c>
      <c r="CI178" s="315" t="e">
        <f>IF($J178="",#N/A,SUM(CH$4:CH178))</f>
        <v>#N/A</v>
      </c>
      <c r="CJ178" s="315" t="e">
        <f>IF($J178="",#N/A,SUM(CH$4:CH178,CF$4:CF178,CD$4:CD178))</f>
        <v>#N/A</v>
      </c>
      <c r="CK178" s="304" t="str">
        <f t="shared" si="268"/>
        <v/>
      </c>
      <c r="CL178" s="313" t="e">
        <f>IF($J178="",#N/A,SUM(CK$4:CK178))</f>
        <v>#N/A</v>
      </c>
      <c r="CM178" s="314" t="str">
        <f t="shared" si="269"/>
        <v/>
      </c>
      <c r="CN178" s="314" t="e">
        <f>IF($J178="",#N/A,SUM(CM$4:CM178))</f>
        <v>#N/A</v>
      </c>
      <c r="CO178" s="315" t="str">
        <f t="shared" si="270"/>
        <v/>
      </c>
      <c r="CP178" s="315" t="e">
        <f>IF($J178="",#N/A,SUM(CO$4:CO178))</f>
        <v>#N/A</v>
      </c>
      <c r="CQ178" s="315" t="e">
        <f>IF($J178="",#N/A,SUM(CO$4:CO178,CM$4:CM178,CK$4:CK178))</f>
        <v>#N/A</v>
      </c>
      <c r="CR178" s="304" t="str">
        <f t="shared" si="271"/>
        <v/>
      </c>
      <c r="CS178" s="313" t="e">
        <f>IF($J178="",#N/A,SUM(CR$4:CR178))</f>
        <v>#N/A</v>
      </c>
      <c r="CT178" s="314" t="str">
        <f t="shared" si="272"/>
        <v/>
      </c>
      <c r="CU178" s="314" t="e">
        <f>IF($J178="",#N/A,SUM(CT$4:CT178))</f>
        <v>#N/A</v>
      </c>
      <c r="CV178" s="315" t="str">
        <f t="shared" si="273"/>
        <v/>
      </c>
      <c r="CW178" s="315" t="e">
        <f>IF($J178="",#N/A,SUM(CV$4:CV178))</f>
        <v>#N/A</v>
      </c>
      <c r="CX178" s="315" t="e">
        <f>IF($J178="",#N/A,SUM(CV$4:CV178,CT$4:CT178,CR$4:CR178))</f>
        <v>#N/A</v>
      </c>
      <c r="CY178" s="304" t="str">
        <f t="shared" si="274"/>
        <v/>
      </c>
      <c r="CZ178" s="313" t="e">
        <f>IF($J178="",#N/A,SUM(CY$4:CY178))</f>
        <v>#N/A</v>
      </c>
      <c r="DA178" s="314" t="str">
        <f t="shared" si="275"/>
        <v/>
      </c>
      <c r="DB178" s="314" t="e">
        <f>IF($J178="",#N/A,SUM(DA$4:DA178))</f>
        <v>#N/A</v>
      </c>
      <c r="DC178" s="315" t="str">
        <f t="shared" si="276"/>
        <v/>
      </c>
      <c r="DD178" s="315" t="e">
        <f>IF($J178="",#N/A,SUM(DC$4:DC178))</f>
        <v>#N/A</v>
      </c>
      <c r="DE178" s="315" t="e">
        <f>IF($J178="",#N/A,SUM(DC$4:DC178,DA$4:DA178,CY$4:CY178))</f>
        <v>#N/A</v>
      </c>
      <c r="DF178" s="304" t="str">
        <f t="shared" si="277"/>
        <v/>
      </c>
      <c r="DG178" s="313" t="e">
        <f>IF($J178="",#N/A,SUM(DF$4:DF178))</f>
        <v>#N/A</v>
      </c>
      <c r="DH178" s="314" t="str">
        <f t="shared" si="278"/>
        <v/>
      </c>
      <c r="DI178" s="314" t="e">
        <f>IF($J178="",#N/A,SUM(DH$4:DH178))</f>
        <v>#N/A</v>
      </c>
      <c r="DJ178" s="315" t="str">
        <f t="shared" si="279"/>
        <v/>
      </c>
      <c r="DK178" s="315" t="e">
        <f>IF($J178="",#N/A,SUM(DJ$4:DJ178))</f>
        <v>#N/A</v>
      </c>
      <c r="DL178" s="315" t="e">
        <f>IF($J178="",#N/A,SUM(DJ$4:DJ178,DH$4:DH178,DF$4:DF178))</f>
        <v>#N/A</v>
      </c>
      <c r="DM178" s="304" t="str">
        <f t="shared" si="280"/>
        <v/>
      </c>
      <c r="DN178" s="313" t="e">
        <f>IF($J178="",#N/A,SUM(DM$4:DM178))</f>
        <v>#N/A</v>
      </c>
      <c r="DO178" s="314" t="str">
        <f t="shared" si="281"/>
        <v/>
      </c>
      <c r="DP178" s="314" t="e">
        <f>IF($J178="",#N/A,SUM(DO$4:DO178))</f>
        <v>#N/A</v>
      </c>
      <c r="DQ178" s="315" t="str">
        <f t="shared" si="282"/>
        <v/>
      </c>
      <c r="DR178" s="315" t="e">
        <f>IF($J178="",#N/A,SUM(DQ$4:DQ178))</f>
        <v>#N/A</v>
      </c>
      <c r="DS178" s="315" t="e">
        <f>IF($J178="",#N/A,SUM(DQ$4:DQ178,DO$4:DO178,DM$4:DM178))</f>
        <v>#N/A</v>
      </c>
      <c r="DT178" s="304" t="str">
        <f t="shared" si="283"/>
        <v/>
      </c>
      <c r="DU178" s="313" t="e">
        <f>IF($J178="",#N/A,SUM(DT$4:DT178))</f>
        <v>#N/A</v>
      </c>
      <c r="DV178" s="314" t="str">
        <f t="shared" si="284"/>
        <v/>
      </c>
      <c r="DW178" s="314" t="e">
        <f>IF($J178="",#N/A,SUM(DV$4:DV178))</f>
        <v>#N/A</v>
      </c>
      <c r="DX178" s="315" t="str">
        <f t="shared" si="285"/>
        <v/>
      </c>
      <c r="DY178" s="315" t="e">
        <f>IF($J178="",#N/A,SUM(DX$4:DX178))</f>
        <v>#N/A</v>
      </c>
      <c r="DZ178" s="315" t="e">
        <f>IF($J178="",#N/A,SUM(DX$4:DX178,DV$4:DV178,DT$4:DT178))</f>
        <v>#N/A</v>
      </c>
      <c r="EA178" s="304" t="str">
        <f t="shared" si="286"/>
        <v/>
      </c>
      <c r="EB178" s="313" t="e">
        <f>IF($J178="",#N/A,SUM(EA$4:EA178))</f>
        <v>#N/A</v>
      </c>
      <c r="EC178" s="314" t="str">
        <f t="shared" si="287"/>
        <v/>
      </c>
      <c r="ED178" s="314" t="e">
        <f>IF($J178="",#N/A,SUM(EC$4:EC178))</f>
        <v>#N/A</v>
      </c>
      <c r="EE178" s="315" t="str">
        <f t="shared" si="288"/>
        <v/>
      </c>
      <c r="EF178" s="315" t="e">
        <f>IF($J178="",#N/A,SUM(EE$4:EE178))</f>
        <v>#N/A</v>
      </c>
      <c r="EG178" s="315" t="e">
        <f>IF($J178="",#N/A,SUM(EE$4:EE178,EC$4:EC178,EA$4:EA178))</f>
        <v>#N/A</v>
      </c>
      <c r="EH178" s="130">
        <f t="shared" si="289"/>
        <v>6.6000000000000227</v>
      </c>
      <c r="EI178" s="63">
        <f>IF(EH178="",#N/A,SUM($EH$4:EH178))</f>
        <v>601.25954002980916</v>
      </c>
      <c r="EJ178" s="223" t="e">
        <f t="shared" si="290"/>
        <v>#N/A</v>
      </c>
      <c r="EK178" s="63" t="e">
        <f>IF($GZ178="",#N/A,SUM(EJ$4:EJ178))</f>
        <v>#N/A</v>
      </c>
      <c r="EL178" s="60">
        <f t="shared" si="322"/>
        <v>0.29858849077090222</v>
      </c>
      <c r="EM178" s="60">
        <f>IF(EL178="",NA(),SUM($EL$4:EL178))</f>
        <v>19.2710372049687</v>
      </c>
      <c r="EN178" s="60" t="str">
        <f t="shared" si="291"/>
        <v/>
      </c>
      <c r="EO178" s="60" t="e">
        <f>IF(EN178="",NA(),SUM($EN$4:EN178))</f>
        <v>#N/A</v>
      </c>
      <c r="EP178" s="60">
        <f t="shared" si="292"/>
        <v>0.29858849077090222</v>
      </c>
      <c r="EQ178" s="60">
        <f>IF(EP178="",NA(),SUM($EP$4:EP178))</f>
        <v>6.6937818552163311</v>
      </c>
      <c r="ER178" s="60" t="str">
        <f t="shared" si="293"/>
        <v/>
      </c>
      <c r="ES178" s="60" t="e">
        <f>IF(ER178="",NA(),SUM($ER$4:ER178))</f>
        <v>#N/A</v>
      </c>
      <c r="ET178" s="60" t="str">
        <f t="shared" si="294"/>
        <v/>
      </c>
      <c r="EU178" s="60" t="e">
        <f>IF(ET178="",NA(),SUM($ET$4:ET178))</f>
        <v>#N/A</v>
      </c>
      <c r="EV178" s="60" t="str">
        <f t="shared" si="295"/>
        <v/>
      </c>
      <c r="EW178" s="60" t="e">
        <f>IF(EV178="",NA(),SUM($EV$4:EV178))</f>
        <v>#N/A</v>
      </c>
      <c r="EX178" s="60" t="str">
        <f t="shared" si="296"/>
        <v/>
      </c>
      <c r="EY178" s="60" t="e">
        <f>IF(EX178="",NA(),SUM($EX$4:EX178))</f>
        <v>#N/A</v>
      </c>
      <c r="EZ178" s="60" t="str">
        <f t="shared" si="297"/>
        <v/>
      </c>
      <c r="FA178" s="60" t="e">
        <f>IF(EZ178="",NA(),SUM($EZ$4:EZ178))</f>
        <v>#N/A</v>
      </c>
      <c r="FB178" s="246" t="str">
        <f t="shared" si="323"/>
        <v/>
      </c>
      <c r="FC178" s="246" t="e">
        <f>IF($FB178="",#N/A,SUM(FB$4:$FB178))</f>
        <v>#N/A</v>
      </c>
      <c r="FD178" s="60" t="str">
        <f t="shared" si="298"/>
        <v/>
      </c>
      <c r="FE178" s="60" t="e">
        <f>IF($FD178="",#N/A,SUM($FD$4:FD178))</f>
        <v>#N/A</v>
      </c>
      <c r="FF178" s="60" t="str">
        <f t="shared" si="299"/>
        <v/>
      </c>
      <c r="FG178" s="60" t="e">
        <f>IF($FF178="",#N/A,SUM($FF$4:FF178))</f>
        <v>#N/A</v>
      </c>
      <c r="FH178" s="60" t="str">
        <f t="shared" si="300"/>
        <v/>
      </c>
      <c r="FI178" s="60" t="e">
        <f>IF($FH178="",#N/A,SUM($FH$4:FH178))</f>
        <v>#N/A</v>
      </c>
      <c r="FJ178" s="60">
        <f t="shared" si="301"/>
        <v>0.57546145494028356</v>
      </c>
      <c r="FK178" s="60">
        <f>IF($FJ178="",#N/A,SUM($FJ$4:FJ178))</f>
        <v>-1.3903130726886972</v>
      </c>
      <c r="FL178" s="60" t="str">
        <f t="shared" si="302"/>
        <v/>
      </c>
      <c r="FM178" s="60" t="e">
        <f>IF($FL178="",#N/A,SUM($FL$4:FL178))</f>
        <v>#N/A</v>
      </c>
      <c r="FN178" s="82">
        <f t="shared" si="303"/>
        <v>0.87404994571118577</v>
      </c>
      <c r="FO178" s="82">
        <f>IF($FN178="",#N/A,SUM(FN$4:$FN178))</f>
        <v>26.952209722732835</v>
      </c>
      <c r="FP178" s="82">
        <f t="shared" si="324"/>
        <v>0.29858849077090222</v>
      </c>
      <c r="FQ178" s="246">
        <f>IF($EH178="",#N/A,SUM($FP$4:FP178))</f>
        <v>22.93182526844997</v>
      </c>
      <c r="FR178" s="82">
        <f>IFERROR(FQ178/COUNTA($J$4:J178),#N/A)</f>
        <v>0.13103900153399983</v>
      </c>
      <c r="FS178" s="82">
        <f t="shared" si="334"/>
        <v>-2.8927653580763869E-2</v>
      </c>
      <c r="FT178" s="82">
        <f t="shared" si="335"/>
        <v>0.1587946786219315</v>
      </c>
      <c r="FU178" s="337">
        <f t="shared" si="331"/>
        <v>13.94363918522763</v>
      </c>
      <c r="FV178" s="57" t="str">
        <f t="shared" si="305"/>
        <v>SW</v>
      </c>
      <c r="FW178" s="57" t="s">
        <v>2732</v>
      </c>
      <c r="FX178" s="57" t="str">
        <f t="shared" si="306"/>
        <v/>
      </c>
      <c r="FY178" s="57" t="str">
        <f t="shared" si="307"/>
        <v/>
      </c>
      <c r="FZ178" s="57">
        <f t="shared" si="308"/>
        <v>1</v>
      </c>
      <c r="GA178" s="57" t="str">
        <f t="shared" si="309"/>
        <v>Long</v>
      </c>
      <c r="GB178" s="57" t="str">
        <f t="shared" si="310"/>
        <v/>
      </c>
      <c r="GC178" s="57" t="str">
        <f t="shared" si="311"/>
        <v/>
      </c>
      <c r="GD178" s="57" t="str">
        <f t="shared" si="312"/>
        <v/>
      </c>
      <c r="GE178" s="62">
        <f t="shared" si="227"/>
        <v>122.8</v>
      </c>
      <c r="GF178" s="62" t="s">
        <v>2779</v>
      </c>
      <c r="GG178" s="199">
        <v>3</v>
      </c>
      <c r="GH178" s="207">
        <f t="shared" si="313"/>
        <v>368.4</v>
      </c>
      <c r="GI178" s="199">
        <v>3</v>
      </c>
      <c r="GJ178" s="200">
        <v>127.55</v>
      </c>
      <c r="GK178" s="63">
        <f t="shared" si="314"/>
        <v>14.25</v>
      </c>
      <c r="GL178" s="63">
        <f t="shared" si="228"/>
        <v>19.32000000000005</v>
      </c>
      <c r="GM178" s="82">
        <f t="shared" si="315"/>
        <v>0.87404994571118577</v>
      </c>
      <c r="GN178" s="82">
        <f>IF($GZ178="",#N/A,SUM(GM$4:GM178))</f>
        <v>8.4634987329380031</v>
      </c>
      <c r="GO178" s="82" t="str">
        <f t="shared" si="316"/>
        <v/>
      </c>
      <c r="GP178" s="82">
        <f>IF($GZ178="",#N/A,SUM(GO$4:GO178))</f>
        <v>10.198593473404385</v>
      </c>
      <c r="GQ178" s="82" t="str">
        <f t="shared" si="317"/>
        <v/>
      </c>
      <c r="GR178" s="82">
        <f>IF($GZ178="",#N/A,SUM(GQ$4:GQ178))</f>
        <v>7.6642805619480985</v>
      </c>
      <c r="GS178" s="63" t="e">
        <f t="shared" si="325"/>
        <v>#N/A</v>
      </c>
      <c r="GT178" s="63" t="e">
        <f>IF($GZ178="",#N/A,SUM(GS$4:GS178))</f>
        <v>#N/A</v>
      </c>
      <c r="GU178" s="63" t="str">
        <f t="shared" si="326"/>
        <v/>
      </c>
      <c r="GV178" s="63" t="e">
        <f>IF($GZ178="",#N/A,SUM(GU$4:GU178))</f>
        <v>#N/A</v>
      </c>
      <c r="GW178" s="63" t="str">
        <f t="shared" si="327"/>
        <v/>
      </c>
      <c r="GX178" s="63" t="e">
        <f>IF($GZ178="",#N/A,SUM(GW$4:GW178))</f>
        <v>#N/A</v>
      </c>
      <c r="GY178" s="63" t="e">
        <f>IF(EJ178="",#N/A,SUM($EJ$4:EJ178))</f>
        <v>#N/A</v>
      </c>
      <c r="GZ178" s="159">
        <v>129.24</v>
      </c>
      <c r="HA178" s="63">
        <f t="shared" si="318"/>
        <v>12.720000000000027</v>
      </c>
      <c r="HB178" s="62" t="s">
        <v>2538</v>
      </c>
      <c r="HC178" s="60">
        <f>IFERROR(VLOOKUP(E178,Expectancy!$P$4:$S$19,1+C178,FALSE),"")</f>
        <v>2.40735201201209E-2</v>
      </c>
      <c r="HD178" s="82">
        <f t="shared" si="319"/>
        <v>0.64467969598262764</v>
      </c>
      <c r="HE178" s="60">
        <f>IF(HD178="",#N/A,SUM($HD$4:HD178))</f>
        <v>-5.5418139167776603</v>
      </c>
      <c r="HF178" s="85">
        <f>IF(HD178="",#N/A,IF(HB178="Skip",#N/A,SUM($HG$4:HG178)))</f>
        <v>-100.2299999999999</v>
      </c>
      <c r="HG178" s="63">
        <f t="shared" si="320"/>
        <v>14.25</v>
      </c>
      <c r="HH178" s="82">
        <f t="shared" si="321"/>
        <v>0.87404994571118577</v>
      </c>
    </row>
    <row r="179" spans="1:216" x14ac:dyDescent="0.25">
      <c r="A179" s="57" t="s">
        <v>1076</v>
      </c>
      <c r="B179" s="58" t="s">
        <v>5190</v>
      </c>
      <c r="C179" s="386">
        <f t="shared" si="230"/>
        <v>2</v>
      </c>
      <c r="D179" s="372" t="str">
        <f>_xlfn.XLOOKUP(A179,[1]SP500!$A$2:$A$502,[1]SP500!$D$2:$D$502,"N")</f>
        <v>Y</v>
      </c>
      <c r="E179" s="57" t="str">
        <f>_xlfn.XLOOKUP(A179,[1]SP500!$A$2:$A$655,[1]SP500!$B$2:$B$655)</f>
        <v>XLP</v>
      </c>
      <c r="F179" s="59">
        <v>45692</v>
      </c>
      <c r="G179" s="57" t="str">
        <f t="shared" si="231"/>
        <v>BMO</v>
      </c>
      <c r="H179" s="57" t="str">
        <f t="shared" si="232"/>
        <v>s</v>
      </c>
      <c r="I179" s="159">
        <v>50.02</v>
      </c>
      <c r="J179" s="158">
        <v>48.5</v>
      </c>
      <c r="K179" s="61">
        <f t="shared" si="233"/>
        <v>-3.0387844862055237E-2</v>
      </c>
      <c r="L179" s="87">
        <f t="shared" si="234"/>
        <v>12.160000000000025</v>
      </c>
      <c r="M179" s="130">
        <f t="shared" si="226"/>
        <v>0</v>
      </c>
      <c r="N179" s="169" t="str">
        <f t="shared" si="235"/>
        <v/>
      </c>
      <c r="O179" s="169">
        <f>IF($J179="",#N/A,SUM($N$4:N179))</f>
        <v>307.45976368961385</v>
      </c>
      <c r="P179" s="174">
        <f t="shared" si="236"/>
        <v>12.160000000000025</v>
      </c>
      <c r="Q179" s="174">
        <f>IF($J179="",#N/A,SUM($P$4:P179))</f>
        <v>160.79104023772641</v>
      </c>
      <c r="R179" s="178" t="str">
        <f t="shared" si="237"/>
        <v/>
      </c>
      <c r="S179" s="178">
        <f>IF($J179="",#N/A,SUM($R$4:R179))</f>
        <v>145.1687361024687</v>
      </c>
      <c r="T179" s="290" t="str">
        <f t="shared" si="238"/>
        <v/>
      </c>
      <c r="U179" s="290">
        <f>IF($J179="",#N/A,SUM($T$4:T179))</f>
        <v>11.387347820248037</v>
      </c>
      <c r="V179" s="291">
        <f t="shared" si="239"/>
        <v>0.506464081034254</v>
      </c>
      <c r="W179" s="291">
        <f>IF($J179="",#N/A,SUM($V$4:V179))</f>
        <v>6.2849165940970435</v>
      </c>
      <c r="X179" s="292" t="str">
        <f t="shared" si="240"/>
        <v/>
      </c>
      <c r="Y179" s="283">
        <f>IF($J179="",#N/A,SUM($X$4:X179))</f>
        <v>5.7660249351391375</v>
      </c>
      <c r="Z179" s="304" t="str">
        <f t="shared" si="241"/>
        <v/>
      </c>
      <c r="AA179" s="313" t="e">
        <f>IF($J179="",#N/A,SUM(Z$4:Z179))</f>
        <v>#N/A</v>
      </c>
      <c r="AB179" s="314" t="str">
        <f t="shared" si="242"/>
        <v/>
      </c>
      <c r="AC179" s="314" t="e">
        <f>IF($J179="",#N/A,SUM(AB$4:AB179))</f>
        <v>#N/A</v>
      </c>
      <c r="AD179" s="315" t="str">
        <f t="shared" si="243"/>
        <v/>
      </c>
      <c r="AE179" s="315" t="e">
        <f>IF($J179="",#N/A,SUM(AD$4:AD179))</f>
        <v>#N/A</v>
      </c>
      <c r="AF179" s="315" t="e">
        <f>IF($J179="",#N/A,SUM(AD$4:AD179,AB$4:AB179,Z$4:Z179))</f>
        <v>#N/A</v>
      </c>
      <c r="AG179" s="304" t="str">
        <f t="shared" si="244"/>
        <v/>
      </c>
      <c r="AH179" s="313" t="e">
        <f>IF($J179="",#N/A,SUM(AG$4:AG179))</f>
        <v>#N/A</v>
      </c>
      <c r="AI179" s="314" t="str">
        <f t="shared" si="245"/>
        <v/>
      </c>
      <c r="AJ179" s="314" t="e">
        <f>IF($J179="",#N/A,SUM(AI$4:AI179))</f>
        <v>#N/A</v>
      </c>
      <c r="AK179" s="315" t="str">
        <f t="shared" si="246"/>
        <v/>
      </c>
      <c r="AL179" s="315" t="e">
        <f>IF($J179="",#N/A,SUM(AK$4:AK179))</f>
        <v>#N/A</v>
      </c>
      <c r="AM179" s="315" t="e">
        <f>IF($J179="",#N/A,SUM(AK$4:AK179,AI$4:AI179,AG$4:AG179))</f>
        <v>#N/A</v>
      </c>
      <c r="AN179" s="304" t="str">
        <f t="shared" si="247"/>
        <v/>
      </c>
      <c r="AO179" s="313" t="e">
        <f>IF($J179="",#N/A,SUM(AN$4:AN179))</f>
        <v>#N/A</v>
      </c>
      <c r="AP179" s="314" t="str">
        <f t="shared" si="248"/>
        <v/>
      </c>
      <c r="AQ179" s="314" t="e">
        <f>IF($J179="",#N/A,SUM(AP$4:AP179))</f>
        <v>#N/A</v>
      </c>
      <c r="AR179" s="315" t="str">
        <f t="shared" si="249"/>
        <v/>
      </c>
      <c r="AS179" s="315" t="e">
        <f>IF($J179="",#N/A,SUM(AR$4:AR179))</f>
        <v>#N/A</v>
      </c>
      <c r="AT179" s="315" t="e">
        <f>IF($J179="",#N/A,SUM(AR$4:AR179,AP$4:AP179,AN$4:AN179))</f>
        <v>#N/A</v>
      </c>
      <c r="AU179" s="304" t="str">
        <f t="shared" si="250"/>
        <v/>
      </c>
      <c r="AV179" s="313" t="e">
        <f>IF($J179="",#N/A,SUM(AU$4:AU179))</f>
        <v>#N/A</v>
      </c>
      <c r="AW179" s="314">
        <f t="shared" si="251"/>
        <v>0.506464081034254</v>
      </c>
      <c r="AX179" s="314" t="e">
        <f>IF($J179="",#N/A,SUM(AW$4:AW179))</f>
        <v>#N/A</v>
      </c>
      <c r="AY179" s="315" t="str">
        <f t="shared" si="252"/>
        <v/>
      </c>
      <c r="AZ179" s="315" t="e">
        <f>IF($J179="",#N/A,SUM(AY$4:AY179))</f>
        <v>#N/A</v>
      </c>
      <c r="BA179" s="315" t="e">
        <f>IF($J179="",#N/A,SUM(AY$4:AY179,AW$4:AW179,AU$4:AU179))</f>
        <v>#N/A</v>
      </c>
      <c r="BB179" s="304" t="str">
        <f t="shared" si="253"/>
        <v/>
      </c>
      <c r="BC179" s="313" t="e">
        <f>IF($J179="",#N/A,SUM(BB$4:BB179))</f>
        <v>#N/A</v>
      </c>
      <c r="BD179" s="314" t="str">
        <f t="shared" si="254"/>
        <v/>
      </c>
      <c r="BE179" s="314" t="e">
        <f>IF($J179="",#N/A,SUM(BD$4:BD179))</f>
        <v>#N/A</v>
      </c>
      <c r="BF179" s="315" t="str">
        <f t="shared" si="255"/>
        <v/>
      </c>
      <c r="BG179" s="315" t="e">
        <f>IF($J179="",#N/A,SUM(BF$4:BF179))</f>
        <v>#N/A</v>
      </c>
      <c r="BH179" s="315" t="e">
        <f>IF($J179="",#N/A,SUM(BF$4:BF179,BD$4:BD179,BB$4:BB179))</f>
        <v>#N/A</v>
      </c>
      <c r="BI179" s="304" t="str">
        <f t="shared" si="256"/>
        <v/>
      </c>
      <c r="BJ179" s="313" t="e">
        <f>IF($J179="",#N/A,SUM(BI$4:BI179))</f>
        <v>#N/A</v>
      </c>
      <c r="BK179" s="314" t="str">
        <f t="shared" si="257"/>
        <v/>
      </c>
      <c r="BL179" s="314" t="e">
        <f>IF($J179="",#N/A,SUM(BK$4:BK179))</f>
        <v>#N/A</v>
      </c>
      <c r="BM179" s="315" t="str">
        <f t="shared" si="258"/>
        <v/>
      </c>
      <c r="BN179" s="315" t="e">
        <f>IF($J179="",#N/A,SUM(BM$4:BM179))</f>
        <v>#N/A</v>
      </c>
      <c r="BO179" s="315" t="e">
        <f>IF($J179="",#N/A,SUM(BM$4:BM179,BK$4:BK179,BI$4:BI179))</f>
        <v>#N/A</v>
      </c>
      <c r="BP179" s="304" t="str">
        <f t="shared" si="259"/>
        <v/>
      </c>
      <c r="BQ179" s="313" t="e">
        <f>IF($J179="",#N/A,SUM(BP$4:BP179))</f>
        <v>#N/A</v>
      </c>
      <c r="BR179" s="314" t="str">
        <f t="shared" si="260"/>
        <v/>
      </c>
      <c r="BS179" s="314" t="e">
        <f>IF($J179="",#N/A,SUM(BR$4:BR179))</f>
        <v>#N/A</v>
      </c>
      <c r="BT179" s="315" t="str">
        <f t="shared" si="261"/>
        <v/>
      </c>
      <c r="BU179" s="315" t="e">
        <f>IF($J179="",#N/A,SUM(BT$4:BT179))</f>
        <v>#N/A</v>
      </c>
      <c r="BV179" s="315" t="e">
        <f>IF($J179="",#N/A,SUM(BT$4:BT179,BR$4:BR179,BP$4:BP179))</f>
        <v>#N/A</v>
      </c>
      <c r="BW179" s="304" t="str">
        <f t="shared" si="262"/>
        <v/>
      </c>
      <c r="BX179" s="313" t="e">
        <f>IF($J179="",#N/A,SUM(BW$4:BW179))</f>
        <v>#N/A</v>
      </c>
      <c r="BY179" s="314" t="str">
        <f t="shared" si="263"/>
        <v/>
      </c>
      <c r="BZ179" s="314" t="e">
        <f>IF($J179="",#N/A,SUM(BY$4:BY179))</f>
        <v>#N/A</v>
      </c>
      <c r="CA179" s="315" t="str">
        <f t="shared" si="264"/>
        <v/>
      </c>
      <c r="CB179" s="315" t="e">
        <f>IF($J179="",#N/A,SUM(CA$4:CA179))</f>
        <v>#N/A</v>
      </c>
      <c r="CC179" s="315" t="e">
        <f>IF($J179="",#N/A,SUM(CA$4:CA179,BY$4:BY179,BW$4:BW179))</f>
        <v>#N/A</v>
      </c>
      <c r="CD179" s="304" t="str">
        <f t="shared" si="265"/>
        <v/>
      </c>
      <c r="CE179" s="313" t="e">
        <f>IF($J179="",#N/A,SUM(CD$4:CD179))</f>
        <v>#N/A</v>
      </c>
      <c r="CF179" s="314" t="str">
        <f t="shared" si="266"/>
        <v/>
      </c>
      <c r="CG179" s="314" t="e">
        <f>IF($J179="",#N/A,SUM(CF$4:CF179))</f>
        <v>#N/A</v>
      </c>
      <c r="CH179" s="315" t="str">
        <f t="shared" si="267"/>
        <v/>
      </c>
      <c r="CI179" s="315" t="e">
        <f>IF($J179="",#N/A,SUM(CH$4:CH179))</f>
        <v>#N/A</v>
      </c>
      <c r="CJ179" s="315" t="e">
        <f>IF($J179="",#N/A,SUM(CH$4:CH179,CF$4:CF179,CD$4:CD179))</f>
        <v>#N/A</v>
      </c>
      <c r="CK179" s="304" t="str">
        <f t="shared" si="268"/>
        <v/>
      </c>
      <c r="CL179" s="313" t="e">
        <f>IF($J179="",#N/A,SUM(CK$4:CK179))</f>
        <v>#N/A</v>
      </c>
      <c r="CM179" s="314" t="str">
        <f t="shared" si="269"/>
        <v/>
      </c>
      <c r="CN179" s="314" t="e">
        <f>IF($J179="",#N/A,SUM(CM$4:CM179))</f>
        <v>#N/A</v>
      </c>
      <c r="CO179" s="315" t="str">
        <f t="shared" si="270"/>
        <v/>
      </c>
      <c r="CP179" s="315" t="e">
        <f>IF($J179="",#N/A,SUM(CO$4:CO179))</f>
        <v>#N/A</v>
      </c>
      <c r="CQ179" s="315" t="e">
        <f>IF($J179="",#N/A,SUM(CO$4:CO179,CM$4:CM179,CK$4:CK179))</f>
        <v>#N/A</v>
      </c>
      <c r="CR179" s="304" t="str">
        <f t="shared" si="271"/>
        <v/>
      </c>
      <c r="CS179" s="313" t="e">
        <f>IF($J179="",#N/A,SUM(CR$4:CR179))</f>
        <v>#N/A</v>
      </c>
      <c r="CT179" s="314" t="str">
        <f t="shared" si="272"/>
        <v/>
      </c>
      <c r="CU179" s="314" t="e">
        <f>IF($J179="",#N/A,SUM(CT$4:CT179))</f>
        <v>#N/A</v>
      </c>
      <c r="CV179" s="315" t="str">
        <f t="shared" si="273"/>
        <v/>
      </c>
      <c r="CW179" s="315" t="e">
        <f>IF($J179="",#N/A,SUM(CV$4:CV179))</f>
        <v>#N/A</v>
      </c>
      <c r="CX179" s="315" t="e">
        <f>IF($J179="",#N/A,SUM(CV$4:CV179,CT$4:CT179,CR$4:CR179))</f>
        <v>#N/A</v>
      </c>
      <c r="CY179" s="304" t="str">
        <f t="shared" si="274"/>
        <v/>
      </c>
      <c r="CZ179" s="313" t="e">
        <f>IF($J179="",#N/A,SUM(CY$4:CY179))</f>
        <v>#N/A</v>
      </c>
      <c r="DA179" s="314" t="str">
        <f t="shared" si="275"/>
        <v/>
      </c>
      <c r="DB179" s="314" t="e">
        <f>IF($J179="",#N/A,SUM(DA$4:DA179))</f>
        <v>#N/A</v>
      </c>
      <c r="DC179" s="315" t="str">
        <f t="shared" si="276"/>
        <v/>
      </c>
      <c r="DD179" s="315" t="e">
        <f>IF($J179="",#N/A,SUM(DC$4:DC179))</f>
        <v>#N/A</v>
      </c>
      <c r="DE179" s="315" t="e">
        <f>IF($J179="",#N/A,SUM(DC$4:DC179,DA$4:DA179,CY$4:CY179))</f>
        <v>#N/A</v>
      </c>
      <c r="DF179" s="304" t="str">
        <f t="shared" si="277"/>
        <v/>
      </c>
      <c r="DG179" s="313" t="e">
        <f>IF($J179="",#N/A,SUM(DF$4:DF179))</f>
        <v>#N/A</v>
      </c>
      <c r="DH179" s="314" t="str">
        <f t="shared" si="278"/>
        <v/>
      </c>
      <c r="DI179" s="314" t="e">
        <f>IF($J179="",#N/A,SUM(DH$4:DH179))</f>
        <v>#N/A</v>
      </c>
      <c r="DJ179" s="315" t="str">
        <f t="shared" si="279"/>
        <v/>
      </c>
      <c r="DK179" s="315" t="e">
        <f>IF($J179="",#N/A,SUM(DJ$4:DJ179))</f>
        <v>#N/A</v>
      </c>
      <c r="DL179" s="315" t="e">
        <f>IF($J179="",#N/A,SUM(DJ$4:DJ179,DH$4:DH179,DF$4:DF179))</f>
        <v>#N/A</v>
      </c>
      <c r="DM179" s="304" t="str">
        <f t="shared" si="280"/>
        <v/>
      </c>
      <c r="DN179" s="313" t="e">
        <f>IF($J179="",#N/A,SUM(DM$4:DM179))</f>
        <v>#N/A</v>
      </c>
      <c r="DO179" s="314" t="str">
        <f t="shared" si="281"/>
        <v/>
      </c>
      <c r="DP179" s="314" t="e">
        <f>IF($J179="",#N/A,SUM(DO$4:DO179))</f>
        <v>#N/A</v>
      </c>
      <c r="DQ179" s="315" t="str">
        <f t="shared" si="282"/>
        <v/>
      </c>
      <c r="DR179" s="315" t="e">
        <f>IF($J179="",#N/A,SUM(DQ$4:DQ179))</f>
        <v>#N/A</v>
      </c>
      <c r="DS179" s="315" t="e">
        <f>IF($J179="",#N/A,SUM(DQ$4:DQ179,DO$4:DO179,DM$4:DM179))</f>
        <v>#N/A</v>
      </c>
      <c r="DT179" s="304" t="str">
        <f t="shared" si="283"/>
        <v/>
      </c>
      <c r="DU179" s="313" t="e">
        <f>IF($J179="",#N/A,SUM(DT$4:DT179))</f>
        <v>#N/A</v>
      </c>
      <c r="DV179" s="314" t="str">
        <f t="shared" si="284"/>
        <v/>
      </c>
      <c r="DW179" s="314" t="e">
        <f>IF($J179="",#N/A,SUM(DV$4:DV179))</f>
        <v>#N/A</v>
      </c>
      <c r="DX179" s="315" t="str">
        <f t="shared" si="285"/>
        <v/>
      </c>
      <c r="DY179" s="315" t="e">
        <f>IF($J179="",#N/A,SUM(DX$4:DX179))</f>
        <v>#N/A</v>
      </c>
      <c r="DZ179" s="315" t="e">
        <f>IF($J179="",#N/A,SUM(DX$4:DX179,DV$4:DV179,DT$4:DT179))</f>
        <v>#N/A</v>
      </c>
      <c r="EA179" s="304" t="str">
        <f t="shared" si="286"/>
        <v/>
      </c>
      <c r="EB179" s="313" t="e">
        <f>IF($J179="",#N/A,SUM(EA$4:EA179))</f>
        <v>#N/A</v>
      </c>
      <c r="EC179" s="314" t="str">
        <f t="shared" si="287"/>
        <v/>
      </c>
      <c r="ED179" s="314" t="e">
        <f>IF($J179="",#N/A,SUM(EC$4:EC179))</f>
        <v>#N/A</v>
      </c>
      <c r="EE179" s="315" t="str">
        <f t="shared" si="288"/>
        <v/>
      </c>
      <c r="EF179" s="315" t="e">
        <f>IF($J179="",#N/A,SUM(EE$4:EE179))</f>
        <v>#N/A</v>
      </c>
      <c r="EG179" s="315" t="e">
        <f>IF($J179="",#N/A,SUM(EE$4:EE179,EC$4:EC179,EA$4:EA179))</f>
        <v>#N/A</v>
      </c>
      <c r="EH179" s="130">
        <f t="shared" si="289"/>
        <v>12.160000000000025</v>
      </c>
      <c r="EI179" s="63">
        <f>IF(EH179="",#N/A,SUM($EH$4:EH179))</f>
        <v>613.41954002980924</v>
      </c>
      <c r="EJ179" s="223" t="e">
        <f t="shared" si="290"/>
        <v>#N/A</v>
      </c>
      <c r="EK179" s="63" t="e">
        <f>IF($GZ179="",#N/A,SUM(EJ$4:EJ179))</f>
        <v>#N/A</v>
      </c>
      <c r="EL179" s="60">
        <f t="shared" si="322"/>
        <v>0.506464081034254</v>
      </c>
      <c r="EM179" s="60">
        <f>IF(EL179="",NA(),SUM($EL$4:EL179))</f>
        <v>19.777501286002952</v>
      </c>
      <c r="EN179" s="60" t="str">
        <f t="shared" si="291"/>
        <v/>
      </c>
      <c r="EO179" s="60" t="e">
        <f>IF(EN179="",NA(),SUM($EN$4:EN179))</f>
        <v>#N/A</v>
      </c>
      <c r="EP179" s="60" t="str">
        <f t="shared" si="292"/>
        <v/>
      </c>
      <c r="EQ179" s="60" t="e">
        <f>IF(EP179="",NA(),SUM($EP$4:EP179))</f>
        <v>#N/A</v>
      </c>
      <c r="ER179" s="60">
        <f t="shared" si="293"/>
        <v>0.506464081034254</v>
      </c>
      <c r="ES179" s="60">
        <f>IF(ER179="",NA(),SUM($ER$4:ER179))</f>
        <v>5.582521141397085</v>
      </c>
      <c r="ET179" s="60" t="str">
        <f t="shared" si="294"/>
        <v/>
      </c>
      <c r="EU179" s="60" t="e">
        <f>IF(ET179="",NA(),SUM($ET$4:ET179))</f>
        <v>#N/A</v>
      </c>
      <c r="EV179" s="60" t="str">
        <f t="shared" si="295"/>
        <v/>
      </c>
      <c r="EW179" s="60" t="e">
        <f>IF(EV179="",NA(),SUM($EV$4:EV179))</f>
        <v>#N/A</v>
      </c>
      <c r="EX179" s="60" t="str">
        <f t="shared" si="296"/>
        <v/>
      </c>
      <c r="EY179" s="60" t="e">
        <f>IF(EX179="",NA(),SUM($EX$4:EX179))</f>
        <v>#N/A</v>
      </c>
      <c r="EZ179" s="60" t="str">
        <f t="shared" si="297"/>
        <v/>
      </c>
      <c r="FA179" s="60" t="e">
        <f>IF(EZ179="",NA(),SUM($EZ$4:EZ179))</f>
        <v>#N/A</v>
      </c>
      <c r="FB179" s="246">
        <f t="shared" si="323"/>
        <v>0.33653205384512797</v>
      </c>
      <c r="FC179" s="246">
        <f>IF($FB179="",#N/A,SUM(FB$4:$FB179))</f>
        <v>1.4192055122131091</v>
      </c>
      <c r="FD179" s="60" t="str">
        <f t="shared" si="298"/>
        <v/>
      </c>
      <c r="FE179" s="60" t="e">
        <f>IF($FD179="",#N/A,SUM($FD$4:FD179))</f>
        <v>#N/A</v>
      </c>
      <c r="FF179" s="60" t="str">
        <f t="shared" si="299"/>
        <v/>
      </c>
      <c r="FG179" s="60" t="e">
        <f>IF($FF179="",#N/A,SUM($FF$4:FF179))</f>
        <v>#N/A</v>
      </c>
      <c r="FH179" s="60" t="str">
        <f t="shared" si="300"/>
        <v/>
      </c>
      <c r="FI179" s="60" t="e">
        <f>IF($FH179="",#N/A,SUM($FH$4:FH179))</f>
        <v>#N/A</v>
      </c>
      <c r="FJ179" s="60" t="str">
        <f t="shared" si="301"/>
        <v/>
      </c>
      <c r="FK179" s="60" t="e">
        <f>IF($FJ179="",#N/A,SUM($FJ$4:FJ179))</f>
        <v>#N/A</v>
      </c>
      <c r="FL179" s="60" t="str">
        <f t="shared" si="302"/>
        <v/>
      </c>
      <c r="FM179" s="60" t="e">
        <f>IF($FL179="",#N/A,SUM($FL$4:FL179))</f>
        <v>#N/A</v>
      </c>
      <c r="FN179" s="82">
        <f t="shared" si="303"/>
        <v>0.84299613487938196</v>
      </c>
      <c r="FO179" s="82">
        <f>IF($FN179="",#N/A,SUM(FN$4:$FN179))</f>
        <v>27.795205857612217</v>
      </c>
      <c r="FP179" s="82">
        <f t="shared" si="324"/>
        <v>0.506464081034254</v>
      </c>
      <c r="FQ179" s="246">
        <f>IF($EH179="",#N/A,SUM($FP$4:FP179))</f>
        <v>23.438289349484222</v>
      </c>
      <c r="FR179" s="82">
        <f>IFERROR(FQ179/COUNTA($J$4:J179),#N/A)</f>
        <v>0.13317209857661491</v>
      </c>
      <c r="FS179" s="82">
        <f t="shared" si="334"/>
        <v>-2.5969853791638419E-2</v>
      </c>
      <c r="FT179" s="82">
        <f t="shared" si="335"/>
        <v>0.1899983559002914</v>
      </c>
      <c r="FU179" s="337">
        <f t="shared" si="331"/>
        <v>13.94363918522763</v>
      </c>
      <c r="FV179" s="57" t="str">
        <f t="shared" si="305"/>
        <v>Dwn</v>
      </c>
      <c r="FW179" s="57" t="s">
        <v>2733</v>
      </c>
      <c r="FX179" s="57" t="str">
        <f t="shared" si="306"/>
        <v/>
      </c>
      <c r="FY179" s="57" t="str">
        <f t="shared" si="307"/>
        <v/>
      </c>
      <c r="FZ179" s="57" t="str">
        <f t="shared" si="308"/>
        <v/>
      </c>
      <c r="GA179" s="57" t="str">
        <f t="shared" si="309"/>
        <v>Short</v>
      </c>
      <c r="GB179" s="57">
        <f t="shared" si="310"/>
        <v>1</v>
      </c>
      <c r="GC179" s="57" t="str">
        <f t="shared" si="311"/>
        <v/>
      </c>
      <c r="GD179" s="57" t="str">
        <f t="shared" si="312"/>
        <v/>
      </c>
      <c r="GE179" s="62">
        <f t="shared" si="227"/>
        <v>50.02</v>
      </c>
      <c r="GF179" s="62" t="s">
        <v>2780</v>
      </c>
      <c r="GG179" s="199">
        <v>8</v>
      </c>
      <c r="GH179" s="207">
        <f t="shared" si="313"/>
        <v>400.16</v>
      </c>
      <c r="GI179" s="199">
        <v>8</v>
      </c>
      <c r="GJ179" s="200">
        <v>48.5</v>
      </c>
      <c r="GK179" s="63">
        <f t="shared" si="314"/>
        <v>12.160000000000025</v>
      </c>
      <c r="GL179" s="63">
        <f t="shared" si="228"/>
        <v>20.240000000000009</v>
      </c>
      <c r="GM179" s="82" t="str">
        <f t="shared" si="315"/>
        <v/>
      </c>
      <c r="GN179" s="82">
        <f>IF($GZ179="",#N/A,SUM(GM$4:GM179))</f>
        <v>8.4634987329380031</v>
      </c>
      <c r="GO179" s="82" t="str">
        <f t="shared" si="316"/>
        <v/>
      </c>
      <c r="GP179" s="82">
        <f>IF($GZ179="",#N/A,SUM(GO$4:GO179))</f>
        <v>10.198593473404385</v>
      </c>
      <c r="GQ179" s="82">
        <f t="shared" si="317"/>
        <v>0.84299613487938196</v>
      </c>
      <c r="GR179" s="82">
        <f>IF($GZ179="",#N/A,SUM(GQ$4:GQ179))</f>
        <v>8.5072766968274802</v>
      </c>
      <c r="GS179" s="63" t="str">
        <f t="shared" si="325"/>
        <v/>
      </c>
      <c r="GT179" s="63" t="e">
        <f>IF($GZ179="",#N/A,SUM(GS$4:GS179))</f>
        <v>#N/A</v>
      </c>
      <c r="GU179" s="63" t="str">
        <f t="shared" si="326"/>
        <v/>
      </c>
      <c r="GV179" s="63" t="e">
        <f>IF($GZ179="",#N/A,SUM(GU$4:GU179))</f>
        <v>#N/A</v>
      </c>
      <c r="GW179" s="63" t="e">
        <f t="shared" si="327"/>
        <v>#N/A</v>
      </c>
      <c r="GX179" s="63" t="e">
        <f>IF($GZ179="",#N/A,SUM(GW$4:GW179))</f>
        <v>#N/A</v>
      </c>
      <c r="GY179" s="63" t="e">
        <f>IF(EJ179="",#N/A,SUM($EJ$4:EJ179))</f>
        <v>#N/A</v>
      </c>
      <c r="GZ179" s="159">
        <v>47.49</v>
      </c>
      <c r="HA179" s="63">
        <f t="shared" si="318"/>
        <v>8.0799999999999841</v>
      </c>
      <c r="HB179" s="62" t="s">
        <v>2538</v>
      </c>
      <c r="HC179" s="60">
        <f>IFERROR(VLOOKUP(E179,Expectancy!$P$4:$S$19,1+C179,FALSE),"")</f>
        <v>0.30769020202715358</v>
      </c>
      <c r="HD179" s="82">
        <f t="shared" si="319"/>
        <v>0.506464081034254</v>
      </c>
      <c r="HE179" s="60">
        <f>IF(HD179="",#N/A,SUM($HD$4:HD179))</f>
        <v>-5.0353498357434061</v>
      </c>
      <c r="HF179" s="85">
        <f>IF(HD179="",#N/A,IF(HB179="Skip",#N/A,SUM($HG$4:HG179)))</f>
        <v>-88.069999999999879</v>
      </c>
      <c r="HG179" s="63">
        <f t="shared" si="320"/>
        <v>12.160000000000025</v>
      </c>
      <c r="HH179" s="82">
        <f t="shared" si="321"/>
        <v>0.84299613487938196</v>
      </c>
    </row>
    <row r="180" spans="1:216" x14ac:dyDescent="0.25">
      <c r="A180" s="57" t="s">
        <v>1506</v>
      </c>
      <c r="B180" s="58" t="s">
        <v>5190</v>
      </c>
      <c r="C180" s="386">
        <f t="shared" si="230"/>
        <v>3</v>
      </c>
      <c r="D180" s="372" t="str">
        <f>_xlfn.XLOOKUP(A180,[1]SP500!$A$2:$A$502,[1]SP500!$D$2:$D$502,"N")</f>
        <v>Y</v>
      </c>
      <c r="E180" s="57" t="str">
        <f>_xlfn.XLOOKUP(A180,[1]SP500!$A$2:$A$655,[1]SP500!$B$2:$B$655)</f>
        <v>XLI</v>
      </c>
      <c r="F180" s="59">
        <v>45692</v>
      </c>
      <c r="G180" s="57" t="str">
        <f t="shared" si="231"/>
        <v>BMO</v>
      </c>
      <c r="H180" s="57" t="str">
        <f t="shared" si="232"/>
        <v>s</v>
      </c>
      <c r="I180" s="159">
        <v>408.73</v>
      </c>
      <c r="J180" s="159">
        <v>411.83</v>
      </c>
      <c r="K180" s="61">
        <f t="shared" si="233"/>
        <v>7.5844689648422326E-3</v>
      </c>
      <c r="L180" s="87">
        <f t="shared" si="234"/>
        <v>3.0999999999999659</v>
      </c>
      <c r="M180" s="130">
        <f t="shared" si="226"/>
        <v>1.9200000000000159</v>
      </c>
      <c r="N180" s="169" t="str">
        <f t="shared" si="235"/>
        <v/>
      </c>
      <c r="O180" s="169">
        <f>IF($J180="",#N/A,SUM($N$4:N180))</f>
        <v>307.45976368961385</v>
      </c>
      <c r="P180" s="174" t="str">
        <f t="shared" si="236"/>
        <v/>
      </c>
      <c r="Q180" s="174">
        <f>IF($J180="",#N/A,SUM($P$4:P180))</f>
        <v>160.79104023772641</v>
      </c>
      <c r="R180" s="178">
        <f t="shared" si="237"/>
        <v>3.0999999999999659</v>
      </c>
      <c r="S180" s="178">
        <f>IF($J180="",#N/A,SUM($R$4:R180))</f>
        <v>148.26873610246867</v>
      </c>
      <c r="T180" s="290" t="str">
        <f t="shared" si="238"/>
        <v/>
      </c>
      <c r="U180" s="290">
        <f>IF($J180="",#N/A,SUM($T$4:T180))</f>
        <v>11.387347820248037</v>
      </c>
      <c r="V180" s="291" t="str">
        <f t="shared" si="239"/>
        <v/>
      </c>
      <c r="W180" s="291">
        <f>IF($J180="",#N/A,SUM($V$4:V180))</f>
        <v>6.2849165940970435</v>
      </c>
      <c r="X180" s="292">
        <f t="shared" si="240"/>
        <v>0.12640781608070387</v>
      </c>
      <c r="Y180" s="283">
        <f>IF($J180="",#N/A,SUM($X$4:X180))</f>
        <v>5.8924327512198413</v>
      </c>
      <c r="Z180" s="304" t="str">
        <f t="shared" si="241"/>
        <v/>
      </c>
      <c r="AA180" s="313" t="e">
        <f>IF($J180="",#N/A,SUM(Z$4:Z180))</f>
        <v>#N/A</v>
      </c>
      <c r="AB180" s="314" t="str">
        <f t="shared" si="242"/>
        <v/>
      </c>
      <c r="AC180" s="314" t="e">
        <f>IF($J180="",#N/A,SUM(AB$4:AB180))</f>
        <v>#N/A</v>
      </c>
      <c r="AD180" s="315" t="str">
        <f t="shared" si="243"/>
        <v/>
      </c>
      <c r="AE180" s="315" t="e">
        <f>IF($J180="",#N/A,SUM(AD$4:AD180))</f>
        <v>#N/A</v>
      </c>
      <c r="AF180" s="315" t="e">
        <f>IF($J180="",#N/A,SUM(AD$4:AD180,AB$4:AB180,Z$4:Z180))</f>
        <v>#N/A</v>
      </c>
      <c r="AG180" s="304" t="str">
        <f t="shared" si="244"/>
        <v/>
      </c>
      <c r="AH180" s="313" t="e">
        <f>IF($J180="",#N/A,SUM(AG$4:AG180))</f>
        <v>#N/A</v>
      </c>
      <c r="AI180" s="314" t="str">
        <f t="shared" si="245"/>
        <v/>
      </c>
      <c r="AJ180" s="314" t="e">
        <f>IF($J180="",#N/A,SUM(AI$4:AI180))</f>
        <v>#N/A</v>
      </c>
      <c r="AK180" s="315" t="str">
        <f t="shared" si="246"/>
        <v/>
      </c>
      <c r="AL180" s="315" t="e">
        <f>IF($J180="",#N/A,SUM(AK$4:AK180))</f>
        <v>#N/A</v>
      </c>
      <c r="AM180" s="315" t="e">
        <f>IF($J180="",#N/A,SUM(AK$4:AK180,AI$4:AI180,AG$4:AG180))</f>
        <v>#N/A</v>
      </c>
      <c r="AN180" s="304" t="str">
        <f t="shared" si="247"/>
        <v/>
      </c>
      <c r="AO180" s="313" t="e">
        <f>IF($J180="",#N/A,SUM(AN$4:AN180))</f>
        <v>#N/A</v>
      </c>
      <c r="AP180" s="314" t="str">
        <f t="shared" si="248"/>
        <v/>
      </c>
      <c r="AQ180" s="314" t="e">
        <f>IF($J180="",#N/A,SUM(AP$4:AP180))</f>
        <v>#N/A</v>
      </c>
      <c r="AR180" s="315" t="str">
        <f t="shared" si="249"/>
        <v/>
      </c>
      <c r="AS180" s="315" t="e">
        <f>IF($J180="",#N/A,SUM(AR$4:AR180))</f>
        <v>#N/A</v>
      </c>
      <c r="AT180" s="315" t="e">
        <f>IF($J180="",#N/A,SUM(AR$4:AR180,AP$4:AP180,AN$4:AN180))</f>
        <v>#N/A</v>
      </c>
      <c r="AU180" s="304" t="str">
        <f t="shared" si="250"/>
        <v/>
      </c>
      <c r="AV180" s="313" t="e">
        <f>IF($J180="",#N/A,SUM(AU$4:AU180))</f>
        <v>#N/A</v>
      </c>
      <c r="AW180" s="314" t="str">
        <f t="shared" si="251"/>
        <v/>
      </c>
      <c r="AX180" s="314" t="e">
        <f>IF($J180="",#N/A,SUM(AW$4:AW180))</f>
        <v>#N/A</v>
      </c>
      <c r="AY180" s="315" t="str">
        <f t="shared" si="252"/>
        <v/>
      </c>
      <c r="AZ180" s="315" t="e">
        <f>IF($J180="",#N/A,SUM(AY$4:AY180))</f>
        <v>#N/A</v>
      </c>
      <c r="BA180" s="315" t="e">
        <f>IF($J180="",#N/A,SUM(AY$4:AY180,AW$4:AW180,AU$4:AU180))</f>
        <v>#N/A</v>
      </c>
      <c r="BB180" s="304" t="str">
        <f t="shared" si="253"/>
        <v/>
      </c>
      <c r="BC180" s="313" t="e">
        <f>IF($J180="",#N/A,SUM(BB$4:BB180))</f>
        <v>#N/A</v>
      </c>
      <c r="BD180" s="314" t="str">
        <f t="shared" si="254"/>
        <v/>
      </c>
      <c r="BE180" s="314" t="e">
        <f>IF($J180="",#N/A,SUM(BD$4:BD180))</f>
        <v>#N/A</v>
      </c>
      <c r="BF180" s="315" t="str">
        <f t="shared" si="255"/>
        <v/>
      </c>
      <c r="BG180" s="315" t="e">
        <f>IF($J180="",#N/A,SUM(BF$4:BF180))</f>
        <v>#N/A</v>
      </c>
      <c r="BH180" s="315" t="e">
        <f>IF($J180="",#N/A,SUM(BF$4:BF180,BD$4:BD180,BB$4:BB180))</f>
        <v>#N/A</v>
      </c>
      <c r="BI180" s="304" t="str">
        <f t="shared" si="256"/>
        <v/>
      </c>
      <c r="BJ180" s="313" t="e">
        <f>IF($J180="",#N/A,SUM(BI$4:BI180))</f>
        <v>#N/A</v>
      </c>
      <c r="BK180" s="314" t="str">
        <f t="shared" si="257"/>
        <v/>
      </c>
      <c r="BL180" s="314" t="e">
        <f>IF($J180="",#N/A,SUM(BK$4:BK180))</f>
        <v>#N/A</v>
      </c>
      <c r="BM180" s="315" t="str">
        <f t="shared" si="258"/>
        <v/>
      </c>
      <c r="BN180" s="315" t="e">
        <f>IF($J180="",#N/A,SUM(BM$4:BM180))</f>
        <v>#N/A</v>
      </c>
      <c r="BO180" s="315" t="e">
        <f>IF($J180="",#N/A,SUM(BM$4:BM180,BK$4:BK180,BI$4:BI180))</f>
        <v>#N/A</v>
      </c>
      <c r="BP180" s="304" t="str">
        <f t="shared" si="259"/>
        <v/>
      </c>
      <c r="BQ180" s="313" t="e">
        <f>IF($J180="",#N/A,SUM(BP$4:BP180))</f>
        <v>#N/A</v>
      </c>
      <c r="BR180" s="314" t="str">
        <f t="shared" si="260"/>
        <v/>
      </c>
      <c r="BS180" s="314" t="e">
        <f>IF($J180="",#N/A,SUM(BR$4:BR180))</f>
        <v>#N/A</v>
      </c>
      <c r="BT180" s="315">
        <f t="shared" si="261"/>
        <v>0.12640781608070387</v>
      </c>
      <c r="BU180" s="315" t="e">
        <f>IF($J180="",#N/A,SUM(BT$4:BT180))</f>
        <v>#N/A</v>
      </c>
      <c r="BV180" s="315" t="e">
        <f>IF($J180="",#N/A,SUM(BT$4:BT180,BR$4:BR180,BP$4:BP180))</f>
        <v>#N/A</v>
      </c>
      <c r="BW180" s="304" t="str">
        <f t="shared" si="262"/>
        <v/>
      </c>
      <c r="BX180" s="313" t="e">
        <f>IF($J180="",#N/A,SUM(BW$4:BW180))</f>
        <v>#N/A</v>
      </c>
      <c r="BY180" s="314" t="str">
        <f t="shared" si="263"/>
        <v/>
      </c>
      <c r="BZ180" s="314" t="e">
        <f>IF($J180="",#N/A,SUM(BY$4:BY180))</f>
        <v>#N/A</v>
      </c>
      <c r="CA180" s="315" t="str">
        <f t="shared" si="264"/>
        <v/>
      </c>
      <c r="CB180" s="315" t="e">
        <f>IF($J180="",#N/A,SUM(CA$4:CA180))</f>
        <v>#N/A</v>
      </c>
      <c r="CC180" s="315" t="e">
        <f>IF($J180="",#N/A,SUM(CA$4:CA180,BY$4:BY180,BW$4:BW180))</f>
        <v>#N/A</v>
      </c>
      <c r="CD180" s="304" t="str">
        <f t="shared" si="265"/>
        <v/>
      </c>
      <c r="CE180" s="313" t="e">
        <f>IF($J180="",#N/A,SUM(CD$4:CD180))</f>
        <v>#N/A</v>
      </c>
      <c r="CF180" s="314" t="str">
        <f t="shared" si="266"/>
        <v/>
      </c>
      <c r="CG180" s="314" t="e">
        <f>IF($J180="",#N/A,SUM(CF$4:CF180))</f>
        <v>#N/A</v>
      </c>
      <c r="CH180" s="315" t="str">
        <f t="shared" si="267"/>
        <v/>
      </c>
      <c r="CI180" s="315" t="e">
        <f>IF($J180="",#N/A,SUM(CH$4:CH180))</f>
        <v>#N/A</v>
      </c>
      <c r="CJ180" s="315" t="e">
        <f>IF($J180="",#N/A,SUM(CH$4:CH180,CF$4:CF180,CD$4:CD180))</f>
        <v>#N/A</v>
      </c>
      <c r="CK180" s="304" t="str">
        <f t="shared" si="268"/>
        <v/>
      </c>
      <c r="CL180" s="313" t="e">
        <f>IF($J180="",#N/A,SUM(CK$4:CK180))</f>
        <v>#N/A</v>
      </c>
      <c r="CM180" s="314" t="str">
        <f t="shared" si="269"/>
        <v/>
      </c>
      <c r="CN180" s="314" t="e">
        <f>IF($J180="",#N/A,SUM(CM$4:CM180))</f>
        <v>#N/A</v>
      </c>
      <c r="CO180" s="315" t="str">
        <f t="shared" si="270"/>
        <v/>
      </c>
      <c r="CP180" s="315" t="e">
        <f>IF($J180="",#N/A,SUM(CO$4:CO180))</f>
        <v>#N/A</v>
      </c>
      <c r="CQ180" s="315" t="e">
        <f>IF($J180="",#N/A,SUM(CO$4:CO180,CM$4:CM180,CK$4:CK180))</f>
        <v>#N/A</v>
      </c>
      <c r="CR180" s="304" t="str">
        <f t="shared" si="271"/>
        <v/>
      </c>
      <c r="CS180" s="313" t="e">
        <f>IF($J180="",#N/A,SUM(CR$4:CR180))</f>
        <v>#N/A</v>
      </c>
      <c r="CT180" s="314" t="str">
        <f t="shared" si="272"/>
        <v/>
      </c>
      <c r="CU180" s="314" t="e">
        <f>IF($J180="",#N/A,SUM(CT$4:CT180))</f>
        <v>#N/A</v>
      </c>
      <c r="CV180" s="315" t="str">
        <f t="shared" si="273"/>
        <v/>
      </c>
      <c r="CW180" s="315" t="e">
        <f>IF($J180="",#N/A,SUM(CV$4:CV180))</f>
        <v>#N/A</v>
      </c>
      <c r="CX180" s="315" t="e">
        <f>IF($J180="",#N/A,SUM(CV$4:CV180,CT$4:CT180,CR$4:CR180))</f>
        <v>#N/A</v>
      </c>
      <c r="CY180" s="304" t="str">
        <f t="shared" si="274"/>
        <v/>
      </c>
      <c r="CZ180" s="313" t="e">
        <f>IF($J180="",#N/A,SUM(CY$4:CY180))</f>
        <v>#N/A</v>
      </c>
      <c r="DA180" s="314" t="str">
        <f t="shared" si="275"/>
        <v/>
      </c>
      <c r="DB180" s="314" t="e">
        <f>IF($J180="",#N/A,SUM(DA$4:DA180))</f>
        <v>#N/A</v>
      </c>
      <c r="DC180" s="315" t="str">
        <f t="shared" si="276"/>
        <v/>
      </c>
      <c r="DD180" s="315" t="e">
        <f>IF($J180="",#N/A,SUM(DC$4:DC180))</f>
        <v>#N/A</v>
      </c>
      <c r="DE180" s="315" t="e">
        <f>IF($J180="",#N/A,SUM(DC$4:DC180,DA$4:DA180,CY$4:CY180))</f>
        <v>#N/A</v>
      </c>
      <c r="DF180" s="304" t="str">
        <f t="shared" si="277"/>
        <v/>
      </c>
      <c r="DG180" s="313" t="e">
        <f>IF($J180="",#N/A,SUM(DF$4:DF180))</f>
        <v>#N/A</v>
      </c>
      <c r="DH180" s="314" t="str">
        <f t="shared" si="278"/>
        <v/>
      </c>
      <c r="DI180" s="314" t="e">
        <f>IF($J180="",#N/A,SUM(DH$4:DH180))</f>
        <v>#N/A</v>
      </c>
      <c r="DJ180" s="315" t="str">
        <f t="shared" si="279"/>
        <v/>
      </c>
      <c r="DK180" s="315" t="e">
        <f>IF($J180="",#N/A,SUM(DJ$4:DJ180))</f>
        <v>#N/A</v>
      </c>
      <c r="DL180" s="315" t="e">
        <f>IF($J180="",#N/A,SUM(DJ$4:DJ180,DH$4:DH180,DF$4:DF180))</f>
        <v>#N/A</v>
      </c>
      <c r="DM180" s="304" t="str">
        <f t="shared" si="280"/>
        <v/>
      </c>
      <c r="DN180" s="313" t="e">
        <f>IF($J180="",#N/A,SUM(DM$4:DM180))</f>
        <v>#N/A</v>
      </c>
      <c r="DO180" s="314" t="str">
        <f t="shared" si="281"/>
        <v/>
      </c>
      <c r="DP180" s="314" t="e">
        <f>IF($J180="",#N/A,SUM(DO$4:DO180))</f>
        <v>#N/A</v>
      </c>
      <c r="DQ180" s="315" t="str">
        <f t="shared" si="282"/>
        <v/>
      </c>
      <c r="DR180" s="315" t="e">
        <f>IF($J180="",#N/A,SUM(DQ$4:DQ180))</f>
        <v>#N/A</v>
      </c>
      <c r="DS180" s="315" t="e">
        <f>IF($J180="",#N/A,SUM(DQ$4:DQ180,DO$4:DO180,DM$4:DM180))</f>
        <v>#N/A</v>
      </c>
      <c r="DT180" s="304" t="str">
        <f t="shared" si="283"/>
        <v/>
      </c>
      <c r="DU180" s="313" t="e">
        <f>IF($J180="",#N/A,SUM(DT$4:DT180))</f>
        <v>#N/A</v>
      </c>
      <c r="DV180" s="314" t="str">
        <f t="shared" si="284"/>
        <v/>
      </c>
      <c r="DW180" s="314" t="e">
        <f>IF($J180="",#N/A,SUM(DV$4:DV180))</f>
        <v>#N/A</v>
      </c>
      <c r="DX180" s="315" t="str">
        <f t="shared" si="285"/>
        <v/>
      </c>
      <c r="DY180" s="315" t="e">
        <f>IF($J180="",#N/A,SUM(DX$4:DX180))</f>
        <v>#N/A</v>
      </c>
      <c r="DZ180" s="315" t="e">
        <f>IF($J180="",#N/A,SUM(DX$4:DX180,DV$4:DV180,DT$4:DT180))</f>
        <v>#N/A</v>
      </c>
      <c r="EA180" s="304" t="str">
        <f t="shared" si="286"/>
        <v/>
      </c>
      <c r="EB180" s="313" t="e">
        <f>IF($J180="",#N/A,SUM(EA$4:EA180))</f>
        <v>#N/A</v>
      </c>
      <c r="EC180" s="314" t="str">
        <f t="shared" si="287"/>
        <v/>
      </c>
      <c r="ED180" s="314" t="e">
        <f>IF($J180="",#N/A,SUM(EC$4:EC180))</f>
        <v>#N/A</v>
      </c>
      <c r="EE180" s="315" t="str">
        <f t="shared" si="288"/>
        <v/>
      </c>
      <c r="EF180" s="315" t="e">
        <f>IF($J180="",#N/A,SUM(EE$4:EE180))</f>
        <v>#N/A</v>
      </c>
      <c r="EG180" s="315" t="e">
        <f>IF($J180="",#N/A,SUM(EE$4:EE180,EC$4:EC180,EA$4:EA180))</f>
        <v>#N/A</v>
      </c>
      <c r="EH180" s="130">
        <f t="shared" si="289"/>
        <v>3.0999999999999659</v>
      </c>
      <c r="EI180" s="63">
        <f>IF(EH180="",#N/A,SUM($EH$4:EH180))</f>
        <v>616.51954002980915</v>
      </c>
      <c r="EJ180" s="223" t="e">
        <f t="shared" si="290"/>
        <v>#N/A</v>
      </c>
      <c r="EK180" s="63" t="e">
        <f>IF($GZ180="",#N/A,SUM(EJ$4:EJ180))</f>
        <v>#N/A</v>
      </c>
      <c r="EL180" s="60">
        <f t="shared" si="322"/>
        <v>0.12640781608070387</v>
      </c>
      <c r="EM180" s="60">
        <f>IF(EL180="",NA(),SUM($EL$4:EL180))</f>
        <v>19.903909102083656</v>
      </c>
      <c r="EN180" s="60" t="str">
        <f t="shared" si="291"/>
        <v/>
      </c>
      <c r="EO180" s="60" t="e">
        <f>IF(EN180="",NA(),SUM($EN$4:EN180))</f>
        <v>#N/A</v>
      </c>
      <c r="EP180" s="60">
        <f t="shared" si="292"/>
        <v>0.12640781608070387</v>
      </c>
      <c r="EQ180" s="60">
        <f>IF(EP180="",NA(),SUM($EP$4:EP180))</f>
        <v>6.8201896712970349</v>
      </c>
      <c r="ER180" s="60" t="str">
        <f t="shared" si="293"/>
        <v/>
      </c>
      <c r="ES180" s="60" t="e">
        <f>IF(ER180="",NA(),SUM($ER$4:ER180))</f>
        <v>#N/A</v>
      </c>
      <c r="ET180" s="60" t="str">
        <f t="shared" si="294"/>
        <v/>
      </c>
      <c r="EU180" s="60" t="e">
        <f>IF(ET180="",NA(),SUM($ET$4:ET180))</f>
        <v>#N/A</v>
      </c>
      <c r="EV180" s="60" t="str">
        <f t="shared" si="295"/>
        <v/>
      </c>
      <c r="EW180" s="60" t="e">
        <f>IF(EV180="",NA(),SUM($EV$4:EV180))</f>
        <v>#N/A</v>
      </c>
      <c r="EX180" s="60" t="str">
        <f t="shared" si="296"/>
        <v/>
      </c>
      <c r="EY180" s="60" t="e">
        <f>IF(EX180="",NA(),SUM($EX$4:EX180))</f>
        <v>#N/A</v>
      </c>
      <c r="EZ180" s="60" t="str">
        <f t="shared" si="297"/>
        <v/>
      </c>
      <c r="FA180" s="60" t="e">
        <f>IF(EZ180="",NA(),SUM($EZ$4:EZ180))</f>
        <v>#N/A</v>
      </c>
      <c r="FB180" s="246" t="str">
        <f t="shared" si="323"/>
        <v/>
      </c>
      <c r="FC180" s="246" t="e">
        <f>IF($FB180="",#N/A,SUM(FB$4:$FB180))</f>
        <v>#N/A</v>
      </c>
      <c r="FD180" s="60" t="str">
        <f t="shared" si="298"/>
        <v/>
      </c>
      <c r="FE180" s="60" t="e">
        <f>IF($FD180="",#N/A,SUM($FD$4:FD180))</f>
        <v>#N/A</v>
      </c>
      <c r="FF180" s="60" t="str">
        <f t="shared" si="299"/>
        <v/>
      </c>
      <c r="FG180" s="60" t="e">
        <f>IF($FF180="",#N/A,SUM($FF$4:FF180))</f>
        <v>#N/A</v>
      </c>
      <c r="FH180" s="60" t="str">
        <f t="shared" si="300"/>
        <v/>
      </c>
      <c r="FI180" s="60" t="e">
        <f>IF($FH180="",#N/A,SUM($FH$4:FH180))</f>
        <v>#N/A</v>
      </c>
      <c r="FJ180" s="60">
        <f t="shared" si="301"/>
        <v>-0.44528172632299878</v>
      </c>
      <c r="FK180" s="60">
        <f>IF($FJ180="",#N/A,SUM($FJ$4:FJ180))</f>
        <v>-1.8355947990116959</v>
      </c>
      <c r="FL180" s="60" t="str">
        <f t="shared" si="302"/>
        <v/>
      </c>
      <c r="FM180" s="60" t="e">
        <f>IF($FL180="",#N/A,SUM($FL$4:FL180))</f>
        <v>#N/A</v>
      </c>
      <c r="FN180" s="82">
        <f t="shared" si="303"/>
        <v>-0.31887391024229494</v>
      </c>
      <c r="FO180" s="82">
        <f>IF($FN180="",#N/A,SUM(FN$4:$FN180))</f>
        <v>27.476331947369921</v>
      </c>
      <c r="FP180" s="82">
        <f t="shared" si="324"/>
        <v>0.12640781608070387</v>
      </c>
      <c r="FQ180" s="246">
        <f>IF($EH180="",#N/A,SUM($FP$4:FP180))</f>
        <v>23.564697165564926</v>
      </c>
      <c r="FR180" s="82">
        <f>IFERROR(FQ180/COUNTA($J$4:J180),#N/A)</f>
        <v>0.13313388229132728</v>
      </c>
      <c r="FS180" s="82">
        <f t="shared" si="334"/>
        <v>-2.2216190673938555E-2</v>
      </c>
      <c r="FT180" s="82">
        <f t="shared" si="335"/>
        <v>0.22018209338587577</v>
      </c>
      <c r="FU180" s="337">
        <f t="shared" si="331"/>
        <v>13.865347892687319</v>
      </c>
      <c r="FV180" s="57" t="str">
        <f t="shared" si="305"/>
        <v>SW</v>
      </c>
      <c r="FW180" s="57" t="s">
        <v>2732</v>
      </c>
      <c r="FX180" s="57" t="str">
        <f t="shared" si="306"/>
        <v/>
      </c>
      <c r="FY180" s="57" t="str">
        <f t="shared" si="307"/>
        <v/>
      </c>
      <c r="FZ180" s="57">
        <f t="shared" si="308"/>
        <v>1</v>
      </c>
      <c r="GA180" s="57" t="str">
        <f t="shared" si="309"/>
        <v>Long</v>
      </c>
      <c r="GB180" s="57" t="str">
        <f t="shared" si="310"/>
        <v/>
      </c>
      <c r="GC180" s="57" t="str">
        <f t="shared" si="311"/>
        <v/>
      </c>
      <c r="GD180" s="57" t="str">
        <f t="shared" si="312"/>
        <v/>
      </c>
      <c r="GE180" s="62">
        <f t="shared" si="227"/>
        <v>408.73</v>
      </c>
      <c r="GF180" s="62" t="s">
        <v>2779</v>
      </c>
      <c r="GG180" s="199">
        <v>1</v>
      </c>
      <c r="GH180" s="207">
        <f t="shared" si="313"/>
        <v>408.73</v>
      </c>
      <c r="GI180" s="199">
        <v>1</v>
      </c>
      <c r="GJ180" s="200">
        <v>413.75</v>
      </c>
      <c r="GK180" s="63">
        <f t="shared" si="314"/>
        <v>5.0199999999999818</v>
      </c>
      <c r="GL180" s="63">
        <f t="shared" si="228"/>
        <v>-7.8199999999999932</v>
      </c>
      <c r="GM180" s="82">
        <f t="shared" si="315"/>
        <v>-0.31887391024229494</v>
      </c>
      <c r="GN180" s="82">
        <f>IF($GZ180="",#N/A,SUM(GM$4:GM180))</f>
        <v>8.1446248226957074</v>
      </c>
      <c r="GO180" s="82" t="str">
        <f t="shared" si="316"/>
        <v/>
      </c>
      <c r="GP180" s="82">
        <f>IF($GZ180="",#N/A,SUM(GO$4:GO180))</f>
        <v>10.198593473404385</v>
      </c>
      <c r="GQ180" s="82" t="str">
        <f t="shared" si="317"/>
        <v/>
      </c>
      <c r="GR180" s="82">
        <f>IF($GZ180="",#N/A,SUM(GQ$4:GQ180))</f>
        <v>8.5072766968274802</v>
      </c>
      <c r="GS180" s="63" t="e">
        <f t="shared" si="325"/>
        <v>#N/A</v>
      </c>
      <c r="GT180" s="63" t="e">
        <f>IF($GZ180="",#N/A,SUM(GS$4:GS180))</f>
        <v>#N/A</v>
      </c>
      <c r="GU180" s="63" t="str">
        <f t="shared" si="326"/>
        <v/>
      </c>
      <c r="GV180" s="63" t="e">
        <f>IF($GZ180="",#N/A,SUM(GU$4:GU180))</f>
        <v>#N/A</v>
      </c>
      <c r="GW180" s="63" t="str">
        <f t="shared" si="327"/>
        <v/>
      </c>
      <c r="GX180" s="63" t="e">
        <f>IF($GZ180="",#N/A,SUM(GW$4:GW180))</f>
        <v>#N/A</v>
      </c>
      <c r="GY180" s="63" t="e">
        <f>IF(EJ180="",#N/A,SUM($EJ$4:EJ180))</f>
        <v>#N/A</v>
      </c>
      <c r="GZ180" s="159">
        <v>400.91</v>
      </c>
      <c r="HA180" s="63">
        <f t="shared" si="318"/>
        <v>-10.919999999999959</v>
      </c>
      <c r="HB180" s="62" t="s">
        <v>2538</v>
      </c>
      <c r="HC180" s="60">
        <f>IFERROR(VLOOKUP(E180,Expectancy!$P$4:$S$19,1+C180,FALSE),"")</f>
        <v>2.40735201201209E-2</v>
      </c>
      <c r="HD180" s="82">
        <f t="shared" si="319"/>
        <v>0.20469910862101232</v>
      </c>
      <c r="HE180" s="60">
        <f>IF(HD180="",#N/A,SUM($HD$4:HD180))</f>
        <v>-4.8306507271223937</v>
      </c>
      <c r="HF180" s="85">
        <f>IF(HD180="",#N/A,IF(HB180="Skip",#N/A,SUM($HG$4:HG180)))</f>
        <v>-83.049999999999898</v>
      </c>
      <c r="HG180" s="63">
        <f t="shared" si="320"/>
        <v>5.0199999999999818</v>
      </c>
      <c r="HH180" s="82">
        <f t="shared" si="321"/>
        <v>-0.31887391024229494</v>
      </c>
    </row>
    <row r="181" spans="1:216" x14ac:dyDescent="0.25">
      <c r="A181" s="57" t="s">
        <v>1511</v>
      </c>
      <c r="B181" s="58" t="s">
        <v>5192</v>
      </c>
      <c r="C181" s="386">
        <f t="shared" si="230"/>
        <v>2</v>
      </c>
      <c r="D181" s="372" t="str">
        <f>_xlfn.XLOOKUP(A181,[1]SP500!$A$2:$A$502,[1]SP500!$D$2:$D$502,"N")</f>
        <v>Y</v>
      </c>
      <c r="E181" s="57" t="str">
        <f>_xlfn.XLOOKUP(A181,[1]SP500!$A$2:$A$655,[1]SP500!$B$2:$B$655)</f>
        <v>XLP</v>
      </c>
      <c r="F181" s="59">
        <v>45692</v>
      </c>
      <c r="G181" s="57" t="str">
        <f t="shared" si="231"/>
        <v>BMO</v>
      </c>
      <c r="H181" s="57" t="str">
        <f t="shared" si="232"/>
        <v>s</v>
      </c>
      <c r="I181" s="159">
        <v>82.77</v>
      </c>
      <c r="J181" s="159">
        <v>76.5</v>
      </c>
      <c r="K181" s="61">
        <f t="shared" si="233"/>
        <v>-7.5752084088437796E-2</v>
      </c>
      <c r="L181" s="87">
        <f t="shared" si="234"/>
        <v>31.349999999999966</v>
      </c>
      <c r="M181" s="130">
        <f t="shared" si="226"/>
        <v>2.7000000000000455</v>
      </c>
      <c r="N181" s="169" t="str">
        <f t="shared" si="235"/>
        <v/>
      </c>
      <c r="O181" s="169">
        <f>IF($J181="",#N/A,SUM($N$4:N181))</f>
        <v>307.45976368961385</v>
      </c>
      <c r="P181" s="174">
        <f t="shared" si="236"/>
        <v>31.349999999999966</v>
      </c>
      <c r="Q181" s="174">
        <f>IF($J181="",#N/A,SUM($P$4:P181))</f>
        <v>192.14104023772637</v>
      </c>
      <c r="R181" s="178" t="str">
        <f t="shared" si="237"/>
        <v/>
      </c>
      <c r="S181" s="178">
        <f>IF($J181="",#N/A,SUM($R$4:R181))</f>
        <v>148.26873610246867</v>
      </c>
      <c r="T181" s="290" t="str">
        <f t="shared" si="238"/>
        <v/>
      </c>
      <c r="U181" s="290">
        <f>IF($J181="",#N/A,SUM($T$4:T181))</f>
        <v>11.387347820248037</v>
      </c>
      <c r="V181" s="291">
        <f t="shared" si="239"/>
        <v>1.2625347348072962</v>
      </c>
      <c r="W181" s="291">
        <f>IF($J181="",#N/A,SUM($V$4:V181))</f>
        <v>7.5474513289043399</v>
      </c>
      <c r="X181" s="292" t="str">
        <f t="shared" si="240"/>
        <v/>
      </c>
      <c r="Y181" s="283">
        <f>IF($J181="",#N/A,SUM($X$4:X181))</f>
        <v>5.8924327512198413</v>
      </c>
      <c r="Z181" s="304" t="str">
        <f t="shared" si="241"/>
        <v/>
      </c>
      <c r="AA181" s="313" t="e">
        <f>IF($J181="",#N/A,SUM(Z$4:Z181))</f>
        <v>#N/A</v>
      </c>
      <c r="AB181" s="314" t="str">
        <f t="shared" si="242"/>
        <v/>
      </c>
      <c r="AC181" s="314" t="e">
        <f>IF($J181="",#N/A,SUM(AB$4:AB181))</f>
        <v>#N/A</v>
      </c>
      <c r="AD181" s="315" t="str">
        <f t="shared" si="243"/>
        <v/>
      </c>
      <c r="AE181" s="315" t="e">
        <f>IF($J181="",#N/A,SUM(AD$4:AD181))</f>
        <v>#N/A</v>
      </c>
      <c r="AF181" s="315" t="e">
        <f>IF($J181="",#N/A,SUM(AD$4:AD181,AB$4:AB181,Z$4:Z181))</f>
        <v>#N/A</v>
      </c>
      <c r="AG181" s="304" t="str">
        <f t="shared" si="244"/>
        <v/>
      </c>
      <c r="AH181" s="313" t="e">
        <f>IF($J181="",#N/A,SUM(AG$4:AG181))</f>
        <v>#N/A</v>
      </c>
      <c r="AI181" s="314" t="str">
        <f t="shared" si="245"/>
        <v/>
      </c>
      <c r="AJ181" s="314" t="e">
        <f>IF($J181="",#N/A,SUM(AI$4:AI181))</f>
        <v>#N/A</v>
      </c>
      <c r="AK181" s="315" t="str">
        <f t="shared" si="246"/>
        <v/>
      </c>
      <c r="AL181" s="315" t="e">
        <f>IF($J181="",#N/A,SUM(AK$4:AK181))</f>
        <v>#N/A</v>
      </c>
      <c r="AM181" s="315" t="e">
        <f>IF($J181="",#N/A,SUM(AK$4:AK181,AI$4:AI181,AG$4:AG181))</f>
        <v>#N/A</v>
      </c>
      <c r="AN181" s="304" t="str">
        <f t="shared" si="247"/>
        <v/>
      </c>
      <c r="AO181" s="313" t="e">
        <f>IF($J181="",#N/A,SUM(AN$4:AN181))</f>
        <v>#N/A</v>
      </c>
      <c r="AP181" s="314" t="str">
        <f t="shared" si="248"/>
        <v/>
      </c>
      <c r="AQ181" s="314" t="e">
        <f>IF($J181="",#N/A,SUM(AP$4:AP181))</f>
        <v>#N/A</v>
      </c>
      <c r="AR181" s="315" t="str">
        <f t="shared" si="249"/>
        <v/>
      </c>
      <c r="AS181" s="315" t="e">
        <f>IF($J181="",#N/A,SUM(AR$4:AR181))</f>
        <v>#N/A</v>
      </c>
      <c r="AT181" s="315" t="e">
        <f>IF($J181="",#N/A,SUM(AR$4:AR181,AP$4:AP181,AN$4:AN181))</f>
        <v>#N/A</v>
      </c>
      <c r="AU181" s="304" t="str">
        <f t="shared" si="250"/>
        <v/>
      </c>
      <c r="AV181" s="313" t="e">
        <f>IF($J181="",#N/A,SUM(AU$4:AU181))</f>
        <v>#N/A</v>
      </c>
      <c r="AW181" s="314">
        <f t="shared" si="251"/>
        <v>1.2625347348072962</v>
      </c>
      <c r="AX181" s="314" t="e">
        <f>IF($J181="",#N/A,SUM(AW$4:AW181))</f>
        <v>#N/A</v>
      </c>
      <c r="AY181" s="315" t="str">
        <f t="shared" si="252"/>
        <v/>
      </c>
      <c r="AZ181" s="315" t="e">
        <f>IF($J181="",#N/A,SUM(AY$4:AY181))</f>
        <v>#N/A</v>
      </c>
      <c r="BA181" s="315" t="e">
        <f>IF($J181="",#N/A,SUM(AY$4:AY181,AW$4:AW181,AU$4:AU181))</f>
        <v>#N/A</v>
      </c>
      <c r="BB181" s="304" t="str">
        <f t="shared" si="253"/>
        <v/>
      </c>
      <c r="BC181" s="313" t="e">
        <f>IF($J181="",#N/A,SUM(BB$4:BB181))</f>
        <v>#N/A</v>
      </c>
      <c r="BD181" s="314" t="str">
        <f t="shared" si="254"/>
        <v/>
      </c>
      <c r="BE181" s="314" t="e">
        <f>IF($J181="",#N/A,SUM(BD$4:BD181))</f>
        <v>#N/A</v>
      </c>
      <c r="BF181" s="315" t="str">
        <f t="shared" si="255"/>
        <v/>
      </c>
      <c r="BG181" s="315" t="e">
        <f>IF($J181="",#N/A,SUM(BF$4:BF181))</f>
        <v>#N/A</v>
      </c>
      <c r="BH181" s="315" t="e">
        <f>IF($J181="",#N/A,SUM(BF$4:BF181,BD$4:BD181,BB$4:BB181))</f>
        <v>#N/A</v>
      </c>
      <c r="BI181" s="304" t="str">
        <f t="shared" si="256"/>
        <v/>
      </c>
      <c r="BJ181" s="313" t="e">
        <f>IF($J181="",#N/A,SUM(BI$4:BI181))</f>
        <v>#N/A</v>
      </c>
      <c r="BK181" s="314" t="str">
        <f t="shared" si="257"/>
        <v/>
      </c>
      <c r="BL181" s="314" t="e">
        <f>IF($J181="",#N/A,SUM(BK$4:BK181))</f>
        <v>#N/A</v>
      </c>
      <c r="BM181" s="315" t="str">
        <f t="shared" si="258"/>
        <v/>
      </c>
      <c r="BN181" s="315" t="e">
        <f>IF($J181="",#N/A,SUM(BM$4:BM181))</f>
        <v>#N/A</v>
      </c>
      <c r="BO181" s="315" t="e">
        <f>IF($J181="",#N/A,SUM(BM$4:BM181,BK$4:BK181,BI$4:BI181))</f>
        <v>#N/A</v>
      </c>
      <c r="BP181" s="304" t="str">
        <f t="shared" si="259"/>
        <v/>
      </c>
      <c r="BQ181" s="313" t="e">
        <f>IF($J181="",#N/A,SUM(BP$4:BP181))</f>
        <v>#N/A</v>
      </c>
      <c r="BR181" s="314" t="str">
        <f t="shared" si="260"/>
        <v/>
      </c>
      <c r="BS181" s="314" t="e">
        <f>IF($J181="",#N/A,SUM(BR$4:BR181))</f>
        <v>#N/A</v>
      </c>
      <c r="BT181" s="315" t="str">
        <f t="shared" si="261"/>
        <v/>
      </c>
      <c r="BU181" s="315" t="e">
        <f>IF($J181="",#N/A,SUM(BT$4:BT181))</f>
        <v>#N/A</v>
      </c>
      <c r="BV181" s="315" t="e">
        <f>IF($J181="",#N/A,SUM(BT$4:BT181,BR$4:BR181,BP$4:BP181))</f>
        <v>#N/A</v>
      </c>
      <c r="BW181" s="304" t="str">
        <f t="shared" si="262"/>
        <v/>
      </c>
      <c r="BX181" s="313" t="e">
        <f>IF($J181="",#N/A,SUM(BW$4:BW181))</f>
        <v>#N/A</v>
      </c>
      <c r="BY181" s="314" t="str">
        <f t="shared" si="263"/>
        <v/>
      </c>
      <c r="BZ181" s="314" t="e">
        <f>IF($J181="",#N/A,SUM(BY$4:BY181))</f>
        <v>#N/A</v>
      </c>
      <c r="CA181" s="315" t="str">
        <f t="shared" si="264"/>
        <v/>
      </c>
      <c r="CB181" s="315" t="e">
        <f>IF($J181="",#N/A,SUM(CA$4:CA181))</f>
        <v>#N/A</v>
      </c>
      <c r="CC181" s="315" t="e">
        <f>IF($J181="",#N/A,SUM(CA$4:CA181,BY$4:BY181,BW$4:BW181))</f>
        <v>#N/A</v>
      </c>
      <c r="CD181" s="304" t="str">
        <f t="shared" si="265"/>
        <v/>
      </c>
      <c r="CE181" s="313" t="e">
        <f>IF($J181="",#N/A,SUM(CD$4:CD181))</f>
        <v>#N/A</v>
      </c>
      <c r="CF181" s="314" t="str">
        <f t="shared" si="266"/>
        <v/>
      </c>
      <c r="CG181" s="314" t="e">
        <f>IF($J181="",#N/A,SUM(CF$4:CF181))</f>
        <v>#N/A</v>
      </c>
      <c r="CH181" s="315" t="str">
        <f t="shared" si="267"/>
        <v/>
      </c>
      <c r="CI181" s="315" t="e">
        <f>IF($J181="",#N/A,SUM(CH$4:CH181))</f>
        <v>#N/A</v>
      </c>
      <c r="CJ181" s="315" t="e">
        <f>IF($J181="",#N/A,SUM(CH$4:CH181,CF$4:CF181,CD$4:CD181))</f>
        <v>#N/A</v>
      </c>
      <c r="CK181" s="304" t="str">
        <f t="shared" si="268"/>
        <v/>
      </c>
      <c r="CL181" s="313" t="e">
        <f>IF($J181="",#N/A,SUM(CK$4:CK181))</f>
        <v>#N/A</v>
      </c>
      <c r="CM181" s="314" t="str">
        <f t="shared" si="269"/>
        <v/>
      </c>
      <c r="CN181" s="314" t="e">
        <f>IF($J181="",#N/A,SUM(CM$4:CM181))</f>
        <v>#N/A</v>
      </c>
      <c r="CO181" s="315" t="str">
        <f t="shared" si="270"/>
        <v/>
      </c>
      <c r="CP181" s="315" t="e">
        <f>IF($J181="",#N/A,SUM(CO$4:CO181))</f>
        <v>#N/A</v>
      </c>
      <c r="CQ181" s="315" t="e">
        <f>IF($J181="",#N/A,SUM(CO$4:CO181,CM$4:CM181,CK$4:CK181))</f>
        <v>#N/A</v>
      </c>
      <c r="CR181" s="304" t="str">
        <f t="shared" si="271"/>
        <v/>
      </c>
      <c r="CS181" s="313" t="e">
        <f>IF($J181="",#N/A,SUM(CR$4:CR181))</f>
        <v>#N/A</v>
      </c>
      <c r="CT181" s="314" t="str">
        <f t="shared" si="272"/>
        <v/>
      </c>
      <c r="CU181" s="314" t="e">
        <f>IF($J181="",#N/A,SUM(CT$4:CT181))</f>
        <v>#N/A</v>
      </c>
      <c r="CV181" s="315" t="str">
        <f t="shared" si="273"/>
        <v/>
      </c>
      <c r="CW181" s="315" t="e">
        <f>IF($J181="",#N/A,SUM(CV$4:CV181))</f>
        <v>#N/A</v>
      </c>
      <c r="CX181" s="315" t="e">
        <f>IF($J181="",#N/A,SUM(CV$4:CV181,CT$4:CT181,CR$4:CR181))</f>
        <v>#N/A</v>
      </c>
      <c r="CY181" s="304" t="str">
        <f t="shared" si="274"/>
        <v/>
      </c>
      <c r="CZ181" s="313" t="e">
        <f>IF($J181="",#N/A,SUM(CY$4:CY181))</f>
        <v>#N/A</v>
      </c>
      <c r="DA181" s="314" t="str">
        <f t="shared" si="275"/>
        <v/>
      </c>
      <c r="DB181" s="314" t="e">
        <f>IF($J181="",#N/A,SUM(DA$4:DA181))</f>
        <v>#N/A</v>
      </c>
      <c r="DC181" s="315" t="str">
        <f t="shared" si="276"/>
        <v/>
      </c>
      <c r="DD181" s="315" t="e">
        <f>IF($J181="",#N/A,SUM(DC$4:DC181))</f>
        <v>#N/A</v>
      </c>
      <c r="DE181" s="315" t="e">
        <f>IF($J181="",#N/A,SUM(DC$4:DC181,DA$4:DA181,CY$4:CY181))</f>
        <v>#N/A</v>
      </c>
      <c r="DF181" s="304" t="str">
        <f t="shared" si="277"/>
        <v/>
      </c>
      <c r="DG181" s="313" t="e">
        <f>IF($J181="",#N/A,SUM(DF$4:DF181))</f>
        <v>#N/A</v>
      </c>
      <c r="DH181" s="314" t="str">
        <f t="shared" si="278"/>
        <v/>
      </c>
      <c r="DI181" s="314" t="e">
        <f>IF($J181="",#N/A,SUM(DH$4:DH181))</f>
        <v>#N/A</v>
      </c>
      <c r="DJ181" s="315" t="str">
        <f t="shared" si="279"/>
        <v/>
      </c>
      <c r="DK181" s="315" t="e">
        <f>IF($J181="",#N/A,SUM(DJ$4:DJ181))</f>
        <v>#N/A</v>
      </c>
      <c r="DL181" s="315" t="e">
        <f>IF($J181="",#N/A,SUM(DJ$4:DJ181,DH$4:DH181,DF$4:DF181))</f>
        <v>#N/A</v>
      </c>
      <c r="DM181" s="304" t="str">
        <f t="shared" si="280"/>
        <v/>
      </c>
      <c r="DN181" s="313" t="e">
        <f>IF($J181="",#N/A,SUM(DM$4:DM181))</f>
        <v>#N/A</v>
      </c>
      <c r="DO181" s="314" t="str">
        <f t="shared" si="281"/>
        <v/>
      </c>
      <c r="DP181" s="314" t="e">
        <f>IF($J181="",#N/A,SUM(DO$4:DO181))</f>
        <v>#N/A</v>
      </c>
      <c r="DQ181" s="315" t="str">
        <f t="shared" si="282"/>
        <v/>
      </c>
      <c r="DR181" s="315" t="e">
        <f>IF($J181="",#N/A,SUM(DQ$4:DQ181))</f>
        <v>#N/A</v>
      </c>
      <c r="DS181" s="315" t="e">
        <f>IF($J181="",#N/A,SUM(DQ$4:DQ181,DO$4:DO181,DM$4:DM181))</f>
        <v>#N/A</v>
      </c>
      <c r="DT181" s="304" t="str">
        <f t="shared" si="283"/>
        <v/>
      </c>
      <c r="DU181" s="313" t="e">
        <f>IF($J181="",#N/A,SUM(DT$4:DT181))</f>
        <v>#N/A</v>
      </c>
      <c r="DV181" s="314" t="str">
        <f t="shared" si="284"/>
        <v/>
      </c>
      <c r="DW181" s="314" t="e">
        <f>IF($J181="",#N/A,SUM(DV$4:DV181))</f>
        <v>#N/A</v>
      </c>
      <c r="DX181" s="315" t="str">
        <f t="shared" si="285"/>
        <v/>
      </c>
      <c r="DY181" s="315" t="e">
        <f>IF($J181="",#N/A,SUM(DX$4:DX181))</f>
        <v>#N/A</v>
      </c>
      <c r="DZ181" s="315" t="e">
        <f>IF($J181="",#N/A,SUM(DX$4:DX181,DV$4:DV181,DT$4:DT181))</f>
        <v>#N/A</v>
      </c>
      <c r="EA181" s="304" t="str">
        <f t="shared" si="286"/>
        <v/>
      </c>
      <c r="EB181" s="313" t="e">
        <f>IF($J181="",#N/A,SUM(EA$4:EA181))</f>
        <v>#N/A</v>
      </c>
      <c r="EC181" s="314" t="str">
        <f t="shared" si="287"/>
        <v/>
      </c>
      <c r="ED181" s="314" t="e">
        <f>IF($J181="",#N/A,SUM(EC$4:EC181))</f>
        <v>#N/A</v>
      </c>
      <c r="EE181" s="315" t="str">
        <f t="shared" si="288"/>
        <v/>
      </c>
      <c r="EF181" s="315" t="e">
        <f>IF($J181="",#N/A,SUM(EE$4:EE181))</f>
        <v>#N/A</v>
      </c>
      <c r="EG181" s="315" t="e">
        <f>IF($J181="",#N/A,SUM(EE$4:EE181,EC$4:EC181,EA$4:EA181))</f>
        <v>#N/A</v>
      </c>
      <c r="EH181" s="130">
        <f t="shared" si="289"/>
        <v>31.349999999999966</v>
      </c>
      <c r="EI181" s="63">
        <f>IF(EH181="",#N/A,SUM($EH$4:EH181))</f>
        <v>647.86954002980906</v>
      </c>
      <c r="EJ181" s="223" t="e">
        <f t="shared" si="290"/>
        <v>#N/A</v>
      </c>
      <c r="EK181" s="63" t="e">
        <f>IF($GZ181="",#N/A,SUM(EJ$4:EJ181))</f>
        <v>#N/A</v>
      </c>
      <c r="EL181" s="60">
        <f t="shared" si="322"/>
        <v>1.2625347348072962</v>
      </c>
      <c r="EM181" s="60">
        <f>IF(EL181="",NA(),SUM($EL$4:EL181))</f>
        <v>21.166443836890952</v>
      </c>
      <c r="EN181" s="60" t="str">
        <f t="shared" si="291"/>
        <v/>
      </c>
      <c r="EO181" s="60" t="e">
        <f>IF(EN181="",NA(),SUM($EN$4:EN181))</f>
        <v>#N/A</v>
      </c>
      <c r="EP181" s="60" t="str">
        <f t="shared" si="292"/>
        <v/>
      </c>
      <c r="EQ181" s="60" t="e">
        <f>IF(EP181="",NA(),SUM($EP$4:EP181))</f>
        <v>#N/A</v>
      </c>
      <c r="ER181" s="60">
        <f t="shared" si="293"/>
        <v>1.2625347348072962</v>
      </c>
      <c r="ES181" s="60">
        <f>IF(ER181="",NA(),SUM($ER$4:ER181))</f>
        <v>6.8450558762043814</v>
      </c>
      <c r="ET181" s="60" t="str">
        <f t="shared" si="294"/>
        <v/>
      </c>
      <c r="EU181" s="60" t="e">
        <f>IF(ET181="",NA(),SUM($ET$4:ET181))</f>
        <v>#N/A</v>
      </c>
      <c r="EV181" s="60" t="str">
        <f t="shared" si="295"/>
        <v/>
      </c>
      <c r="EW181" s="60" t="e">
        <f>IF(EV181="",NA(),SUM($EV$4:EV181))</f>
        <v>#N/A</v>
      </c>
      <c r="EX181" s="60" t="str">
        <f t="shared" si="296"/>
        <v/>
      </c>
      <c r="EY181" s="60" t="e">
        <f>IF(EX181="",NA(),SUM($EX$4:EX181))</f>
        <v>#N/A</v>
      </c>
      <c r="EZ181" s="60" t="str">
        <f t="shared" si="297"/>
        <v/>
      </c>
      <c r="FA181" s="60" t="e">
        <f>IF(EZ181="",NA(),SUM($EZ$4:EZ181))</f>
        <v>#N/A</v>
      </c>
      <c r="FB181" s="246">
        <f t="shared" si="323"/>
        <v>1.4155692481172719</v>
      </c>
      <c r="FC181" s="246">
        <f>IF($FB181="",#N/A,SUM(FB$4:$FB181))</f>
        <v>2.8347747603303812</v>
      </c>
      <c r="FD181" s="60" t="str">
        <f t="shared" si="298"/>
        <v/>
      </c>
      <c r="FE181" s="60" t="e">
        <f>IF($FD181="",#N/A,SUM($FD$4:FD181))</f>
        <v>#N/A</v>
      </c>
      <c r="FF181" s="60" t="str">
        <f t="shared" si="299"/>
        <v/>
      </c>
      <c r="FG181" s="60" t="e">
        <f>IF($FF181="",#N/A,SUM($FF$4:FF181))</f>
        <v>#N/A</v>
      </c>
      <c r="FH181" s="60" t="str">
        <f t="shared" si="300"/>
        <v/>
      </c>
      <c r="FI181" s="60" t="e">
        <f>IF($FH181="",#N/A,SUM($FH$4:FH181))</f>
        <v>#N/A</v>
      </c>
      <c r="FJ181" s="60" t="str">
        <f t="shared" si="301"/>
        <v/>
      </c>
      <c r="FK181" s="60" t="e">
        <f>IF($FJ181="",#N/A,SUM($FJ$4:FJ181))</f>
        <v>#N/A</v>
      </c>
      <c r="FL181" s="60" t="str">
        <f t="shared" si="302"/>
        <v/>
      </c>
      <c r="FM181" s="60" t="e">
        <f>IF($FL181="",#N/A,SUM($FL$4:FL181))</f>
        <v>#N/A</v>
      </c>
      <c r="FN181" s="82">
        <f t="shared" si="303"/>
        <v>2.6781039829245681</v>
      </c>
      <c r="FO181" s="82">
        <f>IF($FN181="",#N/A,SUM(FN$4:$FN181))</f>
        <v>30.15443593029449</v>
      </c>
      <c r="FP181" s="82">
        <f t="shared" si="324"/>
        <v>1.2625347348072962</v>
      </c>
      <c r="FQ181" s="246">
        <f>IF($EH181="",#N/A,SUM($FP$4:FP181))</f>
        <v>24.827231900372222</v>
      </c>
      <c r="FR181" s="82">
        <f>IFERROR(FQ181/COUNTA($J$4:J181),#N/A)</f>
        <v>0.13947883090096755</v>
      </c>
      <c r="FS181" s="82">
        <f t="shared" si="334"/>
        <v>-6.9553946257783798E-3</v>
      </c>
      <c r="FT181" s="82">
        <f t="shared" si="335"/>
        <v>0.19976262744768711</v>
      </c>
      <c r="FU181" s="337">
        <f t="shared" si="331"/>
        <v>13.756612843756548</v>
      </c>
      <c r="FV181" s="57" t="str">
        <f t="shared" si="305"/>
        <v>Dwn</v>
      </c>
      <c r="FW181" s="57" t="s">
        <v>2733</v>
      </c>
      <c r="FX181" s="57" t="str">
        <f t="shared" si="306"/>
        <v/>
      </c>
      <c r="FY181" s="57" t="str">
        <f t="shared" si="307"/>
        <v/>
      </c>
      <c r="FZ181" s="57" t="str">
        <f t="shared" si="308"/>
        <v/>
      </c>
      <c r="GA181" s="57" t="str">
        <f t="shared" si="309"/>
        <v>Short</v>
      </c>
      <c r="GB181" s="57">
        <f t="shared" si="310"/>
        <v>1</v>
      </c>
      <c r="GC181" s="57" t="str">
        <f t="shared" si="311"/>
        <v/>
      </c>
      <c r="GD181" s="57" t="str">
        <f t="shared" si="312"/>
        <v/>
      </c>
      <c r="GE181" s="62">
        <f t="shared" si="227"/>
        <v>82.77</v>
      </c>
      <c r="GF181" s="62" t="s">
        <v>2780</v>
      </c>
      <c r="GG181" s="199">
        <v>5</v>
      </c>
      <c r="GH181" s="207">
        <f t="shared" si="313"/>
        <v>413.84999999999997</v>
      </c>
      <c r="GI181" s="199">
        <v>5</v>
      </c>
      <c r="GJ181" s="200">
        <v>75.959999999999994</v>
      </c>
      <c r="GK181" s="63">
        <f t="shared" si="314"/>
        <v>34.050000000000011</v>
      </c>
      <c r="GL181" s="63">
        <f t="shared" si="228"/>
        <v>66.499999999999943</v>
      </c>
      <c r="GM181" s="82" t="str">
        <f t="shared" si="315"/>
        <v/>
      </c>
      <c r="GN181" s="82">
        <f>IF($GZ181="",#N/A,SUM(GM$4:GM181))</f>
        <v>8.1446248226957074</v>
      </c>
      <c r="GO181" s="82" t="str">
        <f t="shared" si="316"/>
        <v/>
      </c>
      <c r="GP181" s="82">
        <f>IF($GZ181="",#N/A,SUM(GO$4:GO181))</f>
        <v>10.198593473404385</v>
      </c>
      <c r="GQ181" s="82">
        <f t="shared" si="317"/>
        <v>2.6781039829245681</v>
      </c>
      <c r="GR181" s="82">
        <f>IF($GZ181="",#N/A,SUM(GQ$4:GQ181))</f>
        <v>11.185380679752049</v>
      </c>
      <c r="GS181" s="63" t="str">
        <f t="shared" si="325"/>
        <v/>
      </c>
      <c r="GT181" s="63" t="e">
        <f>IF($GZ181="",#N/A,SUM(GS$4:GS181))</f>
        <v>#N/A</v>
      </c>
      <c r="GU181" s="63" t="str">
        <f t="shared" si="326"/>
        <v/>
      </c>
      <c r="GV181" s="63" t="e">
        <f>IF($GZ181="",#N/A,SUM(GU$4:GU181))</f>
        <v>#N/A</v>
      </c>
      <c r="GW181" s="63" t="e">
        <f t="shared" si="327"/>
        <v>#N/A</v>
      </c>
      <c r="GX181" s="63" t="e">
        <f>IF($GZ181="",#N/A,SUM(GW$4:GW181))</f>
        <v>#N/A</v>
      </c>
      <c r="GY181" s="63" t="e">
        <f>IF(EJ181="",#N/A,SUM($EJ$4:EJ181))</f>
        <v>#N/A</v>
      </c>
      <c r="GZ181" s="159">
        <v>69.47</v>
      </c>
      <c r="HA181" s="63">
        <f t="shared" si="318"/>
        <v>35.149999999999977</v>
      </c>
      <c r="HB181" s="62" t="s">
        <v>2538</v>
      </c>
      <c r="HC181" s="60">
        <f>IFERROR(VLOOKUP(E181,Expectancy!$P$4:$S$19,1+C181,FALSE),"")</f>
        <v>0.30769020202715358</v>
      </c>
      <c r="HD181" s="82">
        <f t="shared" si="319"/>
        <v>1.3712697837380701</v>
      </c>
      <c r="HE181" s="60">
        <f>IF(HD181="",#N/A,SUM($HD$4:HD181))</f>
        <v>-3.4593809433843239</v>
      </c>
      <c r="HF181" s="85">
        <f>IF(HD181="",#N/A,IF(HB181="Skip",#N/A,SUM($HG$4:HG181)))</f>
        <v>-48.999999999999886</v>
      </c>
      <c r="HG181" s="63">
        <f t="shared" si="320"/>
        <v>34.050000000000011</v>
      </c>
      <c r="HH181" s="82">
        <f t="shared" si="321"/>
        <v>2.6781039829245681</v>
      </c>
    </row>
    <row r="182" spans="1:216" x14ac:dyDescent="0.25">
      <c r="A182" s="57" t="s">
        <v>59</v>
      </c>
      <c r="B182" s="58" t="s">
        <v>5194</v>
      </c>
      <c r="C182" s="386">
        <f t="shared" si="230"/>
        <v>1</v>
      </c>
      <c r="D182" s="372" t="str">
        <f>_xlfn.XLOOKUP(A182,[1]SP500!$A$2:$A$502,[1]SP500!$D$2:$D$502,"N")</f>
        <v>Y</v>
      </c>
      <c r="E182" s="57" t="str">
        <f>_xlfn.XLOOKUP(A182,[1]SP500!$A$2:$A$655,[1]SP500!$B$2:$B$655)</f>
        <v>XLC</v>
      </c>
      <c r="F182" s="59">
        <v>45692</v>
      </c>
      <c r="G182" s="57" t="str">
        <f t="shared" si="231"/>
        <v>BMO</v>
      </c>
      <c r="H182" s="57" t="str">
        <f t="shared" si="232"/>
        <v>s</v>
      </c>
      <c r="I182" s="159">
        <v>49.19</v>
      </c>
      <c r="J182" s="159">
        <v>52.37</v>
      </c>
      <c r="K182" s="61">
        <f t="shared" si="233"/>
        <v>6.4647286033746698E-2</v>
      </c>
      <c r="L182" s="87">
        <f t="shared" si="234"/>
        <v>28.620000000000005</v>
      </c>
      <c r="M182" s="130">
        <f t="shared" si="226"/>
        <v>0</v>
      </c>
      <c r="N182" s="169">
        <f t="shared" si="235"/>
        <v>28.620000000000005</v>
      </c>
      <c r="O182" s="169">
        <f>IF($J182="",#N/A,SUM($N$4:N182))</f>
        <v>336.07976368961386</v>
      </c>
      <c r="P182" s="174" t="str">
        <f t="shared" si="236"/>
        <v/>
      </c>
      <c r="Q182" s="174">
        <f>IF($J182="",#N/A,SUM($P$4:P182))</f>
        <v>192.14104023772637</v>
      </c>
      <c r="R182" s="178" t="str">
        <f t="shared" si="237"/>
        <v/>
      </c>
      <c r="S182" s="178">
        <f>IF($J182="",#N/A,SUM($R$4:R182))</f>
        <v>148.26873610246867</v>
      </c>
      <c r="T182" s="290">
        <f t="shared" si="238"/>
        <v>1.0774547672291119</v>
      </c>
      <c r="U182" s="290">
        <f>IF($J182="",#N/A,SUM($T$4:T182))</f>
        <v>12.464802587477148</v>
      </c>
      <c r="V182" s="291" t="str">
        <f t="shared" si="239"/>
        <v/>
      </c>
      <c r="W182" s="291">
        <f>IF($J182="",#N/A,SUM($V$4:V182))</f>
        <v>7.5474513289043399</v>
      </c>
      <c r="X182" s="292" t="str">
        <f t="shared" si="240"/>
        <v/>
      </c>
      <c r="Y182" s="283">
        <f>IF($J182="",#N/A,SUM($X$4:X182))</f>
        <v>5.8924327512198413</v>
      </c>
      <c r="Z182" s="304" t="str">
        <f t="shared" si="241"/>
        <v/>
      </c>
      <c r="AA182" s="313" t="e">
        <f>IF($J182="",#N/A,SUM(Z$4:Z182))</f>
        <v>#N/A</v>
      </c>
      <c r="AB182" s="314" t="str">
        <f t="shared" si="242"/>
        <v/>
      </c>
      <c r="AC182" s="314" t="e">
        <f>IF($J182="",#N/A,SUM(AB$4:AB182))</f>
        <v>#N/A</v>
      </c>
      <c r="AD182" s="315" t="str">
        <f t="shared" si="243"/>
        <v/>
      </c>
      <c r="AE182" s="315" t="e">
        <f>IF($J182="",#N/A,SUM(AD$4:AD182))</f>
        <v>#N/A</v>
      </c>
      <c r="AF182" s="315" t="e">
        <f>IF($J182="",#N/A,SUM(AD$4:AD182,AB$4:AB182,Z$4:Z182))</f>
        <v>#N/A</v>
      </c>
      <c r="AG182" s="304" t="str">
        <f t="shared" si="244"/>
        <v/>
      </c>
      <c r="AH182" s="313" t="e">
        <f>IF($J182="",#N/A,SUM(AG$4:AG182))</f>
        <v>#N/A</v>
      </c>
      <c r="AI182" s="314" t="str">
        <f t="shared" si="245"/>
        <v/>
      </c>
      <c r="AJ182" s="314" t="e">
        <f>IF($J182="",#N/A,SUM(AI$4:AI182))</f>
        <v>#N/A</v>
      </c>
      <c r="AK182" s="315" t="str">
        <f t="shared" si="246"/>
        <v/>
      </c>
      <c r="AL182" s="315" t="e">
        <f>IF($J182="",#N/A,SUM(AK$4:AK182))</f>
        <v>#N/A</v>
      </c>
      <c r="AM182" s="315" t="e">
        <f>IF($J182="",#N/A,SUM(AK$4:AK182,AI$4:AI182,AG$4:AG182))</f>
        <v>#N/A</v>
      </c>
      <c r="AN182" s="304" t="str">
        <f t="shared" si="247"/>
        <v/>
      </c>
      <c r="AO182" s="313" t="e">
        <f>IF($J182="",#N/A,SUM(AN$4:AN182))</f>
        <v>#N/A</v>
      </c>
      <c r="AP182" s="314" t="str">
        <f t="shared" si="248"/>
        <v/>
      </c>
      <c r="AQ182" s="314" t="e">
        <f>IF($J182="",#N/A,SUM(AP$4:AP182))</f>
        <v>#N/A</v>
      </c>
      <c r="AR182" s="315" t="str">
        <f t="shared" si="249"/>
        <v/>
      </c>
      <c r="AS182" s="315" t="e">
        <f>IF($J182="",#N/A,SUM(AR$4:AR182))</f>
        <v>#N/A</v>
      </c>
      <c r="AT182" s="315" t="e">
        <f>IF($J182="",#N/A,SUM(AR$4:AR182,AP$4:AP182,AN$4:AN182))</f>
        <v>#N/A</v>
      </c>
      <c r="AU182" s="304" t="str">
        <f t="shared" si="250"/>
        <v/>
      </c>
      <c r="AV182" s="313" t="e">
        <f>IF($J182="",#N/A,SUM(AU$4:AU182))</f>
        <v>#N/A</v>
      </c>
      <c r="AW182" s="314" t="str">
        <f t="shared" si="251"/>
        <v/>
      </c>
      <c r="AX182" s="314" t="e">
        <f>IF($J182="",#N/A,SUM(AW$4:AW182))</f>
        <v>#N/A</v>
      </c>
      <c r="AY182" s="315" t="str">
        <f t="shared" si="252"/>
        <v/>
      </c>
      <c r="AZ182" s="315" t="e">
        <f>IF($J182="",#N/A,SUM(AY$4:AY182))</f>
        <v>#N/A</v>
      </c>
      <c r="BA182" s="315" t="e">
        <f>IF($J182="",#N/A,SUM(AY$4:AY182,AW$4:AW182,AU$4:AU182))</f>
        <v>#N/A</v>
      </c>
      <c r="BB182" s="304">
        <f t="shared" si="253"/>
        <v>1.0774547672291119</v>
      </c>
      <c r="BC182" s="313" t="e">
        <f>IF($J182="",#N/A,SUM(BB$4:BB182))</f>
        <v>#N/A</v>
      </c>
      <c r="BD182" s="314" t="str">
        <f t="shared" si="254"/>
        <v/>
      </c>
      <c r="BE182" s="314" t="e">
        <f>IF($J182="",#N/A,SUM(BD$4:BD182))</f>
        <v>#N/A</v>
      </c>
      <c r="BF182" s="315" t="str">
        <f t="shared" si="255"/>
        <v/>
      </c>
      <c r="BG182" s="315" t="e">
        <f>IF($J182="",#N/A,SUM(BF$4:BF182))</f>
        <v>#N/A</v>
      </c>
      <c r="BH182" s="315" t="e">
        <f>IF($J182="",#N/A,SUM(BF$4:BF182,BD$4:BD182,BB$4:BB182))</f>
        <v>#N/A</v>
      </c>
      <c r="BI182" s="304" t="str">
        <f t="shared" si="256"/>
        <v/>
      </c>
      <c r="BJ182" s="313" t="e">
        <f>IF($J182="",#N/A,SUM(BI$4:BI182))</f>
        <v>#N/A</v>
      </c>
      <c r="BK182" s="314" t="str">
        <f t="shared" si="257"/>
        <v/>
      </c>
      <c r="BL182" s="314" t="e">
        <f>IF($J182="",#N/A,SUM(BK$4:BK182))</f>
        <v>#N/A</v>
      </c>
      <c r="BM182" s="315" t="str">
        <f t="shared" si="258"/>
        <v/>
      </c>
      <c r="BN182" s="315" t="e">
        <f>IF($J182="",#N/A,SUM(BM$4:BM182))</f>
        <v>#N/A</v>
      </c>
      <c r="BO182" s="315" t="e">
        <f>IF($J182="",#N/A,SUM(BM$4:BM182,BK$4:BK182,BI$4:BI182))</f>
        <v>#N/A</v>
      </c>
      <c r="BP182" s="304" t="str">
        <f t="shared" si="259"/>
        <v/>
      </c>
      <c r="BQ182" s="313" t="e">
        <f>IF($J182="",#N/A,SUM(BP$4:BP182))</f>
        <v>#N/A</v>
      </c>
      <c r="BR182" s="314" t="str">
        <f t="shared" si="260"/>
        <v/>
      </c>
      <c r="BS182" s="314" t="e">
        <f>IF($J182="",#N/A,SUM(BR$4:BR182))</f>
        <v>#N/A</v>
      </c>
      <c r="BT182" s="315" t="str">
        <f t="shared" si="261"/>
        <v/>
      </c>
      <c r="BU182" s="315" t="e">
        <f>IF($J182="",#N/A,SUM(BT$4:BT182))</f>
        <v>#N/A</v>
      </c>
      <c r="BV182" s="315" t="e">
        <f>IF($J182="",#N/A,SUM(BT$4:BT182,BR$4:BR182,BP$4:BP182))</f>
        <v>#N/A</v>
      </c>
      <c r="BW182" s="304" t="str">
        <f t="shared" si="262"/>
        <v/>
      </c>
      <c r="BX182" s="313" t="e">
        <f>IF($J182="",#N/A,SUM(BW$4:BW182))</f>
        <v>#N/A</v>
      </c>
      <c r="BY182" s="314" t="str">
        <f t="shared" si="263"/>
        <v/>
      </c>
      <c r="BZ182" s="314" t="e">
        <f>IF($J182="",#N/A,SUM(BY$4:BY182))</f>
        <v>#N/A</v>
      </c>
      <c r="CA182" s="315" t="str">
        <f t="shared" si="264"/>
        <v/>
      </c>
      <c r="CB182" s="315" t="e">
        <f>IF($J182="",#N/A,SUM(CA$4:CA182))</f>
        <v>#N/A</v>
      </c>
      <c r="CC182" s="315" t="e">
        <f>IF($J182="",#N/A,SUM(CA$4:CA182,BY$4:BY182,BW$4:BW182))</f>
        <v>#N/A</v>
      </c>
      <c r="CD182" s="304" t="str">
        <f t="shared" si="265"/>
        <v/>
      </c>
      <c r="CE182" s="313" t="e">
        <f>IF($J182="",#N/A,SUM(CD$4:CD182))</f>
        <v>#N/A</v>
      </c>
      <c r="CF182" s="314" t="str">
        <f t="shared" si="266"/>
        <v/>
      </c>
      <c r="CG182" s="314" t="e">
        <f>IF($J182="",#N/A,SUM(CF$4:CF182))</f>
        <v>#N/A</v>
      </c>
      <c r="CH182" s="315" t="str">
        <f t="shared" si="267"/>
        <v/>
      </c>
      <c r="CI182" s="315" t="e">
        <f>IF($J182="",#N/A,SUM(CH$4:CH182))</f>
        <v>#N/A</v>
      </c>
      <c r="CJ182" s="315" t="e">
        <f>IF($J182="",#N/A,SUM(CH$4:CH182,CF$4:CF182,CD$4:CD182))</f>
        <v>#N/A</v>
      </c>
      <c r="CK182" s="304" t="str">
        <f t="shared" si="268"/>
        <v/>
      </c>
      <c r="CL182" s="313" t="e">
        <f>IF($J182="",#N/A,SUM(CK$4:CK182))</f>
        <v>#N/A</v>
      </c>
      <c r="CM182" s="314" t="str">
        <f t="shared" si="269"/>
        <v/>
      </c>
      <c r="CN182" s="314" t="e">
        <f>IF($J182="",#N/A,SUM(CM$4:CM182))</f>
        <v>#N/A</v>
      </c>
      <c r="CO182" s="315" t="str">
        <f t="shared" si="270"/>
        <v/>
      </c>
      <c r="CP182" s="315" t="e">
        <f>IF($J182="",#N/A,SUM(CO$4:CO182))</f>
        <v>#N/A</v>
      </c>
      <c r="CQ182" s="315" t="e">
        <f>IF($J182="",#N/A,SUM(CO$4:CO182,CM$4:CM182,CK$4:CK182))</f>
        <v>#N/A</v>
      </c>
      <c r="CR182" s="304" t="str">
        <f t="shared" si="271"/>
        <v/>
      </c>
      <c r="CS182" s="313" t="e">
        <f>IF($J182="",#N/A,SUM(CR$4:CR182))</f>
        <v>#N/A</v>
      </c>
      <c r="CT182" s="314" t="str">
        <f t="shared" si="272"/>
        <v/>
      </c>
      <c r="CU182" s="314" t="e">
        <f>IF($J182="",#N/A,SUM(CT$4:CT182))</f>
        <v>#N/A</v>
      </c>
      <c r="CV182" s="315" t="str">
        <f t="shared" si="273"/>
        <v/>
      </c>
      <c r="CW182" s="315" t="e">
        <f>IF($J182="",#N/A,SUM(CV$4:CV182))</f>
        <v>#N/A</v>
      </c>
      <c r="CX182" s="315" t="e">
        <f>IF($J182="",#N/A,SUM(CV$4:CV182,CT$4:CT182,CR$4:CR182))</f>
        <v>#N/A</v>
      </c>
      <c r="CY182" s="304" t="str">
        <f t="shared" si="274"/>
        <v/>
      </c>
      <c r="CZ182" s="313" t="e">
        <f>IF($J182="",#N/A,SUM(CY$4:CY182))</f>
        <v>#N/A</v>
      </c>
      <c r="DA182" s="314" t="str">
        <f t="shared" si="275"/>
        <v/>
      </c>
      <c r="DB182" s="314" t="e">
        <f>IF($J182="",#N/A,SUM(DA$4:DA182))</f>
        <v>#N/A</v>
      </c>
      <c r="DC182" s="315" t="str">
        <f t="shared" si="276"/>
        <v/>
      </c>
      <c r="DD182" s="315" t="e">
        <f>IF($J182="",#N/A,SUM(DC$4:DC182))</f>
        <v>#N/A</v>
      </c>
      <c r="DE182" s="315" t="e">
        <f>IF($J182="",#N/A,SUM(DC$4:DC182,DA$4:DA182,CY$4:CY182))</f>
        <v>#N/A</v>
      </c>
      <c r="DF182" s="304" t="str">
        <f t="shared" si="277"/>
        <v/>
      </c>
      <c r="DG182" s="313" t="e">
        <f>IF($J182="",#N/A,SUM(DF$4:DF182))</f>
        <v>#N/A</v>
      </c>
      <c r="DH182" s="314" t="str">
        <f t="shared" si="278"/>
        <v/>
      </c>
      <c r="DI182" s="314" t="e">
        <f>IF($J182="",#N/A,SUM(DH$4:DH182))</f>
        <v>#N/A</v>
      </c>
      <c r="DJ182" s="315" t="str">
        <f t="shared" si="279"/>
        <v/>
      </c>
      <c r="DK182" s="315" t="e">
        <f>IF($J182="",#N/A,SUM(DJ$4:DJ182))</f>
        <v>#N/A</v>
      </c>
      <c r="DL182" s="315" t="e">
        <f>IF($J182="",#N/A,SUM(DJ$4:DJ182,DH$4:DH182,DF$4:DF182))</f>
        <v>#N/A</v>
      </c>
      <c r="DM182" s="304" t="str">
        <f t="shared" si="280"/>
        <v/>
      </c>
      <c r="DN182" s="313" t="e">
        <f>IF($J182="",#N/A,SUM(DM$4:DM182))</f>
        <v>#N/A</v>
      </c>
      <c r="DO182" s="314" t="str">
        <f t="shared" si="281"/>
        <v/>
      </c>
      <c r="DP182" s="314" t="e">
        <f>IF($J182="",#N/A,SUM(DO$4:DO182))</f>
        <v>#N/A</v>
      </c>
      <c r="DQ182" s="315" t="str">
        <f t="shared" si="282"/>
        <v/>
      </c>
      <c r="DR182" s="315" t="e">
        <f>IF($J182="",#N/A,SUM(DQ$4:DQ182))</f>
        <v>#N/A</v>
      </c>
      <c r="DS182" s="315" t="e">
        <f>IF($J182="",#N/A,SUM(DQ$4:DQ182,DO$4:DO182,DM$4:DM182))</f>
        <v>#N/A</v>
      </c>
      <c r="DT182" s="304" t="str">
        <f t="shared" si="283"/>
        <v/>
      </c>
      <c r="DU182" s="313" t="e">
        <f>IF($J182="",#N/A,SUM(DT$4:DT182))</f>
        <v>#N/A</v>
      </c>
      <c r="DV182" s="314" t="str">
        <f t="shared" si="284"/>
        <v/>
      </c>
      <c r="DW182" s="314" t="e">
        <f>IF($J182="",#N/A,SUM(DV$4:DV182))</f>
        <v>#N/A</v>
      </c>
      <c r="DX182" s="315" t="str">
        <f t="shared" si="285"/>
        <v/>
      </c>
      <c r="DY182" s="315" t="e">
        <f>IF($J182="",#N/A,SUM(DX$4:DX182))</f>
        <v>#N/A</v>
      </c>
      <c r="DZ182" s="315" t="e">
        <f>IF($J182="",#N/A,SUM(DX$4:DX182,DV$4:DV182,DT$4:DT182))</f>
        <v>#N/A</v>
      </c>
      <c r="EA182" s="304" t="str">
        <f t="shared" si="286"/>
        <v/>
      </c>
      <c r="EB182" s="313" t="e">
        <f>IF($J182="",#N/A,SUM(EA$4:EA182))</f>
        <v>#N/A</v>
      </c>
      <c r="EC182" s="314" t="str">
        <f t="shared" si="287"/>
        <v/>
      </c>
      <c r="ED182" s="314" t="e">
        <f>IF($J182="",#N/A,SUM(EC$4:EC182))</f>
        <v>#N/A</v>
      </c>
      <c r="EE182" s="315" t="str">
        <f t="shared" si="288"/>
        <v/>
      </c>
      <c r="EF182" s="315" t="e">
        <f>IF($J182="",#N/A,SUM(EE$4:EE182))</f>
        <v>#N/A</v>
      </c>
      <c r="EG182" s="315" t="e">
        <f>IF($J182="",#N/A,SUM(EE$4:EE182,EC$4:EC182,EA$4:EA182))</f>
        <v>#N/A</v>
      </c>
      <c r="EH182" s="130">
        <f t="shared" si="289"/>
        <v>28.620000000000005</v>
      </c>
      <c r="EI182" s="63">
        <f>IF(EH182="",#N/A,SUM($EH$4:EH182))</f>
        <v>676.48954002980906</v>
      </c>
      <c r="EJ182" s="223" t="e">
        <f t="shared" si="290"/>
        <v>#N/A</v>
      </c>
      <c r="EK182" s="63" t="e">
        <f>IF($GZ182="",#N/A,SUM(EJ$4:EJ182))</f>
        <v>#N/A</v>
      </c>
      <c r="EL182" s="60">
        <f t="shared" si="322"/>
        <v>1.0774547672291119</v>
      </c>
      <c r="EM182" s="60">
        <f>IF(EL182="",NA(),SUM($EL$4:EL182))</f>
        <v>22.243898604120066</v>
      </c>
      <c r="EN182" s="60">
        <f t="shared" si="291"/>
        <v>1.0774547672291119</v>
      </c>
      <c r="EO182" s="60">
        <f>IF(EN182="",NA(),SUM($EN$4:EN182))</f>
        <v>8.5786530566186503</v>
      </c>
      <c r="EP182" s="60" t="str">
        <f t="shared" si="292"/>
        <v/>
      </c>
      <c r="EQ182" s="60" t="e">
        <f>IF(EP182="",NA(),SUM($EP$4:EP182))</f>
        <v>#N/A</v>
      </c>
      <c r="ER182" s="60" t="str">
        <f t="shared" si="293"/>
        <v/>
      </c>
      <c r="ES182" s="60" t="e">
        <f>IF(ER182="",NA(),SUM($ER$4:ER182))</f>
        <v>#N/A</v>
      </c>
      <c r="ET182" s="60" t="str">
        <f t="shared" si="294"/>
        <v/>
      </c>
      <c r="EU182" s="60" t="e">
        <f>IF(ET182="",NA(),SUM($ET$4:ET182))</f>
        <v>#N/A</v>
      </c>
      <c r="EV182" s="60" t="str">
        <f t="shared" si="295"/>
        <v/>
      </c>
      <c r="EW182" s="60" t="e">
        <f>IF(EV182="",NA(),SUM($EV$4:EV182))</f>
        <v>#N/A</v>
      </c>
      <c r="EX182" s="60" t="str">
        <f t="shared" si="296"/>
        <v/>
      </c>
      <c r="EY182" s="60" t="e">
        <f>IF(EX182="",NA(),SUM($EX$4:EX182))</f>
        <v>#N/A</v>
      </c>
      <c r="EZ182" s="60" t="str">
        <f t="shared" si="297"/>
        <v/>
      </c>
      <c r="FA182" s="60" t="e">
        <f>IF(EZ182="",NA(),SUM($EZ$4:EZ182))</f>
        <v>#N/A</v>
      </c>
      <c r="FB182" s="246" t="str">
        <f t="shared" si="323"/>
        <v/>
      </c>
      <c r="FC182" s="246" t="e">
        <f>IF($FB182="",#N/A,SUM(FB$4:$FB182))</f>
        <v>#N/A</v>
      </c>
      <c r="FD182" s="60" t="str">
        <f t="shared" si="298"/>
        <v/>
      </c>
      <c r="FE182" s="60" t="e">
        <f>IF($FD182="",#N/A,SUM($FD$4:FD182))</f>
        <v>#N/A</v>
      </c>
      <c r="FF182" s="60">
        <f t="shared" si="299"/>
        <v>-0.27783424815341862</v>
      </c>
      <c r="FG182" s="60">
        <f>IF($FF182="",#N/A,SUM($FF$4:FF182))</f>
        <v>-1.2259726340008621</v>
      </c>
      <c r="FH182" s="60" t="str">
        <f t="shared" si="300"/>
        <v/>
      </c>
      <c r="FI182" s="60" t="e">
        <f>IF($FH182="",#N/A,SUM($FH$4:FH182))</f>
        <v>#N/A</v>
      </c>
      <c r="FJ182" s="60" t="str">
        <f t="shared" si="301"/>
        <v/>
      </c>
      <c r="FK182" s="60" t="e">
        <f>IF($FJ182="",#N/A,SUM($FJ$4:FJ182))</f>
        <v>#N/A</v>
      </c>
      <c r="FL182" s="60" t="str">
        <f t="shared" si="302"/>
        <v/>
      </c>
      <c r="FM182" s="60" t="e">
        <f>IF($FL182="",#N/A,SUM($FL$4:FL182))</f>
        <v>#N/A</v>
      </c>
      <c r="FN182" s="82">
        <f t="shared" si="303"/>
        <v>0.79962051907569331</v>
      </c>
      <c r="FO182" s="82">
        <f>IF($FN182="",#N/A,SUM(FN$4:$FN182))</f>
        <v>30.954056449370182</v>
      </c>
      <c r="FP182" s="82">
        <f t="shared" si="324"/>
        <v>1.0774547672291119</v>
      </c>
      <c r="FQ182" s="246">
        <f>IF($EH182="",#N/A,SUM($FP$4:FP182))</f>
        <v>25.904686667601336</v>
      </c>
      <c r="FR182" s="82">
        <f>IFERROR(FQ182/COUNTA($J$4:J182),#N/A)</f>
        <v>0.14471891993073371</v>
      </c>
      <c r="FS182" s="82">
        <f t="shared" si="334"/>
        <v>1.5975349596097189E-2</v>
      </c>
      <c r="FT182" s="82">
        <f t="shared" si="335"/>
        <v>0.26120988263426281</v>
      </c>
      <c r="FU182" s="337">
        <f t="shared" si="331"/>
        <v>13.756612843756548</v>
      </c>
      <c r="FV182" s="57" t="str">
        <f t="shared" si="305"/>
        <v>Up</v>
      </c>
      <c r="FW182" s="57" t="s">
        <v>2733</v>
      </c>
      <c r="FX182" s="57">
        <f t="shared" si="306"/>
        <v>1</v>
      </c>
      <c r="FY182" s="57" t="str">
        <f t="shared" si="307"/>
        <v/>
      </c>
      <c r="FZ182" s="57" t="str">
        <f t="shared" si="308"/>
        <v/>
      </c>
      <c r="GA182" s="57" t="str">
        <f t="shared" si="309"/>
        <v>Long</v>
      </c>
      <c r="GB182" s="57" t="str">
        <f t="shared" si="310"/>
        <v/>
      </c>
      <c r="GC182" s="57" t="str">
        <f t="shared" si="311"/>
        <v/>
      </c>
      <c r="GD182" s="57" t="str">
        <f t="shared" si="312"/>
        <v/>
      </c>
      <c r="GE182" s="62">
        <f t="shared" si="227"/>
        <v>49.19</v>
      </c>
      <c r="GF182" s="62" t="s">
        <v>2779</v>
      </c>
      <c r="GG182" s="199">
        <v>9</v>
      </c>
      <c r="GH182" s="207">
        <f t="shared" si="313"/>
        <v>442.71</v>
      </c>
      <c r="GI182" s="199">
        <v>9</v>
      </c>
      <c r="GJ182" s="200">
        <v>52.37</v>
      </c>
      <c r="GK182" s="63">
        <f t="shared" si="314"/>
        <v>28.620000000000005</v>
      </c>
      <c r="GL182" s="63">
        <f t="shared" si="228"/>
        <v>21.240000000000009</v>
      </c>
      <c r="GM182" s="82" t="str">
        <f t="shared" si="315"/>
        <v/>
      </c>
      <c r="GN182" s="82">
        <f>IF($GZ182="",#N/A,SUM(GM$4:GM182))</f>
        <v>8.1446248226957074</v>
      </c>
      <c r="GO182" s="82">
        <f t="shared" si="316"/>
        <v>0.79962051907569331</v>
      </c>
      <c r="GP182" s="82">
        <f>IF($GZ182="",#N/A,SUM(GO$4:GO182))</f>
        <v>10.998213992480078</v>
      </c>
      <c r="GQ182" s="82" t="str">
        <f t="shared" si="317"/>
        <v/>
      </c>
      <c r="GR182" s="82">
        <f>IF($GZ182="",#N/A,SUM(GQ$4:GQ182))</f>
        <v>11.185380679752049</v>
      </c>
      <c r="GS182" s="63" t="str">
        <f t="shared" si="325"/>
        <v/>
      </c>
      <c r="GT182" s="63" t="e">
        <f>IF($GZ182="",#N/A,SUM(GS$4:GS182))</f>
        <v>#N/A</v>
      </c>
      <c r="GU182" s="63" t="e">
        <f t="shared" si="326"/>
        <v>#N/A</v>
      </c>
      <c r="GV182" s="63" t="e">
        <f>IF($GZ182="",#N/A,SUM(GU$4:GU182))</f>
        <v>#N/A</v>
      </c>
      <c r="GW182" s="63" t="str">
        <f t="shared" si="327"/>
        <v/>
      </c>
      <c r="GX182" s="63" t="e">
        <f>IF($GZ182="",#N/A,SUM(GW$4:GW182))</f>
        <v>#N/A</v>
      </c>
      <c r="GY182" s="63" t="e">
        <f>IF(EJ182="",#N/A,SUM($EJ$4:EJ182))</f>
        <v>#N/A</v>
      </c>
      <c r="GZ182" s="159">
        <v>51.55</v>
      </c>
      <c r="HA182" s="63">
        <f t="shared" si="318"/>
        <v>-7.3799999999999955</v>
      </c>
      <c r="HB182" s="62" t="s">
        <v>2538</v>
      </c>
      <c r="HC182" s="60">
        <f>IFERROR(VLOOKUP(E182,Expectancy!$P$4:$S$19,1+C182,FALSE),"")</f>
        <v>0.43526476867969371</v>
      </c>
      <c r="HD182" s="82">
        <f t="shared" si="319"/>
        <v>1.0774547672291119</v>
      </c>
      <c r="HE182" s="60">
        <f>IF(HD182="",#N/A,SUM($HD$4:HD182))</f>
        <v>-2.3819261761552122</v>
      </c>
      <c r="HF182" s="85">
        <f>IF(HD182="",#N/A,IF(HB182="Skip",#N/A,SUM($HG$4:HG182)))</f>
        <v>-20.379999999999882</v>
      </c>
      <c r="HG182" s="63">
        <f t="shared" si="320"/>
        <v>28.620000000000005</v>
      </c>
      <c r="HH182" s="82">
        <f t="shared" si="321"/>
        <v>0.79962051907569331</v>
      </c>
    </row>
    <row r="183" spans="1:216" x14ac:dyDescent="0.25">
      <c r="A183" s="57" t="s">
        <v>1551</v>
      </c>
      <c r="B183" s="58" t="s">
        <v>5192</v>
      </c>
      <c r="C183" s="386">
        <f t="shared" si="230"/>
        <v>2</v>
      </c>
      <c r="D183" s="372" t="str">
        <f>_xlfn.XLOOKUP(A183,[1]SP500!$A$2:$A$502,[1]SP500!$D$2:$D$502,"N")</f>
        <v>Y</v>
      </c>
      <c r="E183" s="57" t="str">
        <f>_xlfn.XLOOKUP(A183,[1]SP500!$A$2:$A$655,[1]SP500!$B$2:$B$655)</f>
        <v>XLB</v>
      </c>
      <c r="F183" s="59">
        <v>45692</v>
      </c>
      <c r="G183" s="57" t="str">
        <f t="shared" si="231"/>
        <v>BMO</v>
      </c>
      <c r="H183" s="57" t="str">
        <f t="shared" si="232"/>
        <v>s</v>
      </c>
      <c r="I183" s="159">
        <v>55.68</v>
      </c>
      <c r="J183" s="159">
        <v>52.08</v>
      </c>
      <c r="K183" s="61">
        <f t="shared" si="233"/>
        <v>-6.4655172413793136E-2</v>
      </c>
      <c r="L183" s="87">
        <f t="shared" si="234"/>
        <v>25.199999999999989</v>
      </c>
      <c r="M183" s="130">
        <f t="shared" si="226"/>
        <v>0</v>
      </c>
      <c r="N183" s="169" t="str">
        <f t="shared" si="235"/>
        <v/>
      </c>
      <c r="O183" s="169">
        <f>IF($J183="",#N/A,SUM($N$4:N183))</f>
        <v>336.07976368961386</v>
      </c>
      <c r="P183" s="174">
        <f t="shared" si="236"/>
        <v>25.199999999999989</v>
      </c>
      <c r="Q183" s="174">
        <f>IF($J183="",#N/A,SUM($P$4:P183))</f>
        <v>217.34104023772636</v>
      </c>
      <c r="R183" s="178" t="str">
        <f t="shared" si="237"/>
        <v/>
      </c>
      <c r="S183" s="178">
        <f>IF($J183="",#N/A,SUM($R$4:R183))</f>
        <v>148.26873610246867</v>
      </c>
      <c r="T183" s="290" t="str">
        <f t="shared" si="238"/>
        <v/>
      </c>
      <c r="U183" s="290">
        <f>IF($J183="",#N/A,SUM($T$4:T183))</f>
        <v>12.464802587477148</v>
      </c>
      <c r="V183" s="291">
        <f t="shared" si="239"/>
        <v>1.0775862068965512</v>
      </c>
      <c r="W183" s="291">
        <f>IF($J183="",#N/A,SUM($V$4:V183))</f>
        <v>8.6250375358008906</v>
      </c>
      <c r="X183" s="292" t="str">
        <f t="shared" si="240"/>
        <v/>
      </c>
      <c r="Y183" s="283">
        <f>IF($J183="",#N/A,SUM($X$4:X183))</f>
        <v>5.8924327512198413</v>
      </c>
      <c r="Z183" s="304" t="str">
        <f t="shared" si="241"/>
        <v/>
      </c>
      <c r="AA183" s="313" t="e">
        <f>IF($J183="",#N/A,SUM(Z$4:Z183))</f>
        <v>#N/A</v>
      </c>
      <c r="AB183" s="314" t="str">
        <f t="shared" si="242"/>
        <v/>
      </c>
      <c r="AC183" s="314" t="e">
        <f>IF($J183="",#N/A,SUM(AB$4:AB183))</f>
        <v>#N/A</v>
      </c>
      <c r="AD183" s="315" t="str">
        <f t="shared" si="243"/>
        <v/>
      </c>
      <c r="AE183" s="315" t="e">
        <f>IF($J183="",#N/A,SUM(AD$4:AD183))</f>
        <v>#N/A</v>
      </c>
      <c r="AF183" s="315" t="e">
        <f>IF($J183="",#N/A,SUM(AD$4:AD183,AB$4:AB183,Z$4:Z183))</f>
        <v>#N/A</v>
      </c>
      <c r="AG183" s="304" t="str">
        <f t="shared" si="244"/>
        <v/>
      </c>
      <c r="AH183" s="313" t="e">
        <f>IF($J183="",#N/A,SUM(AG$4:AG183))</f>
        <v>#N/A</v>
      </c>
      <c r="AI183" s="314" t="str">
        <f t="shared" si="245"/>
        <v/>
      </c>
      <c r="AJ183" s="314" t="e">
        <f>IF($J183="",#N/A,SUM(AI$4:AI183))</f>
        <v>#N/A</v>
      </c>
      <c r="AK183" s="315" t="str">
        <f t="shared" si="246"/>
        <v/>
      </c>
      <c r="AL183" s="315" t="e">
        <f>IF($J183="",#N/A,SUM(AK$4:AK183))</f>
        <v>#N/A</v>
      </c>
      <c r="AM183" s="315" t="e">
        <f>IF($J183="",#N/A,SUM(AK$4:AK183,AI$4:AI183,AG$4:AG183))</f>
        <v>#N/A</v>
      </c>
      <c r="AN183" s="304" t="str">
        <f t="shared" si="247"/>
        <v/>
      </c>
      <c r="AO183" s="313" t="e">
        <f>IF($J183="",#N/A,SUM(AN$4:AN183))</f>
        <v>#N/A</v>
      </c>
      <c r="AP183" s="314" t="str">
        <f t="shared" si="248"/>
        <v/>
      </c>
      <c r="AQ183" s="314" t="e">
        <f>IF($J183="",#N/A,SUM(AP$4:AP183))</f>
        <v>#N/A</v>
      </c>
      <c r="AR183" s="315" t="str">
        <f t="shared" si="249"/>
        <v/>
      </c>
      <c r="AS183" s="315" t="e">
        <f>IF($J183="",#N/A,SUM(AR$4:AR183))</f>
        <v>#N/A</v>
      </c>
      <c r="AT183" s="315" t="e">
        <f>IF($J183="",#N/A,SUM(AR$4:AR183,AP$4:AP183,AN$4:AN183))</f>
        <v>#N/A</v>
      </c>
      <c r="AU183" s="304" t="str">
        <f t="shared" si="250"/>
        <v/>
      </c>
      <c r="AV183" s="313" t="e">
        <f>IF($J183="",#N/A,SUM(AU$4:AU183))</f>
        <v>#N/A</v>
      </c>
      <c r="AW183" s="314" t="str">
        <f t="shared" si="251"/>
        <v/>
      </c>
      <c r="AX183" s="314" t="e">
        <f>IF($J183="",#N/A,SUM(AW$4:AW183))</f>
        <v>#N/A</v>
      </c>
      <c r="AY183" s="315" t="str">
        <f t="shared" si="252"/>
        <v/>
      </c>
      <c r="AZ183" s="315" t="e">
        <f>IF($J183="",#N/A,SUM(AY$4:AY183))</f>
        <v>#N/A</v>
      </c>
      <c r="BA183" s="315" t="e">
        <f>IF($J183="",#N/A,SUM(AY$4:AY183,AW$4:AW183,AU$4:AU183))</f>
        <v>#N/A</v>
      </c>
      <c r="BB183" s="304" t="str">
        <f t="shared" si="253"/>
        <v/>
      </c>
      <c r="BC183" s="313" t="e">
        <f>IF($J183="",#N/A,SUM(BB$4:BB183))</f>
        <v>#N/A</v>
      </c>
      <c r="BD183" s="314" t="str">
        <f t="shared" si="254"/>
        <v/>
      </c>
      <c r="BE183" s="314" t="e">
        <f>IF($J183="",#N/A,SUM(BD$4:BD183))</f>
        <v>#N/A</v>
      </c>
      <c r="BF183" s="315" t="str">
        <f t="shared" si="255"/>
        <v/>
      </c>
      <c r="BG183" s="315" t="e">
        <f>IF($J183="",#N/A,SUM(BF$4:BF183))</f>
        <v>#N/A</v>
      </c>
      <c r="BH183" s="315" t="e">
        <f>IF($J183="",#N/A,SUM(BF$4:BF183,BD$4:BD183,BB$4:BB183))</f>
        <v>#N/A</v>
      </c>
      <c r="BI183" s="304" t="str">
        <f t="shared" si="256"/>
        <v/>
      </c>
      <c r="BJ183" s="313" t="e">
        <f>IF($J183="",#N/A,SUM(BI$4:BI183))</f>
        <v>#N/A</v>
      </c>
      <c r="BK183" s="314" t="str">
        <f t="shared" si="257"/>
        <v/>
      </c>
      <c r="BL183" s="314" t="e">
        <f>IF($J183="",#N/A,SUM(BK$4:BK183))</f>
        <v>#N/A</v>
      </c>
      <c r="BM183" s="315" t="str">
        <f t="shared" si="258"/>
        <v/>
      </c>
      <c r="BN183" s="315" t="e">
        <f>IF($J183="",#N/A,SUM(BM$4:BM183))</f>
        <v>#N/A</v>
      </c>
      <c r="BO183" s="315" t="e">
        <f>IF($J183="",#N/A,SUM(BM$4:BM183,BK$4:BK183,BI$4:BI183))</f>
        <v>#N/A</v>
      </c>
      <c r="BP183" s="304" t="str">
        <f t="shared" si="259"/>
        <v/>
      </c>
      <c r="BQ183" s="313" t="e">
        <f>IF($J183="",#N/A,SUM(BP$4:BP183))</f>
        <v>#N/A</v>
      </c>
      <c r="BR183" s="314" t="str">
        <f t="shared" si="260"/>
        <v/>
      </c>
      <c r="BS183" s="314" t="e">
        <f>IF($J183="",#N/A,SUM(BR$4:BR183))</f>
        <v>#N/A</v>
      </c>
      <c r="BT183" s="315" t="str">
        <f t="shared" si="261"/>
        <v/>
      </c>
      <c r="BU183" s="315" t="e">
        <f>IF($J183="",#N/A,SUM(BT$4:BT183))</f>
        <v>#N/A</v>
      </c>
      <c r="BV183" s="315" t="e">
        <f>IF($J183="",#N/A,SUM(BT$4:BT183,BR$4:BR183,BP$4:BP183))</f>
        <v>#N/A</v>
      </c>
      <c r="BW183" s="304" t="str">
        <f t="shared" si="262"/>
        <v/>
      </c>
      <c r="BX183" s="313" t="e">
        <f>IF($J183="",#N/A,SUM(BW$4:BW183))</f>
        <v>#N/A</v>
      </c>
      <c r="BY183" s="314" t="str">
        <f t="shared" si="263"/>
        <v/>
      </c>
      <c r="BZ183" s="314" t="e">
        <f>IF($J183="",#N/A,SUM(BY$4:BY183))</f>
        <v>#N/A</v>
      </c>
      <c r="CA183" s="315" t="str">
        <f t="shared" si="264"/>
        <v/>
      </c>
      <c r="CB183" s="315" t="e">
        <f>IF($J183="",#N/A,SUM(CA$4:CA183))</f>
        <v>#N/A</v>
      </c>
      <c r="CC183" s="315" t="e">
        <f>IF($J183="",#N/A,SUM(CA$4:CA183,BY$4:BY183,BW$4:BW183))</f>
        <v>#N/A</v>
      </c>
      <c r="CD183" s="304" t="str">
        <f t="shared" si="265"/>
        <v/>
      </c>
      <c r="CE183" s="313" t="e">
        <f>IF($J183="",#N/A,SUM(CD$4:CD183))</f>
        <v>#N/A</v>
      </c>
      <c r="CF183" s="314">
        <f t="shared" si="266"/>
        <v>1.0775862068965512</v>
      </c>
      <c r="CG183" s="314" t="e">
        <f>IF($J183="",#N/A,SUM(CF$4:CF183))</f>
        <v>#N/A</v>
      </c>
      <c r="CH183" s="315" t="str">
        <f t="shared" si="267"/>
        <v/>
      </c>
      <c r="CI183" s="315" t="e">
        <f>IF($J183="",#N/A,SUM(CH$4:CH183))</f>
        <v>#N/A</v>
      </c>
      <c r="CJ183" s="315" t="e">
        <f>IF($J183="",#N/A,SUM(CH$4:CH183,CF$4:CF183,CD$4:CD183))</f>
        <v>#N/A</v>
      </c>
      <c r="CK183" s="304" t="str">
        <f t="shared" si="268"/>
        <v/>
      </c>
      <c r="CL183" s="313" t="e">
        <f>IF($J183="",#N/A,SUM(CK$4:CK183))</f>
        <v>#N/A</v>
      </c>
      <c r="CM183" s="314" t="str">
        <f t="shared" si="269"/>
        <v/>
      </c>
      <c r="CN183" s="314" t="e">
        <f>IF($J183="",#N/A,SUM(CM$4:CM183))</f>
        <v>#N/A</v>
      </c>
      <c r="CO183" s="315" t="str">
        <f t="shared" si="270"/>
        <v/>
      </c>
      <c r="CP183" s="315" t="e">
        <f>IF($J183="",#N/A,SUM(CO$4:CO183))</f>
        <v>#N/A</v>
      </c>
      <c r="CQ183" s="315" t="e">
        <f>IF($J183="",#N/A,SUM(CO$4:CO183,CM$4:CM183,CK$4:CK183))</f>
        <v>#N/A</v>
      </c>
      <c r="CR183" s="304" t="str">
        <f t="shared" si="271"/>
        <v/>
      </c>
      <c r="CS183" s="313" t="e">
        <f>IF($J183="",#N/A,SUM(CR$4:CR183))</f>
        <v>#N/A</v>
      </c>
      <c r="CT183" s="314" t="str">
        <f t="shared" si="272"/>
        <v/>
      </c>
      <c r="CU183" s="314" t="e">
        <f>IF($J183="",#N/A,SUM(CT$4:CT183))</f>
        <v>#N/A</v>
      </c>
      <c r="CV183" s="315" t="str">
        <f t="shared" si="273"/>
        <v/>
      </c>
      <c r="CW183" s="315" t="e">
        <f>IF($J183="",#N/A,SUM(CV$4:CV183))</f>
        <v>#N/A</v>
      </c>
      <c r="CX183" s="315" t="e">
        <f>IF($J183="",#N/A,SUM(CV$4:CV183,CT$4:CT183,CR$4:CR183))</f>
        <v>#N/A</v>
      </c>
      <c r="CY183" s="304" t="str">
        <f t="shared" si="274"/>
        <v/>
      </c>
      <c r="CZ183" s="313" t="e">
        <f>IF($J183="",#N/A,SUM(CY$4:CY183))</f>
        <v>#N/A</v>
      </c>
      <c r="DA183" s="314" t="str">
        <f t="shared" si="275"/>
        <v/>
      </c>
      <c r="DB183" s="314" t="e">
        <f>IF($J183="",#N/A,SUM(DA$4:DA183))</f>
        <v>#N/A</v>
      </c>
      <c r="DC183" s="315" t="str">
        <f t="shared" si="276"/>
        <v/>
      </c>
      <c r="DD183" s="315" t="e">
        <f>IF($J183="",#N/A,SUM(DC$4:DC183))</f>
        <v>#N/A</v>
      </c>
      <c r="DE183" s="315" t="e">
        <f>IF($J183="",#N/A,SUM(DC$4:DC183,DA$4:DA183,CY$4:CY183))</f>
        <v>#N/A</v>
      </c>
      <c r="DF183" s="304" t="str">
        <f t="shared" si="277"/>
        <v/>
      </c>
      <c r="DG183" s="313" t="e">
        <f>IF($J183="",#N/A,SUM(DF$4:DF183))</f>
        <v>#N/A</v>
      </c>
      <c r="DH183" s="314" t="str">
        <f t="shared" si="278"/>
        <v/>
      </c>
      <c r="DI183" s="314" t="e">
        <f>IF($J183="",#N/A,SUM(DH$4:DH183))</f>
        <v>#N/A</v>
      </c>
      <c r="DJ183" s="315" t="str">
        <f t="shared" si="279"/>
        <v/>
      </c>
      <c r="DK183" s="315" t="e">
        <f>IF($J183="",#N/A,SUM(DJ$4:DJ183))</f>
        <v>#N/A</v>
      </c>
      <c r="DL183" s="315" t="e">
        <f>IF($J183="",#N/A,SUM(DJ$4:DJ183,DH$4:DH183,DF$4:DF183))</f>
        <v>#N/A</v>
      </c>
      <c r="DM183" s="304" t="str">
        <f t="shared" si="280"/>
        <v/>
      </c>
      <c r="DN183" s="313" t="e">
        <f>IF($J183="",#N/A,SUM(DM$4:DM183))</f>
        <v>#N/A</v>
      </c>
      <c r="DO183" s="314" t="str">
        <f t="shared" si="281"/>
        <v/>
      </c>
      <c r="DP183" s="314" t="e">
        <f>IF($J183="",#N/A,SUM(DO$4:DO183))</f>
        <v>#N/A</v>
      </c>
      <c r="DQ183" s="315" t="str">
        <f t="shared" si="282"/>
        <v/>
      </c>
      <c r="DR183" s="315" t="e">
        <f>IF($J183="",#N/A,SUM(DQ$4:DQ183))</f>
        <v>#N/A</v>
      </c>
      <c r="DS183" s="315" t="e">
        <f>IF($J183="",#N/A,SUM(DQ$4:DQ183,DO$4:DO183,DM$4:DM183))</f>
        <v>#N/A</v>
      </c>
      <c r="DT183" s="304" t="str">
        <f t="shared" si="283"/>
        <v/>
      </c>
      <c r="DU183" s="313" t="e">
        <f>IF($J183="",#N/A,SUM(DT$4:DT183))</f>
        <v>#N/A</v>
      </c>
      <c r="DV183" s="314" t="str">
        <f t="shared" si="284"/>
        <v/>
      </c>
      <c r="DW183" s="314" t="e">
        <f>IF($J183="",#N/A,SUM(DV$4:DV183))</f>
        <v>#N/A</v>
      </c>
      <c r="DX183" s="315" t="str">
        <f t="shared" si="285"/>
        <v/>
      </c>
      <c r="DY183" s="315" t="e">
        <f>IF($J183="",#N/A,SUM(DX$4:DX183))</f>
        <v>#N/A</v>
      </c>
      <c r="DZ183" s="315" t="e">
        <f>IF($J183="",#N/A,SUM(DX$4:DX183,DV$4:DV183,DT$4:DT183))</f>
        <v>#N/A</v>
      </c>
      <c r="EA183" s="304" t="str">
        <f t="shared" si="286"/>
        <v/>
      </c>
      <c r="EB183" s="313" t="e">
        <f>IF($J183="",#N/A,SUM(EA$4:EA183))</f>
        <v>#N/A</v>
      </c>
      <c r="EC183" s="314" t="str">
        <f t="shared" si="287"/>
        <v/>
      </c>
      <c r="ED183" s="314" t="e">
        <f>IF($J183="",#N/A,SUM(EC$4:EC183))</f>
        <v>#N/A</v>
      </c>
      <c r="EE183" s="315" t="str">
        <f t="shared" si="288"/>
        <v/>
      </c>
      <c r="EF183" s="315" t="e">
        <f>IF($J183="",#N/A,SUM(EE$4:EE183))</f>
        <v>#N/A</v>
      </c>
      <c r="EG183" s="315" t="e">
        <f>IF($J183="",#N/A,SUM(EE$4:EE183,EC$4:EC183,EA$4:EA183))</f>
        <v>#N/A</v>
      </c>
      <c r="EH183" s="130">
        <f t="shared" si="289"/>
        <v>25.199999999999989</v>
      </c>
      <c r="EI183" s="63">
        <f>IF(EH183="",#N/A,SUM($EH$4:EH183))</f>
        <v>701.689540029809</v>
      </c>
      <c r="EJ183" s="223" t="e">
        <f t="shared" si="290"/>
        <v>#N/A</v>
      </c>
      <c r="EK183" s="63" t="e">
        <f>IF($GZ183="",#N/A,SUM(EJ$4:EJ183))</f>
        <v>#N/A</v>
      </c>
      <c r="EL183" s="60">
        <f t="shared" si="322"/>
        <v>1.0775862068965512</v>
      </c>
      <c r="EM183" s="60">
        <f>IF(EL183="",NA(),SUM($EL$4:EL183))</f>
        <v>23.321484811016617</v>
      </c>
      <c r="EN183" s="60" t="str">
        <f t="shared" si="291"/>
        <v/>
      </c>
      <c r="EO183" s="60" t="e">
        <f>IF(EN183="",NA(),SUM($EN$4:EN183))</f>
        <v>#N/A</v>
      </c>
      <c r="EP183" s="60" t="str">
        <f t="shared" si="292"/>
        <v/>
      </c>
      <c r="EQ183" s="60" t="e">
        <f>IF(EP183="",NA(),SUM($EP$4:EP183))</f>
        <v>#N/A</v>
      </c>
      <c r="ER183" s="60">
        <f t="shared" si="293"/>
        <v>1.0775862068965512</v>
      </c>
      <c r="ES183" s="60">
        <f>IF(ER183="",NA(),SUM($ER$4:ER183))</f>
        <v>7.9226420831009321</v>
      </c>
      <c r="ET183" s="60" t="str">
        <f t="shared" si="294"/>
        <v/>
      </c>
      <c r="EU183" s="60" t="e">
        <f>IF(ET183="",NA(),SUM($ET$4:ET183))</f>
        <v>#N/A</v>
      </c>
      <c r="EV183" s="60" t="str">
        <f t="shared" si="295"/>
        <v/>
      </c>
      <c r="EW183" s="60" t="e">
        <f>IF(EV183="",NA(),SUM($EV$4:EV183))</f>
        <v>#N/A</v>
      </c>
      <c r="EX183" s="60" t="str">
        <f t="shared" si="296"/>
        <v/>
      </c>
      <c r="EY183" s="60" t="e">
        <f>IF(EX183="",NA(),SUM($EX$4:EX183))</f>
        <v>#N/A</v>
      </c>
      <c r="EZ183" s="60" t="str">
        <f t="shared" si="297"/>
        <v/>
      </c>
      <c r="FA183" s="60" t="e">
        <f>IF(EZ183="",NA(),SUM($EZ$4:EZ183))</f>
        <v>#N/A</v>
      </c>
      <c r="FB183" s="246">
        <f t="shared" si="323"/>
        <v>7.1839080459770388E-2</v>
      </c>
      <c r="FC183" s="246">
        <f>IF($FB183="",#N/A,SUM(FB$4:$FB183))</f>
        <v>2.9066138407901514</v>
      </c>
      <c r="FD183" s="60" t="str">
        <f t="shared" si="298"/>
        <v/>
      </c>
      <c r="FE183" s="60" t="e">
        <f>IF($FD183="",#N/A,SUM($FD$4:FD183))</f>
        <v>#N/A</v>
      </c>
      <c r="FF183" s="60" t="str">
        <f t="shared" si="299"/>
        <v/>
      </c>
      <c r="FG183" s="60" t="e">
        <f>IF($FF183="",#N/A,SUM($FF$4:FF183))</f>
        <v>#N/A</v>
      </c>
      <c r="FH183" s="60" t="str">
        <f t="shared" si="300"/>
        <v/>
      </c>
      <c r="FI183" s="60" t="e">
        <f>IF($FH183="",#N/A,SUM($FH$4:FH183))</f>
        <v>#N/A</v>
      </c>
      <c r="FJ183" s="60" t="str">
        <f t="shared" si="301"/>
        <v/>
      </c>
      <c r="FK183" s="60" t="e">
        <f>IF($FJ183="",#N/A,SUM($FJ$4:FJ183))</f>
        <v>#N/A</v>
      </c>
      <c r="FL183" s="60" t="str">
        <f t="shared" si="302"/>
        <v/>
      </c>
      <c r="FM183" s="60" t="e">
        <f>IF($FL183="",#N/A,SUM($FL$4:FL183))</f>
        <v>#N/A</v>
      </c>
      <c r="FN183" s="82">
        <f t="shared" si="303"/>
        <v>1.1494252873563215</v>
      </c>
      <c r="FO183" s="82">
        <f>IF($FN183="",#N/A,SUM(FN$4:$FN183))</f>
        <v>32.103481736726501</v>
      </c>
      <c r="FP183" s="82">
        <f t="shared" si="324"/>
        <v>1.0775862068965512</v>
      </c>
      <c r="FQ183" s="246">
        <f>IF($EH183="",#N/A,SUM($FP$4:FP183))</f>
        <v>26.982272874497887</v>
      </c>
      <c r="FR183" s="82">
        <f>IFERROR(FQ183/COUNTA($J$4:J183),#N/A)</f>
        <v>0.14990151596943271</v>
      </c>
      <c r="FS183" s="82">
        <f t="shared" si="334"/>
        <v>6.5657044281749288E-2</v>
      </c>
      <c r="FT183" s="82">
        <f t="shared" si="335"/>
        <v>0.13775981114613423</v>
      </c>
      <c r="FU183" s="337">
        <f t="shared" si="331"/>
        <v>13.756612843756548</v>
      </c>
      <c r="FV183" s="57" t="str">
        <f t="shared" si="305"/>
        <v>Dwn</v>
      </c>
      <c r="FW183" s="57" t="s">
        <v>2733</v>
      </c>
      <c r="FX183" s="57" t="str">
        <f t="shared" si="306"/>
        <v/>
      </c>
      <c r="FY183" s="57" t="str">
        <f t="shared" si="307"/>
        <v/>
      </c>
      <c r="FZ183" s="57" t="str">
        <f t="shared" si="308"/>
        <v/>
      </c>
      <c r="GA183" s="57" t="str">
        <f t="shared" si="309"/>
        <v>Short</v>
      </c>
      <c r="GB183" s="57">
        <f t="shared" si="310"/>
        <v>1</v>
      </c>
      <c r="GC183" s="57" t="str">
        <f t="shared" si="311"/>
        <v/>
      </c>
      <c r="GD183" s="57" t="str">
        <f t="shared" si="312"/>
        <v/>
      </c>
      <c r="GE183" s="62">
        <f t="shared" si="227"/>
        <v>55.68</v>
      </c>
      <c r="GF183" s="62" t="s">
        <v>2780</v>
      </c>
      <c r="GG183" s="199">
        <v>7</v>
      </c>
      <c r="GH183" s="207">
        <f t="shared" si="313"/>
        <v>389.76</v>
      </c>
      <c r="GI183" s="199">
        <v>7</v>
      </c>
      <c r="GJ183" s="200">
        <v>52.08</v>
      </c>
      <c r="GK183" s="63">
        <f t="shared" si="314"/>
        <v>25.199999999999989</v>
      </c>
      <c r="GL183" s="63">
        <f t="shared" si="228"/>
        <v>26.879999999999995</v>
      </c>
      <c r="GM183" s="82" t="str">
        <f t="shared" si="315"/>
        <v/>
      </c>
      <c r="GN183" s="82">
        <f>IF($GZ183="",#N/A,SUM(GM$4:GM183))</f>
        <v>8.1446248226957074</v>
      </c>
      <c r="GO183" s="82" t="str">
        <f t="shared" si="316"/>
        <v/>
      </c>
      <c r="GP183" s="82">
        <f>IF($GZ183="",#N/A,SUM(GO$4:GO183))</f>
        <v>10.998213992480078</v>
      </c>
      <c r="GQ183" s="82">
        <f t="shared" si="317"/>
        <v>1.1494252873563215</v>
      </c>
      <c r="GR183" s="82">
        <f>IF($GZ183="",#N/A,SUM(GQ$4:GQ183))</f>
        <v>12.33480596710837</v>
      </c>
      <c r="GS183" s="63" t="str">
        <f t="shared" si="325"/>
        <v/>
      </c>
      <c r="GT183" s="63" t="e">
        <f>IF($GZ183="",#N/A,SUM(GS$4:GS183))</f>
        <v>#N/A</v>
      </c>
      <c r="GU183" s="63" t="str">
        <f t="shared" si="326"/>
        <v/>
      </c>
      <c r="GV183" s="63" t="e">
        <f>IF($GZ183="",#N/A,SUM(GU$4:GU183))</f>
        <v>#N/A</v>
      </c>
      <c r="GW183" s="63" t="e">
        <f t="shared" si="327"/>
        <v>#N/A</v>
      </c>
      <c r="GX183" s="63" t="e">
        <f>IF($GZ183="",#N/A,SUM(GW$4:GW183))</f>
        <v>#N/A</v>
      </c>
      <c r="GY183" s="63" t="e">
        <f>IF(EJ183="",#N/A,SUM($EJ$4:EJ183))</f>
        <v>#N/A</v>
      </c>
      <c r="GZ183" s="159">
        <v>51.84</v>
      </c>
      <c r="HA183" s="63">
        <f t="shared" si="318"/>
        <v>1.6800000000000068</v>
      </c>
      <c r="HB183" s="62" t="s">
        <v>2538</v>
      </c>
      <c r="HC183" s="60">
        <f>IFERROR(VLOOKUP(E183,Expectancy!$P$4:$S$19,1+C183,FALSE),"")</f>
        <v>0.73529829292760662</v>
      </c>
      <c r="HD183" s="82">
        <f t="shared" si="319"/>
        <v>1.0775862068965512</v>
      </c>
      <c r="HE183" s="60">
        <f>IF(HD183="",#N/A,SUM($HD$4:HD183))</f>
        <v>-1.304339969258661</v>
      </c>
      <c r="HF183" s="85">
        <f>IF(HD183="",#N/A,IF(HB183="Skip",#N/A,SUM($HG$4:HG183)))</f>
        <v>4.8200000000001069</v>
      </c>
      <c r="HG183" s="63">
        <f t="shared" si="320"/>
        <v>25.199999999999989</v>
      </c>
      <c r="HH183" s="82">
        <f t="shared" si="321"/>
        <v>1.1494252873563215</v>
      </c>
    </row>
    <row r="184" spans="1:216" x14ac:dyDescent="0.25">
      <c r="A184" s="57" t="s">
        <v>1554</v>
      </c>
      <c r="B184" s="58" t="s">
        <v>5195</v>
      </c>
      <c r="C184" s="386">
        <f t="shared" si="230"/>
        <v>3</v>
      </c>
      <c r="D184" s="372" t="str">
        <f>_xlfn.XLOOKUP(A184,[1]SP500!$A$2:$A$502,[1]SP500!$D$2:$D$502,"N")</f>
        <v>Y</v>
      </c>
      <c r="E184" s="57" t="str">
        <f>_xlfn.XLOOKUP(A184,[1]SP500!$A$2:$A$655,[1]SP500!$B$2:$B$655)</f>
        <v>XLI</v>
      </c>
      <c r="F184" s="59">
        <v>45692</v>
      </c>
      <c r="G184" s="57" t="str">
        <f t="shared" si="231"/>
        <v>BMO</v>
      </c>
      <c r="H184" s="57" t="str">
        <f t="shared" si="232"/>
        <v>s</v>
      </c>
      <c r="I184" s="159">
        <v>102.63</v>
      </c>
      <c r="J184" s="159">
        <v>99.55</v>
      </c>
      <c r="K184" s="61">
        <f t="shared" si="233"/>
        <v>-3.001071811361199E-2</v>
      </c>
      <c r="L184" s="87">
        <f t="shared" si="234"/>
        <v>-12.319999999999993</v>
      </c>
      <c r="M184" s="130">
        <f t="shared" si="226"/>
        <v>0</v>
      </c>
      <c r="N184" s="169" t="str">
        <f t="shared" si="235"/>
        <v/>
      </c>
      <c r="O184" s="169">
        <f>IF($J184="",#N/A,SUM($N$4:N184))</f>
        <v>336.07976368961386</v>
      </c>
      <c r="P184" s="174" t="str">
        <f t="shared" si="236"/>
        <v/>
      </c>
      <c r="Q184" s="174">
        <f>IF($J184="",#N/A,SUM($P$4:P184))</f>
        <v>217.34104023772636</v>
      </c>
      <c r="R184" s="178">
        <f t="shared" si="237"/>
        <v>-12.319999999999993</v>
      </c>
      <c r="S184" s="178">
        <f>IF($J184="",#N/A,SUM($R$4:R184))</f>
        <v>135.94873610246867</v>
      </c>
      <c r="T184" s="290" t="str">
        <f t="shared" si="238"/>
        <v/>
      </c>
      <c r="U184" s="290">
        <f>IF($J184="",#N/A,SUM($T$4:T184))</f>
        <v>12.464802587477148</v>
      </c>
      <c r="V184" s="291" t="str">
        <f t="shared" si="239"/>
        <v/>
      </c>
      <c r="W184" s="291">
        <f>IF($J184="",#N/A,SUM($V$4:V184))</f>
        <v>8.6250375358008906</v>
      </c>
      <c r="X184" s="292">
        <f t="shared" si="240"/>
        <v>-0.50017863522686645</v>
      </c>
      <c r="Y184" s="283">
        <f>IF($J184="",#N/A,SUM($X$4:X184))</f>
        <v>5.3922541159929747</v>
      </c>
      <c r="Z184" s="304" t="str">
        <f t="shared" si="241"/>
        <v/>
      </c>
      <c r="AA184" s="313" t="e">
        <f>IF($J184="",#N/A,SUM(Z$4:Z184))</f>
        <v>#N/A</v>
      </c>
      <c r="AB184" s="314" t="str">
        <f t="shared" si="242"/>
        <v/>
      </c>
      <c r="AC184" s="314" t="e">
        <f>IF($J184="",#N/A,SUM(AB$4:AB184))</f>
        <v>#N/A</v>
      </c>
      <c r="AD184" s="315" t="str">
        <f t="shared" si="243"/>
        <v/>
      </c>
      <c r="AE184" s="315" t="e">
        <f>IF($J184="",#N/A,SUM(AD$4:AD184))</f>
        <v>#N/A</v>
      </c>
      <c r="AF184" s="315" t="e">
        <f>IF($J184="",#N/A,SUM(AD$4:AD184,AB$4:AB184,Z$4:Z184))</f>
        <v>#N/A</v>
      </c>
      <c r="AG184" s="304" t="str">
        <f t="shared" si="244"/>
        <v/>
      </c>
      <c r="AH184" s="313" t="e">
        <f>IF($J184="",#N/A,SUM(AG$4:AG184))</f>
        <v>#N/A</v>
      </c>
      <c r="AI184" s="314" t="str">
        <f t="shared" si="245"/>
        <v/>
      </c>
      <c r="AJ184" s="314" t="e">
        <f>IF($J184="",#N/A,SUM(AI$4:AI184))</f>
        <v>#N/A</v>
      </c>
      <c r="AK184" s="315" t="str">
        <f t="shared" si="246"/>
        <v/>
      </c>
      <c r="AL184" s="315" t="e">
        <f>IF($J184="",#N/A,SUM(AK$4:AK184))</f>
        <v>#N/A</v>
      </c>
      <c r="AM184" s="315" t="e">
        <f>IF($J184="",#N/A,SUM(AK$4:AK184,AI$4:AI184,AG$4:AG184))</f>
        <v>#N/A</v>
      </c>
      <c r="AN184" s="304" t="str">
        <f t="shared" si="247"/>
        <v/>
      </c>
      <c r="AO184" s="313" t="e">
        <f>IF($J184="",#N/A,SUM(AN$4:AN184))</f>
        <v>#N/A</v>
      </c>
      <c r="AP184" s="314" t="str">
        <f t="shared" si="248"/>
        <v/>
      </c>
      <c r="AQ184" s="314" t="e">
        <f>IF($J184="",#N/A,SUM(AP$4:AP184))</f>
        <v>#N/A</v>
      </c>
      <c r="AR184" s="315" t="str">
        <f t="shared" si="249"/>
        <v/>
      </c>
      <c r="AS184" s="315" t="e">
        <f>IF($J184="",#N/A,SUM(AR$4:AR184))</f>
        <v>#N/A</v>
      </c>
      <c r="AT184" s="315" t="e">
        <f>IF($J184="",#N/A,SUM(AR$4:AR184,AP$4:AP184,AN$4:AN184))</f>
        <v>#N/A</v>
      </c>
      <c r="AU184" s="304" t="str">
        <f t="shared" si="250"/>
        <v/>
      </c>
      <c r="AV184" s="313" t="e">
        <f>IF($J184="",#N/A,SUM(AU$4:AU184))</f>
        <v>#N/A</v>
      </c>
      <c r="AW184" s="314" t="str">
        <f t="shared" si="251"/>
        <v/>
      </c>
      <c r="AX184" s="314" t="e">
        <f>IF($J184="",#N/A,SUM(AW$4:AW184))</f>
        <v>#N/A</v>
      </c>
      <c r="AY184" s="315" t="str">
        <f t="shared" si="252"/>
        <v/>
      </c>
      <c r="AZ184" s="315" t="e">
        <f>IF($J184="",#N/A,SUM(AY$4:AY184))</f>
        <v>#N/A</v>
      </c>
      <c r="BA184" s="315" t="e">
        <f>IF($J184="",#N/A,SUM(AY$4:AY184,AW$4:AW184,AU$4:AU184))</f>
        <v>#N/A</v>
      </c>
      <c r="BB184" s="304" t="str">
        <f t="shared" si="253"/>
        <v/>
      </c>
      <c r="BC184" s="313" t="e">
        <f>IF($J184="",#N/A,SUM(BB$4:BB184))</f>
        <v>#N/A</v>
      </c>
      <c r="BD184" s="314" t="str">
        <f t="shared" si="254"/>
        <v/>
      </c>
      <c r="BE184" s="314" t="e">
        <f>IF($J184="",#N/A,SUM(BD$4:BD184))</f>
        <v>#N/A</v>
      </c>
      <c r="BF184" s="315" t="str">
        <f t="shared" si="255"/>
        <v/>
      </c>
      <c r="BG184" s="315" t="e">
        <f>IF($J184="",#N/A,SUM(BF$4:BF184))</f>
        <v>#N/A</v>
      </c>
      <c r="BH184" s="315" t="e">
        <f>IF($J184="",#N/A,SUM(BF$4:BF184,BD$4:BD184,BB$4:BB184))</f>
        <v>#N/A</v>
      </c>
      <c r="BI184" s="304" t="str">
        <f t="shared" si="256"/>
        <v/>
      </c>
      <c r="BJ184" s="313" t="e">
        <f>IF($J184="",#N/A,SUM(BI$4:BI184))</f>
        <v>#N/A</v>
      </c>
      <c r="BK184" s="314" t="str">
        <f t="shared" si="257"/>
        <v/>
      </c>
      <c r="BL184" s="314" t="e">
        <f>IF($J184="",#N/A,SUM(BK$4:BK184))</f>
        <v>#N/A</v>
      </c>
      <c r="BM184" s="315" t="str">
        <f t="shared" si="258"/>
        <v/>
      </c>
      <c r="BN184" s="315" t="e">
        <f>IF($J184="",#N/A,SUM(BM$4:BM184))</f>
        <v>#N/A</v>
      </c>
      <c r="BO184" s="315" t="e">
        <f>IF($J184="",#N/A,SUM(BM$4:BM184,BK$4:BK184,BI$4:BI184))</f>
        <v>#N/A</v>
      </c>
      <c r="BP184" s="304" t="str">
        <f t="shared" si="259"/>
        <v/>
      </c>
      <c r="BQ184" s="313" t="e">
        <f>IF($J184="",#N/A,SUM(BP$4:BP184))</f>
        <v>#N/A</v>
      </c>
      <c r="BR184" s="314" t="str">
        <f t="shared" si="260"/>
        <v/>
      </c>
      <c r="BS184" s="314" t="e">
        <f>IF($J184="",#N/A,SUM(BR$4:BR184))</f>
        <v>#N/A</v>
      </c>
      <c r="BT184" s="315">
        <f t="shared" si="261"/>
        <v>-0.50017863522686645</v>
      </c>
      <c r="BU184" s="315" t="e">
        <f>IF($J184="",#N/A,SUM(BT$4:BT184))</f>
        <v>#N/A</v>
      </c>
      <c r="BV184" s="315" t="e">
        <f>IF($J184="",#N/A,SUM(BT$4:BT184,BR$4:BR184,BP$4:BP184))</f>
        <v>#N/A</v>
      </c>
      <c r="BW184" s="304" t="str">
        <f t="shared" si="262"/>
        <v/>
      </c>
      <c r="BX184" s="313" t="e">
        <f>IF($J184="",#N/A,SUM(BW$4:BW184))</f>
        <v>#N/A</v>
      </c>
      <c r="BY184" s="314" t="str">
        <f t="shared" si="263"/>
        <v/>
      </c>
      <c r="BZ184" s="314" t="e">
        <f>IF($J184="",#N/A,SUM(BY$4:BY184))</f>
        <v>#N/A</v>
      </c>
      <c r="CA184" s="315" t="str">
        <f t="shared" si="264"/>
        <v/>
      </c>
      <c r="CB184" s="315" t="e">
        <f>IF($J184="",#N/A,SUM(CA$4:CA184))</f>
        <v>#N/A</v>
      </c>
      <c r="CC184" s="315" t="e">
        <f>IF($J184="",#N/A,SUM(CA$4:CA184,BY$4:BY184,BW$4:BW184))</f>
        <v>#N/A</v>
      </c>
      <c r="CD184" s="304" t="str">
        <f t="shared" si="265"/>
        <v/>
      </c>
      <c r="CE184" s="313" t="e">
        <f>IF($J184="",#N/A,SUM(CD$4:CD184))</f>
        <v>#N/A</v>
      </c>
      <c r="CF184" s="314" t="str">
        <f t="shared" si="266"/>
        <v/>
      </c>
      <c r="CG184" s="314" t="e">
        <f>IF($J184="",#N/A,SUM(CF$4:CF184))</f>
        <v>#N/A</v>
      </c>
      <c r="CH184" s="315" t="str">
        <f t="shared" si="267"/>
        <v/>
      </c>
      <c r="CI184" s="315" t="e">
        <f>IF($J184="",#N/A,SUM(CH$4:CH184))</f>
        <v>#N/A</v>
      </c>
      <c r="CJ184" s="315" t="e">
        <f>IF($J184="",#N/A,SUM(CH$4:CH184,CF$4:CF184,CD$4:CD184))</f>
        <v>#N/A</v>
      </c>
      <c r="CK184" s="304" t="str">
        <f t="shared" si="268"/>
        <v/>
      </c>
      <c r="CL184" s="313" t="e">
        <f>IF($J184="",#N/A,SUM(CK$4:CK184))</f>
        <v>#N/A</v>
      </c>
      <c r="CM184" s="314" t="str">
        <f t="shared" si="269"/>
        <v/>
      </c>
      <c r="CN184" s="314" t="e">
        <f>IF($J184="",#N/A,SUM(CM$4:CM184))</f>
        <v>#N/A</v>
      </c>
      <c r="CO184" s="315" t="str">
        <f t="shared" si="270"/>
        <v/>
      </c>
      <c r="CP184" s="315" t="e">
        <f>IF($J184="",#N/A,SUM(CO$4:CO184))</f>
        <v>#N/A</v>
      </c>
      <c r="CQ184" s="315" t="e">
        <f>IF($J184="",#N/A,SUM(CO$4:CO184,CM$4:CM184,CK$4:CK184))</f>
        <v>#N/A</v>
      </c>
      <c r="CR184" s="304" t="str">
        <f t="shared" si="271"/>
        <v/>
      </c>
      <c r="CS184" s="313" t="e">
        <f>IF($J184="",#N/A,SUM(CR$4:CR184))</f>
        <v>#N/A</v>
      </c>
      <c r="CT184" s="314" t="str">
        <f t="shared" si="272"/>
        <v/>
      </c>
      <c r="CU184" s="314" t="e">
        <f>IF($J184="",#N/A,SUM(CT$4:CT184))</f>
        <v>#N/A</v>
      </c>
      <c r="CV184" s="315" t="str">
        <f t="shared" si="273"/>
        <v/>
      </c>
      <c r="CW184" s="315" t="e">
        <f>IF($J184="",#N/A,SUM(CV$4:CV184))</f>
        <v>#N/A</v>
      </c>
      <c r="CX184" s="315" t="e">
        <f>IF($J184="",#N/A,SUM(CV$4:CV184,CT$4:CT184,CR$4:CR184))</f>
        <v>#N/A</v>
      </c>
      <c r="CY184" s="304" t="str">
        <f t="shared" si="274"/>
        <v/>
      </c>
      <c r="CZ184" s="313" t="e">
        <f>IF($J184="",#N/A,SUM(CY$4:CY184))</f>
        <v>#N/A</v>
      </c>
      <c r="DA184" s="314" t="str">
        <f t="shared" si="275"/>
        <v/>
      </c>
      <c r="DB184" s="314" t="e">
        <f>IF($J184="",#N/A,SUM(DA$4:DA184))</f>
        <v>#N/A</v>
      </c>
      <c r="DC184" s="315" t="str">
        <f t="shared" si="276"/>
        <v/>
      </c>
      <c r="DD184" s="315" t="e">
        <f>IF($J184="",#N/A,SUM(DC$4:DC184))</f>
        <v>#N/A</v>
      </c>
      <c r="DE184" s="315" t="e">
        <f>IF($J184="",#N/A,SUM(DC$4:DC184,DA$4:DA184,CY$4:CY184))</f>
        <v>#N/A</v>
      </c>
      <c r="DF184" s="304" t="str">
        <f t="shared" si="277"/>
        <v/>
      </c>
      <c r="DG184" s="313" t="e">
        <f>IF($J184="",#N/A,SUM(DF$4:DF184))</f>
        <v>#N/A</v>
      </c>
      <c r="DH184" s="314" t="str">
        <f t="shared" si="278"/>
        <v/>
      </c>
      <c r="DI184" s="314" t="e">
        <f>IF($J184="",#N/A,SUM(DH$4:DH184))</f>
        <v>#N/A</v>
      </c>
      <c r="DJ184" s="315" t="str">
        <f t="shared" si="279"/>
        <v/>
      </c>
      <c r="DK184" s="315" t="e">
        <f>IF($J184="",#N/A,SUM(DJ$4:DJ184))</f>
        <v>#N/A</v>
      </c>
      <c r="DL184" s="315" t="e">
        <f>IF($J184="",#N/A,SUM(DJ$4:DJ184,DH$4:DH184,DF$4:DF184))</f>
        <v>#N/A</v>
      </c>
      <c r="DM184" s="304" t="str">
        <f t="shared" si="280"/>
        <v/>
      </c>
      <c r="DN184" s="313" t="e">
        <f>IF($J184="",#N/A,SUM(DM$4:DM184))</f>
        <v>#N/A</v>
      </c>
      <c r="DO184" s="314" t="str">
        <f t="shared" si="281"/>
        <v/>
      </c>
      <c r="DP184" s="314" t="e">
        <f>IF($J184="",#N/A,SUM(DO$4:DO184))</f>
        <v>#N/A</v>
      </c>
      <c r="DQ184" s="315" t="str">
        <f t="shared" si="282"/>
        <v/>
      </c>
      <c r="DR184" s="315" t="e">
        <f>IF($J184="",#N/A,SUM(DQ$4:DQ184))</f>
        <v>#N/A</v>
      </c>
      <c r="DS184" s="315" t="e">
        <f>IF($J184="",#N/A,SUM(DQ$4:DQ184,DO$4:DO184,DM$4:DM184))</f>
        <v>#N/A</v>
      </c>
      <c r="DT184" s="304" t="str">
        <f t="shared" si="283"/>
        <v/>
      </c>
      <c r="DU184" s="313" t="e">
        <f>IF($J184="",#N/A,SUM(DT$4:DT184))</f>
        <v>#N/A</v>
      </c>
      <c r="DV184" s="314" t="str">
        <f t="shared" si="284"/>
        <v/>
      </c>
      <c r="DW184" s="314" t="e">
        <f>IF($J184="",#N/A,SUM(DV$4:DV184))</f>
        <v>#N/A</v>
      </c>
      <c r="DX184" s="315" t="str">
        <f t="shared" si="285"/>
        <v/>
      </c>
      <c r="DY184" s="315" t="e">
        <f>IF($J184="",#N/A,SUM(DX$4:DX184))</f>
        <v>#N/A</v>
      </c>
      <c r="DZ184" s="315" t="e">
        <f>IF($J184="",#N/A,SUM(DX$4:DX184,DV$4:DV184,DT$4:DT184))</f>
        <v>#N/A</v>
      </c>
      <c r="EA184" s="304" t="str">
        <f t="shared" si="286"/>
        <v/>
      </c>
      <c r="EB184" s="313" t="e">
        <f>IF($J184="",#N/A,SUM(EA$4:EA184))</f>
        <v>#N/A</v>
      </c>
      <c r="EC184" s="314" t="str">
        <f t="shared" si="287"/>
        <v/>
      </c>
      <c r="ED184" s="314" t="e">
        <f>IF($J184="",#N/A,SUM(EC$4:EC184))</f>
        <v>#N/A</v>
      </c>
      <c r="EE184" s="315" t="str">
        <f t="shared" si="288"/>
        <v/>
      </c>
      <c r="EF184" s="315" t="e">
        <f>IF($J184="",#N/A,SUM(EE$4:EE184))</f>
        <v>#N/A</v>
      </c>
      <c r="EG184" s="315" t="e">
        <f>IF($J184="",#N/A,SUM(EE$4:EE184,EC$4:EC184,EA$4:EA184))</f>
        <v>#N/A</v>
      </c>
      <c r="EH184" s="130">
        <f t="shared" si="289"/>
        <v>-12.319999999999993</v>
      </c>
      <c r="EI184" s="63">
        <f>IF(EH184="",#N/A,SUM($EH$4:EH184))</f>
        <v>689.36954002980906</v>
      </c>
      <c r="EJ184" s="223" t="e">
        <f t="shared" si="290"/>
        <v>#N/A</v>
      </c>
      <c r="EK184" s="63" t="e">
        <f>IF($GZ184="",#N/A,SUM(EJ$4:EJ184))</f>
        <v>#N/A</v>
      </c>
      <c r="EL184" s="60">
        <f t="shared" si="322"/>
        <v>-0.50017863522686645</v>
      </c>
      <c r="EM184" s="60">
        <f>IF(EL184="",NA(),SUM($EL$4:EL184))</f>
        <v>22.821306175789751</v>
      </c>
      <c r="EN184" s="60" t="str">
        <f t="shared" si="291"/>
        <v/>
      </c>
      <c r="EO184" s="60" t="e">
        <f>IF(EN184="",NA(),SUM($EN$4:EN184))</f>
        <v>#N/A</v>
      </c>
      <c r="EP184" s="60">
        <f t="shared" si="292"/>
        <v>-0.50017863522686645</v>
      </c>
      <c r="EQ184" s="60">
        <f>IF(EP184="",NA(),SUM($EP$4:EP184))</f>
        <v>6.3200110360701682</v>
      </c>
      <c r="ER184" s="60" t="str">
        <f t="shared" si="293"/>
        <v/>
      </c>
      <c r="ES184" s="60" t="e">
        <f>IF(ER184="",NA(),SUM($ER$4:ER184))</f>
        <v>#N/A</v>
      </c>
      <c r="ET184" s="60" t="str">
        <f t="shared" si="294"/>
        <v/>
      </c>
      <c r="EU184" s="60" t="e">
        <f>IF(ET184="",NA(),SUM($ET$4:ET184))</f>
        <v>#N/A</v>
      </c>
      <c r="EV184" s="60" t="str">
        <f t="shared" si="295"/>
        <v/>
      </c>
      <c r="EW184" s="60" t="e">
        <f>IF(EV184="",NA(),SUM($EV$4:EV184))</f>
        <v>#N/A</v>
      </c>
      <c r="EX184" s="60" t="str">
        <f t="shared" si="296"/>
        <v/>
      </c>
      <c r="EY184" s="60" t="e">
        <f>IF(EX184="",NA(),SUM($EX$4:EX184))</f>
        <v>#N/A</v>
      </c>
      <c r="EZ184" s="60" t="str">
        <f t="shared" si="297"/>
        <v/>
      </c>
      <c r="FA184" s="60" t="e">
        <f>IF(EZ184="",NA(),SUM($EZ$4:EZ184))</f>
        <v>#N/A</v>
      </c>
      <c r="FB184" s="246" t="str">
        <f t="shared" si="323"/>
        <v/>
      </c>
      <c r="FC184" s="246" t="e">
        <f>IF($FB184="",#N/A,SUM(FB$4:$FB184))</f>
        <v>#N/A</v>
      </c>
      <c r="FD184" s="60" t="str">
        <f t="shared" si="298"/>
        <v/>
      </c>
      <c r="FE184" s="60" t="e">
        <f>IF($FD184="",#N/A,SUM($FD$4:FD184))</f>
        <v>#N/A</v>
      </c>
      <c r="FF184" s="60" t="str">
        <f t="shared" si="299"/>
        <v/>
      </c>
      <c r="FG184" s="60" t="e">
        <f>IF($FF184="",#N/A,SUM($FF$4:FF184))</f>
        <v>#N/A</v>
      </c>
      <c r="FH184" s="60" t="str">
        <f t="shared" si="300"/>
        <v/>
      </c>
      <c r="FI184" s="60" t="e">
        <f>IF($FH184="",#N/A,SUM($FH$4:FH184))</f>
        <v>#N/A</v>
      </c>
      <c r="FJ184" s="60" t="str">
        <f t="shared" si="301"/>
        <v/>
      </c>
      <c r="FK184" s="60" t="e">
        <f>IF($FJ184="",#N/A,SUM($FJ$4:FJ184))</f>
        <v>#N/A</v>
      </c>
      <c r="FL184" s="60">
        <f t="shared" si="302"/>
        <v>-0.20949040241644612</v>
      </c>
      <c r="FM184" s="60">
        <f>IF($FL184="",#N/A,SUM($FL$4:FL184))</f>
        <v>3.8782964680711172</v>
      </c>
      <c r="FN184" s="82">
        <f t="shared" si="303"/>
        <v>-0.70966903764331257</v>
      </c>
      <c r="FO184" s="82">
        <f>IF($FN184="",#N/A,SUM(FN$4:$FN184))</f>
        <v>31.393812699083188</v>
      </c>
      <c r="FP184" s="82">
        <f t="shared" si="324"/>
        <v>-0.50017863522686645</v>
      </c>
      <c r="FQ184" s="246">
        <f>IF($EH184="",#N/A,SUM($FP$4:FP184))</f>
        <v>26.482094239271021</v>
      </c>
      <c r="FR184" s="82">
        <f>IFERROR(FQ184/COUNTA($J$4:J184),#N/A)</f>
        <v>0.1463099129241493</v>
      </c>
      <c r="FS184" s="82">
        <f t="shared" si="334"/>
        <v>3.190806807688526E-2</v>
      </c>
      <c r="FT184" s="82">
        <f t="shared" si="335"/>
        <v>0.12653255425864546</v>
      </c>
      <c r="FU184" s="337">
        <f t="shared" si="331"/>
        <v>13.756612843756548</v>
      </c>
      <c r="FV184" s="57" t="str">
        <f t="shared" si="305"/>
        <v>SW</v>
      </c>
      <c r="FW184" s="57" t="s">
        <v>2732</v>
      </c>
      <c r="FX184" s="57" t="str">
        <f t="shared" si="306"/>
        <v/>
      </c>
      <c r="FY184" s="57" t="str">
        <f t="shared" si="307"/>
        <v/>
      </c>
      <c r="FZ184" s="57" t="str">
        <f t="shared" si="308"/>
        <v/>
      </c>
      <c r="GA184" s="57" t="str">
        <f t="shared" si="309"/>
        <v>Long</v>
      </c>
      <c r="GB184" s="57" t="str">
        <f t="shared" si="310"/>
        <v/>
      </c>
      <c r="GC184" s="57" t="str">
        <f t="shared" si="311"/>
        <v/>
      </c>
      <c r="GD184" s="57">
        <f t="shared" si="312"/>
        <v>1</v>
      </c>
      <c r="GE184" s="62">
        <f t="shared" si="227"/>
        <v>102.63</v>
      </c>
      <c r="GF184" s="62" t="s">
        <v>2779</v>
      </c>
      <c r="GG184" s="199">
        <v>4</v>
      </c>
      <c r="GH184" s="207">
        <f t="shared" si="313"/>
        <v>410.52</v>
      </c>
      <c r="GI184" s="199">
        <v>4</v>
      </c>
      <c r="GJ184" s="200">
        <v>99.55</v>
      </c>
      <c r="GK184" s="63">
        <f t="shared" si="314"/>
        <v>-12.319999999999993</v>
      </c>
      <c r="GL184" s="63">
        <f t="shared" si="228"/>
        <v>-17.479999999999961</v>
      </c>
      <c r="GM184" s="82">
        <f t="shared" si="315"/>
        <v>-0.70966903764331257</v>
      </c>
      <c r="GN184" s="82">
        <f>IF($GZ184="",#N/A,SUM(GM$4:GM184))</f>
        <v>7.4349557850523951</v>
      </c>
      <c r="GO184" s="82" t="str">
        <f t="shared" si="316"/>
        <v/>
      </c>
      <c r="GP184" s="82">
        <f>IF($GZ184="",#N/A,SUM(GO$4:GO184))</f>
        <v>10.998213992480078</v>
      </c>
      <c r="GQ184" s="82" t="str">
        <f t="shared" si="317"/>
        <v/>
      </c>
      <c r="GR184" s="82">
        <f>IF($GZ184="",#N/A,SUM(GQ$4:GQ184))</f>
        <v>12.33480596710837</v>
      </c>
      <c r="GS184" s="63" t="e">
        <f t="shared" si="325"/>
        <v>#N/A</v>
      </c>
      <c r="GT184" s="63" t="e">
        <f>IF($GZ184="",#N/A,SUM(GS$4:GS184))</f>
        <v>#N/A</v>
      </c>
      <c r="GU184" s="63" t="str">
        <f t="shared" si="326"/>
        <v/>
      </c>
      <c r="GV184" s="63" t="e">
        <f>IF($GZ184="",#N/A,SUM(GU$4:GU184))</f>
        <v>#N/A</v>
      </c>
      <c r="GW184" s="63" t="str">
        <f t="shared" si="327"/>
        <v/>
      </c>
      <c r="GX184" s="63" t="e">
        <f>IF($GZ184="",#N/A,SUM(GW$4:GW184))</f>
        <v>#N/A</v>
      </c>
      <c r="GY184" s="63" t="e">
        <f>IF(EJ184="",#N/A,SUM($EJ$4:EJ184))</f>
        <v>#N/A</v>
      </c>
      <c r="GZ184" s="159">
        <v>98.26</v>
      </c>
      <c r="HA184" s="63">
        <f t="shared" si="318"/>
        <v>-5.1599999999999682</v>
      </c>
      <c r="HB184" s="62" t="s">
        <v>2538</v>
      </c>
      <c r="HC184" s="60">
        <f>IFERROR(VLOOKUP(E184,Expectancy!$P$4:$S$19,1+C184,FALSE),"")</f>
        <v>2.40735201201209E-2</v>
      </c>
      <c r="HD184" s="82">
        <f t="shared" si="319"/>
        <v>-0.50017863522686645</v>
      </c>
      <c r="HE184" s="60">
        <f>IF(HD184="",#N/A,SUM($HD$4:HD184))</f>
        <v>-1.8045186044855275</v>
      </c>
      <c r="HF184" s="85">
        <f>IF(HD184="",#N/A,IF(HB184="Skip",#N/A,SUM($HG$4:HG184)))</f>
        <v>-7.4999999999998863</v>
      </c>
      <c r="HG184" s="63">
        <f t="shared" si="320"/>
        <v>-12.319999999999993</v>
      </c>
      <c r="HH184" s="82">
        <f t="shared" si="321"/>
        <v>-0.70966903764331257</v>
      </c>
    </row>
    <row r="185" spans="1:216" x14ac:dyDescent="0.25">
      <c r="A185" s="57" t="s">
        <v>1081</v>
      </c>
      <c r="B185" s="58" t="s">
        <v>5188</v>
      </c>
      <c r="C185" s="386">
        <f t="shared" si="230"/>
        <v>3</v>
      </c>
      <c r="D185" s="372" t="str">
        <f>_xlfn.XLOOKUP(A185,[1]SP500!$A$2:$A$502,[1]SP500!$D$2:$D$502,"N")</f>
        <v>Y</v>
      </c>
      <c r="E185" s="57" t="str">
        <f>_xlfn.XLOOKUP(A185,[1]SP500!$A$2:$A$655,[1]SP500!$B$2:$B$655)</f>
        <v>XLI</v>
      </c>
      <c r="F185" s="59">
        <v>45692</v>
      </c>
      <c r="G185" s="57" t="str">
        <f t="shared" si="231"/>
        <v>BMO</v>
      </c>
      <c r="H185" s="57" t="str">
        <f t="shared" si="232"/>
        <v>s</v>
      </c>
      <c r="I185" s="159">
        <v>138.78</v>
      </c>
      <c r="J185" s="159">
        <v>140.46</v>
      </c>
      <c r="K185" s="61">
        <f t="shared" si="233"/>
        <v>1.2105490704712544E-2</v>
      </c>
      <c r="L185" s="87">
        <f t="shared" si="234"/>
        <v>5.0399999999999636</v>
      </c>
      <c r="M185" s="130">
        <f t="shared" si="226"/>
        <v>0</v>
      </c>
      <c r="N185" s="169" t="str">
        <f t="shared" si="235"/>
        <v/>
      </c>
      <c r="O185" s="169">
        <f>IF($J185="",#N/A,SUM($N$4:N185))</f>
        <v>336.07976368961386</v>
      </c>
      <c r="P185" s="174" t="str">
        <f t="shared" si="236"/>
        <v/>
      </c>
      <c r="Q185" s="174">
        <f>IF($J185="",#N/A,SUM($P$4:P185))</f>
        <v>217.34104023772636</v>
      </c>
      <c r="R185" s="178">
        <f t="shared" si="237"/>
        <v>5.0399999999999636</v>
      </c>
      <c r="S185" s="178">
        <f>IF($J185="",#N/A,SUM($R$4:R185))</f>
        <v>140.98873610246864</v>
      </c>
      <c r="T185" s="290" t="str">
        <f t="shared" si="238"/>
        <v/>
      </c>
      <c r="U185" s="290">
        <f>IF($J185="",#N/A,SUM($T$4:T185))</f>
        <v>12.464802587477148</v>
      </c>
      <c r="V185" s="291" t="str">
        <f t="shared" si="239"/>
        <v/>
      </c>
      <c r="W185" s="291">
        <f>IF($J185="",#N/A,SUM($V$4:V185))</f>
        <v>8.6250375358008906</v>
      </c>
      <c r="X185" s="292">
        <f t="shared" si="240"/>
        <v>0.20175817841187346</v>
      </c>
      <c r="Y185" s="283">
        <f>IF($J185="",#N/A,SUM($X$4:X185))</f>
        <v>5.5940122944048483</v>
      </c>
      <c r="Z185" s="304" t="str">
        <f t="shared" si="241"/>
        <v/>
      </c>
      <c r="AA185" s="313" t="e">
        <f>IF($J185="",#N/A,SUM(Z$4:Z185))</f>
        <v>#N/A</v>
      </c>
      <c r="AB185" s="314" t="str">
        <f t="shared" si="242"/>
        <v/>
      </c>
      <c r="AC185" s="314" t="e">
        <f>IF($J185="",#N/A,SUM(AB$4:AB185))</f>
        <v>#N/A</v>
      </c>
      <c r="AD185" s="315" t="str">
        <f t="shared" si="243"/>
        <v/>
      </c>
      <c r="AE185" s="315" t="e">
        <f>IF($J185="",#N/A,SUM(AD$4:AD185))</f>
        <v>#N/A</v>
      </c>
      <c r="AF185" s="315" t="e">
        <f>IF($J185="",#N/A,SUM(AD$4:AD185,AB$4:AB185,Z$4:Z185))</f>
        <v>#N/A</v>
      </c>
      <c r="AG185" s="304" t="str">
        <f t="shared" si="244"/>
        <v/>
      </c>
      <c r="AH185" s="313" t="e">
        <f>IF($J185="",#N/A,SUM(AG$4:AG185))</f>
        <v>#N/A</v>
      </c>
      <c r="AI185" s="314" t="str">
        <f t="shared" si="245"/>
        <v/>
      </c>
      <c r="AJ185" s="314" t="e">
        <f>IF($J185="",#N/A,SUM(AI$4:AI185))</f>
        <v>#N/A</v>
      </c>
      <c r="AK185" s="315" t="str">
        <f t="shared" si="246"/>
        <v/>
      </c>
      <c r="AL185" s="315" t="e">
        <f>IF($J185="",#N/A,SUM(AK$4:AK185))</f>
        <v>#N/A</v>
      </c>
      <c r="AM185" s="315" t="e">
        <f>IF($J185="",#N/A,SUM(AK$4:AK185,AI$4:AI185,AG$4:AG185))</f>
        <v>#N/A</v>
      </c>
      <c r="AN185" s="304" t="str">
        <f t="shared" si="247"/>
        <v/>
      </c>
      <c r="AO185" s="313" t="e">
        <f>IF($J185="",#N/A,SUM(AN$4:AN185))</f>
        <v>#N/A</v>
      </c>
      <c r="AP185" s="314" t="str">
        <f t="shared" si="248"/>
        <v/>
      </c>
      <c r="AQ185" s="314" t="e">
        <f>IF($J185="",#N/A,SUM(AP$4:AP185))</f>
        <v>#N/A</v>
      </c>
      <c r="AR185" s="315" t="str">
        <f t="shared" si="249"/>
        <v/>
      </c>
      <c r="AS185" s="315" t="e">
        <f>IF($J185="",#N/A,SUM(AR$4:AR185))</f>
        <v>#N/A</v>
      </c>
      <c r="AT185" s="315" t="e">
        <f>IF($J185="",#N/A,SUM(AR$4:AR185,AP$4:AP185,AN$4:AN185))</f>
        <v>#N/A</v>
      </c>
      <c r="AU185" s="304" t="str">
        <f t="shared" si="250"/>
        <v/>
      </c>
      <c r="AV185" s="313" t="e">
        <f>IF($J185="",#N/A,SUM(AU$4:AU185))</f>
        <v>#N/A</v>
      </c>
      <c r="AW185" s="314" t="str">
        <f t="shared" si="251"/>
        <v/>
      </c>
      <c r="AX185" s="314" t="e">
        <f>IF($J185="",#N/A,SUM(AW$4:AW185))</f>
        <v>#N/A</v>
      </c>
      <c r="AY185" s="315" t="str">
        <f t="shared" si="252"/>
        <v/>
      </c>
      <c r="AZ185" s="315" t="e">
        <f>IF($J185="",#N/A,SUM(AY$4:AY185))</f>
        <v>#N/A</v>
      </c>
      <c r="BA185" s="315" t="e">
        <f>IF($J185="",#N/A,SUM(AY$4:AY185,AW$4:AW185,AU$4:AU185))</f>
        <v>#N/A</v>
      </c>
      <c r="BB185" s="304" t="str">
        <f t="shared" si="253"/>
        <v/>
      </c>
      <c r="BC185" s="313" t="e">
        <f>IF($J185="",#N/A,SUM(BB$4:BB185))</f>
        <v>#N/A</v>
      </c>
      <c r="BD185" s="314" t="str">
        <f t="shared" si="254"/>
        <v/>
      </c>
      <c r="BE185" s="314" t="e">
        <f>IF($J185="",#N/A,SUM(BD$4:BD185))</f>
        <v>#N/A</v>
      </c>
      <c r="BF185" s="315" t="str">
        <f t="shared" si="255"/>
        <v/>
      </c>
      <c r="BG185" s="315" t="e">
        <f>IF($J185="",#N/A,SUM(BF$4:BF185))</f>
        <v>#N/A</v>
      </c>
      <c r="BH185" s="315" t="e">
        <f>IF($J185="",#N/A,SUM(BF$4:BF185,BD$4:BD185,BB$4:BB185))</f>
        <v>#N/A</v>
      </c>
      <c r="BI185" s="304" t="str">
        <f t="shared" si="256"/>
        <v/>
      </c>
      <c r="BJ185" s="313" t="e">
        <f>IF($J185="",#N/A,SUM(BI$4:BI185))</f>
        <v>#N/A</v>
      </c>
      <c r="BK185" s="314" t="str">
        <f t="shared" si="257"/>
        <v/>
      </c>
      <c r="BL185" s="314" t="e">
        <f>IF($J185="",#N/A,SUM(BK$4:BK185))</f>
        <v>#N/A</v>
      </c>
      <c r="BM185" s="315" t="str">
        <f t="shared" si="258"/>
        <v/>
      </c>
      <c r="BN185" s="315" t="e">
        <f>IF($J185="",#N/A,SUM(BM$4:BM185))</f>
        <v>#N/A</v>
      </c>
      <c r="BO185" s="315" t="e">
        <f>IF($J185="",#N/A,SUM(BM$4:BM185,BK$4:BK185,BI$4:BI185))</f>
        <v>#N/A</v>
      </c>
      <c r="BP185" s="304" t="str">
        <f t="shared" si="259"/>
        <v/>
      </c>
      <c r="BQ185" s="313" t="e">
        <f>IF($J185="",#N/A,SUM(BP$4:BP185))</f>
        <v>#N/A</v>
      </c>
      <c r="BR185" s="314" t="str">
        <f t="shared" si="260"/>
        <v/>
      </c>
      <c r="BS185" s="314" t="e">
        <f>IF($J185="",#N/A,SUM(BR$4:BR185))</f>
        <v>#N/A</v>
      </c>
      <c r="BT185" s="315">
        <f t="shared" si="261"/>
        <v>0.20175817841187346</v>
      </c>
      <c r="BU185" s="315" t="e">
        <f>IF($J185="",#N/A,SUM(BT$4:BT185))</f>
        <v>#N/A</v>
      </c>
      <c r="BV185" s="315" t="e">
        <f>IF($J185="",#N/A,SUM(BT$4:BT185,BR$4:BR185,BP$4:BP185))</f>
        <v>#N/A</v>
      </c>
      <c r="BW185" s="304" t="str">
        <f t="shared" si="262"/>
        <v/>
      </c>
      <c r="BX185" s="313" t="e">
        <f>IF($J185="",#N/A,SUM(BW$4:BW185))</f>
        <v>#N/A</v>
      </c>
      <c r="BY185" s="314" t="str">
        <f t="shared" si="263"/>
        <v/>
      </c>
      <c r="BZ185" s="314" t="e">
        <f>IF($J185="",#N/A,SUM(BY$4:BY185))</f>
        <v>#N/A</v>
      </c>
      <c r="CA185" s="315" t="str">
        <f t="shared" si="264"/>
        <v/>
      </c>
      <c r="CB185" s="315" t="e">
        <f>IF($J185="",#N/A,SUM(CA$4:CA185))</f>
        <v>#N/A</v>
      </c>
      <c r="CC185" s="315" t="e">
        <f>IF($J185="",#N/A,SUM(CA$4:CA185,BY$4:BY185,BW$4:BW185))</f>
        <v>#N/A</v>
      </c>
      <c r="CD185" s="304" t="str">
        <f t="shared" si="265"/>
        <v/>
      </c>
      <c r="CE185" s="313" t="e">
        <f>IF($J185="",#N/A,SUM(CD$4:CD185))</f>
        <v>#N/A</v>
      </c>
      <c r="CF185" s="314" t="str">
        <f t="shared" si="266"/>
        <v/>
      </c>
      <c r="CG185" s="314" t="e">
        <f>IF($J185="",#N/A,SUM(CF$4:CF185))</f>
        <v>#N/A</v>
      </c>
      <c r="CH185" s="315" t="str">
        <f t="shared" si="267"/>
        <v/>
      </c>
      <c r="CI185" s="315" t="e">
        <f>IF($J185="",#N/A,SUM(CH$4:CH185))</f>
        <v>#N/A</v>
      </c>
      <c r="CJ185" s="315" t="e">
        <f>IF($J185="",#N/A,SUM(CH$4:CH185,CF$4:CF185,CD$4:CD185))</f>
        <v>#N/A</v>
      </c>
      <c r="CK185" s="304" t="str">
        <f t="shared" si="268"/>
        <v/>
      </c>
      <c r="CL185" s="313" t="e">
        <f>IF($J185="",#N/A,SUM(CK$4:CK185))</f>
        <v>#N/A</v>
      </c>
      <c r="CM185" s="314" t="str">
        <f t="shared" si="269"/>
        <v/>
      </c>
      <c r="CN185" s="314" t="e">
        <f>IF($J185="",#N/A,SUM(CM$4:CM185))</f>
        <v>#N/A</v>
      </c>
      <c r="CO185" s="315" t="str">
        <f t="shared" si="270"/>
        <v/>
      </c>
      <c r="CP185" s="315" t="e">
        <f>IF($J185="",#N/A,SUM(CO$4:CO185))</f>
        <v>#N/A</v>
      </c>
      <c r="CQ185" s="315" t="e">
        <f>IF($J185="",#N/A,SUM(CO$4:CO185,CM$4:CM185,CK$4:CK185))</f>
        <v>#N/A</v>
      </c>
      <c r="CR185" s="304" t="str">
        <f t="shared" si="271"/>
        <v/>
      </c>
      <c r="CS185" s="313" t="e">
        <f>IF($J185="",#N/A,SUM(CR$4:CR185))</f>
        <v>#N/A</v>
      </c>
      <c r="CT185" s="314" t="str">
        <f t="shared" si="272"/>
        <v/>
      </c>
      <c r="CU185" s="314" t="e">
        <f>IF($J185="",#N/A,SUM(CT$4:CT185))</f>
        <v>#N/A</v>
      </c>
      <c r="CV185" s="315" t="str">
        <f t="shared" si="273"/>
        <v/>
      </c>
      <c r="CW185" s="315" t="e">
        <f>IF($J185="",#N/A,SUM(CV$4:CV185))</f>
        <v>#N/A</v>
      </c>
      <c r="CX185" s="315" t="e">
        <f>IF($J185="",#N/A,SUM(CV$4:CV185,CT$4:CT185,CR$4:CR185))</f>
        <v>#N/A</v>
      </c>
      <c r="CY185" s="304" t="str">
        <f t="shared" si="274"/>
        <v/>
      </c>
      <c r="CZ185" s="313" t="e">
        <f>IF($J185="",#N/A,SUM(CY$4:CY185))</f>
        <v>#N/A</v>
      </c>
      <c r="DA185" s="314" t="str">
        <f t="shared" si="275"/>
        <v/>
      </c>
      <c r="DB185" s="314" t="e">
        <f>IF($J185="",#N/A,SUM(DA$4:DA185))</f>
        <v>#N/A</v>
      </c>
      <c r="DC185" s="315" t="str">
        <f t="shared" si="276"/>
        <v/>
      </c>
      <c r="DD185" s="315" t="e">
        <f>IF($J185="",#N/A,SUM(DC$4:DC185))</f>
        <v>#N/A</v>
      </c>
      <c r="DE185" s="315" t="e">
        <f>IF($J185="",#N/A,SUM(DC$4:DC185,DA$4:DA185,CY$4:CY185))</f>
        <v>#N/A</v>
      </c>
      <c r="DF185" s="304" t="str">
        <f t="shared" si="277"/>
        <v/>
      </c>
      <c r="DG185" s="313" t="e">
        <f>IF($J185="",#N/A,SUM(DF$4:DF185))</f>
        <v>#N/A</v>
      </c>
      <c r="DH185" s="314" t="str">
        <f t="shared" si="278"/>
        <v/>
      </c>
      <c r="DI185" s="314" t="e">
        <f>IF($J185="",#N/A,SUM(DH$4:DH185))</f>
        <v>#N/A</v>
      </c>
      <c r="DJ185" s="315" t="str">
        <f t="shared" si="279"/>
        <v/>
      </c>
      <c r="DK185" s="315" t="e">
        <f>IF($J185="",#N/A,SUM(DJ$4:DJ185))</f>
        <v>#N/A</v>
      </c>
      <c r="DL185" s="315" t="e">
        <f>IF($J185="",#N/A,SUM(DJ$4:DJ185,DH$4:DH185,DF$4:DF185))</f>
        <v>#N/A</v>
      </c>
      <c r="DM185" s="304" t="str">
        <f t="shared" si="280"/>
        <v/>
      </c>
      <c r="DN185" s="313" t="e">
        <f>IF($J185="",#N/A,SUM(DM$4:DM185))</f>
        <v>#N/A</v>
      </c>
      <c r="DO185" s="314" t="str">
        <f t="shared" si="281"/>
        <v/>
      </c>
      <c r="DP185" s="314" t="e">
        <f>IF($J185="",#N/A,SUM(DO$4:DO185))</f>
        <v>#N/A</v>
      </c>
      <c r="DQ185" s="315" t="str">
        <f t="shared" si="282"/>
        <v/>
      </c>
      <c r="DR185" s="315" t="e">
        <f>IF($J185="",#N/A,SUM(DQ$4:DQ185))</f>
        <v>#N/A</v>
      </c>
      <c r="DS185" s="315" t="e">
        <f>IF($J185="",#N/A,SUM(DQ$4:DQ185,DO$4:DO185,DM$4:DM185))</f>
        <v>#N/A</v>
      </c>
      <c r="DT185" s="304" t="str">
        <f t="shared" si="283"/>
        <v/>
      </c>
      <c r="DU185" s="313" t="e">
        <f>IF($J185="",#N/A,SUM(DT$4:DT185))</f>
        <v>#N/A</v>
      </c>
      <c r="DV185" s="314" t="str">
        <f t="shared" si="284"/>
        <v/>
      </c>
      <c r="DW185" s="314" t="e">
        <f>IF($J185="",#N/A,SUM(DV$4:DV185))</f>
        <v>#N/A</v>
      </c>
      <c r="DX185" s="315" t="str">
        <f t="shared" si="285"/>
        <v/>
      </c>
      <c r="DY185" s="315" t="e">
        <f>IF($J185="",#N/A,SUM(DX$4:DX185))</f>
        <v>#N/A</v>
      </c>
      <c r="DZ185" s="315" t="e">
        <f>IF($J185="",#N/A,SUM(DX$4:DX185,DV$4:DV185,DT$4:DT185))</f>
        <v>#N/A</v>
      </c>
      <c r="EA185" s="304" t="str">
        <f t="shared" si="286"/>
        <v/>
      </c>
      <c r="EB185" s="313" t="e">
        <f>IF($J185="",#N/A,SUM(EA$4:EA185))</f>
        <v>#N/A</v>
      </c>
      <c r="EC185" s="314" t="str">
        <f t="shared" si="287"/>
        <v/>
      </c>
      <c r="ED185" s="314" t="e">
        <f>IF($J185="",#N/A,SUM(EC$4:EC185))</f>
        <v>#N/A</v>
      </c>
      <c r="EE185" s="315" t="str">
        <f t="shared" si="288"/>
        <v/>
      </c>
      <c r="EF185" s="315" t="e">
        <f>IF($J185="",#N/A,SUM(EE$4:EE185))</f>
        <v>#N/A</v>
      </c>
      <c r="EG185" s="315" t="e">
        <f>IF($J185="",#N/A,SUM(EE$4:EE185,EC$4:EC185,EA$4:EA185))</f>
        <v>#N/A</v>
      </c>
      <c r="EH185" s="130">
        <f t="shared" si="289"/>
        <v>5.0399999999999636</v>
      </c>
      <c r="EI185" s="63">
        <f>IF(EH185="",#N/A,SUM($EH$4:EH185))</f>
        <v>694.40954002980902</v>
      </c>
      <c r="EJ185" s="223" t="e">
        <f t="shared" si="290"/>
        <v>#N/A</v>
      </c>
      <c r="EK185" s="63" t="e">
        <f>IF($GZ185="",#N/A,SUM(EJ$4:EJ185))</f>
        <v>#N/A</v>
      </c>
      <c r="EL185" s="60">
        <f t="shared" si="322"/>
        <v>0.20175817841187346</v>
      </c>
      <c r="EM185" s="60">
        <f>IF(EL185="",NA(),SUM($EL$4:EL185))</f>
        <v>23.023064354201622</v>
      </c>
      <c r="EN185" s="60" t="str">
        <f t="shared" si="291"/>
        <v/>
      </c>
      <c r="EO185" s="60" t="e">
        <f>IF(EN185="",NA(),SUM($EN$4:EN185))</f>
        <v>#N/A</v>
      </c>
      <c r="EP185" s="60">
        <f t="shared" si="292"/>
        <v>0.20175817841187346</v>
      </c>
      <c r="EQ185" s="60">
        <f>IF(EP185="",NA(),SUM($EP$4:EP185))</f>
        <v>6.5217692144820418</v>
      </c>
      <c r="ER185" s="60" t="str">
        <f t="shared" si="293"/>
        <v/>
      </c>
      <c r="ES185" s="60" t="e">
        <f>IF(ER185="",NA(),SUM($ER$4:ER185))</f>
        <v>#N/A</v>
      </c>
      <c r="ET185" s="60" t="str">
        <f t="shared" si="294"/>
        <v/>
      </c>
      <c r="EU185" s="60" t="e">
        <f>IF(ET185="",NA(),SUM($ET$4:ET185))</f>
        <v>#N/A</v>
      </c>
      <c r="EV185" s="60" t="str">
        <f t="shared" si="295"/>
        <v/>
      </c>
      <c r="EW185" s="60" t="e">
        <f>IF(EV185="",NA(),SUM($EV$4:EV185))</f>
        <v>#N/A</v>
      </c>
      <c r="EX185" s="60" t="str">
        <f t="shared" si="296"/>
        <v/>
      </c>
      <c r="EY185" s="60" t="e">
        <f>IF(EX185="",NA(),SUM($EX$4:EX185))</f>
        <v>#N/A</v>
      </c>
      <c r="EZ185" s="60" t="str">
        <f t="shared" si="297"/>
        <v/>
      </c>
      <c r="FA185" s="60" t="e">
        <f>IF(EZ185="",NA(),SUM($EZ$4:EZ185))</f>
        <v>#N/A</v>
      </c>
      <c r="FB185" s="246" t="str">
        <f t="shared" si="323"/>
        <v/>
      </c>
      <c r="FC185" s="246" t="e">
        <f>IF($FB185="",#N/A,SUM(FB$4:$FB185))</f>
        <v>#N/A</v>
      </c>
      <c r="FD185" s="60" t="str">
        <f t="shared" si="298"/>
        <v/>
      </c>
      <c r="FE185" s="60" t="e">
        <f>IF($FD185="",#N/A,SUM($FD$4:FD185))</f>
        <v>#N/A</v>
      </c>
      <c r="FF185" s="60" t="str">
        <f t="shared" si="299"/>
        <v/>
      </c>
      <c r="FG185" s="60" t="e">
        <f>IF($FF185="",#N/A,SUM($FF$4:FF185))</f>
        <v>#N/A</v>
      </c>
      <c r="FH185" s="60" t="str">
        <f t="shared" si="300"/>
        <v/>
      </c>
      <c r="FI185" s="60" t="e">
        <f>IF($FH185="",#N/A,SUM($FH$4:FH185))</f>
        <v>#N/A</v>
      </c>
      <c r="FJ185" s="60">
        <f t="shared" si="301"/>
        <v>-0.77700917519335033</v>
      </c>
      <c r="FK185" s="60">
        <f>IF($FJ185="",#N/A,SUM($FJ$4:FJ185))</f>
        <v>-2.6126039742050464</v>
      </c>
      <c r="FL185" s="60" t="str">
        <f t="shared" si="302"/>
        <v/>
      </c>
      <c r="FM185" s="60" t="e">
        <f>IF($FL185="",#N/A,SUM($FL$4:FL185))</f>
        <v>#N/A</v>
      </c>
      <c r="FN185" s="82">
        <f t="shared" si="303"/>
        <v>-0.57525099678147684</v>
      </c>
      <c r="FO185" s="82">
        <f>IF($FN185="",#N/A,SUM(FN$4:$FN185))</f>
        <v>30.818561702301711</v>
      </c>
      <c r="FP185" s="82">
        <f t="shared" si="324"/>
        <v>0.20175817841187346</v>
      </c>
      <c r="FQ185" s="246">
        <f>IF($EH185="",#N/A,SUM($FP$4:FP185))</f>
        <v>26.683852417682893</v>
      </c>
      <c r="FR185" s="82">
        <f>IFERROR(FQ185/COUNTA($J$4:J185),#N/A)</f>
        <v>0.14661457372353237</v>
      </c>
      <c r="FS185" s="82">
        <f t="shared" si="334"/>
        <v>8.0156926979799217E-2</v>
      </c>
      <c r="FT185" s="82">
        <f t="shared" si="335"/>
        <v>0.16310848681363088</v>
      </c>
      <c r="FU185" s="337">
        <f t="shared" si="331"/>
        <v>13.756612843756548</v>
      </c>
      <c r="FV185" s="57" t="str">
        <f t="shared" si="305"/>
        <v>SW</v>
      </c>
      <c r="FW185" s="57" t="s">
        <v>2732</v>
      </c>
      <c r="FX185" s="57" t="str">
        <f t="shared" si="306"/>
        <v/>
      </c>
      <c r="FY185" s="57" t="str">
        <f t="shared" si="307"/>
        <v/>
      </c>
      <c r="FZ185" s="57">
        <f t="shared" si="308"/>
        <v>1</v>
      </c>
      <c r="GA185" s="57" t="str">
        <f t="shared" si="309"/>
        <v>Long</v>
      </c>
      <c r="GB185" s="57" t="str">
        <f t="shared" si="310"/>
        <v/>
      </c>
      <c r="GC185" s="57" t="str">
        <f t="shared" si="311"/>
        <v/>
      </c>
      <c r="GD185" s="57" t="str">
        <f t="shared" si="312"/>
        <v/>
      </c>
      <c r="GE185" s="62">
        <f t="shared" si="227"/>
        <v>138.78</v>
      </c>
      <c r="GF185" s="62" t="s">
        <v>2779</v>
      </c>
      <c r="GG185" s="199">
        <v>3</v>
      </c>
      <c r="GH185" s="207">
        <f t="shared" si="313"/>
        <v>416.34000000000003</v>
      </c>
      <c r="GI185" s="199">
        <v>3</v>
      </c>
      <c r="GJ185" s="200">
        <v>140.46</v>
      </c>
      <c r="GK185" s="63">
        <f t="shared" si="314"/>
        <v>5.0399999999999636</v>
      </c>
      <c r="GL185" s="63">
        <f t="shared" si="228"/>
        <v>-14.370000000000005</v>
      </c>
      <c r="GM185" s="82">
        <f t="shared" si="315"/>
        <v>-0.57525099678147684</v>
      </c>
      <c r="GN185" s="82">
        <f>IF($GZ185="",#N/A,SUM(GM$4:GM185))</f>
        <v>6.8597047882709186</v>
      </c>
      <c r="GO185" s="82" t="str">
        <f t="shared" si="316"/>
        <v/>
      </c>
      <c r="GP185" s="82">
        <f>IF($GZ185="",#N/A,SUM(GO$4:GO185))</f>
        <v>10.998213992480078</v>
      </c>
      <c r="GQ185" s="82" t="str">
        <f t="shared" si="317"/>
        <v/>
      </c>
      <c r="GR185" s="82">
        <f>IF($GZ185="",#N/A,SUM(GQ$4:GQ185))</f>
        <v>12.33480596710837</v>
      </c>
      <c r="GS185" s="63" t="e">
        <f t="shared" si="325"/>
        <v>#N/A</v>
      </c>
      <c r="GT185" s="63" t="e">
        <f>IF($GZ185="",#N/A,SUM(GS$4:GS185))</f>
        <v>#N/A</v>
      </c>
      <c r="GU185" s="63" t="str">
        <f t="shared" si="326"/>
        <v/>
      </c>
      <c r="GV185" s="63" t="e">
        <f>IF($GZ185="",#N/A,SUM(GU$4:GU185))</f>
        <v>#N/A</v>
      </c>
      <c r="GW185" s="63" t="str">
        <f t="shared" si="327"/>
        <v/>
      </c>
      <c r="GX185" s="63" t="e">
        <f>IF($GZ185="",#N/A,SUM(GW$4:GW185))</f>
        <v>#N/A</v>
      </c>
      <c r="GY185" s="63" t="e">
        <f>IF(EJ185="",#N/A,SUM($EJ$4:EJ185))</f>
        <v>#N/A</v>
      </c>
      <c r="GZ185" s="159">
        <v>133.99</v>
      </c>
      <c r="HA185" s="63">
        <f t="shared" si="318"/>
        <v>-19.409999999999968</v>
      </c>
      <c r="HB185" s="62" t="s">
        <v>2538</v>
      </c>
      <c r="HC185" s="60">
        <f>IFERROR(VLOOKUP(E185,Expectancy!$P$4:$S$19,1+C185,FALSE),"")</f>
        <v>2.40735201201209E-2</v>
      </c>
      <c r="HD185" s="82">
        <f t="shared" si="319"/>
        <v>0.20175817841187346</v>
      </c>
      <c r="HE185" s="60">
        <f>IF(HD185="",#N/A,SUM($HD$4:HD185))</f>
        <v>-1.6027604260736541</v>
      </c>
      <c r="HF185" s="85">
        <f>IF(HD185="",#N/A,IF(HB185="Skip",#N/A,SUM($HG$4:HG185)))</f>
        <v>-2.4599999999999227</v>
      </c>
      <c r="HG185" s="63">
        <f t="shared" si="320"/>
        <v>5.0399999999999636</v>
      </c>
      <c r="HH185" s="82">
        <f t="shared" si="321"/>
        <v>-0.57525099678147684</v>
      </c>
    </row>
    <row r="186" spans="1:216" x14ac:dyDescent="0.25">
      <c r="A186" s="57" t="s">
        <v>1570</v>
      </c>
      <c r="B186" s="58" t="s">
        <v>5192</v>
      </c>
      <c r="C186" s="386">
        <f t="shared" si="230"/>
        <v>2</v>
      </c>
      <c r="D186" s="372" t="str">
        <f>_xlfn.XLOOKUP(A186,[1]SP500!$A$2:$A$502,[1]SP500!$D$2:$D$502,"N")</f>
        <v>Y</v>
      </c>
      <c r="E186" s="57" t="str">
        <f>_xlfn.XLOOKUP(A186,[1]SP500!$A$2:$A$655,[1]SP500!$B$2:$B$655)</f>
        <v>XLB</v>
      </c>
      <c r="F186" s="59">
        <v>45692</v>
      </c>
      <c r="G186" s="57" t="str">
        <f t="shared" si="231"/>
        <v>BMO</v>
      </c>
      <c r="H186" s="57" t="str">
        <f t="shared" si="232"/>
        <v>s</v>
      </c>
      <c r="I186" s="159">
        <v>9.56</v>
      </c>
      <c r="J186" s="159">
        <v>9.91</v>
      </c>
      <c r="K186" s="61">
        <f t="shared" si="233"/>
        <v>3.661087866108783E-2</v>
      </c>
      <c r="L186" s="87">
        <f t="shared" si="234"/>
        <v>-14.699999999999989</v>
      </c>
      <c r="M186" s="130">
        <f t="shared" si="226"/>
        <v>-5.4599999999999227</v>
      </c>
      <c r="N186" s="169" t="str">
        <f t="shared" si="235"/>
        <v/>
      </c>
      <c r="O186" s="169">
        <f>IF($J186="",#N/A,SUM($N$4:N186))</f>
        <v>336.07976368961386</v>
      </c>
      <c r="P186" s="174">
        <f t="shared" si="236"/>
        <v>-14.699999999999989</v>
      </c>
      <c r="Q186" s="174">
        <f>IF($J186="",#N/A,SUM($P$4:P186))</f>
        <v>202.64104023772637</v>
      </c>
      <c r="R186" s="178" t="str">
        <f t="shared" si="237"/>
        <v/>
      </c>
      <c r="S186" s="178">
        <f>IF($J186="",#N/A,SUM($R$4:R186))</f>
        <v>140.98873610246864</v>
      </c>
      <c r="T186" s="290" t="str">
        <f t="shared" si="238"/>
        <v/>
      </c>
      <c r="U186" s="290">
        <f>IF($J186="",#N/A,SUM($T$4:T186))</f>
        <v>12.464802587477148</v>
      </c>
      <c r="V186" s="291">
        <f t="shared" si="239"/>
        <v>-0.61018131101813067</v>
      </c>
      <c r="W186" s="291">
        <f>IF($J186="",#N/A,SUM($V$4:V186))</f>
        <v>8.0148562247827595</v>
      </c>
      <c r="X186" s="292" t="str">
        <f t="shared" si="240"/>
        <v/>
      </c>
      <c r="Y186" s="283">
        <f>IF($J186="",#N/A,SUM($X$4:X186))</f>
        <v>5.5940122944048483</v>
      </c>
      <c r="Z186" s="304" t="str">
        <f t="shared" si="241"/>
        <v/>
      </c>
      <c r="AA186" s="313" t="e">
        <f>IF($J186="",#N/A,SUM(Z$4:Z186))</f>
        <v>#N/A</v>
      </c>
      <c r="AB186" s="314" t="str">
        <f t="shared" si="242"/>
        <v/>
      </c>
      <c r="AC186" s="314" t="e">
        <f>IF($J186="",#N/A,SUM(AB$4:AB186))</f>
        <v>#N/A</v>
      </c>
      <c r="AD186" s="315" t="str">
        <f t="shared" si="243"/>
        <v/>
      </c>
      <c r="AE186" s="315" t="e">
        <f>IF($J186="",#N/A,SUM(AD$4:AD186))</f>
        <v>#N/A</v>
      </c>
      <c r="AF186" s="315" t="e">
        <f>IF($J186="",#N/A,SUM(AD$4:AD186,AB$4:AB186,Z$4:Z186))</f>
        <v>#N/A</v>
      </c>
      <c r="AG186" s="304" t="str">
        <f t="shared" si="244"/>
        <v/>
      </c>
      <c r="AH186" s="313" t="e">
        <f>IF($J186="",#N/A,SUM(AG$4:AG186))</f>
        <v>#N/A</v>
      </c>
      <c r="AI186" s="314" t="str">
        <f t="shared" si="245"/>
        <v/>
      </c>
      <c r="AJ186" s="314" t="e">
        <f>IF($J186="",#N/A,SUM(AI$4:AI186))</f>
        <v>#N/A</v>
      </c>
      <c r="AK186" s="315" t="str">
        <f t="shared" si="246"/>
        <v/>
      </c>
      <c r="AL186" s="315" t="e">
        <f>IF($J186="",#N/A,SUM(AK$4:AK186))</f>
        <v>#N/A</v>
      </c>
      <c r="AM186" s="315" t="e">
        <f>IF($J186="",#N/A,SUM(AK$4:AK186,AI$4:AI186,AG$4:AG186))</f>
        <v>#N/A</v>
      </c>
      <c r="AN186" s="304" t="str">
        <f t="shared" si="247"/>
        <v/>
      </c>
      <c r="AO186" s="313" t="e">
        <f>IF($J186="",#N/A,SUM(AN$4:AN186))</f>
        <v>#N/A</v>
      </c>
      <c r="AP186" s="314" t="str">
        <f t="shared" si="248"/>
        <v/>
      </c>
      <c r="AQ186" s="314" t="e">
        <f>IF($J186="",#N/A,SUM(AP$4:AP186))</f>
        <v>#N/A</v>
      </c>
      <c r="AR186" s="315" t="str">
        <f t="shared" si="249"/>
        <v/>
      </c>
      <c r="AS186" s="315" t="e">
        <f>IF($J186="",#N/A,SUM(AR$4:AR186))</f>
        <v>#N/A</v>
      </c>
      <c r="AT186" s="315" t="e">
        <f>IF($J186="",#N/A,SUM(AR$4:AR186,AP$4:AP186,AN$4:AN186))</f>
        <v>#N/A</v>
      </c>
      <c r="AU186" s="304" t="str">
        <f t="shared" si="250"/>
        <v/>
      </c>
      <c r="AV186" s="313" t="e">
        <f>IF($J186="",#N/A,SUM(AU$4:AU186))</f>
        <v>#N/A</v>
      </c>
      <c r="AW186" s="314" t="str">
        <f t="shared" si="251"/>
        <v/>
      </c>
      <c r="AX186" s="314" t="e">
        <f>IF($J186="",#N/A,SUM(AW$4:AW186))</f>
        <v>#N/A</v>
      </c>
      <c r="AY186" s="315" t="str">
        <f t="shared" si="252"/>
        <v/>
      </c>
      <c r="AZ186" s="315" t="e">
        <f>IF($J186="",#N/A,SUM(AY$4:AY186))</f>
        <v>#N/A</v>
      </c>
      <c r="BA186" s="315" t="e">
        <f>IF($J186="",#N/A,SUM(AY$4:AY186,AW$4:AW186,AU$4:AU186))</f>
        <v>#N/A</v>
      </c>
      <c r="BB186" s="304" t="str">
        <f t="shared" si="253"/>
        <v/>
      </c>
      <c r="BC186" s="313" t="e">
        <f>IF($J186="",#N/A,SUM(BB$4:BB186))</f>
        <v>#N/A</v>
      </c>
      <c r="BD186" s="314" t="str">
        <f t="shared" si="254"/>
        <v/>
      </c>
      <c r="BE186" s="314" t="e">
        <f>IF($J186="",#N/A,SUM(BD$4:BD186))</f>
        <v>#N/A</v>
      </c>
      <c r="BF186" s="315" t="str">
        <f t="shared" si="255"/>
        <v/>
      </c>
      <c r="BG186" s="315" t="e">
        <f>IF($J186="",#N/A,SUM(BF$4:BF186))</f>
        <v>#N/A</v>
      </c>
      <c r="BH186" s="315" t="e">
        <f>IF($J186="",#N/A,SUM(BF$4:BF186,BD$4:BD186,BB$4:BB186))</f>
        <v>#N/A</v>
      </c>
      <c r="BI186" s="304" t="str">
        <f t="shared" si="256"/>
        <v/>
      </c>
      <c r="BJ186" s="313" t="e">
        <f>IF($J186="",#N/A,SUM(BI$4:BI186))</f>
        <v>#N/A</v>
      </c>
      <c r="BK186" s="314" t="str">
        <f t="shared" si="257"/>
        <v/>
      </c>
      <c r="BL186" s="314" t="e">
        <f>IF($J186="",#N/A,SUM(BK$4:BK186))</f>
        <v>#N/A</v>
      </c>
      <c r="BM186" s="315" t="str">
        <f t="shared" si="258"/>
        <v/>
      </c>
      <c r="BN186" s="315" t="e">
        <f>IF($J186="",#N/A,SUM(BM$4:BM186))</f>
        <v>#N/A</v>
      </c>
      <c r="BO186" s="315" t="e">
        <f>IF($J186="",#N/A,SUM(BM$4:BM186,BK$4:BK186,BI$4:BI186))</f>
        <v>#N/A</v>
      </c>
      <c r="BP186" s="304" t="str">
        <f t="shared" si="259"/>
        <v/>
      </c>
      <c r="BQ186" s="313" t="e">
        <f>IF($J186="",#N/A,SUM(BP$4:BP186))</f>
        <v>#N/A</v>
      </c>
      <c r="BR186" s="314" t="str">
        <f t="shared" si="260"/>
        <v/>
      </c>
      <c r="BS186" s="314" t="e">
        <f>IF($J186="",#N/A,SUM(BR$4:BR186))</f>
        <v>#N/A</v>
      </c>
      <c r="BT186" s="315" t="str">
        <f t="shared" si="261"/>
        <v/>
      </c>
      <c r="BU186" s="315" t="e">
        <f>IF($J186="",#N/A,SUM(BT$4:BT186))</f>
        <v>#N/A</v>
      </c>
      <c r="BV186" s="315" t="e">
        <f>IF($J186="",#N/A,SUM(BT$4:BT186,BR$4:BR186,BP$4:BP186))</f>
        <v>#N/A</v>
      </c>
      <c r="BW186" s="304" t="str">
        <f t="shared" si="262"/>
        <v/>
      </c>
      <c r="BX186" s="313" t="e">
        <f>IF($J186="",#N/A,SUM(BW$4:BW186))</f>
        <v>#N/A</v>
      </c>
      <c r="BY186" s="314" t="str">
        <f t="shared" si="263"/>
        <v/>
      </c>
      <c r="BZ186" s="314" t="e">
        <f>IF($J186="",#N/A,SUM(BY$4:BY186))</f>
        <v>#N/A</v>
      </c>
      <c r="CA186" s="315" t="str">
        <f t="shared" si="264"/>
        <v/>
      </c>
      <c r="CB186" s="315" t="e">
        <f>IF($J186="",#N/A,SUM(CA$4:CA186))</f>
        <v>#N/A</v>
      </c>
      <c r="CC186" s="315" t="e">
        <f>IF($J186="",#N/A,SUM(CA$4:CA186,BY$4:BY186,BW$4:BW186))</f>
        <v>#N/A</v>
      </c>
      <c r="CD186" s="304" t="str">
        <f t="shared" si="265"/>
        <v/>
      </c>
      <c r="CE186" s="313" t="e">
        <f>IF($J186="",#N/A,SUM(CD$4:CD186))</f>
        <v>#N/A</v>
      </c>
      <c r="CF186" s="314">
        <f t="shared" si="266"/>
        <v>-0.61018131101813067</v>
      </c>
      <c r="CG186" s="314" t="e">
        <f>IF($J186="",#N/A,SUM(CF$4:CF186))</f>
        <v>#N/A</v>
      </c>
      <c r="CH186" s="315" t="str">
        <f t="shared" si="267"/>
        <v/>
      </c>
      <c r="CI186" s="315" t="e">
        <f>IF($J186="",#N/A,SUM(CH$4:CH186))</f>
        <v>#N/A</v>
      </c>
      <c r="CJ186" s="315" t="e">
        <f>IF($J186="",#N/A,SUM(CH$4:CH186,CF$4:CF186,CD$4:CD186))</f>
        <v>#N/A</v>
      </c>
      <c r="CK186" s="304" t="str">
        <f t="shared" si="268"/>
        <v/>
      </c>
      <c r="CL186" s="313" t="e">
        <f>IF($J186="",#N/A,SUM(CK$4:CK186))</f>
        <v>#N/A</v>
      </c>
      <c r="CM186" s="314" t="str">
        <f t="shared" si="269"/>
        <v/>
      </c>
      <c r="CN186" s="314" t="e">
        <f>IF($J186="",#N/A,SUM(CM$4:CM186))</f>
        <v>#N/A</v>
      </c>
      <c r="CO186" s="315" t="str">
        <f t="shared" si="270"/>
        <v/>
      </c>
      <c r="CP186" s="315" t="e">
        <f>IF($J186="",#N/A,SUM(CO$4:CO186))</f>
        <v>#N/A</v>
      </c>
      <c r="CQ186" s="315" t="e">
        <f>IF($J186="",#N/A,SUM(CO$4:CO186,CM$4:CM186,CK$4:CK186))</f>
        <v>#N/A</v>
      </c>
      <c r="CR186" s="304" t="str">
        <f t="shared" si="271"/>
        <v/>
      </c>
      <c r="CS186" s="313" t="e">
        <f>IF($J186="",#N/A,SUM(CR$4:CR186))</f>
        <v>#N/A</v>
      </c>
      <c r="CT186" s="314" t="str">
        <f t="shared" si="272"/>
        <v/>
      </c>
      <c r="CU186" s="314" t="e">
        <f>IF($J186="",#N/A,SUM(CT$4:CT186))</f>
        <v>#N/A</v>
      </c>
      <c r="CV186" s="315" t="str">
        <f t="shared" si="273"/>
        <v/>
      </c>
      <c r="CW186" s="315" t="e">
        <f>IF($J186="",#N/A,SUM(CV$4:CV186))</f>
        <v>#N/A</v>
      </c>
      <c r="CX186" s="315" t="e">
        <f>IF($J186="",#N/A,SUM(CV$4:CV186,CT$4:CT186,CR$4:CR186))</f>
        <v>#N/A</v>
      </c>
      <c r="CY186" s="304" t="str">
        <f t="shared" si="274"/>
        <v/>
      </c>
      <c r="CZ186" s="313" t="e">
        <f>IF($J186="",#N/A,SUM(CY$4:CY186))</f>
        <v>#N/A</v>
      </c>
      <c r="DA186" s="314" t="str">
        <f t="shared" si="275"/>
        <v/>
      </c>
      <c r="DB186" s="314" t="e">
        <f>IF($J186="",#N/A,SUM(DA$4:DA186))</f>
        <v>#N/A</v>
      </c>
      <c r="DC186" s="315" t="str">
        <f t="shared" si="276"/>
        <v/>
      </c>
      <c r="DD186" s="315" t="e">
        <f>IF($J186="",#N/A,SUM(DC$4:DC186))</f>
        <v>#N/A</v>
      </c>
      <c r="DE186" s="315" t="e">
        <f>IF($J186="",#N/A,SUM(DC$4:DC186,DA$4:DA186,CY$4:CY186))</f>
        <v>#N/A</v>
      </c>
      <c r="DF186" s="304" t="str">
        <f t="shared" si="277"/>
        <v/>
      </c>
      <c r="DG186" s="313" t="e">
        <f>IF($J186="",#N/A,SUM(DF$4:DF186))</f>
        <v>#N/A</v>
      </c>
      <c r="DH186" s="314" t="str">
        <f t="shared" si="278"/>
        <v/>
      </c>
      <c r="DI186" s="314" t="e">
        <f>IF($J186="",#N/A,SUM(DH$4:DH186))</f>
        <v>#N/A</v>
      </c>
      <c r="DJ186" s="315" t="str">
        <f t="shared" si="279"/>
        <v/>
      </c>
      <c r="DK186" s="315" t="e">
        <f>IF($J186="",#N/A,SUM(DJ$4:DJ186))</f>
        <v>#N/A</v>
      </c>
      <c r="DL186" s="315" t="e">
        <f>IF($J186="",#N/A,SUM(DJ$4:DJ186,DH$4:DH186,DF$4:DF186))</f>
        <v>#N/A</v>
      </c>
      <c r="DM186" s="304" t="str">
        <f t="shared" si="280"/>
        <v/>
      </c>
      <c r="DN186" s="313" t="e">
        <f>IF($J186="",#N/A,SUM(DM$4:DM186))</f>
        <v>#N/A</v>
      </c>
      <c r="DO186" s="314" t="str">
        <f t="shared" si="281"/>
        <v/>
      </c>
      <c r="DP186" s="314" t="e">
        <f>IF($J186="",#N/A,SUM(DO$4:DO186))</f>
        <v>#N/A</v>
      </c>
      <c r="DQ186" s="315" t="str">
        <f t="shared" si="282"/>
        <v/>
      </c>
      <c r="DR186" s="315" t="e">
        <f>IF($J186="",#N/A,SUM(DQ$4:DQ186))</f>
        <v>#N/A</v>
      </c>
      <c r="DS186" s="315" t="e">
        <f>IF($J186="",#N/A,SUM(DQ$4:DQ186,DO$4:DO186,DM$4:DM186))</f>
        <v>#N/A</v>
      </c>
      <c r="DT186" s="304" t="str">
        <f t="shared" si="283"/>
        <v/>
      </c>
      <c r="DU186" s="313" t="e">
        <f>IF($J186="",#N/A,SUM(DT$4:DT186))</f>
        <v>#N/A</v>
      </c>
      <c r="DV186" s="314" t="str">
        <f t="shared" si="284"/>
        <v/>
      </c>
      <c r="DW186" s="314" t="e">
        <f>IF($J186="",#N/A,SUM(DV$4:DV186))</f>
        <v>#N/A</v>
      </c>
      <c r="DX186" s="315" t="str">
        <f t="shared" si="285"/>
        <v/>
      </c>
      <c r="DY186" s="315" t="e">
        <f>IF($J186="",#N/A,SUM(DX$4:DX186))</f>
        <v>#N/A</v>
      </c>
      <c r="DZ186" s="315" t="e">
        <f>IF($J186="",#N/A,SUM(DX$4:DX186,DV$4:DV186,DT$4:DT186))</f>
        <v>#N/A</v>
      </c>
      <c r="EA186" s="304" t="str">
        <f t="shared" si="286"/>
        <v/>
      </c>
      <c r="EB186" s="313" t="e">
        <f>IF($J186="",#N/A,SUM(EA$4:EA186))</f>
        <v>#N/A</v>
      </c>
      <c r="EC186" s="314" t="str">
        <f t="shared" si="287"/>
        <v/>
      </c>
      <c r="ED186" s="314" t="e">
        <f>IF($J186="",#N/A,SUM(EC$4:EC186))</f>
        <v>#N/A</v>
      </c>
      <c r="EE186" s="315" t="str">
        <f t="shared" si="288"/>
        <v/>
      </c>
      <c r="EF186" s="315" t="e">
        <f>IF($J186="",#N/A,SUM(EE$4:EE186))</f>
        <v>#N/A</v>
      </c>
      <c r="EG186" s="315" t="e">
        <f>IF($J186="",#N/A,SUM(EE$4:EE186,EC$4:EC186,EA$4:EA186))</f>
        <v>#N/A</v>
      </c>
      <c r="EH186" s="130">
        <f t="shared" si="289"/>
        <v>-14.699999999999989</v>
      </c>
      <c r="EI186" s="63">
        <f>IF(EH186="",#N/A,SUM($EH$4:EH186))</f>
        <v>679.70954002980898</v>
      </c>
      <c r="EJ186" s="223" t="e">
        <f t="shared" si="290"/>
        <v>#N/A</v>
      </c>
      <c r="EK186" s="63" t="e">
        <f>IF($GZ186="",#N/A,SUM(EJ$4:EJ186))</f>
        <v>#N/A</v>
      </c>
      <c r="EL186" s="60">
        <f t="shared" si="322"/>
        <v>-0.61018131101813067</v>
      </c>
      <c r="EM186" s="60">
        <f>IF(EL186="",NA(),SUM($EL$4:EL186))</f>
        <v>22.412883043183491</v>
      </c>
      <c r="EN186" s="60" t="str">
        <f t="shared" si="291"/>
        <v/>
      </c>
      <c r="EO186" s="60" t="e">
        <f>IF(EN186="",NA(),SUM($EN$4:EN186))</f>
        <v>#N/A</v>
      </c>
      <c r="EP186" s="60" t="str">
        <f t="shared" si="292"/>
        <v/>
      </c>
      <c r="EQ186" s="60" t="e">
        <f>IF(EP186="",NA(),SUM($EP$4:EP186))</f>
        <v>#N/A</v>
      </c>
      <c r="ER186" s="60">
        <f t="shared" si="293"/>
        <v>-0.61018131101813067</v>
      </c>
      <c r="ES186" s="60">
        <f>IF(ER186="",NA(),SUM($ER$4:ER186))</f>
        <v>7.312460772082801</v>
      </c>
      <c r="ET186" s="60" t="str">
        <f t="shared" si="294"/>
        <v/>
      </c>
      <c r="EU186" s="60" t="e">
        <f>IF(ET186="",NA(),SUM($ET$4:ET186))</f>
        <v>#N/A</v>
      </c>
      <c r="EV186" s="60" t="str">
        <f t="shared" si="295"/>
        <v/>
      </c>
      <c r="EW186" s="60" t="e">
        <f>IF(EV186="",NA(),SUM($EV$4:EV186))</f>
        <v>#N/A</v>
      </c>
      <c r="EX186" s="60" t="str">
        <f t="shared" si="296"/>
        <v/>
      </c>
      <c r="EY186" s="60" t="e">
        <f>IF(EX186="",NA(),SUM($EX$4:EX186))</f>
        <v>#N/A</v>
      </c>
      <c r="EZ186" s="60" t="str">
        <f t="shared" si="297"/>
        <v/>
      </c>
      <c r="FA186" s="60" t="e">
        <f>IF(EZ186="",NA(),SUM($EZ$4:EZ186))</f>
        <v>#N/A</v>
      </c>
      <c r="FB186" s="246" t="str">
        <f t="shared" si="323"/>
        <v/>
      </c>
      <c r="FC186" s="246" t="e">
        <f>IF($FB186="",#N/A,SUM(FB$4:$FB186))</f>
        <v>#N/A</v>
      </c>
      <c r="FD186" s="60">
        <f t="shared" si="298"/>
        <v>-0.24407252440725224</v>
      </c>
      <c r="FE186" s="60">
        <f>IF($FD186="",#N/A,SUM($FD$4:FD186))</f>
        <v>0.55908206611007227</v>
      </c>
      <c r="FF186" s="60" t="str">
        <f t="shared" si="299"/>
        <v/>
      </c>
      <c r="FG186" s="60" t="e">
        <f>IF($FF186="",#N/A,SUM($FF$4:FF186))</f>
        <v>#N/A</v>
      </c>
      <c r="FH186" s="60" t="str">
        <f t="shared" si="300"/>
        <v/>
      </c>
      <c r="FI186" s="60" t="e">
        <f>IF($FH186="",#N/A,SUM($FH$4:FH186))</f>
        <v>#N/A</v>
      </c>
      <c r="FJ186" s="60" t="str">
        <f t="shared" si="301"/>
        <v/>
      </c>
      <c r="FK186" s="60" t="e">
        <f>IF($FJ186="",#N/A,SUM($FJ$4:FJ186))</f>
        <v>#N/A</v>
      </c>
      <c r="FL186" s="60" t="str">
        <f t="shared" si="302"/>
        <v/>
      </c>
      <c r="FM186" s="60" t="e">
        <f>IF($FL186="",#N/A,SUM($FL$4:FL186))</f>
        <v>#N/A</v>
      </c>
      <c r="FN186" s="82">
        <f t="shared" si="303"/>
        <v>-0.85425383542538291</v>
      </c>
      <c r="FO186" s="82">
        <f>IF($FN186="",#N/A,SUM(FN$4:$FN186))</f>
        <v>29.964307866876329</v>
      </c>
      <c r="FP186" s="82">
        <f t="shared" si="324"/>
        <v>-0.61018131101813067</v>
      </c>
      <c r="FQ186" s="246">
        <f>IF($EH186="",#N/A,SUM($FP$4:FP186))</f>
        <v>26.073671106664762</v>
      </c>
      <c r="FR186" s="82">
        <f>IFERROR(FQ186/COUNTA($J$4:J186),#N/A)</f>
        <v>0.14247907708559979</v>
      </c>
      <c r="FS186" s="82" t="e">
        <f>IFERROR(($FQ186-#REF!)/COUNTA($J141:$J186),#N/A)</f>
        <v>#N/A</v>
      </c>
      <c r="FT186" s="82">
        <f t="shared" si="335"/>
        <v>0.1449614282636823</v>
      </c>
      <c r="FU186" s="337">
        <f t="shared" si="331"/>
        <v>13.98325161642042</v>
      </c>
      <c r="FV186" s="57" t="str">
        <f t="shared" si="305"/>
        <v>Dwn</v>
      </c>
      <c r="FW186" s="57" t="s">
        <v>2734</v>
      </c>
      <c r="FX186" s="57" t="str">
        <f t="shared" si="306"/>
        <v/>
      </c>
      <c r="FY186" s="57">
        <f t="shared" si="307"/>
        <v>1</v>
      </c>
      <c r="FZ186" s="57" t="str">
        <f t="shared" si="308"/>
        <v/>
      </c>
      <c r="GA186" s="57" t="str">
        <f t="shared" si="309"/>
        <v>Short</v>
      </c>
      <c r="GB186" s="57" t="str">
        <f t="shared" si="310"/>
        <v/>
      </c>
      <c r="GC186" s="57" t="str">
        <f t="shared" si="311"/>
        <v/>
      </c>
      <c r="GD186" s="57" t="str">
        <f t="shared" si="312"/>
        <v/>
      </c>
      <c r="GE186" s="62">
        <f t="shared" si="227"/>
        <v>9.56</v>
      </c>
      <c r="GF186" s="62" t="s">
        <v>2780</v>
      </c>
      <c r="GG186" s="199">
        <v>42</v>
      </c>
      <c r="GH186" s="207">
        <f t="shared" si="313"/>
        <v>401.52000000000004</v>
      </c>
      <c r="GI186" s="199">
        <v>42</v>
      </c>
      <c r="GJ186" s="200">
        <v>10.039999999999999</v>
      </c>
      <c r="GK186" s="63">
        <f t="shared" si="314"/>
        <v>-20.159999999999911</v>
      </c>
      <c r="GL186" s="63">
        <f t="shared" si="228"/>
        <v>-20.579999999999984</v>
      </c>
      <c r="GM186" s="82" t="str">
        <f t="shared" si="315"/>
        <v/>
      </c>
      <c r="GN186" s="82">
        <f>IF($GZ186="",#N/A,SUM(GM$4:GM186))</f>
        <v>6.8597047882709186</v>
      </c>
      <c r="GO186" s="82" t="str">
        <f t="shared" si="316"/>
        <v/>
      </c>
      <c r="GP186" s="82">
        <f>IF($GZ186="",#N/A,SUM(GO$4:GO186))</f>
        <v>10.998213992480078</v>
      </c>
      <c r="GQ186" s="82">
        <f t="shared" si="317"/>
        <v>-0.85425383542538291</v>
      </c>
      <c r="GR186" s="82">
        <f>IF($GZ186="",#N/A,SUM(GQ$4:GQ186))</f>
        <v>11.480552131682987</v>
      </c>
      <c r="GS186" s="63" t="str">
        <f t="shared" si="325"/>
        <v/>
      </c>
      <c r="GT186" s="63" t="e">
        <f>IF($GZ186="",#N/A,SUM(GS$4:GS186))</f>
        <v>#N/A</v>
      </c>
      <c r="GU186" s="63" t="str">
        <f t="shared" si="326"/>
        <v/>
      </c>
      <c r="GV186" s="63" t="e">
        <f>IF($GZ186="",#N/A,SUM(GU$4:GU186))</f>
        <v>#N/A</v>
      </c>
      <c r="GW186" s="63" t="e">
        <f t="shared" si="327"/>
        <v>#N/A</v>
      </c>
      <c r="GX186" s="63" t="e">
        <f>IF($GZ186="",#N/A,SUM(GW$4:GW186))</f>
        <v>#N/A</v>
      </c>
      <c r="GY186" s="63" t="e">
        <f>IF(EJ186="",#N/A,SUM($EJ$4:EJ186))</f>
        <v>#N/A</v>
      </c>
      <c r="GZ186" s="159">
        <v>10.050000000000001</v>
      </c>
      <c r="HA186" s="63">
        <f t="shared" si="318"/>
        <v>-5.8799999999999955</v>
      </c>
      <c r="HB186" s="62" t="s">
        <v>2538</v>
      </c>
      <c r="HC186" s="60">
        <f>IFERROR(VLOOKUP(E186,Expectancy!$P$4:$S$19,1+C186,FALSE),"")</f>
        <v>0.73529829292760662</v>
      </c>
      <c r="HD186" s="82">
        <f t="shared" si="319"/>
        <v>-0.83682008368200467</v>
      </c>
      <c r="HE186" s="60">
        <f>IF(HD186="",#N/A,SUM($HD$4:HD186))</f>
        <v>-2.4395805097556589</v>
      </c>
      <c r="HF186" s="85">
        <f>IF(HD186="",#N/A,IF(HB186="Skip",#N/A,SUM($HG$4:HG186)))</f>
        <v>-22.619999999999834</v>
      </c>
      <c r="HG186" s="63">
        <f t="shared" si="320"/>
        <v>-20.159999999999911</v>
      </c>
      <c r="HH186" s="82">
        <f t="shared" si="321"/>
        <v>-0.85425383542538291</v>
      </c>
    </row>
    <row r="187" spans="1:216" x14ac:dyDescent="0.25">
      <c r="A187" s="57" t="s">
        <v>1277</v>
      </c>
      <c r="B187" s="58" t="s">
        <v>5196</v>
      </c>
      <c r="C187" s="386">
        <f t="shared" si="230"/>
        <v>1</v>
      </c>
      <c r="D187" s="372" t="str">
        <f>_xlfn.XLOOKUP(A187,[1]SP500!$A$2:$A$502,[1]SP500!$D$2:$D$502,"N")</f>
        <v>Y</v>
      </c>
      <c r="E187" s="57" t="str">
        <f>_xlfn.XLOOKUP(A187,[1]SP500!$A$2:$A$655,[1]SP500!$B$2:$B$655)</f>
        <v>XLC</v>
      </c>
      <c r="F187" s="59">
        <v>45692</v>
      </c>
      <c r="G187" s="57" t="str">
        <f t="shared" si="231"/>
        <v>AMC</v>
      </c>
      <c r="H187" s="57" t="str">
        <f t="shared" si="232"/>
        <v>o</v>
      </c>
      <c r="I187" s="162">
        <v>207.71</v>
      </c>
      <c r="J187" s="159">
        <v>193.1</v>
      </c>
      <c r="K187" s="61">
        <f t="shared" si="233"/>
        <v>-7.0338452650329855E-2</v>
      </c>
      <c r="L187" s="87">
        <f t="shared" si="234"/>
        <v>-28.13538106013192</v>
      </c>
      <c r="M187" s="214" t="e">
        <f t="shared" si="226"/>
        <v>#N/A</v>
      </c>
      <c r="N187" s="168">
        <f t="shared" si="235"/>
        <v>-28.13538106013192</v>
      </c>
      <c r="O187" s="168">
        <f>IF($J187="",#N/A,SUM($N$4:N187))</f>
        <v>307.94438262948194</v>
      </c>
      <c r="P187" s="173" t="str">
        <f t="shared" si="236"/>
        <v/>
      </c>
      <c r="Q187" s="173">
        <f>IF($J187="",#N/A,SUM($P$4:P187))</f>
        <v>202.64104023772637</v>
      </c>
      <c r="R187" s="177" t="str">
        <f t="shared" si="237"/>
        <v/>
      </c>
      <c r="S187" s="177">
        <f>IF($J187="",#N/A,SUM($R$4:R187))</f>
        <v>140.98873610246864</v>
      </c>
      <c r="T187" s="290">
        <f t="shared" si="238"/>
        <v>-1.1723075441721633</v>
      </c>
      <c r="U187" s="290">
        <f>IF($J187="",#N/A,SUM($T$4:T187))</f>
        <v>11.292495043304985</v>
      </c>
      <c r="V187" s="291" t="str">
        <f t="shared" si="239"/>
        <v/>
      </c>
      <c r="W187" s="291">
        <f>IF($J187="",#N/A,SUM($V$4:V187))</f>
        <v>8.0148562247827595</v>
      </c>
      <c r="X187" s="292" t="str">
        <f t="shared" si="240"/>
        <v/>
      </c>
      <c r="Y187" s="283">
        <f>IF($J187="",#N/A,SUM($X$4:X187))</f>
        <v>5.5940122944048483</v>
      </c>
      <c r="Z187" s="304" t="str">
        <f t="shared" si="241"/>
        <v/>
      </c>
      <c r="AA187" s="316" t="e">
        <f>IF($J187="",#N/A,SUM(Z$4:Z187))</f>
        <v>#N/A</v>
      </c>
      <c r="AB187" s="317" t="str">
        <f t="shared" si="242"/>
        <v/>
      </c>
      <c r="AC187" s="317" t="e">
        <f>IF($J187="",#N/A,SUM(AB$4:AB187))</f>
        <v>#N/A</v>
      </c>
      <c r="AD187" s="318" t="str">
        <f t="shared" si="243"/>
        <v/>
      </c>
      <c r="AE187" s="318" t="e">
        <f>IF($J187="",#N/A,SUM(AD$4:AD187))</f>
        <v>#N/A</v>
      </c>
      <c r="AF187" s="318" t="e">
        <f>IF($J187="",#N/A,SUM(AD$4:AD187,AB$4:AB187,Z$4:Z187))</f>
        <v>#N/A</v>
      </c>
      <c r="AG187" s="304" t="str">
        <f t="shared" si="244"/>
        <v/>
      </c>
      <c r="AH187" s="316" t="e">
        <f>IF($J187="",#N/A,SUM(AG$4:AG187))</f>
        <v>#N/A</v>
      </c>
      <c r="AI187" s="317" t="str">
        <f t="shared" si="245"/>
        <v/>
      </c>
      <c r="AJ187" s="317" t="e">
        <f>IF($J187="",#N/A,SUM(AI$4:AI187))</f>
        <v>#N/A</v>
      </c>
      <c r="AK187" s="318" t="str">
        <f t="shared" si="246"/>
        <v/>
      </c>
      <c r="AL187" s="318" t="e">
        <f>IF($J187="",#N/A,SUM(AK$4:AK187))</f>
        <v>#N/A</v>
      </c>
      <c r="AM187" s="318" t="e">
        <f>IF($J187="",#N/A,SUM(AK$4:AK187,AI$4:AI187,AG$4:AG187))</f>
        <v>#N/A</v>
      </c>
      <c r="AN187" s="304" t="str">
        <f t="shared" si="247"/>
        <v/>
      </c>
      <c r="AO187" s="316" t="e">
        <f>IF($J187="",#N/A,SUM(AN$4:AN187))</f>
        <v>#N/A</v>
      </c>
      <c r="AP187" s="317" t="str">
        <f t="shared" si="248"/>
        <v/>
      </c>
      <c r="AQ187" s="317" t="e">
        <f>IF($J187="",#N/A,SUM(AP$4:AP187))</f>
        <v>#N/A</v>
      </c>
      <c r="AR187" s="318" t="str">
        <f t="shared" si="249"/>
        <v/>
      </c>
      <c r="AS187" s="318" t="e">
        <f>IF($J187="",#N/A,SUM(AR$4:AR187))</f>
        <v>#N/A</v>
      </c>
      <c r="AT187" s="318" t="e">
        <f>IF($J187="",#N/A,SUM(AR$4:AR187,AP$4:AP187,AN$4:AN187))</f>
        <v>#N/A</v>
      </c>
      <c r="AU187" s="304" t="str">
        <f t="shared" si="250"/>
        <v/>
      </c>
      <c r="AV187" s="316" t="e">
        <f>IF($J187="",#N/A,SUM(AU$4:AU187))</f>
        <v>#N/A</v>
      </c>
      <c r="AW187" s="317" t="str">
        <f t="shared" si="251"/>
        <v/>
      </c>
      <c r="AX187" s="317" t="e">
        <f>IF($J187="",#N/A,SUM(AW$4:AW187))</f>
        <v>#N/A</v>
      </c>
      <c r="AY187" s="318" t="str">
        <f t="shared" si="252"/>
        <v/>
      </c>
      <c r="AZ187" s="318" t="e">
        <f>IF($J187="",#N/A,SUM(AY$4:AY187))</f>
        <v>#N/A</v>
      </c>
      <c r="BA187" s="318" t="e">
        <f>IF($J187="",#N/A,SUM(AY$4:AY187,AW$4:AW187,AU$4:AU187))</f>
        <v>#N/A</v>
      </c>
      <c r="BB187" s="304">
        <f t="shared" si="253"/>
        <v>-1.1723075441721633</v>
      </c>
      <c r="BC187" s="316" t="e">
        <f>IF($J187="",#N/A,SUM(BB$4:BB187))</f>
        <v>#N/A</v>
      </c>
      <c r="BD187" s="317" t="str">
        <f t="shared" si="254"/>
        <v/>
      </c>
      <c r="BE187" s="317" t="e">
        <f>IF($J187="",#N/A,SUM(BD$4:BD187))</f>
        <v>#N/A</v>
      </c>
      <c r="BF187" s="318" t="str">
        <f t="shared" si="255"/>
        <v/>
      </c>
      <c r="BG187" s="318" t="e">
        <f>IF($J187="",#N/A,SUM(BF$4:BF187))</f>
        <v>#N/A</v>
      </c>
      <c r="BH187" s="318" t="e">
        <f>IF($J187="",#N/A,SUM(BF$4:BF187,BD$4:BD187,BB$4:BB187))</f>
        <v>#N/A</v>
      </c>
      <c r="BI187" s="304" t="str">
        <f t="shared" si="256"/>
        <v/>
      </c>
      <c r="BJ187" s="316" t="e">
        <f>IF($J187="",#N/A,SUM(BI$4:BI187))</f>
        <v>#N/A</v>
      </c>
      <c r="BK187" s="317" t="str">
        <f t="shared" si="257"/>
        <v/>
      </c>
      <c r="BL187" s="317" t="e">
        <f>IF($J187="",#N/A,SUM(BK$4:BK187))</f>
        <v>#N/A</v>
      </c>
      <c r="BM187" s="318" t="str">
        <f t="shared" si="258"/>
        <v/>
      </c>
      <c r="BN187" s="318" t="e">
        <f>IF($J187="",#N/A,SUM(BM$4:BM187))</f>
        <v>#N/A</v>
      </c>
      <c r="BO187" s="318" t="e">
        <f>IF($J187="",#N/A,SUM(BM$4:BM187,BK$4:BK187,BI$4:BI187))</f>
        <v>#N/A</v>
      </c>
      <c r="BP187" s="304" t="str">
        <f t="shared" si="259"/>
        <v/>
      </c>
      <c r="BQ187" s="316" t="e">
        <f>IF($J187="",#N/A,SUM(BP$4:BP187))</f>
        <v>#N/A</v>
      </c>
      <c r="BR187" s="317" t="str">
        <f t="shared" si="260"/>
        <v/>
      </c>
      <c r="BS187" s="317" t="e">
        <f>IF($J187="",#N/A,SUM(BR$4:BR187))</f>
        <v>#N/A</v>
      </c>
      <c r="BT187" s="318" t="str">
        <f t="shared" si="261"/>
        <v/>
      </c>
      <c r="BU187" s="318" t="e">
        <f>IF($J187="",#N/A,SUM(BT$4:BT187))</f>
        <v>#N/A</v>
      </c>
      <c r="BV187" s="318" t="e">
        <f>IF($J187="",#N/A,SUM(BT$4:BT187,BR$4:BR187,BP$4:BP187))</f>
        <v>#N/A</v>
      </c>
      <c r="BW187" s="304" t="str">
        <f t="shared" si="262"/>
        <v/>
      </c>
      <c r="BX187" s="316" t="e">
        <f>IF($J187="",#N/A,SUM(BW$4:BW187))</f>
        <v>#N/A</v>
      </c>
      <c r="BY187" s="317" t="str">
        <f t="shared" si="263"/>
        <v/>
      </c>
      <c r="BZ187" s="317" t="e">
        <f>IF($J187="",#N/A,SUM(BY$4:BY187))</f>
        <v>#N/A</v>
      </c>
      <c r="CA187" s="318" t="str">
        <f t="shared" si="264"/>
        <v/>
      </c>
      <c r="CB187" s="318" t="e">
        <f>IF($J187="",#N/A,SUM(CA$4:CA187))</f>
        <v>#N/A</v>
      </c>
      <c r="CC187" s="318" t="e">
        <f>IF($J187="",#N/A,SUM(CA$4:CA187,BY$4:BY187,BW$4:BW187))</f>
        <v>#N/A</v>
      </c>
      <c r="CD187" s="304" t="str">
        <f t="shared" si="265"/>
        <v/>
      </c>
      <c r="CE187" s="316" t="e">
        <f>IF($J187="",#N/A,SUM(CD$4:CD187))</f>
        <v>#N/A</v>
      </c>
      <c r="CF187" s="317" t="str">
        <f t="shared" si="266"/>
        <v/>
      </c>
      <c r="CG187" s="317" t="e">
        <f>IF($J187="",#N/A,SUM(CF$4:CF187))</f>
        <v>#N/A</v>
      </c>
      <c r="CH187" s="318" t="str">
        <f t="shared" si="267"/>
        <v/>
      </c>
      <c r="CI187" s="318" t="e">
        <f>IF($J187="",#N/A,SUM(CH$4:CH187))</f>
        <v>#N/A</v>
      </c>
      <c r="CJ187" s="318" t="e">
        <f>IF($J187="",#N/A,SUM(CH$4:CH187,CF$4:CF187,CD$4:CD187))</f>
        <v>#N/A</v>
      </c>
      <c r="CK187" s="304" t="str">
        <f t="shared" si="268"/>
        <v/>
      </c>
      <c r="CL187" s="316" t="e">
        <f>IF($J187="",#N/A,SUM(CK$4:CK187))</f>
        <v>#N/A</v>
      </c>
      <c r="CM187" s="317" t="str">
        <f t="shared" si="269"/>
        <v/>
      </c>
      <c r="CN187" s="317" t="e">
        <f>IF($J187="",#N/A,SUM(CM$4:CM187))</f>
        <v>#N/A</v>
      </c>
      <c r="CO187" s="318" t="str">
        <f t="shared" si="270"/>
        <v/>
      </c>
      <c r="CP187" s="318" t="e">
        <f>IF($J187="",#N/A,SUM(CO$4:CO187))</f>
        <v>#N/A</v>
      </c>
      <c r="CQ187" s="318" t="e">
        <f>IF($J187="",#N/A,SUM(CO$4:CO187,CM$4:CM187,CK$4:CK187))</f>
        <v>#N/A</v>
      </c>
      <c r="CR187" s="304" t="str">
        <f t="shared" si="271"/>
        <v/>
      </c>
      <c r="CS187" s="316" t="e">
        <f>IF($J187="",#N/A,SUM(CR$4:CR187))</f>
        <v>#N/A</v>
      </c>
      <c r="CT187" s="317" t="str">
        <f t="shared" si="272"/>
        <v/>
      </c>
      <c r="CU187" s="317" t="e">
        <f>IF($J187="",#N/A,SUM(CT$4:CT187))</f>
        <v>#N/A</v>
      </c>
      <c r="CV187" s="318" t="str">
        <f t="shared" si="273"/>
        <v/>
      </c>
      <c r="CW187" s="318" t="e">
        <f>IF($J187="",#N/A,SUM(CV$4:CV187))</f>
        <v>#N/A</v>
      </c>
      <c r="CX187" s="318" t="e">
        <f>IF($J187="",#N/A,SUM(CV$4:CV187,CT$4:CT187,CR$4:CR187))</f>
        <v>#N/A</v>
      </c>
      <c r="CY187" s="304" t="str">
        <f t="shared" si="274"/>
        <v/>
      </c>
      <c r="CZ187" s="316" t="e">
        <f>IF($J187="",#N/A,SUM(CY$4:CY187))</f>
        <v>#N/A</v>
      </c>
      <c r="DA187" s="317" t="str">
        <f t="shared" si="275"/>
        <v/>
      </c>
      <c r="DB187" s="317" t="e">
        <f>IF($J187="",#N/A,SUM(DA$4:DA187))</f>
        <v>#N/A</v>
      </c>
      <c r="DC187" s="318" t="str">
        <f t="shared" si="276"/>
        <v/>
      </c>
      <c r="DD187" s="318" t="e">
        <f>IF($J187="",#N/A,SUM(DC$4:DC187))</f>
        <v>#N/A</v>
      </c>
      <c r="DE187" s="318" t="e">
        <f>IF($J187="",#N/A,SUM(DC$4:DC187,DA$4:DA187,CY$4:CY187))</f>
        <v>#N/A</v>
      </c>
      <c r="DF187" s="304" t="str">
        <f t="shared" si="277"/>
        <v/>
      </c>
      <c r="DG187" s="316" t="e">
        <f>IF($J187="",#N/A,SUM(DF$4:DF187))</f>
        <v>#N/A</v>
      </c>
      <c r="DH187" s="317" t="str">
        <f t="shared" si="278"/>
        <v/>
      </c>
      <c r="DI187" s="317" t="e">
        <f>IF($J187="",#N/A,SUM(DH$4:DH187))</f>
        <v>#N/A</v>
      </c>
      <c r="DJ187" s="318" t="str">
        <f t="shared" si="279"/>
        <v/>
      </c>
      <c r="DK187" s="318" t="e">
        <f>IF($J187="",#N/A,SUM(DJ$4:DJ187))</f>
        <v>#N/A</v>
      </c>
      <c r="DL187" s="318" t="e">
        <f>IF($J187="",#N/A,SUM(DJ$4:DJ187,DH$4:DH187,DF$4:DF187))</f>
        <v>#N/A</v>
      </c>
      <c r="DM187" s="304" t="str">
        <f t="shared" si="280"/>
        <v/>
      </c>
      <c r="DN187" s="316" t="e">
        <f>IF($J187="",#N/A,SUM(DM$4:DM187))</f>
        <v>#N/A</v>
      </c>
      <c r="DO187" s="317" t="str">
        <f t="shared" si="281"/>
        <v/>
      </c>
      <c r="DP187" s="317" t="e">
        <f>IF($J187="",#N/A,SUM(DO$4:DO187))</f>
        <v>#N/A</v>
      </c>
      <c r="DQ187" s="318" t="str">
        <f t="shared" si="282"/>
        <v/>
      </c>
      <c r="DR187" s="318" t="e">
        <f>IF($J187="",#N/A,SUM(DQ$4:DQ187))</f>
        <v>#N/A</v>
      </c>
      <c r="DS187" s="318" t="e">
        <f>IF($J187="",#N/A,SUM(DQ$4:DQ187,DO$4:DO187,DM$4:DM187))</f>
        <v>#N/A</v>
      </c>
      <c r="DT187" s="304" t="str">
        <f t="shared" si="283"/>
        <v/>
      </c>
      <c r="DU187" s="316" t="e">
        <f>IF($J187="",#N/A,SUM(DT$4:DT187))</f>
        <v>#N/A</v>
      </c>
      <c r="DV187" s="317" t="str">
        <f t="shared" si="284"/>
        <v/>
      </c>
      <c r="DW187" s="317" t="e">
        <f>IF($J187="",#N/A,SUM(DV$4:DV187))</f>
        <v>#N/A</v>
      </c>
      <c r="DX187" s="318" t="str">
        <f t="shared" si="285"/>
        <v/>
      </c>
      <c r="DY187" s="318" t="e">
        <f>IF($J187="",#N/A,SUM(DX$4:DX187))</f>
        <v>#N/A</v>
      </c>
      <c r="DZ187" s="318" t="e">
        <f>IF($J187="",#N/A,SUM(DX$4:DX187,DV$4:DV187,DT$4:DT187))</f>
        <v>#N/A</v>
      </c>
      <c r="EA187" s="304" t="str">
        <f t="shared" si="286"/>
        <v/>
      </c>
      <c r="EB187" s="316" t="e">
        <f>IF($J187="",#N/A,SUM(EA$4:EA187))</f>
        <v>#N/A</v>
      </c>
      <c r="EC187" s="317" t="str">
        <f t="shared" si="287"/>
        <v/>
      </c>
      <c r="ED187" s="317" t="e">
        <f>IF($J187="",#N/A,SUM(EC$4:EC187))</f>
        <v>#N/A</v>
      </c>
      <c r="EE187" s="318" t="str">
        <f t="shared" si="288"/>
        <v/>
      </c>
      <c r="EF187" s="318" t="e">
        <f>IF($J187="",#N/A,SUM(EE$4:EE187))</f>
        <v>#N/A</v>
      </c>
      <c r="EG187" s="318" t="e">
        <f>IF($J187="",#N/A,SUM(EE$4:EE187,EC$4:EC187,EA$4:EA187))</f>
        <v>#N/A</v>
      </c>
      <c r="EH187" s="211">
        <f t="shared" si="289"/>
        <v>-28.13538106013192</v>
      </c>
      <c r="EI187" s="63">
        <f>IF(EH187="",#N/A,SUM($EH$4:EH187))</f>
        <v>651.574158969677</v>
      </c>
      <c r="EJ187" s="223" t="e">
        <f t="shared" si="290"/>
        <v>#N/A</v>
      </c>
      <c r="EK187" s="63" t="e">
        <f>IF($GZ187="",#N/A,SUM(EJ$4:EJ187))</f>
        <v>#N/A</v>
      </c>
      <c r="EL187" s="60">
        <f t="shared" si="322"/>
        <v>-1.1723075441721633</v>
      </c>
      <c r="EM187" s="60">
        <f>IF(EL187="",NA(),SUM($EL$4:EL187))</f>
        <v>21.240575499011328</v>
      </c>
      <c r="EN187" s="60">
        <f t="shared" si="291"/>
        <v>-1.1723075441721633</v>
      </c>
      <c r="EO187" s="60">
        <f>IF(EN187="",NA(),SUM($EN$4:EN187))</f>
        <v>7.406345512446487</v>
      </c>
      <c r="EP187" s="60" t="str">
        <f t="shared" si="292"/>
        <v/>
      </c>
      <c r="EQ187" s="60" t="e">
        <f>IF(EP187="",NA(),SUM($EP$4:EP187))</f>
        <v>#N/A</v>
      </c>
      <c r="ER187" s="60" t="str">
        <f t="shared" si="293"/>
        <v/>
      </c>
      <c r="ES187" s="60" t="e">
        <f>IF(ER187="",NA(),SUM($ER$4:ER187))</f>
        <v>#N/A</v>
      </c>
      <c r="ET187" s="60" t="str">
        <f t="shared" si="294"/>
        <v/>
      </c>
      <c r="EU187" s="60" t="e">
        <f>IF(ET187="",NA(),SUM($ET$4:ET187))</f>
        <v>#N/A</v>
      </c>
      <c r="EV187" s="60" t="str">
        <f t="shared" si="295"/>
        <v/>
      </c>
      <c r="EW187" s="60" t="e">
        <f>IF(EV187="",NA(),SUM($EV$4:EV187))</f>
        <v>#N/A</v>
      </c>
      <c r="EX187" s="60" t="str">
        <f t="shared" si="296"/>
        <v/>
      </c>
      <c r="EY187" s="60" t="e">
        <f>IF(EX187="",NA(),SUM($EX$4:EX187))</f>
        <v>#N/A</v>
      </c>
      <c r="EZ187" s="60" t="str">
        <f t="shared" si="297"/>
        <v/>
      </c>
      <c r="FA187" s="60" t="e">
        <f>IF(EZ187="",NA(),SUM($EZ$4:EZ187))</f>
        <v>#N/A</v>
      </c>
      <c r="FB187" s="246" t="str">
        <f t="shared" si="323"/>
        <v/>
      </c>
      <c r="FC187" s="246" t="e">
        <f>IF($FB187="",#N/A,SUM(FB$4:$FB187))</f>
        <v>#N/A</v>
      </c>
      <c r="FD187" s="60" t="str">
        <f t="shared" si="298"/>
        <v/>
      </c>
      <c r="FE187" s="60" t="e">
        <f>IF($FD187="",#N/A,SUM($FD$4:FD187))</f>
        <v>#N/A</v>
      </c>
      <c r="FF187" s="60" t="str">
        <f t="shared" si="299"/>
        <v/>
      </c>
      <c r="FG187" s="60" t="e">
        <f>IF($FF187="",#N/A,SUM($FF$4:FF187))</f>
        <v>#N/A</v>
      </c>
      <c r="FH187" s="60">
        <f t="shared" si="300"/>
        <v>1.6048015662865511E-2</v>
      </c>
      <c r="FI187" s="60">
        <f>IF($FH187="",#N/A,SUM($FH$4:FH187))</f>
        <v>-0.22456794533334035</v>
      </c>
      <c r="FJ187" s="60" t="str">
        <f t="shared" si="301"/>
        <v/>
      </c>
      <c r="FK187" s="60" t="e">
        <f>IF($FJ187="",#N/A,SUM($FJ$4:FJ187))</f>
        <v>#N/A</v>
      </c>
      <c r="FL187" s="60" t="str">
        <f t="shared" si="302"/>
        <v/>
      </c>
      <c r="FM187" s="60" t="e">
        <f>IF($FL187="",#N/A,SUM($FL$4:FL187))</f>
        <v>#N/A</v>
      </c>
      <c r="FN187" s="82">
        <f t="shared" si="303"/>
        <v>-1.1562595285092978</v>
      </c>
      <c r="FO187" s="82">
        <f>IF($FN187="",#N/A,SUM(FN$4:$FN187))</f>
        <v>28.80804833836703</v>
      </c>
      <c r="FP187" s="82">
        <f t="shared" si="324"/>
        <v>-1.1723075441721633</v>
      </c>
      <c r="FQ187" s="246">
        <f>IF($EH187="",#N/A,SUM($FP$4:FP187))</f>
        <v>24.901363562492598</v>
      </c>
      <c r="FR187" s="82">
        <f>IFERROR(FQ187/COUNTA($J$4:J187),#N/A)</f>
        <v>0.13533349762224239</v>
      </c>
      <c r="FS187" s="82">
        <f t="shared" ref="FS187:FS195" si="336">IFERROR(($FQ187-$FQ141)/COUNTA($J141:$J187),#N/A)</f>
        <v>5.6749983136541761E-2</v>
      </c>
      <c r="FT187" s="82">
        <f t="shared" si="335"/>
        <v>8.3413883770688813E-3</v>
      </c>
      <c r="FU187" s="273"/>
      <c r="FV187" s="57" t="str">
        <f t="shared" si="305"/>
        <v>Up</v>
      </c>
      <c r="FW187" s="57" t="s">
        <v>2734</v>
      </c>
      <c r="FX187" s="57" t="str">
        <f t="shared" si="306"/>
        <v/>
      </c>
      <c r="FY187" s="57" t="str">
        <f t="shared" si="307"/>
        <v/>
      </c>
      <c r="FZ187" s="57" t="str">
        <f t="shared" si="308"/>
        <v/>
      </c>
      <c r="GA187" s="57" t="str">
        <f t="shared" si="309"/>
        <v>Long</v>
      </c>
      <c r="GB187" s="57" t="str">
        <f t="shared" si="310"/>
        <v/>
      </c>
      <c r="GC187" s="57">
        <f t="shared" si="311"/>
        <v>1</v>
      </c>
      <c r="GD187" s="57" t="str">
        <f t="shared" si="312"/>
        <v/>
      </c>
      <c r="GE187" s="62">
        <f t="shared" si="227"/>
        <v>207.71</v>
      </c>
      <c r="GF187" s="62" t="s">
        <v>2779</v>
      </c>
      <c r="GG187" s="99">
        <f>400/I187</f>
        <v>1.9257618795435945</v>
      </c>
      <c r="GH187" s="207">
        <f t="shared" si="313"/>
        <v>400</v>
      </c>
      <c r="GI187" s="99">
        <f t="shared" ref="GI187:GI218" si="337">GG187</f>
        <v>1.9257618795435945</v>
      </c>
      <c r="GJ187" s="98">
        <f>J187</f>
        <v>193.1</v>
      </c>
      <c r="GK187" s="63">
        <f t="shared" si="314"/>
        <v>-28.13538106013192</v>
      </c>
      <c r="GL187" s="63">
        <f t="shared" si="228"/>
        <v>-27.750228684223146</v>
      </c>
      <c r="GM187" s="82" t="str">
        <f t="shared" si="315"/>
        <v/>
      </c>
      <c r="GN187" s="82">
        <f>IF($GZ187="",#N/A,SUM(GM$4:GM187))</f>
        <v>6.8597047882709186</v>
      </c>
      <c r="GO187" s="82">
        <f t="shared" si="316"/>
        <v>-1.1562595285092978</v>
      </c>
      <c r="GP187" s="82">
        <f>IF($GZ187="",#N/A,SUM(GO$4:GO187))</f>
        <v>9.8419544639707812</v>
      </c>
      <c r="GQ187" s="82" t="str">
        <f t="shared" si="317"/>
        <v/>
      </c>
      <c r="GR187" s="82">
        <f>IF($GZ187="",#N/A,SUM(GQ$4:GQ187))</f>
        <v>11.480552131682987</v>
      </c>
      <c r="GS187" s="63" t="str">
        <f t="shared" si="325"/>
        <v/>
      </c>
      <c r="GT187" s="63" t="e">
        <f>IF($GZ187="",#N/A,SUM(GS$4:GS187))</f>
        <v>#N/A</v>
      </c>
      <c r="GU187" s="63" t="e">
        <f t="shared" si="326"/>
        <v>#N/A</v>
      </c>
      <c r="GV187" s="63" t="e">
        <f>IF($GZ187="",#N/A,SUM(GU$4:GU187))</f>
        <v>#N/A</v>
      </c>
      <c r="GW187" s="63" t="str">
        <f t="shared" si="327"/>
        <v/>
      </c>
      <c r="GX187" s="63" t="e">
        <f>IF($GZ187="",#N/A,SUM(GW$4:GW187))</f>
        <v>#N/A</v>
      </c>
      <c r="GY187" s="63" t="e">
        <f>IF(EJ187="",#N/A,SUM($EJ$4:EJ187))</f>
        <v>#N/A</v>
      </c>
      <c r="GZ187" s="159">
        <v>193.3</v>
      </c>
      <c r="HA187" s="63">
        <f t="shared" si="318"/>
        <v>0.38515237590877405</v>
      </c>
      <c r="HB187" s="130" t="s">
        <v>4970</v>
      </c>
      <c r="HC187" s="60">
        <f>IFERROR(VLOOKUP(E187,Expectancy!$P$4:$S$19,1+C187,FALSE),"")</f>
        <v>0.43526476867969371</v>
      </c>
      <c r="HD187" s="82" t="str">
        <f t="shared" si="319"/>
        <v/>
      </c>
      <c r="HE187" s="60" t="e">
        <f>IF(HD187="",#N/A,SUM($HD$4:HD187))</f>
        <v>#N/A</v>
      </c>
      <c r="HF187" s="85" t="e">
        <f>IF(HD187="",#N/A,IF(HB187="Skip",#N/A,SUM($HG$4:HG187)))</f>
        <v>#N/A</v>
      </c>
      <c r="HG187" s="205" t="str">
        <f t="shared" si="320"/>
        <v/>
      </c>
      <c r="HH187" s="82">
        <f t="shared" si="321"/>
        <v>-1.1562595285092978</v>
      </c>
    </row>
    <row r="188" spans="1:216" x14ac:dyDescent="0.25">
      <c r="A188" s="57" t="s">
        <v>1299</v>
      </c>
      <c r="B188" s="58" t="s">
        <v>5197</v>
      </c>
      <c r="C188" s="386">
        <f t="shared" si="230"/>
        <v>2</v>
      </c>
      <c r="D188" s="372" t="str">
        <f>_xlfn.XLOOKUP(A188,[1]SP500!$A$2:$A$502,[1]SP500!$D$2:$D$502,"N")</f>
        <v>Y</v>
      </c>
      <c r="E188" s="57" t="str">
        <f>_xlfn.XLOOKUP(A188,[1]SP500!$A$2:$A$655,[1]SP500!$B$2:$B$655)</f>
        <v>SMH</v>
      </c>
      <c r="F188" s="59">
        <v>45692</v>
      </c>
      <c r="G188" s="57" t="str">
        <f t="shared" si="231"/>
        <v>AMC</v>
      </c>
      <c r="H188" s="57" t="str">
        <f t="shared" si="232"/>
        <v>s</v>
      </c>
      <c r="I188" s="158">
        <v>119.5</v>
      </c>
      <c r="J188" s="159">
        <v>107.61</v>
      </c>
      <c r="K188" s="61">
        <f t="shared" si="233"/>
        <v>-9.9497907949790798E-2</v>
      </c>
      <c r="L188" s="87">
        <f t="shared" si="234"/>
        <v>35.670000000000016</v>
      </c>
      <c r="M188" s="130">
        <f t="shared" si="226"/>
        <v>0.14999999999997726</v>
      </c>
      <c r="N188" s="169" t="str">
        <f t="shared" si="235"/>
        <v/>
      </c>
      <c r="O188" s="169">
        <f>IF($J188="",#N/A,SUM($N$4:N188))</f>
        <v>307.94438262948194</v>
      </c>
      <c r="P188" s="174">
        <f t="shared" si="236"/>
        <v>35.670000000000016</v>
      </c>
      <c r="Q188" s="174">
        <f>IF($J188="",#N/A,SUM($P$4:P188))</f>
        <v>238.31104023772639</v>
      </c>
      <c r="R188" s="178" t="str">
        <f t="shared" si="237"/>
        <v/>
      </c>
      <c r="S188" s="178">
        <f>IF($J188="",#N/A,SUM($R$4:R188))</f>
        <v>140.98873610246864</v>
      </c>
      <c r="T188" s="290" t="str">
        <f t="shared" si="238"/>
        <v/>
      </c>
      <c r="U188" s="290">
        <f>IF($J188="",#N/A,SUM($T$4:T188))</f>
        <v>11.292495043304985</v>
      </c>
      <c r="V188" s="291">
        <f t="shared" si="239"/>
        <v>1.6582984658298474</v>
      </c>
      <c r="W188" s="291">
        <f>IF($J188="",#N/A,SUM($V$4:V188))</f>
        <v>9.6731546906126074</v>
      </c>
      <c r="X188" s="292" t="str">
        <f t="shared" si="240"/>
        <v/>
      </c>
      <c r="Y188" s="283">
        <f>IF($J188="",#N/A,SUM($X$4:X188))</f>
        <v>5.5940122944048483</v>
      </c>
      <c r="Z188" s="304" t="str">
        <f t="shared" si="241"/>
        <v/>
      </c>
      <c r="AA188" s="313" t="e">
        <f>IF($J188="",#N/A,SUM(Z$4:Z188))</f>
        <v>#N/A</v>
      </c>
      <c r="AB188" s="314" t="str">
        <f t="shared" si="242"/>
        <v/>
      </c>
      <c r="AC188" s="314" t="e">
        <f>IF($J188="",#N/A,SUM(AB$4:AB188))</f>
        <v>#N/A</v>
      </c>
      <c r="AD188" s="315" t="str">
        <f t="shared" si="243"/>
        <v/>
      </c>
      <c r="AE188" s="315" t="e">
        <f>IF($J188="",#N/A,SUM(AD$4:AD188))</f>
        <v>#N/A</v>
      </c>
      <c r="AF188" s="315" t="e">
        <f>IF($J188="",#N/A,SUM(AD$4:AD188,AB$4:AB188,Z$4:Z188))</f>
        <v>#N/A</v>
      </c>
      <c r="AG188" s="304" t="str">
        <f t="shared" si="244"/>
        <v/>
      </c>
      <c r="AH188" s="313" t="e">
        <f>IF($J188="",#N/A,SUM(AG$4:AG188))</f>
        <v>#N/A</v>
      </c>
      <c r="AI188" s="314" t="str">
        <f t="shared" si="245"/>
        <v/>
      </c>
      <c r="AJ188" s="314" t="e">
        <f>IF($J188="",#N/A,SUM(AI$4:AI188))</f>
        <v>#N/A</v>
      </c>
      <c r="AK188" s="315" t="str">
        <f t="shared" si="246"/>
        <v/>
      </c>
      <c r="AL188" s="315" t="e">
        <f>IF($J188="",#N/A,SUM(AK$4:AK188))</f>
        <v>#N/A</v>
      </c>
      <c r="AM188" s="315" t="e">
        <f>IF($J188="",#N/A,SUM(AK$4:AK188,AI$4:AI188,AG$4:AG188))</f>
        <v>#N/A</v>
      </c>
      <c r="AN188" s="304" t="str">
        <f t="shared" si="247"/>
        <v/>
      </c>
      <c r="AO188" s="313" t="e">
        <f>IF($J188="",#N/A,SUM(AN$4:AN188))</f>
        <v>#N/A</v>
      </c>
      <c r="AP188" s="314" t="str">
        <f t="shared" si="248"/>
        <v/>
      </c>
      <c r="AQ188" s="314" t="e">
        <f>IF($J188="",#N/A,SUM(AP$4:AP188))</f>
        <v>#N/A</v>
      </c>
      <c r="AR188" s="315" t="str">
        <f t="shared" si="249"/>
        <v/>
      </c>
      <c r="AS188" s="315" t="e">
        <f>IF($J188="",#N/A,SUM(AR$4:AR188))</f>
        <v>#N/A</v>
      </c>
      <c r="AT188" s="315" t="e">
        <f>IF($J188="",#N/A,SUM(AR$4:AR188,AP$4:AP188,AN$4:AN188))</f>
        <v>#N/A</v>
      </c>
      <c r="AU188" s="304" t="str">
        <f t="shared" si="250"/>
        <v/>
      </c>
      <c r="AV188" s="313" t="e">
        <f>IF($J188="",#N/A,SUM(AU$4:AU188))</f>
        <v>#N/A</v>
      </c>
      <c r="AW188" s="314" t="str">
        <f t="shared" si="251"/>
        <v/>
      </c>
      <c r="AX188" s="314" t="e">
        <f>IF($J188="",#N/A,SUM(AW$4:AW188))</f>
        <v>#N/A</v>
      </c>
      <c r="AY188" s="315" t="str">
        <f t="shared" si="252"/>
        <v/>
      </c>
      <c r="AZ188" s="315" t="e">
        <f>IF($J188="",#N/A,SUM(AY$4:AY188))</f>
        <v>#N/A</v>
      </c>
      <c r="BA188" s="315" t="e">
        <f>IF($J188="",#N/A,SUM(AY$4:AY188,AW$4:AW188,AU$4:AU188))</f>
        <v>#N/A</v>
      </c>
      <c r="BB188" s="304" t="str">
        <f t="shared" si="253"/>
        <v/>
      </c>
      <c r="BC188" s="313" t="e">
        <f>IF($J188="",#N/A,SUM(BB$4:BB188))</f>
        <v>#N/A</v>
      </c>
      <c r="BD188" s="314" t="str">
        <f t="shared" si="254"/>
        <v/>
      </c>
      <c r="BE188" s="314" t="e">
        <f>IF($J188="",#N/A,SUM(BD$4:BD188))</f>
        <v>#N/A</v>
      </c>
      <c r="BF188" s="315" t="str">
        <f t="shared" si="255"/>
        <v/>
      </c>
      <c r="BG188" s="315" t="e">
        <f>IF($J188="",#N/A,SUM(BF$4:BF188))</f>
        <v>#N/A</v>
      </c>
      <c r="BH188" s="315" t="e">
        <f>IF($J188="",#N/A,SUM(BF$4:BF188,BD$4:BD188,BB$4:BB188))</f>
        <v>#N/A</v>
      </c>
      <c r="BI188" s="304" t="str">
        <f t="shared" si="256"/>
        <v/>
      </c>
      <c r="BJ188" s="313" t="e">
        <f>IF($J188="",#N/A,SUM(BI$4:BI188))</f>
        <v>#N/A</v>
      </c>
      <c r="BK188" s="314" t="str">
        <f t="shared" si="257"/>
        <v/>
      </c>
      <c r="BL188" s="314" t="e">
        <f>IF($J188="",#N/A,SUM(BK$4:BK188))</f>
        <v>#N/A</v>
      </c>
      <c r="BM188" s="315" t="str">
        <f t="shared" si="258"/>
        <v/>
      </c>
      <c r="BN188" s="315" t="e">
        <f>IF($J188="",#N/A,SUM(BM$4:BM188))</f>
        <v>#N/A</v>
      </c>
      <c r="BO188" s="315" t="e">
        <f>IF($J188="",#N/A,SUM(BM$4:BM188,BK$4:BK188,BI$4:BI188))</f>
        <v>#N/A</v>
      </c>
      <c r="BP188" s="304" t="str">
        <f t="shared" si="259"/>
        <v/>
      </c>
      <c r="BQ188" s="313" t="e">
        <f>IF($J188="",#N/A,SUM(BP$4:BP188))</f>
        <v>#N/A</v>
      </c>
      <c r="BR188" s="314" t="str">
        <f t="shared" si="260"/>
        <v/>
      </c>
      <c r="BS188" s="314" t="e">
        <f>IF($J188="",#N/A,SUM(BR$4:BR188))</f>
        <v>#N/A</v>
      </c>
      <c r="BT188" s="315" t="str">
        <f t="shared" si="261"/>
        <v/>
      </c>
      <c r="BU188" s="315" t="e">
        <f>IF($J188="",#N/A,SUM(BT$4:BT188))</f>
        <v>#N/A</v>
      </c>
      <c r="BV188" s="315" t="e">
        <f>IF($J188="",#N/A,SUM(BT$4:BT188,BR$4:BR188,BP$4:BP188))</f>
        <v>#N/A</v>
      </c>
      <c r="BW188" s="304" t="str">
        <f t="shared" si="262"/>
        <v/>
      </c>
      <c r="BX188" s="313" t="e">
        <f>IF($J188="",#N/A,SUM(BW$4:BW188))</f>
        <v>#N/A</v>
      </c>
      <c r="BY188" s="314" t="str">
        <f t="shared" si="263"/>
        <v/>
      </c>
      <c r="BZ188" s="314" t="e">
        <f>IF($J188="",#N/A,SUM(BY$4:BY188))</f>
        <v>#N/A</v>
      </c>
      <c r="CA188" s="315" t="str">
        <f t="shared" si="264"/>
        <v/>
      </c>
      <c r="CB188" s="315" t="e">
        <f>IF($J188="",#N/A,SUM(CA$4:CA188))</f>
        <v>#N/A</v>
      </c>
      <c r="CC188" s="315" t="e">
        <f>IF($J188="",#N/A,SUM(CA$4:CA188,BY$4:BY188,BW$4:BW188))</f>
        <v>#N/A</v>
      </c>
      <c r="CD188" s="304" t="str">
        <f t="shared" si="265"/>
        <v/>
      </c>
      <c r="CE188" s="313" t="e">
        <f>IF($J188="",#N/A,SUM(CD$4:CD188))</f>
        <v>#N/A</v>
      </c>
      <c r="CF188" s="314" t="str">
        <f t="shared" si="266"/>
        <v/>
      </c>
      <c r="CG188" s="314" t="e">
        <f>IF($J188="",#N/A,SUM(CF$4:CF188))</f>
        <v>#N/A</v>
      </c>
      <c r="CH188" s="315" t="str">
        <f t="shared" si="267"/>
        <v/>
      </c>
      <c r="CI188" s="315" t="e">
        <f>IF($J188="",#N/A,SUM(CH$4:CH188))</f>
        <v>#N/A</v>
      </c>
      <c r="CJ188" s="315" t="e">
        <f>IF($J188="",#N/A,SUM(CH$4:CH188,CF$4:CF188,CD$4:CD188))</f>
        <v>#N/A</v>
      </c>
      <c r="CK188" s="304" t="str">
        <f t="shared" si="268"/>
        <v/>
      </c>
      <c r="CL188" s="313" t="e">
        <f>IF($J188="",#N/A,SUM(CK$4:CK188))</f>
        <v>#N/A</v>
      </c>
      <c r="CM188" s="314">
        <f t="shared" si="269"/>
        <v>1.6582984658298474</v>
      </c>
      <c r="CN188" s="314" t="e">
        <f>IF($J188="",#N/A,SUM(CM$4:CM188))</f>
        <v>#N/A</v>
      </c>
      <c r="CO188" s="315" t="str">
        <f t="shared" si="270"/>
        <v/>
      </c>
      <c r="CP188" s="315" t="e">
        <f>IF($J188="",#N/A,SUM(CO$4:CO188))</f>
        <v>#N/A</v>
      </c>
      <c r="CQ188" s="315" t="e">
        <f>IF($J188="",#N/A,SUM(CO$4:CO188,CM$4:CM188,CK$4:CK188))</f>
        <v>#N/A</v>
      </c>
      <c r="CR188" s="304" t="str">
        <f t="shared" si="271"/>
        <v/>
      </c>
      <c r="CS188" s="313" t="e">
        <f>IF($J188="",#N/A,SUM(CR$4:CR188))</f>
        <v>#N/A</v>
      </c>
      <c r="CT188" s="314" t="str">
        <f t="shared" si="272"/>
        <v/>
      </c>
      <c r="CU188" s="314" t="e">
        <f>IF($J188="",#N/A,SUM(CT$4:CT188))</f>
        <v>#N/A</v>
      </c>
      <c r="CV188" s="315" t="str">
        <f t="shared" si="273"/>
        <v/>
      </c>
      <c r="CW188" s="315" t="e">
        <f>IF($J188="",#N/A,SUM(CV$4:CV188))</f>
        <v>#N/A</v>
      </c>
      <c r="CX188" s="315" t="e">
        <f>IF($J188="",#N/A,SUM(CV$4:CV188,CT$4:CT188,CR$4:CR188))</f>
        <v>#N/A</v>
      </c>
      <c r="CY188" s="304" t="str">
        <f t="shared" si="274"/>
        <v/>
      </c>
      <c r="CZ188" s="313" t="e">
        <f>IF($J188="",#N/A,SUM(CY$4:CY188))</f>
        <v>#N/A</v>
      </c>
      <c r="DA188" s="314" t="str">
        <f t="shared" si="275"/>
        <v/>
      </c>
      <c r="DB188" s="314" t="e">
        <f>IF($J188="",#N/A,SUM(DA$4:DA188))</f>
        <v>#N/A</v>
      </c>
      <c r="DC188" s="315" t="str">
        <f t="shared" si="276"/>
        <v/>
      </c>
      <c r="DD188" s="315" t="e">
        <f>IF($J188="",#N/A,SUM(DC$4:DC188))</f>
        <v>#N/A</v>
      </c>
      <c r="DE188" s="315" t="e">
        <f>IF($J188="",#N/A,SUM(DC$4:DC188,DA$4:DA188,CY$4:CY188))</f>
        <v>#N/A</v>
      </c>
      <c r="DF188" s="304" t="str">
        <f t="shared" si="277"/>
        <v/>
      </c>
      <c r="DG188" s="313" t="e">
        <f>IF($J188="",#N/A,SUM(DF$4:DF188))</f>
        <v>#N/A</v>
      </c>
      <c r="DH188" s="314" t="str">
        <f t="shared" si="278"/>
        <v/>
      </c>
      <c r="DI188" s="314" t="e">
        <f>IF($J188="",#N/A,SUM(DH$4:DH188))</f>
        <v>#N/A</v>
      </c>
      <c r="DJ188" s="315" t="str">
        <f t="shared" si="279"/>
        <v/>
      </c>
      <c r="DK188" s="315" t="e">
        <f>IF($J188="",#N/A,SUM(DJ$4:DJ188))</f>
        <v>#N/A</v>
      </c>
      <c r="DL188" s="315" t="e">
        <f>IF($J188="",#N/A,SUM(DJ$4:DJ188,DH$4:DH188,DF$4:DF188))</f>
        <v>#N/A</v>
      </c>
      <c r="DM188" s="304" t="str">
        <f t="shared" si="280"/>
        <v/>
      </c>
      <c r="DN188" s="313" t="e">
        <f>IF($J188="",#N/A,SUM(DM$4:DM188))</f>
        <v>#N/A</v>
      </c>
      <c r="DO188" s="314" t="str">
        <f t="shared" si="281"/>
        <v/>
      </c>
      <c r="DP188" s="314" t="e">
        <f>IF($J188="",#N/A,SUM(DO$4:DO188))</f>
        <v>#N/A</v>
      </c>
      <c r="DQ188" s="315" t="str">
        <f t="shared" si="282"/>
        <v/>
      </c>
      <c r="DR188" s="315" t="e">
        <f>IF($J188="",#N/A,SUM(DQ$4:DQ188))</f>
        <v>#N/A</v>
      </c>
      <c r="DS188" s="315" t="e">
        <f>IF($J188="",#N/A,SUM(DQ$4:DQ188,DO$4:DO188,DM$4:DM188))</f>
        <v>#N/A</v>
      </c>
      <c r="DT188" s="304" t="str">
        <f t="shared" si="283"/>
        <v/>
      </c>
      <c r="DU188" s="313" t="e">
        <f>IF($J188="",#N/A,SUM(DT$4:DT188))</f>
        <v>#N/A</v>
      </c>
      <c r="DV188" s="314" t="str">
        <f t="shared" si="284"/>
        <v/>
      </c>
      <c r="DW188" s="314" t="e">
        <f>IF($J188="",#N/A,SUM(DV$4:DV188))</f>
        <v>#N/A</v>
      </c>
      <c r="DX188" s="315" t="str">
        <f t="shared" si="285"/>
        <v/>
      </c>
      <c r="DY188" s="315" t="e">
        <f>IF($J188="",#N/A,SUM(DX$4:DX188))</f>
        <v>#N/A</v>
      </c>
      <c r="DZ188" s="315" t="e">
        <f>IF($J188="",#N/A,SUM(DX$4:DX188,DV$4:DV188,DT$4:DT188))</f>
        <v>#N/A</v>
      </c>
      <c r="EA188" s="304" t="str">
        <f t="shared" si="286"/>
        <v/>
      </c>
      <c r="EB188" s="313" t="e">
        <f>IF($J188="",#N/A,SUM(EA$4:EA188))</f>
        <v>#N/A</v>
      </c>
      <c r="EC188" s="314" t="str">
        <f t="shared" si="287"/>
        <v/>
      </c>
      <c r="ED188" s="314" t="e">
        <f>IF($J188="",#N/A,SUM(EC$4:EC188))</f>
        <v>#N/A</v>
      </c>
      <c r="EE188" s="315" t="str">
        <f t="shared" si="288"/>
        <v/>
      </c>
      <c r="EF188" s="315" t="e">
        <f>IF($J188="",#N/A,SUM(EE$4:EE188))</f>
        <v>#N/A</v>
      </c>
      <c r="EG188" s="315" t="e">
        <f>IF($J188="",#N/A,SUM(EE$4:EE188,EC$4:EC188,EA$4:EA188))</f>
        <v>#N/A</v>
      </c>
      <c r="EH188" s="130">
        <f t="shared" si="289"/>
        <v>35.670000000000016</v>
      </c>
      <c r="EI188" s="63">
        <f>IF(EH188="",#N/A,SUM($EH$4:EH188))</f>
        <v>687.24415896967707</v>
      </c>
      <c r="EJ188" s="223" t="e">
        <f t="shared" si="290"/>
        <v>#N/A</v>
      </c>
      <c r="EK188" s="63" t="e">
        <f>IF($GZ188="",#N/A,SUM(EJ$4:EJ188))</f>
        <v>#N/A</v>
      </c>
      <c r="EL188" s="60">
        <f t="shared" si="322"/>
        <v>1.6582984658298474</v>
      </c>
      <c r="EM188" s="60">
        <f>IF(EL188="",NA(),SUM($EL$4:EL188))</f>
        <v>22.898873964841176</v>
      </c>
      <c r="EN188" s="60" t="str">
        <f t="shared" si="291"/>
        <v/>
      </c>
      <c r="EO188" s="60" t="e">
        <f>IF(EN188="",NA(),SUM($EN$4:EN188))</f>
        <v>#N/A</v>
      </c>
      <c r="EP188" s="60" t="str">
        <f t="shared" si="292"/>
        <v/>
      </c>
      <c r="EQ188" s="60" t="e">
        <f>IF(EP188="",NA(),SUM($EP$4:EP188))</f>
        <v>#N/A</v>
      </c>
      <c r="ER188" s="60">
        <f t="shared" si="293"/>
        <v>1.6582984658298474</v>
      </c>
      <c r="ES188" s="60">
        <f>IF(ER188="",NA(),SUM($ER$4:ER188))</f>
        <v>8.9707592379126488</v>
      </c>
      <c r="ET188" s="60" t="str">
        <f t="shared" si="294"/>
        <v/>
      </c>
      <c r="EU188" s="60" t="e">
        <f>IF(ET188="",NA(),SUM($ET$4:ET188))</f>
        <v>#N/A</v>
      </c>
      <c r="EV188" s="60" t="str">
        <f t="shared" si="295"/>
        <v/>
      </c>
      <c r="EW188" s="60" t="e">
        <f>IF(EV188="",NA(),SUM($EV$4:EV188))</f>
        <v>#N/A</v>
      </c>
      <c r="EX188" s="60" t="str">
        <f t="shared" si="296"/>
        <v/>
      </c>
      <c r="EY188" s="60" t="e">
        <f>IF(EX188="",NA(),SUM($EX$4:EX188))</f>
        <v>#N/A</v>
      </c>
      <c r="EZ188" s="60" t="str">
        <f t="shared" si="297"/>
        <v/>
      </c>
      <c r="FA188" s="60" t="e">
        <f>IF(EZ188="",NA(),SUM($EZ$4:EZ188))</f>
        <v>#N/A</v>
      </c>
      <c r="FB188" s="246">
        <f t="shared" si="323"/>
        <v>-0.61366806136680818</v>
      </c>
      <c r="FC188" s="246">
        <f>IF($FB188="",#N/A,SUM(FB$4:$FB188))</f>
        <v>2.2929457794233432</v>
      </c>
      <c r="FD188" s="60" t="str">
        <f t="shared" si="298"/>
        <v/>
      </c>
      <c r="FE188" s="60" t="e">
        <f>IF($FD188="",#N/A,SUM($FD$4:FD188))</f>
        <v>#N/A</v>
      </c>
      <c r="FF188" s="60" t="str">
        <f t="shared" si="299"/>
        <v/>
      </c>
      <c r="FG188" s="60" t="e">
        <f>IF($FF188="",#N/A,SUM($FF$4:FF188))</f>
        <v>#N/A</v>
      </c>
      <c r="FH188" s="60" t="str">
        <f t="shared" si="300"/>
        <v/>
      </c>
      <c r="FI188" s="60" t="e">
        <f>IF($FH188="",#N/A,SUM($FH$4:FH188))</f>
        <v>#N/A</v>
      </c>
      <c r="FJ188" s="60" t="str">
        <f t="shared" si="301"/>
        <v/>
      </c>
      <c r="FK188" s="60" t="e">
        <f>IF($FJ188="",#N/A,SUM($FJ$4:FJ188))</f>
        <v>#N/A</v>
      </c>
      <c r="FL188" s="60" t="str">
        <f t="shared" si="302"/>
        <v/>
      </c>
      <c r="FM188" s="60" t="e">
        <f>IF($FL188="",#N/A,SUM($FL$4:FL188))</f>
        <v>#N/A</v>
      </c>
      <c r="FN188" s="82">
        <f t="shared" si="303"/>
        <v>1.0446304044630392</v>
      </c>
      <c r="FO188" s="82">
        <f>IF($FN188="",#N/A,SUM(FN$4:$FN188))</f>
        <v>29.852678742830069</v>
      </c>
      <c r="FP188" s="82">
        <f t="shared" si="324"/>
        <v>1.6582984658298474</v>
      </c>
      <c r="FQ188" s="246">
        <f>IF($EH188="",#N/A,SUM($FP$4:FP188))</f>
        <v>26.559662028322446</v>
      </c>
      <c r="FR188" s="82">
        <f>IFERROR(FQ188/COUNTA($J$4:J188),#N/A)</f>
        <v>0.14356574069363484</v>
      </c>
      <c r="FS188" s="82">
        <f t="shared" si="336"/>
        <v>9.277582711414098E-2</v>
      </c>
      <c r="FT188" s="82">
        <f t="shared" si="335"/>
        <v>6.269582628587872E-2</v>
      </c>
      <c r="FU188" s="337">
        <f>IF(AND(HB188="MOC",GZ188=""),#N/A,IFERROR(FQ188-HE188,FQ188-0))-14.53</f>
        <v>12.803970571550908</v>
      </c>
      <c r="FV188" s="57" t="str">
        <f t="shared" si="305"/>
        <v>Dwn</v>
      </c>
      <c r="FW188" s="57" t="s">
        <v>2733</v>
      </c>
      <c r="FX188" s="57" t="str">
        <f t="shared" si="306"/>
        <v/>
      </c>
      <c r="FY188" s="57" t="str">
        <f t="shared" si="307"/>
        <v/>
      </c>
      <c r="FZ188" s="57" t="str">
        <f t="shared" si="308"/>
        <v/>
      </c>
      <c r="GA188" s="57" t="str">
        <f t="shared" si="309"/>
        <v>Short</v>
      </c>
      <c r="GB188" s="57">
        <f t="shared" si="310"/>
        <v>1</v>
      </c>
      <c r="GC188" s="57" t="str">
        <f t="shared" si="311"/>
        <v/>
      </c>
      <c r="GD188" s="57" t="str">
        <f t="shared" si="312"/>
        <v/>
      </c>
      <c r="GE188" s="62">
        <f t="shared" si="227"/>
        <v>119.5</v>
      </c>
      <c r="GF188" s="62" t="s">
        <v>2780</v>
      </c>
      <c r="GG188" s="199">
        <v>3</v>
      </c>
      <c r="GH188" s="207">
        <f t="shared" si="313"/>
        <v>358.5</v>
      </c>
      <c r="GI188" s="199">
        <f t="shared" si="337"/>
        <v>3</v>
      </c>
      <c r="GJ188" s="200">
        <v>107.56</v>
      </c>
      <c r="GK188" s="63">
        <f t="shared" si="314"/>
        <v>35.819999999999993</v>
      </c>
      <c r="GL188" s="63">
        <f t="shared" si="228"/>
        <v>22.46999999999997</v>
      </c>
      <c r="GM188" s="82" t="str">
        <f t="shared" si="315"/>
        <v/>
      </c>
      <c r="GN188" s="82">
        <f>IF($GZ188="",#N/A,SUM(GM$4:GM188))</f>
        <v>6.8597047882709186</v>
      </c>
      <c r="GO188" s="82" t="str">
        <f t="shared" si="316"/>
        <v/>
      </c>
      <c r="GP188" s="82">
        <f>IF($GZ188="",#N/A,SUM(GO$4:GO188))</f>
        <v>9.8419544639707812</v>
      </c>
      <c r="GQ188" s="82">
        <f t="shared" si="317"/>
        <v>1.0446304044630392</v>
      </c>
      <c r="GR188" s="82">
        <f>IF($GZ188="",#N/A,SUM(GQ$4:GQ188))</f>
        <v>12.525182536146026</v>
      </c>
      <c r="GS188" s="63" t="str">
        <f t="shared" si="325"/>
        <v/>
      </c>
      <c r="GT188" s="63" t="e">
        <f>IF($GZ188="",#N/A,SUM(GS$4:GS188))</f>
        <v>#N/A</v>
      </c>
      <c r="GU188" s="63" t="str">
        <f t="shared" si="326"/>
        <v/>
      </c>
      <c r="GV188" s="63" t="e">
        <f>IF($GZ188="",#N/A,SUM(GU$4:GU188))</f>
        <v>#N/A</v>
      </c>
      <c r="GW188" s="63" t="e">
        <f t="shared" si="327"/>
        <v>#N/A</v>
      </c>
      <c r="GX188" s="63" t="e">
        <f>IF($GZ188="",#N/A,SUM(GW$4:GW188))</f>
        <v>#N/A</v>
      </c>
      <c r="GY188" s="63" t="e">
        <f>IF(EJ188="",#N/A,SUM($EJ$4:EJ188))</f>
        <v>#N/A</v>
      </c>
      <c r="GZ188" s="159">
        <v>112.01</v>
      </c>
      <c r="HA188" s="63">
        <f t="shared" si="318"/>
        <v>-13.200000000000045</v>
      </c>
      <c r="HB188" s="62" t="s">
        <v>2538</v>
      </c>
      <c r="HC188" s="60">
        <f>IFERROR(VLOOKUP(E188,Expectancy!$P$4:$S$19,1+C188,FALSE),"")</f>
        <v>0.6915396365341927</v>
      </c>
      <c r="HD188" s="82">
        <f t="shared" si="319"/>
        <v>1.6652719665271964</v>
      </c>
      <c r="HE188" s="60">
        <f>IF(HD188="",#N/A,SUM($HD$4:HD188))</f>
        <v>-0.77430854322846243</v>
      </c>
      <c r="HF188" s="85">
        <f>IF(HD188="",#N/A,IF(HB188="Skip",#N/A,SUM($HG$4:HG188)))</f>
        <v>13.200000000000159</v>
      </c>
      <c r="HG188" s="63">
        <f t="shared" si="320"/>
        <v>35.819999999999993</v>
      </c>
      <c r="HH188" s="82">
        <f t="shared" si="321"/>
        <v>1.0446304044630392</v>
      </c>
    </row>
    <row r="189" spans="1:216" x14ac:dyDescent="0.25">
      <c r="A189" s="57" t="s">
        <v>1324</v>
      </c>
      <c r="B189" s="58" t="s">
        <v>5196</v>
      </c>
      <c r="C189" s="386">
        <f t="shared" si="230"/>
        <v>3</v>
      </c>
      <c r="D189" s="372" t="str">
        <f>_xlfn.XLOOKUP(A189,[1]SP500!$A$2:$A$502,[1]SP500!$D$2:$D$502,"N")</f>
        <v>Y</v>
      </c>
      <c r="E189" s="57" t="str">
        <f>_xlfn.XLOOKUP(A189,[1]SP500!$A$2:$A$655,[1]SP500!$B$2:$B$655)</f>
        <v>XLV</v>
      </c>
      <c r="F189" s="59">
        <v>45692</v>
      </c>
      <c r="G189" s="57" t="str">
        <f t="shared" si="231"/>
        <v>AMC</v>
      </c>
      <c r="H189" s="57" t="str">
        <f t="shared" si="232"/>
        <v>o</v>
      </c>
      <c r="I189" s="159">
        <v>289.02</v>
      </c>
      <c r="J189" s="159">
        <v>290.69</v>
      </c>
      <c r="K189" s="61">
        <f t="shared" si="233"/>
        <v>5.778146841049118E-3</v>
      </c>
      <c r="L189" s="87">
        <f t="shared" si="234"/>
        <v>-1.6700000000000159</v>
      </c>
      <c r="M189" s="130">
        <f t="shared" si="226"/>
        <v>0</v>
      </c>
      <c r="N189" s="169" t="str">
        <f t="shared" si="235"/>
        <v/>
      </c>
      <c r="O189" s="169">
        <f>IF($J189="",#N/A,SUM($N$4:N189))</f>
        <v>307.94438262948194</v>
      </c>
      <c r="P189" s="174" t="str">
        <f t="shared" si="236"/>
        <v/>
      </c>
      <c r="Q189" s="174">
        <f>IF($J189="",#N/A,SUM($P$4:P189))</f>
        <v>238.31104023772639</v>
      </c>
      <c r="R189" s="178">
        <f t="shared" si="237"/>
        <v>1.6700000000000159</v>
      </c>
      <c r="S189" s="178">
        <f>IF($J189="",#N/A,SUM($R$4:R189))</f>
        <v>142.65873610246865</v>
      </c>
      <c r="T189" s="290" t="str">
        <f t="shared" si="238"/>
        <v/>
      </c>
      <c r="U189" s="290">
        <f>IF($J189="",#N/A,SUM($T$4:T189))</f>
        <v>11.292495043304985</v>
      </c>
      <c r="V189" s="291" t="str">
        <f t="shared" si="239"/>
        <v/>
      </c>
      <c r="W189" s="291">
        <f>IF($J189="",#N/A,SUM($V$4:V189))</f>
        <v>9.6731546906126074</v>
      </c>
      <c r="X189" s="292">
        <f t="shared" si="240"/>
        <v>9.6302447350818637E-2</v>
      </c>
      <c r="Y189" s="283">
        <f>IF($J189="",#N/A,SUM($X$4:X189))</f>
        <v>5.6903147417556665</v>
      </c>
      <c r="Z189" s="304" t="str">
        <f t="shared" si="241"/>
        <v/>
      </c>
      <c r="AA189" s="313" t="e">
        <f>IF($J189="",#N/A,SUM(Z$4:Z189))</f>
        <v>#N/A</v>
      </c>
      <c r="AB189" s="314" t="str">
        <f t="shared" si="242"/>
        <v/>
      </c>
      <c r="AC189" s="314" t="e">
        <f>IF($J189="",#N/A,SUM(AB$4:AB189))</f>
        <v>#N/A</v>
      </c>
      <c r="AD189" s="315" t="str">
        <f t="shared" si="243"/>
        <v/>
      </c>
      <c r="AE189" s="315" t="e">
        <f>IF($J189="",#N/A,SUM(AD$4:AD189))</f>
        <v>#N/A</v>
      </c>
      <c r="AF189" s="315" t="e">
        <f>IF($J189="",#N/A,SUM(AD$4:AD189,AB$4:AB189,Z$4:Z189))</f>
        <v>#N/A</v>
      </c>
      <c r="AG189" s="304" t="str">
        <f t="shared" si="244"/>
        <v/>
      </c>
      <c r="AH189" s="313" t="e">
        <f>IF($J189="",#N/A,SUM(AG$4:AG189))</f>
        <v>#N/A</v>
      </c>
      <c r="AI189" s="314" t="str">
        <f t="shared" si="245"/>
        <v/>
      </c>
      <c r="AJ189" s="314" t="e">
        <f>IF($J189="",#N/A,SUM(AI$4:AI189))</f>
        <v>#N/A</v>
      </c>
      <c r="AK189" s="315" t="str">
        <f t="shared" si="246"/>
        <v/>
      </c>
      <c r="AL189" s="315" t="e">
        <f>IF($J189="",#N/A,SUM(AK$4:AK189))</f>
        <v>#N/A</v>
      </c>
      <c r="AM189" s="315" t="e">
        <f>IF($J189="",#N/A,SUM(AK$4:AK189,AI$4:AI189,AG$4:AG189))</f>
        <v>#N/A</v>
      </c>
      <c r="AN189" s="304" t="str">
        <f t="shared" si="247"/>
        <v/>
      </c>
      <c r="AO189" s="313" t="e">
        <f>IF($J189="",#N/A,SUM(AN$4:AN189))</f>
        <v>#N/A</v>
      </c>
      <c r="AP189" s="314" t="str">
        <f t="shared" si="248"/>
        <v/>
      </c>
      <c r="AQ189" s="314" t="e">
        <f>IF($J189="",#N/A,SUM(AP$4:AP189))</f>
        <v>#N/A</v>
      </c>
      <c r="AR189" s="315" t="str">
        <f t="shared" si="249"/>
        <v/>
      </c>
      <c r="AS189" s="315" t="e">
        <f>IF($J189="",#N/A,SUM(AR$4:AR189))</f>
        <v>#N/A</v>
      </c>
      <c r="AT189" s="315" t="e">
        <f>IF($J189="",#N/A,SUM(AR$4:AR189,AP$4:AP189,AN$4:AN189))</f>
        <v>#N/A</v>
      </c>
      <c r="AU189" s="304" t="str">
        <f t="shared" si="250"/>
        <v/>
      </c>
      <c r="AV189" s="313" t="e">
        <f>IF($J189="",#N/A,SUM(AU$4:AU189))</f>
        <v>#N/A</v>
      </c>
      <c r="AW189" s="314" t="str">
        <f t="shared" si="251"/>
        <v/>
      </c>
      <c r="AX189" s="314" t="e">
        <f>IF($J189="",#N/A,SUM(AW$4:AW189))</f>
        <v>#N/A</v>
      </c>
      <c r="AY189" s="315" t="str">
        <f t="shared" si="252"/>
        <v/>
      </c>
      <c r="AZ189" s="315" t="e">
        <f>IF($J189="",#N/A,SUM(AY$4:AY189))</f>
        <v>#N/A</v>
      </c>
      <c r="BA189" s="315" t="e">
        <f>IF($J189="",#N/A,SUM(AY$4:AY189,AW$4:AW189,AU$4:AU189))</f>
        <v>#N/A</v>
      </c>
      <c r="BB189" s="304" t="str">
        <f t="shared" si="253"/>
        <v/>
      </c>
      <c r="BC189" s="313" t="e">
        <f>IF($J189="",#N/A,SUM(BB$4:BB189))</f>
        <v>#N/A</v>
      </c>
      <c r="BD189" s="314" t="str">
        <f t="shared" si="254"/>
        <v/>
      </c>
      <c r="BE189" s="314" t="e">
        <f>IF($J189="",#N/A,SUM(BD$4:BD189))</f>
        <v>#N/A</v>
      </c>
      <c r="BF189" s="315" t="str">
        <f t="shared" si="255"/>
        <v/>
      </c>
      <c r="BG189" s="315" t="e">
        <f>IF($J189="",#N/A,SUM(BF$4:BF189))</f>
        <v>#N/A</v>
      </c>
      <c r="BH189" s="315" t="e">
        <f>IF($J189="",#N/A,SUM(BF$4:BF189,BD$4:BD189,BB$4:BB189))</f>
        <v>#N/A</v>
      </c>
      <c r="BI189" s="304" t="str">
        <f t="shared" si="256"/>
        <v/>
      </c>
      <c r="BJ189" s="313" t="e">
        <f>IF($J189="",#N/A,SUM(BI$4:BI189))</f>
        <v>#N/A</v>
      </c>
      <c r="BK189" s="314" t="str">
        <f t="shared" si="257"/>
        <v/>
      </c>
      <c r="BL189" s="314" t="e">
        <f>IF($J189="",#N/A,SUM(BK$4:BK189))</f>
        <v>#N/A</v>
      </c>
      <c r="BM189" s="315" t="str">
        <f t="shared" si="258"/>
        <v/>
      </c>
      <c r="BN189" s="315" t="e">
        <f>IF($J189="",#N/A,SUM(BM$4:BM189))</f>
        <v>#N/A</v>
      </c>
      <c r="BO189" s="315" t="e">
        <f>IF($J189="",#N/A,SUM(BM$4:BM189,BK$4:BK189,BI$4:BI189))</f>
        <v>#N/A</v>
      </c>
      <c r="BP189" s="304" t="str">
        <f t="shared" si="259"/>
        <v/>
      </c>
      <c r="BQ189" s="313" t="e">
        <f>IF($J189="",#N/A,SUM(BP$4:BP189))</f>
        <v>#N/A</v>
      </c>
      <c r="BR189" s="314" t="str">
        <f t="shared" si="260"/>
        <v/>
      </c>
      <c r="BS189" s="314" t="e">
        <f>IF($J189="",#N/A,SUM(BR$4:BR189))</f>
        <v>#N/A</v>
      </c>
      <c r="BT189" s="315" t="str">
        <f t="shared" si="261"/>
        <v/>
      </c>
      <c r="BU189" s="315" t="e">
        <f>IF($J189="",#N/A,SUM(BT$4:BT189))</f>
        <v>#N/A</v>
      </c>
      <c r="BV189" s="315" t="e">
        <f>IF($J189="",#N/A,SUM(BT$4:BT189,BR$4:BR189,BP$4:BP189))</f>
        <v>#N/A</v>
      </c>
      <c r="BW189" s="304" t="str">
        <f t="shared" si="262"/>
        <v/>
      </c>
      <c r="BX189" s="313" t="e">
        <f>IF($J189="",#N/A,SUM(BW$4:BW189))</f>
        <v>#N/A</v>
      </c>
      <c r="BY189" s="314" t="str">
        <f t="shared" si="263"/>
        <v/>
      </c>
      <c r="BZ189" s="314" t="e">
        <f>IF($J189="",#N/A,SUM(BY$4:BY189))</f>
        <v>#N/A</v>
      </c>
      <c r="CA189" s="315">
        <f t="shared" si="264"/>
        <v>9.6302447350818637E-2</v>
      </c>
      <c r="CB189" s="315" t="e">
        <f>IF($J189="",#N/A,SUM(CA$4:CA189))</f>
        <v>#N/A</v>
      </c>
      <c r="CC189" s="315" t="e">
        <f>IF($J189="",#N/A,SUM(CA$4:CA189,BY$4:BY189,BW$4:BW189))</f>
        <v>#N/A</v>
      </c>
      <c r="CD189" s="304" t="str">
        <f t="shared" si="265"/>
        <v/>
      </c>
      <c r="CE189" s="313" t="e">
        <f>IF($J189="",#N/A,SUM(CD$4:CD189))</f>
        <v>#N/A</v>
      </c>
      <c r="CF189" s="314" t="str">
        <f t="shared" si="266"/>
        <v/>
      </c>
      <c r="CG189" s="314" t="e">
        <f>IF($J189="",#N/A,SUM(CF$4:CF189))</f>
        <v>#N/A</v>
      </c>
      <c r="CH189" s="315" t="str">
        <f t="shared" si="267"/>
        <v/>
      </c>
      <c r="CI189" s="315" t="e">
        <f>IF($J189="",#N/A,SUM(CH$4:CH189))</f>
        <v>#N/A</v>
      </c>
      <c r="CJ189" s="315" t="e">
        <f>IF($J189="",#N/A,SUM(CH$4:CH189,CF$4:CF189,CD$4:CD189))</f>
        <v>#N/A</v>
      </c>
      <c r="CK189" s="304" t="str">
        <f t="shared" si="268"/>
        <v/>
      </c>
      <c r="CL189" s="313" t="e">
        <f>IF($J189="",#N/A,SUM(CK$4:CK189))</f>
        <v>#N/A</v>
      </c>
      <c r="CM189" s="314" t="str">
        <f t="shared" si="269"/>
        <v/>
      </c>
      <c r="CN189" s="314" t="e">
        <f>IF($J189="",#N/A,SUM(CM$4:CM189))</f>
        <v>#N/A</v>
      </c>
      <c r="CO189" s="315" t="str">
        <f t="shared" si="270"/>
        <v/>
      </c>
      <c r="CP189" s="315" t="e">
        <f>IF($J189="",#N/A,SUM(CO$4:CO189))</f>
        <v>#N/A</v>
      </c>
      <c r="CQ189" s="315" t="e">
        <f>IF($J189="",#N/A,SUM(CO$4:CO189,CM$4:CM189,CK$4:CK189))</f>
        <v>#N/A</v>
      </c>
      <c r="CR189" s="304" t="str">
        <f t="shared" si="271"/>
        <v/>
      </c>
      <c r="CS189" s="313" t="e">
        <f>IF($J189="",#N/A,SUM(CR$4:CR189))</f>
        <v>#N/A</v>
      </c>
      <c r="CT189" s="314" t="str">
        <f t="shared" si="272"/>
        <v/>
      </c>
      <c r="CU189" s="314" t="e">
        <f>IF($J189="",#N/A,SUM(CT$4:CT189))</f>
        <v>#N/A</v>
      </c>
      <c r="CV189" s="315" t="str">
        <f t="shared" si="273"/>
        <v/>
      </c>
      <c r="CW189" s="315" t="e">
        <f>IF($J189="",#N/A,SUM(CV$4:CV189))</f>
        <v>#N/A</v>
      </c>
      <c r="CX189" s="315" t="e">
        <f>IF($J189="",#N/A,SUM(CV$4:CV189,CT$4:CT189,CR$4:CR189))</f>
        <v>#N/A</v>
      </c>
      <c r="CY189" s="304" t="str">
        <f t="shared" si="274"/>
        <v/>
      </c>
      <c r="CZ189" s="313" t="e">
        <f>IF($J189="",#N/A,SUM(CY$4:CY189))</f>
        <v>#N/A</v>
      </c>
      <c r="DA189" s="314" t="str">
        <f t="shared" si="275"/>
        <v/>
      </c>
      <c r="DB189" s="314" t="e">
        <f>IF($J189="",#N/A,SUM(DA$4:DA189))</f>
        <v>#N/A</v>
      </c>
      <c r="DC189" s="315" t="str">
        <f t="shared" si="276"/>
        <v/>
      </c>
      <c r="DD189" s="315" t="e">
        <f>IF($J189="",#N/A,SUM(DC$4:DC189))</f>
        <v>#N/A</v>
      </c>
      <c r="DE189" s="315" t="e">
        <f>IF($J189="",#N/A,SUM(DC$4:DC189,DA$4:DA189,CY$4:CY189))</f>
        <v>#N/A</v>
      </c>
      <c r="DF189" s="304" t="str">
        <f t="shared" si="277"/>
        <v/>
      </c>
      <c r="DG189" s="313" t="e">
        <f>IF($J189="",#N/A,SUM(DF$4:DF189))</f>
        <v>#N/A</v>
      </c>
      <c r="DH189" s="314" t="str">
        <f t="shared" si="278"/>
        <v/>
      </c>
      <c r="DI189" s="314" t="e">
        <f>IF($J189="",#N/A,SUM(DH$4:DH189))</f>
        <v>#N/A</v>
      </c>
      <c r="DJ189" s="315" t="str">
        <f t="shared" si="279"/>
        <v/>
      </c>
      <c r="DK189" s="315" t="e">
        <f>IF($J189="",#N/A,SUM(DJ$4:DJ189))</f>
        <v>#N/A</v>
      </c>
      <c r="DL189" s="315" t="e">
        <f>IF($J189="",#N/A,SUM(DJ$4:DJ189,DH$4:DH189,DF$4:DF189))</f>
        <v>#N/A</v>
      </c>
      <c r="DM189" s="304" t="str">
        <f t="shared" si="280"/>
        <v/>
      </c>
      <c r="DN189" s="313" t="e">
        <f>IF($J189="",#N/A,SUM(DM$4:DM189))</f>
        <v>#N/A</v>
      </c>
      <c r="DO189" s="314" t="str">
        <f t="shared" si="281"/>
        <v/>
      </c>
      <c r="DP189" s="314" t="e">
        <f>IF($J189="",#N/A,SUM(DO$4:DO189))</f>
        <v>#N/A</v>
      </c>
      <c r="DQ189" s="315" t="str">
        <f t="shared" si="282"/>
        <v/>
      </c>
      <c r="DR189" s="315" t="e">
        <f>IF($J189="",#N/A,SUM(DQ$4:DQ189))</f>
        <v>#N/A</v>
      </c>
      <c r="DS189" s="315" t="e">
        <f>IF($J189="",#N/A,SUM(DQ$4:DQ189,DO$4:DO189,DM$4:DM189))</f>
        <v>#N/A</v>
      </c>
      <c r="DT189" s="304" t="str">
        <f t="shared" si="283"/>
        <v/>
      </c>
      <c r="DU189" s="313" t="e">
        <f>IF($J189="",#N/A,SUM(DT$4:DT189))</f>
        <v>#N/A</v>
      </c>
      <c r="DV189" s="314" t="str">
        <f t="shared" si="284"/>
        <v/>
      </c>
      <c r="DW189" s="314" t="e">
        <f>IF($J189="",#N/A,SUM(DV$4:DV189))</f>
        <v>#N/A</v>
      </c>
      <c r="DX189" s="315" t="str">
        <f t="shared" si="285"/>
        <v/>
      </c>
      <c r="DY189" s="315" t="e">
        <f>IF($J189="",#N/A,SUM(DX$4:DX189))</f>
        <v>#N/A</v>
      </c>
      <c r="DZ189" s="315" t="e">
        <f>IF($J189="",#N/A,SUM(DX$4:DX189,DV$4:DV189,DT$4:DT189))</f>
        <v>#N/A</v>
      </c>
      <c r="EA189" s="304" t="str">
        <f t="shared" si="286"/>
        <v/>
      </c>
      <c r="EB189" s="313" t="e">
        <f>IF($J189="",#N/A,SUM(EA$4:EA189))</f>
        <v>#N/A</v>
      </c>
      <c r="EC189" s="314" t="str">
        <f t="shared" si="287"/>
        <v/>
      </c>
      <c r="ED189" s="314" t="e">
        <f>IF($J189="",#N/A,SUM(EC$4:EC189))</f>
        <v>#N/A</v>
      </c>
      <c r="EE189" s="315" t="str">
        <f t="shared" si="288"/>
        <v/>
      </c>
      <c r="EF189" s="315" t="e">
        <f>IF($J189="",#N/A,SUM(EE$4:EE189))</f>
        <v>#N/A</v>
      </c>
      <c r="EG189" s="315" t="e">
        <f>IF($J189="",#N/A,SUM(EE$4:EE189,EC$4:EC189,EA$4:EA189))</f>
        <v>#N/A</v>
      </c>
      <c r="EH189" s="130">
        <f t="shared" si="289"/>
        <v>1.6700000000000159</v>
      </c>
      <c r="EI189" s="63">
        <f>IF(EH189="",#N/A,SUM($EH$4:EH189))</f>
        <v>688.91415896967715</v>
      </c>
      <c r="EJ189" s="223" t="e">
        <f t="shared" si="290"/>
        <v>#N/A</v>
      </c>
      <c r="EK189" s="63" t="e">
        <f>IF($GZ189="",#N/A,SUM(EJ$4:EJ189))</f>
        <v>#N/A</v>
      </c>
      <c r="EL189" s="60">
        <f t="shared" si="322"/>
        <v>9.6302447350818637E-2</v>
      </c>
      <c r="EM189" s="60">
        <f>IF(EL189="",NA(),SUM($EL$4:EL189))</f>
        <v>22.995176412191995</v>
      </c>
      <c r="EN189" s="60" t="str">
        <f t="shared" si="291"/>
        <v/>
      </c>
      <c r="EO189" s="60" t="e">
        <f>IF(EN189="",NA(),SUM($EN$4:EN189))</f>
        <v>#N/A</v>
      </c>
      <c r="EP189" s="60">
        <f t="shared" si="292"/>
        <v>9.6302447350818637E-2</v>
      </c>
      <c r="EQ189" s="60">
        <f>IF(EP189="",NA(),SUM($EP$4:EP189))</f>
        <v>6.6180716618328601</v>
      </c>
      <c r="ER189" s="60" t="str">
        <f t="shared" si="293"/>
        <v/>
      </c>
      <c r="ES189" s="60" t="e">
        <f>IF(ER189="",NA(),SUM($ER$4:ER189))</f>
        <v>#N/A</v>
      </c>
      <c r="ET189" s="60" t="str">
        <f t="shared" si="294"/>
        <v/>
      </c>
      <c r="EU189" s="60" t="e">
        <f>IF(ET189="",NA(),SUM($ET$4:ET189))</f>
        <v>#N/A</v>
      </c>
      <c r="EV189" s="60" t="str">
        <f t="shared" si="295"/>
        <v/>
      </c>
      <c r="EW189" s="60" t="e">
        <f>IF(EV189="",NA(),SUM($EV$4:EV189))</f>
        <v>#N/A</v>
      </c>
      <c r="EX189" s="60" t="str">
        <f t="shared" si="296"/>
        <v/>
      </c>
      <c r="EY189" s="60" t="e">
        <f>IF(EX189="",NA(),SUM($EX$4:EX189))</f>
        <v>#N/A</v>
      </c>
      <c r="EZ189" s="60" t="str">
        <f t="shared" si="297"/>
        <v/>
      </c>
      <c r="FA189" s="60" t="e">
        <f>IF(EZ189="",NA(),SUM($EZ$4:EZ189))</f>
        <v>#N/A</v>
      </c>
      <c r="FB189" s="246" t="str">
        <f t="shared" si="323"/>
        <v/>
      </c>
      <c r="FC189" s="246" t="e">
        <f>IF($FB189="",#N/A,SUM(FB$4:$FB189))</f>
        <v>#N/A</v>
      </c>
      <c r="FD189" s="60" t="str">
        <f t="shared" si="298"/>
        <v/>
      </c>
      <c r="FE189" s="60" t="e">
        <f>IF($FD189="",#N/A,SUM($FD$4:FD189))</f>
        <v>#N/A</v>
      </c>
      <c r="FF189" s="60" t="str">
        <f t="shared" si="299"/>
        <v/>
      </c>
      <c r="FG189" s="60" t="e">
        <f>IF($FF189="",#N/A,SUM($FF$4:FF189))</f>
        <v>#N/A</v>
      </c>
      <c r="FH189" s="60" t="str">
        <f t="shared" si="300"/>
        <v/>
      </c>
      <c r="FI189" s="60" t="e">
        <f>IF($FH189="",#N/A,SUM($FH$4:FH189))</f>
        <v>#N/A</v>
      </c>
      <c r="FJ189" s="60">
        <f t="shared" si="301"/>
        <v>0.98724425068622745</v>
      </c>
      <c r="FK189" s="60">
        <f>IF($FJ189="",#N/A,SUM($FJ$4:FJ189))</f>
        <v>-1.6253597235188191</v>
      </c>
      <c r="FL189" s="60" t="str">
        <f t="shared" si="302"/>
        <v/>
      </c>
      <c r="FM189" s="60" t="e">
        <f>IF($FL189="",#N/A,SUM($FL$4:FL189))</f>
        <v>#N/A</v>
      </c>
      <c r="FN189" s="82">
        <f t="shared" si="303"/>
        <v>1.0835466980370461</v>
      </c>
      <c r="FO189" s="82">
        <f>IF($FN189="",#N/A,SUM(FN$4:$FN189))</f>
        <v>30.936225440867116</v>
      </c>
      <c r="FP189" s="82">
        <f t="shared" si="324"/>
        <v>9.6302447350818637E-2</v>
      </c>
      <c r="FQ189" s="246">
        <f>IF($EH189="",#N/A,SUM($FP$4:FP189))</f>
        <v>26.655964475673265</v>
      </c>
      <c r="FR189" s="82">
        <f>IFERROR(FQ189/COUNTA($J$4:J189),#N/A)</f>
        <v>0.14331163696598528</v>
      </c>
      <c r="FS189" s="82">
        <f t="shared" si="336"/>
        <v>0.12643243393970305</v>
      </c>
      <c r="FT189" s="82">
        <f t="shared" si="335"/>
        <v>6.996472078146887E-2</v>
      </c>
      <c r="FU189" s="337">
        <f>IF(AND(HB189="MOC",GZ189=""),#N/A,IFERROR(FQ189-HE189,FQ189-0))-14.53</f>
        <v>12.996575466252546</v>
      </c>
      <c r="FV189" s="57" t="str">
        <f t="shared" si="305"/>
        <v>SW</v>
      </c>
      <c r="FW189" s="57" t="s">
        <v>2732</v>
      </c>
      <c r="FX189" s="57" t="str">
        <f t="shared" si="306"/>
        <v/>
      </c>
      <c r="FY189" s="57" t="str">
        <f t="shared" si="307"/>
        <v/>
      </c>
      <c r="FZ189" s="57">
        <f t="shared" si="308"/>
        <v>1</v>
      </c>
      <c r="GA189" s="57" t="str">
        <f t="shared" si="309"/>
        <v>Long</v>
      </c>
      <c r="GB189" s="57" t="str">
        <f t="shared" si="310"/>
        <v/>
      </c>
      <c r="GC189" s="57" t="str">
        <f t="shared" si="311"/>
        <v/>
      </c>
      <c r="GD189" s="57" t="str">
        <f t="shared" si="312"/>
        <v/>
      </c>
      <c r="GE189" s="62">
        <f t="shared" si="227"/>
        <v>289.02</v>
      </c>
      <c r="GF189" s="62" t="s">
        <v>2780</v>
      </c>
      <c r="GG189" s="199">
        <v>1</v>
      </c>
      <c r="GH189" s="207">
        <f t="shared" si="313"/>
        <v>289.02</v>
      </c>
      <c r="GI189" s="199">
        <f t="shared" si="337"/>
        <v>1</v>
      </c>
      <c r="GJ189" s="200">
        <v>290.69</v>
      </c>
      <c r="GK189" s="63">
        <f t="shared" si="314"/>
        <v>-1.6700000000000159</v>
      </c>
      <c r="GL189" s="63">
        <f t="shared" si="228"/>
        <v>-18.79000000000002</v>
      </c>
      <c r="GM189" s="82">
        <f t="shared" si="315"/>
        <v>1.0835466980370461</v>
      </c>
      <c r="GN189" s="82">
        <f>IF($GZ189="",#N/A,SUM(GM$4:GM189))</f>
        <v>7.9432514863079646</v>
      </c>
      <c r="GO189" s="82" t="str">
        <f t="shared" si="316"/>
        <v/>
      </c>
      <c r="GP189" s="82">
        <f>IF($GZ189="",#N/A,SUM(GO$4:GO189))</f>
        <v>9.8419544639707812</v>
      </c>
      <c r="GQ189" s="82" t="str">
        <f t="shared" si="317"/>
        <v/>
      </c>
      <c r="GR189" s="82">
        <f>IF($GZ189="",#N/A,SUM(GQ$4:GQ189))</f>
        <v>12.525182536146026</v>
      </c>
      <c r="GS189" s="63" t="e">
        <f t="shared" si="325"/>
        <v>#N/A</v>
      </c>
      <c r="GT189" s="63" t="e">
        <f>IF($GZ189="",#N/A,SUM(GS$4:GS189))</f>
        <v>#N/A</v>
      </c>
      <c r="GU189" s="63" t="str">
        <f t="shared" si="326"/>
        <v/>
      </c>
      <c r="GV189" s="63" t="e">
        <f>IF($GZ189="",#N/A,SUM(GU$4:GU189))</f>
        <v>#N/A</v>
      </c>
      <c r="GW189" s="63" t="str">
        <f t="shared" si="327"/>
        <v/>
      </c>
      <c r="GX189" s="63" t="e">
        <f>IF($GZ189="",#N/A,SUM(GW$4:GW189))</f>
        <v>#N/A</v>
      </c>
      <c r="GY189" s="63" t="e">
        <f>IF(EJ189="",#N/A,SUM($EJ$4:EJ189))</f>
        <v>#N/A</v>
      </c>
      <c r="GZ189" s="159">
        <v>307.81</v>
      </c>
      <c r="HA189" s="63">
        <f t="shared" si="318"/>
        <v>-20.460000000000036</v>
      </c>
      <c r="HB189" s="62" t="s">
        <v>2538</v>
      </c>
      <c r="HC189" s="60">
        <f>IFERROR(VLOOKUP(E189,Expectancy!$P$4:$S$19,1+C189,FALSE),"")</f>
        <v>-0.15084750675779673</v>
      </c>
      <c r="HD189" s="82">
        <f t="shared" si="319"/>
        <v>-9.6302447350818637E-2</v>
      </c>
      <c r="HE189" s="60">
        <f>IF(HD189="",#N/A,SUM($HD$4:HD189))</f>
        <v>-0.87061099057928104</v>
      </c>
      <c r="HF189" s="85">
        <f>IF(HD189="",#N/A,IF(HB189="Skip",#N/A,SUM($HG$4:HG189)))</f>
        <v>11.530000000000143</v>
      </c>
      <c r="HG189" s="63">
        <f t="shared" si="320"/>
        <v>-1.6700000000000159</v>
      </c>
      <c r="HH189" s="82">
        <f t="shared" si="321"/>
        <v>1.0835466980370461</v>
      </c>
    </row>
    <row r="190" spans="1:216" x14ac:dyDescent="0.25">
      <c r="A190" s="57" t="s">
        <v>1364</v>
      </c>
      <c r="B190" s="58" t="s">
        <v>5198</v>
      </c>
      <c r="C190" s="386">
        <f t="shared" si="230"/>
        <v>2</v>
      </c>
      <c r="D190" s="372" t="str">
        <f>_xlfn.XLOOKUP(A190,[1]SP500!$A$2:$A$502,[1]SP500!$D$2:$D$502,"N")</f>
        <v>Y</v>
      </c>
      <c r="E190" s="57" t="str">
        <f>_xlfn.XLOOKUP(A190,[1]SP500!$A$2:$A$655,[1]SP500!$B$2:$B$655)</f>
        <v>XLP</v>
      </c>
      <c r="F190" s="59">
        <v>45692</v>
      </c>
      <c r="G190" s="57" t="str">
        <f t="shared" si="231"/>
        <v>AMC</v>
      </c>
      <c r="H190" s="57" t="str">
        <f t="shared" si="232"/>
        <v>s</v>
      </c>
      <c r="I190" s="159">
        <v>56.12</v>
      </c>
      <c r="J190" s="159">
        <v>54.25</v>
      </c>
      <c r="K190" s="61">
        <f t="shared" si="233"/>
        <v>-3.3321454027084772E-2</v>
      </c>
      <c r="L190" s="87">
        <f t="shared" si="234"/>
        <v>13.089999999999975</v>
      </c>
      <c r="M190" s="130">
        <f t="shared" ref="M190:M253" si="338">IF(L190="","",IF(HG190="",#N/A,IF(HB190="Open",HG190-L190,#N/A)))</f>
        <v>0</v>
      </c>
      <c r="N190" s="169" t="str">
        <f t="shared" si="235"/>
        <v/>
      </c>
      <c r="O190" s="169">
        <f>IF($J190="",#N/A,SUM($N$4:N190))</f>
        <v>307.94438262948194</v>
      </c>
      <c r="P190" s="174">
        <f t="shared" si="236"/>
        <v>13.089999999999975</v>
      </c>
      <c r="Q190" s="174">
        <f>IF($J190="",#N/A,SUM($P$4:P190))</f>
        <v>251.40104023772636</v>
      </c>
      <c r="R190" s="178" t="str">
        <f t="shared" si="237"/>
        <v/>
      </c>
      <c r="S190" s="178">
        <f>IF($J190="",#N/A,SUM($R$4:R190))</f>
        <v>142.65873610246865</v>
      </c>
      <c r="T190" s="290" t="str">
        <f t="shared" si="238"/>
        <v/>
      </c>
      <c r="U190" s="290">
        <f>IF($J190="",#N/A,SUM($T$4:T190))</f>
        <v>11.292495043304985</v>
      </c>
      <c r="V190" s="291">
        <f t="shared" si="239"/>
        <v>0.55535756711807927</v>
      </c>
      <c r="W190" s="291">
        <f>IF($J190="",#N/A,SUM($V$4:V190))</f>
        <v>10.228512257730687</v>
      </c>
      <c r="X190" s="292" t="str">
        <f t="shared" si="240"/>
        <v/>
      </c>
      <c r="Y190" s="283">
        <f>IF($J190="",#N/A,SUM($X$4:X190))</f>
        <v>5.6903147417556665</v>
      </c>
      <c r="Z190" s="304" t="str">
        <f t="shared" si="241"/>
        <v/>
      </c>
      <c r="AA190" s="313" t="e">
        <f>IF($J190="",#N/A,SUM(Z$4:Z190))</f>
        <v>#N/A</v>
      </c>
      <c r="AB190" s="314" t="str">
        <f t="shared" si="242"/>
        <v/>
      </c>
      <c r="AC190" s="314" t="e">
        <f>IF($J190="",#N/A,SUM(AB$4:AB190))</f>
        <v>#N/A</v>
      </c>
      <c r="AD190" s="315" t="str">
        <f t="shared" si="243"/>
        <v/>
      </c>
      <c r="AE190" s="315" t="e">
        <f>IF($J190="",#N/A,SUM(AD$4:AD190))</f>
        <v>#N/A</v>
      </c>
      <c r="AF190" s="315" t="e">
        <f>IF($J190="",#N/A,SUM(AD$4:AD190,AB$4:AB190,Z$4:Z190))</f>
        <v>#N/A</v>
      </c>
      <c r="AG190" s="304" t="str">
        <f t="shared" si="244"/>
        <v/>
      </c>
      <c r="AH190" s="313" t="e">
        <f>IF($J190="",#N/A,SUM(AG$4:AG190))</f>
        <v>#N/A</v>
      </c>
      <c r="AI190" s="314" t="str">
        <f t="shared" si="245"/>
        <v/>
      </c>
      <c r="AJ190" s="314" t="e">
        <f>IF($J190="",#N/A,SUM(AI$4:AI190))</f>
        <v>#N/A</v>
      </c>
      <c r="AK190" s="315" t="str">
        <f t="shared" si="246"/>
        <v/>
      </c>
      <c r="AL190" s="315" t="e">
        <f>IF($J190="",#N/A,SUM(AK$4:AK190))</f>
        <v>#N/A</v>
      </c>
      <c r="AM190" s="315" t="e">
        <f>IF($J190="",#N/A,SUM(AK$4:AK190,AI$4:AI190,AG$4:AG190))</f>
        <v>#N/A</v>
      </c>
      <c r="AN190" s="304" t="str">
        <f t="shared" si="247"/>
        <v/>
      </c>
      <c r="AO190" s="313" t="e">
        <f>IF($J190="",#N/A,SUM(AN$4:AN190))</f>
        <v>#N/A</v>
      </c>
      <c r="AP190" s="314" t="str">
        <f t="shared" si="248"/>
        <v/>
      </c>
      <c r="AQ190" s="314" t="e">
        <f>IF($J190="",#N/A,SUM(AP$4:AP190))</f>
        <v>#N/A</v>
      </c>
      <c r="AR190" s="315" t="str">
        <f t="shared" si="249"/>
        <v/>
      </c>
      <c r="AS190" s="315" t="e">
        <f>IF($J190="",#N/A,SUM(AR$4:AR190))</f>
        <v>#N/A</v>
      </c>
      <c r="AT190" s="315" t="e">
        <f>IF($J190="",#N/A,SUM(AR$4:AR190,AP$4:AP190,AN$4:AN190))</f>
        <v>#N/A</v>
      </c>
      <c r="AU190" s="304" t="str">
        <f t="shared" si="250"/>
        <v/>
      </c>
      <c r="AV190" s="313" t="e">
        <f>IF($J190="",#N/A,SUM(AU$4:AU190))</f>
        <v>#N/A</v>
      </c>
      <c r="AW190" s="314">
        <f t="shared" si="251"/>
        <v>0.55535756711807927</v>
      </c>
      <c r="AX190" s="314" t="e">
        <f>IF($J190="",#N/A,SUM(AW$4:AW190))</f>
        <v>#N/A</v>
      </c>
      <c r="AY190" s="315" t="str">
        <f t="shared" si="252"/>
        <v/>
      </c>
      <c r="AZ190" s="315" t="e">
        <f>IF($J190="",#N/A,SUM(AY$4:AY190))</f>
        <v>#N/A</v>
      </c>
      <c r="BA190" s="315" t="e">
        <f>IF($J190="",#N/A,SUM(AY$4:AY190,AW$4:AW190,AU$4:AU190))</f>
        <v>#N/A</v>
      </c>
      <c r="BB190" s="304" t="str">
        <f t="shared" si="253"/>
        <v/>
      </c>
      <c r="BC190" s="313" t="e">
        <f>IF($J190="",#N/A,SUM(BB$4:BB190))</f>
        <v>#N/A</v>
      </c>
      <c r="BD190" s="314" t="str">
        <f t="shared" si="254"/>
        <v/>
      </c>
      <c r="BE190" s="314" t="e">
        <f>IF($J190="",#N/A,SUM(BD$4:BD190))</f>
        <v>#N/A</v>
      </c>
      <c r="BF190" s="315" t="str">
        <f t="shared" si="255"/>
        <v/>
      </c>
      <c r="BG190" s="315" t="e">
        <f>IF($J190="",#N/A,SUM(BF$4:BF190))</f>
        <v>#N/A</v>
      </c>
      <c r="BH190" s="315" t="e">
        <f>IF($J190="",#N/A,SUM(BF$4:BF190,BD$4:BD190,BB$4:BB190))</f>
        <v>#N/A</v>
      </c>
      <c r="BI190" s="304" t="str">
        <f t="shared" si="256"/>
        <v/>
      </c>
      <c r="BJ190" s="313" t="e">
        <f>IF($J190="",#N/A,SUM(BI$4:BI190))</f>
        <v>#N/A</v>
      </c>
      <c r="BK190" s="314" t="str">
        <f t="shared" si="257"/>
        <v/>
      </c>
      <c r="BL190" s="314" t="e">
        <f>IF($J190="",#N/A,SUM(BK$4:BK190))</f>
        <v>#N/A</v>
      </c>
      <c r="BM190" s="315" t="str">
        <f t="shared" si="258"/>
        <v/>
      </c>
      <c r="BN190" s="315" t="e">
        <f>IF($J190="",#N/A,SUM(BM$4:BM190))</f>
        <v>#N/A</v>
      </c>
      <c r="BO190" s="315" t="e">
        <f>IF($J190="",#N/A,SUM(BM$4:BM190,BK$4:BK190,BI$4:BI190))</f>
        <v>#N/A</v>
      </c>
      <c r="BP190" s="304" t="str">
        <f t="shared" si="259"/>
        <v/>
      </c>
      <c r="BQ190" s="313" t="e">
        <f>IF($J190="",#N/A,SUM(BP$4:BP190))</f>
        <v>#N/A</v>
      </c>
      <c r="BR190" s="314" t="str">
        <f t="shared" si="260"/>
        <v/>
      </c>
      <c r="BS190" s="314" t="e">
        <f>IF($J190="",#N/A,SUM(BR$4:BR190))</f>
        <v>#N/A</v>
      </c>
      <c r="BT190" s="315" t="str">
        <f t="shared" si="261"/>
        <v/>
      </c>
      <c r="BU190" s="315" t="e">
        <f>IF($J190="",#N/A,SUM(BT$4:BT190))</f>
        <v>#N/A</v>
      </c>
      <c r="BV190" s="315" t="e">
        <f>IF($J190="",#N/A,SUM(BT$4:BT190,BR$4:BR190,BP$4:BP190))</f>
        <v>#N/A</v>
      </c>
      <c r="BW190" s="304" t="str">
        <f t="shared" si="262"/>
        <v/>
      </c>
      <c r="BX190" s="313" t="e">
        <f>IF($J190="",#N/A,SUM(BW$4:BW190))</f>
        <v>#N/A</v>
      </c>
      <c r="BY190" s="314" t="str">
        <f t="shared" si="263"/>
        <v/>
      </c>
      <c r="BZ190" s="314" t="e">
        <f>IF($J190="",#N/A,SUM(BY$4:BY190))</f>
        <v>#N/A</v>
      </c>
      <c r="CA190" s="315" t="str">
        <f t="shared" si="264"/>
        <v/>
      </c>
      <c r="CB190" s="315" t="e">
        <f>IF($J190="",#N/A,SUM(CA$4:CA190))</f>
        <v>#N/A</v>
      </c>
      <c r="CC190" s="315" t="e">
        <f>IF($J190="",#N/A,SUM(CA$4:CA190,BY$4:BY190,BW$4:BW190))</f>
        <v>#N/A</v>
      </c>
      <c r="CD190" s="304" t="str">
        <f t="shared" si="265"/>
        <v/>
      </c>
      <c r="CE190" s="313" t="e">
        <f>IF($J190="",#N/A,SUM(CD$4:CD190))</f>
        <v>#N/A</v>
      </c>
      <c r="CF190" s="314" t="str">
        <f t="shared" si="266"/>
        <v/>
      </c>
      <c r="CG190" s="314" t="e">
        <f>IF($J190="",#N/A,SUM(CF$4:CF190))</f>
        <v>#N/A</v>
      </c>
      <c r="CH190" s="315" t="str">
        <f t="shared" si="267"/>
        <v/>
      </c>
      <c r="CI190" s="315" t="e">
        <f>IF($J190="",#N/A,SUM(CH$4:CH190))</f>
        <v>#N/A</v>
      </c>
      <c r="CJ190" s="315" t="e">
        <f>IF($J190="",#N/A,SUM(CH$4:CH190,CF$4:CF190,CD$4:CD190))</f>
        <v>#N/A</v>
      </c>
      <c r="CK190" s="304" t="str">
        <f t="shared" si="268"/>
        <v/>
      </c>
      <c r="CL190" s="313" t="e">
        <f>IF($J190="",#N/A,SUM(CK$4:CK190))</f>
        <v>#N/A</v>
      </c>
      <c r="CM190" s="314" t="str">
        <f t="shared" si="269"/>
        <v/>
      </c>
      <c r="CN190" s="314" t="e">
        <f>IF($J190="",#N/A,SUM(CM$4:CM190))</f>
        <v>#N/A</v>
      </c>
      <c r="CO190" s="315" t="str">
        <f t="shared" si="270"/>
        <v/>
      </c>
      <c r="CP190" s="315" t="e">
        <f>IF($J190="",#N/A,SUM(CO$4:CO190))</f>
        <v>#N/A</v>
      </c>
      <c r="CQ190" s="315" t="e">
        <f>IF($J190="",#N/A,SUM(CO$4:CO190,CM$4:CM190,CK$4:CK190))</f>
        <v>#N/A</v>
      </c>
      <c r="CR190" s="304" t="str">
        <f t="shared" si="271"/>
        <v/>
      </c>
      <c r="CS190" s="313" t="e">
        <f>IF($J190="",#N/A,SUM(CR$4:CR190))</f>
        <v>#N/A</v>
      </c>
      <c r="CT190" s="314" t="str">
        <f t="shared" si="272"/>
        <v/>
      </c>
      <c r="CU190" s="314" t="e">
        <f>IF($J190="",#N/A,SUM(CT$4:CT190))</f>
        <v>#N/A</v>
      </c>
      <c r="CV190" s="315" t="str">
        <f t="shared" si="273"/>
        <v/>
      </c>
      <c r="CW190" s="315" t="e">
        <f>IF($J190="",#N/A,SUM(CV$4:CV190))</f>
        <v>#N/A</v>
      </c>
      <c r="CX190" s="315" t="e">
        <f>IF($J190="",#N/A,SUM(CV$4:CV190,CT$4:CT190,CR$4:CR190))</f>
        <v>#N/A</v>
      </c>
      <c r="CY190" s="304" t="str">
        <f t="shared" si="274"/>
        <v/>
      </c>
      <c r="CZ190" s="313" t="e">
        <f>IF($J190="",#N/A,SUM(CY$4:CY190))</f>
        <v>#N/A</v>
      </c>
      <c r="DA190" s="314" t="str">
        <f t="shared" si="275"/>
        <v/>
      </c>
      <c r="DB190" s="314" t="e">
        <f>IF($J190="",#N/A,SUM(DA$4:DA190))</f>
        <v>#N/A</v>
      </c>
      <c r="DC190" s="315" t="str">
        <f t="shared" si="276"/>
        <v/>
      </c>
      <c r="DD190" s="315" t="e">
        <f>IF($J190="",#N/A,SUM(DC$4:DC190))</f>
        <v>#N/A</v>
      </c>
      <c r="DE190" s="315" t="e">
        <f>IF($J190="",#N/A,SUM(DC$4:DC190,DA$4:DA190,CY$4:CY190))</f>
        <v>#N/A</v>
      </c>
      <c r="DF190" s="304" t="str">
        <f t="shared" si="277"/>
        <v/>
      </c>
      <c r="DG190" s="313" t="e">
        <f>IF($J190="",#N/A,SUM(DF$4:DF190))</f>
        <v>#N/A</v>
      </c>
      <c r="DH190" s="314" t="str">
        <f t="shared" si="278"/>
        <v/>
      </c>
      <c r="DI190" s="314" t="e">
        <f>IF($J190="",#N/A,SUM(DH$4:DH190))</f>
        <v>#N/A</v>
      </c>
      <c r="DJ190" s="315" t="str">
        <f t="shared" si="279"/>
        <v/>
      </c>
      <c r="DK190" s="315" t="e">
        <f>IF($J190="",#N/A,SUM(DJ$4:DJ190))</f>
        <v>#N/A</v>
      </c>
      <c r="DL190" s="315" t="e">
        <f>IF($J190="",#N/A,SUM(DJ$4:DJ190,DH$4:DH190,DF$4:DF190))</f>
        <v>#N/A</v>
      </c>
      <c r="DM190" s="304" t="str">
        <f t="shared" si="280"/>
        <v/>
      </c>
      <c r="DN190" s="313" t="e">
        <f>IF($J190="",#N/A,SUM(DM$4:DM190))</f>
        <v>#N/A</v>
      </c>
      <c r="DO190" s="314" t="str">
        <f t="shared" si="281"/>
        <v/>
      </c>
      <c r="DP190" s="314" t="e">
        <f>IF($J190="",#N/A,SUM(DO$4:DO190))</f>
        <v>#N/A</v>
      </c>
      <c r="DQ190" s="315" t="str">
        <f t="shared" si="282"/>
        <v/>
      </c>
      <c r="DR190" s="315" t="e">
        <f>IF($J190="",#N/A,SUM(DQ$4:DQ190))</f>
        <v>#N/A</v>
      </c>
      <c r="DS190" s="315" t="e">
        <f>IF($J190="",#N/A,SUM(DQ$4:DQ190,DO$4:DO190,DM$4:DM190))</f>
        <v>#N/A</v>
      </c>
      <c r="DT190" s="304" t="str">
        <f t="shared" si="283"/>
        <v/>
      </c>
      <c r="DU190" s="313" t="e">
        <f>IF($J190="",#N/A,SUM(DT$4:DT190))</f>
        <v>#N/A</v>
      </c>
      <c r="DV190" s="314" t="str">
        <f t="shared" si="284"/>
        <v/>
      </c>
      <c r="DW190" s="314" t="e">
        <f>IF($J190="",#N/A,SUM(DV$4:DV190))</f>
        <v>#N/A</v>
      </c>
      <c r="DX190" s="315" t="str">
        <f t="shared" si="285"/>
        <v/>
      </c>
      <c r="DY190" s="315" t="e">
        <f>IF($J190="",#N/A,SUM(DX$4:DX190))</f>
        <v>#N/A</v>
      </c>
      <c r="DZ190" s="315" t="e">
        <f>IF($J190="",#N/A,SUM(DX$4:DX190,DV$4:DV190,DT$4:DT190))</f>
        <v>#N/A</v>
      </c>
      <c r="EA190" s="304" t="str">
        <f t="shared" si="286"/>
        <v/>
      </c>
      <c r="EB190" s="313" t="e">
        <f>IF($J190="",#N/A,SUM(EA$4:EA190))</f>
        <v>#N/A</v>
      </c>
      <c r="EC190" s="314" t="str">
        <f t="shared" si="287"/>
        <v/>
      </c>
      <c r="ED190" s="314" t="e">
        <f>IF($J190="",#N/A,SUM(EC$4:EC190))</f>
        <v>#N/A</v>
      </c>
      <c r="EE190" s="315" t="str">
        <f t="shared" si="288"/>
        <v/>
      </c>
      <c r="EF190" s="315" t="e">
        <f>IF($J190="",#N/A,SUM(EE$4:EE190))</f>
        <v>#N/A</v>
      </c>
      <c r="EG190" s="315" t="e">
        <f>IF($J190="",#N/A,SUM(EE$4:EE190,EC$4:EC190,EA$4:EA190))</f>
        <v>#N/A</v>
      </c>
      <c r="EH190" s="130">
        <f t="shared" si="289"/>
        <v>13.089999999999975</v>
      </c>
      <c r="EI190" s="63">
        <f>IF(EH190="",#N/A,SUM($EH$4:EH190))</f>
        <v>702.00415896967706</v>
      </c>
      <c r="EJ190" s="223" t="e">
        <f t="shared" si="290"/>
        <v>#N/A</v>
      </c>
      <c r="EK190" s="63" t="e">
        <f>IF($GZ190="",#N/A,SUM(EJ$4:EJ190))</f>
        <v>#N/A</v>
      </c>
      <c r="EL190" s="60">
        <f t="shared" si="322"/>
        <v>0.55535756711807927</v>
      </c>
      <c r="EM190" s="60">
        <f>IF(EL190="",NA(),SUM($EL$4:EL190))</f>
        <v>23.550533979310075</v>
      </c>
      <c r="EN190" s="60" t="str">
        <f t="shared" si="291"/>
        <v/>
      </c>
      <c r="EO190" s="60" t="e">
        <f>IF(EN190="",NA(),SUM($EN$4:EN190))</f>
        <v>#N/A</v>
      </c>
      <c r="EP190" s="60" t="str">
        <f t="shared" si="292"/>
        <v/>
      </c>
      <c r="EQ190" s="60" t="e">
        <f>IF(EP190="",NA(),SUM($EP$4:EP190))</f>
        <v>#N/A</v>
      </c>
      <c r="ER190" s="60">
        <f t="shared" si="293"/>
        <v>0.55535756711807927</v>
      </c>
      <c r="ES190" s="60">
        <f>IF(ER190="",NA(),SUM($ER$4:ER190))</f>
        <v>9.5261168050307283</v>
      </c>
      <c r="ET190" s="60" t="str">
        <f t="shared" si="294"/>
        <v/>
      </c>
      <c r="EU190" s="60" t="e">
        <f>IF(ET190="",NA(),SUM($ET$4:ET190))</f>
        <v>#N/A</v>
      </c>
      <c r="EV190" s="60" t="str">
        <f t="shared" si="295"/>
        <v/>
      </c>
      <c r="EW190" s="60" t="e">
        <f>IF(EV190="",NA(),SUM($EV$4:EV190))</f>
        <v>#N/A</v>
      </c>
      <c r="EX190" s="60" t="str">
        <f t="shared" si="296"/>
        <v/>
      </c>
      <c r="EY190" s="60" t="e">
        <f>IF(EX190="",NA(),SUM($EX$4:EX190))</f>
        <v>#N/A</v>
      </c>
      <c r="EZ190" s="60" t="str">
        <f t="shared" si="297"/>
        <v/>
      </c>
      <c r="FA190" s="60" t="e">
        <f>IF(EZ190="",NA(),SUM($EZ$4:EZ190))</f>
        <v>#N/A</v>
      </c>
      <c r="FB190" s="246">
        <f t="shared" si="323"/>
        <v>-0.94440484675694902</v>
      </c>
      <c r="FC190" s="246">
        <f>IF($FB190="",#N/A,SUM(FB$4:$FB190))</f>
        <v>1.3485409326663942</v>
      </c>
      <c r="FD190" s="60" t="str">
        <f t="shared" si="298"/>
        <v/>
      </c>
      <c r="FE190" s="60" t="e">
        <f>IF($FD190="",#N/A,SUM($FD$4:FD190))</f>
        <v>#N/A</v>
      </c>
      <c r="FF190" s="60" t="str">
        <f t="shared" si="299"/>
        <v/>
      </c>
      <c r="FG190" s="60" t="e">
        <f>IF($FF190="",#N/A,SUM($FF$4:FF190))</f>
        <v>#N/A</v>
      </c>
      <c r="FH190" s="60" t="str">
        <f t="shared" si="300"/>
        <v/>
      </c>
      <c r="FI190" s="60" t="e">
        <f>IF($FH190="",#N/A,SUM($FH$4:FH190))</f>
        <v>#N/A</v>
      </c>
      <c r="FJ190" s="60" t="str">
        <f t="shared" si="301"/>
        <v/>
      </c>
      <c r="FK190" s="60" t="e">
        <f>IF($FJ190="",#N/A,SUM($FJ$4:FJ190))</f>
        <v>#N/A</v>
      </c>
      <c r="FL190" s="60" t="str">
        <f t="shared" si="302"/>
        <v/>
      </c>
      <c r="FM190" s="60" t="e">
        <f>IF($FL190="",#N/A,SUM($FL$4:FL190))</f>
        <v>#N/A</v>
      </c>
      <c r="FN190" s="82">
        <f t="shared" si="303"/>
        <v>-0.38904727963886976</v>
      </c>
      <c r="FO190" s="82">
        <f>IF($FN190="",#N/A,SUM(FN$4:$FN190))</f>
        <v>30.547178161228246</v>
      </c>
      <c r="FP190" s="82">
        <f t="shared" si="324"/>
        <v>0.55535756711807927</v>
      </c>
      <c r="FQ190" s="246">
        <f>IF($EH190="",#N/A,SUM($FP$4:FP190))</f>
        <v>27.211322042791345</v>
      </c>
      <c r="FR190" s="82">
        <f>IFERROR(FQ190/COUNTA($J$4:J190),#N/A)</f>
        <v>0.14551509113792163</v>
      </c>
      <c r="FS190" s="82">
        <f t="shared" si="336"/>
        <v>6.7100742681518902E-2</v>
      </c>
      <c r="FT190" s="82">
        <f t="shared" si="335"/>
        <v>0.10147418990429603</v>
      </c>
      <c r="FU190" s="337">
        <f>IF(AND(HB190="MOC",GZ190=""),#N/A,IFERROR(FQ190-HE190,FQ190-0))-14.53</f>
        <v>12.996575466252546</v>
      </c>
      <c r="FV190" s="57" t="str">
        <f t="shared" si="305"/>
        <v>Dwn</v>
      </c>
      <c r="FW190" s="57" t="s">
        <v>2733</v>
      </c>
      <c r="FX190" s="57" t="str">
        <f t="shared" si="306"/>
        <v/>
      </c>
      <c r="FY190" s="57" t="str">
        <f t="shared" si="307"/>
        <v/>
      </c>
      <c r="FZ190" s="57" t="str">
        <f t="shared" si="308"/>
        <v/>
      </c>
      <c r="GA190" s="57" t="str">
        <f t="shared" si="309"/>
        <v>Short</v>
      </c>
      <c r="GB190" s="57">
        <f t="shared" si="310"/>
        <v>1</v>
      </c>
      <c r="GC190" s="57" t="str">
        <f t="shared" si="311"/>
        <v/>
      </c>
      <c r="GD190" s="57" t="str">
        <f t="shared" si="312"/>
        <v/>
      </c>
      <c r="GE190" s="62">
        <f t="shared" ref="GE190:GE253" si="339">IF(I190="","",I190)</f>
        <v>56.12</v>
      </c>
      <c r="GF190" s="62" t="s">
        <v>2780</v>
      </c>
      <c r="GG190" s="199">
        <v>7</v>
      </c>
      <c r="GH190" s="207">
        <f t="shared" si="313"/>
        <v>392.84</v>
      </c>
      <c r="GI190" s="199">
        <f t="shared" si="337"/>
        <v>7</v>
      </c>
      <c r="GJ190" s="200">
        <v>54.25</v>
      </c>
      <c r="GK190" s="63">
        <f t="shared" si="314"/>
        <v>13.089999999999975</v>
      </c>
      <c r="GL190" s="63">
        <f t="shared" ref="GL190:GL253" si="340">IF($GZ190="","",IF($GF190="Long",(($GZ190*$GI190)-$GH190),($GH190-($GZ190*$GI190))))</f>
        <v>-9.1700000000000159</v>
      </c>
      <c r="GM190" s="82" t="str">
        <f t="shared" si="315"/>
        <v/>
      </c>
      <c r="GN190" s="82">
        <f>IF($GZ190="",#N/A,SUM(GM$4:GM190))</f>
        <v>7.9432514863079646</v>
      </c>
      <c r="GO190" s="82" t="str">
        <f t="shared" si="316"/>
        <v/>
      </c>
      <c r="GP190" s="82">
        <f>IF($GZ190="",#N/A,SUM(GO$4:GO190))</f>
        <v>9.8419544639707812</v>
      </c>
      <c r="GQ190" s="82">
        <f t="shared" si="317"/>
        <v>-0.38904727963886976</v>
      </c>
      <c r="GR190" s="82">
        <f>IF($GZ190="",#N/A,SUM(GQ$4:GQ190))</f>
        <v>12.136135256507156</v>
      </c>
      <c r="GS190" s="63" t="str">
        <f t="shared" si="325"/>
        <v/>
      </c>
      <c r="GT190" s="63" t="e">
        <f>IF($GZ190="",#N/A,SUM(GS$4:GS190))</f>
        <v>#N/A</v>
      </c>
      <c r="GU190" s="63" t="str">
        <f t="shared" si="326"/>
        <v/>
      </c>
      <c r="GV190" s="63" t="e">
        <f>IF($GZ190="",#N/A,SUM(GU$4:GU190))</f>
        <v>#N/A</v>
      </c>
      <c r="GW190" s="63" t="e">
        <f t="shared" si="327"/>
        <v>#N/A</v>
      </c>
      <c r="GX190" s="63" t="e">
        <f>IF($GZ190="",#N/A,SUM(GW$4:GW190))</f>
        <v>#N/A</v>
      </c>
      <c r="GY190" s="63" t="e">
        <f>IF(EJ190="",#N/A,SUM($EJ$4:EJ190))</f>
        <v>#N/A</v>
      </c>
      <c r="GZ190" s="159">
        <v>57.43</v>
      </c>
      <c r="HA190" s="63">
        <f t="shared" si="318"/>
        <v>-22.259999999999991</v>
      </c>
      <c r="HB190" s="62" t="s">
        <v>2538</v>
      </c>
      <c r="HC190" s="60">
        <f>IFERROR(VLOOKUP(E190,Expectancy!$P$4:$S$19,1+C190,FALSE),"")</f>
        <v>0.30769020202715358</v>
      </c>
      <c r="HD190" s="82">
        <f t="shared" si="319"/>
        <v>0.55535756711807927</v>
      </c>
      <c r="HE190" s="60">
        <f>IF(HD190="",#N/A,SUM($HD$4:HD190))</f>
        <v>-0.31525342346120178</v>
      </c>
      <c r="HF190" s="85">
        <f>IF(HD190="",#N/A,IF(HB190="Skip",#N/A,SUM($HG$4:HG190)))</f>
        <v>24.620000000000118</v>
      </c>
      <c r="HG190" s="63">
        <f t="shared" si="320"/>
        <v>13.089999999999975</v>
      </c>
      <c r="HH190" s="82">
        <f t="shared" si="321"/>
        <v>-0.38904727963886976</v>
      </c>
    </row>
    <row r="191" spans="1:216" x14ac:dyDescent="0.25">
      <c r="A191" s="57" t="s">
        <v>1375</v>
      </c>
      <c r="B191" s="58" t="s">
        <v>5199</v>
      </c>
      <c r="C191" s="386">
        <f t="shared" si="230"/>
        <v>3</v>
      </c>
      <c r="D191" s="372" t="str">
        <f>_xlfn.XLOOKUP(A191,[1]SP500!$A$2:$A$502,[1]SP500!$D$2:$D$502,"N")</f>
        <v>Y</v>
      </c>
      <c r="E191" s="57" t="str">
        <f>_xlfn.XLOOKUP(A191,[1]SP500!$A$2:$A$655,[1]SP500!$B$2:$B$655)</f>
        <v>XLY</v>
      </c>
      <c r="F191" s="59">
        <v>45692</v>
      </c>
      <c r="G191" s="57" t="str">
        <f t="shared" si="231"/>
        <v>AMC</v>
      </c>
      <c r="H191" s="57" t="str">
        <f t="shared" si="232"/>
        <v>s</v>
      </c>
      <c r="I191" s="159">
        <v>59.02</v>
      </c>
      <c r="J191" s="159">
        <v>56.02</v>
      </c>
      <c r="K191" s="61">
        <f t="shared" si="233"/>
        <v>-5.0830227041680782E-2</v>
      </c>
      <c r="L191" s="87">
        <f t="shared" si="234"/>
        <v>-21</v>
      </c>
      <c r="M191" s="130">
        <f t="shared" si="338"/>
        <v>-0.1400000000000432</v>
      </c>
      <c r="N191" s="169" t="str">
        <f t="shared" si="235"/>
        <v/>
      </c>
      <c r="O191" s="169">
        <f>IF($J191="",#N/A,SUM($N$4:N191))</f>
        <v>307.94438262948194</v>
      </c>
      <c r="P191" s="174" t="str">
        <f t="shared" si="236"/>
        <v/>
      </c>
      <c r="Q191" s="174">
        <f>IF($J191="",#N/A,SUM($P$4:P191))</f>
        <v>251.40104023772636</v>
      </c>
      <c r="R191" s="178">
        <f t="shared" si="237"/>
        <v>-21</v>
      </c>
      <c r="S191" s="178">
        <f>IF($J191="",#N/A,SUM($R$4:R191))</f>
        <v>121.65873610246865</v>
      </c>
      <c r="T191" s="290" t="str">
        <f t="shared" si="238"/>
        <v/>
      </c>
      <c r="U191" s="290">
        <f>IF($J191="",#N/A,SUM($T$4:T191))</f>
        <v>11.292495043304985</v>
      </c>
      <c r="V191" s="291" t="str">
        <f t="shared" si="239"/>
        <v/>
      </c>
      <c r="W191" s="291">
        <f>IF($J191="",#N/A,SUM($V$4:V191))</f>
        <v>10.228512257730687</v>
      </c>
      <c r="X191" s="292">
        <f t="shared" si="240"/>
        <v>-0.84717045069467967</v>
      </c>
      <c r="Y191" s="283">
        <f>IF($J191="",#N/A,SUM($X$4:X191))</f>
        <v>4.8431442910609865</v>
      </c>
      <c r="Z191" s="304" t="str">
        <f t="shared" si="241"/>
        <v/>
      </c>
      <c r="AA191" s="313" t="e">
        <f>IF($J191="",#N/A,SUM(Z$4:Z191))</f>
        <v>#N/A</v>
      </c>
      <c r="AB191" s="314" t="str">
        <f t="shared" si="242"/>
        <v/>
      </c>
      <c r="AC191" s="314" t="e">
        <f>IF($J191="",#N/A,SUM(AB$4:AB191))</f>
        <v>#N/A</v>
      </c>
      <c r="AD191" s="315" t="str">
        <f t="shared" si="243"/>
        <v/>
      </c>
      <c r="AE191" s="315" t="e">
        <f>IF($J191="",#N/A,SUM(AD$4:AD191))</f>
        <v>#N/A</v>
      </c>
      <c r="AF191" s="315" t="e">
        <f>IF($J191="",#N/A,SUM(AD$4:AD191,AB$4:AB191,Z$4:Z191))</f>
        <v>#N/A</v>
      </c>
      <c r="AG191" s="304" t="str">
        <f t="shared" si="244"/>
        <v/>
      </c>
      <c r="AH191" s="313" t="e">
        <f>IF($J191="",#N/A,SUM(AG$4:AG191))</f>
        <v>#N/A</v>
      </c>
      <c r="AI191" s="314" t="str">
        <f t="shared" si="245"/>
        <v/>
      </c>
      <c r="AJ191" s="314" t="e">
        <f>IF($J191="",#N/A,SUM(AI$4:AI191))</f>
        <v>#N/A</v>
      </c>
      <c r="AK191" s="315" t="str">
        <f t="shared" si="246"/>
        <v/>
      </c>
      <c r="AL191" s="315" t="e">
        <f>IF($J191="",#N/A,SUM(AK$4:AK191))</f>
        <v>#N/A</v>
      </c>
      <c r="AM191" s="315" t="e">
        <f>IF($J191="",#N/A,SUM(AK$4:AK191,AI$4:AI191,AG$4:AG191))</f>
        <v>#N/A</v>
      </c>
      <c r="AN191" s="304" t="str">
        <f t="shared" si="247"/>
        <v/>
      </c>
      <c r="AO191" s="313" t="e">
        <f>IF($J191="",#N/A,SUM(AN$4:AN191))</f>
        <v>#N/A</v>
      </c>
      <c r="AP191" s="314" t="str">
        <f t="shared" si="248"/>
        <v/>
      </c>
      <c r="AQ191" s="314" t="e">
        <f>IF($J191="",#N/A,SUM(AP$4:AP191))</f>
        <v>#N/A</v>
      </c>
      <c r="AR191" s="315">
        <f t="shared" si="249"/>
        <v>-0.84717045069467967</v>
      </c>
      <c r="AS191" s="315" t="e">
        <f>IF($J191="",#N/A,SUM(AR$4:AR191))</f>
        <v>#N/A</v>
      </c>
      <c r="AT191" s="315" t="e">
        <f>IF($J191="",#N/A,SUM(AR$4:AR191,AP$4:AP191,AN$4:AN191))</f>
        <v>#N/A</v>
      </c>
      <c r="AU191" s="304" t="str">
        <f t="shared" si="250"/>
        <v/>
      </c>
      <c r="AV191" s="313" t="e">
        <f>IF($J191="",#N/A,SUM(AU$4:AU191))</f>
        <v>#N/A</v>
      </c>
      <c r="AW191" s="314" t="str">
        <f t="shared" si="251"/>
        <v/>
      </c>
      <c r="AX191" s="314" t="e">
        <f>IF($J191="",#N/A,SUM(AW$4:AW191))</f>
        <v>#N/A</v>
      </c>
      <c r="AY191" s="315" t="str">
        <f t="shared" si="252"/>
        <v/>
      </c>
      <c r="AZ191" s="315" t="e">
        <f>IF($J191="",#N/A,SUM(AY$4:AY191))</f>
        <v>#N/A</v>
      </c>
      <c r="BA191" s="315" t="e">
        <f>IF($J191="",#N/A,SUM(AY$4:AY191,AW$4:AW191,AU$4:AU191))</f>
        <v>#N/A</v>
      </c>
      <c r="BB191" s="304" t="str">
        <f t="shared" si="253"/>
        <v/>
      </c>
      <c r="BC191" s="313" t="e">
        <f>IF($J191="",#N/A,SUM(BB$4:BB191))</f>
        <v>#N/A</v>
      </c>
      <c r="BD191" s="314" t="str">
        <f t="shared" si="254"/>
        <v/>
      </c>
      <c r="BE191" s="314" t="e">
        <f>IF($J191="",#N/A,SUM(BD$4:BD191))</f>
        <v>#N/A</v>
      </c>
      <c r="BF191" s="315" t="str">
        <f t="shared" si="255"/>
        <v/>
      </c>
      <c r="BG191" s="315" t="e">
        <f>IF($J191="",#N/A,SUM(BF$4:BF191))</f>
        <v>#N/A</v>
      </c>
      <c r="BH191" s="315" t="e">
        <f>IF($J191="",#N/A,SUM(BF$4:BF191,BD$4:BD191,BB$4:BB191))</f>
        <v>#N/A</v>
      </c>
      <c r="BI191" s="304" t="str">
        <f t="shared" si="256"/>
        <v/>
      </c>
      <c r="BJ191" s="313" t="e">
        <f>IF($J191="",#N/A,SUM(BI$4:BI191))</f>
        <v>#N/A</v>
      </c>
      <c r="BK191" s="314" t="str">
        <f t="shared" si="257"/>
        <v/>
      </c>
      <c r="BL191" s="314" t="e">
        <f>IF($J191="",#N/A,SUM(BK$4:BK191))</f>
        <v>#N/A</v>
      </c>
      <c r="BM191" s="315" t="str">
        <f t="shared" si="258"/>
        <v/>
      </c>
      <c r="BN191" s="315" t="e">
        <f>IF($J191="",#N/A,SUM(BM$4:BM191))</f>
        <v>#N/A</v>
      </c>
      <c r="BO191" s="315" t="e">
        <f>IF($J191="",#N/A,SUM(BM$4:BM191,BK$4:BK191,BI$4:BI191))</f>
        <v>#N/A</v>
      </c>
      <c r="BP191" s="304" t="str">
        <f t="shared" si="259"/>
        <v/>
      </c>
      <c r="BQ191" s="313" t="e">
        <f>IF($J191="",#N/A,SUM(BP$4:BP191))</f>
        <v>#N/A</v>
      </c>
      <c r="BR191" s="314" t="str">
        <f t="shared" si="260"/>
        <v/>
      </c>
      <c r="BS191" s="314" t="e">
        <f>IF($J191="",#N/A,SUM(BR$4:BR191))</f>
        <v>#N/A</v>
      </c>
      <c r="BT191" s="315" t="str">
        <f t="shared" si="261"/>
        <v/>
      </c>
      <c r="BU191" s="315" t="e">
        <f>IF($J191="",#N/A,SUM(BT$4:BT191))</f>
        <v>#N/A</v>
      </c>
      <c r="BV191" s="315" t="e">
        <f>IF($J191="",#N/A,SUM(BT$4:BT191,BR$4:BR191,BP$4:BP191))</f>
        <v>#N/A</v>
      </c>
      <c r="BW191" s="304" t="str">
        <f t="shared" si="262"/>
        <v/>
      </c>
      <c r="BX191" s="313" t="e">
        <f>IF($J191="",#N/A,SUM(BW$4:BW191))</f>
        <v>#N/A</v>
      </c>
      <c r="BY191" s="314" t="str">
        <f t="shared" si="263"/>
        <v/>
      </c>
      <c r="BZ191" s="314" t="e">
        <f>IF($J191="",#N/A,SUM(BY$4:BY191))</f>
        <v>#N/A</v>
      </c>
      <c r="CA191" s="315" t="str">
        <f t="shared" si="264"/>
        <v/>
      </c>
      <c r="CB191" s="315" t="e">
        <f>IF($J191="",#N/A,SUM(CA$4:CA191))</f>
        <v>#N/A</v>
      </c>
      <c r="CC191" s="315" t="e">
        <f>IF($J191="",#N/A,SUM(CA$4:CA191,BY$4:BY191,BW$4:BW191))</f>
        <v>#N/A</v>
      </c>
      <c r="CD191" s="304" t="str">
        <f t="shared" si="265"/>
        <v/>
      </c>
      <c r="CE191" s="313" t="e">
        <f>IF($J191="",#N/A,SUM(CD$4:CD191))</f>
        <v>#N/A</v>
      </c>
      <c r="CF191" s="314" t="str">
        <f t="shared" si="266"/>
        <v/>
      </c>
      <c r="CG191" s="314" t="e">
        <f>IF($J191="",#N/A,SUM(CF$4:CF191))</f>
        <v>#N/A</v>
      </c>
      <c r="CH191" s="315" t="str">
        <f t="shared" si="267"/>
        <v/>
      </c>
      <c r="CI191" s="315" t="e">
        <f>IF($J191="",#N/A,SUM(CH$4:CH191))</f>
        <v>#N/A</v>
      </c>
      <c r="CJ191" s="315" t="e">
        <f>IF($J191="",#N/A,SUM(CH$4:CH191,CF$4:CF191,CD$4:CD191))</f>
        <v>#N/A</v>
      </c>
      <c r="CK191" s="304" t="str">
        <f t="shared" si="268"/>
        <v/>
      </c>
      <c r="CL191" s="313" t="e">
        <f>IF($J191="",#N/A,SUM(CK$4:CK191))</f>
        <v>#N/A</v>
      </c>
      <c r="CM191" s="314" t="str">
        <f t="shared" si="269"/>
        <v/>
      </c>
      <c r="CN191" s="314" t="e">
        <f>IF($J191="",#N/A,SUM(CM$4:CM191))</f>
        <v>#N/A</v>
      </c>
      <c r="CO191" s="315" t="str">
        <f t="shared" si="270"/>
        <v/>
      </c>
      <c r="CP191" s="315" t="e">
        <f>IF($J191="",#N/A,SUM(CO$4:CO191))</f>
        <v>#N/A</v>
      </c>
      <c r="CQ191" s="315" t="e">
        <f>IF($J191="",#N/A,SUM(CO$4:CO191,CM$4:CM191,CK$4:CK191))</f>
        <v>#N/A</v>
      </c>
      <c r="CR191" s="304" t="str">
        <f t="shared" si="271"/>
        <v/>
      </c>
      <c r="CS191" s="313" t="e">
        <f>IF($J191="",#N/A,SUM(CR$4:CR191))</f>
        <v>#N/A</v>
      </c>
      <c r="CT191" s="314" t="str">
        <f t="shared" si="272"/>
        <v/>
      </c>
      <c r="CU191" s="314" t="e">
        <f>IF($J191="",#N/A,SUM(CT$4:CT191))</f>
        <v>#N/A</v>
      </c>
      <c r="CV191" s="315" t="str">
        <f t="shared" si="273"/>
        <v/>
      </c>
      <c r="CW191" s="315" t="e">
        <f>IF($J191="",#N/A,SUM(CV$4:CV191))</f>
        <v>#N/A</v>
      </c>
      <c r="CX191" s="315" t="e">
        <f>IF($J191="",#N/A,SUM(CV$4:CV191,CT$4:CT191,CR$4:CR191))</f>
        <v>#N/A</v>
      </c>
      <c r="CY191" s="304" t="str">
        <f t="shared" si="274"/>
        <v/>
      </c>
      <c r="CZ191" s="313" t="e">
        <f>IF($J191="",#N/A,SUM(CY$4:CY191))</f>
        <v>#N/A</v>
      </c>
      <c r="DA191" s="314" t="str">
        <f t="shared" si="275"/>
        <v/>
      </c>
      <c r="DB191" s="314" t="e">
        <f>IF($J191="",#N/A,SUM(DA$4:DA191))</f>
        <v>#N/A</v>
      </c>
      <c r="DC191" s="315" t="str">
        <f t="shared" si="276"/>
        <v/>
      </c>
      <c r="DD191" s="315" t="e">
        <f>IF($J191="",#N/A,SUM(DC$4:DC191))</f>
        <v>#N/A</v>
      </c>
      <c r="DE191" s="315" t="e">
        <f>IF($J191="",#N/A,SUM(DC$4:DC191,DA$4:DA191,CY$4:CY191))</f>
        <v>#N/A</v>
      </c>
      <c r="DF191" s="304" t="str">
        <f t="shared" si="277"/>
        <v/>
      </c>
      <c r="DG191" s="313" t="e">
        <f>IF($J191="",#N/A,SUM(DF$4:DF191))</f>
        <v>#N/A</v>
      </c>
      <c r="DH191" s="314" t="str">
        <f t="shared" si="278"/>
        <v/>
      </c>
      <c r="DI191" s="314" t="e">
        <f>IF($J191="",#N/A,SUM(DH$4:DH191))</f>
        <v>#N/A</v>
      </c>
      <c r="DJ191" s="315" t="str">
        <f t="shared" si="279"/>
        <v/>
      </c>
      <c r="DK191" s="315" t="e">
        <f>IF($J191="",#N/A,SUM(DJ$4:DJ191))</f>
        <v>#N/A</v>
      </c>
      <c r="DL191" s="315" t="e">
        <f>IF($J191="",#N/A,SUM(DJ$4:DJ191,DH$4:DH191,DF$4:DF191))</f>
        <v>#N/A</v>
      </c>
      <c r="DM191" s="304" t="str">
        <f t="shared" si="280"/>
        <v/>
      </c>
      <c r="DN191" s="313" t="e">
        <f>IF($J191="",#N/A,SUM(DM$4:DM191))</f>
        <v>#N/A</v>
      </c>
      <c r="DO191" s="314" t="str">
        <f t="shared" si="281"/>
        <v/>
      </c>
      <c r="DP191" s="314" t="e">
        <f>IF($J191="",#N/A,SUM(DO$4:DO191))</f>
        <v>#N/A</v>
      </c>
      <c r="DQ191" s="315" t="str">
        <f t="shared" si="282"/>
        <v/>
      </c>
      <c r="DR191" s="315" t="e">
        <f>IF($J191="",#N/A,SUM(DQ$4:DQ191))</f>
        <v>#N/A</v>
      </c>
      <c r="DS191" s="315" t="e">
        <f>IF($J191="",#N/A,SUM(DQ$4:DQ191,DO$4:DO191,DM$4:DM191))</f>
        <v>#N/A</v>
      </c>
      <c r="DT191" s="304" t="str">
        <f t="shared" si="283"/>
        <v/>
      </c>
      <c r="DU191" s="313" t="e">
        <f>IF($J191="",#N/A,SUM(DT$4:DT191))</f>
        <v>#N/A</v>
      </c>
      <c r="DV191" s="314" t="str">
        <f t="shared" si="284"/>
        <v/>
      </c>
      <c r="DW191" s="314" t="e">
        <f>IF($J191="",#N/A,SUM(DV$4:DV191))</f>
        <v>#N/A</v>
      </c>
      <c r="DX191" s="315" t="str">
        <f t="shared" si="285"/>
        <v/>
      </c>
      <c r="DY191" s="315" t="e">
        <f>IF($J191="",#N/A,SUM(DX$4:DX191))</f>
        <v>#N/A</v>
      </c>
      <c r="DZ191" s="315" t="e">
        <f>IF($J191="",#N/A,SUM(DX$4:DX191,DV$4:DV191,DT$4:DT191))</f>
        <v>#N/A</v>
      </c>
      <c r="EA191" s="304" t="str">
        <f t="shared" si="286"/>
        <v/>
      </c>
      <c r="EB191" s="313" t="e">
        <f>IF($J191="",#N/A,SUM(EA$4:EA191))</f>
        <v>#N/A</v>
      </c>
      <c r="EC191" s="314" t="str">
        <f t="shared" si="287"/>
        <v/>
      </c>
      <c r="ED191" s="314" t="e">
        <f>IF($J191="",#N/A,SUM(EC$4:EC191))</f>
        <v>#N/A</v>
      </c>
      <c r="EE191" s="315" t="str">
        <f t="shared" si="288"/>
        <v/>
      </c>
      <c r="EF191" s="315" t="e">
        <f>IF($J191="",#N/A,SUM(EE$4:EE191))</f>
        <v>#N/A</v>
      </c>
      <c r="EG191" s="315" t="e">
        <f>IF($J191="",#N/A,SUM(EE$4:EE191,EC$4:EC191,EA$4:EA191))</f>
        <v>#N/A</v>
      </c>
      <c r="EH191" s="130">
        <f t="shared" si="289"/>
        <v>-21</v>
      </c>
      <c r="EI191" s="63">
        <f>IF(EH191="",#N/A,SUM($EH$4:EH191))</f>
        <v>681.00415896967706</v>
      </c>
      <c r="EJ191" s="223" t="e">
        <f t="shared" si="290"/>
        <v>#N/A</v>
      </c>
      <c r="EK191" s="63" t="e">
        <f>IF($GZ191="",#N/A,SUM(EJ$4:EJ191))</f>
        <v>#N/A</v>
      </c>
      <c r="EL191" s="60">
        <f t="shared" si="322"/>
        <v>-0.84717045069467967</v>
      </c>
      <c r="EM191" s="60">
        <f>IF(EL191="",NA(),SUM($EL$4:EL191))</f>
        <v>22.703363528615395</v>
      </c>
      <c r="EN191" s="60" t="str">
        <f t="shared" si="291"/>
        <v/>
      </c>
      <c r="EO191" s="60" t="e">
        <f>IF(EN191="",NA(),SUM($EN$4:EN191))</f>
        <v>#N/A</v>
      </c>
      <c r="EP191" s="60">
        <f t="shared" si="292"/>
        <v>-0.84717045069467967</v>
      </c>
      <c r="EQ191" s="60">
        <f>IF(EP191="",NA(),SUM($EP$4:EP191))</f>
        <v>5.7709012111381801</v>
      </c>
      <c r="ER191" s="60" t="str">
        <f t="shared" si="293"/>
        <v/>
      </c>
      <c r="ES191" s="60" t="e">
        <f>IF(ER191="",NA(),SUM($ER$4:ER191))</f>
        <v>#N/A</v>
      </c>
      <c r="ET191" s="60" t="str">
        <f t="shared" si="294"/>
        <v/>
      </c>
      <c r="EU191" s="60" t="e">
        <f>IF(ET191="",NA(),SUM($ET$4:ET191))</f>
        <v>#N/A</v>
      </c>
      <c r="EV191" s="60" t="str">
        <f t="shared" si="295"/>
        <v/>
      </c>
      <c r="EW191" s="60" t="e">
        <f>IF(EV191="",NA(),SUM($EV$4:EV191))</f>
        <v>#N/A</v>
      </c>
      <c r="EX191" s="60" t="str">
        <f t="shared" si="296"/>
        <v/>
      </c>
      <c r="EY191" s="60" t="e">
        <f>IF(EX191="",NA(),SUM($EX$4:EX191))</f>
        <v>#N/A</v>
      </c>
      <c r="EZ191" s="60" t="str">
        <f t="shared" si="297"/>
        <v/>
      </c>
      <c r="FA191" s="60" t="e">
        <f>IF(EZ191="",NA(),SUM($EZ$4:EZ191))</f>
        <v>#N/A</v>
      </c>
      <c r="FB191" s="246" t="str">
        <f t="shared" si="323"/>
        <v/>
      </c>
      <c r="FC191" s="246" t="e">
        <f>IF($FB191="",#N/A,SUM(FB$4:$FB191))</f>
        <v>#N/A</v>
      </c>
      <c r="FD191" s="60" t="str">
        <f t="shared" si="298"/>
        <v/>
      </c>
      <c r="FE191" s="60" t="e">
        <f>IF($FD191="",#N/A,SUM($FD$4:FD191))</f>
        <v>#N/A</v>
      </c>
      <c r="FF191" s="60" t="str">
        <f t="shared" si="299"/>
        <v/>
      </c>
      <c r="FG191" s="60" t="e">
        <f>IF($FF191="",#N/A,SUM($FF$4:FF191))</f>
        <v>#N/A</v>
      </c>
      <c r="FH191" s="60" t="str">
        <f t="shared" si="300"/>
        <v/>
      </c>
      <c r="FI191" s="60" t="e">
        <f>IF($FH191="",#N/A,SUM($FH$4:FH191))</f>
        <v>#N/A</v>
      </c>
      <c r="FJ191" s="60" t="str">
        <f t="shared" si="301"/>
        <v/>
      </c>
      <c r="FK191" s="60" t="e">
        <f>IF($FJ191="",#N/A,SUM($FJ$4:FJ191))</f>
        <v>#N/A</v>
      </c>
      <c r="FL191" s="60">
        <f t="shared" si="302"/>
        <v>0.42076132384502224</v>
      </c>
      <c r="FM191" s="60">
        <f>IF($FL191="",#N/A,SUM($FL$4:FL191))</f>
        <v>4.2990577919161392</v>
      </c>
      <c r="FN191" s="82">
        <f t="shared" si="303"/>
        <v>-0.42640912684965743</v>
      </c>
      <c r="FO191" s="82">
        <f>IF($FN191="",#N/A,SUM(FN$4:$FN191))</f>
        <v>30.12076903437859</v>
      </c>
      <c r="FP191" s="82">
        <f t="shared" si="324"/>
        <v>-0.84717045069467967</v>
      </c>
      <c r="FQ191" s="246">
        <f>IF($EH191="",#N/A,SUM($FP$4:FP191))</f>
        <v>26.364151592096665</v>
      </c>
      <c r="FR191" s="82">
        <f>IFERROR(FQ191/COUNTA($J$4:J191),#N/A)</f>
        <v>0.14023484889413121</v>
      </c>
      <c r="FS191" s="82">
        <f t="shared" si="336"/>
        <v>6.6248368574854805E-2</v>
      </c>
      <c r="FT191" s="82">
        <f t="shared" ref="FT191:FT195" si="341">IFERROR(($FQ191-$FQ167)/COUNTA($J167:$J191),#N/A)</f>
        <v>4.7351909682542014E-2</v>
      </c>
      <c r="FU191" s="337">
        <f>IF(AND(HB191="MOC",GZ191=""),#N/A,IFERROR(FQ191-HE191,FQ191-0))-14.53</f>
        <v>13.002223269257181</v>
      </c>
      <c r="FV191" s="57" t="str">
        <f t="shared" si="305"/>
        <v>SW</v>
      </c>
      <c r="FW191" s="57" t="s">
        <v>2732</v>
      </c>
      <c r="FX191" s="57" t="str">
        <f t="shared" si="306"/>
        <v/>
      </c>
      <c r="FY191" s="57" t="str">
        <f t="shared" si="307"/>
        <v/>
      </c>
      <c r="FZ191" s="57" t="str">
        <f t="shared" si="308"/>
        <v/>
      </c>
      <c r="GA191" s="57" t="str">
        <f t="shared" si="309"/>
        <v>Long</v>
      </c>
      <c r="GB191" s="57" t="str">
        <f t="shared" si="310"/>
        <v/>
      </c>
      <c r="GC191" s="57" t="str">
        <f t="shared" si="311"/>
        <v/>
      </c>
      <c r="GD191" s="57">
        <f t="shared" si="312"/>
        <v>1</v>
      </c>
      <c r="GE191" s="62">
        <f t="shared" si="339"/>
        <v>59.02</v>
      </c>
      <c r="GF191" s="62" t="s">
        <v>2779</v>
      </c>
      <c r="GG191" s="199">
        <v>7</v>
      </c>
      <c r="GH191" s="207">
        <f t="shared" si="313"/>
        <v>413.14000000000004</v>
      </c>
      <c r="GI191" s="199">
        <f t="shared" si="337"/>
        <v>7</v>
      </c>
      <c r="GJ191" s="200">
        <v>56</v>
      </c>
      <c r="GK191" s="63">
        <f t="shared" si="314"/>
        <v>-21.140000000000043</v>
      </c>
      <c r="GL191" s="63">
        <f t="shared" si="340"/>
        <v>-10.57000000000005</v>
      </c>
      <c r="GM191" s="82">
        <f t="shared" si="315"/>
        <v>-0.42640912684965743</v>
      </c>
      <c r="GN191" s="82">
        <f>IF($GZ191="",#N/A,SUM(GM$4:GM191))</f>
        <v>7.5168423594583071</v>
      </c>
      <c r="GO191" s="82" t="str">
        <f t="shared" si="316"/>
        <v/>
      </c>
      <c r="GP191" s="82">
        <f>IF($GZ191="",#N/A,SUM(GO$4:GO191))</f>
        <v>9.8419544639707812</v>
      </c>
      <c r="GQ191" s="82" t="str">
        <f t="shared" si="317"/>
        <v/>
      </c>
      <c r="GR191" s="82">
        <f>IF($GZ191="",#N/A,SUM(GQ$4:GQ191))</f>
        <v>12.136135256507156</v>
      </c>
      <c r="GS191" s="63" t="e">
        <f t="shared" si="325"/>
        <v>#N/A</v>
      </c>
      <c r="GT191" s="63" t="e">
        <f>IF($GZ191="",#N/A,SUM(GS$4:GS191))</f>
        <v>#N/A</v>
      </c>
      <c r="GU191" s="63" t="str">
        <f t="shared" si="326"/>
        <v/>
      </c>
      <c r="GV191" s="63" t="e">
        <f>IF($GZ191="",#N/A,SUM(GU$4:GU191))</f>
        <v>#N/A</v>
      </c>
      <c r="GW191" s="63" t="str">
        <f t="shared" si="327"/>
        <v/>
      </c>
      <c r="GX191" s="63" t="e">
        <f>IF($GZ191="",#N/A,SUM(GW$4:GW191))</f>
        <v>#N/A</v>
      </c>
      <c r="GY191" s="63" t="e">
        <f>IF(EJ191="",#N/A,SUM($EJ$4:EJ191))</f>
        <v>#N/A</v>
      </c>
      <c r="GZ191" s="159">
        <v>57.51</v>
      </c>
      <c r="HA191" s="63">
        <f t="shared" si="318"/>
        <v>10.42999999999995</v>
      </c>
      <c r="HB191" s="62" t="s">
        <v>2538</v>
      </c>
      <c r="HC191" s="60">
        <f>IFERROR(VLOOKUP(E191,Expectancy!$P$4:$S$19,1+C191,FALSE),"")</f>
        <v>0.48685636958953199</v>
      </c>
      <c r="HD191" s="82">
        <f t="shared" si="319"/>
        <v>-0.85281825369931263</v>
      </c>
      <c r="HE191" s="60">
        <f>IF(HD191="",#N/A,SUM($HD$4:HD191))</f>
        <v>-1.1680716771605144</v>
      </c>
      <c r="HF191" s="85">
        <f>IF(HD191="",#N/A,IF(HB191="Skip",#N/A,SUM($HG$4:HG191)))</f>
        <v>3.480000000000075</v>
      </c>
      <c r="HG191" s="63">
        <f t="shared" si="320"/>
        <v>-21.140000000000043</v>
      </c>
      <c r="HH191" s="82">
        <f t="shared" si="321"/>
        <v>-0.42640912684965743</v>
      </c>
    </row>
    <row r="192" spans="1:216" x14ac:dyDescent="0.25">
      <c r="A192" s="57" t="s">
        <v>436</v>
      </c>
      <c r="B192" s="58" t="s">
        <v>5197</v>
      </c>
      <c r="C192" s="386">
        <f t="shared" si="230"/>
        <v>2</v>
      </c>
      <c r="D192" s="372" t="str">
        <f>_xlfn.XLOOKUP(A192,[1]SP500!$A$2:$A$502,[1]SP500!$D$2:$D$502,"N")</f>
        <v>Y</v>
      </c>
      <c r="E192" s="57" t="str">
        <f>_xlfn.XLOOKUP(A192,[1]SP500!$A$2:$A$655,[1]SP500!$B$2:$B$655)</f>
        <v>IGV</v>
      </c>
      <c r="F192" s="59">
        <v>45692</v>
      </c>
      <c r="G192" s="57" t="str">
        <f t="shared" si="231"/>
        <v>AMC</v>
      </c>
      <c r="H192" s="57" t="str">
        <f t="shared" si="232"/>
        <v>o</v>
      </c>
      <c r="I192" s="162">
        <v>1809.7</v>
      </c>
      <c r="J192" s="159">
        <v>1649.34</v>
      </c>
      <c r="K192" s="61">
        <f t="shared" si="233"/>
        <v>-8.8611372050616186E-2</v>
      </c>
      <c r="L192" s="87">
        <f t="shared" si="234"/>
        <v>35.444548820246439</v>
      </c>
      <c r="M192" s="214" t="e">
        <f t="shared" si="338"/>
        <v>#N/A</v>
      </c>
      <c r="N192" s="168" t="str">
        <f t="shared" si="235"/>
        <v/>
      </c>
      <c r="O192" s="168">
        <f>IF($J192="",#N/A,SUM($N$4:N192))</f>
        <v>307.94438262948194</v>
      </c>
      <c r="P192" s="173">
        <f t="shared" si="236"/>
        <v>35.444548820246439</v>
      </c>
      <c r="Q192" s="173">
        <f>IF($J192="",#N/A,SUM($P$4:P192))</f>
        <v>286.8455890579728</v>
      </c>
      <c r="R192" s="177" t="str">
        <f t="shared" si="237"/>
        <v/>
      </c>
      <c r="S192" s="177">
        <f>IF($J192="",#N/A,SUM($R$4:R192))</f>
        <v>121.65873610246865</v>
      </c>
      <c r="T192" s="290" t="str">
        <f t="shared" si="238"/>
        <v/>
      </c>
      <c r="U192" s="290">
        <f>IF($J192="",#N/A,SUM($T$4:T192))</f>
        <v>11.292495043304985</v>
      </c>
      <c r="V192" s="291">
        <f t="shared" si="239"/>
        <v>1.4768562008436017</v>
      </c>
      <c r="W192" s="291">
        <f>IF($J192="",#N/A,SUM($V$4:V192))</f>
        <v>11.705368458574288</v>
      </c>
      <c r="X192" s="292" t="str">
        <f t="shared" si="240"/>
        <v/>
      </c>
      <c r="Y192" s="283">
        <f>IF($J192="",#N/A,SUM($X$4:X192))</f>
        <v>4.8431442910609865</v>
      </c>
      <c r="Z192" s="304" t="str">
        <f t="shared" si="241"/>
        <v/>
      </c>
      <c r="AA192" s="316" t="e">
        <f>IF($J192="",#N/A,SUM(Z$4:Z192))</f>
        <v>#N/A</v>
      </c>
      <c r="AB192" s="317" t="str">
        <f t="shared" si="242"/>
        <v/>
      </c>
      <c r="AC192" s="317" t="e">
        <f>IF($J192="",#N/A,SUM(AB$4:AB192))</f>
        <v>#N/A</v>
      </c>
      <c r="AD192" s="318" t="str">
        <f t="shared" si="243"/>
        <v/>
      </c>
      <c r="AE192" s="318" t="e">
        <f>IF($J192="",#N/A,SUM(AD$4:AD192))</f>
        <v>#N/A</v>
      </c>
      <c r="AF192" s="318" t="e">
        <f>IF($J192="",#N/A,SUM(AD$4:AD192,AB$4:AB192,Z$4:Z192))</f>
        <v>#N/A</v>
      </c>
      <c r="AG192" s="304" t="str">
        <f t="shared" si="244"/>
        <v/>
      </c>
      <c r="AH192" s="316" t="e">
        <f>IF($J192="",#N/A,SUM(AG$4:AG192))</f>
        <v>#N/A</v>
      </c>
      <c r="AI192" s="317">
        <f t="shared" si="245"/>
        <v>1.4768562008436017</v>
      </c>
      <c r="AJ192" s="317" t="e">
        <f>IF($J192="",#N/A,SUM(AI$4:AI192))</f>
        <v>#N/A</v>
      </c>
      <c r="AK192" s="318" t="str">
        <f t="shared" si="246"/>
        <v/>
      </c>
      <c r="AL192" s="318" t="e">
        <f>IF($J192="",#N/A,SUM(AK$4:AK192))</f>
        <v>#N/A</v>
      </c>
      <c r="AM192" s="318" t="e">
        <f>IF($J192="",#N/A,SUM(AK$4:AK192,AI$4:AI192,AG$4:AG192))</f>
        <v>#N/A</v>
      </c>
      <c r="AN192" s="304" t="str">
        <f t="shared" si="247"/>
        <v/>
      </c>
      <c r="AO192" s="316" t="e">
        <f>IF($J192="",#N/A,SUM(AN$4:AN192))</f>
        <v>#N/A</v>
      </c>
      <c r="AP192" s="317" t="str">
        <f t="shared" si="248"/>
        <v/>
      </c>
      <c r="AQ192" s="317" t="e">
        <f>IF($J192="",#N/A,SUM(AP$4:AP192))</f>
        <v>#N/A</v>
      </c>
      <c r="AR192" s="318" t="str">
        <f t="shared" si="249"/>
        <v/>
      </c>
      <c r="AS192" s="318" t="e">
        <f>IF($J192="",#N/A,SUM(AR$4:AR192))</f>
        <v>#N/A</v>
      </c>
      <c r="AT192" s="318" t="e">
        <f>IF($J192="",#N/A,SUM(AR$4:AR192,AP$4:AP192,AN$4:AN192))</f>
        <v>#N/A</v>
      </c>
      <c r="AU192" s="304" t="str">
        <f t="shared" si="250"/>
        <v/>
      </c>
      <c r="AV192" s="316" t="e">
        <f>IF($J192="",#N/A,SUM(AU$4:AU192))</f>
        <v>#N/A</v>
      </c>
      <c r="AW192" s="317" t="str">
        <f t="shared" si="251"/>
        <v/>
      </c>
      <c r="AX192" s="317" t="e">
        <f>IF($J192="",#N/A,SUM(AW$4:AW192))</f>
        <v>#N/A</v>
      </c>
      <c r="AY192" s="318" t="str">
        <f t="shared" si="252"/>
        <v/>
      </c>
      <c r="AZ192" s="318" t="e">
        <f>IF($J192="",#N/A,SUM(AY$4:AY192))</f>
        <v>#N/A</v>
      </c>
      <c r="BA192" s="318" t="e">
        <f>IF($J192="",#N/A,SUM(AY$4:AY192,AW$4:AW192,AU$4:AU192))</f>
        <v>#N/A</v>
      </c>
      <c r="BB192" s="304" t="str">
        <f t="shared" si="253"/>
        <v/>
      </c>
      <c r="BC192" s="316" t="e">
        <f>IF($J192="",#N/A,SUM(BB$4:BB192))</f>
        <v>#N/A</v>
      </c>
      <c r="BD192" s="317" t="str">
        <f t="shared" si="254"/>
        <v/>
      </c>
      <c r="BE192" s="317" t="e">
        <f>IF($J192="",#N/A,SUM(BD$4:BD192))</f>
        <v>#N/A</v>
      </c>
      <c r="BF192" s="318" t="str">
        <f t="shared" si="255"/>
        <v/>
      </c>
      <c r="BG192" s="318" t="e">
        <f>IF($J192="",#N/A,SUM(BF$4:BF192))</f>
        <v>#N/A</v>
      </c>
      <c r="BH192" s="318" t="e">
        <f>IF($J192="",#N/A,SUM(BF$4:BF192,BD$4:BD192,BB$4:BB192))</f>
        <v>#N/A</v>
      </c>
      <c r="BI192" s="304" t="str">
        <f t="shared" si="256"/>
        <v/>
      </c>
      <c r="BJ192" s="316" t="e">
        <f>IF($J192="",#N/A,SUM(BI$4:BI192))</f>
        <v>#N/A</v>
      </c>
      <c r="BK192" s="317" t="str">
        <f t="shared" si="257"/>
        <v/>
      </c>
      <c r="BL192" s="317" t="e">
        <f>IF($J192="",#N/A,SUM(BK$4:BK192))</f>
        <v>#N/A</v>
      </c>
      <c r="BM192" s="318" t="str">
        <f t="shared" si="258"/>
        <v/>
      </c>
      <c r="BN192" s="318" t="e">
        <f>IF($J192="",#N/A,SUM(BM$4:BM192))</f>
        <v>#N/A</v>
      </c>
      <c r="BO192" s="318" t="e">
        <f>IF($J192="",#N/A,SUM(BM$4:BM192,BK$4:BK192,BI$4:BI192))</f>
        <v>#N/A</v>
      </c>
      <c r="BP192" s="304" t="str">
        <f t="shared" si="259"/>
        <v/>
      </c>
      <c r="BQ192" s="316" t="e">
        <f>IF($J192="",#N/A,SUM(BP$4:BP192))</f>
        <v>#N/A</v>
      </c>
      <c r="BR192" s="317" t="str">
        <f t="shared" si="260"/>
        <v/>
      </c>
      <c r="BS192" s="317" t="e">
        <f>IF($J192="",#N/A,SUM(BR$4:BR192))</f>
        <v>#N/A</v>
      </c>
      <c r="BT192" s="318" t="str">
        <f t="shared" si="261"/>
        <v/>
      </c>
      <c r="BU192" s="318" t="e">
        <f>IF($J192="",#N/A,SUM(BT$4:BT192))</f>
        <v>#N/A</v>
      </c>
      <c r="BV192" s="318" t="e">
        <f>IF($J192="",#N/A,SUM(BT$4:BT192,BR$4:BR192,BP$4:BP192))</f>
        <v>#N/A</v>
      </c>
      <c r="BW192" s="304" t="str">
        <f t="shared" si="262"/>
        <v/>
      </c>
      <c r="BX192" s="316" t="e">
        <f>IF($J192="",#N/A,SUM(BW$4:BW192))</f>
        <v>#N/A</v>
      </c>
      <c r="BY192" s="317" t="str">
        <f t="shared" si="263"/>
        <v/>
      </c>
      <c r="BZ192" s="317" t="e">
        <f>IF($J192="",#N/A,SUM(BY$4:BY192))</f>
        <v>#N/A</v>
      </c>
      <c r="CA192" s="318" t="str">
        <f t="shared" si="264"/>
        <v/>
      </c>
      <c r="CB192" s="318" t="e">
        <f>IF($J192="",#N/A,SUM(CA$4:CA192))</f>
        <v>#N/A</v>
      </c>
      <c r="CC192" s="318" t="e">
        <f>IF($J192="",#N/A,SUM(CA$4:CA192,BY$4:BY192,BW$4:BW192))</f>
        <v>#N/A</v>
      </c>
      <c r="CD192" s="304" t="str">
        <f t="shared" si="265"/>
        <v/>
      </c>
      <c r="CE192" s="316" t="e">
        <f>IF($J192="",#N/A,SUM(CD$4:CD192))</f>
        <v>#N/A</v>
      </c>
      <c r="CF192" s="317" t="str">
        <f t="shared" si="266"/>
        <v/>
      </c>
      <c r="CG192" s="317" t="e">
        <f>IF($J192="",#N/A,SUM(CF$4:CF192))</f>
        <v>#N/A</v>
      </c>
      <c r="CH192" s="318" t="str">
        <f t="shared" si="267"/>
        <v/>
      </c>
      <c r="CI192" s="318" t="e">
        <f>IF($J192="",#N/A,SUM(CH$4:CH192))</f>
        <v>#N/A</v>
      </c>
      <c r="CJ192" s="318" t="e">
        <f>IF($J192="",#N/A,SUM(CH$4:CH192,CF$4:CF192,CD$4:CD192))</f>
        <v>#N/A</v>
      </c>
      <c r="CK192" s="304" t="str">
        <f t="shared" si="268"/>
        <v/>
      </c>
      <c r="CL192" s="316" t="e">
        <f>IF($J192="",#N/A,SUM(CK$4:CK192))</f>
        <v>#N/A</v>
      </c>
      <c r="CM192" s="317" t="str">
        <f t="shared" si="269"/>
        <v/>
      </c>
      <c r="CN192" s="317" t="e">
        <f>IF($J192="",#N/A,SUM(CM$4:CM192))</f>
        <v>#N/A</v>
      </c>
      <c r="CO192" s="318" t="str">
        <f t="shared" si="270"/>
        <v/>
      </c>
      <c r="CP192" s="318" t="e">
        <f>IF($J192="",#N/A,SUM(CO$4:CO192))</f>
        <v>#N/A</v>
      </c>
      <c r="CQ192" s="318" t="e">
        <f>IF($J192="",#N/A,SUM(CO$4:CO192,CM$4:CM192,CK$4:CK192))</f>
        <v>#N/A</v>
      </c>
      <c r="CR192" s="304" t="str">
        <f t="shared" si="271"/>
        <v/>
      </c>
      <c r="CS192" s="316" t="e">
        <f>IF($J192="",#N/A,SUM(CR$4:CR192))</f>
        <v>#N/A</v>
      </c>
      <c r="CT192" s="317" t="str">
        <f t="shared" si="272"/>
        <v/>
      </c>
      <c r="CU192" s="317" t="e">
        <f>IF($J192="",#N/A,SUM(CT$4:CT192))</f>
        <v>#N/A</v>
      </c>
      <c r="CV192" s="318" t="str">
        <f t="shared" si="273"/>
        <v/>
      </c>
      <c r="CW192" s="318" t="e">
        <f>IF($J192="",#N/A,SUM(CV$4:CV192))</f>
        <v>#N/A</v>
      </c>
      <c r="CX192" s="318" t="e">
        <f>IF($J192="",#N/A,SUM(CV$4:CV192,CT$4:CT192,CR$4:CR192))</f>
        <v>#N/A</v>
      </c>
      <c r="CY192" s="304" t="str">
        <f t="shared" si="274"/>
        <v/>
      </c>
      <c r="CZ192" s="316" t="e">
        <f>IF($J192="",#N/A,SUM(CY$4:CY192))</f>
        <v>#N/A</v>
      </c>
      <c r="DA192" s="317" t="str">
        <f t="shared" si="275"/>
        <v/>
      </c>
      <c r="DB192" s="317" t="e">
        <f>IF($J192="",#N/A,SUM(DA$4:DA192))</f>
        <v>#N/A</v>
      </c>
      <c r="DC192" s="318" t="str">
        <f t="shared" si="276"/>
        <v/>
      </c>
      <c r="DD192" s="318" t="e">
        <f>IF($J192="",#N/A,SUM(DC$4:DC192))</f>
        <v>#N/A</v>
      </c>
      <c r="DE192" s="318" t="e">
        <f>IF($J192="",#N/A,SUM(DC$4:DC192,DA$4:DA192,CY$4:CY192))</f>
        <v>#N/A</v>
      </c>
      <c r="DF192" s="304" t="str">
        <f t="shared" si="277"/>
        <v/>
      </c>
      <c r="DG192" s="316" t="e">
        <f>IF($J192="",#N/A,SUM(DF$4:DF192))</f>
        <v>#N/A</v>
      </c>
      <c r="DH192" s="317" t="str">
        <f t="shared" si="278"/>
        <v/>
      </c>
      <c r="DI192" s="317" t="e">
        <f>IF($J192="",#N/A,SUM(DH$4:DH192))</f>
        <v>#N/A</v>
      </c>
      <c r="DJ192" s="318" t="str">
        <f t="shared" si="279"/>
        <v/>
      </c>
      <c r="DK192" s="318" t="e">
        <f>IF($J192="",#N/A,SUM(DJ$4:DJ192))</f>
        <v>#N/A</v>
      </c>
      <c r="DL192" s="318" t="e">
        <f>IF($J192="",#N/A,SUM(DJ$4:DJ192,DH$4:DH192,DF$4:DF192))</f>
        <v>#N/A</v>
      </c>
      <c r="DM192" s="304" t="str">
        <f t="shared" si="280"/>
        <v/>
      </c>
      <c r="DN192" s="316" t="e">
        <f>IF($J192="",#N/A,SUM(DM$4:DM192))</f>
        <v>#N/A</v>
      </c>
      <c r="DO192" s="317" t="str">
        <f t="shared" si="281"/>
        <v/>
      </c>
      <c r="DP192" s="317" t="e">
        <f>IF($J192="",#N/A,SUM(DO$4:DO192))</f>
        <v>#N/A</v>
      </c>
      <c r="DQ192" s="318" t="str">
        <f t="shared" si="282"/>
        <v/>
      </c>
      <c r="DR192" s="318" t="e">
        <f>IF($J192="",#N/A,SUM(DQ$4:DQ192))</f>
        <v>#N/A</v>
      </c>
      <c r="DS192" s="318" t="e">
        <f>IF($J192="",#N/A,SUM(DQ$4:DQ192,DO$4:DO192,DM$4:DM192))</f>
        <v>#N/A</v>
      </c>
      <c r="DT192" s="304" t="str">
        <f t="shared" si="283"/>
        <v/>
      </c>
      <c r="DU192" s="316" t="e">
        <f>IF($J192="",#N/A,SUM(DT$4:DT192))</f>
        <v>#N/A</v>
      </c>
      <c r="DV192" s="317" t="str">
        <f t="shared" si="284"/>
        <v/>
      </c>
      <c r="DW192" s="317" t="e">
        <f>IF($J192="",#N/A,SUM(DV$4:DV192))</f>
        <v>#N/A</v>
      </c>
      <c r="DX192" s="318" t="str">
        <f t="shared" si="285"/>
        <v/>
      </c>
      <c r="DY192" s="318" t="e">
        <f>IF($J192="",#N/A,SUM(DX$4:DX192))</f>
        <v>#N/A</v>
      </c>
      <c r="DZ192" s="318" t="e">
        <f>IF($J192="",#N/A,SUM(DX$4:DX192,DV$4:DV192,DT$4:DT192))</f>
        <v>#N/A</v>
      </c>
      <c r="EA192" s="304" t="str">
        <f t="shared" si="286"/>
        <v/>
      </c>
      <c r="EB192" s="316" t="e">
        <f>IF($J192="",#N/A,SUM(EA$4:EA192))</f>
        <v>#N/A</v>
      </c>
      <c r="EC192" s="317" t="str">
        <f t="shared" si="287"/>
        <v/>
      </c>
      <c r="ED192" s="317" t="e">
        <f>IF($J192="",#N/A,SUM(EC$4:EC192))</f>
        <v>#N/A</v>
      </c>
      <c r="EE192" s="318" t="str">
        <f t="shared" si="288"/>
        <v/>
      </c>
      <c r="EF192" s="318" t="e">
        <f>IF($J192="",#N/A,SUM(EE$4:EE192))</f>
        <v>#N/A</v>
      </c>
      <c r="EG192" s="318" t="e">
        <f>IF($J192="",#N/A,SUM(EE$4:EE192,EC$4:EC192,EA$4:EA192))</f>
        <v>#N/A</v>
      </c>
      <c r="EH192" s="211">
        <f t="shared" si="289"/>
        <v>35.444548820246439</v>
      </c>
      <c r="EI192" s="63">
        <f>IF(EH192="",#N/A,SUM($EH$4:EH192))</f>
        <v>716.44870778992345</v>
      </c>
      <c r="EJ192" s="223" t="e">
        <f t="shared" si="290"/>
        <v>#N/A</v>
      </c>
      <c r="EK192" s="63" t="e">
        <f>IF($GZ192="",#N/A,SUM(EJ$4:EJ192))</f>
        <v>#N/A</v>
      </c>
      <c r="EL192" s="60">
        <f t="shared" si="322"/>
        <v>1.4768562008436017</v>
      </c>
      <c r="EM192" s="60">
        <f>IF(EL192="",NA(),SUM($EL$4:EL192))</f>
        <v>24.180219729458997</v>
      </c>
      <c r="EN192" s="60" t="str">
        <f t="shared" si="291"/>
        <v/>
      </c>
      <c r="EO192" s="60" t="e">
        <f>IF(EN192="",NA(),SUM($EN$4:EN192))</f>
        <v>#N/A</v>
      </c>
      <c r="EP192" s="60" t="str">
        <f t="shared" si="292"/>
        <v/>
      </c>
      <c r="EQ192" s="60" t="e">
        <f>IF(EP192="",NA(),SUM($EP$4:EP192))</f>
        <v>#N/A</v>
      </c>
      <c r="ER192" s="60">
        <f t="shared" si="293"/>
        <v>1.4768562008436017</v>
      </c>
      <c r="ES192" s="60">
        <f>IF(ER192="",NA(),SUM($ER$4:ER192))</f>
        <v>11.002973005874329</v>
      </c>
      <c r="ET192" s="60" t="str">
        <f t="shared" si="294"/>
        <v/>
      </c>
      <c r="EU192" s="60" t="e">
        <f>IF(ET192="",NA(),SUM($ET$4:ET192))</f>
        <v>#N/A</v>
      </c>
      <c r="EV192" s="60" t="str">
        <f t="shared" si="295"/>
        <v/>
      </c>
      <c r="EW192" s="60" t="e">
        <f>IF(EV192="",NA(),SUM($EV$4:EV192))</f>
        <v>#N/A</v>
      </c>
      <c r="EX192" s="60" t="str">
        <f t="shared" si="296"/>
        <v/>
      </c>
      <c r="EY192" s="60" t="e">
        <f>IF(EX192="",NA(),SUM($EX$4:EX192))</f>
        <v>#N/A</v>
      </c>
      <c r="EZ192" s="60" t="str">
        <f t="shared" si="297"/>
        <v/>
      </c>
      <c r="FA192" s="60" t="e">
        <f>IF(EZ192="",NA(),SUM($EZ$4:EZ192))</f>
        <v>#N/A</v>
      </c>
      <c r="FB192" s="246">
        <f t="shared" si="323"/>
        <v>-1.8277430881729941</v>
      </c>
      <c r="FC192" s="246">
        <f>IF($FB192="",#N/A,SUM(FB$4:$FB192))</f>
        <v>-0.47920215550659995</v>
      </c>
      <c r="FD192" s="60" t="str">
        <f t="shared" si="298"/>
        <v/>
      </c>
      <c r="FE192" s="60" t="e">
        <f>IF($FD192="",#N/A,SUM($FD$4:FD192))</f>
        <v>#N/A</v>
      </c>
      <c r="FF192" s="60" t="str">
        <f t="shared" si="299"/>
        <v/>
      </c>
      <c r="FG192" s="60" t="e">
        <f>IF($FF192="",#N/A,SUM($FF$4:FF192))</f>
        <v>#N/A</v>
      </c>
      <c r="FH192" s="60" t="str">
        <f t="shared" si="300"/>
        <v/>
      </c>
      <c r="FI192" s="60" t="e">
        <f>IF($FH192="",#N/A,SUM($FH$4:FH192))</f>
        <v>#N/A</v>
      </c>
      <c r="FJ192" s="60" t="str">
        <f t="shared" si="301"/>
        <v/>
      </c>
      <c r="FK192" s="60" t="e">
        <f>IF($FJ192="",#N/A,SUM($FJ$4:FJ192))</f>
        <v>#N/A</v>
      </c>
      <c r="FL192" s="60" t="str">
        <f t="shared" si="302"/>
        <v/>
      </c>
      <c r="FM192" s="60" t="e">
        <f>IF($FL192="",#N/A,SUM($FL$4:FL192))</f>
        <v>#N/A</v>
      </c>
      <c r="FN192" s="82">
        <f t="shared" si="303"/>
        <v>-0.35088688732939249</v>
      </c>
      <c r="FO192" s="82">
        <f>IF($FN192="",#N/A,SUM(FN$4:$FN192))</f>
        <v>29.769882147049199</v>
      </c>
      <c r="FP192" s="82">
        <f t="shared" si="324"/>
        <v>1.4768562008436017</v>
      </c>
      <c r="FQ192" s="246">
        <f>IF($EH192="",#N/A,SUM($FP$4:FP192))</f>
        <v>27.841007792940268</v>
      </c>
      <c r="FR192" s="82">
        <f>IFERROR(FQ192/COUNTA($J$4:J192),#N/A)</f>
        <v>0.1473069195393665</v>
      </c>
      <c r="FS192" s="82">
        <f t="shared" si="336"/>
        <v>0.10084249129826042</v>
      </c>
      <c r="FT192" s="82">
        <f t="shared" si="341"/>
        <v>0.1089706869783727</v>
      </c>
      <c r="FU192" s="273"/>
      <c r="FV192" s="57" t="str">
        <f t="shared" si="305"/>
        <v>Dwn</v>
      </c>
      <c r="FW192" s="57" t="s">
        <v>2733</v>
      </c>
      <c r="FX192" s="57" t="str">
        <f t="shared" si="306"/>
        <v/>
      </c>
      <c r="FY192" s="57" t="str">
        <f t="shared" si="307"/>
        <v/>
      </c>
      <c r="FZ192" s="57" t="str">
        <f t="shared" si="308"/>
        <v/>
      </c>
      <c r="GA192" s="57" t="str">
        <f t="shared" si="309"/>
        <v>Short</v>
      </c>
      <c r="GB192" s="57">
        <f t="shared" si="310"/>
        <v>1</v>
      </c>
      <c r="GC192" s="57" t="str">
        <f t="shared" si="311"/>
        <v/>
      </c>
      <c r="GD192" s="57" t="str">
        <f t="shared" si="312"/>
        <v/>
      </c>
      <c r="GE192" s="62">
        <f t="shared" si="339"/>
        <v>1809.7</v>
      </c>
      <c r="GF192" s="62" t="s">
        <v>2780</v>
      </c>
      <c r="GG192" s="99">
        <f>400/I192</f>
        <v>0.22103111012875062</v>
      </c>
      <c r="GH192" s="207">
        <f t="shared" si="313"/>
        <v>400</v>
      </c>
      <c r="GI192" s="99">
        <f t="shared" si="337"/>
        <v>0.22103111012875062</v>
      </c>
      <c r="GJ192" s="98">
        <f>J192</f>
        <v>1649.34</v>
      </c>
      <c r="GK192" s="63">
        <f t="shared" si="314"/>
        <v>35.444548820246439</v>
      </c>
      <c r="GL192" s="63">
        <f t="shared" si="340"/>
        <v>-8.4212852959054203</v>
      </c>
      <c r="GM192" s="82" t="str">
        <f t="shared" si="315"/>
        <v/>
      </c>
      <c r="GN192" s="82">
        <f>IF($GZ192="",#N/A,SUM(GM$4:GM192))</f>
        <v>7.5168423594583071</v>
      </c>
      <c r="GO192" s="82" t="str">
        <f t="shared" si="316"/>
        <v/>
      </c>
      <c r="GP192" s="82">
        <f>IF($GZ192="",#N/A,SUM(GO$4:GO192))</f>
        <v>9.8419544639707812</v>
      </c>
      <c r="GQ192" s="82">
        <f t="shared" si="317"/>
        <v>-0.35088688732939249</v>
      </c>
      <c r="GR192" s="82">
        <f>IF($GZ192="",#N/A,SUM(GQ$4:GQ192))</f>
        <v>11.785248369177763</v>
      </c>
      <c r="GS192" s="63" t="str">
        <f t="shared" si="325"/>
        <v/>
      </c>
      <c r="GT192" s="63" t="e">
        <f>IF($GZ192="",#N/A,SUM(GS$4:GS192))</f>
        <v>#N/A</v>
      </c>
      <c r="GU192" s="63" t="str">
        <f t="shared" si="326"/>
        <v/>
      </c>
      <c r="GV192" s="63" t="e">
        <f>IF($GZ192="",#N/A,SUM(GU$4:GU192))</f>
        <v>#N/A</v>
      </c>
      <c r="GW192" s="63" t="e">
        <f t="shared" si="327"/>
        <v>#N/A</v>
      </c>
      <c r="GX192" s="63" t="e">
        <f>IF($GZ192="",#N/A,SUM(GW$4:GW192))</f>
        <v>#N/A</v>
      </c>
      <c r="GY192" s="63" t="e">
        <f>IF(EJ192="",#N/A,SUM($EJ$4:EJ192))</f>
        <v>#N/A</v>
      </c>
      <c r="GZ192" s="159">
        <v>1847.8</v>
      </c>
      <c r="HA192" s="63">
        <f t="shared" si="318"/>
        <v>-43.865834116151859</v>
      </c>
      <c r="HB192" s="130" t="s">
        <v>4970</v>
      </c>
      <c r="HC192" s="60">
        <f>IFERROR(VLOOKUP(E192,Expectancy!$P$4:$S$19,1+C192,FALSE),"")</f>
        <v>0.78642334455186147</v>
      </c>
      <c r="HD192" s="82" t="str">
        <f t="shared" si="319"/>
        <v/>
      </c>
      <c r="HE192" s="60" t="e">
        <f>IF(HD192="",#N/A,SUM($HD$4:HD192))</f>
        <v>#N/A</v>
      </c>
      <c r="HF192" s="85" t="e">
        <f>IF(HD192="",#N/A,IF(HB192="Skip",#N/A,SUM($HG$4:HG192)))</f>
        <v>#N/A</v>
      </c>
      <c r="HG192" s="205" t="str">
        <f t="shared" si="320"/>
        <v/>
      </c>
      <c r="HH192" s="82">
        <f t="shared" si="321"/>
        <v>-0.35088688732939249</v>
      </c>
    </row>
    <row r="193" spans="1:216" x14ac:dyDescent="0.25">
      <c r="A193" s="57" t="s">
        <v>1428</v>
      </c>
      <c r="B193" s="58" t="s">
        <v>5200</v>
      </c>
      <c r="C193" s="386">
        <f t="shared" si="230"/>
        <v>3</v>
      </c>
      <c r="D193" s="372" t="str">
        <f>_xlfn.XLOOKUP(A193,[1]SP500!$A$2:$A$502,[1]SP500!$D$2:$D$502,"N")</f>
        <v>Y</v>
      </c>
      <c r="E193" s="103" t="str">
        <f>_xlfn.XLOOKUP(A193,[1]SP500!$A$2:$A$655,[1]SP500!$B$2:$B$655)</f>
        <v>INS</v>
      </c>
      <c r="F193" s="59">
        <v>45692</v>
      </c>
      <c r="G193" s="57" t="str">
        <f t="shared" si="231"/>
        <v>AMC</v>
      </c>
      <c r="H193" s="57" t="str">
        <f t="shared" si="232"/>
        <v>o</v>
      </c>
      <c r="I193" s="159">
        <v>117.95</v>
      </c>
      <c r="J193" s="159">
        <v>114.84</v>
      </c>
      <c r="K193" s="61">
        <f t="shared" si="233"/>
        <v>-2.6367104705383632E-2</v>
      </c>
      <c r="L193" s="87">
        <f t="shared" si="234"/>
        <v>9.3300000000000409</v>
      </c>
      <c r="M193" s="130">
        <f t="shared" si="338"/>
        <v>0</v>
      </c>
      <c r="N193" s="169" t="str">
        <f t="shared" si="235"/>
        <v/>
      </c>
      <c r="O193" s="169">
        <f>IF($J193="",#N/A,SUM($N$4:N193))</f>
        <v>307.94438262948194</v>
      </c>
      <c r="P193" s="174" t="str">
        <f t="shared" si="236"/>
        <v/>
      </c>
      <c r="Q193" s="174">
        <f>IF($J193="",#N/A,SUM($P$4:P193))</f>
        <v>286.8455890579728</v>
      </c>
      <c r="R193" s="178">
        <f t="shared" si="237"/>
        <v>-9.3300000000000409</v>
      </c>
      <c r="S193" s="178">
        <f>IF($J193="",#N/A,SUM($R$4:R193))</f>
        <v>112.32873610246861</v>
      </c>
      <c r="T193" s="290" t="str">
        <f t="shared" si="238"/>
        <v/>
      </c>
      <c r="U193" s="290">
        <f>IF($J193="",#N/A,SUM($T$4:T193))</f>
        <v>11.292495043304985</v>
      </c>
      <c r="V193" s="291" t="str">
        <f t="shared" si="239"/>
        <v/>
      </c>
      <c r="W193" s="291">
        <f>IF($J193="",#N/A,SUM($V$4:V193))</f>
        <v>11.705368458574288</v>
      </c>
      <c r="X193" s="292">
        <f t="shared" si="240"/>
        <v>-0.43945174508972917</v>
      </c>
      <c r="Y193" s="283">
        <f>IF($J193="",#N/A,SUM($X$4:X193))</f>
        <v>4.403692545971257</v>
      </c>
      <c r="Z193" s="304" t="str">
        <f t="shared" si="241"/>
        <v/>
      </c>
      <c r="AA193" s="313" t="e">
        <f>IF($J193="",#N/A,SUM(Z$4:Z193))</f>
        <v>#N/A</v>
      </c>
      <c r="AB193" s="314" t="str">
        <f t="shared" si="242"/>
        <v/>
      </c>
      <c r="AC193" s="314" t="e">
        <f>IF($J193="",#N/A,SUM(AB$4:AB193))</f>
        <v>#N/A</v>
      </c>
      <c r="AD193" s="315" t="str">
        <f t="shared" si="243"/>
        <v/>
      </c>
      <c r="AE193" s="315" t="e">
        <f>IF($J193="",#N/A,SUM(AD$4:AD193))</f>
        <v>#N/A</v>
      </c>
      <c r="AF193" s="315" t="e">
        <f>IF($J193="",#N/A,SUM(AD$4:AD193,AB$4:AB193,Z$4:Z193))</f>
        <v>#N/A</v>
      </c>
      <c r="AG193" s="304" t="str">
        <f t="shared" si="244"/>
        <v/>
      </c>
      <c r="AH193" s="313" t="e">
        <f>IF($J193="",#N/A,SUM(AG$4:AG193))</f>
        <v>#N/A</v>
      </c>
      <c r="AI193" s="314" t="str">
        <f t="shared" si="245"/>
        <v/>
      </c>
      <c r="AJ193" s="314" t="e">
        <f>IF($J193="",#N/A,SUM(AI$4:AI193))</f>
        <v>#N/A</v>
      </c>
      <c r="AK193" s="315" t="str">
        <f t="shared" si="246"/>
        <v/>
      </c>
      <c r="AL193" s="315" t="e">
        <f>IF($J193="",#N/A,SUM(AK$4:AK193))</f>
        <v>#N/A</v>
      </c>
      <c r="AM193" s="315" t="e">
        <f>IF($J193="",#N/A,SUM(AK$4:AK193,AI$4:AI193,AG$4:AG193))</f>
        <v>#N/A</v>
      </c>
      <c r="AN193" s="304" t="str">
        <f t="shared" si="247"/>
        <v/>
      </c>
      <c r="AO193" s="313" t="e">
        <f>IF($J193="",#N/A,SUM(AN$4:AN193))</f>
        <v>#N/A</v>
      </c>
      <c r="AP193" s="314" t="str">
        <f t="shared" si="248"/>
        <v/>
      </c>
      <c r="AQ193" s="314" t="e">
        <f>IF($J193="",#N/A,SUM(AP$4:AP193))</f>
        <v>#N/A</v>
      </c>
      <c r="AR193" s="315" t="str">
        <f t="shared" si="249"/>
        <v/>
      </c>
      <c r="AS193" s="315" t="e">
        <f>IF($J193="",#N/A,SUM(AR$4:AR193))</f>
        <v>#N/A</v>
      </c>
      <c r="AT193" s="315" t="e">
        <f>IF($J193="",#N/A,SUM(AR$4:AR193,AP$4:AP193,AN$4:AN193))</f>
        <v>#N/A</v>
      </c>
      <c r="AU193" s="304" t="str">
        <f t="shared" si="250"/>
        <v/>
      </c>
      <c r="AV193" s="313" t="e">
        <f>IF($J193="",#N/A,SUM(AU$4:AU193))</f>
        <v>#N/A</v>
      </c>
      <c r="AW193" s="314" t="str">
        <f t="shared" si="251"/>
        <v/>
      </c>
      <c r="AX193" s="314" t="e">
        <f>IF($J193="",#N/A,SUM(AW$4:AW193))</f>
        <v>#N/A</v>
      </c>
      <c r="AY193" s="315" t="str">
        <f t="shared" si="252"/>
        <v/>
      </c>
      <c r="AZ193" s="315" t="e">
        <f>IF($J193="",#N/A,SUM(AY$4:AY193))</f>
        <v>#N/A</v>
      </c>
      <c r="BA193" s="315" t="e">
        <f>IF($J193="",#N/A,SUM(AY$4:AY193,AW$4:AW193,AU$4:AU193))</f>
        <v>#N/A</v>
      </c>
      <c r="BB193" s="304" t="str">
        <f t="shared" si="253"/>
        <v/>
      </c>
      <c r="BC193" s="313" t="e">
        <f>IF($J193="",#N/A,SUM(BB$4:BB193))</f>
        <v>#N/A</v>
      </c>
      <c r="BD193" s="314" t="str">
        <f t="shared" si="254"/>
        <v/>
      </c>
      <c r="BE193" s="314" t="e">
        <f>IF($J193="",#N/A,SUM(BD$4:BD193))</f>
        <v>#N/A</v>
      </c>
      <c r="BF193" s="315" t="str">
        <f t="shared" si="255"/>
        <v/>
      </c>
      <c r="BG193" s="315" t="e">
        <f>IF($J193="",#N/A,SUM(BF$4:BF193))</f>
        <v>#N/A</v>
      </c>
      <c r="BH193" s="315" t="e">
        <f>IF($J193="",#N/A,SUM(BF$4:BF193,BD$4:BD193,BB$4:BB193))</f>
        <v>#N/A</v>
      </c>
      <c r="BI193" s="304" t="str">
        <f t="shared" si="256"/>
        <v/>
      </c>
      <c r="BJ193" s="313" t="e">
        <f>IF($J193="",#N/A,SUM(BI$4:BI193))</f>
        <v>#N/A</v>
      </c>
      <c r="BK193" s="314" t="str">
        <f t="shared" si="257"/>
        <v/>
      </c>
      <c r="BL193" s="314" t="e">
        <f>IF($J193="",#N/A,SUM(BK$4:BK193))</f>
        <v>#N/A</v>
      </c>
      <c r="BM193" s="315" t="str">
        <f t="shared" si="258"/>
        <v/>
      </c>
      <c r="BN193" s="315" t="e">
        <f>IF($J193="",#N/A,SUM(BM$4:BM193))</f>
        <v>#N/A</v>
      </c>
      <c r="BO193" s="315" t="e">
        <f>IF($J193="",#N/A,SUM(BM$4:BM193,BK$4:BK193,BI$4:BI193))</f>
        <v>#N/A</v>
      </c>
      <c r="BP193" s="304" t="str">
        <f t="shared" si="259"/>
        <v/>
      </c>
      <c r="BQ193" s="313" t="e">
        <f>IF($J193="",#N/A,SUM(BP$4:BP193))</f>
        <v>#N/A</v>
      </c>
      <c r="BR193" s="314" t="str">
        <f t="shared" si="260"/>
        <v/>
      </c>
      <c r="BS193" s="314" t="e">
        <f>IF($J193="",#N/A,SUM(BR$4:BR193))</f>
        <v>#N/A</v>
      </c>
      <c r="BT193" s="315" t="str">
        <f t="shared" si="261"/>
        <v/>
      </c>
      <c r="BU193" s="315" t="e">
        <f>IF($J193="",#N/A,SUM(BT$4:BT193))</f>
        <v>#N/A</v>
      </c>
      <c r="BV193" s="315" t="e">
        <f>IF($J193="",#N/A,SUM(BT$4:BT193,BR$4:BR193,BP$4:BP193))</f>
        <v>#N/A</v>
      </c>
      <c r="BW193" s="304" t="str">
        <f t="shared" si="262"/>
        <v/>
      </c>
      <c r="BX193" s="313" t="e">
        <f>IF($J193="",#N/A,SUM(BW$4:BW193))</f>
        <v>#N/A</v>
      </c>
      <c r="BY193" s="314" t="str">
        <f t="shared" si="263"/>
        <v/>
      </c>
      <c r="BZ193" s="314" t="e">
        <f>IF($J193="",#N/A,SUM(BY$4:BY193))</f>
        <v>#N/A</v>
      </c>
      <c r="CA193" s="315" t="str">
        <f t="shared" si="264"/>
        <v/>
      </c>
      <c r="CB193" s="315" t="e">
        <f>IF($J193="",#N/A,SUM(CA$4:CA193))</f>
        <v>#N/A</v>
      </c>
      <c r="CC193" s="315" t="e">
        <f>IF($J193="",#N/A,SUM(CA$4:CA193,BY$4:BY193,BW$4:BW193))</f>
        <v>#N/A</v>
      </c>
      <c r="CD193" s="304" t="str">
        <f t="shared" si="265"/>
        <v/>
      </c>
      <c r="CE193" s="313" t="e">
        <f>IF($J193="",#N/A,SUM(CD$4:CD193))</f>
        <v>#N/A</v>
      </c>
      <c r="CF193" s="314" t="str">
        <f t="shared" si="266"/>
        <v/>
      </c>
      <c r="CG193" s="314" t="e">
        <f>IF($J193="",#N/A,SUM(CF$4:CF193))</f>
        <v>#N/A</v>
      </c>
      <c r="CH193" s="315" t="str">
        <f t="shared" si="267"/>
        <v/>
      </c>
      <c r="CI193" s="315" t="e">
        <f>IF($J193="",#N/A,SUM(CH$4:CH193))</f>
        <v>#N/A</v>
      </c>
      <c r="CJ193" s="315" t="e">
        <f>IF($J193="",#N/A,SUM(CH$4:CH193,CF$4:CF193,CD$4:CD193))</f>
        <v>#N/A</v>
      </c>
      <c r="CK193" s="304" t="str">
        <f t="shared" si="268"/>
        <v/>
      </c>
      <c r="CL193" s="313" t="e">
        <f>IF($J193="",#N/A,SUM(CK$4:CK193))</f>
        <v>#N/A</v>
      </c>
      <c r="CM193" s="314" t="str">
        <f t="shared" si="269"/>
        <v/>
      </c>
      <c r="CN193" s="314" t="e">
        <f>IF($J193="",#N/A,SUM(CM$4:CM193))</f>
        <v>#N/A</v>
      </c>
      <c r="CO193" s="315" t="str">
        <f t="shared" si="270"/>
        <v/>
      </c>
      <c r="CP193" s="315" t="e">
        <f>IF($J193="",#N/A,SUM(CO$4:CO193))</f>
        <v>#N/A</v>
      </c>
      <c r="CQ193" s="315" t="e">
        <f>IF($J193="",#N/A,SUM(CO$4:CO193,CM$4:CM193,CK$4:CK193))</f>
        <v>#N/A</v>
      </c>
      <c r="CR193" s="304" t="str">
        <f t="shared" si="271"/>
        <v/>
      </c>
      <c r="CS193" s="313" t="e">
        <f>IF($J193="",#N/A,SUM(CR$4:CR193))</f>
        <v>#N/A</v>
      </c>
      <c r="CT193" s="314" t="str">
        <f t="shared" si="272"/>
        <v/>
      </c>
      <c r="CU193" s="314" t="e">
        <f>IF($J193="",#N/A,SUM(CT$4:CT193))</f>
        <v>#N/A</v>
      </c>
      <c r="CV193" s="315" t="str">
        <f t="shared" si="273"/>
        <v/>
      </c>
      <c r="CW193" s="315" t="e">
        <f>IF($J193="",#N/A,SUM(CV$4:CV193))</f>
        <v>#N/A</v>
      </c>
      <c r="CX193" s="315" t="e">
        <f>IF($J193="",#N/A,SUM(CV$4:CV193,CT$4:CT193,CR$4:CR193))</f>
        <v>#N/A</v>
      </c>
      <c r="CY193" s="304" t="str">
        <f t="shared" si="274"/>
        <v/>
      </c>
      <c r="CZ193" s="313" t="e">
        <f>IF($J193="",#N/A,SUM(CY$4:CY193))</f>
        <v>#N/A</v>
      </c>
      <c r="DA193" s="314" t="str">
        <f t="shared" si="275"/>
        <v/>
      </c>
      <c r="DB193" s="314" t="e">
        <f>IF($J193="",#N/A,SUM(DA$4:DA193))</f>
        <v>#N/A</v>
      </c>
      <c r="DC193" s="315" t="str">
        <f t="shared" si="276"/>
        <v/>
      </c>
      <c r="DD193" s="315" t="e">
        <f>IF($J193="",#N/A,SUM(DC$4:DC193))</f>
        <v>#N/A</v>
      </c>
      <c r="DE193" s="315" t="e">
        <f>IF($J193="",#N/A,SUM(DC$4:DC193,DA$4:DA193,CY$4:CY193))</f>
        <v>#N/A</v>
      </c>
      <c r="DF193" s="304" t="str">
        <f t="shared" si="277"/>
        <v/>
      </c>
      <c r="DG193" s="313" t="e">
        <f>IF($J193="",#N/A,SUM(DF$4:DF193))</f>
        <v>#N/A</v>
      </c>
      <c r="DH193" s="314" t="str">
        <f t="shared" si="278"/>
        <v/>
      </c>
      <c r="DI193" s="314" t="e">
        <f>IF($J193="",#N/A,SUM(DH$4:DH193))</f>
        <v>#N/A</v>
      </c>
      <c r="DJ193" s="315" t="str">
        <f t="shared" si="279"/>
        <v/>
      </c>
      <c r="DK193" s="315" t="e">
        <f>IF($J193="",#N/A,SUM(DJ$4:DJ193))</f>
        <v>#N/A</v>
      </c>
      <c r="DL193" s="315" t="e">
        <f>IF($J193="",#N/A,SUM(DJ$4:DJ193,DH$4:DH193,DF$4:DF193))</f>
        <v>#N/A</v>
      </c>
      <c r="DM193" s="304" t="str">
        <f t="shared" si="280"/>
        <v/>
      </c>
      <c r="DN193" s="313" t="e">
        <f>IF($J193="",#N/A,SUM(DM$4:DM193))</f>
        <v>#N/A</v>
      </c>
      <c r="DO193" s="314" t="str">
        <f t="shared" si="281"/>
        <v/>
      </c>
      <c r="DP193" s="314" t="e">
        <f>IF($J193="",#N/A,SUM(DO$4:DO193))</f>
        <v>#N/A</v>
      </c>
      <c r="DQ193" s="315">
        <f t="shared" si="282"/>
        <v>-0.43945174508972917</v>
      </c>
      <c r="DR193" s="315" t="e">
        <f>IF($J193="",#N/A,SUM(DQ$4:DQ193))</f>
        <v>#N/A</v>
      </c>
      <c r="DS193" s="315" t="e">
        <f>IF($J193="",#N/A,SUM(DQ$4:DQ193,DO$4:DO193,DM$4:DM193))</f>
        <v>#N/A</v>
      </c>
      <c r="DT193" s="304" t="str">
        <f t="shared" si="283"/>
        <v/>
      </c>
      <c r="DU193" s="313" t="e">
        <f>IF($J193="",#N/A,SUM(DT$4:DT193))</f>
        <v>#N/A</v>
      </c>
      <c r="DV193" s="314" t="str">
        <f t="shared" si="284"/>
        <v/>
      </c>
      <c r="DW193" s="314" t="e">
        <f>IF($J193="",#N/A,SUM(DV$4:DV193))</f>
        <v>#N/A</v>
      </c>
      <c r="DX193" s="315" t="str">
        <f t="shared" si="285"/>
        <v/>
      </c>
      <c r="DY193" s="315" t="e">
        <f>IF($J193="",#N/A,SUM(DX$4:DX193))</f>
        <v>#N/A</v>
      </c>
      <c r="DZ193" s="315" t="e">
        <f>IF($J193="",#N/A,SUM(DX$4:DX193,DV$4:DV193,DT$4:DT193))</f>
        <v>#N/A</v>
      </c>
      <c r="EA193" s="304" t="str">
        <f t="shared" si="286"/>
        <v/>
      </c>
      <c r="EB193" s="313" t="e">
        <f>IF($J193="",#N/A,SUM(EA$4:EA193))</f>
        <v>#N/A</v>
      </c>
      <c r="EC193" s="314" t="str">
        <f t="shared" si="287"/>
        <v/>
      </c>
      <c r="ED193" s="314" t="e">
        <f>IF($J193="",#N/A,SUM(EC$4:EC193))</f>
        <v>#N/A</v>
      </c>
      <c r="EE193" s="315" t="str">
        <f t="shared" si="288"/>
        <v/>
      </c>
      <c r="EF193" s="315" t="e">
        <f>IF($J193="",#N/A,SUM(EE$4:EE193))</f>
        <v>#N/A</v>
      </c>
      <c r="EG193" s="315" t="e">
        <f>IF($J193="",#N/A,SUM(EE$4:EE193,EC$4:EC193,EA$4:EA193))</f>
        <v>#N/A</v>
      </c>
      <c r="EH193" s="130">
        <f t="shared" si="289"/>
        <v>-9.3300000000000409</v>
      </c>
      <c r="EI193" s="63">
        <f>IF(EH193="",#N/A,SUM($EH$4:EH193))</f>
        <v>707.11870778992341</v>
      </c>
      <c r="EJ193" s="223" t="e">
        <f t="shared" si="290"/>
        <v>#N/A</v>
      </c>
      <c r="EK193" s="63" t="e">
        <f>IF($GZ193="",#N/A,SUM(EJ$4:EJ193))</f>
        <v>#N/A</v>
      </c>
      <c r="EL193" s="60">
        <f t="shared" si="322"/>
        <v>-0.43945174508972917</v>
      </c>
      <c r="EM193" s="60">
        <f>IF(EL193="",NA(),SUM($EL$4:EL193))</f>
        <v>23.740767984369267</v>
      </c>
      <c r="EN193" s="60" t="str">
        <f t="shared" si="291"/>
        <v/>
      </c>
      <c r="EO193" s="60" t="e">
        <f>IF(EN193="",NA(),SUM($EN$4:EN193))</f>
        <v>#N/A</v>
      </c>
      <c r="EP193" s="60">
        <f t="shared" si="292"/>
        <v>-0.43945174508972917</v>
      </c>
      <c r="EQ193" s="60">
        <f>IF(EP193="",NA(),SUM($EP$4:EP193))</f>
        <v>5.3314494660484506</v>
      </c>
      <c r="ER193" s="60" t="str">
        <f t="shared" si="293"/>
        <v/>
      </c>
      <c r="ES193" s="60" t="e">
        <f>IF(ER193="",NA(),SUM($ER$4:ER193))</f>
        <v>#N/A</v>
      </c>
      <c r="ET193" s="60" t="str">
        <f t="shared" si="294"/>
        <v/>
      </c>
      <c r="EU193" s="60" t="e">
        <f>IF(ET193="",NA(),SUM($ET$4:ET193))</f>
        <v>#N/A</v>
      </c>
      <c r="EV193" s="60" t="str">
        <f t="shared" si="295"/>
        <v/>
      </c>
      <c r="EW193" s="60" t="e">
        <f>IF(EV193="",NA(),SUM($EV$4:EV193))</f>
        <v>#N/A</v>
      </c>
      <c r="EX193" s="60" t="str">
        <f t="shared" si="296"/>
        <v/>
      </c>
      <c r="EY193" s="60" t="e">
        <f>IF(EX193="",NA(),SUM($EX$4:EX193))</f>
        <v>#N/A</v>
      </c>
      <c r="EZ193" s="60" t="str">
        <f t="shared" si="297"/>
        <v/>
      </c>
      <c r="FA193" s="60" t="e">
        <f>IF(EZ193="",NA(),SUM($EZ$4:EZ193))</f>
        <v>#N/A</v>
      </c>
      <c r="FB193" s="246" t="str">
        <f t="shared" si="323"/>
        <v/>
      </c>
      <c r="FC193" s="246" t="e">
        <f>IF($FB193="",#N/A,SUM(FB$4:$FB193))</f>
        <v>#N/A</v>
      </c>
      <c r="FD193" s="60" t="str">
        <f t="shared" si="298"/>
        <v/>
      </c>
      <c r="FE193" s="60" t="e">
        <f>IF($FD193="",#N/A,SUM($FD$4:FD193))</f>
        <v>#N/A</v>
      </c>
      <c r="FF193" s="60" t="str">
        <f t="shared" si="299"/>
        <v/>
      </c>
      <c r="FG193" s="60" t="e">
        <f>IF($FF193="",#N/A,SUM($FF$4:FF193))</f>
        <v>#N/A</v>
      </c>
      <c r="FH193" s="60" t="str">
        <f t="shared" si="300"/>
        <v/>
      </c>
      <c r="FI193" s="60" t="e">
        <f>IF($FH193="",#N/A,SUM($FH$4:FH193))</f>
        <v>#N/A</v>
      </c>
      <c r="FJ193" s="60" t="str">
        <f t="shared" si="301"/>
        <v/>
      </c>
      <c r="FK193" s="60" t="e">
        <f>IF($FJ193="",#N/A,SUM($FJ$4:FJ193))</f>
        <v>#N/A</v>
      </c>
      <c r="FL193" s="60">
        <f t="shared" si="302"/>
        <v>-0.11021619330224552</v>
      </c>
      <c r="FM193" s="60">
        <f>IF($FL193="",#N/A,SUM($FL$4:FL193))</f>
        <v>4.1888415986138936</v>
      </c>
      <c r="FN193" s="82">
        <f t="shared" si="303"/>
        <v>-0.5496679383919747</v>
      </c>
      <c r="FO193" s="82">
        <f>IF($FN193="",#N/A,SUM(FN$4:$FN193))</f>
        <v>29.220214208657225</v>
      </c>
      <c r="FP193" s="82">
        <f t="shared" si="324"/>
        <v>-0.43945174508972917</v>
      </c>
      <c r="FQ193" s="246">
        <f>IF($EH193="",#N/A,SUM($FP$4:FP193))</f>
        <v>27.401556047850537</v>
      </c>
      <c r="FR193" s="82">
        <f>IFERROR(FQ193/COUNTA($J$4:J193),#N/A)</f>
        <v>0.14421871604131861</v>
      </c>
      <c r="FS193" s="82">
        <f t="shared" si="336"/>
        <v>0.11501198547389445</v>
      </c>
      <c r="FT193" s="82">
        <f t="shared" si="341"/>
        <v>9.6906647318148201E-2</v>
      </c>
      <c r="FU193" s="337">
        <f>IF(AND(HB193="MOC",GZ193=""),#N/A,IFERROR(FQ193-HE193,FQ193-0))-14.53</f>
        <v>13.600175979921323</v>
      </c>
      <c r="FV193" s="57" t="str">
        <f t="shared" si="305"/>
        <v>SW</v>
      </c>
      <c r="FW193" s="57" t="s">
        <v>2732</v>
      </c>
      <c r="FX193" s="57" t="str">
        <f t="shared" si="306"/>
        <v/>
      </c>
      <c r="FY193" s="57" t="str">
        <f t="shared" si="307"/>
        <v/>
      </c>
      <c r="FZ193" s="57" t="str">
        <f t="shared" si="308"/>
        <v/>
      </c>
      <c r="GA193" s="57" t="str">
        <f t="shared" si="309"/>
        <v>Long</v>
      </c>
      <c r="GB193" s="57" t="str">
        <f t="shared" si="310"/>
        <v/>
      </c>
      <c r="GC193" s="57" t="str">
        <f t="shared" si="311"/>
        <v/>
      </c>
      <c r="GD193" s="57">
        <f t="shared" si="312"/>
        <v>1</v>
      </c>
      <c r="GE193" s="62">
        <f t="shared" si="339"/>
        <v>117.95</v>
      </c>
      <c r="GF193" s="62" t="s">
        <v>2780</v>
      </c>
      <c r="GG193" s="199">
        <v>3</v>
      </c>
      <c r="GH193" s="207">
        <f t="shared" si="313"/>
        <v>353.85</v>
      </c>
      <c r="GI193" s="199">
        <f t="shared" si="337"/>
        <v>3</v>
      </c>
      <c r="GJ193" s="200">
        <v>114.84</v>
      </c>
      <c r="GK193" s="63">
        <f t="shared" si="314"/>
        <v>9.3300000000000409</v>
      </c>
      <c r="GL193" s="63">
        <f t="shared" si="340"/>
        <v>11.670000000000016</v>
      </c>
      <c r="GM193" s="82">
        <f t="shared" si="315"/>
        <v>-0.5496679383919747</v>
      </c>
      <c r="GN193" s="82">
        <f>IF($GZ193="",#N/A,SUM(GM$4:GM193))</f>
        <v>6.967174421066332</v>
      </c>
      <c r="GO193" s="82" t="str">
        <f t="shared" si="316"/>
        <v/>
      </c>
      <c r="GP193" s="82">
        <f>IF($GZ193="",#N/A,SUM(GO$4:GO193))</f>
        <v>9.8419544639707812</v>
      </c>
      <c r="GQ193" s="82" t="str">
        <f t="shared" si="317"/>
        <v/>
      </c>
      <c r="GR193" s="82">
        <f>IF($GZ193="",#N/A,SUM(GQ$4:GQ193))</f>
        <v>11.785248369177763</v>
      </c>
      <c r="GS193" s="63" t="e">
        <f t="shared" si="325"/>
        <v>#N/A</v>
      </c>
      <c r="GT193" s="63" t="e">
        <f>IF($GZ193="",#N/A,SUM(GS$4:GS193))</f>
        <v>#N/A</v>
      </c>
      <c r="GU193" s="63" t="str">
        <f t="shared" si="326"/>
        <v/>
      </c>
      <c r="GV193" s="63" t="e">
        <f>IF($GZ193="",#N/A,SUM(GU$4:GU193))</f>
        <v>#N/A</v>
      </c>
      <c r="GW193" s="63" t="str">
        <f t="shared" si="327"/>
        <v/>
      </c>
      <c r="GX193" s="63" t="e">
        <f>IF($GZ193="",#N/A,SUM(GW$4:GW193))</f>
        <v>#N/A</v>
      </c>
      <c r="GY193" s="63" t="e">
        <f>IF(EJ193="",#N/A,SUM($EJ$4:EJ193))</f>
        <v>#N/A</v>
      </c>
      <c r="GZ193" s="159">
        <v>114.06</v>
      </c>
      <c r="HA193" s="63">
        <f t="shared" si="318"/>
        <v>21.000000000000057</v>
      </c>
      <c r="HB193" s="62" t="s">
        <v>2538</v>
      </c>
      <c r="HC193" s="60">
        <f>IFERROR(VLOOKUP(E193,Expectancy!$P$4:$S$19,1+C193,FALSE),"")</f>
        <v>-3.1543782927977014E-2</v>
      </c>
      <c r="HD193" s="82">
        <f t="shared" si="319"/>
        <v>0.43945174508972917</v>
      </c>
      <c r="HE193" s="60">
        <f>IF(HD193="",#N/A,SUM($HD$4:HD193))</f>
        <v>-0.72861993207078524</v>
      </c>
      <c r="HF193" s="85">
        <f>IF(HD193="",#N/A,IF(HB193="Skip",#N/A,SUM($HG$4:HG193)))</f>
        <v>12.810000000000116</v>
      </c>
      <c r="HG193" s="63">
        <f t="shared" si="320"/>
        <v>9.3300000000000409</v>
      </c>
      <c r="HH193" s="82">
        <f t="shared" si="321"/>
        <v>-0.5496679383919747</v>
      </c>
    </row>
    <row r="194" spans="1:216" x14ac:dyDescent="0.25">
      <c r="A194" s="57" t="s">
        <v>1431</v>
      </c>
      <c r="B194" s="58" t="s">
        <v>5201</v>
      </c>
      <c r="C194" s="386">
        <f t="shared" si="230"/>
        <v>2</v>
      </c>
      <c r="D194" s="372" t="str">
        <f>_xlfn.XLOOKUP(A194,[1]SP500!$A$2:$A$502,[1]SP500!$D$2:$D$502,"N")</f>
        <v>Y</v>
      </c>
      <c r="E194" s="57" t="str">
        <f>_xlfn.XLOOKUP(A194,[1]SP500!$A$2:$A$655,[1]SP500!$B$2:$B$655)</f>
        <v>IGV</v>
      </c>
      <c r="F194" s="59">
        <v>45692</v>
      </c>
      <c r="G194" s="57" t="str">
        <f t="shared" si="231"/>
        <v>AMC</v>
      </c>
      <c r="H194" s="57" t="str">
        <f t="shared" si="232"/>
        <v>o</v>
      </c>
      <c r="I194" s="159">
        <v>121.25</v>
      </c>
      <c r="J194" s="159">
        <v>127.04</v>
      </c>
      <c r="K194" s="93">
        <f t="shared" si="233"/>
        <v>4.775257731958768E-2</v>
      </c>
      <c r="L194" s="87">
        <f t="shared" si="234"/>
        <v>-19.101030927835041</v>
      </c>
      <c r="M194" s="214" t="e">
        <f t="shared" si="338"/>
        <v>#N/A</v>
      </c>
      <c r="N194" s="169" t="str">
        <f t="shared" si="235"/>
        <v/>
      </c>
      <c r="O194" s="169">
        <f>IF($J194="",#N/A,SUM($N$4:N194))</f>
        <v>307.94438262948194</v>
      </c>
      <c r="P194" s="174">
        <f t="shared" si="236"/>
        <v>-19.101030927835041</v>
      </c>
      <c r="Q194" s="174">
        <f>IF($J194="",#N/A,SUM($P$4:P194))</f>
        <v>267.74455813013776</v>
      </c>
      <c r="R194" s="178" t="str">
        <f t="shared" si="237"/>
        <v/>
      </c>
      <c r="S194" s="178">
        <f>IF($J194="",#N/A,SUM($R$4:R194))</f>
        <v>112.32873610246861</v>
      </c>
      <c r="T194" s="290" t="str">
        <f t="shared" si="238"/>
        <v/>
      </c>
      <c r="U194" s="290">
        <f>IF($J194="",#N/A,SUM($T$4:T194))</f>
        <v>11.292495043304985</v>
      </c>
      <c r="V194" s="291">
        <f t="shared" si="239"/>
        <v>-0.79587628865979332</v>
      </c>
      <c r="W194" s="291">
        <f>IF($J194="",#N/A,SUM($V$4:V194))</f>
        <v>10.909492169914495</v>
      </c>
      <c r="X194" s="292" t="str">
        <f t="shared" si="240"/>
        <v/>
      </c>
      <c r="Y194" s="283">
        <f>IF($J194="",#N/A,SUM($X$4:X194))</f>
        <v>4.403692545971257</v>
      </c>
      <c r="Z194" s="304" t="str">
        <f t="shared" si="241"/>
        <v/>
      </c>
      <c r="AA194" s="313" t="e">
        <f>IF($J194="",#N/A,SUM(Z$4:Z194))</f>
        <v>#N/A</v>
      </c>
      <c r="AB194" s="314" t="str">
        <f t="shared" si="242"/>
        <v/>
      </c>
      <c r="AC194" s="314" t="e">
        <f>IF($J194="",#N/A,SUM(AB$4:AB194))</f>
        <v>#N/A</v>
      </c>
      <c r="AD194" s="315" t="str">
        <f t="shared" si="243"/>
        <v/>
      </c>
      <c r="AE194" s="315" t="e">
        <f>IF($J194="",#N/A,SUM(AD$4:AD194))</f>
        <v>#N/A</v>
      </c>
      <c r="AF194" s="315" t="e">
        <f>IF($J194="",#N/A,SUM(AD$4:AD194,AB$4:AB194,Z$4:Z194))</f>
        <v>#N/A</v>
      </c>
      <c r="AG194" s="304" t="str">
        <f t="shared" si="244"/>
        <v/>
      </c>
      <c r="AH194" s="313" t="e">
        <f>IF($J194="",#N/A,SUM(AG$4:AG194))</f>
        <v>#N/A</v>
      </c>
      <c r="AI194" s="314">
        <f t="shared" si="245"/>
        <v>-0.79587628865979332</v>
      </c>
      <c r="AJ194" s="314" t="e">
        <f>IF($J194="",#N/A,SUM(AI$4:AI194))</f>
        <v>#N/A</v>
      </c>
      <c r="AK194" s="315" t="str">
        <f t="shared" si="246"/>
        <v/>
      </c>
      <c r="AL194" s="315" t="e">
        <f>IF($J194="",#N/A,SUM(AK$4:AK194))</f>
        <v>#N/A</v>
      </c>
      <c r="AM194" s="315" t="e">
        <f>IF($J194="",#N/A,SUM(AK$4:AK194,AI$4:AI194,AG$4:AG194))</f>
        <v>#N/A</v>
      </c>
      <c r="AN194" s="304" t="str">
        <f t="shared" si="247"/>
        <v/>
      </c>
      <c r="AO194" s="313" t="e">
        <f>IF($J194="",#N/A,SUM(AN$4:AN194))</f>
        <v>#N/A</v>
      </c>
      <c r="AP194" s="314" t="str">
        <f t="shared" si="248"/>
        <v/>
      </c>
      <c r="AQ194" s="314" t="e">
        <f>IF($J194="",#N/A,SUM(AP$4:AP194))</f>
        <v>#N/A</v>
      </c>
      <c r="AR194" s="315" t="str">
        <f t="shared" si="249"/>
        <v/>
      </c>
      <c r="AS194" s="315" t="e">
        <f>IF($J194="",#N/A,SUM(AR$4:AR194))</f>
        <v>#N/A</v>
      </c>
      <c r="AT194" s="315" t="e">
        <f>IF($J194="",#N/A,SUM(AR$4:AR194,AP$4:AP194,AN$4:AN194))</f>
        <v>#N/A</v>
      </c>
      <c r="AU194" s="304" t="str">
        <f t="shared" si="250"/>
        <v/>
      </c>
      <c r="AV194" s="313" t="e">
        <f>IF($J194="",#N/A,SUM(AU$4:AU194))</f>
        <v>#N/A</v>
      </c>
      <c r="AW194" s="314" t="str">
        <f t="shared" si="251"/>
        <v/>
      </c>
      <c r="AX194" s="314" t="e">
        <f>IF($J194="",#N/A,SUM(AW$4:AW194))</f>
        <v>#N/A</v>
      </c>
      <c r="AY194" s="315" t="str">
        <f t="shared" si="252"/>
        <v/>
      </c>
      <c r="AZ194" s="315" t="e">
        <f>IF($J194="",#N/A,SUM(AY$4:AY194))</f>
        <v>#N/A</v>
      </c>
      <c r="BA194" s="315" t="e">
        <f>IF($J194="",#N/A,SUM(AY$4:AY194,AW$4:AW194,AU$4:AU194))</f>
        <v>#N/A</v>
      </c>
      <c r="BB194" s="304" t="str">
        <f t="shared" si="253"/>
        <v/>
      </c>
      <c r="BC194" s="313" t="e">
        <f>IF($J194="",#N/A,SUM(BB$4:BB194))</f>
        <v>#N/A</v>
      </c>
      <c r="BD194" s="314" t="str">
        <f t="shared" si="254"/>
        <v/>
      </c>
      <c r="BE194" s="314" t="e">
        <f>IF($J194="",#N/A,SUM(BD$4:BD194))</f>
        <v>#N/A</v>
      </c>
      <c r="BF194" s="315" t="str">
        <f t="shared" si="255"/>
        <v/>
      </c>
      <c r="BG194" s="315" t="e">
        <f>IF($J194="",#N/A,SUM(BF$4:BF194))</f>
        <v>#N/A</v>
      </c>
      <c r="BH194" s="315" t="e">
        <f>IF($J194="",#N/A,SUM(BF$4:BF194,BD$4:BD194,BB$4:BB194))</f>
        <v>#N/A</v>
      </c>
      <c r="BI194" s="304" t="str">
        <f t="shared" si="256"/>
        <v/>
      </c>
      <c r="BJ194" s="313" t="e">
        <f>IF($J194="",#N/A,SUM(BI$4:BI194))</f>
        <v>#N/A</v>
      </c>
      <c r="BK194" s="314" t="str">
        <f t="shared" si="257"/>
        <v/>
      </c>
      <c r="BL194" s="314" t="e">
        <f>IF($J194="",#N/A,SUM(BK$4:BK194))</f>
        <v>#N/A</v>
      </c>
      <c r="BM194" s="315" t="str">
        <f t="shared" si="258"/>
        <v/>
      </c>
      <c r="BN194" s="315" t="e">
        <f>IF($J194="",#N/A,SUM(BM$4:BM194))</f>
        <v>#N/A</v>
      </c>
      <c r="BO194" s="315" t="e">
        <f>IF($J194="",#N/A,SUM(BM$4:BM194,BK$4:BK194,BI$4:BI194))</f>
        <v>#N/A</v>
      </c>
      <c r="BP194" s="304" t="str">
        <f t="shared" si="259"/>
        <v/>
      </c>
      <c r="BQ194" s="313" t="e">
        <f>IF($J194="",#N/A,SUM(BP$4:BP194))</f>
        <v>#N/A</v>
      </c>
      <c r="BR194" s="314" t="str">
        <f t="shared" si="260"/>
        <v/>
      </c>
      <c r="BS194" s="314" t="e">
        <f>IF($J194="",#N/A,SUM(BR$4:BR194))</f>
        <v>#N/A</v>
      </c>
      <c r="BT194" s="315" t="str">
        <f t="shared" si="261"/>
        <v/>
      </c>
      <c r="BU194" s="315" t="e">
        <f>IF($J194="",#N/A,SUM(BT$4:BT194))</f>
        <v>#N/A</v>
      </c>
      <c r="BV194" s="315" t="e">
        <f>IF($J194="",#N/A,SUM(BT$4:BT194,BR$4:BR194,BP$4:BP194))</f>
        <v>#N/A</v>
      </c>
      <c r="BW194" s="304" t="str">
        <f t="shared" si="262"/>
        <v/>
      </c>
      <c r="BX194" s="313" t="e">
        <f>IF($J194="",#N/A,SUM(BW$4:BW194))</f>
        <v>#N/A</v>
      </c>
      <c r="BY194" s="314" t="str">
        <f t="shared" si="263"/>
        <v/>
      </c>
      <c r="BZ194" s="314" t="e">
        <f>IF($J194="",#N/A,SUM(BY$4:BY194))</f>
        <v>#N/A</v>
      </c>
      <c r="CA194" s="315" t="str">
        <f t="shared" si="264"/>
        <v/>
      </c>
      <c r="CB194" s="315" t="e">
        <f>IF($J194="",#N/A,SUM(CA$4:CA194))</f>
        <v>#N/A</v>
      </c>
      <c r="CC194" s="315" t="e">
        <f>IF($J194="",#N/A,SUM(CA$4:CA194,BY$4:BY194,BW$4:BW194))</f>
        <v>#N/A</v>
      </c>
      <c r="CD194" s="304" t="str">
        <f t="shared" si="265"/>
        <v/>
      </c>
      <c r="CE194" s="313" t="e">
        <f>IF($J194="",#N/A,SUM(CD$4:CD194))</f>
        <v>#N/A</v>
      </c>
      <c r="CF194" s="314" t="str">
        <f t="shared" si="266"/>
        <v/>
      </c>
      <c r="CG194" s="314" t="e">
        <f>IF($J194="",#N/A,SUM(CF$4:CF194))</f>
        <v>#N/A</v>
      </c>
      <c r="CH194" s="315" t="str">
        <f t="shared" si="267"/>
        <v/>
      </c>
      <c r="CI194" s="315" t="e">
        <f>IF($J194="",#N/A,SUM(CH$4:CH194))</f>
        <v>#N/A</v>
      </c>
      <c r="CJ194" s="315" t="e">
        <f>IF($J194="",#N/A,SUM(CH$4:CH194,CF$4:CF194,CD$4:CD194))</f>
        <v>#N/A</v>
      </c>
      <c r="CK194" s="304" t="str">
        <f t="shared" si="268"/>
        <v/>
      </c>
      <c r="CL194" s="313" t="e">
        <f>IF($J194="",#N/A,SUM(CK$4:CK194))</f>
        <v>#N/A</v>
      </c>
      <c r="CM194" s="314" t="str">
        <f t="shared" si="269"/>
        <v/>
      </c>
      <c r="CN194" s="314" t="e">
        <f>IF($J194="",#N/A,SUM(CM$4:CM194))</f>
        <v>#N/A</v>
      </c>
      <c r="CO194" s="315" t="str">
        <f t="shared" si="270"/>
        <v/>
      </c>
      <c r="CP194" s="315" t="e">
        <f>IF($J194="",#N/A,SUM(CO$4:CO194))</f>
        <v>#N/A</v>
      </c>
      <c r="CQ194" s="315" t="e">
        <f>IF($J194="",#N/A,SUM(CO$4:CO194,CM$4:CM194,CK$4:CK194))</f>
        <v>#N/A</v>
      </c>
      <c r="CR194" s="304" t="str">
        <f t="shared" si="271"/>
        <v/>
      </c>
      <c r="CS194" s="313" t="e">
        <f>IF($J194="",#N/A,SUM(CR$4:CR194))</f>
        <v>#N/A</v>
      </c>
      <c r="CT194" s="314" t="str">
        <f t="shared" si="272"/>
        <v/>
      </c>
      <c r="CU194" s="314" t="e">
        <f>IF($J194="",#N/A,SUM(CT$4:CT194))</f>
        <v>#N/A</v>
      </c>
      <c r="CV194" s="315" t="str">
        <f t="shared" si="273"/>
        <v/>
      </c>
      <c r="CW194" s="315" t="e">
        <f>IF($J194="",#N/A,SUM(CV$4:CV194))</f>
        <v>#N/A</v>
      </c>
      <c r="CX194" s="315" t="e">
        <f>IF($J194="",#N/A,SUM(CV$4:CV194,CT$4:CT194,CR$4:CR194))</f>
        <v>#N/A</v>
      </c>
      <c r="CY194" s="304" t="str">
        <f t="shared" si="274"/>
        <v/>
      </c>
      <c r="CZ194" s="313" t="e">
        <f>IF($J194="",#N/A,SUM(CY$4:CY194))</f>
        <v>#N/A</v>
      </c>
      <c r="DA194" s="314" t="str">
        <f t="shared" si="275"/>
        <v/>
      </c>
      <c r="DB194" s="314" t="e">
        <f>IF($J194="",#N/A,SUM(DA$4:DA194))</f>
        <v>#N/A</v>
      </c>
      <c r="DC194" s="315" t="str">
        <f t="shared" si="276"/>
        <v/>
      </c>
      <c r="DD194" s="315" t="e">
        <f>IF($J194="",#N/A,SUM(DC$4:DC194))</f>
        <v>#N/A</v>
      </c>
      <c r="DE194" s="315" t="e">
        <f>IF($J194="",#N/A,SUM(DC$4:DC194,DA$4:DA194,CY$4:CY194))</f>
        <v>#N/A</v>
      </c>
      <c r="DF194" s="304" t="str">
        <f t="shared" si="277"/>
        <v/>
      </c>
      <c r="DG194" s="313" t="e">
        <f>IF($J194="",#N/A,SUM(DF$4:DF194))</f>
        <v>#N/A</v>
      </c>
      <c r="DH194" s="314" t="str">
        <f t="shared" si="278"/>
        <v/>
      </c>
      <c r="DI194" s="314" t="e">
        <f>IF($J194="",#N/A,SUM(DH$4:DH194))</f>
        <v>#N/A</v>
      </c>
      <c r="DJ194" s="315" t="str">
        <f t="shared" si="279"/>
        <v/>
      </c>
      <c r="DK194" s="315" t="e">
        <f>IF($J194="",#N/A,SUM(DJ$4:DJ194))</f>
        <v>#N/A</v>
      </c>
      <c r="DL194" s="315" t="e">
        <f>IF($J194="",#N/A,SUM(DJ$4:DJ194,DH$4:DH194,DF$4:DF194))</f>
        <v>#N/A</v>
      </c>
      <c r="DM194" s="304" t="str">
        <f t="shared" si="280"/>
        <v/>
      </c>
      <c r="DN194" s="313" t="e">
        <f>IF($J194="",#N/A,SUM(DM$4:DM194))</f>
        <v>#N/A</v>
      </c>
      <c r="DO194" s="314" t="str">
        <f t="shared" si="281"/>
        <v/>
      </c>
      <c r="DP194" s="314" t="e">
        <f>IF($J194="",#N/A,SUM(DO$4:DO194))</f>
        <v>#N/A</v>
      </c>
      <c r="DQ194" s="315" t="str">
        <f t="shared" si="282"/>
        <v/>
      </c>
      <c r="DR194" s="315" t="e">
        <f>IF($J194="",#N/A,SUM(DQ$4:DQ194))</f>
        <v>#N/A</v>
      </c>
      <c r="DS194" s="315" t="e">
        <f>IF($J194="",#N/A,SUM(DQ$4:DQ194,DO$4:DO194,DM$4:DM194))</f>
        <v>#N/A</v>
      </c>
      <c r="DT194" s="304" t="str">
        <f t="shared" si="283"/>
        <v/>
      </c>
      <c r="DU194" s="313" t="e">
        <f>IF($J194="",#N/A,SUM(DT$4:DT194))</f>
        <v>#N/A</v>
      </c>
      <c r="DV194" s="314" t="str">
        <f t="shared" si="284"/>
        <v/>
      </c>
      <c r="DW194" s="314" t="e">
        <f>IF($J194="",#N/A,SUM(DV$4:DV194))</f>
        <v>#N/A</v>
      </c>
      <c r="DX194" s="315" t="str">
        <f t="shared" si="285"/>
        <v/>
      </c>
      <c r="DY194" s="315" t="e">
        <f>IF($J194="",#N/A,SUM(DX$4:DX194))</f>
        <v>#N/A</v>
      </c>
      <c r="DZ194" s="315" t="e">
        <f>IF($J194="",#N/A,SUM(DX$4:DX194,DV$4:DV194,DT$4:DT194))</f>
        <v>#N/A</v>
      </c>
      <c r="EA194" s="304" t="str">
        <f t="shared" si="286"/>
        <v/>
      </c>
      <c r="EB194" s="313" t="e">
        <f>IF($J194="",#N/A,SUM(EA$4:EA194))</f>
        <v>#N/A</v>
      </c>
      <c r="EC194" s="314" t="str">
        <f t="shared" si="287"/>
        <v/>
      </c>
      <c r="ED194" s="314" t="e">
        <f>IF($J194="",#N/A,SUM(EC$4:EC194))</f>
        <v>#N/A</v>
      </c>
      <c r="EE194" s="315" t="str">
        <f t="shared" si="288"/>
        <v/>
      </c>
      <c r="EF194" s="315" t="e">
        <f>IF($J194="",#N/A,SUM(EE$4:EE194))</f>
        <v>#N/A</v>
      </c>
      <c r="EG194" s="315" t="e">
        <f>IF($J194="",#N/A,SUM(EE$4:EE194,EC$4:EC194,EA$4:EA194))</f>
        <v>#N/A</v>
      </c>
      <c r="EH194" s="130">
        <f t="shared" si="289"/>
        <v>-19.101030927835041</v>
      </c>
      <c r="EI194" s="63">
        <f>IF(EH194="",#N/A,SUM($EH$4:EH194))</f>
        <v>688.01767686208836</v>
      </c>
      <c r="EJ194" s="223" t="e">
        <f t="shared" si="290"/>
        <v>#N/A</v>
      </c>
      <c r="EK194" s="63" t="e">
        <f>IF($GZ194="",#N/A,SUM(EJ$4:EJ194))</f>
        <v>#N/A</v>
      </c>
      <c r="EL194" s="60">
        <f t="shared" si="322"/>
        <v>-0.79587628865979332</v>
      </c>
      <c r="EM194" s="60">
        <f>IF(EL194="",NA(),SUM($EL$4:EL194))</f>
        <v>22.944891695709472</v>
      </c>
      <c r="EN194" s="60" t="str">
        <f t="shared" si="291"/>
        <v/>
      </c>
      <c r="EO194" s="60" t="e">
        <f>IF(EN194="",NA(),SUM($EN$4:EN194))</f>
        <v>#N/A</v>
      </c>
      <c r="EP194" s="60" t="str">
        <f t="shared" si="292"/>
        <v/>
      </c>
      <c r="EQ194" s="60" t="e">
        <f>IF(EP194="",NA(),SUM($EP$4:EP194))</f>
        <v>#N/A</v>
      </c>
      <c r="ER194" s="60">
        <f t="shared" si="293"/>
        <v>-0.79587628865979332</v>
      </c>
      <c r="ES194" s="60">
        <f>IF(ER194="",NA(),SUM($ER$4:ER194))</f>
        <v>10.207096717214537</v>
      </c>
      <c r="ET194" s="60" t="str">
        <f t="shared" si="294"/>
        <v/>
      </c>
      <c r="EU194" s="60" t="e">
        <f>IF(ET194="",NA(),SUM($ET$4:ET194))</f>
        <v>#N/A</v>
      </c>
      <c r="EV194" s="60" t="str">
        <f t="shared" si="295"/>
        <v/>
      </c>
      <c r="EW194" s="60" t="e">
        <f>IF(EV194="",NA(),SUM($EV$4:EV194))</f>
        <v>#N/A</v>
      </c>
      <c r="EX194" s="60" t="str">
        <f t="shared" si="296"/>
        <v/>
      </c>
      <c r="EY194" s="60" t="e">
        <f>IF(EX194="",NA(),SUM($EX$4:EX194))</f>
        <v>#N/A</v>
      </c>
      <c r="EZ194" s="60" t="str">
        <f t="shared" si="297"/>
        <v/>
      </c>
      <c r="FA194" s="60" t="e">
        <f>IF(EZ194="",NA(),SUM($EZ$4:EZ194))</f>
        <v>#N/A</v>
      </c>
      <c r="FB194" s="246" t="str">
        <f t="shared" si="323"/>
        <v/>
      </c>
      <c r="FC194" s="246" t="e">
        <f>IF($FB194="",#N/A,SUM(FB$4:$FB194))</f>
        <v>#N/A</v>
      </c>
      <c r="FD194" s="60">
        <f t="shared" si="298"/>
        <v>-0.47147766323023899</v>
      </c>
      <c r="FE194" s="60">
        <f>IF($FD194="",#N/A,SUM($FD$4:FD194))</f>
        <v>8.7604402879833287E-2</v>
      </c>
      <c r="FF194" s="60" t="str">
        <f t="shared" si="299"/>
        <v/>
      </c>
      <c r="FG194" s="60" t="e">
        <f>IF($FF194="",#N/A,SUM($FF$4:FF194))</f>
        <v>#N/A</v>
      </c>
      <c r="FH194" s="60" t="str">
        <f t="shared" si="300"/>
        <v/>
      </c>
      <c r="FI194" s="60" t="e">
        <f>IF($FH194="",#N/A,SUM($FH$4:FH194))</f>
        <v>#N/A</v>
      </c>
      <c r="FJ194" s="60" t="str">
        <f t="shared" si="301"/>
        <v/>
      </c>
      <c r="FK194" s="60" t="e">
        <f>IF($FJ194="",#N/A,SUM($FJ$4:FJ194))</f>
        <v>#N/A</v>
      </c>
      <c r="FL194" s="60" t="str">
        <f t="shared" si="302"/>
        <v/>
      </c>
      <c r="FM194" s="60" t="e">
        <f>IF($FL194="",#N/A,SUM($FL$4:FL194))</f>
        <v>#N/A</v>
      </c>
      <c r="FN194" s="82">
        <f t="shared" si="303"/>
        <v>-1.2673539518900323</v>
      </c>
      <c r="FO194" s="82">
        <f>IF($FN194="",#N/A,SUM(FN$4:$FN194))</f>
        <v>27.952860256767192</v>
      </c>
      <c r="FP194" s="82">
        <f t="shared" si="324"/>
        <v>-0.79587628865979332</v>
      </c>
      <c r="FQ194" s="246">
        <f>IF($EH194="",#N/A,SUM($FP$4:FP194))</f>
        <v>26.605679759190743</v>
      </c>
      <c r="FR194" s="82">
        <f>IFERROR(FQ194/COUNTA($J$4:J194),#N/A)</f>
        <v>0.13929675266592012</v>
      </c>
      <c r="FS194" s="82">
        <f t="shared" si="336"/>
        <v>0.10388577481264416</v>
      </c>
      <c r="FT194" s="82">
        <f t="shared" si="341"/>
        <v>0.11906928690496316</v>
      </c>
      <c r="FU194" s="273"/>
      <c r="FV194" s="130" t="str">
        <f t="shared" si="305"/>
        <v>Dwn</v>
      </c>
      <c r="FW194" s="57" t="s">
        <v>2734</v>
      </c>
      <c r="FX194" s="57" t="str">
        <f t="shared" si="306"/>
        <v/>
      </c>
      <c r="FY194" s="57">
        <f t="shared" si="307"/>
        <v>1</v>
      </c>
      <c r="FZ194" s="57" t="str">
        <f t="shared" si="308"/>
        <v/>
      </c>
      <c r="GA194" s="57" t="str">
        <f t="shared" si="309"/>
        <v>Short</v>
      </c>
      <c r="GB194" s="57" t="str">
        <f t="shared" si="310"/>
        <v/>
      </c>
      <c r="GC194" s="57" t="str">
        <f t="shared" si="311"/>
        <v/>
      </c>
      <c r="GD194" s="57" t="str">
        <f t="shared" si="312"/>
        <v/>
      </c>
      <c r="GE194" s="62">
        <f t="shared" si="339"/>
        <v>121.25</v>
      </c>
      <c r="GF194" s="62" t="s">
        <v>2780</v>
      </c>
      <c r="GG194" s="99">
        <f>400/I194</f>
        <v>3.2989690721649483</v>
      </c>
      <c r="GH194" s="207">
        <f t="shared" si="313"/>
        <v>400</v>
      </c>
      <c r="GI194" s="99">
        <f t="shared" si="337"/>
        <v>3.2989690721649483</v>
      </c>
      <c r="GJ194" s="98">
        <f>J194</f>
        <v>127.04</v>
      </c>
      <c r="GK194" s="63">
        <f t="shared" si="314"/>
        <v>-19.101030927835041</v>
      </c>
      <c r="GL194" s="63">
        <f t="shared" si="340"/>
        <v>-30.416494845360774</v>
      </c>
      <c r="GM194" s="82" t="str">
        <f t="shared" si="315"/>
        <v/>
      </c>
      <c r="GN194" s="82">
        <f>IF($GZ194="",#N/A,SUM(GM$4:GM194))</f>
        <v>6.967174421066332</v>
      </c>
      <c r="GO194" s="82" t="str">
        <f t="shared" si="316"/>
        <v/>
      </c>
      <c r="GP194" s="82">
        <f>IF($GZ194="",#N/A,SUM(GO$4:GO194))</f>
        <v>9.8419544639707812</v>
      </c>
      <c r="GQ194" s="82">
        <f t="shared" si="317"/>
        <v>-1.2673539518900323</v>
      </c>
      <c r="GR194" s="82">
        <f>IF($GZ194="",#N/A,SUM(GQ$4:GQ194))</f>
        <v>10.517894417287732</v>
      </c>
      <c r="GS194" s="63" t="str">
        <f t="shared" si="325"/>
        <v/>
      </c>
      <c r="GT194" s="63" t="e">
        <f>IF($GZ194="",#N/A,SUM(GS$4:GS194))</f>
        <v>#N/A</v>
      </c>
      <c r="GU194" s="63" t="str">
        <f t="shared" si="326"/>
        <v/>
      </c>
      <c r="GV194" s="63" t="e">
        <f>IF($GZ194="",#N/A,SUM(GU$4:GU194))</f>
        <v>#N/A</v>
      </c>
      <c r="GW194" s="63" t="e">
        <f t="shared" si="327"/>
        <v>#N/A</v>
      </c>
      <c r="GX194" s="63" t="e">
        <f>IF($GZ194="",#N/A,SUM(GW$4:GW194))</f>
        <v>#N/A</v>
      </c>
      <c r="GY194" s="63" t="e">
        <f>IF(EJ194="",#N/A,SUM($EJ$4:EJ194))</f>
        <v>#N/A</v>
      </c>
      <c r="GZ194" s="159">
        <v>130.47</v>
      </c>
      <c r="HA194" s="63">
        <f t="shared" si="318"/>
        <v>-11.315463917525733</v>
      </c>
      <c r="HB194" s="62" t="s">
        <v>4970</v>
      </c>
      <c r="HC194" s="60">
        <f>IFERROR(VLOOKUP(E194,Expectancy!$P$4:$S$19,1+C194,FALSE),"")</f>
        <v>0.78642334455186147</v>
      </c>
      <c r="HD194" s="82" t="str">
        <f t="shared" si="319"/>
        <v/>
      </c>
      <c r="HE194" s="82"/>
      <c r="HF194" s="85"/>
      <c r="HG194" s="63" t="str">
        <f t="shared" si="320"/>
        <v/>
      </c>
      <c r="HH194" s="82">
        <f t="shared" si="321"/>
        <v>-1.2673539518900323</v>
      </c>
    </row>
    <row r="195" spans="1:216" x14ac:dyDescent="0.25">
      <c r="A195" s="57" t="s">
        <v>1500</v>
      </c>
      <c r="B195" s="58" t="s">
        <v>5202</v>
      </c>
      <c r="C195" s="386">
        <f t="shared" si="230"/>
        <v>2</v>
      </c>
      <c r="D195" s="372" t="str">
        <f>_xlfn.XLOOKUP(A195,[1]SP500!$A$2:$A$502,[1]SP500!$D$2:$D$502,"N")</f>
        <v>Y</v>
      </c>
      <c r="E195" s="57" t="str">
        <f>_xlfn.XLOOKUP(A195,[1]SP500!$A$2:$A$655,[1]SP500!$B$2:$B$655)</f>
        <v>XLI</v>
      </c>
      <c r="F195" s="59">
        <v>45692</v>
      </c>
      <c r="G195" s="57" t="str">
        <f t="shared" si="231"/>
        <v>AMC</v>
      </c>
      <c r="H195" s="57" t="str">
        <f t="shared" si="232"/>
        <v>s</v>
      </c>
      <c r="I195" s="159">
        <v>100.98</v>
      </c>
      <c r="J195" s="159">
        <v>100.69</v>
      </c>
      <c r="K195" s="61">
        <f t="shared" si="233"/>
        <v>-2.8718558130323454E-3</v>
      </c>
      <c r="L195" s="87">
        <f t="shared" si="234"/>
        <v>1.160000000000025</v>
      </c>
      <c r="M195" s="130">
        <f t="shared" si="338"/>
        <v>0</v>
      </c>
      <c r="N195" s="169" t="str">
        <f t="shared" si="235"/>
        <v/>
      </c>
      <c r="O195" s="169">
        <f>IF($J195="",#N/A,SUM($N$4:N195))</f>
        <v>307.94438262948194</v>
      </c>
      <c r="P195" s="174">
        <f t="shared" si="236"/>
        <v>1.160000000000025</v>
      </c>
      <c r="Q195" s="174">
        <f>IF($J195="",#N/A,SUM($P$4:P195))</f>
        <v>268.90455813013779</v>
      </c>
      <c r="R195" s="178" t="str">
        <f t="shared" si="237"/>
        <v/>
      </c>
      <c r="S195" s="178">
        <f>IF($J195="",#N/A,SUM($R$4:R195))</f>
        <v>112.32873610246861</v>
      </c>
      <c r="T195" s="290" t="str">
        <f t="shared" si="238"/>
        <v/>
      </c>
      <c r="U195" s="290">
        <f>IF($J195="",#N/A,SUM($T$4:T195))</f>
        <v>11.292495043304985</v>
      </c>
      <c r="V195" s="291">
        <f t="shared" si="239"/>
        <v>4.7864263550539098E-2</v>
      </c>
      <c r="W195" s="291">
        <f>IF($J195="",#N/A,SUM($V$4:V195))</f>
        <v>10.957356433465034</v>
      </c>
      <c r="X195" s="292" t="str">
        <f t="shared" si="240"/>
        <v/>
      </c>
      <c r="Y195" s="283">
        <f>IF($J195="",#N/A,SUM($X$4:X195))</f>
        <v>4.403692545971257</v>
      </c>
      <c r="Z195" s="304" t="str">
        <f t="shared" si="241"/>
        <v/>
      </c>
      <c r="AA195" s="313" t="e">
        <f>IF($J195="",#N/A,SUM(Z$4:Z195))</f>
        <v>#N/A</v>
      </c>
      <c r="AB195" s="314" t="str">
        <f t="shared" si="242"/>
        <v/>
      </c>
      <c r="AC195" s="314" t="e">
        <f>IF($J195="",#N/A,SUM(AB$4:AB195))</f>
        <v>#N/A</v>
      </c>
      <c r="AD195" s="315" t="str">
        <f t="shared" si="243"/>
        <v/>
      </c>
      <c r="AE195" s="315" t="e">
        <f>IF($J195="",#N/A,SUM(AD$4:AD195))</f>
        <v>#N/A</v>
      </c>
      <c r="AF195" s="315" t="e">
        <f>IF($J195="",#N/A,SUM(AD$4:AD195,AB$4:AB195,Z$4:Z195))</f>
        <v>#N/A</v>
      </c>
      <c r="AG195" s="304" t="str">
        <f t="shared" si="244"/>
        <v/>
      </c>
      <c r="AH195" s="313" t="e">
        <f>IF($J195="",#N/A,SUM(AG$4:AG195))</f>
        <v>#N/A</v>
      </c>
      <c r="AI195" s="314" t="str">
        <f t="shared" si="245"/>
        <v/>
      </c>
      <c r="AJ195" s="314" t="e">
        <f>IF($J195="",#N/A,SUM(AI$4:AI195))</f>
        <v>#N/A</v>
      </c>
      <c r="AK195" s="315" t="str">
        <f t="shared" si="246"/>
        <v/>
      </c>
      <c r="AL195" s="315" t="e">
        <f>IF($J195="",#N/A,SUM(AK$4:AK195))</f>
        <v>#N/A</v>
      </c>
      <c r="AM195" s="315" t="e">
        <f>IF($J195="",#N/A,SUM(AK$4:AK195,AI$4:AI195,AG$4:AG195))</f>
        <v>#N/A</v>
      </c>
      <c r="AN195" s="304" t="str">
        <f t="shared" si="247"/>
        <v/>
      </c>
      <c r="AO195" s="313" t="e">
        <f>IF($J195="",#N/A,SUM(AN$4:AN195))</f>
        <v>#N/A</v>
      </c>
      <c r="AP195" s="314" t="str">
        <f t="shared" si="248"/>
        <v/>
      </c>
      <c r="AQ195" s="314" t="e">
        <f>IF($J195="",#N/A,SUM(AP$4:AP195))</f>
        <v>#N/A</v>
      </c>
      <c r="AR195" s="315" t="str">
        <f t="shared" si="249"/>
        <v/>
      </c>
      <c r="AS195" s="315" t="e">
        <f>IF($J195="",#N/A,SUM(AR$4:AR195))</f>
        <v>#N/A</v>
      </c>
      <c r="AT195" s="315" t="e">
        <f>IF($J195="",#N/A,SUM(AR$4:AR195,AP$4:AP195,AN$4:AN195))</f>
        <v>#N/A</v>
      </c>
      <c r="AU195" s="304" t="str">
        <f t="shared" si="250"/>
        <v/>
      </c>
      <c r="AV195" s="313" t="e">
        <f>IF($J195="",#N/A,SUM(AU$4:AU195))</f>
        <v>#N/A</v>
      </c>
      <c r="AW195" s="314" t="str">
        <f t="shared" si="251"/>
        <v/>
      </c>
      <c r="AX195" s="314" t="e">
        <f>IF($J195="",#N/A,SUM(AW$4:AW195))</f>
        <v>#N/A</v>
      </c>
      <c r="AY195" s="315" t="str">
        <f t="shared" si="252"/>
        <v/>
      </c>
      <c r="AZ195" s="315" t="e">
        <f>IF($J195="",#N/A,SUM(AY$4:AY195))</f>
        <v>#N/A</v>
      </c>
      <c r="BA195" s="315" t="e">
        <f>IF($J195="",#N/A,SUM(AY$4:AY195,AW$4:AW195,AU$4:AU195))</f>
        <v>#N/A</v>
      </c>
      <c r="BB195" s="304" t="str">
        <f t="shared" si="253"/>
        <v/>
      </c>
      <c r="BC195" s="313" t="e">
        <f>IF($J195="",#N/A,SUM(BB$4:BB195))</f>
        <v>#N/A</v>
      </c>
      <c r="BD195" s="314" t="str">
        <f t="shared" si="254"/>
        <v/>
      </c>
      <c r="BE195" s="314" t="e">
        <f>IF($J195="",#N/A,SUM(BD$4:BD195))</f>
        <v>#N/A</v>
      </c>
      <c r="BF195" s="315" t="str">
        <f t="shared" si="255"/>
        <v/>
      </c>
      <c r="BG195" s="315" t="e">
        <f>IF($J195="",#N/A,SUM(BF$4:BF195))</f>
        <v>#N/A</v>
      </c>
      <c r="BH195" s="315" t="e">
        <f>IF($J195="",#N/A,SUM(BF$4:BF195,BD$4:BD195,BB$4:BB195))</f>
        <v>#N/A</v>
      </c>
      <c r="BI195" s="304" t="str">
        <f t="shared" si="256"/>
        <v/>
      </c>
      <c r="BJ195" s="313" t="e">
        <f>IF($J195="",#N/A,SUM(BI$4:BI195))</f>
        <v>#N/A</v>
      </c>
      <c r="BK195" s="314" t="str">
        <f t="shared" si="257"/>
        <v/>
      </c>
      <c r="BL195" s="314" t="e">
        <f>IF($J195="",#N/A,SUM(BK$4:BK195))</f>
        <v>#N/A</v>
      </c>
      <c r="BM195" s="315" t="str">
        <f t="shared" si="258"/>
        <v/>
      </c>
      <c r="BN195" s="315" t="e">
        <f>IF($J195="",#N/A,SUM(BM$4:BM195))</f>
        <v>#N/A</v>
      </c>
      <c r="BO195" s="315" t="e">
        <f>IF($J195="",#N/A,SUM(BM$4:BM195,BK$4:BK195,BI$4:BI195))</f>
        <v>#N/A</v>
      </c>
      <c r="BP195" s="304" t="str">
        <f t="shared" si="259"/>
        <v/>
      </c>
      <c r="BQ195" s="313" t="e">
        <f>IF($J195="",#N/A,SUM(BP$4:BP195))</f>
        <v>#N/A</v>
      </c>
      <c r="BR195" s="314">
        <f t="shared" si="260"/>
        <v>4.7864263550539098E-2</v>
      </c>
      <c r="BS195" s="314" t="e">
        <f>IF($J195="",#N/A,SUM(BR$4:BR195))</f>
        <v>#N/A</v>
      </c>
      <c r="BT195" s="315" t="str">
        <f t="shared" si="261"/>
        <v/>
      </c>
      <c r="BU195" s="315" t="e">
        <f>IF($J195="",#N/A,SUM(BT$4:BT195))</f>
        <v>#N/A</v>
      </c>
      <c r="BV195" s="315" t="e">
        <f>IF($J195="",#N/A,SUM(BT$4:BT195,BR$4:BR195,BP$4:BP195))</f>
        <v>#N/A</v>
      </c>
      <c r="BW195" s="304" t="str">
        <f t="shared" si="262"/>
        <v/>
      </c>
      <c r="BX195" s="313" t="e">
        <f>IF($J195="",#N/A,SUM(BW$4:BW195))</f>
        <v>#N/A</v>
      </c>
      <c r="BY195" s="314" t="str">
        <f t="shared" si="263"/>
        <v/>
      </c>
      <c r="BZ195" s="314" t="e">
        <f>IF($J195="",#N/A,SUM(BY$4:BY195))</f>
        <v>#N/A</v>
      </c>
      <c r="CA195" s="315" t="str">
        <f t="shared" si="264"/>
        <v/>
      </c>
      <c r="CB195" s="315" t="e">
        <f>IF($J195="",#N/A,SUM(CA$4:CA195))</f>
        <v>#N/A</v>
      </c>
      <c r="CC195" s="315" t="e">
        <f>IF($J195="",#N/A,SUM(CA$4:CA195,BY$4:BY195,BW$4:BW195))</f>
        <v>#N/A</v>
      </c>
      <c r="CD195" s="304" t="str">
        <f t="shared" si="265"/>
        <v/>
      </c>
      <c r="CE195" s="313" t="e">
        <f>IF($J195="",#N/A,SUM(CD$4:CD195))</f>
        <v>#N/A</v>
      </c>
      <c r="CF195" s="314" t="str">
        <f t="shared" si="266"/>
        <v/>
      </c>
      <c r="CG195" s="314" t="e">
        <f>IF($J195="",#N/A,SUM(CF$4:CF195))</f>
        <v>#N/A</v>
      </c>
      <c r="CH195" s="315" t="str">
        <f t="shared" si="267"/>
        <v/>
      </c>
      <c r="CI195" s="315" t="e">
        <f>IF($J195="",#N/A,SUM(CH$4:CH195))</f>
        <v>#N/A</v>
      </c>
      <c r="CJ195" s="315" t="e">
        <f>IF($J195="",#N/A,SUM(CH$4:CH195,CF$4:CF195,CD$4:CD195))</f>
        <v>#N/A</v>
      </c>
      <c r="CK195" s="304" t="str">
        <f t="shared" si="268"/>
        <v/>
      </c>
      <c r="CL195" s="313" t="e">
        <f>IF($J195="",#N/A,SUM(CK$4:CK195))</f>
        <v>#N/A</v>
      </c>
      <c r="CM195" s="314" t="str">
        <f t="shared" si="269"/>
        <v/>
      </c>
      <c r="CN195" s="314" t="e">
        <f>IF($J195="",#N/A,SUM(CM$4:CM195))</f>
        <v>#N/A</v>
      </c>
      <c r="CO195" s="315" t="str">
        <f t="shared" si="270"/>
        <v/>
      </c>
      <c r="CP195" s="315" t="e">
        <f>IF($J195="",#N/A,SUM(CO$4:CO195))</f>
        <v>#N/A</v>
      </c>
      <c r="CQ195" s="315" t="e">
        <f>IF($J195="",#N/A,SUM(CO$4:CO195,CM$4:CM195,CK$4:CK195))</f>
        <v>#N/A</v>
      </c>
      <c r="CR195" s="304" t="str">
        <f t="shared" si="271"/>
        <v/>
      </c>
      <c r="CS195" s="313" t="e">
        <f>IF($J195="",#N/A,SUM(CR$4:CR195))</f>
        <v>#N/A</v>
      </c>
      <c r="CT195" s="314" t="str">
        <f t="shared" si="272"/>
        <v/>
      </c>
      <c r="CU195" s="314" t="e">
        <f>IF($J195="",#N/A,SUM(CT$4:CT195))</f>
        <v>#N/A</v>
      </c>
      <c r="CV195" s="315" t="str">
        <f t="shared" si="273"/>
        <v/>
      </c>
      <c r="CW195" s="315" t="e">
        <f>IF($J195="",#N/A,SUM(CV$4:CV195))</f>
        <v>#N/A</v>
      </c>
      <c r="CX195" s="315" t="e">
        <f>IF($J195="",#N/A,SUM(CV$4:CV195,CT$4:CT195,CR$4:CR195))</f>
        <v>#N/A</v>
      </c>
      <c r="CY195" s="304" t="str">
        <f t="shared" si="274"/>
        <v/>
      </c>
      <c r="CZ195" s="313" t="e">
        <f>IF($J195="",#N/A,SUM(CY$4:CY195))</f>
        <v>#N/A</v>
      </c>
      <c r="DA195" s="314" t="str">
        <f t="shared" si="275"/>
        <v/>
      </c>
      <c r="DB195" s="314" t="e">
        <f>IF($J195="",#N/A,SUM(DA$4:DA195))</f>
        <v>#N/A</v>
      </c>
      <c r="DC195" s="315" t="str">
        <f t="shared" si="276"/>
        <v/>
      </c>
      <c r="DD195" s="315" t="e">
        <f>IF($J195="",#N/A,SUM(DC$4:DC195))</f>
        <v>#N/A</v>
      </c>
      <c r="DE195" s="315" t="e">
        <f>IF($J195="",#N/A,SUM(DC$4:DC195,DA$4:DA195,CY$4:CY195))</f>
        <v>#N/A</v>
      </c>
      <c r="DF195" s="304" t="str">
        <f t="shared" si="277"/>
        <v/>
      </c>
      <c r="DG195" s="313" t="e">
        <f>IF($J195="",#N/A,SUM(DF$4:DF195))</f>
        <v>#N/A</v>
      </c>
      <c r="DH195" s="314" t="str">
        <f t="shared" si="278"/>
        <v/>
      </c>
      <c r="DI195" s="314" t="e">
        <f>IF($J195="",#N/A,SUM(DH$4:DH195))</f>
        <v>#N/A</v>
      </c>
      <c r="DJ195" s="315" t="str">
        <f t="shared" si="279"/>
        <v/>
      </c>
      <c r="DK195" s="315" t="e">
        <f>IF($J195="",#N/A,SUM(DJ$4:DJ195))</f>
        <v>#N/A</v>
      </c>
      <c r="DL195" s="315" t="e">
        <f>IF($J195="",#N/A,SUM(DJ$4:DJ195,DH$4:DH195,DF$4:DF195))</f>
        <v>#N/A</v>
      </c>
      <c r="DM195" s="304" t="str">
        <f t="shared" si="280"/>
        <v/>
      </c>
      <c r="DN195" s="313" t="e">
        <f>IF($J195="",#N/A,SUM(DM$4:DM195))</f>
        <v>#N/A</v>
      </c>
      <c r="DO195" s="314" t="str">
        <f t="shared" si="281"/>
        <v/>
      </c>
      <c r="DP195" s="314" t="e">
        <f>IF($J195="",#N/A,SUM(DO$4:DO195))</f>
        <v>#N/A</v>
      </c>
      <c r="DQ195" s="315" t="str">
        <f t="shared" si="282"/>
        <v/>
      </c>
      <c r="DR195" s="315" t="e">
        <f>IF($J195="",#N/A,SUM(DQ$4:DQ195))</f>
        <v>#N/A</v>
      </c>
      <c r="DS195" s="315" t="e">
        <f>IF($J195="",#N/A,SUM(DQ$4:DQ195,DO$4:DO195,DM$4:DM195))</f>
        <v>#N/A</v>
      </c>
      <c r="DT195" s="304" t="str">
        <f t="shared" si="283"/>
        <v/>
      </c>
      <c r="DU195" s="313" t="e">
        <f>IF($J195="",#N/A,SUM(DT$4:DT195))</f>
        <v>#N/A</v>
      </c>
      <c r="DV195" s="314" t="str">
        <f t="shared" si="284"/>
        <v/>
      </c>
      <c r="DW195" s="314" t="e">
        <f>IF($J195="",#N/A,SUM(DV$4:DV195))</f>
        <v>#N/A</v>
      </c>
      <c r="DX195" s="315" t="str">
        <f t="shared" si="285"/>
        <v/>
      </c>
      <c r="DY195" s="315" t="e">
        <f>IF($J195="",#N/A,SUM(DX$4:DX195))</f>
        <v>#N/A</v>
      </c>
      <c r="DZ195" s="315" t="e">
        <f>IF($J195="",#N/A,SUM(DX$4:DX195,DV$4:DV195,DT$4:DT195))</f>
        <v>#N/A</v>
      </c>
      <c r="EA195" s="304" t="str">
        <f t="shared" si="286"/>
        <v/>
      </c>
      <c r="EB195" s="313" t="e">
        <f>IF($J195="",#N/A,SUM(EA$4:EA195))</f>
        <v>#N/A</v>
      </c>
      <c r="EC195" s="314" t="str">
        <f t="shared" si="287"/>
        <v/>
      </c>
      <c r="ED195" s="314" t="e">
        <f>IF($J195="",#N/A,SUM(EC$4:EC195))</f>
        <v>#N/A</v>
      </c>
      <c r="EE195" s="315" t="str">
        <f t="shared" si="288"/>
        <v/>
      </c>
      <c r="EF195" s="315" t="e">
        <f>IF($J195="",#N/A,SUM(EE$4:EE195))</f>
        <v>#N/A</v>
      </c>
      <c r="EG195" s="315" t="e">
        <f>IF($J195="",#N/A,SUM(EE$4:EE195,EC$4:EC195,EA$4:EA195))</f>
        <v>#N/A</v>
      </c>
      <c r="EH195" s="130">
        <f t="shared" si="289"/>
        <v>1.160000000000025</v>
      </c>
      <c r="EI195" s="63">
        <f>IF(EH195="",#N/A,SUM($EH$4:EH195))</f>
        <v>689.17767686208845</v>
      </c>
      <c r="EJ195" s="223" t="e">
        <f t="shared" si="290"/>
        <v>#N/A</v>
      </c>
      <c r="EK195" s="63" t="e">
        <f>IF($GZ195="",#N/A,SUM(EJ$4:EJ195))</f>
        <v>#N/A</v>
      </c>
      <c r="EL195" s="60">
        <f t="shared" si="322"/>
        <v>4.7864263550539098E-2</v>
      </c>
      <c r="EM195" s="60">
        <f>IF(EL195="",NA(),SUM($EL$4:EL195))</f>
        <v>22.992755959260013</v>
      </c>
      <c r="EN195" s="60" t="str">
        <f t="shared" si="291"/>
        <v/>
      </c>
      <c r="EO195" s="60" t="e">
        <f>IF(EN195="",NA(),SUM($EN$4:EN195))</f>
        <v>#N/A</v>
      </c>
      <c r="EP195" s="60" t="str">
        <f t="shared" si="292"/>
        <v/>
      </c>
      <c r="EQ195" s="60" t="e">
        <f>IF(EP195="",NA(),SUM($EP$4:EP195))</f>
        <v>#N/A</v>
      </c>
      <c r="ER195" s="60">
        <f t="shared" si="293"/>
        <v>4.7864263550539098E-2</v>
      </c>
      <c r="ES195" s="60">
        <f>IF(ER195="",NA(),SUM($ER$4:ER195))</f>
        <v>10.254960980765075</v>
      </c>
      <c r="ET195" s="60" t="str">
        <f t="shared" si="294"/>
        <v/>
      </c>
      <c r="EU195" s="60" t="e">
        <f>IF(ET195="",NA(),SUM($ET$4:ET195))</f>
        <v>#N/A</v>
      </c>
      <c r="EV195" s="60" t="str">
        <f t="shared" si="295"/>
        <v/>
      </c>
      <c r="EW195" s="60" t="e">
        <f>IF(EV195="",NA(),SUM($EV$4:EV195))</f>
        <v>#N/A</v>
      </c>
      <c r="EX195" s="60" t="str">
        <f t="shared" si="296"/>
        <v/>
      </c>
      <c r="EY195" s="60" t="e">
        <f>IF(EX195="",NA(),SUM($EX$4:EX195))</f>
        <v>#N/A</v>
      </c>
      <c r="EZ195" s="60" t="str">
        <f t="shared" si="297"/>
        <v/>
      </c>
      <c r="FA195" s="60" t="e">
        <f>IF(EZ195="",NA(),SUM($EZ$4:EZ195))</f>
        <v>#N/A</v>
      </c>
      <c r="FB195" s="246">
        <f t="shared" si="323"/>
        <v>0.80544002112629498</v>
      </c>
      <c r="FC195" s="246">
        <f>IF($FB195="",#N/A,SUM(FB$4:$FB195))</f>
        <v>0.32623786561969503</v>
      </c>
      <c r="FD195" s="60" t="str">
        <f t="shared" si="298"/>
        <v/>
      </c>
      <c r="FE195" s="60" t="e">
        <f>IF($FD195="",#N/A,SUM($FD$4:FD195))</f>
        <v>#N/A</v>
      </c>
      <c r="FF195" s="60" t="str">
        <f t="shared" si="299"/>
        <v/>
      </c>
      <c r="FG195" s="60" t="e">
        <f>IF($FF195="",#N/A,SUM($FF$4:FF195))</f>
        <v>#N/A</v>
      </c>
      <c r="FH195" s="60" t="str">
        <f t="shared" si="300"/>
        <v/>
      </c>
      <c r="FI195" s="60" t="e">
        <f>IF($FH195="",#N/A,SUM($FH$4:FH195))</f>
        <v>#N/A</v>
      </c>
      <c r="FJ195" s="60" t="str">
        <f t="shared" si="301"/>
        <v/>
      </c>
      <c r="FK195" s="60" t="e">
        <f>IF($FJ195="",#N/A,SUM($FJ$4:FJ195))</f>
        <v>#N/A</v>
      </c>
      <c r="FL195" s="60" t="str">
        <f t="shared" si="302"/>
        <v/>
      </c>
      <c r="FM195" s="60" t="e">
        <f>IF($FL195="",#N/A,SUM($FL$4:FL195))</f>
        <v>#N/A</v>
      </c>
      <c r="FN195" s="82">
        <f t="shared" si="303"/>
        <v>0.85330428467683406</v>
      </c>
      <c r="FO195" s="82">
        <f>IF($FN195="",#N/A,SUM(FN$4:$FN195))</f>
        <v>28.806164541444026</v>
      </c>
      <c r="FP195" s="82">
        <f t="shared" si="324"/>
        <v>4.7864263550539098E-2</v>
      </c>
      <c r="FQ195" s="246">
        <f>IF($EH195="",#N/A,SUM($FP$4:FP195))</f>
        <v>26.653544022741283</v>
      </c>
      <c r="FR195" s="82">
        <f>IFERROR(FQ195/COUNTA($J$4:J195),#N/A)</f>
        <v>0.13882054178511086</v>
      </c>
      <c r="FS195" s="82">
        <f t="shared" si="336"/>
        <v>0.11041140411945055</v>
      </c>
      <c r="FT195" s="82">
        <f t="shared" si="341"/>
        <v>0.10413848992305376</v>
      </c>
      <c r="FU195" s="337">
        <f t="shared" ref="FU195:FU201" si="342">IF(AND(HB195="MOC",GZ195=""),#N/A,IFERROR(FQ195-HE195,FQ195-0))-14.53</f>
        <v>12.804299691261528</v>
      </c>
      <c r="FV195" s="57" t="str">
        <f t="shared" si="305"/>
        <v>Dwn</v>
      </c>
      <c r="FW195" s="57" t="s">
        <v>2733</v>
      </c>
      <c r="FX195" s="57" t="str">
        <f t="shared" si="306"/>
        <v/>
      </c>
      <c r="FY195" s="57" t="str">
        <f t="shared" si="307"/>
        <v/>
      </c>
      <c r="FZ195" s="57" t="str">
        <f t="shared" si="308"/>
        <v/>
      </c>
      <c r="GA195" s="57" t="str">
        <f t="shared" si="309"/>
        <v>Short</v>
      </c>
      <c r="GB195" s="57">
        <f t="shared" si="310"/>
        <v>1</v>
      </c>
      <c r="GC195" s="57" t="str">
        <f t="shared" si="311"/>
        <v/>
      </c>
      <c r="GD195" s="57" t="str">
        <f t="shared" si="312"/>
        <v/>
      </c>
      <c r="GE195" s="62">
        <f t="shared" si="339"/>
        <v>100.98</v>
      </c>
      <c r="GF195" s="62" t="s">
        <v>2780</v>
      </c>
      <c r="GG195" s="199">
        <v>4</v>
      </c>
      <c r="GH195" s="207">
        <f t="shared" si="313"/>
        <v>403.92</v>
      </c>
      <c r="GI195" s="199">
        <f t="shared" si="337"/>
        <v>4</v>
      </c>
      <c r="GJ195" s="200">
        <v>100.69</v>
      </c>
      <c r="GK195" s="63">
        <f t="shared" si="314"/>
        <v>1.160000000000025</v>
      </c>
      <c r="GL195" s="63">
        <f t="shared" si="340"/>
        <v>20.680000000000007</v>
      </c>
      <c r="GM195" s="82" t="str">
        <f t="shared" si="315"/>
        <v/>
      </c>
      <c r="GN195" s="82">
        <f>IF($GZ195="",#N/A,SUM(GM$4:GM195))</f>
        <v>6.967174421066332</v>
      </c>
      <c r="GO195" s="82" t="str">
        <f t="shared" si="316"/>
        <v/>
      </c>
      <c r="GP195" s="82">
        <f>IF($GZ195="",#N/A,SUM(GO$4:GO195))</f>
        <v>9.8419544639707812</v>
      </c>
      <c r="GQ195" s="82">
        <f t="shared" si="317"/>
        <v>0.85330428467683406</v>
      </c>
      <c r="GR195" s="82">
        <f>IF($GZ195="",#N/A,SUM(GQ$4:GQ195))</f>
        <v>11.371198701964566</v>
      </c>
      <c r="GS195" s="63" t="str">
        <f t="shared" si="325"/>
        <v/>
      </c>
      <c r="GT195" s="63" t="e">
        <f>IF($GZ195="",#N/A,SUM(GS$4:GS195))</f>
        <v>#N/A</v>
      </c>
      <c r="GU195" s="63" t="str">
        <f t="shared" si="326"/>
        <v/>
      </c>
      <c r="GV195" s="63" t="e">
        <f>IF($GZ195="",#N/A,SUM(GU$4:GU195))</f>
        <v>#N/A</v>
      </c>
      <c r="GW195" s="63" t="e">
        <f t="shared" si="327"/>
        <v>#N/A</v>
      </c>
      <c r="GX195" s="63" t="e">
        <f>IF($GZ195="",#N/A,SUM(GW$4:GW195))</f>
        <v>#N/A</v>
      </c>
      <c r="GY195" s="63" t="e">
        <f>IF(EJ195="",#N/A,SUM($EJ$4:EJ195))</f>
        <v>#N/A</v>
      </c>
      <c r="GZ195" s="159">
        <v>95.81</v>
      </c>
      <c r="HA195" s="63">
        <f t="shared" si="318"/>
        <v>19.519999999999982</v>
      </c>
      <c r="HB195" s="62" t="s">
        <v>2538</v>
      </c>
      <c r="HC195" s="60">
        <f>IFERROR(VLOOKUP(E195,Expectancy!$P$4:$S$19,1+C195,FALSE),"")</f>
        <v>0.3117803024854584</v>
      </c>
      <c r="HD195" s="82">
        <f t="shared" si="319"/>
        <v>4.7864263550539098E-2</v>
      </c>
      <c r="HE195" s="60">
        <f>IF(HD195="",#N/A,SUM($HD$4:HD195))</f>
        <v>-0.68075566852024616</v>
      </c>
      <c r="HF195" s="85">
        <f>IF(HD195="",#N/A,IF(HB195="Skip",#N/A,SUM($HG$4:HG195)))</f>
        <v>13.970000000000141</v>
      </c>
      <c r="HG195" s="63">
        <f t="shared" si="320"/>
        <v>1.160000000000025</v>
      </c>
      <c r="HH195" s="82">
        <f t="shared" si="321"/>
        <v>0.85330428467683406</v>
      </c>
    </row>
    <row r="196" spans="1:216" x14ac:dyDescent="0.25">
      <c r="A196" s="57" t="s">
        <v>1538</v>
      </c>
      <c r="B196" s="58" t="s">
        <v>5203</v>
      </c>
      <c r="C196" s="386">
        <f t="shared" ref="C196:C259" si="343">IF(FV196="Dwn",2,IF(FV196="Up",1,IF(FV196="SW",3,"x")))</f>
        <v>2</v>
      </c>
      <c r="D196" s="372" t="str">
        <f>_xlfn.XLOOKUP(A196,[1]SP500!$A$2:$A$502,[1]SP500!$D$2:$D$502,"N")</f>
        <v>Y</v>
      </c>
      <c r="E196" s="57" t="str">
        <f>_xlfn.XLOOKUP(A196,[1]SP500!$A$2:$A$655,[1]SP500!$B$2:$B$655)</f>
        <v>XLC</v>
      </c>
      <c r="F196" s="59">
        <v>45692</v>
      </c>
      <c r="G196" s="57" t="str">
        <f t="shared" ref="G196:G259" si="344">IF(ISNUMBER(FIND("After",B196,1)),"AMC",IF(ISNUMBER(FIND("Before",B196,1)),"BMO","err"))</f>
        <v>AMC</v>
      </c>
      <c r="H196" s="57" t="str">
        <f t="shared" ref="H196:H259" si="345">IF(HB196="other","o",IF(HB196="Skip","o",IF(OR(FV196="",GF196=""),"",IF(AND(FV196="Dwn",GF196="Short"),"s",IF(AND(FV196="Up",GF196="Long"),"s",IF(AND(FV196="SW",GF196="Long"),"s","o"))))))</f>
        <v>s</v>
      </c>
      <c r="I196" s="158">
        <v>86.9</v>
      </c>
      <c r="J196" s="159">
        <v>87.13</v>
      </c>
      <c r="K196" s="61">
        <f t="shared" ref="K196:K259" si="346">IF(J196="","",(J196-I196)/I196)</f>
        <v>2.6467203682392377E-3</v>
      </c>
      <c r="L196" s="87">
        <f t="shared" ref="L196:L259" si="347">IF(OR($GI196="",J196=""),"",IF($GF196="Long",(($J196*$GI196)-$GH196),($GH196-($J196*$GI196))))</f>
        <v>-1.1499999999999773</v>
      </c>
      <c r="M196" s="130">
        <f t="shared" si="338"/>
        <v>0</v>
      </c>
      <c r="N196" s="169" t="str">
        <f t="shared" ref="N196:N259" si="348">IF(AND($FV196="Up",$GA196="Long"),$EH196,"")</f>
        <v/>
      </c>
      <c r="O196" s="169">
        <f>IF($J196="",#N/A,SUM($N$4:N196))</f>
        <v>307.94438262948194</v>
      </c>
      <c r="P196" s="174">
        <f t="shared" ref="P196:P259" si="349">IF(AND($FV196="Dwn",$GA196="Short"),$EH196,"")</f>
        <v>-1.1499999999999773</v>
      </c>
      <c r="Q196" s="174">
        <f>IF($J196="",#N/A,SUM($P$4:P196))</f>
        <v>267.75455813013781</v>
      </c>
      <c r="R196" s="178" t="str">
        <f t="shared" ref="R196:R259" si="350">IF(AND($FV196="SW",$GA196="Long"),$EH196,"")</f>
        <v/>
      </c>
      <c r="S196" s="178">
        <f>IF($J196="",#N/A,SUM($R$4:R196))</f>
        <v>112.32873610246861</v>
      </c>
      <c r="T196" s="290" t="str">
        <f t="shared" ref="T196:T259" si="351">IF(AND($FV196="Up",$GA196="Long"),$FP196,"")</f>
        <v/>
      </c>
      <c r="U196" s="290">
        <f>IF($J196="",#N/A,SUM($T$4:T196))</f>
        <v>11.292495043304985</v>
      </c>
      <c r="V196" s="291">
        <f t="shared" ref="V196:V259" si="352">IF(AND($FV196="Dwn",$GA196="Short"),$FP196,"")</f>
        <v>-4.4112006137321719E-2</v>
      </c>
      <c r="W196" s="291">
        <f>IF($J196="",#N/A,SUM($V$4:V196))</f>
        <v>10.913244427327712</v>
      </c>
      <c r="X196" s="292" t="str">
        <f t="shared" ref="X196:X259" si="353">IF(AND($FV196="SW",$GA196="Long"),$FP196,"")</f>
        <v/>
      </c>
      <c r="Y196" s="283">
        <f>IF($J196="",#N/A,SUM($X$4:X196))</f>
        <v>4.403692545971257</v>
      </c>
      <c r="Z196" s="304" t="str">
        <f t="shared" ref="Z196:Z259" si="354">IF(AND($FV196="Up",$GA196="Long",$E196=Z$2),$FP196,"")</f>
        <v/>
      </c>
      <c r="AA196" s="313" t="e">
        <f>IF($J196="",#N/A,SUM(Z$4:Z196))</f>
        <v>#N/A</v>
      </c>
      <c r="AB196" s="314" t="str">
        <f t="shared" ref="AB196:AB259" si="355">IF(AND($FV196="Dwn",$GA196="Short",$E196=Z$2),$FP196,"")</f>
        <v/>
      </c>
      <c r="AC196" s="314" t="e">
        <f>IF($J196="",#N/A,SUM(AB$4:AB196))</f>
        <v>#N/A</v>
      </c>
      <c r="AD196" s="315" t="str">
        <f t="shared" ref="AD196:AD259" si="356">IF(AND($FV196="SW",$GA196="Long",$E196=Z$2),$FP196,"")</f>
        <v/>
      </c>
      <c r="AE196" s="315" t="e">
        <f>IF($J196="",#N/A,SUM(AD$4:AD196))</f>
        <v>#N/A</v>
      </c>
      <c r="AF196" s="315" t="e">
        <f>IF($J196="",#N/A,SUM(AD$4:AD196,AB$4:AB196,Z$4:Z196))</f>
        <v>#N/A</v>
      </c>
      <c r="AG196" s="304" t="str">
        <f t="shared" ref="AG196:AG259" si="357">IF(AND($FV196="Up",$GA196="Long",$E196=AG$2),$FP196,"")</f>
        <v/>
      </c>
      <c r="AH196" s="313" t="e">
        <f>IF($J196="",#N/A,SUM(AG$4:AG196))</f>
        <v>#N/A</v>
      </c>
      <c r="AI196" s="314" t="str">
        <f t="shared" ref="AI196:AI259" si="358">IF(AND($FV196="Dwn",$GA196="Short",$E196=AG$2),$FP196,"")</f>
        <v/>
      </c>
      <c r="AJ196" s="314" t="e">
        <f>IF($J196="",#N/A,SUM(AI$4:AI196))</f>
        <v>#N/A</v>
      </c>
      <c r="AK196" s="315" t="str">
        <f t="shared" ref="AK196:AK259" si="359">IF(AND($FV196="SW",$GA196="Long",$E196=AG$2),$FP196,"")</f>
        <v/>
      </c>
      <c r="AL196" s="315" t="e">
        <f>IF($J196="",#N/A,SUM(AK$4:AK196))</f>
        <v>#N/A</v>
      </c>
      <c r="AM196" s="315" t="e">
        <f>IF($J196="",#N/A,SUM(AK$4:AK196,AI$4:AI196,AG$4:AG196))</f>
        <v>#N/A</v>
      </c>
      <c r="AN196" s="304" t="str">
        <f t="shared" ref="AN196:AN259" si="360">IF(AND($FV196="Up",$GA196="Long",$E196=AN$2),$FP196,"")</f>
        <v/>
      </c>
      <c r="AO196" s="313" t="e">
        <f>IF($J196="",#N/A,SUM(AN$4:AN196))</f>
        <v>#N/A</v>
      </c>
      <c r="AP196" s="314" t="str">
        <f t="shared" ref="AP196:AP259" si="361">IF(AND($FV196="Dwn",$GA196="Short",$E196=AN$2),$FP196,"")</f>
        <v/>
      </c>
      <c r="AQ196" s="314" t="e">
        <f>IF($J196="",#N/A,SUM(AP$4:AP196))</f>
        <v>#N/A</v>
      </c>
      <c r="AR196" s="315" t="str">
        <f t="shared" ref="AR196:AR259" si="362">IF(AND($FV196="SW",$GA196="Long",$E196=AN$2),$FP196,"")</f>
        <v/>
      </c>
      <c r="AS196" s="315" t="e">
        <f>IF($J196="",#N/A,SUM(AR$4:AR196))</f>
        <v>#N/A</v>
      </c>
      <c r="AT196" s="315" t="e">
        <f>IF($J196="",#N/A,SUM(AR$4:AR196,AP$4:AP196,AN$4:AN196))</f>
        <v>#N/A</v>
      </c>
      <c r="AU196" s="304" t="str">
        <f t="shared" ref="AU196:AU259" si="363">IF(AND($FV196="Up",$GA196="Long",$E196=AU$2),$FP196,"")</f>
        <v/>
      </c>
      <c r="AV196" s="313" t="e">
        <f>IF($J196="",#N/A,SUM(AU$4:AU196))</f>
        <v>#N/A</v>
      </c>
      <c r="AW196" s="314" t="str">
        <f t="shared" ref="AW196:AW259" si="364">IF(AND($FV196="Dwn",$GA196="Short",$E196=AU$2),$FP196,"")</f>
        <v/>
      </c>
      <c r="AX196" s="314" t="e">
        <f>IF($J196="",#N/A,SUM(AW$4:AW196))</f>
        <v>#N/A</v>
      </c>
      <c r="AY196" s="315" t="str">
        <f t="shared" ref="AY196:AY259" si="365">IF(AND($FV196="SW",$GA196="Long",$E196=AU$2),$FP196,"")</f>
        <v/>
      </c>
      <c r="AZ196" s="315" t="e">
        <f>IF($J196="",#N/A,SUM(AY$4:AY196))</f>
        <v>#N/A</v>
      </c>
      <c r="BA196" s="315" t="e">
        <f>IF($J196="",#N/A,SUM(AY$4:AY196,AW$4:AW196,AU$4:AU196))</f>
        <v>#N/A</v>
      </c>
      <c r="BB196" s="304" t="str">
        <f t="shared" ref="BB196:BB259" si="366">IF(AND($FV196="Up",$GA196="Long",$E196=BB$2),$FP196,"")</f>
        <v/>
      </c>
      <c r="BC196" s="313" t="e">
        <f>IF($J196="",#N/A,SUM(BB$4:BB196))</f>
        <v>#N/A</v>
      </c>
      <c r="BD196" s="314">
        <f t="shared" ref="BD196:BD259" si="367">IF(AND($FV196="Dwn",$GA196="Short",$E196=BB$2),$FP196,"")</f>
        <v>-4.4112006137321719E-2</v>
      </c>
      <c r="BE196" s="314" t="e">
        <f>IF($J196="",#N/A,SUM(BD$4:BD196))</f>
        <v>#N/A</v>
      </c>
      <c r="BF196" s="315" t="str">
        <f t="shared" ref="BF196:BF259" si="368">IF(AND($FV196="SW",$GA196="Long",$E196=BB$2),$FP196,"")</f>
        <v/>
      </c>
      <c r="BG196" s="315" t="e">
        <f>IF($J196="",#N/A,SUM(BF$4:BF196))</f>
        <v>#N/A</v>
      </c>
      <c r="BH196" s="315" t="e">
        <f>IF($J196="",#N/A,SUM(BF$4:BF196,BD$4:BD196,BB$4:BB196))</f>
        <v>#N/A</v>
      </c>
      <c r="BI196" s="304" t="str">
        <f t="shared" ref="BI196:BI259" si="369">IF(AND($FV196="Up",$GA196="Long",$E196=BI$2),$FP196,"")</f>
        <v/>
      </c>
      <c r="BJ196" s="313" t="e">
        <f>IF($J196="",#N/A,SUM(BI$4:BI196))</f>
        <v>#N/A</v>
      </c>
      <c r="BK196" s="314" t="str">
        <f t="shared" ref="BK196:BK259" si="370">IF(AND($FV196="Dwn",$GA196="Short",$E196=BI$2),$FP196,"")</f>
        <v/>
      </c>
      <c r="BL196" s="314" t="e">
        <f>IF($J196="",#N/A,SUM(BK$4:BK196))</f>
        <v>#N/A</v>
      </c>
      <c r="BM196" s="315" t="str">
        <f t="shared" ref="BM196:BM259" si="371">IF(AND($FV196="SW",$GA196="Long",$E196=BI$2),$FP196,"")</f>
        <v/>
      </c>
      <c r="BN196" s="315" t="e">
        <f>IF($J196="",#N/A,SUM(BM$4:BM196))</f>
        <v>#N/A</v>
      </c>
      <c r="BO196" s="315" t="e">
        <f>IF($J196="",#N/A,SUM(BM$4:BM196,BK$4:BK196,BI$4:BI196))</f>
        <v>#N/A</v>
      </c>
      <c r="BP196" s="304" t="str">
        <f t="shared" ref="BP196:BP259" si="372">IF(AND($FV196="Up",$GA196="Long",$E196=BP$2),$FP196,"")</f>
        <v/>
      </c>
      <c r="BQ196" s="313" t="e">
        <f>IF($J196="",#N/A,SUM(BP$4:BP196))</f>
        <v>#N/A</v>
      </c>
      <c r="BR196" s="314" t="str">
        <f t="shared" ref="BR196:BR259" si="373">IF(AND($FV196="Dwn",$GA196="Short",$E196=BP$2),$FP196,"")</f>
        <v/>
      </c>
      <c r="BS196" s="314" t="e">
        <f>IF($J196="",#N/A,SUM(BR$4:BR196))</f>
        <v>#N/A</v>
      </c>
      <c r="BT196" s="315" t="str">
        <f t="shared" ref="BT196:BT259" si="374">IF(AND($FV196="SW",$GA196="Long",$E196=BP$2),$FP196,"")</f>
        <v/>
      </c>
      <c r="BU196" s="315" t="e">
        <f>IF($J196="",#N/A,SUM(BT$4:BT196))</f>
        <v>#N/A</v>
      </c>
      <c r="BV196" s="315" t="e">
        <f>IF($J196="",#N/A,SUM(BT$4:BT196,BR$4:BR196,BP$4:BP196))</f>
        <v>#N/A</v>
      </c>
      <c r="BW196" s="304" t="str">
        <f t="shared" ref="BW196:BW259" si="375">IF(AND($FV196="Up",$GA196="Long",$E196=BW$2),$FP196,"")</f>
        <v/>
      </c>
      <c r="BX196" s="313" t="e">
        <f>IF($J196="",#N/A,SUM(BW$4:BW196))</f>
        <v>#N/A</v>
      </c>
      <c r="BY196" s="314" t="str">
        <f t="shared" ref="BY196:BY259" si="376">IF(AND($FV196="Dwn",$GA196="Short",$E196=BW$2),$FP196,"")</f>
        <v/>
      </c>
      <c r="BZ196" s="314" t="e">
        <f>IF($J196="",#N/A,SUM(BY$4:BY196))</f>
        <v>#N/A</v>
      </c>
      <c r="CA196" s="315" t="str">
        <f t="shared" ref="CA196:CA259" si="377">IF(AND($FV196="SW",$GA196="Long",$E196=BW$2),$FP196,"")</f>
        <v/>
      </c>
      <c r="CB196" s="315" t="e">
        <f>IF($J196="",#N/A,SUM(CA$4:CA196))</f>
        <v>#N/A</v>
      </c>
      <c r="CC196" s="315" t="e">
        <f>IF($J196="",#N/A,SUM(CA$4:CA196,BY$4:BY196,BW$4:BW196))</f>
        <v>#N/A</v>
      </c>
      <c r="CD196" s="304" t="str">
        <f t="shared" ref="CD196:CD259" si="378">IF(AND($FV196="Up",$GA196="Long",$E196=CD$2),$FP196,"")</f>
        <v/>
      </c>
      <c r="CE196" s="313" t="e">
        <f>IF($J196="",#N/A,SUM(CD$4:CD196))</f>
        <v>#N/A</v>
      </c>
      <c r="CF196" s="314" t="str">
        <f t="shared" ref="CF196:CF259" si="379">IF(AND($FV196="Dwn",$GA196="Short",$E196=CD$2),$FP196,"")</f>
        <v/>
      </c>
      <c r="CG196" s="314" t="e">
        <f>IF($J196="",#N/A,SUM(CF$4:CF196))</f>
        <v>#N/A</v>
      </c>
      <c r="CH196" s="315" t="str">
        <f t="shared" ref="CH196:CH259" si="380">IF(AND($FV196="SW",$GA196="Long",$E196=CD$2),$FP196,"")</f>
        <v/>
      </c>
      <c r="CI196" s="315" t="e">
        <f>IF($J196="",#N/A,SUM(CH$4:CH196))</f>
        <v>#N/A</v>
      </c>
      <c r="CJ196" s="315" t="e">
        <f>IF($J196="",#N/A,SUM(CH$4:CH196,CF$4:CF196,CD$4:CD196))</f>
        <v>#N/A</v>
      </c>
      <c r="CK196" s="304" t="str">
        <f t="shared" ref="CK196:CK259" si="381">IF(AND($FV196="Up",$GA196="Long",$E196=CK$2),$FP196,"")</f>
        <v/>
      </c>
      <c r="CL196" s="313" t="e">
        <f>IF($J196="",#N/A,SUM(CK$4:CK196))</f>
        <v>#N/A</v>
      </c>
      <c r="CM196" s="314" t="str">
        <f t="shared" ref="CM196:CM259" si="382">IF(AND($FV196="Dwn",$GA196="Short",$E196=CK$2),$FP196,"")</f>
        <v/>
      </c>
      <c r="CN196" s="314" t="e">
        <f>IF($J196="",#N/A,SUM(CM$4:CM196))</f>
        <v>#N/A</v>
      </c>
      <c r="CO196" s="315" t="str">
        <f t="shared" ref="CO196:CO259" si="383">IF(AND($FV196="SW",$GA196="Long",$E196=CK$2),$FP196,"")</f>
        <v/>
      </c>
      <c r="CP196" s="315" t="e">
        <f>IF($J196="",#N/A,SUM(CO$4:CO196))</f>
        <v>#N/A</v>
      </c>
      <c r="CQ196" s="315" t="e">
        <f>IF($J196="",#N/A,SUM(CO$4:CO196,CM$4:CM196,CK$4:CK196))</f>
        <v>#N/A</v>
      </c>
      <c r="CR196" s="304" t="str">
        <f t="shared" ref="CR196:CR259" si="384">IF(AND($FV196="Up",$GA196="Long",$E196=CR$2),$FP196,"")</f>
        <v/>
      </c>
      <c r="CS196" s="313" t="e">
        <f>IF($J196="",#N/A,SUM(CR$4:CR196))</f>
        <v>#N/A</v>
      </c>
      <c r="CT196" s="314" t="str">
        <f t="shared" ref="CT196:CT259" si="385">IF(AND($FV196="Dwn",$GA196="Short",$E196=CR$2),$FP196,"")</f>
        <v/>
      </c>
      <c r="CU196" s="314" t="e">
        <f>IF($J196="",#N/A,SUM(CT$4:CT196))</f>
        <v>#N/A</v>
      </c>
      <c r="CV196" s="315" t="str">
        <f t="shared" ref="CV196:CV259" si="386">IF(AND($FV196="SW",$GA196="Long",$E196=CR$2),$FP196,"")</f>
        <v/>
      </c>
      <c r="CW196" s="315" t="e">
        <f>IF($J196="",#N/A,SUM(CV$4:CV196))</f>
        <v>#N/A</v>
      </c>
      <c r="CX196" s="315" t="e">
        <f>IF($J196="",#N/A,SUM(CV$4:CV196,CT$4:CT196,CR$4:CR196))</f>
        <v>#N/A</v>
      </c>
      <c r="CY196" s="304" t="str">
        <f t="shared" ref="CY196:CY259" si="387">IF(AND($FV196="Up",$GA196="Long",$E196=CY$2),$FP196,"")</f>
        <v/>
      </c>
      <c r="CZ196" s="313" t="e">
        <f>IF($J196="",#N/A,SUM(CY$4:CY196))</f>
        <v>#N/A</v>
      </c>
      <c r="DA196" s="314" t="str">
        <f t="shared" ref="DA196:DA259" si="388">IF(AND($FV196="Dwn",$GA196="Short",$E196=CY$2),$FP196,"")</f>
        <v/>
      </c>
      <c r="DB196" s="314" t="e">
        <f>IF($J196="",#N/A,SUM(DA$4:DA196))</f>
        <v>#N/A</v>
      </c>
      <c r="DC196" s="315" t="str">
        <f t="shared" ref="DC196:DC259" si="389">IF(AND($FV196="SW",$GA196="Long",$E196=CY$2),$FP196,"")</f>
        <v/>
      </c>
      <c r="DD196" s="315" t="e">
        <f>IF($J196="",#N/A,SUM(DC$4:DC196))</f>
        <v>#N/A</v>
      </c>
      <c r="DE196" s="315" t="e">
        <f>IF($J196="",#N/A,SUM(DC$4:DC196,DA$4:DA196,CY$4:CY196))</f>
        <v>#N/A</v>
      </c>
      <c r="DF196" s="304" t="str">
        <f t="shared" ref="DF196:DF259" si="390">IF(AND($FV196="Up",$GA196="Long",$E196=DF$2),$FP196,"")</f>
        <v/>
      </c>
      <c r="DG196" s="313" t="e">
        <f>IF($J196="",#N/A,SUM(DF$4:DF196))</f>
        <v>#N/A</v>
      </c>
      <c r="DH196" s="314" t="str">
        <f t="shared" ref="DH196:DH259" si="391">IF(AND($FV196="Dwn",$GA196="Short",$E196=DF$2),$FP196,"")</f>
        <v/>
      </c>
      <c r="DI196" s="314" t="e">
        <f>IF($J196="",#N/A,SUM(DH$4:DH196))</f>
        <v>#N/A</v>
      </c>
      <c r="DJ196" s="315" t="str">
        <f t="shared" ref="DJ196:DJ259" si="392">IF(AND($FV196="SW",$GA196="Long",$E196=DF$2),$FP196,"")</f>
        <v/>
      </c>
      <c r="DK196" s="315" t="e">
        <f>IF($J196="",#N/A,SUM(DJ$4:DJ196))</f>
        <v>#N/A</v>
      </c>
      <c r="DL196" s="315" t="e">
        <f>IF($J196="",#N/A,SUM(DJ$4:DJ196,DH$4:DH196,DF$4:DF196))</f>
        <v>#N/A</v>
      </c>
      <c r="DM196" s="304" t="str">
        <f t="shared" ref="DM196:DM259" si="393">IF(AND($FV196="Up",$GA196="Long",$E196=DM$2),$FP196,"")</f>
        <v/>
      </c>
      <c r="DN196" s="313" t="e">
        <f>IF($J196="",#N/A,SUM(DM$4:DM196))</f>
        <v>#N/A</v>
      </c>
      <c r="DO196" s="314" t="str">
        <f t="shared" ref="DO196:DO259" si="394">IF(AND($FV196="Dwn",$GA196="Short",$E196=DM$2),$FP196,"")</f>
        <v/>
      </c>
      <c r="DP196" s="314" t="e">
        <f>IF($J196="",#N/A,SUM(DO$4:DO196))</f>
        <v>#N/A</v>
      </c>
      <c r="DQ196" s="315" t="str">
        <f t="shared" ref="DQ196:DQ259" si="395">IF(AND($FV196="SW",$GA196="Long",$E196=DM$2),$FP196,"")</f>
        <v/>
      </c>
      <c r="DR196" s="315" t="e">
        <f>IF($J196="",#N/A,SUM(DQ$4:DQ196))</f>
        <v>#N/A</v>
      </c>
      <c r="DS196" s="315" t="e">
        <f>IF($J196="",#N/A,SUM(DQ$4:DQ196,DO$4:DO196,DM$4:DM196))</f>
        <v>#N/A</v>
      </c>
      <c r="DT196" s="304" t="str">
        <f t="shared" ref="DT196:DT259" si="396">IF(AND($FV196="Up",$GA196="Long",$E196=DT$2),$FP196,"")</f>
        <v/>
      </c>
      <c r="DU196" s="313" t="e">
        <f>IF($J196="",#N/A,SUM(DT$4:DT196))</f>
        <v>#N/A</v>
      </c>
      <c r="DV196" s="314" t="str">
        <f t="shared" ref="DV196:DV259" si="397">IF(AND($FV196="Dwn",$GA196="Short",$E196=DT$2),$FP196,"")</f>
        <v/>
      </c>
      <c r="DW196" s="314" t="e">
        <f>IF($J196="",#N/A,SUM(DV$4:DV196))</f>
        <v>#N/A</v>
      </c>
      <c r="DX196" s="315" t="str">
        <f t="shared" ref="DX196:DX259" si="398">IF(AND($FV196="SW",$GA196="Long",$E196=DT$2),$FP196,"")</f>
        <v/>
      </c>
      <c r="DY196" s="315" t="e">
        <f>IF($J196="",#N/A,SUM(DX$4:DX196))</f>
        <v>#N/A</v>
      </c>
      <c r="DZ196" s="315" t="e">
        <f>IF($J196="",#N/A,SUM(DX$4:DX196,DV$4:DV196,DT$4:DT196))</f>
        <v>#N/A</v>
      </c>
      <c r="EA196" s="304" t="str">
        <f t="shared" ref="EA196:EA259" si="399">IF(AND($FV196="Up",$GA196="Long",$E196=EA$2),$FP196,"")</f>
        <v/>
      </c>
      <c r="EB196" s="313" t="e">
        <f>IF($J196="",#N/A,SUM(EA$4:EA196))</f>
        <v>#N/A</v>
      </c>
      <c r="EC196" s="314" t="str">
        <f t="shared" ref="EC196:EC259" si="400">IF(AND($FV196="Dwn",$GA196="Short",$E196=EA$2),$FP196,"")</f>
        <v/>
      </c>
      <c r="ED196" s="314" t="e">
        <f>IF($J196="",#N/A,SUM(EC$4:EC196))</f>
        <v>#N/A</v>
      </c>
      <c r="EE196" s="315" t="str">
        <f t="shared" ref="EE196:EE259" si="401">IF(AND($FV196="SW",$GA196="Long",$E196=EA$2),$FP196,"")</f>
        <v/>
      </c>
      <c r="EF196" s="315" t="e">
        <f>IF($J196="",#N/A,SUM(EE$4:EE196))</f>
        <v>#N/A</v>
      </c>
      <c r="EG196" s="315" t="e">
        <f>IF($J196="",#N/A,SUM(EE$4:EE196,EC$4:EC196,EA$4:EA196))</f>
        <v>#N/A</v>
      </c>
      <c r="EH196" s="130">
        <f t="shared" ref="EH196:EH259" si="402">IF(OR($GI196="",L196=""),"",IF($GA196="Long",(($J196*$GI196)-$GH196),($GH196-($J196*$GI196))))</f>
        <v>-1.1499999999999773</v>
      </c>
      <c r="EI196" s="63">
        <f>IF(EH196="",#N/A,SUM($EH$4:EH196))</f>
        <v>688.02767686208847</v>
      </c>
      <c r="EJ196" s="223" t="e">
        <f t="shared" ref="EJ196:EJ259" si="403">IF(GZ196="","",IF(OR($GI196="",AM196=""),"",IF($GA196="Long",(($GZ196*$GI196)-$GH196),($GH196-($GZ196*$GI196)))))</f>
        <v>#N/A</v>
      </c>
      <c r="EK196" s="63" t="e">
        <f>IF($GZ196="",#N/A,SUM(EJ$4:EJ196))</f>
        <v>#N/A</v>
      </c>
      <c r="EL196" s="60">
        <f t="shared" si="322"/>
        <v>-4.4112006137321719E-2</v>
      </c>
      <c r="EM196" s="60">
        <f>IF(EL196="",NA(),SUM($EL$4:EL196))</f>
        <v>22.948643953122691</v>
      </c>
      <c r="EN196" s="60" t="str">
        <f t="shared" ref="EN196:EN259" si="404">IF(AND($FV196="Up",$GA196="Long",$D196="Y"),$EL196,"")</f>
        <v/>
      </c>
      <c r="EO196" s="60" t="e">
        <f>IF(EN196="",NA(),SUM($EN$4:EN196))</f>
        <v>#N/A</v>
      </c>
      <c r="EP196" s="60" t="str">
        <f t="shared" ref="EP196:EP259" si="405">IF(AND($FV196="SW",$GA196="Long",$D196="Y"),$EL196,"")</f>
        <v/>
      </c>
      <c r="EQ196" s="60" t="e">
        <f>IF(EP196="",NA(),SUM($EP$4:EP196))</f>
        <v>#N/A</v>
      </c>
      <c r="ER196" s="60">
        <f t="shared" ref="ER196:ER259" si="406">IF(AND($FV196="Dwn",$GA196="Short",$D196="Y"),$EL196,"")</f>
        <v>-4.4112006137321719E-2</v>
      </c>
      <c r="ES196" s="60">
        <f>IF(ER196="",NA(),SUM($ER$4:ER196))</f>
        <v>10.210848974627753</v>
      </c>
      <c r="ET196" s="60" t="str">
        <f t="shared" ref="ET196:ET259" si="407">IF($J196="","",IF($D196="N",$FP196,""))</f>
        <v/>
      </c>
      <c r="EU196" s="60" t="e">
        <f>IF(ET196="",NA(),SUM($ET$4:ET196))</f>
        <v>#N/A</v>
      </c>
      <c r="EV196" s="60" t="str">
        <f t="shared" ref="EV196:EV259" si="408">IF(AND($FV196="Up",$GA196="Long",$D196="N"),$ET196,"")</f>
        <v/>
      </c>
      <c r="EW196" s="60" t="e">
        <f>IF(EV196="",NA(),SUM($EV$4:EV196))</f>
        <v>#N/A</v>
      </c>
      <c r="EX196" s="60" t="str">
        <f t="shared" ref="EX196:EX259" si="409">IF(AND($FV196="SW",$GA196="Long",$D196="N"),$ET196,"")</f>
        <v/>
      </c>
      <c r="EY196" s="60" t="e">
        <f>IF(EX196="",NA(),SUM($EX$4:EX196))</f>
        <v>#N/A</v>
      </c>
      <c r="EZ196" s="60" t="str">
        <f t="shared" ref="EZ196:EZ259" si="410">IF(AND($FV196="Dwn",$GA196="Short",$D196="N"),$ET196,"")</f>
        <v/>
      </c>
      <c r="FA196" s="60" t="e">
        <f>IF(EZ196="",NA(),SUM($EZ$4:EZ196))</f>
        <v>#N/A</v>
      </c>
      <c r="FB196" s="246" t="str">
        <f t="shared" si="323"/>
        <v/>
      </c>
      <c r="FC196" s="246" t="e">
        <f>IF($FB196="",#N/A,SUM(FB$4:$FB196))</f>
        <v>#N/A</v>
      </c>
      <c r="FD196" s="60">
        <f t="shared" ref="FD196:FD259" si="411">IF($GZ196="","",IF(AND($FV196="Dwn",$K196&gt;0),$FN196-$FP196,""))</f>
        <v>0.42194092827004004</v>
      </c>
      <c r="FE196" s="60">
        <f>IF($FD196="",#N/A,SUM($FD$4:FD196))</f>
        <v>0.50954533114987333</v>
      </c>
      <c r="FF196" s="60" t="str">
        <f t="shared" ref="FF196:FF259" si="412">IF($GZ196="","",IF(AND($FV196="Up",$K196&gt;0),$FN196-$FP196,""))</f>
        <v/>
      </c>
      <c r="FG196" s="60" t="e">
        <f>IF($FF196="",#N/A,SUM($FF$4:FF196))</f>
        <v>#N/A</v>
      </c>
      <c r="FH196" s="60" t="str">
        <f t="shared" ref="FH196:FH259" si="413">IF($GZ196="","",IF(AND($FV196="Up",$K196&lt;0),$FN196-$FP196,""))</f>
        <v/>
      </c>
      <c r="FI196" s="60" t="e">
        <f>IF($FH196="",#N/A,SUM($FH$4:FH196))</f>
        <v>#N/A</v>
      </c>
      <c r="FJ196" s="60" t="str">
        <f t="shared" ref="FJ196:FJ259" si="414">IF($GZ196="","",IF(AND($FV196="SW",$K196&gt;0),$FN196-$FP196,""))</f>
        <v/>
      </c>
      <c r="FK196" s="60" t="e">
        <f>IF($FJ196="",#N/A,SUM($FJ$4:FJ196))</f>
        <v>#N/A</v>
      </c>
      <c r="FL196" s="60" t="str">
        <f t="shared" ref="FL196:FL259" si="415">IF($GZ196="","",IF(AND($FV196="SW",$K196&lt;0),$FN196-$FP196,""))</f>
        <v/>
      </c>
      <c r="FM196" s="60" t="e">
        <f>IF($FL196="",#N/A,SUM($FL$4:FL196))</f>
        <v>#N/A</v>
      </c>
      <c r="FN196" s="82">
        <f t="shared" ref="FN196:FN259" si="416">IF(OR($GI196="",$GZ196=""),"",IF($GA196="Long",(($GZ196*$GI196)-$GH196)/($GH196*0.06),($GH196-($GZ196*$GI196))/($GH196*0.06)))</f>
        <v>0.37782892213271829</v>
      </c>
      <c r="FO196" s="82">
        <f>IF($FN196="",#N/A,SUM(FN$4:$FN196))</f>
        <v>29.183993463576744</v>
      </c>
      <c r="FP196" s="82">
        <f t="shared" si="324"/>
        <v>-4.4112006137321719E-2</v>
      </c>
      <c r="FQ196" s="246">
        <f>IF($EH196="",#N/A,SUM($FP$4:FP196))</f>
        <v>26.609432016603961</v>
      </c>
      <c r="FR196" s="82">
        <f>IFERROR(FQ196/COUNTA($J$4:J196),#N/A)</f>
        <v>0.13787270474924332</v>
      </c>
      <c r="FS196" s="82">
        <f>IFERROR(($FQ196-$FQ151)/COUNTA($J151:$J196),#N/A)</f>
        <v>9.11581961568598E-2</v>
      </c>
      <c r="FT196" s="82">
        <f t="shared" ref="FT196:FT224" si="417">IFERROR(($FQ196-$FQ173)/COUNTA($J173:$J196),#N/A)</f>
        <v>8.122663920666362E-2</v>
      </c>
      <c r="FU196" s="337">
        <f t="shared" si="342"/>
        <v>12.804299691261528</v>
      </c>
      <c r="FV196" s="57" t="str">
        <f t="shared" ref="FV196:FV259" si="418">IF(FW196="Down","Dwn",IF(FW196="Up","Up",IF(AND(FW196="",K196=""),"",IF(AND(K196&lt;0,FW196="Yes"),"Dwn",IF(AND(K196&gt;0,FW196="Yes"),"Up",IF(AND(K196&lt;0,FW196="No"),"Up",IF(AND(K196&gt;0,FW196="No"),"Dwn",IF(FW196="NA","SW","err"))))))))</f>
        <v>Dwn</v>
      </c>
      <c r="FW196" s="57" t="s">
        <v>2734</v>
      </c>
      <c r="FX196" s="57" t="str">
        <f t="shared" ref="FX196:FX259" si="419">IF(K196="","",IF(AND(K196&gt;0,FW196="Yes"),1,""))</f>
        <v/>
      </c>
      <c r="FY196" s="57">
        <f t="shared" ref="FY196:FY259" si="420">IF(K196="","",IF(AND($K196&gt;0,$FW196="No"),1,""))</f>
        <v>1</v>
      </c>
      <c r="FZ196" s="57" t="str">
        <f t="shared" ref="FZ196:FZ259" si="421">IF(K196="","",IF(AND($K196&gt;0,$FW196="NA"),1,""))</f>
        <v/>
      </c>
      <c r="GA196" s="57" t="str">
        <f t="shared" ref="GA196:GA259" si="422">IF(FV196="Dwn","Short","Long")</f>
        <v>Short</v>
      </c>
      <c r="GB196" s="57" t="str">
        <f t="shared" ref="GB196:GB259" si="423">IF(K196="","",IF(AND($K196&lt;0,$FW196="Yes"),1,""))</f>
        <v/>
      </c>
      <c r="GC196" s="57" t="str">
        <f t="shared" ref="GC196:GC259" si="424">IF(K196="","",IF(AND($K196&lt;0,$FW196="No"),1,""))</f>
        <v/>
      </c>
      <c r="GD196" s="57" t="str">
        <f t="shared" ref="GD196:GD259" si="425">IF(K196="","",IF(AND($K196&lt;0,$FW196="NA"),1,""))</f>
        <v/>
      </c>
      <c r="GE196" s="62">
        <f t="shared" si="339"/>
        <v>86.9</v>
      </c>
      <c r="GF196" s="62" t="s">
        <v>2780</v>
      </c>
      <c r="GG196" s="199">
        <v>5</v>
      </c>
      <c r="GH196" s="207">
        <f t="shared" ref="GH196:GH259" si="426">IF(GG196="","",GE196*GG196)</f>
        <v>434.5</v>
      </c>
      <c r="GI196" s="199">
        <f t="shared" si="337"/>
        <v>5</v>
      </c>
      <c r="GJ196" s="200">
        <v>87.13</v>
      </c>
      <c r="GK196" s="63">
        <f t="shared" ref="GK196:GK259" si="427">IF($GI196="","",IF($GF196="Long",(($GJ196*$GI196)-$GH196),($GH196-($GJ196*$GI196))))</f>
        <v>-1.1499999999999773</v>
      </c>
      <c r="GL196" s="63">
        <f t="shared" si="340"/>
        <v>9.8499999999999659</v>
      </c>
      <c r="GM196" s="82" t="str">
        <f t="shared" ref="GM196:GM259" si="428">IF(AND($FV196="SW",$GA196="Long"),$FN196,"")</f>
        <v/>
      </c>
      <c r="GN196" s="82">
        <f>IF($GZ196="",#N/A,SUM(GM$4:GM196))</f>
        <v>6.967174421066332</v>
      </c>
      <c r="GO196" s="82" t="str">
        <f t="shared" ref="GO196:GO259" si="429">IF(AND($FV196="UP",$GA196="Long"),$FN196,"")</f>
        <v/>
      </c>
      <c r="GP196" s="82">
        <f>IF($GZ196="",#N/A,SUM(GO$4:GO196))</f>
        <v>9.8419544639707812</v>
      </c>
      <c r="GQ196" s="82">
        <f t="shared" ref="GQ196:GQ259" si="430">IF(AND($FV196="Dwn",$GA196="Short"),$FN196,"")</f>
        <v>0.37782892213271829</v>
      </c>
      <c r="GR196" s="82">
        <f>IF($GZ196="",#N/A,SUM(GQ$4:GQ196))</f>
        <v>11.749027624097284</v>
      </c>
      <c r="GS196" s="63" t="str">
        <f t="shared" si="325"/>
        <v/>
      </c>
      <c r="GT196" s="63" t="e">
        <f>IF($GZ196="",#N/A,SUM(GS$4:GS196))</f>
        <v>#N/A</v>
      </c>
      <c r="GU196" s="63" t="str">
        <f t="shared" si="326"/>
        <v/>
      </c>
      <c r="GV196" s="63" t="e">
        <f>IF($GZ196="",#N/A,SUM(GU$4:GU196))</f>
        <v>#N/A</v>
      </c>
      <c r="GW196" s="63" t="e">
        <f t="shared" si="327"/>
        <v>#N/A</v>
      </c>
      <c r="GX196" s="63" t="e">
        <f>IF($GZ196="",#N/A,SUM(GW$4:GW196))</f>
        <v>#N/A</v>
      </c>
      <c r="GY196" s="63" t="e">
        <f>IF(EJ196="",#N/A,SUM($EJ$4:EJ196))</f>
        <v>#N/A</v>
      </c>
      <c r="GZ196" s="159">
        <v>84.93</v>
      </c>
      <c r="HA196" s="63">
        <f t="shared" ref="HA196:HA259" si="431">IF(OR(GL196="",GZ196=""),"",GL196-EH196)</f>
        <v>10.999999999999943</v>
      </c>
      <c r="HB196" s="62" t="s">
        <v>2538</v>
      </c>
      <c r="HC196" s="60">
        <f>IFERROR(VLOOKUP(E196,Expectancy!$P$4:$S$19,1+C196,FALSE),"")</f>
        <v>-4.003891381455995E-2</v>
      </c>
      <c r="HD196" s="82">
        <f t="shared" ref="HD196:HD259" si="432">IF(AND(HB196="MOC",GZ196=""),"",IF(GI196="","",IF(HB196="Skip","",IF(HG196=0,0,HG196/(GH196*0.06)))))</f>
        <v>-4.4112006137321719E-2</v>
      </c>
      <c r="HE196" s="60">
        <f>IF(HD196="",#N/A,SUM($HD$4:HD196))</f>
        <v>-0.72486767465756785</v>
      </c>
      <c r="HF196" s="85">
        <f>IF(HD196="",#N/A,IF(HB196="Skip",#N/A,SUM($HG$4:HG196)))</f>
        <v>12.820000000000164</v>
      </c>
      <c r="HG196" s="63">
        <f t="shared" ref="HG196:HG259" si="433">IF(HB196="","",IF(HB196="Skip","",IF(OR(HB196="open",HB196="Other"),GK196,IF(HB196="MOC",GL196,"Err"))))</f>
        <v>-1.1499999999999773</v>
      </c>
      <c r="HH196" s="82">
        <f t="shared" ref="HH196:HH259" si="434">IF(OR($GI196="",$L196=""),"",IF($GA196="Long",(($GZ196*$GI196)-$GH196)/($GH196*0.06),($GH196-($GZ196*$GI196))/($GH196*0.06)))</f>
        <v>0.37782892213271829</v>
      </c>
    </row>
    <row r="197" spans="1:216" x14ac:dyDescent="0.25">
      <c r="A197" s="57" t="s">
        <v>1556</v>
      </c>
      <c r="B197" s="58" t="s">
        <v>5202</v>
      </c>
      <c r="C197" s="386">
        <f t="shared" si="343"/>
        <v>3</v>
      </c>
      <c r="D197" s="372" t="str">
        <f>_xlfn.XLOOKUP(A197,[1]SP500!$A$2:$A$502,[1]SP500!$D$2:$D$502,"N")</f>
        <v>Y</v>
      </c>
      <c r="E197" s="57" t="str">
        <f>_xlfn.XLOOKUP(A197,[1]SP500!$A$2:$A$655,[1]SP500!$B$2:$B$655)</f>
        <v>XLI</v>
      </c>
      <c r="F197" s="59">
        <v>45692</v>
      </c>
      <c r="G197" s="57" t="str">
        <f t="shared" si="344"/>
        <v>AMC</v>
      </c>
      <c r="H197" s="57" t="str">
        <f t="shared" si="345"/>
        <v>o</v>
      </c>
      <c r="I197" s="159">
        <v>218.65</v>
      </c>
      <c r="J197" s="159">
        <v>208.16</v>
      </c>
      <c r="K197" s="61">
        <f t="shared" si="346"/>
        <v>-4.7976217699519819E-2</v>
      </c>
      <c r="L197" s="87">
        <f t="shared" si="347"/>
        <v>20.980000000000018</v>
      </c>
      <c r="M197" s="130">
        <f t="shared" si="338"/>
        <v>2.0600000000000023</v>
      </c>
      <c r="N197" s="169" t="str">
        <f t="shared" si="348"/>
        <v/>
      </c>
      <c r="O197" s="169">
        <f>IF($J197="",#N/A,SUM($N$4:N197))</f>
        <v>307.94438262948194</v>
      </c>
      <c r="P197" s="174" t="str">
        <f t="shared" si="349"/>
        <v/>
      </c>
      <c r="Q197" s="174">
        <f>IF($J197="",#N/A,SUM($P$4:P197))</f>
        <v>267.75455813013781</v>
      </c>
      <c r="R197" s="178">
        <f t="shared" si="350"/>
        <v>-20.980000000000018</v>
      </c>
      <c r="S197" s="178">
        <f>IF($J197="",#N/A,SUM($R$4:R197))</f>
        <v>91.348736102468592</v>
      </c>
      <c r="T197" s="290" t="str">
        <f t="shared" si="351"/>
        <v/>
      </c>
      <c r="U197" s="290">
        <f>IF($J197="",#N/A,SUM($T$4:T197))</f>
        <v>11.292495043304985</v>
      </c>
      <c r="V197" s="291" t="str">
        <f t="shared" si="352"/>
        <v/>
      </c>
      <c r="W197" s="291">
        <f>IF($J197="",#N/A,SUM($V$4:V197))</f>
        <v>10.913244427327712</v>
      </c>
      <c r="X197" s="292">
        <f t="shared" si="353"/>
        <v>-0.79960362832533038</v>
      </c>
      <c r="Y197" s="283">
        <f>IF($J197="",#N/A,SUM($X$4:X197))</f>
        <v>3.6040889176459268</v>
      </c>
      <c r="Z197" s="304" t="str">
        <f t="shared" si="354"/>
        <v/>
      </c>
      <c r="AA197" s="313" t="e">
        <f>IF($J197="",#N/A,SUM(Z$4:Z197))</f>
        <v>#N/A</v>
      </c>
      <c r="AB197" s="314" t="str">
        <f t="shared" si="355"/>
        <v/>
      </c>
      <c r="AC197" s="314" t="e">
        <f>IF($J197="",#N/A,SUM(AB$4:AB197))</f>
        <v>#N/A</v>
      </c>
      <c r="AD197" s="315" t="str">
        <f t="shared" si="356"/>
        <v/>
      </c>
      <c r="AE197" s="315" t="e">
        <f>IF($J197="",#N/A,SUM(AD$4:AD197))</f>
        <v>#N/A</v>
      </c>
      <c r="AF197" s="315" t="e">
        <f>IF($J197="",#N/A,SUM(AD$4:AD197,AB$4:AB197,Z$4:Z197))</f>
        <v>#N/A</v>
      </c>
      <c r="AG197" s="304" t="str">
        <f t="shared" si="357"/>
        <v/>
      </c>
      <c r="AH197" s="313" t="e">
        <f>IF($J197="",#N/A,SUM(AG$4:AG197))</f>
        <v>#N/A</v>
      </c>
      <c r="AI197" s="314" t="str">
        <f t="shared" si="358"/>
        <v/>
      </c>
      <c r="AJ197" s="314" t="e">
        <f>IF($J197="",#N/A,SUM(AI$4:AI197))</f>
        <v>#N/A</v>
      </c>
      <c r="AK197" s="315" t="str">
        <f t="shared" si="359"/>
        <v/>
      </c>
      <c r="AL197" s="315" t="e">
        <f>IF($J197="",#N/A,SUM(AK$4:AK197))</f>
        <v>#N/A</v>
      </c>
      <c r="AM197" s="315" t="e">
        <f>IF($J197="",#N/A,SUM(AK$4:AK197,AI$4:AI197,AG$4:AG197))</f>
        <v>#N/A</v>
      </c>
      <c r="AN197" s="304" t="str">
        <f t="shared" si="360"/>
        <v/>
      </c>
      <c r="AO197" s="313" t="e">
        <f>IF($J197="",#N/A,SUM(AN$4:AN197))</f>
        <v>#N/A</v>
      </c>
      <c r="AP197" s="314" t="str">
        <f t="shared" si="361"/>
        <v/>
      </c>
      <c r="AQ197" s="314" t="e">
        <f>IF($J197="",#N/A,SUM(AP$4:AP197))</f>
        <v>#N/A</v>
      </c>
      <c r="AR197" s="315" t="str">
        <f t="shared" si="362"/>
        <v/>
      </c>
      <c r="AS197" s="315" t="e">
        <f>IF($J197="",#N/A,SUM(AR$4:AR197))</f>
        <v>#N/A</v>
      </c>
      <c r="AT197" s="315" t="e">
        <f>IF($J197="",#N/A,SUM(AR$4:AR197,AP$4:AP197,AN$4:AN197))</f>
        <v>#N/A</v>
      </c>
      <c r="AU197" s="304" t="str">
        <f t="shared" si="363"/>
        <v/>
      </c>
      <c r="AV197" s="313" t="e">
        <f>IF($J197="",#N/A,SUM(AU$4:AU197))</f>
        <v>#N/A</v>
      </c>
      <c r="AW197" s="314" t="str">
        <f t="shared" si="364"/>
        <v/>
      </c>
      <c r="AX197" s="314" t="e">
        <f>IF($J197="",#N/A,SUM(AW$4:AW197))</f>
        <v>#N/A</v>
      </c>
      <c r="AY197" s="315" t="str">
        <f t="shared" si="365"/>
        <v/>
      </c>
      <c r="AZ197" s="315" t="e">
        <f>IF($J197="",#N/A,SUM(AY$4:AY197))</f>
        <v>#N/A</v>
      </c>
      <c r="BA197" s="315" t="e">
        <f>IF($J197="",#N/A,SUM(AY$4:AY197,AW$4:AW197,AU$4:AU197))</f>
        <v>#N/A</v>
      </c>
      <c r="BB197" s="304" t="str">
        <f t="shared" si="366"/>
        <v/>
      </c>
      <c r="BC197" s="313" t="e">
        <f>IF($J197="",#N/A,SUM(BB$4:BB197))</f>
        <v>#N/A</v>
      </c>
      <c r="BD197" s="314" t="str">
        <f t="shared" si="367"/>
        <v/>
      </c>
      <c r="BE197" s="314" t="e">
        <f>IF($J197="",#N/A,SUM(BD$4:BD197))</f>
        <v>#N/A</v>
      </c>
      <c r="BF197" s="315" t="str">
        <f t="shared" si="368"/>
        <v/>
      </c>
      <c r="BG197" s="315" t="e">
        <f>IF($J197="",#N/A,SUM(BF$4:BF197))</f>
        <v>#N/A</v>
      </c>
      <c r="BH197" s="315" t="e">
        <f>IF($J197="",#N/A,SUM(BF$4:BF197,BD$4:BD197,BB$4:BB197))</f>
        <v>#N/A</v>
      </c>
      <c r="BI197" s="304" t="str">
        <f t="shared" si="369"/>
        <v/>
      </c>
      <c r="BJ197" s="313" t="e">
        <f>IF($J197="",#N/A,SUM(BI$4:BI197))</f>
        <v>#N/A</v>
      </c>
      <c r="BK197" s="314" t="str">
        <f t="shared" si="370"/>
        <v/>
      </c>
      <c r="BL197" s="314" t="e">
        <f>IF($J197="",#N/A,SUM(BK$4:BK197))</f>
        <v>#N/A</v>
      </c>
      <c r="BM197" s="315" t="str">
        <f t="shared" si="371"/>
        <v/>
      </c>
      <c r="BN197" s="315" t="e">
        <f>IF($J197="",#N/A,SUM(BM$4:BM197))</f>
        <v>#N/A</v>
      </c>
      <c r="BO197" s="315" t="e">
        <f>IF($J197="",#N/A,SUM(BM$4:BM197,BK$4:BK197,BI$4:BI197))</f>
        <v>#N/A</v>
      </c>
      <c r="BP197" s="304" t="str">
        <f t="shared" si="372"/>
        <v/>
      </c>
      <c r="BQ197" s="313" t="e">
        <f>IF($J197="",#N/A,SUM(BP$4:BP197))</f>
        <v>#N/A</v>
      </c>
      <c r="BR197" s="314" t="str">
        <f t="shared" si="373"/>
        <v/>
      </c>
      <c r="BS197" s="314" t="e">
        <f>IF($J197="",#N/A,SUM(BR$4:BR197))</f>
        <v>#N/A</v>
      </c>
      <c r="BT197" s="315">
        <f t="shared" si="374"/>
        <v>-0.79960362832533038</v>
      </c>
      <c r="BU197" s="315" t="e">
        <f>IF($J197="",#N/A,SUM(BT$4:BT197))</f>
        <v>#N/A</v>
      </c>
      <c r="BV197" s="315" t="e">
        <f>IF($J197="",#N/A,SUM(BT$4:BT197,BR$4:BR197,BP$4:BP197))</f>
        <v>#N/A</v>
      </c>
      <c r="BW197" s="304" t="str">
        <f t="shared" si="375"/>
        <v/>
      </c>
      <c r="BX197" s="313" t="e">
        <f>IF($J197="",#N/A,SUM(BW$4:BW197))</f>
        <v>#N/A</v>
      </c>
      <c r="BY197" s="314" t="str">
        <f t="shared" si="376"/>
        <v/>
      </c>
      <c r="BZ197" s="314" t="e">
        <f>IF($J197="",#N/A,SUM(BY$4:BY197))</f>
        <v>#N/A</v>
      </c>
      <c r="CA197" s="315" t="str">
        <f t="shared" si="377"/>
        <v/>
      </c>
      <c r="CB197" s="315" t="e">
        <f>IF($J197="",#N/A,SUM(CA$4:CA197))</f>
        <v>#N/A</v>
      </c>
      <c r="CC197" s="315" t="e">
        <f>IF($J197="",#N/A,SUM(CA$4:CA197,BY$4:BY197,BW$4:BW197))</f>
        <v>#N/A</v>
      </c>
      <c r="CD197" s="304" t="str">
        <f t="shared" si="378"/>
        <v/>
      </c>
      <c r="CE197" s="313" t="e">
        <f>IF($J197="",#N/A,SUM(CD$4:CD197))</f>
        <v>#N/A</v>
      </c>
      <c r="CF197" s="314" t="str">
        <f t="shared" si="379"/>
        <v/>
      </c>
      <c r="CG197" s="314" t="e">
        <f>IF($J197="",#N/A,SUM(CF$4:CF197))</f>
        <v>#N/A</v>
      </c>
      <c r="CH197" s="315" t="str">
        <f t="shared" si="380"/>
        <v/>
      </c>
      <c r="CI197" s="315" t="e">
        <f>IF($J197="",#N/A,SUM(CH$4:CH197))</f>
        <v>#N/A</v>
      </c>
      <c r="CJ197" s="315" t="e">
        <f>IF($J197="",#N/A,SUM(CH$4:CH197,CF$4:CF197,CD$4:CD197))</f>
        <v>#N/A</v>
      </c>
      <c r="CK197" s="304" t="str">
        <f t="shared" si="381"/>
        <v/>
      </c>
      <c r="CL197" s="313" t="e">
        <f>IF($J197="",#N/A,SUM(CK$4:CK197))</f>
        <v>#N/A</v>
      </c>
      <c r="CM197" s="314" t="str">
        <f t="shared" si="382"/>
        <v/>
      </c>
      <c r="CN197" s="314" t="e">
        <f>IF($J197="",#N/A,SUM(CM$4:CM197))</f>
        <v>#N/A</v>
      </c>
      <c r="CO197" s="315" t="str">
        <f t="shared" si="383"/>
        <v/>
      </c>
      <c r="CP197" s="315" t="e">
        <f>IF($J197="",#N/A,SUM(CO$4:CO197))</f>
        <v>#N/A</v>
      </c>
      <c r="CQ197" s="315" t="e">
        <f>IF($J197="",#N/A,SUM(CO$4:CO197,CM$4:CM197,CK$4:CK197))</f>
        <v>#N/A</v>
      </c>
      <c r="CR197" s="304" t="str">
        <f t="shared" si="384"/>
        <v/>
      </c>
      <c r="CS197" s="313" t="e">
        <f>IF($J197="",#N/A,SUM(CR$4:CR197))</f>
        <v>#N/A</v>
      </c>
      <c r="CT197" s="314" t="str">
        <f t="shared" si="385"/>
        <v/>
      </c>
      <c r="CU197" s="314" t="e">
        <f>IF($J197="",#N/A,SUM(CT$4:CT197))</f>
        <v>#N/A</v>
      </c>
      <c r="CV197" s="315" t="str">
        <f t="shared" si="386"/>
        <v/>
      </c>
      <c r="CW197" s="315" t="e">
        <f>IF($J197="",#N/A,SUM(CV$4:CV197))</f>
        <v>#N/A</v>
      </c>
      <c r="CX197" s="315" t="e">
        <f>IF($J197="",#N/A,SUM(CV$4:CV197,CT$4:CT197,CR$4:CR197))</f>
        <v>#N/A</v>
      </c>
      <c r="CY197" s="304" t="str">
        <f t="shared" si="387"/>
        <v/>
      </c>
      <c r="CZ197" s="313" t="e">
        <f>IF($J197="",#N/A,SUM(CY$4:CY197))</f>
        <v>#N/A</v>
      </c>
      <c r="DA197" s="314" t="str">
        <f t="shared" si="388"/>
        <v/>
      </c>
      <c r="DB197" s="314" t="e">
        <f>IF($J197="",#N/A,SUM(DA$4:DA197))</f>
        <v>#N/A</v>
      </c>
      <c r="DC197" s="315" t="str">
        <f t="shared" si="389"/>
        <v/>
      </c>
      <c r="DD197" s="315" t="e">
        <f>IF($J197="",#N/A,SUM(DC$4:DC197))</f>
        <v>#N/A</v>
      </c>
      <c r="DE197" s="315" t="e">
        <f>IF($J197="",#N/A,SUM(DC$4:DC197,DA$4:DA197,CY$4:CY197))</f>
        <v>#N/A</v>
      </c>
      <c r="DF197" s="304" t="str">
        <f t="shared" si="390"/>
        <v/>
      </c>
      <c r="DG197" s="313" t="e">
        <f>IF($J197="",#N/A,SUM(DF$4:DF197))</f>
        <v>#N/A</v>
      </c>
      <c r="DH197" s="314" t="str">
        <f t="shared" si="391"/>
        <v/>
      </c>
      <c r="DI197" s="314" t="e">
        <f>IF($J197="",#N/A,SUM(DH$4:DH197))</f>
        <v>#N/A</v>
      </c>
      <c r="DJ197" s="315" t="str">
        <f t="shared" si="392"/>
        <v/>
      </c>
      <c r="DK197" s="315" t="e">
        <f>IF($J197="",#N/A,SUM(DJ$4:DJ197))</f>
        <v>#N/A</v>
      </c>
      <c r="DL197" s="315" t="e">
        <f>IF($J197="",#N/A,SUM(DJ$4:DJ197,DH$4:DH197,DF$4:DF197))</f>
        <v>#N/A</v>
      </c>
      <c r="DM197" s="304" t="str">
        <f t="shared" si="393"/>
        <v/>
      </c>
      <c r="DN197" s="313" t="e">
        <f>IF($J197="",#N/A,SUM(DM$4:DM197))</f>
        <v>#N/A</v>
      </c>
      <c r="DO197" s="314" t="str">
        <f t="shared" si="394"/>
        <v/>
      </c>
      <c r="DP197" s="314" t="e">
        <f>IF($J197="",#N/A,SUM(DO$4:DO197))</f>
        <v>#N/A</v>
      </c>
      <c r="DQ197" s="315" t="str">
        <f t="shared" si="395"/>
        <v/>
      </c>
      <c r="DR197" s="315" t="e">
        <f>IF($J197="",#N/A,SUM(DQ$4:DQ197))</f>
        <v>#N/A</v>
      </c>
      <c r="DS197" s="315" t="e">
        <f>IF($J197="",#N/A,SUM(DQ$4:DQ197,DO$4:DO197,DM$4:DM197))</f>
        <v>#N/A</v>
      </c>
      <c r="DT197" s="304" t="str">
        <f t="shared" si="396"/>
        <v/>
      </c>
      <c r="DU197" s="313" t="e">
        <f>IF($J197="",#N/A,SUM(DT$4:DT197))</f>
        <v>#N/A</v>
      </c>
      <c r="DV197" s="314" t="str">
        <f t="shared" si="397"/>
        <v/>
      </c>
      <c r="DW197" s="314" t="e">
        <f>IF($J197="",#N/A,SUM(DV$4:DV197))</f>
        <v>#N/A</v>
      </c>
      <c r="DX197" s="315" t="str">
        <f t="shared" si="398"/>
        <v/>
      </c>
      <c r="DY197" s="315" t="e">
        <f>IF($J197="",#N/A,SUM(DX$4:DX197))</f>
        <v>#N/A</v>
      </c>
      <c r="DZ197" s="315" t="e">
        <f>IF($J197="",#N/A,SUM(DX$4:DX197,DV$4:DV197,DT$4:DT197))</f>
        <v>#N/A</v>
      </c>
      <c r="EA197" s="304" t="str">
        <f t="shared" si="399"/>
        <v/>
      </c>
      <c r="EB197" s="313" t="e">
        <f>IF($J197="",#N/A,SUM(EA$4:EA197))</f>
        <v>#N/A</v>
      </c>
      <c r="EC197" s="314" t="str">
        <f t="shared" si="400"/>
        <v/>
      </c>
      <c r="ED197" s="314" t="e">
        <f>IF($J197="",#N/A,SUM(EC$4:EC197))</f>
        <v>#N/A</v>
      </c>
      <c r="EE197" s="315" t="str">
        <f t="shared" si="401"/>
        <v/>
      </c>
      <c r="EF197" s="315" t="e">
        <f>IF($J197="",#N/A,SUM(EE$4:EE197))</f>
        <v>#N/A</v>
      </c>
      <c r="EG197" s="315" t="e">
        <f>IF($J197="",#N/A,SUM(EE$4:EE197,EC$4:EC197,EA$4:EA197))</f>
        <v>#N/A</v>
      </c>
      <c r="EH197" s="130">
        <f t="shared" si="402"/>
        <v>-20.980000000000018</v>
      </c>
      <c r="EI197" s="63">
        <f>IF(EH197="",#N/A,SUM($EH$4:EH197))</f>
        <v>667.04767686208845</v>
      </c>
      <c r="EJ197" s="223" t="e">
        <f t="shared" si="403"/>
        <v>#N/A</v>
      </c>
      <c r="EK197" s="63" t="e">
        <f>IF($GZ197="",#N/A,SUM(EJ$4:EJ197))</f>
        <v>#N/A</v>
      </c>
      <c r="EL197" s="60">
        <f t="shared" ref="EL197:EL260" si="435">IF(J197="","",IF(D197="Y",FP197,""))</f>
        <v>-0.79960362832533038</v>
      </c>
      <c r="EM197" s="60">
        <f>IF(EL197="",NA(),SUM($EL$4:EL197))</f>
        <v>22.149040324797362</v>
      </c>
      <c r="EN197" s="60" t="str">
        <f t="shared" si="404"/>
        <v/>
      </c>
      <c r="EO197" s="60" t="e">
        <f>IF(EN197="",NA(),SUM($EN$4:EN197))</f>
        <v>#N/A</v>
      </c>
      <c r="EP197" s="60">
        <f t="shared" si="405"/>
        <v>-0.79960362832533038</v>
      </c>
      <c r="EQ197" s="60">
        <f>IF(EP197="",NA(),SUM($EP$4:EP197))</f>
        <v>4.5318458377231199</v>
      </c>
      <c r="ER197" s="60" t="str">
        <f t="shared" si="406"/>
        <v/>
      </c>
      <c r="ES197" s="60" t="e">
        <f>IF(ER197="",NA(),SUM($ER$4:ER197))</f>
        <v>#N/A</v>
      </c>
      <c r="ET197" s="60" t="str">
        <f t="shared" si="407"/>
        <v/>
      </c>
      <c r="EU197" s="60" t="e">
        <f>IF(ET197="",NA(),SUM($ET$4:ET197))</f>
        <v>#N/A</v>
      </c>
      <c r="EV197" s="60" t="str">
        <f t="shared" si="408"/>
        <v/>
      </c>
      <c r="EW197" s="60" t="e">
        <f>IF(EV197="",NA(),SUM($EV$4:EV197))</f>
        <v>#N/A</v>
      </c>
      <c r="EX197" s="60" t="str">
        <f t="shared" si="409"/>
        <v/>
      </c>
      <c r="EY197" s="60" t="e">
        <f>IF(EX197="",NA(),SUM($EX$4:EX197))</f>
        <v>#N/A</v>
      </c>
      <c r="EZ197" s="60" t="str">
        <f t="shared" si="410"/>
        <v/>
      </c>
      <c r="FA197" s="60" t="e">
        <f>IF(EZ197="",NA(),SUM($EZ$4:EZ197))</f>
        <v>#N/A</v>
      </c>
      <c r="FB197" s="246" t="str">
        <f t="shared" ref="FB197:FB260" si="436">IF($GZ197="","",IF(AND($FV197="Dwn",$K197&lt;0),$FN197-FP197,""))</f>
        <v/>
      </c>
      <c r="FC197" s="246" t="e">
        <f>IF($FB197="",#N/A,SUM(FB$4:$FB197))</f>
        <v>#N/A</v>
      </c>
      <c r="FD197" s="60" t="str">
        <f t="shared" si="411"/>
        <v/>
      </c>
      <c r="FE197" s="60" t="e">
        <f>IF($FD197="",#N/A,SUM($FD$4:FD197))</f>
        <v>#N/A</v>
      </c>
      <c r="FF197" s="60" t="str">
        <f t="shared" si="412"/>
        <v/>
      </c>
      <c r="FG197" s="60" t="e">
        <f>IF($FF197="",#N/A,SUM($FF$4:FF197))</f>
        <v>#N/A</v>
      </c>
      <c r="FH197" s="60" t="str">
        <f t="shared" si="413"/>
        <v/>
      </c>
      <c r="FI197" s="60" t="e">
        <f>IF($FH197="",#N/A,SUM($FH$4:FH197))</f>
        <v>#N/A</v>
      </c>
      <c r="FJ197" s="60" t="str">
        <f t="shared" si="414"/>
        <v/>
      </c>
      <c r="FK197" s="60" t="e">
        <f>IF($FJ197="",#N/A,SUM($FJ$4:FJ197))</f>
        <v>#N/A</v>
      </c>
      <c r="FL197" s="60">
        <f t="shared" si="415"/>
        <v>-0.80646390731000717</v>
      </c>
      <c r="FM197" s="60">
        <f>IF($FL197="",#N/A,SUM($FL$4:FL197))</f>
        <v>3.3823776913038865</v>
      </c>
      <c r="FN197" s="82">
        <f t="shared" si="416"/>
        <v>-1.6060675356353376</v>
      </c>
      <c r="FO197" s="82">
        <f>IF($FN197="",#N/A,SUM(FN$4:$FN197))</f>
        <v>27.577925927941408</v>
      </c>
      <c r="FP197" s="82">
        <f t="shared" ref="FP197:FP260" si="437">IF(OR($GI197="",L197=""),"",IF($GA197="Long",(($J197*$GI197)-$GH197)/(GH197*0.06),($GH197-($J197*$GI197))/(GH197*0.06)))</f>
        <v>-0.79960362832533038</v>
      </c>
      <c r="FQ197" s="246">
        <f>IF($EH197="",#N/A,SUM($FP$4:FP197))</f>
        <v>25.809828388278632</v>
      </c>
      <c r="FR197" s="82">
        <f>IFERROR(FQ197/COUNTA($J$4:J197),#N/A)</f>
        <v>0.13304035251690016</v>
      </c>
      <c r="FS197" s="82">
        <f>IFERROR(($FQ197-$FQ152)/COUNTA($J152:$J197),#N/A)</f>
        <v>9.9747683806447524E-2</v>
      </c>
      <c r="FT197" s="82">
        <f t="shared" si="417"/>
        <v>7.8572034651108957E-2</v>
      </c>
      <c r="FU197" s="337">
        <f t="shared" si="342"/>
        <v>11.126580352897326</v>
      </c>
      <c r="FV197" s="57" t="str">
        <f t="shared" si="418"/>
        <v>SW</v>
      </c>
      <c r="FW197" s="57" t="s">
        <v>2732</v>
      </c>
      <c r="FX197" s="57" t="str">
        <f t="shared" si="419"/>
        <v/>
      </c>
      <c r="FY197" s="57" t="str">
        <f t="shared" si="420"/>
        <v/>
      </c>
      <c r="FZ197" s="57" t="str">
        <f t="shared" si="421"/>
        <v/>
      </c>
      <c r="GA197" s="57" t="str">
        <f t="shared" si="422"/>
        <v>Long</v>
      </c>
      <c r="GB197" s="57" t="str">
        <f t="shared" si="423"/>
        <v/>
      </c>
      <c r="GC197" s="57" t="str">
        <f t="shared" si="424"/>
        <v/>
      </c>
      <c r="GD197" s="57">
        <f t="shared" si="425"/>
        <v>1</v>
      </c>
      <c r="GE197" s="62">
        <f t="shared" si="339"/>
        <v>218.65</v>
      </c>
      <c r="GF197" s="62" t="s">
        <v>2780</v>
      </c>
      <c r="GG197" s="199">
        <v>2</v>
      </c>
      <c r="GH197" s="207">
        <f t="shared" si="426"/>
        <v>437.3</v>
      </c>
      <c r="GI197" s="199">
        <f t="shared" si="337"/>
        <v>2</v>
      </c>
      <c r="GJ197" s="200">
        <v>207.13</v>
      </c>
      <c r="GK197" s="63">
        <f t="shared" si="427"/>
        <v>23.04000000000002</v>
      </c>
      <c r="GL197" s="63">
        <f t="shared" si="340"/>
        <v>42.139999999999986</v>
      </c>
      <c r="GM197" s="82">
        <f t="shared" si="428"/>
        <v>-1.6060675356353376</v>
      </c>
      <c r="GN197" s="82">
        <f>IF($GZ197="",#N/A,SUM(GM$4:GM197))</f>
        <v>5.3611068854309947</v>
      </c>
      <c r="GO197" s="82" t="str">
        <f t="shared" si="429"/>
        <v/>
      </c>
      <c r="GP197" s="82">
        <f>IF($GZ197="",#N/A,SUM(GO$4:GO197))</f>
        <v>9.8419544639707812</v>
      </c>
      <c r="GQ197" s="82" t="str">
        <f t="shared" si="430"/>
        <v/>
      </c>
      <c r="GR197" s="82">
        <f>IF($GZ197="",#N/A,SUM(GQ$4:GQ197))</f>
        <v>11.749027624097284</v>
      </c>
      <c r="GS197" s="63" t="e">
        <f t="shared" ref="GS197:GS260" si="438">IF(AND(FV197="SW",GA197="Long"),$EJ197,"")</f>
        <v>#N/A</v>
      </c>
      <c r="GT197" s="63" t="e">
        <f>IF($GZ197="",#N/A,SUM(GS$4:GS197))</f>
        <v>#N/A</v>
      </c>
      <c r="GU197" s="63" t="str">
        <f t="shared" ref="GU197:GU260" si="439">IF(AND(FV197="UP",GA197="Long"),$EJ197,"")</f>
        <v/>
      </c>
      <c r="GV197" s="63" t="e">
        <f>IF($GZ197="",#N/A,SUM(GU$4:GU197))</f>
        <v>#N/A</v>
      </c>
      <c r="GW197" s="63" t="str">
        <f t="shared" ref="GW197:GW260" si="440">IF(AND(FV197="Dwn",GA197="Short"),$EJ197,"")</f>
        <v/>
      </c>
      <c r="GX197" s="63" t="e">
        <f>IF($GZ197="",#N/A,SUM(GW$4:GW197))</f>
        <v>#N/A</v>
      </c>
      <c r="GY197" s="63" t="e">
        <f>IF(EJ197="",#N/A,SUM($EJ$4:EJ197))</f>
        <v>#N/A</v>
      </c>
      <c r="GZ197" s="159">
        <v>197.58</v>
      </c>
      <c r="HA197" s="63">
        <f t="shared" si="431"/>
        <v>63.120000000000005</v>
      </c>
      <c r="HB197" s="62" t="s">
        <v>2538</v>
      </c>
      <c r="HC197" s="60">
        <f>IFERROR(VLOOKUP(E197,Expectancy!$P$4:$S$19,1+C197,FALSE),"")</f>
        <v>2.40735201201209E-2</v>
      </c>
      <c r="HD197" s="82">
        <f t="shared" si="432"/>
        <v>0.87811571003887567</v>
      </c>
      <c r="HE197" s="60">
        <f>IF(HD197="",#N/A,SUM($HD$4:HD197))</f>
        <v>0.15324803538130782</v>
      </c>
      <c r="HF197" s="85">
        <f>IF(HD197="",#N/A,IF(HB197="Skip",#N/A,SUM($HG$4:HG197)))</f>
        <v>35.860000000000184</v>
      </c>
      <c r="HG197" s="63">
        <f t="shared" si="433"/>
        <v>23.04000000000002</v>
      </c>
      <c r="HH197" s="82">
        <f t="shared" si="434"/>
        <v>-1.6060675356353376</v>
      </c>
    </row>
    <row r="198" spans="1:216" x14ac:dyDescent="0.25">
      <c r="A198" s="57" t="s">
        <v>242</v>
      </c>
      <c r="B198" s="58" t="s">
        <v>5201</v>
      </c>
      <c r="C198" s="386">
        <f t="shared" si="343"/>
        <v>3</v>
      </c>
      <c r="D198" s="372" t="str">
        <f>_xlfn.XLOOKUP(A198,[1]SP500!$A$2:$A$502,[1]SP500!$D$2:$D$502,"N")</f>
        <v>Y</v>
      </c>
      <c r="E198" s="57" t="str">
        <f>_xlfn.XLOOKUP(A198,[1]SP500!$A$2:$A$655,[1]SP500!$B$2:$B$655)</f>
        <v>XLF</v>
      </c>
      <c r="F198" s="59">
        <v>45692</v>
      </c>
      <c r="G198" s="57" t="str">
        <f t="shared" si="344"/>
        <v>AMC</v>
      </c>
      <c r="H198" s="57" t="str">
        <f t="shared" si="345"/>
        <v>s</v>
      </c>
      <c r="I198" s="159">
        <v>174.08</v>
      </c>
      <c r="J198" s="159">
        <v>174.17</v>
      </c>
      <c r="K198" s="61">
        <f t="shared" si="346"/>
        <v>5.1700367647044448E-4</v>
      </c>
      <c r="L198" s="87">
        <f t="shared" si="347"/>
        <v>0.17999999999994998</v>
      </c>
      <c r="M198" s="130">
        <f t="shared" si="338"/>
        <v>0</v>
      </c>
      <c r="N198" s="169" t="str">
        <f t="shared" si="348"/>
        <v/>
      </c>
      <c r="O198" s="169">
        <f>IF($J198="",#N/A,SUM($N$4:N198))</f>
        <v>307.94438262948194</v>
      </c>
      <c r="P198" s="174" t="str">
        <f t="shared" si="349"/>
        <v/>
      </c>
      <c r="Q198" s="174">
        <f>IF($J198="",#N/A,SUM($P$4:P198))</f>
        <v>267.75455813013781</v>
      </c>
      <c r="R198" s="178">
        <f t="shared" si="350"/>
        <v>0.17999999999994998</v>
      </c>
      <c r="S198" s="178">
        <f>IF($J198="",#N/A,SUM($R$4:R198))</f>
        <v>91.528736102468542</v>
      </c>
      <c r="T198" s="290" t="str">
        <f t="shared" si="351"/>
        <v/>
      </c>
      <c r="U198" s="290">
        <f>IF($J198="",#N/A,SUM($T$4:T198))</f>
        <v>11.292495043304985</v>
      </c>
      <c r="V198" s="291" t="str">
        <f t="shared" si="352"/>
        <v/>
      </c>
      <c r="W198" s="291">
        <f>IF($J198="",#N/A,SUM($V$4:V198))</f>
        <v>10.913244427327712</v>
      </c>
      <c r="X198" s="292">
        <f t="shared" si="353"/>
        <v>8.6167279411740755E-3</v>
      </c>
      <c r="Y198" s="283">
        <f>IF($J198="",#N/A,SUM($X$4:X198))</f>
        <v>3.6127056455871007</v>
      </c>
      <c r="Z198" s="304" t="str">
        <f t="shared" si="354"/>
        <v/>
      </c>
      <c r="AA198" s="313" t="e">
        <f>IF($J198="",#N/A,SUM(Z$4:Z198))</f>
        <v>#N/A</v>
      </c>
      <c r="AB198" s="314" t="str">
        <f t="shared" si="355"/>
        <v/>
      </c>
      <c r="AC198" s="314" t="e">
        <f>IF($J198="",#N/A,SUM(AB$4:AB198))</f>
        <v>#N/A</v>
      </c>
      <c r="AD198" s="315" t="str">
        <f t="shared" si="356"/>
        <v/>
      </c>
      <c r="AE198" s="315" t="e">
        <f>IF($J198="",#N/A,SUM(AD$4:AD198))</f>
        <v>#N/A</v>
      </c>
      <c r="AF198" s="315" t="e">
        <f>IF($J198="",#N/A,SUM(AD$4:AD198,AB$4:AB198,Z$4:Z198))</f>
        <v>#N/A</v>
      </c>
      <c r="AG198" s="304" t="str">
        <f t="shared" si="357"/>
        <v/>
      </c>
      <c r="AH198" s="313" t="e">
        <f>IF($J198="",#N/A,SUM(AG$4:AG198))</f>
        <v>#N/A</v>
      </c>
      <c r="AI198" s="314" t="str">
        <f t="shared" si="358"/>
        <v/>
      </c>
      <c r="AJ198" s="314" t="e">
        <f>IF($J198="",#N/A,SUM(AI$4:AI198))</f>
        <v>#N/A</v>
      </c>
      <c r="AK198" s="315" t="str">
        <f t="shared" si="359"/>
        <v/>
      </c>
      <c r="AL198" s="315" t="e">
        <f>IF($J198="",#N/A,SUM(AK$4:AK198))</f>
        <v>#N/A</v>
      </c>
      <c r="AM198" s="315" t="e">
        <f>IF($J198="",#N/A,SUM(AK$4:AK198,AI$4:AI198,AG$4:AG198))</f>
        <v>#N/A</v>
      </c>
      <c r="AN198" s="304" t="str">
        <f t="shared" si="360"/>
        <v/>
      </c>
      <c r="AO198" s="313" t="e">
        <f>IF($J198="",#N/A,SUM(AN$4:AN198))</f>
        <v>#N/A</v>
      </c>
      <c r="AP198" s="314" t="str">
        <f t="shared" si="361"/>
        <v/>
      </c>
      <c r="AQ198" s="314" t="e">
        <f>IF($J198="",#N/A,SUM(AP$4:AP198))</f>
        <v>#N/A</v>
      </c>
      <c r="AR198" s="315" t="str">
        <f t="shared" si="362"/>
        <v/>
      </c>
      <c r="AS198" s="315" t="e">
        <f>IF($J198="",#N/A,SUM(AR$4:AR198))</f>
        <v>#N/A</v>
      </c>
      <c r="AT198" s="315" t="e">
        <f>IF($J198="",#N/A,SUM(AR$4:AR198,AP$4:AP198,AN$4:AN198))</f>
        <v>#N/A</v>
      </c>
      <c r="AU198" s="304" t="str">
        <f t="shared" si="363"/>
        <v/>
      </c>
      <c r="AV198" s="313" t="e">
        <f>IF($J198="",#N/A,SUM(AU$4:AU198))</f>
        <v>#N/A</v>
      </c>
      <c r="AW198" s="314" t="str">
        <f t="shared" si="364"/>
        <v/>
      </c>
      <c r="AX198" s="314" t="e">
        <f>IF($J198="",#N/A,SUM(AW$4:AW198))</f>
        <v>#N/A</v>
      </c>
      <c r="AY198" s="315" t="str">
        <f t="shared" si="365"/>
        <v/>
      </c>
      <c r="AZ198" s="315" t="e">
        <f>IF($J198="",#N/A,SUM(AY$4:AY198))</f>
        <v>#N/A</v>
      </c>
      <c r="BA198" s="315" t="e">
        <f>IF($J198="",#N/A,SUM(AY$4:AY198,AW$4:AW198,AU$4:AU198))</f>
        <v>#N/A</v>
      </c>
      <c r="BB198" s="304" t="str">
        <f t="shared" si="366"/>
        <v/>
      </c>
      <c r="BC198" s="313" t="e">
        <f>IF($J198="",#N/A,SUM(BB$4:BB198))</f>
        <v>#N/A</v>
      </c>
      <c r="BD198" s="314" t="str">
        <f t="shared" si="367"/>
        <v/>
      </c>
      <c r="BE198" s="314" t="e">
        <f>IF($J198="",#N/A,SUM(BD$4:BD198))</f>
        <v>#N/A</v>
      </c>
      <c r="BF198" s="315" t="str">
        <f t="shared" si="368"/>
        <v/>
      </c>
      <c r="BG198" s="315" t="e">
        <f>IF($J198="",#N/A,SUM(BF$4:BF198))</f>
        <v>#N/A</v>
      </c>
      <c r="BH198" s="315" t="e">
        <f>IF($J198="",#N/A,SUM(BF$4:BF198,BD$4:BD198,BB$4:BB198))</f>
        <v>#N/A</v>
      </c>
      <c r="BI198" s="304" t="str">
        <f t="shared" si="369"/>
        <v/>
      </c>
      <c r="BJ198" s="313" t="e">
        <f>IF($J198="",#N/A,SUM(BI$4:BI198))</f>
        <v>#N/A</v>
      </c>
      <c r="BK198" s="314" t="str">
        <f t="shared" si="370"/>
        <v/>
      </c>
      <c r="BL198" s="314" t="e">
        <f>IF($J198="",#N/A,SUM(BK$4:BK198))</f>
        <v>#N/A</v>
      </c>
      <c r="BM198" s="315">
        <f t="shared" si="371"/>
        <v>8.6167279411740755E-3</v>
      </c>
      <c r="BN198" s="315" t="e">
        <f>IF($J198="",#N/A,SUM(BM$4:BM198))</f>
        <v>#N/A</v>
      </c>
      <c r="BO198" s="315" t="e">
        <f>IF($J198="",#N/A,SUM(BM$4:BM198,BK$4:BK198,BI$4:BI198))</f>
        <v>#N/A</v>
      </c>
      <c r="BP198" s="304" t="str">
        <f t="shared" si="372"/>
        <v/>
      </c>
      <c r="BQ198" s="313" t="e">
        <f>IF($J198="",#N/A,SUM(BP$4:BP198))</f>
        <v>#N/A</v>
      </c>
      <c r="BR198" s="314" t="str">
        <f t="shared" si="373"/>
        <v/>
      </c>
      <c r="BS198" s="314" t="e">
        <f>IF($J198="",#N/A,SUM(BR$4:BR198))</f>
        <v>#N/A</v>
      </c>
      <c r="BT198" s="315" t="str">
        <f t="shared" si="374"/>
        <v/>
      </c>
      <c r="BU198" s="315" t="e">
        <f>IF($J198="",#N/A,SUM(BT$4:BT198))</f>
        <v>#N/A</v>
      </c>
      <c r="BV198" s="315" t="e">
        <f>IF($J198="",#N/A,SUM(BT$4:BT198,BR$4:BR198,BP$4:BP198))</f>
        <v>#N/A</v>
      </c>
      <c r="BW198" s="304" t="str">
        <f t="shared" si="375"/>
        <v/>
      </c>
      <c r="BX198" s="313" t="e">
        <f>IF($J198="",#N/A,SUM(BW$4:BW198))</f>
        <v>#N/A</v>
      </c>
      <c r="BY198" s="314" t="str">
        <f t="shared" si="376"/>
        <v/>
      </c>
      <c r="BZ198" s="314" t="e">
        <f>IF($J198="",#N/A,SUM(BY$4:BY198))</f>
        <v>#N/A</v>
      </c>
      <c r="CA198" s="315" t="str">
        <f t="shared" si="377"/>
        <v/>
      </c>
      <c r="CB198" s="315" t="e">
        <f>IF($J198="",#N/A,SUM(CA$4:CA198))</f>
        <v>#N/A</v>
      </c>
      <c r="CC198" s="315" t="e">
        <f>IF($J198="",#N/A,SUM(CA$4:CA198,BY$4:BY198,BW$4:BW198))</f>
        <v>#N/A</v>
      </c>
      <c r="CD198" s="304" t="str">
        <f t="shared" si="378"/>
        <v/>
      </c>
      <c r="CE198" s="313" t="e">
        <f>IF($J198="",#N/A,SUM(CD$4:CD198))</f>
        <v>#N/A</v>
      </c>
      <c r="CF198" s="314" t="str">
        <f t="shared" si="379"/>
        <v/>
      </c>
      <c r="CG198" s="314" t="e">
        <f>IF($J198="",#N/A,SUM(CF$4:CF198))</f>
        <v>#N/A</v>
      </c>
      <c r="CH198" s="315" t="str">
        <f t="shared" si="380"/>
        <v/>
      </c>
      <c r="CI198" s="315" t="e">
        <f>IF($J198="",#N/A,SUM(CH$4:CH198))</f>
        <v>#N/A</v>
      </c>
      <c r="CJ198" s="315" t="e">
        <f>IF($J198="",#N/A,SUM(CH$4:CH198,CF$4:CF198,CD$4:CD198))</f>
        <v>#N/A</v>
      </c>
      <c r="CK198" s="304" t="str">
        <f t="shared" si="381"/>
        <v/>
      </c>
      <c r="CL198" s="313" t="e">
        <f>IF($J198="",#N/A,SUM(CK$4:CK198))</f>
        <v>#N/A</v>
      </c>
      <c r="CM198" s="314" t="str">
        <f t="shared" si="382"/>
        <v/>
      </c>
      <c r="CN198" s="314" t="e">
        <f>IF($J198="",#N/A,SUM(CM$4:CM198))</f>
        <v>#N/A</v>
      </c>
      <c r="CO198" s="315" t="str">
        <f t="shared" si="383"/>
        <v/>
      </c>
      <c r="CP198" s="315" t="e">
        <f>IF($J198="",#N/A,SUM(CO$4:CO198))</f>
        <v>#N/A</v>
      </c>
      <c r="CQ198" s="315" t="e">
        <f>IF($J198="",#N/A,SUM(CO$4:CO198,CM$4:CM198,CK$4:CK198))</f>
        <v>#N/A</v>
      </c>
      <c r="CR198" s="304" t="str">
        <f t="shared" si="384"/>
        <v/>
      </c>
      <c r="CS198" s="313" t="e">
        <f>IF($J198="",#N/A,SUM(CR$4:CR198))</f>
        <v>#N/A</v>
      </c>
      <c r="CT198" s="314" t="str">
        <f t="shared" si="385"/>
        <v/>
      </c>
      <c r="CU198" s="314" t="e">
        <f>IF($J198="",#N/A,SUM(CT$4:CT198))</f>
        <v>#N/A</v>
      </c>
      <c r="CV198" s="315" t="str">
        <f t="shared" si="386"/>
        <v/>
      </c>
      <c r="CW198" s="315" t="e">
        <f>IF($J198="",#N/A,SUM(CV$4:CV198))</f>
        <v>#N/A</v>
      </c>
      <c r="CX198" s="315" t="e">
        <f>IF($J198="",#N/A,SUM(CV$4:CV198,CT$4:CT198,CR$4:CR198))</f>
        <v>#N/A</v>
      </c>
      <c r="CY198" s="304" t="str">
        <f t="shared" si="387"/>
        <v/>
      </c>
      <c r="CZ198" s="313" t="e">
        <f>IF($J198="",#N/A,SUM(CY$4:CY198))</f>
        <v>#N/A</v>
      </c>
      <c r="DA198" s="314" t="str">
        <f t="shared" si="388"/>
        <v/>
      </c>
      <c r="DB198" s="314" t="e">
        <f>IF($J198="",#N/A,SUM(DA$4:DA198))</f>
        <v>#N/A</v>
      </c>
      <c r="DC198" s="315" t="str">
        <f t="shared" si="389"/>
        <v/>
      </c>
      <c r="DD198" s="315" t="e">
        <f>IF($J198="",#N/A,SUM(DC$4:DC198))</f>
        <v>#N/A</v>
      </c>
      <c r="DE198" s="315" t="e">
        <f>IF($J198="",#N/A,SUM(DC$4:DC198,DA$4:DA198,CY$4:CY198))</f>
        <v>#N/A</v>
      </c>
      <c r="DF198" s="304" t="str">
        <f t="shared" si="390"/>
        <v/>
      </c>
      <c r="DG198" s="313" t="e">
        <f>IF($J198="",#N/A,SUM(DF$4:DF198))</f>
        <v>#N/A</v>
      </c>
      <c r="DH198" s="314" t="str">
        <f t="shared" si="391"/>
        <v/>
      </c>
      <c r="DI198" s="314" t="e">
        <f>IF($J198="",#N/A,SUM(DH$4:DH198))</f>
        <v>#N/A</v>
      </c>
      <c r="DJ198" s="315" t="str">
        <f t="shared" si="392"/>
        <v/>
      </c>
      <c r="DK198" s="315" t="e">
        <f>IF($J198="",#N/A,SUM(DJ$4:DJ198))</f>
        <v>#N/A</v>
      </c>
      <c r="DL198" s="315" t="e">
        <f>IF($J198="",#N/A,SUM(DJ$4:DJ198,DH$4:DH198,DF$4:DF198))</f>
        <v>#N/A</v>
      </c>
      <c r="DM198" s="304" t="str">
        <f t="shared" si="393"/>
        <v/>
      </c>
      <c r="DN198" s="313" t="e">
        <f>IF($J198="",#N/A,SUM(DM$4:DM198))</f>
        <v>#N/A</v>
      </c>
      <c r="DO198" s="314" t="str">
        <f t="shared" si="394"/>
        <v/>
      </c>
      <c r="DP198" s="314" t="e">
        <f>IF($J198="",#N/A,SUM(DO$4:DO198))</f>
        <v>#N/A</v>
      </c>
      <c r="DQ198" s="315" t="str">
        <f t="shared" si="395"/>
        <v/>
      </c>
      <c r="DR198" s="315" t="e">
        <f>IF($J198="",#N/A,SUM(DQ$4:DQ198))</f>
        <v>#N/A</v>
      </c>
      <c r="DS198" s="315" t="e">
        <f>IF($J198="",#N/A,SUM(DQ$4:DQ198,DO$4:DO198,DM$4:DM198))</f>
        <v>#N/A</v>
      </c>
      <c r="DT198" s="304" t="str">
        <f t="shared" si="396"/>
        <v/>
      </c>
      <c r="DU198" s="313" t="e">
        <f>IF($J198="",#N/A,SUM(DT$4:DT198))</f>
        <v>#N/A</v>
      </c>
      <c r="DV198" s="314" t="str">
        <f t="shared" si="397"/>
        <v/>
      </c>
      <c r="DW198" s="314" t="e">
        <f>IF($J198="",#N/A,SUM(DV$4:DV198))</f>
        <v>#N/A</v>
      </c>
      <c r="DX198" s="315" t="str">
        <f t="shared" si="398"/>
        <v/>
      </c>
      <c r="DY198" s="315" t="e">
        <f>IF($J198="",#N/A,SUM(DX$4:DX198))</f>
        <v>#N/A</v>
      </c>
      <c r="DZ198" s="315" t="e">
        <f>IF($J198="",#N/A,SUM(DX$4:DX198,DV$4:DV198,DT$4:DT198))</f>
        <v>#N/A</v>
      </c>
      <c r="EA198" s="304" t="str">
        <f t="shared" si="399"/>
        <v/>
      </c>
      <c r="EB198" s="313" t="e">
        <f>IF($J198="",#N/A,SUM(EA$4:EA198))</f>
        <v>#N/A</v>
      </c>
      <c r="EC198" s="314" t="str">
        <f t="shared" si="400"/>
        <v/>
      </c>
      <c r="ED198" s="314" t="e">
        <f>IF($J198="",#N/A,SUM(EC$4:EC198))</f>
        <v>#N/A</v>
      </c>
      <c r="EE198" s="315" t="str">
        <f t="shared" si="401"/>
        <v/>
      </c>
      <c r="EF198" s="315" t="e">
        <f>IF($J198="",#N/A,SUM(EE$4:EE198))</f>
        <v>#N/A</v>
      </c>
      <c r="EG198" s="315" t="e">
        <f>IF($J198="",#N/A,SUM(EE$4:EE198,EC$4:EC198,EA$4:EA198))</f>
        <v>#N/A</v>
      </c>
      <c r="EH198" s="130">
        <f t="shared" si="402"/>
        <v>0.17999999999994998</v>
      </c>
      <c r="EI198" s="63">
        <f>IF(EH198="",#N/A,SUM($EH$4:EH198))</f>
        <v>667.2276768620884</v>
      </c>
      <c r="EJ198" s="223" t="e">
        <f t="shared" si="403"/>
        <v>#N/A</v>
      </c>
      <c r="EK198" s="63" t="e">
        <f>IF($GZ198="",#N/A,SUM(EJ$4:EJ198))</f>
        <v>#N/A</v>
      </c>
      <c r="EL198" s="60">
        <f t="shared" si="435"/>
        <v>8.6167279411740755E-3</v>
      </c>
      <c r="EM198" s="60">
        <f>IF(EL198="",NA(),SUM($EL$4:EL198))</f>
        <v>22.157657052738536</v>
      </c>
      <c r="EN198" s="60" t="str">
        <f t="shared" si="404"/>
        <v/>
      </c>
      <c r="EO198" s="60" t="e">
        <f>IF(EN198="",NA(),SUM($EN$4:EN198))</f>
        <v>#N/A</v>
      </c>
      <c r="EP198" s="60">
        <f t="shared" si="405"/>
        <v>8.6167279411740755E-3</v>
      </c>
      <c r="EQ198" s="60">
        <f>IF(EP198="",NA(),SUM($EP$4:EP198))</f>
        <v>4.5404625656642938</v>
      </c>
      <c r="ER198" s="60" t="str">
        <f t="shared" si="406"/>
        <v/>
      </c>
      <c r="ES198" s="60" t="e">
        <f>IF(ER198="",NA(),SUM($ER$4:ER198))</f>
        <v>#N/A</v>
      </c>
      <c r="ET198" s="60" t="str">
        <f t="shared" si="407"/>
        <v/>
      </c>
      <c r="EU198" s="60" t="e">
        <f>IF(ET198="",NA(),SUM($ET$4:ET198))</f>
        <v>#N/A</v>
      </c>
      <c r="EV198" s="60" t="str">
        <f t="shared" si="408"/>
        <v/>
      </c>
      <c r="EW198" s="60" t="e">
        <f>IF(EV198="",NA(),SUM($EV$4:EV198))</f>
        <v>#N/A</v>
      </c>
      <c r="EX198" s="60" t="str">
        <f t="shared" si="409"/>
        <v/>
      </c>
      <c r="EY198" s="60" t="e">
        <f>IF(EX198="",NA(),SUM($EX$4:EX198))</f>
        <v>#N/A</v>
      </c>
      <c r="EZ198" s="60" t="str">
        <f t="shared" si="410"/>
        <v/>
      </c>
      <c r="FA198" s="60" t="e">
        <f>IF(EZ198="",NA(),SUM($EZ$4:EZ198))</f>
        <v>#N/A</v>
      </c>
      <c r="FB198" s="246" t="str">
        <f t="shared" si="436"/>
        <v/>
      </c>
      <c r="FC198" s="246" t="e">
        <f>IF($FB198="",#N/A,SUM(FB$4:$FB198))</f>
        <v>#N/A</v>
      </c>
      <c r="FD198" s="60" t="str">
        <f t="shared" si="411"/>
        <v/>
      </c>
      <c r="FE198" s="60" t="e">
        <f>IF($FD198="",#N/A,SUM($FD$4:FD198))</f>
        <v>#N/A</v>
      </c>
      <c r="FF198" s="60" t="str">
        <f t="shared" si="412"/>
        <v/>
      </c>
      <c r="FG198" s="60" t="e">
        <f>IF($FF198="",#N/A,SUM($FF$4:FF198))</f>
        <v>#N/A</v>
      </c>
      <c r="FH198" s="60" t="str">
        <f t="shared" si="413"/>
        <v/>
      </c>
      <c r="FI198" s="60" t="e">
        <f>IF($FH198="",#N/A,SUM($FH$4:FH198))</f>
        <v>#N/A</v>
      </c>
      <c r="FJ198" s="60">
        <f t="shared" si="414"/>
        <v>-0.13308057598039086</v>
      </c>
      <c r="FK198" s="60">
        <f>IF($FJ198="",#N/A,SUM($FJ$4:FJ198))</f>
        <v>-1.7584402994992099</v>
      </c>
      <c r="FL198" s="60" t="str">
        <f t="shared" si="415"/>
        <v/>
      </c>
      <c r="FM198" s="60" t="e">
        <f>IF($FL198="",#N/A,SUM($FL$4:FL198))</f>
        <v>#N/A</v>
      </c>
      <c r="FN198" s="82">
        <f t="shared" si="416"/>
        <v>-0.12446384803921677</v>
      </c>
      <c r="FO198" s="82">
        <f>IF($FN198="",#N/A,SUM(FN$4:$FN198))</f>
        <v>27.453462079902192</v>
      </c>
      <c r="FP198" s="82">
        <f t="shared" si="437"/>
        <v>8.6167279411740755E-3</v>
      </c>
      <c r="FQ198" s="246">
        <f>IF($EH198="",#N/A,SUM($FP$4:FP198))</f>
        <v>25.818445116219806</v>
      </c>
      <c r="FR198" s="82">
        <f>IFERROR(FQ198/COUNTA($J$4:J198),#N/A)</f>
        <v>0.13240228264728104</v>
      </c>
      <c r="FS198" s="82">
        <f>IFERROR(($FQ198-$FQ153)/COUNTA($J153:$J198),#N/A)</f>
        <v>0.12048550647699577</v>
      </c>
      <c r="FT198" s="82">
        <f t="shared" si="417"/>
        <v>4.4652536727559276E-2</v>
      </c>
      <c r="FU198" s="337">
        <f t="shared" si="342"/>
        <v>11.126580352897326</v>
      </c>
      <c r="FV198" s="57" t="str">
        <f t="shared" si="418"/>
        <v>SW</v>
      </c>
      <c r="FW198" s="57" t="s">
        <v>2732</v>
      </c>
      <c r="FX198" s="57" t="str">
        <f t="shared" si="419"/>
        <v/>
      </c>
      <c r="FY198" s="57" t="str">
        <f t="shared" si="420"/>
        <v/>
      </c>
      <c r="FZ198" s="57">
        <f t="shared" si="421"/>
        <v>1</v>
      </c>
      <c r="GA198" s="57" t="str">
        <f t="shared" si="422"/>
        <v>Long</v>
      </c>
      <c r="GB198" s="57" t="str">
        <f t="shared" si="423"/>
        <v/>
      </c>
      <c r="GC198" s="57" t="str">
        <f t="shared" si="424"/>
        <v/>
      </c>
      <c r="GD198" s="57" t="str">
        <f t="shared" si="425"/>
        <v/>
      </c>
      <c r="GE198" s="62">
        <f t="shared" si="339"/>
        <v>174.08</v>
      </c>
      <c r="GF198" s="62" t="s">
        <v>2779</v>
      </c>
      <c r="GG198" s="199">
        <v>2</v>
      </c>
      <c r="GH198" s="207">
        <f t="shared" si="426"/>
        <v>348.16</v>
      </c>
      <c r="GI198" s="199">
        <f t="shared" si="337"/>
        <v>2</v>
      </c>
      <c r="GJ198" s="200">
        <v>174.17</v>
      </c>
      <c r="GK198" s="63">
        <f t="shared" si="427"/>
        <v>0.17999999999994998</v>
      </c>
      <c r="GL198" s="63">
        <f t="shared" si="340"/>
        <v>-2.6000000000000227</v>
      </c>
      <c r="GM198" s="82">
        <f t="shared" si="428"/>
        <v>-0.12446384803921677</v>
      </c>
      <c r="GN198" s="82">
        <f>IF($GZ198="",#N/A,SUM(GM$4:GM198))</f>
        <v>5.2366430373917776</v>
      </c>
      <c r="GO198" s="82" t="str">
        <f t="shared" si="429"/>
        <v/>
      </c>
      <c r="GP198" s="82">
        <f>IF($GZ198="",#N/A,SUM(GO$4:GO198))</f>
        <v>9.8419544639707812</v>
      </c>
      <c r="GQ198" s="82" t="str">
        <f t="shared" si="430"/>
        <v/>
      </c>
      <c r="GR198" s="82">
        <f>IF($GZ198="",#N/A,SUM(GQ$4:GQ198))</f>
        <v>11.749027624097284</v>
      </c>
      <c r="GS198" s="63" t="e">
        <f t="shared" si="438"/>
        <v>#N/A</v>
      </c>
      <c r="GT198" s="63" t="e">
        <f>IF($GZ198="",#N/A,SUM(GS$4:GS198))</f>
        <v>#N/A</v>
      </c>
      <c r="GU198" s="63" t="str">
        <f t="shared" si="439"/>
        <v/>
      </c>
      <c r="GV198" s="63" t="e">
        <f>IF($GZ198="",#N/A,SUM(GU$4:GU198))</f>
        <v>#N/A</v>
      </c>
      <c r="GW198" s="63" t="str">
        <f t="shared" si="440"/>
        <v/>
      </c>
      <c r="GX198" s="63" t="e">
        <f>IF($GZ198="",#N/A,SUM(GW$4:GW198))</f>
        <v>#N/A</v>
      </c>
      <c r="GY198" s="63" t="e">
        <f>IF(EJ198="",#N/A,SUM($EJ$4:EJ198))</f>
        <v>#N/A</v>
      </c>
      <c r="GZ198" s="159">
        <v>172.78</v>
      </c>
      <c r="HA198" s="63">
        <f t="shared" si="431"/>
        <v>-2.7799999999999727</v>
      </c>
      <c r="HB198" s="62" t="s">
        <v>2538</v>
      </c>
      <c r="HC198" s="60">
        <f>IFERROR(VLOOKUP(E198,Expectancy!$P$4:$S$19,1+C198,FALSE),"")</f>
        <v>9.9793136114217987E-2</v>
      </c>
      <c r="HD198" s="82">
        <f t="shared" si="432"/>
        <v>8.6167279411740755E-3</v>
      </c>
      <c r="HE198" s="60">
        <f>IF(HD198="",#N/A,SUM($HD$4:HD198))</f>
        <v>0.1618647633224819</v>
      </c>
      <c r="HF198" s="85">
        <f>IF(HD198="",#N/A,IF(HB198="Skip",#N/A,SUM($HG$4:HG198)))</f>
        <v>36.040000000000134</v>
      </c>
      <c r="HG198" s="63">
        <f t="shared" si="433"/>
        <v>0.17999999999994998</v>
      </c>
      <c r="HH198" s="82">
        <f t="shared" si="434"/>
        <v>-0.12446384803921677</v>
      </c>
    </row>
    <row r="199" spans="1:216" x14ac:dyDescent="0.25">
      <c r="A199" s="57" t="s">
        <v>1605</v>
      </c>
      <c r="B199" s="58" t="s">
        <v>5201</v>
      </c>
      <c r="C199" s="386">
        <f t="shared" si="343"/>
        <v>2</v>
      </c>
      <c r="D199" s="372" t="str">
        <f>_xlfn.XLOOKUP(A199,[1]SP500!$A$2:$A$502,[1]SP500!$D$2:$D$502,"N")</f>
        <v>Y</v>
      </c>
      <c r="E199" s="57" t="str">
        <f>_xlfn.XLOOKUP(A199,[1]SP500!$A$2:$A$655,[1]SP500!$B$2:$B$655)</f>
        <v>XLK</v>
      </c>
      <c r="F199" s="59">
        <v>45692</v>
      </c>
      <c r="G199" s="57" t="str">
        <f t="shared" si="344"/>
        <v>AMC</v>
      </c>
      <c r="H199" s="57" t="str">
        <f t="shared" si="345"/>
        <v>s</v>
      </c>
      <c r="I199" s="159">
        <v>66.25</v>
      </c>
      <c r="J199" s="159">
        <v>68.5</v>
      </c>
      <c r="K199" s="61">
        <f t="shared" si="346"/>
        <v>3.3962264150943396E-2</v>
      </c>
      <c r="L199" s="87">
        <f t="shared" si="347"/>
        <v>-13.584905660377331</v>
      </c>
      <c r="M199" s="130">
        <f t="shared" si="338"/>
        <v>0</v>
      </c>
      <c r="N199" s="169" t="str">
        <f t="shared" si="348"/>
        <v/>
      </c>
      <c r="O199" s="169">
        <f>IF($J199="",#N/A,SUM($N$4:N199))</f>
        <v>307.94438262948194</v>
      </c>
      <c r="P199" s="174">
        <f t="shared" si="349"/>
        <v>-13.584905660377331</v>
      </c>
      <c r="Q199" s="174">
        <f>IF($J199="",#N/A,SUM($P$4:P199))</f>
        <v>254.16965246976048</v>
      </c>
      <c r="R199" s="178" t="str">
        <f t="shared" si="350"/>
        <v/>
      </c>
      <c r="S199" s="178">
        <f>IF($J199="",#N/A,SUM($R$4:R199))</f>
        <v>91.528736102468542</v>
      </c>
      <c r="T199" s="290" t="str">
        <f t="shared" si="351"/>
        <v/>
      </c>
      <c r="U199" s="290">
        <f>IF($J199="",#N/A,SUM($T$4:T199))</f>
        <v>11.292495043304985</v>
      </c>
      <c r="V199" s="291">
        <f t="shared" si="352"/>
        <v>-0.56603773584905537</v>
      </c>
      <c r="W199" s="291">
        <f>IF($J199="",#N/A,SUM($V$4:V199))</f>
        <v>10.347206691478656</v>
      </c>
      <c r="X199" s="292" t="str">
        <f t="shared" si="353"/>
        <v/>
      </c>
      <c r="Y199" s="292">
        <f>IF($J199="",#N/A,SUM($X$4:X199))</f>
        <v>3.6127056455871007</v>
      </c>
      <c r="Z199" s="304" t="str">
        <f t="shared" si="354"/>
        <v/>
      </c>
      <c r="AA199" s="313" t="e">
        <f>IF($J199="",#N/A,SUM(Z$4:Z199))</f>
        <v>#N/A</v>
      </c>
      <c r="AB199" s="314">
        <f t="shared" si="355"/>
        <v>-0.56603773584905537</v>
      </c>
      <c r="AC199" s="314" t="e">
        <f>IF($J199="",#N/A,SUM(AB$4:AB199))</f>
        <v>#N/A</v>
      </c>
      <c r="AD199" s="315" t="str">
        <f t="shared" si="356"/>
        <v/>
      </c>
      <c r="AE199" s="315" t="e">
        <f>IF($J199="",#N/A,SUM(AD$4:AD199))</f>
        <v>#N/A</v>
      </c>
      <c r="AF199" s="315" t="e">
        <f>IF($J199="",#N/A,SUM(AD$4:AD199,AB$4:AB199,Z$4:Z199))</f>
        <v>#N/A</v>
      </c>
      <c r="AG199" s="304" t="str">
        <f t="shared" si="357"/>
        <v/>
      </c>
      <c r="AH199" s="313" t="e">
        <f>IF($J199="",#N/A,SUM(AG$4:AG199))</f>
        <v>#N/A</v>
      </c>
      <c r="AI199" s="314" t="str">
        <f t="shared" si="358"/>
        <v/>
      </c>
      <c r="AJ199" s="314" t="e">
        <f>IF($J199="",#N/A,SUM(AI$4:AI199))</f>
        <v>#N/A</v>
      </c>
      <c r="AK199" s="315" t="str">
        <f t="shared" si="359"/>
        <v/>
      </c>
      <c r="AL199" s="315" t="e">
        <f>IF($J199="",#N/A,SUM(AK$4:AK199))</f>
        <v>#N/A</v>
      </c>
      <c r="AM199" s="315" t="e">
        <f>IF($J199="",#N/A,SUM(AK$4:AK199,AI$4:AI199,AG$4:AG199))</f>
        <v>#N/A</v>
      </c>
      <c r="AN199" s="304" t="str">
        <f t="shared" si="360"/>
        <v/>
      </c>
      <c r="AO199" s="313" t="e">
        <f>IF($J199="",#N/A,SUM(AN$4:AN199))</f>
        <v>#N/A</v>
      </c>
      <c r="AP199" s="314" t="str">
        <f t="shared" si="361"/>
        <v/>
      </c>
      <c r="AQ199" s="314" t="e">
        <f>IF($J199="",#N/A,SUM(AP$4:AP199))</f>
        <v>#N/A</v>
      </c>
      <c r="AR199" s="315" t="str">
        <f t="shared" si="362"/>
        <v/>
      </c>
      <c r="AS199" s="315" t="e">
        <f>IF($J199="",#N/A,SUM(AR$4:AR199))</f>
        <v>#N/A</v>
      </c>
      <c r="AT199" s="315" t="e">
        <f>IF($J199="",#N/A,SUM(AR$4:AR199,AP$4:AP199,AN$4:AN199))</f>
        <v>#N/A</v>
      </c>
      <c r="AU199" s="304" t="str">
        <f t="shared" si="363"/>
        <v/>
      </c>
      <c r="AV199" s="313" t="e">
        <f>IF($J199="",#N/A,SUM(AU$4:AU199))</f>
        <v>#N/A</v>
      </c>
      <c r="AW199" s="314" t="str">
        <f t="shared" si="364"/>
        <v/>
      </c>
      <c r="AX199" s="314" t="e">
        <f>IF($J199="",#N/A,SUM(AW$4:AW199))</f>
        <v>#N/A</v>
      </c>
      <c r="AY199" s="315" t="str">
        <f t="shared" si="365"/>
        <v/>
      </c>
      <c r="AZ199" s="315" t="e">
        <f>IF($J199="",#N/A,SUM(AY$4:AY199))</f>
        <v>#N/A</v>
      </c>
      <c r="BA199" s="315" t="e">
        <f>IF($J199="",#N/A,SUM(AY$4:AY199,AW$4:AW199,AU$4:AU199))</f>
        <v>#N/A</v>
      </c>
      <c r="BB199" s="304" t="str">
        <f t="shared" si="366"/>
        <v/>
      </c>
      <c r="BC199" s="313" t="e">
        <f>IF($J199="",#N/A,SUM(BB$4:BB199))</f>
        <v>#N/A</v>
      </c>
      <c r="BD199" s="314" t="str">
        <f t="shared" si="367"/>
        <v/>
      </c>
      <c r="BE199" s="314" t="e">
        <f>IF($J199="",#N/A,SUM(BD$4:BD199))</f>
        <v>#N/A</v>
      </c>
      <c r="BF199" s="315" t="str">
        <f t="shared" si="368"/>
        <v/>
      </c>
      <c r="BG199" s="315" t="e">
        <f>IF($J199="",#N/A,SUM(BF$4:BF199))</f>
        <v>#N/A</v>
      </c>
      <c r="BH199" s="315" t="e">
        <f>IF($J199="",#N/A,SUM(BF$4:BF199,BD$4:BD199,BB$4:BB199))</f>
        <v>#N/A</v>
      </c>
      <c r="BI199" s="304" t="str">
        <f t="shared" si="369"/>
        <v/>
      </c>
      <c r="BJ199" s="313" t="e">
        <f>IF($J199="",#N/A,SUM(BI$4:BI199))</f>
        <v>#N/A</v>
      </c>
      <c r="BK199" s="314" t="str">
        <f t="shared" si="370"/>
        <v/>
      </c>
      <c r="BL199" s="314" t="e">
        <f>IF($J199="",#N/A,SUM(BK$4:BK199))</f>
        <v>#N/A</v>
      </c>
      <c r="BM199" s="315" t="str">
        <f t="shared" si="371"/>
        <v/>
      </c>
      <c r="BN199" s="315" t="e">
        <f>IF($J199="",#N/A,SUM(BM$4:BM199))</f>
        <v>#N/A</v>
      </c>
      <c r="BO199" s="315" t="e">
        <f>IF($J199="",#N/A,SUM(BM$4:BM199,BK$4:BK199,BI$4:BI199))</f>
        <v>#N/A</v>
      </c>
      <c r="BP199" s="304" t="str">
        <f t="shared" si="372"/>
        <v/>
      </c>
      <c r="BQ199" s="313" t="e">
        <f>IF($J199="",#N/A,SUM(BP$4:BP199))</f>
        <v>#N/A</v>
      </c>
      <c r="BR199" s="314" t="str">
        <f t="shared" si="373"/>
        <v/>
      </c>
      <c r="BS199" s="314" t="e">
        <f>IF($J199="",#N/A,SUM(BR$4:BR199))</f>
        <v>#N/A</v>
      </c>
      <c r="BT199" s="315" t="str">
        <f t="shared" si="374"/>
        <v/>
      </c>
      <c r="BU199" s="315" t="e">
        <f>IF($J199="",#N/A,SUM(BT$4:BT199))</f>
        <v>#N/A</v>
      </c>
      <c r="BV199" s="315" t="e">
        <f>IF($J199="",#N/A,SUM(BT$4:BT199,BR$4:BR199,BP$4:BP199))</f>
        <v>#N/A</v>
      </c>
      <c r="BW199" s="304" t="str">
        <f t="shared" si="375"/>
        <v/>
      </c>
      <c r="BX199" s="313" t="e">
        <f>IF($J199="",#N/A,SUM(BW$4:BW199))</f>
        <v>#N/A</v>
      </c>
      <c r="BY199" s="314" t="str">
        <f t="shared" si="376"/>
        <v/>
      </c>
      <c r="BZ199" s="314" t="e">
        <f>IF($J199="",#N/A,SUM(BY$4:BY199))</f>
        <v>#N/A</v>
      </c>
      <c r="CA199" s="315" t="str">
        <f t="shared" si="377"/>
        <v/>
      </c>
      <c r="CB199" s="315" t="e">
        <f>IF($J199="",#N/A,SUM(CA$4:CA199))</f>
        <v>#N/A</v>
      </c>
      <c r="CC199" s="315" t="e">
        <f>IF($J199="",#N/A,SUM(CA$4:CA199,BY$4:BY199,BW$4:BW199))</f>
        <v>#N/A</v>
      </c>
      <c r="CD199" s="304" t="str">
        <f t="shared" si="378"/>
        <v/>
      </c>
      <c r="CE199" s="313" t="e">
        <f>IF($J199="",#N/A,SUM(CD$4:CD199))</f>
        <v>#N/A</v>
      </c>
      <c r="CF199" s="314" t="str">
        <f t="shared" si="379"/>
        <v/>
      </c>
      <c r="CG199" s="314" t="e">
        <f>IF($J199="",#N/A,SUM(CF$4:CF199))</f>
        <v>#N/A</v>
      </c>
      <c r="CH199" s="315" t="str">
        <f t="shared" si="380"/>
        <v/>
      </c>
      <c r="CI199" s="315" t="e">
        <f>IF($J199="",#N/A,SUM(CH$4:CH199))</f>
        <v>#N/A</v>
      </c>
      <c r="CJ199" s="315" t="e">
        <f>IF($J199="",#N/A,SUM(CH$4:CH199,CF$4:CF199,CD$4:CD199))</f>
        <v>#N/A</v>
      </c>
      <c r="CK199" s="304" t="str">
        <f t="shared" si="381"/>
        <v/>
      </c>
      <c r="CL199" s="313" t="e">
        <f>IF($J199="",#N/A,SUM(CK$4:CK199))</f>
        <v>#N/A</v>
      </c>
      <c r="CM199" s="314" t="str">
        <f t="shared" si="382"/>
        <v/>
      </c>
      <c r="CN199" s="314" t="e">
        <f>IF($J199="",#N/A,SUM(CM$4:CM199))</f>
        <v>#N/A</v>
      </c>
      <c r="CO199" s="315" t="str">
        <f t="shared" si="383"/>
        <v/>
      </c>
      <c r="CP199" s="315" t="e">
        <f>IF($J199="",#N/A,SUM(CO$4:CO199))</f>
        <v>#N/A</v>
      </c>
      <c r="CQ199" s="315" t="e">
        <f>IF($J199="",#N/A,SUM(CO$4:CO199,CM$4:CM199,CK$4:CK199))</f>
        <v>#N/A</v>
      </c>
      <c r="CR199" s="304" t="str">
        <f t="shared" si="384"/>
        <v/>
      </c>
      <c r="CS199" s="313" t="e">
        <f>IF($J199="",#N/A,SUM(CR$4:CR199))</f>
        <v>#N/A</v>
      </c>
      <c r="CT199" s="314" t="str">
        <f t="shared" si="385"/>
        <v/>
      </c>
      <c r="CU199" s="314" t="e">
        <f>IF($J199="",#N/A,SUM(CT$4:CT199))</f>
        <v>#N/A</v>
      </c>
      <c r="CV199" s="315" t="str">
        <f t="shared" si="386"/>
        <v/>
      </c>
      <c r="CW199" s="315" t="e">
        <f>IF($J199="",#N/A,SUM(CV$4:CV199))</f>
        <v>#N/A</v>
      </c>
      <c r="CX199" s="315" t="e">
        <f>IF($J199="",#N/A,SUM(CV$4:CV199,CT$4:CT199,CR$4:CR199))</f>
        <v>#N/A</v>
      </c>
      <c r="CY199" s="304" t="str">
        <f t="shared" si="387"/>
        <v/>
      </c>
      <c r="CZ199" s="313" t="e">
        <f>IF($J199="",#N/A,SUM(CY$4:CY199))</f>
        <v>#N/A</v>
      </c>
      <c r="DA199" s="314" t="str">
        <f t="shared" si="388"/>
        <v/>
      </c>
      <c r="DB199" s="314" t="e">
        <f>IF($J199="",#N/A,SUM(DA$4:DA199))</f>
        <v>#N/A</v>
      </c>
      <c r="DC199" s="315" t="str">
        <f t="shared" si="389"/>
        <v/>
      </c>
      <c r="DD199" s="315" t="e">
        <f>IF($J199="",#N/A,SUM(DC$4:DC199))</f>
        <v>#N/A</v>
      </c>
      <c r="DE199" s="315" t="e">
        <f>IF($J199="",#N/A,SUM(DC$4:DC199,DA$4:DA199,CY$4:CY199))</f>
        <v>#N/A</v>
      </c>
      <c r="DF199" s="304" t="str">
        <f t="shared" si="390"/>
        <v/>
      </c>
      <c r="DG199" s="313" t="e">
        <f>IF($J199="",#N/A,SUM(DF$4:DF199))</f>
        <v>#N/A</v>
      </c>
      <c r="DH199" s="314" t="str">
        <f t="shared" si="391"/>
        <v/>
      </c>
      <c r="DI199" s="314" t="e">
        <f>IF($J199="",#N/A,SUM(DH$4:DH199))</f>
        <v>#N/A</v>
      </c>
      <c r="DJ199" s="315" t="str">
        <f t="shared" si="392"/>
        <v/>
      </c>
      <c r="DK199" s="315" t="e">
        <f>IF($J199="",#N/A,SUM(DJ$4:DJ199))</f>
        <v>#N/A</v>
      </c>
      <c r="DL199" s="315" t="e">
        <f>IF($J199="",#N/A,SUM(DJ$4:DJ199,DH$4:DH199,DF$4:DF199))</f>
        <v>#N/A</v>
      </c>
      <c r="DM199" s="304" t="str">
        <f t="shared" si="393"/>
        <v/>
      </c>
      <c r="DN199" s="313" t="e">
        <f>IF($J199="",#N/A,SUM(DM$4:DM199))</f>
        <v>#N/A</v>
      </c>
      <c r="DO199" s="314" t="str">
        <f t="shared" si="394"/>
        <v/>
      </c>
      <c r="DP199" s="314" t="e">
        <f>IF($J199="",#N/A,SUM(DO$4:DO199))</f>
        <v>#N/A</v>
      </c>
      <c r="DQ199" s="315" t="str">
        <f t="shared" si="395"/>
        <v/>
      </c>
      <c r="DR199" s="315" t="e">
        <f>IF($J199="",#N/A,SUM(DQ$4:DQ199))</f>
        <v>#N/A</v>
      </c>
      <c r="DS199" s="315" t="e">
        <f>IF($J199="",#N/A,SUM(DQ$4:DQ199,DO$4:DO199,DM$4:DM199))</f>
        <v>#N/A</v>
      </c>
      <c r="DT199" s="304" t="str">
        <f t="shared" si="396"/>
        <v/>
      </c>
      <c r="DU199" s="313" t="e">
        <f>IF($J199="",#N/A,SUM(DT$4:DT199))</f>
        <v>#N/A</v>
      </c>
      <c r="DV199" s="314" t="str">
        <f t="shared" si="397"/>
        <v/>
      </c>
      <c r="DW199" s="314" t="e">
        <f>IF($J199="",#N/A,SUM(DV$4:DV199))</f>
        <v>#N/A</v>
      </c>
      <c r="DX199" s="315" t="str">
        <f t="shared" si="398"/>
        <v/>
      </c>
      <c r="DY199" s="315" t="e">
        <f>IF($J199="",#N/A,SUM(DX$4:DX199))</f>
        <v>#N/A</v>
      </c>
      <c r="DZ199" s="315" t="e">
        <f>IF($J199="",#N/A,SUM(DX$4:DX199,DV$4:DV199,DT$4:DT199))</f>
        <v>#N/A</v>
      </c>
      <c r="EA199" s="304" t="str">
        <f t="shared" si="399"/>
        <v/>
      </c>
      <c r="EB199" s="313" t="e">
        <f>IF($J199="",#N/A,SUM(EA$4:EA199))</f>
        <v>#N/A</v>
      </c>
      <c r="EC199" s="314" t="str">
        <f t="shared" si="400"/>
        <v/>
      </c>
      <c r="ED199" s="314" t="e">
        <f>IF($J199="",#N/A,SUM(EC$4:EC199))</f>
        <v>#N/A</v>
      </c>
      <c r="EE199" s="315" t="str">
        <f t="shared" si="401"/>
        <v/>
      </c>
      <c r="EF199" s="315" t="e">
        <f>IF($J199="",#N/A,SUM(EE$4:EE199))</f>
        <v>#N/A</v>
      </c>
      <c r="EG199" s="315" t="e">
        <f>IF($J199="",#N/A,SUM(EE$4:EE199,EC$4:EC199,EA$4:EA199))</f>
        <v>#N/A</v>
      </c>
      <c r="EH199" s="130">
        <f t="shared" si="402"/>
        <v>-13.584905660377331</v>
      </c>
      <c r="EI199" s="63">
        <f>IF(EH199="",#N/A,SUM($EH$4:EH199))</f>
        <v>653.64277120171107</v>
      </c>
      <c r="EJ199" s="223" t="e">
        <f t="shared" si="403"/>
        <v>#N/A</v>
      </c>
      <c r="EK199" s="63" t="e">
        <f>IF($GZ199="",#N/A,SUM(EJ$4:EJ199))</f>
        <v>#N/A</v>
      </c>
      <c r="EL199" s="60">
        <f t="shared" si="435"/>
        <v>-0.56603773584905537</v>
      </c>
      <c r="EM199" s="60">
        <f>IF(EL199="",NA(),SUM($EL$4:EL199))</f>
        <v>21.591619316889481</v>
      </c>
      <c r="EN199" s="60" t="str">
        <f t="shared" si="404"/>
        <v/>
      </c>
      <c r="EO199" s="60" t="e">
        <f>IF(EN199="",NA(),SUM($EN$4:EN199))</f>
        <v>#N/A</v>
      </c>
      <c r="EP199" s="60" t="str">
        <f t="shared" si="405"/>
        <v/>
      </c>
      <c r="EQ199" s="60" t="e">
        <f>IF(EP199="",NA(),SUM($EP$4:EP199))</f>
        <v>#N/A</v>
      </c>
      <c r="ER199" s="60">
        <f t="shared" si="406"/>
        <v>-0.56603773584905537</v>
      </c>
      <c r="ES199" s="60">
        <f>IF(ER199="",NA(),SUM($ER$4:ER199))</f>
        <v>9.6448112387786971</v>
      </c>
      <c r="ET199" s="60" t="str">
        <f t="shared" si="407"/>
        <v/>
      </c>
      <c r="EU199" s="60" t="e">
        <f>IF(ET199="",NA(),SUM($ET$4:ET199))</f>
        <v>#N/A</v>
      </c>
      <c r="EV199" s="60" t="str">
        <f t="shared" si="408"/>
        <v/>
      </c>
      <c r="EW199" s="60" t="e">
        <f>IF(EV199="",NA(),SUM($EV$4:EV199))</f>
        <v>#N/A</v>
      </c>
      <c r="EX199" s="60" t="str">
        <f t="shared" si="409"/>
        <v/>
      </c>
      <c r="EY199" s="60" t="e">
        <f>IF(EX199="",NA(),SUM($EX$4:EX199))</f>
        <v>#N/A</v>
      </c>
      <c r="EZ199" s="60" t="str">
        <f t="shared" si="410"/>
        <v/>
      </c>
      <c r="FA199" s="60" t="e">
        <f>IF(EZ199="",NA(),SUM($EZ$4:EZ199))</f>
        <v>#N/A</v>
      </c>
      <c r="FB199" s="246" t="str">
        <f t="shared" si="436"/>
        <v/>
      </c>
      <c r="FC199" s="246" t="e">
        <f>IF($FB199="",#N/A,SUM(FB$4:$FB199))</f>
        <v>#N/A</v>
      </c>
      <c r="FD199" s="60">
        <f t="shared" si="411"/>
        <v>0.81257861635220263</v>
      </c>
      <c r="FE199" s="60">
        <f>IF($FD199="",#N/A,SUM($FD$4:FD199))</f>
        <v>1.3221239475020758</v>
      </c>
      <c r="FF199" s="60" t="str">
        <f t="shared" si="412"/>
        <v/>
      </c>
      <c r="FG199" s="60" t="e">
        <f>IF($FF199="",#N/A,SUM($FF$4:FF199))</f>
        <v>#N/A</v>
      </c>
      <c r="FH199" s="60" t="str">
        <f t="shared" si="413"/>
        <v/>
      </c>
      <c r="FI199" s="60" t="e">
        <f>IF($FH199="",#N/A,SUM($FH$4:FH199))</f>
        <v>#N/A</v>
      </c>
      <c r="FJ199" s="60" t="str">
        <f t="shared" si="414"/>
        <v/>
      </c>
      <c r="FK199" s="60" t="e">
        <f>IF($FJ199="",#N/A,SUM($FJ$4:FJ199))</f>
        <v>#N/A</v>
      </c>
      <c r="FL199" s="60" t="str">
        <f t="shared" si="415"/>
        <v/>
      </c>
      <c r="FM199" s="60" t="e">
        <f>IF($FL199="",#N/A,SUM($FL$4:FL199))</f>
        <v>#N/A</v>
      </c>
      <c r="FN199" s="82">
        <f t="shared" si="416"/>
        <v>0.24654088050314724</v>
      </c>
      <c r="FO199" s="82">
        <f>IF($FN199="",#N/A,SUM(FN$4:$FN199))</f>
        <v>27.700002960405339</v>
      </c>
      <c r="FP199" s="82">
        <f t="shared" si="437"/>
        <v>-0.56603773584905537</v>
      </c>
      <c r="FQ199" s="246">
        <f>IF($EH199="",#N/A,SUM($FP$4:FP199))</f>
        <v>25.252407380370752</v>
      </c>
      <c r="FR199" s="82">
        <f>IFERROR(FQ199/COUNTA($J$4:J199),#N/A)</f>
        <v>0.12883881316515688</v>
      </c>
      <c r="FS199" s="82">
        <f t="shared" ref="FS199:FS207" si="441">IFERROR(($FQ199-$FQ155)/COUNTA($J155:$J199),#N/A)</f>
        <v>0.10830207995348036</v>
      </c>
      <c r="FT199" s="82">
        <f t="shared" si="417"/>
        <v>6.0171739560712055E-2</v>
      </c>
      <c r="FU199" s="337">
        <f t="shared" si="342"/>
        <v>11.126580352897326</v>
      </c>
      <c r="FV199" s="57" t="str">
        <f t="shared" si="418"/>
        <v>Dwn</v>
      </c>
      <c r="FW199" s="57" t="s">
        <v>2734</v>
      </c>
      <c r="FX199" s="57" t="str">
        <f t="shared" si="419"/>
        <v/>
      </c>
      <c r="FY199" s="57">
        <f t="shared" si="420"/>
        <v>1</v>
      </c>
      <c r="FZ199" s="57" t="str">
        <f t="shared" si="421"/>
        <v/>
      </c>
      <c r="GA199" s="57" t="str">
        <f t="shared" si="422"/>
        <v>Short</v>
      </c>
      <c r="GB199" s="57" t="str">
        <f t="shared" si="423"/>
        <v/>
      </c>
      <c r="GC199" s="57" t="str">
        <f t="shared" si="424"/>
        <v/>
      </c>
      <c r="GD199" s="57" t="str">
        <f t="shared" si="425"/>
        <v/>
      </c>
      <c r="GE199" s="62">
        <f t="shared" si="339"/>
        <v>66.25</v>
      </c>
      <c r="GF199" s="62" t="s">
        <v>2780</v>
      </c>
      <c r="GG199" s="199">
        <f>400/I199</f>
        <v>6.0377358490566042</v>
      </c>
      <c r="GH199" s="207">
        <f t="shared" si="426"/>
        <v>400.00000000000006</v>
      </c>
      <c r="GI199" s="199">
        <f t="shared" si="337"/>
        <v>6.0377358490566042</v>
      </c>
      <c r="GJ199" s="200">
        <v>68.5</v>
      </c>
      <c r="GK199" s="63">
        <f t="shared" si="427"/>
        <v>-13.584905660377331</v>
      </c>
      <c r="GL199" s="63">
        <f t="shared" si="340"/>
        <v>5.9169811320755343</v>
      </c>
      <c r="GM199" s="82" t="str">
        <f t="shared" si="428"/>
        <v/>
      </c>
      <c r="GN199" s="82">
        <f>IF($GZ199="",#N/A,SUM(GM$4:GM199))</f>
        <v>5.2366430373917776</v>
      </c>
      <c r="GO199" s="82" t="str">
        <f t="shared" si="429"/>
        <v/>
      </c>
      <c r="GP199" s="82">
        <f>IF($GZ199="",#N/A,SUM(GO$4:GO199))</f>
        <v>9.8419544639707812</v>
      </c>
      <c r="GQ199" s="82">
        <f t="shared" si="430"/>
        <v>0.24654088050314724</v>
      </c>
      <c r="GR199" s="82">
        <f>IF($GZ199="",#N/A,SUM(GQ$4:GQ199))</f>
        <v>11.995568504600431</v>
      </c>
      <c r="GS199" s="63" t="str">
        <f t="shared" si="438"/>
        <v/>
      </c>
      <c r="GT199" s="63" t="e">
        <f>IF($GZ199="",#N/A,SUM(GS$4:GS199))</f>
        <v>#N/A</v>
      </c>
      <c r="GU199" s="63" t="str">
        <f t="shared" si="439"/>
        <v/>
      </c>
      <c r="GV199" s="63" t="e">
        <f>IF($GZ199="",#N/A,SUM(GU$4:GU199))</f>
        <v>#N/A</v>
      </c>
      <c r="GW199" s="63" t="e">
        <f t="shared" si="440"/>
        <v>#N/A</v>
      </c>
      <c r="GX199" s="63" t="e">
        <f>IF($GZ199="",#N/A,SUM(GW$4:GW199))</f>
        <v>#N/A</v>
      </c>
      <c r="GY199" s="63" t="e">
        <f>IF(EJ199="",#N/A,SUM($EJ$4:EJ199))</f>
        <v>#N/A</v>
      </c>
      <c r="GZ199" s="159">
        <v>65.27</v>
      </c>
      <c r="HA199" s="63">
        <f t="shared" si="431"/>
        <v>19.501886792452865</v>
      </c>
      <c r="HB199" s="62" t="s">
        <v>2538</v>
      </c>
      <c r="HC199" s="60">
        <f>IFERROR(VLOOKUP(E199,Expectancy!$P$4:$S$19,1+C199,FALSE),"")</f>
        <v>1.1895734332751575</v>
      </c>
      <c r="HD199" s="82">
        <f t="shared" si="432"/>
        <v>-0.56603773584905537</v>
      </c>
      <c r="HE199" s="82">
        <f>IF(HD199="",#N/A,SUM($HD$4:HD199))</f>
        <v>-0.40417297252657347</v>
      </c>
      <c r="HF199" s="85">
        <f>IF(HD199="",#N/A,IF(HB199="Skip",#N/A,SUM($HG$4:HG199)))</f>
        <v>22.455094339622804</v>
      </c>
      <c r="HG199" s="63">
        <f t="shared" si="433"/>
        <v>-13.584905660377331</v>
      </c>
      <c r="HH199" s="82">
        <f t="shared" si="434"/>
        <v>0.24654088050314724</v>
      </c>
    </row>
    <row r="200" spans="1:216" x14ac:dyDescent="0.25">
      <c r="A200" s="57" t="s">
        <v>423</v>
      </c>
      <c r="B200" s="58" t="s">
        <v>5204</v>
      </c>
      <c r="C200" s="386">
        <f t="shared" si="343"/>
        <v>3</v>
      </c>
      <c r="D200" s="372" t="str">
        <f>_xlfn.XLOOKUP(A200,[1]SP500!$A$2:$A$502,[1]SP500!$D$2:$D$502,"N")</f>
        <v>Y</v>
      </c>
      <c r="E200" s="57" t="str">
        <f>_xlfn.XLOOKUP(A200,[1]SP500!$A$2:$A$655,[1]SP500!$B$2:$B$655)</f>
        <v>XLC</v>
      </c>
      <c r="F200" s="59">
        <v>45692</v>
      </c>
      <c r="G200" s="57" t="str">
        <f t="shared" si="344"/>
        <v>AMC</v>
      </c>
      <c r="H200" s="57" t="str">
        <f t="shared" si="345"/>
        <v>s</v>
      </c>
      <c r="I200" s="159">
        <v>36.450000000000003</v>
      </c>
      <c r="J200" s="159">
        <v>34.9</v>
      </c>
      <c r="K200" s="61">
        <f t="shared" si="346"/>
        <v>-4.2524005486968566E-2</v>
      </c>
      <c r="L200" s="87">
        <f t="shared" si="347"/>
        <v>-17.009602194787419</v>
      </c>
      <c r="M200" s="130">
        <f t="shared" si="338"/>
        <v>0</v>
      </c>
      <c r="N200" s="169" t="str">
        <f t="shared" si="348"/>
        <v/>
      </c>
      <c r="O200" s="169">
        <f>IF($J200="",#N/A,SUM($N$4:N200))</f>
        <v>307.94438262948194</v>
      </c>
      <c r="P200" s="174" t="str">
        <f t="shared" si="349"/>
        <v/>
      </c>
      <c r="Q200" s="174">
        <f>IF($J200="",#N/A,SUM($P$4:P200))</f>
        <v>254.16965246976048</v>
      </c>
      <c r="R200" s="178">
        <f t="shared" si="350"/>
        <v>-17.009602194787419</v>
      </c>
      <c r="S200" s="178">
        <f>IF($J200="",#N/A,SUM($R$4:R200))</f>
        <v>74.519133907681123</v>
      </c>
      <c r="T200" s="290" t="str">
        <f t="shared" si="351"/>
        <v/>
      </c>
      <c r="U200" s="290">
        <f>IF($J200="",#N/A,SUM($T$4:T200))</f>
        <v>11.292495043304985</v>
      </c>
      <c r="V200" s="291" t="str">
        <f t="shared" si="352"/>
        <v/>
      </c>
      <c r="W200" s="291">
        <f>IF($J200="",#N/A,SUM($V$4:V200))</f>
        <v>10.347206691478656</v>
      </c>
      <c r="X200" s="292">
        <f t="shared" si="353"/>
        <v>-0.7087334247828091</v>
      </c>
      <c r="Y200" s="292">
        <f>IF($J200="",#N/A,SUM($X$4:X200))</f>
        <v>2.9039722208042917</v>
      </c>
      <c r="Z200" s="304" t="str">
        <f t="shared" si="354"/>
        <v/>
      </c>
      <c r="AA200" s="313" t="e">
        <f>IF($J200="",#N/A,SUM(Z$4:Z200))</f>
        <v>#N/A</v>
      </c>
      <c r="AB200" s="314" t="str">
        <f t="shared" si="355"/>
        <v/>
      </c>
      <c r="AC200" s="314" t="e">
        <f>IF($J200="",#N/A,SUM(AB$4:AB200))</f>
        <v>#N/A</v>
      </c>
      <c r="AD200" s="315" t="str">
        <f t="shared" si="356"/>
        <v/>
      </c>
      <c r="AE200" s="315" t="e">
        <f>IF($J200="",#N/A,SUM(AD$4:AD200))</f>
        <v>#N/A</v>
      </c>
      <c r="AF200" s="315" t="e">
        <f>IF($J200="",#N/A,SUM(AD$4:AD200,AB$4:AB200,Z$4:Z200))</f>
        <v>#N/A</v>
      </c>
      <c r="AG200" s="304" t="str">
        <f t="shared" si="357"/>
        <v/>
      </c>
      <c r="AH200" s="313" t="e">
        <f>IF($J200="",#N/A,SUM(AG$4:AG200))</f>
        <v>#N/A</v>
      </c>
      <c r="AI200" s="314" t="str">
        <f t="shared" si="358"/>
        <v/>
      </c>
      <c r="AJ200" s="314" t="e">
        <f>IF($J200="",#N/A,SUM(AI$4:AI200))</f>
        <v>#N/A</v>
      </c>
      <c r="AK200" s="315" t="str">
        <f t="shared" si="359"/>
        <v/>
      </c>
      <c r="AL200" s="315" t="e">
        <f>IF($J200="",#N/A,SUM(AK$4:AK200))</f>
        <v>#N/A</v>
      </c>
      <c r="AM200" s="315" t="e">
        <f>IF($J200="",#N/A,SUM(AK$4:AK200,AI$4:AI200,AG$4:AG200))</f>
        <v>#N/A</v>
      </c>
      <c r="AN200" s="304" t="str">
        <f t="shared" si="360"/>
        <v/>
      </c>
      <c r="AO200" s="313" t="e">
        <f>IF($J200="",#N/A,SUM(AN$4:AN200))</f>
        <v>#N/A</v>
      </c>
      <c r="AP200" s="314" t="str">
        <f t="shared" si="361"/>
        <v/>
      </c>
      <c r="AQ200" s="314" t="e">
        <f>IF($J200="",#N/A,SUM(AP$4:AP200))</f>
        <v>#N/A</v>
      </c>
      <c r="AR200" s="315" t="str">
        <f t="shared" si="362"/>
        <v/>
      </c>
      <c r="AS200" s="315" t="e">
        <f>IF($J200="",#N/A,SUM(AR$4:AR200))</f>
        <v>#N/A</v>
      </c>
      <c r="AT200" s="315" t="e">
        <f>IF($J200="",#N/A,SUM(AR$4:AR200,AP$4:AP200,AN$4:AN200))</f>
        <v>#N/A</v>
      </c>
      <c r="AU200" s="304" t="str">
        <f t="shared" si="363"/>
        <v/>
      </c>
      <c r="AV200" s="313" t="e">
        <f>IF($J200="",#N/A,SUM(AU$4:AU200))</f>
        <v>#N/A</v>
      </c>
      <c r="AW200" s="314" t="str">
        <f t="shared" si="364"/>
        <v/>
      </c>
      <c r="AX200" s="314" t="e">
        <f>IF($J200="",#N/A,SUM(AW$4:AW200))</f>
        <v>#N/A</v>
      </c>
      <c r="AY200" s="315" t="str">
        <f t="shared" si="365"/>
        <v/>
      </c>
      <c r="AZ200" s="315" t="e">
        <f>IF($J200="",#N/A,SUM(AY$4:AY200))</f>
        <v>#N/A</v>
      </c>
      <c r="BA200" s="315" t="e">
        <f>IF($J200="",#N/A,SUM(AY$4:AY200,AW$4:AW200,AU$4:AU200))</f>
        <v>#N/A</v>
      </c>
      <c r="BB200" s="304" t="str">
        <f t="shared" si="366"/>
        <v/>
      </c>
      <c r="BC200" s="313" t="e">
        <f>IF($J200="",#N/A,SUM(BB$4:BB200))</f>
        <v>#N/A</v>
      </c>
      <c r="BD200" s="314" t="str">
        <f t="shared" si="367"/>
        <v/>
      </c>
      <c r="BE200" s="314" t="e">
        <f>IF($J200="",#N/A,SUM(BD$4:BD200))</f>
        <v>#N/A</v>
      </c>
      <c r="BF200" s="315">
        <f t="shared" si="368"/>
        <v>-0.7087334247828091</v>
      </c>
      <c r="BG200" s="315" t="e">
        <f>IF($J200="",#N/A,SUM(BF$4:BF200))</f>
        <v>#N/A</v>
      </c>
      <c r="BH200" s="315" t="e">
        <f>IF($J200="",#N/A,SUM(BF$4:BF200,BD$4:BD200,BB$4:BB200))</f>
        <v>#N/A</v>
      </c>
      <c r="BI200" s="304" t="str">
        <f t="shared" si="369"/>
        <v/>
      </c>
      <c r="BJ200" s="313" t="e">
        <f>IF($J200="",#N/A,SUM(BI$4:BI200))</f>
        <v>#N/A</v>
      </c>
      <c r="BK200" s="314" t="str">
        <f t="shared" si="370"/>
        <v/>
      </c>
      <c r="BL200" s="314" t="e">
        <f>IF($J200="",#N/A,SUM(BK$4:BK200))</f>
        <v>#N/A</v>
      </c>
      <c r="BM200" s="315" t="str">
        <f t="shared" si="371"/>
        <v/>
      </c>
      <c r="BN200" s="315" t="e">
        <f>IF($J200="",#N/A,SUM(BM$4:BM200))</f>
        <v>#N/A</v>
      </c>
      <c r="BO200" s="315" t="e">
        <f>IF($J200="",#N/A,SUM(BM$4:BM200,BK$4:BK200,BI$4:BI200))</f>
        <v>#N/A</v>
      </c>
      <c r="BP200" s="304" t="str">
        <f t="shared" si="372"/>
        <v/>
      </c>
      <c r="BQ200" s="313" t="e">
        <f>IF($J200="",#N/A,SUM(BP$4:BP200))</f>
        <v>#N/A</v>
      </c>
      <c r="BR200" s="314" t="str">
        <f t="shared" si="373"/>
        <v/>
      </c>
      <c r="BS200" s="314" t="e">
        <f>IF($J200="",#N/A,SUM(BR$4:BR200))</f>
        <v>#N/A</v>
      </c>
      <c r="BT200" s="315" t="str">
        <f t="shared" si="374"/>
        <v/>
      </c>
      <c r="BU200" s="315" t="e">
        <f>IF($J200="",#N/A,SUM(BT$4:BT200))</f>
        <v>#N/A</v>
      </c>
      <c r="BV200" s="315" t="e">
        <f>IF($J200="",#N/A,SUM(BT$4:BT200,BR$4:BR200,BP$4:BP200))</f>
        <v>#N/A</v>
      </c>
      <c r="BW200" s="304" t="str">
        <f t="shared" si="375"/>
        <v/>
      </c>
      <c r="BX200" s="313" t="e">
        <f>IF($J200="",#N/A,SUM(BW$4:BW200))</f>
        <v>#N/A</v>
      </c>
      <c r="BY200" s="314" t="str">
        <f t="shared" si="376"/>
        <v/>
      </c>
      <c r="BZ200" s="314" t="e">
        <f>IF($J200="",#N/A,SUM(BY$4:BY200))</f>
        <v>#N/A</v>
      </c>
      <c r="CA200" s="315" t="str">
        <f t="shared" si="377"/>
        <v/>
      </c>
      <c r="CB200" s="315" t="e">
        <f>IF($J200="",#N/A,SUM(CA$4:CA200))</f>
        <v>#N/A</v>
      </c>
      <c r="CC200" s="315" t="e">
        <f>IF($J200="",#N/A,SUM(CA$4:CA200,BY$4:BY200,BW$4:BW200))</f>
        <v>#N/A</v>
      </c>
      <c r="CD200" s="304" t="str">
        <f t="shared" si="378"/>
        <v/>
      </c>
      <c r="CE200" s="313" t="e">
        <f>IF($J200="",#N/A,SUM(CD$4:CD200))</f>
        <v>#N/A</v>
      </c>
      <c r="CF200" s="314" t="str">
        <f t="shared" si="379"/>
        <v/>
      </c>
      <c r="CG200" s="314" t="e">
        <f>IF($J200="",#N/A,SUM(CF$4:CF200))</f>
        <v>#N/A</v>
      </c>
      <c r="CH200" s="315" t="str">
        <f t="shared" si="380"/>
        <v/>
      </c>
      <c r="CI200" s="315" t="e">
        <f>IF($J200="",#N/A,SUM(CH$4:CH200))</f>
        <v>#N/A</v>
      </c>
      <c r="CJ200" s="315" t="e">
        <f>IF($J200="",#N/A,SUM(CH$4:CH200,CF$4:CF200,CD$4:CD200))</f>
        <v>#N/A</v>
      </c>
      <c r="CK200" s="304" t="str">
        <f t="shared" si="381"/>
        <v/>
      </c>
      <c r="CL200" s="313" t="e">
        <f>IF($J200="",#N/A,SUM(CK$4:CK200))</f>
        <v>#N/A</v>
      </c>
      <c r="CM200" s="314" t="str">
        <f t="shared" si="382"/>
        <v/>
      </c>
      <c r="CN200" s="314" t="e">
        <f>IF($J200="",#N/A,SUM(CM$4:CM200))</f>
        <v>#N/A</v>
      </c>
      <c r="CO200" s="315" t="str">
        <f t="shared" si="383"/>
        <v/>
      </c>
      <c r="CP200" s="315" t="e">
        <f>IF($J200="",#N/A,SUM(CO$4:CO200))</f>
        <v>#N/A</v>
      </c>
      <c r="CQ200" s="315" t="e">
        <f>IF($J200="",#N/A,SUM(CO$4:CO200,CM$4:CM200,CK$4:CK200))</f>
        <v>#N/A</v>
      </c>
      <c r="CR200" s="304" t="str">
        <f t="shared" si="384"/>
        <v/>
      </c>
      <c r="CS200" s="313" t="e">
        <f>IF($J200="",#N/A,SUM(CR$4:CR200))</f>
        <v>#N/A</v>
      </c>
      <c r="CT200" s="314" t="str">
        <f t="shared" si="385"/>
        <v/>
      </c>
      <c r="CU200" s="314" t="e">
        <f>IF($J200="",#N/A,SUM(CT$4:CT200))</f>
        <v>#N/A</v>
      </c>
      <c r="CV200" s="315" t="str">
        <f t="shared" si="386"/>
        <v/>
      </c>
      <c r="CW200" s="315" t="e">
        <f>IF($J200="",#N/A,SUM(CV$4:CV200))</f>
        <v>#N/A</v>
      </c>
      <c r="CX200" s="315" t="e">
        <f>IF($J200="",#N/A,SUM(CV$4:CV200,CT$4:CT200,CR$4:CR200))</f>
        <v>#N/A</v>
      </c>
      <c r="CY200" s="304" t="str">
        <f t="shared" si="387"/>
        <v/>
      </c>
      <c r="CZ200" s="313" t="e">
        <f>IF($J200="",#N/A,SUM(CY$4:CY200))</f>
        <v>#N/A</v>
      </c>
      <c r="DA200" s="314" t="str">
        <f t="shared" si="388"/>
        <v/>
      </c>
      <c r="DB200" s="314" t="e">
        <f>IF($J200="",#N/A,SUM(DA$4:DA200))</f>
        <v>#N/A</v>
      </c>
      <c r="DC200" s="315" t="str">
        <f t="shared" si="389"/>
        <v/>
      </c>
      <c r="DD200" s="315" t="e">
        <f>IF($J200="",#N/A,SUM(DC$4:DC200))</f>
        <v>#N/A</v>
      </c>
      <c r="DE200" s="315" t="e">
        <f>IF($J200="",#N/A,SUM(DC$4:DC200,DA$4:DA200,CY$4:CY200))</f>
        <v>#N/A</v>
      </c>
      <c r="DF200" s="304" t="str">
        <f t="shared" si="390"/>
        <v/>
      </c>
      <c r="DG200" s="313" t="e">
        <f>IF($J200="",#N/A,SUM(DF$4:DF200))</f>
        <v>#N/A</v>
      </c>
      <c r="DH200" s="314" t="str">
        <f t="shared" si="391"/>
        <v/>
      </c>
      <c r="DI200" s="314" t="e">
        <f>IF($J200="",#N/A,SUM(DH$4:DH200))</f>
        <v>#N/A</v>
      </c>
      <c r="DJ200" s="315" t="str">
        <f t="shared" si="392"/>
        <v/>
      </c>
      <c r="DK200" s="315" t="e">
        <f>IF($J200="",#N/A,SUM(DJ$4:DJ200))</f>
        <v>#N/A</v>
      </c>
      <c r="DL200" s="315" t="e">
        <f>IF($J200="",#N/A,SUM(DJ$4:DJ200,DH$4:DH200,DF$4:DF200))</f>
        <v>#N/A</v>
      </c>
      <c r="DM200" s="304" t="str">
        <f t="shared" si="393"/>
        <v/>
      </c>
      <c r="DN200" s="313" t="e">
        <f>IF($J200="",#N/A,SUM(DM$4:DM200))</f>
        <v>#N/A</v>
      </c>
      <c r="DO200" s="314" t="str">
        <f t="shared" si="394"/>
        <v/>
      </c>
      <c r="DP200" s="314" t="e">
        <f>IF($J200="",#N/A,SUM(DO$4:DO200))</f>
        <v>#N/A</v>
      </c>
      <c r="DQ200" s="315" t="str">
        <f t="shared" si="395"/>
        <v/>
      </c>
      <c r="DR200" s="315" t="e">
        <f>IF($J200="",#N/A,SUM(DQ$4:DQ200))</f>
        <v>#N/A</v>
      </c>
      <c r="DS200" s="315" t="e">
        <f>IF($J200="",#N/A,SUM(DQ$4:DQ200,DO$4:DO200,DM$4:DM200))</f>
        <v>#N/A</v>
      </c>
      <c r="DT200" s="304" t="str">
        <f t="shared" si="396"/>
        <v/>
      </c>
      <c r="DU200" s="313" t="e">
        <f>IF($J200="",#N/A,SUM(DT$4:DT200))</f>
        <v>#N/A</v>
      </c>
      <c r="DV200" s="314" t="str">
        <f t="shared" si="397"/>
        <v/>
      </c>
      <c r="DW200" s="314" t="e">
        <f>IF($J200="",#N/A,SUM(DV$4:DV200))</f>
        <v>#N/A</v>
      </c>
      <c r="DX200" s="315" t="str">
        <f t="shared" si="398"/>
        <v/>
      </c>
      <c r="DY200" s="315" t="e">
        <f>IF($J200="",#N/A,SUM(DX$4:DX200))</f>
        <v>#N/A</v>
      </c>
      <c r="DZ200" s="315" t="e">
        <f>IF($J200="",#N/A,SUM(DX$4:DX200,DV$4:DV200,DT$4:DT200))</f>
        <v>#N/A</v>
      </c>
      <c r="EA200" s="304" t="str">
        <f t="shared" si="399"/>
        <v/>
      </c>
      <c r="EB200" s="313" t="e">
        <f>IF($J200="",#N/A,SUM(EA$4:EA200))</f>
        <v>#N/A</v>
      </c>
      <c r="EC200" s="314" t="str">
        <f t="shared" si="400"/>
        <v/>
      </c>
      <c r="ED200" s="314" t="e">
        <f>IF($J200="",#N/A,SUM(EC$4:EC200))</f>
        <v>#N/A</v>
      </c>
      <c r="EE200" s="315" t="str">
        <f t="shared" si="401"/>
        <v/>
      </c>
      <c r="EF200" s="315" t="e">
        <f>IF($J200="",#N/A,SUM(EE$4:EE200))</f>
        <v>#N/A</v>
      </c>
      <c r="EG200" s="315" t="e">
        <f>IF($J200="",#N/A,SUM(EE$4:EE200,EC$4:EC200,EA$4:EA200))</f>
        <v>#N/A</v>
      </c>
      <c r="EH200" s="130">
        <f t="shared" si="402"/>
        <v>-17.009602194787419</v>
      </c>
      <c r="EI200" s="63">
        <f>IF(EH200="",#N/A,SUM($EH$4:EH200))</f>
        <v>636.63316900692371</v>
      </c>
      <c r="EJ200" s="223" t="e">
        <f t="shared" si="403"/>
        <v>#N/A</v>
      </c>
      <c r="EK200" s="63" t="e">
        <f>IF($GZ200="",#N/A,SUM(EJ$4:EJ200))</f>
        <v>#N/A</v>
      </c>
      <c r="EL200" s="60">
        <f t="shared" si="435"/>
        <v>-0.7087334247828091</v>
      </c>
      <c r="EM200" s="60">
        <f>IF(EL200="",NA(),SUM($EL$4:EL200))</f>
        <v>20.882885892106671</v>
      </c>
      <c r="EN200" s="60" t="str">
        <f t="shared" si="404"/>
        <v/>
      </c>
      <c r="EO200" s="60" t="e">
        <f>IF(EN200="",NA(),SUM($EN$4:EN200))</f>
        <v>#N/A</v>
      </c>
      <c r="EP200" s="60">
        <f t="shared" si="405"/>
        <v>-0.7087334247828091</v>
      </c>
      <c r="EQ200" s="60">
        <f>IF(EP200="",NA(),SUM($EP$4:EP200))</f>
        <v>3.8317291408814849</v>
      </c>
      <c r="ER200" s="60" t="str">
        <f t="shared" si="406"/>
        <v/>
      </c>
      <c r="ES200" s="60" t="e">
        <f>IF(ER200="",NA(),SUM($ER$4:ER200))</f>
        <v>#N/A</v>
      </c>
      <c r="ET200" s="60" t="str">
        <f t="shared" si="407"/>
        <v/>
      </c>
      <c r="EU200" s="60" t="e">
        <f>IF(ET200="",NA(),SUM($ET$4:ET200))</f>
        <v>#N/A</v>
      </c>
      <c r="EV200" s="60" t="str">
        <f t="shared" si="408"/>
        <v/>
      </c>
      <c r="EW200" s="60" t="e">
        <f>IF(EV200="",NA(),SUM($EV$4:EV200))</f>
        <v>#N/A</v>
      </c>
      <c r="EX200" s="60" t="str">
        <f t="shared" si="409"/>
        <v/>
      </c>
      <c r="EY200" s="60" t="e">
        <f>IF(EX200="",NA(),SUM($EX$4:EX200))</f>
        <v>#N/A</v>
      </c>
      <c r="EZ200" s="60" t="str">
        <f t="shared" si="410"/>
        <v/>
      </c>
      <c r="FA200" s="60" t="e">
        <f>IF(EZ200="",NA(),SUM($EZ$4:EZ200))</f>
        <v>#N/A</v>
      </c>
      <c r="FB200" s="246" t="str">
        <f t="shared" si="436"/>
        <v/>
      </c>
      <c r="FC200" s="246" t="e">
        <f>IF($FB200="",#N/A,SUM(FB$4:$FB200))</f>
        <v>#N/A</v>
      </c>
      <c r="FD200" s="60" t="str">
        <f t="shared" si="411"/>
        <v/>
      </c>
      <c r="FE200" s="60" t="e">
        <f>IF($FD200="",#N/A,SUM($FD$4:FD200))</f>
        <v>#N/A</v>
      </c>
      <c r="FF200" s="60" t="str">
        <f t="shared" si="412"/>
        <v/>
      </c>
      <c r="FG200" s="60" t="e">
        <f>IF($FF200="",#N/A,SUM($FF$4:FF200))</f>
        <v>#N/A</v>
      </c>
      <c r="FH200" s="60" t="str">
        <f t="shared" si="413"/>
        <v/>
      </c>
      <c r="FI200" s="60" t="e">
        <f>IF($FH200="",#N/A,SUM($FH$4:FH200))</f>
        <v>#N/A</v>
      </c>
      <c r="FJ200" s="60" t="str">
        <f t="shared" si="414"/>
        <v/>
      </c>
      <c r="FK200" s="60" t="e">
        <f>IF($FJ200="",#N/A,SUM($FJ$4:FJ200))</f>
        <v>#N/A</v>
      </c>
      <c r="FL200" s="60">
        <f t="shared" si="415"/>
        <v>-0.60356652949245648</v>
      </c>
      <c r="FM200" s="60">
        <f>IF($FL200="",#N/A,SUM($FL$4:FL200))</f>
        <v>2.7788111618114302</v>
      </c>
      <c r="FN200" s="82">
        <f t="shared" si="416"/>
        <v>-1.3122999542752656</v>
      </c>
      <c r="FO200" s="82">
        <f>IF($FN200="",#N/A,SUM(FN$4:$FN200))</f>
        <v>26.387703006130074</v>
      </c>
      <c r="FP200" s="82">
        <f t="shared" si="437"/>
        <v>-0.7087334247828091</v>
      </c>
      <c r="FQ200" s="246">
        <f>IF($EH200="",#N/A,SUM($FP$4:FP200))</f>
        <v>24.543673955587941</v>
      </c>
      <c r="FR200" s="82">
        <f>IFERROR(FQ200/COUNTA($J$4:J200),#N/A)</f>
        <v>0.1245871774395327</v>
      </c>
      <c r="FS200" s="82">
        <f t="shared" si="441"/>
        <v>0.10092130059112824</v>
      </c>
      <c r="FT200" s="82">
        <f t="shared" si="417"/>
        <v>7.9601549079536468E-2</v>
      </c>
      <c r="FU200" s="337">
        <f t="shared" si="342"/>
        <v>11.126580352897323</v>
      </c>
      <c r="FV200" s="57" t="str">
        <f t="shared" si="418"/>
        <v>SW</v>
      </c>
      <c r="FW200" s="57" t="s">
        <v>2732</v>
      </c>
      <c r="FX200" s="57" t="str">
        <f t="shared" si="419"/>
        <v/>
      </c>
      <c r="FY200" s="57" t="str">
        <f t="shared" si="420"/>
        <v/>
      </c>
      <c r="FZ200" s="57" t="str">
        <f t="shared" si="421"/>
        <v/>
      </c>
      <c r="GA200" s="57" t="str">
        <f t="shared" si="422"/>
        <v>Long</v>
      </c>
      <c r="GB200" s="57" t="str">
        <f t="shared" si="423"/>
        <v/>
      </c>
      <c r="GC200" s="57" t="str">
        <f t="shared" si="424"/>
        <v/>
      </c>
      <c r="GD200" s="57">
        <f t="shared" si="425"/>
        <v>1</v>
      </c>
      <c r="GE200" s="62">
        <f t="shared" si="339"/>
        <v>36.450000000000003</v>
      </c>
      <c r="GF200" s="62" t="s">
        <v>2779</v>
      </c>
      <c r="GG200" s="199">
        <f>400/I200</f>
        <v>10.973936899862824</v>
      </c>
      <c r="GH200" s="207">
        <f t="shared" si="426"/>
        <v>400</v>
      </c>
      <c r="GI200" s="199">
        <f t="shared" si="337"/>
        <v>10.973936899862824</v>
      </c>
      <c r="GJ200" s="200">
        <v>34.9</v>
      </c>
      <c r="GK200" s="63">
        <f t="shared" si="427"/>
        <v>-17.009602194787419</v>
      </c>
      <c r="GL200" s="63">
        <f t="shared" si="340"/>
        <v>-31.495198902606376</v>
      </c>
      <c r="GM200" s="82">
        <f t="shared" si="428"/>
        <v>-1.3122999542752656</v>
      </c>
      <c r="GN200" s="82">
        <f>IF($GZ200="",#N/A,SUM(GM$4:GM200))</f>
        <v>3.9243430831165123</v>
      </c>
      <c r="GO200" s="82" t="str">
        <f t="shared" si="429"/>
        <v/>
      </c>
      <c r="GP200" s="82">
        <f>IF($GZ200="",#N/A,SUM(GO$4:GO200))</f>
        <v>9.8419544639707812</v>
      </c>
      <c r="GQ200" s="82" t="str">
        <f t="shared" si="430"/>
        <v/>
      </c>
      <c r="GR200" s="82">
        <f>IF($GZ200="",#N/A,SUM(GQ$4:GQ200))</f>
        <v>11.995568504600431</v>
      </c>
      <c r="GS200" s="63" t="e">
        <f t="shared" si="438"/>
        <v>#N/A</v>
      </c>
      <c r="GT200" s="63" t="e">
        <f>IF($GZ200="",#N/A,SUM(GS$4:GS200))</f>
        <v>#N/A</v>
      </c>
      <c r="GU200" s="63" t="str">
        <f t="shared" si="439"/>
        <v/>
      </c>
      <c r="GV200" s="63" t="e">
        <f>IF($GZ200="",#N/A,SUM(GU$4:GU200))</f>
        <v>#N/A</v>
      </c>
      <c r="GW200" s="63" t="str">
        <f t="shared" si="440"/>
        <v/>
      </c>
      <c r="GX200" s="63" t="e">
        <f>IF($GZ200="",#N/A,SUM(GW$4:GW200))</f>
        <v>#N/A</v>
      </c>
      <c r="GY200" s="63" t="e">
        <f>IF(EJ200="",#N/A,SUM($EJ$4:EJ200))</f>
        <v>#N/A</v>
      </c>
      <c r="GZ200" s="159">
        <v>33.58</v>
      </c>
      <c r="HA200" s="63">
        <f t="shared" si="431"/>
        <v>-14.485596707818956</v>
      </c>
      <c r="HB200" s="62" t="s">
        <v>2538</v>
      </c>
      <c r="HC200" s="60">
        <f>IFERROR(VLOOKUP(E200,Expectancy!$P$4:$S$19,1+C200,FALSE),"")</f>
        <v>0.70195709060766942</v>
      </c>
      <c r="HD200" s="82">
        <f t="shared" si="432"/>
        <v>-0.7087334247828091</v>
      </c>
      <c r="HE200" s="82">
        <f>IF(HD200="",#N/A,SUM($HD$4:HD200))</f>
        <v>-1.1129063973093825</v>
      </c>
      <c r="HF200" s="85">
        <f>IF(HD200="",#N/A,IF(HB200="Skip",#N/A,SUM($HG$4:HG200)))</f>
        <v>5.4454921448353844</v>
      </c>
      <c r="HG200" s="63">
        <f t="shared" si="433"/>
        <v>-17.009602194787419</v>
      </c>
      <c r="HH200" s="82">
        <f t="shared" si="434"/>
        <v>-1.3122999542752656</v>
      </c>
    </row>
    <row r="201" spans="1:216" x14ac:dyDescent="0.25">
      <c r="A201" s="57" t="s">
        <v>1611</v>
      </c>
      <c r="B201" s="58" t="s">
        <v>5201</v>
      </c>
      <c r="C201" s="386">
        <f t="shared" si="343"/>
        <v>2</v>
      </c>
      <c r="D201" s="372" t="str">
        <f>_xlfn.XLOOKUP(A201,[1]SP500!$A$2:$A$502,[1]SP500!$D$2:$D$502,"N")</f>
        <v>N</v>
      </c>
      <c r="E201" s="57" t="str">
        <f>_xlfn.XLOOKUP(A201,[1]SP500!$A$2:$A$655,[1]SP500!$B$2:$B$655)</f>
        <v>XLB</v>
      </c>
      <c r="F201" s="59">
        <v>45692</v>
      </c>
      <c r="G201" s="57" t="str">
        <f t="shared" si="344"/>
        <v>AMC</v>
      </c>
      <c r="H201" s="57" t="str">
        <f t="shared" si="345"/>
        <v>o</v>
      </c>
      <c r="I201" s="159">
        <v>54.04</v>
      </c>
      <c r="J201" s="159">
        <v>35.92</v>
      </c>
      <c r="K201" s="61">
        <f t="shared" si="346"/>
        <v>-0.33530717986676534</v>
      </c>
      <c r="L201" s="87">
        <f t="shared" si="347"/>
        <v>126.83999999999997</v>
      </c>
      <c r="M201" s="130" t="e">
        <f t="shared" si="338"/>
        <v>#N/A</v>
      </c>
      <c r="N201" s="169" t="str">
        <f t="shared" si="348"/>
        <v/>
      </c>
      <c r="O201" s="169">
        <f>IF($J201="",#N/A,SUM($N$4:N201))</f>
        <v>307.94438262948194</v>
      </c>
      <c r="P201" s="174">
        <f t="shared" si="349"/>
        <v>126.83999999999997</v>
      </c>
      <c r="Q201" s="174">
        <f>IF($J201="",#N/A,SUM($P$4:P201))</f>
        <v>381.00965246976045</v>
      </c>
      <c r="R201" s="178" t="str">
        <f t="shared" si="350"/>
        <v/>
      </c>
      <c r="S201" s="178">
        <f>IF($J201="",#N/A,SUM($R$4:R201))</f>
        <v>74.519133907681123</v>
      </c>
      <c r="T201" s="290" t="str">
        <f t="shared" si="351"/>
        <v/>
      </c>
      <c r="U201" s="290">
        <f>IF($J201="",#N/A,SUM($T$4:T201))</f>
        <v>11.292495043304985</v>
      </c>
      <c r="V201" s="291">
        <f t="shared" si="352"/>
        <v>5.5884529977794228</v>
      </c>
      <c r="W201" s="291">
        <f>IF($J201="",#N/A,SUM($V$4:V201))</f>
        <v>15.935659689258078</v>
      </c>
      <c r="X201" s="292" t="str">
        <f t="shared" si="353"/>
        <v/>
      </c>
      <c r="Y201" s="292">
        <f>IF($J201="",#N/A,SUM($X$4:X201))</f>
        <v>2.9039722208042917</v>
      </c>
      <c r="Z201" s="304" t="str">
        <f t="shared" si="354"/>
        <v/>
      </c>
      <c r="AA201" s="313" t="e">
        <f>IF($J201="",#N/A,SUM(Z$4:Z201))</f>
        <v>#N/A</v>
      </c>
      <c r="AB201" s="314" t="str">
        <f t="shared" si="355"/>
        <v/>
      </c>
      <c r="AC201" s="314" t="e">
        <f>IF($J201="",#N/A,SUM(AB$4:AB201))</f>
        <v>#N/A</v>
      </c>
      <c r="AD201" s="315" t="str">
        <f t="shared" si="356"/>
        <v/>
      </c>
      <c r="AE201" s="315" t="e">
        <f>IF($J201="",#N/A,SUM(AD$4:AD201))</f>
        <v>#N/A</v>
      </c>
      <c r="AF201" s="315" t="e">
        <f>IF($J201="",#N/A,SUM(AD$4:AD201,AB$4:AB201,Z$4:Z201))</f>
        <v>#N/A</v>
      </c>
      <c r="AG201" s="304" t="str">
        <f t="shared" si="357"/>
        <v/>
      </c>
      <c r="AH201" s="313" t="e">
        <f>IF($J201="",#N/A,SUM(AG$4:AG201))</f>
        <v>#N/A</v>
      </c>
      <c r="AI201" s="314" t="str">
        <f t="shared" si="358"/>
        <v/>
      </c>
      <c r="AJ201" s="314" t="e">
        <f>IF($J201="",#N/A,SUM(AI$4:AI201))</f>
        <v>#N/A</v>
      </c>
      <c r="AK201" s="315" t="str">
        <f t="shared" si="359"/>
        <v/>
      </c>
      <c r="AL201" s="315" t="e">
        <f>IF($J201="",#N/A,SUM(AK$4:AK201))</f>
        <v>#N/A</v>
      </c>
      <c r="AM201" s="315" t="e">
        <f>IF($J201="",#N/A,SUM(AK$4:AK201,AI$4:AI201,AG$4:AG201))</f>
        <v>#N/A</v>
      </c>
      <c r="AN201" s="304" t="str">
        <f t="shared" si="360"/>
        <v/>
      </c>
      <c r="AO201" s="313" t="e">
        <f>IF($J201="",#N/A,SUM(AN$4:AN201))</f>
        <v>#N/A</v>
      </c>
      <c r="AP201" s="314" t="str">
        <f t="shared" si="361"/>
        <v/>
      </c>
      <c r="AQ201" s="314" t="e">
        <f>IF($J201="",#N/A,SUM(AP$4:AP201))</f>
        <v>#N/A</v>
      </c>
      <c r="AR201" s="315" t="str">
        <f t="shared" si="362"/>
        <v/>
      </c>
      <c r="AS201" s="315" t="e">
        <f>IF($J201="",#N/A,SUM(AR$4:AR201))</f>
        <v>#N/A</v>
      </c>
      <c r="AT201" s="315" t="e">
        <f>IF($J201="",#N/A,SUM(AR$4:AR201,AP$4:AP201,AN$4:AN201))</f>
        <v>#N/A</v>
      </c>
      <c r="AU201" s="304" t="str">
        <f t="shared" si="363"/>
        <v/>
      </c>
      <c r="AV201" s="313" t="e">
        <f>IF($J201="",#N/A,SUM(AU$4:AU201))</f>
        <v>#N/A</v>
      </c>
      <c r="AW201" s="314" t="str">
        <f t="shared" si="364"/>
        <v/>
      </c>
      <c r="AX201" s="314" t="e">
        <f>IF($J201="",#N/A,SUM(AW$4:AW201))</f>
        <v>#N/A</v>
      </c>
      <c r="AY201" s="315" t="str">
        <f t="shared" si="365"/>
        <v/>
      </c>
      <c r="AZ201" s="315" t="e">
        <f>IF($J201="",#N/A,SUM(AY$4:AY201))</f>
        <v>#N/A</v>
      </c>
      <c r="BA201" s="315" t="e">
        <f>IF($J201="",#N/A,SUM(AY$4:AY201,AW$4:AW201,AU$4:AU201))</f>
        <v>#N/A</v>
      </c>
      <c r="BB201" s="304" t="str">
        <f t="shared" si="366"/>
        <v/>
      </c>
      <c r="BC201" s="313" t="e">
        <f>IF($J201="",#N/A,SUM(BB$4:BB201))</f>
        <v>#N/A</v>
      </c>
      <c r="BD201" s="314" t="str">
        <f t="shared" si="367"/>
        <v/>
      </c>
      <c r="BE201" s="314" t="e">
        <f>IF($J201="",#N/A,SUM(BD$4:BD201))</f>
        <v>#N/A</v>
      </c>
      <c r="BF201" s="315" t="str">
        <f t="shared" si="368"/>
        <v/>
      </c>
      <c r="BG201" s="315" t="e">
        <f>IF($J201="",#N/A,SUM(BF$4:BF201))</f>
        <v>#N/A</v>
      </c>
      <c r="BH201" s="315" t="e">
        <f>IF($J201="",#N/A,SUM(BF$4:BF201,BD$4:BD201,BB$4:BB201))</f>
        <v>#N/A</v>
      </c>
      <c r="BI201" s="304" t="str">
        <f t="shared" si="369"/>
        <v/>
      </c>
      <c r="BJ201" s="313" t="e">
        <f>IF($J201="",#N/A,SUM(BI$4:BI201))</f>
        <v>#N/A</v>
      </c>
      <c r="BK201" s="314" t="str">
        <f t="shared" si="370"/>
        <v/>
      </c>
      <c r="BL201" s="314" t="e">
        <f>IF($J201="",#N/A,SUM(BK$4:BK201))</f>
        <v>#N/A</v>
      </c>
      <c r="BM201" s="315" t="str">
        <f t="shared" si="371"/>
        <v/>
      </c>
      <c r="BN201" s="315" t="e">
        <f>IF($J201="",#N/A,SUM(BM$4:BM201))</f>
        <v>#N/A</v>
      </c>
      <c r="BO201" s="315" t="e">
        <f>IF($J201="",#N/A,SUM(BM$4:BM201,BK$4:BK201,BI$4:BI201))</f>
        <v>#N/A</v>
      </c>
      <c r="BP201" s="304" t="str">
        <f t="shared" si="372"/>
        <v/>
      </c>
      <c r="BQ201" s="313" t="e">
        <f>IF($J201="",#N/A,SUM(BP$4:BP201))</f>
        <v>#N/A</v>
      </c>
      <c r="BR201" s="314" t="str">
        <f t="shared" si="373"/>
        <v/>
      </c>
      <c r="BS201" s="314" t="e">
        <f>IF($J201="",#N/A,SUM(BR$4:BR201))</f>
        <v>#N/A</v>
      </c>
      <c r="BT201" s="315" t="str">
        <f t="shared" si="374"/>
        <v/>
      </c>
      <c r="BU201" s="315" t="e">
        <f>IF($J201="",#N/A,SUM(BT$4:BT201))</f>
        <v>#N/A</v>
      </c>
      <c r="BV201" s="315" t="e">
        <f>IF($J201="",#N/A,SUM(BT$4:BT201,BR$4:BR201,BP$4:BP201))</f>
        <v>#N/A</v>
      </c>
      <c r="BW201" s="304" t="str">
        <f t="shared" si="375"/>
        <v/>
      </c>
      <c r="BX201" s="313" t="e">
        <f>IF($J201="",#N/A,SUM(BW$4:BW201))</f>
        <v>#N/A</v>
      </c>
      <c r="BY201" s="314" t="str">
        <f t="shared" si="376"/>
        <v/>
      </c>
      <c r="BZ201" s="314" t="e">
        <f>IF($J201="",#N/A,SUM(BY$4:BY201))</f>
        <v>#N/A</v>
      </c>
      <c r="CA201" s="315" t="str">
        <f t="shared" si="377"/>
        <v/>
      </c>
      <c r="CB201" s="315" t="e">
        <f>IF($J201="",#N/A,SUM(CA$4:CA201))</f>
        <v>#N/A</v>
      </c>
      <c r="CC201" s="315" t="e">
        <f>IF($J201="",#N/A,SUM(CA$4:CA201,BY$4:BY201,BW$4:BW201))</f>
        <v>#N/A</v>
      </c>
      <c r="CD201" s="304" t="str">
        <f t="shared" si="378"/>
        <v/>
      </c>
      <c r="CE201" s="313" t="e">
        <f>IF($J201="",#N/A,SUM(CD$4:CD201))</f>
        <v>#N/A</v>
      </c>
      <c r="CF201" s="314">
        <f t="shared" si="379"/>
        <v>5.5884529977794228</v>
      </c>
      <c r="CG201" s="314" t="e">
        <f>IF($J201="",#N/A,SUM(CF$4:CF201))</f>
        <v>#N/A</v>
      </c>
      <c r="CH201" s="315" t="str">
        <f t="shared" si="380"/>
        <v/>
      </c>
      <c r="CI201" s="315" t="e">
        <f>IF($J201="",#N/A,SUM(CH$4:CH201))</f>
        <v>#N/A</v>
      </c>
      <c r="CJ201" s="315" t="e">
        <f>IF($J201="",#N/A,SUM(CH$4:CH201,CF$4:CF201,CD$4:CD201))</f>
        <v>#N/A</v>
      </c>
      <c r="CK201" s="304" t="str">
        <f t="shared" si="381"/>
        <v/>
      </c>
      <c r="CL201" s="313" t="e">
        <f>IF($J201="",#N/A,SUM(CK$4:CK201))</f>
        <v>#N/A</v>
      </c>
      <c r="CM201" s="314" t="str">
        <f t="shared" si="382"/>
        <v/>
      </c>
      <c r="CN201" s="314" t="e">
        <f>IF($J201="",#N/A,SUM(CM$4:CM201))</f>
        <v>#N/A</v>
      </c>
      <c r="CO201" s="315" t="str">
        <f t="shared" si="383"/>
        <v/>
      </c>
      <c r="CP201" s="315" t="e">
        <f>IF($J201="",#N/A,SUM(CO$4:CO201))</f>
        <v>#N/A</v>
      </c>
      <c r="CQ201" s="315" t="e">
        <f>IF($J201="",#N/A,SUM(CO$4:CO201,CM$4:CM201,CK$4:CK201))</f>
        <v>#N/A</v>
      </c>
      <c r="CR201" s="304" t="str">
        <f t="shared" si="384"/>
        <v/>
      </c>
      <c r="CS201" s="313" t="e">
        <f>IF($J201="",#N/A,SUM(CR$4:CR201))</f>
        <v>#N/A</v>
      </c>
      <c r="CT201" s="314" t="str">
        <f t="shared" si="385"/>
        <v/>
      </c>
      <c r="CU201" s="314" t="e">
        <f>IF($J201="",#N/A,SUM(CT$4:CT201))</f>
        <v>#N/A</v>
      </c>
      <c r="CV201" s="315" t="str">
        <f t="shared" si="386"/>
        <v/>
      </c>
      <c r="CW201" s="315" t="e">
        <f>IF($J201="",#N/A,SUM(CV$4:CV201))</f>
        <v>#N/A</v>
      </c>
      <c r="CX201" s="315" t="e">
        <f>IF($J201="",#N/A,SUM(CV$4:CV201,CT$4:CT201,CR$4:CR201))</f>
        <v>#N/A</v>
      </c>
      <c r="CY201" s="304" t="str">
        <f t="shared" si="387"/>
        <v/>
      </c>
      <c r="CZ201" s="313" t="e">
        <f>IF($J201="",#N/A,SUM(CY$4:CY201))</f>
        <v>#N/A</v>
      </c>
      <c r="DA201" s="314" t="str">
        <f t="shared" si="388"/>
        <v/>
      </c>
      <c r="DB201" s="314" t="e">
        <f>IF($J201="",#N/A,SUM(DA$4:DA201))</f>
        <v>#N/A</v>
      </c>
      <c r="DC201" s="315" t="str">
        <f t="shared" si="389"/>
        <v/>
      </c>
      <c r="DD201" s="315" t="e">
        <f>IF($J201="",#N/A,SUM(DC$4:DC201))</f>
        <v>#N/A</v>
      </c>
      <c r="DE201" s="315" t="e">
        <f>IF($J201="",#N/A,SUM(DC$4:DC201,DA$4:DA201,CY$4:CY201))</f>
        <v>#N/A</v>
      </c>
      <c r="DF201" s="304" t="str">
        <f t="shared" si="390"/>
        <v/>
      </c>
      <c r="DG201" s="313" t="e">
        <f>IF($J201="",#N/A,SUM(DF$4:DF201))</f>
        <v>#N/A</v>
      </c>
      <c r="DH201" s="314" t="str">
        <f t="shared" si="391"/>
        <v/>
      </c>
      <c r="DI201" s="314" t="e">
        <f>IF($J201="",#N/A,SUM(DH$4:DH201))</f>
        <v>#N/A</v>
      </c>
      <c r="DJ201" s="315" t="str">
        <f t="shared" si="392"/>
        <v/>
      </c>
      <c r="DK201" s="315" t="e">
        <f>IF($J201="",#N/A,SUM(DJ$4:DJ201))</f>
        <v>#N/A</v>
      </c>
      <c r="DL201" s="315" t="e">
        <f>IF($J201="",#N/A,SUM(DJ$4:DJ201,DH$4:DH201,DF$4:DF201))</f>
        <v>#N/A</v>
      </c>
      <c r="DM201" s="304" t="str">
        <f t="shared" si="393"/>
        <v/>
      </c>
      <c r="DN201" s="313" t="e">
        <f>IF($J201="",#N/A,SUM(DM$4:DM201))</f>
        <v>#N/A</v>
      </c>
      <c r="DO201" s="314" t="str">
        <f t="shared" si="394"/>
        <v/>
      </c>
      <c r="DP201" s="314" t="e">
        <f>IF($J201="",#N/A,SUM(DO$4:DO201))</f>
        <v>#N/A</v>
      </c>
      <c r="DQ201" s="315" t="str">
        <f t="shared" si="395"/>
        <v/>
      </c>
      <c r="DR201" s="315" t="e">
        <f>IF($J201="",#N/A,SUM(DQ$4:DQ201))</f>
        <v>#N/A</v>
      </c>
      <c r="DS201" s="315" t="e">
        <f>IF($J201="",#N/A,SUM(DQ$4:DQ201,DO$4:DO201,DM$4:DM201))</f>
        <v>#N/A</v>
      </c>
      <c r="DT201" s="304" t="str">
        <f t="shared" si="396"/>
        <v/>
      </c>
      <c r="DU201" s="313" t="e">
        <f>IF($J201="",#N/A,SUM(DT$4:DT201))</f>
        <v>#N/A</v>
      </c>
      <c r="DV201" s="314" t="str">
        <f t="shared" si="397"/>
        <v/>
      </c>
      <c r="DW201" s="314" t="e">
        <f>IF($J201="",#N/A,SUM(DV$4:DV201))</f>
        <v>#N/A</v>
      </c>
      <c r="DX201" s="315" t="str">
        <f t="shared" si="398"/>
        <v/>
      </c>
      <c r="DY201" s="315" t="e">
        <f>IF($J201="",#N/A,SUM(DX$4:DX201))</f>
        <v>#N/A</v>
      </c>
      <c r="DZ201" s="315" t="e">
        <f>IF($J201="",#N/A,SUM(DX$4:DX201,DV$4:DV201,DT$4:DT201))</f>
        <v>#N/A</v>
      </c>
      <c r="EA201" s="304" t="str">
        <f t="shared" si="399"/>
        <v/>
      </c>
      <c r="EB201" s="313" t="e">
        <f>IF($J201="",#N/A,SUM(EA$4:EA201))</f>
        <v>#N/A</v>
      </c>
      <c r="EC201" s="314" t="str">
        <f t="shared" si="400"/>
        <v/>
      </c>
      <c r="ED201" s="314" t="e">
        <f>IF($J201="",#N/A,SUM(EC$4:EC201))</f>
        <v>#N/A</v>
      </c>
      <c r="EE201" s="315" t="str">
        <f t="shared" si="401"/>
        <v/>
      </c>
      <c r="EF201" s="315" t="e">
        <f>IF($J201="",#N/A,SUM(EE$4:EE201))</f>
        <v>#N/A</v>
      </c>
      <c r="EG201" s="315" t="e">
        <f>IF($J201="",#N/A,SUM(EE$4:EE201,EC$4:EC201,EA$4:EA201))</f>
        <v>#N/A</v>
      </c>
      <c r="EH201" s="130">
        <f t="shared" si="402"/>
        <v>126.83999999999997</v>
      </c>
      <c r="EI201" s="63">
        <f>IF(EH201="",#N/A,SUM($EH$4:EH201))</f>
        <v>763.47316900692363</v>
      </c>
      <c r="EJ201" s="223" t="e">
        <f t="shared" si="403"/>
        <v>#N/A</v>
      </c>
      <c r="EK201" s="63" t="e">
        <f>IF($GZ201="",#N/A,SUM(EJ$4:EJ201))</f>
        <v>#N/A</v>
      </c>
      <c r="EL201" s="60" t="str">
        <f t="shared" si="435"/>
        <v/>
      </c>
      <c r="EM201" s="60" t="e">
        <f>IF(EL201="",NA(),SUM($EL$4:EL201))</f>
        <v>#N/A</v>
      </c>
      <c r="EN201" s="60" t="str">
        <f t="shared" si="404"/>
        <v/>
      </c>
      <c r="EO201" s="60" t="e">
        <f>IF(EN201="",NA(),SUM($EN$4:EN201))</f>
        <v>#N/A</v>
      </c>
      <c r="EP201" s="60" t="str">
        <f t="shared" si="405"/>
        <v/>
      </c>
      <c r="EQ201" s="60" t="e">
        <f>IF(EP201="",NA(),SUM($EP$4:EP201))</f>
        <v>#N/A</v>
      </c>
      <c r="ER201" s="60" t="str">
        <f t="shared" si="406"/>
        <v/>
      </c>
      <c r="ES201" s="60" t="e">
        <f>IF(ER201="",NA(),SUM($ER$4:ER201))</f>
        <v>#N/A</v>
      </c>
      <c r="ET201" s="60">
        <f t="shared" si="407"/>
        <v>5.5884529977794228</v>
      </c>
      <c r="EU201" s="60">
        <f>IF(ET201="",NA(),SUM($ET$4:ET201))</f>
        <v>9.249241061260685</v>
      </c>
      <c r="EV201" s="60" t="str">
        <f t="shared" si="408"/>
        <v/>
      </c>
      <c r="EW201" s="60" t="e">
        <f>IF(EV201="",NA(),SUM($EV$4:EV201))</f>
        <v>#N/A</v>
      </c>
      <c r="EX201" s="60" t="str">
        <f t="shared" si="409"/>
        <v/>
      </c>
      <c r="EY201" s="60" t="e">
        <f>IF(EX201="",NA(),SUM($EX$4:EX201))</f>
        <v>#N/A</v>
      </c>
      <c r="EZ201" s="60">
        <f t="shared" si="410"/>
        <v>5.5884529977794228</v>
      </c>
      <c r="FA201" s="60">
        <f>IF(EZ201="",NA(),SUM($EZ$4:EZ201))</f>
        <v>6.2908484504793822</v>
      </c>
      <c r="FB201" s="246">
        <f t="shared" si="436"/>
        <v>0</v>
      </c>
      <c r="FC201" s="246">
        <f>IF($FB201="",#N/A,SUM(FB$4:$FB201))</f>
        <v>0.32623786561969503</v>
      </c>
      <c r="FD201" s="60" t="str">
        <f t="shared" si="411"/>
        <v/>
      </c>
      <c r="FE201" s="60" t="e">
        <f>IF($FD201="",#N/A,SUM($FD$4:FD201))</f>
        <v>#N/A</v>
      </c>
      <c r="FF201" s="60" t="str">
        <f t="shared" si="412"/>
        <v/>
      </c>
      <c r="FG201" s="60" t="e">
        <f>IF($FF201="",#N/A,SUM($FF$4:FF201))</f>
        <v>#N/A</v>
      </c>
      <c r="FH201" s="60" t="str">
        <f t="shared" si="413"/>
        <v/>
      </c>
      <c r="FI201" s="60" t="e">
        <f>IF($FH201="",#N/A,SUM($FH$4:FH201))</f>
        <v>#N/A</v>
      </c>
      <c r="FJ201" s="60" t="str">
        <f t="shared" si="414"/>
        <v/>
      </c>
      <c r="FK201" s="60" t="e">
        <f>IF($FJ201="",#N/A,SUM($FJ$4:FJ201))</f>
        <v>#N/A</v>
      </c>
      <c r="FL201" s="60" t="str">
        <f t="shared" si="415"/>
        <v/>
      </c>
      <c r="FM201" s="60" t="e">
        <f>IF($FL201="",#N/A,SUM($FL$4:FL201))</f>
        <v>#N/A</v>
      </c>
      <c r="FN201" s="82">
        <f t="shared" si="416"/>
        <v>5.5884529977794228</v>
      </c>
      <c r="FO201" s="82">
        <f>IF($FN201="",#N/A,SUM(FN$4:$FN201))</f>
        <v>31.976156003909498</v>
      </c>
      <c r="FP201" s="82">
        <f t="shared" si="437"/>
        <v>5.5884529977794228</v>
      </c>
      <c r="FQ201" s="246">
        <f>IF($EH201="",#N/A,SUM($FP$4:FP201))</f>
        <v>30.132126953367365</v>
      </c>
      <c r="FR201" s="82">
        <f>IFERROR(FQ201/COUNTA($J$4:J201),#N/A)</f>
        <v>0.15218245936044122</v>
      </c>
      <c r="FS201" s="82">
        <f t="shared" si="441"/>
        <v>0.23763965810221974</v>
      </c>
      <c r="FT201" s="82">
        <f t="shared" si="417"/>
        <v>0.30001257020489147</v>
      </c>
      <c r="FU201" s="337">
        <f t="shared" si="342"/>
        <v>13.300895674881039</v>
      </c>
      <c r="FV201" s="57" t="str">
        <f t="shared" si="418"/>
        <v>Dwn</v>
      </c>
      <c r="FW201" s="57" t="s">
        <v>2733</v>
      </c>
      <c r="FX201" s="57" t="str">
        <f t="shared" si="419"/>
        <v/>
      </c>
      <c r="FY201" s="57" t="str">
        <f t="shared" si="420"/>
        <v/>
      </c>
      <c r="FZ201" s="57" t="str">
        <f t="shared" si="421"/>
        <v/>
      </c>
      <c r="GA201" s="57" t="str">
        <f t="shared" si="422"/>
        <v>Short</v>
      </c>
      <c r="GB201" s="57">
        <f t="shared" si="423"/>
        <v>1</v>
      </c>
      <c r="GC201" s="57" t="str">
        <f t="shared" si="424"/>
        <v/>
      </c>
      <c r="GD201" s="57" t="str">
        <f t="shared" si="425"/>
        <v/>
      </c>
      <c r="GE201" s="62">
        <f t="shared" si="339"/>
        <v>54.04</v>
      </c>
      <c r="GF201" s="62" t="s">
        <v>2780</v>
      </c>
      <c r="GG201" s="199">
        <v>7</v>
      </c>
      <c r="GH201" s="207">
        <f t="shared" si="426"/>
        <v>378.28</v>
      </c>
      <c r="GI201" s="199">
        <f t="shared" si="337"/>
        <v>7</v>
      </c>
      <c r="GJ201" s="200">
        <v>42.97</v>
      </c>
      <c r="GK201" s="63">
        <f t="shared" si="427"/>
        <v>77.490000000000009</v>
      </c>
      <c r="GL201" s="63">
        <f t="shared" si="340"/>
        <v>126.83999999999997</v>
      </c>
      <c r="GM201" s="82" t="str">
        <f t="shared" si="428"/>
        <v/>
      </c>
      <c r="GN201" s="82">
        <f>IF($GZ201="",#N/A,SUM(GM$4:GM201))</f>
        <v>3.9243430831165123</v>
      </c>
      <c r="GO201" s="82" t="str">
        <f t="shared" si="429"/>
        <v/>
      </c>
      <c r="GP201" s="82">
        <f>IF($GZ201="",#N/A,SUM(GO$4:GO201))</f>
        <v>9.8419544639707812</v>
      </c>
      <c r="GQ201" s="82">
        <f t="shared" si="430"/>
        <v>5.5884529977794228</v>
      </c>
      <c r="GR201" s="82">
        <f>IF($GZ201="",#N/A,SUM(GQ$4:GQ201))</f>
        <v>17.584021502379855</v>
      </c>
      <c r="GS201" s="63" t="str">
        <f t="shared" si="438"/>
        <v/>
      </c>
      <c r="GT201" s="63" t="e">
        <f>IF($GZ201="",#N/A,SUM(GS$4:GS201))</f>
        <v>#N/A</v>
      </c>
      <c r="GU201" s="63" t="str">
        <f t="shared" si="439"/>
        <v/>
      </c>
      <c r="GV201" s="63" t="e">
        <f>IF($GZ201="",#N/A,SUM(GU$4:GU201))</f>
        <v>#N/A</v>
      </c>
      <c r="GW201" s="63" t="e">
        <f t="shared" si="440"/>
        <v>#N/A</v>
      </c>
      <c r="GX201" s="63" t="e">
        <f>IF($GZ201="",#N/A,SUM(GW$4:GW201))</f>
        <v>#N/A</v>
      </c>
      <c r="GY201" s="63" t="e">
        <f>IF(EJ201="",#N/A,SUM($EJ$4:EJ201))</f>
        <v>#N/A</v>
      </c>
      <c r="GZ201" s="159">
        <v>35.92</v>
      </c>
      <c r="HA201" s="63">
        <f t="shared" si="431"/>
        <v>0</v>
      </c>
      <c r="HB201" s="62" t="s">
        <v>4734</v>
      </c>
      <c r="HC201" s="60">
        <f>IFERROR(VLOOKUP(E201,Expectancy!$P$4:$S$19,1+C201,FALSE),"")</f>
        <v>0.73529829292760662</v>
      </c>
      <c r="HD201" s="82">
        <f t="shared" si="432"/>
        <v>3.414137675795708</v>
      </c>
      <c r="HE201" s="82">
        <f>IF(HD201="",#N/A,SUM($HD$4:HD201))</f>
        <v>2.3012312784863256</v>
      </c>
      <c r="HF201" s="85">
        <f>IF(HD201="",#N/A,IF(HB201="Skip",#N/A,SUM($HG$4:HG201)))</f>
        <v>82.935492144835393</v>
      </c>
      <c r="HG201" s="63">
        <f t="shared" si="433"/>
        <v>77.490000000000009</v>
      </c>
      <c r="HH201" s="82">
        <f t="shared" si="434"/>
        <v>5.5884529977794228</v>
      </c>
    </row>
    <row r="202" spans="1:216" x14ac:dyDescent="0.25">
      <c r="A202" s="57" t="s">
        <v>2569</v>
      </c>
      <c r="B202" s="58" t="s">
        <v>5199</v>
      </c>
      <c r="C202" s="386">
        <f t="shared" si="343"/>
        <v>2</v>
      </c>
      <c r="D202" s="372" t="str">
        <f>_xlfn.XLOOKUP(A202,[1]SP500!$A$2:$A$502,[1]SP500!$D$2:$D$502,"N")</f>
        <v>N</v>
      </c>
      <c r="E202" s="57" t="str">
        <f>_xlfn.XLOOKUP(A202,[1]SP500!$A$2:$A$655,[1]SP500!$B$2:$B$655)</f>
        <v>IGV</v>
      </c>
      <c r="F202" s="227">
        <v>45692</v>
      </c>
      <c r="G202" s="57" t="str">
        <f t="shared" si="344"/>
        <v>AMC</v>
      </c>
      <c r="H202" s="57" t="str">
        <f t="shared" si="345"/>
        <v>o</v>
      </c>
      <c r="I202" s="159">
        <v>11.6</v>
      </c>
      <c r="J202" s="159">
        <v>11.54</v>
      </c>
      <c r="K202" s="61">
        <f t="shared" si="346"/>
        <v>-5.1724137931034916E-3</v>
      </c>
      <c r="L202" s="87">
        <f t="shared" si="347"/>
        <v>2.068965517241395</v>
      </c>
      <c r="M202" s="214" t="e">
        <f t="shared" si="338"/>
        <v>#N/A</v>
      </c>
      <c r="N202" s="169" t="str">
        <f t="shared" si="348"/>
        <v/>
      </c>
      <c r="O202" s="169">
        <f>IF($J202="",#N/A,SUM($N$4:N202))</f>
        <v>307.94438262948194</v>
      </c>
      <c r="P202" s="174">
        <f t="shared" si="349"/>
        <v>2.068965517241395</v>
      </c>
      <c r="Q202" s="174">
        <f>IF($J202="",#N/A,SUM($P$4:P202))</f>
        <v>383.07861798700185</v>
      </c>
      <c r="R202" s="178" t="str">
        <f t="shared" si="350"/>
        <v/>
      </c>
      <c r="S202" s="178">
        <f>IF($J202="",#N/A,SUM($R$4:R202))</f>
        <v>74.519133907681123</v>
      </c>
      <c r="T202" s="290" t="str">
        <f t="shared" si="351"/>
        <v/>
      </c>
      <c r="U202" s="290">
        <f>IF($J202="",#N/A,SUM($T$4:T202))</f>
        <v>11.292495043304985</v>
      </c>
      <c r="V202" s="291">
        <f t="shared" si="352"/>
        <v>8.6206896551724796E-2</v>
      </c>
      <c r="W202" s="291">
        <f>IF($J202="",#N/A,SUM($V$4:V202))</f>
        <v>16.021866585809803</v>
      </c>
      <c r="X202" s="292" t="str">
        <f t="shared" si="353"/>
        <v/>
      </c>
      <c r="Y202" s="292">
        <f>IF($J202="",#N/A,SUM($X$4:X202))</f>
        <v>2.9039722208042917</v>
      </c>
      <c r="Z202" s="304" t="str">
        <f t="shared" si="354"/>
        <v/>
      </c>
      <c r="AA202" s="313" t="e">
        <f>IF($J202="",#N/A,SUM(Z$4:Z202))</f>
        <v>#N/A</v>
      </c>
      <c r="AB202" s="314" t="str">
        <f t="shared" si="355"/>
        <v/>
      </c>
      <c r="AC202" s="314" t="e">
        <f>IF($J202="",#N/A,SUM(AB$4:AB202))</f>
        <v>#N/A</v>
      </c>
      <c r="AD202" s="315" t="str">
        <f t="shared" si="356"/>
        <v/>
      </c>
      <c r="AE202" s="315" t="e">
        <f>IF($J202="",#N/A,SUM(AD$4:AD202))</f>
        <v>#N/A</v>
      </c>
      <c r="AF202" s="315" t="e">
        <f>IF($J202="",#N/A,SUM(AD$4:AD202,AB$4:AB202,Z$4:Z202))</f>
        <v>#N/A</v>
      </c>
      <c r="AG202" s="304" t="str">
        <f t="shared" si="357"/>
        <v/>
      </c>
      <c r="AH202" s="313" t="e">
        <f>IF($J202="",#N/A,SUM(AG$4:AG202))</f>
        <v>#N/A</v>
      </c>
      <c r="AI202" s="314">
        <f t="shared" si="358"/>
        <v>8.6206896551724796E-2</v>
      </c>
      <c r="AJ202" s="314" t="e">
        <f>IF($J202="",#N/A,SUM(AI$4:AI202))</f>
        <v>#N/A</v>
      </c>
      <c r="AK202" s="315" t="str">
        <f t="shared" si="359"/>
        <v/>
      </c>
      <c r="AL202" s="315" t="e">
        <f>IF($J202="",#N/A,SUM(AK$4:AK202))</f>
        <v>#N/A</v>
      </c>
      <c r="AM202" s="315" t="e">
        <f>IF($J202="",#N/A,SUM(AK$4:AK202,AI$4:AI202,AG$4:AG202))</f>
        <v>#N/A</v>
      </c>
      <c r="AN202" s="304" t="str">
        <f t="shared" si="360"/>
        <v/>
      </c>
      <c r="AO202" s="313" t="e">
        <f>IF($J202="",#N/A,SUM(AN$4:AN202))</f>
        <v>#N/A</v>
      </c>
      <c r="AP202" s="314" t="str">
        <f t="shared" si="361"/>
        <v/>
      </c>
      <c r="AQ202" s="314" t="e">
        <f>IF($J202="",#N/A,SUM(AP$4:AP202))</f>
        <v>#N/A</v>
      </c>
      <c r="AR202" s="315" t="str">
        <f t="shared" si="362"/>
        <v/>
      </c>
      <c r="AS202" s="315" t="e">
        <f>IF($J202="",#N/A,SUM(AR$4:AR202))</f>
        <v>#N/A</v>
      </c>
      <c r="AT202" s="315" t="e">
        <f>IF($J202="",#N/A,SUM(AR$4:AR202,AP$4:AP202,AN$4:AN202))</f>
        <v>#N/A</v>
      </c>
      <c r="AU202" s="304" t="str">
        <f t="shared" si="363"/>
        <v/>
      </c>
      <c r="AV202" s="313" t="e">
        <f>IF($J202="",#N/A,SUM(AU$4:AU202))</f>
        <v>#N/A</v>
      </c>
      <c r="AW202" s="314" t="str">
        <f t="shared" si="364"/>
        <v/>
      </c>
      <c r="AX202" s="314" t="e">
        <f>IF($J202="",#N/A,SUM(AW$4:AW202))</f>
        <v>#N/A</v>
      </c>
      <c r="AY202" s="315" t="str">
        <f t="shared" si="365"/>
        <v/>
      </c>
      <c r="AZ202" s="315" t="e">
        <f>IF($J202="",#N/A,SUM(AY$4:AY202))</f>
        <v>#N/A</v>
      </c>
      <c r="BA202" s="315" t="e">
        <f>IF($J202="",#N/A,SUM(AY$4:AY202,AW$4:AW202,AU$4:AU202))</f>
        <v>#N/A</v>
      </c>
      <c r="BB202" s="304" t="str">
        <f t="shared" si="366"/>
        <v/>
      </c>
      <c r="BC202" s="313" t="e">
        <f>IF($J202="",#N/A,SUM(BB$4:BB202))</f>
        <v>#N/A</v>
      </c>
      <c r="BD202" s="314" t="str">
        <f t="shared" si="367"/>
        <v/>
      </c>
      <c r="BE202" s="314" t="e">
        <f>IF($J202="",#N/A,SUM(BD$4:BD202))</f>
        <v>#N/A</v>
      </c>
      <c r="BF202" s="315" t="str">
        <f t="shared" si="368"/>
        <v/>
      </c>
      <c r="BG202" s="315" t="e">
        <f>IF($J202="",#N/A,SUM(BF$4:BF202))</f>
        <v>#N/A</v>
      </c>
      <c r="BH202" s="315" t="e">
        <f>IF($J202="",#N/A,SUM(BF$4:BF202,BD$4:BD202,BB$4:BB202))</f>
        <v>#N/A</v>
      </c>
      <c r="BI202" s="304" t="str">
        <f t="shared" si="369"/>
        <v/>
      </c>
      <c r="BJ202" s="313" t="e">
        <f>IF($J202="",#N/A,SUM(BI$4:BI202))</f>
        <v>#N/A</v>
      </c>
      <c r="BK202" s="314" t="str">
        <f t="shared" si="370"/>
        <v/>
      </c>
      <c r="BL202" s="314" t="e">
        <f>IF($J202="",#N/A,SUM(BK$4:BK202))</f>
        <v>#N/A</v>
      </c>
      <c r="BM202" s="315" t="str">
        <f t="shared" si="371"/>
        <v/>
      </c>
      <c r="BN202" s="315" t="e">
        <f>IF($J202="",#N/A,SUM(BM$4:BM202))</f>
        <v>#N/A</v>
      </c>
      <c r="BO202" s="315" t="e">
        <f>IF($J202="",#N/A,SUM(BM$4:BM202,BK$4:BK202,BI$4:BI202))</f>
        <v>#N/A</v>
      </c>
      <c r="BP202" s="304" t="str">
        <f t="shared" si="372"/>
        <v/>
      </c>
      <c r="BQ202" s="313" t="e">
        <f>IF($J202="",#N/A,SUM(BP$4:BP202))</f>
        <v>#N/A</v>
      </c>
      <c r="BR202" s="314" t="str">
        <f t="shared" si="373"/>
        <v/>
      </c>
      <c r="BS202" s="314" t="e">
        <f>IF($J202="",#N/A,SUM(BR$4:BR202))</f>
        <v>#N/A</v>
      </c>
      <c r="BT202" s="315" t="str">
        <f t="shared" si="374"/>
        <v/>
      </c>
      <c r="BU202" s="315" t="e">
        <f>IF($J202="",#N/A,SUM(BT$4:BT202))</f>
        <v>#N/A</v>
      </c>
      <c r="BV202" s="315" t="e">
        <f>IF($J202="",#N/A,SUM(BT$4:BT202,BR$4:BR202,BP$4:BP202))</f>
        <v>#N/A</v>
      </c>
      <c r="BW202" s="304" t="str">
        <f t="shared" si="375"/>
        <v/>
      </c>
      <c r="BX202" s="313" t="e">
        <f>IF($J202="",#N/A,SUM(BW$4:BW202))</f>
        <v>#N/A</v>
      </c>
      <c r="BY202" s="314" t="str">
        <f t="shared" si="376"/>
        <v/>
      </c>
      <c r="BZ202" s="314" t="e">
        <f>IF($J202="",#N/A,SUM(BY$4:BY202))</f>
        <v>#N/A</v>
      </c>
      <c r="CA202" s="315" t="str">
        <f t="shared" si="377"/>
        <v/>
      </c>
      <c r="CB202" s="315" t="e">
        <f>IF($J202="",#N/A,SUM(CA$4:CA202))</f>
        <v>#N/A</v>
      </c>
      <c r="CC202" s="315" t="e">
        <f>IF($J202="",#N/A,SUM(CA$4:CA202,BY$4:BY202,BW$4:BW202))</f>
        <v>#N/A</v>
      </c>
      <c r="CD202" s="304" t="str">
        <f t="shared" si="378"/>
        <v/>
      </c>
      <c r="CE202" s="313" t="e">
        <f>IF($J202="",#N/A,SUM(CD$4:CD202))</f>
        <v>#N/A</v>
      </c>
      <c r="CF202" s="314" t="str">
        <f t="shared" si="379"/>
        <v/>
      </c>
      <c r="CG202" s="314" t="e">
        <f>IF($J202="",#N/A,SUM(CF$4:CF202))</f>
        <v>#N/A</v>
      </c>
      <c r="CH202" s="315" t="str">
        <f t="shared" si="380"/>
        <v/>
      </c>
      <c r="CI202" s="315" t="e">
        <f>IF($J202="",#N/A,SUM(CH$4:CH202))</f>
        <v>#N/A</v>
      </c>
      <c r="CJ202" s="315" t="e">
        <f>IF($J202="",#N/A,SUM(CH$4:CH202,CF$4:CF202,CD$4:CD202))</f>
        <v>#N/A</v>
      </c>
      <c r="CK202" s="304" t="str">
        <f t="shared" si="381"/>
        <v/>
      </c>
      <c r="CL202" s="313" t="e">
        <f>IF($J202="",#N/A,SUM(CK$4:CK202))</f>
        <v>#N/A</v>
      </c>
      <c r="CM202" s="314" t="str">
        <f t="shared" si="382"/>
        <v/>
      </c>
      <c r="CN202" s="314" t="e">
        <f>IF($J202="",#N/A,SUM(CM$4:CM202))</f>
        <v>#N/A</v>
      </c>
      <c r="CO202" s="315" t="str">
        <f t="shared" si="383"/>
        <v/>
      </c>
      <c r="CP202" s="315" t="e">
        <f>IF($J202="",#N/A,SUM(CO$4:CO202))</f>
        <v>#N/A</v>
      </c>
      <c r="CQ202" s="315" t="e">
        <f>IF($J202="",#N/A,SUM(CO$4:CO202,CM$4:CM202,CK$4:CK202))</f>
        <v>#N/A</v>
      </c>
      <c r="CR202" s="304" t="str">
        <f t="shared" si="384"/>
        <v/>
      </c>
      <c r="CS202" s="313" t="e">
        <f>IF($J202="",#N/A,SUM(CR$4:CR202))</f>
        <v>#N/A</v>
      </c>
      <c r="CT202" s="314" t="str">
        <f t="shared" si="385"/>
        <v/>
      </c>
      <c r="CU202" s="314" t="e">
        <f>IF($J202="",#N/A,SUM(CT$4:CT202))</f>
        <v>#N/A</v>
      </c>
      <c r="CV202" s="315" t="str">
        <f t="shared" si="386"/>
        <v/>
      </c>
      <c r="CW202" s="315" t="e">
        <f>IF($J202="",#N/A,SUM(CV$4:CV202))</f>
        <v>#N/A</v>
      </c>
      <c r="CX202" s="315" t="e">
        <f>IF($J202="",#N/A,SUM(CV$4:CV202,CT$4:CT202,CR$4:CR202))</f>
        <v>#N/A</v>
      </c>
      <c r="CY202" s="304" t="str">
        <f t="shared" si="387"/>
        <v/>
      </c>
      <c r="CZ202" s="313" t="e">
        <f>IF($J202="",#N/A,SUM(CY$4:CY202))</f>
        <v>#N/A</v>
      </c>
      <c r="DA202" s="314" t="str">
        <f t="shared" si="388"/>
        <v/>
      </c>
      <c r="DB202" s="314" t="e">
        <f>IF($J202="",#N/A,SUM(DA$4:DA202))</f>
        <v>#N/A</v>
      </c>
      <c r="DC202" s="315" t="str">
        <f t="shared" si="389"/>
        <v/>
      </c>
      <c r="DD202" s="315" t="e">
        <f>IF($J202="",#N/A,SUM(DC$4:DC202))</f>
        <v>#N/A</v>
      </c>
      <c r="DE202" s="315" t="e">
        <f>IF($J202="",#N/A,SUM(DC$4:DC202,DA$4:DA202,CY$4:CY202))</f>
        <v>#N/A</v>
      </c>
      <c r="DF202" s="304" t="str">
        <f t="shared" si="390"/>
        <v/>
      </c>
      <c r="DG202" s="313" t="e">
        <f>IF($J202="",#N/A,SUM(DF$4:DF202))</f>
        <v>#N/A</v>
      </c>
      <c r="DH202" s="314" t="str">
        <f t="shared" si="391"/>
        <v/>
      </c>
      <c r="DI202" s="314" t="e">
        <f>IF($J202="",#N/A,SUM(DH$4:DH202))</f>
        <v>#N/A</v>
      </c>
      <c r="DJ202" s="315" t="str">
        <f t="shared" si="392"/>
        <v/>
      </c>
      <c r="DK202" s="315" t="e">
        <f>IF($J202="",#N/A,SUM(DJ$4:DJ202))</f>
        <v>#N/A</v>
      </c>
      <c r="DL202" s="315" t="e">
        <f>IF($J202="",#N/A,SUM(DJ$4:DJ202,DH$4:DH202,DF$4:DF202))</f>
        <v>#N/A</v>
      </c>
      <c r="DM202" s="304" t="str">
        <f t="shared" si="393"/>
        <v/>
      </c>
      <c r="DN202" s="313" t="e">
        <f>IF($J202="",#N/A,SUM(DM$4:DM202))</f>
        <v>#N/A</v>
      </c>
      <c r="DO202" s="314" t="str">
        <f t="shared" si="394"/>
        <v/>
      </c>
      <c r="DP202" s="314" t="e">
        <f>IF($J202="",#N/A,SUM(DO$4:DO202))</f>
        <v>#N/A</v>
      </c>
      <c r="DQ202" s="315" t="str">
        <f t="shared" si="395"/>
        <v/>
      </c>
      <c r="DR202" s="315" t="e">
        <f>IF($J202="",#N/A,SUM(DQ$4:DQ202))</f>
        <v>#N/A</v>
      </c>
      <c r="DS202" s="315" t="e">
        <f>IF($J202="",#N/A,SUM(DQ$4:DQ202,DO$4:DO202,DM$4:DM202))</f>
        <v>#N/A</v>
      </c>
      <c r="DT202" s="304" t="str">
        <f t="shared" si="396"/>
        <v/>
      </c>
      <c r="DU202" s="313" t="e">
        <f>IF($J202="",#N/A,SUM(DT$4:DT202))</f>
        <v>#N/A</v>
      </c>
      <c r="DV202" s="314" t="str">
        <f t="shared" si="397"/>
        <v/>
      </c>
      <c r="DW202" s="314" t="e">
        <f>IF($J202="",#N/A,SUM(DV$4:DV202))</f>
        <v>#N/A</v>
      </c>
      <c r="DX202" s="315" t="str">
        <f t="shared" si="398"/>
        <v/>
      </c>
      <c r="DY202" s="315" t="e">
        <f>IF($J202="",#N/A,SUM(DX$4:DX202))</f>
        <v>#N/A</v>
      </c>
      <c r="DZ202" s="315" t="e">
        <f>IF($J202="",#N/A,SUM(DX$4:DX202,DV$4:DV202,DT$4:DT202))</f>
        <v>#N/A</v>
      </c>
      <c r="EA202" s="304" t="str">
        <f t="shared" si="399"/>
        <v/>
      </c>
      <c r="EB202" s="313" t="e">
        <f>IF($J202="",#N/A,SUM(EA$4:EA202))</f>
        <v>#N/A</v>
      </c>
      <c r="EC202" s="314" t="str">
        <f t="shared" si="400"/>
        <v/>
      </c>
      <c r="ED202" s="314" t="e">
        <f>IF($J202="",#N/A,SUM(EC$4:EC202))</f>
        <v>#N/A</v>
      </c>
      <c r="EE202" s="315" t="str">
        <f t="shared" si="401"/>
        <v/>
      </c>
      <c r="EF202" s="315" t="e">
        <f>IF($J202="",#N/A,SUM(EE$4:EE202))</f>
        <v>#N/A</v>
      </c>
      <c r="EG202" s="315" t="e">
        <f>IF($J202="",#N/A,SUM(EE$4:EE202,EC$4:EC202,EA$4:EA202))</f>
        <v>#N/A</v>
      </c>
      <c r="EH202" s="130">
        <f t="shared" si="402"/>
        <v>2.068965517241395</v>
      </c>
      <c r="EI202" s="63">
        <f>IF(EH202="",#N/A,SUM($EH$4:EH202))</f>
        <v>765.54213452416502</v>
      </c>
      <c r="EJ202" s="223" t="e">
        <f t="shared" si="403"/>
        <v>#N/A</v>
      </c>
      <c r="EK202" s="63" t="e">
        <f>IF($GZ202="",#N/A,SUM(EJ$4:EJ202))</f>
        <v>#N/A</v>
      </c>
      <c r="EL202" s="60" t="str">
        <f t="shared" si="435"/>
        <v/>
      </c>
      <c r="EM202" s="60" t="e">
        <f>IF(EL202="",NA(),SUM($EL$4:EL202))</f>
        <v>#N/A</v>
      </c>
      <c r="EN202" s="60" t="str">
        <f t="shared" si="404"/>
        <v/>
      </c>
      <c r="EO202" s="60" t="e">
        <f>IF(EN202="",NA(),SUM($EN$4:EN202))</f>
        <v>#N/A</v>
      </c>
      <c r="EP202" s="60" t="str">
        <f t="shared" si="405"/>
        <v/>
      </c>
      <c r="EQ202" s="60" t="e">
        <f>IF(EP202="",NA(),SUM($EP$4:EP202))</f>
        <v>#N/A</v>
      </c>
      <c r="ER202" s="60" t="str">
        <f t="shared" si="406"/>
        <v/>
      </c>
      <c r="ES202" s="60" t="e">
        <f>IF(ER202="",NA(),SUM($ER$4:ER202))</f>
        <v>#N/A</v>
      </c>
      <c r="ET202" s="60">
        <f t="shared" si="407"/>
        <v>8.6206896551724796E-2</v>
      </c>
      <c r="EU202" s="60">
        <f>IF(ET202="",NA(),SUM($ET$4:ET202))</f>
        <v>9.3354479578124092</v>
      </c>
      <c r="EV202" s="60" t="str">
        <f t="shared" si="408"/>
        <v/>
      </c>
      <c r="EW202" s="60" t="e">
        <f>IF(EV202="",NA(),SUM($EV$4:EV202))</f>
        <v>#N/A</v>
      </c>
      <c r="EX202" s="60" t="str">
        <f t="shared" si="409"/>
        <v/>
      </c>
      <c r="EY202" s="60" t="e">
        <f>IF(EX202="",NA(),SUM($EX$4:EX202))</f>
        <v>#N/A</v>
      </c>
      <c r="EZ202" s="60">
        <f t="shared" si="410"/>
        <v>8.6206896551724796E-2</v>
      </c>
      <c r="FA202" s="60">
        <f>IF(EZ202="",NA(),SUM($EZ$4:EZ202))</f>
        <v>6.3770553470311073</v>
      </c>
      <c r="FB202" s="246">
        <f t="shared" si="436"/>
        <v>1.3074712643678126</v>
      </c>
      <c r="FC202" s="246">
        <f>IF($FB202="",#N/A,SUM(FB$4:$FB202))</f>
        <v>1.6337091299875075</v>
      </c>
      <c r="FD202" s="60" t="str">
        <f t="shared" si="411"/>
        <v/>
      </c>
      <c r="FE202" s="60" t="e">
        <f>IF($FD202="",#N/A,SUM($FD$4:FD202))</f>
        <v>#N/A</v>
      </c>
      <c r="FF202" s="60" t="str">
        <f t="shared" si="412"/>
        <v/>
      </c>
      <c r="FG202" s="60" t="e">
        <f>IF($FF202="",#N/A,SUM($FF$4:FF202))</f>
        <v>#N/A</v>
      </c>
      <c r="FH202" s="60" t="str">
        <f t="shared" si="413"/>
        <v/>
      </c>
      <c r="FI202" s="60" t="e">
        <f>IF($FH202="",#N/A,SUM($FH$4:FH202))</f>
        <v>#N/A</v>
      </c>
      <c r="FJ202" s="60" t="str">
        <f t="shared" si="414"/>
        <v/>
      </c>
      <c r="FK202" s="60" t="e">
        <f>IF($FJ202="",#N/A,SUM($FJ$4:FJ202))</f>
        <v>#N/A</v>
      </c>
      <c r="FL202" s="60" t="str">
        <f t="shared" si="415"/>
        <v/>
      </c>
      <c r="FM202" s="60" t="e">
        <f>IF($FL202="",#N/A,SUM($FL$4:FL202))</f>
        <v>#N/A</v>
      </c>
      <c r="FN202" s="82">
        <f t="shared" si="416"/>
        <v>1.3936781609195374</v>
      </c>
      <c r="FO202" s="82">
        <f>IF($FN202="",#N/A,SUM(FN$4:$FN202))</f>
        <v>33.369834164829037</v>
      </c>
      <c r="FP202" s="82">
        <f t="shared" si="437"/>
        <v>8.6206896551724796E-2</v>
      </c>
      <c r="FQ202" s="246">
        <f>IF($EH202="",#N/A,SUM($FP$4:FP202))</f>
        <v>30.218333849919091</v>
      </c>
      <c r="FR202" s="82">
        <f>IFERROR(FQ202/COUNTA($J$4:J202),#N/A)</f>
        <v>0.15185092386894017</v>
      </c>
      <c r="FS202" s="82">
        <f t="shared" si="441"/>
        <v>0.24355574067202845</v>
      </c>
      <c r="FT202" s="82">
        <f t="shared" si="417"/>
        <v>0.28250185418478618</v>
      </c>
      <c r="FU202" s="273"/>
      <c r="FV202" s="57" t="str">
        <f t="shared" si="418"/>
        <v>Dwn</v>
      </c>
      <c r="FW202" s="57" t="s">
        <v>2733</v>
      </c>
      <c r="FX202" s="57" t="str">
        <f t="shared" si="419"/>
        <v/>
      </c>
      <c r="FY202" s="57" t="str">
        <f t="shared" si="420"/>
        <v/>
      </c>
      <c r="FZ202" s="57" t="str">
        <f t="shared" si="421"/>
        <v/>
      </c>
      <c r="GA202" s="57" t="str">
        <f t="shared" si="422"/>
        <v>Short</v>
      </c>
      <c r="GB202" s="57">
        <f t="shared" si="423"/>
        <v>1</v>
      </c>
      <c r="GC202" s="57" t="str">
        <f t="shared" si="424"/>
        <v/>
      </c>
      <c r="GD202" s="57" t="str">
        <f t="shared" si="425"/>
        <v/>
      </c>
      <c r="GE202" s="62">
        <f t="shared" si="339"/>
        <v>11.6</v>
      </c>
      <c r="GF202" s="62" t="s">
        <v>2780</v>
      </c>
      <c r="GG202" s="99">
        <f>400/I202</f>
        <v>34.482758620689658</v>
      </c>
      <c r="GH202" s="207">
        <f t="shared" si="426"/>
        <v>400</v>
      </c>
      <c r="GI202" s="99">
        <f t="shared" si="337"/>
        <v>34.482758620689658</v>
      </c>
      <c r="GJ202" s="98">
        <f>J202</f>
        <v>11.54</v>
      </c>
      <c r="GK202" s="63">
        <f t="shared" si="427"/>
        <v>2.068965517241395</v>
      </c>
      <c r="GL202" s="63">
        <f t="shared" si="340"/>
        <v>33.448275862068897</v>
      </c>
      <c r="GM202" s="82" t="str">
        <f t="shared" si="428"/>
        <v/>
      </c>
      <c r="GN202" s="82">
        <f>IF($GZ202="",#N/A,SUM(GM$4:GM202))</f>
        <v>3.9243430831165123</v>
      </c>
      <c r="GO202" s="82" t="str">
        <f t="shared" si="429"/>
        <v/>
      </c>
      <c r="GP202" s="82">
        <f>IF($GZ202="",#N/A,SUM(GO$4:GO202))</f>
        <v>9.8419544639707812</v>
      </c>
      <c r="GQ202" s="82">
        <f t="shared" si="430"/>
        <v>1.3936781609195374</v>
      </c>
      <c r="GR202" s="82">
        <f>IF($GZ202="",#N/A,SUM(GQ$4:GQ202))</f>
        <v>18.977699663299394</v>
      </c>
      <c r="GS202" s="63" t="str">
        <f t="shared" si="438"/>
        <v/>
      </c>
      <c r="GT202" s="63" t="e">
        <f>IF($GZ202="",#N/A,SUM(GS$4:GS202))</f>
        <v>#N/A</v>
      </c>
      <c r="GU202" s="63" t="str">
        <f t="shared" si="439"/>
        <v/>
      </c>
      <c r="GV202" s="63" t="e">
        <f>IF($GZ202="",#N/A,SUM(GU$4:GU202))</f>
        <v>#N/A</v>
      </c>
      <c r="GW202" s="63" t="e">
        <f t="shared" si="440"/>
        <v>#N/A</v>
      </c>
      <c r="GX202" s="63" t="e">
        <f>IF($GZ202="",#N/A,SUM(GW$4:GW202))</f>
        <v>#N/A</v>
      </c>
      <c r="GY202" s="63" t="e">
        <f>IF(EJ202="",#N/A,SUM($EJ$4:EJ202))</f>
        <v>#N/A</v>
      </c>
      <c r="GZ202" s="159">
        <v>10.63</v>
      </c>
      <c r="HA202" s="63">
        <f t="shared" si="431"/>
        <v>31.379310344827502</v>
      </c>
      <c r="HB202" s="62" t="s">
        <v>4970</v>
      </c>
      <c r="HC202" s="60">
        <f>IFERROR(VLOOKUP(E202,Expectancy!$P$4:$S$19,1+C202,FALSE),"")</f>
        <v>0.78642334455186147</v>
      </c>
      <c r="HD202" s="82" t="str">
        <f t="shared" si="432"/>
        <v/>
      </c>
      <c r="HE202" s="138" t="e">
        <f>IF(HD202="",#N/A,SUM($HD$4:HD202))</f>
        <v>#N/A</v>
      </c>
      <c r="HF202" s="85" t="e">
        <f>IF(HD202="",#N/A,IF(HB202="Skip",#N/A,SUM($HG$4:HG202)))</f>
        <v>#N/A</v>
      </c>
      <c r="HG202" s="62" t="str">
        <f t="shared" si="433"/>
        <v/>
      </c>
      <c r="HH202" s="82">
        <f t="shared" si="434"/>
        <v>1.3936781609195374</v>
      </c>
    </row>
    <row r="203" spans="1:216" x14ac:dyDescent="0.25">
      <c r="A203" s="57" t="s">
        <v>1672</v>
      </c>
      <c r="B203" s="58" t="s">
        <v>5201</v>
      </c>
      <c r="C203" s="386">
        <f t="shared" si="343"/>
        <v>2</v>
      </c>
      <c r="D203" s="372" t="str">
        <f>_xlfn.XLOOKUP(A203,[1]SP500!$A$2:$A$502,[1]SP500!$D$2:$D$502,"N")</f>
        <v>N</v>
      </c>
      <c r="E203" s="57" t="str">
        <f>_xlfn.XLOOKUP(A203,[1]SP500!$A$2:$A$655,[1]SP500!$B$2:$B$655)</f>
        <v>IGV</v>
      </c>
      <c r="F203" s="227">
        <v>45692</v>
      </c>
      <c r="G203" s="57" t="str">
        <f t="shared" si="344"/>
        <v>AMC</v>
      </c>
      <c r="H203" s="57" t="str">
        <f t="shared" si="345"/>
        <v>o</v>
      </c>
      <c r="I203" s="159">
        <v>46.84</v>
      </c>
      <c r="J203" s="159">
        <v>43.21</v>
      </c>
      <c r="K203" s="61">
        <f t="shared" si="346"/>
        <v>-7.7497865072587588E-2</v>
      </c>
      <c r="L203" s="87">
        <f t="shared" si="347"/>
        <v>30.999146029035046</v>
      </c>
      <c r="M203" s="214" t="e">
        <f t="shared" si="338"/>
        <v>#N/A</v>
      </c>
      <c r="N203" s="169" t="str">
        <f t="shared" si="348"/>
        <v/>
      </c>
      <c r="O203" s="169">
        <f>IF($J203="",#N/A,SUM($N$4:N203))</f>
        <v>307.94438262948194</v>
      </c>
      <c r="P203" s="174">
        <f t="shared" si="349"/>
        <v>30.999146029035046</v>
      </c>
      <c r="Q203" s="174">
        <f>IF($J203="",#N/A,SUM($P$4:P203))</f>
        <v>414.07776401603689</v>
      </c>
      <c r="R203" s="178" t="str">
        <f t="shared" si="350"/>
        <v/>
      </c>
      <c r="S203" s="178">
        <f>IF($J203="",#N/A,SUM($R$4:R203))</f>
        <v>74.519133907681123</v>
      </c>
      <c r="T203" s="290" t="str">
        <f t="shared" si="351"/>
        <v/>
      </c>
      <c r="U203" s="290">
        <f>IF($J203="",#N/A,SUM($T$4:T203))</f>
        <v>11.292495043304985</v>
      </c>
      <c r="V203" s="291">
        <f t="shared" si="352"/>
        <v>1.2916310845431269</v>
      </c>
      <c r="W203" s="291">
        <f>IF($J203="",#N/A,SUM($V$4:V203))</f>
        <v>17.31349767035293</v>
      </c>
      <c r="X203" s="292" t="str">
        <f t="shared" si="353"/>
        <v/>
      </c>
      <c r="Y203" s="292">
        <f>IF($J203="",#N/A,SUM($X$4:X203))</f>
        <v>2.9039722208042917</v>
      </c>
      <c r="Z203" s="304" t="str">
        <f t="shared" si="354"/>
        <v/>
      </c>
      <c r="AA203" s="313" t="e">
        <f>IF($J203="",#N/A,SUM(Z$4:Z203))</f>
        <v>#N/A</v>
      </c>
      <c r="AB203" s="314" t="str">
        <f t="shared" si="355"/>
        <v/>
      </c>
      <c r="AC203" s="314" t="e">
        <f>IF($J203="",#N/A,SUM(AB$4:AB203))</f>
        <v>#N/A</v>
      </c>
      <c r="AD203" s="315" t="str">
        <f t="shared" si="356"/>
        <v/>
      </c>
      <c r="AE203" s="315" t="e">
        <f>IF($J203="",#N/A,SUM(AD$4:AD203))</f>
        <v>#N/A</v>
      </c>
      <c r="AF203" s="315" t="e">
        <f>IF($J203="",#N/A,SUM(AD$4:AD203,AB$4:AB203,Z$4:Z203))</f>
        <v>#N/A</v>
      </c>
      <c r="AG203" s="304" t="str">
        <f t="shared" si="357"/>
        <v/>
      </c>
      <c r="AH203" s="313" t="e">
        <f>IF($J203="",#N/A,SUM(AG$4:AG203))</f>
        <v>#N/A</v>
      </c>
      <c r="AI203" s="314">
        <f t="shared" si="358"/>
        <v>1.2916310845431269</v>
      </c>
      <c r="AJ203" s="314" t="e">
        <f>IF($J203="",#N/A,SUM(AI$4:AI203))</f>
        <v>#N/A</v>
      </c>
      <c r="AK203" s="315" t="str">
        <f t="shared" si="359"/>
        <v/>
      </c>
      <c r="AL203" s="315" t="e">
        <f>IF($J203="",#N/A,SUM(AK$4:AK203))</f>
        <v>#N/A</v>
      </c>
      <c r="AM203" s="315" t="e">
        <f>IF($J203="",#N/A,SUM(AK$4:AK203,AI$4:AI203,AG$4:AG203))</f>
        <v>#N/A</v>
      </c>
      <c r="AN203" s="304" t="str">
        <f t="shared" si="360"/>
        <v/>
      </c>
      <c r="AO203" s="313" t="e">
        <f>IF($J203="",#N/A,SUM(AN$4:AN203))</f>
        <v>#N/A</v>
      </c>
      <c r="AP203" s="314" t="str">
        <f t="shared" si="361"/>
        <v/>
      </c>
      <c r="AQ203" s="314" t="e">
        <f>IF($J203="",#N/A,SUM(AP$4:AP203))</f>
        <v>#N/A</v>
      </c>
      <c r="AR203" s="315" t="str">
        <f t="shared" si="362"/>
        <v/>
      </c>
      <c r="AS203" s="315" t="e">
        <f>IF($J203="",#N/A,SUM(AR$4:AR203))</f>
        <v>#N/A</v>
      </c>
      <c r="AT203" s="315" t="e">
        <f>IF($J203="",#N/A,SUM(AR$4:AR203,AP$4:AP203,AN$4:AN203))</f>
        <v>#N/A</v>
      </c>
      <c r="AU203" s="304" t="str">
        <f t="shared" si="363"/>
        <v/>
      </c>
      <c r="AV203" s="313" t="e">
        <f>IF($J203="",#N/A,SUM(AU$4:AU203))</f>
        <v>#N/A</v>
      </c>
      <c r="AW203" s="314" t="str">
        <f t="shared" si="364"/>
        <v/>
      </c>
      <c r="AX203" s="314" t="e">
        <f>IF($J203="",#N/A,SUM(AW$4:AW203))</f>
        <v>#N/A</v>
      </c>
      <c r="AY203" s="315" t="str">
        <f t="shared" si="365"/>
        <v/>
      </c>
      <c r="AZ203" s="315" t="e">
        <f>IF($J203="",#N/A,SUM(AY$4:AY203))</f>
        <v>#N/A</v>
      </c>
      <c r="BA203" s="315" t="e">
        <f>IF($J203="",#N/A,SUM(AY$4:AY203,AW$4:AW203,AU$4:AU203))</f>
        <v>#N/A</v>
      </c>
      <c r="BB203" s="304" t="str">
        <f t="shared" si="366"/>
        <v/>
      </c>
      <c r="BC203" s="313" t="e">
        <f>IF($J203="",#N/A,SUM(BB$4:BB203))</f>
        <v>#N/A</v>
      </c>
      <c r="BD203" s="314" t="str">
        <f t="shared" si="367"/>
        <v/>
      </c>
      <c r="BE203" s="314" t="e">
        <f>IF($J203="",#N/A,SUM(BD$4:BD203))</f>
        <v>#N/A</v>
      </c>
      <c r="BF203" s="315" t="str">
        <f t="shared" si="368"/>
        <v/>
      </c>
      <c r="BG203" s="315" t="e">
        <f>IF($J203="",#N/A,SUM(BF$4:BF203))</f>
        <v>#N/A</v>
      </c>
      <c r="BH203" s="315" t="e">
        <f>IF($J203="",#N/A,SUM(BF$4:BF203,BD$4:BD203,BB$4:BB203))</f>
        <v>#N/A</v>
      </c>
      <c r="BI203" s="304" t="str">
        <f t="shared" si="369"/>
        <v/>
      </c>
      <c r="BJ203" s="313" t="e">
        <f>IF($J203="",#N/A,SUM(BI$4:BI203))</f>
        <v>#N/A</v>
      </c>
      <c r="BK203" s="314" t="str">
        <f t="shared" si="370"/>
        <v/>
      </c>
      <c r="BL203" s="314" t="e">
        <f>IF($J203="",#N/A,SUM(BK$4:BK203))</f>
        <v>#N/A</v>
      </c>
      <c r="BM203" s="315" t="str">
        <f t="shared" si="371"/>
        <v/>
      </c>
      <c r="BN203" s="315" t="e">
        <f>IF($J203="",#N/A,SUM(BM$4:BM203))</f>
        <v>#N/A</v>
      </c>
      <c r="BO203" s="315" t="e">
        <f>IF($J203="",#N/A,SUM(BM$4:BM203,BK$4:BK203,BI$4:BI203))</f>
        <v>#N/A</v>
      </c>
      <c r="BP203" s="304" t="str">
        <f t="shared" si="372"/>
        <v/>
      </c>
      <c r="BQ203" s="313" t="e">
        <f>IF($J203="",#N/A,SUM(BP$4:BP203))</f>
        <v>#N/A</v>
      </c>
      <c r="BR203" s="314" t="str">
        <f t="shared" si="373"/>
        <v/>
      </c>
      <c r="BS203" s="314" t="e">
        <f>IF($J203="",#N/A,SUM(BR$4:BR203))</f>
        <v>#N/A</v>
      </c>
      <c r="BT203" s="315" t="str">
        <f t="shared" si="374"/>
        <v/>
      </c>
      <c r="BU203" s="315" t="e">
        <f>IF($J203="",#N/A,SUM(BT$4:BT203))</f>
        <v>#N/A</v>
      </c>
      <c r="BV203" s="315" t="e">
        <f>IF($J203="",#N/A,SUM(BT$4:BT203,BR$4:BR203,BP$4:BP203))</f>
        <v>#N/A</v>
      </c>
      <c r="BW203" s="304" t="str">
        <f t="shared" si="375"/>
        <v/>
      </c>
      <c r="BX203" s="313" t="e">
        <f>IF($J203="",#N/A,SUM(BW$4:BW203))</f>
        <v>#N/A</v>
      </c>
      <c r="BY203" s="314" t="str">
        <f t="shared" si="376"/>
        <v/>
      </c>
      <c r="BZ203" s="314" t="e">
        <f>IF($J203="",#N/A,SUM(BY$4:BY203))</f>
        <v>#N/A</v>
      </c>
      <c r="CA203" s="315" t="str">
        <f t="shared" si="377"/>
        <v/>
      </c>
      <c r="CB203" s="315" t="e">
        <f>IF($J203="",#N/A,SUM(CA$4:CA203))</f>
        <v>#N/A</v>
      </c>
      <c r="CC203" s="315" t="e">
        <f>IF($J203="",#N/A,SUM(CA$4:CA203,BY$4:BY203,BW$4:BW203))</f>
        <v>#N/A</v>
      </c>
      <c r="CD203" s="304" t="str">
        <f t="shared" si="378"/>
        <v/>
      </c>
      <c r="CE203" s="313" t="e">
        <f>IF($J203="",#N/A,SUM(CD$4:CD203))</f>
        <v>#N/A</v>
      </c>
      <c r="CF203" s="314" t="str">
        <f t="shared" si="379"/>
        <v/>
      </c>
      <c r="CG203" s="314" t="e">
        <f>IF($J203="",#N/A,SUM(CF$4:CF203))</f>
        <v>#N/A</v>
      </c>
      <c r="CH203" s="315" t="str">
        <f t="shared" si="380"/>
        <v/>
      </c>
      <c r="CI203" s="315" t="e">
        <f>IF($J203="",#N/A,SUM(CH$4:CH203))</f>
        <v>#N/A</v>
      </c>
      <c r="CJ203" s="315" t="e">
        <f>IF($J203="",#N/A,SUM(CH$4:CH203,CF$4:CF203,CD$4:CD203))</f>
        <v>#N/A</v>
      </c>
      <c r="CK203" s="304" t="str">
        <f t="shared" si="381"/>
        <v/>
      </c>
      <c r="CL203" s="313" t="e">
        <f>IF($J203="",#N/A,SUM(CK$4:CK203))</f>
        <v>#N/A</v>
      </c>
      <c r="CM203" s="314" t="str">
        <f t="shared" si="382"/>
        <v/>
      </c>
      <c r="CN203" s="314" t="e">
        <f>IF($J203="",#N/A,SUM(CM$4:CM203))</f>
        <v>#N/A</v>
      </c>
      <c r="CO203" s="315" t="str">
        <f t="shared" si="383"/>
        <v/>
      </c>
      <c r="CP203" s="315" t="e">
        <f>IF($J203="",#N/A,SUM(CO$4:CO203))</f>
        <v>#N/A</v>
      </c>
      <c r="CQ203" s="315" t="e">
        <f>IF($J203="",#N/A,SUM(CO$4:CO203,CM$4:CM203,CK$4:CK203))</f>
        <v>#N/A</v>
      </c>
      <c r="CR203" s="304" t="str">
        <f t="shared" si="384"/>
        <v/>
      </c>
      <c r="CS203" s="313" t="e">
        <f>IF($J203="",#N/A,SUM(CR$4:CR203))</f>
        <v>#N/A</v>
      </c>
      <c r="CT203" s="314" t="str">
        <f t="shared" si="385"/>
        <v/>
      </c>
      <c r="CU203" s="314" t="e">
        <f>IF($J203="",#N/A,SUM(CT$4:CT203))</f>
        <v>#N/A</v>
      </c>
      <c r="CV203" s="315" t="str">
        <f t="shared" si="386"/>
        <v/>
      </c>
      <c r="CW203" s="315" t="e">
        <f>IF($J203="",#N/A,SUM(CV$4:CV203))</f>
        <v>#N/A</v>
      </c>
      <c r="CX203" s="315" t="e">
        <f>IF($J203="",#N/A,SUM(CV$4:CV203,CT$4:CT203,CR$4:CR203))</f>
        <v>#N/A</v>
      </c>
      <c r="CY203" s="304" t="str">
        <f t="shared" si="387"/>
        <v/>
      </c>
      <c r="CZ203" s="313" t="e">
        <f>IF($J203="",#N/A,SUM(CY$4:CY203))</f>
        <v>#N/A</v>
      </c>
      <c r="DA203" s="314" t="str">
        <f t="shared" si="388"/>
        <v/>
      </c>
      <c r="DB203" s="314" t="e">
        <f>IF($J203="",#N/A,SUM(DA$4:DA203))</f>
        <v>#N/A</v>
      </c>
      <c r="DC203" s="315" t="str">
        <f t="shared" si="389"/>
        <v/>
      </c>
      <c r="DD203" s="315" t="e">
        <f>IF($J203="",#N/A,SUM(DC$4:DC203))</f>
        <v>#N/A</v>
      </c>
      <c r="DE203" s="315" t="e">
        <f>IF($J203="",#N/A,SUM(DC$4:DC203,DA$4:DA203,CY$4:CY203))</f>
        <v>#N/A</v>
      </c>
      <c r="DF203" s="304" t="str">
        <f t="shared" si="390"/>
        <v/>
      </c>
      <c r="DG203" s="313" t="e">
        <f>IF($J203="",#N/A,SUM(DF$4:DF203))</f>
        <v>#N/A</v>
      </c>
      <c r="DH203" s="314" t="str">
        <f t="shared" si="391"/>
        <v/>
      </c>
      <c r="DI203" s="314" t="e">
        <f>IF($J203="",#N/A,SUM(DH$4:DH203))</f>
        <v>#N/A</v>
      </c>
      <c r="DJ203" s="315" t="str">
        <f t="shared" si="392"/>
        <v/>
      </c>
      <c r="DK203" s="315" t="e">
        <f>IF($J203="",#N/A,SUM(DJ$4:DJ203))</f>
        <v>#N/A</v>
      </c>
      <c r="DL203" s="315" t="e">
        <f>IF($J203="",#N/A,SUM(DJ$4:DJ203,DH$4:DH203,DF$4:DF203))</f>
        <v>#N/A</v>
      </c>
      <c r="DM203" s="304" t="str">
        <f t="shared" si="393"/>
        <v/>
      </c>
      <c r="DN203" s="313" t="e">
        <f>IF($J203="",#N/A,SUM(DM$4:DM203))</f>
        <v>#N/A</v>
      </c>
      <c r="DO203" s="314" t="str">
        <f t="shared" si="394"/>
        <v/>
      </c>
      <c r="DP203" s="314" t="e">
        <f>IF($J203="",#N/A,SUM(DO$4:DO203))</f>
        <v>#N/A</v>
      </c>
      <c r="DQ203" s="315" t="str">
        <f t="shared" si="395"/>
        <v/>
      </c>
      <c r="DR203" s="315" t="e">
        <f>IF($J203="",#N/A,SUM(DQ$4:DQ203))</f>
        <v>#N/A</v>
      </c>
      <c r="DS203" s="315" t="e">
        <f>IF($J203="",#N/A,SUM(DQ$4:DQ203,DO$4:DO203,DM$4:DM203))</f>
        <v>#N/A</v>
      </c>
      <c r="DT203" s="304" t="str">
        <f t="shared" si="396"/>
        <v/>
      </c>
      <c r="DU203" s="313" t="e">
        <f>IF($J203="",#N/A,SUM(DT$4:DT203))</f>
        <v>#N/A</v>
      </c>
      <c r="DV203" s="314" t="str">
        <f t="shared" si="397"/>
        <v/>
      </c>
      <c r="DW203" s="314" t="e">
        <f>IF($J203="",#N/A,SUM(DV$4:DV203))</f>
        <v>#N/A</v>
      </c>
      <c r="DX203" s="315" t="str">
        <f t="shared" si="398"/>
        <v/>
      </c>
      <c r="DY203" s="315" t="e">
        <f>IF($J203="",#N/A,SUM(DX$4:DX203))</f>
        <v>#N/A</v>
      </c>
      <c r="DZ203" s="315" t="e">
        <f>IF($J203="",#N/A,SUM(DX$4:DX203,DV$4:DV203,DT$4:DT203))</f>
        <v>#N/A</v>
      </c>
      <c r="EA203" s="304" t="str">
        <f t="shared" si="399"/>
        <v/>
      </c>
      <c r="EB203" s="313" t="e">
        <f>IF($J203="",#N/A,SUM(EA$4:EA203))</f>
        <v>#N/A</v>
      </c>
      <c r="EC203" s="314" t="str">
        <f t="shared" si="400"/>
        <v/>
      </c>
      <c r="ED203" s="314" t="e">
        <f>IF($J203="",#N/A,SUM(EC$4:EC203))</f>
        <v>#N/A</v>
      </c>
      <c r="EE203" s="315" t="str">
        <f t="shared" si="401"/>
        <v/>
      </c>
      <c r="EF203" s="315" t="e">
        <f>IF($J203="",#N/A,SUM(EE$4:EE203))</f>
        <v>#N/A</v>
      </c>
      <c r="EG203" s="315" t="e">
        <f>IF($J203="",#N/A,SUM(EE$4:EE203,EC$4:EC203,EA$4:EA203))</f>
        <v>#N/A</v>
      </c>
      <c r="EH203" s="130">
        <f t="shared" si="402"/>
        <v>30.999146029035046</v>
      </c>
      <c r="EI203" s="63">
        <f>IF(EH203="",#N/A,SUM($EH$4:EH203))</f>
        <v>796.54128055320007</v>
      </c>
      <c r="EJ203" s="223" t="e">
        <f t="shared" si="403"/>
        <v>#N/A</v>
      </c>
      <c r="EK203" s="63" t="e">
        <f>IF($GZ203="",#N/A,SUM(EJ$4:EJ203))</f>
        <v>#N/A</v>
      </c>
      <c r="EL203" s="60" t="str">
        <f t="shared" si="435"/>
        <v/>
      </c>
      <c r="EM203" s="60" t="e">
        <f>IF(EL203="",NA(),SUM($EL$4:EL203))</f>
        <v>#N/A</v>
      </c>
      <c r="EN203" s="60" t="str">
        <f t="shared" si="404"/>
        <v/>
      </c>
      <c r="EO203" s="60" t="e">
        <f>IF(EN203="",NA(),SUM($EN$4:EN203))</f>
        <v>#N/A</v>
      </c>
      <c r="EP203" s="60" t="str">
        <f t="shared" si="405"/>
        <v/>
      </c>
      <c r="EQ203" s="60" t="e">
        <f>IF(EP203="",NA(),SUM($EP$4:EP203))</f>
        <v>#N/A</v>
      </c>
      <c r="ER203" s="60" t="str">
        <f t="shared" si="406"/>
        <v/>
      </c>
      <c r="ES203" s="60" t="e">
        <f>IF(ER203="",NA(),SUM($ER$4:ER203))</f>
        <v>#N/A</v>
      </c>
      <c r="ET203" s="60">
        <f t="shared" si="407"/>
        <v>1.2916310845431269</v>
      </c>
      <c r="EU203" s="60">
        <f>IF(ET203="",NA(),SUM($ET$4:ET203))</f>
        <v>10.627079042355536</v>
      </c>
      <c r="EV203" s="60" t="str">
        <f t="shared" si="408"/>
        <v/>
      </c>
      <c r="EW203" s="60" t="e">
        <f>IF(EV203="",NA(),SUM($EV$4:EV203))</f>
        <v>#N/A</v>
      </c>
      <c r="EX203" s="60" t="str">
        <f t="shared" si="409"/>
        <v/>
      </c>
      <c r="EY203" s="60" t="e">
        <f>IF(EX203="",NA(),SUM($EX$4:EX203))</f>
        <v>#N/A</v>
      </c>
      <c r="EZ203" s="60">
        <f t="shared" si="410"/>
        <v>1.2916310845431269</v>
      </c>
      <c r="FA203" s="60">
        <f>IF(EZ203="",NA(),SUM($EZ$4:EZ203))</f>
        <v>7.6686864315742342</v>
      </c>
      <c r="FB203" s="246">
        <f t="shared" si="436"/>
        <v>-5.6931397665813677E-2</v>
      </c>
      <c r="FC203" s="246">
        <f>IF($FB203="",#N/A,SUM(FB$4:$FB203))</f>
        <v>1.5767777323216938</v>
      </c>
      <c r="FD203" s="60" t="str">
        <f t="shared" si="411"/>
        <v/>
      </c>
      <c r="FE203" s="60" t="e">
        <f>IF($FD203="",#N/A,SUM($FD$4:FD203))</f>
        <v>#N/A</v>
      </c>
      <c r="FF203" s="60" t="str">
        <f t="shared" si="412"/>
        <v/>
      </c>
      <c r="FG203" s="60" t="e">
        <f>IF($FF203="",#N/A,SUM($FF$4:FF203))</f>
        <v>#N/A</v>
      </c>
      <c r="FH203" s="60" t="str">
        <f t="shared" si="413"/>
        <v/>
      </c>
      <c r="FI203" s="60" t="e">
        <f>IF($FH203="",#N/A,SUM($FH$4:FH203))</f>
        <v>#N/A</v>
      </c>
      <c r="FJ203" s="60" t="str">
        <f t="shared" si="414"/>
        <v/>
      </c>
      <c r="FK203" s="60" t="e">
        <f>IF($FJ203="",#N/A,SUM($FJ$4:FJ203))</f>
        <v>#N/A</v>
      </c>
      <c r="FL203" s="60" t="str">
        <f t="shared" si="415"/>
        <v/>
      </c>
      <c r="FM203" s="60" t="e">
        <f>IF($FL203="",#N/A,SUM($FL$4:FL203))</f>
        <v>#N/A</v>
      </c>
      <c r="FN203" s="82">
        <f t="shared" si="416"/>
        <v>1.2346996868773132</v>
      </c>
      <c r="FO203" s="82">
        <f>IF($FN203="",#N/A,SUM(FN$4:$FN203))</f>
        <v>34.60453385170635</v>
      </c>
      <c r="FP203" s="82">
        <f t="shared" si="437"/>
        <v>1.2916310845431269</v>
      </c>
      <c r="FQ203" s="246">
        <f>IF($EH203="",#N/A,SUM($FP$4:FP203))</f>
        <v>31.509964934462218</v>
      </c>
      <c r="FR203" s="82">
        <f>IFERROR(FQ203/COUNTA($J$4:J203),#N/A)</f>
        <v>0.1575498246723111</v>
      </c>
      <c r="FS203" s="82">
        <f t="shared" si="441"/>
        <v>0.28420608496414573</v>
      </c>
      <c r="FT203" s="82">
        <f t="shared" si="417"/>
        <v>0.33105282370405381</v>
      </c>
      <c r="FU203" s="273"/>
      <c r="FV203" s="57" t="str">
        <f t="shared" si="418"/>
        <v>Dwn</v>
      </c>
      <c r="FW203" s="57" t="s">
        <v>2733</v>
      </c>
      <c r="FX203" s="57" t="str">
        <f t="shared" si="419"/>
        <v/>
      </c>
      <c r="FY203" s="57" t="str">
        <f t="shared" si="420"/>
        <v/>
      </c>
      <c r="FZ203" s="57" t="str">
        <f t="shared" si="421"/>
        <v/>
      </c>
      <c r="GA203" s="57" t="str">
        <f t="shared" si="422"/>
        <v>Short</v>
      </c>
      <c r="GB203" s="57">
        <f t="shared" si="423"/>
        <v>1</v>
      </c>
      <c r="GC203" s="57" t="str">
        <f t="shared" si="424"/>
        <v/>
      </c>
      <c r="GD203" s="57" t="str">
        <f t="shared" si="425"/>
        <v/>
      </c>
      <c r="GE203" s="62">
        <f t="shared" si="339"/>
        <v>46.84</v>
      </c>
      <c r="GF203" s="62" t="s">
        <v>2780</v>
      </c>
      <c r="GG203" s="99">
        <f>400/I203</f>
        <v>8.5397096498719041</v>
      </c>
      <c r="GH203" s="207">
        <f t="shared" si="426"/>
        <v>400</v>
      </c>
      <c r="GI203" s="99">
        <f t="shared" si="337"/>
        <v>8.5397096498719041</v>
      </c>
      <c r="GJ203" s="98">
        <f>J203</f>
        <v>43.21</v>
      </c>
      <c r="GK203" s="63">
        <f t="shared" si="427"/>
        <v>30.999146029035046</v>
      </c>
      <c r="GL203" s="63">
        <f t="shared" si="340"/>
        <v>29.632792485055518</v>
      </c>
      <c r="GM203" s="82" t="str">
        <f t="shared" si="428"/>
        <v/>
      </c>
      <c r="GN203" s="82">
        <f>IF($GZ203="",#N/A,SUM(GM$4:GM203))</f>
        <v>3.9243430831165123</v>
      </c>
      <c r="GO203" s="82" t="str">
        <f t="shared" si="429"/>
        <v/>
      </c>
      <c r="GP203" s="82">
        <f>IF($GZ203="",#N/A,SUM(GO$4:GO203))</f>
        <v>9.8419544639707812</v>
      </c>
      <c r="GQ203" s="82">
        <f t="shared" si="430"/>
        <v>1.2346996868773132</v>
      </c>
      <c r="GR203" s="82">
        <f>IF($GZ203="",#N/A,SUM(GQ$4:GQ203))</f>
        <v>20.212399350176707</v>
      </c>
      <c r="GS203" s="63" t="str">
        <f t="shared" si="438"/>
        <v/>
      </c>
      <c r="GT203" s="63" t="e">
        <f>IF($GZ203="",#N/A,SUM(GS$4:GS203))</f>
        <v>#N/A</v>
      </c>
      <c r="GU203" s="63" t="str">
        <f t="shared" si="439"/>
        <v/>
      </c>
      <c r="GV203" s="63" t="e">
        <f>IF($GZ203="",#N/A,SUM(GU$4:GU203))</f>
        <v>#N/A</v>
      </c>
      <c r="GW203" s="63" t="e">
        <f t="shared" si="440"/>
        <v>#N/A</v>
      </c>
      <c r="GX203" s="63" t="e">
        <f>IF($GZ203="",#N/A,SUM(GW$4:GW203))</f>
        <v>#N/A</v>
      </c>
      <c r="GY203" s="63" t="e">
        <f>IF(EJ203="",#N/A,SUM($EJ$4:EJ203))</f>
        <v>#N/A</v>
      </c>
      <c r="GZ203" s="159">
        <v>43.37</v>
      </c>
      <c r="HA203" s="63">
        <f t="shared" si="431"/>
        <v>-1.3663535439795282</v>
      </c>
      <c r="HB203" s="62" t="s">
        <v>4970</v>
      </c>
      <c r="HC203" s="60">
        <f>IFERROR(VLOOKUP(E203,Expectancy!$P$4:$S$19,1+C203,FALSE),"")</f>
        <v>0.78642334455186147</v>
      </c>
      <c r="HD203" s="82" t="str">
        <f t="shared" si="432"/>
        <v/>
      </c>
      <c r="HE203" s="138" t="e">
        <f>IF(HD203="",#N/A,SUM($HD$4:HD203))</f>
        <v>#N/A</v>
      </c>
      <c r="HF203" s="85" t="e">
        <f>IF(HD203="",#N/A,IF(HB203="Skip",#N/A,SUM($HG$4:HG203)))</f>
        <v>#N/A</v>
      </c>
      <c r="HG203" s="62" t="str">
        <f t="shared" si="433"/>
        <v/>
      </c>
      <c r="HH203" s="82">
        <f t="shared" si="434"/>
        <v>1.2346996868773132</v>
      </c>
    </row>
    <row r="204" spans="1:216" x14ac:dyDescent="0.25">
      <c r="A204" s="57" t="s">
        <v>84</v>
      </c>
      <c r="B204" s="58" t="s">
        <v>5201</v>
      </c>
      <c r="C204" s="386">
        <f t="shared" si="343"/>
        <v>1</v>
      </c>
      <c r="D204" s="372" t="str">
        <f>_xlfn.XLOOKUP(A204,[1]SP500!$A$2:$A$502,[1]SP500!$D$2:$D$502,"N")</f>
        <v>N</v>
      </c>
      <c r="E204" s="57" t="str">
        <f>_xlfn.XLOOKUP(A204,[1]SP500!$A$2:$A$655,[1]SP500!$B$2:$B$655)</f>
        <v>IGV</v>
      </c>
      <c r="F204" s="227">
        <v>45692</v>
      </c>
      <c r="G204" s="57" t="str">
        <f t="shared" si="344"/>
        <v>AMC</v>
      </c>
      <c r="H204" s="57" t="str">
        <f t="shared" si="345"/>
        <v>o</v>
      </c>
      <c r="I204" s="159">
        <v>73.510000000000005</v>
      </c>
      <c r="J204" s="158">
        <v>65</v>
      </c>
      <c r="K204" s="61">
        <f t="shared" si="346"/>
        <v>-0.11576656237246639</v>
      </c>
      <c r="L204" s="87">
        <f t="shared" si="347"/>
        <v>-46.306624948986553</v>
      </c>
      <c r="M204" s="214" t="e">
        <f t="shared" si="338"/>
        <v>#N/A</v>
      </c>
      <c r="N204" s="169">
        <f t="shared" si="348"/>
        <v>-46.306624948986553</v>
      </c>
      <c r="O204" s="169">
        <f>IF($J204="",#N/A,SUM($N$4:N204))</f>
        <v>261.63775768049538</v>
      </c>
      <c r="P204" s="174" t="str">
        <f t="shared" si="349"/>
        <v/>
      </c>
      <c r="Q204" s="174">
        <f>IF($J204="",#N/A,SUM($P$4:P204))</f>
        <v>414.07776401603689</v>
      </c>
      <c r="R204" s="178" t="str">
        <f t="shared" si="350"/>
        <v/>
      </c>
      <c r="S204" s="178">
        <f>IF($J204="",#N/A,SUM($R$4:R204))</f>
        <v>74.519133907681123</v>
      </c>
      <c r="T204" s="290">
        <f t="shared" si="351"/>
        <v>-1.929442706207773</v>
      </c>
      <c r="U204" s="290">
        <f>IF($J204="",#N/A,SUM($T$4:T204))</f>
        <v>9.3630523370972121</v>
      </c>
      <c r="V204" s="291" t="str">
        <f t="shared" si="352"/>
        <v/>
      </c>
      <c r="W204" s="291">
        <f>IF($J204="",#N/A,SUM($V$4:V204))</f>
        <v>17.31349767035293</v>
      </c>
      <c r="X204" s="292" t="str">
        <f t="shared" si="353"/>
        <v/>
      </c>
      <c r="Y204" s="292">
        <f>IF($J204="",#N/A,SUM($X$4:X204))</f>
        <v>2.9039722208042917</v>
      </c>
      <c r="Z204" s="304" t="str">
        <f t="shared" si="354"/>
        <v/>
      </c>
      <c r="AA204" s="313" t="e">
        <f>IF($J204="",#N/A,SUM(Z$4:Z204))</f>
        <v>#N/A</v>
      </c>
      <c r="AB204" s="314" t="str">
        <f t="shared" si="355"/>
        <v/>
      </c>
      <c r="AC204" s="314" t="e">
        <f>IF($J204="",#N/A,SUM(AB$4:AB204))</f>
        <v>#N/A</v>
      </c>
      <c r="AD204" s="315" t="str">
        <f t="shared" si="356"/>
        <v/>
      </c>
      <c r="AE204" s="315" t="e">
        <f>IF($J204="",#N/A,SUM(AD$4:AD204))</f>
        <v>#N/A</v>
      </c>
      <c r="AF204" s="315" t="e">
        <f>IF($J204="",#N/A,SUM(AD$4:AD204,AB$4:AB204,Z$4:Z204))</f>
        <v>#N/A</v>
      </c>
      <c r="AG204" s="304">
        <f t="shared" si="357"/>
        <v>-1.929442706207773</v>
      </c>
      <c r="AH204" s="313" t="e">
        <f>IF($J204="",#N/A,SUM(AG$4:AG204))</f>
        <v>#N/A</v>
      </c>
      <c r="AI204" s="314" t="str">
        <f t="shared" si="358"/>
        <v/>
      </c>
      <c r="AJ204" s="314" t="e">
        <f>IF($J204="",#N/A,SUM(AI$4:AI204))</f>
        <v>#N/A</v>
      </c>
      <c r="AK204" s="315" t="str">
        <f t="shared" si="359"/>
        <v/>
      </c>
      <c r="AL204" s="315" t="e">
        <f>IF($J204="",#N/A,SUM(AK$4:AK204))</f>
        <v>#N/A</v>
      </c>
      <c r="AM204" s="315" t="e">
        <f>IF($J204="",#N/A,SUM(AK$4:AK204,AI$4:AI204,AG$4:AG204))</f>
        <v>#N/A</v>
      </c>
      <c r="AN204" s="304" t="str">
        <f t="shared" si="360"/>
        <v/>
      </c>
      <c r="AO204" s="313" t="e">
        <f>IF($J204="",#N/A,SUM(AN$4:AN204))</f>
        <v>#N/A</v>
      </c>
      <c r="AP204" s="314" t="str">
        <f t="shared" si="361"/>
        <v/>
      </c>
      <c r="AQ204" s="314" t="e">
        <f>IF($J204="",#N/A,SUM(AP$4:AP204))</f>
        <v>#N/A</v>
      </c>
      <c r="AR204" s="315" t="str">
        <f t="shared" si="362"/>
        <v/>
      </c>
      <c r="AS204" s="315" t="e">
        <f>IF($J204="",#N/A,SUM(AR$4:AR204))</f>
        <v>#N/A</v>
      </c>
      <c r="AT204" s="315" t="e">
        <f>IF($J204="",#N/A,SUM(AR$4:AR204,AP$4:AP204,AN$4:AN204))</f>
        <v>#N/A</v>
      </c>
      <c r="AU204" s="304" t="str">
        <f t="shared" si="363"/>
        <v/>
      </c>
      <c r="AV204" s="313" t="e">
        <f>IF($J204="",#N/A,SUM(AU$4:AU204))</f>
        <v>#N/A</v>
      </c>
      <c r="AW204" s="314" t="str">
        <f t="shared" si="364"/>
        <v/>
      </c>
      <c r="AX204" s="314" t="e">
        <f>IF($J204="",#N/A,SUM(AW$4:AW204))</f>
        <v>#N/A</v>
      </c>
      <c r="AY204" s="315" t="str">
        <f t="shared" si="365"/>
        <v/>
      </c>
      <c r="AZ204" s="315" t="e">
        <f>IF($J204="",#N/A,SUM(AY$4:AY204))</f>
        <v>#N/A</v>
      </c>
      <c r="BA204" s="315" t="e">
        <f>IF($J204="",#N/A,SUM(AY$4:AY204,AW$4:AW204,AU$4:AU204))</f>
        <v>#N/A</v>
      </c>
      <c r="BB204" s="304" t="str">
        <f t="shared" si="366"/>
        <v/>
      </c>
      <c r="BC204" s="313" t="e">
        <f>IF($J204="",#N/A,SUM(BB$4:BB204))</f>
        <v>#N/A</v>
      </c>
      <c r="BD204" s="314" t="str">
        <f t="shared" si="367"/>
        <v/>
      </c>
      <c r="BE204" s="314" t="e">
        <f>IF($J204="",#N/A,SUM(BD$4:BD204))</f>
        <v>#N/A</v>
      </c>
      <c r="BF204" s="315" t="str">
        <f t="shared" si="368"/>
        <v/>
      </c>
      <c r="BG204" s="315" t="e">
        <f>IF($J204="",#N/A,SUM(BF$4:BF204))</f>
        <v>#N/A</v>
      </c>
      <c r="BH204" s="315" t="e">
        <f>IF($J204="",#N/A,SUM(BF$4:BF204,BD$4:BD204,BB$4:BB204))</f>
        <v>#N/A</v>
      </c>
      <c r="BI204" s="304" t="str">
        <f t="shared" si="369"/>
        <v/>
      </c>
      <c r="BJ204" s="313" t="e">
        <f>IF($J204="",#N/A,SUM(BI$4:BI204))</f>
        <v>#N/A</v>
      </c>
      <c r="BK204" s="314" t="str">
        <f t="shared" si="370"/>
        <v/>
      </c>
      <c r="BL204" s="314" t="e">
        <f>IF($J204="",#N/A,SUM(BK$4:BK204))</f>
        <v>#N/A</v>
      </c>
      <c r="BM204" s="315" t="str">
        <f t="shared" si="371"/>
        <v/>
      </c>
      <c r="BN204" s="315" t="e">
        <f>IF($J204="",#N/A,SUM(BM$4:BM204))</f>
        <v>#N/A</v>
      </c>
      <c r="BO204" s="315" t="e">
        <f>IF($J204="",#N/A,SUM(BM$4:BM204,BK$4:BK204,BI$4:BI204))</f>
        <v>#N/A</v>
      </c>
      <c r="BP204" s="304" t="str">
        <f t="shared" si="372"/>
        <v/>
      </c>
      <c r="BQ204" s="313" t="e">
        <f>IF($J204="",#N/A,SUM(BP$4:BP204))</f>
        <v>#N/A</v>
      </c>
      <c r="BR204" s="314" t="str">
        <f t="shared" si="373"/>
        <v/>
      </c>
      <c r="BS204" s="314" t="e">
        <f>IF($J204="",#N/A,SUM(BR$4:BR204))</f>
        <v>#N/A</v>
      </c>
      <c r="BT204" s="315" t="str">
        <f t="shared" si="374"/>
        <v/>
      </c>
      <c r="BU204" s="315" t="e">
        <f>IF($J204="",#N/A,SUM(BT$4:BT204))</f>
        <v>#N/A</v>
      </c>
      <c r="BV204" s="315" t="e">
        <f>IF($J204="",#N/A,SUM(BT$4:BT204,BR$4:BR204,BP$4:BP204))</f>
        <v>#N/A</v>
      </c>
      <c r="BW204" s="304" t="str">
        <f t="shared" si="375"/>
        <v/>
      </c>
      <c r="BX204" s="313" t="e">
        <f>IF($J204="",#N/A,SUM(BW$4:BW204))</f>
        <v>#N/A</v>
      </c>
      <c r="BY204" s="314" t="str">
        <f t="shared" si="376"/>
        <v/>
      </c>
      <c r="BZ204" s="314" t="e">
        <f>IF($J204="",#N/A,SUM(BY$4:BY204))</f>
        <v>#N/A</v>
      </c>
      <c r="CA204" s="315" t="str">
        <f t="shared" si="377"/>
        <v/>
      </c>
      <c r="CB204" s="315" t="e">
        <f>IF($J204="",#N/A,SUM(CA$4:CA204))</f>
        <v>#N/A</v>
      </c>
      <c r="CC204" s="315" t="e">
        <f>IF($J204="",#N/A,SUM(CA$4:CA204,BY$4:BY204,BW$4:BW204))</f>
        <v>#N/A</v>
      </c>
      <c r="CD204" s="304" t="str">
        <f t="shared" si="378"/>
        <v/>
      </c>
      <c r="CE204" s="313" t="e">
        <f>IF($J204="",#N/A,SUM(CD$4:CD204))</f>
        <v>#N/A</v>
      </c>
      <c r="CF204" s="314" t="str">
        <f t="shared" si="379"/>
        <v/>
      </c>
      <c r="CG204" s="314" t="e">
        <f>IF($J204="",#N/A,SUM(CF$4:CF204))</f>
        <v>#N/A</v>
      </c>
      <c r="CH204" s="315" t="str">
        <f t="shared" si="380"/>
        <v/>
      </c>
      <c r="CI204" s="315" t="e">
        <f>IF($J204="",#N/A,SUM(CH$4:CH204))</f>
        <v>#N/A</v>
      </c>
      <c r="CJ204" s="315" t="e">
        <f>IF($J204="",#N/A,SUM(CH$4:CH204,CF$4:CF204,CD$4:CD204))</f>
        <v>#N/A</v>
      </c>
      <c r="CK204" s="304" t="str">
        <f t="shared" si="381"/>
        <v/>
      </c>
      <c r="CL204" s="313" t="e">
        <f>IF($J204="",#N/A,SUM(CK$4:CK204))</f>
        <v>#N/A</v>
      </c>
      <c r="CM204" s="314" t="str">
        <f t="shared" si="382"/>
        <v/>
      </c>
      <c r="CN204" s="314" t="e">
        <f>IF($J204="",#N/A,SUM(CM$4:CM204))</f>
        <v>#N/A</v>
      </c>
      <c r="CO204" s="315" t="str">
        <f t="shared" si="383"/>
        <v/>
      </c>
      <c r="CP204" s="315" t="e">
        <f>IF($J204="",#N/A,SUM(CO$4:CO204))</f>
        <v>#N/A</v>
      </c>
      <c r="CQ204" s="315" t="e">
        <f>IF($J204="",#N/A,SUM(CO$4:CO204,CM$4:CM204,CK$4:CK204))</f>
        <v>#N/A</v>
      </c>
      <c r="CR204" s="304" t="str">
        <f t="shared" si="384"/>
        <v/>
      </c>
      <c r="CS204" s="313" t="e">
        <f>IF($J204="",#N/A,SUM(CR$4:CR204))</f>
        <v>#N/A</v>
      </c>
      <c r="CT204" s="314" t="str">
        <f t="shared" si="385"/>
        <v/>
      </c>
      <c r="CU204" s="314" t="e">
        <f>IF($J204="",#N/A,SUM(CT$4:CT204))</f>
        <v>#N/A</v>
      </c>
      <c r="CV204" s="315" t="str">
        <f t="shared" si="386"/>
        <v/>
      </c>
      <c r="CW204" s="315" t="e">
        <f>IF($J204="",#N/A,SUM(CV$4:CV204))</f>
        <v>#N/A</v>
      </c>
      <c r="CX204" s="315" t="e">
        <f>IF($J204="",#N/A,SUM(CV$4:CV204,CT$4:CT204,CR$4:CR204))</f>
        <v>#N/A</v>
      </c>
      <c r="CY204" s="304" t="str">
        <f t="shared" si="387"/>
        <v/>
      </c>
      <c r="CZ204" s="313" t="e">
        <f>IF($J204="",#N/A,SUM(CY$4:CY204))</f>
        <v>#N/A</v>
      </c>
      <c r="DA204" s="314" t="str">
        <f t="shared" si="388"/>
        <v/>
      </c>
      <c r="DB204" s="314" t="e">
        <f>IF($J204="",#N/A,SUM(DA$4:DA204))</f>
        <v>#N/A</v>
      </c>
      <c r="DC204" s="315" t="str">
        <f t="shared" si="389"/>
        <v/>
      </c>
      <c r="DD204" s="315" t="e">
        <f>IF($J204="",#N/A,SUM(DC$4:DC204))</f>
        <v>#N/A</v>
      </c>
      <c r="DE204" s="315" t="e">
        <f>IF($J204="",#N/A,SUM(DC$4:DC204,DA$4:DA204,CY$4:CY204))</f>
        <v>#N/A</v>
      </c>
      <c r="DF204" s="304" t="str">
        <f t="shared" si="390"/>
        <v/>
      </c>
      <c r="DG204" s="313" t="e">
        <f>IF($J204="",#N/A,SUM(DF$4:DF204))</f>
        <v>#N/A</v>
      </c>
      <c r="DH204" s="314" t="str">
        <f t="shared" si="391"/>
        <v/>
      </c>
      <c r="DI204" s="314" t="e">
        <f>IF($J204="",#N/A,SUM(DH$4:DH204))</f>
        <v>#N/A</v>
      </c>
      <c r="DJ204" s="315" t="str">
        <f t="shared" si="392"/>
        <v/>
      </c>
      <c r="DK204" s="315" t="e">
        <f>IF($J204="",#N/A,SUM(DJ$4:DJ204))</f>
        <v>#N/A</v>
      </c>
      <c r="DL204" s="315" t="e">
        <f>IF($J204="",#N/A,SUM(DJ$4:DJ204,DH$4:DH204,DF$4:DF204))</f>
        <v>#N/A</v>
      </c>
      <c r="DM204" s="304" t="str">
        <f t="shared" si="393"/>
        <v/>
      </c>
      <c r="DN204" s="313" t="e">
        <f>IF($J204="",#N/A,SUM(DM$4:DM204))</f>
        <v>#N/A</v>
      </c>
      <c r="DO204" s="314" t="str">
        <f t="shared" si="394"/>
        <v/>
      </c>
      <c r="DP204" s="314" t="e">
        <f>IF($J204="",#N/A,SUM(DO$4:DO204))</f>
        <v>#N/A</v>
      </c>
      <c r="DQ204" s="315" t="str">
        <f t="shared" si="395"/>
        <v/>
      </c>
      <c r="DR204" s="315" t="e">
        <f>IF($J204="",#N/A,SUM(DQ$4:DQ204))</f>
        <v>#N/A</v>
      </c>
      <c r="DS204" s="315" t="e">
        <f>IF($J204="",#N/A,SUM(DQ$4:DQ204,DO$4:DO204,DM$4:DM204))</f>
        <v>#N/A</v>
      </c>
      <c r="DT204" s="304" t="str">
        <f t="shared" si="396"/>
        <v/>
      </c>
      <c r="DU204" s="313" t="e">
        <f>IF($J204="",#N/A,SUM(DT$4:DT204))</f>
        <v>#N/A</v>
      </c>
      <c r="DV204" s="314" t="str">
        <f t="shared" si="397"/>
        <v/>
      </c>
      <c r="DW204" s="314" t="e">
        <f>IF($J204="",#N/A,SUM(DV$4:DV204))</f>
        <v>#N/A</v>
      </c>
      <c r="DX204" s="315" t="str">
        <f t="shared" si="398"/>
        <v/>
      </c>
      <c r="DY204" s="315" t="e">
        <f>IF($J204="",#N/A,SUM(DX$4:DX204))</f>
        <v>#N/A</v>
      </c>
      <c r="DZ204" s="315" t="e">
        <f>IF($J204="",#N/A,SUM(DX$4:DX204,DV$4:DV204,DT$4:DT204))</f>
        <v>#N/A</v>
      </c>
      <c r="EA204" s="304" t="str">
        <f t="shared" si="399"/>
        <v/>
      </c>
      <c r="EB204" s="313" t="e">
        <f>IF($J204="",#N/A,SUM(EA$4:EA204))</f>
        <v>#N/A</v>
      </c>
      <c r="EC204" s="314" t="str">
        <f t="shared" si="400"/>
        <v/>
      </c>
      <c r="ED204" s="314" t="e">
        <f>IF($J204="",#N/A,SUM(EC$4:EC204))</f>
        <v>#N/A</v>
      </c>
      <c r="EE204" s="315" t="str">
        <f t="shared" si="401"/>
        <v/>
      </c>
      <c r="EF204" s="315" t="e">
        <f>IF($J204="",#N/A,SUM(EE$4:EE204))</f>
        <v>#N/A</v>
      </c>
      <c r="EG204" s="315" t="e">
        <f>IF($J204="",#N/A,SUM(EE$4:EE204,EC$4:EC204,EA$4:EA204))</f>
        <v>#N/A</v>
      </c>
      <c r="EH204" s="130">
        <f t="shared" si="402"/>
        <v>-46.306624948986553</v>
      </c>
      <c r="EI204" s="63">
        <f>IF(EH204="",#N/A,SUM($EH$4:EH204))</f>
        <v>750.23465560421346</v>
      </c>
      <c r="EJ204" s="223" t="e">
        <f t="shared" si="403"/>
        <v>#N/A</v>
      </c>
      <c r="EK204" s="63" t="e">
        <f>IF($GZ204="",#N/A,SUM(EJ$4:EJ204))</f>
        <v>#N/A</v>
      </c>
      <c r="EL204" s="60" t="str">
        <f t="shared" si="435"/>
        <v/>
      </c>
      <c r="EM204" s="60" t="e">
        <f>IF(EL204="",NA(),SUM($EL$4:EL204))</f>
        <v>#N/A</v>
      </c>
      <c r="EN204" s="60" t="str">
        <f t="shared" si="404"/>
        <v/>
      </c>
      <c r="EO204" s="60" t="e">
        <f>IF(EN204="",NA(),SUM($EN$4:EN204))</f>
        <v>#N/A</v>
      </c>
      <c r="EP204" s="60" t="str">
        <f t="shared" si="405"/>
        <v/>
      </c>
      <c r="EQ204" s="60" t="e">
        <f>IF(EP204="",NA(),SUM($EP$4:EP204))</f>
        <v>#N/A</v>
      </c>
      <c r="ER204" s="60" t="str">
        <f t="shared" si="406"/>
        <v/>
      </c>
      <c r="ES204" s="60" t="e">
        <f>IF(ER204="",NA(),SUM($ER$4:ER204))</f>
        <v>#N/A</v>
      </c>
      <c r="ET204" s="60">
        <f t="shared" si="407"/>
        <v>-1.929442706207773</v>
      </c>
      <c r="EU204" s="60">
        <f>IF(ET204="",NA(),SUM($ET$4:ET204))</f>
        <v>8.6976363361477631</v>
      </c>
      <c r="EV204" s="60">
        <f t="shared" si="408"/>
        <v>-1.929442706207773</v>
      </c>
      <c r="EW204" s="60">
        <f>IF(EV204="",NA(),SUM($EV$4:EV204))</f>
        <v>1.9567068246507255</v>
      </c>
      <c r="EX204" s="60" t="str">
        <f t="shared" si="409"/>
        <v/>
      </c>
      <c r="EY204" s="60" t="e">
        <f>IF(EX204="",NA(),SUM($EX$4:EX204))</f>
        <v>#N/A</v>
      </c>
      <c r="EZ204" s="60" t="str">
        <f t="shared" si="410"/>
        <v/>
      </c>
      <c r="FA204" s="60" t="e">
        <f>IF(EZ204="",NA(),SUM($EZ$4:EZ204))</f>
        <v>#N/A</v>
      </c>
      <c r="FB204" s="246" t="str">
        <f t="shared" si="436"/>
        <v/>
      </c>
      <c r="FC204" s="246" t="e">
        <f>IF($FB204="",#N/A,SUM(FB$4:$FB204))</f>
        <v>#N/A</v>
      </c>
      <c r="FD204" s="60" t="str">
        <f t="shared" si="411"/>
        <v/>
      </c>
      <c r="FE204" s="60" t="e">
        <f>IF($FD204="",#N/A,SUM($FD$4:FD204))</f>
        <v>#N/A</v>
      </c>
      <c r="FF204" s="60" t="str">
        <f t="shared" si="412"/>
        <v/>
      </c>
      <c r="FG204" s="60" t="e">
        <f>IF($FF204="",#N/A,SUM($FF$4:FF204))</f>
        <v>#N/A</v>
      </c>
      <c r="FH204" s="60">
        <f t="shared" si="413"/>
        <v>1.7276561012107219</v>
      </c>
      <c r="FI204" s="60">
        <f>IF($FH204="",#N/A,SUM($FH$4:FH204))</f>
        <v>1.5030881558773816</v>
      </c>
      <c r="FJ204" s="60" t="str">
        <f t="shared" si="414"/>
        <v/>
      </c>
      <c r="FK204" s="60" t="e">
        <f>IF($FJ204="",#N/A,SUM($FJ$4:FJ204))</f>
        <v>#N/A</v>
      </c>
      <c r="FL204" s="60" t="str">
        <f t="shared" si="415"/>
        <v/>
      </c>
      <c r="FM204" s="60" t="e">
        <f>IF($FL204="",#N/A,SUM($FL$4:FL204))</f>
        <v>#N/A</v>
      </c>
      <c r="FN204" s="82">
        <f t="shared" si="416"/>
        <v>-0.20178660499705123</v>
      </c>
      <c r="FO204" s="82">
        <f>IF($FN204="",#N/A,SUM(FN$4:$FN204))</f>
        <v>34.402747246709296</v>
      </c>
      <c r="FP204" s="82">
        <f t="shared" si="437"/>
        <v>-1.929442706207773</v>
      </c>
      <c r="FQ204" s="246">
        <f>IF($EH204="",#N/A,SUM($FP$4:FP204))</f>
        <v>29.580522228254445</v>
      </c>
      <c r="FR204" s="82">
        <f>IFERROR(FQ204/COUNTA($J$4:J204),#N/A)</f>
        <v>0.14716677725499724</v>
      </c>
      <c r="FS204" s="82">
        <f t="shared" si="441"/>
        <v>0.20329040292736308</v>
      </c>
      <c r="FT204" s="82">
        <f t="shared" si="417"/>
        <v>0.19805376366175928</v>
      </c>
      <c r="FU204" s="273"/>
      <c r="FV204" s="57" t="str">
        <f t="shared" si="418"/>
        <v>Up</v>
      </c>
      <c r="FW204" s="57" t="s">
        <v>2734</v>
      </c>
      <c r="FX204" s="57" t="str">
        <f t="shared" si="419"/>
        <v/>
      </c>
      <c r="FY204" s="57" t="str">
        <f t="shared" si="420"/>
        <v/>
      </c>
      <c r="FZ204" s="57" t="str">
        <f t="shared" si="421"/>
        <v/>
      </c>
      <c r="GA204" s="57" t="str">
        <f t="shared" si="422"/>
        <v>Long</v>
      </c>
      <c r="GB204" s="57" t="str">
        <f t="shared" si="423"/>
        <v/>
      </c>
      <c r="GC204" s="57">
        <f t="shared" si="424"/>
        <v>1</v>
      </c>
      <c r="GD204" s="57" t="str">
        <f t="shared" si="425"/>
        <v/>
      </c>
      <c r="GE204" s="62">
        <f t="shared" si="339"/>
        <v>73.510000000000005</v>
      </c>
      <c r="GF204" s="62" t="s">
        <v>2779</v>
      </c>
      <c r="GG204" s="99">
        <f>400/I204</f>
        <v>5.4414365392463608</v>
      </c>
      <c r="GH204" s="207">
        <f t="shared" si="426"/>
        <v>400</v>
      </c>
      <c r="GI204" s="99">
        <f t="shared" si="337"/>
        <v>5.4414365392463608</v>
      </c>
      <c r="GJ204" s="98">
        <f>J204</f>
        <v>65</v>
      </c>
      <c r="GK204" s="63">
        <f t="shared" si="427"/>
        <v>-46.306624948986553</v>
      </c>
      <c r="GL204" s="63">
        <f t="shared" si="340"/>
        <v>-4.8428785199292292</v>
      </c>
      <c r="GM204" s="82" t="str">
        <f t="shared" si="428"/>
        <v/>
      </c>
      <c r="GN204" s="82">
        <f>IF($GZ204="",#N/A,SUM(GM$4:GM204))</f>
        <v>3.9243430831165123</v>
      </c>
      <c r="GO204" s="82">
        <f t="shared" si="429"/>
        <v>-0.20178660499705123</v>
      </c>
      <c r="GP204" s="82">
        <f>IF($GZ204="",#N/A,SUM(GO$4:GO204))</f>
        <v>9.6401678589737294</v>
      </c>
      <c r="GQ204" s="82" t="str">
        <f t="shared" si="430"/>
        <v/>
      </c>
      <c r="GR204" s="82">
        <f>IF($GZ204="",#N/A,SUM(GQ$4:GQ204))</f>
        <v>20.212399350176707</v>
      </c>
      <c r="GS204" s="63" t="str">
        <f t="shared" si="438"/>
        <v/>
      </c>
      <c r="GT204" s="63" t="e">
        <f>IF($GZ204="",#N/A,SUM(GS$4:GS204))</f>
        <v>#N/A</v>
      </c>
      <c r="GU204" s="63" t="e">
        <f t="shared" si="439"/>
        <v>#N/A</v>
      </c>
      <c r="GV204" s="63" t="e">
        <f>IF($GZ204="",#N/A,SUM(GU$4:GU204))</f>
        <v>#N/A</v>
      </c>
      <c r="GW204" s="63" t="str">
        <f t="shared" si="440"/>
        <v/>
      </c>
      <c r="GX204" s="63" t="e">
        <f>IF($GZ204="",#N/A,SUM(GW$4:GW204))</f>
        <v>#N/A</v>
      </c>
      <c r="GY204" s="63" t="e">
        <f>IF(EJ204="",#N/A,SUM($EJ$4:EJ204))</f>
        <v>#N/A</v>
      </c>
      <c r="GZ204" s="159">
        <v>72.62</v>
      </c>
      <c r="HA204" s="63">
        <f t="shared" si="431"/>
        <v>41.463746429057323</v>
      </c>
      <c r="HB204" s="62" t="s">
        <v>4970</v>
      </c>
      <c r="HC204" s="60">
        <f>IFERROR(VLOOKUP(E204,Expectancy!$P$4:$S$19,1+C204,FALSE),"")</f>
        <v>1.0051961559281768</v>
      </c>
      <c r="HD204" s="82" t="str">
        <f t="shared" si="432"/>
        <v/>
      </c>
      <c r="HE204" s="138" t="e">
        <f>IF(HD204="",#N/A,SUM($HD$4:HD204))</f>
        <v>#N/A</v>
      </c>
      <c r="HF204" s="85" t="e">
        <f>IF(HD204="",#N/A,IF(HB204="Skip",#N/A,SUM($HG$4:HG204)))</f>
        <v>#N/A</v>
      </c>
      <c r="HG204" s="62" t="str">
        <f t="shared" si="433"/>
        <v/>
      </c>
      <c r="HH204" s="82">
        <f t="shared" si="434"/>
        <v>-0.20178660499705123</v>
      </c>
    </row>
    <row r="205" spans="1:216" x14ac:dyDescent="0.25">
      <c r="A205" s="57" t="s">
        <v>1048</v>
      </c>
      <c r="B205" s="58" t="s">
        <v>5205</v>
      </c>
      <c r="C205" s="386">
        <f t="shared" si="343"/>
        <v>3</v>
      </c>
      <c r="D205" s="372" t="str">
        <f>_xlfn.XLOOKUP(A205,[1]SP500!$A$2:$A$502,[1]SP500!$D$2:$D$502,"N")</f>
        <v>Y</v>
      </c>
      <c r="E205" s="57" t="str">
        <f>_xlfn.XLOOKUP(A205,[1]SP500!$A$2:$A$655,[1]SP500!$B$2:$B$655)</f>
        <v>XLC</v>
      </c>
      <c r="F205" s="59">
        <v>45693</v>
      </c>
      <c r="G205" s="57" t="str">
        <f t="shared" si="344"/>
        <v>BMO</v>
      </c>
      <c r="H205" s="57" t="str">
        <f t="shared" si="345"/>
        <v>s</v>
      </c>
      <c r="I205" s="158">
        <v>113.3</v>
      </c>
      <c r="J205" s="159">
        <v>115.7</v>
      </c>
      <c r="K205" s="61">
        <f t="shared" si="346"/>
        <v>2.118270079435133E-2</v>
      </c>
      <c r="L205" s="87">
        <f t="shared" si="347"/>
        <v>9.6000000000000227</v>
      </c>
      <c r="M205" s="130">
        <f t="shared" si="338"/>
        <v>0.31999999999999318</v>
      </c>
      <c r="N205" s="169" t="str">
        <f t="shared" si="348"/>
        <v/>
      </c>
      <c r="O205" s="169">
        <f>IF($J205="",#N/A,SUM($N$4:N205))</f>
        <v>261.63775768049538</v>
      </c>
      <c r="P205" s="174" t="str">
        <f t="shared" si="349"/>
        <v/>
      </c>
      <c r="Q205" s="174">
        <f>IF($J205="",#N/A,SUM($P$4:P205))</f>
        <v>414.07776401603689</v>
      </c>
      <c r="R205" s="178">
        <f t="shared" si="350"/>
        <v>9.6000000000000227</v>
      </c>
      <c r="S205" s="178">
        <f>IF($J205="",#N/A,SUM($R$4:R205))</f>
        <v>84.119133907681146</v>
      </c>
      <c r="T205" s="290" t="str">
        <f t="shared" si="351"/>
        <v/>
      </c>
      <c r="U205" s="290">
        <f>IF($J205="",#N/A,SUM($T$4:T205))</f>
        <v>9.3630523370972121</v>
      </c>
      <c r="V205" s="291" t="str">
        <f t="shared" si="352"/>
        <v/>
      </c>
      <c r="W205" s="291">
        <f>IF($J205="",#N/A,SUM($V$4:V205))</f>
        <v>17.31349767035293</v>
      </c>
      <c r="X205" s="292">
        <f t="shared" si="353"/>
        <v>0.35304501323918885</v>
      </c>
      <c r="Y205" s="292">
        <f>IF($J205="",#N/A,SUM($X$4:X205))</f>
        <v>3.2570172340434804</v>
      </c>
      <c r="Z205" s="304" t="str">
        <f t="shared" si="354"/>
        <v/>
      </c>
      <c r="AA205" s="313" t="e">
        <f>IF($J205="",#N/A,SUM(Z$4:Z205))</f>
        <v>#N/A</v>
      </c>
      <c r="AB205" s="314" t="str">
        <f t="shared" si="355"/>
        <v/>
      </c>
      <c r="AC205" s="314" t="e">
        <f>IF($J205="",#N/A,SUM(AB$4:AB205))</f>
        <v>#N/A</v>
      </c>
      <c r="AD205" s="315" t="str">
        <f t="shared" si="356"/>
        <v/>
      </c>
      <c r="AE205" s="315" t="e">
        <f>IF($J205="",#N/A,SUM(AD$4:AD205))</f>
        <v>#N/A</v>
      </c>
      <c r="AF205" s="315" t="e">
        <f>IF($J205="",#N/A,SUM(AD$4:AD205,AB$4:AB205,Z$4:Z205))</f>
        <v>#N/A</v>
      </c>
      <c r="AG205" s="304" t="str">
        <f t="shared" si="357"/>
        <v/>
      </c>
      <c r="AH205" s="313" t="e">
        <f>IF($J205="",#N/A,SUM(AG$4:AG205))</f>
        <v>#N/A</v>
      </c>
      <c r="AI205" s="314" t="str">
        <f t="shared" si="358"/>
        <v/>
      </c>
      <c r="AJ205" s="314" t="e">
        <f>IF($J205="",#N/A,SUM(AI$4:AI205))</f>
        <v>#N/A</v>
      </c>
      <c r="AK205" s="315" t="str">
        <f t="shared" si="359"/>
        <v/>
      </c>
      <c r="AL205" s="315" t="e">
        <f>IF($J205="",#N/A,SUM(AK$4:AK205))</f>
        <v>#N/A</v>
      </c>
      <c r="AM205" s="315" t="e">
        <f>IF($J205="",#N/A,SUM(AK$4:AK205,AI$4:AI205,AG$4:AG205))</f>
        <v>#N/A</v>
      </c>
      <c r="AN205" s="304" t="str">
        <f t="shared" si="360"/>
        <v/>
      </c>
      <c r="AO205" s="313" t="e">
        <f>IF($J205="",#N/A,SUM(AN$4:AN205))</f>
        <v>#N/A</v>
      </c>
      <c r="AP205" s="314" t="str">
        <f t="shared" si="361"/>
        <v/>
      </c>
      <c r="AQ205" s="314" t="e">
        <f>IF($J205="",#N/A,SUM(AP$4:AP205))</f>
        <v>#N/A</v>
      </c>
      <c r="AR205" s="315" t="str">
        <f t="shared" si="362"/>
        <v/>
      </c>
      <c r="AS205" s="315" t="e">
        <f>IF($J205="",#N/A,SUM(AR$4:AR205))</f>
        <v>#N/A</v>
      </c>
      <c r="AT205" s="315" t="e">
        <f>IF($J205="",#N/A,SUM(AR$4:AR205,AP$4:AP205,AN$4:AN205))</f>
        <v>#N/A</v>
      </c>
      <c r="AU205" s="304" t="str">
        <f t="shared" si="363"/>
        <v/>
      </c>
      <c r="AV205" s="313" t="e">
        <f>IF($J205="",#N/A,SUM(AU$4:AU205))</f>
        <v>#N/A</v>
      </c>
      <c r="AW205" s="314" t="str">
        <f t="shared" si="364"/>
        <v/>
      </c>
      <c r="AX205" s="314" t="e">
        <f>IF($J205="",#N/A,SUM(AW$4:AW205))</f>
        <v>#N/A</v>
      </c>
      <c r="AY205" s="315" t="str">
        <f t="shared" si="365"/>
        <v/>
      </c>
      <c r="AZ205" s="315" t="e">
        <f>IF($J205="",#N/A,SUM(AY$4:AY205))</f>
        <v>#N/A</v>
      </c>
      <c r="BA205" s="315" t="e">
        <f>IF($J205="",#N/A,SUM(AY$4:AY205,AW$4:AW205,AU$4:AU205))</f>
        <v>#N/A</v>
      </c>
      <c r="BB205" s="304" t="str">
        <f t="shared" si="366"/>
        <v/>
      </c>
      <c r="BC205" s="313" t="e">
        <f>IF($J205="",#N/A,SUM(BB$4:BB205))</f>
        <v>#N/A</v>
      </c>
      <c r="BD205" s="314" t="str">
        <f t="shared" si="367"/>
        <v/>
      </c>
      <c r="BE205" s="314" t="e">
        <f>IF($J205="",#N/A,SUM(BD$4:BD205))</f>
        <v>#N/A</v>
      </c>
      <c r="BF205" s="315">
        <f t="shared" si="368"/>
        <v>0.35304501323918885</v>
      </c>
      <c r="BG205" s="315" t="e">
        <f>IF($J205="",#N/A,SUM(BF$4:BF205))</f>
        <v>#N/A</v>
      </c>
      <c r="BH205" s="315" t="e">
        <f>IF($J205="",#N/A,SUM(BF$4:BF205,BD$4:BD205,BB$4:BB205))</f>
        <v>#N/A</v>
      </c>
      <c r="BI205" s="304" t="str">
        <f t="shared" si="369"/>
        <v/>
      </c>
      <c r="BJ205" s="313" t="e">
        <f>IF($J205="",#N/A,SUM(BI$4:BI205))</f>
        <v>#N/A</v>
      </c>
      <c r="BK205" s="314" t="str">
        <f t="shared" si="370"/>
        <v/>
      </c>
      <c r="BL205" s="314" t="e">
        <f>IF($J205="",#N/A,SUM(BK$4:BK205))</f>
        <v>#N/A</v>
      </c>
      <c r="BM205" s="315" t="str">
        <f t="shared" si="371"/>
        <v/>
      </c>
      <c r="BN205" s="315" t="e">
        <f>IF($J205="",#N/A,SUM(BM$4:BM205))</f>
        <v>#N/A</v>
      </c>
      <c r="BO205" s="315" t="e">
        <f>IF($J205="",#N/A,SUM(BM$4:BM205,BK$4:BK205,BI$4:BI205))</f>
        <v>#N/A</v>
      </c>
      <c r="BP205" s="304" t="str">
        <f t="shared" si="372"/>
        <v/>
      </c>
      <c r="BQ205" s="313" t="e">
        <f>IF($J205="",#N/A,SUM(BP$4:BP205))</f>
        <v>#N/A</v>
      </c>
      <c r="BR205" s="314" t="str">
        <f t="shared" si="373"/>
        <v/>
      </c>
      <c r="BS205" s="314" t="e">
        <f>IF($J205="",#N/A,SUM(BR$4:BR205))</f>
        <v>#N/A</v>
      </c>
      <c r="BT205" s="315" t="str">
        <f t="shared" si="374"/>
        <v/>
      </c>
      <c r="BU205" s="315" t="e">
        <f>IF($J205="",#N/A,SUM(BT$4:BT205))</f>
        <v>#N/A</v>
      </c>
      <c r="BV205" s="315" t="e">
        <f>IF($J205="",#N/A,SUM(BT$4:BT205,BR$4:BR205,BP$4:BP205))</f>
        <v>#N/A</v>
      </c>
      <c r="BW205" s="304" t="str">
        <f t="shared" si="375"/>
        <v/>
      </c>
      <c r="BX205" s="313" t="e">
        <f>IF($J205="",#N/A,SUM(BW$4:BW205))</f>
        <v>#N/A</v>
      </c>
      <c r="BY205" s="314" t="str">
        <f t="shared" si="376"/>
        <v/>
      </c>
      <c r="BZ205" s="314" t="e">
        <f>IF($J205="",#N/A,SUM(BY$4:BY205))</f>
        <v>#N/A</v>
      </c>
      <c r="CA205" s="315" t="str">
        <f t="shared" si="377"/>
        <v/>
      </c>
      <c r="CB205" s="315" t="e">
        <f>IF($J205="",#N/A,SUM(CA$4:CA205))</f>
        <v>#N/A</v>
      </c>
      <c r="CC205" s="315" t="e">
        <f>IF($J205="",#N/A,SUM(CA$4:CA205,BY$4:BY205,BW$4:BW205))</f>
        <v>#N/A</v>
      </c>
      <c r="CD205" s="304" t="str">
        <f t="shared" si="378"/>
        <v/>
      </c>
      <c r="CE205" s="313" t="e">
        <f>IF($J205="",#N/A,SUM(CD$4:CD205))</f>
        <v>#N/A</v>
      </c>
      <c r="CF205" s="314" t="str">
        <f t="shared" si="379"/>
        <v/>
      </c>
      <c r="CG205" s="314" t="e">
        <f>IF($J205="",#N/A,SUM(CF$4:CF205))</f>
        <v>#N/A</v>
      </c>
      <c r="CH205" s="315" t="str">
        <f t="shared" si="380"/>
        <v/>
      </c>
      <c r="CI205" s="315" t="e">
        <f>IF($J205="",#N/A,SUM(CH$4:CH205))</f>
        <v>#N/A</v>
      </c>
      <c r="CJ205" s="315" t="e">
        <f>IF($J205="",#N/A,SUM(CH$4:CH205,CF$4:CF205,CD$4:CD205))</f>
        <v>#N/A</v>
      </c>
      <c r="CK205" s="304" t="str">
        <f t="shared" si="381"/>
        <v/>
      </c>
      <c r="CL205" s="313" t="e">
        <f>IF($J205="",#N/A,SUM(CK$4:CK205))</f>
        <v>#N/A</v>
      </c>
      <c r="CM205" s="314" t="str">
        <f t="shared" si="382"/>
        <v/>
      </c>
      <c r="CN205" s="314" t="e">
        <f>IF($J205="",#N/A,SUM(CM$4:CM205))</f>
        <v>#N/A</v>
      </c>
      <c r="CO205" s="315" t="str">
        <f t="shared" si="383"/>
        <v/>
      </c>
      <c r="CP205" s="315" t="e">
        <f>IF($J205="",#N/A,SUM(CO$4:CO205))</f>
        <v>#N/A</v>
      </c>
      <c r="CQ205" s="315" t="e">
        <f>IF($J205="",#N/A,SUM(CO$4:CO205,CM$4:CM205,CK$4:CK205))</f>
        <v>#N/A</v>
      </c>
      <c r="CR205" s="304" t="str">
        <f t="shared" si="384"/>
        <v/>
      </c>
      <c r="CS205" s="313" t="e">
        <f>IF($J205="",#N/A,SUM(CR$4:CR205))</f>
        <v>#N/A</v>
      </c>
      <c r="CT205" s="314" t="str">
        <f t="shared" si="385"/>
        <v/>
      </c>
      <c r="CU205" s="314" t="e">
        <f>IF($J205="",#N/A,SUM(CT$4:CT205))</f>
        <v>#N/A</v>
      </c>
      <c r="CV205" s="315" t="str">
        <f t="shared" si="386"/>
        <v/>
      </c>
      <c r="CW205" s="315" t="e">
        <f>IF($J205="",#N/A,SUM(CV$4:CV205))</f>
        <v>#N/A</v>
      </c>
      <c r="CX205" s="315" t="e">
        <f>IF($J205="",#N/A,SUM(CV$4:CV205,CT$4:CT205,CR$4:CR205))</f>
        <v>#N/A</v>
      </c>
      <c r="CY205" s="304" t="str">
        <f t="shared" si="387"/>
        <v/>
      </c>
      <c r="CZ205" s="313" t="e">
        <f>IF($J205="",#N/A,SUM(CY$4:CY205))</f>
        <v>#N/A</v>
      </c>
      <c r="DA205" s="314" t="str">
        <f t="shared" si="388"/>
        <v/>
      </c>
      <c r="DB205" s="314" t="e">
        <f>IF($J205="",#N/A,SUM(DA$4:DA205))</f>
        <v>#N/A</v>
      </c>
      <c r="DC205" s="315" t="str">
        <f t="shared" si="389"/>
        <v/>
      </c>
      <c r="DD205" s="315" t="e">
        <f>IF($J205="",#N/A,SUM(DC$4:DC205))</f>
        <v>#N/A</v>
      </c>
      <c r="DE205" s="315" t="e">
        <f>IF($J205="",#N/A,SUM(DC$4:DC205,DA$4:DA205,CY$4:CY205))</f>
        <v>#N/A</v>
      </c>
      <c r="DF205" s="304" t="str">
        <f t="shared" si="390"/>
        <v/>
      </c>
      <c r="DG205" s="313" t="e">
        <f>IF($J205="",#N/A,SUM(DF$4:DF205))</f>
        <v>#N/A</v>
      </c>
      <c r="DH205" s="314" t="str">
        <f t="shared" si="391"/>
        <v/>
      </c>
      <c r="DI205" s="314" t="e">
        <f>IF($J205="",#N/A,SUM(DH$4:DH205))</f>
        <v>#N/A</v>
      </c>
      <c r="DJ205" s="315" t="str">
        <f t="shared" si="392"/>
        <v/>
      </c>
      <c r="DK205" s="315" t="e">
        <f>IF($J205="",#N/A,SUM(DJ$4:DJ205))</f>
        <v>#N/A</v>
      </c>
      <c r="DL205" s="315" t="e">
        <f>IF($J205="",#N/A,SUM(DJ$4:DJ205,DH$4:DH205,DF$4:DF205))</f>
        <v>#N/A</v>
      </c>
      <c r="DM205" s="304" t="str">
        <f t="shared" si="393"/>
        <v/>
      </c>
      <c r="DN205" s="313" t="e">
        <f>IF($J205="",#N/A,SUM(DM$4:DM205))</f>
        <v>#N/A</v>
      </c>
      <c r="DO205" s="314" t="str">
        <f t="shared" si="394"/>
        <v/>
      </c>
      <c r="DP205" s="314" t="e">
        <f>IF($J205="",#N/A,SUM(DO$4:DO205))</f>
        <v>#N/A</v>
      </c>
      <c r="DQ205" s="315" t="str">
        <f t="shared" si="395"/>
        <v/>
      </c>
      <c r="DR205" s="315" t="e">
        <f>IF($J205="",#N/A,SUM(DQ$4:DQ205))</f>
        <v>#N/A</v>
      </c>
      <c r="DS205" s="315" t="e">
        <f>IF($J205="",#N/A,SUM(DQ$4:DQ205,DO$4:DO205,DM$4:DM205))</f>
        <v>#N/A</v>
      </c>
      <c r="DT205" s="304" t="str">
        <f t="shared" si="396"/>
        <v/>
      </c>
      <c r="DU205" s="313" t="e">
        <f>IF($J205="",#N/A,SUM(DT$4:DT205))</f>
        <v>#N/A</v>
      </c>
      <c r="DV205" s="314" t="str">
        <f t="shared" si="397"/>
        <v/>
      </c>
      <c r="DW205" s="314" t="e">
        <f>IF($J205="",#N/A,SUM(DV$4:DV205))</f>
        <v>#N/A</v>
      </c>
      <c r="DX205" s="315" t="str">
        <f t="shared" si="398"/>
        <v/>
      </c>
      <c r="DY205" s="315" t="e">
        <f>IF($J205="",#N/A,SUM(DX$4:DX205))</f>
        <v>#N/A</v>
      </c>
      <c r="DZ205" s="315" t="e">
        <f>IF($J205="",#N/A,SUM(DX$4:DX205,DV$4:DV205,DT$4:DT205))</f>
        <v>#N/A</v>
      </c>
      <c r="EA205" s="304" t="str">
        <f t="shared" si="399"/>
        <v/>
      </c>
      <c r="EB205" s="313" t="e">
        <f>IF($J205="",#N/A,SUM(EA$4:EA205))</f>
        <v>#N/A</v>
      </c>
      <c r="EC205" s="314" t="str">
        <f t="shared" si="400"/>
        <v/>
      </c>
      <c r="ED205" s="314" t="e">
        <f>IF($J205="",#N/A,SUM(EC$4:EC205))</f>
        <v>#N/A</v>
      </c>
      <c r="EE205" s="315" t="str">
        <f t="shared" si="401"/>
        <v/>
      </c>
      <c r="EF205" s="315" t="e">
        <f>IF($J205="",#N/A,SUM(EE$4:EE205))</f>
        <v>#N/A</v>
      </c>
      <c r="EG205" s="315" t="e">
        <f>IF($J205="",#N/A,SUM(EE$4:EE205,EC$4:EC205,EA$4:EA205))</f>
        <v>#N/A</v>
      </c>
      <c r="EH205" s="130">
        <f t="shared" si="402"/>
        <v>9.6000000000000227</v>
      </c>
      <c r="EI205" s="63">
        <f>IF(EH205="",#N/A,SUM($EH$4:EH205))</f>
        <v>759.83465560421348</v>
      </c>
      <c r="EJ205" s="223" t="e">
        <f t="shared" si="403"/>
        <v>#N/A</v>
      </c>
      <c r="EK205" s="63" t="e">
        <f>IF($GZ205="",#N/A,SUM(EJ$4:EJ205))</f>
        <v>#N/A</v>
      </c>
      <c r="EL205" s="60">
        <f t="shared" si="435"/>
        <v>0.35304501323918885</v>
      </c>
      <c r="EM205" s="60">
        <f>IF(EL205="",NA(),SUM($EL$4:EL205))</f>
        <v>21.23593090534586</v>
      </c>
      <c r="EN205" s="60" t="str">
        <f t="shared" si="404"/>
        <v/>
      </c>
      <c r="EO205" s="60" t="e">
        <f>IF(EN205="",NA(),SUM($EN$4:EN205))</f>
        <v>#N/A</v>
      </c>
      <c r="EP205" s="60">
        <f t="shared" si="405"/>
        <v>0.35304501323918885</v>
      </c>
      <c r="EQ205" s="60">
        <f>IF(EP205="",NA(),SUM($EP$4:EP205))</f>
        <v>4.1847741541206736</v>
      </c>
      <c r="ER205" s="60" t="str">
        <f t="shared" si="406"/>
        <v/>
      </c>
      <c r="ES205" s="60" t="e">
        <f>IF(ER205="",NA(),SUM($ER$4:ER205))</f>
        <v>#N/A</v>
      </c>
      <c r="ET205" s="60" t="str">
        <f t="shared" si="407"/>
        <v/>
      </c>
      <c r="EU205" s="60" t="e">
        <f>IF(ET205="",NA(),SUM($ET$4:ET205))</f>
        <v>#N/A</v>
      </c>
      <c r="EV205" s="60" t="str">
        <f t="shared" si="408"/>
        <v/>
      </c>
      <c r="EW205" s="60" t="e">
        <f>IF(EV205="",NA(),SUM($EV$4:EV205))</f>
        <v>#N/A</v>
      </c>
      <c r="EX205" s="60" t="str">
        <f t="shared" si="409"/>
        <v/>
      </c>
      <c r="EY205" s="60" t="e">
        <f>IF(EX205="",NA(),SUM($EX$4:EX205))</f>
        <v>#N/A</v>
      </c>
      <c r="EZ205" s="60" t="str">
        <f t="shared" si="410"/>
        <v/>
      </c>
      <c r="FA205" s="60" t="e">
        <f>IF(EZ205="",NA(),SUM($EZ$4:EZ205))</f>
        <v>#N/A</v>
      </c>
      <c r="FB205" s="246" t="str">
        <f t="shared" si="436"/>
        <v/>
      </c>
      <c r="FC205" s="246" t="e">
        <f>IF($FB205="",#N/A,SUM(FB$4:$FB205))</f>
        <v>#N/A</v>
      </c>
      <c r="FD205" s="60" t="str">
        <f t="shared" si="411"/>
        <v/>
      </c>
      <c r="FE205" s="60" t="e">
        <f>IF($FD205="",#N/A,SUM($FD$4:FD205))</f>
        <v>#N/A</v>
      </c>
      <c r="FF205" s="60" t="str">
        <f t="shared" si="412"/>
        <v/>
      </c>
      <c r="FG205" s="60" t="e">
        <f>IF($FF205="",#N/A,SUM($FF$4:FF205))</f>
        <v>#N/A</v>
      </c>
      <c r="FH205" s="60" t="str">
        <f t="shared" si="413"/>
        <v/>
      </c>
      <c r="FI205" s="60" t="e">
        <f>IF($FH205="",#N/A,SUM($FH$4:FH205))</f>
        <v>#N/A</v>
      </c>
      <c r="FJ205" s="60">
        <f t="shared" si="414"/>
        <v>-0.75904677846425384</v>
      </c>
      <c r="FK205" s="60">
        <f>IF($FJ205="",#N/A,SUM($FJ$4:FJ205))</f>
        <v>-2.5174870779634637</v>
      </c>
      <c r="FL205" s="60" t="str">
        <f t="shared" si="415"/>
        <v/>
      </c>
      <c r="FM205" s="60" t="e">
        <f>IF($FL205="",#N/A,SUM($FL$4:FL205))</f>
        <v>#N/A</v>
      </c>
      <c r="FN205" s="82">
        <f t="shared" si="416"/>
        <v>-0.40600176522506493</v>
      </c>
      <c r="FO205" s="82">
        <f>IF($FN205="",#N/A,SUM(FN$4:$FN205))</f>
        <v>33.996745481484233</v>
      </c>
      <c r="FP205" s="82">
        <f t="shared" si="437"/>
        <v>0.35304501323918885</v>
      </c>
      <c r="FQ205" s="246">
        <f>IF($EH205="",#N/A,SUM($FP$4:FP205))</f>
        <v>29.933567241493634</v>
      </c>
      <c r="FR205" s="82">
        <f>IFERROR(FQ205/COUNTA($J$4:J205),#N/A)</f>
        <v>0.1481859764430378</v>
      </c>
      <c r="FS205" s="82">
        <f t="shared" si="441"/>
        <v>0.21723328870769068</v>
      </c>
      <c r="FT205" s="82">
        <f t="shared" si="417"/>
        <v>0.16787002391217909</v>
      </c>
      <c r="FU205" s="337">
        <f>IF(AND(HB205="MOC",GZ205=""),#N/A,IFERROR(FQ205-HE205,FQ205-0))-14.53</f>
        <v>12.737522782660148</v>
      </c>
      <c r="FV205" s="57" t="str">
        <f t="shared" si="418"/>
        <v>SW</v>
      </c>
      <c r="FW205" s="57" t="s">
        <v>2732</v>
      </c>
      <c r="FX205" s="57" t="str">
        <f t="shared" si="419"/>
        <v/>
      </c>
      <c r="FY205" s="57" t="str">
        <f t="shared" si="420"/>
        <v/>
      </c>
      <c r="FZ205" s="57">
        <f t="shared" si="421"/>
        <v>1</v>
      </c>
      <c r="GA205" s="57" t="str">
        <f t="shared" si="422"/>
        <v>Long</v>
      </c>
      <c r="GB205" s="57" t="str">
        <f t="shared" si="423"/>
        <v/>
      </c>
      <c r="GC205" s="57" t="str">
        <f t="shared" si="424"/>
        <v/>
      </c>
      <c r="GD205" s="57" t="str">
        <f t="shared" si="425"/>
        <v/>
      </c>
      <c r="GE205" s="62">
        <f t="shared" si="339"/>
        <v>113.3</v>
      </c>
      <c r="GF205" s="62" t="s">
        <v>2779</v>
      </c>
      <c r="GG205" s="199">
        <v>4</v>
      </c>
      <c r="GH205" s="207">
        <f t="shared" si="426"/>
        <v>453.2</v>
      </c>
      <c r="GI205" s="199">
        <f t="shared" si="337"/>
        <v>4</v>
      </c>
      <c r="GJ205" s="200">
        <v>115.78</v>
      </c>
      <c r="GK205" s="63">
        <f t="shared" si="427"/>
        <v>9.9200000000000159</v>
      </c>
      <c r="GL205" s="63">
        <f t="shared" si="340"/>
        <v>-11.039999999999964</v>
      </c>
      <c r="GM205" s="82">
        <f t="shared" si="428"/>
        <v>-0.40600176522506493</v>
      </c>
      <c r="GN205" s="82">
        <f>IF($GZ205="",#N/A,SUM(GM$4:GM205))</f>
        <v>3.5183413178914473</v>
      </c>
      <c r="GO205" s="82" t="str">
        <f t="shared" si="429"/>
        <v/>
      </c>
      <c r="GP205" s="82">
        <f>IF($GZ205="",#N/A,SUM(GO$4:GO205))</f>
        <v>9.6401678589737294</v>
      </c>
      <c r="GQ205" s="82" t="str">
        <f t="shared" si="430"/>
        <v/>
      </c>
      <c r="GR205" s="82">
        <f>IF($GZ205="",#N/A,SUM(GQ$4:GQ205))</f>
        <v>20.212399350176707</v>
      </c>
      <c r="GS205" s="63" t="e">
        <f t="shared" si="438"/>
        <v>#N/A</v>
      </c>
      <c r="GT205" s="63" t="e">
        <f>IF($GZ205="",#N/A,SUM(GS$4:GS205))</f>
        <v>#N/A</v>
      </c>
      <c r="GU205" s="63" t="str">
        <f t="shared" si="439"/>
        <v/>
      </c>
      <c r="GV205" s="63" t="e">
        <f>IF($GZ205="",#N/A,SUM(GU$4:GU205))</f>
        <v>#N/A</v>
      </c>
      <c r="GW205" s="63" t="str">
        <f t="shared" si="440"/>
        <v/>
      </c>
      <c r="GX205" s="63" t="e">
        <f>IF($GZ205="",#N/A,SUM(GW$4:GW205))</f>
        <v>#N/A</v>
      </c>
      <c r="GY205" s="63" t="e">
        <f>IF(EJ205="",#N/A,SUM($EJ$4:EJ205))</f>
        <v>#N/A</v>
      </c>
      <c r="GZ205" s="159">
        <v>110.54</v>
      </c>
      <c r="HA205" s="63">
        <f t="shared" si="431"/>
        <v>-20.639999999999986</v>
      </c>
      <c r="HB205" s="62" t="s">
        <v>2538</v>
      </c>
      <c r="HC205" s="60">
        <f>IFERROR(VLOOKUP(E205,Expectancy!$P$4:$S$19,1+C205,FALSE),"")</f>
        <v>0.70195709060766942</v>
      </c>
      <c r="HD205" s="82">
        <f t="shared" si="432"/>
        <v>0.36481318034716154</v>
      </c>
      <c r="HE205" s="82">
        <f>IF(HD205="",#N/A,SUM($HD$4:HD205))</f>
        <v>2.6660444588334871</v>
      </c>
      <c r="HF205" s="85">
        <f>IF(HD205="",#N/A,IF(HB205="Skip",#N/A,SUM($HG$4:HG205)))</f>
        <v>92.855492144835409</v>
      </c>
      <c r="HG205" s="63">
        <f t="shared" si="433"/>
        <v>9.9200000000000159</v>
      </c>
      <c r="HH205" s="82">
        <f t="shared" si="434"/>
        <v>-0.40600176522506493</v>
      </c>
    </row>
    <row r="206" spans="1:216" x14ac:dyDescent="0.25">
      <c r="A206" s="57" t="s">
        <v>1329</v>
      </c>
      <c r="B206" s="58" t="s">
        <v>5206</v>
      </c>
      <c r="C206" s="386">
        <f t="shared" si="343"/>
        <v>3</v>
      </c>
      <c r="D206" s="372" t="str">
        <f>_xlfn.XLOOKUP(A206,[1]SP500!$A$2:$A$502,[1]SP500!$D$2:$D$502,"N")</f>
        <v>Y</v>
      </c>
      <c r="E206" s="57" t="str">
        <f>_xlfn.XLOOKUP(A206,[1]SP500!$A$2:$A$655,[1]SP500!$B$2:$B$655)</f>
        <v>XLI</v>
      </c>
      <c r="F206" s="59">
        <v>45693</v>
      </c>
      <c r="G206" s="57" t="str">
        <f t="shared" si="344"/>
        <v>BMO</v>
      </c>
      <c r="H206" s="57" t="str">
        <f t="shared" si="345"/>
        <v>s</v>
      </c>
      <c r="I206" s="159">
        <v>69.75</v>
      </c>
      <c r="J206" s="159">
        <v>66.5</v>
      </c>
      <c r="K206" s="61">
        <f t="shared" si="346"/>
        <v>-4.6594982078853049E-2</v>
      </c>
      <c r="L206" s="87">
        <f t="shared" si="347"/>
        <v>-19.5</v>
      </c>
      <c r="M206" s="130">
        <f t="shared" si="338"/>
        <v>0</v>
      </c>
      <c r="N206" s="169" t="str">
        <f t="shared" si="348"/>
        <v/>
      </c>
      <c r="O206" s="169">
        <f>IF($J206="",#N/A,SUM($N$4:N206))</f>
        <v>261.63775768049538</v>
      </c>
      <c r="P206" s="174" t="str">
        <f t="shared" si="349"/>
        <v/>
      </c>
      <c r="Q206" s="174">
        <f>IF($J206="",#N/A,SUM($P$4:P206))</f>
        <v>414.07776401603689</v>
      </c>
      <c r="R206" s="178">
        <f t="shared" si="350"/>
        <v>-19.5</v>
      </c>
      <c r="S206" s="178">
        <f>IF($J206="",#N/A,SUM($R$4:R206))</f>
        <v>64.619133907681146</v>
      </c>
      <c r="T206" s="290" t="str">
        <f t="shared" si="351"/>
        <v/>
      </c>
      <c r="U206" s="290">
        <f>IF($J206="",#N/A,SUM($T$4:T206))</f>
        <v>9.3630523370972121</v>
      </c>
      <c r="V206" s="291" t="str">
        <f t="shared" si="352"/>
        <v/>
      </c>
      <c r="W206" s="291">
        <f>IF($J206="",#N/A,SUM($V$4:V206))</f>
        <v>17.31349767035293</v>
      </c>
      <c r="X206" s="292">
        <f t="shared" si="353"/>
        <v>-0.77658303464755074</v>
      </c>
      <c r="Y206" s="292">
        <f>IF($J206="",#N/A,SUM($X$4:X206))</f>
        <v>2.4804341993959298</v>
      </c>
      <c r="Z206" s="304" t="str">
        <f t="shared" si="354"/>
        <v/>
      </c>
      <c r="AA206" s="313" t="e">
        <f>IF($J206="",#N/A,SUM(Z$4:Z206))</f>
        <v>#N/A</v>
      </c>
      <c r="AB206" s="314" t="str">
        <f t="shared" si="355"/>
        <v/>
      </c>
      <c r="AC206" s="314" t="e">
        <f>IF($J206="",#N/A,SUM(AB$4:AB206))</f>
        <v>#N/A</v>
      </c>
      <c r="AD206" s="315" t="str">
        <f t="shared" si="356"/>
        <v/>
      </c>
      <c r="AE206" s="315" t="e">
        <f>IF($J206="",#N/A,SUM(AD$4:AD206))</f>
        <v>#N/A</v>
      </c>
      <c r="AF206" s="315" t="e">
        <f>IF($J206="",#N/A,SUM(AD$4:AD206,AB$4:AB206,Z$4:Z206))</f>
        <v>#N/A</v>
      </c>
      <c r="AG206" s="304" t="str">
        <f t="shared" si="357"/>
        <v/>
      </c>
      <c r="AH206" s="313" t="e">
        <f>IF($J206="",#N/A,SUM(AG$4:AG206))</f>
        <v>#N/A</v>
      </c>
      <c r="AI206" s="314" t="str">
        <f t="shared" si="358"/>
        <v/>
      </c>
      <c r="AJ206" s="314" t="e">
        <f>IF($J206="",#N/A,SUM(AI$4:AI206))</f>
        <v>#N/A</v>
      </c>
      <c r="AK206" s="315" t="str">
        <f t="shared" si="359"/>
        <v/>
      </c>
      <c r="AL206" s="315" t="e">
        <f>IF($J206="",#N/A,SUM(AK$4:AK206))</f>
        <v>#N/A</v>
      </c>
      <c r="AM206" s="315" t="e">
        <f>IF($J206="",#N/A,SUM(AK$4:AK206,AI$4:AI206,AG$4:AG206))</f>
        <v>#N/A</v>
      </c>
      <c r="AN206" s="304" t="str">
        <f t="shared" si="360"/>
        <v/>
      </c>
      <c r="AO206" s="313" t="e">
        <f>IF($J206="",#N/A,SUM(AN$4:AN206))</f>
        <v>#N/A</v>
      </c>
      <c r="AP206" s="314" t="str">
        <f t="shared" si="361"/>
        <v/>
      </c>
      <c r="AQ206" s="314" t="e">
        <f>IF($J206="",#N/A,SUM(AP$4:AP206))</f>
        <v>#N/A</v>
      </c>
      <c r="AR206" s="315" t="str">
        <f t="shared" si="362"/>
        <v/>
      </c>
      <c r="AS206" s="315" t="e">
        <f>IF($J206="",#N/A,SUM(AR$4:AR206))</f>
        <v>#N/A</v>
      </c>
      <c r="AT206" s="315" t="e">
        <f>IF($J206="",#N/A,SUM(AR$4:AR206,AP$4:AP206,AN$4:AN206))</f>
        <v>#N/A</v>
      </c>
      <c r="AU206" s="304" t="str">
        <f t="shared" si="363"/>
        <v/>
      </c>
      <c r="AV206" s="313" t="e">
        <f>IF($J206="",#N/A,SUM(AU$4:AU206))</f>
        <v>#N/A</v>
      </c>
      <c r="AW206" s="314" t="str">
        <f t="shared" si="364"/>
        <v/>
      </c>
      <c r="AX206" s="314" t="e">
        <f>IF($J206="",#N/A,SUM(AW$4:AW206))</f>
        <v>#N/A</v>
      </c>
      <c r="AY206" s="315" t="str">
        <f t="shared" si="365"/>
        <v/>
      </c>
      <c r="AZ206" s="315" t="e">
        <f>IF($J206="",#N/A,SUM(AY$4:AY206))</f>
        <v>#N/A</v>
      </c>
      <c r="BA206" s="315" t="e">
        <f>IF($J206="",#N/A,SUM(AY$4:AY206,AW$4:AW206,AU$4:AU206))</f>
        <v>#N/A</v>
      </c>
      <c r="BB206" s="304" t="str">
        <f t="shared" si="366"/>
        <v/>
      </c>
      <c r="BC206" s="313" t="e">
        <f>IF($J206="",#N/A,SUM(BB$4:BB206))</f>
        <v>#N/A</v>
      </c>
      <c r="BD206" s="314" t="str">
        <f t="shared" si="367"/>
        <v/>
      </c>
      <c r="BE206" s="314" t="e">
        <f>IF($J206="",#N/A,SUM(BD$4:BD206))</f>
        <v>#N/A</v>
      </c>
      <c r="BF206" s="315" t="str">
        <f t="shared" si="368"/>
        <v/>
      </c>
      <c r="BG206" s="315" t="e">
        <f>IF($J206="",#N/A,SUM(BF$4:BF206))</f>
        <v>#N/A</v>
      </c>
      <c r="BH206" s="315" t="e">
        <f>IF($J206="",#N/A,SUM(BF$4:BF206,BD$4:BD206,BB$4:BB206))</f>
        <v>#N/A</v>
      </c>
      <c r="BI206" s="304" t="str">
        <f t="shared" si="369"/>
        <v/>
      </c>
      <c r="BJ206" s="313" t="e">
        <f>IF($J206="",#N/A,SUM(BI$4:BI206))</f>
        <v>#N/A</v>
      </c>
      <c r="BK206" s="314" t="str">
        <f t="shared" si="370"/>
        <v/>
      </c>
      <c r="BL206" s="314" t="e">
        <f>IF($J206="",#N/A,SUM(BK$4:BK206))</f>
        <v>#N/A</v>
      </c>
      <c r="BM206" s="315" t="str">
        <f t="shared" si="371"/>
        <v/>
      </c>
      <c r="BN206" s="315" t="e">
        <f>IF($J206="",#N/A,SUM(BM$4:BM206))</f>
        <v>#N/A</v>
      </c>
      <c r="BO206" s="315" t="e">
        <f>IF($J206="",#N/A,SUM(BM$4:BM206,BK$4:BK206,BI$4:BI206))</f>
        <v>#N/A</v>
      </c>
      <c r="BP206" s="304" t="str">
        <f t="shared" si="372"/>
        <v/>
      </c>
      <c r="BQ206" s="313" t="e">
        <f>IF($J206="",#N/A,SUM(BP$4:BP206))</f>
        <v>#N/A</v>
      </c>
      <c r="BR206" s="314" t="str">
        <f t="shared" si="373"/>
        <v/>
      </c>
      <c r="BS206" s="314" t="e">
        <f>IF($J206="",#N/A,SUM(BR$4:BR206))</f>
        <v>#N/A</v>
      </c>
      <c r="BT206" s="315">
        <f t="shared" si="374"/>
        <v>-0.77658303464755074</v>
      </c>
      <c r="BU206" s="315" t="e">
        <f>IF($J206="",#N/A,SUM(BT$4:BT206))</f>
        <v>#N/A</v>
      </c>
      <c r="BV206" s="315" t="e">
        <f>IF($J206="",#N/A,SUM(BT$4:BT206,BR$4:BR206,BP$4:BP206))</f>
        <v>#N/A</v>
      </c>
      <c r="BW206" s="304" t="str">
        <f t="shared" si="375"/>
        <v/>
      </c>
      <c r="BX206" s="313" t="e">
        <f>IF($J206="",#N/A,SUM(BW$4:BW206))</f>
        <v>#N/A</v>
      </c>
      <c r="BY206" s="314" t="str">
        <f t="shared" si="376"/>
        <v/>
      </c>
      <c r="BZ206" s="314" t="e">
        <f>IF($J206="",#N/A,SUM(BY$4:BY206))</f>
        <v>#N/A</v>
      </c>
      <c r="CA206" s="315" t="str">
        <f t="shared" si="377"/>
        <v/>
      </c>
      <c r="CB206" s="315" t="e">
        <f>IF($J206="",#N/A,SUM(CA$4:CA206))</f>
        <v>#N/A</v>
      </c>
      <c r="CC206" s="315" t="e">
        <f>IF($J206="",#N/A,SUM(CA$4:CA206,BY$4:BY206,BW$4:BW206))</f>
        <v>#N/A</v>
      </c>
      <c r="CD206" s="304" t="str">
        <f t="shared" si="378"/>
        <v/>
      </c>
      <c r="CE206" s="313" t="e">
        <f>IF($J206="",#N/A,SUM(CD$4:CD206))</f>
        <v>#N/A</v>
      </c>
      <c r="CF206" s="314" t="str">
        <f t="shared" si="379"/>
        <v/>
      </c>
      <c r="CG206" s="314" t="e">
        <f>IF($J206="",#N/A,SUM(CF$4:CF206))</f>
        <v>#N/A</v>
      </c>
      <c r="CH206" s="315" t="str">
        <f t="shared" si="380"/>
        <v/>
      </c>
      <c r="CI206" s="315" t="e">
        <f>IF($J206="",#N/A,SUM(CH$4:CH206))</f>
        <v>#N/A</v>
      </c>
      <c r="CJ206" s="315" t="e">
        <f>IF($J206="",#N/A,SUM(CH$4:CH206,CF$4:CF206,CD$4:CD206))</f>
        <v>#N/A</v>
      </c>
      <c r="CK206" s="304" t="str">
        <f t="shared" si="381"/>
        <v/>
      </c>
      <c r="CL206" s="313" t="e">
        <f>IF($J206="",#N/A,SUM(CK$4:CK206))</f>
        <v>#N/A</v>
      </c>
      <c r="CM206" s="314" t="str">
        <f t="shared" si="382"/>
        <v/>
      </c>
      <c r="CN206" s="314" t="e">
        <f>IF($J206="",#N/A,SUM(CM$4:CM206))</f>
        <v>#N/A</v>
      </c>
      <c r="CO206" s="315" t="str">
        <f t="shared" si="383"/>
        <v/>
      </c>
      <c r="CP206" s="315" t="e">
        <f>IF($J206="",#N/A,SUM(CO$4:CO206))</f>
        <v>#N/A</v>
      </c>
      <c r="CQ206" s="315" t="e">
        <f>IF($J206="",#N/A,SUM(CO$4:CO206,CM$4:CM206,CK$4:CK206))</f>
        <v>#N/A</v>
      </c>
      <c r="CR206" s="304" t="str">
        <f t="shared" si="384"/>
        <v/>
      </c>
      <c r="CS206" s="313" t="e">
        <f>IF($J206="",#N/A,SUM(CR$4:CR206))</f>
        <v>#N/A</v>
      </c>
      <c r="CT206" s="314" t="str">
        <f t="shared" si="385"/>
        <v/>
      </c>
      <c r="CU206" s="314" t="e">
        <f>IF($J206="",#N/A,SUM(CT$4:CT206))</f>
        <v>#N/A</v>
      </c>
      <c r="CV206" s="315" t="str">
        <f t="shared" si="386"/>
        <v/>
      </c>
      <c r="CW206" s="315" t="e">
        <f>IF($J206="",#N/A,SUM(CV$4:CV206))</f>
        <v>#N/A</v>
      </c>
      <c r="CX206" s="315" t="e">
        <f>IF($J206="",#N/A,SUM(CV$4:CV206,CT$4:CT206,CR$4:CR206))</f>
        <v>#N/A</v>
      </c>
      <c r="CY206" s="304" t="str">
        <f t="shared" si="387"/>
        <v/>
      </c>
      <c r="CZ206" s="313" t="e">
        <f>IF($J206="",#N/A,SUM(CY$4:CY206))</f>
        <v>#N/A</v>
      </c>
      <c r="DA206" s="314" t="str">
        <f t="shared" si="388"/>
        <v/>
      </c>
      <c r="DB206" s="314" t="e">
        <f>IF($J206="",#N/A,SUM(DA$4:DA206))</f>
        <v>#N/A</v>
      </c>
      <c r="DC206" s="315" t="str">
        <f t="shared" si="389"/>
        <v/>
      </c>
      <c r="DD206" s="315" t="e">
        <f>IF($J206="",#N/A,SUM(DC$4:DC206))</f>
        <v>#N/A</v>
      </c>
      <c r="DE206" s="315" t="e">
        <f>IF($J206="",#N/A,SUM(DC$4:DC206,DA$4:DA206,CY$4:CY206))</f>
        <v>#N/A</v>
      </c>
      <c r="DF206" s="304" t="str">
        <f t="shared" si="390"/>
        <v/>
      </c>
      <c r="DG206" s="313" t="e">
        <f>IF($J206="",#N/A,SUM(DF$4:DF206))</f>
        <v>#N/A</v>
      </c>
      <c r="DH206" s="314" t="str">
        <f t="shared" si="391"/>
        <v/>
      </c>
      <c r="DI206" s="314" t="e">
        <f>IF($J206="",#N/A,SUM(DH$4:DH206))</f>
        <v>#N/A</v>
      </c>
      <c r="DJ206" s="315" t="str">
        <f t="shared" si="392"/>
        <v/>
      </c>
      <c r="DK206" s="315" t="e">
        <f>IF($J206="",#N/A,SUM(DJ$4:DJ206))</f>
        <v>#N/A</v>
      </c>
      <c r="DL206" s="315" t="e">
        <f>IF($J206="",#N/A,SUM(DJ$4:DJ206,DH$4:DH206,DF$4:DF206))</f>
        <v>#N/A</v>
      </c>
      <c r="DM206" s="304" t="str">
        <f t="shared" si="393"/>
        <v/>
      </c>
      <c r="DN206" s="313" t="e">
        <f>IF($J206="",#N/A,SUM(DM$4:DM206))</f>
        <v>#N/A</v>
      </c>
      <c r="DO206" s="314" t="str">
        <f t="shared" si="394"/>
        <v/>
      </c>
      <c r="DP206" s="314" t="e">
        <f>IF($J206="",#N/A,SUM(DO$4:DO206))</f>
        <v>#N/A</v>
      </c>
      <c r="DQ206" s="315" t="str">
        <f t="shared" si="395"/>
        <v/>
      </c>
      <c r="DR206" s="315" t="e">
        <f>IF($J206="",#N/A,SUM(DQ$4:DQ206))</f>
        <v>#N/A</v>
      </c>
      <c r="DS206" s="315" t="e">
        <f>IF($J206="",#N/A,SUM(DQ$4:DQ206,DO$4:DO206,DM$4:DM206))</f>
        <v>#N/A</v>
      </c>
      <c r="DT206" s="304" t="str">
        <f t="shared" si="396"/>
        <v/>
      </c>
      <c r="DU206" s="313" t="e">
        <f>IF($J206="",#N/A,SUM(DT$4:DT206))</f>
        <v>#N/A</v>
      </c>
      <c r="DV206" s="314" t="str">
        <f t="shared" si="397"/>
        <v/>
      </c>
      <c r="DW206" s="314" t="e">
        <f>IF($J206="",#N/A,SUM(DV$4:DV206))</f>
        <v>#N/A</v>
      </c>
      <c r="DX206" s="315" t="str">
        <f t="shared" si="398"/>
        <v/>
      </c>
      <c r="DY206" s="315" t="e">
        <f>IF($J206="",#N/A,SUM(DX$4:DX206))</f>
        <v>#N/A</v>
      </c>
      <c r="DZ206" s="315" t="e">
        <f>IF($J206="",#N/A,SUM(DX$4:DX206,DV$4:DV206,DT$4:DT206))</f>
        <v>#N/A</v>
      </c>
      <c r="EA206" s="304" t="str">
        <f t="shared" si="399"/>
        <v/>
      </c>
      <c r="EB206" s="313" t="e">
        <f>IF($J206="",#N/A,SUM(EA$4:EA206))</f>
        <v>#N/A</v>
      </c>
      <c r="EC206" s="314" t="str">
        <f t="shared" si="400"/>
        <v/>
      </c>
      <c r="ED206" s="314" t="e">
        <f>IF($J206="",#N/A,SUM(EC$4:EC206))</f>
        <v>#N/A</v>
      </c>
      <c r="EE206" s="315" t="str">
        <f t="shared" si="401"/>
        <v/>
      </c>
      <c r="EF206" s="315" t="e">
        <f>IF($J206="",#N/A,SUM(EE$4:EE206))</f>
        <v>#N/A</v>
      </c>
      <c r="EG206" s="315" t="e">
        <f>IF($J206="",#N/A,SUM(EE$4:EE206,EC$4:EC206,EA$4:EA206))</f>
        <v>#N/A</v>
      </c>
      <c r="EH206" s="130">
        <f t="shared" si="402"/>
        <v>-19.5</v>
      </c>
      <c r="EI206" s="63">
        <f>IF(EH206="",#N/A,SUM($EH$4:EH206))</f>
        <v>740.33465560421348</v>
      </c>
      <c r="EJ206" s="223" t="e">
        <f t="shared" si="403"/>
        <v>#N/A</v>
      </c>
      <c r="EK206" s="63" t="e">
        <f>IF($GZ206="",#N/A,SUM(EJ$4:EJ206))</f>
        <v>#N/A</v>
      </c>
      <c r="EL206" s="60">
        <f t="shared" si="435"/>
        <v>-0.77658303464755074</v>
      </c>
      <c r="EM206" s="60">
        <f>IF(EL206="",NA(),SUM($EL$4:EL206))</f>
        <v>20.459347870698309</v>
      </c>
      <c r="EN206" s="60" t="str">
        <f t="shared" si="404"/>
        <v/>
      </c>
      <c r="EO206" s="60" t="e">
        <f>IF(EN206="",NA(),SUM($EN$4:EN206))</f>
        <v>#N/A</v>
      </c>
      <c r="EP206" s="60">
        <f t="shared" si="405"/>
        <v>-0.77658303464755074</v>
      </c>
      <c r="EQ206" s="60">
        <f>IF(EP206="",NA(),SUM($EP$4:EP206))</f>
        <v>3.4081911194731229</v>
      </c>
      <c r="ER206" s="60" t="str">
        <f t="shared" si="406"/>
        <v/>
      </c>
      <c r="ES206" s="60" t="e">
        <f>IF(ER206="",NA(),SUM($ER$4:ER206))</f>
        <v>#N/A</v>
      </c>
      <c r="ET206" s="60" t="str">
        <f t="shared" si="407"/>
        <v/>
      </c>
      <c r="EU206" s="60" t="e">
        <f>IF(ET206="",NA(),SUM($ET$4:ET206))</f>
        <v>#N/A</v>
      </c>
      <c r="EV206" s="60" t="str">
        <f t="shared" si="408"/>
        <v/>
      </c>
      <c r="EW206" s="60" t="e">
        <f>IF(EV206="",NA(),SUM($EV$4:EV206))</f>
        <v>#N/A</v>
      </c>
      <c r="EX206" s="60" t="str">
        <f t="shared" si="409"/>
        <v/>
      </c>
      <c r="EY206" s="60" t="e">
        <f>IF(EX206="",NA(),SUM($EX$4:EX206))</f>
        <v>#N/A</v>
      </c>
      <c r="EZ206" s="60" t="str">
        <f t="shared" si="410"/>
        <v/>
      </c>
      <c r="FA206" s="60" t="e">
        <f>IF(EZ206="",NA(),SUM($EZ$4:EZ206))</f>
        <v>#N/A</v>
      </c>
      <c r="FB206" s="246" t="str">
        <f t="shared" si="436"/>
        <v/>
      </c>
      <c r="FC206" s="246" t="e">
        <f>IF($FB206="",#N/A,SUM(FB$4:$FB206))</f>
        <v>#N/A</v>
      </c>
      <c r="FD206" s="60" t="str">
        <f t="shared" si="411"/>
        <v/>
      </c>
      <c r="FE206" s="60" t="e">
        <f>IF($FD206="",#N/A,SUM($FD$4:FD206))</f>
        <v>#N/A</v>
      </c>
      <c r="FF206" s="60" t="str">
        <f t="shared" si="412"/>
        <v/>
      </c>
      <c r="FG206" s="60" t="e">
        <f>IF($FF206="",#N/A,SUM($FF$4:FF206))</f>
        <v>#N/A</v>
      </c>
      <c r="FH206" s="60" t="str">
        <f t="shared" si="413"/>
        <v/>
      </c>
      <c r="FI206" s="60" t="e">
        <f>IF($FH206="",#N/A,SUM($FH$4:FH206))</f>
        <v>#N/A</v>
      </c>
      <c r="FJ206" s="60" t="str">
        <f t="shared" si="414"/>
        <v/>
      </c>
      <c r="FK206" s="60" t="e">
        <f>IF($FJ206="",#N/A,SUM($FJ$4:FJ206))</f>
        <v>#N/A</v>
      </c>
      <c r="FL206" s="60">
        <f t="shared" si="415"/>
        <v>-0.48267622461170878</v>
      </c>
      <c r="FM206" s="60">
        <f>IF($FL206="",#N/A,SUM($FL$4:FL206))</f>
        <v>2.2961349371997213</v>
      </c>
      <c r="FN206" s="82">
        <f t="shared" si="416"/>
        <v>-1.2592592592592595</v>
      </c>
      <c r="FO206" s="82">
        <f>IF($FN206="",#N/A,SUM(FN$4:$FN206))</f>
        <v>32.737486222224973</v>
      </c>
      <c r="FP206" s="82">
        <f t="shared" si="437"/>
        <v>-0.77658303464755074</v>
      </c>
      <c r="FQ206" s="246">
        <f>IF($EH206="",#N/A,SUM($FP$4:FP206))</f>
        <v>29.156984206846083</v>
      </c>
      <c r="FR206" s="82">
        <f>IFERROR(FQ206/COUNTA($J$4:J206),#N/A)</f>
        <v>0.1436304640731334</v>
      </c>
      <c r="FS206" s="82">
        <f t="shared" si="441"/>
        <v>0.11567615950140329</v>
      </c>
      <c r="FT206" s="82">
        <f t="shared" si="417"/>
        <v>9.0612972181174811E-2</v>
      </c>
      <c r="FU206" s="337">
        <f>IF(AND(HB206="MOC",GZ206=""),#N/A,IFERROR(FQ206-HE206,FQ206-0))-14.53</f>
        <v>12.737522782660148</v>
      </c>
      <c r="FV206" s="57" t="str">
        <f t="shared" si="418"/>
        <v>SW</v>
      </c>
      <c r="FW206" s="57" t="s">
        <v>2732</v>
      </c>
      <c r="FX206" s="57" t="str">
        <f t="shared" si="419"/>
        <v/>
      </c>
      <c r="FY206" s="57" t="str">
        <f t="shared" si="420"/>
        <v/>
      </c>
      <c r="FZ206" s="57" t="str">
        <f t="shared" si="421"/>
        <v/>
      </c>
      <c r="GA206" s="57" t="str">
        <f t="shared" si="422"/>
        <v>Long</v>
      </c>
      <c r="GB206" s="57" t="str">
        <f t="shared" si="423"/>
        <v/>
      </c>
      <c r="GC206" s="57" t="str">
        <f t="shared" si="424"/>
        <v/>
      </c>
      <c r="GD206" s="57">
        <f t="shared" si="425"/>
        <v>1</v>
      </c>
      <c r="GE206" s="62">
        <f t="shared" si="339"/>
        <v>69.75</v>
      </c>
      <c r="GF206" s="62" t="s">
        <v>2779</v>
      </c>
      <c r="GG206" s="199">
        <v>6</v>
      </c>
      <c r="GH206" s="207">
        <f t="shared" si="426"/>
        <v>418.5</v>
      </c>
      <c r="GI206" s="199">
        <f t="shared" si="337"/>
        <v>6</v>
      </c>
      <c r="GJ206" s="200">
        <v>66.5</v>
      </c>
      <c r="GK206" s="63">
        <f t="shared" si="427"/>
        <v>-19.5</v>
      </c>
      <c r="GL206" s="63">
        <f t="shared" si="340"/>
        <v>-31.620000000000005</v>
      </c>
      <c r="GM206" s="82">
        <f t="shared" si="428"/>
        <v>-1.2592592592592595</v>
      </c>
      <c r="GN206" s="82">
        <f>IF($GZ206="",#N/A,SUM(GM$4:GM206))</f>
        <v>2.2590820586321878</v>
      </c>
      <c r="GO206" s="82" t="str">
        <f t="shared" si="429"/>
        <v/>
      </c>
      <c r="GP206" s="82">
        <f>IF($GZ206="",#N/A,SUM(GO$4:GO206))</f>
        <v>9.6401678589737294</v>
      </c>
      <c r="GQ206" s="82" t="str">
        <f t="shared" si="430"/>
        <v/>
      </c>
      <c r="GR206" s="82">
        <f>IF($GZ206="",#N/A,SUM(GQ$4:GQ206))</f>
        <v>20.212399350176707</v>
      </c>
      <c r="GS206" s="63" t="e">
        <f t="shared" si="438"/>
        <v>#N/A</v>
      </c>
      <c r="GT206" s="63" t="e">
        <f>IF($GZ206="",#N/A,SUM(GS$4:GS206))</f>
        <v>#N/A</v>
      </c>
      <c r="GU206" s="63" t="str">
        <f t="shared" si="439"/>
        <v/>
      </c>
      <c r="GV206" s="63" t="e">
        <f>IF($GZ206="",#N/A,SUM(GU$4:GU206))</f>
        <v>#N/A</v>
      </c>
      <c r="GW206" s="63" t="str">
        <f t="shared" si="440"/>
        <v/>
      </c>
      <c r="GX206" s="63" t="e">
        <f>IF($GZ206="",#N/A,SUM(GW$4:GW206))</f>
        <v>#N/A</v>
      </c>
      <c r="GY206" s="63" t="e">
        <f>IF(EJ206="",#N/A,SUM($EJ$4:EJ206))</f>
        <v>#N/A</v>
      </c>
      <c r="GZ206" s="159">
        <v>64.48</v>
      </c>
      <c r="HA206" s="63">
        <f t="shared" si="431"/>
        <v>-12.120000000000005</v>
      </c>
      <c r="HB206" s="62" t="s">
        <v>2538</v>
      </c>
      <c r="HC206" s="60">
        <f>IFERROR(VLOOKUP(E206,Expectancy!$P$4:$S$19,1+C206,FALSE),"")</f>
        <v>2.40735201201209E-2</v>
      </c>
      <c r="HD206" s="82">
        <f t="shared" si="432"/>
        <v>-0.77658303464755074</v>
      </c>
      <c r="HE206" s="82">
        <f>IF(HD206="",#N/A,SUM($HD$4:HD206))</f>
        <v>1.8894614241859364</v>
      </c>
      <c r="HF206" s="85">
        <f>IF(HD206="",#N/A,IF(HB206="Skip",#N/A,SUM($HG$4:HG206)))</f>
        <v>73.355492144835409</v>
      </c>
      <c r="HG206" s="63">
        <f t="shared" si="433"/>
        <v>-19.5</v>
      </c>
      <c r="HH206" s="82">
        <f t="shared" si="434"/>
        <v>-1.2592592592592595</v>
      </c>
    </row>
    <row r="207" spans="1:216" x14ac:dyDescent="0.25">
      <c r="A207" s="57" t="s">
        <v>1334</v>
      </c>
      <c r="B207" s="58" t="s">
        <v>5207</v>
      </c>
      <c r="C207" s="386">
        <f t="shared" si="343"/>
        <v>1</v>
      </c>
      <c r="D207" s="372" t="str">
        <f>_xlfn.XLOOKUP(A207,[1]SP500!$A$2:$A$502,[1]SP500!$D$2:$D$502,"N")</f>
        <v>Y</v>
      </c>
      <c r="E207" s="57" t="str">
        <f>_xlfn.XLOOKUP(A207,[1]SP500!$A$2:$A$655,[1]SP500!$B$2:$B$655)</f>
        <v>XLV</v>
      </c>
      <c r="F207" s="59">
        <v>45693</v>
      </c>
      <c r="G207" s="57" t="str">
        <f t="shared" si="344"/>
        <v>BMO</v>
      </c>
      <c r="H207" s="57" t="str">
        <f t="shared" si="345"/>
        <v>o</v>
      </c>
      <c r="I207" s="159">
        <v>103.54</v>
      </c>
      <c r="J207" s="159">
        <v>102.94</v>
      </c>
      <c r="K207" s="61">
        <f t="shared" si="346"/>
        <v>-5.7948618891250575E-3</v>
      </c>
      <c r="L207" s="87">
        <f t="shared" si="347"/>
        <v>2.4000000000000341</v>
      </c>
      <c r="M207" s="130">
        <f t="shared" si="338"/>
        <v>0</v>
      </c>
      <c r="N207" s="169">
        <f t="shared" si="348"/>
        <v>-2.4000000000000341</v>
      </c>
      <c r="O207" s="169">
        <f>IF($J207="",#N/A,SUM($N$4:N207))</f>
        <v>259.23775768049535</v>
      </c>
      <c r="P207" s="174" t="str">
        <f t="shared" si="349"/>
        <v/>
      </c>
      <c r="Q207" s="174">
        <f>IF($J207="",#N/A,SUM($P$4:P207))</f>
        <v>414.07776401603689</v>
      </c>
      <c r="R207" s="178" t="str">
        <f t="shared" si="350"/>
        <v/>
      </c>
      <c r="S207" s="178">
        <f>IF($J207="",#N/A,SUM($R$4:R207))</f>
        <v>64.619133907681146</v>
      </c>
      <c r="T207" s="290">
        <f t="shared" si="351"/>
        <v>-9.6581031485417634E-2</v>
      </c>
      <c r="U207" s="290">
        <f>IF($J207="",#N/A,SUM($T$4:T207))</f>
        <v>9.2664713056117947</v>
      </c>
      <c r="V207" s="291" t="str">
        <f t="shared" si="352"/>
        <v/>
      </c>
      <c r="W207" s="291">
        <f>IF($J207="",#N/A,SUM($V$4:V207))</f>
        <v>17.31349767035293</v>
      </c>
      <c r="X207" s="292" t="str">
        <f t="shared" si="353"/>
        <v/>
      </c>
      <c r="Y207" s="292">
        <f>IF($J207="",#N/A,SUM($X$4:X207))</f>
        <v>2.4804341993959298</v>
      </c>
      <c r="Z207" s="304" t="str">
        <f t="shared" si="354"/>
        <v/>
      </c>
      <c r="AA207" s="313" t="e">
        <f>IF($J207="",#N/A,SUM(Z$4:Z207))</f>
        <v>#N/A</v>
      </c>
      <c r="AB207" s="314" t="str">
        <f t="shared" si="355"/>
        <v/>
      </c>
      <c r="AC207" s="314" t="e">
        <f>IF($J207="",#N/A,SUM(AB$4:AB207))</f>
        <v>#N/A</v>
      </c>
      <c r="AD207" s="315" t="str">
        <f t="shared" si="356"/>
        <v/>
      </c>
      <c r="AE207" s="315" t="e">
        <f>IF($J207="",#N/A,SUM(AD$4:AD207))</f>
        <v>#N/A</v>
      </c>
      <c r="AF207" s="315" t="e">
        <f>IF($J207="",#N/A,SUM(AD$4:AD207,AB$4:AB207,Z$4:Z207))</f>
        <v>#N/A</v>
      </c>
      <c r="AG207" s="304" t="str">
        <f t="shared" si="357"/>
        <v/>
      </c>
      <c r="AH207" s="313" t="e">
        <f>IF($J207="",#N/A,SUM(AG$4:AG207))</f>
        <v>#N/A</v>
      </c>
      <c r="AI207" s="314" t="str">
        <f t="shared" si="358"/>
        <v/>
      </c>
      <c r="AJ207" s="314" t="e">
        <f>IF($J207="",#N/A,SUM(AI$4:AI207))</f>
        <v>#N/A</v>
      </c>
      <c r="AK207" s="315" t="str">
        <f t="shared" si="359"/>
        <v/>
      </c>
      <c r="AL207" s="315" t="e">
        <f>IF($J207="",#N/A,SUM(AK$4:AK207))</f>
        <v>#N/A</v>
      </c>
      <c r="AM207" s="315" t="e">
        <f>IF($J207="",#N/A,SUM(AK$4:AK207,AI$4:AI207,AG$4:AG207))</f>
        <v>#N/A</v>
      </c>
      <c r="AN207" s="304" t="str">
        <f t="shared" si="360"/>
        <v/>
      </c>
      <c r="AO207" s="313" t="e">
        <f>IF($J207="",#N/A,SUM(AN$4:AN207))</f>
        <v>#N/A</v>
      </c>
      <c r="AP207" s="314" t="str">
        <f t="shared" si="361"/>
        <v/>
      </c>
      <c r="AQ207" s="314" t="e">
        <f>IF($J207="",#N/A,SUM(AP$4:AP207))</f>
        <v>#N/A</v>
      </c>
      <c r="AR207" s="315" t="str">
        <f t="shared" si="362"/>
        <v/>
      </c>
      <c r="AS207" s="315" t="e">
        <f>IF($J207="",#N/A,SUM(AR$4:AR207))</f>
        <v>#N/A</v>
      </c>
      <c r="AT207" s="315" t="e">
        <f>IF($J207="",#N/A,SUM(AR$4:AR207,AP$4:AP207,AN$4:AN207))</f>
        <v>#N/A</v>
      </c>
      <c r="AU207" s="304" t="str">
        <f t="shared" si="363"/>
        <v/>
      </c>
      <c r="AV207" s="313" t="e">
        <f>IF($J207="",#N/A,SUM(AU$4:AU207))</f>
        <v>#N/A</v>
      </c>
      <c r="AW207" s="314" t="str">
        <f t="shared" si="364"/>
        <v/>
      </c>
      <c r="AX207" s="314" t="e">
        <f>IF($J207="",#N/A,SUM(AW$4:AW207))</f>
        <v>#N/A</v>
      </c>
      <c r="AY207" s="315" t="str">
        <f t="shared" si="365"/>
        <v/>
      </c>
      <c r="AZ207" s="315" t="e">
        <f>IF($J207="",#N/A,SUM(AY$4:AY207))</f>
        <v>#N/A</v>
      </c>
      <c r="BA207" s="315" t="e">
        <f>IF($J207="",#N/A,SUM(AY$4:AY207,AW$4:AW207,AU$4:AU207))</f>
        <v>#N/A</v>
      </c>
      <c r="BB207" s="304" t="str">
        <f t="shared" si="366"/>
        <v/>
      </c>
      <c r="BC207" s="313" t="e">
        <f>IF($J207="",#N/A,SUM(BB$4:BB207))</f>
        <v>#N/A</v>
      </c>
      <c r="BD207" s="314" t="str">
        <f t="shared" si="367"/>
        <v/>
      </c>
      <c r="BE207" s="314" t="e">
        <f>IF($J207="",#N/A,SUM(BD$4:BD207))</f>
        <v>#N/A</v>
      </c>
      <c r="BF207" s="315" t="str">
        <f t="shared" si="368"/>
        <v/>
      </c>
      <c r="BG207" s="315" t="e">
        <f>IF($J207="",#N/A,SUM(BF$4:BF207))</f>
        <v>#N/A</v>
      </c>
      <c r="BH207" s="315" t="e">
        <f>IF($J207="",#N/A,SUM(BF$4:BF207,BD$4:BD207,BB$4:BB207))</f>
        <v>#N/A</v>
      </c>
      <c r="BI207" s="304" t="str">
        <f t="shared" si="369"/>
        <v/>
      </c>
      <c r="BJ207" s="313" t="e">
        <f>IF($J207="",#N/A,SUM(BI$4:BI207))</f>
        <v>#N/A</v>
      </c>
      <c r="BK207" s="314" t="str">
        <f t="shared" si="370"/>
        <v/>
      </c>
      <c r="BL207" s="314" t="e">
        <f>IF($J207="",#N/A,SUM(BK$4:BK207))</f>
        <v>#N/A</v>
      </c>
      <c r="BM207" s="315" t="str">
        <f t="shared" si="371"/>
        <v/>
      </c>
      <c r="BN207" s="315" t="e">
        <f>IF($J207="",#N/A,SUM(BM$4:BM207))</f>
        <v>#N/A</v>
      </c>
      <c r="BO207" s="315" t="e">
        <f>IF($J207="",#N/A,SUM(BM$4:BM207,BK$4:BK207,BI$4:BI207))</f>
        <v>#N/A</v>
      </c>
      <c r="BP207" s="304" t="str">
        <f t="shared" si="372"/>
        <v/>
      </c>
      <c r="BQ207" s="313" t="e">
        <f>IF($J207="",#N/A,SUM(BP$4:BP207))</f>
        <v>#N/A</v>
      </c>
      <c r="BR207" s="314" t="str">
        <f t="shared" si="373"/>
        <v/>
      </c>
      <c r="BS207" s="314" t="e">
        <f>IF($J207="",#N/A,SUM(BR$4:BR207))</f>
        <v>#N/A</v>
      </c>
      <c r="BT207" s="315" t="str">
        <f t="shared" si="374"/>
        <v/>
      </c>
      <c r="BU207" s="315" t="e">
        <f>IF($J207="",#N/A,SUM(BT$4:BT207))</f>
        <v>#N/A</v>
      </c>
      <c r="BV207" s="315" t="e">
        <f>IF($J207="",#N/A,SUM(BT$4:BT207,BR$4:BR207,BP$4:BP207))</f>
        <v>#N/A</v>
      </c>
      <c r="BW207" s="304">
        <f t="shared" si="375"/>
        <v>-9.6581031485417634E-2</v>
      </c>
      <c r="BX207" s="313" t="e">
        <f>IF($J207="",#N/A,SUM(BW$4:BW207))</f>
        <v>#N/A</v>
      </c>
      <c r="BY207" s="314" t="str">
        <f t="shared" si="376"/>
        <v/>
      </c>
      <c r="BZ207" s="314" t="e">
        <f>IF($J207="",#N/A,SUM(BY$4:BY207))</f>
        <v>#N/A</v>
      </c>
      <c r="CA207" s="315" t="str">
        <f t="shared" si="377"/>
        <v/>
      </c>
      <c r="CB207" s="315" t="e">
        <f>IF($J207="",#N/A,SUM(CA$4:CA207))</f>
        <v>#N/A</v>
      </c>
      <c r="CC207" s="315" t="e">
        <f>IF($J207="",#N/A,SUM(CA$4:CA207,BY$4:BY207,BW$4:BW207))</f>
        <v>#N/A</v>
      </c>
      <c r="CD207" s="304" t="str">
        <f t="shared" si="378"/>
        <v/>
      </c>
      <c r="CE207" s="313" t="e">
        <f>IF($J207="",#N/A,SUM(CD$4:CD207))</f>
        <v>#N/A</v>
      </c>
      <c r="CF207" s="314" t="str">
        <f t="shared" si="379"/>
        <v/>
      </c>
      <c r="CG207" s="314" t="e">
        <f>IF($J207="",#N/A,SUM(CF$4:CF207))</f>
        <v>#N/A</v>
      </c>
      <c r="CH207" s="315" t="str">
        <f t="shared" si="380"/>
        <v/>
      </c>
      <c r="CI207" s="315" t="e">
        <f>IF($J207="",#N/A,SUM(CH$4:CH207))</f>
        <v>#N/A</v>
      </c>
      <c r="CJ207" s="315" t="e">
        <f>IF($J207="",#N/A,SUM(CH$4:CH207,CF$4:CF207,CD$4:CD207))</f>
        <v>#N/A</v>
      </c>
      <c r="CK207" s="304" t="str">
        <f t="shared" si="381"/>
        <v/>
      </c>
      <c r="CL207" s="313" t="e">
        <f>IF($J207="",#N/A,SUM(CK$4:CK207))</f>
        <v>#N/A</v>
      </c>
      <c r="CM207" s="314" t="str">
        <f t="shared" si="382"/>
        <v/>
      </c>
      <c r="CN207" s="314" t="e">
        <f>IF($J207="",#N/A,SUM(CM$4:CM207))</f>
        <v>#N/A</v>
      </c>
      <c r="CO207" s="315" t="str">
        <f t="shared" si="383"/>
        <v/>
      </c>
      <c r="CP207" s="315" t="e">
        <f>IF($J207="",#N/A,SUM(CO$4:CO207))</f>
        <v>#N/A</v>
      </c>
      <c r="CQ207" s="315" t="e">
        <f>IF($J207="",#N/A,SUM(CO$4:CO207,CM$4:CM207,CK$4:CK207))</f>
        <v>#N/A</v>
      </c>
      <c r="CR207" s="304" t="str">
        <f t="shared" si="384"/>
        <v/>
      </c>
      <c r="CS207" s="313" t="e">
        <f>IF($J207="",#N/A,SUM(CR$4:CR207))</f>
        <v>#N/A</v>
      </c>
      <c r="CT207" s="314" t="str">
        <f t="shared" si="385"/>
        <v/>
      </c>
      <c r="CU207" s="314" t="e">
        <f>IF($J207="",#N/A,SUM(CT$4:CT207))</f>
        <v>#N/A</v>
      </c>
      <c r="CV207" s="315" t="str">
        <f t="shared" si="386"/>
        <v/>
      </c>
      <c r="CW207" s="315" t="e">
        <f>IF($J207="",#N/A,SUM(CV$4:CV207))</f>
        <v>#N/A</v>
      </c>
      <c r="CX207" s="315" t="e">
        <f>IF($J207="",#N/A,SUM(CV$4:CV207,CT$4:CT207,CR$4:CR207))</f>
        <v>#N/A</v>
      </c>
      <c r="CY207" s="304" t="str">
        <f t="shared" si="387"/>
        <v/>
      </c>
      <c r="CZ207" s="313" t="e">
        <f>IF($J207="",#N/A,SUM(CY$4:CY207))</f>
        <v>#N/A</v>
      </c>
      <c r="DA207" s="314" t="str">
        <f t="shared" si="388"/>
        <v/>
      </c>
      <c r="DB207" s="314" t="e">
        <f>IF($J207="",#N/A,SUM(DA$4:DA207))</f>
        <v>#N/A</v>
      </c>
      <c r="DC207" s="315" t="str">
        <f t="shared" si="389"/>
        <v/>
      </c>
      <c r="DD207" s="315" t="e">
        <f>IF($J207="",#N/A,SUM(DC$4:DC207))</f>
        <v>#N/A</v>
      </c>
      <c r="DE207" s="315" t="e">
        <f>IF($J207="",#N/A,SUM(DC$4:DC207,DA$4:DA207,CY$4:CY207))</f>
        <v>#N/A</v>
      </c>
      <c r="DF207" s="304" t="str">
        <f t="shared" si="390"/>
        <v/>
      </c>
      <c r="DG207" s="313" t="e">
        <f>IF($J207="",#N/A,SUM(DF$4:DF207))</f>
        <v>#N/A</v>
      </c>
      <c r="DH207" s="314" t="str">
        <f t="shared" si="391"/>
        <v/>
      </c>
      <c r="DI207" s="314" t="e">
        <f>IF($J207="",#N/A,SUM(DH$4:DH207))</f>
        <v>#N/A</v>
      </c>
      <c r="DJ207" s="315" t="str">
        <f t="shared" si="392"/>
        <v/>
      </c>
      <c r="DK207" s="315" t="e">
        <f>IF($J207="",#N/A,SUM(DJ$4:DJ207))</f>
        <v>#N/A</v>
      </c>
      <c r="DL207" s="315" t="e">
        <f>IF($J207="",#N/A,SUM(DJ$4:DJ207,DH$4:DH207,DF$4:DF207))</f>
        <v>#N/A</v>
      </c>
      <c r="DM207" s="304" t="str">
        <f t="shared" si="393"/>
        <v/>
      </c>
      <c r="DN207" s="313" t="e">
        <f>IF($J207="",#N/A,SUM(DM$4:DM207))</f>
        <v>#N/A</v>
      </c>
      <c r="DO207" s="314" t="str">
        <f t="shared" si="394"/>
        <v/>
      </c>
      <c r="DP207" s="314" t="e">
        <f>IF($J207="",#N/A,SUM(DO$4:DO207))</f>
        <v>#N/A</v>
      </c>
      <c r="DQ207" s="315" t="str">
        <f t="shared" si="395"/>
        <v/>
      </c>
      <c r="DR207" s="315" t="e">
        <f>IF($J207="",#N/A,SUM(DQ$4:DQ207))</f>
        <v>#N/A</v>
      </c>
      <c r="DS207" s="315" t="e">
        <f>IF($J207="",#N/A,SUM(DQ$4:DQ207,DO$4:DO207,DM$4:DM207))</f>
        <v>#N/A</v>
      </c>
      <c r="DT207" s="304" t="str">
        <f t="shared" si="396"/>
        <v/>
      </c>
      <c r="DU207" s="313" t="e">
        <f>IF($J207="",#N/A,SUM(DT$4:DT207))</f>
        <v>#N/A</v>
      </c>
      <c r="DV207" s="314" t="str">
        <f t="shared" si="397"/>
        <v/>
      </c>
      <c r="DW207" s="314" t="e">
        <f>IF($J207="",#N/A,SUM(DV$4:DV207))</f>
        <v>#N/A</v>
      </c>
      <c r="DX207" s="315" t="str">
        <f t="shared" si="398"/>
        <v/>
      </c>
      <c r="DY207" s="315" t="e">
        <f>IF($J207="",#N/A,SUM(DX$4:DX207))</f>
        <v>#N/A</v>
      </c>
      <c r="DZ207" s="315" t="e">
        <f>IF($J207="",#N/A,SUM(DX$4:DX207,DV$4:DV207,DT$4:DT207))</f>
        <v>#N/A</v>
      </c>
      <c r="EA207" s="304" t="str">
        <f t="shared" si="399"/>
        <v/>
      </c>
      <c r="EB207" s="313" t="e">
        <f>IF($J207="",#N/A,SUM(EA$4:EA207))</f>
        <v>#N/A</v>
      </c>
      <c r="EC207" s="314" t="str">
        <f t="shared" si="400"/>
        <v/>
      </c>
      <c r="ED207" s="314" t="e">
        <f>IF($J207="",#N/A,SUM(EC$4:EC207))</f>
        <v>#N/A</v>
      </c>
      <c r="EE207" s="315" t="str">
        <f t="shared" si="401"/>
        <v/>
      </c>
      <c r="EF207" s="315" t="e">
        <f>IF($J207="",#N/A,SUM(EE$4:EE207))</f>
        <v>#N/A</v>
      </c>
      <c r="EG207" s="315" t="e">
        <f>IF($J207="",#N/A,SUM(EE$4:EE207,EC$4:EC207,EA$4:EA207))</f>
        <v>#N/A</v>
      </c>
      <c r="EH207" s="130">
        <f t="shared" si="402"/>
        <v>-2.4000000000000341</v>
      </c>
      <c r="EI207" s="63">
        <f>IF(EH207="",#N/A,SUM($EH$4:EH207))</f>
        <v>737.9346556042135</v>
      </c>
      <c r="EJ207" s="223" t="e">
        <f t="shared" si="403"/>
        <v>#N/A</v>
      </c>
      <c r="EK207" s="63" t="e">
        <f>IF($GZ207="",#N/A,SUM(EJ$4:EJ207))</f>
        <v>#N/A</v>
      </c>
      <c r="EL207" s="60">
        <f t="shared" si="435"/>
        <v>-9.6581031485417634E-2</v>
      </c>
      <c r="EM207" s="60">
        <f>IF(EL207="",NA(),SUM($EL$4:EL207))</f>
        <v>20.362766839212892</v>
      </c>
      <c r="EN207" s="60">
        <f t="shared" si="404"/>
        <v>-9.6581031485417634E-2</v>
      </c>
      <c r="EO207" s="60">
        <f>IF(EN207="",NA(),SUM($EN$4:EN207))</f>
        <v>7.3097644809610696</v>
      </c>
      <c r="EP207" s="60" t="str">
        <f t="shared" si="405"/>
        <v/>
      </c>
      <c r="EQ207" s="60" t="e">
        <f>IF(EP207="",NA(),SUM($EP$4:EP207))</f>
        <v>#N/A</v>
      </c>
      <c r="ER207" s="60" t="str">
        <f t="shared" si="406"/>
        <v/>
      </c>
      <c r="ES207" s="60" t="e">
        <f>IF(ER207="",NA(),SUM($ER$4:ER207))</f>
        <v>#N/A</v>
      </c>
      <c r="ET207" s="60" t="str">
        <f t="shared" si="407"/>
        <v/>
      </c>
      <c r="EU207" s="60" t="e">
        <f>IF(ET207="",NA(),SUM($ET$4:ET207))</f>
        <v>#N/A</v>
      </c>
      <c r="EV207" s="60" t="str">
        <f t="shared" si="408"/>
        <v/>
      </c>
      <c r="EW207" s="60" t="e">
        <f>IF(EV207="",NA(),SUM($EV$4:EV207))</f>
        <v>#N/A</v>
      </c>
      <c r="EX207" s="60" t="str">
        <f t="shared" si="409"/>
        <v/>
      </c>
      <c r="EY207" s="60" t="e">
        <f>IF(EX207="",NA(),SUM($EX$4:EX207))</f>
        <v>#N/A</v>
      </c>
      <c r="EZ207" s="60" t="str">
        <f t="shared" si="410"/>
        <v/>
      </c>
      <c r="FA207" s="60" t="e">
        <f>IF(EZ207="",NA(),SUM($EZ$4:EZ207))</f>
        <v>#N/A</v>
      </c>
      <c r="FB207" s="246" t="str">
        <f t="shared" si="436"/>
        <v/>
      </c>
      <c r="FC207" s="246" t="e">
        <f>IF($FB207="",#N/A,SUM(FB$4:$FB207))</f>
        <v>#N/A</v>
      </c>
      <c r="FD207" s="60" t="str">
        <f t="shared" si="411"/>
        <v/>
      </c>
      <c r="FE207" s="60" t="e">
        <f>IF($FD207="",#N/A,SUM($FD$4:FD207))</f>
        <v>#N/A</v>
      </c>
      <c r="FF207" s="60" t="str">
        <f t="shared" si="412"/>
        <v/>
      </c>
      <c r="FG207" s="60" t="e">
        <f>IF($FF207="",#N/A,SUM($FF$4:FF207))</f>
        <v>#N/A</v>
      </c>
      <c r="FH207" s="60">
        <f t="shared" si="413"/>
        <v>0.32676582319232517</v>
      </c>
      <c r="FI207" s="60">
        <f>IF($FH207="",#N/A,SUM($FH$4:FH207))</f>
        <v>1.8298539790697068</v>
      </c>
      <c r="FJ207" s="60" t="str">
        <f t="shared" si="414"/>
        <v/>
      </c>
      <c r="FK207" s="60" t="e">
        <f>IF($FJ207="",#N/A,SUM($FJ$4:FJ207))</f>
        <v>#N/A</v>
      </c>
      <c r="FL207" s="60" t="str">
        <f t="shared" si="415"/>
        <v/>
      </c>
      <c r="FM207" s="60" t="e">
        <f>IF($FL207="",#N/A,SUM($FL$4:FL207))</f>
        <v>#N/A</v>
      </c>
      <c r="FN207" s="82">
        <f t="shared" si="416"/>
        <v>0.23018479170690756</v>
      </c>
      <c r="FO207" s="82">
        <f>IF($FN207="",#N/A,SUM(FN$4:$FN207))</f>
        <v>32.967671013931884</v>
      </c>
      <c r="FP207" s="82">
        <f t="shared" si="437"/>
        <v>-9.6581031485417634E-2</v>
      </c>
      <c r="FQ207" s="246">
        <f>IF($EH207="",#N/A,SUM($FP$4:FP207))</f>
        <v>29.060403175360666</v>
      </c>
      <c r="FR207" s="82">
        <f>IFERROR(FQ207/COUNTA($J$4:J207),#N/A)</f>
        <v>0.14245295674196404</v>
      </c>
      <c r="FS207" s="82">
        <f t="shared" si="441"/>
        <v>0.11915611399510766</v>
      </c>
      <c r="FT207" s="82">
        <f t="shared" si="417"/>
        <v>0.1074295390037352</v>
      </c>
      <c r="FU207" s="337">
        <f>IF(AND(HB207="MOC",GZ207=""),#N/A,IFERROR(FQ207-HE207,FQ207-0))-14.53</f>
        <v>12.544360719689314</v>
      </c>
      <c r="FV207" s="57" t="str">
        <f t="shared" si="418"/>
        <v>Up</v>
      </c>
      <c r="FW207" s="57" t="s">
        <v>2734</v>
      </c>
      <c r="FX207" s="57" t="str">
        <f t="shared" si="419"/>
        <v/>
      </c>
      <c r="FY207" s="57" t="str">
        <f t="shared" si="420"/>
        <v/>
      </c>
      <c r="FZ207" s="57" t="str">
        <f t="shared" si="421"/>
        <v/>
      </c>
      <c r="GA207" s="57" t="str">
        <f t="shared" si="422"/>
        <v>Long</v>
      </c>
      <c r="GB207" s="57" t="str">
        <f t="shared" si="423"/>
        <v/>
      </c>
      <c r="GC207" s="57">
        <f t="shared" si="424"/>
        <v>1</v>
      </c>
      <c r="GD207" s="57" t="str">
        <f t="shared" si="425"/>
        <v/>
      </c>
      <c r="GE207" s="62">
        <f t="shared" si="339"/>
        <v>103.54</v>
      </c>
      <c r="GF207" s="62" t="s">
        <v>2780</v>
      </c>
      <c r="GG207" s="199">
        <v>4</v>
      </c>
      <c r="GH207" s="207">
        <f t="shared" si="426"/>
        <v>414.16</v>
      </c>
      <c r="GI207" s="199">
        <f t="shared" si="337"/>
        <v>4</v>
      </c>
      <c r="GJ207" s="200">
        <v>102.94</v>
      </c>
      <c r="GK207" s="63">
        <f t="shared" si="427"/>
        <v>2.4000000000000341</v>
      </c>
      <c r="GL207" s="63">
        <f t="shared" si="340"/>
        <v>-5.7199999999999704</v>
      </c>
      <c r="GM207" s="82" t="str">
        <f t="shared" si="428"/>
        <v/>
      </c>
      <c r="GN207" s="82">
        <f>IF($GZ207="",#N/A,SUM(GM$4:GM207))</f>
        <v>2.2590820586321878</v>
      </c>
      <c r="GO207" s="82">
        <f t="shared" si="429"/>
        <v>0.23018479170690756</v>
      </c>
      <c r="GP207" s="82">
        <f>IF($GZ207="",#N/A,SUM(GO$4:GO207))</f>
        <v>9.8703526506806369</v>
      </c>
      <c r="GQ207" s="82" t="str">
        <f t="shared" si="430"/>
        <v/>
      </c>
      <c r="GR207" s="82">
        <f>IF($GZ207="",#N/A,SUM(GQ$4:GQ207))</f>
        <v>20.212399350176707</v>
      </c>
      <c r="GS207" s="63" t="str">
        <f t="shared" si="438"/>
        <v/>
      </c>
      <c r="GT207" s="63" t="e">
        <f>IF($GZ207="",#N/A,SUM(GS$4:GS207))</f>
        <v>#N/A</v>
      </c>
      <c r="GU207" s="63" t="e">
        <f t="shared" si="439"/>
        <v>#N/A</v>
      </c>
      <c r="GV207" s="63" t="e">
        <f>IF($GZ207="",#N/A,SUM(GU$4:GU207))</f>
        <v>#N/A</v>
      </c>
      <c r="GW207" s="63" t="str">
        <f t="shared" si="440"/>
        <v/>
      </c>
      <c r="GX207" s="63" t="e">
        <f>IF($GZ207="",#N/A,SUM(GW$4:GW207))</f>
        <v>#N/A</v>
      </c>
      <c r="GY207" s="63" t="e">
        <f>IF(EJ207="",#N/A,SUM($EJ$4:EJ207))</f>
        <v>#N/A</v>
      </c>
      <c r="GZ207" s="159">
        <v>104.97</v>
      </c>
      <c r="HA207" s="63">
        <f t="shared" si="431"/>
        <v>-3.3199999999999363</v>
      </c>
      <c r="HB207" s="62" t="s">
        <v>2538</v>
      </c>
      <c r="HC207" s="60">
        <f>IFERROR(VLOOKUP(E207,Expectancy!$P$4:$S$19,1+C207,FALSE),"")</f>
        <v>-0.45514116799985843</v>
      </c>
      <c r="HD207" s="82">
        <f t="shared" si="432"/>
        <v>9.6581031485417634E-2</v>
      </c>
      <c r="HE207" s="82">
        <f>IF(HD207="",#N/A,SUM($HD$4:HD207))</f>
        <v>1.9860424556713541</v>
      </c>
      <c r="HF207" s="85">
        <f>IF(HD207="",#N/A,IF(HB207="Skip",#N/A,SUM($HG$4:HG207)))</f>
        <v>75.755492144835443</v>
      </c>
      <c r="HG207" s="63">
        <f t="shared" si="433"/>
        <v>2.4000000000000341</v>
      </c>
      <c r="HH207" s="82">
        <f t="shared" si="434"/>
        <v>0.23018479170690756</v>
      </c>
    </row>
    <row r="208" spans="1:216" x14ac:dyDescent="0.25">
      <c r="A208" s="57" t="s">
        <v>1338</v>
      </c>
      <c r="B208" s="58" t="s">
        <v>5208</v>
      </c>
      <c r="C208" s="386">
        <f t="shared" si="343"/>
        <v>1</v>
      </c>
      <c r="D208" s="372" t="str">
        <f>_xlfn.XLOOKUP(A208,[1]SP500!$A$2:$A$502,[1]SP500!$D$2:$D$502,"N")</f>
        <v>Y</v>
      </c>
      <c r="E208" s="57" t="str">
        <f>_xlfn.XLOOKUP(A208,[1]SP500!$A$2:$A$655,[1]SP500!$B$2:$B$655)</f>
        <v>XLF</v>
      </c>
      <c r="F208" s="59">
        <v>45693</v>
      </c>
      <c r="G208" s="57" t="str">
        <f t="shared" si="344"/>
        <v>BMO</v>
      </c>
      <c r="H208" s="57" t="str">
        <f t="shared" si="345"/>
        <v>o</v>
      </c>
      <c r="I208" s="162">
        <v>214.22</v>
      </c>
      <c r="J208" s="159">
        <v>224.41</v>
      </c>
      <c r="K208" s="61">
        <f t="shared" si="346"/>
        <v>4.7567920829054235E-2</v>
      </c>
      <c r="L208" s="87">
        <f t="shared" si="347"/>
        <v>19.027168331621681</v>
      </c>
      <c r="M208" s="214" t="e">
        <f t="shared" si="338"/>
        <v>#N/A</v>
      </c>
      <c r="N208" s="168">
        <f t="shared" si="348"/>
        <v>19.027168331621681</v>
      </c>
      <c r="O208" s="168">
        <f>IF($J208="",#N/A,SUM($N$4:N208))</f>
        <v>278.26492601211703</v>
      </c>
      <c r="P208" s="173" t="str">
        <f t="shared" si="349"/>
        <v/>
      </c>
      <c r="Q208" s="173">
        <f>IF($J208="",#N/A,SUM($P$4:P208))</f>
        <v>414.07776401603689</v>
      </c>
      <c r="R208" s="177" t="str">
        <f t="shared" si="350"/>
        <v/>
      </c>
      <c r="S208" s="177">
        <f>IF($J208="",#N/A,SUM($R$4:R208))</f>
        <v>64.619133907681146</v>
      </c>
      <c r="T208" s="293">
        <f t="shared" si="351"/>
        <v>0.79279868048423674</v>
      </c>
      <c r="U208" s="293">
        <f>IF($J208="",#N/A,SUM($T$4:T208))</f>
        <v>10.059269986096032</v>
      </c>
      <c r="V208" s="294" t="str">
        <f t="shared" si="352"/>
        <v/>
      </c>
      <c r="W208" s="294">
        <f>IF($J208="",#N/A,SUM($V$4:V208))</f>
        <v>17.31349767035293</v>
      </c>
      <c r="X208" s="295" t="str">
        <f t="shared" si="353"/>
        <v/>
      </c>
      <c r="Y208" s="295">
        <f>IF($J208="",#N/A,SUM($X$4:X208))</f>
        <v>2.4804341993959298</v>
      </c>
      <c r="Z208" s="304" t="str">
        <f t="shared" si="354"/>
        <v/>
      </c>
      <c r="AA208" s="316" t="e">
        <f>IF($J208="",#N/A,SUM(Z$4:Z208))</f>
        <v>#N/A</v>
      </c>
      <c r="AB208" s="317" t="str">
        <f t="shared" si="355"/>
        <v/>
      </c>
      <c r="AC208" s="317" t="e">
        <f>IF($J208="",#N/A,SUM(AB$4:AB208))</f>
        <v>#N/A</v>
      </c>
      <c r="AD208" s="318" t="str">
        <f t="shared" si="356"/>
        <v/>
      </c>
      <c r="AE208" s="318" t="e">
        <f>IF($J208="",#N/A,SUM(AD$4:AD208))</f>
        <v>#N/A</v>
      </c>
      <c r="AF208" s="318" t="e">
        <f>IF($J208="",#N/A,SUM(AD$4:AD208,AB$4:AB208,Z$4:Z208))</f>
        <v>#N/A</v>
      </c>
      <c r="AG208" s="304" t="str">
        <f t="shared" si="357"/>
        <v/>
      </c>
      <c r="AH208" s="316" t="e">
        <f>IF($J208="",#N/A,SUM(AG$4:AG208))</f>
        <v>#N/A</v>
      </c>
      <c r="AI208" s="317" t="str">
        <f t="shared" si="358"/>
        <v/>
      </c>
      <c r="AJ208" s="317" t="e">
        <f>IF($J208="",#N/A,SUM(AI$4:AI208))</f>
        <v>#N/A</v>
      </c>
      <c r="AK208" s="318" t="str">
        <f t="shared" si="359"/>
        <v/>
      </c>
      <c r="AL208" s="318" t="e">
        <f>IF($J208="",#N/A,SUM(AK$4:AK208))</f>
        <v>#N/A</v>
      </c>
      <c r="AM208" s="318" t="e">
        <f>IF($J208="",#N/A,SUM(AK$4:AK208,AI$4:AI208,AG$4:AG208))</f>
        <v>#N/A</v>
      </c>
      <c r="AN208" s="304" t="str">
        <f t="shared" si="360"/>
        <v/>
      </c>
      <c r="AO208" s="316" t="e">
        <f>IF($J208="",#N/A,SUM(AN$4:AN208))</f>
        <v>#N/A</v>
      </c>
      <c r="AP208" s="317" t="str">
        <f t="shared" si="361"/>
        <v/>
      </c>
      <c r="AQ208" s="317" t="e">
        <f>IF($J208="",#N/A,SUM(AP$4:AP208))</f>
        <v>#N/A</v>
      </c>
      <c r="AR208" s="318" t="str">
        <f t="shared" si="362"/>
        <v/>
      </c>
      <c r="AS208" s="318" t="e">
        <f>IF($J208="",#N/A,SUM(AR$4:AR208))</f>
        <v>#N/A</v>
      </c>
      <c r="AT208" s="318" t="e">
        <f>IF($J208="",#N/A,SUM(AR$4:AR208,AP$4:AP208,AN$4:AN208))</f>
        <v>#N/A</v>
      </c>
      <c r="AU208" s="304" t="str">
        <f t="shared" si="363"/>
        <v/>
      </c>
      <c r="AV208" s="316" t="e">
        <f>IF($J208="",#N/A,SUM(AU$4:AU208))</f>
        <v>#N/A</v>
      </c>
      <c r="AW208" s="317" t="str">
        <f t="shared" si="364"/>
        <v/>
      </c>
      <c r="AX208" s="317" t="e">
        <f>IF($J208="",#N/A,SUM(AW$4:AW208))</f>
        <v>#N/A</v>
      </c>
      <c r="AY208" s="318" t="str">
        <f t="shared" si="365"/>
        <v/>
      </c>
      <c r="AZ208" s="318" t="e">
        <f>IF($J208="",#N/A,SUM(AY$4:AY208))</f>
        <v>#N/A</v>
      </c>
      <c r="BA208" s="318" t="e">
        <f>IF($J208="",#N/A,SUM(AY$4:AY208,AW$4:AW208,AU$4:AU208))</f>
        <v>#N/A</v>
      </c>
      <c r="BB208" s="304" t="str">
        <f t="shared" si="366"/>
        <v/>
      </c>
      <c r="BC208" s="316" t="e">
        <f>IF($J208="",#N/A,SUM(BB$4:BB208))</f>
        <v>#N/A</v>
      </c>
      <c r="BD208" s="317" t="str">
        <f t="shared" si="367"/>
        <v/>
      </c>
      <c r="BE208" s="317" t="e">
        <f>IF($J208="",#N/A,SUM(BD$4:BD208))</f>
        <v>#N/A</v>
      </c>
      <c r="BF208" s="318" t="str">
        <f t="shared" si="368"/>
        <v/>
      </c>
      <c r="BG208" s="318" t="e">
        <f>IF($J208="",#N/A,SUM(BF$4:BF208))</f>
        <v>#N/A</v>
      </c>
      <c r="BH208" s="318" t="e">
        <f>IF($J208="",#N/A,SUM(BF$4:BF208,BD$4:BD208,BB$4:BB208))</f>
        <v>#N/A</v>
      </c>
      <c r="BI208" s="304">
        <f t="shared" si="369"/>
        <v>0.79279868048423674</v>
      </c>
      <c r="BJ208" s="316" t="e">
        <f>IF($J208="",#N/A,SUM(BI$4:BI208))</f>
        <v>#N/A</v>
      </c>
      <c r="BK208" s="317" t="str">
        <f t="shared" si="370"/>
        <v/>
      </c>
      <c r="BL208" s="317" t="e">
        <f>IF($J208="",#N/A,SUM(BK$4:BK208))</f>
        <v>#N/A</v>
      </c>
      <c r="BM208" s="318" t="str">
        <f t="shared" si="371"/>
        <v/>
      </c>
      <c r="BN208" s="318" t="e">
        <f>IF($J208="",#N/A,SUM(BM$4:BM208))</f>
        <v>#N/A</v>
      </c>
      <c r="BO208" s="318" t="e">
        <f>IF($J208="",#N/A,SUM(BM$4:BM208,BK$4:BK208,BI$4:BI208))</f>
        <v>#N/A</v>
      </c>
      <c r="BP208" s="304" t="str">
        <f t="shared" si="372"/>
        <v/>
      </c>
      <c r="BQ208" s="316" t="e">
        <f>IF($J208="",#N/A,SUM(BP$4:BP208))</f>
        <v>#N/A</v>
      </c>
      <c r="BR208" s="317" t="str">
        <f t="shared" si="373"/>
        <v/>
      </c>
      <c r="BS208" s="317" t="e">
        <f>IF($J208="",#N/A,SUM(BR$4:BR208))</f>
        <v>#N/A</v>
      </c>
      <c r="BT208" s="318" t="str">
        <f t="shared" si="374"/>
        <v/>
      </c>
      <c r="BU208" s="318" t="e">
        <f>IF($J208="",#N/A,SUM(BT$4:BT208))</f>
        <v>#N/A</v>
      </c>
      <c r="BV208" s="318" t="e">
        <f>IF($J208="",#N/A,SUM(BT$4:BT208,BR$4:BR208,BP$4:BP208))</f>
        <v>#N/A</v>
      </c>
      <c r="BW208" s="304" t="str">
        <f t="shared" si="375"/>
        <v/>
      </c>
      <c r="BX208" s="316" t="e">
        <f>IF($J208="",#N/A,SUM(BW$4:BW208))</f>
        <v>#N/A</v>
      </c>
      <c r="BY208" s="317" t="str">
        <f t="shared" si="376"/>
        <v/>
      </c>
      <c r="BZ208" s="317" t="e">
        <f>IF($J208="",#N/A,SUM(BY$4:BY208))</f>
        <v>#N/A</v>
      </c>
      <c r="CA208" s="318" t="str">
        <f t="shared" si="377"/>
        <v/>
      </c>
      <c r="CB208" s="318" t="e">
        <f>IF($J208="",#N/A,SUM(CA$4:CA208))</f>
        <v>#N/A</v>
      </c>
      <c r="CC208" s="318" t="e">
        <f>IF($J208="",#N/A,SUM(CA$4:CA208,BY$4:BY208,BW$4:BW208))</f>
        <v>#N/A</v>
      </c>
      <c r="CD208" s="304" t="str">
        <f t="shared" si="378"/>
        <v/>
      </c>
      <c r="CE208" s="316" t="e">
        <f>IF($J208="",#N/A,SUM(CD$4:CD208))</f>
        <v>#N/A</v>
      </c>
      <c r="CF208" s="317" t="str">
        <f t="shared" si="379"/>
        <v/>
      </c>
      <c r="CG208" s="317" t="e">
        <f>IF($J208="",#N/A,SUM(CF$4:CF208))</f>
        <v>#N/A</v>
      </c>
      <c r="CH208" s="318" t="str">
        <f t="shared" si="380"/>
        <v/>
      </c>
      <c r="CI208" s="318" t="e">
        <f>IF($J208="",#N/A,SUM(CH$4:CH208))</f>
        <v>#N/A</v>
      </c>
      <c r="CJ208" s="318" t="e">
        <f>IF($J208="",#N/A,SUM(CH$4:CH208,CF$4:CF208,CD$4:CD208))</f>
        <v>#N/A</v>
      </c>
      <c r="CK208" s="304" t="str">
        <f t="shared" si="381"/>
        <v/>
      </c>
      <c r="CL208" s="316" t="e">
        <f>IF($J208="",#N/A,SUM(CK$4:CK208))</f>
        <v>#N/A</v>
      </c>
      <c r="CM208" s="317" t="str">
        <f t="shared" si="382"/>
        <v/>
      </c>
      <c r="CN208" s="317" t="e">
        <f>IF($J208="",#N/A,SUM(CM$4:CM208))</f>
        <v>#N/A</v>
      </c>
      <c r="CO208" s="318" t="str">
        <f t="shared" si="383"/>
        <v/>
      </c>
      <c r="CP208" s="318" t="e">
        <f>IF($J208="",#N/A,SUM(CO$4:CO208))</f>
        <v>#N/A</v>
      </c>
      <c r="CQ208" s="318" t="e">
        <f>IF($J208="",#N/A,SUM(CO$4:CO208,CM$4:CM208,CK$4:CK208))</f>
        <v>#N/A</v>
      </c>
      <c r="CR208" s="304" t="str">
        <f t="shared" si="384"/>
        <v/>
      </c>
      <c r="CS208" s="316" t="e">
        <f>IF($J208="",#N/A,SUM(CR$4:CR208))</f>
        <v>#N/A</v>
      </c>
      <c r="CT208" s="317" t="str">
        <f t="shared" si="385"/>
        <v/>
      </c>
      <c r="CU208" s="317" t="e">
        <f>IF($J208="",#N/A,SUM(CT$4:CT208))</f>
        <v>#N/A</v>
      </c>
      <c r="CV208" s="318" t="str">
        <f t="shared" si="386"/>
        <v/>
      </c>
      <c r="CW208" s="318" t="e">
        <f>IF($J208="",#N/A,SUM(CV$4:CV208))</f>
        <v>#N/A</v>
      </c>
      <c r="CX208" s="318" t="e">
        <f>IF($J208="",#N/A,SUM(CV$4:CV208,CT$4:CT208,CR$4:CR208))</f>
        <v>#N/A</v>
      </c>
      <c r="CY208" s="304" t="str">
        <f t="shared" si="387"/>
        <v/>
      </c>
      <c r="CZ208" s="316" t="e">
        <f>IF($J208="",#N/A,SUM(CY$4:CY208))</f>
        <v>#N/A</v>
      </c>
      <c r="DA208" s="317" t="str">
        <f t="shared" si="388"/>
        <v/>
      </c>
      <c r="DB208" s="317" t="e">
        <f>IF($J208="",#N/A,SUM(DA$4:DA208))</f>
        <v>#N/A</v>
      </c>
      <c r="DC208" s="318" t="str">
        <f t="shared" si="389"/>
        <v/>
      </c>
      <c r="DD208" s="318" t="e">
        <f>IF($J208="",#N/A,SUM(DC$4:DC208))</f>
        <v>#N/A</v>
      </c>
      <c r="DE208" s="318" t="e">
        <f>IF($J208="",#N/A,SUM(DC$4:DC208,DA$4:DA208,CY$4:CY208))</f>
        <v>#N/A</v>
      </c>
      <c r="DF208" s="304" t="str">
        <f t="shared" si="390"/>
        <v/>
      </c>
      <c r="DG208" s="316" t="e">
        <f>IF($J208="",#N/A,SUM(DF$4:DF208))</f>
        <v>#N/A</v>
      </c>
      <c r="DH208" s="317" t="str">
        <f t="shared" si="391"/>
        <v/>
      </c>
      <c r="DI208" s="317" t="e">
        <f>IF($J208="",#N/A,SUM(DH$4:DH208))</f>
        <v>#N/A</v>
      </c>
      <c r="DJ208" s="318" t="str">
        <f t="shared" si="392"/>
        <v/>
      </c>
      <c r="DK208" s="318" t="e">
        <f>IF($J208="",#N/A,SUM(DJ$4:DJ208))</f>
        <v>#N/A</v>
      </c>
      <c r="DL208" s="318" t="e">
        <f>IF($J208="",#N/A,SUM(DJ$4:DJ208,DH$4:DH208,DF$4:DF208))</f>
        <v>#N/A</v>
      </c>
      <c r="DM208" s="304" t="str">
        <f t="shared" si="393"/>
        <v/>
      </c>
      <c r="DN208" s="316" t="e">
        <f>IF($J208="",#N/A,SUM(DM$4:DM208))</f>
        <v>#N/A</v>
      </c>
      <c r="DO208" s="317" t="str">
        <f t="shared" si="394"/>
        <v/>
      </c>
      <c r="DP208" s="317" t="e">
        <f>IF($J208="",#N/A,SUM(DO$4:DO208))</f>
        <v>#N/A</v>
      </c>
      <c r="DQ208" s="318" t="str">
        <f t="shared" si="395"/>
        <v/>
      </c>
      <c r="DR208" s="318" t="e">
        <f>IF($J208="",#N/A,SUM(DQ$4:DQ208))</f>
        <v>#N/A</v>
      </c>
      <c r="DS208" s="318" t="e">
        <f>IF($J208="",#N/A,SUM(DQ$4:DQ208,DO$4:DO208,DM$4:DM208))</f>
        <v>#N/A</v>
      </c>
      <c r="DT208" s="304" t="str">
        <f t="shared" si="396"/>
        <v/>
      </c>
      <c r="DU208" s="316" t="e">
        <f>IF($J208="",#N/A,SUM(DT$4:DT208))</f>
        <v>#N/A</v>
      </c>
      <c r="DV208" s="317" t="str">
        <f t="shared" si="397"/>
        <v/>
      </c>
      <c r="DW208" s="317" t="e">
        <f>IF($J208="",#N/A,SUM(DV$4:DV208))</f>
        <v>#N/A</v>
      </c>
      <c r="DX208" s="318" t="str">
        <f t="shared" si="398"/>
        <v/>
      </c>
      <c r="DY208" s="318" t="e">
        <f>IF($J208="",#N/A,SUM(DX$4:DX208))</f>
        <v>#N/A</v>
      </c>
      <c r="DZ208" s="318" t="e">
        <f>IF($J208="",#N/A,SUM(DX$4:DX208,DV$4:DV208,DT$4:DT208))</f>
        <v>#N/A</v>
      </c>
      <c r="EA208" s="304" t="str">
        <f t="shared" si="399"/>
        <v/>
      </c>
      <c r="EB208" s="316" t="e">
        <f>IF($J208="",#N/A,SUM(EA$4:EA208))</f>
        <v>#N/A</v>
      </c>
      <c r="EC208" s="317" t="str">
        <f t="shared" si="400"/>
        <v/>
      </c>
      <c r="ED208" s="317" t="e">
        <f>IF($J208="",#N/A,SUM(EC$4:EC208))</f>
        <v>#N/A</v>
      </c>
      <c r="EE208" s="318" t="str">
        <f t="shared" si="401"/>
        <v/>
      </c>
      <c r="EF208" s="318" t="e">
        <f>IF($J208="",#N/A,SUM(EE$4:EE208))</f>
        <v>#N/A</v>
      </c>
      <c r="EG208" s="318" t="e">
        <f>IF($J208="",#N/A,SUM(EE$4:EE208,EC$4:EC208,EA$4:EA208))</f>
        <v>#N/A</v>
      </c>
      <c r="EH208" s="211">
        <f t="shared" si="402"/>
        <v>19.027168331621681</v>
      </c>
      <c r="EI208" s="63">
        <f>IF(EH208="",#N/A,SUM($EH$4:EH208))</f>
        <v>756.96182393583513</v>
      </c>
      <c r="EJ208" s="223" t="e">
        <f t="shared" si="403"/>
        <v>#N/A</v>
      </c>
      <c r="EK208" s="63" t="e">
        <f>IF($GZ208="",#N/A,SUM(EJ$4:EJ208))</f>
        <v>#N/A</v>
      </c>
      <c r="EL208" s="60">
        <f t="shared" si="435"/>
        <v>0.79279868048423674</v>
      </c>
      <c r="EM208" s="60">
        <f>IF(EL208="",NA(),SUM($EL$4:EL208))</f>
        <v>21.155565519697127</v>
      </c>
      <c r="EN208" s="60">
        <f t="shared" si="404"/>
        <v>0.79279868048423674</v>
      </c>
      <c r="EO208" s="60">
        <f>IF(EN208="",NA(),SUM($EN$4:EN208))</f>
        <v>8.1025631614453069</v>
      </c>
      <c r="EP208" s="60" t="str">
        <f t="shared" si="405"/>
        <v/>
      </c>
      <c r="EQ208" s="60" t="e">
        <f>IF(EP208="",NA(),SUM($EP$4:EP208))</f>
        <v>#N/A</v>
      </c>
      <c r="ER208" s="60" t="str">
        <f t="shared" si="406"/>
        <v/>
      </c>
      <c r="ES208" s="60" t="e">
        <f>IF(ER208="",NA(),SUM($ER$4:ER208))</f>
        <v>#N/A</v>
      </c>
      <c r="ET208" s="60" t="str">
        <f t="shared" si="407"/>
        <v/>
      </c>
      <c r="EU208" s="60" t="e">
        <f>IF(ET208="",NA(),SUM($ET$4:ET208))</f>
        <v>#N/A</v>
      </c>
      <c r="EV208" s="60" t="str">
        <f t="shared" si="408"/>
        <v/>
      </c>
      <c r="EW208" s="60" t="e">
        <f>IF(EV208="",NA(),SUM($EV$4:EV208))</f>
        <v>#N/A</v>
      </c>
      <c r="EX208" s="60" t="str">
        <f t="shared" si="409"/>
        <v/>
      </c>
      <c r="EY208" s="60" t="e">
        <f>IF(EX208="",NA(),SUM($EX$4:EX208))</f>
        <v>#N/A</v>
      </c>
      <c r="EZ208" s="60" t="str">
        <f t="shared" si="410"/>
        <v/>
      </c>
      <c r="FA208" s="60" t="e">
        <f>IF(EZ208="",NA(),SUM($EZ$4:EZ208))</f>
        <v>#N/A</v>
      </c>
      <c r="FB208" s="246" t="str">
        <f t="shared" si="436"/>
        <v/>
      </c>
      <c r="FC208" s="246" t="e">
        <f>IF($FB208="",#N/A,SUM(FB$4:$FB208))</f>
        <v>#N/A</v>
      </c>
      <c r="FD208" s="60" t="str">
        <f t="shared" si="411"/>
        <v/>
      </c>
      <c r="FE208" s="60" t="e">
        <f>IF($FD208="",#N/A,SUM($FD$4:FD208))</f>
        <v>#N/A</v>
      </c>
      <c r="FF208" s="60">
        <f t="shared" si="412"/>
        <v>0.39834438116578019</v>
      </c>
      <c r="FG208" s="60">
        <f>IF($FF208="",#N/A,SUM($FF$4:FF208))</f>
        <v>-0.8276282528350819</v>
      </c>
      <c r="FH208" s="60" t="str">
        <f t="shared" si="413"/>
        <v/>
      </c>
      <c r="FI208" s="60" t="e">
        <f>IF($FH208="",#N/A,SUM($FH$4:FH208))</f>
        <v>#N/A</v>
      </c>
      <c r="FJ208" s="60" t="str">
        <f t="shared" si="414"/>
        <v/>
      </c>
      <c r="FK208" s="60" t="e">
        <f>IF($FJ208="",#N/A,SUM($FJ$4:FJ208))</f>
        <v>#N/A</v>
      </c>
      <c r="FL208" s="60" t="str">
        <f t="shared" si="415"/>
        <v/>
      </c>
      <c r="FM208" s="60" t="e">
        <f>IF($FL208="",#N/A,SUM($FL$4:FL208))</f>
        <v>#N/A</v>
      </c>
      <c r="FN208" s="82">
        <f t="shared" si="416"/>
        <v>1.1911430616500169</v>
      </c>
      <c r="FO208" s="82">
        <f>IF($FN208="",#N/A,SUM(FN$4:$FN208))</f>
        <v>34.158814075581901</v>
      </c>
      <c r="FP208" s="82">
        <f t="shared" si="437"/>
        <v>0.79279868048423674</v>
      </c>
      <c r="FQ208" s="246">
        <f>IF($EH208="",#N/A,SUM($FP$4:FP208))</f>
        <v>29.853201855844901</v>
      </c>
      <c r="FR208" s="82">
        <f>IFERROR(FQ208/COUNTA($J$4:J208),#N/A)</f>
        <v>0.1456253749065605</v>
      </c>
      <c r="FS208" s="82" t="e">
        <f>IFERROR(($FQ208-#REF!)/COUNTA($J164:$J208),#N/A)</f>
        <v>#N/A</v>
      </c>
      <c r="FT208" s="82">
        <f t="shared" si="417"/>
        <v>0.13205622659008368</v>
      </c>
      <c r="FU208" s="273"/>
      <c r="FV208" s="57" t="str">
        <f t="shared" si="418"/>
        <v>Up</v>
      </c>
      <c r="FW208" s="57" t="s">
        <v>2733</v>
      </c>
      <c r="FX208" s="57">
        <f t="shared" si="419"/>
        <v>1</v>
      </c>
      <c r="FY208" s="57" t="str">
        <f t="shared" si="420"/>
        <v/>
      </c>
      <c r="FZ208" s="57" t="str">
        <f t="shared" si="421"/>
        <v/>
      </c>
      <c r="GA208" s="57" t="str">
        <f t="shared" si="422"/>
        <v>Long</v>
      </c>
      <c r="GB208" s="57" t="str">
        <f t="shared" si="423"/>
        <v/>
      </c>
      <c r="GC208" s="57" t="str">
        <f t="shared" si="424"/>
        <v/>
      </c>
      <c r="GD208" s="57" t="str">
        <f t="shared" si="425"/>
        <v/>
      </c>
      <c r="GE208" s="62">
        <f t="shared" si="339"/>
        <v>214.22</v>
      </c>
      <c r="GF208" s="62" t="s">
        <v>2779</v>
      </c>
      <c r="GG208" s="99">
        <f>400/I208</f>
        <v>1.8672392867145924</v>
      </c>
      <c r="GH208" s="207">
        <f t="shared" si="426"/>
        <v>400</v>
      </c>
      <c r="GI208" s="99">
        <f t="shared" si="337"/>
        <v>1.8672392867145924</v>
      </c>
      <c r="GJ208" s="98">
        <f>J208</f>
        <v>224.41</v>
      </c>
      <c r="GK208" s="63">
        <f t="shared" si="427"/>
        <v>19.027168331621681</v>
      </c>
      <c r="GL208" s="63">
        <f t="shared" si="340"/>
        <v>28.587433479600406</v>
      </c>
      <c r="GM208" s="82" t="str">
        <f t="shared" si="428"/>
        <v/>
      </c>
      <c r="GN208" s="82">
        <f>IF($GZ208="",#N/A,SUM(GM$4:GM208))</f>
        <v>2.2590820586321878</v>
      </c>
      <c r="GO208" s="82">
        <f t="shared" si="429"/>
        <v>1.1911430616500169</v>
      </c>
      <c r="GP208" s="82">
        <f>IF($GZ208="",#N/A,SUM(GO$4:GO208))</f>
        <v>11.061495712330654</v>
      </c>
      <c r="GQ208" s="82" t="str">
        <f t="shared" si="430"/>
        <v/>
      </c>
      <c r="GR208" s="82">
        <f>IF($GZ208="",#N/A,SUM(GQ$4:GQ208))</f>
        <v>20.212399350176707</v>
      </c>
      <c r="GS208" s="63" t="str">
        <f t="shared" si="438"/>
        <v/>
      </c>
      <c r="GT208" s="63" t="e">
        <f>IF($GZ208="",#N/A,SUM(GS$4:GS208))</f>
        <v>#N/A</v>
      </c>
      <c r="GU208" s="63" t="e">
        <f t="shared" si="439"/>
        <v>#N/A</v>
      </c>
      <c r="GV208" s="63" t="e">
        <f>IF($GZ208="",#N/A,SUM(GU$4:GU208))</f>
        <v>#N/A</v>
      </c>
      <c r="GW208" s="63" t="str">
        <f t="shared" si="440"/>
        <v/>
      </c>
      <c r="GX208" s="63" t="e">
        <f>IF($GZ208="",#N/A,SUM(GW$4:GW208))</f>
        <v>#N/A</v>
      </c>
      <c r="GY208" s="63" t="e">
        <f>IF(EJ208="",#N/A,SUM($EJ$4:EJ208))</f>
        <v>#N/A</v>
      </c>
      <c r="GZ208" s="159">
        <v>229.53</v>
      </c>
      <c r="HA208" s="63">
        <f t="shared" si="431"/>
        <v>9.5602651479787255</v>
      </c>
      <c r="HB208" s="130" t="s">
        <v>4970</v>
      </c>
      <c r="HC208" s="60">
        <f>IFERROR(VLOOKUP(E208,Expectancy!$P$4:$S$19,1+C208,FALSE),"")</f>
        <v>-7.9483352726509887E-2</v>
      </c>
      <c r="HD208" s="82" t="str">
        <f t="shared" si="432"/>
        <v/>
      </c>
      <c r="HE208" s="82" t="e">
        <f>IF(HD208="",#N/A,SUM($HD$4:HD208))</f>
        <v>#N/A</v>
      </c>
      <c r="HF208" s="85" t="e">
        <f>IF(HD208="",#N/A,IF(HB208="Skip",#N/A,SUM($HG$4:HG208)))</f>
        <v>#N/A</v>
      </c>
      <c r="HG208" s="205" t="str">
        <f t="shared" si="433"/>
        <v/>
      </c>
      <c r="HH208" s="82">
        <f t="shared" si="434"/>
        <v>1.1911430616500169</v>
      </c>
    </row>
    <row r="209" spans="1:216" x14ac:dyDescent="0.25">
      <c r="A209" s="57" t="s">
        <v>1378</v>
      </c>
      <c r="B209" s="58" t="s">
        <v>5209</v>
      </c>
      <c r="C209" s="386">
        <f t="shared" si="343"/>
        <v>3</v>
      </c>
      <c r="D209" s="372" t="str">
        <f>_xlfn.XLOOKUP(A209,[1]SP500!$A$2:$A$502,[1]SP500!$D$2:$D$502,"N")</f>
        <v>Y</v>
      </c>
      <c r="E209" s="57" t="str">
        <f>_xlfn.XLOOKUP(A209,[1]SP500!$A$2:$A$655,[1]SP500!$B$2:$B$655)</f>
        <v>XLI</v>
      </c>
      <c r="F209" s="59">
        <v>45693</v>
      </c>
      <c r="G209" s="57" t="str">
        <f t="shared" si="344"/>
        <v>BMO</v>
      </c>
      <c r="H209" s="57" t="str">
        <f t="shared" si="345"/>
        <v>o</v>
      </c>
      <c r="I209" s="159">
        <v>254.68</v>
      </c>
      <c r="J209" s="159">
        <v>248</v>
      </c>
      <c r="K209" s="61">
        <f t="shared" si="346"/>
        <v>-2.6228993246426916E-2</v>
      </c>
      <c r="L209" s="87">
        <f t="shared" si="347"/>
        <v>13.360000000000014</v>
      </c>
      <c r="M209" s="130">
        <f t="shared" si="338"/>
        <v>0</v>
      </c>
      <c r="N209" s="169" t="str">
        <f t="shared" si="348"/>
        <v/>
      </c>
      <c r="O209" s="169">
        <f>IF($J209="",#N/A,SUM($N$4:N209))</f>
        <v>278.26492601211703</v>
      </c>
      <c r="P209" s="174" t="str">
        <f t="shared" si="349"/>
        <v/>
      </c>
      <c r="Q209" s="174">
        <f>IF($J209="",#N/A,SUM($P$4:P209))</f>
        <v>414.07776401603689</v>
      </c>
      <c r="R209" s="178">
        <f t="shared" si="350"/>
        <v>-13.360000000000014</v>
      </c>
      <c r="S209" s="178">
        <f>IF($J209="",#N/A,SUM($R$4:R209))</f>
        <v>51.259133907681132</v>
      </c>
      <c r="T209" s="290" t="str">
        <f t="shared" si="351"/>
        <v/>
      </c>
      <c r="U209" s="290">
        <f>IF($J209="",#N/A,SUM($T$4:T209))</f>
        <v>10.059269986096032</v>
      </c>
      <c r="V209" s="291" t="str">
        <f t="shared" si="352"/>
        <v/>
      </c>
      <c r="W209" s="291">
        <f>IF($J209="",#N/A,SUM($V$4:V209))</f>
        <v>17.31349767035293</v>
      </c>
      <c r="X209" s="292">
        <f t="shared" si="353"/>
        <v>-0.43714988744044864</v>
      </c>
      <c r="Y209" s="292">
        <f>IF($J209="",#N/A,SUM($X$4:X209))</f>
        <v>2.0432843119554813</v>
      </c>
      <c r="Z209" s="304" t="str">
        <f t="shared" si="354"/>
        <v/>
      </c>
      <c r="AA209" s="313" t="e">
        <f>IF($J209="",#N/A,SUM(Z$4:Z209))</f>
        <v>#N/A</v>
      </c>
      <c r="AB209" s="314" t="str">
        <f t="shared" si="355"/>
        <v/>
      </c>
      <c r="AC209" s="314" t="e">
        <f>IF($J209="",#N/A,SUM(AB$4:AB209))</f>
        <v>#N/A</v>
      </c>
      <c r="AD209" s="315" t="str">
        <f t="shared" si="356"/>
        <v/>
      </c>
      <c r="AE209" s="315" t="e">
        <f>IF($J209="",#N/A,SUM(AD$4:AD209))</f>
        <v>#N/A</v>
      </c>
      <c r="AF209" s="315" t="e">
        <f>IF($J209="",#N/A,SUM(AD$4:AD209,AB$4:AB209,Z$4:Z209))</f>
        <v>#N/A</v>
      </c>
      <c r="AG209" s="304" t="str">
        <f t="shared" si="357"/>
        <v/>
      </c>
      <c r="AH209" s="313" t="e">
        <f>IF($J209="",#N/A,SUM(AG$4:AG209))</f>
        <v>#N/A</v>
      </c>
      <c r="AI209" s="314" t="str">
        <f t="shared" si="358"/>
        <v/>
      </c>
      <c r="AJ209" s="314" t="e">
        <f>IF($J209="",#N/A,SUM(AI$4:AI209))</f>
        <v>#N/A</v>
      </c>
      <c r="AK209" s="315" t="str">
        <f t="shared" si="359"/>
        <v/>
      </c>
      <c r="AL209" s="315" t="e">
        <f>IF($J209="",#N/A,SUM(AK$4:AK209))</f>
        <v>#N/A</v>
      </c>
      <c r="AM209" s="315" t="e">
        <f>IF($J209="",#N/A,SUM(AK$4:AK209,AI$4:AI209,AG$4:AG209))</f>
        <v>#N/A</v>
      </c>
      <c r="AN209" s="304" t="str">
        <f t="shared" si="360"/>
        <v/>
      </c>
      <c r="AO209" s="313" t="e">
        <f>IF($J209="",#N/A,SUM(AN$4:AN209))</f>
        <v>#N/A</v>
      </c>
      <c r="AP209" s="314" t="str">
        <f t="shared" si="361"/>
        <v/>
      </c>
      <c r="AQ209" s="314" t="e">
        <f>IF($J209="",#N/A,SUM(AP$4:AP209))</f>
        <v>#N/A</v>
      </c>
      <c r="AR209" s="315" t="str">
        <f t="shared" si="362"/>
        <v/>
      </c>
      <c r="AS209" s="315" t="e">
        <f>IF($J209="",#N/A,SUM(AR$4:AR209))</f>
        <v>#N/A</v>
      </c>
      <c r="AT209" s="315" t="e">
        <f>IF($J209="",#N/A,SUM(AR$4:AR209,AP$4:AP209,AN$4:AN209))</f>
        <v>#N/A</v>
      </c>
      <c r="AU209" s="304" t="str">
        <f t="shared" si="363"/>
        <v/>
      </c>
      <c r="AV209" s="313" t="e">
        <f>IF($J209="",#N/A,SUM(AU$4:AU209))</f>
        <v>#N/A</v>
      </c>
      <c r="AW209" s="314" t="str">
        <f t="shared" si="364"/>
        <v/>
      </c>
      <c r="AX209" s="314" t="e">
        <f>IF($J209="",#N/A,SUM(AW$4:AW209))</f>
        <v>#N/A</v>
      </c>
      <c r="AY209" s="315" t="str">
        <f t="shared" si="365"/>
        <v/>
      </c>
      <c r="AZ209" s="315" t="e">
        <f>IF($J209="",#N/A,SUM(AY$4:AY209))</f>
        <v>#N/A</v>
      </c>
      <c r="BA209" s="315" t="e">
        <f>IF($J209="",#N/A,SUM(AY$4:AY209,AW$4:AW209,AU$4:AU209))</f>
        <v>#N/A</v>
      </c>
      <c r="BB209" s="304" t="str">
        <f t="shared" si="366"/>
        <v/>
      </c>
      <c r="BC209" s="313" t="e">
        <f>IF($J209="",#N/A,SUM(BB$4:BB209))</f>
        <v>#N/A</v>
      </c>
      <c r="BD209" s="314" t="str">
        <f t="shared" si="367"/>
        <v/>
      </c>
      <c r="BE209" s="314" t="e">
        <f>IF($J209="",#N/A,SUM(BD$4:BD209))</f>
        <v>#N/A</v>
      </c>
      <c r="BF209" s="315" t="str">
        <f t="shared" si="368"/>
        <v/>
      </c>
      <c r="BG209" s="315" t="e">
        <f>IF($J209="",#N/A,SUM(BF$4:BF209))</f>
        <v>#N/A</v>
      </c>
      <c r="BH209" s="315" t="e">
        <f>IF($J209="",#N/A,SUM(BF$4:BF209,BD$4:BD209,BB$4:BB209))</f>
        <v>#N/A</v>
      </c>
      <c r="BI209" s="304" t="str">
        <f t="shared" si="369"/>
        <v/>
      </c>
      <c r="BJ209" s="313" t="e">
        <f>IF($J209="",#N/A,SUM(BI$4:BI209))</f>
        <v>#N/A</v>
      </c>
      <c r="BK209" s="314" t="str">
        <f t="shared" si="370"/>
        <v/>
      </c>
      <c r="BL209" s="314" t="e">
        <f>IF($J209="",#N/A,SUM(BK$4:BK209))</f>
        <v>#N/A</v>
      </c>
      <c r="BM209" s="315" t="str">
        <f t="shared" si="371"/>
        <v/>
      </c>
      <c r="BN209" s="315" t="e">
        <f>IF($J209="",#N/A,SUM(BM$4:BM209))</f>
        <v>#N/A</v>
      </c>
      <c r="BO209" s="315" t="e">
        <f>IF($J209="",#N/A,SUM(BM$4:BM209,BK$4:BK209,BI$4:BI209))</f>
        <v>#N/A</v>
      </c>
      <c r="BP209" s="304" t="str">
        <f t="shared" si="372"/>
        <v/>
      </c>
      <c r="BQ209" s="313" t="e">
        <f>IF($J209="",#N/A,SUM(BP$4:BP209))</f>
        <v>#N/A</v>
      </c>
      <c r="BR209" s="314" t="str">
        <f t="shared" si="373"/>
        <v/>
      </c>
      <c r="BS209" s="314" t="e">
        <f>IF($J209="",#N/A,SUM(BR$4:BR209))</f>
        <v>#N/A</v>
      </c>
      <c r="BT209" s="315">
        <f t="shared" si="374"/>
        <v>-0.43714988744044864</v>
      </c>
      <c r="BU209" s="315" t="e">
        <f>IF($J209="",#N/A,SUM(BT$4:BT209))</f>
        <v>#N/A</v>
      </c>
      <c r="BV209" s="315" t="e">
        <f>IF($J209="",#N/A,SUM(BT$4:BT209,BR$4:BR209,BP$4:BP209))</f>
        <v>#N/A</v>
      </c>
      <c r="BW209" s="304" t="str">
        <f t="shared" si="375"/>
        <v/>
      </c>
      <c r="BX209" s="313" t="e">
        <f>IF($J209="",#N/A,SUM(BW$4:BW209))</f>
        <v>#N/A</v>
      </c>
      <c r="BY209" s="314" t="str">
        <f t="shared" si="376"/>
        <v/>
      </c>
      <c r="BZ209" s="314" t="e">
        <f>IF($J209="",#N/A,SUM(BY$4:BY209))</f>
        <v>#N/A</v>
      </c>
      <c r="CA209" s="315" t="str">
        <f t="shared" si="377"/>
        <v/>
      </c>
      <c r="CB209" s="315" t="e">
        <f>IF($J209="",#N/A,SUM(CA$4:CA209))</f>
        <v>#N/A</v>
      </c>
      <c r="CC209" s="315" t="e">
        <f>IF($J209="",#N/A,SUM(CA$4:CA209,BY$4:BY209,BW$4:BW209))</f>
        <v>#N/A</v>
      </c>
      <c r="CD209" s="304" t="str">
        <f t="shared" si="378"/>
        <v/>
      </c>
      <c r="CE209" s="313" t="e">
        <f>IF($J209="",#N/A,SUM(CD$4:CD209))</f>
        <v>#N/A</v>
      </c>
      <c r="CF209" s="314" t="str">
        <f t="shared" si="379"/>
        <v/>
      </c>
      <c r="CG209" s="314" t="e">
        <f>IF($J209="",#N/A,SUM(CF$4:CF209))</f>
        <v>#N/A</v>
      </c>
      <c r="CH209" s="315" t="str">
        <f t="shared" si="380"/>
        <v/>
      </c>
      <c r="CI209" s="315" t="e">
        <f>IF($J209="",#N/A,SUM(CH$4:CH209))</f>
        <v>#N/A</v>
      </c>
      <c r="CJ209" s="315" t="e">
        <f>IF($J209="",#N/A,SUM(CH$4:CH209,CF$4:CF209,CD$4:CD209))</f>
        <v>#N/A</v>
      </c>
      <c r="CK209" s="304" t="str">
        <f t="shared" si="381"/>
        <v/>
      </c>
      <c r="CL209" s="313" t="e">
        <f>IF($J209="",#N/A,SUM(CK$4:CK209))</f>
        <v>#N/A</v>
      </c>
      <c r="CM209" s="314" t="str">
        <f t="shared" si="382"/>
        <v/>
      </c>
      <c r="CN209" s="314" t="e">
        <f>IF($J209="",#N/A,SUM(CM$4:CM209))</f>
        <v>#N/A</v>
      </c>
      <c r="CO209" s="315" t="str">
        <f t="shared" si="383"/>
        <v/>
      </c>
      <c r="CP209" s="315" t="e">
        <f>IF($J209="",#N/A,SUM(CO$4:CO209))</f>
        <v>#N/A</v>
      </c>
      <c r="CQ209" s="315" t="e">
        <f>IF($J209="",#N/A,SUM(CO$4:CO209,CM$4:CM209,CK$4:CK209))</f>
        <v>#N/A</v>
      </c>
      <c r="CR209" s="304" t="str">
        <f t="shared" si="384"/>
        <v/>
      </c>
      <c r="CS209" s="313" t="e">
        <f>IF($J209="",#N/A,SUM(CR$4:CR209))</f>
        <v>#N/A</v>
      </c>
      <c r="CT209" s="314" t="str">
        <f t="shared" si="385"/>
        <v/>
      </c>
      <c r="CU209" s="314" t="e">
        <f>IF($J209="",#N/A,SUM(CT$4:CT209))</f>
        <v>#N/A</v>
      </c>
      <c r="CV209" s="315" t="str">
        <f t="shared" si="386"/>
        <v/>
      </c>
      <c r="CW209" s="315" t="e">
        <f>IF($J209="",#N/A,SUM(CV$4:CV209))</f>
        <v>#N/A</v>
      </c>
      <c r="CX209" s="315" t="e">
        <f>IF($J209="",#N/A,SUM(CV$4:CV209,CT$4:CT209,CR$4:CR209))</f>
        <v>#N/A</v>
      </c>
      <c r="CY209" s="304" t="str">
        <f t="shared" si="387"/>
        <v/>
      </c>
      <c r="CZ209" s="313" t="e">
        <f>IF($J209="",#N/A,SUM(CY$4:CY209))</f>
        <v>#N/A</v>
      </c>
      <c r="DA209" s="314" t="str">
        <f t="shared" si="388"/>
        <v/>
      </c>
      <c r="DB209" s="314" t="e">
        <f>IF($J209="",#N/A,SUM(DA$4:DA209))</f>
        <v>#N/A</v>
      </c>
      <c r="DC209" s="315" t="str">
        <f t="shared" si="389"/>
        <v/>
      </c>
      <c r="DD209" s="315" t="e">
        <f>IF($J209="",#N/A,SUM(DC$4:DC209))</f>
        <v>#N/A</v>
      </c>
      <c r="DE209" s="315" t="e">
        <f>IF($J209="",#N/A,SUM(DC$4:DC209,DA$4:DA209,CY$4:CY209))</f>
        <v>#N/A</v>
      </c>
      <c r="DF209" s="304" t="str">
        <f t="shared" si="390"/>
        <v/>
      </c>
      <c r="DG209" s="313" t="e">
        <f>IF($J209="",#N/A,SUM(DF$4:DF209))</f>
        <v>#N/A</v>
      </c>
      <c r="DH209" s="314" t="str">
        <f t="shared" si="391"/>
        <v/>
      </c>
      <c r="DI209" s="314" t="e">
        <f>IF($J209="",#N/A,SUM(DH$4:DH209))</f>
        <v>#N/A</v>
      </c>
      <c r="DJ209" s="315" t="str">
        <f t="shared" si="392"/>
        <v/>
      </c>
      <c r="DK209" s="315" t="e">
        <f>IF($J209="",#N/A,SUM(DJ$4:DJ209))</f>
        <v>#N/A</v>
      </c>
      <c r="DL209" s="315" t="e">
        <f>IF($J209="",#N/A,SUM(DJ$4:DJ209,DH$4:DH209,DF$4:DF209))</f>
        <v>#N/A</v>
      </c>
      <c r="DM209" s="304" t="str">
        <f t="shared" si="393"/>
        <v/>
      </c>
      <c r="DN209" s="313" t="e">
        <f>IF($J209="",#N/A,SUM(DM$4:DM209))</f>
        <v>#N/A</v>
      </c>
      <c r="DO209" s="314" t="str">
        <f t="shared" si="394"/>
        <v/>
      </c>
      <c r="DP209" s="314" t="e">
        <f>IF($J209="",#N/A,SUM(DO$4:DO209))</f>
        <v>#N/A</v>
      </c>
      <c r="DQ209" s="315" t="str">
        <f t="shared" si="395"/>
        <v/>
      </c>
      <c r="DR209" s="315" t="e">
        <f>IF($J209="",#N/A,SUM(DQ$4:DQ209))</f>
        <v>#N/A</v>
      </c>
      <c r="DS209" s="315" t="e">
        <f>IF($J209="",#N/A,SUM(DQ$4:DQ209,DO$4:DO209,DM$4:DM209))</f>
        <v>#N/A</v>
      </c>
      <c r="DT209" s="304" t="str">
        <f t="shared" si="396"/>
        <v/>
      </c>
      <c r="DU209" s="313" t="e">
        <f>IF($J209="",#N/A,SUM(DT$4:DT209))</f>
        <v>#N/A</v>
      </c>
      <c r="DV209" s="314" t="str">
        <f t="shared" si="397"/>
        <v/>
      </c>
      <c r="DW209" s="314" t="e">
        <f>IF($J209="",#N/A,SUM(DV$4:DV209))</f>
        <v>#N/A</v>
      </c>
      <c r="DX209" s="315" t="str">
        <f t="shared" si="398"/>
        <v/>
      </c>
      <c r="DY209" s="315" t="e">
        <f>IF($J209="",#N/A,SUM(DX$4:DX209))</f>
        <v>#N/A</v>
      </c>
      <c r="DZ209" s="315" t="e">
        <f>IF($J209="",#N/A,SUM(DX$4:DX209,DV$4:DV209,DT$4:DT209))</f>
        <v>#N/A</v>
      </c>
      <c r="EA209" s="304" t="str">
        <f t="shared" si="399"/>
        <v/>
      </c>
      <c r="EB209" s="313" t="e">
        <f>IF($J209="",#N/A,SUM(EA$4:EA209))</f>
        <v>#N/A</v>
      </c>
      <c r="EC209" s="314" t="str">
        <f t="shared" si="400"/>
        <v/>
      </c>
      <c r="ED209" s="314" t="e">
        <f>IF($J209="",#N/A,SUM(EC$4:EC209))</f>
        <v>#N/A</v>
      </c>
      <c r="EE209" s="315" t="str">
        <f t="shared" si="401"/>
        <v/>
      </c>
      <c r="EF209" s="315" t="e">
        <f>IF($J209="",#N/A,SUM(EE$4:EE209))</f>
        <v>#N/A</v>
      </c>
      <c r="EG209" s="315" t="e">
        <f>IF($J209="",#N/A,SUM(EE$4:EE209,EC$4:EC209,EA$4:EA209))</f>
        <v>#N/A</v>
      </c>
      <c r="EH209" s="130">
        <f t="shared" si="402"/>
        <v>-13.360000000000014</v>
      </c>
      <c r="EI209" s="63">
        <f>IF(EH209="",#N/A,SUM($EH$4:EH209))</f>
        <v>743.60182393583511</v>
      </c>
      <c r="EJ209" s="223" t="e">
        <f t="shared" si="403"/>
        <v>#N/A</v>
      </c>
      <c r="EK209" s="63" t="e">
        <f>IF($GZ209="",#N/A,SUM(EJ$4:EJ209))</f>
        <v>#N/A</v>
      </c>
      <c r="EL209" s="60">
        <f t="shared" si="435"/>
        <v>-0.43714988744044864</v>
      </c>
      <c r="EM209" s="60">
        <f>IF(EL209="",NA(),SUM($EL$4:EL209))</f>
        <v>20.718415632256679</v>
      </c>
      <c r="EN209" s="60" t="str">
        <f t="shared" si="404"/>
        <v/>
      </c>
      <c r="EO209" s="60" t="e">
        <f>IF(EN209="",NA(),SUM($EN$4:EN209))</f>
        <v>#N/A</v>
      </c>
      <c r="EP209" s="60">
        <f t="shared" si="405"/>
        <v>-0.43714988744044864</v>
      </c>
      <c r="EQ209" s="60">
        <f>IF(EP209="",NA(),SUM($EP$4:EP209))</f>
        <v>2.9710412320326745</v>
      </c>
      <c r="ER209" s="60" t="str">
        <f t="shared" si="406"/>
        <v/>
      </c>
      <c r="ES209" s="60" t="e">
        <f>IF(ER209="",NA(),SUM($ER$4:ER209))</f>
        <v>#N/A</v>
      </c>
      <c r="ET209" s="60" t="str">
        <f t="shared" si="407"/>
        <v/>
      </c>
      <c r="EU209" s="60" t="e">
        <f>IF(ET209="",NA(),SUM($ET$4:ET209))</f>
        <v>#N/A</v>
      </c>
      <c r="EV209" s="60" t="str">
        <f t="shared" si="408"/>
        <v/>
      </c>
      <c r="EW209" s="60" t="e">
        <f>IF(EV209="",NA(),SUM($EV$4:EV209))</f>
        <v>#N/A</v>
      </c>
      <c r="EX209" s="60" t="str">
        <f t="shared" si="409"/>
        <v/>
      </c>
      <c r="EY209" s="60" t="e">
        <f>IF(EX209="",NA(),SUM($EX$4:EX209))</f>
        <v>#N/A</v>
      </c>
      <c r="EZ209" s="60" t="str">
        <f t="shared" si="410"/>
        <v/>
      </c>
      <c r="FA209" s="60" t="e">
        <f>IF(EZ209="",NA(),SUM($EZ$4:EZ209))</f>
        <v>#N/A</v>
      </c>
      <c r="FB209" s="246" t="str">
        <f t="shared" si="436"/>
        <v/>
      </c>
      <c r="FC209" s="246" t="e">
        <f>IF($FB209="",#N/A,SUM(FB$4:$FB209))</f>
        <v>#N/A</v>
      </c>
      <c r="FD209" s="60" t="str">
        <f t="shared" si="411"/>
        <v/>
      </c>
      <c r="FE209" s="60" t="e">
        <f>IF($FD209="",#N/A,SUM($FD$4:FD209))</f>
        <v>#N/A</v>
      </c>
      <c r="FF209" s="60" t="str">
        <f t="shared" si="412"/>
        <v/>
      </c>
      <c r="FG209" s="60" t="e">
        <f>IF($FF209="",#N/A,SUM($FF$4:FF209))</f>
        <v>#N/A</v>
      </c>
      <c r="FH209" s="60" t="str">
        <f t="shared" si="413"/>
        <v/>
      </c>
      <c r="FI209" s="60" t="e">
        <f>IF($FH209="",#N/A,SUM($FH$4:FH209))</f>
        <v>#N/A</v>
      </c>
      <c r="FJ209" s="60" t="str">
        <f t="shared" si="414"/>
        <v/>
      </c>
      <c r="FK209" s="60" t="e">
        <f>IF($FJ209="",#N/A,SUM($FJ$4:FJ209))</f>
        <v>#N/A</v>
      </c>
      <c r="FL209" s="60">
        <f t="shared" si="415"/>
        <v>0.40835558347730549</v>
      </c>
      <c r="FM209" s="60">
        <f>IF($FL209="",#N/A,SUM($FL$4:FL209))</f>
        <v>2.7044905206770267</v>
      </c>
      <c r="FN209" s="82">
        <f t="shared" si="416"/>
        <v>-2.8794303963143142E-2</v>
      </c>
      <c r="FO209" s="82">
        <f>IF($FN209="",#N/A,SUM(FN$4:$FN209))</f>
        <v>34.130019771618755</v>
      </c>
      <c r="FP209" s="82">
        <f t="shared" si="437"/>
        <v>-0.43714988744044864</v>
      </c>
      <c r="FQ209" s="246">
        <f>IF($EH209="",#N/A,SUM($FP$4:FP209))</f>
        <v>29.416051968404453</v>
      </c>
      <c r="FR209" s="82">
        <f>IFERROR(FQ209/COUNTA($J$4:J209),#N/A)</f>
        <v>0.14279636877866239</v>
      </c>
      <c r="FS209" s="82">
        <f>IFERROR(($FQ209-$FQ164)/COUNTA($J164:$J209),#N/A)</f>
        <v>0.13740404914394433</v>
      </c>
      <c r="FT209" s="82">
        <f t="shared" si="417"/>
        <v>0.13926586923915382</v>
      </c>
      <c r="FU209" s="337">
        <f t="shared" ref="FU209:FU219" si="442">IF(AND(HB209="MOC",GZ209=""),#N/A,IFERROR(FQ209-HE209,FQ209-0))-14.53</f>
        <v>12.46285962529265</v>
      </c>
      <c r="FV209" s="57" t="str">
        <f t="shared" si="418"/>
        <v>SW</v>
      </c>
      <c r="FW209" s="57" t="s">
        <v>2732</v>
      </c>
      <c r="FX209" s="57" t="str">
        <f t="shared" si="419"/>
        <v/>
      </c>
      <c r="FY209" s="57" t="str">
        <f t="shared" si="420"/>
        <v/>
      </c>
      <c r="FZ209" s="57" t="str">
        <f t="shared" si="421"/>
        <v/>
      </c>
      <c r="GA209" s="57" t="str">
        <f t="shared" si="422"/>
        <v>Long</v>
      </c>
      <c r="GB209" s="57" t="str">
        <f t="shared" si="423"/>
        <v/>
      </c>
      <c r="GC209" s="57" t="str">
        <f t="shared" si="424"/>
        <v/>
      </c>
      <c r="GD209" s="57">
        <f t="shared" si="425"/>
        <v>1</v>
      </c>
      <c r="GE209" s="62">
        <f t="shared" si="339"/>
        <v>254.68</v>
      </c>
      <c r="GF209" s="62" t="s">
        <v>2780</v>
      </c>
      <c r="GG209" s="199">
        <v>2</v>
      </c>
      <c r="GH209" s="207">
        <f t="shared" si="426"/>
        <v>509.36</v>
      </c>
      <c r="GI209" s="199">
        <f t="shared" si="337"/>
        <v>2</v>
      </c>
      <c r="GJ209" s="200">
        <v>248</v>
      </c>
      <c r="GK209" s="63">
        <f t="shared" si="427"/>
        <v>13.360000000000014</v>
      </c>
      <c r="GL209" s="63">
        <f t="shared" si="340"/>
        <v>0.87999999999999545</v>
      </c>
      <c r="GM209" s="82">
        <f t="shared" si="428"/>
        <v>-2.8794303963143142E-2</v>
      </c>
      <c r="GN209" s="82">
        <f>IF($GZ209="",#N/A,SUM(GM$4:GM209))</f>
        <v>2.2302877546690447</v>
      </c>
      <c r="GO209" s="82" t="str">
        <f t="shared" si="429"/>
        <v/>
      </c>
      <c r="GP209" s="82">
        <f>IF($GZ209="",#N/A,SUM(GO$4:GO209))</f>
        <v>11.061495712330654</v>
      </c>
      <c r="GQ209" s="82" t="str">
        <f t="shared" si="430"/>
        <v/>
      </c>
      <c r="GR209" s="82">
        <f>IF($GZ209="",#N/A,SUM(GQ$4:GQ209))</f>
        <v>20.212399350176707</v>
      </c>
      <c r="GS209" s="63" t="e">
        <f t="shared" si="438"/>
        <v>#N/A</v>
      </c>
      <c r="GT209" s="63" t="e">
        <f>IF($GZ209="",#N/A,SUM(GS$4:GS209))</f>
        <v>#N/A</v>
      </c>
      <c r="GU209" s="63" t="str">
        <f t="shared" si="439"/>
        <v/>
      </c>
      <c r="GV209" s="63" t="e">
        <f>IF($GZ209="",#N/A,SUM(GU$4:GU209))</f>
        <v>#N/A</v>
      </c>
      <c r="GW209" s="63" t="str">
        <f t="shared" si="440"/>
        <v/>
      </c>
      <c r="GX209" s="63" t="e">
        <f>IF($GZ209="",#N/A,SUM(GW$4:GW209))</f>
        <v>#N/A</v>
      </c>
      <c r="GY209" s="63" t="e">
        <f>IF(EJ209="",#N/A,SUM($EJ$4:EJ209))</f>
        <v>#N/A</v>
      </c>
      <c r="GZ209" s="159">
        <v>254.24</v>
      </c>
      <c r="HA209" s="63">
        <f t="shared" si="431"/>
        <v>14.240000000000009</v>
      </c>
      <c r="HB209" s="62" t="s">
        <v>2538</v>
      </c>
      <c r="HC209" s="60">
        <f>IFERROR(VLOOKUP(E209,Expectancy!$P$4:$S$19,1+C209,FALSE),"")</f>
        <v>2.40735201201209E-2</v>
      </c>
      <c r="HD209" s="82">
        <f t="shared" si="432"/>
        <v>0.43714988744044864</v>
      </c>
      <c r="HE209" s="82">
        <f>IF(HD209="",#N/A,SUM($HD$4:HD209))</f>
        <v>2.4231923431118028</v>
      </c>
      <c r="HF209" s="85">
        <f>IF(HD209="",#N/A,IF(HB209="Skip",#N/A,SUM($HG$4:HG209)))</f>
        <v>89.115492144835457</v>
      </c>
      <c r="HG209" s="63">
        <f t="shared" si="433"/>
        <v>13.360000000000014</v>
      </c>
      <c r="HH209" s="82">
        <f t="shared" si="434"/>
        <v>-2.8794303963143142E-2</v>
      </c>
    </row>
    <row r="210" spans="1:216" x14ac:dyDescent="0.25">
      <c r="A210" s="57" t="s">
        <v>176</v>
      </c>
      <c r="B210" s="58" t="s">
        <v>5206</v>
      </c>
      <c r="C210" s="386">
        <f t="shared" si="343"/>
        <v>3</v>
      </c>
      <c r="D210" s="372" t="str">
        <f>_xlfn.XLOOKUP(A210,[1]SP500!$A$2:$A$502,[1]SP500!$D$2:$D$502,"N")</f>
        <v>Y</v>
      </c>
      <c r="E210" s="57" t="str">
        <f>_xlfn.XLOOKUP(A210,[1]SP500!$A$2:$A$655,[1]SP500!$B$2:$B$655)</f>
        <v>XLI</v>
      </c>
      <c r="F210" s="59">
        <v>45693</v>
      </c>
      <c r="G210" s="57" t="str">
        <f t="shared" si="344"/>
        <v>BMO</v>
      </c>
      <c r="H210" s="57" t="str">
        <f t="shared" si="345"/>
        <v>o</v>
      </c>
      <c r="I210" s="159">
        <v>127.69</v>
      </c>
      <c r="J210" s="159">
        <v>127.03</v>
      </c>
      <c r="K210" s="61">
        <f t="shared" si="346"/>
        <v>-5.1687681102670262E-3</v>
      </c>
      <c r="L210" s="87">
        <f t="shared" si="347"/>
        <v>1.9799999999999613</v>
      </c>
      <c r="M210" s="130">
        <f t="shared" si="338"/>
        <v>2.7000000000000455</v>
      </c>
      <c r="N210" s="169" t="str">
        <f t="shared" si="348"/>
        <v/>
      </c>
      <c r="O210" s="169">
        <f>IF($J210="",#N/A,SUM($N$4:N210))</f>
        <v>278.26492601211703</v>
      </c>
      <c r="P210" s="174" t="str">
        <f t="shared" si="349"/>
        <v/>
      </c>
      <c r="Q210" s="174">
        <f>IF($J210="",#N/A,SUM($P$4:P210))</f>
        <v>414.07776401603689</v>
      </c>
      <c r="R210" s="178">
        <f t="shared" si="350"/>
        <v>-1.9799999999999613</v>
      </c>
      <c r="S210" s="178">
        <f>IF($J210="",#N/A,SUM($R$4:R210))</f>
        <v>49.279133907681171</v>
      </c>
      <c r="T210" s="290" t="str">
        <f t="shared" si="351"/>
        <v/>
      </c>
      <c r="U210" s="290">
        <f>IF($J210="",#N/A,SUM($T$4:T210))</f>
        <v>10.059269986096032</v>
      </c>
      <c r="V210" s="291" t="str">
        <f t="shared" si="352"/>
        <v/>
      </c>
      <c r="W210" s="291">
        <f>IF($J210="",#N/A,SUM($V$4:V210))</f>
        <v>17.31349767035293</v>
      </c>
      <c r="X210" s="292">
        <f t="shared" si="353"/>
        <v>-8.614613517111587E-2</v>
      </c>
      <c r="Y210" s="292">
        <f>IF($J210="",#N/A,SUM($X$4:X210))</f>
        <v>1.9571381767843654</v>
      </c>
      <c r="Z210" s="304" t="str">
        <f t="shared" si="354"/>
        <v/>
      </c>
      <c r="AA210" s="313" t="e">
        <f>IF($J210="",#N/A,SUM(Z$4:Z210))</f>
        <v>#N/A</v>
      </c>
      <c r="AB210" s="314" t="str">
        <f t="shared" si="355"/>
        <v/>
      </c>
      <c r="AC210" s="314" t="e">
        <f>IF($J210="",#N/A,SUM(AB$4:AB210))</f>
        <v>#N/A</v>
      </c>
      <c r="AD210" s="315" t="str">
        <f t="shared" si="356"/>
        <v/>
      </c>
      <c r="AE210" s="315" t="e">
        <f>IF($J210="",#N/A,SUM(AD$4:AD210))</f>
        <v>#N/A</v>
      </c>
      <c r="AF210" s="315" t="e">
        <f>IF($J210="",#N/A,SUM(AD$4:AD210,AB$4:AB210,Z$4:Z210))</f>
        <v>#N/A</v>
      </c>
      <c r="AG210" s="304" t="str">
        <f t="shared" si="357"/>
        <v/>
      </c>
      <c r="AH210" s="313" t="e">
        <f>IF($J210="",#N/A,SUM(AG$4:AG210))</f>
        <v>#N/A</v>
      </c>
      <c r="AI210" s="314" t="str">
        <f t="shared" si="358"/>
        <v/>
      </c>
      <c r="AJ210" s="314" t="e">
        <f>IF($J210="",#N/A,SUM(AI$4:AI210))</f>
        <v>#N/A</v>
      </c>
      <c r="AK210" s="315" t="str">
        <f t="shared" si="359"/>
        <v/>
      </c>
      <c r="AL210" s="315" t="e">
        <f>IF($J210="",#N/A,SUM(AK$4:AK210))</f>
        <v>#N/A</v>
      </c>
      <c r="AM210" s="315" t="e">
        <f>IF($J210="",#N/A,SUM(AK$4:AK210,AI$4:AI210,AG$4:AG210))</f>
        <v>#N/A</v>
      </c>
      <c r="AN210" s="304" t="str">
        <f t="shared" si="360"/>
        <v/>
      </c>
      <c r="AO210" s="313" t="e">
        <f>IF($J210="",#N/A,SUM(AN$4:AN210))</f>
        <v>#N/A</v>
      </c>
      <c r="AP210" s="314" t="str">
        <f t="shared" si="361"/>
        <v/>
      </c>
      <c r="AQ210" s="314" t="e">
        <f>IF($J210="",#N/A,SUM(AP$4:AP210))</f>
        <v>#N/A</v>
      </c>
      <c r="AR210" s="315" t="str">
        <f t="shared" si="362"/>
        <v/>
      </c>
      <c r="AS210" s="315" t="e">
        <f>IF($J210="",#N/A,SUM(AR$4:AR210))</f>
        <v>#N/A</v>
      </c>
      <c r="AT210" s="315" t="e">
        <f>IF($J210="",#N/A,SUM(AR$4:AR210,AP$4:AP210,AN$4:AN210))</f>
        <v>#N/A</v>
      </c>
      <c r="AU210" s="304" t="str">
        <f t="shared" si="363"/>
        <v/>
      </c>
      <c r="AV210" s="313" t="e">
        <f>IF($J210="",#N/A,SUM(AU$4:AU210))</f>
        <v>#N/A</v>
      </c>
      <c r="AW210" s="314" t="str">
        <f t="shared" si="364"/>
        <v/>
      </c>
      <c r="AX210" s="314" t="e">
        <f>IF($J210="",#N/A,SUM(AW$4:AW210))</f>
        <v>#N/A</v>
      </c>
      <c r="AY210" s="315" t="str">
        <f t="shared" si="365"/>
        <v/>
      </c>
      <c r="AZ210" s="315" t="e">
        <f>IF($J210="",#N/A,SUM(AY$4:AY210))</f>
        <v>#N/A</v>
      </c>
      <c r="BA210" s="315" t="e">
        <f>IF($J210="",#N/A,SUM(AY$4:AY210,AW$4:AW210,AU$4:AU210))</f>
        <v>#N/A</v>
      </c>
      <c r="BB210" s="304" t="str">
        <f t="shared" si="366"/>
        <v/>
      </c>
      <c r="BC210" s="313" t="e">
        <f>IF($J210="",#N/A,SUM(BB$4:BB210))</f>
        <v>#N/A</v>
      </c>
      <c r="BD210" s="314" t="str">
        <f t="shared" si="367"/>
        <v/>
      </c>
      <c r="BE210" s="314" t="e">
        <f>IF($J210="",#N/A,SUM(BD$4:BD210))</f>
        <v>#N/A</v>
      </c>
      <c r="BF210" s="315" t="str">
        <f t="shared" si="368"/>
        <v/>
      </c>
      <c r="BG210" s="315" t="e">
        <f>IF($J210="",#N/A,SUM(BF$4:BF210))</f>
        <v>#N/A</v>
      </c>
      <c r="BH210" s="315" t="e">
        <f>IF($J210="",#N/A,SUM(BF$4:BF210,BD$4:BD210,BB$4:BB210))</f>
        <v>#N/A</v>
      </c>
      <c r="BI210" s="304" t="str">
        <f t="shared" si="369"/>
        <v/>
      </c>
      <c r="BJ210" s="313" t="e">
        <f>IF($J210="",#N/A,SUM(BI$4:BI210))</f>
        <v>#N/A</v>
      </c>
      <c r="BK210" s="314" t="str">
        <f t="shared" si="370"/>
        <v/>
      </c>
      <c r="BL210" s="314" t="e">
        <f>IF($J210="",#N/A,SUM(BK$4:BK210))</f>
        <v>#N/A</v>
      </c>
      <c r="BM210" s="315" t="str">
        <f t="shared" si="371"/>
        <v/>
      </c>
      <c r="BN210" s="315" t="e">
        <f>IF($J210="",#N/A,SUM(BM$4:BM210))</f>
        <v>#N/A</v>
      </c>
      <c r="BO210" s="315" t="e">
        <f>IF($J210="",#N/A,SUM(BM$4:BM210,BK$4:BK210,BI$4:BI210))</f>
        <v>#N/A</v>
      </c>
      <c r="BP210" s="304" t="str">
        <f t="shared" si="372"/>
        <v/>
      </c>
      <c r="BQ210" s="313" t="e">
        <f>IF($J210="",#N/A,SUM(BP$4:BP210))</f>
        <v>#N/A</v>
      </c>
      <c r="BR210" s="314" t="str">
        <f t="shared" si="373"/>
        <v/>
      </c>
      <c r="BS210" s="314" t="e">
        <f>IF($J210="",#N/A,SUM(BR$4:BR210))</f>
        <v>#N/A</v>
      </c>
      <c r="BT210" s="315">
        <f t="shared" si="374"/>
        <v>-8.614613517111587E-2</v>
      </c>
      <c r="BU210" s="315" t="e">
        <f>IF($J210="",#N/A,SUM(BT$4:BT210))</f>
        <v>#N/A</v>
      </c>
      <c r="BV210" s="315" t="e">
        <f>IF($J210="",#N/A,SUM(BT$4:BT210,BR$4:BR210,BP$4:BP210))</f>
        <v>#N/A</v>
      </c>
      <c r="BW210" s="304" t="str">
        <f t="shared" si="375"/>
        <v/>
      </c>
      <c r="BX210" s="313" t="e">
        <f>IF($J210="",#N/A,SUM(BW$4:BW210))</f>
        <v>#N/A</v>
      </c>
      <c r="BY210" s="314" t="str">
        <f t="shared" si="376"/>
        <v/>
      </c>
      <c r="BZ210" s="314" t="e">
        <f>IF($J210="",#N/A,SUM(BY$4:BY210))</f>
        <v>#N/A</v>
      </c>
      <c r="CA210" s="315" t="str">
        <f t="shared" si="377"/>
        <v/>
      </c>
      <c r="CB210" s="315" t="e">
        <f>IF($J210="",#N/A,SUM(CA$4:CA210))</f>
        <v>#N/A</v>
      </c>
      <c r="CC210" s="315" t="e">
        <f>IF($J210="",#N/A,SUM(CA$4:CA210,BY$4:BY210,BW$4:BW210))</f>
        <v>#N/A</v>
      </c>
      <c r="CD210" s="304" t="str">
        <f t="shared" si="378"/>
        <v/>
      </c>
      <c r="CE210" s="313" t="e">
        <f>IF($J210="",#N/A,SUM(CD$4:CD210))</f>
        <v>#N/A</v>
      </c>
      <c r="CF210" s="314" t="str">
        <f t="shared" si="379"/>
        <v/>
      </c>
      <c r="CG210" s="314" t="e">
        <f>IF($J210="",#N/A,SUM(CF$4:CF210))</f>
        <v>#N/A</v>
      </c>
      <c r="CH210" s="315" t="str">
        <f t="shared" si="380"/>
        <v/>
      </c>
      <c r="CI210" s="315" t="e">
        <f>IF($J210="",#N/A,SUM(CH$4:CH210))</f>
        <v>#N/A</v>
      </c>
      <c r="CJ210" s="315" t="e">
        <f>IF($J210="",#N/A,SUM(CH$4:CH210,CF$4:CF210,CD$4:CD210))</f>
        <v>#N/A</v>
      </c>
      <c r="CK210" s="304" t="str">
        <f t="shared" si="381"/>
        <v/>
      </c>
      <c r="CL210" s="313" t="e">
        <f>IF($J210="",#N/A,SUM(CK$4:CK210))</f>
        <v>#N/A</v>
      </c>
      <c r="CM210" s="314" t="str">
        <f t="shared" si="382"/>
        <v/>
      </c>
      <c r="CN210" s="314" t="e">
        <f>IF($J210="",#N/A,SUM(CM$4:CM210))</f>
        <v>#N/A</v>
      </c>
      <c r="CO210" s="315" t="str">
        <f t="shared" si="383"/>
        <v/>
      </c>
      <c r="CP210" s="315" t="e">
        <f>IF($J210="",#N/A,SUM(CO$4:CO210))</f>
        <v>#N/A</v>
      </c>
      <c r="CQ210" s="315" t="e">
        <f>IF($J210="",#N/A,SUM(CO$4:CO210,CM$4:CM210,CK$4:CK210))</f>
        <v>#N/A</v>
      </c>
      <c r="CR210" s="304" t="str">
        <f t="shared" si="384"/>
        <v/>
      </c>
      <c r="CS210" s="313" t="e">
        <f>IF($J210="",#N/A,SUM(CR$4:CR210))</f>
        <v>#N/A</v>
      </c>
      <c r="CT210" s="314" t="str">
        <f t="shared" si="385"/>
        <v/>
      </c>
      <c r="CU210" s="314" t="e">
        <f>IF($J210="",#N/A,SUM(CT$4:CT210))</f>
        <v>#N/A</v>
      </c>
      <c r="CV210" s="315" t="str">
        <f t="shared" si="386"/>
        <v/>
      </c>
      <c r="CW210" s="315" t="e">
        <f>IF($J210="",#N/A,SUM(CV$4:CV210))</f>
        <v>#N/A</v>
      </c>
      <c r="CX210" s="315" t="e">
        <f>IF($J210="",#N/A,SUM(CV$4:CV210,CT$4:CT210,CR$4:CR210))</f>
        <v>#N/A</v>
      </c>
      <c r="CY210" s="304" t="str">
        <f t="shared" si="387"/>
        <v/>
      </c>
      <c r="CZ210" s="313" t="e">
        <f>IF($J210="",#N/A,SUM(CY$4:CY210))</f>
        <v>#N/A</v>
      </c>
      <c r="DA210" s="314" t="str">
        <f t="shared" si="388"/>
        <v/>
      </c>
      <c r="DB210" s="314" t="e">
        <f>IF($J210="",#N/A,SUM(DA$4:DA210))</f>
        <v>#N/A</v>
      </c>
      <c r="DC210" s="315" t="str">
        <f t="shared" si="389"/>
        <v/>
      </c>
      <c r="DD210" s="315" t="e">
        <f>IF($J210="",#N/A,SUM(DC$4:DC210))</f>
        <v>#N/A</v>
      </c>
      <c r="DE210" s="315" t="e">
        <f>IF($J210="",#N/A,SUM(DC$4:DC210,DA$4:DA210,CY$4:CY210))</f>
        <v>#N/A</v>
      </c>
      <c r="DF210" s="304" t="str">
        <f t="shared" si="390"/>
        <v/>
      </c>
      <c r="DG210" s="313" t="e">
        <f>IF($J210="",#N/A,SUM(DF$4:DF210))</f>
        <v>#N/A</v>
      </c>
      <c r="DH210" s="314" t="str">
        <f t="shared" si="391"/>
        <v/>
      </c>
      <c r="DI210" s="314" t="e">
        <f>IF($J210="",#N/A,SUM(DH$4:DH210))</f>
        <v>#N/A</v>
      </c>
      <c r="DJ210" s="315" t="str">
        <f t="shared" si="392"/>
        <v/>
      </c>
      <c r="DK210" s="315" t="e">
        <f>IF($J210="",#N/A,SUM(DJ$4:DJ210))</f>
        <v>#N/A</v>
      </c>
      <c r="DL210" s="315" t="e">
        <f>IF($J210="",#N/A,SUM(DJ$4:DJ210,DH$4:DH210,DF$4:DF210))</f>
        <v>#N/A</v>
      </c>
      <c r="DM210" s="304" t="str">
        <f t="shared" si="393"/>
        <v/>
      </c>
      <c r="DN210" s="313" t="e">
        <f>IF($J210="",#N/A,SUM(DM$4:DM210))</f>
        <v>#N/A</v>
      </c>
      <c r="DO210" s="314" t="str">
        <f t="shared" si="394"/>
        <v/>
      </c>
      <c r="DP210" s="314" t="e">
        <f>IF($J210="",#N/A,SUM(DO$4:DO210))</f>
        <v>#N/A</v>
      </c>
      <c r="DQ210" s="315" t="str">
        <f t="shared" si="395"/>
        <v/>
      </c>
      <c r="DR210" s="315" t="e">
        <f>IF($J210="",#N/A,SUM(DQ$4:DQ210))</f>
        <v>#N/A</v>
      </c>
      <c r="DS210" s="315" t="e">
        <f>IF($J210="",#N/A,SUM(DQ$4:DQ210,DO$4:DO210,DM$4:DM210))</f>
        <v>#N/A</v>
      </c>
      <c r="DT210" s="304" t="str">
        <f t="shared" si="396"/>
        <v/>
      </c>
      <c r="DU210" s="313" t="e">
        <f>IF($J210="",#N/A,SUM(DT$4:DT210))</f>
        <v>#N/A</v>
      </c>
      <c r="DV210" s="314" t="str">
        <f t="shared" si="397"/>
        <v/>
      </c>
      <c r="DW210" s="314" t="e">
        <f>IF($J210="",#N/A,SUM(DV$4:DV210))</f>
        <v>#N/A</v>
      </c>
      <c r="DX210" s="315" t="str">
        <f t="shared" si="398"/>
        <v/>
      </c>
      <c r="DY210" s="315" t="e">
        <f>IF($J210="",#N/A,SUM(DX$4:DX210))</f>
        <v>#N/A</v>
      </c>
      <c r="DZ210" s="315" t="e">
        <f>IF($J210="",#N/A,SUM(DX$4:DX210,DV$4:DV210,DT$4:DT210))</f>
        <v>#N/A</v>
      </c>
      <c r="EA210" s="304" t="str">
        <f t="shared" si="399"/>
        <v/>
      </c>
      <c r="EB210" s="313" t="e">
        <f>IF($J210="",#N/A,SUM(EA$4:EA210))</f>
        <v>#N/A</v>
      </c>
      <c r="EC210" s="314" t="str">
        <f t="shared" si="400"/>
        <v/>
      </c>
      <c r="ED210" s="314" t="e">
        <f>IF($J210="",#N/A,SUM(EC$4:EC210))</f>
        <v>#N/A</v>
      </c>
      <c r="EE210" s="315" t="str">
        <f t="shared" si="401"/>
        <v/>
      </c>
      <c r="EF210" s="315" t="e">
        <f>IF($J210="",#N/A,SUM(EE$4:EE210))</f>
        <v>#N/A</v>
      </c>
      <c r="EG210" s="315" t="e">
        <f>IF($J210="",#N/A,SUM(EE$4:EE210,EC$4:EC210,EA$4:EA210))</f>
        <v>#N/A</v>
      </c>
      <c r="EH210" s="130">
        <f t="shared" si="402"/>
        <v>-1.9799999999999613</v>
      </c>
      <c r="EI210" s="63">
        <f>IF(EH210="",#N/A,SUM($EH$4:EH210))</f>
        <v>741.62182393583521</v>
      </c>
      <c r="EJ210" s="223" t="e">
        <f t="shared" si="403"/>
        <v>#N/A</v>
      </c>
      <c r="EK210" s="63" t="e">
        <f>IF($GZ210="",#N/A,SUM(EJ$4:EJ210))</f>
        <v>#N/A</v>
      </c>
      <c r="EL210" s="60">
        <f t="shared" si="435"/>
        <v>-8.614613517111587E-2</v>
      </c>
      <c r="EM210" s="60">
        <f>IF(EL210="",NA(),SUM($EL$4:EL210))</f>
        <v>20.632269497085563</v>
      </c>
      <c r="EN210" s="60" t="str">
        <f t="shared" si="404"/>
        <v/>
      </c>
      <c r="EO210" s="60" t="e">
        <f>IF(EN210="",NA(),SUM($EN$4:EN210))</f>
        <v>#N/A</v>
      </c>
      <c r="EP210" s="60">
        <f t="shared" si="405"/>
        <v>-8.614613517111587E-2</v>
      </c>
      <c r="EQ210" s="60">
        <f>IF(EP210="",NA(),SUM($EP$4:EP210))</f>
        <v>2.8848950968615585</v>
      </c>
      <c r="ER210" s="60" t="str">
        <f t="shared" si="406"/>
        <v/>
      </c>
      <c r="ES210" s="60" t="e">
        <f>IF(ER210="",NA(),SUM($ER$4:ER210))</f>
        <v>#N/A</v>
      </c>
      <c r="ET210" s="60" t="str">
        <f t="shared" si="407"/>
        <v/>
      </c>
      <c r="EU210" s="60" t="e">
        <f>IF(ET210="",NA(),SUM($ET$4:ET210))</f>
        <v>#N/A</v>
      </c>
      <c r="EV210" s="60" t="str">
        <f t="shared" si="408"/>
        <v/>
      </c>
      <c r="EW210" s="60" t="e">
        <f>IF(EV210="",NA(),SUM($EV$4:EV210))</f>
        <v>#N/A</v>
      </c>
      <c r="EX210" s="60" t="str">
        <f t="shared" si="409"/>
        <v/>
      </c>
      <c r="EY210" s="60" t="e">
        <f>IF(EX210="",NA(),SUM($EX$4:EX210))</f>
        <v>#N/A</v>
      </c>
      <c r="EZ210" s="60" t="str">
        <f t="shared" si="410"/>
        <v/>
      </c>
      <c r="FA210" s="60" t="e">
        <f>IF(EZ210="",NA(),SUM($EZ$4:EZ210))</f>
        <v>#N/A</v>
      </c>
      <c r="FB210" s="246" t="str">
        <f t="shared" si="436"/>
        <v/>
      </c>
      <c r="FC210" s="246" t="e">
        <f>IF($FB210="",#N/A,SUM(FB$4:$FB210))</f>
        <v>#N/A</v>
      </c>
      <c r="FD210" s="60" t="str">
        <f t="shared" si="411"/>
        <v/>
      </c>
      <c r="FE210" s="60" t="e">
        <f>IF($FD210="",#N/A,SUM($FD$4:FD210))</f>
        <v>#N/A</v>
      </c>
      <c r="FF210" s="60" t="str">
        <f t="shared" si="412"/>
        <v/>
      </c>
      <c r="FG210" s="60" t="e">
        <f>IF($FF210="",#N/A,SUM($FF$4:FF210))</f>
        <v>#N/A</v>
      </c>
      <c r="FH210" s="60" t="str">
        <f t="shared" si="413"/>
        <v/>
      </c>
      <c r="FI210" s="60" t="e">
        <f>IF($FH210="",#N/A,SUM($FH$4:FH210))</f>
        <v>#N/A</v>
      </c>
      <c r="FJ210" s="60" t="str">
        <f t="shared" si="414"/>
        <v/>
      </c>
      <c r="FK210" s="60" t="e">
        <f>IF($FJ210="",#N/A,SUM($FJ$4:FJ210))</f>
        <v>#N/A</v>
      </c>
      <c r="FL210" s="60">
        <f t="shared" si="415"/>
        <v>-0.29629049520975292</v>
      </c>
      <c r="FM210" s="60">
        <f>IF($FL210="",#N/A,SUM($FL$4:FL210))</f>
        <v>2.4082000254672735</v>
      </c>
      <c r="FN210" s="82">
        <f t="shared" si="416"/>
        <v>-0.38243663038086878</v>
      </c>
      <c r="FO210" s="82">
        <f>IF($FN210="",#N/A,SUM(FN$4:$FN210))</f>
        <v>33.747583141237889</v>
      </c>
      <c r="FP210" s="82">
        <f t="shared" si="437"/>
        <v>-8.614613517111587E-2</v>
      </c>
      <c r="FQ210" s="246">
        <f>IF($EH210="",#N/A,SUM($FP$4:FP210))</f>
        <v>29.329905833233337</v>
      </c>
      <c r="FR210" s="82">
        <f>IFERROR(FQ210/COUNTA($J$4:J210),#N/A)</f>
        <v>0.14169036634412241</v>
      </c>
      <c r="FS210" s="82">
        <f>IFERROR(($FQ210-$FQ165)/COUNTA($J165:$J210),#N/A)</f>
        <v>0.14011709018194751</v>
      </c>
      <c r="FT210" s="82">
        <f t="shared" si="417"/>
        <v>0.18452259461419743</v>
      </c>
      <c r="FU210" s="337">
        <f t="shared" si="442"/>
        <v>12.173095352444347</v>
      </c>
      <c r="FV210" s="57" t="str">
        <f t="shared" si="418"/>
        <v>SW</v>
      </c>
      <c r="FW210" s="57" t="s">
        <v>2732</v>
      </c>
      <c r="FX210" s="57" t="str">
        <f t="shared" si="419"/>
        <v/>
      </c>
      <c r="FY210" s="57" t="str">
        <f t="shared" si="420"/>
        <v/>
      </c>
      <c r="FZ210" s="57" t="str">
        <f t="shared" si="421"/>
        <v/>
      </c>
      <c r="GA210" s="57" t="str">
        <f t="shared" si="422"/>
        <v>Long</v>
      </c>
      <c r="GB210" s="57" t="str">
        <f t="shared" si="423"/>
        <v/>
      </c>
      <c r="GC210" s="57" t="str">
        <f t="shared" si="424"/>
        <v/>
      </c>
      <c r="GD210" s="57">
        <f t="shared" si="425"/>
        <v>1</v>
      </c>
      <c r="GE210" s="62">
        <f t="shared" si="339"/>
        <v>127.69</v>
      </c>
      <c r="GF210" s="62" t="s">
        <v>2780</v>
      </c>
      <c r="GG210" s="199">
        <v>3</v>
      </c>
      <c r="GH210" s="207">
        <f t="shared" si="426"/>
        <v>383.07</v>
      </c>
      <c r="GI210" s="199">
        <f t="shared" si="337"/>
        <v>3</v>
      </c>
      <c r="GJ210" s="200">
        <v>126.13</v>
      </c>
      <c r="GK210" s="63">
        <f t="shared" si="427"/>
        <v>4.6800000000000068</v>
      </c>
      <c r="GL210" s="63">
        <f t="shared" si="340"/>
        <v>8.7899999999999636</v>
      </c>
      <c r="GM210" s="82">
        <f t="shared" si="428"/>
        <v>-0.38243663038086878</v>
      </c>
      <c r="GN210" s="82">
        <f>IF($GZ210="",#N/A,SUM(GM$4:GM210))</f>
        <v>1.8478511242881759</v>
      </c>
      <c r="GO210" s="82" t="str">
        <f t="shared" si="429"/>
        <v/>
      </c>
      <c r="GP210" s="82">
        <f>IF($GZ210="",#N/A,SUM(GO$4:GO210))</f>
        <v>11.061495712330654</v>
      </c>
      <c r="GQ210" s="82" t="str">
        <f t="shared" si="430"/>
        <v/>
      </c>
      <c r="GR210" s="82">
        <f>IF($GZ210="",#N/A,SUM(GQ$4:GQ210))</f>
        <v>20.212399350176707</v>
      </c>
      <c r="GS210" s="63" t="e">
        <f t="shared" si="438"/>
        <v>#N/A</v>
      </c>
      <c r="GT210" s="63" t="e">
        <f>IF($GZ210="",#N/A,SUM(GS$4:GS210))</f>
        <v>#N/A</v>
      </c>
      <c r="GU210" s="63" t="str">
        <f t="shared" si="439"/>
        <v/>
      </c>
      <c r="GV210" s="63" t="e">
        <f>IF($GZ210="",#N/A,SUM(GU$4:GU210))</f>
        <v>#N/A</v>
      </c>
      <c r="GW210" s="63" t="str">
        <f t="shared" si="440"/>
        <v/>
      </c>
      <c r="GX210" s="63" t="e">
        <f>IF($GZ210="",#N/A,SUM(GW$4:GW210))</f>
        <v>#N/A</v>
      </c>
      <c r="GY210" s="63" t="e">
        <f>IF(EJ210="",#N/A,SUM($EJ$4:EJ210))</f>
        <v>#N/A</v>
      </c>
      <c r="GZ210" s="159">
        <v>124.76</v>
      </c>
      <c r="HA210" s="63">
        <f t="shared" si="431"/>
        <v>10.769999999999925</v>
      </c>
      <c r="HB210" s="62" t="s">
        <v>2538</v>
      </c>
      <c r="HC210" s="60">
        <f>IFERROR(VLOOKUP(E210,Expectancy!$P$4:$S$19,1+C210,FALSE),"")</f>
        <v>2.40735201201209E-2</v>
      </c>
      <c r="HD210" s="82">
        <f t="shared" si="432"/>
        <v>0.20361813767718726</v>
      </c>
      <c r="HE210" s="82">
        <f>IF(HD210="",#N/A,SUM($HD$4:HD210))</f>
        <v>2.6268104807889898</v>
      </c>
      <c r="HF210" s="85">
        <f>IF(HD210="",#N/A,IF(HB210="Skip",#N/A,SUM($HG$4:HG210)))</f>
        <v>93.795492144835464</v>
      </c>
      <c r="HG210" s="63">
        <f t="shared" si="433"/>
        <v>4.6800000000000068</v>
      </c>
      <c r="HH210" s="82">
        <f t="shared" si="434"/>
        <v>-0.38243663038086878</v>
      </c>
    </row>
    <row r="211" spans="1:216" x14ac:dyDescent="0.25">
      <c r="A211" s="57" t="s">
        <v>289</v>
      </c>
      <c r="B211" s="58" t="s">
        <v>5206</v>
      </c>
      <c r="C211" s="386">
        <f t="shared" si="343"/>
        <v>3</v>
      </c>
      <c r="D211" s="372" t="str">
        <f>_xlfn.XLOOKUP(A211,[1]SP500!$A$2:$A$502,[1]SP500!$D$2:$D$502,"N")</f>
        <v>Y</v>
      </c>
      <c r="E211" s="57" t="str">
        <f>_xlfn.XLOOKUP(A211,[1]SP500!$A$2:$A$655,[1]SP500!$B$2:$B$655)</f>
        <v>XLI</v>
      </c>
      <c r="F211" s="59">
        <v>45693</v>
      </c>
      <c r="G211" s="57" t="str">
        <f t="shared" si="344"/>
        <v>BMO</v>
      </c>
      <c r="H211" s="57" t="str">
        <f t="shared" si="345"/>
        <v>o</v>
      </c>
      <c r="I211" s="159">
        <v>77.290000000000006</v>
      </c>
      <c r="J211" s="159">
        <v>87.11</v>
      </c>
      <c r="K211" s="61">
        <f t="shared" si="346"/>
        <v>0.12705395264587907</v>
      </c>
      <c r="L211" s="87">
        <f t="shared" si="347"/>
        <v>-49.099999999999966</v>
      </c>
      <c r="M211" s="130">
        <f t="shared" si="338"/>
        <v>-4.3000000000000114</v>
      </c>
      <c r="N211" s="169" t="str">
        <f t="shared" si="348"/>
        <v/>
      </c>
      <c r="O211" s="169">
        <f>IF($J211="",#N/A,SUM($N$4:N211))</f>
        <v>278.26492601211703</v>
      </c>
      <c r="P211" s="174" t="str">
        <f t="shared" si="349"/>
        <v/>
      </c>
      <c r="Q211" s="174">
        <f>IF($J211="",#N/A,SUM($P$4:P211))</f>
        <v>414.07776401603689</v>
      </c>
      <c r="R211" s="178">
        <f t="shared" si="350"/>
        <v>49.099999999999966</v>
      </c>
      <c r="S211" s="178">
        <f>IF($J211="",#N/A,SUM($R$4:R211))</f>
        <v>98.379133907681137</v>
      </c>
      <c r="T211" s="290" t="str">
        <f t="shared" si="351"/>
        <v/>
      </c>
      <c r="U211" s="290">
        <f>IF($J211="",#N/A,SUM($T$4:T211))</f>
        <v>10.059269986096032</v>
      </c>
      <c r="V211" s="291" t="str">
        <f t="shared" si="352"/>
        <v/>
      </c>
      <c r="W211" s="291">
        <f>IF($J211="",#N/A,SUM($V$4:V211))</f>
        <v>17.31349767035293</v>
      </c>
      <c r="X211" s="292">
        <f t="shared" si="353"/>
        <v>2.1175658774313177</v>
      </c>
      <c r="Y211" s="292">
        <f>IF($J211="",#N/A,SUM($X$4:X211))</f>
        <v>4.0747040542156832</v>
      </c>
      <c r="Z211" s="304" t="str">
        <f t="shared" si="354"/>
        <v/>
      </c>
      <c r="AA211" s="313" t="e">
        <f>IF($J211="",#N/A,SUM(Z$4:Z211))</f>
        <v>#N/A</v>
      </c>
      <c r="AB211" s="314" t="str">
        <f t="shared" si="355"/>
        <v/>
      </c>
      <c r="AC211" s="314" t="e">
        <f>IF($J211="",#N/A,SUM(AB$4:AB211))</f>
        <v>#N/A</v>
      </c>
      <c r="AD211" s="315" t="str">
        <f t="shared" si="356"/>
        <v/>
      </c>
      <c r="AE211" s="315" t="e">
        <f>IF($J211="",#N/A,SUM(AD$4:AD211))</f>
        <v>#N/A</v>
      </c>
      <c r="AF211" s="315" t="e">
        <f>IF($J211="",#N/A,SUM(AD$4:AD211,AB$4:AB211,Z$4:Z211))</f>
        <v>#N/A</v>
      </c>
      <c r="AG211" s="304" t="str">
        <f t="shared" si="357"/>
        <v/>
      </c>
      <c r="AH211" s="313" t="e">
        <f>IF($J211="",#N/A,SUM(AG$4:AG211))</f>
        <v>#N/A</v>
      </c>
      <c r="AI211" s="314" t="str">
        <f t="shared" si="358"/>
        <v/>
      </c>
      <c r="AJ211" s="314" t="e">
        <f>IF($J211="",#N/A,SUM(AI$4:AI211))</f>
        <v>#N/A</v>
      </c>
      <c r="AK211" s="315" t="str">
        <f t="shared" si="359"/>
        <v/>
      </c>
      <c r="AL211" s="315" t="e">
        <f>IF($J211="",#N/A,SUM(AK$4:AK211))</f>
        <v>#N/A</v>
      </c>
      <c r="AM211" s="315" t="e">
        <f>IF($J211="",#N/A,SUM(AK$4:AK211,AI$4:AI211,AG$4:AG211))</f>
        <v>#N/A</v>
      </c>
      <c r="AN211" s="304" t="str">
        <f t="shared" si="360"/>
        <v/>
      </c>
      <c r="AO211" s="313" t="e">
        <f>IF($J211="",#N/A,SUM(AN$4:AN211))</f>
        <v>#N/A</v>
      </c>
      <c r="AP211" s="314" t="str">
        <f t="shared" si="361"/>
        <v/>
      </c>
      <c r="AQ211" s="314" t="e">
        <f>IF($J211="",#N/A,SUM(AP$4:AP211))</f>
        <v>#N/A</v>
      </c>
      <c r="AR211" s="315" t="str">
        <f t="shared" si="362"/>
        <v/>
      </c>
      <c r="AS211" s="315" t="e">
        <f>IF($J211="",#N/A,SUM(AR$4:AR211))</f>
        <v>#N/A</v>
      </c>
      <c r="AT211" s="315" t="e">
        <f>IF($J211="",#N/A,SUM(AR$4:AR211,AP$4:AP211,AN$4:AN211))</f>
        <v>#N/A</v>
      </c>
      <c r="AU211" s="304" t="str">
        <f t="shared" si="363"/>
        <v/>
      </c>
      <c r="AV211" s="313" t="e">
        <f>IF($J211="",#N/A,SUM(AU$4:AU211))</f>
        <v>#N/A</v>
      </c>
      <c r="AW211" s="314" t="str">
        <f t="shared" si="364"/>
        <v/>
      </c>
      <c r="AX211" s="314" t="e">
        <f>IF($J211="",#N/A,SUM(AW$4:AW211))</f>
        <v>#N/A</v>
      </c>
      <c r="AY211" s="315" t="str">
        <f t="shared" si="365"/>
        <v/>
      </c>
      <c r="AZ211" s="315" t="e">
        <f>IF($J211="",#N/A,SUM(AY$4:AY211))</f>
        <v>#N/A</v>
      </c>
      <c r="BA211" s="315" t="e">
        <f>IF($J211="",#N/A,SUM(AY$4:AY211,AW$4:AW211,AU$4:AU211))</f>
        <v>#N/A</v>
      </c>
      <c r="BB211" s="304" t="str">
        <f t="shared" si="366"/>
        <v/>
      </c>
      <c r="BC211" s="313" t="e">
        <f>IF($J211="",#N/A,SUM(BB$4:BB211))</f>
        <v>#N/A</v>
      </c>
      <c r="BD211" s="314" t="str">
        <f t="shared" si="367"/>
        <v/>
      </c>
      <c r="BE211" s="314" t="e">
        <f>IF($J211="",#N/A,SUM(BD$4:BD211))</f>
        <v>#N/A</v>
      </c>
      <c r="BF211" s="315" t="str">
        <f t="shared" si="368"/>
        <v/>
      </c>
      <c r="BG211" s="315" t="e">
        <f>IF($J211="",#N/A,SUM(BF$4:BF211))</f>
        <v>#N/A</v>
      </c>
      <c r="BH211" s="315" t="e">
        <f>IF($J211="",#N/A,SUM(BF$4:BF211,BD$4:BD211,BB$4:BB211))</f>
        <v>#N/A</v>
      </c>
      <c r="BI211" s="304" t="str">
        <f t="shared" si="369"/>
        <v/>
      </c>
      <c r="BJ211" s="313" t="e">
        <f>IF($J211="",#N/A,SUM(BI$4:BI211))</f>
        <v>#N/A</v>
      </c>
      <c r="BK211" s="314" t="str">
        <f t="shared" si="370"/>
        <v/>
      </c>
      <c r="BL211" s="314" t="e">
        <f>IF($J211="",#N/A,SUM(BK$4:BK211))</f>
        <v>#N/A</v>
      </c>
      <c r="BM211" s="315" t="str">
        <f t="shared" si="371"/>
        <v/>
      </c>
      <c r="BN211" s="315" t="e">
        <f>IF($J211="",#N/A,SUM(BM$4:BM211))</f>
        <v>#N/A</v>
      </c>
      <c r="BO211" s="315" t="e">
        <f>IF($J211="",#N/A,SUM(BM$4:BM211,BK$4:BK211,BI$4:BI211))</f>
        <v>#N/A</v>
      </c>
      <c r="BP211" s="304" t="str">
        <f t="shared" si="372"/>
        <v/>
      </c>
      <c r="BQ211" s="313" t="e">
        <f>IF($J211="",#N/A,SUM(BP$4:BP211))</f>
        <v>#N/A</v>
      </c>
      <c r="BR211" s="314" t="str">
        <f t="shared" si="373"/>
        <v/>
      </c>
      <c r="BS211" s="314" t="e">
        <f>IF($J211="",#N/A,SUM(BR$4:BR211))</f>
        <v>#N/A</v>
      </c>
      <c r="BT211" s="315">
        <f t="shared" si="374"/>
        <v>2.1175658774313177</v>
      </c>
      <c r="BU211" s="315" t="e">
        <f>IF($J211="",#N/A,SUM(BT$4:BT211))</f>
        <v>#N/A</v>
      </c>
      <c r="BV211" s="315" t="e">
        <f>IF($J211="",#N/A,SUM(BT$4:BT211,BR$4:BR211,BP$4:BP211))</f>
        <v>#N/A</v>
      </c>
      <c r="BW211" s="304" t="str">
        <f t="shared" si="375"/>
        <v/>
      </c>
      <c r="BX211" s="313" t="e">
        <f>IF($J211="",#N/A,SUM(BW$4:BW211))</f>
        <v>#N/A</v>
      </c>
      <c r="BY211" s="314" t="str">
        <f t="shared" si="376"/>
        <v/>
      </c>
      <c r="BZ211" s="314" t="e">
        <f>IF($J211="",#N/A,SUM(BY$4:BY211))</f>
        <v>#N/A</v>
      </c>
      <c r="CA211" s="315" t="str">
        <f t="shared" si="377"/>
        <v/>
      </c>
      <c r="CB211" s="315" t="e">
        <f>IF($J211="",#N/A,SUM(CA$4:CA211))</f>
        <v>#N/A</v>
      </c>
      <c r="CC211" s="315" t="e">
        <f>IF($J211="",#N/A,SUM(CA$4:CA211,BY$4:BY211,BW$4:BW211))</f>
        <v>#N/A</v>
      </c>
      <c r="CD211" s="304" t="str">
        <f t="shared" si="378"/>
        <v/>
      </c>
      <c r="CE211" s="313" t="e">
        <f>IF($J211="",#N/A,SUM(CD$4:CD211))</f>
        <v>#N/A</v>
      </c>
      <c r="CF211" s="314" t="str">
        <f t="shared" si="379"/>
        <v/>
      </c>
      <c r="CG211" s="314" t="e">
        <f>IF($J211="",#N/A,SUM(CF$4:CF211))</f>
        <v>#N/A</v>
      </c>
      <c r="CH211" s="315" t="str">
        <f t="shared" si="380"/>
        <v/>
      </c>
      <c r="CI211" s="315" t="e">
        <f>IF($J211="",#N/A,SUM(CH$4:CH211))</f>
        <v>#N/A</v>
      </c>
      <c r="CJ211" s="315" t="e">
        <f>IF($J211="",#N/A,SUM(CH$4:CH211,CF$4:CF211,CD$4:CD211))</f>
        <v>#N/A</v>
      </c>
      <c r="CK211" s="304" t="str">
        <f t="shared" si="381"/>
        <v/>
      </c>
      <c r="CL211" s="313" t="e">
        <f>IF($J211="",#N/A,SUM(CK$4:CK211))</f>
        <v>#N/A</v>
      </c>
      <c r="CM211" s="314" t="str">
        <f t="shared" si="382"/>
        <v/>
      </c>
      <c r="CN211" s="314" t="e">
        <f>IF($J211="",#N/A,SUM(CM$4:CM211))</f>
        <v>#N/A</v>
      </c>
      <c r="CO211" s="315" t="str">
        <f t="shared" si="383"/>
        <v/>
      </c>
      <c r="CP211" s="315" t="e">
        <f>IF($J211="",#N/A,SUM(CO$4:CO211))</f>
        <v>#N/A</v>
      </c>
      <c r="CQ211" s="315" t="e">
        <f>IF($J211="",#N/A,SUM(CO$4:CO211,CM$4:CM211,CK$4:CK211))</f>
        <v>#N/A</v>
      </c>
      <c r="CR211" s="304" t="str">
        <f t="shared" si="384"/>
        <v/>
      </c>
      <c r="CS211" s="313" t="e">
        <f>IF($J211="",#N/A,SUM(CR$4:CR211))</f>
        <v>#N/A</v>
      </c>
      <c r="CT211" s="314" t="str">
        <f t="shared" si="385"/>
        <v/>
      </c>
      <c r="CU211" s="314" t="e">
        <f>IF($J211="",#N/A,SUM(CT$4:CT211))</f>
        <v>#N/A</v>
      </c>
      <c r="CV211" s="315" t="str">
        <f t="shared" si="386"/>
        <v/>
      </c>
      <c r="CW211" s="315" t="e">
        <f>IF($J211="",#N/A,SUM(CV$4:CV211))</f>
        <v>#N/A</v>
      </c>
      <c r="CX211" s="315" t="e">
        <f>IF($J211="",#N/A,SUM(CV$4:CV211,CT$4:CT211,CR$4:CR211))</f>
        <v>#N/A</v>
      </c>
      <c r="CY211" s="304" t="str">
        <f t="shared" si="387"/>
        <v/>
      </c>
      <c r="CZ211" s="313" t="e">
        <f>IF($J211="",#N/A,SUM(CY$4:CY211))</f>
        <v>#N/A</v>
      </c>
      <c r="DA211" s="314" t="str">
        <f t="shared" si="388"/>
        <v/>
      </c>
      <c r="DB211" s="314" t="e">
        <f>IF($J211="",#N/A,SUM(DA$4:DA211))</f>
        <v>#N/A</v>
      </c>
      <c r="DC211" s="315" t="str">
        <f t="shared" si="389"/>
        <v/>
      </c>
      <c r="DD211" s="315" t="e">
        <f>IF($J211="",#N/A,SUM(DC$4:DC211))</f>
        <v>#N/A</v>
      </c>
      <c r="DE211" s="315" t="e">
        <f>IF($J211="",#N/A,SUM(DC$4:DC211,DA$4:DA211,CY$4:CY211))</f>
        <v>#N/A</v>
      </c>
      <c r="DF211" s="304" t="str">
        <f t="shared" si="390"/>
        <v/>
      </c>
      <c r="DG211" s="313" t="e">
        <f>IF($J211="",#N/A,SUM(DF$4:DF211))</f>
        <v>#N/A</v>
      </c>
      <c r="DH211" s="314" t="str">
        <f t="shared" si="391"/>
        <v/>
      </c>
      <c r="DI211" s="314" t="e">
        <f>IF($J211="",#N/A,SUM(DH$4:DH211))</f>
        <v>#N/A</v>
      </c>
      <c r="DJ211" s="315" t="str">
        <f t="shared" si="392"/>
        <v/>
      </c>
      <c r="DK211" s="315" t="e">
        <f>IF($J211="",#N/A,SUM(DJ$4:DJ211))</f>
        <v>#N/A</v>
      </c>
      <c r="DL211" s="315" t="e">
        <f>IF($J211="",#N/A,SUM(DJ$4:DJ211,DH$4:DH211,DF$4:DF211))</f>
        <v>#N/A</v>
      </c>
      <c r="DM211" s="304" t="str">
        <f t="shared" si="393"/>
        <v/>
      </c>
      <c r="DN211" s="313" t="e">
        <f>IF($J211="",#N/A,SUM(DM$4:DM211))</f>
        <v>#N/A</v>
      </c>
      <c r="DO211" s="314" t="str">
        <f t="shared" si="394"/>
        <v/>
      </c>
      <c r="DP211" s="314" t="e">
        <f>IF($J211="",#N/A,SUM(DO$4:DO211))</f>
        <v>#N/A</v>
      </c>
      <c r="DQ211" s="315" t="str">
        <f t="shared" si="395"/>
        <v/>
      </c>
      <c r="DR211" s="315" t="e">
        <f>IF($J211="",#N/A,SUM(DQ$4:DQ211))</f>
        <v>#N/A</v>
      </c>
      <c r="DS211" s="315" t="e">
        <f>IF($J211="",#N/A,SUM(DQ$4:DQ211,DO$4:DO211,DM$4:DM211))</f>
        <v>#N/A</v>
      </c>
      <c r="DT211" s="304" t="str">
        <f t="shared" si="396"/>
        <v/>
      </c>
      <c r="DU211" s="313" t="e">
        <f>IF($J211="",#N/A,SUM(DT$4:DT211))</f>
        <v>#N/A</v>
      </c>
      <c r="DV211" s="314" t="str">
        <f t="shared" si="397"/>
        <v/>
      </c>
      <c r="DW211" s="314" t="e">
        <f>IF($J211="",#N/A,SUM(DV$4:DV211))</f>
        <v>#N/A</v>
      </c>
      <c r="DX211" s="315" t="str">
        <f t="shared" si="398"/>
        <v/>
      </c>
      <c r="DY211" s="315" t="e">
        <f>IF($J211="",#N/A,SUM(DX$4:DX211))</f>
        <v>#N/A</v>
      </c>
      <c r="DZ211" s="315" t="e">
        <f>IF($J211="",#N/A,SUM(DX$4:DX211,DV$4:DV211,DT$4:DT211))</f>
        <v>#N/A</v>
      </c>
      <c r="EA211" s="304" t="str">
        <f t="shared" si="399"/>
        <v/>
      </c>
      <c r="EB211" s="313" t="e">
        <f>IF($J211="",#N/A,SUM(EA$4:EA211))</f>
        <v>#N/A</v>
      </c>
      <c r="EC211" s="314" t="str">
        <f t="shared" si="400"/>
        <v/>
      </c>
      <c r="ED211" s="314" t="e">
        <f>IF($J211="",#N/A,SUM(EC$4:EC211))</f>
        <v>#N/A</v>
      </c>
      <c r="EE211" s="315" t="str">
        <f t="shared" si="401"/>
        <v/>
      </c>
      <c r="EF211" s="315" t="e">
        <f>IF($J211="",#N/A,SUM(EE$4:EE211))</f>
        <v>#N/A</v>
      </c>
      <c r="EG211" s="315" t="e">
        <f>IF($J211="",#N/A,SUM(EE$4:EE211,EC$4:EC211,EA$4:EA211))</f>
        <v>#N/A</v>
      </c>
      <c r="EH211" s="130">
        <f t="shared" si="402"/>
        <v>49.099999999999966</v>
      </c>
      <c r="EI211" s="63">
        <f>IF(EH211="",#N/A,SUM($EH$4:EH211))</f>
        <v>790.72182393583512</v>
      </c>
      <c r="EJ211" s="223" t="e">
        <f t="shared" si="403"/>
        <v>#N/A</v>
      </c>
      <c r="EK211" s="63" t="e">
        <f>IF($GZ211="",#N/A,SUM(EJ$4:EJ211))</f>
        <v>#N/A</v>
      </c>
      <c r="EL211" s="60">
        <f t="shared" si="435"/>
        <v>2.1175658774313177</v>
      </c>
      <c r="EM211" s="60">
        <f>IF(EL211="",NA(),SUM($EL$4:EL211))</f>
        <v>22.749835374516881</v>
      </c>
      <c r="EN211" s="60" t="str">
        <f t="shared" si="404"/>
        <v/>
      </c>
      <c r="EO211" s="60" t="e">
        <f>IF(EN211="",NA(),SUM($EN$4:EN211))</f>
        <v>#N/A</v>
      </c>
      <c r="EP211" s="60">
        <f t="shared" si="405"/>
        <v>2.1175658774313177</v>
      </c>
      <c r="EQ211" s="60">
        <f>IF(EP211="",NA(),SUM($EP$4:EP211))</f>
        <v>5.0024609742928767</v>
      </c>
      <c r="ER211" s="60" t="str">
        <f t="shared" si="406"/>
        <v/>
      </c>
      <c r="ES211" s="60" t="e">
        <f>IF(ER211="",NA(),SUM($ER$4:ER211))</f>
        <v>#N/A</v>
      </c>
      <c r="ET211" s="60" t="str">
        <f t="shared" si="407"/>
        <v/>
      </c>
      <c r="EU211" s="60" t="e">
        <f>IF(ET211="",NA(),SUM($ET$4:ET211))</f>
        <v>#N/A</v>
      </c>
      <c r="EV211" s="60" t="str">
        <f t="shared" si="408"/>
        <v/>
      </c>
      <c r="EW211" s="60" t="e">
        <f>IF(EV211="",NA(),SUM($EV$4:EV211))</f>
        <v>#N/A</v>
      </c>
      <c r="EX211" s="60" t="str">
        <f t="shared" si="409"/>
        <v/>
      </c>
      <c r="EY211" s="60" t="e">
        <f>IF(EX211="",NA(),SUM($EX$4:EX211))</f>
        <v>#N/A</v>
      </c>
      <c r="EZ211" s="60" t="str">
        <f t="shared" si="410"/>
        <v/>
      </c>
      <c r="FA211" s="60" t="e">
        <f>IF(EZ211="",NA(),SUM($EZ$4:EZ211))</f>
        <v>#N/A</v>
      </c>
      <c r="FB211" s="246" t="str">
        <f t="shared" si="436"/>
        <v/>
      </c>
      <c r="FC211" s="246" t="e">
        <f>IF($FB211="",#N/A,SUM(FB$4:$FB211))</f>
        <v>#N/A</v>
      </c>
      <c r="FD211" s="60" t="str">
        <f t="shared" si="411"/>
        <v/>
      </c>
      <c r="FE211" s="60" t="e">
        <f>IF($FD211="",#N/A,SUM($FD$4:FD211))</f>
        <v>#N/A</v>
      </c>
      <c r="FF211" s="60" t="str">
        <f t="shared" si="412"/>
        <v/>
      </c>
      <c r="FG211" s="60" t="e">
        <f>IF($FF211="",#N/A,SUM($FF$4:FF211))</f>
        <v>#N/A</v>
      </c>
      <c r="FH211" s="60" t="str">
        <f t="shared" si="413"/>
        <v/>
      </c>
      <c r="FI211" s="60" t="e">
        <f>IF($FH211="",#N/A,SUM($FH$4:FH211))</f>
        <v>#N/A</v>
      </c>
      <c r="FJ211" s="60">
        <f t="shared" si="414"/>
        <v>-0.23720188036399703</v>
      </c>
      <c r="FK211" s="60">
        <f>IF($FJ211="",#N/A,SUM($FJ$4:FJ211))</f>
        <v>-2.7546889583274607</v>
      </c>
      <c r="FL211" s="60" t="str">
        <f t="shared" si="415"/>
        <v/>
      </c>
      <c r="FM211" s="60" t="e">
        <f>IF($FL211="",#N/A,SUM($FL$4:FL211))</f>
        <v>#N/A</v>
      </c>
      <c r="FN211" s="82">
        <f t="shared" si="416"/>
        <v>1.8803639970673207</v>
      </c>
      <c r="FO211" s="82">
        <f>IF($FN211="",#N/A,SUM(FN$4:$FN211))</f>
        <v>35.62794713830521</v>
      </c>
      <c r="FP211" s="82">
        <f t="shared" si="437"/>
        <v>2.1175658774313177</v>
      </c>
      <c r="FQ211" s="246">
        <f>IF($EH211="",#N/A,SUM($FP$4:FP211))</f>
        <v>31.447471710664654</v>
      </c>
      <c r="FR211" s="82">
        <f>IFERROR(FQ211/COUNTA($J$4:J211),#N/A)</f>
        <v>0.15118976783973392</v>
      </c>
      <c r="FS211" s="82" t="e">
        <f>IFERROR(($FQ211-#REF!)/COUNTA($J166:$J211),#N/A)</f>
        <v>#N/A</v>
      </c>
      <c r="FT211" s="82">
        <f t="shared" si="417"/>
        <v>0.20365873676425869</v>
      </c>
      <c r="FU211" s="337">
        <f t="shared" si="442"/>
        <v>16.593675850137018</v>
      </c>
      <c r="FV211" s="57" t="str">
        <f t="shared" si="418"/>
        <v>SW</v>
      </c>
      <c r="FW211" s="57" t="s">
        <v>2732</v>
      </c>
      <c r="FX211" s="57" t="str">
        <f t="shared" si="419"/>
        <v/>
      </c>
      <c r="FY211" s="57" t="str">
        <f t="shared" si="420"/>
        <v/>
      </c>
      <c r="FZ211" s="57">
        <f t="shared" si="421"/>
        <v>1</v>
      </c>
      <c r="GA211" s="57" t="str">
        <f t="shared" si="422"/>
        <v>Long</v>
      </c>
      <c r="GB211" s="57" t="str">
        <f t="shared" si="423"/>
        <v/>
      </c>
      <c r="GC211" s="57" t="str">
        <f t="shared" si="424"/>
        <v/>
      </c>
      <c r="GD211" s="57" t="str">
        <f t="shared" si="425"/>
        <v/>
      </c>
      <c r="GE211" s="62">
        <f t="shared" si="339"/>
        <v>77.290000000000006</v>
      </c>
      <c r="GF211" s="62" t="s">
        <v>2780</v>
      </c>
      <c r="GG211" s="199">
        <v>5</v>
      </c>
      <c r="GH211" s="207">
        <f t="shared" si="426"/>
        <v>386.45000000000005</v>
      </c>
      <c r="GI211" s="199">
        <f t="shared" si="337"/>
        <v>5</v>
      </c>
      <c r="GJ211" s="200">
        <v>87.97</v>
      </c>
      <c r="GK211" s="63">
        <f t="shared" si="427"/>
        <v>-53.399999999999977</v>
      </c>
      <c r="GL211" s="63">
        <f t="shared" si="340"/>
        <v>-43.599999999999966</v>
      </c>
      <c r="GM211" s="82">
        <f t="shared" si="428"/>
        <v>1.8803639970673207</v>
      </c>
      <c r="GN211" s="82">
        <f>IF($GZ211="",#N/A,SUM(GM$4:GM211))</f>
        <v>3.7282151213554968</v>
      </c>
      <c r="GO211" s="82" t="str">
        <f t="shared" si="429"/>
        <v/>
      </c>
      <c r="GP211" s="82">
        <f>IF($GZ211="",#N/A,SUM(GO$4:GO211))</f>
        <v>11.061495712330654</v>
      </c>
      <c r="GQ211" s="82" t="str">
        <f t="shared" si="430"/>
        <v/>
      </c>
      <c r="GR211" s="82">
        <f>IF($GZ211="",#N/A,SUM(GQ$4:GQ211))</f>
        <v>20.212399350176707</v>
      </c>
      <c r="GS211" s="63" t="e">
        <f t="shared" si="438"/>
        <v>#N/A</v>
      </c>
      <c r="GT211" s="63" t="e">
        <f>IF($GZ211="",#N/A,SUM(GS$4:GS211))</f>
        <v>#N/A</v>
      </c>
      <c r="GU211" s="63" t="str">
        <f t="shared" si="439"/>
        <v/>
      </c>
      <c r="GV211" s="63" t="e">
        <f>IF($GZ211="",#N/A,SUM(GU$4:GU211))</f>
        <v>#N/A</v>
      </c>
      <c r="GW211" s="63" t="str">
        <f t="shared" si="440"/>
        <v/>
      </c>
      <c r="GX211" s="63" t="e">
        <f>IF($GZ211="",#N/A,SUM(GW$4:GW211))</f>
        <v>#N/A</v>
      </c>
      <c r="GY211" s="63" t="e">
        <f>IF(EJ211="",#N/A,SUM($EJ$4:EJ211))</f>
        <v>#N/A</v>
      </c>
      <c r="GZ211" s="159">
        <v>86.01</v>
      </c>
      <c r="HA211" s="63">
        <f t="shared" si="431"/>
        <v>-92.699999999999932</v>
      </c>
      <c r="HB211" s="62" t="s">
        <v>2538</v>
      </c>
      <c r="HC211" s="60">
        <f>IFERROR(VLOOKUP(E211,Expectancy!$P$4:$S$19,1+C211,FALSE),"")</f>
        <v>2.40735201201209E-2</v>
      </c>
      <c r="HD211" s="82">
        <f t="shared" si="432"/>
        <v>-2.3030146202613522</v>
      </c>
      <c r="HE211" s="82">
        <f>IF(HD211="",#N/A,SUM($HD$4:HD211))</f>
        <v>0.32379586052763765</v>
      </c>
      <c r="HF211" s="85">
        <f>IF(HD211="",#N/A,IF(HB211="Skip",#N/A,SUM($HG$4:HG211)))</f>
        <v>40.395492144835487</v>
      </c>
      <c r="HG211" s="63">
        <f t="shared" si="433"/>
        <v>-53.399999999999977</v>
      </c>
      <c r="HH211" s="82">
        <f t="shared" si="434"/>
        <v>1.8803639970673207</v>
      </c>
    </row>
    <row r="212" spans="1:216" x14ac:dyDescent="0.25">
      <c r="A212" s="57" t="s">
        <v>282</v>
      </c>
      <c r="B212" s="58" t="s">
        <v>5210</v>
      </c>
      <c r="C212" s="386">
        <f t="shared" si="343"/>
        <v>1</v>
      </c>
      <c r="D212" s="372" t="str">
        <f>_xlfn.XLOOKUP(A212,[1]SP500!$A$2:$A$502,[1]SP500!$D$2:$D$502,"N")</f>
        <v>Y</v>
      </c>
      <c r="E212" s="57" t="str">
        <f>_xlfn.XLOOKUP(A212,[1]SP500!$A$2:$A$655,[1]SP500!$B$2:$B$655)</f>
        <v>XLV</v>
      </c>
      <c r="F212" s="59">
        <v>45693</v>
      </c>
      <c r="G212" s="57" t="str">
        <f t="shared" si="344"/>
        <v>BMO</v>
      </c>
      <c r="H212" s="57" t="str">
        <f t="shared" si="345"/>
        <v>o</v>
      </c>
      <c r="I212" s="159">
        <v>251.57</v>
      </c>
      <c r="J212" s="159">
        <v>254.33</v>
      </c>
      <c r="K212" s="61">
        <f t="shared" si="346"/>
        <v>1.0971101482688792E-2</v>
      </c>
      <c r="L212" s="87">
        <f t="shared" si="347"/>
        <v>-5.5200000000000387</v>
      </c>
      <c r="M212" s="130">
        <f t="shared" si="338"/>
        <v>0</v>
      </c>
      <c r="N212" s="169">
        <f t="shared" si="348"/>
        <v>5.5200000000000387</v>
      </c>
      <c r="O212" s="169">
        <f>IF($J212="",#N/A,SUM($N$4:N212))</f>
        <v>283.78492601211707</v>
      </c>
      <c r="P212" s="174" t="str">
        <f t="shared" si="349"/>
        <v/>
      </c>
      <c r="Q212" s="174">
        <f>IF($J212="",#N/A,SUM($P$4:P212))</f>
        <v>414.07776401603689</v>
      </c>
      <c r="R212" s="178" t="str">
        <f t="shared" si="350"/>
        <v/>
      </c>
      <c r="S212" s="178">
        <f>IF($J212="",#N/A,SUM($R$4:R212))</f>
        <v>98.379133907681137</v>
      </c>
      <c r="T212" s="290">
        <f t="shared" si="351"/>
        <v>0.18285169137814655</v>
      </c>
      <c r="U212" s="290">
        <f>IF($J212="",#N/A,SUM($T$4:T212))</f>
        <v>10.242121677474179</v>
      </c>
      <c r="V212" s="291" t="str">
        <f t="shared" si="352"/>
        <v/>
      </c>
      <c r="W212" s="291">
        <f>IF($J212="",#N/A,SUM($V$4:V212))</f>
        <v>17.31349767035293</v>
      </c>
      <c r="X212" s="292" t="str">
        <f t="shared" si="353"/>
        <v/>
      </c>
      <c r="Y212" s="292">
        <f>IF($J212="",#N/A,SUM($X$4:X212))</f>
        <v>4.0747040542156832</v>
      </c>
      <c r="Z212" s="304" t="str">
        <f t="shared" si="354"/>
        <v/>
      </c>
      <c r="AA212" s="313" t="e">
        <f>IF($J212="",#N/A,SUM(Z$4:Z212))</f>
        <v>#N/A</v>
      </c>
      <c r="AB212" s="314" t="str">
        <f t="shared" si="355"/>
        <v/>
      </c>
      <c r="AC212" s="314" t="e">
        <f>IF($J212="",#N/A,SUM(AB$4:AB212))</f>
        <v>#N/A</v>
      </c>
      <c r="AD212" s="315" t="str">
        <f t="shared" si="356"/>
        <v/>
      </c>
      <c r="AE212" s="315" t="e">
        <f>IF($J212="",#N/A,SUM(AD$4:AD212))</f>
        <v>#N/A</v>
      </c>
      <c r="AF212" s="315" t="e">
        <f>IF($J212="",#N/A,SUM(AD$4:AD212,AB$4:AB212,Z$4:Z212))</f>
        <v>#N/A</v>
      </c>
      <c r="AG212" s="304" t="str">
        <f t="shared" si="357"/>
        <v/>
      </c>
      <c r="AH212" s="313" t="e">
        <f>IF($J212="",#N/A,SUM(AG$4:AG212))</f>
        <v>#N/A</v>
      </c>
      <c r="AI212" s="314" t="str">
        <f t="shared" si="358"/>
        <v/>
      </c>
      <c r="AJ212" s="314" t="e">
        <f>IF($J212="",#N/A,SUM(AI$4:AI212))</f>
        <v>#N/A</v>
      </c>
      <c r="AK212" s="315" t="str">
        <f t="shared" si="359"/>
        <v/>
      </c>
      <c r="AL212" s="315" t="e">
        <f>IF($J212="",#N/A,SUM(AK$4:AK212))</f>
        <v>#N/A</v>
      </c>
      <c r="AM212" s="315" t="e">
        <f>IF($J212="",#N/A,SUM(AK$4:AK212,AI$4:AI212,AG$4:AG212))</f>
        <v>#N/A</v>
      </c>
      <c r="AN212" s="304" t="str">
        <f t="shared" si="360"/>
        <v/>
      </c>
      <c r="AO212" s="313" t="e">
        <f>IF($J212="",#N/A,SUM(AN$4:AN212))</f>
        <v>#N/A</v>
      </c>
      <c r="AP212" s="314" t="str">
        <f t="shared" si="361"/>
        <v/>
      </c>
      <c r="AQ212" s="314" t="e">
        <f>IF($J212="",#N/A,SUM(AP$4:AP212))</f>
        <v>#N/A</v>
      </c>
      <c r="AR212" s="315" t="str">
        <f t="shared" si="362"/>
        <v/>
      </c>
      <c r="AS212" s="315" t="e">
        <f>IF($J212="",#N/A,SUM(AR$4:AR212))</f>
        <v>#N/A</v>
      </c>
      <c r="AT212" s="315" t="e">
        <f>IF($J212="",#N/A,SUM(AR$4:AR212,AP$4:AP212,AN$4:AN212))</f>
        <v>#N/A</v>
      </c>
      <c r="AU212" s="304" t="str">
        <f t="shared" si="363"/>
        <v/>
      </c>
      <c r="AV212" s="313" t="e">
        <f>IF($J212="",#N/A,SUM(AU$4:AU212))</f>
        <v>#N/A</v>
      </c>
      <c r="AW212" s="314" t="str">
        <f t="shared" si="364"/>
        <v/>
      </c>
      <c r="AX212" s="314" t="e">
        <f>IF($J212="",#N/A,SUM(AW$4:AW212))</f>
        <v>#N/A</v>
      </c>
      <c r="AY212" s="315" t="str">
        <f t="shared" si="365"/>
        <v/>
      </c>
      <c r="AZ212" s="315" t="e">
        <f>IF($J212="",#N/A,SUM(AY$4:AY212))</f>
        <v>#N/A</v>
      </c>
      <c r="BA212" s="315" t="e">
        <f>IF($J212="",#N/A,SUM(AY$4:AY212,AW$4:AW212,AU$4:AU212))</f>
        <v>#N/A</v>
      </c>
      <c r="BB212" s="304" t="str">
        <f t="shared" si="366"/>
        <v/>
      </c>
      <c r="BC212" s="313" t="e">
        <f>IF($J212="",#N/A,SUM(BB$4:BB212))</f>
        <v>#N/A</v>
      </c>
      <c r="BD212" s="314" t="str">
        <f t="shared" si="367"/>
        <v/>
      </c>
      <c r="BE212" s="314" t="e">
        <f>IF($J212="",#N/A,SUM(BD$4:BD212))</f>
        <v>#N/A</v>
      </c>
      <c r="BF212" s="315" t="str">
        <f t="shared" si="368"/>
        <v/>
      </c>
      <c r="BG212" s="315" t="e">
        <f>IF($J212="",#N/A,SUM(BF$4:BF212))</f>
        <v>#N/A</v>
      </c>
      <c r="BH212" s="315" t="e">
        <f>IF($J212="",#N/A,SUM(BF$4:BF212,BD$4:BD212,BB$4:BB212))</f>
        <v>#N/A</v>
      </c>
      <c r="BI212" s="304" t="str">
        <f t="shared" si="369"/>
        <v/>
      </c>
      <c r="BJ212" s="313" t="e">
        <f>IF($J212="",#N/A,SUM(BI$4:BI212))</f>
        <v>#N/A</v>
      </c>
      <c r="BK212" s="314" t="str">
        <f t="shared" si="370"/>
        <v/>
      </c>
      <c r="BL212" s="314" t="e">
        <f>IF($J212="",#N/A,SUM(BK$4:BK212))</f>
        <v>#N/A</v>
      </c>
      <c r="BM212" s="315" t="str">
        <f t="shared" si="371"/>
        <v/>
      </c>
      <c r="BN212" s="315" t="e">
        <f>IF($J212="",#N/A,SUM(BM$4:BM212))</f>
        <v>#N/A</v>
      </c>
      <c r="BO212" s="315" t="e">
        <f>IF($J212="",#N/A,SUM(BM$4:BM212,BK$4:BK212,BI$4:BI212))</f>
        <v>#N/A</v>
      </c>
      <c r="BP212" s="304" t="str">
        <f t="shared" si="372"/>
        <v/>
      </c>
      <c r="BQ212" s="313" t="e">
        <f>IF($J212="",#N/A,SUM(BP$4:BP212))</f>
        <v>#N/A</v>
      </c>
      <c r="BR212" s="314" t="str">
        <f t="shared" si="373"/>
        <v/>
      </c>
      <c r="BS212" s="314" t="e">
        <f>IF($J212="",#N/A,SUM(BR$4:BR212))</f>
        <v>#N/A</v>
      </c>
      <c r="BT212" s="315" t="str">
        <f t="shared" si="374"/>
        <v/>
      </c>
      <c r="BU212" s="315" t="e">
        <f>IF($J212="",#N/A,SUM(BT$4:BT212))</f>
        <v>#N/A</v>
      </c>
      <c r="BV212" s="315" t="e">
        <f>IF($J212="",#N/A,SUM(BT$4:BT212,BR$4:BR212,BP$4:BP212))</f>
        <v>#N/A</v>
      </c>
      <c r="BW212" s="304">
        <f t="shared" si="375"/>
        <v>0.18285169137814655</v>
      </c>
      <c r="BX212" s="313" t="e">
        <f>IF($J212="",#N/A,SUM(BW$4:BW212))</f>
        <v>#N/A</v>
      </c>
      <c r="BY212" s="314" t="str">
        <f t="shared" si="376"/>
        <v/>
      </c>
      <c r="BZ212" s="314" t="e">
        <f>IF($J212="",#N/A,SUM(BY$4:BY212))</f>
        <v>#N/A</v>
      </c>
      <c r="CA212" s="315" t="str">
        <f t="shared" si="377"/>
        <v/>
      </c>
      <c r="CB212" s="315" t="e">
        <f>IF($J212="",#N/A,SUM(CA$4:CA212))</f>
        <v>#N/A</v>
      </c>
      <c r="CC212" s="315" t="e">
        <f>IF($J212="",#N/A,SUM(CA$4:CA212,BY$4:BY212,BW$4:BW212))</f>
        <v>#N/A</v>
      </c>
      <c r="CD212" s="304" t="str">
        <f t="shared" si="378"/>
        <v/>
      </c>
      <c r="CE212" s="313" t="e">
        <f>IF($J212="",#N/A,SUM(CD$4:CD212))</f>
        <v>#N/A</v>
      </c>
      <c r="CF212" s="314" t="str">
        <f t="shared" si="379"/>
        <v/>
      </c>
      <c r="CG212" s="314" t="e">
        <f>IF($J212="",#N/A,SUM(CF$4:CF212))</f>
        <v>#N/A</v>
      </c>
      <c r="CH212" s="315" t="str">
        <f t="shared" si="380"/>
        <v/>
      </c>
      <c r="CI212" s="315" t="e">
        <f>IF($J212="",#N/A,SUM(CH$4:CH212))</f>
        <v>#N/A</v>
      </c>
      <c r="CJ212" s="315" t="e">
        <f>IF($J212="",#N/A,SUM(CH$4:CH212,CF$4:CF212,CD$4:CD212))</f>
        <v>#N/A</v>
      </c>
      <c r="CK212" s="304" t="str">
        <f t="shared" si="381"/>
        <v/>
      </c>
      <c r="CL212" s="313" t="e">
        <f>IF($J212="",#N/A,SUM(CK$4:CK212))</f>
        <v>#N/A</v>
      </c>
      <c r="CM212" s="314" t="str">
        <f t="shared" si="382"/>
        <v/>
      </c>
      <c r="CN212" s="314" t="e">
        <f>IF($J212="",#N/A,SUM(CM$4:CM212))</f>
        <v>#N/A</v>
      </c>
      <c r="CO212" s="315" t="str">
        <f t="shared" si="383"/>
        <v/>
      </c>
      <c r="CP212" s="315" t="e">
        <f>IF($J212="",#N/A,SUM(CO$4:CO212))</f>
        <v>#N/A</v>
      </c>
      <c r="CQ212" s="315" t="e">
        <f>IF($J212="",#N/A,SUM(CO$4:CO212,CM$4:CM212,CK$4:CK212))</f>
        <v>#N/A</v>
      </c>
      <c r="CR212" s="304" t="str">
        <f t="shared" si="384"/>
        <v/>
      </c>
      <c r="CS212" s="313" t="e">
        <f>IF($J212="",#N/A,SUM(CR$4:CR212))</f>
        <v>#N/A</v>
      </c>
      <c r="CT212" s="314" t="str">
        <f t="shared" si="385"/>
        <v/>
      </c>
      <c r="CU212" s="314" t="e">
        <f>IF($J212="",#N/A,SUM(CT$4:CT212))</f>
        <v>#N/A</v>
      </c>
      <c r="CV212" s="315" t="str">
        <f t="shared" si="386"/>
        <v/>
      </c>
      <c r="CW212" s="315" t="e">
        <f>IF($J212="",#N/A,SUM(CV$4:CV212))</f>
        <v>#N/A</v>
      </c>
      <c r="CX212" s="315" t="e">
        <f>IF($J212="",#N/A,SUM(CV$4:CV212,CT$4:CT212,CR$4:CR212))</f>
        <v>#N/A</v>
      </c>
      <c r="CY212" s="304" t="str">
        <f t="shared" si="387"/>
        <v/>
      </c>
      <c r="CZ212" s="313" t="e">
        <f>IF($J212="",#N/A,SUM(CY$4:CY212))</f>
        <v>#N/A</v>
      </c>
      <c r="DA212" s="314" t="str">
        <f t="shared" si="388"/>
        <v/>
      </c>
      <c r="DB212" s="314" t="e">
        <f>IF($J212="",#N/A,SUM(DA$4:DA212))</f>
        <v>#N/A</v>
      </c>
      <c r="DC212" s="315" t="str">
        <f t="shared" si="389"/>
        <v/>
      </c>
      <c r="DD212" s="315" t="e">
        <f>IF($J212="",#N/A,SUM(DC$4:DC212))</f>
        <v>#N/A</v>
      </c>
      <c r="DE212" s="315" t="e">
        <f>IF($J212="",#N/A,SUM(DC$4:DC212,DA$4:DA212,CY$4:CY212))</f>
        <v>#N/A</v>
      </c>
      <c r="DF212" s="304" t="str">
        <f t="shared" si="390"/>
        <v/>
      </c>
      <c r="DG212" s="313" t="e">
        <f>IF($J212="",#N/A,SUM(DF$4:DF212))</f>
        <v>#N/A</v>
      </c>
      <c r="DH212" s="314" t="str">
        <f t="shared" si="391"/>
        <v/>
      </c>
      <c r="DI212" s="314" t="e">
        <f>IF($J212="",#N/A,SUM(DH$4:DH212))</f>
        <v>#N/A</v>
      </c>
      <c r="DJ212" s="315" t="str">
        <f t="shared" si="392"/>
        <v/>
      </c>
      <c r="DK212" s="315" t="e">
        <f>IF($J212="",#N/A,SUM(DJ$4:DJ212))</f>
        <v>#N/A</v>
      </c>
      <c r="DL212" s="315" t="e">
        <f>IF($J212="",#N/A,SUM(DJ$4:DJ212,DH$4:DH212,DF$4:DF212))</f>
        <v>#N/A</v>
      </c>
      <c r="DM212" s="304" t="str">
        <f t="shared" si="393"/>
        <v/>
      </c>
      <c r="DN212" s="313" t="e">
        <f>IF($J212="",#N/A,SUM(DM$4:DM212))</f>
        <v>#N/A</v>
      </c>
      <c r="DO212" s="314" t="str">
        <f t="shared" si="394"/>
        <v/>
      </c>
      <c r="DP212" s="314" t="e">
        <f>IF($J212="",#N/A,SUM(DO$4:DO212))</f>
        <v>#N/A</v>
      </c>
      <c r="DQ212" s="315" t="str">
        <f t="shared" si="395"/>
        <v/>
      </c>
      <c r="DR212" s="315" t="e">
        <f>IF($J212="",#N/A,SUM(DQ$4:DQ212))</f>
        <v>#N/A</v>
      </c>
      <c r="DS212" s="315" t="e">
        <f>IF($J212="",#N/A,SUM(DQ$4:DQ212,DO$4:DO212,DM$4:DM212))</f>
        <v>#N/A</v>
      </c>
      <c r="DT212" s="304" t="str">
        <f t="shared" si="396"/>
        <v/>
      </c>
      <c r="DU212" s="313" t="e">
        <f>IF($J212="",#N/A,SUM(DT$4:DT212))</f>
        <v>#N/A</v>
      </c>
      <c r="DV212" s="314" t="str">
        <f t="shared" si="397"/>
        <v/>
      </c>
      <c r="DW212" s="314" t="e">
        <f>IF($J212="",#N/A,SUM(DV$4:DV212))</f>
        <v>#N/A</v>
      </c>
      <c r="DX212" s="315" t="str">
        <f t="shared" si="398"/>
        <v/>
      </c>
      <c r="DY212" s="315" t="e">
        <f>IF($J212="",#N/A,SUM(DX$4:DX212))</f>
        <v>#N/A</v>
      </c>
      <c r="DZ212" s="315" t="e">
        <f>IF($J212="",#N/A,SUM(DX$4:DX212,DV$4:DV212,DT$4:DT212))</f>
        <v>#N/A</v>
      </c>
      <c r="EA212" s="304" t="str">
        <f t="shared" si="399"/>
        <v/>
      </c>
      <c r="EB212" s="313" t="e">
        <f>IF($J212="",#N/A,SUM(EA$4:EA212))</f>
        <v>#N/A</v>
      </c>
      <c r="EC212" s="314" t="str">
        <f t="shared" si="400"/>
        <v/>
      </c>
      <c r="ED212" s="314" t="e">
        <f>IF($J212="",#N/A,SUM(EC$4:EC212))</f>
        <v>#N/A</v>
      </c>
      <c r="EE212" s="315" t="str">
        <f t="shared" si="401"/>
        <v/>
      </c>
      <c r="EF212" s="315" t="e">
        <f>IF($J212="",#N/A,SUM(EE$4:EE212))</f>
        <v>#N/A</v>
      </c>
      <c r="EG212" s="315" t="e">
        <f>IF($J212="",#N/A,SUM(EE$4:EE212,EC$4:EC212,EA$4:EA212))</f>
        <v>#N/A</v>
      </c>
      <c r="EH212" s="130">
        <f t="shared" si="402"/>
        <v>5.5200000000000387</v>
      </c>
      <c r="EI212" s="63">
        <f>IF(EH212="",#N/A,SUM($EH$4:EH212))</f>
        <v>796.2418239358351</v>
      </c>
      <c r="EJ212" s="223" t="e">
        <f t="shared" si="403"/>
        <v>#N/A</v>
      </c>
      <c r="EK212" s="63" t="e">
        <f>IF($GZ212="",#N/A,SUM(EJ$4:EJ212))</f>
        <v>#N/A</v>
      </c>
      <c r="EL212" s="60">
        <f t="shared" si="435"/>
        <v>0.18285169137814655</v>
      </c>
      <c r="EM212" s="60">
        <f>IF(EL212="",NA(),SUM($EL$4:EL212))</f>
        <v>22.932687065895028</v>
      </c>
      <c r="EN212" s="60">
        <f t="shared" si="404"/>
        <v>0.18285169137814655</v>
      </c>
      <c r="EO212" s="60">
        <f>IF(EN212="",NA(),SUM($EN$4:EN212))</f>
        <v>8.2854148528234539</v>
      </c>
      <c r="EP212" s="60" t="str">
        <f t="shared" si="405"/>
        <v/>
      </c>
      <c r="EQ212" s="60" t="e">
        <f>IF(EP212="",NA(),SUM($EP$4:EP212))</f>
        <v>#N/A</v>
      </c>
      <c r="ER212" s="60" t="str">
        <f t="shared" si="406"/>
        <v/>
      </c>
      <c r="ES212" s="60" t="e">
        <f>IF(ER212="",NA(),SUM($ER$4:ER212))</f>
        <v>#N/A</v>
      </c>
      <c r="ET212" s="60" t="str">
        <f t="shared" si="407"/>
        <v/>
      </c>
      <c r="EU212" s="60" t="e">
        <f>IF(ET212="",NA(),SUM($ET$4:ET212))</f>
        <v>#N/A</v>
      </c>
      <c r="EV212" s="60" t="str">
        <f t="shared" si="408"/>
        <v/>
      </c>
      <c r="EW212" s="60" t="e">
        <f>IF(EV212="",NA(),SUM($EV$4:EV212))</f>
        <v>#N/A</v>
      </c>
      <c r="EX212" s="60" t="str">
        <f t="shared" si="409"/>
        <v/>
      </c>
      <c r="EY212" s="60" t="e">
        <f>IF(EX212="",NA(),SUM($EX$4:EX212))</f>
        <v>#N/A</v>
      </c>
      <c r="EZ212" s="60" t="str">
        <f t="shared" si="410"/>
        <v/>
      </c>
      <c r="FA212" s="60" t="e">
        <f>IF(EZ212="",NA(),SUM($EZ$4:EZ212))</f>
        <v>#N/A</v>
      </c>
      <c r="FB212" s="246" t="str">
        <f t="shared" si="436"/>
        <v/>
      </c>
      <c r="FC212" s="246" t="e">
        <f>IF($FB212="",#N/A,SUM(FB$4:$FB212))</f>
        <v>#N/A</v>
      </c>
      <c r="FD212" s="60" t="str">
        <f t="shared" si="411"/>
        <v/>
      </c>
      <c r="FE212" s="60" t="e">
        <f>IF($FD212="",#N/A,SUM($FD$4:FD212))</f>
        <v>#N/A</v>
      </c>
      <c r="FF212" s="60">
        <f t="shared" si="412"/>
        <v>-6.956314345907777E-2</v>
      </c>
      <c r="FG212" s="60">
        <f>IF($FF212="",#N/A,SUM($FF$4:FF212))</f>
        <v>-0.89719139629415967</v>
      </c>
      <c r="FH212" s="60" t="str">
        <f t="shared" si="413"/>
        <v/>
      </c>
      <c r="FI212" s="60" t="e">
        <f>IF($FH212="",#N/A,SUM($FH$4:FH212))</f>
        <v>#N/A</v>
      </c>
      <c r="FJ212" s="60" t="str">
        <f t="shared" si="414"/>
        <v/>
      </c>
      <c r="FK212" s="60" t="e">
        <f>IF($FJ212="",#N/A,SUM($FJ$4:FJ212))</f>
        <v>#N/A</v>
      </c>
      <c r="FL212" s="60" t="str">
        <f t="shared" si="415"/>
        <v/>
      </c>
      <c r="FM212" s="60" t="e">
        <f>IF($FL212="",#N/A,SUM($FL$4:FL212))</f>
        <v>#N/A</v>
      </c>
      <c r="FN212" s="82">
        <f t="shared" si="416"/>
        <v>0.11328854791906878</v>
      </c>
      <c r="FO212" s="82">
        <f>IF($FN212="",#N/A,SUM(FN$4:$FN212))</f>
        <v>35.741235686224279</v>
      </c>
      <c r="FP212" s="82">
        <f t="shared" si="437"/>
        <v>0.18285169137814655</v>
      </c>
      <c r="FQ212" s="246">
        <f>IF($EH212="",#N/A,SUM($FP$4:FP212))</f>
        <v>31.630323402042801</v>
      </c>
      <c r="FR212" s="82">
        <f>IFERROR(FQ212/COUNTA($J$4:J212),#N/A)</f>
        <v>0.15134126029685552</v>
      </c>
      <c r="FS212" s="82" t="e">
        <f>IFERROR(($FQ212-#REF!)/COUNTA($J166:$J212),#N/A)</f>
        <v>#N/A</v>
      </c>
      <c r="FT212" s="82">
        <f t="shared" si="417"/>
        <v>0.20726495526539734</v>
      </c>
      <c r="FU212" s="337">
        <f t="shared" si="442"/>
        <v>16.959379232893312</v>
      </c>
      <c r="FV212" s="57" t="str">
        <f t="shared" si="418"/>
        <v>Up</v>
      </c>
      <c r="FW212" s="57" t="s">
        <v>2733</v>
      </c>
      <c r="FX212" s="57">
        <f t="shared" si="419"/>
        <v>1</v>
      </c>
      <c r="FY212" s="57" t="str">
        <f t="shared" si="420"/>
        <v/>
      </c>
      <c r="FZ212" s="57" t="str">
        <f t="shared" si="421"/>
        <v/>
      </c>
      <c r="GA212" s="57" t="str">
        <f t="shared" si="422"/>
        <v>Long</v>
      </c>
      <c r="GB212" s="57" t="str">
        <f t="shared" si="423"/>
        <v/>
      </c>
      <c r="GC212" s="57" t="str">
        <f t="shared" si="424"/>
        <v/>
      </c>
      <c r="GD212" s="57" t="str">
        <f t="shared" si="425"/>
        <v/>
      </c>
      <c r="GE212" s="62">
        <f t="shared" si="339"/>
        <v>251.57</v>
      </c>
      <c r="GF212" s="62" t="s">
        <v>2780</v>
      </c>
      <c r="GG212" s="199">
        <v>2</v>
      </c>
      <c r="GH212" s="207">
        <f t="shared" si="426"/>
        <v>503.14</v>
      </c>
      <c r="GI212" s="199">
        <f t="shared" si="337"/>
        <v>2</v>
      </c>
      <c r="GJ212" s="200">
        <v>254.33</v>
      </c>
      <c r="GK212" s="63">
        <f t="shared" si="427"/>
        <v>-5.5200000000000387</v>
      </c>
      <c r="GL212" s="63">
        <f t="shared" si="340"/>
        <v>-3.4200000000000159</v>
      </c>
      <c r="GM212" s="82" t="str">
        <f t="shared" si="428"/>
        <v/>
      </c>
      <c r="GN212" s="82">
        <f>IF($GZ212="",#N/A,SUM(GM$4:GM212))</f>
        <v>3.7282151213554968</v>
      </c>
      <c r="GO212" s="82">
        <f t="shared" si="429"/>
        <v>0.11328854791906878</v>
      </c>
      <c r="GP212" s="82">
        <f>IF($GZ212="",#N/A,SUM(GO$4:GO212))</f>
        <v>11.174784260249723</v>
      </c>
      <c r="GQ212" s="82" t="str">
        <f t="shared" si="430"/>
        <v/>
      </c>
      <c r="GR212" s="82">
        <f>IF($GZ212="",#N/A,SUM(GQ$4:GQ212))</f>
        <v>20.212399350176707</v>
      </c>
      <c r="GS212" s="63" t="str">
        <f t="shared" si="438"/>
        <v/>
      </c>
      <c r="GT212" s="63" t="e">
        <f>IF($GZ212="",#N/A,SUM(GS$4:GS212))</f>
        <v>#N/A</v>
      </c>
      <c r="GU212" s="63" t="e">
        <f t="shared" si="439"/>
        <v>#N/A</v>
      </c>
      <c r="GV212" s="63" t="e">
        <f>IF($GZ212="",#N/A,SUM(GU$4:GU212))</f>
        <v>#N/A</v>
      </c>
      <c r="GW212" s="63" t="str">
        <f t="shared" si="440"/>
        <v/>
      </c>
      <c r="GX212" s="63" t="e">
        <f>IF($GZ212="",#N/A,SUM(GW$4:GW212))</f>
        <v>#N/A</v>
      </c>
      <c r="GY212" s="63" t="e">
        <f>IF(EJ212="",#N/A,SUM($EJ$4:EJ212))</f>
        <v>#N/A</v>
      </c>
      <c r="GZ212" s="159">
        <v>253.28</v>
      </c>
      <c r="HA212" s="63">
        <f t="shared" si="431"/>
        <v>-8.9400000000000546</v>
      </c>
      <c r="HB212" s="62" t="s">
        <v>2538</v>
      </c>
      <c r="HC212" s="60">
        <f>IFERROR(VLOOKUP(E212,Expectancy!$P$4:$S$19,1+C212,FALSE),"")</f>
        <v>-0.45514116799985843</v>
      </c>
      <c r="HD212" s="82">
        <f t="shared" si="432"/>
        <v>-0.18285169137814655</v>
      </c>
      <c r="HE212" s="82">
        <f>IF(HD212="",#N/A,SUM($HD$4:HD212))</f>
        <v>0.14094416914949109</v>
      </c>
      <c r="HF212" s="85">
        <f>IF(HD212="",#N/A,IF(HB212="Skip",#N/A,SUM($HG$4:HG212)))</f>
        <v>34.875492144835448</v>
      </c>
      <c r="HG212" s="63">
        <f t="shared" si="433"/>
        <v>-5.5200000000000387</v>
      </c>
      <c r="HH212" s="82">
        <f t="shared" si="434"/>
        <v>0.11328854791906878</v>
      </c>
    </row>
    <row r="213" spans="1:216" x14ac:dyDescent="0.25">
      <c r="A213" s="57" t="s">
        <v>1499</v>
      </c>
      <c r="B213" s="58" t="s">
        <v>5211</v>
      </c>
      <c r="C213" s="386">
        <f t="shared" si="343"/>
        <v>3</v>
      </c>
      <c r="D213" s="372" t="str">
        <f>_xlfn.XLOOKUP(A213,[1]SP500!$A$2:$A$502,[1]SP500!$D$2:$D$502,"N")</f>
        <v>Y</v>
      </c>
      <c r="E213" s="57" t="str">
        <f>_xlfn.XLOOKUP(A213,[1]SP500!$A$2:$A$655,[1]SP500!$B$2:$B$655)</f>
        <v>XLF</v>
      </c>
      <c r="F213" s="59">
        <v>45693</v>
      </c>
      <c r="G213" s="57" t="str">
        <f t="shared" si="344"/>
        <v>BMO</v>
      </c>
      <c r="H213" s="57" t="str">
        <f t="shared" si="345"/>
        <v>s</v>
      </c>
      <c r="I213" s="159">
        <v>115.55</v>
      </c>
      <c r="J213" s="159">
        <v>112.65</v>
      </c>
      <c r="K213" s="61">
        <f t="shared" si="346"/>
        <v>-2.5097360450021561E-2</v>
      </c>
      <c r="L213" s="87">
        <f t="shared" si="347"/>
        <v>-8.6999999999999318</v>
      </c>
      <c r="M213" s="130">
        <f t="shared" si="338"/>
        <v>0</v>
      </c>
      <c r="N213" s="169" t="str">
        <f t="shared" si="348"/>
        <v/>
      </c>
      <c r="O213" s="169">
        <f>IF($J213="",#N/A,SUM($N$4:N213))</f>
        <v>283.78492601211707</v>
      </c>
      <c r="P213" s="174" t="str">
        <f t="shared" si="349"/>
        <v/>
      </c>
      <c r="Q213" s="174">
        <f>IF($J213="",#N/A,SUM($P$4:P213))</f>
        <v>414.07776401603689</v>
      </c>
      <c r="R213" s="178">
        <f t="shared" si="350"/>
        <v>-8.6999999999999318</v>
      </c>
      <c r="S213" s="178">
        <f>IF($J213="",#N/A,SUM($R$4:R213))</f>
        <v>89.679133907681205</v>
      </c>
      <c r="T213" s="290" t="str">
        <f t="shared" si="351"/>
        <v/>
      </c>
      <c r="U213" s="290">
        <f>IF($J213="",#N/A,SUM($T$4:T213))</f>
        <v>10.242121677474179</v>
      </c>
      <c r="V213" s="291" t="str">
        <f t="shared" si="352"/>
        <v/>
      </c>
      <c r="W213" s="291">
        <f>IF($J213="",#N/A,SUM($V$4:V213))</f>
        <v>17.31349767035293</v>
      </c>
      <c r="X213" s="292">
        <f t="shared" si="353"/>
        <v>-0.41828934083369068</v>
      </c>
      <c r="Y213" s="292">
        <f>IF($J213="",#N/A,SUM($X$4:X213))</f>
        <v>3.6564147133819924</v>
      </c>
      <c r="Z213" s="304" t="str">
        <f t="shared" si="354"/>
        <v/>
      </c>
      <c r="AA213" s="313" t="e">
        <f>IF($J213="",#N/A,SUM(Z$4:Z213))</f>
        <v>#N/A</v>
      </c>
      <c r="AB213" s="314" t="str">
        <f t="shared" si="355"/>
        <v/>
      </c>
      <c r="AC213" s="314" t="e">
        <f>IF($J213="",#N/A,SUM(AB$4:AB213))</f>
        <v>#N/A</v>
      </c>
      <c r="AD213" s="315" t="str">
        <f t="shared" si="356"/>
        <v/>
      </c>
      <c r="AE213" s="315" t="e">
        <f>IF($J213="",#N/A,SUM(AD$4:AD213))</f>
        <v>#N/A</v>
      </c>
      <c r="AF213" s="315" t="e">
        <f>IF($J213="",#N/A,SUM(AD$4:AD213,AB$4:AB213,Z$4:Z213))</f>
        <v>#N/A</v>
      </c>
      <c r="AG213" s="304" t="str">
        <f t="shared" si="357"/>
        <v/>
      </c>
      <c r="AH213" s="313" t="e">
        <f>IF($J213="",#N/A,SUM(AG$4:AG213))</f>
        <v>#N/A</v>
      </c>
      <c r="AI213" s="314" t="str">
        <f t="shared" si="358"/>
        <v/>
      </c>
      <c r="AJ213" s="314" t="e">
        <f>IF($J213="",#N/A,SUM(AI$4:AI213))</f>
        <v>#N/A</v>
      </c>
      <c r="AK213" s="315" t="str">
        <f t="shared" si="359"/>
        <v/>
      </c>
      <c r="AL213" s="315" t="e">
        <f>IF($J213="",#N/A,SUM(AK$4:AK213))</f>
        <v>#N/A</v>
      </c>
      <c r="AM213" s="315" t="e">
        <f>IF($J213="",#N/A,SUM(AK$4:AK213,AI$4:AI213,AG$4:AG213))</f>
        <v>#N/A</v>
      </c>
      <c r="AN213" s="304" t="str">
        <f t="shared" si="360"/>
        <v/>
      </c>
      <c r="AO213" s="313" t="e">
        <f>IF($J213="",#N/A,SUM(AN$4:AN213))</f>
        <v>#N/A</v>
      </c>
      <c r="AP213" s="314" t="str">
        <f t="shared" si="361"/>
        <v/>
      </c>
      <c r="AQ213" s="314" t="e">
        <f>IF($J213="",#N/A,SUM(AP$4:AP213))</f>
        <v>#N/A</v>
      </c>
      <c r="AR213" s="315" t="str">
        <f t="shared" si="362"/>
        <v/>
      </c>
      <c r="AS213" s="315" t="e">
        <f>IF($J213="",#N/A,SUM(AR$4:AR213))</f>
        <v>#N/A</v>
      </c>
      <c r="AT213" s="315" t="e">
        <f>IF($J213="",#N/A,SUM(AR$4:AR213,AP$4:AP213,AN$4:AN213))</f>
        <v>#N/A</v>
      </c>
      <c r="AU213" s="304" t="str">
        <f t="shared" si="363"/>
        <v/>
      </c>
      <c r="AV213" s="313" t="e">
        <f>IF($J213="",#N/A,SUM(AU$4:AU213))</f>
        <v>#N/A</v>
      </c>
      <c r="AW213" s="314" t="str">
        <f t="shared" si="364"/>
        <v/>
      </c>
      <c r="AX213" s="314" t="e">
        <f>IF($J213="",#N/A,SUM(AW$4:AW213))</f>
        <v>#N/A</v>
      </c>
      <c r="AY213" s="315" t="str">
        <f t="shared" si="365"/>
        <v/>
      </c>
      <c r="AZ213" s="315" t="e">
        <f>IF($J213="",#N/A,SUM(AY$4:AY213))</f>
        <v>#N/A</v>
      </c>
      <c r="BA213" s="315" t="e">
        <f>IF($J213="",#N/A,SUM(AY$4:AY213,AW$4:AW213,AU$4:AU213))</f>
        <v>#N/A</v>
      </c>
      <c r="BB213" s="304" t="str">
        <f t="shared" si="366"/>
        <v/>
      </c>
      <c r="BC213" s="313" t="e">
        <f>IF($J213="",#N/A,SUM(BB$4:BB213))</f>
        <v>#N/A</v>
      </c>
      <c r="BD213" s="314" t="str">
        <f t="shared" si="367"/>
        <v/>
      </c>
      <c r="BE213" s="314" t="e">
        <f>IF($J213="",#N/A,SUM(BD$4:BD213))</f>
        <v>#N/A</v>
      </c>
      <c r="BF213" s="315" t="str">
        <f t="shared" si="368"/>
        <v/>
      </c>
      <c r="BG213" s="315" t="e">
        <f>IF($J213="",#N/A,SUM(BF$4:BF213))</f>
        <v>#N/A</v>
      </c>
      <c r="BH213" s="315" t="e">
        <f>IF($J213="",#N/A,SUM(BF$4:BF213,BD$4:BD213,BB$4:BB213))</f>
        <v>#N/A</v>
      </c>
      <c r="BI213" s="304" t="str">
        <f t="shared" si="369"/>
        <v/>
      </c>
      <c r="BJ213" s="313" t="e">
        <f>IF($J213="",#N/A,SUM(BI$4:BI213))</f>
        <v>#N/A</v>
      </c>
      <c r="BK213" s="314" t="str">
        <f t="shared" si="370"/>
        <v/>
      </c>
      <c r="BL213" s="314" t="e">
        <f>IF($J213="",#N/A,SUM(BK$4:BK213))</f>
        <v>#N/A</v>
      </c>
      <c r="BM213" s="315">
        <f t="shared" si="371"/>
        <v>-0.41828934083369068</v>
      </c>
      <c r="BN213" s="315" t="e">
        <f>IF($J213="",#N/A,SUM(BM$4:BM213))</f>
        <v>#N/A</v>
      </c>
      <c r="BO213" s="315" t="e">
        <f>IF($J213="",#N/A,SUM(BM$4:BM213,BK$4:BK213,BI$4:BI213))</f>
        <v>#N/A</v>
      </c>
      <c r="BP213" s="304" t="str">
        <f t="shared" si="372"/>
        <v/>
      </c>
      <c r="BQ213" s="313" t="e">
        <f>IF($J213="",#N/A,SUM(BP$4:BP213))</f>
        <v>#N/A</v>
      </c>
      <c r="BR213" s="314" t="str">
        <f t="shared" si="373"/>
        <v/>
      </c>
      <c r="BS213" s="314" t="e">
        <f>IF($J213="",#N/A,SUM(BR$4:BR213))</f>
        <v>#N/A</v>
      </c>
      <c r="BT213" s="315" t="str">
        <f t="shared" si="374"/>
        <v/>
      </c>
      <c r="BU213" s="315" t="e">
        <f>IF($J213="",#N/A,SUM(BT$4:BT213))</f>
        <v>#N/A</v>
      </c>
      <c r="BV213" s="315" t="e">
        <f>IF($J213="",#N/A,SUM(BT$4:BT213,BR$4:BR213,BP$4:BP213))</f>
        <v>#N/A</v>
      </c>
      <c r="BW213" s="304" t="str">
        <f t="shared" si="375"/>
        <v/>
      </c>
      <c r="BX213" s="313" t="e">
        <f>IF($J213="",#N/A,SUM(BW$4:BW213))</f>
        <v>#N/A</v>
      </c>
      <c r="BY213" s="314" t="str">
        <f t="shared" si="376"/>
        <v/>
      </c>
      <c r="BZ213" s="314" t="e">
        <f>IF($J213="",#N/A,SUM(BY$4:BY213))</f>
        <v>#N/A</v>
      </c>
      <c r="CA213" s="315" t="str">
        <f t="shared" si="377"/>
        <v/>
      </c>
      <c r="CB213" s="315" t="e">
        <f>IF($J213="",#N/A,SUM(CA$4:CA213))</f>
        <v>#N/A</v>
      </c>
      <c r="CC213" s="315" t="e">
        <f>IF($J213="",#N/A,SUM(CA$4:CA213,BY$4:BY213,BW$4:BW213))</f>
        <v>#N/A</v>
      </c>
      <c r="CD213" s="304" t="str">
        <f t="shared" si="378"/>
        <v/>
      </c>
      <c r="CE213" s="313" t="e">
        <f>IF($J213="",#N/A,SUM(CD$4:CD213))</f>
        <v>#N/A</v>
      </c>
      <c r="CF213" s="314" t="str">
        <f t="shared" si="379"/>
        <v/>
      </c>
      <c r="CG213" s="314" t="e">
        <f>IF($J213="",#N/A,SUM(CF$4:CF213))</f>
        <v>#N/A</v>
      </c>
      <c r="CH213" s="315" t="str">
        <f t="shared" si="380"/>
        <v/>
      </c>
      <c r="CI213" s="315" t="e">
        <f>IF($J213="",#N/A,SUM(CH$4:CH213))</f>
        <v>#N/A</v>
      </c>
      <c r="CJ213" s="315" t="e">
        <f>IF($J213="",#N/A,SUM(CH$4:CH213,CF$4:CF213,CD$4:CD213))</f>
        <v>#N/A</v>
      </c>
      <c r="CK213" s="304" t="str">
        <f t="shared" si="381"/>
        <v/>
      </c>
      <c r="CL213" s="313" t="e">
        <f>IF($J213="",#N/A,SUM(CK$4:CK213))</f>
        <v>#N/A</v>
      </c>
      <c r="CM213" s="314" t="str">
        <f t="shared" si="382"/>
        <v/>
      </c>
      <c r="CN213" s="314" t="e">
        <f>IF($J213="",#N/A,SUM(CM$4:CM213))</f>
        <v>#N/A</v>
      </c>
      <c r="CO213" s="315" t="str">
        <f t="shared" si="383"/>
        <v/>
      </c>
      <c r="CP213" s="315" t="e">
        <f>IF($J213="",#N/A,SUM(CO$4:CO213))</f>
        <v>#N/A</v>
      </c>
      <c r="CQ213" s="315" t="e">
        <f>IF($J213="",#N/A,SUM(CO$4:CO213,CM$4:CM213,CK$4:CK213))</f>
        <v>#N/A</v>
      </c>
      <c r="CR213" s="304" t="str">
        <f t="shared" si="384"/>
        <v/>
      </c>
      <c r="CS213" s="313" t="e">
        <f>IF($J213="",#N/A,SUM(CR$4:CR213))</f>
        <v>#N/A</v>
      </c>
      <c r="CT213" s="314" t="str">
        <f t="shared" si="385"/>
        <v/>
      </c>
      <c r="CU213" s="314" t="e">
        <f>IF($J213="",#N/A,SUM(CT$4:CT213))</f>
        <v>#N/A</v>
      </c>
      <c r="CV213" s="315" t="str">
        <f t="shared" si="386"/>
        <v/>
      </c>
      <c r="CW213" s="315" t="e">
        <f>IF($J213="",#N/A,SUM(CV$4:CV213))</f>
        <v>#N/A</v>
      </c>
      <c r="CX213" s="315" t="e">
        <f>IF($J213="",#N/A,SUM(CV$4:CV213,CT$4:CT213,CR$4:CR213))</f>
        <v>#N/A</v>
      </c>
      <c r="CY213" s="304" t="str">
        <f t="shared" si="387"/>
        <v/>
      </c>
      <c r="CZ213" s="313" t="e">
        <f>IF($J213="",#N/A,SUM(CY$4:CY213))</f>
        <v>#N/A</v>
      </c>
      <c r="DA213" s="314" t="str">
        <f t="shared" si="388"/>
        <v/>
      </c>
      <c r="DB213" s="314" t="e">
        <f>IF($J213="",#N/A,SUM(DA$4:DA213))</f>
        <v>#N/A</v>
      </c>
      <c r="DC213" s="315" t="str">
        <f t="shared" si="389"/>
        <v/>
      </c>
      <c r="DD213" s="315" t="e">
        <f>IF($J213="",#N/A,SUM(DC$4:DC213))</f>
        <v>#N/A</v>
      </c>
      <c r="DE213" s="315" t="e">
        <f>IF($J213="",#N/A,SUM(DC$4:DC213,DA$4:DA213,CY$4:CY213))</f>
        <v>#N/A</v>
      </c>
      <c r="DF213" s="304" t="str">
        <f t="shared" si="390"/>
        <v/>
      </c>
      <c r="DG213" s="313" t="e">
        <f>IF($J213="",#N/A,SUM(DF$4:DF213))</f>
        <v>#N/A</v>
      </c>
      <c r="DH213" s="314" t="str">
        <f t="shared" si="391"/>
        <v/>
      </c>
      <c r="DI213" s="314" t="e">
        <f>IF($J213="",#N/A,SUM(DH$4:DH213))</f>
        <v>#N/A</v>
      </c>
      <c r="DJ213" s="315" t="str">
        <f t="shared" si="392"/>
        <v/>
      </c>
      <c r="DK213" s="315" t="e">
        <f>IF($J213="",#N/A,SUM(DJ$4:DJ213))</f>
        <v>#N/A</v>
      </c>
      <c r="DL213" s="315" t="e">
        <f>IF($J213="",#N/A,SUM(DJ$4:DJ213,DH$4:DH213,DF$4:DF213))</f>
        <v>#N/A</v>
      </c>
      <c r="DM213" s="304" t="str">
        <f t="shared" si="393"/>
        <v/>
      </c>
      <c r="DN213" s="313" t="e">
        <f>IF($J213="",#N/A,SUM(DM$4:DM213))</f>
        <v>#N/A</v>
      </c>
      <c r="DO213" s="314" t="str">
        <f t="shared" si="394"/>
        <v/>
      </c>
      <c r="DP213" s="314" t="e">
        <f>IF($J213="",#N/A,SUM(DO$4:DO213))</f>
        <v>#N/A</v>
      </c>
      <c r="DQ213" s="315" t="str">
        <f t="shared" si="395"/>
        <v/>
      </c>
      <c r="DR213" s="315" t="e">
        <f>IF($J213="",#N/A,SUM(DQ$4:DQ213))</f>
        <v>#N/A</v>
      </c>
      <c r="DS213" s="315" t="e">
        <f>IF($J213="",#N/A,SUM(DQ$4:DQ213,DO$4:DO213,DM$4:DM213))</f>
        <v>#N/A</v>
      </c>
      <c r="DT213" s="304" t="str">
        <f t="shared" si="396"/>
        <v/>
      </c>
      <c r="DU213" s="313" t="e">
        <f>IF($J213="",#N/A,SUM(DT$4:DT213))</f>
        <v>#N/A</v>
      </c>
      <c r="DV213" s="314" t="str">
        <f t="shared" si="397"/>
        <v/>
      </c>
      <c r="DW213" s="314" t="e">
        <f>IF($J213="",#N/A,SUM(DV$4:DV213))</f>
        <v>#N/A</v>
      </c>
      <c r="DX213" s="315" t="str">
        <f t="shared" si="398"/>
        <v/>
      </c>
      <c r="DY213" s="315" t="e">
        <f>IF($J213="",#N/A,SUM(DX$4:DX213))</f>
        <v>#N/A</v>
      </c>
      <c r="DZ213" s="315" t="e">
        <f>IF($J213="",#N/A,SUM(DX$4:DX213,DV$4:DV213,DT$4:DT213))</f>
        <v>#N/A</v>
      </c>
      <c r="EA213" s="304" t="str">
        <f t="shared" si="399"/>
        <v/>
      </c>
      <c r="EB213" s="313" t="e">
        <f>IF($J213="",#N/A,SUM(EA$4:EA213))</f>
        <v>#N/A</v>
      </c>
      <c r="EC213" s="314" t="str">
        <f t="shared" si="400"/>
        <v/>
      </c>
      <c r="ED213" s="314" t="e">
        <f>IF($J213="",#N/A,SUM(EC$4:EC213))</f>
        <v>#N/A</v>
      </c>
      <c r="EE213" s="315" t="str">
        <f t="shared" si="401"/>
        <v/>
      </c>
      <c r="EF213" s="315" t="e">
        <f>IF($J213="",#N/A,SUM(EE$4:EE213))</f>
        <v>#N/A</v>
      </c>
      <c r="EG213" s="315" t="e">
        <f>IF($J213="",#N/A,SUM(EE$4:EE213,EC$4:EC213,EA$4:EA213))</f>
        <v>#N/A</v>
      </c>
      <c r="EH213" s="130">
        <f t="shared" si="402"/>
        <v>-8.6999999999999318</v>
      </c>
      <c r="EI213" s="63">
        <f>IF(EH213="",#N/A,SUM($EH$4:EH213))</f>
        <v>787.54182393583517</v>
      </c>
      <c r="EJ213" s="223" t="e">
        <f t="shared" si="403"/>
        <v>#N/A</v>
      </c>
      <c r="EK213" s="63" t="e">
        <f>IF($GZ213="",#N/A,SUM(EJ$4:EJ213))</f>
        <v>#N/A</v>
      </c>
      <c r="EL213" s="60">
        <f t="shared" si="435"/>
        <v>-0.41828934083369068</v>
      </c>
      <c r="EM213" s="60">
        <f>IF(EL213="",NA(),SUM($EL$4:EL213))</f>
        <v>22.514397725061336</v>
      </c>
      <c r="EN213" s="60" t="str">
        <f t="shared" si="404"/>
        <v/>
      </c>
      <c r="EO213" s="60" t="e">
        <f>IF(EN213="",NA(),SUM($EN$4:EN213))</f>
        <v>#N/A</v>
      </c>
      <c r="EP213" s="60">
        <f t="shared" si="405"/>
        <v>-0.41828934083369068</v>
      </c>
      <c r="EQ213" s="60">
        <f>IF(EP213="",NA(),SUM($EP$4:EP213))</f>
        <v>4.584171633459186</v>
      </c>
      <c r="ER213" s="60" t="str">
        <f t="shared" si="406"/>
        <v/>
      </c>
      <c r="ES213" s="60" t="e">
        <f>IF(ER213="",NA(),SUM($ER$4:ER213))</f>
        <v>#N/A</v>
      </c>
      <c r="ET213" s="60" t="str">
        <f t="shared" si="407"/>
        <v/>
      </c>
      <c r="EU213" s="60" t="e">
        <f>IF(ET213="",NA(),SUM($ET$4:ET213))</f>
        <v>#N/A</v>
      </c>
      <c r="EV213" s="60" t="str">
        <f t="shared" si="408"/>
        <v/>
      </c>
      <c r="EW213" s="60" t="e">
        <f>IF(EV213="",NA(),SUM($EV$4:EV213))</f>
        <v>#N/A</v>
      </c>
      <c r="EX213" s="60" t="str">
        <f t="shared" si="409"/>
        <v/>
      </c>
      <c r="EY213" s="60" t="e">
        <f>IF(EX213="",NA(),SUM($EX$4:EX213))</f>
        <v>#N/A</v>
      </c>
      <c r="EZ213" s="60" t="str">
        <f t="shared" si="410"/>
        <v/>
      </c>
      <c r="FA213" s="60" t="e">
        <f>IF(EZ213="",NA(),SUM($EZ$4:EZ213))</f>
        <v>#N/A</v>
      </c>
      <c r="FB213" s="246" t="str">
        <f t="shared" si="436"/>
        <v/>
      </c>
      <c r="FC213" s="246" t="e">
        <f>IF($FB213="",#N/A,SUM(FB$4:$FB213))</f>
        <v>#N/A</v>
      </c>
      <c r="FD213" s="60" t="str">
        <f t="shared" si="411"/>
        <v/>
      </c>
      <c r="FE213" s="60" t="e">
        <f>IF($FD213="",#N/A,SUM($FD$4:FD213))</f>
        <v>#N/A</v>
      </c>
      <c r="FF213" s="60" t="str">
        <f t="shared" si="412"/>
        <v/>
      </c>
      <c r="FG213" s="60" t="e">
        <f>IF($FF213="",#N/A,SUM($FF$4:FF213))</f>
        <v>#N/A</v>
      </c>
      <c r="FH213" s="60" t="str">
        <f t="shared" si="413"/>
        <v/>
      </c>
      <c r="FI213" s="60" t="e">
        <f>IF($FH213="",#N/A,SUM($FH$4:FH213))</f>
        <v>#N/A</v>
      </c>
      <c r="FJ213" s="60" t="str">
        <f t="shared" si="414"/>
        <v/>
      </c>
      <c r="FK213" s="60" t="e">
        <f>IF($FJ213="",#N/A,SUM($FJ$4:FJ213))</f>
        <v>#N/A</v>
      </c>
      <c r="FL213" s="60">
        <f t="shared" si="415"/>
        <v>-0.28126352228472634</v>
      </c>
      <c r="FM213" s="60">
        <f>IF($FL213="",#N/A,SUM($FL$4:FL213))</f>
        <v>2.1269365031825473</v>
      </c>
      <c r="FN213" s="82">
        <f t="shared" si="416"/>
        <v>-0.69955286311841702</v>
      </c>
      <c r="FO213" s="82">
        <f>IF($FN213="",#N/A,SUM(FN$4:$FN213))</f>
        <v>35.041682823105859</v>
      </c>
      <c r="FP213" s="82">
        <f t="shared" si="437"/>
        <v>-0.41828934083369068</v>
      </c>
      <c r="FQ213" s="246">
        <f>IF($EH213="",#N/A,SUM($FP$4:FP213))</f>
        <v>31.21203406120911</v>
      </c>
      <c r="FR213" s="82">
        <f>IFERROR(FQ213/COUNTA($J$4:J213),#N/A)</f>
        <v>0.14862873362480528</v>
      </c>
      <c r="FS213" s="82">
        <f t="shared" ref="FS213:FS222" si="443">IFERROR(($FQ213-$FQ166)/COUNTA($J166:$J213),#N/A)</f>
        <v>0.13529543839608391</v>
      </c>
      <c r="FT213" s="82">
        <f t="shared" si="417"/>
        <v>0.16669633410074022</v>
      </c>
      <c r="FU213" s="337">
        <f t="shared" si="442"/>
        <v>16.959379232893312</v>
      </c>
      <c r="FV213" s="57" t="str">
        <f t="shared" si="418"/>
        <v>SW</v>
      </c>
      <c r="FW213" s="57" t="s">
        <v>2732</v>
      </c>
      <c r="FX213" s="57" t="str">
        <f t="shared" si="419"/>
        <v/>
      </c>
      <c r="FY213" s="57" t="str">
        <f t="shared" si="420"/>
        <v/>
      </c>
      <c r="FZ213" s="57" t="str">
        <f t="shared" si="421"/>
        <v/>
      </c>
      <c r="GA213" s="57" t="str">
        <f t="shared" si="422"/>
        <v>Long</v>
      </c>
      <c r="GB213" s="57" t="str">
        <f t="shared" si="423"/>
        <v/>
      </c>
      <c r="GC213" s="57" t="str">
        <f t="shared" si="424"/>
        <v/>
      </c>
      <c r="GD213" s="57">
        <f t="shared" si="425"/>
        <v>1</v>
      </c>
      <c r="GE213" s="62">
        <f t="shared" si="339"/>
        <v>115.55</v>
      </c>
      <c r="GF213" s="62" t="s">
        <v>2779</v>
      </c>
      <c r="GG213" s="199">
        <v>3</v>
      </c>
      <c r="GH213" s="207">
        <f t="shared" si="426"/>
        <v>346.65</v>
      </c>
      <c r="GI213" s="199">
        <f t="shared" si="337"/>
        <v>3</v>
      </c>
      <c r="GJ213" s="200">
        <v>112.65</v>
      </c>
      <c r="GK213" s="63">
        <f t="shared" si="427"/>
        <v>-8.6999999999999318</v>
      </c>
      <c r="GL213" s="63">
        <f t="shared" si="340"/>
        <v>-14.549999999999955</v>
      </c>
      <c r="GM213" s="82">
        <f t="shared" si="428"/>
        <v>-0.69955286311841702</v>
      </c>
      <c r="GN213" s="82">
        <f>IF($GZ213="",#N/A,SUM(GM$4:GM213))</f>
        <v>3.0286622582370799</v>
      </c>
      <c r="GO213" s="82" t="str">
        <f t="shared" si="429"/>
        <v/>
      </c>
      <c r="GP213" s="82">
        <f>IF($GZ213="",#N/A,SUM(GO$4:GO213))</f>
        <v>11.174784260249723</v>
      </c>
      <c r="GQ213" s="82" t="str">
        <f t="shared" si="430"/>
        <v/>
      </c>
      <c r="GR213" s="82">
        <f>IF($GZ213="",#N/A,SUM(GQ$4:GQ213))</f>
        <v>20.212399350176707</v>
      </c>
      <c r="GS213" s="63" t="e">
        <f t="shared" si="438"/>
        <v>#N/A</v>
      </c>
      <c r="GT213" s="63" t="e">
        <f>IF($GZ213="",#N/A,SUM(GS$4:GS213))</f>
        <v>#N/A</v>
      </c>
      <c r="GU213" s="63" t="str">
        <f t="shared" si="439"/>
        <v/>
      </c>
      <c r="GV213" s="63" t="e">
        <f>IF($GZ213="",#N/A,SUM(GU$4:GU213))</f>
        <v>#N/A</v>
      </c>
      <c r="GW213" s="63" t="str">
        <f t="shared" si="440"/>
        <v/>
      </c>
      <c r="GX213" s="63" t="e">
        <f>IF($GZ213="",#N/A,SUM(GW$4:GW213))</f>
        <v>#N/A</v>
      </c>
      <c r="GY213" s="63" t="e">
        <f>IF(EJ213="",#N/A,SUM($EJ$4:EJ213))</f>
        <v>#N/A</v>
      </c>
      <c r="GZ213" s="159">
        <v>110.7</v>
      </c>
      <c r="HA213" s="63">
        <f t="shared" si="431"/>
        <v>-5.8500000000000227</v>
      </c>
      <c r="HB213" s="62" t="s">
        <v>2538</v>
      </c>
      <c r="HC213" s="60">
        <f>IFERROR(VLOOKUP(E213,Expectancy!$P$4:$S$19,1+C213,FALSE),"")</f>
        <v>9.9793136114217987E-2</v>
      </c>
      <c r="HD213" s="82">
        <f t="shared" si="432"/>
        <v>-0.41828934083369068</v>
      </c>
      <c r="HE213" s="82">
        <f>IF(HD213="",#N/A,SUM($HD$4:HD213))</f>
        <v>-0.27734517168419959</v>
      </c>
      <c r="HF213" s="85">
        <f>IF(HD213="",#N/A,IF(HB213="Skip",#N/A,SUM($HG$4:HG213)))</f>
        <v>26.175492144835516</v>
      </c>
      <c r="HG213" s="63">
        <f t="shared" si="433"/>
        <v>-8.6999999999999318</v>
      </c>
      <c r="HH213" s="82">
        <f t="shared" si="434"/>
        <v>-0.69955286311841702</v>
      </c>
    </row>
    <row r="214" spans="1:216" x14ac:dyDescent="0.25">
      <c r="A214" s="57" t="s">
        <v>1512</v>
      </c>
      <c r="B214" s="58" t="s">
        <v>5212</v>
      </c>
      <c r="C214" s="386">
        <f t="shared" si="343"/>
        <v>3</v>
      </c>
      <c r="D214" s="372" t="str">
        <f>_xlfn.XLOOKUP(A214,[1]SP500!$A$2:$A$502,[1]SP500!$D$2:$D$502,"N")</f>
        <v>Y</v>
      </c>
      <c r="E214" s="57" t="str">
        <f>_xlfn.XLOOKUP(A214,[1]SP500!$A$2:$A$655,[1]SP500!$B$2:$B$655)</f>
        <v>XLK</v>
      </c>
      <c r="F214" s="59">
        <v>45693</v>
      </c>
      <c r="G214" s="57" t="str">
        <f t="shared" si="344"/>
        <v>BMO</v>
      </c>
      <c r="H214" s="57" t="str">
        <f t="shared" si="345"/>
        <v>s</v>
      </c>
      <c r="I214" s="159">
        <v>199.34</v>
      </c>
      <c r="J214" s="159">
        <v>222.91</v>
      </c>
      <c r="K214" s="61">
        <f t="shared" si="346"/>
        <v>0.11824019263569777</v>
      </c>
      <c r="L214" s="87">
        <f t="shared" si="347"/>
        <v>47.296077054279124</v>
      </c>
      <c r="M214" s="130">
        <f t="shared" si="338"/>
        <v>0</v>
      </c>
      <c r="N214" s="169" t="str">
        <f t="shared" si="348"/>
        <v/>
      </c>
      <c r="O214" s="169">
        <f>IF($J214="",#N/A,SUM($N$4:N214))</f>
        <v>283.78492601211707</v>
      </c>
      <c r="P214" s="174" t="str">
        <f t="shared" si="349"/>
        <v/>
      </c>
      <c r="Q214" s="174">
        <f>IF($J214="",#N/A,SUM($P$4:P214))</f>
        <v>414.07776401603689</v>
      </c>
      <c r="R214" s="178">
        <f t="shared" si="350"/>
        <v>47.296077054279124</v>
      </c>
      <c r="S214" s="178">
        <f>IF($J214="",#N/A,SUM($R$4:R214))</f>
        <v>136.97521096196033</v>
      </c>
      <c r="T214" s="290" t="str">
        <f t="shared" si="351"/>
        <v/>
      </c>
      <c r="U214" s="290">
        <f>IF($J214="",#N/A,SUM($T$4:T214))</f>
        <v>10.242121677474179</v>
      </c>
      <c r="V214" s="291" t="str">
        <f t="shared" si="352"/>
        <v/>
      </c>
      <c r="W214" s="291">
        <f>IF($J214="",#N/A,SUM($V$4:V214))</f>
        <v>17.31349767035293</v>
      </c>
      <c r="X214" s="292">
        <f t="shared" si="353"/>
        <v>1.9706698772616302</v>
      </c>
      <c r="Y214" s="292">
        <f>IF($J214="",#N/A,SUM($X$4:X214))</f>
        <v>5.6270845906436229</v>
      </c>
      <c r="Z214" s="304" t="str">
        <f t="shared" si="354"/>
        <v/>
      </c>
      <c r="AA214" s="313" t="e">
        <f>IF($J214="",#N/A,SUM(Z$4:Z214))</f>
        <v>#N/A</v>
      </c>
      <c r="AB214" s="314" t="str">
        <f t="shared" si="355"/>
        <v/>
      </c>
      <c r="AC214" s="314" t="e">
        <f>IF($J214="",#N/A,SUM(AB$4:AB214))</f>
        <v>#N/A</v>
      </c>
      <c r="AD214" s="315">
        <f t="shared" si="356"/>
        <v>1.9706698772616302</v>
      </c>
      <c r="AE214" s="315" t="e">
        <f>IF($J214="",#N/A,SUM(AD$4:AD214))</f>
        <v>#N/A</v>
      </c>
      <c r="AF214" s="315" t="e">
        <f>IF($J214="",#N/A,SUM(AD$4:AD214,AB$4:AB214,Z$4:Z214))</f>
        <v>#N/A</v>
      </c>
      <c r="AG214" s="304" t="str">
        <f t="shared" si="357"/>
        <v/>
      </c>
      <c r="AH214" s="313" t="e">
        <f>IF($J214="",#N/A,SUM(AG$4:AG214))</f>
        <v>#N/A</v>
      </c>
      <c r="AI214" s="314" t="str">
        <f t="shared" si="358"/>
        <v/>
      </c>
      <c r="AJ214" s="314" t="e">
        <f>IF($J214="",#N/A,SUM(AI$4:AI214))</f>
        <v>#N/A</v>
      </c>
      <c r="AK214" s="315" t="str">
        <f t="shared" si="359"/>
        <v/>
      </c>
      <c r="AL214" s="315" t="e">
        <f>IF($J214="",#N/A,SUM(AK$4:AK214))</f>
        <v>#N/A</v>
      </c>
      <c r="AM214" s="315" t="e">
        <f>IF($J214="",#N/A,SUM(AK$4:AK214,AI$4:AI214,AG$4:AG214))</f>
        <v>#N/A</v>
      </c>
      <c r="AN214" s="304" t="str">
        <f t="shared" si="360"/>
        <v/>
      </c>
      <c r="AO214" s="313" t="e">
        <f>IF($J214="",#N/A,SUM(AN$4:AN214))</f>
        <v>#N/A</v>
      </c>
      <c r="AP214" s="314" t="str">
        <f t="shared" si="361"/>
        <v/>
      </c>
      <c r="AQ214" s="314" t="e">
        <f>IF($J214="",#N/A,SUM(AP$4:AP214))</f>
        <v>#N/A</v>
      </c>
      <c r="AR214" s="315" t="str">
        <f t="shared" si="362"/>
        <v/>
      </c>
      <c r="AS214" s="315" t="e">
        <f>IF($J214="",#N/A,SUM(AR$4:AR214))</f>
        <v>#N/A</v>
      </c>
      <c r="AT214" s="315" t="e">
        <f>IF($J214="",#N/A,SUM(AR$4:AR214,AP$4:AP214,AN$4:AN214))</f>
        <v>#N/A</v>
      </c>
      <c r="AU214" s="304" t="str">
        <f t="shared" si="363"/>
        <v/>
      </c>
      <c r="AV214" s="313" t="e">
        <f>IF($J214="",#N/A,SUM(AU$4:AU214))</f>
        <v>#N/A</v>
      </c>
      <c r="AW214" s="314" t="str">
        <f t="shared" si="364"/>
        <v/>
      </c>
      <c r="AX214" s="314" t="e">
        <f>IF($J214="",#N/A,SUM(AW$4:AW214))</f>
        <v>#N/A</v>
      </c>
      <c r="AY214" s="315" t="str">
        <f t="shared" si="365"/>
        <v/>
      </c>
      <c r="AZ214" s="315" t="e">
        <f>IF($J214="",#N/A,SUM(AY$4:AY214))</f>
        <v>#N/A</v>
      </c>
      <c r="BA214" s="315" t="e">
        <f>IF($J214="",#N/A,SUM(AY$4:AY214,AW$4:AW214,AU$4:AU214))</f>
        <v>#N/A</v>
      </c>
      <c r="BB214" s="304" t="str">
        <f t="shared" si="366"/>
        <v/>
      </c>
      <c r="BC214" s="313" t="e">
        <f>IF($J214="",#N/A,SUM(BB$4:BB214))</f>
        <v>#N/A</v>
      </c>
      <c r="BD214" s="314" t="str">
        <f t="shared" si="367"/>
        <v/>
      </c>
      <c r="BE214" s="314" t="e">
        <f>IF($J214="",#N/A,SUM(BD$4:BD214))</f>
        <v>#N/A</v>
      </c>
      <c r="BF214" s="315" t="str">
        <f t="shared" si="368"/>
        <v/>
      </c>
      <c r="BG214" s="315" t="e">
        <f>IF($J214="",#N/A,SUM(BF$4:BF214))</f>
        <v>#N/A</v>
      </c>
      <c r="BH214" s="315" t="e">
        <f>IF($J214="",#N/A,SUM(BF$4:BF214,BD$4:BD214,BB$4:BB214))</f>
        <v>#N/A</v>
      </c>
      <c r="BI214" s="304" t="str">
        <f t="shared" si="369"/>
        <v/>
      </c>
      <c r="BJ214" s="313" t="e">
        <f>IF($J214="",#N/A,SUM(BI$4:BI214))</f>
        <v>#N/A</v>
      </c>
      <c r="BK214" s="314" t="str">
        <f t="shared" si="370"/>
        <v/>
      </c>
      <c r="BL214" s="314" t="e">
        <f>IF($J214="",#N/A,SUM(BK$4:BK214))</f>
        <v>#N/A</v>
      </c>
      <c r="BM214" s="315" t="str">
        <f t="shared" si="371"/>
        <v/>
      </c>
      <c r="BN214" s="315" t="e">
        <f>IF($J214="",#N/A,SUM(BM$4:BM214))</f>
        <v>#N/A</v>
      </c>
      <c r="BO214" s="315" t="e">
        <f>IF($J214="",#N/A,SUM(BM$4:BM214,BK$4:BK214,BI$4:BI214))</f>
        <v>#N/A</v>
      </c>
      <c r="BP214" s="304" t="str">
        <f t="shared" si="372"/>
        <v/>
      </c>
      <c r="BQ214" s="313" t="e">
        <f>IF($J214="",#N/A,SUM(BP$4:BP214))</f>
        <v>#N/A</v>
      </c>
      <c r="BR214" s="314" t="str">
        <f t="shared" si="373"/>
        <v/>
      </c>
      <c r="BS214" s="314" t="e">
        <f>IF($J214="",#N/A,SUM(BR$4:BR214))</f>
        <v>#N/A</v>
      </c>
      <c r="BT214" s="315" t="str">
        <f t="shared" si="374"/>
        <v/>
      </c>
      <c r="BU214" s="315" t="e">
        <f>IF($J214="",#N/A,SUM(BT$4:BT214))</f>
        <v>#N/A</v>
      </c>
      <c r="BV214" s="315" t="e">
        <f>IF($J214="",#N/A,SUM(BT$4:BT214,BR$4:BR214,BP$4:BP214))</f>
        <v>#N/A</v>
      </c>
      <c r="BW214" s="304" t="str">
        <f t="shared" si="375"/>
        <v/>
      </c>
      <c r="BX214" s="313" t="e">
        <f>IF($J214="",#N/A,SUM(BW$4:BW214))</f>
        <v>#N/A</v>
      </c>
      <c r="BY214" s="314" t="str">
        <f t="shared" si="376"/>
        <v/>
      </c>
      <c r="BZ214" s="314" t="e">
        <f>IF($J214="",#N/A,SUM(BY$4:BY214))</f>
        <v>#N/A</v>
      </c>
      <c r="CA214" s="315" t="str">
        <f t="shared" si="377"/>
        <v/>
      </c>
      <c r="CB214" s="315" t="e">
        <f>IF($J214="",#N/A,SUM(CA$4:CA214))</f>
        <v>#N/A</v>
      </c>
      <c r="CC214" s="315" t="e">
        <f>IF($J214="",#N/A,SUM(CA$4:CA214,BY$4:BY214,BW$4:BW214))</f>
        <v>#N/A</v>
      </c>
      <c r="CD214" s="304" t="str">
        <f t="shared" si="378"/>
        <v/>
      </c>
      <c r="CE214" s="313" t="e">
        <f>IF($J214="",#N/A,SUM(CD$4:CD214))</f>
        <v>#N/A</v>
      </c>
      <c r="CF214" s="314" t="str">
        <f t="shared" si="379"/>
        <v/>
      </c>
      <c r="CG214" s="314" t="e">
        <f>IF($J214="",#N/A,SUM(CF$4:CF214))</f>
        <v>#N/A</v>
      </c>
      <c r="CH214" s="315" t="str">
        <f t="shared" si="380"/>
        <v/>
      </c>
      <c r="CI214" s="315" t="e">
        <f>IF($J214="",#N/A,SUM(CH$4:CH214))</f>
        <v>#N/A</v>
      </c>
      <c r="CJ214" s="315" t="e">
        <f>IF($J214="",#N/A,SUM(CH$4:CH214,CF$4:CF214,CD$4:CD214))</f>
        <v>#N/A</v>
      </c>
      <c r="CK214" s="304" t="str">
        <f t="shared" si="381"/>
        <v/>
      </c>
      <c r="CL214" s="313" t="e">
        <f>IF($J214="",#N/A,SUM(CK$4:CK214))</f>
        <v>#N/A</v>
      </c>
      <c r="CM214" s="314" t="str">
        <f t="shared" si="382"/>
        <v/>
      </c>
      <c r="CN214" s="314" t="e">
        <f>IF($J214="",#N/A,SUM(CM$4:CM214))</f>
        <v>#N/A</v>
      </c>
      <c r="CO214" s="315" t="str">
        <f t="shared" si="383"/>
        <v/>
      </c>
      <c r="CP214" s="315" t="e">
        <f>IF($J214="",#N/A,SUM(CO$4:CO214))</f>
        <v>#N/A</v>
      </c>
      <c r="CQ214" s="315" t="e">
        <f>IF($J214="",#N/A,SUM(CO$4:CO214,CM$4:CM214,CK$4:CK214))</f>
        <v>#N/A</v>
      </c>
      <c r="CR214" s="304" t="str">
        <f t="shared" si="384"/>
        <v/>
      </c>
      <c r="CS214" s="313" t="e">
        <f>IF($J214="",#N/A,SUM(CR$4:CR214))</f>
        <v>#N/A</v>
      </c>
      <c r="CT214" s="314" t="str">
        <f t="shared" si="385"/>
        <v/>
      </c>
      <c r="CU214" s="314" t="e">
        <f>IF($J214="",#N/A,SUM(CT$4:CT214))</f>
        <v>#N/A</v>
      </c>
      <c r="CV214" s="315" t="str">
        <f t="shared" si="386"/>
        <v/>
      </c>
      <c r="CW214" s="315" t="e">
        <f>IF($J214="",#N/A,SUM(CV$4:CV214))</f>
        <v>#N/A</v>
      </c>
      <c r="CX214" s="315" t="e">
        <f>IF($J214="",#N/A,SUM(CV$4:CV214,CT$4:CT214,CR$4:CR214))</f>
        <v>#N/A</v>
      </c>
      <c r="CY214" s="304" t="str">
        <f t="shared" si="387"/>
        <v/>
      </c>
      <c r="CZ214" s="313" t="e">
        <f>IF($J214="",#N/A,SUM(CY$4:CY214))</f>
        <v>#N/A</v>
      </c>
      <c r="DA214" s="314" t="str">
        <f t="shared" si="388"/>
        <v/>
      </c>
      <c r="DB214" s="314" t="e">
        <f>IF($J214="",#N/A,SUM(DA$4:DA214))</f>
        <v>#N/A</v>
      </c>
      <c r="DC214" s="315" t="str">
        <f t="shared" si="389"/>
        <v/>
      </c>
      <c r="DD214" s="315" t="e">
        <f>IF($J214="",#N/A,SUM(DC$4:DC214))</f>
        <v>#N/A</v>
      </c>
      <c r="DE214" s="315" t="e">
        <f>IF($J214="",#N/A,SUM(DC$4:DC214,DA$4:DA214,CY$4:CY214))</f>
        <v>#N/A</v>
      </c>
      <c r="DF214" s="304" t="str">
        <f t="shared" si="390"/>
        <v/>
      </c>
      <c r="DG214" s="313" t="e">
        <f>IF($J214="",#N/A,SUM(DF$4:DF214))</f>
        <v>#N/A</v>
      </c>
      <c r="DH214" s="314" t="str">
        <f t="shared" si="391"/>
        <v/>
      </c>
      <c r="DI214" s="314" t="e">
        <f>IF($J214="",#N/A,SUM(DH$4:DH214))</f>
        <v>#N/A</v>
      </c>
      <c r="DJ214" s="315" t="str">
        <f t="shared" si="392"/>
        <v/>
      </c>
      <c r="DK214" s="315" t="e">
        <f>IF($J214="",#N/A,SUM(DJ$4:DJ214))</f>
        <v>#N/A</v>
      </c>
      <c r="DL214" s="315" t="e">
        <f>IF($J214="",#N/A,SUM(DJ$4:DJ214,DH$4:DH214,DF$4:DF214))</f>
        <v>#N/A</v>
      </c>
      <c r="DM214" s="304" t="str">
        <f t="shared" si="393"/>
        <v/>
      </c>
      <c r="DN214" s="313" t="e">
        <f>IF($J214="",#N/A,SUM(DM$4:DM214))</f>
        <v>#N/A</v>
      </c>
      <c r="DO214" s="314" t="str">
        <f t="shared" si="394"/>
        <v/>
      </c>
      <c r="DP214" s="314" t="e">
        <f>IF($J214="",#N/A,SUM(DO$4:DO214))</f>
        <v>#N/A</v>
      </c>
      <c r="DQ214" s="315" t="str">
        <f t="shared" si="395"/>
        <v/>
      </c>
      <c r="DR214" s="315" t="e">
        <f>IF($J214="",#N/A,SUM(DQ$4:DQ214))</f>
        <v>#N/A</v>
      </c>
      <c r="DS214" s="315" t="e">
        <f>IF($J214="",#N/A,SUM(DQ$4:DQ214,DO$4:DO214,DM$4:DM214))</f>
        <v>#N/A</v>
      </c>
      <c r="DT214" s="304" t="str">
        <f t="shared" si="396"/>
        <v/>
      </c>
      <c r="DU214" s="313" t="e">
        <f>IF($J214="",#N/A,SUM(DT$4:DT214))</f>
        <v>#N/A</v>
      </c>
      <c r="DV214" s="314" t="str">
        <f t="shared" si="397"/>
        <v/>
      </c>
      <c r="DW214" s="314" t="e">
        <f>IF($J214="",#N/A,SUM(DV$4:DV214))</f>
        <v>#N/A</v>
      </c>
      <c r="DX214" s="315" t="str">
        <f t="shared" si="398"/>
        <v/>
      </c>
      <c r="DY214" s="315" t="e">
        <f>IF($J214="",#N/A,SUM(DX$4:DX214))</f>
        <v>#N/A</v>
      </c>
      <c r="DZ214" s="315" t="e">
        <f>IF($J214="",#N/A,SUM(DX$4:DX214,DV$4:DV214,DT$4:DT214))</f>
        <v>#N/A</v>
      </c>
      <c r="EA214" s="304" t="str">
        <f t="shared" si="399"/>
        <v/>
      </c>
      <c r="EB214" s="313" t="e">
        <f>IF($J214="",#N/A,SUM(EA$4:EA214))</f>
        <v>#N/A</v>
      </c>
      <c r="EC214" s="314" t="str">
        <f t="shared" si="400"/>
        <v/>
      </c>
      <c r="ED214" s="314" t="e">
        <f>IF($J214="",#N/A,SUM(EC$4:EC214))</f>
        <v>#N/A</v>
      </c>
      <c r="EE214" s="315" t="str">
        <f t="shared" si="401"/>
        <v/>
      </c>
      <c r="EF214" s="315" t="e">
        <f>IF($J214="",#N/A,SUM(EE$4:EE214))</f>
        <v>#N/A</v>
      </c>
      <c r="EG214" s="315" t="e">
        <f>IF($J214="",#N/A,SUM(EE$4:EE214,EC$4:EC214,EA$4:EA214))</f>
        <v>#N/A</v>
      </c>
      <c r="EH214" s="130">
        <f t="shared" si="402"/>
        <v>47.296077054279124</v>
      </c>
      <c r="EI214" s="63">
        <f>IF(EH214="",#N/A,SUM($EH$4:EH214))</f>
        <v>834.83790099011435</v>
      </c>
      <c r="EJ214" s="223" t="e">
        <f t="shared" si="403"/>
        <v>#N/A</v>
      </c>
      <c r="EK214" s="63" t="e">
        <f>IF($GZ214="",#N/A,SUM(EJ$4:EJ214))</f>
        <v>#N/A</v>
      </c>
      <c r="EL214" s="60">
        <f t="shared" si="435"/>
        <v>1.9706698772616302</v>
      </c>
      <c r="EM214" s="60">
        <f>IF(EL214="",NA(),SUM($EL$4:EL214))</f>
        <v>24.485067602322967</v>
      </c>
      <c r="EN214" s="60" t="str">
        <f t="shared" si="404"/>
        <v/>
      </c>
      <c r="EO214" s="60" t="e">
        <f>IF(EN214="",NA(),SUM($EN$4:EN214))</f>
        <v>#N/A</v>
      </c>
      <c r="EP214" s="60">
        <f t="shared" si="405"/>
        <v>1.9706698772616302</v>
      </c>
      <c r="EQ214" s="60">
        <f>IF(EP214="",NA(),SUM($EP$4:EP214))</f>
        <v>6.5548415107208164</v>
      </c>
      <c r="ER214" s="60" t="str">
        <f t="shared" si="406"/>
        <v/>
      </c>
      <c r="ES214" s="60" t="e">
        <f>IF(ER214="",NA(),SUM($ER$4:ER214))</f>
        <v>#N/A</v>
      </c>
      <c r="ET214" s="60" t="str">
        <f t="shared" si="407"/>
        <v/>
      </c>
      <c r="EU214" s="60" t="e">
        <f>IF(ET214="",NA(),SUM($ET$4:ET214))</f>
        <v>#N/A</v>
      </c>
      <c r="EV214" s="60" t="str">
        <f t="shared" si="408"/>
        <v/>
      </c>
      <c r="EW214" s="60" t="e">
        <f>IF(EV214="",NA(),SUM($EV$4:EV214))</f>
        <v>#N/A</v>
      </c>
      <c r="EX214" s="60" t="str">
        <f t="shared" si="409"/>
        <v/>
      </c>
      <c r="EY214" s="60" t="e">
        <f>IF(EX214="",NA(),SUM($EX$4:EX214))</f>
        <v>#N/A</v>
      </c>
      <c r="EZ214" s="60" t="str">
        <f t="shared" si="410"/>
        <v/>
      </c>
      <c r="FA214" s="60" t="e">
        <f>IF(EZ214="",NA(),SUM($EZ$4:EZ214))</f>
        <v>#N/A</v>
      </c>
      <c r="FB214" s="246" t="str">
        <f t="shared" si="436"/>
        <v/>
      </c>
      <c r="FC214" s="246" t="e">
        <f>IF($FB214="",#N/A,SUM(FB$4:$FB214))</f>
        <v>#N/A</v>
      </c>
      <c r="FD214" s="60" t="str">
        <f t="shared" si="411"/>
        <v/>
      </c>
      <c r="FE214" s="60" t="e">
        <f>IF($FD214="",#N/A,SUM($FD$4:FD214))</f>
        <v>#N/A</v>
      </c>
      <c r="FF214" s="60" t="str">
        <f t="shared" si="412"/>
        <v/>
      </c>
      <c r="FG214" s="60" t="e">
        <f>IF($FF214="",#N/A,SUM($FF$4:FF214))</f>
        <v>#N/A</v>
      </c>
      <c r="FH214" s="60" t="str">
        <f t="shared" si="413"/>
        <v/>
      </c>
      <c r="FI214" s="60" t="e">
        <f>IF($FH214="",#N/A,SUM($FH$4:FH214))</f>
        <v>#N/A</v>
      </c>
      <c r="FJ214" s="60">
        <f t="shared" si="414"/>
        <v>-1.4029631116016197</v>
      </c>
      <c r="FK214" s="60">
        <f>IF($FJ214="",#N/A,SUM($FJ$4:FJ214))</f>
        <v>-4.15765206992908</v>
      </c>
      <c r="FL214" s="60" t="str">
        <f t="shared" si="415"/>
        <v/>
      </c>
      <c r="FM214" s="60" t="e">
        <f>IF($FL214="",#N/A,SUM($FL$4:FL214))</f>
        <v>#N/A</v>
      </c>
      <c r="FN214" s="82">
        <f t="shared" si="416"/>
        <v>0.56770676566001066</v>
      </c>
      <c r="FO214" s="82">
        <f>IF($FN214="",#N/A,SUM(FN$4:$FN214))</f>
        <v>35.609389588765872</v>
      </c>
      <c r="FP214" s="82">
        <f t="shared" si="437"/>
        <v>1.9706698772616302</v>
      </c>
      <c r="FQ214" s="246">
        <f>IF($EH214="",#N/A,SUM($FP$4:FP214))</f>
        <v>33.182703938470738</v>
      </c>
      <c r="FR214" s="82">
        <f>IFERROR(FQ214/COUNTA($J$4:J214),#N/A)</f>
        <v>0.15726399970839211</v>
      </c>
      <c r="FS214" s="82">
        <f t="shared" si="443"/>
        <v>0.16671562684245048</v>
      </c>
      <c r="FT214" s="82">
        <f t="shared" si="417"/>
        <v>0.28410634776558635</v>
      </c>
      <c r="FU214" s="337">
        <f t="shared" si="442"/>
        <v>16.959379232893305</v>
      </c>
      <c r="FV214" s="57" t="str">
        <f t="shared" si="418"/>
        <v>SW</v>
      </c>
      <c r="FW214" s="57" t="s">
        <v>2732</v>
      </c>
      <c r="FX214" s="57" t="str">
        <f t="shared" si="419"/>
        <v/>
      </c>
      <c r="FY214" s="57" t="str">
        <f t="shared" si="420"/>
        <v/>
      </c>
      <c r="FZ214" s="57">
        <f t="shared" si="421"/>
        <v>1</v>
      </c>
      <c r="GA214" s="57" t="str">
        <f t="shared" si="422"/>
        <v>Long</v>
      </c>
      <c r="GB214" s="57" t="str">
        <f t="shared" si="423"/>
        <v/>
      </c>
      <c r="GC214" s="57" t="str">
        <f t="shared" si="424"/>
        <v/>
      </c>
      <c r="GD214" s="57" t="str">
        <f t="shared" si="425"/>
        <v/>
      </c>
      <c r="GE214" s="62">
        <f t="shared" si="339"/>
        <v>199.34</v>
      </c>
      <c r="GF214" s="62" t="s">
        <v>2779</v>
      </c>
      <c r="GG214" s="199">
        <f>400/I214</f>
        <v>2.0066218521119694</v>
      </c>
      <c r="GH214" s="207">
        <f t="shared" si="426"/>
        <v>400</v>
      </c>
      <c r="GI214" s="199">
        <f t="shared" si="337"/>
        <v>2.0066218521119694</v>
      </c>
      <c r="GJ214" s="200">
        <v>222.91</v>
      </c>
      <c r="GK214" s="63">
        <f t="shared" si="427"/>
        <v>47.296077054279124</v>
      </c>
      <c r="GL214" s="63">
        <f t="shared" si="340"/>
        <v>13.624962375840255</v>
      </c>
      <c r="GM214" s="82">
        <f t="shared" si="428"/>
        <v>0.56770676566001066</v>
      </c>
      <c r="GN214" s="82">
        <f>IF($GZ214="",#N/A,SUM(GM$4:GM214))</f>
        <v>3.5963690238970907</v>
      </c>
      <c r="GO214" s="82" t="str">
        <f t="shared" si="429"/>
        <v/>
      </c>
      <c r="GP214" s="82">
        <f>IF($GZ214="",#N/A,SUM(GO$4:GO214))</f>
        <v>11.174784260249723</v>
      </c>
      <c r="GQ214" s="82" t="str">
        <f t="shared" si="430"/>
        <v/>
      </c>
      <c r="GR214" s="82">
        <f>IF($GZ214="",#N/A,SUM(GQ$4:GQ214))</f>
        <v>20.212399350176707</v>
      </c>
      <c r="GS214" s="63" t="e">
        <f t="shared" si="438"/>
        <v>#N/A</v>
      </c>
      <c r="GT214" s="63" t="e">
        <f>IF($GZ214="",#N/A,SUM(GS$4:GS214))</f>
        <v>#N/A</v>
      </c>
      <c r="GU214" s="63" t="str">
        <f t="shared" si="439"/>
        <v/>
      </c>
      <c r="GV214" s="63" t="e">
        <f>IF($GZ214="",#N/A,SUM(GU$4:GU214))</f>
        <v>#N/A</v>
      </c>
      <c r="GW214" s="63" t="str">
        <f t="shared" si="440"/>
        <v/>
      </c>
      <c r="GX214" s="63" t="e">
        <f>IF($GZ214="",#N/A,SUM(GW$4:GW214))</f>
        <v>#N/A</v>
      </c>
      <c r="GY214" s="63" t="e">
        <f>IF(EJ214="",#N/A,SUM($EJ$4:EJ214))</f>
        <v>#N/A</v>
      </c>
      <c r="GZ214" s="159">
        <v>206.13</v>
      </c>
      <c r="HA214" s="63">
        <f t="shared" si="431"/>
        <v>-33.671114678438869</v>
      </c>
      <c r="HB214" s="62" t="s">
        <v>2538</v>
      </c>
      <c r="HC214" s="60">
        <f>IFERROR(VLOOKUP(E214,Expectancy!$P$4:$S$19,1+C214,FALSE),"")</f>
        <v>-0.17081772033279666</v>
      </c>
      <c r="HD214" s="82">
        <f t="shared" si="432"/>
        <v>1.9706698772616302</v>
      </c>
      <c r="HE214" s="82">
        <f>IF(HD214="",#N/A,SUM($HD$4:HD214))</f>
        <v>1.6933247055774308</v>
      </c>
      <c r="HF214" s="85">
        <f>IF(HD214="",#N/A,IF(HB214="Skip",#N/A,SUM($HG$4:HG214)))</f>
        <v>73.47156919911464</v>
      </c>
      <c r="HG214" s="63">
        <f t="shared" si="433"/>
        <v>47.296077054279124</v>
      </c>
      <c r="HH214" s="82">
        <f t="shared" si="434"/>
        <v>0.56770676566001066</v>
      </c>
    </row>
    <row r="215" spans="1:216" x14ac:dyDescent="0.25">
      <c r="A215" s="57" t="s">
        <v>1578</v>
      </c>
      <c r="B215" s="58" t="s">
        <v>5213</v>
      </c>
      <c r="C215" s="386">
        <f t="shared" si="343"/>
        <v>2</v>
      </c>
      <c r="D215" s="372" t="str">
        <f>_xlfn.XLOOKUP(A215,[1]SP500!$A$2:$A$502,[1]SP500!$D$2:$D$502,"N")</f>
        <v>Y</v>
      </c>
      <c r="E215" s="57" t="str">
        <f>_xlfn.XLOOKUP(A215,[1]SP500!$A$2:$A$655,[1]SP500!$B$2:$B$655)</f>
        <v>XLI</v>
      </c>
      <c r="F215" s="59">
        <v>45693</v>
      </c>
      <c r="G215" s="57" t="str">
        <f t="shared" si="344"/>
        <v>BMO</v>
      </c>
      <c r="H215" s="57" t="str">
        <f t="shared" si="345"/>
        <v>s</v>
      </c>
      <c r="I215" s="159">
        <v>86.66</v>
      </c>
      <c r="J215" s="158">
        <v>83</v>
      </c>
      <c r="K215" s="61">
        <f t="shared" si="346"/>
        <v>-4.2234018001384682E-2</v>
      </c>
      <c r="L215" s="87">
        <f t="shared" si="347"/>
        <v>18.299999999999955</v>
      </c>
      <c r="M215" s="130">
        <f t="shared" si="338"/>
        <v>-2.9500000000000455</v>
      </c>
      <c r="N215" s="169" t="str">
        <f t="shared" si="348"/>
        <v/>
      </c>
      <c r="O215" s="169">
        <f>IF($J215="",#N/A,SUM($N$4:N215))</f>
        <v>283.78492601211707</v>
      </c>
      <c r="P215" s="174">
        <f t="shared" si="349"/>
        <v>18.299999999999955</v>
      </c>
      <c r="Q215" s="174">
        <f>IF($J215="",#N/A,SUM($P$4:P215))</f>
        <v>432.37776401603685</v>
      </c>
      <c r="R215" s="178" t="str">
        <f t="shared" si="350"/>
        <v/>
      </c>
      <c r="S215" s="178">
        <f>IF($J215="",#N/A,SUM($R$4:R215))</f>
        <v>136.97521096196033</v>
      </c>
      <c r="T215" s="290" t="str">
        <f t="shared" si="351"/>
        <v/>
      </c>
      <c r="U215" s="290">
        <f>IF($J215="",#N/A,SUM($T$4:T215))</f>
        <v>10.242121677474179</v>
      </c>
      <c r="V215" s="291">
        <f t="shared" si="352"/>
        <v>0.70390030002307702</v>
      </c>
      <c r="W215" s="291">
        <f>IF($J215="",#N/A,SUM($V$4:V215))</f>
        <v>18.017397970376006</v>
      </c>
      <c r="X215" s="292" t="str">
        <f t="shared" si="353"/>
        <v/>
      </c>
      <c r="Y215" s="292">
        <f>IF($J215="",#N/A,SUM($X$4:X215))</f>
        <v>5.6270845906436229</v>
      </c>
      <c r="Z215" s="304" t="str">
        <f t="shared" si="354"/>
        <v/>
      </c>
      <c r="AA215" s="313" t="e">
        <f>IF($J215="",#N/A,SUM(Z$4:Z215))</f>
        <v>#N/A</v>
      </c>
      <c r="AB215" s="314" t="str">
        <f t="shared" si="355"/>
        <v/>
      </c>
      <c r="AC215" s="314" t="e">
        <f>IF($J215="",#N/A,SUM(AB$4:AB215))</f>
        <v>#N/A</v>
      </c>
      <c r="AD215" s="315" t="str">
        <f t="shared" si="356"/>
        <v/>
      </c>
      <c r="AE215" s="315" t="e">
        <f>IF($J215="",#N/A,SUM(AD$4:AD215))</f>
        <v>#N/A</v>
      </c>
      <c r="AF215" s="315" t="e">
        <f>IF($J215="",#N/A,SUM(AD$4:AD215,AB$4:AB215,Z$4:Z215))</f>
        <v>#N/A</v>
      </c>
      <c r="AG215" s="304" t="str">
        <f t="shared" si="357"/>
        <v/>
      </c>
      <c r="AH215" s="313" t="e">
        <f>IF($J215="",#N/A,SUM(AG$4:AG215))</f>
        <v>#N/A</v>
      </c>
      <c r="AI215" s="314" t="str">
        <f t="shared" si="358"/>
        <v/>
      </c>
      <c r="AJ215" s="314" t="e">
        <f>IF($J215="",#N/A,SUM(AI$4:AI215))</f>
        <v>#N/A</v>
      </c>
      <c r="AK215" s="315" t="str">
        <f t="shared" si="359"/>
        <v/>
      </c>
      <c r="AL215" s="315" t="e">
        <f>IF($J215="",#N/A,SUM(AK$4:AK215))</f>
        <v>#N/A</v>
      </c>
      <c r="AM215" s="315" t="e">
        <f>IF($J215="",#N/A,SUM(AK$4:AK215,AI$4:AI215,AG$4:AG215))</f>
        <v>#N/A</v>
      </c>
      <c r="AN215" s="304" t="str">
        <f t="shared" si="360"/>
        <v/>
      </c>
      <c r="AO215" s="313" t="e">
        <f>IF($J215="",#N/A,SUM(AN$4:AN215))</f>
        <v>#N/A</v>
      </c>
      <c r="AP215" s="314" t="str">
        <f t="shared" si="361"/>
        <v/>
      </c>
      <c r="AQ215" s="314" t="e">
        <f>IF($J215="",#N/A,SUM(AP$4:AP215))</f>
        <v>#N/A</v>
      </c>
      <c r="AR215" s="315" t="str">
        <f t="shared" si="362"/>
        <v/>
      </c>
      <c r="AS215" s="315" t="e">
        <f>IF($J215="",#N/A,SUM(AR$4:AR215))</f>
        <v>#N/A</v>
      </c>
      <c r="AT215" s="315" t="e">
        <f>IF($J215="",#N/A,SUM(AR$4:AR215,AP$4:AP215,AN$4:AN215))</f>
        <v>#N/A</v>
      </c>
      <c r="AU215" s="304" t="str">
        <f t="shared" si="363"/>
        <v/>
      </c>
      <c r="AV215" s="313" t="e">
        <f>IF($J215="",#N/A,SUM(AU$4:AU215))</f>
        <v>#N/A</v>
      </c>
      <c r="AW215" s="314" t="str">
        <f t="shared" si="364"/>
        <v/>
      </c>
      <c r="AX215" s="314" t="e">
        <f>IF($J215="",#N/A,SUM(AW$4:AW215))</f>
        <v>#N/A</v>
      </c>
      <c r="AY215" s="315" t="str">
        <f t="shared" si="365"/>
        <v/>
      </c>
      <c r="AZ215" s="315" t="e">
        <f>IF($J215="",#N/A,SUM(AY$4:AY215))</f>
        <v>#N/A</v>
      </c>
      <c r="BA215" s="315" t="e">
        <f>IF($J215="",#N/A,SUM(AY$4:AY215,AW$4:AW215,AU$4:AU215))</f>
        <v>#N/A</v>
      </c>
      <c r="BB215" s="304" t="str">
        <f t="shared" si="366"/>
        <v/>
      </c>
      <c r="BC215" s="313" t="e">
        <f>IF($J215="",#N/A,SUM(BB$4:BB215))</f>
        <v>#N/A</v>
      </c>
      <c r="BD215" s="314" t="str">
        <f t="shared" si="367"/>
        <v/>
      </c>
      <c r="BE215" s="314" t="e">
        <f>IF($J215="",#N/A,SUM(BD$4:BD215))</f>
        <v>#N/A</v>
      </c>
      <c r="BF215" s="315" t="str">
        <f t="shared" si="368"/>
        <v/>
      </c>
      <c r="BG215" s="315" t="e">
        <f>IF($J215="",#N/A,SUM(BF$4:BF215))</f>
        <v>#N/A</v>
      </c>
      <c r="BH215" s="315" t="e">
        <f>IF($J215="",#N/A,SUM(BF$4:BF215,BD$4:BD215,BB$4:BB215))</f>
        <v>#N/A</v>
      </c>
      <c r="BI215" s="304" t="str">
        <f t="shared" si="369"/>
        <v/>
      </c>
      <c r="BJ215" s="313" t="e">
        <f>IF($J215="",#N/A,SUM(BI$4:BI215))</f>
        <v>#N/A</v>
      </c>
      <c r="BK215" s="314" t="str">
        <f t="shared" si="370"/>
        <v/>
      </c>
      <c r="BL215" s="314" t="e">
        <f>IF($J215="",#N/A,SUM(BK$4:BK215))</f>
        <v>#N/A</v>
      </c>
      <c r="BM215" s="315" t="str">
        <f t="shared" si="371"/>
        <v/>
      </c>
      <c r="BN215" s="315" t="e">
        <f>IF($J215="",#N/A,SUM(BM$4:BM215))</f>
        <v>#N/A</v>
      </c>
      <c r="BO215" s="315" t="e">
        <f>IF($J215="",#N/A,SUM(BM$4:BM215,BK$4:BK215,BI$4:BI215))</f>
        <v>#N/A</v>
      </c>
      <c r="BP215" s="304" t="str">
        <f t="shared" si="372"/>
        <v/>
      </c>
      <c r="BQ215" s="313" t="e">
        <f>IF($J215="",#N/A,SUM(BP$4:BP215))</f>
        <v>#N/A</v>
      </c>
      <c r="BR215" s="314">
        <f t="shared" si="373"/>
        <v>0.70390030002307702</v>
      </c>
      <c r="BS215" s="314" t="e">
        <f>IF($J215="",#N/A,SUM(BR$4:BR215))</f>
        <v>#N/A</v>
      </c>
      <c r="BT215" s="315" t="str">
        <f t="shared" si="374"/>
        <v/>
      </c>
      <c r="BU215" s="315" t="e">
        <f>IF($J215="",#N/A,SUM(BT$4:BT215))</f>
        <v>#N/A</v>
      </c>
      <c r="BV215" s="315" t="e">
        <f>IF($J215="",#N/A,SUM(BT$4:BT215,BR$4:BR215,BP$4:BP215))</f>
        <v>#N/A</v>
      </c>
      <c r="BW215" s="304" t="str">
        <f t="shared" si="375"/>
        <v/>
      </c>
      <c r="BX215" s="313" t="e">
        <f>IF($J215="",#N/A,SUM(BW$4:BW215))</f>
        <v>#N/A</v>
      </c>
      <c r="BY215" s="314" t="str">
        <f t="shared" si="376"/>
        <v/>
      </c>
      <c r="BZ215" s="314" t="e">
        <f>IF($J215="",#N/A,SUM(BY$4:BY215))</f>
        <v>#N/A</v>
      </c>
      <c r="CA215" s="315" t="str">
        <f t="shared" si="377"/>
        <v/>
      </c>
      <c r="CB215" s="315" t="e">
        <f>IF($J215="",#N/A,SUM(CA$4:CA215))</f>
        <v>#N/A</v>
      </c>
      <c r="CC215" s="315" t="e">
        <f>IF($J215="",#N/A,SUM(CA$4:CA215,BY$4:BY215,BW$4:BW215))</f>
        <v>#N/A</v>
      </c>
      <c r="CD215" s="304" t="str">
        <f t="shared" si="378"/>
        <v/>
      </c>
      <c r="CE215" s="313" t="e">
        <f>IF($J215="",#N/A,SUM(CD$4:CD215))</f>
        <v>#N/A</v>
      </c>
      <c r="CF215" s="314" t="str">
        <f t="shared" si="379"/>
        <v/>
      </c>
      <c r="CG215" s="314" t="e">
        <f>IF($J215="",#N/A,SUM(CF$4:CF215))</f>
        <v>#N/A</v>
      </c>
      <c r="CH215" s="315" t="str">
        <f t="shared" si="380"/>
        <v/>
      </c>
      <c r="CI215" s="315" t="e">
        <f>IF($J215="",#N/A,SUM(CH$4:CH215))</f>
        <v>#N/A</v>
      </c>
      <c r="CJ215" s="315" t="e">
        <f>IF($J215="",#N/A,SUM(CH$4:CH215,CF$4:CF215,CD$4:CD215))</f>
        <v>#N/A</v>
      </c>
      <c r="CK215" s="304" t="str">
        <f t="shared" si="381"/>
        <v/>
      </c>
      <c r="CL215" s="313" t="e">
        <f>IF($J215="",#N/A,SUM(CK$4:CK215))</f>
        <v>#N/A</v>
      </c>
      <c r="CM215" s="314" t="str">
        <f t="shared" si="382"/>
        <v/>
      </c>
      <c r="CN215" s="314" t="e">
        <f>IF($J215="",#N/A,SUM(CM$4:CM215))</f>
        <v>#N/A</v>
      </c>
      <c r="CO215" s="315" t="str">
        <f t="shared" si="383"/>
        <v/>
      </c>
      <c r="CP215" s="315" t="e">
        <f>IF($J215="",#N/A,SUM(CO$4:CO215))</f>
        <v>#N/A</v>
      </c>
      <c r="CQ215" s="315" t="e">
        <f>IF($J215="",#N/A,SUM(CO$4:CO215,CM$4:CM215,CK$4:CK215))</f>
        <v>#N/A</v>
      </c>
      <c r="CR215" s="304" t="str">
        <f t="shared" si="384"/>
        <v/>
      </c>
      <c r="CS215" s="313" t="e">
        <f>IF($J215="",#N/A,SUM(CR$4:CR215))</f>
        <v>#N/A</v>
      </c>
      <c r="CT215" s="314" t="str">
        <f t="shared" si="385"/>
        <v/>
      </c>
      <c r="CU215" s="314" t="e">
        <f>IF($J215="",#N/A,SUM(CT$4:CT215))</f>
        <v>#N/A</v>
      </c>
      <c r="CV215" s="315" t="str">
        <f t="shared" si="386"/>
        <v/>
      </c>
      <c r="CW215" s="315" t="e">
        <f>IF($J215="",#N/A,SUM(CV$4:CV215))</f>
        <v>#N/A</v>
      </c>
      <c r="CX215" s="315" t="e">
        <f>IF($J215="",#N/A,SUM(CV$4:CV215,CT$4:CT215,CR$4:CR215))</f>
        <v>#N/A</v>
      </c>
      <c r="CY215" s="304" t="str">
        <f t="shared" si="387"/>
        <v/>
      </c>
      <c r="CZ215" s="313" t="e">
        <f>IF($J215="",#N/A,SUM(CY$4:CY215))</f>
        <v>#N/A</v>
      </c>
      <c r="DA215" s="314" t="str">
        <f t="shared" si="388"/>
        <v/>
      </c>
      <c r="DB215" s="314" t="e">
        <f>IF($J215="",#N/A,SUM(DA$4:DA215))</f>
        <v>#N/A</v>
      </c>
      <c r="DC215" s="315" t="str">
        <f t="shared" si="389"/>
        <v/>
      </c>
      <c r="DD215" s="315" t="e">
        <f>IF($J215="",#N/A,SUM(DC$4:DC215))</f>
        <v>#N/A</v>
      </c>
      <c r="DE215" s="315" t="e">
        <f>IF($J215="",#N/A,SUM(DC$4:DC215,DA$4:DA215,CY$4:CY215))</f>
        <v>#N/A</v>
      </c>
      <c r="DF215" s="304" t="str">
        <f t="shared" si="390"/>
        <v/>
      </c>
      <c r="DG215" s="313" t="e">
        <f>IF($J215="",#N/A,SUM(DF$4:DF215))</f>
        <v>#N/A</v>
      </c>
      <c r="DH215" s="314" t="str">
        <f t="shared" si="391"/>
        <v/>
      </c>
      <c r="DI215" s="314" t="e">
        <f>IF($J215="",#N/A,SUM(DH$4:DH215))</f>
        <v>#N/A</v>
      </c>
      <c r="DJ215" s="315" t="str">
        <f t="shared" si="392"/>
        <v/>
      </c>
      <c r="DK215" s="315" t="e">
        <f>IF($J215="",#N/A,SUM(DJ$4:DJ215))</f>
        <v>#N/A</v>
      </c>
      <c r="DL215" s="315" t="e">
        <f>IF($J215="",#N/A,SUM(DJ$4:DJ215,DH$4:DH215,DF$4:DF215))</f>
        <v>#N/A</v>
      </c>
      <c r="DM215" s="304" t="str">
        <f t="shared" si="393"/>
        <v/>
      </c>
      <c r="DN215" s="313" t="e">
        <f>IF($J215="",#N/A,SUM(DM$4:DM215))</f>
        <v>#N/A</v>
      </c>
      <c r="DO215" s="314" t="str">
        <f t="shared" si="394"/>
        <v/>
      </c>
      <c r="DP215" s="314" t="e">
        <f>IF($J215="",#N/A,SUM(DO$4:DO215))</f>
        <v>#N/A</v>
      </c>
      <c r="DQ215" s="315" t="str">
        <f t="shared" si="395"/>
        <v/>
      </c>
      <c r="DR215" s="315" t="e">
        <f>IF($J215="",#N/A,SUM(DQ$4:DQ215))</f>
        <v>#N/A</v>
      </c>
      <c r="DS215" s="315" t="e">
        <f>IF($J215="",#N/A,SUM(DQ$4:DQ215,DO$4:DO215,DM$4:DM215))</f>
        <v>#N/A</v>
      </c>
      <c r="DT215" s="304" t="str">
        <f t="shared" si="396"/>
        <v/>
      </c>
      <c r="DU215" s="313" t="e">
        <f>IF($J215="",#N/A,SUM(DT$4:DT215))</f>
        <v>#N/A</v>
      </c>
      <c r="DV215" s="314" t="str">
        <f t="shared" si="397"/>
        <v/>
      </c>
      <c r="DW215" s="314" t="e">
        <f>IF($J215="",#N/A,SUM(DV$4:DV215))</f>
        <v>#N/A</v>
      </c>
      <c r="DX215" s="315" t="str">
        <f t="shared" si="398"/>
        <v/>
      </c>
      <c r="DY215" s="315" t="e">
        <f>IF($J215="",#N/A,SUM(DX$4:DX215))</f>
        <v>#N/A</v>
      </c>
      <c r="DZ215" s="315" t="e">
        <f>IF($J215="",#N/A,SUM(DX$4:DX215,DV$4:DV215,DT$4:DT215))</f>
        <v>#N/A</v>
      </c>
      <c r="EA215" s="304" t="str">
        <f t="shared" si="399"/>
        <v/>
      </c>
      <c r="EB215" s="313" t="e">
        <f>IF($J215="",#N/A,SUM(EA$4:EA215))</f>
        <v>#N/A</v>
      </c>
      <c r="EC215" s="314" t="str">
        <f t="shared" si="400"/>
        <v/>
      </c>
      <c r="ED215" s="314" t="e">
        <f>IF($J215="",#N/A,SUM(EC$4:EC215))</f>
        <v>#N/A</v>
      </c>
      <c r="EE215" s="315" t="str">
        <f t="shared" si="401"/>
        <v/>
      </c>
      <c r="EF215" s="315" t="e">
        <f>IF($J215="",#N/A,SUM(EE$4:EE215))</f>
        <v>#N/A</v>
      </c>
      <c r="EG215" s="315" t="e">
        <f>IF($J215="",#N/A,SUM(EE$4:EE215,EC$4:EC215,EA$4:EA215))</f>
        <v>#N/A</v>
      </c>
      <c r="EH215" s="130">
        <f t="shared" si="402"/>
        <v>18.299999999999955</v>
      </c>
      <c r="EI215" s="63">
        <f>IF(EH215="",#N/A,SUM($EH$4:EH215))</f>
        <v>853.1379009901143</v>
      </c>
      <c r="EJ215" s="223" t="e">
        <f t="shared" si="403"/>
        <v>#N/A</v>
      </c>
      <c r="EK215" s="63" t="e">
        <f>IF($GZ215="",#N/A,SUM(EJ$4:EJ215))</f>
        <v>#N/A</v>
      </c>
      <c r="EL215" s="60">
        <f t="shared" si="435"/>
        <v>0.70390030002307702</v>
      </c>
      <c r="EM215" s="60">
        <f>IF(EL215="",NA(),SUM($EL$4:EL215))</f>
        <v>25.188967902346043</v>
      </c>
      <c r="EN215" s="60" t="str">
        <f t="shared" si="404"/>
        <v/>
      </c>
      <c r="EO215" s="60" t="e">
        <f>IF(EN215="",NA(),SUM($EN$4:EN215))</f>
        <v>#N/A</v>
      </c>
      <c r="EP215" s="60" t="str">
        <f t="shared" si="405"/>
        <v/>
      </c>
      <c r="EQ215" s="60" t="e">
        <f>IF(EP215="",NA(),SUM($EP$4:EP215))</f>
        <v>#N/A</v>
      </c>
      <c r="ER215" s="60">
        <f t="shared" si="406"/>
        <v>0.70390030002307702</v>
      </c>
      <c r="ES215" s="60">
        <f>IF(ER215="",NA(),SUM($ER$4:ER215))</f>
        <v>10.348711538801775</v>
      </c>
      <c r="ET215" s="60" t="str">
        <f t="shared" si="407"/>
        <v/>
      </c>
      <c r="EU215" s="60" t="e">
        <f>IF(ET215="",NA(),SUM($ET$4:ET215))</f>
        <v>#N/A</v>
      </c>
      <c r="EV215" s="60" t="str">
        <f t="shared" si="408"/>
        <v/>
      </c>
      <c r="EW215" s="60" t="e">
        <f>IF(EV215="",NA(),SUM($EV$4:EV215))</f>
        <v>#N/A</v>
      </c>
      <c r="EX215" s="60" t="str">
        <f t="shared" si="409"/>
        <v/>
      </c>
      <c r="EY215" s="60" t="e">
        <f>IF(EX215="",NA(),SUM($EX$4:EX215))</f>
        <v>#N/A</v>
      </c>
      <c r="EZ215" s="60" t="str">
        <f t="shared" si="410"/>
        <v/>
      </c>
      <c r="FA215" s="60" t="e">
        <f>IF(EZ215="",NA(),SUM($EZ$4:EZ215))</f>
        <v>#N/A</v>
      </c>
      <c r="FB215" s="246">
        <f t="shared" si="436"/>
        <v>-0.50388491422417203</v>
      </c>
      <c r="FC215" s="246">
        <f>IF($FB215="",#N/A,SUM(FB$4:$FB215))</f>
        <v>1.0728928180975217</v>
      </c>
      <c r="FD215" s="60" t="str">
        <f t="shared" si="411"/>
        <v/>
      </c>
      <c r="FE215" s="60" t="e">
        <f>IF($FD215="",#N/A,SUM($FD$4:FD215))</f>
        <v>#N/A</v>
      </c>
      <c r="FF215" s="60" t="str">
        <f t="shared" si="412"/>
        <v/>
      </c>
      <c r="FG215" s="60" t="e">
        <f>IF($FF215="",#N/A,SUM($FF$4:FF215))</f>
        <v>#N/A</v>
      </c>
      <c r="FH215" s="60" t="str">
        <f t="shared" si="413"/>
        <v/>
      </c>
      <c r="FI215" s="60" t="e">
        <f>IF($FH215="",#N/A,SUM($FH$4:FH215))</f>
        <v>#N/A</v>
      </c>
      <c r="FJ215" s="60" t="str">
        <f t="shared" si="414"/>
        <v/>
      </c>
      <c r="FK215" s="60" t="e">
        <f>IF($FJ215="",#N/A,SUM($FJ$4:FJ215))</f>
        <v>#N/A</v>
      </c>
      <c r="FL215" s="60" t="str">
        <f t="shared" si="415"/>
        <v/>
      </c>
      <c r="FM215" s="60" t="e">
        <f>IF($FL215="",#N/A,SUM($FL$4:FL215))</f>
        <v>#N/A</v>
      </c>
      <c r="FN215" s="82">
        <f t="shared" si="416"/>
        <v>0.20001538579890502</v>
      </c>
      <c r="FO215" s="82">
        <f>IF($FN215="",#N/A,SUM(FN$4:$FN215))</f>
        <v>35.809404974564778</v>
      </c>
      <c r="FP215" s="82">
        <f t="shared" si="437"/>
        <v>0.70390030002307702</v>
      </c>
      <c r="FQ215" s="246">
        <f>IF($EH215="",#N/A,SUM($FP$4:FP215))</f>
        <v>33.886604238493817</v>
      </c>
      <c r="FR215" s="82">
        <f>IFERROR(FQ215/COUNTA($J$4:J215),#N/A)</f>
        <v>0.15984247282308403</v>
      </c>
      <c r="FS215" s="82">
        <f t="shared" si="443"/>
        <v>0.1827054920836014</v>
      </c>
      <c r="FT215" s="82">
        <f t="shared" si="417"/>
        <v>0.25189985189806458</v>
      </c>
      <c r="FU215" s="337">
        <f t="shared" si="442"/>
        <v>17.07284949983692</v>
      </c>
      <c r="FV215" s="57" t="str">
        <f t="shared" si="418"/>
        <v>Dwn</v>
      </c>
      <c r="FW215" s="57" t="s">
        <v>2733</v>
      </c>
      <c r="FX215" s="57" t="str">
        <f t="shared" si="419"/>
        <v/>
      </c>
      <c r="FY215" s="57" t="str">
        <f t="shared" si="420"/>
        <v/>
      </c>
      <c r="FZ215" s="57" t="str">
        <f t="shared" si="421"/>
        <v/>
      </c>
      <c r="GA215" s="57" t="str">
        <f t="shared" si="422"/>
        <v>Short</v>
      </c>
      <c r="GB215" s="57">
        <f t="shared" si="423"/>
        <v>1</v>
      </c>
      <c r="GC215" s="57" t="str">
        <f t="shared" si="424"/>
        <v/>
      </c>
      <c r="GD215" s="57" t="str">
        <f t="shared" si="425"/>
        <v/>
      </c>
      <c r="GE215" s="62">
        <f t="shared" si="339"/>
        <v>86.66</v>
      </c>
      <c r="GF215" s="62" t="s">
        <v>2780</v>
      </c>
      <c r="GG215" s="199">
        <v>5</v>
      </c>
      <c r="GH215" s="207">
        <f t="shared" si="426"/>
        <v>433.29999999999995</v>
      </c>
      <c r="GI215" s="199">
        <f t="shared" si="337"/>
        <v>5</v>
      </c>
      <c r="GJ215" s="200">
        <v>83.59</v>
      </c>
      <c r="GK215" s="63">
        <f t="shared" si="427"/>
        <v>15.349999999999909</v>
      </c>
      <c r="GL215" s="63">
        <f t="shared" si="340"/>
        <v>5.1999999999999318</v>
      </c>
      <c r="GM215" s="82" t="str">
        <f t="shared" si="428"/>
        <v/>
      </c>
      <c r="GN215" s="82">
        <f>IF($GZ215="",#N/A,SUM(GM$4:GM215))</f>
        <v>3.5963690238970907</v>
      </c>
      <c r="GO215" s="82" t="str">
        <f t="shared" si="429"/>
        <v/>
      </c>
      <c r="GP215" s="82">
        <f>IF($GZ215="",#N/A,SUM(GO$4:GO215))</f>
        <v>11.174784260249723</v>
      </c>
      <c r="GQ215" s="82">
        <f t="shared" si="430"/>
        <v>0.20001538579890502</v>
      </c>
      <c r="GR215" s="82">
        <f>IF($GZ215="",#N/A,SUM(GQ$4:GQ215))</f>
        <v>20.412414735975613</v>
      </c>
      <c r="GS215" s="63" t="str">
        <f t="shared" si="438"/>
        <v/>
      </c>
      <c r="GT215" s="63" t="e">
        <f>IF($GZ215="",#N/A,SUM(GS$4:GS215))</f>
        <v>#N/A</v>
      </c>
      <c r="GU215" s="63" t="str">
        <f t="shared" si="439"/>
        <v/>
      </c>
      <c r="GV215" s="63" t="e">
        <f>IF($GZ215="",#N/A,SUM(GU$4:GU215))</f>
        <v>#N/A</v>
      </c>
      <c r="GW215" s="63" t="e">
        <f t="shared" si="440"/>
        <v>#N/A</v>
      </c>
      <c r="GX215" s="63" t="e">
        <f>IF($GZ215="",#N/A,SUM(GW$4:GW215))</f>
        <v>#N/A</v>
      </c>
      <c r="GY215" s="63" t="e">
        <f>IF(EJ215="",#N/A,SUM($EJ$4:EJ215))</f>
        <v>#N/A</v>
      </c>
      <c r="GZ215" s="159">
        <v>85.62</v>
      </c>
      <c r="HA215" s="63">
        <f t="shared" si="431"/>
        <v>-13.100000000000023</v>
      </c>
      <c r="HB215" s="62" t="s">
        <v>2538</v>
      </c>
      <c r="HC215" s="60">
        <f>IFERROR(VLOOKUP(E215,Expectancy!$P$4:$S$19,1+C215,FALSE),"")</f>
        <v>0.3117803024854584</v>
      </c>
      <c r="HD215" s="82">
        <f t="shared" si="432"/>
        <v>0.59043003307946418</v>
      </c>
      <c r="HE215" s="82">
        <f>IF(HD215="",#N/A,SUM($HD$4:HD215))</f>
        <v>2.2837547386568948</v>
      </c>
      <c r="HF215" s="85">
        <f>IF(HD215="",#N/A,IF(HB215="Skip",#N/A,SUM($HG$4:HG215)))</f>
        <v>88.821569199114549</v>
      </c>
      <c r="HG215" s="63">
        <f t="shared" si="433"/>
        <v>15.349999999999909</v>
      </c>
      <c r="HH215" s="82">
        <f t="shared" si="434"/>
        <v>0.20001538579890502</v>
      </c>
    </row>
    <row r="216" spans="1:216" x14ac:dyDescent="0.25">
      <c r="A216" s="57" t="s">
        <v>1584</v>
      </c>
      <c r="B216" s="58" t="s">
        <v>5213</v>
      </c>
      <c r="C216" s="386">
        <f t="shared" si="343"/>
        <v>2</v>
      </c>
      <c r="D216" s="372" t="str">
        <f>_xlfn.XLOOKUP(A216,[1]SP500!$A$2:$A$502,[1]SP500!$D$2:$D$502,"N")</f>
        <v>Y</v>
      </c>
      <c r="E216" s="57" t="str">
        <f>_xlfn.XLOOKUP(A216,[1]SP500!$A$2:$A$655,[1]SP500!$B$2:$B$655)</f>
        <v>XLP</v>
      </c>
      <c r="F216" s="59">
        <v>45693</v>
      </c>
      <c r="G216" s="57" t="str">
        <f t="shared" si="344"/>
        <v>BMO</v>
      </c>
      <c r="H216" s="57" t="str">
        <f t="shared" si="345"/>
        <v>s</v>
      </c>
      <c r="I216" s="159">
        <v>75.02</v>
      </c>
      <c r="J216" s="159">
        <v>71.260000000000005</v>
      </c>
      <c r="K216" s="61">
        <f t="shared" si="346"/>
        <v>-5.0119968008530941E-2</v>
      </c>
      <c r="L216" s="87">
        <f t="shared" si="347"/>
        <v>18.799999999999955</v>
      </c>
      <c r="M216" s="130">
        <f t="shared" si="338"/>
        <v>-0.74999999999994316</v>
      </c>
      <c r="N216" s="169" t="str">
        <f t="shared" si="348"/>
        <v/>
      </c>
      <c r="O216" s="169">
        <f>IF($J216="",#N/A,SUM($N$4:N216))</f>
        <v>283.78492601211707</v>
      </c>
      <c r="P216" s="174">
        <f t="shared" si="349"/>
        <v>18.799999999999955</v>
      </c>
      <c r="Q216" s="174">
        <f>IF($J216="",#N/A,SUM($P$4:P216))</f>
        <v>451.1777640160368</v>
      </c>
      <c r="R216" s="178" t="str">
        <f t="shared" si="350"/>
        <v/>
      </c>
      <c r="S216" s="178">
        <f>IF($J216="",#N/A,SUM($R$4:R216))</f>
        <v>136.97521096196033</v>
      </c>
      <c r="T216" s="290" t="str">
        <f t="shared" si="351"/>
        <v/>
      </c>
      <c r="U216" s="290">
        <f>IF($J216="",#N/A,SUM($T$4:T216))</f>
        <v>10.242121677474179</v>
      </c>
      <c r="V216" s="291">
        <f t="shared" si="352"/>
        <v>0.83533280014218236</v>
      </c>
      <c r="W216" s="291">
        <f>IF($J216="",#N/A,SUM($V$4:V216))</f>
        <v>18.852730770518189</v>
      </c>
      <c r="X216" s="292" t="str">
        <f t="shared" si="353"/>
        <v/>
      </c>
      <c r="Y216" s="292">
        <f>IF($J216="",#N/A,SUM($X$4:X216))</f>
        <v>5.6270845906436229</v>
      </c>
      <c r="Z216" s="304" t="str">
        <f t="shared" si="354"/>
        <v/>
      </c>
      <c r="AA216" s="313" t="e">
        <f>IF($J216="",#N/A,SUM(Z$4:Z216))</f>
        <v>#N/A</v>
      </c>
      <c r="AB216" s="314" t="str">
        <f t="shared" si="355"/>
        <v/>
      </c>
      <c r="AC216" s="314" t="e">
        <f>IF($J216="",#N/A,SUM(AB$4:AB216))</f>
        <v>#N/A</v>
      </c>
      <c r="AD216" s="315" t="str">
        <f t="shared" si="356"/>
        <v/>
      </c>
      <c r="AE216" s="315" t="e">
        <f>IF($J216="",#N/A,SUM(AD$4:AD216))</f>
        <v>#N/A</v>
      </c>
      <c r="AF216" s="315" t="e">
        <f>IF($J216="",#N/A,SUM(AD$4:AD216,AB$4:AB216,Z$4:Z216))</f>
        <v>#N/A</v>
      </c>
      <c r="AG216" s="304" t="str">
        <f t="shared" si="357"/>
        <v/>
      </c>
      <c r="AH216" s="313" t="e">
        <f>IF($J216="",#N/A,SUM(AG$4:AG216))</f>
        <v>#N/A</v>
      </c>
      <c r="AI216" s="314" t="str">
        <f t="shared" si="358"/>
        <v/>
      </c>
      <c r="AJ216" s="314" t="e">
        <f>IF($J216="",#N/A,SUM(AI$4:AI216))</f>
        <v>#N/A</v>
      </c>
      <c r="AK216" s="315" t="str">
        <f t="shared" si="359"/>
        <v/>
      </c>
      <c r="AL216" s="315" t="e">
        <f>IF($J216="",#N/A,SUM(AK$4:AK216))</f>
        <v>#N/A</v>
      </c>
      <c r="AM216" s="315" t="e">
        <f>IF($J216="",#N/A,SUM(AK$4:AK216,AI$4:AI216,AG$4:AG216))</f>
        <v>#N/A</v>
      </c>
      <c r="AN216" s="304" t="str">
        <f t="shared" si="360"/>
        <v/>
      </c>
      <c r="AO216" s="313" t="e">
        <f>IF($J216="",#N/A,SUM(AN$4:AN216))</f>
        <v>#N/A</v>
      </c>
      <c r="AP216" s="314" t="str">
        <f t="shared" si="361"/>
        <v/>
      </c>
      <c r="AQ216" s="314" t="e">
        <f>IF($J216="",#N/A,SUM(AP$4:AP216))</f>
        <v>#N/A</v>
      </c>
      <c r="AR216" s="315" t="str">
        <f t="shared" si="362"/>
        <v/>
      </c>
      <c r="AS216" s="315" t="e">
        <f>IF($J216="",#N/A,SUM(AR$4:AR216))</f>
        <v>#N/A</v>
      </c>
      <c r="AT216" s="315" t="e">
        <f>IF($J216="",#N/A,SUM(AR$4:AR216,AP$4:AP216,AN$4:AN216))</f>
        <v>#N/A</v>
      </c>
      <c r="AU216" s="304" t="str">
        <f t="shared" si="363"/>
        <v/>
      </c>
      <c r="AV216" s="313" t="e">
        <f>IF($J216="",#N/A,SUM(AU$4:AU216))</f>
        <v>#N/A</v>
      </c>
      <c r="AW216" s="314">
        <f t="shared" si="364"/>
        <v>0.83533280014218236</v>
      </c>
      <c r="AX216" s="314" t="e">
        <f>IF($J216="",#N/A,SUM(AW$4:AW216))</f>
        <v>#N/A</v>
      </c>
      <c r="AY216" s="315" t="str">
        <f t="shared" si="365"/>
        <v/>
      </c>
      <c r="AZ216" s="315" t="e">
        <f>IF($J216="",#N/A,SUM(AY$4:AY216))</f>
        <v>#N/A</v>
      </c>
      <c r="BA216" s="315" t="e">
        <f>IF($J216="",#N/A,SUM(AY$4:AY216,AW$4:AW216,AU$4:AU216))</f>
        <v>#N/A</v>
      </c>
      <c r="BB216" s="304" t="str">
        <f t="shared" si="366"/>
        <v/>
      </c>
      <c r="BC216" s="313" t="e">
        <f>IF($J216="",#N/A,SUM(BB$4:BB216))</f>
        <v>#N/A</v>
      </c>
      <c r="BD216" s="314" t="str">
        <f t="shared" si="367"/>
        <v/>
      </c>
      <c r="BE216" s="314" t="e">
        <f>IF($J216="",#N/A,SUM(BD$4:BD216))</f>
        <v>#N/A</v>
      </c>
      <c r="BF216" s="315" t="str">
        <f t="shared" si="368"/>
        <v/>
      </c>
      <c r="BG216" s="315" t="e">
        <f>IF($J216="",#N/A,SUM(BF$4:BF216))</f>
        <v>#N/A</v>
      </c>
      <c r="BH216" s="315" t="e">
        <f>IF($J216="",#N/A,SUM(BF$4:BF216,BD$4:BD216,BB$4:BB216))</f>
        <v>#N/A</v>
      </c>
      <c r="BI216" s="304" t="str">
        <f t="shared" si="369"/>
        <v/>
      </c>
      <c r="BJ216" s="313" t="e">
        <f>IF($J216="",#N/A,SUM(BI$4:BI216))</f>
        <v>#N/A</v>
      </c>
      <c r="BK216" s="314" t="str">
        <f t="shared" si="370"/>
        <v/>
      </c>
      <c r="BL216" s="314" t="e">
        <f>IF($J216="",#N/A,SUM(BK$4:BK216))</f>
        <v>#N/A</v>
      </c>
      <c r="BM216" s="315" t="str">
        <f t="shared" si="371"/>
        <v/>
      </c>
      <c r="BN216" s="315" t="e">
        <f>IF($J216="",#N/A,SUM(BM$4:BM216))</f>
        <v>#N/A</v>
      </c>
      <c r="BO216" s="315" t="e">
        <f>IF($J216="",#N/A,SUM(BM$4:BM216,BK$4:BK216,BI$4:BI216))</f>
        <v>#N/A</v>
      </c>
      <c r="BP216" s="304" t="str">
        <f t="shared" si="372"/>
        <v/>
      </c>
      <c r="BQ216" s="313" t="e">
        <f>IF($J216="",#N/A,SUM(BP$4:BP216))</f>
        <v>#N/A</v>
      </c>
      <c r="BR216" s="314" t="str">
        <f t="shared" si="373"/>
        <v/>
      </c>
      <c r="BS216" s="314" t="e">
        <f>IF($J216="",#N/A,SUM(BR$4:BR216))</f>
        <v>#N/A</v>
      </c>
      <c r="BT216" s="315" t="str">
        <f t="shared" si="374"/>
        <v/>
      </c>
      <c r="BU216" s="315" t="e">
        <f>IF($J216="",#N/A,SUM(BT$4:BT216))</f>
        <v>#N/A</v>
      </c>
      <c r="BV216" s="315" t="e">
        <f>IF($J216="",#N/A,SUM(BT$4:BT216,BR$4:BR216,BP$4:BP216))</f>
        <v>#N/A</v>
      </c>
      <c r="BW216" s="304" t="str">
        <f t="shared" si="375"/>
        <v/>
      </c>
      <c r="BX216" s="313" t="e">
        <f>IF($J216="",#N/A,SUM(BW$4:BW216))</f>
        <v>#N/A</v>
      </c>
      <c r="BY216" s="314" t="str">
        <f t="shared" si="376"/>
        <v/>
      </c>
      <c r="BZ216" s="314" t="e">
        <f>IF($J216="",#N/A,SUM(BY$4:BY216))</f>
        <v>#N/A</v>
      </c>
      <c r="CA216" s="315" t="str">
        <f t="shared" si="377"/>
        <v/>
      </c>
      <c r="CB216" s="315" t="e">
        <f>IF($J216="",#N/A,SUM(CA$4:CA216))</f>
        <v>#N/A</v>
      </c>
      <c r="CC216" s="315" t="e">
        <f>IF($J216="",#N/A,SUM(CA$4:CA216,BY$4:BY216,BW$4:BW216))</f>
        <v>#N/A</v>
      </c>
      <c r="CD216" s="304" t="str">
        <f t="shared" si="378"/>
        <v/>
      </c>
      <c r="CE216" s="313" t="e">
        <f>IF($J216="",#N/A,SUM(CD$4:CD216))</f>
        <v>#N/A</v>
      </c>
      <c r="CF216" s="314" t="str">
        <f t="shared" si="379"/>
        <v/>
      </c>
      <c r="CG216" s="314" t="e">
        <f>IF($J216="",#N/A,SUM(CF$4:CF216))</f>
        <v>#N/A</v>
      </c>
      <c r="CH216" s="315" t="str">
        <f t="shared" si="380"/>
        <v/>
      </c>
      <c r="CI216" s="315" t="e">
        <f>IF($J216="",#N/A,SUM(CH$4:CH216))</f>
        <v>#N/A</v>
      </c>
      <c r="CJ216" s="315" t="e">
        <f>IF($J216="",#N/A,SUM(CH$4:CH216,CF$4:CF216,CD$4:CD216))</f>
        <v>#N/A</v>
      </c>
      <c r="CK216" s="304" t="str">
        <f t="shared" si="381"/>
        <v/>
      </c>
      <c r="CL216" s="313" t="e">
        <f>IF($J216="",#N/A,SUM(CK$4:CK216))</f>
        <v>#N/A</v>
      </c>
      <c r="CM216" s="314" t="str">
        <f t="shared" si="382"/>
        <v/>
      </c>
      <c r="CN216" s="314" t="e">
        <f>IF($J216="",#N/A,SUM(CM$4:CM216))</f>
        <v>#N/A</v>
      </c>
      <c r="CO216" s="315" t="str">
        <f t="shared" si="383"/>
        <v/>
      </c>
      <c r="CP216" s="315" t="e">
        <f>IF($J216="",#N/A,SUM(CO$4:CO216))</f>
        <v>#N/A</v>
      </c>
      <c r="CQ216" s="315" t="e">
        <f>IF($J216="",#N/A,SUM(CO$4:CO216,CM$4:CM216,CK$4:CK216))</f>
        <v>#N/A</v>
      </c>
      <c r="CR216" s="304" t="str">
        <f t="shared" si="384"/>
        <v/>
      </c>
      <c r="CS216" s="313" t="e">
        <f>IF($J216="",#N/A,SUM(CR$4:CR216))</f>
        <v>#N/A</v>
      </c>
      <c r="CT216" s="314" t="str">
        <f t="shared" si="385"/>
        <v/>
      </c>
      <c r="CU216" s="314" t="e">
        <f>IF($J216="",#N/A,SUM(CT$4:CT216))</f>
        <v>#N/A</v>
      </c>
      <c r="CV216" s="315" t="str">
        <f t="shared" si="386"/>
        <v/>
      </c>
      <c r="CW216" s="315" t="e">
        <f>IF($J216="",#N/A,SUM(CV$4:CV216))</f>
        <v>#N/A</v>
      </c>
      <c r="CX216" s="315" t="e">
        <f>IF($J216="",#N/A,SUM(CV$4:CV216,CT$4:CT216,CR$4:CR216))</f>
        <v>#N/A</v>
      </c>
      <c r="CY216" s="304" t="str">
        <f t="shared" si="387"/>
        <v/>
      </c>
      <c r="CZ216" s="313" t="e">
        <f>IF($J216="",#N/A,SUM(CY$4:CY216))</f>
        <v>#N/A</v>
      </c>
      <c r="DA216" s="314" t="str">
        <f t="shared" si="388"/>
        <v/>
      </c>
      <c r="DB216" s="314" t="e">
        <f>IF($J216="",#N/A,SUM(DA$4:DA216))</f>
        <v>#N/A</v>
      </c>
      <c r="DC216" s="315" t="str">
        <f t="shared" si="389"/>
        <v/>
      </c>
      <c r="DD216" s="315" t="e">
        <f>IF($J216="",#N/A,SUM(DC$4:DC216))</f>
        <v>#N/A</v>
      </c>
      <c r="DE216" s="315" t="e">
        <f>IF($J216="",#N/A,SUM(DC$4:DC216,DA$4:DA216,CY$4:CY216))</f>
        <v>#N/A</v>
      </c>
      <c r="DF216" s="304" t="str">
        <f t="shared" si="390"/>
        <v/>
      </c>
      <c r="DG216" s="313" t="e">
        <f>IF($J216="",#N/A,SUM(DF$4:DF216))</f>
        <v>#N/A</v>
      </c>
      <c r="DH216" s="314" t="str">
        <f t="shared" si="391"/>
        <v/>
      </c>
      <c r="DI216" s="314" t="e">
        <f>IF($J216="",#N/A,SUM(DH$4:DH216))</f>
        <v>#N/A</v>
      </c>
      <c r="DJ216" s="315" t="str">
        <f t="shared" si="392"/>
        <v/>
      </c>
      <c r="DK216" s="315" t="e">
        <f>IF($J216="",#N/A,SUM(DJ$4:DJ216))</f>
        <v>#N/A</v>
      </c>
      <c r="DL216" s="315" t="e">
        <f>IF($J216="",#N/A,SUM(DJ$4:DJ216,DH$4:DH216,DF$4:DF216))</f>
        <v>#N/A</v>
      </c>
      <c r="DM216" s="304" t="str">
        <f t="shared" si="393"/>
        <v/>
      </c>
      <c r="DN216" s="313" t="e">
        <f>IF($J216="",#N/A,SUM(DM$4:DM216))</f>
        <v>#N/A</v>
      </c>
      <c r="DO216" s="314" t="str">
        <f t="shared" si="394"/>
        <v/>
      </c>
      <c r="DP216" s="314" t="e">
        <f>IF($J216="",#N/A,SUM(DO$4:DO216))</f>
        <v>#N/A</v>
      </c>
      <c r="DQ216" s="315" t="str">
        <f t="shared" si="395"/>
        <v/>
      </c>
      <c r="DR216" s="315" t="e">
        <f>IF($J216="",#N/A,SUM(DQ$4:DQ216))</f>
        <v>#N/A</v>
      </c>
      <c r="DS216" s="315" t="e">
        <f>IF($J216="",#N/A,SUM(DQ$4:DQ216,DO$4:DO216,DM$4:DM216))</f>
        <v>#N/A</v>
      </c>
      <c r="DT216" s="304" t="str">
        <f t="shared" si="396"/>
        <v/>
      </c>
      <c r="DU216" s="313" t="e">
        <f>IF($J216="",#N/A,SUM(DT$4:DT216))</f>
        <v>#N/A</v>
      </c>
      <c r="DV216" s="314" t="str">
        <f t="shared" si="397"/>
        <v/>
      </c>
      <c r="DW216" s="314" t="e">
        <f>IF($J216="",#N/A,SUM(DV$4:DV216))</f>
        <v>#N/A</v>
      </c>
      <c r="DX216" s="315" t="str">
        <f t="shared" si="398"/>
        <v/>
      </c>
      <c r="DY216" s="315" t="e">
        <f>IF($J216="",#N/A,SUM(DX$4:DX216))</f>
        <v>#N/A</v>
      </c>
      <c r="DZ216" s="315" t="e">
        <f>IF($J216="",#N/A,SUM(DX$4:DX216,DV$4:DV216,DT$4:DT216))</f>
        <v>#N/A</v>
      </c>
      <c r="EA216" s="304" t="str">
        <f t="shared" si="399"/>
        <v/>
      </c>
      <c r="EB216" s="313" t="e">
        <f>IF($J216="",#N/A,SUM(EA$4:EA216))</f>
        <v>#N/A</v>
      </c>
      <c r="EC216" s="314" t="str">
        <f t="shared" si="400"/>
        <v/>
      </c>
      <c r="ED216" s="314" t="e">
        <f>IF($J216="",#N/A,SUM(EC$4:EC216))</f>
        <v>#N/A</v>
      </c>
      <c r="EE216" s="315" t="str">
        <f t="shared" si="401"/>
        <v/>
      </c>
      <c r="EF216" s="315" t="e">
        <f>IF($J216="",#N/A,SUM(EE$4:EE216))</f>
        <v>#N/A</v>
      </c>
      <c r="EG216" s="315" t="e">
        <f>IF($J216="",#N/A,SUM(EE$4:EE216,EC$4:EC216,EA$4:EA216))</f>
        <v>#N/A</v>
      </c>
      <c r="EH216" s="130">
        <f t="shared" si="402"/>
        <v>18.799999999999955</v>
      </c>
      <c r="EI216" s="63">
        <f>IF(EH216="",#N/A,SUM($EH$4:EH216))</f>
        <v>871.93790099011426</v>
      </c>
      <c r="EJ216" s="223" t="e">
        <f t="shared" si="403"/>
        <v>#N/A</v>
      </c>
      <c r="EK216" s="63" t="e">
        <f>IF($GZ216="",#N/A,SUM(EJ$4:EJ216))</f>
        <v>#N/A</v>
      </c>
      <c r="EL216" s="60">
        <f t="shared" si="435"/>
        <v>0.83533280014218236</v>
      </c>
      <c r="EM216" s="60">
        <f>IF(EL216="",NA(),SUM($EL$4:EL216))</f>
        <v>26.024300702488226</v>
      </c>
      <c r="EN216" s="60" t="str">
        <f t="shared" si="404"/>
        <v/>
      </c>
      <c r="EO216" s="60" t="e">
        <f>IF(EN216="",NA(),SUM($EN$4:EN216))</f>
        <v>#N/A</v>
      </c>
      <c r="EP216" s="60" t="str">
        <f t="shared" si="405"/>
        <v/>
      </c>
      <c r="EQ216" s="60" t="e">
        <f>IF(EP216="",NA(),SUM($EP$4:EP216))</f>
        <v>#N/A</v>
      </c>
      <c r="ER216" s="60">
        <f t="shared" si="406"/>
        <v>0.83533280014218236</v>
      </c>
      <c r="ES216" s="60">
        <f>IF(ER216="",NA(),SUM($ER$4:ER216))</f>
        <v>11.184044338943957</v>
      </c>
      <c r="ET216" s="60" t="str">
        <f t="shared" si="407"/>
        <v/>
      </c>
      <c r="EU216" s="60" t="e">
        <f>IF(ET216="",NA(),SUM($ET$4:ET216))</f>
        <v>#N/A</v>
      </c>
      <c r="EV216" s="60" t="str">
        <f t="shared" si="408"/>
        <v/>
      </c>
      <c r="EW216" s="60" t="e">
        <f>IF(EV216="",NA(),SUM($EV$4:EV216))</f>
        <v>#N/A</v>
      </c>
      <c r="EX216" s="60" t="str">
        <f t="shared" si="409"/>
        <v/>
      </c>
      <c r="EY216" s="60" t="e">
        <f>IF(EX216="",NA(),SUM($EX$4:EX216))</f>
        <v>#N/A</v>
      </c>
      <c r="EZ216" s="60" t="str">
        <f t="shared" si="410"/>
        <v/>
      </c>
      <c r="FA216" s="60" t="e">
        <f>IF(EZ216="",NA(),SUM($EZ$4:EZ216))</f>
        <v>#N/A</v>
      </c>
      <c r="FB216" s="246">
        <f t="shared" si="436"/>
        <v>0.3088065404780943</v>
      </c>
      <c r="FC216" s="246">
        <f>IF($FB216="",#N/A,SUM(FB$4:$FB216))</f>
        <v>1.3816993585756161</v>
      </c>
      <c r="FD216" s="60" t="str">
        <f t="shared" si="411"/>
        <v/>
      </c>
      <c r="FE216" s="60" t="e">
        <f>IF($FD216="",#N/A,SUM($FD$4:FD216))</f>
        <v>#N/A</v>
      </c>
      <c r="FF216" s="60" t="str">
        <f t="shared" si="412"/>
        <v/>
      </c>
      <c r="FG216" s="60" t="e">
        <f>IF($FF216="",#N/A,SUM($FF$4:FF216))</f>
        <v>#N/A</v>
      </c>
      <c r="FH216" s="60" t="str">
        <f t="shared" si="413"/>
        <v/>
      </c>
      <c r="FI216" s="60" t="e">
        <f>IF($FH216="",#N/A,SUM($FH$4:FH216))</f>
        <v>#N/A</v>
      </c>
      <c r="FJ216" s="60" t="str">
        <f t="shared" si="414"/>
        <v/>
      </c>
      <c r="FK216" s="60" t="e">
        <f>IF($FJ216="",#N/A,SUM($FJ$4:FJ216))</f>
        <v>#N/A</v>
      </c>
      <c r="FL216" s="60" t="str">
        <f t="shared" si="415"/>
        <v/>
      </c>
      <c r="FM216" s="60" t="e">
        <f>IF($FL216="",#N/A,SUM($FL$4:FL216))</f>
        <v>#N/A</v>
      </c>
      <c r="FN216" s="82">
        <f t="shared" si="416"/>
        <v>1.1441393406202767</v>
      </c>
      <c r="FO216" s="82">
        <f>IF($FN216="",#N/A,SUM(FN$4:$FN216))</f>
        <v>36.953544315185056</v>
      </c>
      <c r="FP216" s="82">
        <f t="shared" si="437"/>
        <v>0.83533280014218236</v>
      </c>
      <c r="FQ216" s="246">
        <f>IF($EH216="",#N/A,SUM($FP$4:FP216))</f>
        <v>34.721937038636</v>
      </c>
      <c r="FR216" s="82">
        <f>IFERROR(FQ216/COUNTA($J$4:J216),#N/A)</f>
        <v>0.16301378891378404</v>
      </c>
      <c r="FS216" s="82">
        <f t="shared" si="443"/>
        <v>0.20298014945289933</v>
      </c>
      <c r="FT216" s="82">
        <f t="shared" si="417"/>
        <v>0.30501587461606094</v>
      </c>
      <c r="FU216" s="337">
        <f t="shared" si="442"/>
        <v>17.106173946651104</v>
      </c>
      <c r="FV216" s="57" t="str">
        <f t="shared" si="418"/>
        <v>Dwn</v>
      </c>
      <c r="FW216" s="57" t="s">
        <v>2733</v>
      </c>
      <c r="FX216" s="57" t="str">
        <f t="shared" si="419"/>
        <v/>
      </c>
      <c r="FY216" s="57" t="str">
        <f t="shared" si="420"/>
        <v/>
      </c>
      <c r="FZ216" s="57" t="str">
        <f t="shared" si="421"/>
        <v/>
      </c>
      <c r="GA216" s="57" t="str">
        <f t="shared" si="422"/>
        <v>Short</v>
      </c>
      <c r="GB216" s="57">
        <f t="shared" si="423"/>
        <v>1</v>
      </c>
      <c r="GC216" s="57" t="str">
        <f t="shared" si="424"/>
        <v/>
      </c>
      <c r="GD216" s="57" t="str">
        <f t="shared" si="425"/>
        <v/>
      </c>
      <c r="GE216" s="62">
        <f t="shared" si="339"/>
        <v>75.02</v>
      </c>
      <c r="GF216" s="62" t="s">
        <v>2780</v>
      </c>
      <c r="GG216" s="199">
        <v>5</v>
      </c>
      <c r="GH216" s="207">
        <f t="shared" si="426"/>
        <v>375.09999999999997</v>
      </c>
      <c r="GI216" s="199">
        <f t="shared" si="337"/>
        <v>5</v>
      </c>
      <c r="GJ216" s="200">
        <v>71.41</v>
      </c>
      <c r="GK216" s="63">
        <f t="shared" si="427"/>
        <v>18.050000000000011</v>
      </c>
      <c r="GL216" s="63">
        <f t="shared" si="340"/>
        <v>25.749999999999943</v>
      </c>
      <c r="GM216" s="82" t="str">
        <f t="shared" si="428"/>
        <v/>
      </c>
      <c r="GN216" s="82">
        <f>IF($GZ216="",#N/A,SUM(GM$4:GM216))</f>
        <v>3.5963690238970907</v>
      </c>
      <c r="GO216" s="82" t="str">
        <f t="shared" si="429"/>
        <v/>
      </c>
      <c r="GP216" s="82">
        <f>IF($GZ216="",#N/A,SUM(GO$4:GO216))</f>
        <v>11.174784260249723</v>
      </c>
      <c r="GQ216" s="82">
        <f t="shared" si="430"/>
        <v>1.1441393406202767</v>
      </c>
      <c r="GR216" s="82">
        <f>IF($GZ216="",#N/A,SUM(GQ$4:GQ216))</f>
        <v>21.556554076595891</v>
      </c>
      <c r="GS216" s="63" t="str">
        <f t="shared" si="438"/>
        <v/>
      </c>
      <c r="GT216" s="63" t="e">
        <f>IF($GZ216="",#N/A,SUM(GS$4:GS216))</f>
        <v>#N/A</v>
      </c>
      <c r="GU216" s="63" t="str">
        <f t="shared" si="439"/>
        <v/>
      </c>
      <c r="GV216" s="63" t="e">
        <f>IF($GZ216="",#N/A,SUM(GU$4:GU216))</f>
        <v>#N/A</v>
      </c>
      <c r="GW216" s="63" t="e">
        <f t="shared" si="440"/>
        <v>#N/A</v>
      </c>
      <c r="GX216" s="63" t="e">
        <f>IF($GZ216="",#N/A,SUM(GW$4:GW216))</f>
        <v>#N/A</v>
      </c>
      <c r="GY216" s="63" t="e">
        <f>IF(EJ216="",#N/A,SUM($EJ$4:EJ216))</f>
        <v>#N/A</v>
      </c>
      <c r="GZ216" s="159">
        <v>69.87</v>
      </c>
      <c r="HA216" s="63">
        <f t="shared" si="431"/>
        <v>6.9499999999999886</v>
      </c>
      <c r="HB216" s="62" t="s">
        <v>2538</v>
      </c>
      <c r="HC216" s="60">
        <f>IFERROR(VLOOKUP(E216,Expectancy!$P$4:$S$19,1+C216,FALSE),"")</f>
        <v>0.30769020202715358</v>
      </c>
      <c r="HD216" s="82">
        <f t="shared" si="432"/>
        <v>0.80200835332800202</v>
      </c>
      <c r="HE216" s="82">
        <f>IF(HD216="",#N/A,SUM($HD$4:HD216))</f>
        <v>3.0857630919848971</v>
      </c>
      <c r="HF216" s="85">
        <f>IF(HD216="",#N/A,IF(HB216="Skip",#N/A,SUM($HG$4:HG216)))</f>
        <v>106.87156919911456</v>
      </c>
      <c r="HG216" s="63">
        <f t="shared" si="433"/>
        <v>18.050000000000011</v>
      </c>
      <c r="HH216" s="82">
        <f t="shared" si="434"/>
        <v>1.1441393406202767</v>
      </c>
    </row>
    <row r="217" spans="1:216" x14ac:dyDescent="0.25">
      <c r="A217" s="57" t="s">
        <v>1587</v>
      </c>
      <c r="B217" s="58" t="s">
        <v>5212</v>
      </c>
      <c r="C217" s="386">
        <f t="shared" si="343"/>
        <v>3</v>
      </c>
      <c r="D217" s="372" t="str">
        <f>_xlfn.XLOOKUP(A217,[1]SP500!$A$2:$A$502,[1]SP500!$D$2:$D$502,"N")</f>
        <v>Y</v>
      </c>
      <c r="E217" s="57" t="str">
        <f>_xlfn.XLOOKUP(A217,[1]SP500!$A$2:$A$655,[1]SP500!$B$2:$B$655)</f>
        <v>XLI</v>
      </c>
      <c r="F217" s="59">
        <v>45693</v>
      </c>
      <c r="G217" s="57" t="str">
        <f t="shared" si="344"/>
        <v>BMO</v>
      </c>
      <c r="H217" s="57" t="str">
        <f t="shared" si="345"/>
        <v>o</v>
      </c>
      <c r="I217" s="159">
        <v>71.739999999999995</v>
      </c>
      <c r="J217" s="159">
        <v>67.03</v>
      </c>
      <c r="K217" s="61">
        <f t="shared" si="346"/>
        <v>-6.5653749651519294E-2</v>
      </c>
      <c r="L217" s="87">
        <f t="shared" si="347"/>
        <v>28.259999999999934</v>
      </c>
      <c r="M217" s="130">
        <f t="shared" si="338"/>
        <v>0</v>
      </c>
      <c r="N217" s="169" t="str">
        <f t="shared" si="348"/>
        <v/>
      </c>
      <c r="O217" s="169">
        <f>IF($J217="",#N/A,SUM($N$4:N217))</f>
        <v>283.78492601211707</v>
      </c>
      <c r="P217" s="174" t="str">
        <f t="shared" si="349"/>
        <v/>
      </c>
      <c r="Q217" s="174">
        <f>IF($J217="",#N/A,SUM($P$4:P217))</f>
        <v>451.1777640160368</v>
      </c>
      <c r="R217" s="178">
        <f t="shared" si="350"/>
        <v>-28.259999999999934</v>
      </c>
      <c r="S217" s="178">
        <f>IF($J217="",#N/A,SUM($R$4:R217))</f>
        <v>108.71521096196039</v>
      </c>
      <c r="T217" s="290" t="str">
        <f t="shared" si="351"/>
        <v/>
      </c>
      <c r="U217" s="290">
        <f>IF($J217="",#N/A,SUM($T$4:T217))</f>
        <v>10.242121677474179</v>
      </c>
      <c r="V217" s="291" t="str">
        <f t="shared" si="352"/>
        <v/>
      </c>
      <c r="W217" s="291">
        <f>IF($J217="",#N/A,SUM($V$4:V217))</f>
        <v>18.852730770518189</v>
      </c>
      <c r="X217" s="292">
        <f t="shared" si="353"/>
        <v>-1.0942291608586538</v>
      </c>
      <c r="Y217" s="292">
        <f>IF($J217="",#N/A,SUM($X$4:X217))</f>
        <v>4.532855429784969</v>
      </c>
      <c r="Z217" s="304" t="str">
        <f t="shared" si="354"/>
        <v/>
      </c>
      <c r="AA217" s="313" t="e">
        <f>IF($J217="",#N/A,SUM(Z$4:Z217))</f>
        <v>#N/A</v>
      </c>
      <c r="AB217" s="314" t="str">
        <f t="shared" si="355"/>
        <v/>
      </c>
      <c r="AC217" s="314" t="e">
        <f>IF($J217="",#N/A,SUM(AB$4:AB217))</f>
        <v>#N/A</v>
      </c>
      <c r="AD217" s="315" t="str">
        <f t="shared" si="356"/>
        <v/>
      </c>
      <c r="AE217" s="315" t="e">
        <f>IF($J217="",#N/A,SUM(AD$4:AD217))</f>
        <v>#N/A</v>
      </c>
      <c r="AF217" s="315" t="e">
        <f>IF($J217="",#N/A,SUM(AD$4:AD217,AB$4:AB217,Z$4:Z217))</f>
        <v>#N/A</v>
      </c>
      <c r="AG217" s="304" t="str">
        <f t="shared" si="357"/>
        <v/>
      </c>
      <c r="AH217" s="313" t="e">
        <f>IF($J217="",#N/A,SUM(AG$4:AG217))</f>
        <v>#N/A</v>
      </c>
      <c r="AI217" s="314" t="str">
        <f t="shared" si="358"/>
        <v/>
      </c>
      <c r="AJ217" s="314" t="e">
        <f>IF($J217="",#N/A,SUM(AI$4:AI217))</f>
        <v>#N/A</v>
      </c>
      <c r="AK217" s="315" t="str">
        <f t="shared" si="359"/>
        <v/>
      </c>
      <c r="AL217" s="315" t="e">
        <f>IF($J217="",#N/A,SUM(AK$4:AK217))</f>
        <v>#N/A</v>
      </c>
      <c r="AM217" s="315" t="e">
        <f>IF($J217="",#N/A,SUM(AK$4:AK217,AI$4:AI217,AG$4:AG217))</f>
        <v>#N/A</v>
      </c>
      <c r="AN217" s="304" t="str">
        <f t="shared" si="360"/>
        <v/>
      </c>
      <c r="AO217" s="313" t="e">
        <f>IF($J217="",#N/A,SUM(AN$4:AN217))</f>
        <v>#N/A</v>
      </c>
      <c r="AP217" s="314" t="str">
        <f t="shared" si="361"/>
        <v/>
      </c>
      <c r="AQ217" s="314" t="e">
        <f>IF($J217="",#N/A,SUM(AP$4:AP217))</f>
        <v>#N/A</v>
      </c>
      <c r="AR217" s="315" t="str">
        <f t="shared" si="362"/>
        <v/>
      </c>
      <c r="AS217" s="315" t="e">
        <f>IF($J217="",#N/A,SUM(AR$4:AR217))</f>
        <v>#N/A</v>
      </c>
      <c r="AT217" s="315" t="e">
        <f>IF($J217="",#N/A,SUM(AR$4:AR217,AP$4:AP217,AN$4:AN217))</f>
        <v>#N/A</v>
      </c>
      <c r="AU217" s="304" t="str">
        <f t="shared" si="363"/>
        <v/>
      </c>
      <c r="AV217" s="313" t="e">
        <f>IF($J217="",#N/A,SUM(AU$4:AU217))</f>
        <v>#N/A</v>
      </c>
      <c r="AW217" s="314" t="str">
        <f t="shared" si="364"/>
        <v/>
      </c>
      <c r="AX217" s="314" t="e">
        <f>IF($J217="",#N/A,SUM(AW$4:AW217))</f>
        <v>#N/A</v>
      </c>
      <c r="AY217" s="315" t="str">
        <f t="shared" si="365"/>
        <v/>
      </c>
      <c r="AZ217" s="315" t="e">
        <f>IF($J217="",#N/A,SUM(AY$4:AY217))</f>
        <v>#N/A</v>
      </c>
      <c r="BA217" s="315" t="e">
        <f>IF($J217="",#N/A,SUM(AY$4:AY217,AW$4:AW217,AU$4:AU217))</f>
        <v>#N/A</v>
      </c>
      <c r="BB217" s="304" t="str">
        <f t="shared" si="366"/>
        <v/>
      </c>
      <c r="BC217" s="313" t="e">
        <f>IF($J217="",#N/A,SUM(BB$4:BB217))</f>
        <v>#N/A</v>
      </c>
      <c r="BD217" s="314" t="str">
        <f t="shared" si="367"/>
        <v/>
      </c>
      <c r="BE217" s="314" t="e">
        <f>IF($J217="",#N/A,SUM(BD$4:BD217))</f>
        <v>#N/A</v>
      </c>
      <c r="BF217" s="315" t="str">
        <f t="shared" si="368"/>
        <v/>
      </c>
      <c r="BG217" s="315" t="e">
        <f>IF($J217="",#N/A,SUM(BF$4:BF217))</f>
        <v>#N/A</v>
      </c>
      <c r="BH217" s="315" t="e">
        <f>IF($J217="",#N/A,SUM(BF$4:BF217,BD$4:BD217,BB$4:BB217))</f>
        <v>#N/A</v>
      </c>
      <c r="BI217" s="304" t="str">
        <f t="shared" si="369"/>
        <v/>
      </c>
      <c r="BJ217" s="313" t="e">
        <f>IF($J217="",#N/A,SUM(BI$4:BI217))</f>
        <v>#N/A</v>
      </c>
      <c r="BK217" s="314" t="str">
        <f t="shared" si="370"/>
        <v/>
      </c>
      <c r="BL217" s="314" t="e">
        <f>IF($J217="",#N/A,SUM(BK$4:BK217))</f>
        <v>#N/A</v>
      </c>
      <c r="BM217" s="315" t="str">
        <f t="shared" si="371"/>
        <v/>
      </c>
      <c r="BN217" s="315" t="e">
        <f>IF($J217="",#N/A,SUM(BM$4:BM217))</f>
        <v>#N/A</v>
      </c>
      <c r="BO217" s="315" t="e">
        <f>IF($J217="",#N/A,SUM(BM$4:BM217,BK$4:BK217,BI$4:BI217))</f>
        <v>#N/A</v>
      </c>
      <c r="BP217" s="304" t="str">
        <f t="shared" si="372"/>
        <v/>
      </c>
      <c r="BQ217" s="313" t="e">
        <f>IF($J217="",#N/A,SUM(BP$4:BP217))</f>
        <v>#N/A</v>
      </c>
      <c r="BR217" s="314" t="str">
        <f t="shared" si="373"/>
        <v/>
      </c>
      <c r="BS217" s="314" t="e">
        <f>IF($J217="",#N/A,SUM(BR$4:BR217))</f>
        <v>#N/A</v>
      </c>
      <c r="BT217" s="315">
        <f t="shared" si="374"/>
        <v>-1.0942291608586538</v>
      </c>
      <c r="BU217" s="315" t="e">
        <f>IF($J217="",#N/A,SUM(BT$4:BT217))</f>
        <v>#N/A</v>
      </c>
      <c r="BV217" s="315" t="e">
        <f>IF($J217="",#N/A,SUM(BT$4:BT217,BR$4:BR217,BP$4:BP217))</f>
        <v>#N/A</v>
      </c>
      <c r="BW217" s="304" t="str">
        <f t="shared" si="375"/>
        <v/>
      </c>
      <c r="BX217" s="313" t="e">
        <f>IF($J217="",#N/A,SUM(BW$4:BW217))</f>
        <v>#N/A</v>
      </c>
      <c r="BY217" s="314" t="str">
        <f t="shared" si="376"/>
        <v/>
      </c>
      <c r="BZ217" s="314" t="e">
        <f>IF($J217="",#N/A,SUM(BY$4:BY217))</f>
        <v>#N/A</v>
      </c>
      <c r="CA217" s="315" t="str">
        <f t="shared" si="377"/>
        <v/>
      </c>
      <c r="CB217" s="315" t="e">
        <f>IF($J217="",#N/A,SUM(CA$4:CA217))</f>
        <v>#N/A</v>
      </c>
      <c r="CC217" s="315" t="e">
        <f>IF($J217="",#N/A,SUM(CA$4:CA217,BY$4:BY217,BW$4:BW217))</f>
        <v>#N/A</v>
      </c>
      <c r="CD217" s="304" t="str">
        <f t="shared" si="378"/>
        <v/>
      </c>
      <c r="CE217" s="313" t="e">
        <f>IF($J217="",#N/A,SUM(CD$4:CD217))</f>
        <v>#N/A</v>
      </c>
      <c r="CF217" s="314" t="str">
        <f t="shared" si="379"/>
        <v/>
      </c>
      <c r="CG217" s="314" t="e">
        <f>IF($J217="",#N/A,SUM(CF$4:CF217))</f>
        <v>#N/A</v>
      </c>
      <c r="CH217" s="315" t="str">
        <f t="shared" si="380"/>
        <v/>
      </c>
      <c r="CI217" s="315" t="e">
        <f>IF($J217="",#N/A,SUM(CH$4:CH217))</f>
        <v>#N/A</v>
      </c>
      <c r="CJ217" s="315" t="e">
        <f>IF($J217="",#N/A,SUM(CH$4:CH217,CF$4:CF217,CD$4:CD217))</f>
        <v>#N/A</v>
      </c>
      <c r="CK217" s="304" t="str">
        <f t="shared" si="381"/>
        <v/>
      </c>
      <c r="CL217" s="313" t="e">
        <f>IF($J217="",#N/A,SUM(CK$4:CK217))</f>
        <v>#N/A</v>
      </c>
      <c r="CM217" s="314" t="str">
        <f t="shared" si="382"/>
        <v/>
      </c>
      <c r="CN217" s="314" t="e">
        <f>IF($J217="",#N/A,SUM(CM$4:CM217))</f>
        <v>#N/A</v>
      </c>
      <c r="CO217" s="315" t="str">
        <f t="shared" si="383"/>
        <v/>
      </c>
      <c r="CP217" s="315" t="e">
        <f>IF($J217="",#N/A,SUM(CO$4:CO217))</f>
        <v>#N/A</v>
      </c>
      <c r="CQ217" s="315" t="e">
        <f>IF($J217="",#N/A,SUM(CO$4:CO217,CM$4:CM217,CK$4:CK217))</f>
        <v>#N/A</v>
      </c>
      <c r="CR217" s="304" t="str">
        <f t="shared" si="384"/>
        <v/>
      </c>
      <c r="CS217" s="313" t="e">
        <f>IF($J217="",#N/A,SUM(CR$4:CR217))</f>
        <v>#N/A</v>
      </c>
      <c r="CT217" s="314" t="str">
        <f t="shared" si="385"/>
        <v/>
      </c>
      <c r="CU217" s="314" t="e">
        <f>IF($J217="",#N/A,SUM(CT$4:CT217))</f>
        <v>#N/A</v>
      </c>
      <c r="CV217" s="315" t="str">
        <f t="shared" si="386"/>
        <v/>
      </c>
      <c r="CW217" s="315" t="e">
        <f>IF($J217="",#N/A,SUM(CV$4:CV217))</f>
        <v>#N/A</v>
      </c>
      <c r="CX217" s="315" t="e">
        <f>IF($J217="",#N/A,SUM(CV$4:CV217,CT$4:CT217,CR$4:CR217))</f>
        <v>#N/A</v>
      </c>
      <c r="CY217" s="304" t="str">
        <f t="shared" si="387"/>
        <v/>
      </c>
      <c r="CZ217" s="313" t="e">
        <f>IF($J217="",#N/A,SUM(CY$4:CY217))</f>
        <v>#N/A</v>
      </c>
      <c r="DA217" s="314" t="str">
        <f t="shared" si="388"/>
        <v/>
      </c>
      <c r="DB217" s="314" t="e">
        <f>IF($J217="",#N/A,SUM(DA$4:DA217))</f>
        <v>#N/A</v>
      </c>
      <c r="DC217" s="315" t="str">
        <f t="shared" si="389"/>
        <v/>
      </c>
      <c r="DD217" s="315" t="e">
        <f>IF($J217="",#N/A,SUM(DC$4:DC217))</f>
        <v>#N/A</v>
      </c>
      <c r="DE217" s="315" t="e">
        <f>IF($J217="",#N/A,SUM(DC$4:DC217,DA$4:DA217,CY$4:CY217))</f>
        <v>#N/A</v>
      </c>
      <c r="DF217" s="304" t="str">
        <f t="shared" si="390"/>
        <v/>
      </c>
      <c r="DG217" s="313" t="e">
        <f>IF($J217="",#N/A,SUM(DF$4:DF217))</f>
        <v>#N/A</v>
      </c>
      <c r="DH217" s="314" t="str">
        <f t="shared" si="391"/>
        <v/>
      </c>
      <c r="DI217" s="314" t="e">
        <f>IF($J217="",#N/A,SUM(DH$4:DH217))</f>
        <v>#N/A</v>
      </c>
      <c r="DJ217" s="315" t="str">
        <f t="shared" si="392"/>
        <v/>
      </c>
      <c r="DK217" s="315" t="e">
        <f>IF($J217="",#N/A,SUM(DJ$4:DJ217))</f>
        <v>#N/A</v>
      </c>
      <c r="DL217" s="315" t="e">
        <f>IF($J217="",#N/A,SUM(DJ$4:DJ217,DH$4:DH217,DF$4:DF217))</f>
        <v>#N/A</v>
      </c>
      <c r="DM217" s="304" t="str">
        <f t="shared" si="393"/>
        <v/>
      </c>
      <c r="DN217" s="313" t="e">
        <f>IF($J217="",#N/A,SUM(DM$4:DM217))</f>
        <v>#N/A</v>
      </c>
      <c r="DO217" s="314" t="str">
        <f t="shared" si="394"/>
        <v/>
      </c>
      <c r="DP217" s="314" t="e">
        <f>IF($J217="",#N/A,SUM(DO$4:DO217))</f>
        <v>#N/A</v>
      </c>
      <c r="DQ217" s="315" t="str">
        <f t="shared" si="395"/>
        <v/>
      </c>
      <c r="DR217" s="315" t="e">
        <f>IF($J217="",#N/A,SUM(DQ$4:DQ217))</f>
        <v>#N/A</v>
      </c>
      <c r="DS217" s="315" t="e">
        <f>IF($J217="",#N/A,SUM(DQ$4:DQ217,DO$4:DO217,DM$4:DM217))</f>
        <v>#N/A</v>
      </c>
      <c r="DT217" s="304" t="str">
        <f t="shared" si="396"/>
        <v/>
      </c>
      <c r="DU217" s="313" t="e">
        <f>IF($J217="",#N/A,SUM(DT$4:DT217))</f>
        <v>#N/A</v>
      </c>
      <c r="DV217" s="314" t="str">
        <f t="shared" si="397"/>
        <v/>
      </c>
      <c r="DW217" s="314" t="e">
        <f>IF($J217="",#N/A,SUM(DV$4:DV217))</f>
        <v>#N/A</v>
      </c>
      <c r="DX217" s="315" t="str">
        <f t="shared" si="398"/>
        <v/>
      </c>
      <c r="DY217" s="315" t="e">
        <f>IF($J217="",#N/A,SUM(DX$4:DX217))</f>
        <v>#N/A</v>
      </c>
      <c r="DZ217" s="315" t="e">
        <f>IF($J217="",#N/A,SUM(DX$4:DX217,DV$4:DV217,DT$4:DT217))</f>
        <v>#N/A</v>
      </c>
      <c r="EA217" s="304" t="str">
        <f t="shared" si="399"/>
        <v/>
      </c>
      <c r="EB217" s="313" t="e">
        <f>IF($J217="",#N/A,SUM(EA$4:EA217))</f>
        <v>#N/A</v>
      </c>
      <c r="EC217" s="314" t="str">
        <f t="shared" si="400"/>
        <v/>
      </c>
      <c r="ED217" s="314" t="e">
        <f>IF($J217="",#N/A,SUM(EC$4:EC217))</f>
        <v>#N/A</v>
      </c>
      <c r="EE217" s="315" t="str">
        <f t="shared" si="401"/>
        <v/>
      </c>
      <c r="EF217" s="315" t="e">
        <f>IF($J217="",#N/A,SUM(EE$4:EE217))</f>
        <v>#N/A</v>
      </c>
      <c r="EG217" s="315" t="e">
        <f>IF($J217="",#N/A,SUM(EE$4:EE217,EC$4:EC217,EA$4:EA217))</f>
        <v>#N/A</v>
      </c>
      <c r="EH217" s="130">
        <f t="shared" si="402"/>
        <v>-28.259999999999934</v>
      </c>
      <c r="EI217" s="63">
        <f>IF(EH217="",#N/A,SUM($EH$4:EH217))</f>
        <v>843.67790099011427</v>
      </c>
      <c r="EJ217" s="223" t="e">
        <f t="shared" si="403"/>
        <v>#N/A</v>
      </c>
      <c r="EK217" s="63" t="e">
        <f>IF($GZ217="",#N/A,SUM(EJ$4:EJ217))</f>
        <v>#N/A</v>
      </c>
      <c r="EL217" s="60">
        <f t="shared" si="435"/>
        <v>-1.0942291608586538</v>
      </c>
      <c r="EM217" s="60">
        <f>IF(EL217="",NA(),SUM($EL$4:EL217))</f>
        <v>24.930071541629573</v>
      </c>
      <c r="EN217" s="60" t="str">
        <f t="shared" si="404"/>
        <v/>
      </c>
      <c r="EO217" s="60" t="e">
        <f>IF(EN217="",NA(),SUM($EN$4:EN217))</f>
        <v>#N/A</v>
      </c>
      <c r="EP217" s="60">
        <f t="shared" si="405"/>
        <v>-1.0942291608586538</v>
      </c>
      <c r="EQ217" s="60">
        <f>IF(EP217="",NA(),SUM($EP$4:EP217))</f>
        <v>5.4606123498621626</v>
      </c>
      <c r="ER217" s="60" t="str">
        <f t="shared" si="406"/>
        <v/>
      </c>
      <c r="ES217" s="60" t="e">
        <f>IF(ER217="",NA(),SUM($ER$4:ER217))</f>
        <v>#N/A</v>
      </c>
      <c r="ET217" s="60" t="str">
        <f t="shared" si="407"/>
        <v/>
      </c>
      <c r="EU217" s="60" t="e">
        <f>IF(ET217="",NA(),SUM($ET$4:ET217))</f>
        <v>#N/A</v>
      </c>
      <c r="EV217" s="60" t="str">
        <f t="shared" si="408"/>
        <v/>
      </c>
      <c r="EW217" s="60" t="e">
        <f>IF(EV217="",NA(),SUM($EV$4:EV217))</f>
        <v>#N/A</v>
      </c>
      <c r="EX217" s="60" t="str">
        <f t="shared" si="409"/>
        <v/>
      </c>
      <c r="EY217" s="60" t="e">
        <f>IF(EX217="",NA(),SUM($EX$4:EX217))</f>
        <v>#N/A</v>
      </c>
      <c r="EZ217" s="60" t="str">
        <f t="shared" si="410"/>
        <v/>
      </c>
      <c r="FA217" s="60" t="e">
        <f>IF(EZ217="",NA(),SUM($EZ$4:EZ217))</f>
        <v>#N/A</v>
      </c>
      <c r="FB217" s="246" t="str">
        <f t="shared" si="436"/>
        <v/>
      </c>
      <c r="FC217" s="246" t="e">
        <f>IF($FB217="",#N/A,SUM(FB$4:$FB217))</f>
        <v>#N/A</v>
      </c>
      <c r="FD217" s="60" t="str">
        <f t="shared" si="411"/>
        <v/>
      </c>
      <c r="FE217" s="60" t="e">
        <f>IF($FD217="",#N/A,SUM($FD$4:FD217))</f>
        <v>#N/A</v>
      </c>
      <c r="FF217" s="60" t="str">
        <f t="shared" si="412"/>
        <v/>
      </c>
      <c r="FG217" s="60" t="e">
        <f>IF($FF217="",#N/A,SUM($FF$4:FF217))</f>
        <v>#N/A</v>
      </c>
      <c r="FH217" s="60" t="str">
        <f t="shared" si="413"/>
        <v/>
      </c>
      <c r="FI217" s="60" t="e">
        <f>IF($FH217="",#N/A,SUM($FH$4:FH217))</f>
        <v>#N/A</v>
      </c>
      <c r="FJ217" s="60" t="str">
        <f t="shared" si="414"/>
        <v/>
      </c>
      <c r="FK217" s="60" t="e">
        <f>IF($FJ217="",#N/A,SUM($FJ$4:FJ217))</f>
        <v>#N/A</v>
      </c>
      <c r="FL217" s="60">
        <f t="shared" si="415"/>
        <v>-0.23929002880773198</v>
      </c>
      <c r="FM217" s="60">
        <f>IF($FL217="",#N/A,SUM($FL$4:FL217))</f>
        <v>1.8876464743748154</v>
      </c>
      <c r="FN217" s="82">
        <f t="shared" si="416"/>
        <v>-1.3335191896663858</v>
      </c>
      <c r="FO217" s="82">
        <f>IF($FN217="",#N/A,SUM(FN$4:$FN217))</f>
        <v>35.620025125518673</v>
      </c>
      <c r="FP217" s="82">
        <f t="shared" si="437"/>
        <v>-1.0942291608586538</v>
      </c>
      <c r="FQ217" s="246">
        <f>IF($EH217="",#N/A,SUM($FP$4:FP217))</f>
        <v>33.627707877777347</v>
      </c>
      <c r="FR217" s="82">
        <f>IFERROR(FQ217/COUNTA($J$4:J217),#N/A)</f>
        <v>0.15713882185877265</v>
      </c>
      <c r="FS217" s="82">
        <f t="shared" si="443"/>
        <v>0.20830750606688922</v>
      </c>
      <c r="FT217" s="82">
        <f t="shared" si="417"/>
        <v>0.29258450494110849</v>
      </c>
      <c r="FU217" s="337">
        <f t="shared" si="442"/>
        <v>14.917715624933797</v>
      </c>
      <c r="FV217" s="57" t="str">
        <f t="shared" si="418"/>
        <v>SW</v>
      </c>
      <c r="FW217" s="57" t="s">
        <v>2732</v>
      </c>
      <c r="FX217" s="57" t="str">
        <f t="shared" si="419"/>
        <v/>
      </c>
      <c r="FY217" s="57" t="str">
        <f t="shared" si="420"/>
        <v/>
      </c>
      <c r="FZ217" s="57" t="str">
        <f t="shared" si="421"/>
        <v/>
      </c>
      <c r="GA217" s="57" t="str">
        <f t="shared" si="422"/>
        <v>Long</v>
      </c>
      <c r="GB217" s="57" t="str">
        <f t="shared" si="423"/>
        <v/>
      </c>
      <c r="GC217" s="57" t="str">
        <f t="shared" si="424"/>
        <v/>
      </c>
      <c r="GD217" s="57">
        <f t="shared" si="425"/>
        <v>1</v>
      </c>
      <c r="GE217" s="62">
        <f t="shared" si="339"/>
        <v>71.739999999999995</v>
      </c>
      <c r="GF217" s="62" t="s">
        <v>2780</v>
      </c>
      <c r="GG217" s="199">
        <v>6</v>
      </c>
      <c r="GH217" s="207">
        <f t="shared" si="426"/>
        <v>430.43999999999994</v>
      </c>
      <c r="GI217" s="199">
        <f t="shared" si="337"/>
        <v>6</v>
      </c>
      <c r="GJ217" s="200">
        <v>67.03</v>
      </c>
      <c r="GK217" s="63">
        <f t="shared" si="427"/>
        <v>28.259999999999934</v>
      </c>
      <c r="GL217" s="63">
        <f t="shared" si="340"/>
        <v>34.439999999999941</v>
      </c>
      <c r="GM217" s="82">
        <f t="shared" si="428"/>
        <v>-1.3335191896663858</v>
      </c>
      <c r="GN217" s="82">
        <f>IF($GZ217="",#N/A,SUM(GM$4:GM217))</f>
        <v>2.2628498342307051</v>
      </c>
      <c r="GO217" s="82" t="str">
        <f t="shared" si="429"/>
        <v/>
      </c>
      <c r="GP217" s="82">
        <f>IF($GZ217="",#N/A,SUM(GO$4:GO217))</f>
        <v>11.174784260249723</v>
      </c>
      <c r="GQ217" s="82" t="str">
        <f t="shared" si="430"/>
        <v/>
      </c>
      <c r="GR217" s="82">
        <f>IF($GZ217="",#N/A,SUM(GQ$4:GQ217))</f>
        <v>21.556554076595891</v>
      </c>
      <c r="GS217" s="63" t="e">
        <f t="shared" si="438"/>
        <v>#N/A</v>
      </c>
      <c r="GT217" s="63" t="e">
        <f>IF($GZ217="",#N/A,SUM(GS$4:GS217))</f>
        <v>#N/A</v>
      </c>
      <c r="GU217" s="63" t="str">
        <f t="shared" si="439"/>
        <v/>
      </c>
      <c r="GV217" s="63" t="e">
        <f>IF($GZ217="",#N/A,SUM(GU$4:GU217))</f>
        <v>#N/A</v>
      </c>
      <c r="GW217" s="63" t="str">
        <f t="shared" si="440"/>
        <v/>
      </c>
      <c r="GX217" s="63" t="e">
        <f>IF($GZ217="",#N/A,SUM(GW$4:GW217))</f>
        <v>#N/A</v>
      </c>
      <c r="GY217" s="63" t="e">
        <f>IF(EJ217="",#N/A,SUM($EJ$4:EJ217))</f>
        <v>#N/A</v>
      </c>
      <c r="GZ217" s="158">
        <v>66</v>
      </c>
      <c r="HA217" s="63">
        <f t="shared" si="431"/>
        <v>62.699999999999875</v>
      </c>
      <c r="HB217" s="62" t="s">
        <v>2538</v>
      </c>
      <c r="HC217" s="60">
        <f>IFERROR(VLOOKUP(E217,Expectancy!$P$4:$S$19,1+C217,FALSE),"")</f>
        <v>2.40735201201209E-2</v>
      </c>
      <c r="HD217" s="82">
        <f t="shared" si="432"/>
        <v>1.0942291608586538</v>
      </c>
      <c r="HE217" s="82">
        <f>IF(HD217="",#N/A,SUM($HD$4:HD217))</f>
        <v>4.1799922528435509</v>
      </c>
      <c r="HF217" s="85">
        <f>IF(HD217="",#N/A,IF(HB217="Skip",#N/A,SUM($HG$4:HG217)))</f>
        <v>135.13156919911449</v>
      </c>
      <c r="HG217" s="63">
        <f t="shared" si="433"/>
        <v>28.259999999999934</v>
      </c>
      <c r="HH217" s="82">
        <f t="shared" si="434"/>
        <v>-1.3335191896663858</v>
      </c>
    </row>
    <row r="218" spans="1:216" x14ac:dyDescent="0.25">
      <c r="A218" s="57" t="s">
        <v>1593</v>
      </c>
      <c r="B218" s="58" t="s">
        <v>5210</v>
      </c>
      <c r="C218" s="386">
        <f t="shared" si="343"/>
        <v>3</v>
      </c>
      <c r="D218" s="372" t="str">
        <f>_xlfn.XLOOKUP(A218,[1]SP500!$A$2:$A$502,[1]SP500!$D$2:$D$502,"N")</f>
        <v>Y</v>
      </c>
      <c r="E218" s="57" t="str">
        <f>_xlfn.XLOOKUP(A218,[1]SP500!$A$2:$A$655,[1]SP500!$B$2:$B$655)</f>
        <v>XLV</v>
      </c>
      <c r="F218" s="59">
        <v>45693</v>
      </c>
      <c r="G218" s="57" t="str">
        <f t="shared" si="344"/>
        <v>BMO</v>
      </c>
      <c r="H218" s="57" t="str">
        <f t="shared" si="345"/>
        <v>o</v>
      </c>
      <c r="I218" s="159">
        <v>72.55</v>
      </c>
      <c r="J218" s="159">
        <v>79.28</v>
      </c>
      <c r="K218" s="61">
        <f t="shared" si="346"/>
        <v>9.2763611302550023E-2</v>
      </c>
      <c r="L218" s="87">
        <f t="shared" si="347"/>
        <v>-40.380000000000052</v>
      </c>
      <c r="M218" s="130">
        <f t="shared" si="338"/>
        <v>0</v>
      </c>
      <c r="N218" s="169" t="str">
        <f t="shared" si="348"/>
        <v/>
      </c>
      <c r="O218" s="169">
        <f>IF($J218="",#N/A,SUM($N$4:N218))</f>
        <v>283.78492601211707</v>
      </c>
      <c r="P218" s="174" t="str">
        <f t="shared" si="349"/>
        <v/>
      </c>
      <c r="Q218" s="174">
        <f>IF($J218="",#N/A,SUM($P$4:P218))</f>
        <v>451.1777640160368</v>
      </c>
      <c r="R218" s="178">
        <f t="shared" si="350"/>
        <v>40.380000000000052</v>
      </c>
      <c r="S218" s="178">
        <f>IF($J218="",#N/A,SUM($R$4:R218))</f>
        <v>149.09521096196045</v>
      </c>
      <c r="T218" s="290" t="str">
        <f t="shared" si="351"/>
        <v/>
      </c>
      <c r="U218" s="290">
        <f>IF($J218="",#N/A,SUM($T$4:T218))</f>
        <v>10.242121677474179</v>
      </c>
      <c r="V218" s="291" t="str">
        <f t="shared" si="352"/>
        <v/>
      </c>
      <c r="W218" s="291">
        <f>IF($J218="",#N/A,SUM($V$4:V218))</f>
        <v>18.852730770518189</v>
      </c>
      <c r="X218" s="292">
        <f t="shared" si="353"/>
        <v>1.5460601883758351</v>
      </c>
      <c r="Y218" s="292">
        <f>IF($J218="",#N/A,SUM($X$4:X218))</f>
        <v>6.0789156181608046</v>
      </c>
      <c r="Z218" s="304" t="str">
        <f t="shared" si="354"/>
        <v/>
      </c>
      <c r="AA218" s="313" t="e">
        <f>IF($J218="",#N/A,SUM(Z$4:Z218))</f>
        <v>#N/A</v>
      </c>
      <c r="AB218" s="314" t="str">
        <f t="shared" si="355"/>
        <v/>
      </c>
      <c r="AC218" s="314" t="e">
        <f>IF($J218="",#N/A,SUM(AB$4:AB218))</f>
        <v>#N/A</v>
      </c>
      <c r="AD218" s="315" t="str">
        <f t="shared" si="356"/>
        <v/>
      </c>
      <c r="AE218" s="315" t="e">
        <f>IF($J218="",#N/A,SUM(AD$4:AD218))</f>
        <v>#N/A</v>
      </c>
      <c r="AF218" s="315" t="e">
        <f>IF($J218="",#N/A,SUM(AD$4:AD218,AB$4:AB218,Z$4:Z218))</f>
        <v>#N/A</v>
      </c>
      <c r="AG218" s="304" t="str">
        <f t="shared" si="357"/>
        <v/>
      </c>
      <c r="AH218" s="313" t="e">
        <f>IF($J218="",#N/A,SUM(AG$4:AG218))</f>
        <v>#N/A</v>
      </c>
      <c r="AI218" s="314" t="str">
        <f t="shared" si="358"/>
        <v/>
      </c>
      <c r="AJ218" s="314" t="e">
        <f>IF($J218="",#N/A,SUM(AI$4:AI218))</f>
        <v>#N/A</v>
      </c>
      <c r="AK218" s="315" t="str">
        <f t="shared" si="359"/>
        <v/>
      </c>
      <c r="AL218" s="315" t="e">
        <f>IF($J218="",#N/A,SUM(AK$4:AK218))</f>
        <v>#N/A</v>
      </c>
      <c r="AM218" s="315" t="e">
        <f>IF($J218="",#N/A,SUM(AK$4:AK218,AI$4:AI218,AG$4:AG218))</f>
        <v>#N/A</v>
      </c>
      <c r="AN218" s="304" t="str">
        <f t="shared" si="360"/>
        <v/>
      </c>
      <c r="AO218" s="313" t="e">
        <f>IF($J218="",#N/A,SUM(AN$4:AN218))</f>
        <v>#N/A</v>
      </c>
      <c r="AP218" s="314" t="str">
        <f t="shared" si="361"/>
        <v/>
      </c>
      <c r="AQ218" s="314" t="e">
        <f>IF($J218="",#N/A,SUM(AP$4:AP218))</f>
        <v>#N/A</v>
      </c>
      <c r="AR218" s="315" t="str">
        <f t="shared" si="362"/>
        <v/>
      </c>
      <c r="AS218" s="315" t="e">
        <f>IF($J218="",#N/A,SUM(AR$4:AR218))</f>
        <v>#N/A</v>
      </c>
      <c r="AT218" s="315" t="e">
        <f>IF($J218="",#N/A,SUM(AR$4:AR218,AP$4:AP218,AN$4:AN218))</f>
        <v>#N/A</v>
      </c>
      <c r="AU218" s="304" t="str">
        <f t="shared" si="363"/>
        <v/>
      </c>
      <c r="AV218" s="313" t="e">
        <f>IF($J218="",#N/A,SUM(AU$4:AU218))</f>
        <v>#N/A</v>
      </c>
      <c r="AW218" s="314" t="str">
        <f t="shared" si="364"/>
        <v/>
      </c>
      <c r="AX218" s="314" t="e">
        <f>IF($J218="",#N/A,SUM(AW$4:AW218))</f>
        <v>#N/A</v>
      </c>
      <c r="AY218" s="315" t="str">
        <f t="shared" si="365"/>
        <v/>
      </c>
      <c r="AZ218" s="315" t="e">
        <f>IF($J218="",#N/A,SUM(AY$4:AY218))</f>
        <v>#N/A</v>
      </c>
      <c r="BA218" s="315" t="e">
        <f>IF($J218="",#N/A,SUM(AY$4:AY218,AW$4:AW218,AU$4:AU218))</f>
        <v>#N/A</v>
      </c>
      <c r="BB218" s="304" t="str">
        <f t="shared" si="366"/>
        <v/>
      </c>
      <c r="BC218" s="313" t="e">
        <f>IF($J218="",#N/A,SUM(BB$4:BB218))</f>
        <v>#N/A</v>
      </c>
      <c r="BD218" s="314" t="str">
        <f t="shared" si="367"/>
        <v/>
      </c>
      <c r="BE218" s="314" t="e">
        <f>IF($J218="",#N/A,SUM(BD$4:BD218))</f>
        <v>#N/A</v>
      </c>
      <c r="BF218" s="315" t="str">
        <f t="shared" si="368"/>
        <v/>
      </c>
      <c r="BG218" s="315" t="e">
        <f>IF($J218="",#N/A,SUM(BF$4:BF218))</f>
        <v>#N/A</v>
      </c>
      <c r="BH218" s="315" t="e">
        <f>IF($J218="",#N/A,SUM(BF$4:BF218,BD$4:BD218,BB$4:BB218))</f>
        <v>#N/A</v>
      </c>
      <c r="BI218" s="304" t="str">
        <f t="shared" si="369"/>
        <v/>
      </c>
      <c r="BJ218" s="313" t="e">
        <f>IF($J218="",#N/A,SUM(BI$4:BI218))</f>
        <v>#N/A</v>
      </c>
      <c r="BK218" s="314" t="str">
        <f t="shared" si="370"/>
        <v/>
      </c>
      <c r="BL218" s="314" t="e">
        <f>IF($J218="",#N/A,SUM(BK$4:BK218))</f>
        <v>#N/A</v>
      </c>
      <c r="BM218" s="315" t="str">
        <f t="shared" si="371"/>
        <v/>
      </c>
      <c r="BN218" s="315" t="e">
        <f>IF($J218="",#N/A,SUM(BM$4:BM218))</f>
        <v>#N/A</v>
      </c>
      <c r="BO218" s="315" t="e">
        <f>IF($J218="",#N/A,SUM(BM$4:BM218,BK$4:BK218,BI$4:BI218))</f>
        <v>#N/A</v>
      </c>
      <c r="BP218" s="304" t="str">
        <f t="shared" si="372"/>
        <v/>
      </c>
      <c r="BQ218" s="313" t="e">
        <f>IF($J218="",#N/A,SUM(BP$4:BP218))</f>
        <v>#N/A</v>
      </c>
      <c r="BR218" s="314" t="str">
        <f t="shared" si="373"/>
        <v/>
      </c>
      <c r="BS218" s="314" t="e">
        <f>IF($J218="",#N/A,SUM(BR$4:BR218))</f>
        <v>#N/A</v>
      </c>
      <c r="BT218" s="315" t="str">
        <f t="shared" si="374"/>
        <v/>
      </c>
      <c r="BU218" s="315" t="e">
        <f>IF($J218="",#N/A,SUM(BT$4:BT218))</f>
        <v>#N/A</v>
      </c>
      <c r="BV218" s="315" t="e">
        <f>IF($J218="",#N/A,SUM(BT$4:BT218,BR$4:BR218,BP$4:BP218))</f>
        <v>#N/A</v>
      </c>
      <c r="BW218" s="304" t="str">
        <f t="shared" si="375"/>
        <v/>
      </c>
      <c r="BX218" s="313" t="e">
        <f>IF($J218="",#N/A,SUM(BW$4:BW218))</f>
        <v>#N/A</v>
      </c>
      <c r="BY218" s="314" t="str">
        <f t="shared" si="376"/>
        <v/>
      </c>
      <c r="BZ218" s="314" t="e">
        <f>IF($J218="",#N/A,SUM(BY$4:BY218))</f>
        <v>#N/A</v>
      </c>
      <c r="CA218" s="315">
        <f t="shared" si="377"/>
        <v>1.5460601883758351</v>
      </c>
      <c r="CB218" s="315" t="e">
        <f>IF($J218="",#N/A,SUM(CA$4:CA218))</f>
        <v>#N/A</v>
      </c>
      <c r="CC218" s="315" t="e">
        <f>IF($J218="",#N/A,SUM(CA$4:CA218,BY$4:BY218,BW$4:BW218))</f>
        <v>#N/A</v>
      </c>
      <c r="CD218" s="304" t="str">
        <f t="shared" si="378"/>
        <v/>
      </c>
      <c r="CE218" s="313" t="e">
        <f>IF($J218="",#N/A,SUM(CD$4:CD218))</f>
        <v>#N/A</v>
      </c>
      <c r="CF218" s="314" t="str">
        <f t="shared" si="379"/>
        <v/>
      </c>
      <c r="CG218" s="314" t="e">
        <f>IF($J218="",#N/A,SUM(CF$4:CF218))</f>
        <v>#N/A</v>
      </c>
      <c r="CH218" s="315" t="str">
        <f t="shared" si="380"/>
        <v/>
      </c>
      <c r="CI218" s="315" t="e">
        <f>IF($J218="",#N/A,SUM(CH$4:CH218))</f>
        <v>#N/A</v>
      </c>
      <c r="CJ218" s="315" t="e">
        <f>IF($J218="",#N/A,SUM(CH$4:CH218,CF$4:CF218,CD$4:CD218))</f>
        <v>#N/A</v>
      </c>
      <c r="CK218" s="304" t="str">
        <f t="shared" si="381"/>
        <v/>
      </c>
      <c r="CL218" s="313" t="e">
        <f>IF($J218="",#N/A,SUM(CK$4:CK218))</f>
        <v>#N/A</v>
      </c>
      <c r="CM218" s="314" t="str">
        <f t="shared" si="382"/>
        <v/>
      </c>
      <c r="CN218" s="314" t="e">
        <f>IF($J218="",#N/A,SUM(CM$4:CM218))</f>
        <v>#N/A</v>
      </c>
      <c r="CO218" s="315" t="str">
        <f t="shared" si="383"/>
        <v/>
      </c>
      <c r="CP218" s="315" t="e">
        <f>IF($J218="",#N/A,SUM(CO$4:CO218))</f>
        <v>#N/A</v>
      </c>
      <c r="CQ218" s="315" t="e">
        <f>IF($J218="",#N/A,SUM(CO$4:CO218,CM$4:CM218,CK$4:CK218))</f>
        <v>#N/A</v>
      </c>
      <c r="CR218" s="304" t="str">
        <f t="shared" si="384"/>
        <v/>
      </c>
      <c r="CS218" s="313" t="e">
        <f>IF($J218="",#N/A,SUM(CR$4:CR218))</f>
        <v>#N/A</v>
      </c>
      <c r="CT218" s="314" t="str">
        <f t="shared" si="385"/>
        <v/>
      </c>
      <c r="CU218" s="314" t="e">
        <f>IF($J218="",#N/A,SUM(CT$4:CT218))</f>
        <v>#N/A</v>
      </c>
      <c r="CV218" s="315" t="str">
        <f t="shared" si="386"/>
        <v/>
      </c>
      <c r="CW218" s="315" t="e">
        <f>IF($J218="",#N/A,SUM(CV$4:CV218))</f>
        <v>#N/A</v>
      </c>
      <c r="CX218" s="315" t="e">
        <f>IF($J218="",#N/A,SUM(CV$4:CV218,CT$4:CT218,CR$4:CR218))</f>
        <v>#N/A</v>
      </c>
      <c r="CY218" s="304" t="str">
        <f t="shared" si="387"/>
        <v/>
      </c>
      <c r="CZ218" s="313" t="e">
        <f>IF($J218="",#N/A,SUM(CY$4:CY218))</f>
        <v>#N/A</v>
      </c>
      <c r="DA218" s="314" t="str">
        <f t="shared" si="388"/>
        <v/>
      </c>
      <c r="DB218" s="314" t="e">
        <f>IF($J218="",#N/A,SUM(DA$4:DA218))</f>
        <v>#N/A</v>
      </c>
      <c r="DC218" s="315" t="str">
        <f t="shared" si="389"/>
        <v/>
      </c>
      <c r="DD218" s="315" t="e">
        <f>IF($J218="",#N/A,SUM(DC$4:DC218))</f>
        <v>#N/A</v>
      </c>
      <c r="DE218" s="315" t="e">
        <f>IF($J218="",#N/A,SUM(DC$4:DC218,DA$4:DA218,CY$4:CY218))</f>
        <v>#N/A</v>
      </c>
      <c r="DF218" s="304" t="str">
        <f t="shared" si="390"/>
        <v/>
      </c>
      <c r="DG218" s="313" t="e">
        <f>IF($J218="",#N/A,SUM(DF$4:DF218))</f>
        <v>#N/A</v>
      </c>
      <c r="DH218" s="314" t="str">
        <f t="shared" si="391"/>
        <v/>
      </c>
      <c r="DI218" s="314" t="e">
        <f>IF($J218="",#N/A,SUM(DH$4:DH218))</f>
        <v>#N/A</v>
      </c>
      <c r="DJ218" s="315" t="str">
        <f t="shared" si="392"/>
        <v/>
      </c>
      <c r="DK218" s="315" t="e">
        <f>IF($J218="",#N/A,SUM(DJ$4:DJ218))</f>
        <v>#N/A</v>
      </c>
      <c r="DL218" s="315" t="e">
        <f>IF($J218="",#N/A,SUM(DJ$4:DJ218,DH$4:DH218,DF$4:DF218))</f>
        <v>#N/A</v>
      </c>
      <c r="DM218" s="304" t="str">
        <f t="shared" si="393"/>
        <v/>
      </c>
      <c r="DN218" s="313" t="e">
        <f>IF($J218="",#N/A,SUM(DM$4:DM218))</f>
        <v>#N/A</v>
      </c>
      <c r="DO218" s="314" t="str">
        <f t="shared" si="394"/>
        <v/>
      </c>
      <c r="DP218" s="314" t="e">
        <f>IF($J218="",#N/A,SUM(DO$4:DO218))</f>
        <v>#N/A</v>
      </c>
      <c r="DQ218" s="315" t="str">
        <f t="shared" si="395"/>
        <v/>
      </c>
      <c r="DR218" s="315" t="e">
        <f>IF($J218="",#N/A,SUM(DQ$4:DQ218))</f>
        <v>#N/A</v>
      </c>
      <c r="DS218" s="315" t="e">
        <f>IF($J218="",#N/A,SUM(DQ$4:DQ218,DO$4:DO218,DM$4:DM218))</f>
        <v>#N/A</v>
      </c>
      <c r="DT218" s="304" t="str">
        <f t="shared" si="396"/>
        <v/>
      </c>
      <c r="DU218" s="313" t="e">
        <f>IF($J218="",#N/A,SUM(DT$4:DT218))</f>
        <v>#N/A</v>
      </c>
      <c r="DV218" s="314" t="str">
        <f t="shared" si="397"/>
        <v/>
      </c>
      <c r="DW218" s="314" t="e">
        <f>IF($J218="",#N/A,SUM(DV$4:DV218))</f>
        <v>#N/A</v>
      </c>
      <c r="DX218" s="315" t="str">
        <f t="shared" si="398"/>
        <v/>
      </c>
      <c r="DY218" s="315" t="e">
        <f>IF($J218="",#N/A,SUM(DX$4:DX218))</f>
        <v>#N/A</v>
      </c>
      <c r="DZ218" s="315" t="e">
        <f>IF($J218="",#N/A,SUM(DX$4:DX218,DV$4:DV218,DT$4:DT218))</f>
        <v>#N/A</v>
      </c>
      <c r="EA218" s="304" t="str">
        <f t="shared" si="399"/>
        <v/>
      </c>
      <c r="EB218" s="313" t="e">
        <f>IF($J218="",#N/A,SUM(EA$4:EA218))</f>
        <v>#N/A</v>
      </c>
      <c r="EC218" s="314" t="str">
        <f t="shared" si="400"/>
        <v/>
      </c>
      <c r="ED218" s="314" t="e">
        <f>IF($J218="",#N/A,SUM(EC$4:EC218))</f>
        <v>#N/A</v>
      </c>
      <c r="EE218" s="315" t="str">
        <f t="shared" si="401"/>
        <v/>
      </c>
      <c r="EF218" s="315" t="e">
        <f>IF($J218="",#N/A,SUM(EE$4:EE218))</f>
        <v>#N/A</v>
      </c>
      <c r="EG218" s="315" t="e">
        <f>IF($J218="",#N/A,SUM(EE$4:EE218,EC$4:EC218,EA$4:EA218))</f>
        <v>#N/A</v>
      </c>
      <c r="EH218" s="130">
        <f t="shared" si="402"/>
        <v>40.380000000000052</v>
      </c>
      <c r="EI218" s="63">
        <f>IF(EH218="",#N/A,SUM($EH$4:EH218))</f>
        <v>884.05790099011438</v>
      </c>
      <c r="EJ218" s="223" t="e">
        <f t="shared" si="403"/>
        <v>#N/A</v>
      </c>
      <c r="EK218" s="63" t="e">
        <f>IF($GZ218="",#N/A,SUM(EJ$4:EJ218))</f>
        <v>#N/A</v>
      </c>
      <c r="EL218" s="60">
        <f t="shared" si="435"/>
        <v>1.5460601883758351</v>
      </c>
      <c r="EM218" s="60">
        <f>IF(EL218="",NA(),SUM($EL$4:EL218))</f>
        <v>26.47613173000541</v>
      </c>
      <c r="EN218" s="60" t="str">
        <f t="shared" si="404"/>
        <v/>
      </c>
      <c r="EO218" s="60" t="e">
        <f>IF(EN218="",NA(),SUM($EN$4:EN218))</f>
        <v>#N/A</v>
      </c>
      <c r="EP218" s="60">
        <f t="shared" si="405"/>
        <v>1.5460601883758351</v>
      </c>
      <c r="EQ218" s="60">
        <f>IF(EP218="",NA(),SUM($EP$4:EP218))</f>
        <v>7.0066725382379982</v>
      </c>
      <c r="ER218" s="60" t="str">
        <f t="shared" si="406"/>
        <v/>
      </c>
      <c r="ES218" s="60" t="e">
        <f>IF(ER218="",NA(),SUM($ER$4:ER218))</f>
        <v>#N/A</v>
      </c>
      <c r="ET218" s="60" t="str">
        <f t="shared" si="407"/>
        <v/>
      </c>
      <c r="EU218" s="60" t="e">
        <f>IF(ET218="",NA(),SUM($ET$4:ET218))</f>
        <v>#N/A</v>
      </c>
      <c r="EV218" s="60" t="str">
        <f t="shared" si="408"/>
        <v/>
      </c>
      <c r="EW218" s="60" t="e">
        <f>IF(EV218="",NA(),SUM($EV$4:EV218))</f>
        <v>#N/A</v>
      </c>
      <c r="EX218" s="60" t="str">
        <f t="shared" si="409"/>
        <v/>
      </c>
      <c r="EY218" s="60" t="e">
        <f>IF(EX218="",NA(),SUM($EX$4:EX218))</f>
        <v>#N/A</v>
      </c>
      <c r="EZ218" s="60" t="str">
        <f t="shared" si="410"/>
        <v/>
      </c>
      <c r="FA218" s="60" t="e">
        <f>IF(EZ218="",NA(),SUM($EZ$4:EZ218))</f>
        <v>#N/A</v>
      </c>
      <c r="FB218" s="246" t="str">
        <f t="shared" si="436"/>
        <v/>
      </c>
      <c r="FC218" s="246" t="e">
        <f>IF($FB218="",#N/A,SUM(FB$4:$FB218))</f>
        <v>#N/A</v>
      </c>
      <c r="FD218" s="60" t="str">
        <f t="shared" si="411"/>
        <v/>
      </c>
      <c r="FE218" s="60" t="e">
        <f>IF($FD218="",#N/A,SUM($FD$4:FD218))</f>
        <v>#N/A</v>
      </c>
      <c r="FF218" s="60" t="str">
        <f t="shared" si="412"/>
        <v/>
      </c>
      <c r="FG218" s="60" t="e">
        <f>IF($FF218="",#N/A,SUM($FF$4:FF218))</f>
        <v>#N/A</v>
      </c>
      <c r="FH218" s="60" t="str">
        <f t="shared" si="413"/>
        <v/>
      </c>
      <c r="FI218" s="60" t="e">
        <f>IF($FH218="",#N/A,SUM($FH$4:FH218))</f>
        <v>#N/A</v>
      </c>
      <c r="FJ218" s="60">
        <f t="shared" si="414"/>
        <v>-0.92579830002297314</v>
      </c>
      <c r="FK218" s="60">
        <f>IF($FJ218="",#N/A,SUM($FJ$4:FJ218))</f>
        <v>-5.083450369952053</v>
      </c>
      <c r="FL218" s="60" t="str">
        <f t="shared" si="415"/>
        <v/>
      </c>
      <c r="FM218" s="60" t="e">
        <f>IF($FL218="",#N/A,SUM($FL$4:FL218))</f>
        <v>#N/A</v>
      </c>
      <c r="FN218" s="82">
        <f t="shared" si="416"/>
        <v>0.620261888352862</v>
      </c>
      <c r="FO218" s="82">
        <f>IF($FN218="",#N/A,SUM(FN$4:$FN218))</f>
        <v>36.240287013871537</v>
      </c>
      <c r="FP218" s="82">
        <f t="shared" si="437"/>
        <v>1.5460601883758351</v>
      </c>
      <c r="FQ218" s="246">
        <f>IF($EH218="",#N/A,SUM($FP$4:FP218))</f>
        <v>35.17376806615318</v>
      </c>
      <c r="FR218" s="82">
        <f>IFERROR(FQ218/COUNTA($J$4:J218),#N/A)</f>
        <v>0.16359892123792177</v>
      </c>
      <c r="FS218" s="82">
        <f t="shared" si="443"/>
        <v>0.23174346440600502</v>
      </c>
      <c r="FT218" s="82">
        <f t="shared" si="417"/>
        <v>0.35500933514216237</v>
      </c>
      <c r="FU218" s="337">
        <f t="shared" si="442"/>
        <v>18.009836001685464</v>
      </c>
      <c r="FV218" s="57" t="str">
        <f t="shared" si="418"/>
        <v>SW</v>
      </c>
      <c r="FW218" s="57" t="s">
        <v>2732</v>
      </c>
      <c r="FX218" s="57" t="str">
        <f t="shared" si="419"/>
        <v/>
      </c>
      <c r="FY218" s="57" t="str">
        <f t="shared" si="420"/>
        <v/>
      </c>
      <c r="FZ218" s="57">
        <f t="shared" si="421"/>
        <v>1</v>
      </c>
      <c r="GA218" s="57" t="str">
        <f t="shared" si="422"/>
        <v>Long</v>
      </c>
      <c r="GB218" s="57" t="str">
        <f t="shared" si="423"/>
        <v/>
      </c>
      <c r="GC218" s="57" t="str">
        <f t="shared" si="424"/>
        <v/>
      </c>
      <c r="GD218" s="57" t="str">
        <f t="shared" si="425"/>
        <v/>
      </c>
      <c r="GE218" s="62">
        <f t="shared" si="339"/>
        <v>72.55</v>
      </c>
      <c r="GF218" s="62" t="s">
        <v>2780</v>
      </c>
      <c r="GG218" s="199">
        <v>6</v>
      </c>
      <c r="GH218" s="207">
        <f t="shared" si="426"/>
        <v>435.29999999999995</v>
      </c>
      <c r="GI218" s="199">
        <f t="shared" si="337"/>
        <v>6</v>
      </c>
      <c r="GJ218" s="200">
        <v>79.28</v>
      </c>
      <c r="GK218" s="63">
        <f t="shared" si="427"/>
        <v>-40.380000000000052</v>
      </c>
      <c r="GL218" s="63">
        <f t="shared" si="340"/>
        <v>-16.200000000000045</v>
      </c>
      <c r="GM218" s="82">
        <f t="shared" si="428"/>
        <v>0.620261888352862</v>
      </c>
      <c r="GN218" s="82">
        <f>IF($GZ218="",#N/A,SUM(GM$4:GM218))</f>
        <v>2.8831117225835672</v>
      </c>
      <c r="GO218" s="82" t="str">
        <f t="shared" si="429"/>
        <v/>
      </c>
      <c r="GP218" s="82">
        <f>IF($GZ218="",#N/A,SUM(GO$4:GO218))</f>
        <v>11.174784260249723</v>
      </c>
      <c r="GQ218" s="82" t="str">
        <f t="shared" si="430"/>
        <v/>
      </c>
      <c r="GR218" s="82">
        <f>IF($GZ218="",#N/A,SUM(GQ$4:GQ218))</f>
        <v>21.556554076595891</v>
      </c>
      <c r="GS218" s="63" t="e">
        <f t="shared" si="438"/>
        <v>#N/A</v>
      </c>
      <c r="GT218" s="63" t="e">
        <f>IF($GZ218="",#N/A,SUM(GS$4:GS218))</f>
        <v>#N/A</v>
      </c>
      <c r="GU218" s="63" t="str">
        <f t="shared" si="439"/>
        <v/>
      </c>
      <c r="GV218" s="63" t="e">
        <f>IF($GZ218="",#N/A,SUM(GU$4:GU218))</f>
        <v>#N/A</v>
      </c>
      <c r="GW218" s="63" t="str">
        <f t="shared" si="440"/>
        <v/>
      </c>
      <c r="GX218" s="63" t="e">
        <f>IF($GZ218="",#N/A,SUM(GW$4:GW218))</f>
        <v>#N/A</v>
      </c>
      <c r="GY218" s="63" t="e">
        <f>IF(EJ218="",#N/A,SUM($EJ$4:EJ218))</f>
        <v>#N/A</v>
      </c>
      <c r="GZ218" s="159">
        <v>75.25</v>
      </c>
      <c r="HA218" s="63">
        <f t="shared" si="431"/>
        <v>-56.580000000000098</v>
      </c>
      <c r="HB218" s="62" t="s">
        <v>2538</v>
      </c>
      <c r="HC218" s="60">
        <f>IFERROR(VLOOKUP(E218,Expectancy!$P$4:$S$19,1+C218,FALSE),"")</f>
        <v>-0.15084750675779673</v>
      </c>
      <c r="HD218" s="82">
        <f t="shared" si="432"/>
        <v>-1.5460601883758351</v>
      </c>
      <c r="HE218" s="82">
        <f>IF(HD218="",#N/A,SUM($HD$4:HD218))</f>
        <v>2.6339320644677158</v>
      </c>
      <c r="HF218" s="85">
        <f>IF(HD218="",#N/A,IF(HB218="Skip",#N/A,SUM($HG$4:HG218)))</f>
        <v>94.751569199114442</v>
      </c>
      <c r="HG218" s="63">
        <f t="shared" si="433"/>
        <v>-40.380000000000052</v>
      </c>
      <c r="HH218" s="82">
        <f t="shared" si="434"/>
        <v>0.620261888352862</v>
      </c>
    </row>
    <row r="219" spans="1:216" x14ac:dyDescent="0.25">
      <c r="A219" s="57" t="s">
        <v>333</v>
      </c>
      <c r="B219" s="58" t="s">
        <v>5214</v>
      </c>
      <c r="C219" s="386">
        <f t="shared" si="343"/>
        <v>3</v>
      </c>
      <c r="D219" s="372" t="str">
        <f>_xlfn.XLOOKUP(A219,[1]SP500!$A$2:$A$502,[1]SP500!$D$2:$D$502,"N")</f>
        <v>Y</v>
      </c>
      <c r="E219" s="57" t="str">
        <f>_xlfn.XLOOKUP(A219,[1]SP500!$A$2:$A$655,[1]SP500!$B$2:$B$655)</f>
        <v>SMH</v>
      </c>
      <c r="F219" s="59">
        <v>45693</v>
      </c>
      <c r="G219" s="57" t="str">
        <f t="shared" si="344"/>
        <v>AMC</v>
      </c>
      <c r="H219" s="57" t="str">
        <f t="shared" si="345"/>
        <v>o</v>
      </c>
      <c r="I219" s="159">
        <v>175.86</v>
      </c>
      <c r="J219" s="159">
        <v>167.84</v>
      </c>
      <c r="K219" s="61">
        <f t="shared" si="346"/>
        <v>-4.5604458091663878E-2</v>
      </c>
      <c r="L219" s="87">
        <f t="shared" si="347"/>
        <v>16.04000000000002</v>
      </c>
      <c r="M219" s="130">
        <f t="shared" si="338"/>
        <v>-0.31999999999999318</v>
      </c>
      <c r="N219" s="169" t="str">
        <f t="shared" si="348"/>
        <v/>
      </c>
      <c r="O219" s="169">
        <f>IF($J219="",#N/A,SUM($N$4:N219))</f>
        <v>283.78492601211707</v>
      </c>
      <c r="P219" s="174" t="str">
        <f t="shared" si="349"/>
        <v/>
      </c>
      <c r="Q219" s="174">
        <f>IF($J219="",#N/A,SUM($P$4:P219))</f>
        <v>451.1777640160368</v>
      </c>
      <c r="R219" s="178">
        <f t="shared" si="350"/>
        <v>-16.04000000000002</v>
      </c>
      <c r="S219" s="178">
        <f>IF($J219="",#N/A,SUM($R$4:R219))</f>
        <v>133.05521096196043</v>
      </c>
      <c r="T219" s="290" t="str">
        <f t="shared" si="351"/>
        <v/>
      </c>
      <c r="U219" s="290">
        <f>IF($J219="",#N/A,SUM($T$4:T219))</f>
        <v>10.242121677474179</v>
      </c>
      <c r="V219" s="291" t="str">
        <f t="shared" si="352"/>
        <v/>
      </c>
      <c r="W219" s="291">
        <f>IF($J219="",#N/A,SUM($V$4:V219))</f>
        <v>18.852730770518189</v>
      </c>
      <c r="X219" s="292">
        <f t="shared" si="353"/>
        <v>-0.76007430152773137</v>
      </c>
      <c r="Y219" s="292">
        <f>IF($J219="",#N/A,SUM($X$4:X219))</f>
        <v>5.3188413166330735</v>
      </c>
      <c r="Z219" s="304" t="str">
        <f t="shared" si="354"/>
        <v/>
      </c>
      <c r="AA219" s="313" t="e">
        <f>IF($J219="",#N/A,SUM(Z$4:Z219))</f>
        <v>#N/A</v>
      </c>
      <c r="AB219" s="314" t="str">
        <f t="shared" si="355"/>
        <v/>
      </c>
      <c r="AC219" s="314" t="e">
        <f>IF($J219="",#N/A,SUM(AB$4:AB219))</f>
        <v>#N/A</v>
      </c>
      <c r="AD219" s="315" t="str">
        <f t="shared" si="356"/>
        <v/>
      </c>
      <c r="AE219" s="315" t="e">
        <f>IF($J219="",#N/A,SUM(AD$4:AD219))</f>
        <v>#N/A</v>
      </c>
      <c r="AF219" s="315" t="e">
        <f>IF($J219="",#N/A,SUM(AD$4:AD219,AB$4:AB219,Z$4:Z219))</f>
        <v>#N/A</v>
      </c>
      <c r="AG219" s="304" t="str">
        <f t="shared" si="357"/>
        <v/>
      </c>
      <c r="AH219" s="313" t="e">
        <f>IF($J219="",#N/A,SUM(AG$4:AG219))</f>
        <v>#N/A</v>
      </c>
      <c r="AI219" s="314" t="str">
        <f t="shared" si="358"/>
        <v/>
      </c>
      <c r="AJ219" s="314" t="e">
        <f>IF($J219="",#N/A,SUM(AI$4:AI219))</f>
        <v>#N/A</v>
      </c>
      <c r="AK219" s="315" t="str">
        <f t="shared" si="359"/>
        <v/>
      </c>
      <c r="AL219" s="315" t="e">
        <f>IF($J219="",#N/A,SUM(AK$4:AK219))</f>
        <v>#N/A</v>
      </c>
      <c r="AM219" s="315" t="e">
        <f>IF($J219="",#N/A,SUM(AK$4:AK219,AI$4:AI219,AG$4:AG219))</f>
        <v>#N/A</v>
      </c>
      <c r="AN219" s="304" t="str">
        <f t="shared" si="360"/>
        <v/>
      </c>
      <c r="AO219" s="313" t="e">
        <f>IF($J219="",#N/A,SUM(AN$4:AN219))</f>
        <v>#N/A</v>
      </c>
      <c r="AP219" s="314" t="str">
        <f t="shared" si="361"/>
        <v/>
      </c>
      <c r="AQ219" s="314" t="e">
        <f>IF($J219="",#N/A,SUM(AP$4:AP219))</f>
        <v>#N/A</v>
      </c>
      <c r="AR219" s="315" t="str">
        <f t="shared" si="362"/>
        <v/>
      </c>
      <c r="AS219" s="315" t="e">
        <f>IF($J219="",#N/A,SUM(AR$4:AR219))</f>
        <v>#N/A</v>
      </c>
      <c r="AT219" s="315" t="e">
        <f>IF($J219="",#N/A,SUM(AR$4:AR219,AP$4:AP219,AN$4:AN219))</f>
        <v>#N/A</v>
      </c>
      <c r="AU219" s="304" t="str">
        <f t="shared" si="363"/>
        <v/>
      </c>
      <c r="AV219" s="313" t="e">
        <f>IF($J219="",#N/A,SUM(AU$4:AU219))</f>
        <v>#N/A</v>
      </c>
      <c r="AW219" s="314" t="str">
        <f t="shared" si="364"/>
        <v/>
      </c>
      <c r="AX219" s="314" t="e">
        <f>IF($J219="",#N/A,SUM(AW$4:AW219))</f>
        <v>#N/A</v>
      </c>
      <c r="AY219" s="315" t="str">
        <f t="shared" si="365"/>
        <v/>
      </c>
      <c r="AZ219" s="315" t="e">
        <f>IF($J219="",#N/A,SUM(AY$4:AY219))</f>
        <v>#N/A</v>
      </c>
      <c r="BA219" s="315" t="e">
        <f>IF($J219="",#N/A,SUM(AY$4:AY219,AW$4:AW219,AU$4:AU219))</f>
        <v>#N/A</v>
      </c>
      <c r="BB219" s="304" t="str">
        <f t="shared" si="366"/>
        <v/>
      </c>
      <c r="BC219" s="313" t="e">
        <f>IF($J219="",#N/A,SUM(BB$4:BB219))</f>
        <v>#N/A</v>
      </c>
      <c r="BD219" s="314" t="str">
        <f t="shared" si="367"/>
        <v/>
      </c>
      <c r="BE219" s="314" t="e">
        <f>IF($J219="",#N/A,SUM(BD$4:BD219))</f>
        <v>#N/A</v>
      </c>
      <c r="BF219" s="315" t="str">
        <f t="shared" si="368"/>
        <v/>
      </c>
      <c r="BG219" s="315" t="e">
        <f>IF($J219="",#N/A,SUM(BF$4:BF219))</f>
        <v>#N/A</v>
      </c>
      <c r="BH219" s="315" t="e">
        <f>IF($J219="",#N/A,SUM(BF$4:BF219,BD$4:BD219,BB$4:BB219))</f>
        <v>#N/A</v>
      </c>
      <c r="BI219" s="304" t="str">
        <f t="shared" si="369"/>
        <v/>
      </c>
      <c r="BJ219" s="313" t="e">
        <f>IF($J219="",#N/A,SUM(BI$4:BI219))</f>
        <v>#N/A</v>
      </c>
      <c r="BK219" s="314" t="str">
        <f t="shared" si="370"/>
        <v/>
      </c>
      <c r="BL219" s="314" t="e">
        <f>IF($J219="",#N/A,SUM(BK$4:BK219))</f>
        <v>#N/A</v>
      </c>
      <c r="BM219" s="315" t="str">
        <f t="shared" si="371"/>
        <v/>
      </c>
      <c r="BN219" s="315" t="e">
        <f>IF($J219="",#N/A,SUM(BM$4:BM219))</f>
        <v>#N/A</v>
      </c>
      <c r="BO219" s="315" t="e">
        <f>IF($J219="",#N/A,SUM(BM$4:BM219,BK$4:BK219,BI$4:BI219))</f>
        <v>#N/A</v>
      </c>
      <c r="BP219" s="304" t="str">
        <f t="shared" si="372"/>
        <v/>
      </c>
      <c r="BQ219" s="313" t="e">
        <f>IF($J219="",#N/A,SUM(BP$4:BP219))</f>
        <v>#N/A</v>
      </c>
      <c r="BR219" s="314" t="str">
        <f t="shared" si="373"/>
        <v/>
      </c>
      <c r="BS219" s="314" t="e">
        <f>IF($J219="",#N/A,SUM(BR$4:BR219))</f>
        <v>#N/A</v>
      </c>
      <c r="BT219" s="315" t="str">
        <f t="shared" si="374"/>
        <v/>
      </c>
      <c r="BU219" s="315" t="e">
        <f>IF($J219="",#N/A,SUM(BT$4:BT219))</f>
        <v>#N/A</v>
      </c>
      <c r="BV219" s="315" t="e">
        <f>IF($J219="",#N/A,SUM(BT$4:BT219,BR$4:BR219,BP$4:BP219))</f>
        <v>#N/A</v>
      </c>
      <c r="BW219" s="304" t="str">
        <f t="shared" si="375"/>
        <v/>
      </c>
      <c r="BX219" s="313" t="e">
        <f>IF($J219="",#N/A,SUM(BW$4:BW219))</f>
        <v>#N/A</v>
      </c>
      <c r="BY219" s="314" t="str">
        <f t="shared" si="376"/>
        <v/>
      </c>
      <c r="BZ219" s="314" t="e">
        <f>IF($J219="",#N/A,SUM(BY$4:BY219))</f>
        <v>#N/A</v>
      </c>
      <c r="CA219" s="315" t="str">
        <f t="shared" si="377"/>
        <v/>
      </c>
      <c r="CB219" s="315" t="e">
        <f>IF($J219="",#N/A,SUM(CA$4:CA219))</f>
        <v>#N/A</v>
      </c>
      <c r="CC219" s="315" t="e">
        <f>IF($J219="",#N/A,SUM(CA$4:CA219,BY$4:BY219,BW$4:BW219))</f>
        <v>#N/A</v>
      </c>
      <c r="CD219" s="304" t="str">
        <f t="shared" si="378"/>
        <v/>
      </c>
      <c r="CE219" s="313" t="e">
        <f>IF($J219="",#N/A,SUM(CD$4:CD219))</f>
        <v>#N/A</v>
      </c>
      <c r="CF219" s="314" t="str">
        <f t="shared" si="379"/>
        <v/>
      </c>
      <c r="CG219" s="314" t="e">
        <f>IF($J219="",#N/A,SUM(CF$4:CF219))</f>
        <v>#N/A</v>
      </c>
      <c r="CH219" s="315" t="str">
        <f t="shared" si="380"/>
        <v/>
      </c>
      <c r="CI219" s="315" t="e">
        <f>IF($J219="",#N/A,SUM(CH$4:CH219))</f>
        <v>#N/A</v>
      </c>
      <c r="CJ219" s="315" t="e">
        <f>IF($J219="",#N/A,SUM(CH$4:CH219,CF$4:CF219,CD$4:CD219))</f>
        <v>#N/A</v>
      </c>
      <c r="CK219" s="304" t="str">
        <f t="shared" si="381"/>
        <v/>
      </c>
      <c r="CL219" s="313" t="e">
        <f>IF($J219="",#N/A,SUM(CK$4:CK219))</f>
        <v>#N/A</v>
      </c>
      <c r="CM219" s="314" t="str">
        <f t="shared" si="382"/>
        <v/>
      </c>
      <c r="CN219" s="314" t="e">
        <f>IF($J219="",#N/A,SUM(CM$4:CM219))</f>
        <v>#N/A</v>
      </c>
      <c r="CO219" s="315">
        <f t="shared" si="383"/>
        <v>-0.76007430152773137</v>
      </c>
      <c r="CP219" s="315" t="e">
        <f>IF($J219="",#N/A,SUM(CO$4:CO219))</f>
        <v>#N/A</v>
      </c>
      <c r="CQ219" s="315" t="e">
        <f>IF($J219="",#N/A,SUM(CO$4:CO219,CM$4:CM219,CK$4:CK219))</f>
        <v>#N/A</v>
      </c>
      <c r="CR219" s="304" t="str">
        <f t="shared" si="384"/>
        <v/>
      </c>
      <c r="CS219" s="313" t="e">
        <f>IF($J219="",#N/A,SUM(CR$4:CR219))</f>
        <v>#N/A</v>
      </c>
      <c r="CT219" s="314" t="str">
        <f t="shared" si="385"/>
        <v/>
      </c>
      <c r="CU219" s="314" t="e">
        <f>IF($J219="",#N/A,SUM(CT$4:CT219))</f>
        <v>#N/A</v>
      </c>
      <c r="CV219" s="315" t="str">
        <f t="shared" si="386"/>
        <v/>
      </c>
      <c r="CW219" s="315" t="e">
        <f>IF($J219="",#N/A,SUM(CV$4:CV219))</f>
        <v>#N/A</v>
      </c>
      <c r="CX219" s="315" t="e">
        <f>IF($J219="",#N/A,SUM(CV$4:CV219,CT$4:CT219,CR$4:CR219))</f>
        <v>#N/A</v>
      </c>
      <c r="CY219" s="304" t="str">
        <f t="shared" si="387"/>
        <v/>
      </c>
      <c r="CZ219" s="313" t="e">
        <f>IF($J219="",#N/A,SUM(CY$4:CY219))</f>
        <v>#N/A</v>
      </c>
      <c r="DA219" s="314" t="str">
        <f t="shared" si="388"/>
        <v/>
      </c>
      <c r="DB219" s="314" t="e">
        <f>IF($J219="",#N/A,SUM(DA$4:DA219))</f>
        <v>#N/A</v>
      </c>
      <c r="DC219" s="315" t="str">
        <f t="shared" si="389"/>
        <v/>
      </c>
      <c r="DD219" s="315" t="e">
        <f>IF($J219="",#N/A,SUM(DC$4:DC219))</f>
        <v>#N/A</v>
      </c>
      <c r="DE219" s="315" t="e">
        <f>IF($J219="",#N/A,SUM(DC$4:DC219,DA$4:DA219,CY$4:CY219))</f>
        <v>#N/A</v>
      </c>
      <c r="DF219" s="304" t="str">
        <f t="shared" si="390"/>
        <v/>
      </c>
      <c r="DG219" s="313" t="e">
        <f>IF($J219="",#N/A,SUM(DF$4:DF219))</f>
        <v>#N/A</v>
      </c>
      <c r="DH219" s="314" t="str">
        <f t="shared" si="391"/>
        <v/>
      </c>
      <c r="DI219" s="314" t="e">
        <f>IF($J219="",#N/A,SUM(DH$4:DH219))</f>
        <v>#N/A</v>
      </c>
      <c r="DJ219" s="315" t="str">
        <f t="shared" si="392"/>
        <v/>
      </c>
      <c r="DK219" s="315" t="e">
        <f>IF($J219="",#N/A,SUM(DJ$4:DJ219))</f>
        <v>#N/A</v>
      </c>
      <c r="DL219" s="315" t="e">
        <f>IF($J219="",#N/A,SUM(DJ$4:DJ219,DH$4:DH219,DF$4:DF219))</f>
        <v>#N/A</v>
      </c>
      <c r="DM219" s="304" t="str">
        <f t="shared" si="393"/>
        <v/>
      </c>
      <c r="DN219" s="313" t="e">
        <f>IF($J219="",#N/A,SUM(DM$4:DM219))</f>
        <v>#N/A</v>
      </c>
      <c r="DO219" s="314" t="str">
        <f t="shared" si="394"/>
        <v/>
      </c>
      <c r="DP219" s="314" t="e">
        <f>IF($J219="",#N/A,SUM(DO$4:DO219))</f>
        <v>#N/A</v>
      </c>
      <c r="DQ219" s="315" t="str">
        <f t="shared" si="395"/>
        <v/>
      </c>
      <c r="DR219" s="315" t="e">
        <f>IF($J219="",#N/A,SUM(DQ$4:DQ219))</f>
        <v>#N/A</v>
      </c>
      <c r="DS219" s="315" t="e">
        <f>IF($J219="",#N/A,SUM(DQ$4:DQ219,DO$4:DO219,DM$4:DM219))</f>
        <v>#N/A</v>
      </c>
      <c r="DT219" s="304" t="str">
        <f t="shared" si="396"/>
        <v/>
      </c>
      <c r="DU219" s="313" t="e">
        <f>IF($J219="",#N/A,SUM(DT$4:DT219))</f>
        <v>#N/A</v>
      </c>
      <c r="DV219" s="314" t="str">
        <f t="shared" si="397"/>
        <v/>
      </c>
      <c r="DW219" s="314" t="e">
        <f>IF($J219="",#N/A,SUM(DV$4:DV219))</f>
        <v>#N/A</v>
      </c>
      <c r="DX219" s="315" t="str">
        <f t="shared" si="398"/>
        <v/>
      </c>
      <c r="DY219" s="315" t="e">
        <f>IF($J219="",#N/A,SUM(DX$4:DX219))</f>
        <v>#N/A</v>
      </c>
      <c r="DZ219" s="315" t="e">
        <f>IF($J219="",#N/A,SUM(DX$4:DX219,DV$4:DV219,DT$4:DT219))</f>
        <v>#N/A</v>
      </c>
      <c r="EA219" s="304" t="str">
        <f t="shared" si="399"/>
        <v/>
      </c>
      <c r="EB219" s="313" t="e">
        <f>IF($J219="",#N/A,SUM(EA$4:EA219))</f>
        <v>#N/A</v>
      </c>
      <c r="EC219" s="314" t="str">
        <f t="shared" si="400"/>
        <v/>
      </c>
      <c r="ED219" s="314" t="e">
        <f>IF($J219="",#N/A,SUM(EC$4:EC219))</f>
        <v>#N/A</v>
      </c>
      <c r="EE219" s="315" t="str">
        <f t="shared" si="401"/>
        <v/>
      </c>
      <c r="EF219" s="315" t="e">
        <f>IF($J219="",#N/A,SUM(EE$4:EE219))</f>
        <v>#N/A</v>
      </c>
      <c r="EG219" s="315" t="e">
        <f>IF($J219="",#N/A,SUM(EE$4:EE219,EC$4:EC219,EA$4:EA219))</f>
        <v>#N/A</v>
      </c>
      <c r="EH219" s="130">
        <f t="shared" si="402"/>
        <v>-16.04000000000002</v>
      </c>
      <c r="EI219" s="63">
        <f>IF(EH219="",#N/A,SUM($EH$4:EH219))</f>
        <v>868.01790099011441</v>
      </c>
      <c r="EJ219" s="223" t="e">
        <f t="shared" si="403"/>
        <v>#N/A</v>
      </c>
      <c r="EK219" s="63" t="e">
        <f>IF($GZ219="",#N/A,SUM(EJ$4:EJ219))</f>
        <v>#N/A</v>
      </c>
      <c r="EL219" s="60">
        <f t="shared" si="435"/>
        <v>-0.76007430152773137</v>
      </c>
      <c r="EM219" s="60">
        <f>IF(EL219="",NA(),SUM($EL$4:EL219))</f>
        <v>25.716057428477679</v>
      </c>
      <c r="EN219" s="60" t="str">
        <f t="shared" si="404"/>
        <v/>
      </c>
      <c r="EO219" s="60" t="e">
        <f>IF(EN219="",NA(),SUM($EN$4:EN219))</f>
        <v>#N/A</v>
      </c>
      <c r="EP219" s="60">
        <f t="shared" si="405"/>
        <v>-0.76007430152773137</v>
      </c>
      <c r="EQ219" s="60">
        <f>IF(EP219="",NA(),SUM($EP$4:EP219))</f>
        <v>6.246598236710267</v>
      </c>
      <c r="ER219" s="60" t="str">
        <f t="shared" si="406"/>
        <v/>
      </c>
      <c r="ES219" s="60" t="e">
        <f>IF(ER219="",NA(),SUM($ER$4:ER219))</f>
        <v>#N/A</v>
      </c>
      <c r="ET219" s="60" t="str">
        <f t="shared" si="407"/>
        <v/>
      </c>
      <c r="EU219" s="60" t="e">
        <f>IF(ET219="",NA(),SUM($ET$4:ET219))</f>
        <v>#N/A</v>
      </c>
      <c r="EV219" s="60" t="str">
        <f t="shared" si="408"/>
        <v/>
      </c>
      <c r="EW219" s="60" t="e">
        <f>IF(EV219="",NA(),SUM($EV$4:EV219))</f>
        <v>#N/A</v>
      </c>
      <c r="EX219" s="60" t="str">
        <f t="shared" si="409"/>
        <v/>
      </c>
      <c r="EY219" s="60" t="e">
        <f>IF(EX219="",NA(),SUM($EX$4:EX219))</f>
        <v>#N/A</v>
      </c>
      <c r="EZ219" s="60" t="str">
        <f t="shared" si="410"/>
        <v/>
      </c>
      <c r="FA219" s="60" t="e">
        <f>IF(EZ219="",NA(),SUM($EZ$4:EZ219))</f>
        <v>#N/A</v>
      </c>
      <c r="FB219" s="246" t="str">
        <f t="shared" si="436"/>
        <v/>
      </c>
      <c r="FC219" s="246" t="e">
        <f>IF($FB219="",#N/A,SUM(FB$4:$FB219))</f>
        <v>#N/A</v>
      </c>
      <c r="FD219" s="60" t="str">
        <f t="shared" si="411"/>
        <v/>
      </c>
      <c r="FE219" s="60" t="e">
        <f>IF($FD219="",#N/A,SUM($FD$4:FD219))</f>
        <v>#N/A</v>
      </c>
      <c r="FF219" s="60" t="str">
        <f t="shared" si="412"/>
        <v/>
      </c>
      <c r="FG219" s="60" t="e">
        <f>IF($FF219="",#N/A,SUM($FF$4:FF219))</f>
        <v>#N/A</v>
      </c>
      <c r="FH219" s="60" t="str">
        <f t="shared" si="413"/>
        <v/>
      </c>
      <c r="FI219" s="60" t="e">
        <f>IF($FH219="",#N/A,SUM($FH$4:FH219))</f>
        <v>#N/A</v>
      </c>
      <c r="FJ219" s="60" t="str">
        <f t="shared" si="414"/>
        <v/>
      </c>
      <c r="FK219" s="60" t="e">
        <f>IF($FJ219="",#N/A,SUM($FJ$4:FJ219))</f>
        <v>#N/A</v>
      </c>
      <c r="FL219" s="60">
        <f t="shared" si="415"/>
        <v>0.14026308806247301</v>
      </c>
      <c r="FM219" s="60">
        <f>IF($FL219="",#N/A,SUM($FL$4:FL219))</f>
        <v>2.0279095624372885</v>
      </c>
      <c r="FN219" s="82">
        <f t="shared" si="416"/>
        <v>-0.61981121346525836</v>
      </c>
      <c r="FO219" s="82">
        <f>IF($FN219="",#N/A,SUM(FN$4:$FN219))</f>
        <v>35.620475800406275</v>
      </c>
      <c r="FP219" s="82">
        <f t="shared" si="437"/>
        <v>-0.76007430152773137</v>
      </c>
      <c r="FQ219" s="246">
        <f>IF($EH219="",#N/A,SUM($FP$4:FP219))</f>
        <v>34.413693764625449</v>
      </c>
      <c r="FR219" s="82">
        <f>IFERROR(FQ219/COUNTA($J$4:J219),#N/A)</f>
        <v>0.15932265631771042</v>
      </c>
      <c r="FS219" s="82">
        <f t="shared" si="443"/>
        <v>0.21595582424284707</v>
      </c>
      <c r="FT219" s="82">
        <f t="shared" si="417"/>
        <v>0.32517757283422871</v>
      </c>
      <c r="FU219" s="337">
        <f t="shared" si="442"/>
        <v>16.504850975717837</v>
      </c>
      <c r="FV219" s="57" t="str">
        <f t="shared" si="418"/>
        <v>SW</v>
      </c>
      <c r="FW219" s="57" t="s">
        <v>2732</v>
      </c>
      <c r="FX219" s="57" t="str">
        <f t="shared" si="419"/>
        <v/>
      </c>
      <c r="FY219" s="57" t="str">
        <f t="shared" si="420"/>
        <v/>
      </c>
      <c r="FZ219" s="57" t="str">
        <f t="shared" si="421"/>
        <v/>
      </c>
      <c r="GA219" s="57" t="str">
        <f t="shared" si="422"/>
        <v>Long</v>
      </c>
      <c r="GB219" s="57" t="str">
        <f t="shared" si="423"/>
        <v/>
      </c>
      <c r="GC219" s="57" t="str">
        <f t="shared" si="424"/>
        <v/>
      </c>
      <c r="GD219" s="57">
        <f t="shared" si="425"/>
        <v>1</v>
      </c>
      <c r="GE219" s="62">
        <f t="shared" si="339"/>
        <v>175.86</v>
      </c>
      <c r="GF219" s="62" t="s">
        <v>2780</v>
      </c>
      <c r="GG219" s="199">
        <v>2</v>
      </c>
      <c r="GH219" s="207">
        <f t="shared" si="426"/>
        <v>351.72</v>
      </c>
      <c r="GI219" s="199">
        <v>2</v>
      </c>
      <c r="GJ219" s="200">
        <v>168</v>
      </c>
      <c r="GK219" s="63">
        <f t="shared" si="427"/>
        <v>15.720000000000027</v>
      </c>
      <c r="GL219" s="63">
        <f t="shared" si="340"/>
        <v>13.080000000000041</v>
      </c>
      <c r="GM219" s="82">
        <f t="shared" si="428"/>
        <v>-0.61981121346525836</v>
      </c>
      <c r="GN219" s="82">
        <f>IF($GZ219="",#N/A,SUM(GM$4:GM219))</f>
        <v>2.2633005091183089</v>
      </c>
      <c r="GO219" s="82" t="str">
        <f t="shared" si="429"/>
        <v/>
      </c>
      <c r="GP219" s="82">
        <f>IF($GZ219="",#N/A,SUM(GO$4:GO219))</f>
        <v>11.174784260249723</v>
      </c>
      <c r="GQ219" s="82" t="str">
        <f t="shared" si="430"/>
        <v/>
      </c>
      <c r="GR219" s="82">
        <f>IF($GZ219="",#N/A,SUM(GQ$4:GQ219))</f>
        <v>21.556554076595891</v>
      </c>
      <c r="GS219" s="63" t="e">
        <f t="shared" si="438"/>
        <v>#N/A</v>
      </c>
      <c r="GT219" s="63" t="e">
        <f>IF($GZ219="",#N/A,SUM(GS$4:GS219))</f>
        <v>#N/A</v>
      </c>
      <c r="GU219" s="63" t="str">
        <f t="shared" si="439"/>
        <v/>
      </c>
      <c r="GV219" s="63" t="e">
        <f>IF($GZ219="",#N/A,SUM(GU$4:GU219))</f>
        <v>#N/A</v>
      </c>
      <c r="GW219" s="63" t="str">
        <f t="shared" si="440"/>
        <v/>
      </c>
      <c r="GX219" s="63" t="e">
        <f>IF($GZ219="",#N/A,SUM(GW$4:GW219))</f>
        <v>#N/A</v>
      </c>
      <c r="GY219" s="63" t="e">
        <f>IF(EJ219="",#N/A,SUM($EJ$4:EJ219))</f>
        <v>#N/A</v>
      </c>
      <c r="GZ219" s="159">
        <v>169.32</v>
      </c>
      <c r="HA219" s="63">
        <f t="shared" si="431"/>
        <v>29.120000000000061</v>
      </c>
      <c r="HB219" s="62" t="s">
        <v>2538</v>
      </c>
      <c r="HC219" s="60">
        <f>IFERROR(VLOOKUP(E219,Expectancy!$P$4:$S$19,1+C219,FALSE),"")</f>
        <v>-0.16876070792161713</v>
      </c>
      <c r="HD219" s="82">
        <f t="shared" si="432"/>
        <v>0.74491072443989659</v>
      </c>
      <c r="HE219" s="138">
        <f>IF(HD219="",#N/A,SUM($HD$4:HD219))</f>
        <v>3.3788427889076122</v>
      </c>
      <c r="HF219" s="85">
        <f>IF(HD219="",#N/A,IF(HB219="Skip",#N/A,SUM($HG$4:HG219)))</f>
        <v>110.47156919911447</v>
      </c>
      <c r="HG219" s="63">
        <f t="shared" si="433"/>
        <v>15.720000000000027</v>
      </c>
      <c r="HH219" s="82">
        <f t="shared" si="434"/>
        <v>-0.61981121346525836</v>
      </c>
    </row>
    <row r="220" spans="1:216" x14ac:dyDescent="0.25">
      <c r="A220" s="57" t="s">
        <v>416</v>
      </c>
      <c r="B220" s="58" t="s">
        <v>5215</v>
      </c>
      <c r="C220" s="386">
        <f t="shared" si="343"/>
        <v>3</v>
      </c>
      <c r="D220" s="372" t="str">
        <f>_xlfn.XLOOKUP(A220,[1]SP500!$A$2:$A$502,[1]SP500!$D$2:$D$502,"N")</f>
        <v>Y</v>
      </c>
      <c r="E220" s="57" t="str">
        <f>_xlfn.XLOOKUP(A220,[1]SP500!$A$2:$A$655,[1]SP500!$B$2:$B$655)</f>
        <v>XLV</v>
      </c>
      <c r="F220" s="59">
        <v>45693</v>
      </c>
      <c r="G220" s="57" t="str">
        <f t="shared" si="344"/>
        <v>AMC</v>
      </c>
      <c r="H220" s="57" t="str">
        <f t="shared" si="345"/>
        <v>o</v>
      </c>
      <c r="I220" s="159">
        <v>606.9</v>
      </c>
      <c r="J220" s="159">
        <v>590</v>
      </c>
      <c r="K220" s="61">
        <f t="shared" si="346"/>
        <v>-2.7846432690723313E-2</v>
      </c>
      <c r="L220" s="87">
        <f t="shared" si="347"/>
        <v>-11.138573076289333</v>
      </c>
      <c r="M220" s="214" t="e">
        <f t="shared" si="338"/>
        <v>#N/A</v>
      </c>
      <c r="N220" s="168" t="str">
        <f t="shared" si="348"/>
        <v/>
      </c>
      <c r="O220" s="168">
        <f>IF($J220="",#N/A,SUM($N$4:N220))</f>
        <v>283.78492601211707</v>
      </c>
      <c r="P220" s="173" t="str">
        <f t="shared" si="349"/>
        <v/>
      </c>
      <c r="Q220" s="173">
        <f>IF($J220="",#N/A,SUM($P$4:P220))</f>
        <v>451.1777640160368</v>
      </c>
      <c r="R220" s="177">
        <f t="shared" si="350"/>
        <v>-11.138573076289333</v>
      </c>
      <c r="S220" s="177">
        <f>IF($J220="",#N/A,SUM($R$4:R220))</f>
        <v>121.91663788567109</v>
      </c>
      <c r="T220" s="293" t="str">
        <f t="shared" si="351"/>
        <v/>
      </c>
      <c r="U220" s="293">
        <f>IF($J220="",#N/A,SUM($T$4:T220))</f>
        <v>10.242121677474179</v>
      </c>
      <c r="V220" s="294" t="str">
        <f t="shared" si="352"/>
        <v/>
      </c>
      <c r="W220" s="294">
        <f>IF($J220="",#N/A,SUM($V$4:V220))</f>
        <v>18.852730770518189</v>
      </c>
      <c r="X220" s="295">
        <f t="shared" si="353"/>
        <v>-0.46410721151205553</v>
      </c>
      <c r="Y220" s="295">
        <f>IF($J220="",#N/A,SUM($X$4:X220))</f>
        <v>4.8547341051210182</v>
      </c>
      <c r="Z220" s="304" t="str">
        <f t="shared" si="354"/>
        <v/>
      </c>
      <c r="AA220" s="316" t="e">
        <f>IF($J220="",#N/A,SUM(Z$4:Z220))</f>
        <v>#N/A</v>
      </c>
      <c r="AB220" s="317" t="str">
        <f t="shared" si="355"/>
        <v/>
      </c>
      <c r="AC220" s="317" t="e">
        <f>IF($J220="",#N/A,SUM(AB$4:AB220))</f>
        <v>#N/A</v>
      </c>
      <c r="AD220" s="318" t="str">
        <f t="shared" si="356"/>
        <v/>
      </c>
      <c r="AE220" s="318" t="e">
        <f>IF($J220="",#N/A,SUM(AD$4:AD220))</f>
        <v>#N/A</v>
      </c>
      <c r="AF220" s="318" t="e">
        <f>IF($J220="",#N/A,SUM(AD$4:AD220,AB$4:AB220,Z$4:Z220))</f>
        <v>#N/A</v>
      </c>
      <c r="AG220" s="304" t="str">
        <f t="shared" si="357"/>
        <v/>
      </c>
      <c r="AH220" s="316" t="e">
        <f>IF($J220="",#N/A,SUM(AG$4:AG220))</f>
        <v>#N/A</v>
      </c>
      <c r="AI220" s="317" t="str">
        <f t="shared" si="358"/>
        <v/>
      </c>
      <c r="AJ220" s="317" t="e">
        <f>IF($J220="",#N/A,SUM(AI$4:AI220))</f>
        <v>#N/A</v>
      </c>
      <c r="AK220" s="318" t="str">
        <f t="shared" si="359"/>
        <v/>
      </c>
      <c r="AL220" s="318" t="e">
        <f>IF($J220="",#N/A,SUM(AK$4:AK220))</f>
        <v>#N/A</v>
      </c>
      <c r="AM220" s="318" t="e">
        <f>IF($J220="",#N/A,SUM(AK$4:AK220,AI$4:AI220,AG$4:AG220))</f>
        <v>#N/A</v>
      </c>
      <c r="AN220" s="304" t="str">
        <f t="shared" si="360"/>
        <v/>
      </c>
      <c r="AO220" s="316" t="e">
        <f>IF($J220="",#N/A,SUM(AN$4:AN220))</f>
        <v>#N/A</v>
      </c>
      <c r="AP220" s="317" t="str">
        <f t="shared" si="361"/>
        <v/>
      </c>
      <c r="AQ220" s="317" t="e">
        <f>IF($J220="",#N/A,SUM(AP$4:AP220))</f>
        <v>#N/A</v>
      </c>
      <c r="AR220" s="318" t="str">
        <f t="shared" si="362"/>
        <v/>
      </c>
      <c r="AS220" s="318" t="e">
        <f>IF($J220="",#N/A,SUM(AR$4:AR220))</f>
        <v>#N/A</v>
      </c>
      <c r="AT220" s="318" t="e">
        <f>IF($J220="",#N/A,SUM(AR$4:AR220,AP$4:AP220,AN$4:AN220))</f>
        <v>#N/A</v>
      </c>
      <c r="AU220" s="304" t="str">
        <f t="shared" si="363"/>
        <v/>
      </c>
      <c r="AV220" s="316" t="e">
        <f>IF($J220="",#N/A,SUM(AU$4:AU220))</f>
        <v>#N/A</v>
      </c>
      <c r="AW220" s="317" t="str">
        <f t="shared" si="364"/>
        <v/>
      </c>
      <c r="AX220" s="317" t="e">
        <f>IF($J220="",#N/A,SUM(AW$4:AW220))</f>
        <v>#N/A</v>
      </c>
      <c r="AY220" s="318" t="str">
        <f t="shared" si="365"/>
        <v/>
      </c>
      <c r="AZ220" s="318" t="e">
        <f>IF($J220="",#N/A,SUM(AY$4:AY220))</f>
        <v>#N/A</v>
      </c>
      <c r="BA220" s="318" t="e">
        <f>IF($J220="",#N/A,SUM(AY$4:AY220,AW$4:AW220,AU$4:AU220))</f>
        <v>#N/A</v>
      </c>
      <c r="BB220" s="304" t="str">
        <f t="shared" si="366"/>
        <v/>
      </c>
      <c r="BC220" s="316" t="e">
        <f>IF($J220="",#N/A,SUM(BB$4:BB220))</f>
        <v>#N/A</v>
      </c>
      <c r="BD220" s="317" t="str">
        <f t="shared" si="367"/>
        <v/>
      </c>
      <c r="BE220" s="317" t="e">
        <f>IF($J220="",#N/A,SUM(BD$4:BD220))</f>
        <v>#N/A</v>
      </c>
      <c r="BF220" s="318" t="str">
        <f t="shared" si="368"/>
        <v/>
      </c>
      <c r="BG220" s="318" t="e">
        <f>IF($J220="",#N/A,SUM(BF$4:BF220))</f>
        <v>#N/A</v>
      </c>
      <c r="BH220" s="318" t="e">
        <f>IF($J220="",#N/A,SUM(BF$4:BF220,BD$4:BD220,BB$4:BB220))</f>
        <v>#N/A</v>
      </c>
      <c r="BI220" s="304" t="str">
        <f t="shared" si="369"/>
        <v/>
      </c>
      <c r="BJ220" s="316" t="e">
        <f>IF($J220="",#N/A,SUM(BI$4:BI220))</f>
        <v>#N/A</v>
      </c>
      <c r="BK220" s="317" t="str">
        <f t="shared" si="370"/>
        <v/>
      </c>
      <c r="BL220" s="317" t="e">
        <f>IF($J220="",#N/A,SUM(BK$4:BK220))</f>
        <v>#N/A</v>
      </c>
      <c r="BM220" s="318" t="str">
        <f t="shared" si="371"/>
        <v/>
      </c>
      <c r="BN220" s="318" t="e">
        <f>IF($J220="",#N/A,SUM(BM$4:BM220))</f>
        <v>#N/A</v>
      </c>
      <c r="BO220" s="318" t="e">
        <f>IF($J220="",#N/A,SUM(BM$4:BM220,BK$4:BK220,BI$4:BI220))</f>
        <v>#N/A</v>
      </c>
      <c r="BP220" s="304" t="str">
        <f t="shared" si="372"/>
        <v/>
      </c>
      <c r="BQ220" s="316" t="e">
        <f>IF($J220="",#N/A,SUM(BP$4:BP220))</f>
        <v>#N/A</v>
      </c>
      <c r="BR220" s="317" t="str">
        <f t="shared" si="373"/>
        <v/>
      </c>
      <c r="BS220" s="317" t="e">
        <f>IF($J220="",#N/A,SUM(BR$4:BR220))</f>
        <v>#N/A</v>
      </c>
      <c r="BT220" s="318" t="str">
        <f t="shared" si="374"/>
        <v/>
      </c>
      <c r="BU220" s="318" t="e">
        <f>IF($J220="",#N/A,SUM(BT$4:BT220))</f>
        <v>#N/A</v>
      </c>
      <c r="BV220" s="318" t="e">
        <f>IF($J220="",#N/A,SUM(BT$4:BT220,BR$4:BR220,BP$4:BP220))</f>
        <v>#N/A</v>
      </c>
      <c r="BW220" s="304" t="str">
        <f t="shared" si="375"/>
        <v/>
      </c>
      <c r="BX220" s="316" t="e">
        <f>IF($J220="",#N/A,SUM(BW$4:BW220))</f>
        <v>#N/A</v>
      </c>
      <c r="BY220" s="317" t="str">
        <f t="shared" si="376"/>
        <v/>
      </c>
      <c r="BZ220" s="317" t="e">
        <f>IF($J220="",#N/A,SUM(BY$4:BY220))</f>
        <v>#N/A</v>
      </c>
      <c r="CA220" s="318">
        <f t="shared" si="377"/>
        <v>-0.46410721151205553</v>
      </c>
      <c r="CB220" s="318" t="e">
        <f>IF($J220="",#N/A,SUM(CA$4:CA220))</f>
        <v>#N/A</v>
      </c>
      <c r="CC220" s="318" t="e">
        <f>IF($J220="",#N/A,SUM(CA$4:CA220,BY$4:BY220,BW$4:BW220))</f>
        <v>#N/A</v>
      </c>
      <c r="CD220" s="304" t="str">
        <f t="shared" si="378"/>
        <v/>
      </c>
      <c r="CE220" s="316" t="e">
        <f>IF($J220="",#N/A,SUM(CD$4:CD220))</f>
        <v>#N/A</v>
      </c>
      <c r="CF220" s="317" t="str">
        <f t="shared" si="379"/>
        <v/>
      </c>
      <c r="CG220" s="317" t="e">
        <f>IF($J220="",#N/A,SUM(CF$4:CF220))</f>
        <v>#N/A</v>
      </c>
      <c r="CH220" s="318" t="str">
        <f t="shared" si="380"/>
        <v/>
      </c>
      <c r="CI220" s="318" t="e">
        <f>IF($J220="",#N/A,SUM(CH$4:CH220))</f>
        <v>#N/A</v>
      </c>
      <c r="CJ220" s="318" t="e">
        <f>IF($J220="",#N/A,SUM(CH$4:CH220,CF$4:CF220,CD$4:CD220))</f>
        <v>#N/A</v>
      </c>
      <c r="CK220" s="304" t="str">
        <f t="shared" si="381"/>
        <v/>
      </c>
      <c r="CL220" s="316" t="e">
        <f>IF($J220="",#N/A,SUM(CK$4:CK220))</f>
        <v>#N/A</v>
      </c>
      <c r="CM220" s="317" t="str">
        <f t="shared" si="382"/>
        <v/>
      </c>
      <c r="CN220" s="317" t="e">
        <f>IF($J220="",#N/A,SUM(CM$4:CM220))</f>
        <v>#N/A</v>
      </c>
      <c r="CO220" s="318" t="str">
        <f t="shared" si="383"/>
        <v/>
      </c>
      <c r="CP220" s="318" t="e">
        <f>IF($J220="",#N/A,SUM(CO$4:CO220))</f>
        <v>#N/A</v>
      </c>
      <c r="CQ220" s="318" t="e">
        <f>IF($J220="",#N/A,SUM(CO$4:CO220,CM$4:CM220,CK$4:CK220))</f>
        <v>#N/A</v>
      </c>
      <c r="CR220" s="304" t="str">
        <f t="shared" si="384"/>
        <v/>
      </c>
      <c r="CS220" s="316" t="e">
        <f>IF($J220="",#N/A,SUM(CR$4:CR220))</f>
        <v>#N/A</v>
      </c>
      <c r="CT220" s="317" t="str">
        <f t="shared" si="385"/>
        <v/>
      </c>
      <c r="CU220" s="317" t="e">
        <f>IF($J220="",#N/A,SUM(CT$4:CT220))</f>
        <v>#N/A</v>
      </c>
      <c r="CV220" s="318" t="str">
        <f t="shared" si="386"/>
        <v/>
      </c>
      <c r="CW220" s="318" t="e">
        <f>IF($J220="",#N/A,SUM(CV$4:CV220))</f>
        <v>#N/A</v>
      </c>
      <c r="CX220" s="318" t="e">
        <f>IF($J220="",#N/A,SUM(CV$4:CV220,CT$4:CT220,CR$4:CR220))</f>
        <v>#N/A</v>
      </c>
      <c r="CY220" s="304" t="str">
        <f t="shared" si="387"/>
        <v/>
      </c>
      <c r="CZ220" s="316" t="e">
        <f>IF($J220="",#N/A,SUM(CY$4:CY220))</f>
        <v>#N/A</v>
      </c>
      <c r="DA220" s="317" t="str">
        <f t="shared" si="388"/>
        <v/>
      </c>
      <c r="DB220" s="317" t="e">
        <f>IF($J220="",#N/A,SUM(DA$4:DA220))</f>
        <v>#N/A</v>
      </c>
      <c r="DC220" s="318" t="str">
        <f t="shared" si="389"/>
        <v/>
      </c>
      <c r="DD220" s="318" t="e">
        <f>IF($J220="",#N/A,SUM(DC$4:DC220))</f>
        <v>#N/A</v>
      </c>
      <c r="DE220" s="318" t="e">
        <f>IF($J220="",#N/A,SUM(DC$4:DC220,DA$4:DA220,CY$4:CY220))</f>
        <v>#N/A</v>
      </c>
      <c r="DF220" s="304" t="str">
        <f t="shared" si="390"/>
        <v/>
      </c>
      <c r="DG220" s="316" t="e">
        <f>IF($J220="",#N/A,SUM(DF$4:DF220))</f>
        <v>#N/A</v>
      </c>
      <c r="DH220" s="317" t="str">
        <f t="shared" si="391"/>
        <v/>
      </c>
      <c r="DI220" s="317" t="e">
        <f>IF($J220="",#N/A,SUM(DH$4:DH220))</f>
        <v>#N/A</v>
      </c>
      <c r="DJ220" s="318" t="str">
        <f t="shared" si="392"/>
        <v/>
      </c>
      <c r="DK220" s="318" t="e">
        <f>IF($J220="",#N/A,SUM(DJ$4:DJ220))</f>
        <v>#N/A</v>
      </c>
      <c r="DL220" s="318" t="e">
        <f>IF($J220="",#N/A,SUM(DJ$4:DJ220,DH$4:DH220,DF$4:DF220))</f>
        <v>#N/A</v>
      </c>
      <c r="DM220" s="304" t="str">
        <f t="shared" si="393"/>
        <v/>
      </c>
      <c r="DN220" s="316" t="e">
        <f>IF($J220="",#N/A,SUM(DM$4:DM220))</f>
        <v>#N/A</v>
      </c>
      <c r="DO220" s="317" t="str">
        <f t="shared" si="394"/>
        <v/>
      </c>
      <c r="DP220" s="317" t="e">
        <f>IF($J220="",#N/A,SUM(DO$4:DO220))</f>
        <v>#N/A</v>
      </c>
      <c r="DQ220" s="318" t="str">
        <f t="shared" si="395"/>
        <v/>
      </c>
      <c r="DR220" s="318" t="e">
        <f>IF($J220="",#N/A,SUM(DQ$4:DQ220))</f>
        <v>#N/A</v>
      </c>
      <c r="DS220" s="318" t="e">
        <f>IF($J220="",#N/A,SUM(DQ$4:DQ220,DO$4:DO220,DM$4:DM220))</f>
        <v>#N/A</v>
      </c>
      <c r="DT220" s="304" t="str">
        <f t="shared" si="396"/>
        <v/>
      </c>
      <c r="DU220" s="316" t="e">
        <f>IF($J220="",#N/A,SUM(DT$4:DT220))</f>
        <v>#N/A</v>
      </c>
      <c r="DV220" s="317" t="str">
        <f t="shared" si="397"/>
        <v/>
      </c>
      <c r="DW220" s="317" t="e">
        <f>IF($J220="",#N/A,SUM(DV$4:DV220))</f>
        <v>#N/A</v>
      </c>
      <c r="DX220" s="318" t="str">
        <f t="shared" si="398"/>
        <v/>
      </c>
      <c r="DY220" s="318" t="e">
        <f>IF($J220="",#N/A,SUM(DX$4:DX220))</f>
        <v>#N/A</v>
      </c>
      <c r="DZ220" s="318" t="e">
        <f>IF($J220="",#N/A,SUM(DX$4:DX220,DV$4:DV220,DT$4:DT220))</f>
        <v>#N/A</v>
      </c>
      <c r="EA220" s="304" t="str">
        <f t="shared" si="399"/>
        <v/>
      </c>
      <c r="EB220" s="316" t="e">
        <f>IF($J220="",#N/A,SUM(EA$4:EA220))</f>
        <v>#N/A</v>
      </c>
      <c r="EC220" s="317" t="str">
        <f t="shared" si="400"/>
        <v/>
      </c>
      <c r="ED220" s="317" t="e">
        <f>IF($J220="",#N/A,SUM(EC$4:EC220))</f>
        <v>#N/A</v>
      </c>
      <c r="EE220" s="318" t="str">
        <f t="shared" si="401"/>
        <v/>
      </c>
      <c r="EF220" s="318" t="e">
        <f>IF($J220="",#N/A,SUM(EE$4:EE220))</f>
        <v>#N/A</v>
      </c>
      <c r="EG220" s="318" t="e">
        <f>IF($J220="",#N/A,SUM(EE$4:EE220,EC$4:EC220,EA$4:EA220))</f>
        <v>#N/A</v>
      </c>
      <c r="EH220" s="211">
        <f t="shared" si="402"/>
        <v>-11.138573076289333</v>
      </c>
      <c r="EI220" s="63">
        <f>IF(EH220="",#N/A,SUM($EH$4:EH220))</f>
        <v>856.87932791382514</v>
      </c>
      <c r="EJ220" s="223" t="e">
        <f t="shared" si="403"/>
        <v>#N/A</v>
      </c>
      <c r="EK220" s="63" t="e">
        <f>IF($GZ220="",#N/A,SUM(EJ$4:EJ220))</f>
        <v>#N/A</v>
      </c>
      <c r="EL220" s="60">
        <f t="shared" si="435"/>
        <v>-0.46410721151205553</v>
      </c>
      <c r="EM220" s="60">
        <f>IF(EL220="",NA(),SUM($EL$4:EL220))</f>
        <v>25.251950216965625</v>
      </c>
      <c r="EN220" s="60" t="str">
        <f t="shared" si="404"/>
        <v/>
      </c>
      <c r="EO220" s="60" t="e">
        <f>IF(EN220="",NA(),SUM($EN$4:EN220))</f>
        <v>#N/A</v>
      </c>
      <c r="EP220" s="60">
        <f t="shared" si="405"/>
        <v>-0.46410721151205553</v>
      </c>
      <c r="EQ220" s="60">
        <f>IF(EP220="",NA(),SUM($EP$4:EP220))</f>
        <v>5.7824910251982118</v>
      </c>
      <c r="ER220" s="60" t="str">
        <f t="shared" si="406"/>
        <v/>
      </c>
      <c r="ES220" s="60" t="e">
        <f>IF(ER220="",NA(),SUM($ER$4:ER220))</f>
        <v>#N/A</v>
      </c>
      <c r="ET220" s="60" t="str">
        <f t="shared" si="407"/>
        <v/>
      </c>
      <c r="EU220" s="60" t="e">
        <f>IF(ET220="",NA(),SUM($ET$4:ET220))</f>
        <v>#N/A</v>
      </c>
      <c r="EV220" s="60" t="str">
        <f t="shared" si="408"/>
        <v/>
      </c>
      <c r="EW220" s="60" t="e">
        <f>IF(EV220="",NA(),SUM($EV$4:EV220))</f>
        <v>#N/A</v>
      </c>
      <c r="EX220" s="60" t="str">
        <f t="shared" si="409"/>
        <v/>
      </c>
      <c r="EY220" s="60" t="e">
        <f>IF(EX220="",NA(),SUM($EX$4:EX220))</f>
        <v>#N/A</v>
      </c>
      <c r="EZ220" s="60" t="str">
        <f t="shared" si="410"/>
        <v/>
      </c>
      <c r="FA220" s="60" t="e">
        <f>IF(EZ220="",NA(),SUM($EZ$4:EZ220))</f>
        <v>#N/A</v>
      </c>
      <c r="FB220" s="246" t="str">
        <f t="shared" si="436"/>
        <v/>
      </c>
      <c r="FC220" s="246" t="e">
        <f>IF($FB220="",#N/A,SUM(FB$4:$FB220))</f>
        <v>#N/A</v>
      </c>
      <c r="FD220" s="60" t="str">
        <f t="shared" si="411"/>
        <v/>
      </c>
      <c r="FE220" s="60" t="e">
        <f>IF($FD220="",#N/A,SUM($FD$4:FD220))</f>
        <v>#N/A</v>
      </c>
      <c r="FF220" s="60" t="str">
        <f t="shared" si="412"/>
        <v/>
      </c>
      <c r="FG220" s="60" t="e">
        <f>IF($FF220="",#N/A,SUM($FF$4:FF220))</f>
        <v>#N/A</v>
      </c>
      <c r="FH220" s="60" t="str">
        <f t="shared" si="413"/>
        <v/>
      </c>
      <c r="FI220" s="60" t="e">
        <f>IF($FH220="",#N/A,SUM($FH$4:FH220))</f>
        <v>#N/A</v>
      </c>
      <c r="FJ220" s="60" t="str">
        <f t="shared" si="414"/>
        <v/>
      </c>
      <c r="FK220" s="60" t="e">
        <f>IF($FJ220="",#N/A,SUM($FJ$4:FJ220))</f>
        <v>#N/A</v>
      </c>
      <c r="FL220" s="60">
        <f t="shared" si="415"/>
        <v>0.26775416048772388</v>
      </c>
      <c r="FM220" s="60">
        <f>IF($FL220="",#N/A,SUM($FL$4:FL220))</f>
        <v>2.2956637229250125</v>
      </c>
      <c r="FN220" s="82">
        <f t="shared" si="416"/>
        <v>-0.19635305102433165</v>
      </c>
      <c r="FO220" s="82">
        <f>IF($FN220="",#N/A,SUM(FN$4:$FN220))</f>
        <v>35.424122749381944</v>
      </c>
      <c r="FP220" s="82">
        <f t="shared" si="437"/>
        <v>-0.46410721151205553</v>
      </c>
      <c r="FQ220" s="246">
        <f>IF($EH220="",#N/A,SUM($FP$4:FP220))</f>
        <v>33.949586553113392</v>
      </c>
      <c r="FR220" s="82">
        <f>IFERROR(FQ220/COUNTA($J$4:J220),#N/A)</f>
        <v>0.15644970761803406</v>
      </c>
      <c r="FS220" s="82">
        <f t="shared" si="443"/>
        <v>0.19353320578061162</v>
      </c>
      <c r="FT220" s="82">
        <f t="shared" si="417"/>
        <v>0.33915659020144834</v>
      </c>
      <c r="FU220" s="273"/>
      <c r="FV220" s="57" t="str">
        <f t="shared" si="418"/>
        <v>SW</v>
      </c>
      <c r="FW220" s="57" t="s">
        <v>2732</v>
      </c>
      <c r="FX220" s="57" t="str">
        <f t="shared" si="419"/>
        <v/>
      </c>
      <c r="FY220" s="57" t="str">
        <f t="shared" si="420"/>
        <v/>
      </c>
      <c r="FZ220" s="57" t="str">
        <f t="shared" si="421"/>
        <v/>
      </c>
      <c r="GA220" s="57" t="str">
        <f t="shared" si="422"/>
        <v>Long</v>
      </c>
      <c r="GB220" s="57" t="str">
        <f t="shared" si="423"/>
        <v/>
      </c>
      <c r="GC220" s="57" t="str">
        <f t="shared" si="424"/>
        <v/>
      </c>
      <c r="GD220" s="57">
        <f t="shared" si="425"/>
        <v>1</v>
      </c>
      <c r="GE220" s="62">
        <f t="shared" si="339"/>
        <v>606.9</v>
      </c>
      <c r="GF220" s="62" t="s">
        <v>2779</v>
      </c>
      <c r="GG220" s="99">
        <f>400/I220</f>
        <v>0.65908716427747571</v>
      </c>
      <c r="GH220" s="207">
        <f t="shared" si="426"/>
        <v>400</v>
      </c>
      <c r="GI220" s="99">
        <f>GG220</f>
        <v>0.65908716427747571</v>
      </c>
      <c r="GJ220" s="98">
        <f>J220</f>
        <v>590</v>
      </c>
      <c r="GK220" s="63">
        <f t="shared" si="427"/>
        <v>-11.138573076289333</v>
      </c>
      <c r="GL220" s="63">
        <f t="shared" si="340"/>
        <v>-4.7124732245839596</v>
      </c>
      <c r="GM220" s="82">
        <f t="shared" si="428"/>
        <v>-0.19635305102433165</v>
      </c>
      <c r="GN220" s="82">
        <f>IF($GZ220="",#N/A,SUM(GM$4:GM220))</f>
        <v>2.0669474580939773</v>
      </c>
      <c r="GO220" s="82" t="str">
        <f t="shared" si="429"/>
        <v/>
      </c>
      <c r="GP220" s="82">
        <f>IF($GZ220="",#N/A,SUM(GO$4:GO220))</f>
        <v>11.174784260249723</v>
      </c>
      <c r="GQ220" s="82" t="str">
        <f t="shared" si="430"/>
        <v/>
      </c>
      <c r="GR220" s="82">
        <f>IF($GZ220="",#N/A,SUM(GQ$4:GQ220))</f>
        <v>21.556554076595891</v>
      </c>
      <c r="GS220" s="63" t="e">
        <f t="shared" si="438"/>
        <v>#N/A</v>
      </c>
      <c r="GT220" s="63" t="e">
        <f>IF($GZ220="",#N/A,SUM(GS$4:GS220))</f>
        <v>#N/A</v>
      </c>
      <c r="GU220" s="63" t="str">
        <f t="shared" si="439"/>
        <v/>
      </c>
      <c r="GV220" s="63" t="e">
        <f>IF($GZ220="",#N/A,SUM(GU$4:GU220))</f>
        <v>#N/A</v>
      </c>
      <c r="GW220" s="63" t="str">
        <f t="shared" si="440"/>
        <v/>
      </c>
      <c r="GX220" s="63" t="e">
        <f>IF($GZ220="",#N/A,SUM(GW$4:GW220))</f>
        <v>#N/A</v>
      </c>
      <c r="GY220" s="63" t="e">
        <f>IF(EJ220="",#N/A,SUM($EJ$4:EJ220))</f>
        <v>#N/A</v>
      </c>
      <c r="GZ220" s="159">
        <v>599.75</v>
      </c>
      <c r="HA220" s="63">
        <f t="shared" si="431"/>
        <v>6.4260998517053736</v>
      </c>
      <c r="HB220" s="130" t="s">
        <v>4970</v>
      </c>
      <c r="HC220" s="60">
        <f>IFERROR(VLOOKUP(E220,Expectancy!$P$4:$S$19,1+C220,FALSE),"")</f>
        <v>-0.15084750675779673</v>
      </c>
      <c r="HD220" s="82" t="str">
        <f t="shared" si="432"/>
        <v/>
      </c>
      <c r="HE220" s="138" t="e">
        <f>IF(HD220="",#N/A,SUM($HD$4:HD220))</f>
        <v>#N/A</v>
      </c>
      <c r="HF220" s="85" t="e">
        <f>IF(HD220="",#N/A,IF(HB220="Skip",#N/A,SUM($HG$4:HG220)))</f>
        <v>#N/A</v>
      </c>
      <c r="HG220" s="205" t="str">
        <f t="shared" si="433"/>
        <v/>
      </c>
      <c r="HH220" s="82">
        <f t="shared" si="434"/>
        <v>-0.19635305102433165</v>
      </c>
    </row>
    <row r="221" spans="1:216" x14ac:dyDescent="0.25">
      <c r="A221" s="57" t="s">
        <v>1397</v>
      </c>
      <c r="B221" s="58" t="s">
        <v>5216</v>
      </c>
      <c r="C221" s="386">
        <f t="shared" si="343"/>
        <v>3</v>
      </c>
      <c r="D221" s="372" t="str">
        <f>_xlfn.XLOOKUP(A221,[1]SP500!$A$2:$A$502,[1]SP500!$D$2:$D$502,"N")</f>
        <v>Y</v>
      </c>
      <c r="E221" s="102" t="str">
        <f>_xlfn.XLOOKUP(A221,[1]SP500!$A$2:$A$655,[1]SP500!$B$2:$B$655)</f>
        <v>INS</v>
      </c>
      <c r="F221" s="59">
        <v>45693</v>
      </c>
      <c r="G221" s="57" t="str">
        <f t="shared" si="344"/>
        <v>AMC</v>
      </c>
      <c r="H221" s="57" t="str">
        <f t="shared" si="345"/>
        <v>o</v>
      </c>
      <c r="I221" s="159">
        <v>107.29</v>
      </c>
      <c r="J221" s="159">
        <v>106.33</v>
      </c>
      <c r="K221" s="61">
        <f t="shared" si="346"/>
        <v>-8.9477118091155546E-3</v>
      </c>
      <c r="L221" s="87">
        <f t="shared" si="347"/>
        <v>3.8400000000000318</v>
      </c>
      <c r="M221" s="130">
        <f t="shared" si="338"/>
        <v>0.19999999999998863</v>
      </c>
      <c r="N221" s="169" t="str">
        <f t="shared" si="348"/>
        <v/>
      </c>
      <c r="O221" s="169">
        <f>IF($J221="",#N/A,SUM($N$4:N221))</f>
        <v>283.78492601211707</v>
      </c>
      <c r="P221" s="174" t="str">
        <f t="shared" si="349"/>
        <v/>
      </c>
      <c r="Q221" s="174">
        <f>IF($J221="",#N/A,SUM($P$4:P221))</f>
        <v>451.1777640160368</v>
      </c>
      <c r="R221" s="178">
        <f t="shared" si="350"/>
        <v>-3.8400000000000318</v>
      </c>
      <c r="S221" s="178">
        <f>IF($J221="",#N/A,SUM($R$4:R221))</f>
        <v>118.07663788567106</v>
      </c>
      <c r="T221" s="290" t="str">
        <f t="shared" si="351"/>
        <v/>
      </c>
      <c r="U221" s="290">
        <f>IF($J221="",#N/A,SUM($T$4:T221))</f>
        <v>10.242121677474179</v>
      </c>
      <c r="V221" s="291" t="str">
        <f t="shared" si="352"/>
        <v/>
      </c>
      <c r="W221" s="291">
        <f>IF($J221="",#N/A,SUM($V$4:V221))</f>
        <v>18.852730770518189</v>
      </c>
      <c r="X221" s="292">
        <f t="shared" si="353"/>
        <v>-0.14912853015192593</v>
      </c>
      <c r="Y221" s="292">
        <f>IF($J221="",#N/A,SUM($X$4:X221))</f>
        <v>4.7056055749690922</v>
      </c>
      <c r="Z221" s="304" t="str">
        <f t="shared" si="354"/>
        <v/>
      </c>
      <c r="AA221" s="313" t="e">
        <f>IF($J221="",#N/A,SUM(Z$4:Z221))</f>
        <v>#N/A</v>
      </c>
      <c r="AB221" s="314" t="str">
        <f t="shared" si="355"/>
        <v/>
      </c>
      <c r="AC221" s="314" t="e">
        <f>IF($J221="",#N/A,SUM(AB$4:AB221))</f>
        <v>#N/A</v>
      </c>
      <c r="AD221" s="315" t="str">
        <f t="shared" si="356"/>
        <v/>
      </c>
      <c r="AE221" s="315" t="e">
        <f>IF($J221="",#N/A,SUM(AD$4:AD221))</f>
        <v>#N/A</v>
      </c>
      <c r="AF221" s="315" t="e">
        <f>IF($J221="",#N/A,SUM(AD$4:AD221,AB$4:AB221,Z$4:Z221))</f>
        <v>#N/A</v>
      </c>
      <c r="AG221" s="304" t="str">
        <f t="shared" si="357"/>
        <v/>
      </c>
      <c r="AH221" s="313" t="e">
        <f>IF($J221="",#N/A,SUM(AG$4:AG221))</f>
        <v>#N/A</v>
      </c>
      <c r="AI221" s="314" t="str">
        <f t="shared" si="358"/>
        <v/>
      </c>
      <c r="AJ221" s="314" t="e">
        <f>IF($J221="",#N/A,SUM(AI$4:AI221))</f>
        <v>#N/A</v>
      </c>
      <c r="AK221" s="315" t="str">
        <f t="shared" si="359"/>
        <v/>
      </c>
      <c r="AL221" s="315" t="e">
        <f>IF($J221="",#N/A,SUM(AK$4:AK221))</f>
        <v>#N/A</v>
      </c>
      <c r="AM221" s="315" t="e">
        <f>IF($J221="",#N/A,SUM(AK$4:AK221,AI$4:AI221,AG$4:AG221))</f>
        <v>#N/A</v>
      </c>
      <c r="AN221" s="304" t="str">
        <f t="shared" si="360"/>
        <v/>
      </c>
      <c r="AO221" s="313" t="e">
        <f>IF($J221="",#N/A,SUM(AN$4:AN221))</f>
        <v>#N/A</v>
      </c>
      <c r="AP221" s="314" t="str">
        <f t="shared" si="361"/>
        <v/>
      </c>
      <c r="AQ221" s="314" t="e">
        <f>IF($J221="",#N/A,SUM(AP$4:AP221))</f>
        <v>#N/A</v>
      </c>
      <c r="AR221" s="315" t="str">
        <f t="shared" si="362"/>
        <v/>
      </c>
      <c r="AS221" s="315" t="e">
        <f>IF($J221="",#N/A,SUM(AR$4:AR221))</f>
        <v>#N/A</v>
      </c>
      <c r="AT221" s="315" t="e">
        <f>IF($J221="",#N/A,SUM(AR$4:AR221,AP$4:AP221,AN$4:AN221))</f>
        <v>#N/A</v>
      </c>
      <c r="AU221" s="304" t="str">
        <f t="shared" si="363"/>
        <v/>
      </c>
      <c r="AV221" s="313" t="e">
        <f>IF($J221="",#N/A,SUM(AU$4:AU221))</f>
        <v>#N/A</v>
      </c>
      <c r="AW221" s="314" t="str">
        <f t="shared" si="364"/>
        <v/>
      </c>
      <c r="AX221" s="314" t="e">
        <f>IF($J221="",#N/A,SUM(AW$4:AW221))</f>
        <v>#N/A</v>
      </c>
      <c r="AY221" s="315" t="str">
        <f t="shared" si="365"/>
        <v/>
      </c>
      <c r="AZ221" s="315" t="e">
        <f>IF($J221="",#N/A,SUM(AY$4:AY221))</f>
        <v>#N/A</v>
      </c>
      <c r="BA221" s="315" t="e">
        <f>IF($J221="",#N/A,SUM(AY$4:AY221,AW$4:AW221,AU$4:AU221))</f>
        <v>#N/A</v>
      </c>
      <c r="BB221" s="304" t="str">
        <f t="shared" si="366"/>
        <v/>
      </c>
      <c r="BC221" s="313" t="e">
        <f>IF($J221="",#N/A,SUM(BB$4:BB221))</f>
        <v>#N/A</v>
      </c>
      <c r="BD221" s="314" t="str">
        <f t="shared" si="367"/>
        <v/>
      </c>
      <c r="BE221" s="314" t="e">
        <f>IF($J221="",#N/A,SUM(BD$4:BD221))</f>
        <v>#N/A</v>
      </c>
      <c r="BF221" s="315" t="str">
        <f t="shared" si="368"/>
        <v/>
      </c>
      <c r="BG221" s="315" t="e">
        <f>IF($J221="",#N/A,SUM(BF$4:BF221))</f>
        <v>#N/A</v>
      </c>
      <c r="BH221" s="315" t="e">
        <f>IF($J221="",#N/A,SUM(BF$4:BF221,BD$4:BD221,BB$4:BB221))</f>
        <v>#N/A</v>
      </c>
      <c r="BI221" s="304" t="str">
        <f t="shared" si="369"/>
        <v/>
      </c>
      <c r="BJ221" s="313" t="e">
        <f>IF($J221="",#N/A,SUM(BI$4:BI221))</f>
        <v>#N/A</v>
      </c>
      <c r="BK221" s="314" t="str">
        <f t="shared" si="370"/>
        <v/>
      </c>
      <c r="BL221" s="314" t="e">
        <f>IF($J221="",#N/A,SUM(BK$4:BK221))</f>
        <v>#N/A</v>
      </c>
      <c r="BM221" s="315" t="str">
        <f t="shared" si="371"/>
        <v/>
      </c>
      <c r="BN221" s="315" t="e">
        <f>IF($J221="",#N/A,SUM(BM$4:BM221))</f>
        <v>#N/A</v>
      </c>
      <c r="BO221" s="315" t="e">
        <f>IF($J221="",#N/A,SUM(BM$4:BM221,BK$4:BK221,BI$4:BI221))</f>
        <v>#N/A</v>
      </c>
      <c r="BP221" s="304" t="str">
        <f t="shared" si="372"/>
        <v/>
      </c>
      <c r="BQ221" s="313" t="e">
        <f>IF($J221="",#N/A,SUM(BP$4:BP221))</f>
        <v>#N/A</v>
      </c>
      <c r="BR221" s="314" t="str">
        <f t="shared" si="373"/>
        <v/>
      </c>
      <c r="BS221" s="314" t="e">
        <f>IF($J221="",#N/A,SUM(BR$4:BR221))</f>
        <v>#N/A</v>
      </c>
      <c r="BT221" s="315" t="str">
        <f t="shared" si="374"/>
        <v/>
      </c>
      <c r="BU221" s="315" t="e">
        <f>IF($J221="",#N/A,SUM(BT$4:BT221))</f>
        <v>#N/A</v>
      </c>
      <c r="BV221" s="315" t="e">
        <f>IF($J221="",#N/A,SUM(BT$4:BT221,BR$4:BR221,BP$4:BP221))</f>
        <v>#N/A</v>
      </c>
      <c r="BW221" s="304" t="str">
        <f t="shared" si="375"/>
        <v/>
      </c>
      <c r="BX221" s="313" t="e">
        <f>IF($J221="",#N/A,SUM(BW$4:BW221))</f>
        <v>#N/A</v>
      </c>
      <c r="BY221" s="314" t="str">
        <f t="shared" si="376"/>
        <v/>
      </c>
      <c r="BZ221" s="314" t="e">
        <f>IF($J221="",#N/A,SUM(BY$4:BY221))</f>
        <v>#N/A</v>
      </c>
      <c r="CA221" s="315" t="str">
        <f t="shared" si="377"/>
        <v/>
      </c>
      <c r="CB221" s="315" t="e">
        <f>IF($J221="",#N/A,SUM(CA$4:CA221))</f>
        <v>#N/A</v>
      </c>
      <c r="CC221" s="315" t="e">
        <f>IF($J221="",#N/A,SUM(CA$4:CA221,BY$4:BY221,BW$4:BW221))</f>
        <v>#N/A</v>
      </c>
      <c r="CD221" s="304" t="str">
        <f t="shared" si="378"/>
        <v/>
      </c>
      <c r="CE221" s="313" t="e">
        <f>IF($J221="",#N/A,SUM(CD$4:CD221))</f>
        <v>#N/A</v>
      </c>
      <c r="CF221" s="314" t="str">
        <f t="shared" si="379"/>
        <v/>
      </c>
      <c r="CG221" s="314" t="e">
        <f>IF($J221="",#N/A,SUM(CF$4:CF221))</f>
        <v>#N/A</v>
      </c>
      <c r="CH221" s="315" t="str">
        <f t="shared" si="380"/>
        <v/>
      </c>
      <c r="CI221" s="315" t="e">
        <f>IF($J221="",#N/A,SUM(CH$4:CH221))</f>
        <v>#N/A</v>
      </c>
      <c r="CJ221" s="315" t="e">
        <f>IF($J221="",#N/A,SUM(CH$4:CH221,CF$4:CF221,CD$4:CD221))</f>
        <v>#N/A</v>
      </c>
      <c r="CK221" s="304" t="str">
        <f t="shared" si="381"/>
        <v/>
      </c>
      <c r="CL221" s="313" t="e">
        <f>IF($J221="",#N/A,SUM(CK$4:CK221))</f>
        <v>#N/A</v>
      </c>
      <c r="CM221" s="314" t="str">
        <f t="shared" si="382"/>
        <v/>
      </c>
      <c r="CN221" s="314" t="e">
        <f>IF($J221="",#N/A,SUM(CM$4:CM221))</f>
        <v>#N/A</v>
      </c>
      <c r="CO221" s="315" t="str">
        <f t="shared" si="383"/>
        <v/>
      </c>
      <c r="CP221" s="315" t="e">
        <f>IF($J221="",#N/A,SUM(CO$4:CO221))</f>
        <v>#N/A</v>
      </c>
      <c r="CQ221" s="315" t="e">
        <f>IF($J221="",#N/A,SUM(CO$4:CO221,CM$4:CM221,CK$4:CK221))</f>
        <v>#N/A</v>
      </c>
      <c r="CR221" s="304" t="str">
        <f t="shared" si="384"/>
        <v/>
      </c>
      <c r="CS221" s="313" t="e">
        <f>IF($J221="",#N/A,SUM(CR$4:CR221))</f>
        <v>#N/A</v>
      </c>
      <c r="CT221" s="314" t="str">
        <f t="shared" si="385"/>
        <v/>
      </c>
      <c r="CU221" s="314" t="e">
        <f>IF($J221="",#N/A,SUM(CT$4:CT221))</f>
        <v>#N/A</v>
      </c>
      <c r="CV221" s="315" t="str">
        <f t="shared" si="386"/>
        <v/>
      </c>
      <c r="CW221" s="315" t="e">
        <f>IF($J221="",#N/A,SUM(CV$4:CV221))</f>
        <v>#N/A</v>
      </c>
      <c r="CX221" s="315" t="e">
        <f>IF($J221="",#N/A,SUM(CV$4:CV221,CT$4:CT221,CR$4:CR221))</f>
        <v>#N/A</v>
      </c>
      <c r="CY221" s="304" t="str">
        <f t="shared" si="387"/>
        <v/>
      </c>
      <c r="CZ221" s="313" t="e">
        <f>IF($J221="",#N/A,SUM(CY$4:CY221))</f>
        <v>#N/A</v>
      </c>
      <c r="DA221" s="314" t="str">
        <f t="shared" si="388"/>
        <v/>
      </c>
      <c r="DB221" s="314" t="e">
        <f>IF($J221="",#N/A,SUM(DA$4:DA221))</f>
        <v>#N/A</v>
      </c>
      <c r="DC221" s="315" t="str">
        <f t="shared" si="389"/>
        <v/>
      </c>
      <c r="DD221" s="315" t="e">
        <f>IF($J221="",#N/A,SUM(DC$4:DC221))</f>
        <v>#N/A</v>
      </c>
      <c r="DE221" s="315" t="e">
        <f>IF($J221="",#N/A,SUM(DC$4:DC221,DA$4:DA221,CY$4:CY221))</f>
        <v>#N/A</v>
      </c>
      <c r="DF221" s="304" t="str">
        <f t="shared" si="390"/>
        <v/>
      </c>
      <c r="DG221" s="313" t="e">
        <f>IF($J221="",#N/A,SUM(DF$4:DF221))</f>
        <v>#N/A</v>
      </c>
      <c r="DH221" s="314" t="str">
        <f t="shared" si="391"/>
        <v/>
      </c>
      <c r="DI221" s="314" t="e">
        <f>IF($J221="",#N/A,SUM(DH$4:DH221))</f>
        <v>#N/A</v>
      </c>
      <c r="DJ221" s="315" t="str">
        <f t="shared" si="392"/>
        <v/>
      </c>
      <c r="DK221" s="315" t="e">
        <f>IF($J221="",#N/A,SUM(DJ$4:DJ221))</f>
        <v>#N/A</v>
      </c>
      <c r="DL221" s="315" t="e">
        <f>IF($J221="",#N/A,SUM(DJ$4:DJ221,DH$4:DH221,DF$4:DF221))</f>
        <v>#N/A</v>
      </c>
      <c r="DM221" s="304" t="str">
        <f t="shared" si="393"/>
        <v/>
      </c>
      <c r="DN221" s="313" t="e">
        <f>IF($J221="",#N/A,SUM(DM$4:DM221))</f>
        <v>#N/A</v>
      </c>
      <c r="DO221" s="314" t="str">
        <f t="shared" si="394"/>
        <v/>
      </c>
      <c r="DP221" s="314" t="e">
        <f>IF($J221="",#N/A,SUM(DO$4:DO221))</f>
        <v>#N/A</v>
      </c>
      <c r="DQ221" s="315">
        <f t="shared" si="395"/>
        <v>-0.14912853015192593</v>
      </c>
      <c r="DR221" s="315" t="e">
        <f>IF($J221="",#N/A,SUM(DQ$4:DQ221))</f>
        <v>#N/A</v>
      </c>
      <c r="DS221" s="315" t="e">
        <f>IF($J221="",#N/A,SUM(DQ$4:DQ221,DO$4:DO221,DM$4:DM221))</f>
        <v>#N/A</v>
      </c>
      <c r="DT221" s="304" t="str">
        <f t="shared" si="396"/>
        <v/>
      </c>
      <c r="DU221" s="313" t="e">
        <f>IF($J221="",#N/A,SUM(DT$4:DT221))</f>
        <v>#N/A</v>
      </c>
      <c r="DV221" s="314" t="str">
        <f t="shared" si="397"/>
        <v/>
      </c>
      <c r="DW221" s="314" t="e">
        <f>IF($J221="",#N/A,SUM(DV$4:DV221))</f>
        <v>#N/A</v>
      </c>
      <c r="DX221" s="315" t="str">
        <f t="shared" si="398"/>
        <v/>
      </c>
      <c r="DY221" s="315" t="e">
        <f>IF($J221="",#N/A,SUM(DX$4:DX221))</f>
        <v>#N/A</v>
      </c>
      <c r="DZ221" s="315" t="e">
        <f>IF($J221="",#N/A,SUM(DX$4:DX221,DV$4:DV221,DT$4:DT221))</f>
        <v>#N/A</v>
      </c>
      <c r="EA221" s="304" t="str">
        <f t="shared" si="399"/>
        <v/>
      </c>
      <c r="EB221" s="313" t="e">
        <f>IF($J221="",#N/A,SUM(EA$4:EA221))</f>
        <v>#N/A</v>
      </c>
      <c r="EC221" s="314" t="str">
        <f t="shared" si="400"/>
        <v/>
      </c>
      <c r="ED221" s="314" t="e">
        <f>IF($J221="",#N/A,SUM(EC$4:EC221))</f>
        <v>#N/A</v>
      </c>
      <c r="EE221" s="315" t="str">
        <f t="shared" si="401"/>
        <v/>
      </c>
      <c r="EF221" s="315" t="e">
        <f>IF($J221="",#N/A,SUM(EE$4:EE221))</f>
        <v>#N/A</v>
      </c>
      <c r="EG221" s="315" t="e">
        <f>IF($J221="",#N/A,SUM(EE$4:EE221,EC$4:EC221,EA$4:EA221))</f>
        <v>#N/A</v>
      </c>
      <c r="EH221" s="130">
        <f t="shared" si="402"/>
        <v>-3.8400000000000318</v>
      </c>
      <c r="EI221" s="63">
        <f>IF(EH221="",#N/A,SUM($EH$4:EH221))</f>
        <v>853.0393279138251</v>
      </c>
      <c r="EJ221" s="223" t="e">
        <f t="shared" si="403"/>
        <v>#N/A</v>
      </c>
      <c r="EK221" s="63" t="e">
        <f>IF($GZ221="",#N/A,SUM(EJ$4:EJ221))</f>
        <v>#N/A</v>
      </c>
      <c r="EL221" s="60">
        <f t="shared" si="435"/>
        <v>-0.14912853015192593</v>
      </c>
      <c r="EM221" s="60">
        <f>IF(EL221="",NA(),SUM($EL$4:EL221))</f>
        <v>25.102821686813698</v>
      </c>
      <c r="EN221" s="60" t="str">
        <f t="shared" si="404"/>
        <v/>
      </c>
      <c r="EO221" s="60" t="e">
        <f>IF(EN221="",NA(),SUM($EN$4:EN221))</f>
        <v>#N/A</v>
      </c>
      <c r="EP221" s="60">
        <f t="shared" si="405"/>
        <v>-0.14912853015192593</v>
      </c>
      <c r="EQ221" s="60">
        <f>IF(EP221="",NA(),SUM($EP$4:EP221))</f>
        <v>5.6333624950462857</v>
      </c>
      <c r="ER221" s="60" t="str">
        <f t="shared" si="406"/>
        <v/>
      </c>
      <c r="ES221" s="60" t="e">
        <f>IF(ER221="",NA(),SUM($ER$4:ER221))</f>
        <v>#N/A</v>
      </c>
      <c r="ET221" s="60" t="str">
        <f t="shared" si="407"/>
        <v/>
      </c>
      <c r="EU221" s="60" t="e">
        <f>IF(ET221="",NA(),SUM($ET$4:ET221))</f>
        <v>#N/A</v>
      </c>
      <c r="EV221" s="60" t="str">
        <f t="shared" si="408"/>
        <v/>
      </c>
      <c r="EW221" s="60" t="e">
        <f>IF(EV221="",NA(),SUM($EV$4:EV221))</f>
        <v>#N/A</v>
      </c>
      <c r="EX221" s="60" t="str">
        <f t="shared" si="409"/>
        <v/>
      </c>
      <c r="EY221" s="60" t="e">
        <f>IF(EX221="",NA(),SUM($EX$4:EX221))</f>
        <v>#N/A</v>
      </c>
      <c r="EZ221" s="60" t="str">
        <f t="shared" si="410"/>
        <v/>
      </c>
      <c r="FA221" s="60" t="e">
        <f>IF(EZ221="",NA(),SUM($EZ$4:EZ221))</f>
        <v>#N/A</v>
      </c>
      <c r="FB221" s="246" t="str">
        <f t="shared" si="436"/>
        <v/>
      </c>
      <c r="FC221" s="246" t="e">
        <f>IF($FB221="",#N/A,SUM(FB$4:$FB221))</f>
        <v>#N/A</v>
      </c>
      <c r="FD221" s="60" t="str">
        <f t="shared" si="411"/>
        <v/>
      </c>
      <c r="FE221" s="60" t="e">
        <f>IF($FD221="",#N/A,SUM($FD$4:FD221))</f>
        <v>#N/A</v>
      </c>
      <c r="FF221" s="60" t="str">
        <f t="shared" si="412"/>
        <v/>
      </c>
      <c r="FG221" s="60" t="e">
        <f>IF($FF221="",#N/A,SUM($FF$4:FF221))</f>
        <v>#N/A</v>
      </c>
      <c r="FH221" s="60" t="str">
        <f t="shared" si="413"/>
        <v/>
      </c>
      <c r="FI221" s="60" t="e">
        <f>IF($FH221="",#N/A,SUM($FH$4:FH221))</f>
        <v>#N/A</v>
      </c>
      <c r="FJ221" s="60" t="str">
        <f t="shared" si="414"/>
        <v/>
      </c>
      <c r="FK221" s="60" t="e">
        <f>IF($FJ221="",#N/A,SUM($FJ$4:FJ221))</f>
        <v>#N/A</v>
      </c>
      <c r="FL221" s="60">
        <f t="shared" si="415"/>
        <v>-0.5048622114518283</v>
      </c>
      <c r="FM221" s="60">
        <f>IF($FL221="",#N/A,SUM($FL$4:FL221))</f>
        <v>1.7908015114731843</v>
      </c>
      <c r="FN221" s="82">
        <f t="shared" si="416"/>
        <v>-0.65399074160375426</v>
      </c>
      <c r="FO221" s="82">
        <f>IF($FN221="",#N/A,SUM(FN$4:$FN221))</f>
        <v>34.770132007778187</v>
      </c>
      <c r="FP221" s="82">
        <f t="shared" si="437"/>
        <v>-0.14912853015192593</v>
      </c>
      <c r="FQ221" s="246">
        <f>IF($EH221="",#N/A,SUM($FP$4:FP221))</f>
        <v>33.800458022961465</v>
      </c>
      <c r="FR221" s="82">
        <f>IFERROR(FQ221/COUNTA($J$4:J221),#N/A)</f>
        <v>0.15504797258239203</v>
      </c>
      <c r="FS221" s="82">
        <f t="shared" si="443"/>
        <v>0.20575746804811348</v>
      </c>
      <c r="FT221" s="82">
        <f t="shared" si="417"/>
        <v>0.33258387111423576</v>
      </c>
      <c r="FU221" s="337">
        <f t="shared" ref="FU221:FU234" si="444">IF(AND(HB221="MOC",GZ221=""),#N/A,IFERROR(FQ221-HE221,FQ221-0))-14.53</f>
        <v>15.734719592956514</v>
      </c>
      <c r="FV221" s="57" t="str">
        <f t="shared" si="418"/>
        <v>SW</v>
      </c>
      <c r="FW221" s="57" t="s">
        <v>2732</v>
      </c>
      <c r="FX221" s="57" t="str">
        <f t="shared" si="419"/>
        <v/>
      </c>
      <c r="FY221" s="57" t="str">
        <f t="shared" si="420"/>
        <v/>
      </c>
      <c r="FZ221" s="57" t="str">
        <f t="shared" si="421"/>
        <v/>
      </c>
      <c r="GA221" s="57" t="str">
        <f t="shared" si="422"/>
        <v>Long</v>
      </c>
      <c r="GB221" s="57" t="str">
        <f t="shared" si="423"/>
        <v/>
      </c>
      <c r="GC221" s="57" t="str">
        <f t="shared" si="424"/>
        <v/>
      </c>
      <c r="GD221" s="57">
        <f t="shared" si="425"/>
        <v>1</v>
      </c>
      <c r="GE221" s="62">
        <f t="shared" si="339"/>
        <v>107.29</v>
      </c>
      <c r="GF221" s="62" t="s">
        <v>2780</v>
      </c>
      <c r="GG221" s="199">
        <v>4</v>
      </c>
      <c r="GH221" s="207">
        <f t="shared" si="426"/>
        <v>429.16</v>
      </c>
      <c r="GI221" s="199">
        <v>4</v>
      </c>
      <c r="GJ221" s="200">
        <v>106.28</v>
      </c>
      <c r="GK221" s="63">
        <f t="shared" si="427"/>
        <v>4.0400000000000205</v>
      </c>
      <c r="GL221" s="63">
        <f t="shared" si="340"/>
        <v>16.840000000000032</v>
      </c>
      <c r="GM221" s="82">
        <f t="shared" si="428"/>
        <v>-0.65399074160375426</v>
      </c>
      <c r="GN221" s="82">
        <f>IF($GZ221="",#N/A,SUM(GM$4:GM221))</f>
        <v>1.412956716490223</v>
      </c>
      <c r="GO221" s="82" t="str">
        <f t="shared" si="429"/>
        <v/>
      </c>
      <c r="GP221" s="82">
        <f>IF($GZ221="",#N/A,SUM(GO$4:GO221))</f>
        <v>11.174784260249723</v>
      </c>
      <c r="GQ221" s="82" t="str">
        <f t="shared" si="430"/>
        <v/>
      </c>
      <c r="GR221" s="82">
        <f>IF($GZ221="",#N/A,SUM(GQ$4:GQ221))</f>
        <v>21.556554076595891</v>
      </c>
      <c r="GS221" s="63" t="e">
        <f t="shared" si="438"/>
        <v>#N/A</v>
      </c>
      <c r="GT221" s="63" t="e">
        <f>IF($GZ221="",#N/A,SUM(GS$4:GS221))</f>
        <v>#N/A</v>
      </c>
      <c r="GU221" s="63" t="str">
        <f t="shared" si="439"/>
        <v/>
      </c>
      <c r="GV221" s="63" t="e">
        <f>IF($GZ221="",#N/A,SUM(GU$4:GU221))</f>
        <v>#N/A</v>
      </c>
      <c r="GW221" s="63" t="str">
        <f t="shared" si="440"/>
        <v/>
      </c>
      <c r="GX221" s="63" t="e">
        <f>IF($GZ221="",#N/A,SUM(GW$4:GW221))</f>
        <v>#N/A</v>
      </c>
      <c r="GY221" s="63" t="e">
        <f>IF(EJ221="",#N/A,SUM($EJ$4:EJ221))</f>
        <v>#N/A</v>
      </c>
      <c r="GZ221" s="159">
        <v>103.08</v>
      </c>
      <c r="HA221" s="63">
        <f t="shared" si="431"/>
        <v>20.680000000000064</v>
      </c>
      <c r="HB221" s="62" t="s">
        <v>2538</v>
      </c>
      <c r="HC221" s="60">
        <f>IFERROR(VLOOKUP(E221,Expectancy!$P$4:$S$19,1+C221,FALSE),"")</f>
        <v>-3.1543782927977014E-2</v>
      </c>
      <c r="HD221" s="82">
        <f t="shared" si="432"/>
        <v>0.15689564109733822</v>
      </c>
      <c r="HE221" s="138">
        <f>IF(HD221="",#N/A,SUM($HD$4:HD221))</f>
        <v>3.5357384300049506</v>
      </c>
      <c r="HF221" s="85">
        <f>IF(HD221="",#N/A,IF(HB221="Skip",#N/A,SUM($HG$4:HG221)))</f>
        <v>114.51156919911449</v>
      </c>
      <c r="HG221" s="63">
        <f t="shared" si="433"/>
        <v>4.0400000000000205</v>
      </c>
      <c r="HH221" s="82">
        <f t="shared" si="434"/>
        <v>-0.65399074160375426</v>
      </c>
    </row>
    <row r="222" spans="1:216" x14ac:dyDescent="0.25">
      <c r="A222" s="57" t="s">
        <v>1407</v>
      </c>
      <c r="B222" s="58" t="s">
        <v>5217</v>
      </c>
      <c r="C222" s="386">
        <f t="shared" si="343"/>
        <v>3</v>
      </c>
      <c r="D222" s="372" t="str">
        <f>_xlfn.XLOOKUP(A222,[1]SP500!$A$2:$A$502,[1]SP500!$D$2:$D$502,"N")</f>
        <v>Y</v>
      </c>
      <c r="E222" s="103" t="str">
        <f>_xlfn.XLOOKUP(A222,[1]SP500!$A$2:$A$655,[1]SP500!$B$2:$B$655)</f>
        <v>INS</v>
      </c>
      <c r="F222" s="59">
        <v>45693</v>
      </c>
      <c r="G222" s="57" t="str">
        <f t="shared" si="344"/>
        <v>AMC</v>
      </c>
      <c r="H222" s="57" t="str">
        <f t="shared" si="345"/>
        <v>o</v>
      </c>
      <c r="I222" s="158">
        <v>85</v>
      </c>
      <c r="J222" s="159">
        <v>83.26</v>
      </c>
      <c r="K222" s="61">
        <f t="shared" si="346"/>
        <v>-2.0470588235294056E-2</v>
      </c>
      <c r="L222" s="87">
        <f t="shared" si="347"/>
        <v>8.6999999999999886</v>
      </c>
      <c r="M222" s="130">
        <f t="shared" si="338"/>
        <v>3.1500000000000341</v>
      </c>
      <c r="N222" s="169" t="str">
        <f t="shared" si="348"/>
        <v/>
      </c>
      <c r="O222" s="169">
        <f>IF($J222="",#N/A,SUM($N$4:N222))</f>
        <v>283.78492601211707</v>
      </c>
      <c r="P222" s="174" t="str">
        <f t="shared" si="349"/>
        <v/>
      </c>
      <c r="Q222" s="174">
        <f>IF($J222="",#N/A,SUM($P$4:P222))</f>
        <v>451.1777640160368</v>
      </c>
      <c r="R222" s="178">
        <f t="shared" si="350"/>
        <v>-8.6999999999999886</v>
      </c>
      <c r="S222" s="178">
        <f>IF($J222="",#N/A,SUM($R$4:R222))</f>
        <v>109.37663788567107</v>
      </c>
      <c r="T222" s="290" t="str">
        <f t="shared" si="351"/>
        <v/>
      </c>
      <c r="U222" s="290">
        <f>IF($J222="",#N/A,SUM($T$4:T222))</f>
        <v>10.242121677474179</v>
      </c>
      <c r="V222" s="291" t="str">
        <f t="shared" si="352"/>
        <v/>
      </c>
      <c r="W222" s="291">
        <f>IF($J222="",#N/A,SUM($V$4:V222))</f>
        <v>18.852730770518189</v>
      </c>
      <c r="X222" s="292">
        <f t="shared" si="353"/>
        <v>-0.34117647058823486</v>
      </c>
      <c r="Y222" s="292">
        <f>IF($J222="",#N/A,SUM($X$4:X222))</f>
        <v>4.3644291043808572</v>
      </c>
      <c r="Z222" s="304" t="str">
        <f t="shared" si="354"/>
        <v/>
      </c>
      <c r="AA222" s="313" t="e">
        <f>IF($J222="",#N/A,SUM(Z$4:Z222))</f>
        <v>#N/A</v>
      </c>
      <c r="AB222" s="314" t="str">
        <f t="shared" si="355"/>
        <v/>
      </c>
      <c r="AC222" s="314" t="e">
        <f>IF($J222="",#N/A,SUM(AB$4:AB222))</f>
        <v>#N/A</v>
      </c>
      <c r="AD222" s="315" t="str">
        <f t="shared" si="356"/>
        <v/>
      </c>
      <c r="AE222" s="315" t="e">
        <f>IF($J222="",#N/A,SUM(AD$4:AD222))</f>
        <v>#N/A</v>
      </c>
      <c r="AF222" s="315" t="e">
        <f>IF($J222="",#N/A,SUM(AD$4:AD222,AB$4:AB222,Z$4:Z222))</f>
        <v>#N/A</v>
      </c>
      <c r="AG222" s="304" t="str">
        <f t="shared" si="357"/>
        <v/>
      </c>
      <c r="AH222" s="313" t="e">
        <f>IF($J222="",#N/A,SUM(AG$4:AG222))</f>
        <v>#N/A</v>
      </c>
      <c r="AI222" s="314" t="str">
        <f t="shared" si="358"/>
        <v/>
      </c>
      <c r="AJ222" s="314" t="e">
        <f>IF($J222="",#N/A,SUM(AI$4:AI222))</f>
        <v>#N/A</v>
      </c>
      <c r="AK222" s="315" t="str">
        <f t="shared" si="359"/>
        <v/>
      </c>
      <c r="AL222" s="315" t="e">
        <f>IF($J222="",#N/A,SUM(AK$4:AK222))</f>
        <v>#N/A</v>
      </c>
      <c r="AM222" s="315" t="e">
        <f>IF($J222="",#N/A,SUM(AK$4:AK222,AI$4:AI222,AG$4:AG222))</f>
        <v>#N/A</v>
      </c>
      <c r="AN222" s="304" t="str">
        <f t="shared" si="360"/>
        <v/>
      </c>
      <c r="AO222" s="313" t="e">
        <f>IF($J222="",#N/A,SUM(AN$4:AN222))</f>
        <v>#N/A</v>
      </c>
      <c r="AP222" s="314" t="str">
        <f t="shared" si="361"/>
        <v/>
      </c>
      <c r="AQ222" s="314" t="e">
        <f>IF($J222="",#N/A,SUM(AP$4:AP222))</f>
        <v>#N/A</v>
      </c>
      <c r="AR222" s="315" t="str">
        <f t="shared" si="362"/>
        <v/>
      </c>
      <c r="AS222" s="315" t="e">
        <f>IF($J222="",#N/A,SUM(AR$4:AR222))</f>
        <v>#N/A</v>
      </c>
      <c r="AT222" s="315" t="e">
        <f>IF($J222="",#N/A,SUM(AR$4:AR222,AP$4:AP222,AN$4:AN222))</f>
        <v>#N/A</v>
      </c>
      <c r="AU222" s="304" t="str">
        <f t="shared" si="363"/>
        <v/>
      </c>
      <c r="AV222" s="313" t="e">
        <f>IF($J222="",#N/A,SUM(AU$4:AU222))</f>
        <v>#N/A</v>
      </c>
      <c r="AW222" s="314" t="str">
        <f t="shared" si="364"/>
        <v/>
      </c>
      <c r="AX222" s="314" t="e">
        <f>IF($J222="",#N/A,SUM(AW$4:AW222))</f>
        <v>#N/A</v>
      </c>
      <c r="AY222" s="315" t="str">
        <f t="shared" si="365"/>
        <v/>
      </c>
      <c r="AZ222" s="315" t="e">
        <f>IF($J222="",#N/A,SUM(AY$4:AY222))</f>
        <v>#N/A</v>
      </c>
      <c r="BA222" s="315" t="e">
        <f>IF($J222="",#N/A,SUM(AY$4:AY222,AW$4:AW222,AU$4:AU222))</f>
        <v>#N/A</v>
      </c>
      <c r="BB222" s="304" t="str">
        <f t="shared" si="366"/>
        <v/>
      </c>
      <c r="BC222" s="313" t="e">
        <f>IF($J222="",#N/A,SUM(BB$4:BB222))</f>
        <v>#N/A</v>
      </c>
      <c r="BD222" s="314" t="str">
        <f t="shared" si="367"/>
        <v/>
      </c>
      <c r="BE222" s="314" t="e">
        <f>IF($J222="",#N/A,SUM(BD$4:BD222))</f>
        <v>#N/A</v>
      </c>
      <c r="BF222" s="315" t="str">
        <f t="shared" si="368"/>
        <v/>
      </c>
      <c r="BG222" s="315" t="e">
        <f>IF($J222="",#N/A,SUM(BF$4:BF222))</f>
        <v>#N/A</v>
      </c>
      <c r="BH222" s="315" t="e">
        <f>IF($J222="",#N/A,SUM(BF$4:BF222,BD$4:BD222,BB$4:BB222))</f>
        <v>#N/A</v>
      </c>
      <c r="BI222" s="304" t="str">
        <f t="shared" si="369"/>
        <v/>
      </c>
      <c r="BJ222" s="313" t="e">
        <f>IF($J222="",#N/A,SUM(BI$4:BI222))</f>
        <v>#N/A</v>
      </c>
      <c r="BK222" s="314" t="str">
        <f t="shared" si="370"/>
        <v/>
      </c>
      <c r="BL222" s="314" t="e">
        <f>IF($J222="",#N/A,SUM(BK$4:BK222))</f>
        <v>#N/A</v>
      </c>
      <c r="BM222" s="315" t="str">
        <f t="shared" si="371"/>
        <v/>
      </c>
      <c r="BN222" s="315" t="e">
        <f>IF($J222="",#N/A,SUM(BM$4:BM222))</f>
        <v>#N/A</v>
      </c>
      <c r="BO222" s="315" t="e">
        <f>IF($J222="",#N/A,SUM(BM$4:BM222,BK$4:BK222,BI$4:BI222))</f>
        <v>#N/A</v>
      </c>
      <c r="BP222" s="304" t="str">
        <f t="shared" si="372"/>
        <v/>
      </c>
      <c r="BQ222" s="313" t="e">
        <f>IF($J222="",#N/A,SUM(BP$4:BP222))</f>
        <v>#N/A</v>
      </c>
      <c r="BR222" s="314" t="str">
        <f t="shared" si="373"/>
        <v/>
      </c>
      <c r="BS222" s="314" t="e">
        <f>IF($J222="",#N/A,SUM(BR$4:BR222))</f>
        <v>#N/A</v>
      </c>
      <c r="BT222" s="315" t="str">
        <f t="shared" si="374"/>
        <v/>
      </c>
      <c r="BU222" s="315" t="e">
        <f>IF($J222="",#N/A,SUM(BT$4:BT222))</f>
        <v>#N/A</v>
      </c>
      <c r="BV222" s="315" t="e">
        <f>IF($J222="",#N/A,SUM(BT$4:BT222,BR$4:BR222,BP$4:BP222))</f>
        <v>#N/A</v>
      </c>
      <c r="BW222" s="304" t="str">
        <f t="shared" si="375"/>
        <v/>
      </c>
      <c r="BX222" s="313" t="e">
        <f>IF($J222="",#N/A,SUM(BW$4:BW222))</f>
        <v>#N/A</v>
      </c>
      <c r="BY222" s="314" t="str">
        <f t="shared" si="376"/>
        <v/>
      </c>
      <c r="BZ222" s="314" t="e">
        <f>IF($J222="",#N/A,SUM(BY$4:BY222))</f>
        <v>#N/A</v>
      </c>
      <c r="CA222" s="315" t="str">
        <f t="shared" si="377"/>
        <v/>
      </c>
      <c r="CB222" s="315" t="e">
        <f>IF($J222="",#N/A,SUM(CA$4:CA222))</f>
        <v>#N/A</v>
      </c>
      <c r="CC222" s="315" t="e">
        <f>IF($J222="",#N/A,SUM(CA$4:CA222,BY$4:BY222,BW$4:BW222))</f>
        <v>#N/A</v>
      </c>
      <c r="CD222" s="304" t="str">
        <f t="shared" si="378"/>
        <v/>
      </c>
      <c r="CE222" s="313" t="e">
        <f>IF($J222="",#N/A,SUM(CD$4:CD222))</f>
        <v>#N/A</v>
      </c>
      <c r="CF222" s="314" t="str">
        <f t="shared" si="379"/>
        <v/>
      </c>
      <c r="CG222" s="314" t="e">
        <f>IF($J222="",#N/A,SUM(CF$4:CF222))</f>
        <v>#N/A</v>
      </c>
      <c r="CH222" s="315" t="str">
        <f t="shared" si="380"/>
        <v/>
      </c>
      <c r="CI222" s="315" t="e">
        <f>IF($J222="",#N/A,SUM(CH$4:CH222))</f>
        <v>#N/A</v>
      </c>
      <c r="CJ222" s="315" t="e">
        <f>IF($J222="",#N/A,SUM(CH$4:CH222,CF$4:CF222,CD$4:CD222))</f>
        <v>#N/A</v>
      </c>
      <c r="CK222" s="304" t="str">
        <f t="shared" si="381"/>
        <v/>
      </c>
      <c r="CL222" s="313" t="e">
        <f>IF($J222="",#N/A,SUM(CK$4:CK222))</f>
        <v>#N/A</v>
      </c>
      <c r="CM222" s="314" t="str">
        <f t="shared" si="382"/>
        <v/>
      </c>
      <c r="CN222" s="314" t="e">
        <f>IF($J222="",#N/A,SUM(CM$4:CM222))</f>
        <v>#N/A</v>
      </c>
      <c r="CO222" s="315" t="str">
        <f t="shared" si="383"/>
        <v/>
      </c>
      <c r="CP222" s="315" t="e">
        <f>IF($J222="",#N/A,SUM(CO$4:CO222))</f>
        <v>#N/A</v>
      </c>
      <c r="CQ222" s="315" t="e">
        <f>IF($J222="",#N/A,SUM(CO$4:CO222,CM$4:CM222,CK$4:CK222))</f>
        <v>#N/A</v>
      </c>
      <c r="CR222" s="304" t="str">
        <f t="shared" si="384"/>
        <v/>
      </c>
      <c r="CS222" s="313" t="e">
        <f>IF($J222="",#N/A,SUM(CR$4:CR222))</f>
        <v>#N/A</v>
      </c>
      <c r="CT222" s="314" t="str">
        <f t="shared" si="385"/>
        <v/>
      </c>
      <c r="CU222" s="314" t="e">
        <f>IF($J222="",#N/A,SUM(CT$4:CT222))</f>
        <v>#N/A</v>
      </c>
      <c r="CV222" s="315" t="str">
        <f t="shared" si="386"/>
        <v/>
      </c>
      <c r="CW222" s="315" t="e">
        <f>IF($J222="",#N/A,SUM(CV$4:CV222))</f>
        <v>#N/A</v>
      </c>
      <c r="CX222" s="315" t="e">
        <f>IF($J222="",#N/A,SUM(CV$4:CV222,CT$4:CT222,CR$4:CR222))</f>
        <v>#N/A</v>
      </c>
      <c r="CY222" s="304" t="str">
        <f t="shared" si="387"/>
        <v/>
      </c>
      <c r="CZ222" s="313" t="e">
        <f>IF($J222="",#N/A,SUM(CY$4:CY222))</f>
        <v>#N/A</v>
      </c>
      <c r="DA222" s="314" t="str">
        <f t="shared" si="388"/>
        <v/>
      </c>
      <c r="DB222" s="314" t="e">
        <f>IF($J222="",#N/A,SUM(DA$4:DA222))</f>
        <v>#N/A</v>
      </c>
      <c r="DC222" s="315" t="str">
        <f t="shared" si="389"/>
        <v/>
      </c>
      <c r="DD222" s="315" t="e">
        <f>IF($J222="",#N/A,SUM(DC$4:DC222))</f>
        <v>#N/A</v>
      </c>
      <c r="DE222" s="315" t="e">
        <f>IF($J222="",#N/A,SUM(DC$4:DC222,DA$4:DA222,CY$4:CY222))</f>
        <v>#N/A</v>
      </c>
      <c r="DF222" s="304" t="str">
        <f t="shared" si="390"/>
        <v/>
      </c>
      <c r="DG222" s="313" t="e">
        <f>IF($J222="",#N/A,SUM(DF$4:DF222))</f>
        <v>#N/A</v>
      </c>
      <c r="DH222" s="314" t="str">
        <f t="shared" si="391"/>
        <v/>
      </c>
      <c r="DI222" s="314" t="e">
        <f>IF($J222="",#N/A,SUM(DH$4:DH222))</f>
        <v>#N/A</v>
      </c>
      <c r="DJ222" s="315" t="str">
        <f t="shared" si="392"/>
        <v/>
      </c>
      <c r="DK222" s="315" t="e">
        <f>IF($J222="",#N/A,SUM(DJ$4:DJ222))</f>
        <v>#N/A</v>
      </c>
      <c r="DL222" s="315" t="e">
        <f>IF($J222="",#N/A,SUM(DJ$4:DJ222,DH$4:DH222,DF$4:DF222))</f>
        <v>#N/A</v>
      </c>
      <c r="DM222" s="304" t="str">
        <f t="shared" si="393"/>
        <v/>
      </c>
      <c r="DN222" s="313" t="e">
        <f>IF($J222="",#N/A,SUM(DM$4:DM222))</f>
        <v>#N/A</v>
      </c>
      <c r="DO222" s="314" t="str">
        <f t="shared" si="394"/>
        <v/>
      </c>
      <c r="DP222" s="314" t="e">
        <f>IF($J222="",#N/A,SUM(DO$4:DO222))</f>
        <v>#N/A</v>
      </c>
      <c r="DQ222" s="315">
        <f t="shared" si="395"/>
        <v>-0.34117647058823486</v>
      </c>
      <c r="DR222" s="315" t="e">
        <f>IF($J222="",#N/A,SUM(DQ$4:DQ222))</f>
        <v>#N/A</v>
      </c>
      <c r="DS222" s="315" t="e">
        <f>IF($J222="",#N/A,SUM(DQ$4:DQ222,DO$4:DO222,DM$4:DM222))</f>
        <v>#N/A</v>
      </c>
      <c r="DT222" s="304" t="str">
        <f t="shared" si="396"/>
        <v/>
      </c>
      <c r="DU222" s="313" t="e">
        <f>IF($J222="",#N/A,SUM(DT$4:DT222))</f>
        <v>#N/A</v>
      </c>
      <c r="DV222" s="314" t="str">
        <f t="shared" si="397"/>
        <v/>
      </c>
      <c r="DW222" s="314" t="e">
        <f>IF($J222="",#N/A,SUM(DV$4:DV222))</f>
        <v>#N/A</v>
      </c>
      <c r="DX222" s="315" t="str">
        <f t="shared" si="398"/>
        <v/>
      </c>
      <c r="DY222" s="315" t="e">
        <f>IF($J222="",#N/A,SUM(DX$4:DX222))</f>
        <v>#N/A</v>
      </c>
      <c r="DZ222" s="315" t="e">
        <f>IF($J222="",#N/A,SUM(DX$4:DX222,DV$4:DV222,DT$4:DT222))</f>
        <v>#N/A</v>
      </c>
      <c r="EA222" s="304" t="str">
        <f t="shared" si="399"/>
        <v/>
      </c>
      <c r="EB222" s="313" t="e">
        <f>IF($J222="",#N/A,SUM(EA$4:EA222))</f>
        <v>#N/A</v>
      </c>
      <c r="EC222" s="314" t="str">
        <f t="shared" si="400"/>
        <v/>
      </c>
      <c r="ED222" s="314" t="e">
        <f>IF($J222="",#N/A,SUM(EC$4:EC222))</f>
        <v>#N/A</v>
      </c>
      <c r="EE222" s="315" t="str">
        <f t="shared" si="401"/>
        <v/>
      </c>
      <c r="EF222" s="315" t="e">
        <f>IF($J222="",#N/A,SUM(EE$4:EE222))</f>
        <v>#N/A</v>
      </c>
      <c r="EG222" s="315" t="e">
        <f>IF($J222="",#N/A,SUM(EE$4:EE222,EC$4:EC222,EA$4:EA222))</f>
        <v>#N/A</v>
      </c>
      <c r="EH222" s="130">
        <f t="shared" si="402"/>
        <v>-8.6999999999999886</v>
      </c>
      <c r="EI222" s="63">
        <f>IF(EH222="",#N/A,SUM($EH$4:EH222))</f>
        <v>844.33932791382517</v>
      </c>
      <c r="EJ222" s="223" t="e">
        <f t="shared" si="403"/>
        <v>#N/A</v>
      </c>
      <c r="EK222" s="63" t="e">
        <f>IF($GZ222="",#N/A,SUM(EJ$4:EJ222))</f>
        <v>#N/A</v>
      </c>
      <c r="EL222" s="60">
        <f t="shared" si="435"/>
        <v>-0.34117647058823486</v>
      </c>
      <c r="EM222" s="60">
        <f>IF(EL222="",NA(),SUM($EL$4:EL222))</f>
        <v>24.761645216225464</v>
      </c>
      <c r="EN222" s="60" t="str">
        <f t="shared" si="404"/>
        <v/>
      </c>
      <c r="EO222" s="60" t="e">
        <f>IF(EN222="",NA(),SUM($EN$4:EN222))</f>
        <v>#N/A</v>
      </c>
      <c r="EP222" s="60">
        <f t="shared" si="405"/>
        <v>-0.34117647058823486</v>
      </c>
      <c r="EQ222" s="60">
        <f>IF(EP222="",NA(),SUM($EP$4:EP222))</f>
        <v>5.2921860244580508</v>
      </c>
      <c r="ER222" s="60" t="str">
        <f t="shared" si="406"/>
        <v/>
      </c>
      <c r="ES222" s="60" t="e">
        <f>IF(ER222="",NA(),SUM($ER$4:ER222))</f>
        <v>#N/A</v>
      </c>
      <c r="ET222" s="60" t="str">
        <f t="shared" si="407"/>
        <v/>
      </c>
      <c r="EU222" s="60" t="e">
        <f>IF(ET222="",NA(),SUM($ET$4:ET222))</f>
        <v>#N/A</v>
      </c>
      <c r="EV222" s="60" t="str">
        <f t="shared" si="408"/>
        <v/>
      </c>
      <c r="EW222" s="60" t="e">
        <f>IF(EV222="",NA(),SUM($EV$4:EV222))</f>
        <v>#N/A</v>
      </c>
      <c r="EX222" s="60" t="str">
        <f t="shared" si="409"/>
        <v/>
      </c>
      <c r="EY222" s="60" t="e">
        <f>IF(EX222="",NA(),SUM($EX$4:EX222))</f>
        <v>#N/A</v>
      </c>
      <c r="EZ222" s="60" t="str">
        <f t="shared" si="410"/>
        <v/>
      </c>
      <c r="FA222" s="60" t="e">
        <f>IF(EZ222="",NA(),SUM($EZ$4:EZ222))</f>
        <v>#N/A</v>
      </c>
      <c r="FB222" s="246" t="str">
        <f t="shared" si="436"/>
        <v/>
      </c>
      <c r="FC222" s="246" t="e">
        <f>IF($FB222="",#N/A,SUM(FB$4:$FB222))</f>
        <v>#N/A</v>
      </c>
      <c r="FD222" s="60" t="str">
        <f t="shared" si="411"/>
        <v/>
      </c>
      <c r="FE222" s="60" t="e">
        <f>IF($FD222="",#N/A,SUM($FD$4:FD222))</f>
        <v>#N/A</v>
      </c>
      <c r="FF222" s="60" t="str">
        <f t="shared" si="412"/>
        <v/>
      </c>
      <c r="FG222" s="60" t="e">
        <f>IF($FF222="",#N/A,SUM($FF$4:FF222))</f>
        <v>#N/A</v>
      </c>
      <c r="FH222" s="60" t="str">
        <f t="shared" si="413"/>
        <v/>
      </c>
      <c r="FI222" s="60" t="e">
        <f>IF($FH222="",#N/A,SUM($FH$4:FH222))</f>
        <v>#N/A</v>
      </c>
      <c r="FJ222" s="60" t="str">
        <f t="shared" si="414"/>
        <v/>
      </c>
      <c r="FK222" s="60" t="e">
        <f>IF($FJ222="",#N/A,SUM($FJ$4:FJ222))</f>
        <v>#N/A</v>
      </c>
      <c r="FL222" s="60">
        <f t="shared" si="415"/>
        <v>8.0392156862745534E-2</v>
      </c>
      <c r="FM222" s="60">
        <f>IF($FL222="",#N/A,SUM($FL$4:FL222))</f>
        <v>1.8711936683359298</v>
      </c>
      <c r="FN222" s="82">
        <f t="shared" si="416"/>
        <v>-0.26078431372548933</v>
      </c>
      <c r="FO222" s="82">
        <f>IF($FN222="",#N/A,SUM(FN$4:$FN222))</f>
        <v>34.5093476940527</v>
      </c>
      <c r="FP222" s="82">
        <f t="shared" si="437"/>
        <v>-0.34117647058823486</v>
      </c>
      <c r="FQ222" s="246">
        <f>IF($EH222="",#N/A,SUM($FP$4:FP222))</f>
        <v>33.459281552373227</v>
      </c>
      <c r="FR222" s="82">
        <f>IFERROR(FQ222/COUNTA($J$4:J222),#N/A)</f>
        <v>0.15278210754508323</v>
      </c>
      <c r="FS222" s="82">
        <f t="shared" si="443"/>
        <v>0.18151036078364258</v>
      </c>
      <c r="FT222" s="82">
        <f t="shared" si="417"/>
        <v>0.34195309050010314</v>
      </c>
      <c r="FU222" s="337">
        <f t="shared" si="444"/>
        <v>14.928837240015335</v>
      </c>
      <c r="FV222" s="57" t="str">
        <f t="shared" si="418"/>
        <v>SW</v>
      </c>
      <c r="FW222" s="57" t="s">
        <v>2732</v>
      </c>
      <c r="FX222" s="57" t="str">
        <f t="shared" si="419"/>
        <v/>
      </c>
      <c r="FY222" s="57" t="str">
        <f t="shared" si="420"/>
        <v/>
      </c>
      <c r="FZ222" s="57" t="str">
        <f t="shared" si="421"/>
        <v/>
      </c>
      <c r="GA222" s="57" t="str">
        <f t="shared" si="422"/>
        <v>Long</v>
      </c>
      <c r="GB222" s="57" t="str">
        <f t="shared" si="423"/>
        <v/>
      </c>
      <c r="GC222" s="57" t="str">
        <f t="shared" si="424"/>
        <v/>
      </c>
      <c r="GD222" s="57">
        <f t="shared" si="425"/>
        <v>1</v>
      </c>
      <c r="GE222" s="62">
        <f t="shared" si="339"/>
        <v>85</v>
      </c>
      <c r="GF222" s="62" t="s">
        <v>2780</v>
      </c>
      <c r="GG222" s="199">
        <v>5</v>
      </c>
      <c r="GH222" s="207">
        <f t="shared" si="426"/>
        <v>425</v>
      </c>
      <c r="GI222" s="199">
        <v>5</v>
      </c>
      <c r="GJ222" s="200">
        <v>82.63</v>
      </c>
      <c r="GK222" s="63">
        <f t="shared" si="427"/>
        <v>11.850000000000023</v>
      </c>
      <c r="GL222" s="63">
        <f t="shared" si="340"/>
        <v>6.6499999999999773</v>
      </c>
      <c r="GM222" s="82">
        <f t="shared" si="428"/>
        <v>-0.26078431372548933</v>
      </c>
      <c r="GN222" s="82">
        <f>IF($GZ222="",#N/A,SUM(GM$4:GM222))</f>
        <v>1.1521724027647338</v>
      </c>
      <c r="GO222" s="82" t="str">
        <f t="shared" si="429"/>
        <v/>
      </c>
      <c r="GP222" s="82">
        <f>IF($GZ222="",#N/A,SUM(GO$4:GO222))</f>
        <v>11.174784260249723</v>
      </c>
      <c r="GQ222" s="82" t="str">
        <f t="shared" si="430"/>
        <v/>
      </c>
      <c r="GR222" s="82">
        <f>IF($GZ222="",#N/A,SUM(GQ$4:GQ222))</f>
        <v>21.556554076595891</v>
      </c>
      <c r="GS222" s="63" t="e">
        <f t="shared" si="438"/>
        <v>#N/A</v>
      </c>
      <c r="GT222" s="63" t="e">
        <f>IF($GZ222="",#N/A,SUM(GS$4:GS222))</f>
        <v>#N/A</v>
      </c>
      <c r="GU222" s="63" t="str">
        <f t="shared" si="439"/>
        <v/>
      </c>
      <c r="GV222" s="63" t="e">
        <f>IF($GZ222="",#N/A,SUM(GU$4:GU222))</f>
        <v>#N/A</v>
      </c>
      <c r="GW222" s="63" t="str">
        <f t="shared" si="440"/>
        <v/>
      </c>
      <c r="GX222" s="63" t="e">
        <f>IF($GZ222="",#N/A,SUM(GW$4:GW222))</f>
        <v>#N/A</v>
      </c>
      <c r="GY222" s="63" t="e">
        <f>IF(EJ222="",#N/A,SUM($EJ$4:EJ222))</f>
        <v>#N/A</v>
      </c>
      <c r="GZ222" s="159">
        <v>83.67</v>
      </c>
      <c r="HA222" s="63">
        <f t="shared" si="431"/>
        <v>15.349999999999966</v>
      </c>
      <c r="HB222" s="62" t="s">
        <v>2538</v>
      </c>
      <c r="HC222" s="60">
        <f>IFERROR(VLOOKUP(E222,Expectancy!$P$4:$S$19,1+C222,FALSE),"")</f>
        <v>-3.1543782927977014E-2</v>
      </c>
      <c r="HD222" s="82">
        <f t="shared" si="432"/>
        <v>0.46470588235294208</v>
      </c>
      <c r="HE222" s="138">
        <f>IF(HD222="",#N/A,SUM($HD$4:HD222))</f>
        <v>4.0004443123578923</v>
      </c>
      <c r="HF222" s="85">
        <f>IF(HD222="",#N/A,IF(HB222="Skip",#N/A,SUM($HG$4:HG222)))</f>
        <v>126.36156919911451</v>
      </c>
      <c r="HG222" s="63">
        <f t="shared" si="433"/>
        <v>11.850000000000023</v>
      </c>
      <c r="HH222" s="82">
        <f t="shared" si="434"/>
        <v>-0.26078431372548933</v>
      </c>
    </row>
    <row r="223" spans="1:216" x14ac:dyDescent="0.25">
      <c r="A223" s="57" t="s">
        <v>1413</v>
      </c>
      <c r="B223" s="58" t="s">
        <v>5218</v>
      </c>
      <c r="C223" s="386">
        <f t="shared" si="343"/>
        <v>3</v>
      </c>
      <c r="D223" s="372" t="str">
        <f>_xlfn.XLOOKUP(A223,[1]SP500!$A$2:$A$502,[1]SP500!$D$2:$D$502,"N")</f>
        <v>Y</v>
      </c>
      <c r="E223" s="103" t="str">
        <f>_xlfn.XLOOKUP(A223,[1]SP500!$A$2:$A$655,[1]SP500!$B$2:$B$655)</f>
        <v>INS</v>
      </c>
      <c r="F223" s="59">
        <v>45693</v>
      </c>
      <c r="G223" s="57" t="str">
        <f t="shared" si="344"/>
        <v>AMC</v>
      </c>
      <c r="H223" s="57" t="str">
        <f t="shared" si="345"/>
        <v>o</v>
      </c>
      <c r="I223" s="159">
        <v>193.01</v>
      </c>
      <c r="J223" s="158">
        <v>195</v>
      </c>
      <c r="K223" s="61">
        <f t="shared" si="346"/>
        <v>1.0310346614165116E-2</v>
      </c>
      <c r="L223" s="87">
        <f t="shared" si="347"/>
        <v>-3.9800000000000182</v>
      </c>
      <c r="M223" s="130">
        <f t="shared" si="338"/>
        <v>2</v>
      </c>
      <c r="N223" s="169" t="str">
        <f t="shared" si="348"/>
        <v/>
      </c>
      <c r="O223" s="169">
        <f>IF($J223="",#N/A,SUM($N$4:N223))</f>
        <v>283.78492601211707</v>
      </c>
      <c r="P223" s="174" t="str">
        <f t="shared" si="349"/>
        <v/>
      </c>
      <c r="Q223" s="174">
        <f>IF($J223="",#N/A,SUM($P$4:P223))</f>
        <v>451.1777640160368</v>
      </c>
      <c r="R223" s="178">
        <f t="shared" si="350"/>
        <v>3.9800000000000182</v>
      </c>
      <c r="S223" s="178">
        <f>IF($J223="",#N/A,SUM($R$4:R223))</f>
        <v>113.35663788567109</v>
      </c>
      <c r="T223" s="290" t="str">
        <f t="shared" si="351"/>
        <v/>
      </c>
      <c r="U223" s="290">
        <f>IF($J223="",#N/A,SUM($T$4:T223))</f>
        <v>10.242121677474179</v>
      </c>
      <c r="V223" s="291" t="str">
        <f t="shared" si="352"/>
        <v/>
      </c>
      <c r="W223" s="291">
        <f>IF($J223="",#N/A,SUM($V$4:V223))</f>
        <v>18.852730770518189</v>
      </c>
      <c r="X223" s="292">
        <f t="shared" si="353"/>
        <v>0.17183911023608528</v>
      </c>
      <c r="Y223" s="292">
        <f>IF($J223="",#N/A,SUM($X$4:X223))</f>
        <v>4.5362682146169426</v>
      </c>
      <c r="Z223" s="304" t="str">
        <f t="shared" si="354"/>
        <v/>
      </c>
      <c r="AA223" s="313" t="e">
        <f>IF($J223="",#N/A,SUM(Z$4:Z223))</f>
        <v>#N/A</v>
      </c>
      <c r="AB223" s="314" t="str">
        <f t="shared" si="355"/>
        <v/>
      </c>
      <c r="AC223" s="314" t="e">
        <f>IF($J223="",#N/A,SUM(AB$4:AB223))</f>
        <v>#N/A</v>
      </c>
      <c r="AD223" s="315" t="str">
        <f t="shared" si="356"/>
        <v/>
      </c>
      <c r="AE223" s="315" t="e">
        <f>IF($J223="",#N/A,SUM(AD$4:AD223))</f>
        <v>#N/A</v>
      </c>
      <c r="AF223" s="315" t="e">
        <f>IF($J223="",#N/A,SUM(AD$4:AD223,AB$4:AB223,Z$4:Z223))</f>
        <v>#N/A</v>
      </c>
      <c r="AG223" s="304" t="str">
        <f t="shared" si="357"/>
        <v/>
      </c>
      <c r="AH223" s="313" t="e">
        <f>IF($J223="",#N/A,SUM(AG$4:AG223))</f>
        <v>#N/A</v>
      </c>
      <c r="AI223" s="314" t="str">
        <f t="shared" si="358"/>
        <v/>
      </c>
      <c r="AJ223" s="314" t="e">
        <f>IF($J223="",#N/A,SUM(AI$4:AI223))</f>
        <v>#N/A</v>
      </c>
      <c r="AK223" s="315" t="str">
        <f t="shared" si="359"/>
        <v/>
      </c>
      <c r="AL223" s="315" t="e">
        <f>IF($J223="",#N/A,SUM(AK$4:AK223))</f>
        <v>#N/A</v>
      </c>
      <c r="AM223" s="315" t="e">
        <f>IF($J223="",#N/A,SUM(AK$4:AK223,AI$4:AI223,AG$4:AG223))</f>
        <v>#N/A</v>
      </c>
      <c r="AN223" s="304" t="str">
        <f t="shared" si="360"/>
        <v/>
      </c>
      <c r="AO223" s="313" t="e">
        <f>IF($J223="",#N/A,SUM(AN$4:AN223))</f>
        <v>#N/A</v>
      </c>
      <c r="AP223" s="314" t="str">
        <f t="shared" si="361"/>
        <v/>
      </c>
      <c r="AQ223" s="314" t="e">
        <f>IF($J223="",#N/A,SUM(AP$4:AP223))</f>
        <v>#N/A</v>
      </c>
      <c r="AR223" s="315" t="str">
        <f t="shared" si="362"/>
        <v/>
      </c>
      <c r="AS223" s="315" t="e">
        <f>IF($J223="",#N/A,SUM(AR$4:AR223))</f>
        <v>#N/A</v>
      </c>
      <c r="AT223" s="315" t="e">
        <f>IF($J223="",#N/A,SUM(AR$4:AR223,AP$4:AP223,AN$4:AN223))</f>
        <v>#N/A</v>
      </c>
      <c r="AU223" s="304" t="str">
        <f t="shared" si="363"/>
        <v/>
      </c>
      <c r="AV223" s="313" t="e">
        <f>IF($J223="",#N/A,SUM(AU$4:AU223))</f>
        <v>#N/A</v>
      </c>
      <c r="AW223" s="314" t="str">
        <f t="shared" si="364"/>
        <v/>
      </c>
      <c r="AX223" s="314" t="e">
        <f>IF($J223="",#N/A,SUM(AW$4:AW223))</f>
        <v>#N/A</v>
      </c>
      <c r="AY223" s="315" t="str">
        <f t="shared" si="365"/>
        <v/>
      </c>
      <c r="AZ223" s="315" t="e">
        <f>IF($J223="",#N/A,SUM(AY$4:AY223))</f>
        <v>#N/A</v>
      </c>
      <c r="BA223" s="315" t="e">
        <f>IF($J223="",#N/A,SUM(AY$4:AY223,AW$4:AW223,AU$4:AU223))</f>
        <v>#N/A</v>
      </c>
      <c r="BB223" s="304" t="str">
        <f t="shared" si="366"/>
        <v/>
      </c>
      <c r="BC223" s="313" t="e">
        <f>IF($J223="",#N/A,SUM(BB$4:BB223))</f>
        <v>#N/A</v>
      </c>
      <c r="BD223" s="314" t="str">
        <f t="shared" si="367"/>
        <v/>
      </c>
      <c r="BE223" s="314" t="e">
        <f>IF($J223="",#N/A,SUM(BD$4:BD223))</f>
        <v>#N/A</v>
      </c>
      <c r="BF223" s="315" t="str">
        <f t="shared" si="368"/>
        <v/>
      </c>
      <c r="BG223" s="315" t="e">
        <f>IF($J223="",#N/A,SUM(BF$4:BF223))</f>
        <v>#N/A</v>
      </c>
      <c r="BH223" s="315" t="e">
        <f>IF($J223="",#N/A,SUM(BF$4:BF223,BD$4:BD223,BB$4:BB223))</f>
        <v>#N/A</v>
      </c>
      <c r="BI223" s="304" t="str">
        <f t="shared" si="369"/>
        <v/>
      </c>
      <c r="BJ223" s="313" t="e">
        <f>IF($J223="",#N/A,SUM(BI$4:BI223))</f>
        <v>#N/A</v>
      </c>
      <c r="BK223" s="314" t="str">
        <f t="shared" si="370"/>
        <v/>
      </c>
      <c r="BL223" s="314" t="e">
        <f>IF($J223="",#N/A,SUM(BK$4:BK223))</f>
        <v>#N/A</v>
      </c>
      <c r="BM223" s="315" t="str">
        <f t="shared" si="371"/>
        <v/>
      </c>
      <c r="BN223" s="315" t="e">
        <f>IF($J223="",#N/A,SUM(BM$4:BM223))</f>
        <v>#N/A</v>
      </c>
      <c r="BO223" s="315" t="e">
        <f>IF($J223="",#N/A,SUM(BM$4:BM223,BK$4:BK223,BI$4:BI223))</f>
        <v>#N/A</v>
      </c>
      <c r="BP223" s="304" t="str">
        <f t="shared" si="372"/>
        <v/>
      </c>
      <c r="BQ223" s="313" t="e">
        <f>IF($J223="",#N/A,SUM(BP$4:BP223))</f>
        <v>#N/A</v>
      </c>
      <c r="BR223" s="314" t="str">
        <f t="shared" si="373"/>
        <v/>
      </c>
      <c r="BS223" s="314" t="e">
        <f>IF($J223="",#N/A,SUM(BR$4:BR223))</f>
        <v>#N/A</v>
      </c>
      <c r="BT223" s="315" t="str">
        <f t="shared" si="374"/>
        <v/>
      </c>
      <c r="BU223" s="315" t="e">
        <f>IF($J223="",#N/A,SUM(BT$4:BT223))</f>
        <v>#N/A</v>
      </c>
      <c r="BV223" s="315" t="e">
        <f>IF($J223="",#N/A,SUM(BT$4:BT223,BR$4:BR223,BP$4:BP223))</f>
        <v>#N/A</v>
      </c>
      <c r="BW223" s="304" t="str">
        <f t="shared" si="375"/>
        <v/>
      </c>
      <c r="BX223" s="313" t="e">
        <f>IF($J223="",#N/A,SUM(BW$4:BW223))</f>
        <v>#N/A</v>
      </c>
      <c r="BY223" s="314" t="str">
        <f t="shared" si="376"/>
        <v/>
      </c>
      <c r="BZ223" s="314" t="e">
        <f>IF($J223="",#N/A,SUM(BY$4:BY223))</f>
        <v>#N/A</v>
      </c>
      <c r="CA223" s="315" t="str">
        <f t="shared" si="377"/>
        <v/>
      </c>
      <c r="CB223" s="315" t="e">
        <f>IF($J223="",#N/A,SUM(CA$4:CA223))</f>
        <v>#N/A</v>
      </c>
      <c r="CC223" s="315" t="e">
        <f>IF($J223="",#N/A,SUM(CA$4:CA223,BY$4:BY223,BW$4:BW223))</f>
        <v>#N/A</v>
      </c>
      <c r="CD223" s="304" t="str">
        <f t="shared" si="378"/>
        <v/>
      </c>
      <c r="CE223" s="313" t="e">
        <f>IF($J223="",#N/A,SUM(CD$4:CD223))</f>
        <v>#N/A</v>
      </c>
      <c r="CF223" s="314" t="str">
        <f t="shared" si="379"/>
        <v/>
      </c>
      <c r="CG223" s="314" t="e">
        <f>IF($J223="",#N/A,SUM(CF$4:CF223))</f>
        <v>#N/A</v>
      </c>
      <c r="CH223" s="315" t="str">
        <f t="shared" si="380"/>
        <v/>
      </c>
      <c r="CI223" s="315" t="e">
        <f>IF($J223="",#N/A,SUM(CH$4:CH223))</f>
        <v>#N/A</v>
      </c>
      <c r="CJ223" s="315" t="e">
        <f>IF($J223="",#N/A,SUM(CH$4:CH223,CF$4:CF223,CD$4:CD223))</f>
        <v>#N/A</v>
      </c>
      <c r="CK223" s="304" t="str">
        <f t="shared" si="381"/>
        <v/>
      </c>
      <c r="CL223" s="313" t="e">
        <f>IF($J223="",#N/A,SUM(CK$4:CK223))</f>
        <v>#N/A</v>
      </c>
      <c r="CM223" s="314" t="str">
        <f t="shared" si="382"/>
        <v/>
      </c>
      <c r="CN223" s="314" t="e">
        <f>IF($J223="",#N/A,SUM(CM$4:CM223))</f>
        <v>#N/A</v>
      </c>
      <c r="CO223" s="315" t="str">
        <f t="shared" si="383"/>
        <v/>
      </c>
      <c r="CP223" s="315" t="e">
        <f>IF($J223="",#N/A,SUM(CO$4:CO223))</f>
        <v>#N/A</v>
      </c>
      <c r="CQ223" s="315" t="e">
        <f>IF($J223="",#N/A,SUM(CO$4:CO223,CM$4:CM223,CK$4:CK223))</f>
        <v>#N/A</v>
      </c>
      <c r="CR223" s="304" t="str">
        <f t="shared" si="384"/>
        <v/>
      </c>
      <c r="CS223" s="313" t="e">
        <f>IF($J223="",#N/A,SUM(CR$4:CR223))</f>
        <v>#N/A</v>
      </c>
      <c r="CT223" s="314" t="str">
        <f t="shared" si="385"/>
        <v/>
      </c>
      <c r="CU223" s="314" t="e">
        <f>IF($J223="",#N/A,SUM(CT$4:CT223))</f>
        <v>#N/A</v>
      </c>
      <c r="CV223" s="315" t="str">
        <f t="shared" si="386"/>
        <v/>
      </c>
      <c r="CW223" s="315" t="e">
        <f>IF($J223="",#N/A,SUM(CV$4:CV223))</f>
        <v>#N/A</v>
      </c>
      <c r="CX223" s="315" t="e">
        <f>IF($J223="",#N/A,SUM(CV$4:CV223,CT$4:CT223,CR$4:CR223))</f>
        <v>#N/A</v>
      </c>
      <c r="CY223" s="304" t="str">
        <f t="shared" si="387"/>
        <v/>
      </c>
      <c r="CZ223" s="313" t="e">
        <f>IF($J223="",#N/A,SUM(CY$4:CY223))</f>
        <v>#N/A</v>
      </c>
      <c r="DA223" s="314" t="str">
        <f t="shared" si="388"/>
        <v/>
      </c>
      <c r="DB223" s="314" t="e">
        <f>IF($J223="",#N/A,SUM(DA$4:DA223))</f>
        <v>#N/A</v>
      </c>
      <c r="DC223" s="315" t="str">
        <f t="shared" si="389"/>
        <v/>
      </c>
      <c r="DD223" s="315" t="e">
        <f>IF($J223="",#N/A,SUM(DC$4:DC223))</f>
        <v>#N/A</v>
      </c>
      <c r="DE223" s="315" t="e">
        <f>IF($J223="",#N/A,SUM(DC$4:DC223,DA$4:DA223,CY$4:CY223))</f>
        <v>#N/A</v>
      </c>
      <c r="DF223" s="304" t="str">
        <f t="shared" si="390"/>
        <v/>
      </c>
      <c r="DG223" s="313" t="e">
        <f>IF($J223="",#N/A,SUM(DF$4:DF223))</f>
        <v>#N/A</v>
      </c>
      <c r="DH223" s="314" t="str">
        <f t="shared" si="391"/>
        <v/>
      </c>
      <c r="DI223" s="314" t="e">
        <f>IF($J223="",#N/A,SUM(DH$4:DH223))</f>
        <v>#N/A</v>
      </c>
      <c r="DJ223" s="315" t="str">
        <f t="shared" si="392"/>
        <v/>
      </c>
      <c r="DK223" s="315" t="e">
        <f>IF($J223="",#N/A,SUM(DJ$4:DJ223))</f>
        <v>#N/A</v>
      </c>
      <c r="DL223" s="315" t="e">
        <f>IF($J223="",#N/A,SUM(DJ$4:DJ223,DH$4:DH223,DF$4:DF223))</f>
        <v>#N/A</v>
      </c>
      <c r="DM223" s="304" t="str">
        <f t="shared" si="393"/>
        <v/>
      </c>
      <c r="DN223" s="313" t="e">
        <f>IF($J223="",#N/A,SUM(DM$4:DM223))</f>
        <v>#N/A</v>
      </c>
      <c r="DO223" s="314" t="str">
        <f t="shared" si="394"/>
        <v/>
      </c>
      <c r="DP223" s="314" t="e">
        <f>IF($J223="",#N/A,SUM(DO$4:DO223))</f>
        <v>#N/A</v>
      </c>
      <c r="DQ223" s="315">
        <f t="shared" si="395"/>
        <v>0.17183911023608528</v>
      </c>
      <c r="DR223" s="315" t="e">
        <f>IF($J223="",#N/A,SUM(DQ$4:DQ223))</f>
        <v>#N/A</v>
      </c>
      <c r="DS223" s="315" t="e">
        <f>IF($J223="",#N/A,SUM(DQ$4:DQ223,DO$4:DO223,DM$4:DM223))</f>
        <v>#N/A</v>
      </c>
      <c r="DT223" s="304" t="str">
        <f t="shared" si="396"/>
        <v/>
      </c>
      <c r="DU223" s="313" t="e">
        <f>IF($J223="",#N/A,SUM(DT$4:DT223))</f>
        <v>#N/A</v>
      </c>
      <c r="DV223" s="314" t="str">
        <f t="shared" si="397"/>
        <v/>
      </c>
      <c r="DW223" s="314" t="e">
        <f>IF($J223="",#N/A,SUM(DV$4:DV223))</f>
        <v>#N/A</v>
      </c>
      <c r="DX223" s="315" t="str">
        <f t="shared" si="398"/>
        <v/>
      </c>
      <c r="DY223" s="315" t="e">
        <f>IF($J223="",#N/A,SUM(DX$4:DX223))</f>
        <v>#N/A</v>
      </c>
      <c r="DZ223" s="315" t="e">
        <f>IF($J223="",#N/A,SUM(DX$4:DX223,DV$4:DV223,DT$4:DT223))</f>
        <v>#N/A</v>
      </c>
      <c r="EA223" s="304" t="str">
        <f t="shared" si="399"/>
        <v/>
      </c>
      <c r="EB223" s="313" t="e">
        <f>IF($J223="",#N/A,SUM(EA$4:EA223))</f>
        <v>#N/A</v>
      </c>
      <c r="EC223" s="314" t="str">
        <f t="shared" si="400"/>
        <v/>
      </c>
      <c r="ED223" s="314" t="e">
        <f>IF($J223="",#N/A,SUM(EC$4:EC223))</f>
        <v>#N/A</v>
      </c>
      <c r="EE223" s="315" t="str">
        <f t="shared" si="401"/>
        <v/>
      </c>
      <c r="EF223" s="315" t="e">
        <f>IF($J223="",#N/A,SUM(EE$4:EE223))</f>
        <v>#N/A</v>
      </c>
      <c r="EG223" s="315" t="e">
        <f>IF($J223="",#N/A,SUM(EE$4:EE223,EC$4:EC223,EA$4:EA223))</f>
        <v>#N/A</v>
      </c>
      <c r="EH223" s="130">
        <f t="shared" si="402"/>
        <v>3.9800000000000182</v>
      </c>
      <c r="EI223" s="63">
        <f>IF(EH223="",#N/A,SUM($EH$4:EH223))</f>
        <v>848.31932791382519</v>
      </c>
      <c r="EJ223" s="223" t="e">
        <f t="shared" si="403"/>
        <v>#N/A</v>
      </c>
      <c r="EK223" s="63" t="e">
        <f>IF($GZ223="",#N/A,SUM(EJ$4:EJ223))</f>
        <v>#N/A</v>
      </c>
      <c r="EL223" s="60">
        <f t="shared" si="435"/>
        <v>0.17183911023608528</v>
      </c>
      <c r="EM223" s="60">
        <f>IF(EL223="",NA(),SUM($EL$4:EL223))</f>
        <v>24.933484326461549</v>
      </c>
      <c r="EN223" s="60" t="str">
        <f t="shared" si="404"/>
        <v/>
      </c>
      <c r="EO223" s="60" t="e">
        <f>IF(EN223="",NA(),SUM($EN$4:EN223))</f>
        <v>#N/A</v>
      </c>
      <c r="EP223" s="60">
        <f t="shared" si="405"/>
        <v>0.17183911023608528</v>
      </c>
      <c r="EQ223" s="60">
        <f>IF(EP223="",NA(),SUM($EP$4:EP223))</f>
        <v>5.4640251346941362</v>
      </c>
      <c r="ER223" s="60" t="str">
        <f t="shared" si="406"/>
        <v/>
      </c>
      <c r="ES223" s="60" t="e">
        <f>IF(ER223="",NA(),SUM($ER$4:ER223))</f>
        <v>#N/A</v>
      </c>
      <c r="ET223" s="60" t="str">
        <f t="shared" si="407"/>
        <v/>
      </c>
      <c r="EU223" s="60" t="e">
        <f>IF(ET223="",NA(),SUM($ET$4:ET223))</f>
        <v>#N/A</v>
      </c>
      <c r="EV223" s="60" t="str">
        <f t="shared" si="408"/>
        <v/>
      </c>
      <c r="EW223" s="60" t="e">
        <f>IF(EV223="",NA(),SUM($EV$4:EV223))</f>
        <v>#N/A</v>
      </c>
      <c r="EX223" s="60" t="str">
        <f t="shared" si="409"/>
        <v/>
      </c>
      <c r="EY223" s="60" t="e">
        <f>IF(EX223="",NA(),SUM($EX$4:EX223))</f>
        <v>#N/A</v>
      </c>
      <c r="EZ223" s="60" t="str">
        <f t="shared" si="410"/>
        <v/>
      </c>
      <c r="FA223" s="60" t="e">
        <f>IF(EZ223="",NA(),SUM($EZ$4:EZ223))</f>
        <v>#N/A</v>
      </c>
      <c r="FB223" s="246" t="str">
        <f t="shared" si="436"/>
        <v/>
      </c>
      <c r="FC223" s="246" t="e">
        <f>IF($FB223="",#N/A,SUM(FB$4:$FB223))</f>
        <v>#N/A</v>
      </c>
      <c r="FD223" s="60" t="str">
        <f t="shared" si="411"/>
        <v/>
      </c>
      <c r="FE223" s="60" t="e">
        <f>IF($FD223="",#N/A,SUM($FD$4:FD223))</f>
        <v>#N/A</v>
      </c>
      <c r="FF223" s="60" t="str">
        <f t="shared" si="412"/>
        <v/>
      </c>
      <c r="FG223" s="60" t="e">
        <f>IF($FF223="",#N/A,SUM($FF$4:FF223))</f>
        <v>#N/A</v>
      </c>
      <c r="FH223" s="60" t="str">
        <f t="shared" si="413"/>
        <v/>
      </c>
      <c r="FI223" s="60" t="e">
        <f>IF($FH223="",#N/A,SUM($FH$4:FH223))</f>
        <v>#N/A</v>
      </c>
      <c r="FJ223" s="60">
        <f t="shared" si="414"/>
        <v>-0.2694160924304444</v>
      </c>
      <c r="FK223" s="60">
        <f>IF($FJ223="",#N/A,SUM($FJ$4:FJ223))</f>
        <v>-5.3528664623824973</v>
      </c>
      <c r="FL223" s="60" t="str">
        <f t="shared" si="415"/>
        <v/>
      </c>
      <c r="FM223" s="60" t="e">
        <f>IF($FL223="",#N/A,SUM($FL$4:FL223))</f>
        <v>#N/A</v>
      </c>
      <c r="FN223" s="82">
        <f t="shared" si="416"/>
        <v>-9.7576982194359146E-2</v>
      </c>
      <c r="FO223" s="82">
        <f>IF($FN223="",#N/A,SUM(FN$4:$FN223))</f>
        <v>34.411770711858338</v>
      </c>
      <c r="FP223" s="82">
        <f t="shared" si="437"/>
        <v>0.17183911023608528</v>
      </c>
      <c r="FQ223" s="246">
        <f>IF($EH223="",#N/A,SUM($FP$4:FP223))</f>
        <v>33.631120662609312</v>
      </c>
      <c r="FR223" s="82">
        <f>IFERROR(FQ223/COUNTA($J$4:J223),#N/A)</f>
        <v>0.15286873028458778</v>
      </c>
      <c r="FS223" s="82" t="e">
        <f>IFERROR(($FQ223-#REF!)/COUNTA($J176:$J223),#N/A)</f>
        <v>#N/A</v>
      </c>
      <c r="FT223" s="82">
        <f t="shared" si="417"/>
        <v>0.37864361279255715</v>
      </c>
      <c r="FU223" s="337">
        <f t="shared" si="444"/>
        <v>15.186164148811082</v>
      </c>
      <c r="FV223" s="57" t="str">
        <f t="shared" si="418"/>
        <v>SW</v>
      </c>
      <c r="FW223" s="57" t="s">
        <v>2732</v>
      </c>
      <c r="FX223" s="57" t="str">
        <f t="shared" si="419"/>
        <v/>
      </c>
      <c r="FY223" s="57" t="str">
        <f t="shared" si="420"/>
        <v/>
      </c>
      <c r="FZ223" s="57">
        <f t="shared" si="421"/>
        <v>1</v>
      </c>
      <c r="GA223" s="57" t="str">
        <f t="shared" si="422"/>
        <v>Long</v>
      </c>
      <c r="GB223" s="57" t="str">
        <f t="shared" si="423"/>
        <v/>
      </c>
      <c r="GC223" s="57" t="str">
        <f t="shared" si="424"/>
        <v/>
      </c>
      <c r="GD223" s="57" t="str">
        <f t="shared" si="425"/>
        <v/>
      </c>
      <c r="GE223" s="62">
        <f t="shared" si="339"/>
        <v>193.01</v>
      </c>
      <c r="GF223" s="62" t="s">
        <v>2780</v>
      </c>
      <c r="GG223" s="199">
        <v>2</v>
      </c>
      <c r="GH223" s="207">
        <f t="shared" si="426"/>
        <v>386.02</v>
      </c>
      <c r="GI223" s="199">
        <v>2</v>
      </c>
      <c r="GJ223" s="200">
        <v>194</v>
      </c>
      <c r="GK223" s="63">
        <f t="shared" si="427"/>
        <v>-1.9800000000000182</v>
      </c>
      <c r="GL223" s="63">
        <f t="shared" si="340"/>
        <v>2.2599999999999909</v>
      </c>
      <c r="GM223" s="82">
        <f t="shared" si="428"/>
        <v>-9.7576982194359146E-2</v>
      </c>
      <c r="GN223" s="82">
        <f>IF($GZ223="",#N/A,SUM(GM$4:GM223))</f>
        <v>1.0545954205703747</v>
      </c>
      <c r="GO223" s="82" t="str">
        <f t="shared" si="429"/>
        <v/>
      </c>
      <c r="GP223" s="82">
        <f>IF($GZ223="",#N/A,SUM(GO$4:GO223))</f>
        <v>11.174784260249723</v>
      </c>
      <c r="GQ223" s="82" t="str">
        <f t="shared" si="430"/>
        <v/>
      </c>
      <c r="GR223" s="82">
        <f>IF($GZ223="",#N/A,SUM(GQ$4:GQ223))</f>
        <v>21.556554076595891</v>
      </c>
      <c r="GS223" s="63" t="e">
        <f t="shared" si="438"/>
        <v>#N/A</v>
      </c>
      <c r="GT223" s="63" t="e">
        <f>IF($GZ223="",#N/A,SUM(GS$4:GS223))</f>
        <v>#N/A</v>
      </c>
      <c r="GU223" s="63" t="str">
        <f t="shared" si="439"/>
        <v/>
      </c>
      <c r="GV223" s="63" t="e">
        <f>IF($GZ223="",#N/A,SUM(GU$4:GU223))</f>
        <v>#N/A</v>
      </c>
      <c r="GW223" s="63" t="str">
        <f t="shared" si="440"/>
        <v/>
      </c>
      <c r="GX223" s="63" t="e">
        <f>IF($GZ223="",#N/A,SUM(GW$4:GW223))</f>
        <v>#N/A</v>
      </c>
      <c r="GY223" s="63" t="e">
        <f>IF(EJ223="",#N/A,SUM($EJ$4:EJ223))</f>
        <v>#N/A</v>
      </c>
      <c r="GZ223" s="159">
        <v>191.88</v>
      </c>
      <c r="HA223" s="63">
        <f t="shared" si="431"/>
        <v>-1.7200000000000273</v>
      </c>
      <c r="HB223" s="62" t="s">
        <v>2538</v>
      </c>
      <c r="HC223" s="60">
        <f>IFERROR(VLOOKUP(E223,Expectancy!$P$4:$S$19,1+C223,FALSE),"")</f>
        <v>-3.1543782927977014E-2</v>
      </c>
      <c r="HD223" s="82">
        <f t="shared" si="432"/>
        <v>-8.5487798559660919E-2</v>
      </c>
      <c r="HE223" s="138">
        <f>IF(HD223="",#N/A,SUM($HD$4:HD223))</f>
        <v>3.9149565137982316</v>
      </c>
      <c r="HF223" s="85">
        <f>IF(HD223="",#N/A,IF(HB223="Skip",#N/A,SUM($HG$4:HG223)))</f>
        <v>124.38156919911449</v>
      </c>
      <c r="HG223" s="63">
        <f t="shared" si="433"/>
        <v>-1.9800000000000182</v>
      </c>
      <c r="HH223" s="82">
        <f t="shared" si="434"/>
        <v>-9.7576982194359146E-2</v>
      </c>
    </row>
    <row r="224" spans="1:216" x14ac:dyDescent="0.25">
      <c r="A224" s="57" t="s">
        <v>1435</v>
      </c>
      <c r="B224" s="58" t="s">
        <v>5216</v>
      </c>
      <c r="C224" s="386">
        <f t="shared" si="343"/>
        <v>2</v>
      </c>
      <c r="D224" s="372" t="str">
        <f>_xlfn.XLOOKUP(A224,[1]SP500!$A$2:$A$502,[1]SP500!$D$2:$D$502,"N")</f>
        <v>N</v>
      </c>
      <c r="E224" s="57" t="str">
        <f>_xlfn.XLOOKUP(A224,[1]SP500!$A$2:$A$655,[1]SP500!$B$2:$B$655)</f>
        <v>XLY</v>
      </c>
      <c r="F224" s="59">
        <v>45693</v>
      </c>
      <c r="G224" s="57" t="str">
        <f t="shared" si="344"/>
        <v>AMC</v>
      </c>
      <c r="H224" s="57" t="str">
        <f t="shared" si="345"/>
        <v>s</v>
      </c>
      <c r="I224" s="159">
        <v>10.01</v>
      </c>
      <c r="J224" s="159">
        <v>9.49</v>
      </c>
      <c r="K224" s="61">
        <f t="shared" si="346"/>
        <v>-5.194805194805191E-2</v>
      </c>
      <c r="L224" s="87">
        <f t="shared" si="347"/>
        <v>20.279999999999973</v>
      </c>
      <c r="M224" s="130">
        <f t="shared" si="338"/>
        <v>-3.8999999999999773</v>
      </c>
      <c r="N224" s="169" t="str">
        <f t="shared" si="348"/>
        <v/>
      </c>
      <c r="O224" s="169">
        <f>IF($J224="",#N/A,SUM($N$4:N224))</f>
        <v>283.78492601211707</v>
      </c>
      <c r="P224" s="174">
        <f t="shared" si="349"/>
        <v>20.279999999999973</v>
      </c>
      <c r="Q224" s="174">
        <f>IF($J224="",#N/A,SUM($P$4:P224))</f>
        <v>471.45776401603678</v>
      </c>
      <c r="R224" s="178" t="str">
        <f t="shared" si="350"/>
        <v/>
      </c>
      <c r="S224" s="178">
        <f>IF($J224="",#N/A,SUM($R$4:R224))</f>
        <v>113.35663788567109</v>
      </c>
      <c r="T224" s="290" t="str">
        <f t="shared" si="351"/>
        <v/>
      </c>
      <c r="U224" s="290">
        <f>IF($J224="",#N/A,SUM($T$4:T224))</f>
        <v>10.242121677474179</v>
      </c>
      <c r="V224" s="291">
        <f t="shared" si="352"/>
        <v>0.86580086580086468</v>
      </c>
      <c r="W224" s="291">
        <f>IF($J224="",#N/A,SUM($V$4:V224))</f>
        <v>19.718531636319053</v>
      </c>
      <c r="X224" s="292" t="str">
        <f t="shared" si="353"/>
        <v/>
      </c>
      <c r="Y224" s="292">
        <f>IF($J224="",#N/A,SUM($X$4:X224))</f>
        <v>4.5362682146169426</v>
      </c>
      <c r="Z224" s="304" t="str">
        <f t="shared" si="354"/>
        <v/>
      </c>
      <c r="AA224" s="313" t="e">
        <f>IF($J224="",#N/A,SUM(Z$4:Z224))</f>
        <v>#N/A</v>
      </c>
      <c r="AB224" s="314" t="str">
        <f t="shared" si="355"/>
        <v/>
      </c>
      <c r="AC224" s="314" t="e">
        <f>IF($J224="",#N/A,SUM(AB$4:AB224))</f>
        <v>#N/A</v>
      </c>
      <c r="AD224" s="315" t="str">
        <f t="shared" si="356"/>
        <v/>
      </c>
      <c r="AE224" s="315" t="e">
        <f>IF($J224="",#N/A,SUM(AD$4:AD224))</f>
        <v>#N/A</v>
      </c>
      <c r="AF224" s="315" t="e">
        <f>IF($J224="",#N/A,SUM(AD$4:AD224,AB$4:AB224,Z$4:Z224))</f>
        <v>#N/A</v>
      </c>
      <c r="AG224" s="304" t="str">
        <f t="shared" si="357"/>
        <v/>
      </c>
      <c r="AH224" s="313" t="e">
        <f>IF($J224="",#N/A,SUM(AG$4:AG224))</f>
        <v>#N/A</v>
      </c>
      <c r="AI224" s="314" t="str">
        <f t="shared" si="358"/>
        <v/>
      </c>
      <c r="AJ224" s="314" t="e">
        <f>IF($J224="",#N/A,SUM(AI$4:AI224))</f>
        <v>#N/A</v>
      </c>
      <c r="AK224" s="315" t="str">
        <f t="shared" si="359"/>
        <v/>
      </c>
      <c r="AL224" s="315" t="e">
        <f>IF($J224="",#N/A,SUM(AK$4:AK224))</f>
        <v>#N/A</v>
      </c>
      <c r="AM224" s="315" t="e">
        <f>IF($J224="",#N/A,SUM(AK$4:AK224,AI$4:AI224,AG$4:AG224))</f>
        <v>#N/A</v>
      </c>
      <c r="AN224" s="304" t="str">
        <f t="shared" si="360"/>
        <v/>
      </c>
      <c r="AO224" s="313" t="e">
        <f>IF($J224="",#N/A,SUM(AN$4:AN224))</f>
        <v>#N/A</v>
      </c>
      <c r="AP224" s="314">
        <f t="shared" si="361"/>
        <v>0.86580086580086468</v>
      </c>
      <c r="AQ224" s="314" t="e">
        <f>IF($J224="",#N/A,SUM(AP$4:AP224))</f>
        <v>#N/A</v>
      </c>
      <c r="AR224" s="315" t="str">
        <f t="shared" si="362"/>
        <v/>
      </c>
      <c r="AS224" s="315" t="e">
        <f>IF($J224="",#N/A,SUM(AR$4:AR224))</f>
        <v>#N/A</v>
      </c>
      <c r="AT224" s="315" t="e">
        <f>IF($J224="",#N/A,SUM(AR$4:AR224,AP$4:AP224,AN$4:AN224))</f>
        <v>#N/A</v>
      </c>
      <c r="AU224" s="304" t="str">
        <f t="shared" si="363"/>
        <v/>
      </c>
      <c r="AV224" s="313" t="e">
        <f>IF($J224="",#N/A,SUM(AU$4:AU224))</f>
        <v>#N/A</v>
      </c>
      <c r="AW224" s="314" t="str">
        <f t="shared" si="364"/>
        <v/>
      </c>
      <c r="AX224" s="314" t="e">
        <f>IF($J224="",#N/A,SUM(AW$4:AW224))</f>
        <v>#N/A</v>
      </c>
      <c r="AY224" s="315" t="str">
        <f t="shared" si="365"/>
        <v/>
      </c>
      <c r="AZ224" s="315" t="e">
        <f>IF($J224="",#N/A,SUM(AY$4:AY224))</f>
        <v>#N/A</v>
      </c>
      <c r="BA224" s="315" t="e">
        <f>IF($J224="",#N/A,SUM(AY$4:AY224,AW$4:AW224,AU$4:AU224))</f>
        <v>#N/A</v>
      </c>
      <c r="BB224" s="304" t="str">
        <f t="shared" si="366"/>
        <v/>
      </c>
      <c r="BC224" s="313" t="e">
        <f>IF($J224="",#N/A,SUM(BB$4:BB224))</f>
        <v>#N/A</v>
      </c>
      <c r="BD224" s="314" t="str">
        <f t="shared" si="367"/>
        <v/>
      </c>
      <c r="BE224" s="314" t="e">
        <f>IF($J224="",#N/A,SUM(BD$4:BD224))</f>
        <v>#N/A</v>
      </c>
      <c r="BF224" s="315" t="str">
        <f t="shared" si="368"/>
        <v/>
      </c>
      <c r="BG224" s="315" t="e">
        <f>IF($J224="",#N/A,SUM(BF$4:BF224))</f>
        <v>#N/A</v>
      </c>
      <c r="BH224" s="315" t="e">
        <f>IF($J224="",#N/A,SUM(BF$4:BF224,BD$4:BD224,BB$4:BB224))</f>
        <v>#N/A</v>
      </c>
      <c r="BI224" s="304" t="str">
        <f t="shared" si="369"/>
        <v/>
      </c>
      <c r="BJ224" s="313" t="e">
        <f>IF($J224="",#N/A,SUM(BI$4:BI224))</f>
        <v>#N/A</v>
      </c>
      <c r="BK224" s="314" t="str">
        <f t="shared" si="370"/>
        <v/>
      </c>
      <c r="BL224" s="314" t="e">
        <f>IF($J224="",#N/A,SUM(BK$4:BK224))</f>
        <v>#N/A</v>
      </c>
      <c r="BM224" s="315" t="str">
        <f t="shared" si="371"/>
        <v/>
      </c>
      <c r="BN224" s="315" t="e">
        <f>IF($J224="",#N/A,SUM(BM$4:BM224))</f>
        <v>#N/A</v>
      </c>
      <c r="BO224" s="315" t="e">
        <f>IF($J224="",#N/A,SUM(BM$4:BM224,BK$4:BK224,BI$4:BI224))</f>
        <v>#N/A</v>
      </c>
      <c r="BP224" s="304" t="str">
        <f t="shared" si="372"/>
        <v/>
      </c>
      <c r="BQ224" s="313" t="e">
        <f>IF($J224="",#N/A,SUM(BP$4:BP224))</f>
        <v>#N/A</v>
      </c>
      <c r="BR224" s="314" t="str">
        <f t="shared" si="373"/>
        <v/>
      </c>
      <c r="BS224" s="314" t="e">
        <f>IF($J224="",#N/A,SUM(BR$4:BR224))</f>
        <v>#N/A</v>
      </c>
      <c r="BT224" s="315" t="str">
        <f t="shared" si="374"/>
        <v/>
      </c>
      <c r="BU224" s="315" t="e">
        <f>IF($J224="",#N/A,SUM(BT$4:BT224))</f>
        <v>#N/A</v>
      </c>
      <c r="BV224" s="315" t="e">
        <f>IF($J224="",#N/A,SUM(BT$4:BT224,BR$4:BR224,BP$4:BP224))</f>
        <v>#N/A</v>
      </c>
      <c r="BW224" s="304" t="str">
        <f t="shared" si="375"/>
        <v/>
      </c>
      <c r="BX224" s="313" t="e">
        <f>IF($J224="",#N/A,SUM(BW$4:BW224))</f>
        <v>#N/A</v>
      </c>
      <c r="BY224" s="314" t="str">
        <f t="shared" si="376"/>
        <v/>
      </c>
      <c r="BZ224" s="314" t="e">
        <f>IF($J224="",#N/A,SUM(BY$4:BY224))</f>
        <v>#N/A</v>
      </c>
      <c r="CA224" s="315" t="str">
        <f t="shared" si="377"/>
        <v/>
      </c>
      <c r="CB224" s="315" t="e">
        <f>IF($J224="",#N/A,SUM(CA$4:CA224))</f>
        <v>#N/A</v>
      </c>
      <c r="CC224" s="315" t="e">
        <f>IF($J224="",#N/A,SUM(CA$4:CA224,BY$4:BY224,BW$4:BW224))</f>
        <v>#N/A</v>
      </c>
      <c r="CD224" s="304" t="str">
        <f t="shared" si="378"/>
        <v/>
      </c>
      <c r="CE224" s="313" t="e">
        <f>IF($J224="",#N/A,SUM(CD$4:CD224))</f>
        <v>#N/A</v>
      </c>
      <c r="CF224" s="314" t="str">
        <f t="shared" si="379"/>
        <v/>
      </c>
      <c r="CG224" s="314" t="e">
        <f>IF($J224="",#N/A,SUM(CF$4:CF224))</f>
        <v>#N/A</v>
      </c>
      <c r="CH224" s="315" t="str">
        <f t="shared" si="380"/>
        <v/>
      </c>
      <c r="CI224" s="315" t="e">
        <f>IF($J224="",#N/A,SUM(CH$4:CH224))</f>
        <v>#N/A</v>
      </c>
      <c r="CJ224" s="315" t="e">
        <f>IF($J224="",#N/A,SUM(CH$4:CH224,CF$4:CF224,CD$4:CD224))</f>
        <v>#N/A</v>
      </c>
      <c r="CK224" s="304" t="str">
        <f t="shared" si="381"/>
        <v/>
      </c>
      <c r="CL224" s="313" t="e">
        <f>IF($J224="",#N/A,SUM(CK$4:CK224))</f>
        <v>#N/A</v>
      </c>
      <c r="CM224" s="314" t="str">
        <f t="shared" si="382"/>
        <v/>
      </c>
      <c r="CN224" s="314" t="e">
        <f>IF($J224="",#N/A,SUM(CM$4:CM224))</f>
        <v>#N/A</v>
      </c>
      <c r="CO224" s="315" t="str">
        <f t="shared" si="383"/>
        <v/>
      </c>
      <c r="CP224" s="315" t="e">
        <f>IF($J224="",#N/A,SUM(CO$4:CO224))</f>
        <v>#N/A</v>
      </c>
      <c r="CQ224" s="315" t="e">
        <f>IF($J224="",#N/A,SUM(CO$4:CO224,CM$4:CM224,CK$4:CK224))</f>
        <v>#N/A</v>
      </c>
      <c r="CR224" s="304" t="str">
        <f t="shared" si="384"/>
        <v/>
      </c>
      <c r="CS224" s="313" t="e">
        <f>IF($J224="",#N/A,SUM(CR$4:CR224))</f>
        <v>#N/A</v>
      </c>
      <c r="CT224" s="314" t="str">
        <f t="shared" si="385"/>
        <v/>
      </c>
      <c r="CU224" s="314" t="e">
        <f>IF($J224="",#N/A,SUM(CT$4:CT224))</f>
        <v>#N/A</v>
      </c>
      <c r="CV224" s="315" t="str">
        <f t="shared" si="386"/>
        <v/>
      </c>
      <c r="CW224" s="315" t="e">
        <f>IF($J224="",#N/A,SUM(CV$4:CV224))</f>
        <v>#N/A</v>
      </c>
      <c r="CX224" s="315" t="e">
        <f>IF($J224="",#N/A,SUM(CV$4:CV224,CT$4:CT224,CR$4:CR224))</f>
        <v>#N/A</v>
      </c>
      <c r="CY224" s="304" t="str">
        <f t="shared" si="387"/>
        <v/>
      </c>
      <c r="CZ224" s="313" t="e">
        <f>IF($J224="",#N/A,SUM(CY$4:CY224))</f>
        <v>#N/A</v>
      </c>
      <c r="DA224" s="314" t="str">
        <f t="shared" si="388"/>
        <v/>
      </c>
      <c r="DB224" s="314" t="e">
        <f>IF($J224="",#N/A,SUM(DA$4:DA224))</f>
        <v>#N/A</v>
      </c>
      <c r="DC224" s="315" t="str">
        <f t="shared" si="389"/>
        <v/>
      </c>
      <c r="DD224" s="315" t="e">
        <f>IF($J224="",#N/A,SUM(DC$4:DC224))</f>
        <v>#N/A</v>
      </c>
      <c r="DE224" s="315" t="e">
        <f>IF($J224="",#N/A,SUM(DC$4:DC224,DA$4:DA224,CY$4:CY224))</f>
        <v>#N/A</v>
      </c>
      <c r="DF224" s="304" t="str">
        <f t="shared" si="390"/>
        <v/>
      </c>
      <c r="DG224" s="313" t="e">
        <f>IF($J224="",#N/A,SUM(DF$4:DF224))</f>
        <v>#N/A</v>
      </c>
      <c r="DH224" s="314" t="str">
        <f t="shared" si="391"/>
        <v/>
      </c>
      <c r="DI224" s="314" t="e">
        <f>IF($J224="",#N/A,SUM(DH$4:DH224))</f>
        <v>#N/A</v>
      </c>
      <c r="DJ224" s="315" t="str">
        <f t="shared" si="392"/>
        <v/>
      </c>
      <c r="DK224" s="315" t="e">
        <f>IF($J224="",#N/A,SUM(DJ$4:DJ224))</f>
        <v>#N/A</v>
      </c>
      <c r="DL224" s="315" t="e">
        <f>IF($J224="",#N/A,SUM(DJ$4:DJ224,DH$4:DH224,DF$4:DF224))</f>
        <v>#N/A</v>
      </c>
      <c r="DM224" s="304" t="str">
        <f t="shared" si="393"/>
        <v/>
      </c>
      <c r="DN224" s="313" t="e">
        <f>IF($J224="",#N/A,SUM(DM$4:DM224))</f>
        <v>#N/A</v>
      </c>
      <c r="DO224" s="314" t="str">
        <f t="shared" si="394"/>
        <v/>
      </c>
      <c r="DP224" s="314" t="e">
        <f>IF($J224="",#N/A,SUM(DO$4:DO224))</f>
        <v>#N/A</v>
      </c>
      <c r="DQ224" s="315" t="str">
        <f t="shared" si="395"/>
        <v/>
      </c>
      <c r="DR224" s="315" t="e">
        <f>IF($J224="",#N/A,SUM(DQ$4:DQ224))</f>
        <v>#N/A</v>
      </c>
      <c r="DS224" s="315" t="e">
        <f>IF($J224="",#N/A,SUM(DQ$4:DQ224,DO$4:DO224,DM$4:DM224))</f>
        <v>#N/A</v>
      </c>
      <c r="DT224" s="304" t="str">
        <f t="shared" si="396"/>
        <v/>
      </c>
      <c r="DU224" s="313" t="e">
        <f>IF($J224="",#N/A,SUM(DT$4:DT224))</f>
        <v>#N/A</v>
      </c>
      <c r="DV224" s="314" t="str">
        <f t="shared" si="397"/>
        <v/>
      </c>
      <c r="DW224" s="314" t="e">
        <f>IF($J224="",#N/A,SUM(DV$4:DV224))</f>
        <v>#N/A</v>
      </c>
      <c r="DX224" s="315" t="str">
        <f t="shared" si="398"/>
        <v/>
      </c>
      <c r="DY224" s="315" t="e">
        <f>IF($J224="",#N/A,SUM(DX$4:DX224))</f>
        <v>#N/A</v>
      </c>
      <c r="DZ224" s="315" t="e">
        <f>IF($J224="",#N/A,SUM(DX$4:DX224,DV$4:DV224,DT$4:DT224))</f>
        <v>#N/A</v>
      </c>
      <c r="EA224" s="304" t="str">
        <f t="shared" si="399"/>
        <v/>
      </c>
      <c r="EB224" s="313" t="e">
        <f>IF($J224="",#N/A,SUM(EA$4:EA224))</f>
        <v>#N/A</v>
      </c>
      <c r="EC224" s="314" t="str">
        <f t="shared" si="400"/>
        <v/>
      </c>
      <c r="ED224" s="314" t="e">
        <f>IF($J224="",#N/A,SUM(EC$4:EC224))</f>
        <v>#N/A</v>
      </c>
      <c r="EE224" s="315" t="str">
        <f t="shared" si="401"/>
        <v/>
      </c>
      <c r="EF224" s="315" t="e">
        <f>IF($J224="",#N/A,SUM(EE$4:EE224))</f>
        <v>#N/A</v>
      </c>
      <c r="EG224" s="315" t="e">
        <f>IF($J224="",#N/A,SUM(EE$4:EE224,EC$4:EC224,EA$4:EA224))</f>
        <v>#N/A</v>
      </c>
      <c r="EH224" s="130">
        <f t="shared" si="402"/>
        <v>20.279999999999973</v>
      </c>
      <c r="EI224" s="63">
        <f>IF(EH224="",#N/A,SUM($EH$4:EH224))</f>
        <v>868.59932791382516</v>
      </c>
      <c r="EJ224" s="223" t="e">
        <f t="shared" si="403"/>
        <v>#N/A</v>
      </c>
      <c r="EK224" s="63" t="e">
        <f>IF($GZ224="",#N/A,SUM(EJ$4:EJ224))</f>
        <v>#N/A</v>
      </c>
      <c r="EL224" s="60" t="str">
        <f t="shared" si="435"/>
        <v/>
      </c>
      <c r="EM224" s="60" t="e">
        <f>IF(EL224="",NA(),SUM($EL$4:EL224))</f>
        <v>#N/A</v>
      </c>
      <c r="EN224" s="60" t="str">
        <f t="shared" si="404"/>
        <v/>
      </c>
      <c r="EO224" s="60" t="e">
        <f>IF(EN224="",NA(),SUM($EN$4:EN224))</f>
        <v>#N/A</v>
      </c>
      <c r="EP224" s="60" t="str">
        <f t="shared" si="405"/>
        <v/>
      </c>
      <c r="EQ224" s="60" t="e">
        <f>IF(EP224="",NA(),SUM($EP$4:EP224))</f>
        <v>#N/A</v>
      </c>
      <c r="ER224" s="60" t="str">
        <f t="shared" si="406"/>
        <v/>
      </c>
      <c r="ES224" s="60" t="e">
        <f>IF(ER224="",NA(),SUM($ER$4:ER224))</f>
        <v>#N/A</v>
      </c>
      <c r="ET224" s="60">
        <f t="shared" si="407"/>
        <v>0.86580086580086468</v>
      </c>
      <c r="EU224" s="60">
        <f>IF(ET224="",NA(),SUM($ET$4:ET224))</f>
        <v>9.5634372019486271</v>
      </c>
      <c r="EV224" s="60" t="str">
        <f t="shared" si="408"/>
        <v/>
      </c>
      <c r="EW224" s="60" t="e">
        <f>IF(EV224="",NA(),SUM($EV$4:EV224))</f>
        <v>#N/A</v>
      </c>
      <c r="EX224" s="60" t="str">
        <f t="shared" si="409"/>
        <v/>
      </c>
      <c r="EY224" s="60" t="e">
        <f>IF(EX224="",NA(),SUM($EX$4:EX224))</f>
        <v>#N/A</v>
      </c>
      <c r="EZ224" s="60">
        <f t="shared" si="410"/>
        <v>0.86580086580086468</v>
      </c>
      <c r="FA224" s="60">
        <f>IF(EZ224="",NA(),SUM($EZ$4:EZ224))</f>
        <v>8.5344872973750991</v>
      </c>
      <c r="FB224" s="246">
        <f t="shared" si="436"/>
        <v>0.38295038295038419</v>
      </c>
      <c r="FC224" s="246">
        <f>IF($FB224="",#N/A,SUM(FB$4:$FB224))</f>
        <v>1.7646497415260003</v>
      </c>
      <c r="FD224" s="60" t="str">
        <f t="shared" si="411"/>
        <v/>
      </c>
      <c r="FE224" s="60" t="e">
        <f>IF($FD224="",#N/A,SUM($FD$4:FD224))</f>
        <v>#N/A</v>
      </c>
      <c r="FF224" s="60" t="str">
        <f t="shared" si="412"/>
        <v/>
      </c>
      <c r="FG224" s="60" t="e">
        <f>IF($FF224="",#N/A,SUM($FF$4:FF224))</f>
        <v>#N/A</v>
      </c>
      <c r="FH224" s="60" t="str">
        <f t="shared" si="413"/>
        <v/>
      </c>
      <c r="FI224" s="60" t="e">
        <f>IF($FH224="",#N/A,SUM($FH$4:FH224))</f>
        <v>#N/A</v>
      </c>
      <c r="FJ224" s="60" t="str">
        <f t="shared" si="414"/>
        <v/>
      </c>
      <c r="FK224" s="60" t="e">
        <f>IF($FJ224="",#N/A,SUM($FJ$4:FJ224))</f>
        <v>#N/A</v>
      </c>
      <c r="FL224" s="60" t="str">
        <f t="shared" si="415"/>
        <v/>
      </c>
      <c r="FM224" s="60" t="e">
        <f>IF($FL224="",#N/A,SUM($FL$4:FL224))</f>
        <v>#N/A</v>
      </c>
      <c r="FN224" s="82">
        <f t="shared" si="416"/>
        <v>1.2487512487512489</v>
      </c>
      <c r="FO224" s="82">
        <f>IF($FN224="",#N/A,SUM(FN$4:$FN224))</f>
        <v>35.660521960609586</v>
      </c>
      <c r="FP224" s="82">
        <f t="shared" si="437"/>
        <v>0.86580086580086468</v>
      </c>
      <c r="FQ224" s="246">
        <f>IF($EH224="",#N/A,SUM($FP$4:FP224))</f>
        <v>34.496921528410176</v>
      </c>
      <c r="FR224" s="82">
        <f>IFERROR(FQ224/COUNTA($J$4:J224),#N/A)</f>
        <v>0.15609466754936732</v>
      </c>
      <c r="FS224" s="82">
        <f t="shared" ref="FS224:FS243" si="445">IFERROR(($FQ224-$FQ176)/COUNTA($J176:$J224),#N/A)</f>
        <v>0.21813542647952069</v>
      </c>
      <c r="FT224" s="82">
        <f t="shared" si="417"/>
        <v>0.18186644062678381</v>
      </c>
      <c r="FU224" s="337">
        <f t="shared" si="444"/>
        <v>15.352664315311246</v>
      </c>
      <c r="FV224" s="57" t="str">
        <f t="shared" si="418"/>
        <v>Dwn</v>
      </c>
      <c r="FW224" s="57" t="s">
        <v>2733</v>
      </c>
      <c r="FX224" s="57" t="str">
        <f t="shared" si="419"/>
        <v/>
      </c>
      <c r="FY224" s="57" t="str">
        <f t="shared" si="420"/>
        <v/>
      </c>
      <c r="FZ224" s="57" t="str">
        <f t="shared" si="421"/>
        <v/>
      </c>
      <c r="GA224" s="57" t="str">
        <f t="shared" si="422"/>
        <v>Short</v>
      </c>
      <c r="GB224" s="57">
        <f t="shared" si="423"/>
        <v>1</v>
      </c>
      <c r="GC224" s="57" t="str">
        <f t="shared" si="424"/>
        <v/>
      </c>
      <c r="GD224" s="57" t="str">
        <f t="shared" si="425"/>
        <v/>
      </c>
      <c r="GE224" s="62">
        <f t="shared" si="339"/>
        <v>10.01</v>
      </c>
      <c r="GF224" s="62" t="s">
        <v>2780</v>
      </c>
      <c r="GG224" s="199">
        <v>39</v>
      </c>
      <c r="GH224" s="207">
        <f t="shared" si="426"/>
        <v>390.39</v>
      </c>
      <c r="GI224" s="199">
        <v>39</v>
      </c>
      <c r="GJ224" s="200">
        <v>9.59</v>
      </c>
      <c r="GK224" s="63">
        <f t="shared" si="427"/>
        <v>16.379999999999995</v>
      </c>
      <c r="GL224" s="63">
        <f t="shared" si="340"/>
        <v>29.25</v>
      </c>
      <c r="GM224" s="82" t="str">
        <f t="shared" si="428"/>
        <v/>
      </c>
      <c r="GN224" s="82">
        <f>IF($GZ224="",#N/A,SUM(GM$4:GM224))</f>
        <v>1.0545954205703747</v>
      </c>
      <c r="GO224" s="82" t="str">
        <f t="shared" si="429"/>
        <v/>
      </c>
      <c r="GP224" s="82">
        <f>IF($GZ224="",#N/A,SUM(GO$4:GO224))</f>
        <v>11.174784260249723</v>
      </c>
      <c r="GQ224" s="82">
        <f t="shared" si="430"/>
        <v>1.2487512487512489</v>
      </c>
      <c r="GR224" s="82">
        <f>IF($GZ224="",#N/A,SUM(GQ$4:GQ224))</f>
        <v>22.805305325347138</v>
      </c>
      <c r="GS224" s="63" t="str">
        <f t="shared" si="438"/>
        <v/>
      </c>
      <c r="GT224" s="63" t="e">
        <f>IF($GZ224="",#N/A,SUM(GS$4:GS224))</f>
        <v>#N/A</v>
      </c>
      <c r="GU224" s="63" t="str">
        <f t="shared" si="439"/>
        <v/>
      </c>
      <c r="GV224" s="63" t="e">
        <f>IF($GZ224="",#N/A,SUM(GU$4:GU224))</f>
        <v>#N/A</v>
      </c>
      <c r="GW224" s="63" t="e">
        <f t="shared" si="440"/>
        <v>#N/A</v>
      </c>
      <c r="GX224" s="63" t="e">
        <f>IF($GZ224="",#N/A,SUM(GW$4:GW224))</f>
        <v>#N/A</v>
      </c>
      <c r="GY224" s="63" t="e">
        <f>IF(EJ224="",#N/A,SUM($EJ$4:EJ224))</f>
        <v>#N/A</v>
      </c>
      <c r="GZ224" s="159">
        <v>9.26</v>
      </c>
      <c r="HA224" s="63">
        <f t="shared" si="431"/>
        <v>8.9700000000000273</v>
      </c>
      <c r="HB224" s="62" t="s">
        <v>2538</v>
      </c>
      <c r="HC224" s="60">
        <f>IFERROR(VLOOKUP(E224,Expectancy!$P$4:$S$19,1+C224,FALSE),"")</f>
        <v>-9.4786290791818092E-2</v>
      </c>
      <c r="HD224" s="82">
        <f t="shared" si="432"/>
        <v>0.69930069930069916</v>
      </c>
      <c r="HE224" s="138">
        <f>IF(HD224="",#N/A,SUM($HD$4:HD224))</f>
        <v>4.6142572130989308</v>
      </c>
      <c r="HF224" s="85">
        <f>IF(HD224="",#N/A,IF(HB224="Skip",#N/A,SUM($HG$4:HG224)))</f>
        <v>140.76156919911449</v>
      </c>
      <c r="HG224" s="63">
        <f t="shared" si="433"/>
        <v>16.379999999999995</v>
      </c>
      <c r="HH224" s="82">
        <f t="shared" si="434"/>
        <v>1.2487512487512489</v>
      </c>
    </row>
    <row r="225" spans="1:216" x14ac:dyDescent="0.25">
      <c r="A225" s="57" t="s">
        <v>455</v>
      </c>
      <c r="B225" s="58" t="s">
        <v>5219</v>
      </c>
      <c r="C225" s="386">
        <f t="shared" si="343"/>
        <v>1</v>
      </c>
      <c r="D225" s="372" t="str">
        <f>_xlfn.XLOOKUP(A225,[1]SP500!$A$2:$A$502,[1]SP500!$D$2:$D$502,"N")</f>
        <v>Y</v>
      </c>
      <c r="E225" s="57" t="str">
        <f>_xlfn.XLOOKUP(A225,[1]SP500!$A$2:$A$655,[1]SP500!$B$2:$B$655)</f>
        <v>XLB</v>
      </c>
      <c r="F225" s="59">
        <v>45693</v>
      </c>
      <c r="G225" s="57" t="str">
        <f t="shared" si="344"/>
        <v>AMC</v>
      </c>
      <c r="H225" s="57" t="str">
        <f t="shared" si="345"/>
        <v>o</v>
      </c>
      <c r="I225" s="159">
        <v>63.82</v>
      </c>
      <c r="J225" s="159">
        <v>63.57</v>
      </c>
      <c r="K225" s="61">
        <f t="shared" si="346"/>
        <v>-3.9172673143215292E-3</v>
      </c>
      <c r="L225" s="87">
        <f t="shared" si="347"/>
        <v>1.5</v>
      </c>
      <c r="M225" s="130">
        <f t="shared" si="338"/>
        <v>-0.42000000000001592</v>
      </c>
      <c r="N225" s="169">
        <f t="shared" si="348"/>
        <v>-1.5</v>
      </c>
      <c r="O225" s="169">
        <f>IF($J225="",#N/A,SUM($N$4:N225))</f>
        <v>282.28492601211707</v>
      </c>
      <c r="P225" s="174" t="str">
        <f t="shared" si="349"/>
        <v/>
      </c>
      <c r="Q225" s="174">
        <f>IF($J225="",#N/A,SUM($P$4:P225))</f>
        <v>471.45776401603678</v>
      </c>
      <c r="R225" s="178" t="str">
        <f t="shared" si="350"/>
        <v/>
      </c>
      <c r="S225" s="178">
        <f>IF($J225="",#N/A,SUM($R$4:R225))</f>
        <v>113.35663788567109</v>
      </c>
      <c r="T225" s="290">
        <f t="shared" si="351"/>
        <v>-6.5287788572025482E-2</v>
      </c>
      <c r="U225" s="290">
        <f>IF($J225="",#N/A,SUM($T$4:T225))</f>
        <v>10.176833888902154</v>
      </c>
      <c r="V225" s="291" t="str">
        <f t="shared" si="352"/>
        <v/>
      </c>
      <c r="W225" s="291">
        <f>IF($J225="",#N/A,SUM($V$4:V225))</f>
        <v>19.718531636319053</v>
      </c>
      <c r="X225" s="292" t="str">
        <f t="shared" si="353"/>
        <v/>
      </c>
      <c r="Y225" s="292">
        <f>IF($J225="",#N/A,SUM($X$4:X225))</f>
        <v>4.5362682146169426</v>
      </c>
      <c r="Z225" s="304" t="str">
        <f t="shared" si="354"/>
        <v/>
      </c>
      <c r="AA225" s="313" t="e">
        <f>IF($J225="",#N/A,SUM(Z$4:Z225))</f>
        <v>#N/A</v>
      </c>
      <c r="AB225" s="314" t="str">
        <f t="shared" si="355"/>
        <v/>
      </c>
      <c r="AC225" s="314" t="e">
        <f>IF($J225="",#N/A,SUM(AB$4:AB225))</f>
        <v>#N/A</v>
      </c>
      <c r="AD225" s="315" t="str">
        <f t="shared" si="356"/>
        <v/>
      </c>
      <c r="AE225" s="315" t="e">
        <f>IF($J225="",#N/A,SUM(AD$4:AD225))</f>
        <v>#N/A</v>
      </c>
      <c r="AF225" s="315" t="e">
        <f>IF($J225="",#N/A,SUM(AD$4:AD225,AB$4:AB225,Z$4:Z225))</f>
        <v>#N/A</v>
      </c>
      <c r="AG225" s="304" t="str">
        <f t="shared" si="357"/>
        <v/>
      </c>
      <c r="AH225" s="313" t="e">
        <f>IF($J225="",#N/A,SUM(AG$4:AG225))</f>
        <v>#N/A</v>
      </c>
      <c r="AI225" s="314" t="str">
        <f t="shared" si="358"/>
        <v/>
      </c>
      <c r="AJ225" s="314" t="e">
        <f>IF($J225="",#N/A,SUM(AI$4:AI225))</f>
        <v>#N/A</v>
      </c>
      <c r="AK225" s="315" t="str">
        <f t="shared" si="359"/>
        <v/>
      </c>
      <c r="AL225" s="315" t="e">
        <f>IF($J225="",#N/A,SUM(AK$4:AK225))</f>
        <v>#N/A</v>
      </c>
      <c r="AM225" s="315" t="e">
        <f>IF($J225="",#N/A,SUM(AK$4:AK225,AI$4:AI225,AG$4:AG225))</f>
        <v>#N/A</v>
      </c>
      <c r="AN225" s="304" t="str">
        <f t="shared" si="360"/>
        <v/>
      </c>
      <c r="AO225" s="313" t="e">
        <f>IF($J225="",#N/A,SUM(AN$4:AN225))</f>
        <v>#N/A</v>
      </c>
      <c r="AP225" s="314" t="str">
        <f t="shared" si="361"/>
        <v/>
      </c>
      <c r="AQ225" s="314" t="e">
        <f>IF($J225="",#N/A,SUM(AP$4:AP225))</f>
        <v>#N/A</v>
      </c>
      <c r="AR225" s="315" t="str">
        <f t="shared" si="362"/>
        <v/>
      </c>
      <c r="AS225" s="315" t="e">
        <f>IF($J225="",#N/A,SUM(AR$4:AR225))</f>
        <v>#N/A</v>
      </c>
      <c r="AT225" s="315" t="e">
        <f>IF($J225="",#N/A,SUM(AR$4:AR225,AP$4:AP225,AN$4:AN225))</f>
        <v>#N/A</v>
      </c>
      <c r="AU225" s="304" t="str">
        <f t="shared" si="363"/>
        <v/>
      </c>
      <c r="AV225" s="313" t="e">
        <f>IF($J225="",#N/A,SUM(AU$4:AU225))</f>
        <v>#N/A</v>
      </c>
      <c r="AW225" s="314" t="str">
        <f t="shared" si="364"/>
        <v/>
      </c>
      <c r="AX225" s="314" t="e">
        <f>IF($J225="",#N/A,SUM(AW$4:AW225))</f>
        <v>#N/A</v>
      </c>
      <c r="AY225" s="315" t="str">
        <f t="shared" si="365"/>
        <v/>
      </c>
      <c r="AZ225" s="315" t="e">
        <f>IF($J225="",#N/A,SUM(AY$4:AY225))</f>
        <v>#N/A</v>
      </c>
      <c r="BA225" s="315" t="e">
        <f>IF($J225="",#N/A,SUM(AY$4:AY225,AW$4:AW225,AU$4:AU225))</f>
        <v>#N/A</v>
      </c>
      <c r="BB225" s="304" t="str">
        <f t="shared" si="366"/>
        <v/>
      </c>
      <c r="BC225" s="313" t="e">
        <f>IF($J225="",#N/A,SUM(BB$4:BB225))</f>
        <v>#N/A</v>
      </c>
      <c r="BD225" s="314" t="str">
        <f t="shared" si="367"/>
        <v/>
      </c>
      <c r="BE225" s="314" t="e">
        <f>IF($J225="",#N/A,SUM(BD$4:BD225))</f>
        <v>#N/A</v>
      </c>
      <c r="BF225" s="315" t="str">
        <f t="shared" si="368"/>
        <v/>
      </c>
      <c r="BG225" s="315" t="e">
        <f>IF($J225="",#N/A,SUM(BF$4:BF225))</f>
        <v>#N/A</v>
      </c>
      <c r="BH225" s="315" t="e">
        <f>IF($J225="",#N/A,SUM(BF$4:BF225,BD$4:BD225,BB$4:BB225))</f>
        <v>#N/A</v>
      </c>
      <c r="BI225" s="304" t="str">
        <f t="shared" si="369"/>
        <v/>
      </c>
      <c r="BJ225" s="313" t="e">
        <f>IF($J225="",#N/A,SUM(BI$4:BI225))</f>
        <v>#N/A</v>
      </c>
      <c r="BK225" s="314" t="str">
        <f t="shared" si="370"/>
        <v/>
      </c>
      <c r="BL225" s="314" t="e">
        <f>IF($J225="",#N/A,SUM(BK$4:BK225))</f>
        <v>#N/A</v>
      </c>
      <c r="BM225" s="315" t="str">
        <f t="shared" si="371"/>
        <v/>
      </c>
      <c r="BN225" s="315" t="e">
        <f>IF($J225="",#N/A,SUM(BM$4:BM225))</f>
        <v>#N/A</v>
      </c>
      <c r="BO225" s="315" t="e">
        <f>IF($J225="",#N/A,SUM(BM$4:BM225,BK$4:BK225,BI$4:BI225))</f>
        <v>#N/A</v>
      </c>
      <c r="BP225" s="304" t="str">
        <f t="shared" si="372"/>
        <v/>
      </c>
      <c r="BQ225" s="313" t="e">
        <f>IF($J225="",#N/A,SUM(BP$4:BP225))</f>
        <v>#N/A</v>
      </c>
      <c r="BR225" s="314" t="str">
        <f t="shared" si="373"/>
        <v/>
      </c>
      <c r="BS225" s="314" t="e">
        <f>IF($J225="",#N/A,SUM(BR$4:BR225))</f>
        <v>#N/A</v>
      </c>
      <c r="BT225" s="315" t="str">
        <f t="shared" si="374"/>
        <v/>
      </c>
      <c r="BU225" s="315" t="e">
        <f>IF($J225="",#N/A,SUM(BT$4:BT225))</f>
        <v>#N/A</v>
      </c>
      <c r="BV225" s="315" t="e">
        <f>IF($J225="",#N/A,SUM(BT$4:BT225,BR$4:BR225,BP$4:BP225))</f>
        <v>#N/A</v>
      </c>
      <c r="BW225" s="304" t="str">
        <f t="shared" si="375"/>
        <v/>
      </c>
      <c r="BX225" s="313" t="e">
        <f>IF($J225="",#N/A,SUM(BW$4:BW225))</f>
        <v>#N/A</v>
      </c>
      <c r="BY225" s="314" t="str">
        <f t="shared" si="376"/>
        <v/>
      </c>
      <c r="BZ225" s="314" t="e">
        <f>IF($J225="",#N/A,SUM(BY$4:BY225))</f>
        <v>#N/A</v>
      </c>
      <c r="CA225" s="315" t="str">
        <f t="shared" si="377"/>
        <v/>
      </c>
      <c r="CB225" s="315" t="e">
        <f>IF($J225="",#N/A,SUM(CA$4:CA225))</f>
        <v>#N/A</v>
      </c>
      <c r="CC225" s="315" t="e">
        <f>IF($J225="",#N/A,SUM(CA$4:CA225,BY$4:BY225,BW$4:BW225))</f>
        <v>#N/A</v>
      </c>
      <c r="CD225" s="304">
        <f t="shared" si="378"/>
        <v>-6.5287788572025482E-2</v>
      </c>
      <c r="CE225" s="313" t="e">
        <f>IF($J225="",#N/A,SUM(CD$4:CD225))</f>
        <v>#N/A</v>
      </c>
      <c r="CF225" s="314" t="str">
        <f t="shared" si="379"/>
        <v/>
      </c>
      <c r="CG225" s="314" t="e">
        <f>IF($J225="",#N/A,SUM(CF$4:CF225))</f>
        <v>#N/A</v>
      </c>
      <c r="CH225" s="315" t="str">
        <f t="shared" si="380"/>
        <v/>
      </c>
      <c r="CI225" s="315" t="e">
        <f>IF($J225="",#N/A,SUM(CH$4:CH225))</f>
        <v>#N/A</v>
      </c>
      <c r="CJ225" s="315" t="e">
        <f>IF($J225="",#N/A,SUM(CH$4:CH225,CF$4:CF225,CD$4:CD225))</f>
        <v>#N/A</v>
      </c>
      <c r="CK225" s="304" t="str">
        <f t="shared" si="381"/>
        <v/>
      </c>
      <c r="CL225" s="313" t="e">
        <f>IF($J225="",#N/A,SUM(CK$4:CK225))</f>
        <v>#N/A</v>
      </c>
      <c r="CM225" s="314" t="str">
        <f t="shared" si="382"/>
        <v/>
      </c>
      <c r="CN225" s="314" t="e">
        <f>IF($J225="",#N/A,SUM(CM$4:CM225))</f>
        <v>#N/A</v>
      </c>
      <c r="CO225" s="315" t="str">
        <f t="shared" si="383"/>
        <v/>
      </c>
      <c r="CP225" s="315" t="e">
        <f>IF($J225="",#N/A,SUM(CO$4:CO225))</f>
        <v>#N/A</v>
      </c>
      <c r="CQ225" s="315" t="e">
        <f>IF($J225="",#N/A,SUM(CO$4:CO225,CM$4:CM225,CK$4:CK225))</f>
        <v>#N/A</v>
      </c>
      <c r="CR225" s="304" t="str">
        <f t="shared" si="384"/>
        <v/>
      </c>
      <c r="CS225" s="313" t="e">
        <f>IF($J225="",#N/A,SUM(CR$4:CR225))</f>
        <v>#N/A</v>
      </c>
      <c r="CT225" s="314" t="str">
        <f t="shared" si="385"/>
        <v/>
      </c>
      <c r="CU225" s="314" t="e">
        <f>IF($J225="",#N/A,SUM(CT$4:CT225))</f>
        <v>#N/A</v>
      </c>
      <c r="CV225" s="315" t="str">
        <f t="shared" si="386"/>
        <v/>
      </c>
      <c r="CW225" s="315" t="e">
        <f>IF($J225="",#N/A,SUM(CV$4:CV225))</f>
        <v>#N/A</v>
      </c>
      <c r="CX225" s="315" t="e">
        <f>IF($J225="",#N/A,SUM(CV$4:CV225,CT$4:CT225,CR$4:CR225))</f>
        <v>#N/A</v>
      </c>
      <c r="CY225" s="304" t="str">
        <f t="shared" si="387"/>
        <v/>
      </c>
      <c r="CZ225" s="313" t="e">
        <f>IF($J225="",#N/A,SUM(CY$4:CY225))</f>
        <v>#N/A</v>
      </c>
      <c r="DA225" s="314" t="str">
        <f t="shared" si="388"/>
        <v/>
      </c>
      <c r="DB225" s="314" t="e">
        <f>IF($J225="",#N/A,SUM(DA$4:DA225))</f>
        <v>#N/A</v>
      </c>
      <c r="DC225" s="315" t="str">
        <f t="shared" si="389"/>
        <v/>
      </c>
      <c r="DD225" s="315" t="e">
        <f>IF($J225="",#N/A,SUM(DC$4:DC225))</f>
        <v>#N/A</v>
      </c>
      <c r="DE225" s="315" t="e">
        <f>IF($J225="",#N/A,SUM(DC$4:DC225,DA$4:DA225,CY$4:CY225))</f>
        <v>#N/A</v>
      </c>
      <c r="DF225" s="304" t="str">
        <f t="shared" si="390"/>
        <v/>
      </c>
      <c r="DG225" s="313" t="e">
        <f>IF($J225="",#N/A,SUM(DF$4:DF225))</f>
        <v>#N/A</v>
      </c>
      <c r="DH225" s="314" t="str">
        <f t="shared" si="391"/>
        <v/>
      </c>
      <c r="DI225" s="314" t="e">
        <f>IF($J225="",#N/A,SUM(DH$4:DH225))</f>
        <v>#N/A</v>
      </c>
      <c r="DJ225" s="315" t="str">
        <f t="shared" si="392"/>
        <v/>
      </c>
      <c r="DK225" s="315" t="e">
        <f>IF($J225="",#N/A,SUM(DJ$4:DJ225))</f>
        <v>#N/A</v>
      </c>
      <c r="DL225" s="315" t="e">
        <f>IF($J225="",#N/A,SUM(DJ$4:DJ225,DH$4:DH225,DF$4:DF225))</f>
        <v>#N/A</v>
      </c>
      <c r="DM225" s="304" t="str">
        <f t="shared" si="393"/>
        <v/>
      </c>
      <c r="DN225" s="313" t="e">
        <f>IF($J225="",#N/A,SUM(DM$4:DM225))</f>
        <v>#N/A</v>
      </c>
      <c r="DO225" s="314" t="str">
        <f t="shared" si="394"/>
        <v/>
      </c>
      <c r="DP225" s="314" t="e">
        <f>IF($J225="",#N/A,SUM(DO$4:DO225))</f>
        <v>#N/A</v>
      </c>
      <c r="DQ225" s="315" t="str">
        <f t="shared" si="395"/>
        <v/>
      </c>
      <c r="DR225" s="315" t="e">
        <f>IF($J225="",#N/A,SUM(DQ$4:DQ225))</f>
        <v>#N/A</v>
      </c>
      <c r="DS225" s="315" t="e">
        <f>IF($J225="",#N/A,SUM(DQ$4:DQ225,DO$4:DO225,DM$4:DM225))</f>
        <v>#N/A</v>
      </c>
      <c r="DT225" s="304" t="str">
        <f t="shared" si="396"/>
        <v/>
      </c>
      <c r="DU225" s="313" t="e">
        <f>IF($J225="",#N/A,SUM(DT$4:DT225))</f>
        <v>#N/A</v>
      </c>
      <c r="DV225" s="314" t="str">
        <f t="shared" si="397"/>
        <v/>
      </c>
      <c r="DW225" s="314" t="e">
        <f>IF($J225="",#N/A,SUM(DV$4:DV225))</f>
        <v>#N/A</v>
      </c>
      <c r="DX225" s="315" t="str">
        <f t="shared" si="398"/>
        <v/>
      </c>
      <c r="DY225" s="315" t="e">
        <f>IF($J225="",#N/A,SUM(DX$4:DX225))</f>
        <v>#N/A</v>
      </c>
      <c r="DZ225" s="315" t="e">
        <f>IF($J225="",#N/A,SUM(DX$4:DX225,DV$4:DV225,DT$4:DT225))</f>
        <v>#N/A</v>
      </c>
      <c r="EA225" s="304" t="str">
        <f t="shared" si="399"/>
        <v/>
      </c>
      <c r="EB225" s="313" t="e">
        <f>IF($J225="",#N/A,SUM(EA$4:EA225))</f>
        <v>#N/A</v>
      </c>
      <c r="EC225" s="314" t="str">
        <f t="shared" si="400"/>
        <v/>
      </c>
      <c r="ED225" s="314" t="e">
        <f>IF($J225="",#N/A,SUM(EC$4:EC225))</f>
        <v>#N/A</v>
      </c>
      <c r="EE225" s="315" t="str">
        <f t="shared" si="401"/>
        <v/>
      </c>
      <c r="EF225" s="315" t="e">
        <f>IF($J225="",#N/A,SUM(EE$4:EE225))</f>
        <v>#N/A</v>
      </c>
      <c r="EG225" s="315" t="e">
        <f>IF($J225="",#N/A,SUM(EE$4:EE225,EC$4:EC225,EA$4:EA225))</f>
        <v>#N/A</v>
      </c>
      <c r="EH225" s="130">
        <f t="shared" si="402"/>
        <v>-1.5</v>
      </c>
      <c r="EI225" s="63">
        <f>IF(EH225="",#N/A,SUM($EH$4:EH225))</f>
        <v>867.09932791382516</v>
      </c>
      <c r="EJ225" s="223" t="e">
        <f t="shared" si="403"/>
        <v>#N/A</v>
      </c>
      <c r="EK225" s="63" t="e">
        <f>IF($GZ225="",#N/A,SUM(EJ$4:EJ225))</f>
        <v>#N/A</v>
      </c>
      <c r="EL225" s="60">
        <f t="shared" si="435"/>
        <v>-6.5287788572025482E-2</v>
      </c>
      <c r="EM225" s="60">
        <f>IF(EL225="",NA(),SUM($EL$4:EL225))</f>
        <v>24.868196537889524</v>
      </c>
      <c r="EN225" s="60">
        <f t="shared" si="404"/>
        <v>-6.5287788572025482E-2</v>
      </c>
      <c r="EO225" s="60">
        <f>IF(EN225="",NA(),SUM($EN$4:EN225))</f>
        <v>8.2201270642514288</v>
      </c>
      <c r="EP225" s="60" t="str">
        <f t="shared" si="405"/>
        <v/>
      </c>
      <c r="EQ225" s="60" t="e">
        <f>IF(EP225="",NA(),SUM($EP$4:EP225))</f>
        <v>#N/A</v>
      </c>
      <c r="ER225" s="60" t="str">
        <f t="shared" si="406"/>
        <v/>
      </c>
      <c r="ES225" s="60" t="e">
        <f>IF(ER225="",NA(),SUM($ER$4:ER225))</f>
        <v>#N/A</v>
      </c>
      <c r="ET225" s="60" t="str">
        <f t="shared" si="407"/>
        <v/>
      </c>
      <c r="EU225" s="60" t="e">
        <f>IF(ET225="",NA(),SUM($ET$4:ET225))</f>
        <v>#N/A</v>
      </c>
      <c r="EV225" s="60" t="str">
        <f t="shared" si="408"/>
        <v/>
      </c>
      <c r="EW225" s="60" t="e">
        <f>IF(EV225="",NA(),SUM($EV$4:EV225))</f>
        <v>#N/A</v>
      </c>
      <c r="EX225" s="60" t="str">
        <f t="shared" si="409"/>
        <v/>
      </c>
      <c r="EY225" s="60" t="e">
        <f>IF(EX225="",NA(),SUM($EX$4:EX225))</f>
        <v>#N/A</v>
      </c>
      <c r="EZ225" s="60" t="str">
        <f t="shared" si="410"/>
        <v/>
      </c>
      <c r="FA225" s="60" t="e">
        <f>IF(EZ225="",NA(),SUM($EZ$4:EZ225))</f>
        <v>#N/A</v>
      </c>
      <c r="FB225" s="246" t="str">
        <f t="shared" si="436"/>
        <v/>
      </c>
      <c r="FC225" s="246" t="e">
        <f>IF($FB225="",#N/A,SUM(FB$4:$FB225))</f>
        <v>#N/A</v>
      </c>
      <c r="FD225" s="60" t="str">
        <f t="shared" si="411"/>
        <v/>
      </c>
      <c r="FE225" s="60" t="e">
        <f>IF($FD225="",#N/A,SUM($FD$4:FD225))</f>
        <v>#N/A</v>
      </c>
      <c r="FF225" s="60" t="str">
        <f t="shared" si="412"/>
        <v/>
      </c>
      <c r="FG225" s="60" t="e">
        <f>IF($FF225="",#N/A,SUM($FF$4:FF225))</f>
        <v>#N/A</v>
      </c>
      <c r="FH225" s="60">
        <f t="shared" si="413"/>
        <v>-0.31599289668860542</v>
      </c>
      <c r="FI225" s="60">
        <f>IF($FH225="",#N/A,SUM($FH$4:FH225))</f>
        <v>1.5138610823811014</v>
      </c>
      <c r="FJ225" s="60" t="str">
        <f t="shared" si="414"/>
        <v/>
      </c>
      <c r="FK225" s="60" t="e">
        <f>IF($FJ225="",#N/A,SUM($FJ$4:FJ225))</f>
        <v>#N/A</v>
      </c>
      <c r="FL225" s="60" t="str">
        <f t="shared" si="415"/>
        <v/>
      </c>
      <c r="FM225" s="60" t="e">
        <f>IF($FL225="",#N/A,SUM($FL$4:FL225))</f>
        <v>#N/A</v>
      </c>
      <c r="FN225" s="82">
        <f t="shared" si="416"/>
        <v>-0.38128068526063091</v>
      </c>
      <c r="FO225" s="82">
        <f>IF($FN225="",#N/A,SUM(FN$4:$FN225))</f>
        <v>35.279241275348951</v>
      </c>
      <c r="FP225" s="82">
        <f t="shared" si="437"/>
        <v>-6.5287788572025482E-2</v>
      </c>
      <c r="FQ225" s="246">
        <f>IF($EH225="",#N/A,SUM($FP$4:FP225))</f>
        <v>34.431633739838148</v>
      </c>
      <c r="FR225" s="82">
        <f>IFERROR(FQ225/COUNTA($J$4:J225),#N/A)</f>
        <v>0.15509744927855021</v>
      </c>
      <c r="FS225" s="82">
        <f t="shared" si="445"/>
        <v>0.24078361147263433</v>
      </c>
      <c r="FT225" s="82">
        <f t="shared" ref="FT225:FT248" si="446">IFERROR(($FQ225-$FQ200)/COUNTA($J200:$J225),#N/A)</f>
        <v>0.38030614554808484</v>
      </c>
      <c r="FU225" s="337">
        <f t="shared" si="444"/>
        <v>15.240369318967362</v>
      </c>
      <c r="FV225" s="57" t="str">
        <f t="shared" si="418"/>
        <v>Up</v>
      </c>
      <c r="FW225" s="57" t="s">
        <v>2734</v>
      </c>
      <c r="FX225" s="57" t="str">
        <f t="shared" si="419"/>
        <v/>
      </c>
      <c r="FY225" s="57" t="str">
        <f t="shared" si="420"/>
        <v/>
      </c>
      <c r="FZ225" s="57" t="str">
        <f t="shared" si="421"/>
        <v/>
      </c>
      <c r="GA225" s="57" t="str">
        <f t="shared" si="422"/>
        <v>Long</v>
      </c>
      <c r="GB225" s="57" t="str">
        <f t="shared" si="423"/>
        <v/>
      </c>
      <c r="GC225" s="57">
        <f t="shared" si="424"/>
        <v>1</v>
      </c>
      <c r="GD225" s="57" t="str">
        <f t="shared" si="425"/>
        <v/>
      </c>
      <c r="GE225" s="62">
        <f t="shared" si="339"/>
        <v>63.82</v>
      </c>
      <c r="GF225" s="62" t="s">
        <v>2780</v>
      </c>
      <c r="GG225" s="199">
        <v>6</v>
      </c>
      <c r="GH225" s="207">
        <f t="shared" si="426"/>
        <v>382.92</v>
      </c>
      <c r="GI225" s="199">
        <v>6</v>
      </c>
      <c r="GJ225" s="200">
        <v>63.64</v>
      </c>
      <c r="GK225" s="63">
        <f t="shared" si="427"/>
        <v>1.0799999999999841</v>
      </c>
      <c r="GL225" s="63">
        <f t="shared" si="340"/>
        <v>8.7600000000000477</v>
      </c>
      <c r="GM225" s="82" t="str">
        <f t="shared" si="428"/>
        <v/>
      </c>
      <c r="GN225" s="82">
        <f>IF($GZ225="",#N/A,SUM(GM$4:GM225))</f>
        <v>1.0545954205703747</v>
      </c>
      <c r="GO225" s="82">
        <f t="shared" si="429"/>
        <v>-0.38128068526063091</v>
      </c>
      <c r="GP225" s="82">
        <f>IF($GZ225="",#N/A,SUM(GO$4:GO225))</f>
        <v>10.793503574989092</v>
      </c>
      <c r="GQ225" s="82" t="str">
        <f t="shared" si="430"/>
        <v/>
      </c>
      <c r="GR225" s="82">
        <f>IF($GZ225="",#N/A,SUM(GQ$4:GQ225))</f>
        <v>22.805305325347138</v>
      </c>
      <c r="GS225" s="63" t="str">
        <f t="shared" si="438"/>
        <v/>
      </c>
      <c r="GT225" s="63" t="e">
        <f>IF($GZ225="",#N/A,SUM(GS$4:GS225))</f>
        <v>#N/A</v>
      </c>
      <c r="GU225" s="63" t="e">
        <f t="shared" si="439"/>
        <v>#N/A</v>
      </c>
      <c r="GV225" s="63" t="e">
        <f>IF($GZ225="",#N/A,SUM(GU$4:GU225))</f>
        <v>#N/A</v>
      </c>
      <c r="GW225" s="63" t="str">
        <f t="shared" si="440"/>
        <v/>
      </c>
      <c r="GX225" s="63" t="e">
        <f>IF($GZ225="",#N/A,SUM(GW$4:GW225))</f>
        <v>#N/A</v>
      </c>
      <c r="GY225" s="63" t="e">
        <f>IF(EJ225="",#N/A,SUM($EJ$4:EJ225))</f>
        <v>#N/A</v>
      </c>
      <c r="GZ225" s="159">
        <v>62.36</v>
      </c>
      <c r="HA225" s="63">
        <f t="shared" si="431"/>
        <v>10.260000000000048</v>
      </c>
      <c r="HB225" s="62" t="s">
        <v>2538</v>
      </c>
      <c r="HC225" s="60">
        <f>IFERROR(VLOOKUP(E225,Expectancy!$P$4:$S$19,1+C225,FALSE),"")</f>
        <v>-0.11318819365066257</v>
      </c>
      <c r="HD225" s="82">
        <f t="shared" si="432"/>
        <v>4.7007207771857656E-2</v>
      </c>
      <c r="HE225" s="138">
        <f>IF(HD225="",#N/A,SUM($HD$4:HD225))</f>
        <v>4.6612644208707881</v>
      </c>
      <c r="HF225" s="85">
        <f>IF(HD225="",#N/A,IF(HB225="Skip",#N/A,SUM($HG$4:HG225)))</f>
        <v>141.84156919911447</v>
      </c>
      <c r="HG225" s="63">
        <f t="shared" si="433"/>
        <v>1.0799999999999841</v>
      </c>
      <c r="HH225" s="82">
        <f t="shared" si="434"/>
        <v>-0.38128068526063091</v>
      </c>
    </row>
    <row r="226" spans="1:216" x14ac:dyDescent="0.25">
      <c r="A226" s="57" t="s">
        <v>1447</v>
      </c>
      <c r="B226" s="58" t="s">
        <v>5220</v>
      </c>
      <c r="C226" s="386">
        <f t="shared" si="343"/>
        <v>1</v>
      </c>
      <c r="D226" s="372" t="str">
        <f>_xlfn.XLOOKUP(A226,[1]SP500!$A$2:$A$502,[1]SP500!$D$2:$D$502,"N")</f>
        <v>Y</v>
      </c>
      <c r="E226" s="57" t="str">
        <f>_xlfn.XLOOKUP(A226,[1]SP500!$A$2:$A$655,[1]SP500!$B$2:$B$655)</f>
        <v>XLK</v>
      </c>
      <c r="F226" s="59">
        <v>45693</v>
      </c>
      <c r="G226" s="57" t="str">
        <f t="shared" si="344"/>
        <v>AMC</v>
      </c>
      <c r="H226" s="57" t="str">
        <f t="shared" si="345"/>
        <v>s</v>
      </c>
      <c r="I226" s="158">
        <v>83.6</v>
      </c>
      <c r="J226" s="159">
        <v>84.19</v>
      </c>
      <c r="K226" s="61">
        <f t="shared" si="346"/>
        <v>7.0574162679426251E-3</v>
      </c>
      <c r="L226" s="87">
        <f t="shared" si="347"/>
        <v>2.9499999999999886</v>
      </c>
      <c r="M226" s="130">
        <f t="shared" si="338"/>
        <v>2.1500000000000341</v>
      </c>
      <c r="N226" s="169">
        <f t="shared" si="348"/>
        <v>2.9499999999999886</v>
      </c>
      <c r="O226" s="169">
        <f>IF($J226="",#N/A,SUM($N$4:N226))</f>
        <v>285.23492601211706</v>
      </c>
      <c r="P226" s="174" t="str">
        <f t="shared" si="349"/>
        <v/>
      </c>
      <c r="Q226" s="174">
        <f>IF($J226="",#N/A,SUM($P$4:P226))</f>
        <v>471.45776401603678</v>
      </c>
      <c r="R226" s="178" t="str">
        <f t="shared" si="350"/>
        <v/>
      </c>
      <c r="S226" s="178">
        <f>IF($J226="",#N/A,SUM($R$4:R226))</f>
        <v>113.35663788567109</v>
      </c>
      <c r="T226" s="290">
        <f t="shared" si="351"/>
        <v>0.11762360446570928</v>
      </c>
      <c r="U226" s="290">
        <f>IF($J226="",#N/A,SUM($T$4:T226))</f>
        <v>10.294457493367863</v>
      </c>
      <c r="V226" s="291" t="str">
        <f t="shared" si="352"/>
        <v/>
      </c>
      <c r="W226" s="291">
        <f>IF($J226="",#N/A,SUM($V$4:V226))</f>
        <v>19.718531636319053</v>
      </c>
      <c r="X226" s="292" t="str">
        <f t="shared" si="353"/>
        <v/>
      </c>
      <c r="Y226" s="292">
        <f>IF($J226="",#N/A,SUM($X$4:X226))</f>
        <v>4.5362682146169426</v>
      </c>
      <c r="Z226" s="304">
        <f t="shared" si="354"/>
        <v>0.11762360446570928</v>
      </c>
      <c r="AA226" s="313" t="e">
        <f>IF($J226="",#N/A,SUM(Z$4:Z226))</f>
        <v>#N/A</v>
      </c>
      <c r="AB226" s="314" t="str">
        <f t="shared" si="355"/>
        <v/>
      </c>
      <c r="AC226" s="314" t="e">
        <f>IF($J226="",#N/A,SUM(AB$4:AB226))</f>
        <v>#N/A</v>
      </c>
      <c r="AD226" s="315" t="str">
        <f t="shared" si="356"/>
        <v/>
      </c>
      <c r="AE226" s="315" t="e">
        <f>IF($J226="",#N/A,SUM(AD$4:AD226))</f>
        <v>#N/A</v>
      </c>
      <c r="AF226" s="315" t="e">
        <f>IF($J226="",#N/A,SUM(AD$4:AD226,AB$4:AB226,Z$4:Z226))</f>
        <v>#N/A</v>
      </c>
      <c r="AG226" s="304" t="str">
        <f t="shared" si="357"/>
        <v/>
      </c>
      <c r="AH226" s="313" t="e">
        <f>IF($J226="",#N/A,SUM(AG$4:AG226))</f>
        <v>#N/A</v>
      </c>
      <c r="AI226" s="314" t="str">
        <f t="shared" si="358"/>
        <v/>
      </c>
      <c r="AJ226" s="314" t="e">
        <f>IF($J226="",#N/A,SUM(AI$4:AI226))</f>
        <v>#N/A</v>
      </c>
      <c r="AK226" s="315" t="str">
        <f t="shared" si="359"/>
        <v/>
      </c>
      <c r="AL226" s="315" t="e">
        <f>IF($J226="",#N/A,SUM(AK$4:AK226))</f>
        <v>#N/A</v>
      </c>
      <c r="AM226" s="315" t="e">
        <f>IF($J226="",#N/A,SUM(AK$4:AK226,AI$4:AI226,AG$4:AG226))</f>
        <v>#N/A</v>
      </c>
      <c r="AN226" s="304" t="str">
        <f t="shared" si="360"/>
        <v/>
      </c>
      <c r="AO226" s="313" t="e">
        <f>IF($J226="",#N/A,SUM(AN$4:AN226))</f>
        <v>#N/A</v>
      </c>
      <c r="AP226" s="314" t="str">
        <f t="shared" si="361"/>
        <v/>
      </c>
      <c r="AQ226" s="314" t="e">
        <f>IF($J226="",#N/A,SUM(AP$4:AP226))</f>
        <v>#N/A</v>
      </c>
      <c r="AR226" s="315" t="str">
        <f t="shared" si="362"/>
        <v/>
      </c>
      <c r="AS226" s="315" t="e">
        <f>IF($J226="",#N/A,SUM(AR$4:AR226))</f>
        <v>#N/A</v>
      </c>
      <c r="AT226" s="315" t="e">
        <f>IF($J226="",#N/A,SUM(AR$4:AR226,AP$4:AP226,AN$4:AN226))</f>
        <v>#N/A</v>
      </c>
      <c r="AU226" s="304" t="str">
        <f t="shared" si="363"/>
        <v/>
      </c>
      <c r="AV226" s="313" t="e">
        <f>IF($J226="",#N/A,SUM(AU$4:AU226))</f>
        <v>#N/A</v>
      </c>
      <c r="AW226" s="314" t="str">
        <f t="shared" si="364"/>
        <v/>
      </c>
      <c r="AX226" s="314" t="e">
        <f>IF($J226="",#N/A,SUM(AW$4:AW226))</f>
        <v>#N/A</v>
      </c>
      <c r="AY226" s="315" t="str">
        <f t="shared" si="365"/>
        <v/>
      </c>
      <c r="AZ226" s="315" t="e">
        <f>IF($J226="",#N/A,SUM(AY$4:AY226))</f>
        <v>#N/A</v>
      </c>
      <c r="BA226" s="315" t="e">
        <f>IF($J226="",#N/A,SUM(AY$4:AY226,AW$4:AW226,AU$4:AU226))</f>
        <v>#N/A</v>
      </c>
      <c r="BB226" s="304" t="str">
        <f t="shared" si="366"/>
        <v/>
      </c>
      <c r="BC226" s="313" t="e">
        <f>IF($J226="",#N/A,SUM(BB$4:BB226))</f>
        <v>#N/A</v>
      </c>
      <c r="BD226" s="314" t="str">
        <f t="shared" si="367"/>
        <v/>
      </c>
      <c r="BE226" s="314" t="e">
        <f>IF($J226="",#N/A,SUM(BD$4:BD226))</f>
        <v>#N/A</v>
      </c>
      <c r="BF226" s="315" t="str">
        <f t="shared" si="368"/>
        <v/>
      </c>
      <c r="BG226" s="315" t="e">
        <f>IF($J226="",#N/A,SUM(BF$4:BF226))</f>
        <v>#N/A</v>
      </c>
      <c r="BH226" s="315" t="e">
        <f>IF($J226="",#N/A,SUM(BF$4:BF226,BD$4:BD226,BB$4:BB226))</f>
        <v>#N/A</v>
      </c>
      <c r="BI226" s="304" t="str">
        <f t="shared" si="369"/>
        <v/>
      </c>
      <c r="BJ226" s="313" t="e">
        <f>IF($J226="",#N/A,SUM(BI$4:BI226))</f>
        <v>#N/A</v>
      </c>
      <c r="BK226" s="314" t="str">
        <f t="shared" si="370"/>
        <v/>
      </c>
      <c r="BL226" s="314" t="e">
        <f>IF($J226="",#N/A,SUM(BK$4:BK226))</f>
        <v>#N/A</v>
      </c>
      <c r="BM226" s="315" t="str">
        <f t="shared" si="371"/>
        <v/>
      </c>
      <c r="BN226" s="315" t="e">
        <f>IF($J226="",#N/A,SUM(BM$4:BM226))</f>
        <v>#N/A</v>
      </c>
      <c r="BO226" s="315" t="e">
        <f>IF($J226="",#N/A,SUM(BM$4:BM226,BK$4:BK226,BI$4:BI226))</f>
        <v>#N/A</v>
      </c>
      <c r="BP226" s="304" t="str">
        <f t="shared" si="372"/>
        <v/>
      </c>
      <c r="BQ226" s="313" t="e">
        <f>IF($J226="",#N/A,SUM(BP$4:BP226))</f>
        <v>#N/A</v>
      </c>
      <c r="BR226" s="314" t="str">
        <f t="shared" si="373"/>
        <v/>
      </c>
      <c r="BS226" s="314" t="e">
        <f>IF($J226="",#N/A,SUM(BR$4:BR226))</f>
        <v>#N/A</v>
      </c>
      <c r="BT226" s="315" t="str">
        <f t="shared" si="374"/>
        <v/>
      </c>
      <c r="BU226" s="315" t="e">
        <f>IF($J226="",#N/A,SUM(BT$4:BT226))</f>
        <v>#N/A</v>
      </c>
      <c r="BV226" s="315" t="e">
        <f>IF($J226="",#N/A,SUM(BT$4:BT226,BR$4:BR226,BP$4:BP226))</f>
        <v>#N/A</v>
      </c>
      <c r="BW226" s="304" t="str">
        <f t="shared" si="375"/>
        <v/>
      </c>
      <c r="BX226" s="313" t="e">
        <f>IF($J226="",#N/A,SUM(BW$4:BW226))</f>
        <v>#N/A</v>
      </c>
      <c r="BY226" s="314" t="str">
        <f t="shared" si="376"/>
        <v/>
      </c>
      <c r="BZ226" s="314" t="e">
        <f>IF($J226="",#N/A,SUM(BY$4:BY226))</f>
        <v>#N/A</v>
      </c>
      <c r="CA226" s="315" t="str">
        <f t="shared" si="377"/>
        <v/>
      </c>
      <c r="CB226" s="315" t="e">
        <f>IF($J226="",#N/A,SUM(CA$4:CA226))</f>
        <v>#N/A</v>
      </c>
      <c r="CC226" s="315" t="e">
        <f>IF($J226="",#N/A,SUM(CA$4:CA226,BY$4:BY226,BW$4:BW226))</f>
        <v>#N/A</v>
      </c>
      <c r="CD226" s="304" t="str">
        <f t="shared" si="378"/>
        <v/>
      </c>
      <c r="CE226" s="313" t="e">
        <f>IF($J226="",#N/A,SUM(CD$4:CD226))</f>
        <v>#N/A</v>
      </c>
      <c r="CF226" s="314" t="str">
        <f t="shared" si="379"/>
        <v/>
      </c>
      <c r="CG226" s="314" t="e">
        <f>IF($J226="",#N/A,SUM(CF$4:CF226))</f>
        <v>#N/A</v>
      </c>
      <c r="CH226" s="315" t="str">
        <f t="shared" si="380"/>
        <v/>
      </c>
      <c r="CI226" s="315" t="e">
        <f>IF($J226="",#N/A,SUM(CH$4:CH226))</f>
        <v>#N/A</v>
      </c>
      <c r="CJ226" s="315" t="e">
        <f>IF($J226="",#N/A,SUM(CH$4:CH226,CF$4:CF226,CD$4:CD226))</f>
        <v>#N/A</v>
      </c>
      <c r="CK226" s="304" t="str">
        <f t="shared" si="381"/>
        <v/>
      </c>
      <c r="CL226" s="313" t="e">
        <f>IF($J226="",#N/A,SUM(CK$4:CK226))</f>
        <v>#N/A</v>
      </c>
      <c r="CM226" s="314" t="str">
        <f t="shared" si="382"/>
        <v/>
      </c>
      <c r="CN226" s="314" t="e">
        <f>IF($J226="",#N/A,SUM(CM$4:CM226))</f>
        <v>#N/A</v>
      </c>
      <c r="CO226" s="315" t="str">
        <f t="shared" si="383"/>
        <v/>
      </c>
      <c r="CP226" s="315" t="e">
        <f>IF($J226="",#N/A,SUM(CO$4:CO226))</f>
        <v>#N/A</v>
      </c>
      <c r="CQ226" s="315" t="e">
        <f>IF($J226="",#N/A,SUM(CO$4:CO226,CM$4:CM226,CK$4:CK226))</f>
        <v>#N/A</v>
      </c>
      <c r="CR226" s="304" t="str">
        <f t="shared" si="384"/>
        <v/>
      </c>
      <c r="CS226" s="313" t="e">
        <f>IF($J226="",#N/A,SUM(CR$4:CR226))</f>
        <v>#N/A</v>
      </c>
      <c r="CT226" s="314" t="str">
        <f t="shared" si="385"/>
        <v/>
      </c>
      <c r="CU226" s="314" t="e">
        <f>IF($J226="",#N/A,SUM(CT$4:CT226))</f>
        <v>#N/A</v>
      </c>
      <c r="CV226" s="315" t="str">
        <f t="shared" si="386"/>
        <v/>
      </c>
      <c r="CW226" s="315" t="e">
        <f>IF($J226="",#N/A,SUM(CV$4:CV226))</f>
        <v>#N/A</v>
      </c>
      <c r="CX226" s="315" t="e">
        <f>IF($J226="",#N/A,SUM(CV$4:CV226,CT$4:CT226,CR$4:CR226))</f>
        <v>#N/A</v>
      </c>
      <c r="CY226" s="304" t="str">
        <f t="shared" si="387"/>
        <v/>
      </c>
      <c r="CZ226" s="313" t="e">
        <f>IF($J226="",#N/A,SUM(CY$4:CY226))</f>
        <v>#N/A</v>
      </c>
      <c r="DA226" s="314" t="str">
        <f t="shared" si="388"/>
        <v/>
      </c>
      <c r="DB226" s="314" t="e">
        <f>IF($J226="",#N/A,SUM(DA$4:DA226))</f>
        <v>#N/A</v>
      </c>
      <c r="DC226" s="315" t="str">
        <f t="shared" si="389"/>
        <v/>
      </c>
      <c r="DD226" s="315" t="e">
        <f>IF($J226="",#N/A,SUM(DC$4:DC226))</f>
        <v>#N/A</v>
      </c>
      <c r="DE226" s="315" t="e">
        <f>IF($J226="",#N/A,SUM(DC$4:DC226,DA$4:DA226,CY$4:CY226))</f>
        <v>#N/A</v>
      </c>
      <c r="DF226" s="304" t="str">
        <f t="shared" si="390"/>
        <v/>
      </c>
      <c r="DG226" s="313" t="e">
        <f>IF($J226="",#N/A,SUM(DF$4:DF226))</f>
        <v>#N/A</v>
      </c>
      <c r="DH226" s="314" t="str">
        <f t="shared" si="391"/>
        <v/>
      </c>
      <c r="DI226" s="314" t="e">
        <f>IF($J226="",#N/A,SUM(DH$4:DH226))</f>
        <v>#N/A</v>
      </c>
      <c r="DJ226" s="315" t="str">
        <f t="shared" si="392"/>
        <v/>
      </c>
      <c r="DK226" s="315" t="e">
        <f>IF($J226="",#N/A,SUM(DJ$4:DJ226))</f>
        <v>#N/A</v>
      </c>
      <c r="DL226" s="315" t="e">
        <f>IF($J226="",#N/A,SUM(DJ$4:DJ226,DH$4:DH226,DF$4:DF226))</f>
        <v>#N/A</v>
      </c>
      <c r="DM226" s="304" t="str">
        <f t="shared" si="393"/>
        <v/>
      </c>
      <c r="DN226" s="313" t="e">
        <f>IF($J226="",#N/A,SUM(DM$4:DM226))</f>
        <v>#N/A</v>
      </c>
      <c r="DO226" s="314" t="str">
        <f t="shared" si="394"/>
        <v/>
      </c>
      <c r="DP226" s="314" t="e">
        <f>IF($J226="",#N/A,SUM(DO$4:DO226))</f>
        <v>#N/A</v>
      </c>
      <c r="DQ226" s="315" t="str">
        <f t="shared" si="395"/>
        <v/>
      </c>
      <c r="DR226" s="315" t="e">
        <f>IF($J226="",#N/A,SUM(DQ$4:DQ226))</f>
        <v>#N/A</v>
      </c>
      <c r="DS226" s="315" t="e">
        <f>IF($J226="",#N/A,SUM(DQ$4:DQ226,DO$4:DO226,DM$4:DM226))</f>
        <v>#N/A</v>
      </c>
      <c r="DT226" s="304" t="str">
        <f t="shared" si="396"/>
        <v/>
      </c>
      <c r="DU226" s="313" t="e">
        <f>IF($J226="",#N/A,SUM(DT$4:DT226))</f>
        <v>#N/A</v>
      </c>
      <c r="DV226" s="314" t="str">
        <f t="shared" si="397"/>
        <v/>
      </c>
      <c r="DW226" s="314" t="e">
        <f>IF($J226="",#N/A,SUM(DV$4:DV226))</f>
        <v>#N/A</v>
      </c>
      <c r="DX226" s="315" t="str">
        <f t="shared" si="398"/>
        <v/>
      </c>
      <c r="DY226" s="315" t="e">
        <f>IF($J226="",#N/A,SUM(DX$4:DX226))</f>
        <v>#N/A</v>
      </c>
      <c r="DZ226" s="315" t="e">
        <f>IF($J226="",#N/A,SUM(DX$4:DX226,DV$4:DV226,DT$4:DT226))</f>
        <v>#N/A</v>
      </c>
      <c r="EA226" s="304" t="str">
        <f t="shared" si="399"/>
        <v/>
      </c>
      <c r="EB226" s="313" t="e">
        <f>IF($J226="",#N/A,SUM(EA$4:EA226))</f>
        <v>#N/A</v>
      </c>
      <c r="EC226" s="314" t="str">
        <f t="shared" si="400"/>
        <v/>
      </c>
      <c r="ED226" s="314" t="e">
        <f>IF($J226="",#N/A,SUM(EC$4:EC226))</f>
        <v>#N/A</v>
      </c>
      <c r="EE226" s="315" t="str">
        <f t="shared" si="401"/>
        <v/>
      </c>
      <c r="EF226" s="315" t="e">
        <f>IF($J226="",#N/A,SUM(EE$4:EE226))</f>
        <v>#N/A</v>
      </c>
      <c r="EG226" s="315" t="e">
        <f>IF($J226="",#N/A,SUM(EE$4:EE226,EC$4:EC226,EA$4:EA226))</f>
        <v>#N/A</v>
      </c>
      <c r="EH226" s="130">
        <f t="shared" si="402"/>
        <v>2.9499999999999886</v>
      </c>
      <c r="EI226" s="63">
        <f>IF(EH226="",#N/A,SUM($EH$4:EH226))</f>
        <v>870.04932791382521</v>
      </c>
      <c r="EJ226" s="223" t="e">
        <f t="shared" si="403"/>
        <v>#N/A</v>
      </c>
      <c r="EK226" s="63" t="e">
        <f>IF($GZ226="",#N/A,SUM(EJ$4:EJ226))</f>
        <v>#N/A</v>
      </c>
      <c r="EL226" s="60">
        <f t="shared" si="435"/>
        <v>0.11762360446570928</v>
      </c>
      <c r="EM226" s="60">
        <f>IF(EL226="",NA(),SUM($EL$4:EL226))</f>
        <v>24.985820142355234</v>
      </c>
      <c r="EN226" s="60">
        <f t="shared" si="404"/>
        <v>0.11762360446570928</v>
      </c>
      <c r="EO226" s="60">
        <f>IF(EN226="",NA(),SUM($EN$4:EN226))</f>
        <v>8.3377506687171383</v>
      </c>
      <c r="EP226" s="60" t="str">
        <f t="shared" si="405"/>
        <v/>
      </c>
      <c r="EQ226" s="60" t="e">
        <f>IF(EP226="",NA(),SUM($EP$4:EP226))</f>
        <v>#N/A</v>
      </c>
      <c r="ER226" s="60" t="str">
        <f t="shared" si="406"/>
        <v/>
      </c>
      <c r="ES226" s="60" t="e">
        <f>IF(ER226="",NA(),SUM($ER$4:ER226))</f>
        <v>#N/A</v>
      </c>
      <c r="ET226" s="60" t="str">
        <f t="shared" si="407"/>
        <v/>
      </c>
      <c r="EU226" s="60" t="e">
        <f>IF(ET226="",NA(),SUM($ET$4:ET226))</f>
        <v>#N/A</v>
      </c>
      <c r="EV226" s="60" t="str">
        <f t="shared" si="408"/>
        <v/>
      </c>
      <c r="EW226" s="60" t="e">
        <f>IF(EV226="",NA(),SUM($EV$4:EV226))</f>
        <v>#N/A</v>
      </c>
      <c r="EX226" s="60" t="str">
        <f t="shared" si="409"/>
        <v/>
      </c>
      <c r="EY226" s="60" t="e">
        <f>IF(EX226="",NA(),SUM($EX$4:EX226))</f>
        <v>#N/A</v>
      </c>
      <c r="EZ226" s="60" t="str">
        <f t="shared" si="410"/>
        <v/>
      </c>
      <c r="FA226" s="60" t="e">
        <f>IF(EZ226="",NA(),SUM($EZ$4:EZ226))</f>
        <v>#N/A</v>
      </c>
      <c r="FB226" s="246" t="str">
        <f t="shared" si="436"/>
        <v/>
      </c>
      <c r="FC226" s="246" t="e">
        <f>IF($FB226="",#N/A,SUM(FB$4:$FB226))</f>
        <v>#N/A</v>
      </c>
      <c r="FD226" s="60" t="str">
        <f t="shared" si="411"/>
        <v/>
      </c>
      <c r="FE226" s="60" t="e">
        <f>IF($FD226="",#N/A,SUM($FD$4:FD226))</f>
        <v>#N/A</v>
      </c>
      <c r="FF226" s="60">
        <f t="shared" si="412"/>
        <v>0.57814992025518575</v>
      </c>
      <c r="FG226" s="60">
        <f>IF($FF226="",#N/A,SUM($FF$4:FF226))</f>
        <v>-0.31904147603897393</v>
      </c>
      <c r="FH226" s="60" t="str">
        <f t="shared" si="413"/>
        <v/>
      </c>
      <c r="FI226" s="60" t="e">
        <f>IF($FH226="",#N/A,SUM($FH$4:FH226))</f>
        <v>#N/A</v>
      </c>
      <c r="FJ226" s="60" t="str">
        <f t="shared" si="414"/>
        <v/>
      </c>
      <c r="FK226" s="60" t="e">
        <f>IF($FJ226="",#N/A,SUM($FJ$4:FJ226))</f>
        <v>#N/A</v>
      </c>
      <c r="FL226" s="60" t="str">
        <f t="shared" si="415"/>
        <v/>
      </c>
      <c r="FM226" s="60" t="e">
        <f>IF($FL226="",#N/A,SUM($FL$4:FL226))</f>
        <v>#N/A</v>
      </c>
      <c r="FN226" s="82">
        <f t="shared" si="416"/>
        <v>0.69577352472089504</v>
      </c>
      <c r="FO226" s="82">
        <f>IF($FN226="",#N/A,SUM(FN$4:$FN226))</f>
        <v>35.975014800069843</v>
      </c>
      <c r="FP226" s="82">
        <f t="shared" si="437"/>
        <v>0.11762360446570928</v>
      </c>
      <c r="FQ226" s="246">
        <f>IF($EH226="",#N/A,SUM($FP$4:FP226))</f>
        <v>34.549257344303854</v>
      </c>
      <c r="FR226" s="82">
        <f>IFERROR(FQ226/COUNTA($J$4:J226),#N/A)</f>
        <v>0.1549294051314074</v>
      </c>
      <c r="FS226" s="82">
        <f t="shared" si="445"/>
        <v>0.23709045052763028</v>
      </c>
      <c r="FT226" s="82">
        <f t="shared" si="446"/>
        <v>0.16988963042063418</v>
      </c>
      <c r="FU226" s="337">
        <f t="shared" si="444"/>
        <v>15.154643641136415</v>
      </c>
      <c r="FV226" s="57" t="str">
        <f t="shared" si="418"/>
        <v>Up</v>
      </c>
      <c r="FW226" s="57" t="s">
        <v>2733</v>
      </c>
      <c r="FX226" s="57">
        <f t="shared" si="419"/>
        <v>1</v>
      </c>
      <c r="FY226" s="57" t="str">
        <f t="shared" si="420"/>
        <v/>
      </c>
      <c r="FZ226" s="57" t="str">
        <f t="shared" si="421"/>
        <v/>
      </c>
      <c r="GA226" s="57" t="str">
        <f t="shared" si="422"/>
        <v>Long</v>
      </c>
      <c r="GB226" s="57" t="str">
        <f t="shared" si="423"/>
        <v/>
      </c>
      <c r="GC226" s="57" t="str">
        <f t="shared" si="424"/>
        <v/>
      </c>
      <c r="GD226" s="57" t="str">
        <f t="shared" si="425"/>
        <v/>
      </c>
      <c r="GE226" s="62">
        <f t="shared" si="339"/>
        <v>83.6</v>
      </c>
      <c r="GF226" s="62" t="s">
        <v>2779</v>
      </c>
      <c r="GG226" s="199">
        <v>5</v>
      </c>
      <c r="GH226" s="207">
        <f t="shared" si="426"/>
        <v>418</v>
      </c>
      <c r="GI226" s="199">
        <v>5</v>
      </c>
      <c r="GJ226" s="200">
        <v>84.62</v>
      </c>
      <c r="GK226" s="63">
        <f t="shared" si="427"/>
        <v>5.1000000000000227</v>
      </c>
      <c r="GL226" s="63">
        <f t="shared" si="340"/>
        <v>17.450000000000045</v>
      </c>
      <c r="GM226" s="82" t="str">
        <f t="shared" si="428"/>
        <v/>
      </c>
      <c r="GN226" s="82">
        <f>IF($GZ226="",#N/A,SUM(GM$4:GM226))</f>
        <v>1.0545954205703747</v>
      </c>
      <c r="GO226" s="82">
        <f t="shared" si="429"/>
        <v>0.69577352472089504</v>
      </c>
      <c r="GP226" s="82">
        <f>IF($GZ226="",#N/A,SUM(GO$4:GO226))</f>
        <v>11.489277099709987</v>
      </c>
      <c r="GQ226" s="82" t="str">
        <f t="shared" si="430"/>
        <v/>
      </c>
      <c r="GR226" s="82">
        <f>IF($GZ226="",#N/A,SUM(GQ$4:GQ226))</f>
        <v>22.805305325347138</v>
      </c>
      <c r="GS226" s="63" t="str">
        <f t="shared" si="438"/>
        <v/>
      </c>
      <c r="GT226" s="63" t="e">
        <f>IF($GZ226="",#N/A,SUM(GS$4:GS226))</f>
        <v>#N/A</v>
      </c>
      <c r="GU226" s="63" t="e">
        <f t="shared" si="439"/>
        <v>#N/A</v>
      </c>
      <c r="GV226" s="63" t="e">
        <f>IF($GZ226="",#N/A,SUM(GU$4:GU226))</f>
        <v>#N/A</v>
      </c>
      <c r="GW226" s="63" t="str">
        <f t="shared" si="440"/>
        <v/>
      </c>
      <c r="GX226" s="63" t="e">
        <f>IF($GZ226="",#N/A,SUM(GW$4:GW226))</f>
        <v>#N/A</v>
      </c>
      <c r="GY226" s="63" t="e">
        <f>IF(EJ226="",#N/A,SUM($EJ$4:EJ226))</f>
        <v>#N/A</v>
      </c>
      <c r="GZ226" s="159">
        <v>87.09</v>
      </c>
      <c r="HA226" s="63">
        <f t="shared" si="431"/>
        <v>14.500000000000057</v>
      </c>
      <c r="HB226" s="62" t="s">
        <v>2538</v>
      </c>
      <c r="HC226" s="60">
        <f>IFERROR(VLOOKUP(E226,Expectancy!$P$4:$S$19,1+C226,FALSE),"")</f>
        <v>0.35290544702120547</v>
      </c>
      <c r="HD226" s="82">
        <f t="shared" si="432"/>
        <v>0.20334928229665164</v>
      </c>
      <c r="HE226" s="138">
        <f>IF(HD226="",#N/A,SUM($HD$4:HD226))</f>
        <v>4.8646137031674401</v>
      </c>
      <c r="HF226" s="85">
        <f>IF(HD226="",#N/A,IF(HB226="Skip",#N/A,SUM($HG$4:HG226)))</f>
        <v>146.9415691991145</v>
      </c>
      <c r="HG226" s="63">
        <f t="shared" si="433"/>
        <v>5.1000000000000227</v>
      </c>
      <c r="HH226" s="82">
        <f t="shared" si="434"/>
        <v>0.69577352472089504</v>
      </c>
    </row>
    <row r="227" spans="1:216" x14ac:dyDescent="0.25">
      <c r="A227" s="57" t="s">
        <v>703</v>
      </c>
      <c r="B227" s="58" t="s">
        <v>5216</v>
      </c>
      <c r="C227" s="386">
        <f t="shared" si="343"/>
        <v>1</v>
      </c>
      <c r="D227" s="372" t="str">
        <f>_xlfn.XLOOKUP(A227,[1]SP500!$A$2:$A$502,[1]SP500!$D$2:$D$502,"N")</f>
        <v>Y</v>
      </c>
      <c r="E227" s="57" t="str">
        <f>_xlfn.XLOOKUP(A227,[1]SP500!$A$2:$A$655,[1]SP500!$B$2:$B$655)</f>
        <v>XLF</v>
      </c>
      <c r="F227" s="59">
        <v>45693</v>
      </c>
      <c r="G227" s="57" t="str">
        <f t="shared" si="344"/>
        <v>AMC</v>
      </c>
      <c r="H227" s="57" t="str">
        <f t="shared" si="345"/>
        <v>o</v>
      </c>
      <c r="I227" s="159">
        <v>388.67</v>
      </c>
      <c r="J227" s="159">
        <v>378.18</v>
      </c>
      <c r="K227" s="61">
        <f t="shared" si="346"/>
        <v>-2.6989476934160105E-2</v>
      </c>
      <c r="L227" s="87">
        <f t="shared" si="347"/>
        <v>10.490000000000009</v>
      </c>
      <c r="M227" s="130">
        <f t="shared" si="338"/>
        <v>-1.1200000000000045</v>
      </c>
      <c r="N227" s="169">
        <f t="shared" si="348"/>
        <v>-10.490000000000009</v>
      </c>
      <c r="O227" s="169">
        <f>IF($J227="",#N/A,SUM($N$4:N227))</f>
        <v>274.74492601211705</v>
      </c>
      <c r="P227" s="174" t="str">
        <f t="shared" si="349"/>
        <v/>
      </c>
      <c r="Q227" s="174">
        <f>IF($J227="",#N/A,SUM($P$4:P227))</f>
        <v>471.45776401603678</v>
      </c>
      <c r="R227" s="178" t="str">
        <f t="shared" si="350"/>
        <v/>
      </c>
      <c r="S227" s="178">
        <f>IF($J227="",#N/A,SUM($R$4:R227))</f>
        <v>113.35663788567109</v>
      </c>
      <c r="T227" s="290">
        <f t="shared" si="351"/>
        <v>-0.44982461556933512</v>
      </c>
      <c r="U227" s="290">
        <f>IF($J227="",#N/A,SUM($T$4:T227))</f>
        <v>9.8446328777985279</v>
      </c>
      <c r="V227" s="291" t="str">
        <f t="shared" si="352"/>
        <v/>
      </c>
      <c r="W227" s="291">
        <f>IF($J227="",#N/A,SUM($V$4:V227))</f>
        <v>19.718531636319053</v>
      </c>
      <c r="X227" s="292" t="str">
        <f t="shared" si="353"/>
        <v/>
      </c>
      <c r="Y227" s="292">
        <f>IF($J227="",#N/A,SUM($X$4:X227))</f>
        <v>4.5362682146169426</v>
      </c>
      <c r="Z227" s="304" t="str">
        <f t="shared" si="354"/>
        <v/>
      </c>
      <c r="AA227" s="313" t="e">
        <f>IF($J227="",#N/A,SUM(Z$4:Z227))</f>
        <v>#N/A</v>
      </c>
      <c r="AB227" s="314" t="str">
        <f t="shared" si="355"/>
        <v/>
      </c>
      <c r="AC227" s="314" t="e">
        <f>IF($J227="",#N/A,SUM(AB$4:AB227))</f>
        <v>#N/A</v>
      </c>
      <c r="AD227" s="315" t="str">
        <f t="shared" si="356"/>
        <v/>
      </c>
      <c r="AE227" s="315" t="e">
        <f>IF($J227="",#N/A,SUM(AD$4:AD227))</f>
        <v>#N/A</v>
      </c>
      <c r="AF227" s="315" t="e">
        <f>IF($J227="",#N/A,SUM(AD$4:AD227,AB$4:AB227,Z$4:Z227))</f>
        <v>#N/A</v>
      </c>
      <c r="AG227" s="304" t="str">
        <f t="shared" si="357"/>
        <v/>
      </c>
      <c r="AH227" s="313" t="e">
        <f>IF($J227="",#N/A,SUM(AG$4:AG227))</f>
        <v>#N/A</v>
      </c>
      <c r="AI227" s="314" t="str">
        <f t="shared" si="358"/>
        <v/>
      </c>
      <c r="AJ227" s="314" t="e">
        <f>IF($J227="",#N/A,SUM(AI$4:AI227))</f>
        <v>#N/A</v>
      </c>
      <c r="AK227" s="315" t="str">
        <f t="shared" si="359"/>
        <v/>
      </c>
      <c r="AL227" s="315" t="e">
        <f>IF($J227="",#N/A,SUM(AK$4:AK227))</f>
        <v>#N/A</v>
      </c>
      <c r="AM227" s="315" t="e">
        <f>IF($J227="",#N/A,SUM(AK$4:AK227,AI$4:AI227,AG$4:AG227))</f>
        <v>#N/A</v>
      </c>
      <c r="AN227" s="304" t="str">
        <f t="shared" si="360"/>
        <v/>
      </c>
      <c r="AO227" s="313" t="e">
        <f>IF($J227="",#N/A,SUM(AN$4:AN227))</f>
        <v>#N/A</v>
      </c>
      <c r="AP227" s="314" t="str">
        <f t="shared" si="361"/>
        <v/>
      </c>
      <c r="AQ227" s="314" t="e">
        <f>IF($J227="",#N/A,SUM(AP$4:AP227))</f>
        <v>#N/A</v>
      </c>
      <c r="AR227" s="315" t="str">
        <f t="shared" si="362"/>
        <v/>
      </c>
      <c r="AS227" s="315" t="e">
        <f>IF($J227="",#N/A,SUM(AR$4:AR227))</f>
        <v>#N/A</v>
      </c>
      <c r="AT227" s="315" t="e">
        <f>IF($J227="",#N/A,SUM(AR$4:AR227,AP$4:AP227,AN$4:AN227))</f>
        <v>#N/A</v>
      </c>
      <c r="AU227" s="304" t="str">
        <f t="shared" si="363"/>
        <v/>
      </c>
      <c r="AV227" s="313" t="e">
        <f>IF($J227="",#N/A,SUM(AU$4:AU227))</f>
        <v>#N/A</v>
      </c>
      <c r="AW227" s="314" t="str">
        <f t="shared" si="364"/>
        <v/>
      </c>
      <c r="AX227" s="314" t="e">
        <f>IF($J227="",#N/A,SUM(AW$4:AW227))</f>
        <v>#N/A</v>
      </c>
      <c r="AY227" s="315" t="str">
        <f t="shared" si="365"/>
        <v/>
      </c>
      <c r="AZ227" s="315" t="e">
        <f>IF($J227="",#N/A,SUM(AY$4:AY227))</f>
        <v>#N/A</v>
      </c>
      <c r="BA227" s="315" t="e">
        <f>IF($J227="",#N/A,SUM(AY$4:AY227,AW$4:AW227,AU$4:AU227))</f>
        <v>#N/A</v>
      </c>
      <c r="BB227" s="304" t="str">
        <f t="shared" si="366"/>
        <v/>
      </c>
      <c r="BC227" s="313" t="e">
        <f>IF($J227="",#N/A,SUM(BB$4:BB227))</f>
        <v>#N/A</v>
      </c>
      <c r="BD227" s="314" t="str">
        <f t="shared" si="367"/>
        <v/>
      </c>
      <c r="BE227" s="314" t="e">
        <f>IF($J227="",#N/A,SUM(BD$4:BD227))</f>
        <v>#N/A</v>
      </c>
      <c r="BF227" s="315" t="str">
        <f t="shared" si="368"/>
        <v/>
      </c>
      <c r="BG227" s="315" t="e">
        <f>IF($J227="",#N/A,SUM(BF$4:BF227))</f>
        <v>#N/A</v>
      </c>
      <c r="BH227" s="315" t="e">
        <f>IF($J227="",#N/A,SUM(BF$4:BF227,BD$4:BD227,BB$4:BB227))</f>
        <v>#N/A</v>
      </c>
      <c r="BI227" s="304">
        <f t="shared" si="369"/>
        <v>-0.44982461556933512</v>
      </c>
      <c r="BJ227" s="313" t="e">
        <f>IF($J227="",#N/A,SUM(BI$4:BI227))</f>
        <v>#N/A</v>
      </c>
      <c r="BK227" s="314" t="str">
        <f t="shared" si="370"/>
        <v/>
      </c>
      <c r="BL227" s="314" t="e">
        <f>IF($J227="",#N/A,SUM(BK$4:BK227))</f>
        <v>#N/A</v>
      </c>
      <c r="BM227" s="315" t="str">
        <f t="shared" si="371"/>
        <v/>
      </c>
      <c r="BN227" s="315" t="e">
        <f>IF($J227="",#N/A,SUM(BM$4:BM227))</f>
        <v>#N/A</v>
      </c>
      <c r="BO227" s="315" t="e">
        <f>IF($J227="",#N/A,SUM(BM$4:BM227,BK$4:BK227,BI$4:BI227))</f>
        <v>#N/A</v>
      </c>
      <c r="BP227" s="304" t="str">
        <f t="shared" si="372"/>
        <v/>
      </c>
      <c r="BQ227" s="313" t="e">
        <f>IF($J227="",#N/A,SUM(BP$4:BP227))</f>
        <v>#N/A</v>
      </c>
      <c r="BR227" s="314" t="str">
        <f t="shared" si="373"/>
        <v/>
      </c>
      <c r="BS227" s="314" t="e">
        <f>IF($J227="",#N/A,SUM(BR$4:BR227))</f>
        <v>#N/A</v>
      </c>
      <c r="BT227" s="315" t="str">
        <f t="shared" si="374"/>
        <v/>
      </c>
      <c r="BU227" s="315" t="e">
        <f>IF($J227="",#N/A,SUM(BT$4:BT227))</f>
        <v>#N/A</v>
      </c>
      <c r="BV227" s="315" t="e">
        <f>IF($J227="",#N/A,SUM(BT$4:BT227,BR$4:BR227,BP$4:BP227))</f>
        <v>#N/A</v>
      </c>
      <c r="BW227" s="304" t="str">
        <f t="shared" si="375"/>
        <v/>
      </c>
      <c r="BX227" s="313" t="e">
        <f>IF($J227="",#N/A,SUM(BW$4:BW227))</f>
        <v>#N/A</v>
      </c>
      <c r="BY227" s="314" t="str">
        <f t="shared" si="376"/>
        <v/>
      </c>
      <c r="BZ227" s="314" t="e">
        <f>IF($J227="",#N/A,SUM(BY$4:BY227))</f>
        <v>#N/A</v>
      </c>
      <c r="CA227" s="315" t="str">
        <f t="shared" si="377"/>
        <v/>
      </c>
      <c r="CB227" s="315" t="e">
        <f>IF($J227="",#N/A,SUM(CA$4:CA227))</f>
        <v>#N/A</v>
      </c>
      <c r="CC227" s="315" t="e">
        <f>IF($J227="",#N/A,SUM(CA$4:CA227,BY$4:BY227,BW$4:BW227))</f>
        <v>#N/A</v>
      </c>
      <c r="CD227" s="304" t="str">
        <f t="shared" si="378"/>
        <v/>
      </c>
      <c r="CE227" s="313" t="e">
        <f>IF($J227="",#N/A,SUM(CD$4:CD227))</f>
        <v>#N/A</v>
      </c>
      <c r="CF227" s="314" t="str">
        <f t="shared" si="379"/>
        <v/>
      </c>
      <c r="CG227" s="314" t="e">
        <f>IF($J227="",#N/A,SUM(CF$4:CF227))</f>
        <v>#N/A</v>
      </c>
      <c r="CH227" s="315" t="str">
        <f t="shared" si="380"/>
        <v/>
      </c>
      <c r="CI227" s="315" t="e">
        <f>IF($J227="",#N/A,SUM(CH$4:CH227))</f>
        <v>#N/A</v>
      </c>
      <c r="CJ227" s="315" t="e">
        <f>IF($J227="",#N/A,SUM(CH$4:CH227,CF$4:CF227,CD$4:CD227))</f>
        <v>#N/A</v>
      </c>
      <c r="CK227" s="304" t="str">
        <f t="shared" si="381"/>
        <v/>
      </c>
      <c r="CL227" s="313" t="e">
        <f>IF($J227="",#N/A,SUM(CK$4:CK227))</f>
        <v>#N/A</v>
      </c>
      <c r="CM227" s="314" t="str">
        <f t="shared" si="382"/>
        <v/>
      </c>
      <c r="CN227" s="314" t="e">
        <f>IF($J227="",#N/A,SUM(CM$4:CM227))</f>
        <v>#N/A</v>
      </c>
      <c r="CO227" s="315" t="str">
        <f t="shared" si="383"/>
        <v/>
      </c>
      <c r="CP227" s="315" t="e">
        <f>IF($J227="",#N/A,SUM(CO$4:CO227))</f>
        <v>#N/A</v>
      </c>
      <c r="CQ227" s="315" t="e">
        <f>IF($J227="",#N/A,SUM(CO$4:CO227,CM$4:CM227,CK$4:CK227))</f>
        <v>#N/A</v>
      </c>
      <c r="CR227" s="304" t="str">
        <f t="shared" si="384"/>
        <v/>
      </c>
      <c r="CS227" s="313" t="e">
        <f>IF($J227="",#N/A,SUM(CR$4:CR227))</f>
        <v>#N/A</v>
      </c>
      <c r="CT227" s="314" t="str">
        <f t="shared" si="385"/>
        <v/>
      </c>
      <c r="CU227" s="314" t="e">
        <f>IF($J227="",#N/A,SUM(CT$4:CT227))</f>
        <v>#N/A</v>
      </c>
      <c r="CV227" s="315" t="str">
        <f t="shared" si="386"/>
        <v/>
      </c>
      <c r="CW227" s="315" t="e">
        <f>IF($J227="",#N/A,SUM(CV$4:CV227))</f>
        <v>#N/A</v>
      </c>
      <c r="CX227" s="315" t="e">
        <f>IF($J227="",#N/A,SUM(CV$4:CV227,CT$4:CT227,CR$4:CR227))</f>
        <v>#N/A</v>
      </c>
      <c r="CY227" s="304" t="str">
        <f t="shared" si="387"/>
        <v/>
      </c>
      <c r="CZ227" s="313" t="e">
        <f>IF($J227="",#N/A,SUM(CY$4:CY227))</f>
        <v>#N/A</v>
      </c>
      <c r="DA227" s="314" t="str">
        <f t="shared" si="388"/>
        <v/>
      </c>
      <c r="DB227" s="314" t="e">
        <f>IF($J227="",#N/A,SUM(DA$4:DA227))</f>
        <v>#N/A</v>
      </c>
      <c r="DC227" s="315" t="str">
        <f t="shared" si="389"/>
        <v/>
      </c>
      <c r="DD227" s="315" t="e">
        <f>IF($J227="",#N/A,SUM(DC$4:DC227))</f>
        <v>#N/A</v>
      </c>
      <c r="DE227" s="315" t="e">
        <f>IF($J227="",#N/A,SUM(DC$4:DC227,DA$4:DA227,CY$4:CY227))</f>
        <v>#N/A</v>
      </c>
      <c r="DF227" s="304" t="str">
        <f t="shared" si="390"/>
        <v/>
      </c>
      <c r="DG227" s="313" t="e">
        <f>IF($J227="",#N/A,SUM(DF$4:DF227))</f>
        <v>#N/A</v>
      </c>
      <c r="DH227" s="314" t="str">
        <f t="shared" si="391"/>
        <v/>
      </c>
      <c r="DI227" s="314" t="e">
        <f>IF($J227="",#N/A,SUM(DH$4:DH227))</f>
        <v>#N/A</v>
      </c>
      <c r="DJ227" s="315" t="str">
        <f t="shared" si="392"/>
        <v/>
      </c>
      <c r="DK227" s="315" t="e">
        <f>IF($J227="",#N/A,SUM(DJ$4:DJ227))</f>
        <v>#N/A</v>
      </c>
      <c r="DL227" s="315" t="e">
        <f>IF($J227="",#N/A,SUM(DJ$4:DJ227,DH$4:DH227,DF$4:DF227))</f>
        <v>#N/A</v>
      </c>
      <c r="DM227" s="304" t="str">
        <f t="shared" si="393"/>
        <v/>
      </c>
      <c r="DN227" s="313" t="e">
        <f>IF($J227="",#N/A,SUM(DM$4:DM227))</f>
        <v>#N/A</v>
      </c>
      <c r="DO227" s="314" t="str">
        <f t="shared" si="394"/>
        <v/>
      </c>
      <c r="DP227" s="314" t="e">
        <f>IF($J227="",#N/A,SUM(DO$4:DO227))</f>
        <v>#N/A</v>
      </c>
      <c r="DQ227" s="315" t="str">
        <f t="shared" si="395"/>
        <v/>
      </c>
      <c r="DR227" s="315" t="e">
        <f>IF($J227="",#N/A,SUM(DQ$4:DQ227))</f>
        <v>#N/A</v>
      </c>
      <c r="DS227" s="315" t="e">
        <f>IF($J227="",#N/A,SUM(DQ$4:DQ227,DO$4:DO227,DM$4:DM227))</f>
        <v>#N/A</v>
      </c>
      <c r="DT227" s="304" t="str">
        <f t="shared" si="396"/>
        <v/>
      </c>
      <c r="DU227" s="313" t="e">
        <f>IF($J227="",#N/A,SUM(DT$4:DT227))</f>
        <v>#N/A</v>
      </c>
      <c r="DV227" s="314" t="str">
        <f t="shared" si="397"/>
        <v/>
      </c>
      <c r="DW227" s="314" t="e">
        <f>IF($J227="",#N/A,SUM(DV$4:DV227))</f>
        <v>#N/A</v>
      </c>
      <c r="DX227" s="315" t="str">
        <f t="shared" si="398"/>
        <v/>
      </c>
      <c r="DY227" s="315" t="e">
        <f>IF($J227="",#N/A,SUM(DX$4:DX227))</f>
        <v>#N/A</v>
      </c>
      <c r="DZ227" s="315" t="e">
        <f>IF($J227="",#N/A,SUM(DX$4:DX227,DV$4:DV227,DT$4:DT227))</f>
        <v>#N/A</v>
      </c>
      <c r="EA227" s="304" t="str">
        <f t="shared" si="399"/>
        <v/>
      </c>
      <c r="EB227" s="313" t="e">
        <f>IF($J227="",#N/A,SUM(EA$4:EA227))</f>
        <v>#N/A</v>
      </c>
      <c r="EC227" s="314" t="str">
        <f t="shared" si="400"/>
        <v/>
      </c>
      <c r="ED227" s="314" t="e">
        <f>IF($J227="",#N/A,SUM(EC$4:EC227))</f>
        <v>#N/A</v>
      </c>
      <c r="EE227" s="315" t="str">
        <f t="shared" si="401"/>
        <v/>
      </c>
      <c r="EF227" s="315" t="e">
        <f>IF($J227="",#N/A,SUM(EE$4:EE227))</f>
        <v>#N/A</v>
      </c>
      <c r="EG227" s="315" t="e">
        <f>IF($J227="",#N/A,SUM(EE$4:EE227,EC$4:EC227,EA$4:EA227))</f>
        <v>#N/A</v>
      </c>
      <c r="EH227" s="130">
        <f t="shared" si="402"/>
        <v>-10.490000000000009</v>
      </c>
      <c r="EI227" s="63">
        <f>IF(EH227="",#N/A,SUM($EH$4:EH227))</f>
        <v>859.5593279138252</v>
      </c>
      <c r="EJ227" s="223" t="e">
        <f t="shared" si="403"/>
        <v>#N/A</v>
      </c>
      <c r="EK227" s="63" t="e">
        <f>IF($GZ227="",#N/A,SUM(EJ$4:EJ227))</f>
        <v>#N/A</v>
      </c>
      <c r="EL227" s="60">
        <f t="shared" si="435"/>
        <v>-0.44982461556933512</v>
      </c>
      <c r="EM227" s="60">
        <f>IF(EL227="",NA(),SUM($EL$4:EL227))</f>
        <v>24.5359955267859</v>
      </c>
      <c r="EN227" s="60">
        <f t="shared" si="404"/>
        <v>-0.44982461556933512</v>
      </c>
      <c r="EO227" s="60">
        <f>IF(EN227="",NA(),SUM($EN$4:EN227))</f>
        <v>7.8879260531478028</v>
      </c>
      <c r="EP227" s="60" t="str">
        <f t="shared" si="405"/>
        <v/>
      </c>
      <c r="EQ227" s="60" t="e">
        <f>IF(EP227="",NA(),SUM($EP$4:EP227))</f>
        <v>#N/A</v>
      </c>
      <c r="ER227" s="60" t="str">
        <f t="shared" si="406"/>
        <v/>
      </c>
      <c r="ES227" s="60" t="e">
        <f>IF(ER227="",NA(),SUM($ER$4:ER227))</f>
        <v>#N/A</v>
      </c>
      <c r="ET227" s="60" t="str">
        <f t="shared" si="407"/>
        <v/>
      </c>
      <c r="EU227" s="60" t="e">
        <f>IF(ET227="",NA(),SUM($ET$4:ET227))</f>
        <v>#N/A</v>
      </c>
      <c r="EV227" s="60" t="str">
        <f t="shared" si="408"/>
        <v/>
      </c>
      <c r="EW227" s="60" t="e">
        <f>IF(EV227="",NA(),SUM($EV$4:EV227))</f>
        <v>#N/A</v>
      </c>
      <c r="EX227" s="60" t="str">
        <f t="shared" si="409"/>
        <v/>
      </c>
      <c r="EY227" s="60" t="e">
        <f>IF(EX227="",NA(),SUM($EX$4:EX227))</f>
        <v>#N/A</v>
      </c>
      <c r="EZ227" s="60" t="str">
        <f t="shared" si="410"/>
        <v/>
      </c>
      <c r="FA227" s="60" t="e">
        <f>IF(EZ227="",NA(),SUM($EZ$4:EZ227))</f>
        <v>#N/A</v>
      </c>
      <c r="FB227" s="246" t="str">
        <f t="shared" si="436"/>
        <v/>
      </c>
      <c r="FC227" s="246" t="e">
        <f>IF($FB227="",#N/A,SUM(FB$4:$FB227))</f>
        <v>#N/A</v>
      </c>
      <c r="FD227" s="60" t="str">
        <f t="shared" si="411"/>
        <v/>
      </c>
      <c r="FE227" s="60" t="e">
        <f>IF($FD227="",#N/A,SUM($FD$4:FD227))</f>
        <v>#N/A</v>
      </c>
      <c r="FF227" s="60" t="str">
        <f t="shared" si="412"/>
        <v/>
      </c>
      <c r="FG227" s="60" t="e">
        <f>IF($FF227="",#N/A,SUM($FF$4:FF227))</f>
        <v>#N/A</v>
      </c>
      <c r="FH227" s="60">
        <f t="shared" si="413"/>
        <v>0.4875601409936452</v>
      </c>
      <c r="FI227" s="60">
        <f>IF($FH227="",#N/A,SUM($FH$4:FH227))</f>
        <v>2.0014212233747468</v>
      </c>
      <c r="FJ227" s="60" t="str">
        <f t="shared" si="414"/>
        <v/>
      </c>
      <c r="FK227" s="60" t="e">
        <f>IF($FJ227="",#N/A,SUM($FJ$4:FJ227))</f>
        <v>#N/A</v>
      </c>
      <c r="FL227" s="60" t="str">
        <f t="shared" si="415"/>
        <v/>
      </c>
      <c r="FM227" s="60" t="e">
        <f>IF($FL227="",#N/A,SUM($FL$4:FL227))</f>
        <v>#N/A</v>
      </c>
      <c r="FN227" s="82">
        <f t="shared" si="416"/>
        <v>3.7735525424310058E-2</v>
      </c>
      <c r="FO227" s="82">
        <f>IF($FN227="",#N/A,SUM(FN$4:$FN227))</f>
        <v>36.012750325494153</v>
      </c>
      <c r="FP227" s="82">
        <f t="shared" si="437"/>
        <v>-0.44982461556933512</v>
      </c>
      <c r="FQ227" s="246">
        <f>IF($EH227="",#N/A,SUM($FP$4:FP227))</f>
        <v>34.09943272873452</v>
      </c>
      <c r="FR227" s="82">
        <f>IFERROR(FQ227/COUNTA($J$4:J227),#N/A)</f>
        <v>0.15222961039613625</v>
      </c>
      <c r="FS227" s="82">
        <f t="shared" si="445"/>
        <v>0.2175743546785775</v>
      </c>
      <c r="FT227" s="82">
        <f t="shared" si="446"/>
        <v>0.14927303380059342</v>
      </c>
      <c r="FU227" s="337">
        <f t="shared" si="444"/>
        <v>14.303021442355957</v>
      </c>
      <c r="FV227" s="57" t="str">
        <f t="shared" si="418"/>
        <v>Up</v>
      </c>
      <c r="FW227" s="57" t="s">
        <v>2734</v>
      </c>
      <c r="FX227" s="57" t="str">
        <f t="shared" si="419"/>
        <v/>
      </c>
      <c r="FY227" s="57" t="str">
        <f t="shared" si="420"/>
        <v/>
      </c>
      <c r="FZ227" s="57" t="str">
        <f t="shared" si="421"/>
        <v/>
      </c>
      <c r="GA227" s="57" t="str">
        <f t="shared" si="422"/>
        <v>Long</v>
      </c>
      <c r="GB227" s="57" t="str">
        <f t="shared" si="423"/>
        <v/>
      </c>
      <c r="GC227" s="57">
        <f t="shared" si="424"/>
        <v>1</v>
      </c>
      <c r="GD227" s="57" t="str">
        <f t="shared" si="425"/>
        <v/>
      </c>
      <c r="GE227" s="62">
        <f t="shared" si="339"/>
        <v>388.67</v>
      </c>
      <c r="GF227" s="62" t="s">
        <v>2780</v>
      </c>
      <c r="GG227" s="199">
        <v>1</v>
      </c>
      <c r="GH227" s="207">
        <f t="shared" si="426"/>
        <v>388.67</v>
      </c>
      <c r="GI227" s="199">
        <v>1</v>
      </c>
      <c r="GJ227" s="200">
        <v>379.3</v>
      </c>
      <c r="GK227" s="63">
        <f t="shared" si="427"/>
        <v>9.3700000000000045</v>
      </c>
      <c r="GL227" s="63">
        <f t="shared" si="340"/>
        <v>-0.87999999999999545</v>
      </c>
      <c r="GM227" s="82" t="str">
        <f t="shared" si="428"/>
        <v/>
      </c>
      <c r="GN227" s="82">
        <f>IF($GZ227="",#N/A,SUM(GM$4:GM227))</f>
        <v>1.0545954205703747</v>
      </c>
      <c r="GO227" s="82">
        <f t="shared" si="429"/>
        <v>3.7735525424310058E-2</v>
      </c>
      <c r="GP227" s="82">
        <f>IF($GZ227="",#N/A,SUM(GO$4:GO227))</f>
        <v>11.527012625134297</v>
      </c>
      <c r="GQ227" s="82" t="str">
        <f t="shared" si="430"/>
        <v/>
      </c>
      <c r="GR227" s="82">
        <f>IF($GZ227="",#N/A,SUM(GQ$4:GQ227))</f>
        <v>22.805305325347138</v>
      </c>
      <c r="GS227" s="63" t="str">
        <f t="shared" si="438"/>
        <v/>
      </c>
      <c r="GT227" s="63" t="e">
        <f>IF($GZ227="",#N/A,SUM(GS$4:GS227))</f>
        <v>#N/A</v>
      </c>
      <c r="GU227" s="63" t="e">
        <f t="shared" si="439"/>
        <v>#N/A</v>
      </c>
      <c r="GV227" s="63" t="e">
        <f>IF($GZ227="",#N/A,SUM(GU$4:GU227))</f>
        <v>#N/A</v>
      </c>
      <c r="GW227" s="63" t="str">
        <f t="shared" si="440"/>
        <v/>
      </c>
      <c r="GX227" s="63" t="e">
        <f>IF($GZ227="",#N/A,SUM(GW$4:GW227))</f>
        <v>#N/A</v>
      </c>
      <c r="GY227" s="63" t="e">
        <f>IF(EJ227="",#N/A,SUM($EJ$4:EJ227))</f>
        <v>#N/A</v>
      </c>
      <c r="GZ227" s="159">
        <v>389.55</v>
      </c>
      <c r="HA227" s="63">
        <f t="shared" si="431"/>
        <v>9.6100000000000136</v>
      </c>
      <c r="HB227" s="62" t="s">
        <v>2538</v>
      </c>
      <c r="HC227" s="60">
        <f>IFERROR(VLOOKUP(E227,Expectancy!$P$4:$S$19,1+C227,FALSE),"")</f>
        <v>-7.9483352726509887E-2</v>
      </c>
      <c r="HD227" s="82">
        <f t="shared" si="432"/>
        <v>0.40179758321112191</v>
      </c>
      <c r="HE227" s="138">
        <f>IF(HD227="",#N/A,SUM($HD$4:HD227))</f>
        <v>5.2664112863785624</v>
      </c>
      <c r="HF227" s="85">
        <f>IF(HD227="",#N/A,IF(HB227="Skip",#N/A,SUM($HG$4:HG227)))</f>
        <v>156.3115691991145</v>
      </c>
      <c r="HG227" s="63">
        <f t="shared" si="433"/>
        <v>9.3700000000000045</v>
      </c>
      <c r="HH227" s="82">
        <f t="shared" si="434"/>
        <v>3.7735525424310058E-2</v>
      </c>
    </row>
    <row r="228" spans="1:216" x14ac:dyDescent="0.25">
      <c r="A228" s="57" t="s">
        <v>345</v>
      </c>
      <c r="B228" s="58" t="s">
        <v>5220</v>
      </c>
      <c r="C228" s="386">
        <f t="shared" si="343"/>
        <v>3</v>
      </c>
      <c r="D228" s="372" t="str">
        <f>_xlfn.XLOOKUP(A228,[1]SP500!$A$2:$A$502,[1]SP500!$D$2:$D$502,"N")</f>
        <v>Y</v>
      </c>
      <c r="E228" s="57" t="str">
        <f>_xlfn.XLOOKUP(A228,[1]SP500!$A$2:$A$655,[1]SP500!$B$2:$B$655)</f>
        <v>IGV</v>
      </c>
      <c r="F228" s="59">
        <v>45693</v>
      </c>
      <c r="G228" s="57" t="str">
        <f t="shared" si="344"/>
        <v>AMC</v>
      </c>
      <c r="H228" s="57" t="str">
        <f t="shared" si="345"/>
        <v>s</v>
      </c>
      <c r="I228" s="159">
        <v>189.76</v>
      </c>
      <c r="J228" s="159">
        <v>182.76</v>
      </c>
      <c r="K228" s="61">
        <f t="shared" si="346"/>
        <v>-3.6888701517706582E-2</v>
      </c>
      <c r="L228" s="87">
        <f t="shared" si="347"/>
        <v>-14</v>
      </c>
      <c r="M228" s="130">
        <f t="shared" si="338"/>
        <v>0</v>
      </c>
      <c r="N228" s="169" t="str">
        <f t="shared" si="348"/>
        <v/>
      </c>
      <c r="O228" s="169">
        <f>IF($J228="",#N/A,SUM($N$4:N228))</f>
        <v>274.74492601211705</v>
      </c>
      <c r="P228" s="174" t="str">
        <f t="shared" si="349"/>
        <v/>
      </c>
      <c r="Q228" s="174">
        <f>IF($J228="",#N/A,SUM($P$4:P228))</f>
        <v>471.45776401603678</v>
      </c>
      <c r="R228" s="178">
        <f t="shared" si="350"/>
        <v>-14</v>
      </c>
      <c r="S228" s="178">
        <f>IF($J228="",#N/A,SUM($R$4:R228))</f>
        <v>99.356637885671091</v>
      </c>
      <c r="T228" s="290" t="str">
        <f t="shared" si="351"/>
        <v/>
      </c>
      <c r="U228" s="290">
        <f>IF($J228="",#N/A,SUM($T$4:T228))</f>
        <v>9.8446328777985279</v>
      </c>
      <c r="V228" s="291" t="str">
        <f t="shared" si="352"/>
        <v/>
      </c>
      <c r="W228" s="291">
        <f>IF($J228="",#N/A,SUM($V$4:V228))</f>
        <v>19.718531636319053</v>
      </c>
      <c r="X228" s="292">
        <f t="shared" si="353"/>
        <v>-0.61481169196177632</v>
      </c>
      <c r="Y228" s="292">
        <f>IF($J228="",#N/A,SUM($X$4:X228))</f>
        <v>3.9214565226551663</v>
      </c>
      <c r="Z228" s="304" t="str">
        <f t="shared" si="354"/>
        <v/>
      </c>
      <c r="AA228" s="313" t="e">
        <f>IF($J228="",#N/A,SUM(Z$4:Z228))</f>
        <v>#N/A</v>
      </c>
      <c r="AB228" s="314" t="str">
        <f t="shared" si="355"/>
        <v/>
      </c>
      <c r="AC228" s="314" t="e">
        <f>IF($J228="",#N/A,SUM(AB$4:AB228))</f>
        <v>#N/A</v>
      </c>
      <c r="AD228" s="315" t="str">
        <f t="shared" si="356"/>
        <v/>
      </c>
      <c r="AE228" s="315" t="e">
        <f>IF($J228="",#N/A,SUM(AD$4:AD228))</f>
        <v>#N/A</v>
      </c>
      <c r="AF228" s="315" t="e">
        <f>IF($J228="",#N/A,SUM(AD$4:AD228,AB$4:AB228,Z$4:Z228))</f>
        <v>#N/A</v>
      </c>
      <c r="AG228" s="304" t="str">
        <f t="shared" si="357"/>
        <v/>
      </c>
      <c r="AH228" s="313" t="e">
        <f>IF($J228="",#N/A,SUM(AG$4:AG228))</f>
        <v>#N/A</v>
      </c>
      <c r="AI228" s="314" t="str">
        <f t="shared" si="358"/>
        <v/>
      </c>
      <c r="AJ228" s="314" t="e">
        <f>IF($J228="",#N/A,SUM(AI$4:AI228))</f>
        <v>#N/A</v>
      </c>
      <c r="AK228" s="315">
        <f t="shared" si="359"/>
        <v>-0.61481169196177632</v>
      </c>
      <c r="AL228" s="315" t="e">
        <f>IF($J228="",#N/A,SUM(AK$4:AK228))</f>
        <v>#N/A</v>
      </c>
      <c r="AM228" s="315" t="e">
        <f>IF($J228="",#N/A,SUM(AK$4:AK228,AI$4:AI228,AG$4:AG228))</f>
        <v>#N/A</v>
      </c>
      <c r="AN228" s="304" t="str">
        <f t="shared" si="360"/>
        <v/>
      </c>
      <c r="AO228" s="313" t="e">
        <f>IF($J228="",#N/A,SUM(AN$4:AN228))</f>
        <v>#N/A</v>
      </c>
      <c r="AP228" s="314" t="str">
        <f t="shared" si="361"/>
        <v/>
      </c>
      <c r="AQ228" s="314" t="e">
        <f>IF($J228="",#N/A,SUM(AP$4:AP228))</f>
        <v>#N/A</v>
      </c>
      <c r="AR228" s="315" t="str">
        <f t="shared" si="362"/>
        <v/>
      </c>
      <c r="AS228" s="315" t="e">
        <f>IF($J228="",#N/A,SUM(AR$4:AR228))</f>
        <v>#N/A</v>
      </c>
      <c r="AT228" s="315" t="e">
        <f>IF($J228="",#N/A,SUM(AR$4:AR228,AP$4:AP228,AN$4:AN228))</f>
        <v>#N/A</v>
      </c>
      <c r="AU228" s="304" t="str">
        <f t="shared" si="363"/>
        <v/>
      </c>
      <c r="AV228" s="313" t="e">
        <f>IF($J228="",#N/A,SUM(AU$4:AU228))</f>
        <v>#N/A</v>
      </c>
      <c r="AW228" s="314" t="str">
        <f t="shared" si="364"/>
        <v/>
      </c>
      <c r="AX228" s="314" t="e">
        <f>IF($J228="",#N/A,SUM(AW$4:AW228))</f>
        <v>#N/A</v>
      </c>
      <c r="AY228" s="315" t="str">
        <f t="shared" si="365"/>
        <v/>
      </c>
      <c r="AZ228" s="315" t="e">
        <f>IF($J228="",#N/A,SUM(AY$4:AY228))</f>
        <v>#N/A</v>
      </c>
      <c r="BA228" s="315" t="e">
        <f>IF($J228="",#N/A,SUM(AY$4:AY228,AW$4:AW228,AU$4:AU228))</f>
        <v>#N/A</v>
      </c>
      <c r="BB228" s="304" t="str">
        <f t="shared" si="366"/>
        <v/>
      </c>
      <c r="BC228" s="313" t="e">
        <f>IF($J228="",#N/A,SUM(BB$4:BB228))</f>
        <v>#N/A</v>
      </c>
      <c r="BD228" s="314" t="str">
        <f t="shared" si="367"/>
        <v/>
      </c>
      <c r="BE228" s="314" t="e">
        <f>IF($J228="",#N/A,SUM(BD$4:BD228))</f>
        <v>#N/A</v>
      </c>
      <c r="BF228" s="315" t="str">
        <f t="shared" si="368"/>
        <v/>
      </c>
      <c r="BG228" s="315" t="e">
        <f>IF($J228="",#N/A,SUM(BF$4:BF228))</f>
        <v>#N/A</v>
      </c>
      <c r="BH228" s="315" t="e">
        <f>IF($J228="",#N/A,SUM(BF$4:BF228,BD$4:BD228,BB$4:BB228))</f>
        <v>#N/A</v>
      </c>
      <c r="BI228" s="304" t="str">
        <f t="shared" si="369"/>
        <v/>
      </c>
      <c r="BJ228" s="313" t="e">
        <f>IF($J228="",#N/A,SUM(BI$4:BI228))</f>
        <v>#N/A</v>
      </c>
      <c r="BK228" s="314" t="str">
        <f t="shared" si="370"/>
        <v/>
      </c>
      <c r="BL228" s="314" t="e">
        <f>IF($J228="",#N/A,SUM(BK$4:BK228))</f>
        <v>#N/A</v>
      </c>
      <c r="BM228" s="315" t="str">
        <f t="shared" si="371"/>
        <v/>
      </c>
      <c r="BN228" s="315" t="e">
        <f>IF($J228="",#N/A,SUM(BM$4:BM228))</f>
        <v>#N/A</v>
      </c>
      <c r="BO228" s="315" t="e">
        <f>IF($J228="",#N/A,SUM(BM$4:BM228,BK$4:BK228,BI$4:BI228))</f>
        <v>#N/A</v>
      </c>
      <c r="BP228" s="304" t="str">
        <f t="shared" si="372"/>
        <v/>
      </c>
      <c r="BQ228" s="313" t="e">
        <f>IF($J228="",#N/A,SUM(BP$4:BP228))</f>
        <v>#N/A</v>
      </c>
      <c r="BR228" s="314" t="str">
        <f t="shared" si="373"/>
        <v/>
      </c>
      <c r="BS228" s="314" t="e">
        <f>IF($J228="",#N/A,SUM(BR$4:BR228))</f>
        <v>#N/A</v>
      </c>
      <c r="BT228" s="315" t="str">
        <f t="shared" si="374"/>
        <v/>
      </c>
      <c r="BU228" s="315" t="e">
        <f>IF($J228="",#N/A,SUM(BT$4:BT228))</f>
        <v>#N/A</v>
      </c>
      <c r="BV228" s="315" t="e">
        <f>IF($J228="",#N/A,SUM(BT$4:BT228,BR$4:BR228,BP$4:BP228))</f>
        <v>#N/A</v>
      </c>
      <c r="BW228" s="304" t="str">
        <f t="shared" si="375"/>
        <v/>
      </c>
      <c r="BX228" s="313" t="e">
        <f>IF($J228="",#N/A,SUM(BW$4:BW228))</f>
        <v>#N/A</v>
      </c>
      <c r="BY228" s="314" t="str">
        <f t="shared" si="376"/>
        <v/>
      </c>
      <c r="BZ228" s="314" t="e">
        <f>IF($J228="",#N/A,SUM(BY$4:BY228))</f>
        <v>#N/A</v>
      </c>
      <c r="CA228" s="315" t="str">
        <f t="shared" si="377"/>
        <v/>
      </c>
      <c r="CB228" s="315" t="e">
        <f>IF($J228="",#N/A,SUM(CA$4:CA228))</f>
        <v>#N/A</v>
      </c>
      <c r="CC228" s="315" t="e">
        <f>IF($J228="",#N/A,SUM(CA$4:CA228,BY$4:BY228,BW$4:BW228))</f>
        <v>#N/A</v>
      </c>
      <c r="CD228" s="304" t="str">
        <f t="shared" si="378"/>
        <v/>
      </c>
      <c r="CE228" s="313" t="e">
        <f>IF($J228="",#N/A,SUM(CD$4:CD228))</f>
        <v>#N/A</v>
      </c>
      <c r="CF228" s="314" t="str">
        <f t="shared" si="379"/>
        <v/>
      </c>
      <c r="CG228" s="314" t="e">
        <f>IF($J228="",#N/A,SUM(CF$4:CF228))</f>
        <v>#N/A</v>
      </c>
      <c r="CH228" s="315" t="str">
        <f t="shared" si="380"/>
        <v/>
      </c>
      <c r="CI228" s="315" t="e">
        <f>IF($J228="",#N/A,SUM(CH$4:CH228))</f>
        <v>#N/A</v>
      </c>
      <c r="CJ228" s="315" t="e">
        <f>IF($J228="",#N/A,SUM(CH$4:CH228,CF$4:CF228,CD$4:CD228))</f>
        <v>#N/A</v>
      </c>
      <c r="CK228" s="304" t="str">
        <f t="shared" si="381"/>
        <v/>
      </c>
      <c r="CL228" s="313" t="e">
        <f>IF($J228="",#N/A,SUM(CK$4:CK228))</f>
        <v>#N/A</v>
      </c>
      <c r="CM228" s="314" t="str">
        <f t="shared" si="382"/>
        <v/>
      </c>
      <c r="CN228" s="314" t="e">
        <f>IF($J228="",#N/A,SUM(CM$4:CM228))</f>
        <v>#N/A</v>
      </c>
      <c r="CO228" s="315" t="str">
        <f t="shared" si="383"/>
        <v/>
      </c>
      <c r="CP228" s="315" t="e">
        <f>IF($J228="",#N/A,SUM(CO$4:CO228))</f>
        <v>#N/A</v>
      </c>
      <c r="CQ228" s="315" t="e">
        <f>IF($J228="",#N/A,SUM(CO$4:CO228,CM$4:CM228,CK$4:CK228))</f>
        <v>#N/A</v>
      </c>
      <c r="CR228" s="304" t="str">
        <f t="shared" si="384"/>
        <v/>
      </c>
      <c r="CS228" s="313" t="e">
        <f>IF($J228="",#N/A,SUM(CR$4:CR228))</f>
        <v>#N/A</v>
      </c>
      <c r="CT228" s="314" t="str">
        <f t="shared" si="385"/>
        <v/>
      </c>
      <c r="CU228" s="314" t="e">
        <f>IF($J228="",#N/A,SUM(CT$4:CT228))</f>
        <v>#N/A</v>
      </c>
      <c r="CV228" s="315" t="str">
        <f t="shared" si="386"/>
        <v/>
      </c>
      <c r="CW228" s="315" t="e">
        <f>IF($J228="",#N/A,SUM(CV$4:CV228))</f>
        <v>#N/A</v>
      </c>
      <c r="CX228" s="315" t="e">
        <f>IF($J228="",#N/A,SUM(CV$4:CV228,CT$4:CT228,CR$4:CR228))</f>
        <v>#N/A</v>
      </c>
      <c r="CY228" s="304" t="str">
        <f t="shared" si="387"/>
        <v/>
      </c>
      <c r="CZ228" s="313" t="e">
        <f>IF($J228="",#N/A,SUM(CY$4:CY228))</f>
        <v>#N/A</v>
      </c>
      <c r="DA228" s="314" t="str">
        <f t="shared" si="388"/>
        <v/>
      </c>
      <c r="DB228" s="314" t="e">
        <f>IF($J228="",#N/A,SUM(DA$4:DA228))</f>
        <v>#N/A</v>
      </c>
      <c r="DC228" s="315" t="str">
        <f t="shared" si="389"/>
        <v/>
      </c>
      <c r="DD228" s="315" t="e">
        <f>IF($J228="",#N/A,SUM(DC$4:DC228))</f>
        <v>#N/A</v>
      </c>
      <c r="DE228" s="315" t="e">
        <f>IF($J228="",#N/A,SUM(DC$4:DC228,DA$4:DA228,CY$4:CY228))</f>
        <v>#N/A</v>
      </c>
      <c r="DF228" s="304" t="str">
        <f t="shared" si="390"/>
        <v/>
      </c>
      <c r="DG228" s="313" t="e">
        <f>IF($J228="",#N/A,SUM(DF$4:DF228))</f>
        <v>#N/A</v>
      </c>
      <c r="DH228" s="314" t="str">
        <f t="shared" si="391"/>
        <v/>
      </c>
      <c r="DI228" s="314" t="e">
        <f>IF($J228="",#N/A,SUM(DH$4:DH228))</f>
        <v>#N/A</v>
      </c>
      <c r="DJ228" s="315" t="str">
        <f t="shared" si="392"/>
        <v/>
      </c>
      <c r="DK228" s="315" t="e">
        <f>IF($J228="",#N/A,SUM(DJ$4:DJ228))</f>
        <v>#N/A</v>
      </c>
      <c r="DL228" s="315" t="e">
        <f>IF($J228="",#N/A,SUM(DJ$4:DJ228,DH$4:DH228,DF$4:DF228))</f>
        <v>#N/A</v>
      </c>
      <c r="DM228" s="304" t="str">
        <f t="shared" si="393"/>
        <v/>
      </c>
      <c r="DN228" s="313" t="e">
        <f>IF($J228="",#N/A,SUM(DM$4:DM228))</f>
        <v>#N/A</v>
      </c>
      <c r="DO228" s="314" t="str">
        <f t="shared" si="394"/>
        <v/>
      </c>
      <c r="DP228" s="314" t="e">
        <f>IF($J228="",#N/A,SUM(DO$4:DO228))</f>
        <v>#N/A</v>
      </c>
      <c r="DQ228" s="315" t="str">
        <f t="shared" si="395"/>
        <v/>
      </c>
      <c r="DR228" s="315" t="e">
        <f>IF($J228="",#N/A,SUM(DQ$4:DQ228))</f>
        <v>#N/A</v>
      </c>
      <c r="DS228" s="315" t="e">
        <f>IF($J228="",#N/A,SUM(DQ$4:DQ228,DO$4:DO228,DM$4:DM228))</f>
        <v>#N/A</v>
      </c>
      <c r="DT228" s="304" t="str">
        <f t="shared" si="396"/>
        <v/>
      </c>
      <c r="DU228" s="313" t="e">
        <f>IF($J228="",#N/A,SUM(DT$4:DT228))</f>
        <v>#N/A</v>
      </c>
      <c r="DV228" s="314" t="str">
        <f t="shared" si="397"/>
        <v/>
      </c>
      <c r="DW228" s="314" t="e">
        <f>IF($J228="",#N/A,SUM(DV$4:DV228))</f>
        <v>#N/A</v>
      </c>
      <c r="DX228" s="315" t="str">
        <f t="shared" si="398"/>
        <v/>
      </c>
      <c r="DY228" s="315" t="e">
        <f>IF($J228="",#N/A,SUM(DX$4:DX228))</f>
        <v>#N/A</v>
      </c>
      <c r="DZ228" s="315" t="e">
        <f>IF($J228="",#N/A,SUM(DX$4:DX228,DV$4:DV228,DT$4:DT228))</f>
        <v>#N/A</v>
      </c>
      <c r="EA228" s="304" t="str">
        <f t="shared" si="399"/>
        <v/>
      </c>
      <c r="EB228" s="313" t="e">
        <f>IF($J228="",#N/A,SUM(EA$4:EA228))</f>
        <v>#N/A</v>
      </c>
      <c r="EC228" s="314" t="str">
        <f t="shared" si="400"/>
        <v/>
      </c>
      <c r="ED228" s="314" t="e">
        <f>IF($J228="",#N/A,SUM(EC$4:EC228))</f>
        <v>#N/A</v>
      </c>
      <c r="EE228" s="315" t="str">
        <f t="shared" si="401"/>
        <v/>
      </c>
      <c r="EF228" s="315" t="e">
        <f>IF($J228="",#N/A,SUM(EE$4:EE228))</f>
        <v>#N/A</v>
      </c>
      <c r="EG228" s="315" t="e">
        <f>IF($J228="",#N/A,SUM(EE$4:EE228,EC$4:EC228,EA$4:EA228))</f>
        <v>#N/A</v>
      </c>
      <c r="EH228" s="130">
        <f t="shared" si="402"/>
        <v>-14</v>
      </c>
      <c r="EI228" s="63">
        <f>IF(EH228="",#N/A,SUM($EH$4:EH228))</f>
        <v>845.5593279138252</v>
      </c>
      <c r="EJ228" s="223" t="e">
        <f t="shared" si="403"/>
        <v>#N/A</v>
      </c>
      <c r="EK228" s="63" t="e">
        <f>IF($GZ228="",#N/A,SUM(EJ$4:EJ228))</f>
        <v>#N/A</v>
      </c>
      <c r="EL228" s="60">
        <f t="shared" si="435"/>
        <v>-0.61481169196177632</v>
      </c>
      <c r="EM228" s="60">
        <f>IF(EL228="",NA(),SUM($EL$4:EL228))</f>
        <v>23.921183834824124</v>
      </c>
      <c r="EN228" s="60" t="str">
        <f t="shared" si="404"/>
        <v/>
      </c>
      <c r="EO228" s="60" t="e">
        <f>IF(EN228="",NA(),SUM($EN$4:EN228))</f>
        <v>#N/A</v>
      </c>
      <c r="EP228" s="60">
        <f t="shared" si="405"/>
        <v>-0.61481169196177632</v>
      </c>
      <c r="EQ228" s="60">
        <f>IF(EP228="",NA(),SUM($EP$4:EP228))</f>
        <v>4.8492134427323599</v>
      </c>
      <c r="ER228" s="60" t="str">
        <f t="shared" si="406"/>
        <v/>
      </c>
      <c r="ES228" s="60" t="e">
        <f>IF(ER228="",NA(),SUM($ER$4:ER228))</f>
        <v>#N/A</v>
      </c>
      <c r="ET228" s="60" t="str">
        <f t="shared" si="407"/>
        <v/>
      </c>
      <c r="EU228" s="60" t="e">
        <f>IF(ET228="",NA(),SUM($ET$4:ET228))</f>
        <v>#N/A</v>
      </c>
      <c r="EV228" s="60" t="str">
        <f t="shared" si="408"/>
        <v/>
      </c>
      <c r="EW228" s="60" t="e">
        <f>IF(EV228="",NA(),SUM($EV$4:EV228))</f>
        <v>#N/A</v>
      </c>
      <c r="EX228" s="60" t="str">
        <f t="shared" si="409"/>
        <v/>
      </c>
      <c r="EY228" s="60" t="e">
        <f>IF(EX228="",NA(),SUM($EX$4:EX228))</f>
        <v>#N/A</v>
      </c>
      <c r="EZ228" s="60" t="str">
        <f t="shared" si="410"/>
        <v/>
      </c>
      <c r="FA228" s="60" t="e">
        <f>IF(EZ228="",NA(),SUM($EZ$4:EZ228))</f>
        <v>#N/A</v>
      </c>
      <c r="FB228" s="246" t="str">
        <f t="shared" si="436"/>
        <v/>
      </c>
      <c r="FC228" s="246" t="e">
        <f>IF($FB228="",#N/A,SUM(FB$4:$FB228))</f>
        <v>#N/A</v>
      </c>
      <c r="FD228" s="60" t="str">
        <f t="shared" si="411"/>
        <v/>
      </c>
      <c r="FE228" s="60" t="e">
        <f>IF($FD228="",#N/A,SUM($FD$4:FD228))</f>
        <v>#N/A</v>
      </c>
      <c r="FF228" s="60" t="str">
        <f t="shared" si="412"/>
        <v/>
      </c>
      <c r="FG228" s="60" t="e">
        <f>IF($FF228="",#N/A,SUM($FF$4:FF228))</f>
        <v>#N/A</v>
      </c>
      <c r="FH228" s="60" t="str">
        <f t="shared" si="413"/>
        <v/>
      </c>
      <c r="FI228" s="60" t="e">
        <f>IF($FH228="",#N/A,SUM($FH$4:FH228))</f>
        <v>#N/A</v>
      </c>
      <c r="FJ228" s="60" t="str">
        <f t="shared" si="414"/>
        <v/>
      </c>
      <c r="FK228" s="60" t="e">
        <f>IF($FJ228="",#N/A,SUM($FJ$4:FJ228))</f>
        <v>#N/A</v>
      </c>
      <c r="FL228" s="60">
        <f t="shared" si="415"/>
        <v>-0.97930719505339892</v>
      </c>
      <c r="FM228" s="60">
        <f>IF($FL228="",#N/A,SUM($FL$4:FL228))</f>
        <v>0.8918864732825309</v>
      </c>
      <c r="FN228" s="82">
        <f t="shared" si="416"/>
        <v>-1.5941188870151752</v>
      </c>
      <c r="FO228" s="82">
        <f>IF($FN228="",#N/A,SUM(FN$4:$FN228))</f>
        <v>34.418631438478975</v>
      </c>
      <c r="FP228" s="82">
        <f t="shared" si="437"/>
        <v>-0.61481169196177632</v>
      </c>
      <c r="FQ228" s="246">
        <f>IF($EH228="",#N/A,SUM($FP$4:FP228))</f>
        <v>33.484621036772744</v>
      </c>
      <c r="FR228" s="82">
        <f>IFERROR(FQ228/COUNTA($J$4:J228),#N/A)</f>
        <v>0.14882053794121219</v>
      </c>
      <c r="FS228" s="82">
        <f t="shared" si="445"/>
        <v>0.20244742594301668</v>
      </c>
      <c r="FT228" s="82">
        <f t="shared" si="446"/>
        <v>7.5948311627327916E-2</v>
      </c>
      <c r="FU228" s="337">
        <f t="shared" si="444"/>
        <v>14.303021442355957</v>
      </c>
      <c r="FV228" s="57" t="str">
        <f t="shared" si="418"/>
        <v>SW</v>
      </c>
      <c r="FW228" s="57" t="s">
        <v>2732</v>
      </c>
      <c r="FX228" s="57" t="str">
        <f t="shared" si="419"/>
        <v/>
      </c>
      <c r="FY228" s="57" t="str">
        <f t="shared" si="420"/>
        <v/>
      </c>
      <c r="FZ228" s="57" t="str">
        <f t="shared" si="421"/>
        <v/>
      </c>
      <c r="GA228" s="57" t="str">
        <f t="shared" si="422"/>
        <v>Long</v>
      </c>
      <c r="GB228" s="57" t="str">
        <f t="shared" si="423"/>
        <v/>
      </c>
      <c r="GC228" s="57" t="str">
        <f t="shared" si="424"/>
        <v/>
      </c>
      <c r="GD228" s="57">
        <f t="shared" si="425"/>
        <v>1</v>
      </c>
      <c r="GE228" s="62">
        <f t="shared" si="339"/>
        <v>189.76</v>
      </c>
      <c r="GF228" s="62" t="s">
        <v>2779</v>
      </c>
      <c r="GG228" s="199">
        <v>2</v>
      </c>
      <c r="GH228" s="207">
        <f t="shared" si="426"/>
        <v>379.52</v>
      </c>
      <c r="GI228" s="199">
        <v>2</v>
      </c>
      <c r="GJ228" s="200">
        <v>182.76</v>
      </c>
      <c r="GK228" s="63">
        <f t="shared" si="427"/>
        <v>-14</v>
      </c>
      <c r="GL228" s="63">
        <f t="shared" si="340"/>
        <v>-36.299999999999955</v>
      </c>
      <c r="GM228" s="82">
        <f t="shared" si="428"/>
        <v>-1.5941188870151752</v>
      </c>
      <c r="GN228" s="82">
        <f>IF($GZ228="",#N/A,SUM(GM$4:GM228))</f>
        <v>-0.53952346644480054</v>
      </c>
      <c r="GO228" s="82" t="str">
        <f t="shared" si="429"/>
        <v/>
      </c>
      <c r="GP228" s="82">
        <f>IF($GZ228="",#N/A,SUM(GO$4:GO228))</f>
        <v>11.527012625134297</v>
      </c>
      <c r="GQ228" s="82" t="str">
        <f t="shared" si="430"/>
        <v/>
      </c>
      <c r="GR228" s="82">
        <f>IF($GZ228="",#N/A,SUM(GQ$4:GQ228))</f>
        <v>22.805305325347138</v>
      </c>
      <c r="GS228" s="63" t="e">
        <f t="shared" si="438"/>
        <v>#N/A</v>
      </c>
      <c r="GT228" s="63" t="e">
        <f>IF($GZ228="",#N/A,SUM(GS$4:GS228))</f>
        <v>#N/A</v>
      </c>
      <c r="GU228" s="63" t="str">
        <f t="shared" si="439"/>
        <v/>
      </c>
      <c r="GV228" s="63" t="e">
        <f>IF($GZ228="",#N/A,SUM(GU$4:GU228))</f>
        <v>#N/A</v>
      </c>
      <c r="GW228" s="63" t="str">
        <f t="shared" si="440"/>
        <v/>
      </c>
      <c r="GX228" s="63" t="e">
        <f>IF($GZ228="",#N/A,SUM(GW$4:GW228))</f>
        <v>#N/A</v>
      </c>
      <c r="GY228" s="63" t="e">
        <f>IF(EJ228="",#N/A,SUM($EJ$4:EJ228))</f>
        <v>#N/A</v>
      </c>
      <c r="GZ228" s="159">
        <v>171.61</v>
      </c>
      <c r="HA228" s="63">
        <f t="shared" si="431"/>
        <v>-22.299999999999955</v>
      </c>
      <c r="HB228" s="62" t="s">
        <v>2538</v>
      </c>
      <c r="HC228" s="60">
        <f>IFERROR(VLOOKUP(E228,Expectancy!$P$4:$S$19,1+C228,FALSE),"")</f>
        <v>0.27741610538114203</v>
      </c>
      <c r="HD228" s="82">
        <f t="shared" si="432"/>
        <v>-0.61481169196177632</v>
      </c>
      <c r="HE228" s="138">
        <f>IF(HD228="",#N/A,SUM($HD$4:HD228))</f>
        <v>4.6515995944167861</v>
      </c>
      <c r="HF228" s="85">
        <f>IF(HD228="",#N/A,IF(HB228="Skip",#N/A,SUM($HG$4:HG228)))</f>
        <v>142.3115691991145</v>
      </c>
      <c r="HG228" s="63">
        <f t="shared" si="433"/>
        <v>-14</v>
      </c>
      <c r="HH228" s="82">
        <f t="shared" si="434"/>
        <v>-1.5941188870151752</v>
      </c>
    </row>
    <row r="229" spans="1:216" x14ac:dyDescent="0.25">
      <c r="A229" s="57" t="s">
        <v>482</v>
      </c>
      <c r="B229" s="58" t="s">
        <v>5221</v>
      </c>
      <c r="C229" s="386">
        <f t="shared" si="343"/>
        <v>3</v>
      </c>
      <c r="D229" s="372" t="str">
        <f>_xlfn.XLOOKUP(A229,[1]SP500!$A$2:$A$502,[1]SP500!$D$2:$D$502,"N")</f>
        <v>Y</v>
      </c>
      <c r="E229" s="57" t="str">
        <f>_xlfn.XLOOKUP(A229,[1]SP500!$A$2:$A$655,[1]SP500!$B$2:$B$655)</f>
        <v>XLV</v>
      </c>
      <c r="F229" s="59">
        <v>45693</v>
      </c>
      <c r="G229" s="57" t="str">
        <f t="shared" si="344"/>
        <v>AMC</v>
      </c>
      <c r="H229" s="57" t="str">
        <f t="shared" si="345"/>
        <v>o</v>
      </c>
      <c r="I229" s="159">
        <v>220.83</v>
      </c>
      <c r="J229" s="159">
        <v>221.46</v>
      </c>
      <c r="K229" s="61">
        <f t="shared" si="346"/>
        <v>2.8528732509169744E-3</v>
      </c>
      <c r="L229" s="87">
        <f t="shared" si="347"/>
        <v>-1.2599999999999909</v>
      </c>
      <c r="M229" s="130">
        <f t="shared" si="338"/>
        <v>0</v>
      </c>
      <c r="N229" s="169" t="str">
        <f t="shared" si="348"/>
        <v/>
      </c>
      <c r="O229" s="169">
        <f>IF($J229="",#N/A,SUM($N$4:N229))</f>
        <v>274.74492601211705</v>
      </c>
      <c r="P229" s="174" t="str">
        <f t="shared" si="349"/>
        <v/>
      </c>
      <c r="Q229" s="174">
        <f>IF($J229="",#N/A,SUM($P$4:P229))</f>
        <v>471.45776401603678</v>
      </c>
      <c r="R229" s="178">
        <f t="shared" si="350"/>
        <v>1.2599999999999909</v>
      </c>
      <c r="S229" s="178">
        <f>IF($J229="",#N/A,SUM($R$4:R229))</f>
        <v>100.61663788567108</v>
      </c>
      <c r="T229" s="290" t="str">
        <f t="shared" si="351"/>
        <v/>
      </c>
      <c r="U229" s="290">
        <f>IF($J229="",#N/A,SUM($T$4:T229))</f>
        <v>9.8446328777985279</v>
      </c>
      <c r="V229" s="291" t="str">
        <f t="shared" si="352"/>
        <v/>
      </c>
      <c r="W229" s="291">
        <f>IF($J229="",#N/A,SUM($V$4:V229))</f>
        <v>19.718531636319053</v>
      </c>
      <c r="X229" s="292">
        <f t="shared" si="353"/>
        <v>4.7547887515282904E-2</v>
      </c>
      <c r="Y229" s="292">
        <f>IF($J229="",#N/A,SUM($X$4:X229))</f>
        <v>3.9690044101704491</v>
      </c>
      <c r="Z229" s="304" t="str">
        <f t="shared" si="354"/>
        <v/>
      </c>
      <c r="AA229" s="313" t="e">
        <f>IF($J229="",#N/A,SUM(Z$4:Z229))</f>
        <v>#N/A</v>
      </c>
      <c r="AB229" s="314" t="str">
        <f t="shared" si="355"/>
        <v/>
      </c>
      <c r="AC229" s="314" t="e">
        <f>IF($J229="",#N/A,SUM(AB$4:AB229))</f>
        <v>#N/A</v>
      </c>
      <c r="AD229" s="315" t="str">
        <f t="shared" si="356"/>
        <v/>
      </c>
      <c r="AE229" s="315" t="e">
        <f>IF($J229="",#N/A,SUM(AD$4:AD229))</f>
        <v>#N/A</v>
      </c>
      <c r="AF229" s="315" t="e">
        <f>IF($J229="",#N/A,SUM(AD$4:AD229,AB$4:AB229,Z$4:Z229))</f>
        <v>#N/A</v>
      </c>
      <c r="AG229" s="304" t="str">
        <f t="shared" si="357"/>
        <v/>
      </c>
      <c r="AH229" s="313" t="e">
        <f>IF($J229="",#N/A,SUM(AG$4:AG229))</f>
        <v>#N/A</v>
      </c>
      <c r="AI229" s="314" t="str">
        <f t="shared" si="358"/>
        <v/>
      </c>
      <c r="AJ229" s="314" t="e">
        <f>IF($J229="",#N/A,SUM(AI$4:AI229))</f>
        <v>#N/A</v>
      </c>
      <c r="AK229" s="315" t="str">
        <f t="shared" si="359"/>
        <v/>
      </c>
      <c r="AL229" s="315" t="e">
        <f>IF($J229="",#N/A,SUM(AK$4:AK229))</f>
        <v>#N/A</v>
      </c>
      <c r="AM229" s="315" t="e">
        <f>IF($J229="",#N/A,SUM(AK$4:AK229,AI$4:AI229,AG$4:AG229))</f>
        <v>#N/A</v>
      </c>
      <c r="AN229" s="304" t="str">
        <f t="shared" si="360"/>
        <v/>
      </c>
      <c r="AO229" s="313" t="e">
        <f>IF($J229="",#N/A,SUM(AN$4:AN229))</f>
        <v>#N/A</v>
      </c>
      <c r="AP229" s="314" t="str">
        <f t="shared" si="361"/>
        <v/>
      </c>
      <c r="AQ229" s="314" t="e">
        <f>IF($J229="",#N/A,SUM(AP$4:AP229))</f>
        <v>#N/A</v>
      </c>
      <c r="AR229" s="315" t="str">
        <f t="shared" si="362"/>
        <v/>
      </c>
      <c r="AS229" s="315" t="e">
        <f>IF($J229="",#N/A,SUM(AR$4:AR229))</f>
        <v>#N/A</v>
      </c>
      <c r="AT229" s="315" t="e">
        <f>IF($J229="",#N/A,SUM(AR$4:AR229,AP$4:AP229,AN$4:AN229))</f>
        <v>#N/A</v>
      </c>
      <c r="AU229" s="304" t="str">
        <f t="shared" si="363"/>
        <v/>
      </c>
      <c r="AV229" s="313" t="e">
        <f>IF($J229="",#N/A,SUM(AU$4:AU229))</f>
        <v>#N/A</v>
      </c>
      <c r="AW229" s="314" t="str">
        <f t="shared" si="364"/>
        <v/>
      </c>
      <c r="AX229" s="314" t="e">
        <f>IF($J229="",#N/A,SUM(AW$4:AW229))</f>
        <v>#N/A</v>
      </c>
      <c r="AY229" s="315" t="str">
        <f t="shared" si="365"/>
        <v/>
      </c>
      <c r="AZ229" s="315" t="e">
        <f>IF($J229="",#N/A,SUM(AY$4:AY229))</f>
        <v>#N/A</v>
      </c>
      <c r="BA229" s="315" t="e">
        <f>IF($J229="",#N/A,SUM(AY$4:AY229,AW$4:AW229,AU$4:AU229))</f>
        <v>#N/A</v>
      </c>
      <c r="BB229" s="304" t="str">
        <f t="shared" si="366"/>
        <v/>
      </c>
      <c r="BC229" s="313" t="e">
        <f>IF($J229="",#N/A,SUM(BB$4:BB229))</f>
        <v>#N/A</v>
      </c>
      <c r="BD229" s="314" t="str">
        <f t="shared" si="367"/>
        <v/>
      </c>
      <c r="BE229" s="314" t="e">
        <f>IF($J229="",#N/A,SUM(BD$4:BD229))</f>
        <v>#N/A</v>
      </c>
      <c r="BF229" s="315" t="str">
        <f t="shared" si="368"/>
        <v/>
      </c>
      <c r="BG229" s="315" t="e">
        <f>IF($J229="",#N/A,SUM(BF$4:BF229))</f>
        <v>#N/A</v>
      </c>
      <c r="BH229" s="315" t="e">
        <f>IF($J229="",#N/A,SUM(BF$4:BF229,BD$4:BD229,BB$4:BB229))</f>
        <v>#N/A</v>
      </c>
      <c r="BI229" s="304" t="str">
        <f t="shared" si="369"/>
        <v/>
      </c>
      <c r="BJ229" s="313" t="e">
        <f>IF($J229="",#N/A,SUM(BI$4:BI229))</f>
        <v>#N/A</v>
      </c>
      <c r="BK229" s="314" t="str">
        <f t="shared" si="370"/>
        <v/>
      </c>
      <c r="BL229" s="314" t="e">
        <f>IF($J229="",#N/A,SUM(BK$4:BK229))</f>
        <v>#N/A</v>
      </c>
      <c r="BM229" s="315" t="str">
        <f t="shared" si="371"/>
        <v/>
      </c>
      <c r="BN229" s="315" t="e">
        <f>IF($J229="",#N/A,SUM(BM$4:BM229))</f>
        <v>#N/A</v>
      </c>
      <c r="BO229" s="315" t="e">
        <f>IF($J229="",#N/A,SUM(BM$4:BM229,BK$4:BK229,BI$4:BI229))</f>
        <v>#N/A</v>
      </c>
      <c r="BP229" s="304" t="str">
        <f t="shared" si="372"/>
        <v/>
      </c>
      <c r="BQ229" s="313" t="e">
        <f>IF($J229="",#N/A,SUM(BP$4:BP229))</f>
        <v>#N/A</v>
      </c>
      <c r="BR229" s="314" t="str">
        <f t="shared" si="373"/>
        <v/>
      </c>
      <c r="BS229" s="314" t="e">
        <f>IF($J229="",#N/A,SUM(BR$4:BR229))</f>
        <v>#N/A</v>
      </c>
      <c r="BT229" s="315" t="str">
        <f t="shared" si="374"/>
        <v/>
      </c>
      <c r="BU229" s="315" t="e">
        <f>IF($J229="",#N/A,SUM(BT$4:BT229))</f>
        <v>#N/A</v>
      </c>
      <c r="BV229" s="315" t="e">
        <f>IF($J229="",#N/A,SUM(BT$4:BT229,BR$4:BR229,BP$4:BP229))</f>
        <v>#N/A</v>
      </c>
      <c r="BW229" s="304" t="str">
        <f t="shared" si="375"/>
        <v/>
      </c>
      <c r="BX229" s="313" t="e">
        <f>IF($J229="",#N/A,SUM(BW$4:BW229))</f>
        <v>#N/A</v>
      </c>
      <c r="BY229" s="314" t="str">
        <f t="shared" si="376"/>
        <v/>
      </c>
      <c r="BZ229" s="314" t="e">
        <f>IF($J229="",#N/A,SUM(BY$4:BY229))</f>
        <v>#N/A</v>
      </c>
      <c r="CA229" s="315">
        <f t="shared" si="377"/>
        <v>4.7547887515282904E-2</v>
      </c>
      <c r="CB229" s="315" t="e">
        <f>IF($J229="",#N/A,SUM(CA$4:CA229))</f>
        <v>#N/A</v>
      </c>
      <c r="CC229" s="315" t="e">
        <f>IF($J229="",#N/A,SUM(CA$4:CA229,BY$4:BY229,BW$4:BW229))</f>
        <v>#N/A</v>
      </c>
      <c r="CD229" s="304" t="str">
        <f t="shared" si="378"/>
        <v/>
      </c>
      <c r="CE229" s="313" t="e">
        <f>IF($J229="",#N/A,SUM(CD$4:CD229))</f>
        <v>#N/A</v>
      </c>
      <c r="CF229" s="314" t="str">
        <f t="shared" si="379"/>
        <v/>
      </c>
      <c r="CG229" s="314" t="e">
        <f>IF($J229="",#N/A,SUM(CF$4:CF229))</f>
        <v>#N/A</v>
      </c>
      <c r="CH229" s="315" t="str">
        <f t="shared" si="380"/>
        <v/>
      </c>
      <c r="CI229" s="315" t="e">
        <f>IF($J229="",#N/A,SUM(CH$4:CH229))</f>
        <v>#N/A</v>
      </c>
      <c r="CJ229" s="315" t="e">
        <f>IF($J229="",#N/A,SUM(CH$4:CH229,CF$4:CF229,CD$4:CD229))</f>
        <v>#N/A</v>
      </c>
      <c r="CK229" s="304" t="str">
        <f t="shared" si="381"/>
        <v/>
      </c>
      <c r="CL229" s="313" t="e">
        <f>IF($J229="",#N/A,SUM(CK$4:CK229))</f>
        <v>#N/A</v>
      </c>
      <c r="CM229" s="314" t="str">
        <f t="shared" si="382"/>
        <v/>
      </c>
      <c r="CN229" s="314" t="e">
        <f>IF($J229="",#N/A,SUM(CM$4:CM229))</f>
        <v>#N/A</v>
      </c>
      <c r="CO229" s="315" t="str">
        <f t="shared" si="383"/>
        <v/>
      </c>
      <c r="CP229" s="315" t="e">
        <f>IF($J229="",#N/A,SUM(CO$4:CO229))</f>
        <v>#N/A</v>
      </c>
      <c r="CQ229" s="315" t="e">
        <f>IF($J229="",#N/A,SUM(CO$4:CO229,CM$4:CM229,CK$4:CK229))</f>
        <v>#N/A</v>
      </c>
      <c r="CR229" s="304" t="str">
        <f t="shared" si="384"/>
        <v/>
      </c>
      <c r="CS229" s="313" t="e">
        <f>IF($J229="",#N/A,SUM(CR$4:CR229))</f>
        <v>#N/A</v>
      </c>
      <c r="CT229" s="314" t="str">
        <f t="shared" si="385"/>
        <v/>
      </c>
      <c r="CU229" s="314" t="e">
        <f>IF($J229="",#N/A,SUM(CT$4:CT229))</f>
        <v>#N/A</v>
      </c>
      <c r="CV229" s="315" t="str">
        <f t="shared" si="386"/>
        <v/>
      </c>
      <c r="CW229" s="315" t="e">
        <f>IF($J229="",#N/A,SUM(CV$4:CV229))</f>
        <v>#N/A</v>
      </c>
      <c r="CX229" s="315" t="e">
        <f>IF($J229="",#N/A,SUM(CV$4:CV229,CT$4:CT229,CR$4:CR229))</f>
        <v>#N/A</v>
      </c>
      <c r="CY229" s="304" t="str">
        <f t="shared" si="387"/>
        <v/>
      </c>
      <c r="CZ229" s="313" t="e">
        <f>IF($J229="",#N/A,SUM(CY$4:CY229))</f>
        <v>#N/A</v>
      </c>
      <c r="DA229" s="314" t="str">
        <f t="shared" si="388"/>
        <v/>
      </c>
      <c r="DB229" s="314" t="e">
        <f>IF($J229="",#N/A,SUM(DA$4:DA229))</f>
        <v>#N/A</v>
      </c>
      <c r="DC229" s="315" t="str">
        <f t="shared" si="389"/>
        <v/>
      </c>
      <c r="DD229" s="315" t="e">
        <f>IF($J229="",#N/A,SUM(DC$4:DC229))</f>
        <v>#N/A</v>
      </c>
      <c r="DE229" s="315" t="e">
        <f>IF($J229="",#N/A,SUM(DC$4:DC229,DA$4:DA229,CY$4:CY229))</f>
        <v>#N/A</v>
      </c>
      <c r="DF229" s="304" t="str">
        <f t="shared" si="390"/>
        <v/>
      </c>
      <c r="DG229" s="313" t="e">
        <f>IF($J229="",#N/A,SUM(DF$4:DF229))</f>
        <v>#N/A</v>
      </c>
      <c r="DH229" s="314" t="str">
        <f t="shared" si="391"/>
        <v/>
      </c>
      <c r="DI229" s="314" t="e">
        <f>IF($J229="",#N/A,SUM(DH$4:DH229))</f>
        <v>#N/A</v>
      </c>
      <c r="DJ229" s="315" t="str">
        <f t="shared" si="392"/>
        <v/>
      </c>
      <c r="DK229" s="315" t="e">
        <f>IF($J229="",#N/A,SUM(DJ$4:DJ229))</f>
        <v>#N/A</v>
      </c>
      <c r="DL229" s="315" t="e">
        <f>IF($J229="",#N/A,SUM(DJ$4:DJ229,DH$4:DH229,DF$4:DF229))</f>
        <v>#N/A</v>
      </c>
      <c r="DM229" s="304" t="str">
        <f t="shared" si="393"/>
        <v/>
      </c>
      <c r="DN229" s="313" t="e">
        <f>IF($J229="",#N/A,SUM(DM$4:DM229))</f>
        <v>#N/A</v>
      </c>
      <c r="DO229" s="314" t="str">
        <f t="shared" si="394"/>
        <v/>
      </c>
      <c r="DP229" s="314" t="e">
        <f>IF($J229="",#N/A,SUM(DO$4:DO229))</f>
        <v>#N/A</v>
      </c>
      <c r="DQ229" s="315" t="str">
        <f t="shared" si="395"/>
        <v/>
      </c>
      <c r="DR229" s="315" t="e">
        <f>IF($J229="",#N/A,SUM(DQ$4:DQ229))</f>
        <v>#N/A</v>
      </c>
      <c r="DS229" s="315" t="e">
        <f>IF($J229="",#N/A,SUM(DQ$4:DQ229,DO$4:DO229,DM$4:DM229))</f>
        <v>#N/A</v>
      </c>
      <c r="DT229" s="304" t="str">
        <f t="shared" si="396"/>
        <v/>
      </c>
      <c r="DU229" s="313" t="e">
        <f>IF($J229="",#N/A,SUM(DT$4:DT229))</f>
        <v>#N/A</v>
      </c>
      <c r="DV229" s="314" t="str">
        <f t="shared" si="397"/>
        <v/>
      </c>
      <c r="DW229" s="314" t="e">
        <f>IF($J229="",#N/A,SUM(DV$4:DV229))</f>
        <v>#N/A</v>
      </c>
      <c r="DX229" s="315" t="str">
        <f t="shared" si="398"/>
        <v/>
      </c>
      <c r="DY229" s="315" t="e">
        <f>IF($J229="",#N/A,SUM(DX$4:DX229))</f>
        <v>#N/A</v>
      </c>
      <c r="DZ229" s="315" t="e">
        <f>IF($J229="",#N/A,SUM(DX$4:DX229,DV$4:DV229,DT$4:DT229))</f>
        <v>#N/A</v>
      </c>
      <c r="EA229" s="304" t="str">
        <f t="shared" si="399"/>
        <v/>
      </c>
      <c r="EB229" s="313" t="e">
        <f>IF($J229="",#N/A,SUM(EA$4:EA229))</f>
        <v>#N/A</v>
      </c>
      <c r="EC229" s="314" t="str">
        <f t="shared" si="400"/>
        <v/>
      </c>
      <c r="ED229" s="314" t="e">
        <f>IF($J229="",#N/A,SUM(EC$4:EC229))</f>
        <v>#N/A</v>
      </c>
      <c r="EE229" s="315" t="str">
        <f t="shared" si="401"/>
        <v/>
      </c>
      <c r="EF229" s="315" t="e">
        <f>IF($J229="",#N/A,SUM(EE$4:EE229))</f>
        <v>#N/A</v>
      </c>
      <c r="EG229" s="315" t="e">
        <f>IF($J229="",#N/A,SUM(EE$4:EE229,EC$4:EC229,EA$4:EA229))</f>
        <v>#N/A</v>
      </c>
      <c r="EH229" s="130">
        <f t="shared" si="402"/>
        <v>1.2599999999999909</v>
      </c>
      <c r="EI229" s="63">
        <f>IF(EH229="",#N/A,SUM($EH$4:EH229))</f>
        <v>846.81932791382519</v>
      </c>
      <c r="EJ229" s="223" t="e">
        <f t="shared" si="403"/>
        <v>#N/A</v>
      </c>
      <c r="EK229" s="63" t="e">
        <f>IF($GZ229="",#N/A,SUM(EJ$4:EJ229))</f>
        <v>#N/A</v>
      </c>
      <c r="EL229" s="60">
        <f t="shared" si="435"/>
        <v>4.7547887515282904E-2</v>
      </c>
      <c r="EM229" s="60">
        <f>IF(EL229="",NA(),SUM($EL$4:EL229))</f>
        <v>23.968731722339406</v>
      </c>
      <c r="EN229" s="60" t="str">
        <f t="shared" si="404"/>
        <v/>
      </c>
      <c r="EO229" s="60" t="e">
        <f>IF(EN229="",NA(),SUM($EN$4:EN229))</f>
        <v>#N/A</v>
      </c>
      <c r="EP229" s="60">
        <f t="shared" si="405"/>
        <v>4.7547887515282904E-2</v>
      </c>
      <c r="EQ229" s="60">
        <f>IF(EP229="",NA(),SUM($EP$4:EP229))</f>
        <v>4.8967613302476432</v>
      </c>
      <c r="ER229" s="60" t="str">
        <f t="shared" si="406"/>
        <v/>
      </c>
      <c r="ES229" s="60" t="e">
        <f>IF(ER229="",NA(),SUM($ER$4:ER229))</f>
        <v>#N/A</v>
      </c>
      <c r="ET229" s="60" t="str">
        <f t="shared" si="407"/>
        <v/>
      </c>
      <c r="EU229" s="60" t="e">
        <f>IF(ET229="",NA(),SUM($ET$4:ET229))</f>
        <v>#N/A</v>
      </c>
      <c r="EV229" s="60" t="str">
        <f t="shared" si="408"/>
        <v/>
      </c>
      <c r="EW229" s="60" t="e">
        <f>IF(EV229="",NA(),SUM($EV$4:EV229))</f>
        <v>#N/A</v>
      </c>
      <c r="EX229" s="60" t="str">
        <f t="shared" si="409"/>
        <v/>
      </c>
      <c r="EY229" s="60" t="e">
        <f>IF(EX229="",NA(),SUM($EX$4:EX229))</f>
        <v>#N/A</v>
      </c>
      <c r="EZ229" s="60" t="str">
        <f t="shared" si="410"/>
        <v/>
      </c>
      <c r="FA229" s="60" t="e">
        <f>IF(EZ229="",NA(),SUM($EZ$4:EZ229))</f>
        <v>#N/A</v>
      </c>
      <c r="FB229" s="246" t="str">
        <f t="shared" si="436"/>
        <v/>
      </c>
      <c r="FC229" s="246" t="e">
        <f>IF($FB229="",#N/A,SUM(FB$4:$FB229))</f>
        <v>#N/A</v>
      </c>
      <c r="FD229" s="60" t="str">
        <f t="shared" si="411"/>
        <v/>
      </c>
      <c r="FE229" s="60" t="e">
        <f>IF($FD229="",#N/A,SUM($FD$4:FD229))</f>
        <v>#N/A</v>
      </c>
      <c r="FF229" s="60" t="str">
        <f t="shared" si="412"/>
        <v/>
      </c>
      <c r="FG229" s="60" t="e">
        <f>IF($FF229="",#N/A,SUM($FF$4:FF229))</f>
        <v>#N/A</v>
      </c>
      <c r="FH229" s="60" t="str">
        <f t="shared" si="413"/>
        <v/>
      </c>
      <c r="FI229" s="60" t="e">
        <f>IF($FH229="",#N/A,SUM($FH$4:FH229))</f>
        <v>#N/A</v>
      </c>
      <c r="FJ229" s="60">
        <f t="shared" si="414"/>
        <v>0.30038189255686804</v>
      </c>
      <c r="FK229" s="60">
        <f>IF($FJ229="",#N/A,SUM($FJ$4:FJ229))</f>
        <v>-5.0524845698256291</v>
      </c>
      <c r="FL229" s="60" t="str">
        <f t="shared" si="415"/>
        <v/>
      </c>
      <c r="FM229" s="60" t="e">
        <f>IF($FL229="",#N/A,SUM($FL$4:FL229))</f>
        <v>#N/A</v>
      </c>
      <c r="FN229" s="82">
        <f t="shared" si="416"/>
        <v>0.34792978007215092</v>
      </c>
      <c r="FO229" s="82">
        <f>IF($FN229="",#N/A,SUM(FN$4:$FN229))</f>
        <v>34.766561218551125</v>
      </c>
      <c r="FP229" s="82">
        <f t="shared" si="437"/>
        <v>4.7547887515282904E-2</v>
      </c>
      <c r="FQ229" s="246">
        <f>IF($EH229="",#N/A,SUM($FP$4:FP229))</f>
        <v>33.53216892428803</v>
      </c>
      <c r="FR229" s="82">
        <f>IFERROR(FQ229/COUNTA($J$4:J229),#N/A)</f>
        <v>0.14837242886853111</v>
      </c>
      <c r="FS229" s="82">
        <f t="shared" si="445"/>
        <v>0.17765177599828177</v>
      </c>
      <c r="FT229" s="82">
        <f t="shared" si="446"/>
        <v>0.1519864113859071</v>
      </c>
      <c r="FU229" s="337">
        <f t="shared" si="444"/>
        <v>14.398117217386529</v>
      </c>
      <c r="FV229" s="57" t="str">
        <f t="shared" si="418"/>
        <v>SW</v>
      </c>
      <c r="FW229" s="57" t="s">
        <v>2732</v>
      </c>
      <c r="FX229" s="57" t="str">
        <f t="shared" si="419"/>
        <v/>
      </c>
      <c r="FY229" s="57" t="str">
        <f t="shared" si="420"/>
        <v/>
      </c>
      <c r="FZ229" s="57">
        <f t="shared" si="421"/>
        <v>1</v>
      </c>
      <c r="GA229" s="57" t="str">
        <f t="shared" si="422"/>
        <v>Long</v>
      </c>
      <c r="GB229" s="57" t="str">
        <f t="shared" si="423"/>
        <v/>
      </c>
      <c r="GC229" s="57" t="str">
        <f t="shared" si="424"/>
        <v/>
      </c>
      <c r="GD229" s="57" t="str">
        <f t="shared" si="425"/>
        <v/>
      </c>
      <c r="GE229" s="62">
        <f t="shared" si="339"/>
        <v>220.83</v>
      </c>
      <c r="GF229" s="62" t="s">
        <v>2780</v>
      </c>
      <c r="GG229" s="199">
        <v>2</v>
      </c>
      <c r="GH229" s="207">
        <f t="shared" si="426"/>
        <v>441.66</v>
      </c>
      <c r="GI229" s="199">
        <v>2</v>
      </c>
      <c r="GJ229" s="200">
        <v>221.46</v>
      </c>
      <c r="GK229" s="63">
        <f t="shared" si="427"/>
        <v>-1.2599999999999909</v>
      </c>
      <c r="GL229" s="63">
        <f t="shared" si="340"/>
        <v>-9.2199999999999704</v>
      </c>
      <c r="GM229" s="82">
        <f t="shared" si="428"/>
        <v>0.34792978007215092</v>
      </c>
      <c r="GN229" s="82">
        <f>IF($GZ229="",#N/A,SUM(GM$4:GM229))</f>
        <v>-0.19159368637264962</v>
      </c>
      <c r="GO229" s="82" t="str">
        <f t="shared" si="429"/>
        <v/>
      </c>
      <c r="GP229" s="82">
        <f>IF($GZ229="",#N/A,SUM(GO$4:GO229))</f>
        <v>11.527012625134297</v>
      </c>
      <c r="GQ229" s="82" t="str">
        <f t="shared" si="430"/>
        <v/>
      </c>
      <c r="GR229" s="82">
        <f>IF($GZ229="",#N/A,SUM(GQ$4:GQ229))</f>
        <v>22.805305325347138</v>
      </c>
      <c r="GS229" s="63" t="e">
        <f t="shared" si="438"/>
        <v>#N/A</v>
      </c>
      <c r="GT229" s="63" t="e">
        <f>IF($GZ229="",#N/A,SUM(GS$4:GS229))</f>
        <v>#N/A</v>
      </c>
      <c r="GU229" s="63" t="str">
        <f t="shared" si="439"/>
        <v/>
      </c>
      <c r="GV229" s="63" t="e">
        <f>IF($GZ229="",#N/A,SUM(GU$4:GU229))</f>
        <v>#N/A</v>
      </c>
      <c r="GW229" s="63" t="str">
        <f t="shared" si="440"/>
        <v/>
      </c>
      <c r="GX229" s="63" t="e">
        <f>IF($GZ229="",#N/A,SUM(GW$4:GW229))</f>
        <v>#N/A</v>
      </c>
      <c r="GY229" s="63" t="e">
        <f>IF(EJ229="",#N/A,SUM($EJ$4:EJ229))</f>
        <v>#N/A</v>
      </c>
      <c r="GZ229" s="159">
        <v>225.44</v>
      </c>
      <c r="HA229" s="63">
        <f t="shared" si="431"/>
        <v>-10.479999999999961</v>
      </c>
      <c r="HB229" s="62" t="s">
        <v>2538</v>
      </c>
      <c r="HC229" s="60">
        <f>IFERROR(VLOOKUP(E229,Expectancy!$P$4:$S$19,1+C229,FALSE),"")</f>
        <v>-0.15084750675779673</v>
      </c>
      <c r="HD229" s="82">
        <f t="shared" si="432"/>
        <v>-4.7547887515282904E-2</v>
      </c>
      <c r="HE229" s="138">
        <f>IF(HD229="",#N/A,SUM($HD$4:HD229))</f>
        <v>4.6040517069015028</v>
      </c>
      <c r="HF229" s="85">
        <f>IF(HD229="",#N/A,IF(HB229="Skip",#N/A,SUM($HG$4:HG229)))</f>
        <v>141.05156919911451</v>
      </c>
      <c r="HG229" s="63">
        <f t="shared" si="433"/>
        <v>-1.2599999999999909</v>
      </c>
      <c r="HH229" s="82">
        <f t="shared" si="434"/>
        <v>0.34792978007215092</v>
      </c>
    </row>
    <row r="230" spans="1:216" x14ac:dyDescent="0.25">
      <c r="A230" s="57" t="s">
        <v>69</v>
      </c>
      <c r="B230" s="58" t="s">
        <v>5220</v>
      </c>
      <c r="C230" s="386">
        <f t="shared" si="343"/>
        <v>2</v>
      </c>
      <c r="D230" s="372" t="str">
        <f>_xlfn.XLOOKUP(A230,[1]SP500!$A$2:$A$502,[1]SP500!$D$2:$D$502,"N")</f>
        <v>Y</v>
      </c>
      <c r="E230" s="57" t="str">
        <f>_xlfn.XLOOKUP(A230,[1]SP500!$A$2:$A$655,[1]SP500!$B$2:$B$655)</f>
        <v>XLV</v>
      </c>
      <c r="F230" s="59">
        <v>45693</v>
      </c>
      <c r="G230" s="57" t="str">
        <f t="shared" si="344"/>
        <v>AMC</v>
      </c>
      <c r="H230" s="57" t="str">
        <f t="shared" si="345"/>
        <v>s</v>
      </c>
      <c r="I230" s="159">
        <v>72.8</v>
      </c>
      <c r="J230" s="158">
        <v>68</v>
      </c>
      <c r="K230" s="61">
        <f t="shared" si="346"/>
        <v>-6.5934065934065894E-2</v>
      </c>
      <c r="L230" s="87">
        <f t="shared" si="347"/>
        <v>28.799999999999955</v>
      </c>
      <c r="M230" s="130">
        <f t="shared" si="338"/>
        <v>0</v>
      </c>
      <c r="N230" s="169" t="str">
        <f t="shared" si="348"/>
        <v/>
      </c>
      <c r="O230" s="169">
        <f>IF($J230="",#N/A,SUM($N$4:N230))</f>
        <v>274.74492601211705</v>
      </c>
      <c r="P230" s="174">
        <f t="shared" si="349"/>
        <v>28.799999999999955</v>
      </c>
      <c r="Q230" s="174">
        <f>IF($J230="",#N/A,SUM($P$4:P230))</f>
        <v>500.25776401603673</v>
      </c>
      <c r="R230" s="178" t="str">
        <f t="shared" si="350"/>
        <v/>
      </c>
      <c r="S230" s="178">
        <f>IF($J230="",#N/A,SUM($R$4:R230))</f>
        <v>100.61663788567108</v>
      </c>
      <c r="T230" s="290" t="str">
        <f t="shared" si="351"/>
        <v/>
      </c>
      <c r="U230" s="290">
        <f>IF($J230="",#N/A,SUM($T$4:T230))</f>
        <v>9.8446328777985279</v>
      </c>
      <c r="V230" s="291">
        <f t="shared" si="352"/>
        <v>1.0989010989010974</v>
      </c>
      <c r="W230" s="291">
        <f>IF($J230="",#N/A,SUM($V$4:V230))</f>
        <v>20.817432735220152</v>
      </c>
      <c r="X230" s="292" t="str">
        <f t="shared" si="353"/>
        <v/>
      </c>
      <c r="Y230" s="292">
        <f>IF($J230="",#N/A,SUM($X$4:X230))</f>
        <v>3.9690044101704491</v>
      </c>
      <c r="Z230" s="304" t="str">
        <f t="shared" si="354"/>
        <v/>
      </c>
      <c r="AA230" s="313" t="e">
        <f>IF($J230="",#N/A,SUM(Z$4:Z230))</f>
        <v>#N/A</v>
      </c>
      <c r="AB230" s="314" t="str">
        <f t="shared" si="355"/>
        <v/>
      </c>
      <c r="AC230" s="314" t="e">
        <f>IF($J230="",#N/A,SUM(AB$4:AB230))</f>
        <v>#N/A</v>
      </c>
      <c r="AD230" s="315" t="str">
        <f t="shared" si="356"/>
        <v/>
      </c>
      <c r="AE230" s="315" t="e">
        <f>IF($J230="",#N/A,SUM(AD$4:AD230))</f>
        <v>#N/A</v>
      </c>
      <c r="AF230" s="315" t="e">
        <f>IF($J230="",#N/A,SUM(AD$4:AD230,AB$4:AB230,Z$4:Z230))</f>
        <v>#N/A</v>
      </c>
      <c r="AG230" s="304" t="str">
        <f t="shared" si="357"/>
        <v/>
      </c>
      <c r="AH230" s="313" t="e">
        <f>IF($J230="",#N/A,SUM(AG$4:AG230))</f>
        <v>#N/A</v>
      </c>
      <c r="AI230" s="314" t="str">
        <f t="shared" si="358"/>
        <v/>
      </c>
      <c r="AJ230" s="314" t="e">
        <f>IF($J230="",#N/A,SUM(AI$4:AI230))</f>
        <v>#N/A</v>
      </c>
      <c r="AK230" s="315" t="str">
        <f t="shared" si="359"/>
        <v/>
      </c>
      <c r="AL230" s="315" t="e">
        <f>IF($J230="",#N/A,SUM(AK$4:AK230))</f>
        <v>#N/A</v>
      </c>
      <c r="AM230" s="315" t="e">
        <f>IF($J230="",#N/A,SUM(AK$4:AK230,AI$4:AI230,AG$4:AG230))</f>
        <v>#N/A</v>
      </c>
      <c r="AN230" s="304" t="str">
        <f t="shared" si="360"/>
        <v/>
      </c>
      <c r="AO230" s="313" t="e">
        <f>IF($J230="",#N/A,SUM(AN$4:AN230))</f>
        <v>#N/A</v>
      </c>
      <c r="AP230" s="314" t="str">
        <f t="shared" si="361"/>
        <v/>
      </c>
      <c r="AQ230" s="314" t="e">
        <f>IF($J230="",#N/A,SUM(AP$4:AP230))</f>
        <v>#N/A</v>
      </c>
      <c r="AR230" s="315" t="str">
        <f t="shared" si="362"/>
        <v/>
      </c>
      <c r="AS230" s="315" t="e">
        <f>IF($J230="",#N/A,SUM(AR$4:AR230))</f>
        <v>#N/A</v>
      </c>
      <c r="AT230" s="315" t="e">
        <f>IF($J230="",#N/A,SUM(AR$4:AR230,AP$4:AP230,AN$4:AN230))</f>
        <v>#N/A</v>
      </c>
      <c r="AU230" s="304" t="str">
        <f t="shared" si="363"/>
        <v/>
      </c>
      <c r="AV230" s="313" t="e">
        <f>IF($J230="",#N/A,SUM(AU$4:AU230))</f>
        <v>#N/A</v>
      </c>
      <c r="AW230" s="314" t="str">
        <f t="shared" si="364"/>
        <v/>
      </c>
      <c r="AX230" s="314" t="e">
        <f>IF($J230="",#N/A,SUM(AW$4:AW230))</f>
        <v>#N/A</v>
      </c>
      <c r="AY230" s="315" t="str">
        <f t="shared" si="365"/>
        <v/>
      </c>
      <c r="AZ230" s="315" t="e">
        <f>IF($J230="",#N/A,SUM(AY$4:AY230))</f>
        <v>#N/A</v>
      </c>
      <c r="BA230" s="315" t="e">
        <f>IF($J230="",#N/A,SUM(AY$4:AY230,AW$4:AW230,AU$4:AU230))</f>
        <v>#N/A</v>
      </c>
      <c r="BB230" s="304" t="str">
        <f t="shared" si="366"/>
        <v/>
      </c>
      <c r="BC230" s="313" t="e">
        <f>IF($J230="",#N/A,SUM(BB$4:BB230))</f>
        <v>#N/A</v>
      </c>
      <c r="BD230" s="314" t="str">
        <f t="shared" si="367"/>
        <v/>
      </c>
      <c r="BE230" s="314" t="e">
        <f>IF($J230="",#N/A,SUM(BD$4:BD230))</f>
        <v>#N/A</v>
      </c>
      <c r="BF230" s="315" t="str">
        <f t="shared" si="368"/>
        <v/>
      </c>
      <c r="BG230" s="315" t="e">
        <f>IF($J230="",#N/A,SUM(BF$4:BF230))</f>
        <v>#N/A</v>
      </c>
      <c r="BH230" s="315" t="e">
        <f>IF($J230="",#N/A,SUM(BF$4:BF230,BD$4:BD230,BB$4:BB230))</f>
        <v>#N/A</v>
      </c>
      <c r="BI230" s="304" t="str">
        <f t="shared" si="369"/>
        <v/>
      </c>
      <c r="BJ230" s="313" t="e">
        <f>IF($J230="",#N/A,SUM(BI$4:BI230))</f>
        <v>#N/A</v>
      </c>
      <c r="BK230" s="314" t="str">
        <f t="shared" si="370"/>
        <v/>
      </c>
      <c r="BL230" s="314" t="e">
        <f>IF($J230="",#N/A,SUM(BK$4:BK230))</f>
        <v>#N/A</v>
      </c>
      <c r="BM230" s="315" t="str">
        <f t="shared" si="371"/>
        <v/>
      </c>
      <c r="BN230" s="315" t="e">
        <f>IF($J230="",#N/A,SUM(BM$4:BM230))</f>
        <v>#N/A</v>
      </c>
      <c r="BO230" s="315" t="e">
        <f>IF($J230="",#N/A,SUM(BM$4:BM230,BK$4:BK230,BI$4:BI230))</f>
        <v>#N/A</v>
      </c>
      <c r="BP230" s="304" t="str">
        <f t="shared" si="372"/>
        <v/>
      </c>
      <c r="BQ230" s="313" t="e">
        <f>IF($J230="",#N/A,SUM(BP$4:BP230))</f>
        <v>#N/A</v>
      </c>
      <c r="BR230" s="314" t="str">
        <f t="shared" si="373"/>
        <v/>
      </c>
      <c r="BS230" s="314" t="e">
        <f>IF($J230="",#N/A,SUM(BR$4:BR230))</f>
        <v>#N/A</v>
      </c>
      <c r="BT230" s="315" t="str">
        <f t="shared" si="374"/>
        <v/>
      </c>
      <c r="BU230" s="315" t="e">
        <f>IF($J230="",#N/A,SUM(BT$4:BT230))</f>
        <v>#N/A</v>
      </c>
      <c r="BV230" s="315" t="e">
        <f>IF($J230="",#N/A,SUM(BT$4:BT230,BR$4:BR230,BP$4:BP230))</f>
        <v>#N/A</v>
      </c>
      <c r="BW230" s="304" t="str">
        <f t="shared" si="375"/>
        <v/>
      </c>
      <c r="BX230" s="313" t="e">
        <f>IF($J230="",#N/A,SUM(BW$4:BW230))</f>
        <v>#N/A</v>
      </c>
      <c r="BY230" s="314">
        <f t="shared" si="376"/>
        <v>1.0989010989010974</v>
      </c>
      <c r="BZ230" s="314" t="e">
        <f>IF($J230="",#N/A,SUM(BY$4:BY230))</f>
        <v>#N/A</v>
      </c>
      <c r="CA230" s="315" t="str">
        <f t="shared" si="377"/>
        <v/>
      </c>
      <c r="CB230" s="315" t="e">
        <f>IF($J230="",#N/A,SUM(CA$4:CA230))</f>
        <v>#N/A</v>
      </c>
      <c r="CC230" s="315" t="e">
        <f>IF($J230="",#N/A,SUM(CA$4:CA230,BY$4:BY230,BW$4:BW230))</f>
        <v>#N/A</v>
      </c>
      <c r="CD230" s="304" t="str">
        <f t="shared" si="378"/>
        <v/>
      </c>
      <c r="CE230" s="313" t="e">
        <f>IF($J230="",#N/A,SUM(CD$4:CD230))</f>
        <v>#N/A</v>
      </c>
      <c r="CF230" s="314" t="str">
        <f t="shared" si="379"/>
        <v/>
      </c>
      <c r="CG230" s="314" t="e">
        <f>IF($J230="",#N/A,SUM(CF$4:CF230))</f>
        <v>#N/A</v>
      </c>
      <c r="CH230" s="315" t="str">
        <f t="shared" si="380"/>
        <v/>
      </c>
      <c r="CI230" s="315" t="e">
        <f>IF($J230="",#N/A,SUM(CH$4:CH230))</f>
        <v>#N/A</v>
      </c>
      <c r="CJ230" s="315" t="e">
        <f>IF($J230="",#N/A,SUM(CH$4:CH230,CF$4:CF230,CD$4:CD230))</f>
        <v>#N/A</v>
      </c>
      <c r="CK230" s="304" t="str">
        <f t="shared" si="381"/>
        <v/>
      </c>
      <c r="CL230" s="313" t="e">
        <f>IF($J230="",#N/A,SUM(CK$4:CK230))</f>
        <v>#N/A</v>
      </c>
      <c r="CM230" s="314" t="str">
        <f t="shared" si="382"/>
        <v/>
      </c>
      <c r="CN230" s="314" t="e">
        <f>IF($J230="",#N/A,SUM(CM$4:CM230))</f>
        <v>#N/A</v>
      </c>
      <c r="CO230" s="315" t="str">
        <f t="shared" si="383"/>
        <v/>
      </c>
      <c r="CP230" s="315" t="e">
        <f>IF($J230="",#N/A,SUM(CO$4:CO230))</f>
        <v>#N/A</v>
      </c>
      <c r="CQ230" s="315" t="e">
        <f>IF($J230="",#N/A,SUM(CO$4:CO230,CM$4:CM230,CK$4:CK230))</f>
        <v>#N/A</v>
      </c>
      <c r="CR230" s="304" t="str">
        <f t="shared" si="384"/>
        <v/>
      </c>
      <c r="CS230" s="313" t="e">
        <f>IF($J230="",#N/A,SUM(CR$4:CR230))</f>
        <v>#N/A</v>
      </c>
      <c r="CT230" s="314" t="str">
        <f t="shared" si="385"/>
        <v/>
      </c>
      <c r="CU230" s="314" t="e">
        <f>IF($J230="",#N/A,SUM(CT$4:CT230))</f>
        <v>#N/A</v>
      </c>
      <c r="CV230" s="315" t="str">
        <f t="shared" si="386"/>
        <v/>
      </c>
      <c r="CW230" s="315" t="e">
        <f>IF($J230="",#N/A,SUM(CV$4:CV230))</f>
        <v>#N/A</v>
      </c>
      <c r="CX230" s="315" t="e">
        <f>IF($J230="",#N/A,SUM(CV$4:CV230,CT$4:CT230,CR$4:CR230))</f>
        <v>#N/A</v>
      </c>
      <c r="CY230" s="304" t="str">
        <f t="shared" si="387"/>
        <v/>
      </c>
      <c r="CZ230" s="313" t="e">
        <f>IF($J230="",#N/A,SUM(CY$4:CY230))</f>
        <v>#N/A</v>
      </c>
      <c r="DA230" s="314" t="str">
        <f t="shared" si="388"/>
        <v/>
      </c>
      <c r="DB230" s="314" t="e">
        <f>IF($J230="",#N/A,SUM(DA$4:DA230))</f>
        <v>#N/A</v>
      </c>
      <c r="DC230" s="315" t="str">
        <f t="shared" si="389"/>
        <v/>
      </c>
      <c r="DD230" s="315" t="e">
        <f>IF($J230="",#N/A,SUM(DC$4:DC230))</f>
        <v>#N/A</v>
      </c>
      <c r="DE230" s="315" t="e">
        <f>IF($J230="",#N/A,SUM(DC$4:DC230,DA$4:DA230,CY$4:CY230))</f>
        <v>#N/A</v>
      </c>
      <c r="DF230" s="304" t="str">
        <f t="shared" si="390"/>
        <v/>
      </c>
      <c r="DG230" s="313" t="e">
        <f>IF($J230="",#N/A,SUM(DF$4:DF230))</f>
        <v>#N/A</v>
      </c>
      <c r="DH230" s="314" t="str">
        <f t="shared" si="391"/>
        <v/>
      </c>
      <c r="DI230" s="314" t="e">
        <f>IF($J230="",#N/A,SUM(DH$4:DH230))</f>
        <v>#N/A</v>
      </c>
      <c r="DJ230" s="315" t="str">
        <f t="shared" si="392"/>
        <v/>
      </c>
      <c r="DK230" s="315" t="e">
        <f>IF($J230="",#N/A,SUM(DJ$4:DJ230))</f>
        <v>#N/A</v>
      </c>
      <c r="DL230" s="315" t="e">
        <f>IF($J230="",#N/A,SUM(DJ$4:DJ230,DH$4:DH230,DF$4:DF230))</f>
        <v>#N/A</v>
      </c>
      <c r="DM230" s="304" t="str">
        <f t="shared" si="393"/>
        <v/>
      </c>
      <c r="DN230" s="313" t="e">
        <f>IF($J230="",#N/A,SUM(DM$4:DM230))</f>
        <v>#N/A</v>
      </c>
      <c r="DO230" s="314" t="str">
        <f t="shared" si="394"/>
        <v/>
      </c>
      <c r="DP230" s="314" t="e">
        <f>IF($J230="",#N/A,SUM(DO$4:DO230))</f>
        <v>#N/A</v>
      </c>
      <c r="DQ230" s="315" t="str">
        <f t="shared" si="395"/>
        <v/>
      </c>
      <c r="DR230" s="315" t="e">
        <f>IF($J230="",#N/A,SUM(DQ$4:DQ230))</f>
        <v>#N/A</v>
      </c>
      <c r="DS230" s="315" t="e">
        <f>IF($J230="",#N/A,SUM(DQ$4:DQ230,DO$4:DO230,DM$4:DM230))</f>
        <v>#N/A</v>
      </c>
      <c r="DT230" s="304" t="str">
        <f t="shared" si="396"/>
        <v/>
      </c>
      <c r="DU230" s="313" t="e">
        <f>IF($J230="",#N/A,SUM(DT$4:DT230))</f>
        <v>#N/A</v>
      </c>
      <c r="DV230" s="314" t="str">
        <f t="shared" si="397"/>
        <v/>
      </c>
      <c r="DW230" s="314" t="e">
        <f>IF($J230="",#N/A,SUM(DV$4:DV230))</f>
        <v>#N/A</v>
      </c>
      <c r="DX230" s="315" t="str">
        <f t="shared" si="398"/>
        <v/>
      </c>
      <c r="DY230" s="315" t="e">
        <f>IF($J230="",#N/A,SUM(DX$4:DX230))</f>
        <v>#N/A</v>
      </c>
      <c r="DZ230" s="315" t="e">
        <f>IF($J230="",#N/A,SUM(DX$4:DX230,DV$4:DV230,DT$4:DT230))</f>
        <v>#N/A</v>
      </c>
      <c r="EA230" s="304" t="str">
        <f t="shared" si="399"/>
        <v/>
      </c>
      <c r="EB230" s="313" t="e">
        <f>IF($J230="",#N/A,SUM(EA$4:EA230))</f>
        <v>#N/A</v>
      </c>
      <c r="EC230" s="314" t="str">
        <f t="shared" si="400"/>
        <v/>
      </c>
      <c r="ED230" s="314" t="e">
        <f>IF($J230="",#N/A,SUM(EC$4:EC230))</f>
        <v>#N/A</v>
      </c>
      <c r="EE230" s="315" t="str">
        <f t="shared" si="401"/>
        <v/>
      </c>
      <c r="EF230" s="315" t="e">
        <f>IF($J230="",#N/A,SUM(EE$4:EE230))</f>
        <v>#N/A</v>
      </c>
      <c r="EG230" s="315" t="e">
        <f>IF($J230="",#N/A,SUM(EE$4:EE230,EC$4:EC230,EA$4:EA230))</f>
        <v>#N/A</v>
      </c>
      <c r="EH230" s="130">
        <f t="shared" si="402"/>
        <v>28.799999999999955</v>
      </c>
      <c r="EI230" s="63">
        <f>IF(EH230="",#N/A,SUM($EH$4:EH230))</f>
        <v>875.61932791382515</v>
      </c>
      <c r="EJ230" s="223" t="e">
        <f t="shared" si="403"/>
        <v>#N/A</v>
      </c>
      <c r="EK230" s="63" t="e">
        <f>IF($GZ230="",#N/A,SUM(EJ$4:EJ230))</f>
        <v>#N/A</v>
      </c>
      <c r="EL230" s="60">
        <f t="shared" si="435"/>
        <v>1.0989010989010974</v>
      </c>
      <c r="EM230" s="60">
        <f>IF(EL230="",NA(),SUM($EL$4:EL230))</f>
        <v>25.067632821240505</v>
      </c>
      <c r="EN230" s="60" t="str">
        <f t="shared" si="404"/>
        <v/>
      </c>
      <c r="EO230" s="60" t="e">
        <f>IF(EN230="",NA(),SUM($EN$4:EN230))</f>
        <v>#N/A</v>
      </c>
      <c r="EP230" s="60" t="str">
        <f t="shared" si="405"/>
        <v/>
      </c>
      <c r="EQ230" s="60" t="e">
        <f>IF(EP230="",NA(),SUM($EP$4:EP230))</f>
        <v>#N/A</v>
      </c>
      <c r="ER230" s="60">
        <f t="shared" si="406"/>
        <v>1.0989010989010974</v>
      </c>
      <c r="ES230" s="60">
        <f>IF(ER230="",NA(),SUM($ER$4:ER230))</f>
        <v>12.282945437845054</v>
      </c>
      <c r="ET230" s="60" t="str">
        <f t="shared" si="407"/>
        <v/>
      </c>
      <c r="EU230" s="60" t="e">
        <f>IF(ET230="",NA(),SUM($ET$4:ET230))</f>
        <v>#N/A</v>
      </c>
      <c r="EV230" s="60" t="str">
        <f t="shared" si="408"/>
        <v/>
      </c>
      <c r="EW230" s="60" t="e">
        <f>IF(EV230="",NA(),SUM($EV$4:EV230))</f>
        <v>#N/A</v>
      </c>
      <c r="EX230" s="60" t="str">
        <f t="shared" si="409"/>
        <v/>
      </c>
      <c r="EY230" s="60" t="e">
        <f>IF(EX230="",NA(),SUM($EX$4:EX230))</f>
        <v>#N/A</v>
      </c>
      <c r="EZ230" s="60" t="str">
        <f t="shared" si="410"/>
        <v/>
      </c>
      <c r="FA230" s="60" t="e">
        <f>IF(EZ230="",NA(),SUM($EZ$4:EZ230))</f>
        <v>#N/A</v>
      </c>
      <c r="FB230" s="246">
        <f t="shared" si="436"/>
        <v>0.58379120879120716</v>
      </c>
      <c r="FC230" s="246">
        <f>IF($FB230="",#N/A,SUM(FB$4:$FB230))</f>
        <v>2.3484409503172072</v>
      </c>
      <c r="FD230" s="60" t="str">
        <f t="shared" si="411"/>
        <v/>
      </c>
      <c r="FE230" s="60" t="e">
        <f>IF($FD230="",#N/A,SUM($FD$4:FD230))</f>
        <v>#N/A</v>
      </c>
      <c r="FF230" s="60" t="str">
        <f t="shared" si="412"/>
        <v/>
      </c>
      <c r="FG230" s="60" t="e">
        <f>IF($FF230="",#N/A,SUM($FF$4:FF230))</f>
        <v>#N/A</v>
      </c>
      <c r="FH230" s="60" t="str">
        <f t="shared" si="413"/>
        <v/>
      </c>
      <c r="FI230" s="60" t="e">
        <f>IF($FH230="",#N/A,SUM($FH$4:FH230))</f>
        <v>#N/A</v>
      </c>
      <c r="FJ230" s="60" t="str">
        <f t="shared" si="414"/>
        <v/>
      </c>
      <c r="FK230" s="60" t="e">
        <f>IF($FJ230="",#N/A,SUM($FJ$4:FJ230))</f>
        <v>#N/A</v>
      </c>
      <c r="FL230" s="60" t="str">
        <f t="shared" si="415"/>
        <v/>
      </c>
      <c r="FM230" s="60" t="e">
        <f>IF($FL230="",#N/A,SUM($FL$4:FL230))</f>
        <v>#N/A</v>
      </c>
      <c r="FN230" s="82">
        <f t="shared" si="416"/>
        <v>1.6826923076923046</v>
      </c>
      <c r="FO230" s="82">
        <f>IF($FN230="",#N/A,SUM(FN$4:$FN230))</f>
        <v>36.449253526243432</v>
      </c>
      <c r="FP230" s="82">
        <f t="shared" si="437"/>
        <v>1.0989010989010974</v>
      </c>
      <c r="FQ230" s="246">
        <f>IF($EH230="",#N/A,SUM($FP$4:FP230))</f>
        <v>34.631070023189125</v>
      </c>
      <c r="FR230" s="82">
        <f>IFERROR(FQ230/COUNTA($J$4:J230),#N/A)</f>
        <v>0.15255977983783756</v>
      </c>
      <c r="FS230" s="82">
        <f t="shared" si="445"/>
        <v>0.17808945623648548</v>
      </c>
      <c r="FT230" s="82">
        <f t="shared" si="446"/>
        <v>0.18067318391136503</v>
      </c>
      <c r="FU230" s="337">
        <f t="shared" si="444"/>
        <v>14.398117217386526</v>
      </c>
      <c r="FV230" s="57" t="str">
        <f t="shared" si="418"/>
        <v>Dwn</v>
      </c>
      <c r="FW230" s="57" t="s">
        <v>2733</v>
      </c>
      <c r="FX230" s="57" t="str">
        <f t="shared" si="419"/>
        <v/>
      </c>
      <c r="FY230" s="57" t="str">
        <f t="shared" si="420"/>
        <v/>
      </c>
      <c r="FZ230" s="57" t="str">
        <f t="shared" si="421"/>
        <v/>
      </c>
      <c r="GA230" s="57" t="str">
        <f t="shared" si="422"/>
        <v>Short</v>
      </c>
      <c r="GB230" s="57">
        <f t="shared" si="423"/>
        <v>1</v>
      </c>
      <c r="GC230" s="57" t="str">
        <f t="shared" si="424"/>
        <v/>
      </c>
      <c r="GD230" s="57" t="str">
        <f t="shared" si="425"/>
        <v/>
      </c>
      <c r="GE230" s="62">
        <f t="shared" si="339"/>
        <v>72.8</v>
      </c>
      <c r="GF230" s="62" t="s">
        <v>2780</v>
      </c>
      <c r="GG230" s="199">
        <v>6</v>
      </c>
      <c r="GH230" s="207">
        <f t="shared" si="426"/>
        <v>436.79999999999995</v>
      </c>
      <c r="GI230" s="199">
        <v>6</v>
      </c>
      <c r="GJ230" s="200">
        <v>68</v>
      </c>
      <c r="GK230" s="63">
        <f t="shared" si="427"/>
        <v>28.799999999999955</v>
      </c>
      <c r="GL230" s="63">
        <f t="shared" si="340"/>
        <v>44.099999999999909</v>
      </c>
      <c r="GM230" s="82" t="str">
        <f t="shared" si="428"/>
        <v/>
      </c>
      <c r="GN230" s="82">
        <f>IF($GZ230="",#N/A,SUM(GM$4:GM230))</f>
        <v>-0.19159368637264962</v>
      </c>
      <c r="GO230" s="82" t="str">
        <f t="shared" si="429"/>
        <v/>
      </c>
      <c r="GP230" s="82">
        <f>IF($GZ230="",#N/A,SUM(GO$4:GO230))</f>
        <v>11.527012625134297</v>
      </c>
      <c r="GQ230" s="82">
        <f t="shared" si="430"/>
        <v>1.6826923076923046</v>
      </c>
      <c r="GR230" s="82">
        <f>IF($GZ230="",#N/A,SUM(GQ$4:GQ230))</f>
        <v>24.487997633039441</v>
      </c>
      <c r="GS230" s="63" t="str">
        <f t="shared" si="438"/>
        <v/>
      </c>
      <c r="GT230" s="63" t="e">
        <f>IF($GZ230="",#N/A,SUM(GS$4:GS230))</f>
        <v>#N/A</v>
      </c>
      <c r="GU230" s="63" t="str">
        <f t="shared" si="439"/>
        <v/>
      </c>
      <c r="GV230" s="63" t="e">
        <f>IF($GZ230="",#N/A,SUM(GU$4:GU230))</f>
        <v>#N/A</v>
      </c>
      <c r="GW230" s="63" t="e">
        <f t="shared" si="440"/>
        <v>#N/A</v>
      </c>
      <c r="GX230" s="63" t="e">
        <f>IF($GZ230="",#N/A,SUM(GW$4:GW230))</f>
        <v>#N/A</v>
      </c>
      <c r="GY230" s="63" t="e">
        <f>IF(EJ230="",#N/A,SUM($EJ$4:EJ230))</f>
        <v>#N/A</v>
      </c>
      <c r="GZ230" s="159">
        <v>65.45</v>
      </c>
      <c r="HA230" s="63">
        <f t="shared" si="431"/>
        <v>15.299999999999955</v>
      </c>
      <c r="HB230" s="62" t="s">
        <v>2538</v>
      </c>
      <c r="HC230" s="60">
        <f>IFERROR(VLOOKUP(E230,Expectancy!$P$4:$S$19,1+C230,FALSE),"")</f>
        <v>0.18997806194873415</v>
      </c>
      <c r="HD230" s="82">
        <f t="shared" si="432"/>
        <v>1.0989010989010974</v>
      </c>
      <c r="HE230" s="138">
        <f>IF(HD230="",#N/A,SUM($HD$4:HD230))</f>
        <v>5.7029528058026004</v>
      </c>
      <c r="HF230" s="85">
        <f>IF(HD230="",#N/A,IF(HB230="Skip",#N/A,SUM($HG$4:HG230)))</f>
        <v>169.85156919911446</v>
      </c>
      <c r="HG230" s="63">
        <f t="shared" si="433"/>
        <v>28.799999999999955</v>
      </c>
      <c r="HH230" s="82">
        <f t="shared" si="434"/>
        <v>1.6826923076923046</v>
      </c>
    </row>
    <row r="231" spans="1:216" x14ac:dyDescent="0.25">
      <c r="A231" s="57" t="s">
        <v>791</v>
      </c>
      <c r="B231" s="58" t="s">
        <v>5222</v>
      </c>
      <c r="C231" s="386">
        <f t="shared" si="343"/>
        <v>1</v>
      </c>
      <c r="D231" s="372" t="str">
        <f>_xlfn.XLOOKUP(A231,[1]SP500!$A$2:$A$502,[1]SP500!$D$2:$D$502,"N")</f>
        <v>Y</v>
      </c>
      <c r="E231" s="57" t="str">
        <f>_xlfn.XLOOKUP(A231,[1]SP500!$A$2:$A$655,[1]SP500!$B$2:$B$655)</f>
        <v>XLC</v>
      </c>
      <c r="F231" s="59">
        <v>45693</v>
      </c>
      <c r="G231" s="57" t="str">
        <f t="shared" si="344"/>
        <v>AMC</v>
      </c>
      <c r="H231" s="57" t="str">
        <f t="shared" si="345"/>
        <v>s</v>
      </c>
      <c r="I231" s="159">
        <v>33.24</v>
      </c>
      <c r="J231" s="159">
        <v>34.97</v>
      </c>
      <c r="K231" s="61">
        <f t="shared" si="346"/>
        <v>5.2045728038507724E-2</v>
      </c>
      <c r="L231" s="87">
        <f t="shared" si="347"/>
        <v>22.490000000000009</v>
      </c>
      <c r="M231" s="130">
        <f t="shared" si="338"/>
        <v>0</v>
      </c>
      <c r="N231" s="169">
        <f t="shared" si="348"/>
        <v>22.490000000000009</v>
      </c>
      <c r="O231" s="169">
        <f>IF($J231="",#N/A,SUM($N$4:N231))</f>
        <v>297.23492601211706</v>
      </c>
      <c r="P231" s="174" t="str">
        <f t="shared" si="349"/>
        <v/>
      </c>
      <c r="Q231" s="174">
        <f>IF($J231="",#N/A,SUM($P$4:P231))</f>
        <v>500.25776401603673</v>
      </c>
      <c r="R231" s="178" t="str">
        <f t="shared" si="350"/>
        <v/>
      </c>
      <c r="S231" s="178">
        <f>IF($J231="",#N/A,SUM($R$4:R231))</f>
        <v>100.61663788567108</v>
      </c>
      <c r="T231" s="290">
        <f t="shared" si="351"/>
        <v>0.86742880064179739</v>
      </c>
      <c r="U231" s="290">
        <f>IF($J231="",#N/A,SUM($T$4:T231))</f>
        <v>10.712061678440325</v>
      </c>
      <c r="V231" s="291" t="str">
        <f t="shared" si="352"/>
        <v/>
      </c>
      <c r="W231" s="291">
        <f>IF($J231="",#N/A,SUM($V$4:V231))</f>
        <v>20.817432735220152</v>
      </c>
      <c r="X231" s="292" t="str">
        <f t="shared" si="353"/>
        <v/>
      </c>
      <c r="Y231" s="292">
        <f>IF($J231="",#N/A,SUM($X$4:X231))</f>
        <v>3.9690044101704491</v>
      </c>
      <c r="Z231" s="304" t="str">
        <f t="shared" si="354"/>
        <v/>
      </c>
      <c r="AA231" s="313" t="e">
        <f>IF($J231="",#N/A,SUM(Z$4:Z231))</f>
        <v>#N/A</v>
      </c>
      <c r="AB231" s="314" t="str">
        <f t="shared" si="355"/>
        <v/>
      </c>
      <c r="AC231" s="314" t="e">
        <f>IF($J231="",#N/A,SUM(AB$4:AB231))</f>
        <v>#N/A</v>
      </c>
      <c r="AD231" s="315" t="str">
        <f t="shared" si="356"/>
        <v/>
      </c>
      <c r="AE231" s="315" t="e">
        <f>IF($J231="",#N/A,SUM(AD$4:AD231))</f>
        <v>#N/A</v>
      </c>
      <c r="AF231" s="315" t="e">
        <f>IF($J231="",#N/A,SUM(AD$4:AD231,AB$4:AB231,Z$4:Z231))</f>
        <v>#N/A</v>
      </c>
      <c r="AG231" s="304" t="str">
        <f t="shared" si="357"/>
        <v/>
      </c>
      <c r="AH231" s="313" t="e">
        <f>IF($J231="",#N/A,SUM(AG$4:AG231))</f>
        <v>#N/A</v>
      </c>
      <c r="AI231" s="314" t="str">
        <f t="shared" si="358"/>
        <v/>
      </c>
      <c r="AJ231" s="314" t="e">
        <f>IF($J231="",#N/A,SUM(AI$4:AI231))</f>
        <v>#N/A</v>
      </c>
      <c r="AK231" s="315" t="str">
        <f t="shared" si="359"/>
        <v/>
      </c>
      <c r="AL231" s="315" t="e">
        <f>IF($J231="",#N/A,SUM(AK$4:AK231))</f>
        <v>#N/A</v>
      </c>
      <c r="AM231" s="315" t="e">
        <f>IF($J231="",#N/A,SUM(AK$4:AK231,AI$4:AI231,AG$4:AG231))</f>
        <v>#N/A</v>
      </c>
      <c r="AN231" s="304" t="str">
        <f t="shared" si="360"/>
        <v/>
      </c>
      <c r="AO231" s="313" t="e">
        <f>IF($J231="",#N/A,SUM(AN$4:AN231))</f>
        <v>#N/A</v>
      </c>
      <c r="AP231" s="314" t="str">
        <f t="shared" si="361"/>
        <v/>
      </c>
      <c r="AQ231" s="314" t="e">
        <f>IF($J231="",#N/A,SUM(AP$4:AP231))</f>
        <v>#N/A</v>
      </c>
      <c r="AR231" s="315" t="str">
        <f t="shared" si="362"/>
        <v/>
      </c>
      <c r="AS231" s="315" t="e">
        <f>IF($J231="",#N/A,SUM(AR$4:AR231))</f>
        <v>#N/A</v>
      </c>
      <c r="AT231" s="315" t="e">
        <f>IF($J231="",#N/A,SUM(AR$4:AR231,AP$4:AP231,AN$4:AN231))</f>
        <v>#N/A</v>
      </c>
      <c r="AU231" s="304" t="str">
        <f t="shared" si="363"/>
        <v/>
      </c>
      <c r="AV231" s="313" t="e">
        <f>IF($J231="",#N/A,SUM(AU$4:AU231))</f>
        <v>#N/A</v>
      </c>
      <c r="AW231" s="314" t="str">
        <f t="shared" si="364"/>
        <v/>
      </c>
      <c r="AX231" s="314" t="e">
        <f>IF($J231="",#N/A,SUM(AW$4:AW231))</f>
        <v>#N/A</v>
      </c>
      <c r="AY231" s="315" t="str">
        <f t="shared" si="365"/>
        <v/>
      </c>
      <c r="AZ231" s="315" t="e">
        <f>IF($J231="",#N/A,SUM(AY$4:AY231))</f>
        <v>#N/A</v>
      </c>
      <c r="BA231" s="315" t="e">
        <f>IF($J231="",#N/A,SUM(AY$4:AY231,AW$4:AW231,AU$4:AU231))</f>
        <v>#N/A</v>
      </c>
      <c r="BB231" s="304">
        <f t="shared" si="366"/>
        <v>0.86742880064179739</v>
      </c>
      <c r="BC231" s="313" t="e">
        <f>IF($J231="",#N/A,SUM(BB$4:BB231))</f>
        <v>#N/A</v>
      </c>
      <c r="BD231" s="314" t="str">
        <f t="shared" si="367"/>
        <v/>
      </c>
      <c r="BE231" s="314" t="e">
        <f>IF($J231="",#N/A,SUM(BD$4:BD231))</f>
        <v>#N/A</v>
      </c>
      <c r="BF231" s="315" t="str">
        <f t="shared" si="368"/>
        <v/>
      </c>
      <c r="BG231" s="315" t="e">
        <f>IF($J231="",#N/A,SUM(BF$4:BF231))</f>
        <v>#N/A</v>
      </c>
      <c r="BH231" s="315" t="e">
        <f>IF($J231="",#N/A,SUM(BF$4:BF231,BD$4:BD231,BB$4:BB231))</f>
        <v>#N/A</v>
      </c>
      <c r="BI231" s="304" t="str">
        <f t="shared" si="369"/>
        <v/>
      </c>
      <c r="BJ231" s="313" t="e">
        <f>IF($J231="",#N/A,SUM(BI$4:BI231))</f>
        <v>#N/A</v>
      </c>
      <c r="BK231" s="314" t="str">
        <f t="shared" si="370"/>
        <v/>
      </c>
      <c r="BL231" s="314" t="e">
        <f>IF($J231="",#N/A,SUM(BK$4:BK231))</f>
        <v>#N/A</v>
      </c>
      <c r="BM231" s="315" t="str">
        <f t="shared" si="371"/>
        <v/>
      </c>
      <c r="BN231" s="315" t="e">
        <f>IF($J231="",#N/A,SUM(BM$4:BM231))</f>
        <v>#N/A</v>
      </c>
      <c r="BO231" s="315" t="e">
        <f>IF($J231="",#N/A,SUM(BM$4:BM231,BK$4:BK231,BI$4:BI231))</f>
        <v>#N/A</v>
      </c>
      <c r="BP231" s="304" t="str">
        <f t="shared" si="372"/>
        <v/>
      </c>
      <c r="BQ231" s="313" t="e">
        <f>IF($J231="",#N/A,SUM(BP$4:BP231))</f>
        <v>#N/A</v>
      </c>
      <c r="BR231" s="314" t="str">
        <f t="shared" si="373"/>
        <v/>
      </c>
      <c r="BS231" s="314" t="e">
        <f>IF($J231="",#N/A,SUM(BR$4:BR231))</f>
        <v>#N/A</v>
      </c>
      <c r="BT231" s="315" t="str">
        <f t="shared" si="374"/>
        <v/>
      </c>
      <c r="BU231" s="315" t="e">
        <f>IF($J231="",#N/A,SUM(BT$4:BT231))</f>
        <v>#N/A</v>
      </c>
      <c r="BV231" s="315" t="e">
        <f>IF($J231="",#N/A,SUM(BT$4:BT231,BR$4:BR231,BP$4:BP231))</f>
        <v>#N/A</v>
      </c>
      <c r="BW231" s="304" t="str">
        <f t="shared" si="375"/>
        <v/>
      </c>
      <c r="BX231" s="313" t="e">
        <f>IF($J231="",#N/A,SUM(BW$4:BW231))</f>
        <v>#N/A</v>
      </c>
      <c r="BY231" s="314" t="str">
        <f t="shared" si="376"/>
        <v/>
      </c>
      <c r="BZ231" s="314" t="e">
        <f>IF($J231="",#N/A,SUM(BY$4:BY231))</f>
        <v>#N/A</v>
      </c>
      <c r="CA231" s="315" t="str">
        <f t="shared" si="377"/>
        <v/>
      </c>
      <c r="CB231" s="315" t="e">
        <f>IF($J231="",#N/A,SUM(CA$4:CA231))</f>
        <v>#N/A</v>
      </c>
      <c r="CC231" s="315" t="e">
        <f>IF($J231="",#N/A,SUM(CA$4:CA231,BY$4:BY231,BW$4:BW231))</f>
        <v>#N/A</v>
      </c>
      <c r="CD231" s="304" t="str">
        <f t="shared" si="378"/>
        <v/>
      </c>
      <c r="CE231" s="313" t="e">
        <f>IF($J231="",#N/A,SUM(CD$4:CD231))</f>
        <v>#N/A</v>
      </c>
      <c r="CF231" s="314" t="str">
        <f t="shared" si="379"/>
        <v/>
      </c>
      <c r="CG231" s="314" t="e">
        <f>IF($J231="",#N/A,SUM(CF$4:CF231))</f>
        <v>#N/A</v>
      </c>
      <c r="CH231" s="315" t="str">
        <f t="shared" si="380"/>
        <v/>
      </c>
      <c r="CI231" s="315" t="e">
        <f>IF($J231="",#N/A,SUM(CH$4:CH231))</f>
        <v>#N/A</v>
      </c>
      <c r="CJ231" s="315" t="e">
        <f>IF($J231="",#N/A,SUM(CH$4:CH231,CF$4:CF231,CD$4:CD231))</f>
        <v>#N/A</v>
      </c>
      <c r="CK231" s="304" t="str">
        <f t="shared" si="381"/>
        <v/>
      </c>
      <c r="CL231" s="313" t="e">
        <f>IF($J231="",#N/A,SUM(CK$4:CK231))</f>
        <v>#N/A</v>
      </c>
      <c r="CM231" s="314" t="str">
        <f t="shared" si="382"/>
        <v/>
      </c>
      <c r="CN231" s="314" t="e">
        <f>IF($J231="",#N/A,SUM(CM$4:CM231))</f>
        <v>#N/A</v>
      </c>
      <c r="CO231" s="315" t="str">
        <f t="shared" si="383"/>
        <v/>
      </c>
      <c r="CP231" s="315" t="e">
        <f>IF($J231="",#N/A,SUM(CO$4:CO231))</f>
        <v>#N/A</v>
      </c>
      <c r="CQ231" s="315" t="e">
        <f>IF($J231="",#N/A,SUM(CO$4:CO231,CM$4:CM231,CK$4:CK231))</f>
        <v>#N/A</v>
      </c>
      <c r="CR231" s="304" t="str">
        <f t="shared" si="384"/>
        <v/>
      </c>
      <c r="CS231" s="313" t="e">
        <f>IF($J231="",#N/A,SUM(CR$4:CR231))</f>
        <v>#N/A</v>
      </c>
      <c r="CT231" s="314" t="str">
        <f t="shared" si="385"/>
        <v/>
      </c>
      <c r="CU231" s="314" t="e">
        <f>IF($J231="",#N/A,SUM(CT$4:CT231))</f>
        <v>#N/A</v>
      </c>
      <c r="CV231" s="315" t="str">
        <f t="shared" si="386"/>
        <v/>
      </c>
      <c r="CW231" s="315" t="e">
        <f>IF($J231="",#N/A,SUM(CV$4:CV231))</f>
        <v>#N/A</v>
      </c>
      <c r="CX231" s="315" t="e">
        <f>IF($J231="",#N/A,SUM(CV$4:CV231,CT$4:CT231,CR$4:CR231))</f>
        <v>#N/A</v>
      </c>
      <c r="CY231" s="304" t="str">
        <f t="shared" si="387"/>
        <v/>
      </c>
      <c r="CZ231" s="313" t="e">
        <f>IF($J231="",#N/A,SUM(CY$4:CY231))</f>
        <v>#N/A</v>
      </c>
      <c r="DA231" s="314" t="str">
        <f t="shared" si="388"/>
        <v/>
      </c>
      <c r="DB231" s="314" t="e">
        <f>IF($J231="",#N/A,SUM(DA$4:DA231))</f>
        <v>#N/A</v>
      </c>
      <c r="DC231" s="315" t="str">
        <f t="shared" si="389"/>
        <v/>
      </c>
      <c r="DD231" s="315" t="e">
        <f>IF($J231="",#N/A,SUM(DC$4:DC231))</f>
        <v>#N/A</v>
      </c>
      <c r="DE231" s="315" t="e">
        <f>IF($J231="",#N/A,SUM(DC$4:DC231,DA$4:DA231,CY$4:CY231))</f>
        <v>#N/A</v>
      </c>
      <c r="DF231" s="304" t="str">
        <f t="shared" si="390"/>
        <v/>
      </c>
      <c r="DG231" s="313" t="e">
        <f>IF($J231="",#N/A,SUM(DF$4:DF231))</f>
        <v>#N/A</v>
      </c>
      <c r="DH231" s="314" t="str">
        <f t="shared" si="391"/>
        <v/>
      </c>
      <c r="DI231" s="314" t="e">
        <f>IF($J231="",#N/A,SUM(DH$4:DH231))</f>
        <v>#N/A</v>
      </c>
      <c r="DJ231" s="315" t="str">
        <f t="shared" si="392"/>
        <v/>
      </c>
      <c r="DK231" s="315" t="e">
        <f>IF($J231="",#N/A,SUM(DJ$4:DJ231))</f>
        <v>#N/A</v>
      </c>
      <c r="DL231" s="315" t="e">
        <f>IF($J231="",#N/A,SUM(DJ$4:DJ231,DH$4:DH231,DF$4:DF231))</f>
        <v>#N/A</v>
      </c>
      <c r="DM231" s="304" t="str">
        <f t="shared" si="393"/>
        <v/>
      </c>
      <c r="DN231" s="313" t="e">
        <f>IF($J231="",#N/A,SUM(DM$4:DM231))</f>
        <v>#N/A</v>
      </c>
      <c r="DO231" s="314" t="str">
        <f t="shared" si="394"/>
        <v/>
      </c>
      <c r="DP231" s="314" t="e">
        <f>IF($J231="",#N/A,SUM(DO$4:DO231))</f>
        <v>#N/A</v>
      </c>
      <c r="DQ231" s="315" t="str">
        <f t="shared" si="395"/>
        <v/>
      </c>
      <c r="DR231" s="315" t="e">
        <f>IF($J231="",#N/A,SUM(DQ$4:DQ231))</f>
        <v>#N/A</v>
      </c>
      <c r="DS231" s="315" t="e">
        <f>IF($J231="",#N/A,SUM(DQ$4:DQ231,DO$4:DO231,DM$4:DM231))</f>
        <v>#N/A</v>
      </c>
      <c r="DT231" s="304" t="str">
        <f t="shared" si="396"/>
        <v/>
      </c>
      <c r="DU231" s="313" t="e">
        <f>IF($J231="",#N/A,SUM(DT$4:DT231))</f>
        <v>#N/A</v>
      </c>
      <c r="DV231" s="314" t="str">
        <f t="shared" si="397"/>
        <v/>
      </c>
      <c r="DW231" s="314" t="e">
        <f>IF($J231="",#N/A,SUM(DV$4:DV231))</f>
        <v>#N/A</v>
      </c>
      <c r="DX231" s="315" t="str">
        <f t="shared" si="398"/>
        <v/>
      </c>
      <c r="DY231" s="315" t="e">
        <f>IF($J231="",#N/A,SUM(DX$4:DX231))</f>
        <v>#N/A</v>
      </c>
      <c r="DZ231" s="315" t="e">
        <f>IF($J231="",#N/A,SUM(DX$4:DX231,DV$4:DV231,DT$4:DT231))</f>
        <v>#N/A</v>
      </c>
      <c r="EA231" s="304" t="str">
        <f t="shared" si="399"/>
        <v/>
      </c>
      <c r="EB231" s="313" t="e">
        <f>IF($J231="",#N/A,SUM(EA$4:EA231))</f>
        <v>#N/A</v>
      </c>
      <c r="EC231" s="314" t="str">
        <f t="shared" si="400"/>
        <v/>
      </c>
      <c r="ED231" s="314" t="e">
        <f>IF($J231="",#N/A,SUM(EC$4:EC231))</f>
        <v>#N/A</v>
      </c>
      <c r="EE231" s="315" t="str">
        <f t="shared" si="401"/>
        <v/>
      </c>
      <c r="EF231" s="315" t="e">
        <f>IF($J231="",#N/A,SUM(EE$4:EE231))</f>
        <v>#N/A</v>
      </c>
      <c r="EG231" s="315" t="e">
        <f>IF($J231="",#N/A,SUM(EE$4:EE231,EC$4:EC231,EA$4:EA231))</f>
        <v>#N/A</v>
      </c>
      <c r="EH231" s="130">
        <f t="shared" si="402"/>
        <v>22.490000000000009</v>
      </c>
      <c r="EI231" s="63">
        <f>IF(EH231="",#N/A,SUM($EH$4:EH231))</f>
        <v>898.10932791382515</v>
      </c>
      <c r="EJ231" s="223" t="e">
        <f t="shared" si="403"/>
        <v>#N/A</v>
      </c>
      <c r="EK231" s="63" t="e">
        <f>IF($GZ231="",#N/A,SUM(EJ$4:EJ231))</f>
        <v>#N/A</v>
      </c>
      <c r="EL231" s="60">
        <f t="shared" si="435"/>
        <v>0.86742880064179739</v>
      </c>
      <c r="EM231" s="60">
        <f>IF(EL231="",NA(),SUM($EL$4:EL231))</f>
        <v>25.935061621882301</v>
      </c>
      <c r="EN231" s="60">
        <f t="shared" si="404"/>
        <v>0.86742880064179739</v>
      </c>
      <c r="EO231" s="60">
        <f>IF(EN231="",NA(),SUM($EN$4:EN231))</f>
        <v>8.7553548537895995</v>
      </c>
      <c r="EP231" s="60" t="str">
        <f t="shared" si="405"/>
        <v/>
      </c>
      <c r="EQ231" s="60" t="e">
        <f>IF(EP231="",NA(),SUM($EP$4:EP231))</f>
        <v>#N/A</v>
      </c>
      <c r="ER231" s="60" t="str">
        <f t="shared" si="406"/>
        <v/>
      </c>
      <c r="ES231" s="60" t="e">
        <f>IF(ER231="",NA(),SUM($ER$4:ER231))</f>
        <v>#N/A</v>
      </c>
      <c r="ET231" s="60" t="str">
        <f t="shared" si="407"/>
        <v/>
      </c>
      <c r="EU231" s="60" t="e">
        <f>IF(ET231="",NA(),SUM($ET$4:ET231))</f>
        <v>#N/A</v>
      </c>
      <c r="EV231" s="60" t="str">
        <f t="shared" si="408"/>
        <v/>
      </c>
      <c r="EW231" s="60" t="e">
        <f>IF(EV231="",NA(),SUM($EV$4:EV231))</f>
        <v>#N/A</v>
      </c>
      <c r="EX231" s="60" t="str">
        <f t="shared" si="409"/>
        <v/>
      </c>
      <c r="EY231" s="60" t="e">
        <f>IF(EX231="",NA(),SUM($EX$4:EX231))</f>
        <v>#N/A</v>
      </c>
      <c r="EZ231" s="60" t="str">
        <f t="shared" si="410"/>
        <v/>
      </c>
      <c r="FA231" s="60" t="e">
        <f>IF(EZ231="",NA(),SUM($EZ$4:EZ231))</f>
        <v>#N/A</v>
      </c>
      <c r="FB231" s="246" t="str">
        <f t="shared" si="436"/>
        <v/>
      </c>
      <c r="FC231" s="246" t="e">
        <f>IF($FB231="",#N/A,SUM(FB$4:$FB231))</f>
        <v>#N/A</v>
      </c>
      <c r="FD231" s="60" t="str">
        <f t="shared" si="411"/>
        <v/>
      </c>
      <c r="FE231" s="60" t="e">
        <f>IF($FD231="",#N/A,SUM($FD$4:FD231))</f>
        <v>#N/A</v>
      </c>
      <c r="FF231" s="60">
        <f t="shared" si="412"/>
        <v>-1.0078219013237062</v>
      </c>
      <c r="FG231" s="60">
        <f>IF($FF231="",#N/A,SUM($FF$4:FF231))</f>
        <v>-1.3268633773626801</v>
      </c>
      <c r="FH231" s="60" t="str">
        <f t="shared" si="413"/>
        <v/>
      </c>
      <c r="FI231" s="60" t="e">
        <f>IF($FH231="",#N/A,SUM($FH$4:FH231))</f>
        <v>#N/A</v>
      </c>
      <c r="FJ231" s="60" t="str">
        <f t="shared" si="414"/>
        <v/>
      </c>
      <c r="FK231" s="60" t="e">
        <f>IF($FJ231="",#N/A,SUM($FJ$4:FJ231))</f>
        <v>#N/A</v>
      </c>
      <c r="FL231" s="60" t="str">
        <f t="shared" si="415"/>
        <v/>
      </c>
      <c r="FM231" s="60" t="e">
        <f>IF($FL231="",#N/A,SUM($FL$4:FL231))</f>
        <v>#N/A</v>
      </c>
      <c r="FN231" s="82">
        <f t="shared" si="416"/>
        <v>-0.14039310068190883</v>
      </c>
      <c r="FO231" s="82">
        <f>IF($FN231="",#N/A,SUM(FN$4:$FN231))</f>
        <v>36.308860425561519</v>
      </c>
      <c r="FP231" s="82">
        <f t="shared" si="437"/>
        <v>0.86742880064179739</v>
      </c>
      <c r="FQ231" s="246">
        <f>IF($EH231="",#N/A,SUM($FP$4:FP231))</f>
        <v>35.498498823830921</v>
      </c>
      <c r="FR231" s="82">
        <f>IFERROR(FQ231/COUNTA($J$4:J231),#N/A)</f>
        <v>0.15569517027996019</v>
      </c>
      <c r="FS231" s="82">
        <f t="shared" si="445"/>
        <v>0.17380052957822517</v>
      </c>
      <c r="FT231" s="82">
        <f t="shared" si="446"/>
        <v>0.2439044083455707</v>
      </c>
      <c r="FU231" s="337">
        <f t="shared" si="444"/>
        <v>14.398117217386522</v>
      </c>
      <c r="FV231" s="57" t="str">
        <f t="shared" si="418"/>
        <v>Up</v>
      </c>
      <c r="FW231" s="57" t="s">
        <v>2733</v>
      </c>
      <c r="FX231" s="57">
        <f t="shared" si="419"/>
        <v>1</v>
      </c>
      <c r="FY231" s="57" t="str">
        <f t="shared" si="420"/>
        <v/>
      </c>
      <c r="FZ231" s="57" t="str">
        <f t="shared" si="421"/>
        <v/>
      </c>
      <c r="GA231" s="57" t="str">
        <f t="shared" si="422"/>
        <v>Long</v>
      </c>
      <c r="GB231" s="57" t="str">
        <f t="shared" si="423"/>
        <v/>
      </c>
      <c r="GC231" s="57" t="str">
        <f t="shared" si="424"/>
        <v/>
      </c>
      <c r="GD231" s="57" t="str">
        <f t="shared" si="425"/>
        <v/>
      </c>
      <c r="GE231" s="62">
        <f t="shared" si="339"/>
        <v>33.24</v>
      </c>
      <c r="GF231" s="62" t="s">
        <v>2779</v>
      </c>
      <c r="GG231" s="199">
        <v>13</v>
      </c>
      <c r="GH231" s="207">
        <f t="shared" si="426"/>
        <v>432.12</v>
      </c>
      <c r="GI231" s="199">
        <v>13</v>
      </c>
      <c r="GJ231" s="200">
        <v>34.97</v>
      </c>
      <c r="GK231" s="63">
        <f t="shared" si="427"/>
        <v>22.490000000000009</v>
      </c>
      <c r="GL231" s="63">
        <f t="shared" si="340"/>
        <v>-3.6399999999999864</v>
      </c>
      <c r="GM231" s="82" t="str">
        <f t="shared" si="428"/>
        <v/>
      </c>
      <c r="GN231" s="82">
        <f>IF($GZ231="",#N/A,SUM(GM$4:GM231))</f>
        <v>-0.19159368637264962</v>
      </c>
      <c r="GO231" s="82">
        <f t="shared" si="429"/>
        <v>-0.14039310068190883</v>
      </c>
      <c r="GP231" s="82">
        <f>IF($GZ231="",#N/A,SUM(GO$4:GO231))</f>
        <v>11.386619524452389</v>
      </c>
      <c r="GQ231" s="82" t="str">
        <f t="shared" si="430"/>
        <v/>
      </c>
      <c r="GR231" s="82">
        <f>IF($GZ231="",#N/A,SUM(GQ$4:GQ231))</f>
        <v>24.487997633039441</v>
      </c>
      <c r="GS231" s="63" t="str">
        <f t="shared" si="438"/>
        <v/>
      </c>
      <c r="GT231" s="63" t="e">
        <f>IF($GZ231="",#N/A,SUM(GS$4:GS231))</f>
        <v>#N/A</v>
      </c>
      <c r="GU231" s="63" t="e">
        <f t="shared" si="439"/>
        <v>#N/A</v>
      </c>
      <c r="GV231" s="63" t="e">
        <f>IF($GZ231="",#N/A,SUM(GU$4:GU231))</f>
        <v>#N/A</v>
      </c>
      <c r="GW231" s="63" t="str">
        <f t="shared" si="440"/>
        <v/>
      </c>
      <c r="GX231" s="63" t="e">
        <f>IF($GZ231="",#N/A,SUM(GW$4:GW231))</f>
        <v>#N/A</v>
      </c>
      <c r="GY231" s="63" t="e">
        <f>IF(EJ231="",#N/A,SUM($EJ$4:EJ231))</f>
        <v>#N/A</v>
      </c>
      <c r="GZ231" s="159">
        <v>32.96</v>
      </c>
      <c r="HA231" s="63">
        <f t="shared" si="431"/>
        <v>-26.129999999999995</v>
      </c>
      <c r="HB231" s="62" t="s">
        <v>2538</v>
      </c>
      <c r="HC231" s="60">
        <f>IFERROR(VLOOKUP(E231,Expectancy!$P$4:$S$19,1+C231,FALSE),"")</f>
        <v>0.43526476867969371</v>
      </c>
      <c r="HD231" s="82">
        <f t="shared" si="432"/>
        <v>0.86742880064179739</v>
      </c>
      <c r="HE231" s="138">
        <f>IF(HD231="",#N/A,SUM($HD$4:HD231))</f>
        <v>6.5703816064443981</v>
      </c>
      <c r="HF231" s="85">
        <f>IF(HD231="",#N/A,IF(HB231="Skip",#N/A,SUM($HG$4:HG231)))</f>
        <v>192.34156919911447</v>
      </c>
      <c r="HG231" s="63">
        <f t="shared" si="433"/>
        <v>22.490000000000009</v>
      </c>
      <c r="HH231" s="82">
        <f t="shared" si="434"/>
        <v>-0.14039310068190883</v>
      </c>
    </row>
    <row r="232" spans="1:216" x14ac:dyDescent="0.25">
      <c r="A232" s="57" t="s">
        <v>1559</v>
      </c>
      <c r="B232" s="58" t="s">
        <v>5222</v>
      </c>
      <c r="C232" s="386">
        <f t="shared" si="343"/>
        <v>2</v>
      </c>
      <c r="D232" s="372" t="str">
        <f>_xlfn.XLOOKUP(A232,[1]SP500!$A$2:$A$502,[1]SP500!$D$2:$D$502,"N")</f>
        <v>Y</v>
      </c>
      <c r="E232" s="57" t="str">
        <f>_xlfn.XLOOKUP(A232,[1]SP500!$A$2:$A$655,[1]SP500!$B$2:$B$655)</f>
        <v>XLV</v>
      </c>
      <c r="F232" s="59">
        <v>45693</v>
      </c>
      <c r="G232" s="57" t="str">
        <f t="shared" si="344"/>
        <v>AMC</v>
      </c>
      <c r="H232" s="57" t="str">
        <f t="shared" si="345"/>
        <v>s</v>
      </c>
      <c r="I232" s="159">
        <v>317.01</v>
      </c>
      <c r="J232" s="159">
        <v>287.08999999999997</v>
      </c>
      <c r="K232" s="61">
        <f t="shared" si="346"/>
        <v>-9.4381880697769843E-2</v>
      </c>
      <c r="L232" s="87">
        <f t="shared" si="347"/>
        <v>29.920000000000016</v>
      </c>
      <c r="M232" s="130">
        <f t="shared" si="338"/>
        <v>1.7799999999999727</v>
      </c>
      <c r="N232" s="169" t="str">
        <f t="shared" si="348"/>
        <v/>
      </c>
      <c r="O232" s="169">
        <f>IF($J232="",#N/A,SUM($N$4:N232))</f>
        <v>297.23492601211706</v>
      </c>
      <c r="P232" s="174">
        <f t="shared" si="349"/>
        <v>29.920000000000016</v>
      </c>
      <c r="Q232" s="174">
        <f>IF($J232="",#N/A,SUM($P$4:P232))</f>
        <v>530.17776401603669</v>
      </c>
      <c r="R232" s="178" t="str">
        <f t="shared" si="350"/>
        <v/>
      </c>
      <c r="S232" s="178">
        <f>IF($J232="",#N/A,SUM($R$4:R232))</f>
        <v>100.61663788567108</v>
      </c>
      <c r="T232" s="290" t="str">
        <f t="shared" si="351"/>
        <v/>
      </c>
      <c r="U232" s="290">
        <f>IF($J232="",#N/A,SUM($T$4:T232))</f>
        <v>10.712061678440325</v>
      </c>
      <c r="V232" s="291">
        <f t="shared" si="352"/>
        <v>1.5730313449628308</v>
      </c>
      <c r="W232" s="291">
        <f>IF($J232="",#N/A,SUM($V$4:V232))</f>
        <v>22.390464080182984</v>
      </c>
      <c r="X232" s="292" t="str">
        <f t="shared" si="353"/>
        <v/>
      </c>
      <c r="Y232" s="292">
        <f>IF($J232="",#N/A,SUM($X$4:X232))</f>
        <v>3.9690044101704491</v>
      </c>
      <c r="Z232" s="304" t="str">
        <f t="shared" si="354"/>
        <v/>
      </c>
      <c r="AA232" s="313" t="e">
        <f>IF($J232="",#N/A,SUM(Z$4:Z232))</f>
        <v>#N/A</v>
      </c>
      <c r="AB232" s="314" t="str">
        <f t="shared" si="355"/>
        <v/>
      </c>
      <c r="AC232" s="314" t="e">
        <f>IF($J232="",#N/A,SUM(AB$4:AB232))</f>
        <v>#N/A</v>
      </c>
      <c r="AD232" s="315" t="str">
        <f t="shared" si="356"/>
        <v/>
      </c>
      <c r="AE232" s="315" t="e">
        <f>IF($J232="",#N/A,SUM(AD$4:AD232))</f>
        <v>#N/A</v>
      </c>
      <c r="AF232" s="315" t="e">
        <f>IF($J232="",#N/A,SUM(AD$4:AD232,AB$4:AB232,Z$4:Z232))</f>
        <v>#N/A</v>
      </c>
      <c r="AG232" s="304" t="str">
        <f t="shared" si="357"/>
        <v/>
      </c>
      <c r="AH232" s="313" t="e">
        <f>IF($J232="",#N/A,SUM(AG$4:AG232))</f>
        <v>#N/A</v>
      </c>
      <c r="AI232" s="314" t="str">
        <f t="shared" si="358"/>
        <v/>
      </c>
      <c r="AJ232" s="314" t="e">
        <f>IF($J232="",#N/A,SUM(AI$4:AI232))</f>
        <v>#N/A</v>
      </c>
      <c r="AK232" s="315" t="str">
        <f t="shared" si="359"/>
        <v/>
      </c>
      <c r="AL232" s="315" t="e">
        <f>IF($J232="",#N/A,SUM(AK$4:AK232))</f>
        <v>#N/A</v>
      </c>
      <c r="AM232" s="315" t="e">
        <f>IF($J232="",#N/A,SUM(AK$4:AK232,AI$4:AI232,AG$4:AG232))</f>
        <v>#N/A</v>
      </c>
      <c r="AN232" s="304" t="str">
        <f t="shared" si="360"/>
        <v/>
      </c>
      <c r="AO232" s="313" t="e">
        <f>IF($J232="",#N/A,SUM(AN$4:AN232))</f>
        <v>#N/A</v>
      </c>
      <c r="AP232" s="314" t="str">
        <f t="shared" si="361"/>
        <v/>
      </c>
      <c r="AQ232" s="314" t="e">
        <f>IF($J232="",#N/A,SUM(AP$4:AP232))</f>
        <v>#N/A</v>
      </c>
      <c r="AR232" s="315" t="str">
        <f t="shared" si="362"/>
        <v/>
      </c>
      <c r="AS232" s="315" t="e">
        <f>IF($J232="",#N/A,SUM(AR$4:AR232))</f>
        <v>#N/A</v>
      </c>
      <c r="AT232" s="315" t="e">
        <f>IF($J232="",#N/A,SUM(AR$4:AR232,AP$4:AP232,AN$4:AN232))</f>
        <v>#N/A</v>
      </c>
      <c r="AU232" s="304" t="str">
        <f t="shared" si="363"/>
        <v/>
      </c>
      <c r="AV232" s="313" t="e">
        <f>IF($J232="",#N/A,SUM(AU$4:AU232))</f>
        <v>#N/A</v>
      </c>
      <c r="AW232" s="314" t="str">
        <f t="shared" si="364"/>
        <v/>
      </c>
      <c r="AX232" s="314" t="e">
        <f>IF($J232="",#N/A,SUM(AW$4:AW232))</f>
        <v>#N/A</v>
      </c>
      <c r="AY232" s="315" t="str">
        <f t="shared" si="365"/>
        <v/>
      </c>
      <c r="AZ232" s="315" t="e">
        <f>IF($J232="",#N/A,SUM(AY$4:AY232))</f>
        <v>#N/A</v>
      </c>
      <c r="BA232" s="315" t="e">
        <f>IF($J232="",#N/A,SUM(AY$4:AY232,AW$4:AW232,AU$4:AU232))</f>
        <v>#N/A</v>
      </c>
      <c r="BB232" s="304" t="str">
        <f t="shared" si="366"/>
        <v/>
      </c>
      <c r="BC232" s="313" t="e">
        <f>IF($J232="",#N/A,SUM(BB$4:BB232))</f>
        <v>#N/A</v>
      </c>
      <c r="BD232" s="314" t="str">
        <f t="shared" si="367"/>
        <v/>
      </c>
      <c r="BE232" s="314" t="e">
        <f>IF($J232="",#N/A,SUM(BD$4:BD232))</f>
        <v>#N/A</v>
      </c>
      <c r="BF232" s="315" t="str">
        <f t="shared" si="368"/>
        <v/>
      </c>
      <c r="BG232" s="315" t="e">
        <f>IF($J232="",#N/A,SUM(BF$4:BF232))</f>
        <v>#N/A</v>
      </c>
      <c r="BH232" s="315" t="e">
        <f>IF($J232="",#N/A,SUM(BF$4:BF232,BD$4:BD232,BB$4:BB232))</f>
        <v>#N/A</v>
      </c>
      <c r="BI232" s="304" t="str">
        <f t="shared" si="369"/>
        <v/>
      </c>
      <c r="BJ232" s="313" t="e">
        <f>IF($J232="",#N/A,SUM(BI$4:BI232))</f>
        <v>#N/A</v>
      </c>
      <c r="BK232" s="314" t="str">
        <f t="shared" si="370"/>
        <v/>
      </c>
      <c r="BL232" s="314" t="e">
        <f>IF($J232="",#N/A,SUM(BK$4:BK232))</f>
        <v>#N/A</v>
      </c>
      <c r="BM232" s="315" t="str">
        <f t="shared" si="371"/>
        <v/>
      </c>
      <c r="BN232" s="315" t="e">
        <f>IF($J232="",#N/A,SUM(BM$4:BM232))</f>
        <v>#N/A</v>
      </c>
      <c r="BO232" s="315" t="e">
        <f>IF($J232="",#N/A,SUM(BM$4:BM232,BK$4:BK232,BI$4:BI232))</f>
        <v>#N/A</v>
      </c>
      <c r="BP232" s="304" t="str">
        <f t="shared" si="372"/>
        <v/>
      </c>
      <c r="BQ232" s="313" t="e">
        <f>IF($J232="",#N/A,SUM(BP$4:BP232))</f>
        <v>#N/A</v>
      </c>
      <c r="BR232" s="314" t="str">
        <f t="shared" si="373"/>
        <v/>
      </c>
      <c r="BS232" s="314" t="e">
        <f>IF($J232="",#N/A,SUM(BR$4:BR232))</f>
        <v>#N/A</v>
      </c>
      <c r="BT232" s="315" t="str">
        <f t="shared" si="374"/>
        <v/>
      </c>
      <c r="BU232" s="315" t="e">
        <f>IF($J232="",#N/A,SUM(BT$4:BT232))</f>
        <v>#N/A</v>
      </c>
      <c r="BV232" s="315" t="e">
        <f>IF($J232="",#N/A,SUM(BT$4:BT232,BR$4:BR232,BP$4:BP232))</f>
        <v>#N/A</v>
      </c>
      <c r="BW232" s="304" t="str">
        <f t="shared" si="375"/>
        <v/>
      </c>
      <c r="BX232" s="313" t="e">
        <f>IF($J232="",#N/A,SUM(BW$4:BW232))</f>
        <v>#N/A</v>
      </c>
      <c r="BY232" s="314">
        <f t="shared" si="376"/>
        <v>1.5730313449628308</v>
      </c>
      <c r="BZ232" s="314" t="e">
        <f>IF($J232="",#N/A,SUM(BY$4:BY232))</f>
        <v>#N/A</v>
      </c>
      <c r="CA232" s="315" t="str">
        <f t="shared" si="377"/>
        <v/>
      </c>
      <c r="CB232" s="315" t="e">
        <f>IF($J232="",#N/A,SUM(CA$4:CA232))</f>
        <v>#N/A</v>
      </c>
      <c r="CC232" s="315" t="e">
        <f>IF($J232="",#N/A,SUM(CA$4:CA232,BY$4:BY232,BW$4:BW232))</f>
        <v>#N/A</v>
      </c>
      <c r="CD232" s="304" t="str">
        <f t="shared" si="378"/>
        <v/>
      </c>
      <c r="CE232" s="313" t="e">
        <f>IF($J232="",#N/A,SUM(CD$4:CD232))</f>
        <v>#N/A</v>
      </c>
      <c r="CF232" s="314" t="str">
        <f t="shared" si="379"/>
        <v/>
      </c>
      <c r="CG232" s="314" t="e">
        <f>IF($J232="",#N/A,SUM(CF$4:CF232))</f>
        <v>#N/A</v>
      </c>
      <c r="CH232" s="315" t="str">
        <f t="shared" si="380"/>
        <v/>
      </c>
      <c r="CI232" s="315" t="e">
        <f>IF($J232="",#N/A,SUM(CH$4:CH232))</f>
        <v>#N/A</v>
      </c>
      <c r="CJ232" s="315" t="e">
        <f>IF($J232="",#N/A,SUM(CH$4:CH232,CF$4:CF232,CD$4:CD232))</f>
        <v>#N/A</v>
      </c>
      <c r="CK232" s="304" t="str">
        <f t="shared" si="381"/>
        <v/>
      </c>
      <c r="CL232" s="313" t="e">
        <f>IF($J232="",#N/A,SUM(CK$4:CK232))</f>
        <v>#N/A</v>
      </c>
      <c r="CM232" s="314" t="str">
        <f t="shared" si="382"/>
        <v/>
      </c>
      <c r="CN232" s="314" t="e">
        <f>IF($J232="",#N/A,SUM(CM$4:CM232))</f>
        <v>#N/A</v>
      </c>
      <c r="CO232" s="315" t="str">
        <f t="shared" si="383"/>
        <v/>
      </c>
      <c r="CP232" s="315" t="e">
        <f>IF($J232="",#N/A,SUM(CO$4:CO232))</f>
        <v>#N/A</v>
      </c>
      <c r="CQ232" s="315" t="e">
        <f>IF($J232="",#N/A,SUM(CO$4:CO232,CM$4:CM232,CK$4:CK232))</f>
        <v>#N/A</v>
      </c>
      <c r="CR232" s="304" t="str">
        <f t="shared" si="384"/>
        <v/>
      </c>
      <c r="CS232" s="313" t="e">
        <f>IF($J232="",#N/A,SUM(CR$4:CR232))</f>
        <v>#N/A</v>
      </c>
      <c r="CT232" s="314" t="str">
        <f t="shared" si="385"/>
        <v/>
      </c>
      <c r="CU232" s="314" t="e">
        <f>IF($J232="",#N/A,SUM(CT$4:CT232))</f>
        <v>#N/A</v>
      </c>
      <c r="CV232" s="315" t="str">
        <f t="shared" si="386"/>
        <v/>
      </c>
      <c r="CW232" s="315" t="e">
        <f>IF($J232="",#N/A,SUM(CV$4:CV232))</f>
        <v>#N/A</v>
      </c>
      <c r="CX232" s="315" t="e">
        <f>IF($J232="",#N/A,SUM(CV$4:CV232,CT$4:CT232,CR$4:CR232))</f>
        <v>#N/A</v>
      </c>
      <c r="CY232" s="304" t="str">
        <f t="shared" si="387"/>
        <v/>
      </c>
      <c r="CZ232" s="313" t="e">
        <f>IF($J232="",#N/A,SUM(CY$4:CY232))</f>
        <v>#N/A</v>
      </c>
      <c r="DA232" s="314" t="str">
        <f t="shared" si="388"/>
        <v/>
      </c>
      <c r="DB232" s="314" t="e">
        <f>IF($J232="",#N/A,SUM(DA$4:DA232))</f>
        <v>#N/A</v>
      </c>
      <c r="DC232" s="315" t="str">
        <f t="shared" si="389"/>
        <v/>
      </c>
      <c r="DD232" s="315" t="e">
        <f>IF($J232="",#N/A,SUM(DC$4:DC232))</f>
        <v>#N/A</v>
      </c>
      <c r="DE232" s="315" t="e">
        <f>IF($J232="",#N/A,SUM(DC$4:DC232,DA$4:DA232,CY$4:CY232))</f>
        <v>#N/A</v>
      </c>
      <c r="DF232" s="304" t="str">
        <f t="shared" si="390"/>
        <v/>
      </c>
      <c r="DG232" s="313" t="e">
        <f>IF($J232="",#N/A,SUM(DF$4:DF232))</f>
        <v>#N/A</v>
      </c>
      <c r="DH232" s="314" t="str">
        <f t="shared" si="391"/>
        <v/>
      </c>
      <c r="DI232" s="314" t="e">
        <f>IF($J232="",#N/A,SUM(DH$4:DH232))</f>
        <v>#N/A</v>
      </c>
      <c r="DJ232" s="315" t="str">
        <f t="shared" si="392"/>
        <v/>
      </c>
      <c r="DK232" s="315" t="e">
        <f>IF($J232="",#N/A,SUM(DJ$4:DJ232))</f>
        <v>#N/A</v>
      </c>
      <c r="DL232" s="315" t="e">
        <f>IF($J232="",#N/A,SUM(DJ$4:DJ232,DH$4:DH232,DF$4:DF232))</f>
        <v>#N/A</v>
      </c>
      <c r="DM232" s="304" t="str">
        <f t="shared" si="393"/>
        <v/>
      </c>
      <c r="DN232" s="313" t="e">
        <f>IF($J232="",#N/A,SUM(DM$4:DM232))</f>
        <v>#N/A</v>
      </c>
      <c r="DO232" s="314" t="str">
        <f t="shared" si="394"/>
        <v/>
      </c>
      <c r="DP232" s="314" t="e">
        <f>IF($J232="",#N/A,SUM(DO$4:DO232))</f>
        <v>#N/A</v>
      </c>
      <c r="DQ232" s="315" t="str">
        <f t="shared" si="395"/>
        <v/>
      </c>
      <c r="DR232" s="315" t="e">
        <f>IF($J232="",#N/A,SUM(DQ$4:DQ232))</f>
        <v>#N/A</v>
      </c>
      <c r="DS232" s="315" t="e">
        <f>IF($J232="",#N/A,SUM(DQ$4:DQ232,DO$4:DO232,DM$4:DM232))</f>
        <v>#N/A</v>
      </c>
      <c r="DT232" s="304" t="str">
        <f t="shared" si="396"/>
        <v/>
      </c>
      <c r="DU232" s="313" t="e">
        <f>IF($J232="",#N/A,SUM(DT$4:DT232))</f>
        <v>#N/A</v>
      </c>
      <c r="DV232" s="314" t="str">
        <f t="shared" si="397"/>
        <v/>
      </c>
      <c r="DW232" s="314" t="e">
        <f>IF($J232="",#N/A,SUM(DV$4:DV232))</f>
        <v>#N/A</v>
      </c>
      <c r="DX232" s="315" t="str">
        <f t="shared" si="398"/>
        <v/>
      </c>
      <c r="DY232" s="315" t="e">
        <f>IF($J232="",#N/A,SUM(DX$4:DX232))</f>
        <v>#N/A</v>
      </c>
      <c r="DZ232" s="315" t="e">
        <f>IF($J232="",#N/A,SUM(DX$4:DX232,DV$4:DV232,DT$4:DT232))</f>
        <v>#N/A</v>
      </c>
      <c r="EA232" s="304" t="str">
        <f t="shared" si="399"/>
        <v/>
      </c>
      <c r="EB232" s="313" t="e">
        <f>IF($J232="",#N/A,SUM(EA$4:EA232))</f>
        <v>#N/A</v>
      </c>
      <c r="EC232" s="314" t="str">
        <f t="shared" si="400"/>
        <v/>
      </c>
      <c r="ED232" s="314" t="e">
        <f>IF($J232="",#N/A,SUM(EC$4:EC232))</f>
        <v>#N/A</v>
      </c>
      <c r="EE232" s="315" t="str">
        <f t="shared" si="401"/>
        <v/>
      </c>
      <c r="EF232" s="315" t="e">
        <f>IF($J232="",#N/A,SUM(EE$4:EE232))</f>
        <v>#N/A</v>
      </c>
      <c r="EG232" s="315" t="e">
        <f>IF($J232="",#N/A,SUM(EE$4:EE232,EC$4:EC232,EA$4:EA232))</f>
        <v>#N/A</v>
      </c>
      <c r="EH232" s="130">
        <f t="shared" si="402"/>
        <v>29.920000000000016</v>
      </c>
      <c r="EI232" s="63">
        <f>IF(EH232="",#N/A,SUM($EH$4:EH232))</f>
        <v>928.02932791382523</v>
      </c>
      <c r="EJ232" s="223" t="e">
        <f t="shared" si="403"/>
        <v>#N/A</v>
      </c>
      <c r="EK232" s="63" t="e">
        <f>IF($GZ232="",#N/A,SUM(EJ$4:EJ232))</f>
        <v>#N/A</v>
      </c>
      <c r="EL232" s="60">
        <f t="shared" si="435"/>
        <v>1.5730313449628308</v>
      </c>
      <c r="EM232" s="60">
        <f>IF(EL232="",NA(),SUM($EL$4:EL232))</f>
        <v>27.508092966845133</v>
      </c>
      <c r="EN232" s="60" t="str">
        <f t="shared" si="404"/>
        <v/>
      </c>
      <c r="EO232" s="60" t="e">
        <f>IF(EN232="",NA(),SUM($EN$4:EN232))</f>
        <v>#N/A</v>
      </c>
      <c r="EP232" s="60" t="str">
        <f t="shared" si="405"/>
        <v/>
      </c>
      <c r="EQ232" s="60" t="e">
        <f>IF(EP232="",NA(),SUM($EP$4:EP232))</f>
        <v>#N/A</v>
      </c>
      <c r="ER232" s="60">
        <f t="shared" si="406"/>
        <v>1.5730313449628308</v>
      </c>
      <c r="ES232" s="60">
        <f>IF(ER232="",NA(),SUM($ER$4:ER232))</f>
        <v>13.855976782807884</v>
      </c>
      <c r="ET232" s="60" t="str">
        <f t="shared" si="407"/>
        <v/>
      </c>
      <c r="EU232" s="60" t="e">
        <f>IF(ET232="",NA(),SUM($ET$4:ET232))</f>
        <v>#N/A</v>
      </c>
      <c r="EV232" s="60" t="str">
        <f t="shared" si="408"/>
        <v/>
      </c>
      <c r="EW232" s="60" t="e">
        <f>IF(EV232="",NA(),SUM($EV$4:EV232))</f>
        <v>#N/A</v>
      </c>
      <c r="EX232" s="60" t="str">
        <f t="shared" si="409"/>
        <v/>
      </c>
      <c r="EY232" s="60" t="e">
        <f>IF(EX232="",NA(),SUM($EX$4:EX232))</f>
        <v>#N/A</v>
      </c>
      <c r="EZ232" s="60" t="str">
        <f t="shared" si="410"/>
        <v/>
      </c>
      <c r="FA232" s="60" t="e">
        <f>IF(EZ232="",NA(),SUM($EZ$4:EZ232))</f>
        <v>#N/A</v>
      </c>
      <c r="FB232" s="246">
        <f t="shared" si="436"/>
        <v>0.10935512023805671</v>
      </c>
      <c r="FC232" s="246">
        <f>IF($FB232="",#N/A,SUM(FB$4:$FB232))</f>
        <v>2.4577960705552639</v>
      </c>
      <c r="FD232" s="60" t="str">
        <f t="shared" si="411"/>
        <v/>
      </c>
      <c r="FE232" s="60" t="e">
        <f>IF($FD232="",#N/A,SUM($FD$4:FD232))</f>
        <v>#N/A</v>
      </c>
      <c r="FF232" s="60" t="str">
        <f t="shared" si="412"/>
        <v/>
      </c>
      <c r="FG232" s="60" t="e">
        <f>IF($FF232="",#N/A,SUM($FF$4:FF232))</f>
        <v>#N/A</v>
      </c>
      <c r="FH232" s="60" t="str">
        <f t="shared" si="413"/>
        <v/>
      </c>
      <c r="FI232" s="60" t="e">
        <f>IF($FH232="",#N/A,SUM($FH$4:FH232))</f>
        <v>#N/A</v>
      </c>
      <c r="FJ232" s="60" t="str">
        <f t="shared" si="414"/>
        <v/>
      </c>
      <c r="FK232" s="60" t="e">
        <f>IF($FJ232="",#N/A,SUM($FJ$4:FJ232))</f>
        <v>#N/A</v>
      </c>
      <c r="FL232" s="60" t="str">
        <f t="shared" si="415"/>
        <v/>
      </c>
      <c r="FM232" s="60" t="e">
        <f>IF($FL232="",#N/A,SUM($FL$4:FL232))</f>
        <v>#N/A</v>
      </c>
      <c r="FN232" s="82">
        <f t="shared" si="416"/>
        <v>1.6823864652008875</v>
      </c>
      <c r="FO232" s="82">
        <f>IF($FN232="",#N/A,SUM(FN$4:$FN232))</f>
        <v>37.991246890762405</v>
      </c>
      <c r="FP232" s="82">
        <f t="shared" si="437"/>
        <v>1.5730313449628308</v>
      </c>
      <c r="FQ232" s="246">
        <f>IF($EH232="",#N/A,SUM($FP$4:FP232))</f>
        <v>37.07153016879375</v>
      </c>
      <c r="FR232" s="82">
        <f>IFERROR(FQ232/COUNTA($J$4:J232),#N/A)</f>
        <v>0.16188441121743996</v>
      </c>
      <c r="FS232" s="82">
        <f t="shared" si="445"/>
        <v>0.21611093733719855</v>
      </c>
      <c r="FT232" s="82">
        <f t="shared" si="446"/>
        <v>0.30812026897819556</v>
      </c>
      <c r="FU232" s="337">
        <f t="shared" si="444"/>
        <v>14.304534470259723</v>
      </c>
      <c r="FV232" s="57" t="str">
        <f t="shared" si="418"/>
        <v>Dwn</v>
      </c>
      <c r="FW232" s="57" t="s">
        <v>2733</v>
      </c>
      <c r="FX232" s="57" t="str">
        <f t="shared" si="419"/>
        <v/>
      </c>
      <c r="FY232" s="57" t="str">
        <f t="shared" si="420"/>
        <v/>
      </c>
      <c r="FZ232" s="57" t="str">
        <f t="shared" si="421"/>
        <v/>
      </c>
      <c r="GA232" s="57" t="str">
        <f t="shared" si="422"/>
        <v>Short</v>
      </c>
      <c r="GB232" s="57">
        <f t="shared" si="423"/>
        <v>1</v>
      </c>
      <c r="GC232" s="57" t="str">
        <f t="shared" si="424"/>
        <v/>
      </c>
      <c r="GD232" s="57" t="str">
        <f t="shared" si="425"/>
        <v/>
      </c>
      <c r="GE232" s="62">
        <f t="shared" si="339"/>
        <v>317.01</v>
      </c>
      <c r="GF232" s="62" t="s">
        <v>2780</v>
      </c>
      <c r="GG232" s="199">
        <v>1</v>
      </c>
      <c r="GH232" s="207">
        <f t="shared" si="426"/>
        <v>317.01</v>
      </c>
      <c r="GI232" s="199">
        <v>1</v>
      </c>
      <c r="GJ232" s="200">
        <v>285.31</v>
      </c>
      <c r="GK232" s="63">
        <f t="shared" si="427"/>
        <v>31.699999999999989</v>
      </c>
      <c r="GL232" s="63">
        <f t="shared" si="340"/>
        <v>32</v>
      </c>
      <c r="GM232" s="82" t="str">
        <f t="shared" si="428"/>
        <v/>
      </c>
      <c r="GN232" s="82">
        <f>IF($GZ232="",#N/A,SUM(GM$4:GM232))</f>
        <v>-0.19159368637264962</v>
      </c>
      <c r="GO232" s="82" t="str">
        <f t="shared" si="429"/>
        <v/>
      </c>
      <c r="GP232" s="82">
        <f>IF($GZ232="",#N/A,SUM(GO$4:GO232))</f>
        <v>11.386619524452389</v>
      </c>
      <c r="GQ232" s="82">
        <f t="shared" si="430"/>
        <v>1.6823864652008875</v>
      </c>
      <c r="GR232" s="82">
        <f>IF($GZ232="",#N/A,SUM(GQ$4:GQ232))</f>
        <v>26.17038409824033</v>
      </c>
      <c r="GS232" s="63" t="str">
        <f t="shared" si="438"/>
        <v/>
      </c>
      <c r="GT232" s="63" t="e">
        <f>IF($GZ232="",#N/A,SUM(GS$4:GS232))</f>
        <v>#N/A</v>
      </c>
      <c r="GU232" s="63" t="str">
        <f t="shared" si="439"/>
        <v/>
      </c>
      <c r="GV232" s="63" t="e">
        <f>IF($GZ232="",#N/A,SUM(GU$4:GU232))</f>
        <v>#N/A</v>
      </c>
      <c r="GW232" s="63" t="e">
        <f t="shared" si="440"/>
        <v>#N/A</v>
      </c>
      <c r="GX232" s="63" t="e">
        <f>IF($GZ232="",#N/A,SUM(GW$4:GW232))</f>
        <v>#N/A</v>
      </c>
      <c r="GY232" s="63" t="e">
        <f>IF(EJ232="",#N/A,SUM($EJ$4:EJ232))</f>
        <v>#N/A</v>
      </c>
      <c r="GZ232" s="159">
        <v>285.01</v>
      </c>
      <c r="HA232" s="63">
        <f t="shared" si="431"/>
        <v>2.0799999999999841</v>
      </c>
      <c r="HB232" s="62" t="s">
        <v>2538</v>
      </c>
      <c r="HC232" s="60">
        <f>IFERROR(VLOOKUP(E232,Expectancy!$P$4:$S$19,1+C232,FALSE),"")</f>
        <v>0.18997806194873415</v>
      </c>
      <c r="HD232" s="82">
        <f t="shared" si="432"/>
        <v>1.6666140920896286</v>
      </c>
      <c r="HE232" s="138">
        <f>IF(HD232="",#N/A,SUM($HD$4:HD232))</f>
        <v>8.2369956985340274</v>
      </c>
      <c r="HF232" s="85">
        <f>IF(HD232="",#N/A,IF(HB232="Skip",#N/A,SUM($HG$4:HG232)))</f>
        <v>224.04156919911446</v>
      </c>
      <c r="HG232" s="63">
        <f t="shared" si="433"/>
        <v>31.699999999999989</v>
      </c>
      <c r="HH232" s="82">
        <f t="shared" si="434"/>
        <v>1.6823864652008875</v>
      </c>
    </row>
    <row r="233" spans="1:216" x14ac:dyDescent="0.25">
      <c r="A233" s="57" t="s">
        <v>1560</v>
      </c>
      <c r="B233" s="58" t="s">
        <v>5216</v>
      </c>
      <c r="C233" s="386">
        <f t="shared" si="343"/>
        <v>2</v>
      </c>
      <c r="D233" s="372" t="str">
        <f>_xlfn.XLOOKUP(A233,[1]SP500!$A$2:$A$502,[1]SP500!$D$2:$D$502,"N")</f>
        <v>Y</v>
      </c>
      <c r="E233" s="57" t="str">
        <f>_xlfn.XLOOKUP(A233,[1]SP500!$A$2:$A$655,[1]SP500!$B$2:$B$655)</f>
        <v>XLV</v>
      </c>
      <c r="F233" s="59">
        <v>45693</v>
      </c>
      <c r="G233" s="57" t="str">
        <f t="shared" si="344"/>
        <v>AMC</v>
      </c>
      <c r="H233" s="57" t="str">
        <f t="shared" si="345"/>
        <v>s</v>
      </c>
      <c r="I233" s="159">
        <v>216.36</v>
      </c>
      <c r="J233" s="159">
        <v>227.46</v>
      </c>
      <c r="K233" s="61">
        <f t="shared" si="346"/>
        <v>5.1303383250138626E-2</v>
      </c>
      <c r="L233" s="87">
        <f t="shared" si="347"/>
        <v>-22.199999999999989</v>
      </c>
      <c r="M233" s="130">
        <f t="shared" si="338"/>
        <v>0</v>
      </c>
      <c r="N233" s="169" t="str">
        <f t="shared" si="348"/>
        <v/>
      </c>
      <c r="O233" s="169">
        <f>IF($J233="",#N/A,SUM($N$4:N233))</f>
        <v>297.23492601211706</v>
      </c>
      <c r="P233" s="174">
        <f t="shared" si="349"/>
        <v>-22.199999999999989</v>
      </c>
      <c r="Q233" s="174">
        <f>IF($J233="",#N/A,SUM($P$4:P233))</f>
        <v>507.9777640160367</v>
      </c>
      <c r="R233" s="178" t="str">
        <f t="shared" si="350"/>
        <v/>
      </c>
      <c r="S233" s="178">
        <f>IF($J233="",#N/A,SUM($R$4:R233))</f>
        <v>100.61663788567108</v>
      </c>
      <c r="T233" s="290" t="str">
        <f t="shared" si="351"/>
        <v/>
      </c>
      <c r="U233" s="290">
        <f>IF($J233="",#N/A,SUM($T$4:T233))</f>
        <v>10.712061678440325</v>
      </c>
      <c r="V233" s="291">
        <f t="shared" si="352"/>
        <v>-0.8550563875023105</v>
      </c>
      <c r="W233" s="291">
        <f>IF($J233="",#N/A,SUM($V$4:V233))</f>
        <v>21.535407692680671</v>
      </c>
      <c r="X233" s="292" t="str">
        <f t="shared" si="353"/>
        <v/>
      </c>
      <c r="Y233" s="292">
        <f>IF($J233="",#N/A,SUM($X$4:X233))</f>
        <v>3.9690044101704491</v>
      </c>
      <c r="Z233" s="304" t="str">
        <f t="shared" si="354"/>
        <v/>
      </c>
      <c r="AA233" s="313" t="e">
        <f>IF($J233="",#N/A,SUM(Z$4:Z233))</f>
        <v>#N/A</v>
      </c>
      <c r="AB233" s="314" t="str">
        <f t="shared" si="355"/>
        <v/>
      </c>
      <c r="AC233" s="314" t="e">
        <f>IF($J233="",#N/A,SUM(AB$4:AB233))</f>
        <v>#N/A</v>
      </c>
      <c r="AD233" s="315" t="str">
        <f t="shared" si="356"/>
        <v/>
      </c>
      <c r="AE233" s="315" t="e">
        <f>IF($J233="",#N/A,SUM(AD$4:AD233))</f>
        <v>#N/A</v>
      </c>
      <c r="AF233" s="315" t="e">
        <f>IF($J233="",#N/A,SUM(AD$4:AD233,AB$4:AB233,Z$4:Z233))</f>
        <v>#N/A</v>
      </c>
      <c r="AG233" s="304" t="str">
        <f t="shared" si="357"/>
        <v/>
      </c>
      <c r="AH233" s="313" t="e">
        <f>IF($J233="",#N/A,SUM(AG$4:AG233))</f>
        <v>#N/A</v>
      </c>
      <c r="AI233" s="314" t="str">
        <f t="shared" si="358"/>
        <v/>
      </c>
      <c r="AJ233" s="314" t="e">
        <f>IF($J233="",#N/A,SUM(AI$4:AI233))</f>
        <v>#N/A</v>
      </c>
      <c r="AK233" s="315" t="str">
        <f t="shared" si="359"/>
        <v/>
      </c>
      <c r="AL233" s="315" t="e">
        <f>IF($J233="",#N/A,SUM(AK$4:AK233))</f>
        <v>#N/A</v>
      </c>
      <c r="AM233" s="315" t="e">
        <f>IF($J233="",#N/A,SUM(AK$4:AK233,AI$4:AI233,AG$4:AG233))</f>
        <v>#N/A</v>
      </c>
      <c r="AN233" s="304" t="str">
        <f t="shared" si="360"/>
        <v/>
      </c>
      <c r="AO233" s="313" t="e">
        <f>IF($J233="",#N/A,SUM(AN$4:AN233))</f>
        <v>#N/A</v>
      </c>
      <c r="AP233" s="314" t="str">
        <f t="shared" si="361"/>
        <v/>
      </c>
      <c r="AQ233" s="314" t="e">
        <f>IF($J233="",#N/A,SUM(AP$4:AP233))</f>
        <v>#N/A</v>
      </c>
      <c r="AR233" s="315" t="str">
        <f t="shared" si="362"/>
        <v/>
      </c>
      <c r="AS233" s="315" t="e">
        <f>IF($J233="",#N/A,SUM(AR$4:AR233))</f>
        <v>#N/A</v>
      </c>
      <c r="AT233" s="315" t="e">
        <f>IF($J233="",#N/A,SUM(AR$4:AR233,AP$4:AP233,AN$4:AN233))</f>
        <v>#N/A</v>
      </c>
      <c r="AU233" s="304" t="str">
        <f t="shared" si="363"/>
        <v/>
      </c>
      <c r="AV233" s="313" t="e">
        <f>IF($J233="",#N/A,SUM(AU$4:AU233))</f>
        <v>#N/A</v>
      </c>
      <c r="AW233" s="314" t="str">
        <f t="shared" si="364"/>
        <v/>
      </c>
      <c r="AX233" s="314" t="e">
        <f>IF($J233="",#N/A,SUM(AW$4:AW233))</f>
        <v>#N/A</v>
      </c>
      <c r="AY233" s="315" t="str">
        <f t="shared" si="365"/>
        <v/>
      </c>
      <c r="AZ233" s="315" t="e">
        <f>IF($J233="",#N/A,SUM(AY$4:AY233))</f>
        <v>#N/A</v>
      </c>
      <c r="BA233" s="315" t="e">
        <f>IF($J233="",#N/A,SUM(AY$4:AY233,AW$4:AW233,AU$4:AU233))</f>
        <v>#N/A</v>
      </c>
      <c r="BB233" s="304" t="str">
        <f t="shared" si="366"/>
        <v/>
      </c>
      <c r="BC233" s="313" t="e">
        <f>IF($J233="",#N/A,SUM(BB$4:BB233))</f>
        <v>#N/A</v>
      </c>
      <c r="BD233" s="314" t="str">
        <f t="shared" si="367"/>
        <v/>
      </c>
      <c r="BE233" s="314" t="e">
        <f>IF($J233="",#N/A,SUM(BD$4:BD233))</f>
        <v>#N/A</v>
      </c>
      <c r="BF233" s="315" t="str">
        <f t="shared" si="368"/>
        <v/>
      </c>
      <c r="BG233" s="315" t="e">
        <f>IF($J233="",#N/A,SUM(BF$4:BF233))</f>
        <v>#N/A</v>
      </c>
      <c r="BH233" s="315" t="e">
        <f>IF($J233="",#N/A,SUM(BF$4:BF233,BD$4:BD233,BB$4:BB233))</f>
        <v>#N/A</v>
      </c>
      <c r="BI233" s="304" t="str">
        <f t="shared" si="369"/>
        <v/>
      </c>
      <c r="BJ233" s="313" t="e">
        <f>IF($J233="",#N/A,SUM(BI$4:BI233))</f>
        <v>#N/A</v>
      </c>
      <c r="BK233" s="314" t="str">
        <f t="shared" si="370"/>
        <v/>
      </c>
      <c r="BL233" s="314" t="e">
        <f>IF($J233="",#N/A,SUM(BK$4:BK233))</f>
        <v>#N/A</v>
      </c>
      <c r="BM233" s="315" t="str">
        <f t="shared" si="371"/>
        <v/>
      </c>
      <c r="BN233" s="315" t="e">
        <f>IF($J233="",#N/A,SUM(BM$4:BM233))</f>
        <v>#N/A</v>
      </c>
      <c r="BO233" s="315" t="e">
        <f>IF($J233="",#N/A,SUM(BM$4:BM233,BK$4:BK233,BI$4:BI233))</f>
        <v>#N/A</v>
      </c>
      <c r="BP233" s="304" t="str">
        <f t="shared" si="372"/>
        <v/>
      </c>
      <c r="BQ233" s="313" t="e">
        <f>IF($J233="",#N/A,SUM(BP$4:BP233))</f>
        <v>#N/A</v>
      </c>
      <c r="BR233" s="314" t="str">
        <f t="shared" si="373"/>
        <v/>
      </c>
      <c r="BS233" s="314" t="e">
        <f>IF($J233="",#N/A,SUM(BR$4:BR233))</f>
        <v>#N/A</v>
      </c>
      <c r="BT233" s="315" t="str">
        <f t="shared" si="374"/>
        <v/>
      </c>
      <c r="BU233" s="315" t="e">
        <f>IF($J233="",#N/A,SUM(BT$4:BT233))</f>
        <v>#N/A</v>
      </c>
      <c r="BV233" s="315" t="e">
        <f>IF($J233="",#N/A,SUM(BT$4:BT233,BR$4:BR233,BP$4:BP233))</f>
        <v>#N/A</v>
      </c>
      <c r="BW233" s="304" t="str">
        <f t="shared" si="375"/>
        <v/>
      </c>
      <c r="BX233" s="313" t="e">
        <f>IF($J233="",#N/A,SUM(BW$4:BW233))</f>
        <v>#N/A</v>
      </c>
      <c r="BY233" s="314">
        <f t="shared" si="376"/>
        <v>-0.8550563875023105</v>
      </c>
      <c r="BZ233" s="314" t="e">
        <f>IF($J233="",#N/A,SUM(BY$4:BY233))</f>
        <v>#N/A</v>
      </c>
      <c r="CA233" s="315" t="str">
        <f t="shared" si="377"/>
        <v/>
      </c>
      <c r="CB233" s="315" t="e">
        <f>IF($J233="",#N/A,SUM(CA$4:CA233))</f>
        <v>#N/A</v>
      </c>
      <c r="CC233" s="315" t="e">
        <f>IF($J233="",#N/A,SUM(CA$4:CA233,BY$4:BY233,BW$4:BW233))</f>
        <v>#N/A</v>
      </c>
      <c r="CD233" s="304" t="str">
        <f t="shared" si="378"/>
        <v/>
      </c>
      <c r="CE233" s="313" t="e">
        <f>IF($J233="",#N/A,SUM(CD$4:CD233))</f>
        <v>#N/A</v>
      </c>
      <c r="CF233" s="314" t="str">
        <f t="shared" si="379"/>
        <v/>
      </c>
      <c r="CG233" s="314" t="e">
        <f>IF($J233="",#N/A,SUM(CF$4:CF233))</f>
        <v>#N/A</v>
      </c>
      <c r="CH233" s="315" t="str">
        <f t="shared" si="380"/>
        <v/>
      </c>
      <c r="CI233" s="315" t="e">
        <f>IF($J233="",#N/A,SUM(CH$4:CH233))</f>
        <v>#N/A</v>
      </c>
      <c r="CJ233" s="315" t="e">
        <f>IF($J233="",#N/A,SUM(CH$4:CH233,CF$4:CF233,CD$4:CD233))</f>
        <v>#N/A</v>
      </c>
      <c r="CK233" s="304" t="str">
        <f t="shared" si="381"/>
        <v/>
      </c>
      <c r="CL233" s="313" t="e">
        <f>IF($J233="",#N/A,SUM(CK$4:CK233))</f>
        <v>#N/A</v>
      </c>
      <c r="CM233" s="314" t="str">
        <f t="shared" si="382"/>
        <v/>
      </c>
      <c r="CN233" s="314" t="e">
        <f>IF($J233="",#N/A,SUM(CM$4:CM233))</f>
        <v>#N/A</v>
      </c>
      <c r="CO233" s="315" t="str">
        <f t="shared" si="383"/>
        <v/>
      </c>
      <c r="CP233" s="315" t="e">
        <f>IF($J233="",#N/A,SUM(CO$4:CO233))</f>
        <v>#N/A</v>
      </c>
      <c r="CQ233" s="315" t="e">
        <f>IF($J233="",#N/A,SUM(CO$4:CO233,CM$4:CM233,CK$4:CK233))</f>
        <v>#N/A</v>
      </c>
      <c r="CR233" s="304" t="str">
        <f t="shared" si="384"/>
        <v/>
      </c>
      <c r="CS233" s="313" t="e">
        <f>IF($J233="",#N/A,SUM(CR$4:CR233))</f>
        <v>#N/A</v>
      </c>
      <c r="CT233" s="314" t="str">
        <f t="shared" si="385"/>
        <v/>
      </c>
      <c r="CU233" s="314" t="e">
        <f>IF($J233="",#N/A,SUM(CT$4:CT233))</f>
        <v>#N/A</v>
      </c>
      <c r="CV233" s="315" t="str">
        <f t="shared" si="386"/>
        <v/>
      </c>
      <c r="CW233" s="315" t="e">
        <f>IF($J233="",#N/A,SUM(CV$4:CV233))</f>
        <v>#N/A</v>
      </c>
      <c r="CX233" s="315" t="e">
        <f>IF($J233="",#N/A,SUM(CV$4:CV233,CT$4:CT233,CR$4:CR233))</f>
        <v>#N/A</v>
      </c>
      <c r="CY233" s="304" t="str">
        <f t="shared" si="387"/>
        <v/>
      </c>
      <c r="CZ233" s="313" t="e">
        <f>IF($J233="",#N/A,SUM(CY$4:CY233))</f>
        <v>#N/A</v>
      </c>
      <c r="DA233" s="314" t="str">
        <f t="shared" si="388"/>
        <v/>
      </c>
      <c r="DB233" s="314" t="e">
        <f>IF($J233="",#N/A,SUM(DA$4:DA233))</f>
        <v>#N/A</v>
      </c>
      <c r="DC233" s="315" t="str">
        <f t="shared" si="389"/>
        <v/>
      </c>
      <c r="DD233" s="315" t="e">
        <f>IF($J233="",#N/A,SUM(DC$4:DC233))</f>
        <v>#N/A</v>
      </c>
      <c r="DE233" s="315" t="e">
        <f>IF($J233="",#N/A,SUM(DC$4:DC233,DA$4:DA233,CY$4:CY233))</f>
        <v>#N/A</v>
      </c>
      <c r="DF233" s="304" t="str">
        <f t="shared" si="390"/>
        <v/>
      </c>
      <c r="DG233" s="313" t="e">
        <f>IF($J233="",#N/A,SUM(DF$4:DF233))</f>
        <v>#N/A</v>
      </c>
      <c r="DH233" s="314" t="str">
        <f t="shared" si="391"/>
        <v/>
      </c>
      <c r="DI233" s="314" t="e">
        <f>IF($J233="",#N/A,SUM(DH$4:DH233))</f>
        <v>#N/A</v>
      </c>
      <c r="DJ233" s="315" t="str">
        <f t="shared" si="392"/>
        <v/>
      </c>
      <c r="DK233" s="315" t="e">
        <f>IF($J233="",#N/A,SUM(DJ$4:DJ233))</f>
        <v>#N/A</v>
      </c>
      <c r="DL233" s="315" t="e">
        <f>IF($J233="",#N/A,SUM(DJ$4:DJ233,DH$4:DH233,DF$4:DF233))</f>
        <v>#N/A</v>
      </c>
      <c r="DM233" s="304" t="str">
        <f t="shared" si="393"/>
        <v/>
      </c>
      <c r="DN233" s="313" t="e">
        <f>IF($J233="",#N/A,SUM(DM$4:DM233))</f>
        <v>#N/A</v>
      </c>
      <c r="DO233" s="314" t="str">
        <f t="shared" si="394"/>
        <v/>
      </c>
      <c r="DP233" s="314" t="e">
        <f>IF($J233="",#N/A,SUM(DO$4:DO233))</f>
        <v>#N/A</v>
      </c>
      <c r="DQ233" s="315" t="str">
        <f t="shared" si="395"/>
        <v/>
      </c>
      <c r="DR233" s="315" t="e">
        <f>IF($J233="",#N/A,SUM(DQ$4:DQ233))</f>
        <v>#N/A</v>
      </c>
      <c r="DS233" s="315" t="e">
        <f>IF($J233="",#N/A,SUM(DQ$4:DQ233,DO$4:DO233,DM$4:DM233))</f>
        <v>#N/A</v>
      </c>
      <c r="DT233" s="304" t="str">
        <f t="shared" si="396"/>
        <v/>
      </c>
      <c r="DU233" s="313" t="e">
        <f>IF($J233="",#N/A,SUM(DT$4:DT233))</f>
        <v>#N/A</v>
      </c>
      <c r="DV233" s="314" t="str">
        <f t="shared" si="397"/>
        <v/>
      </c>
      <c r="DW233" s="314" t="e">
        <f>IF($J233="",#N/A,SUM(DV$4:DV233))</f>
        <v>#N/A</v>
      </c>
      <c r="DX233" s="315" t="str">
        <f t="shared" si="398"/>
        <v/>
      </c>
      <c r="DY233" s="315" t="e">
        <f>IF($J233="",#N/A,SUM(DX$4:DX233))</f>
        <v>#N/A</v>
      </c>
      <c r="DZ233" s="315" t="e">
        <f>IF($J233="",#N/A,SUM(DX$4:DX233,DV$4:DV233,DT$4:DT233))</f>
        <v>#N/A</v>
      </c>
      <c r="EA233" s="304" t="str">
        <f t="shared" si="399"/>
        <v/>
      </c>
      <c r="EB233" s="313" t="e">
        <f>IF($J233="",#N/A,SUM(EA$4:EA233))</f>
        <v>#N/A</v>
      </c>
      <c r="EC233" s="314" t="str">
        <f t="shared" si="400"/>
        <v/>
      </c>
      <c r="ED233" s="314" t="e">
        <f>IF($J233="",#N/A,SUM(EC$4:EC233))</f>
        <v>#N/A</v>
      </c>
      <c r="EE233" s="315" t="str">
        <f t="shared" si="401"/>
        <v/>
      </c>
      <c r="EF233" s="315" t="e">
        <f>IF($J233="",#N/A,SUM(EE$4:EE233))</f>
        <v>#N/A</v>
      </c>
      <c r="EG233" s="315" t="e">
        <f>IF($J233="",#N/A,SUM(EE$4:EE233,EC$4:EC233,EA$4:EA233))</f>
        <v>#N/A</v>
      </c>
      <c r="EH233" s="130">
        <f t="shared" si="402"/>
        <v>-22.199999999999989</v>
      </c>
      <c r="EI233" s="63">
        <f>IF(EH233="",#N/A,SUM($EH$4:EH233))</f>
        <v>905.82932791382518</v>
      </c>
      <c r="EJ233" s="223" t="e">
        <f t="shared" si="403"/>
        <v>#N/A</v>
      </c>
      <c r="EK233" s="63" t="e">
        <f>IF($GZ233="",#N/A,SUM(EJ$4:EJ233))</f>
        <v>#N/A</v>
      </c>
      <c r="EL233" s="60">
        <f t="shared" si="435"/>
        <v>-0.8550563875023105</v>
      </c>
      <c r="EM233" s="60">
        <f>IF(EL233="",NA(),SUM($EL$4:EL233))</f>
        <v>26.653036579342825</v>
      </c>
      <c r="EN233" s="60" t="str">
        <f t="shared" si="404"/>
        <v/>
      </c>
      <c r="EO233" s="60" t="e">
        <f>IF(EN233="",NA(),SUM($EN$4:EN233))</f>
        <v>#N/A</v>
      </c>
      <c r="EP233" s="60" t="str">
        <f t="shared" si="405"/>
        <v/>
      </c>
      <c r="EQ233" s="60" t="e">
        <f>IF(EP233="",NA(),SUM($EP$4:EP233))</f>
        <v>#N/A</v>
      </c>
      <c r="ER233" s="60">
        <f t="shared" si="406"/>
        <v>-0.8550563875023105</v>
      </c>
      <c r="ES233" s="60">
        <f>IF(ER233="",NA(),SUM($ER$4:ER233))</f>
        <v>13.000920395305574</v>
      </c>
      <c r="ET233" s="60" t="str">
        <f t="shared" si="407"/>
        <v/>
      </c>
      <c r="EU233" s="60" t="e">
        <f>IF(ET233="",NA(),SUM($ET$4:ET233))</f>
        <v>#N/A</v>
      </c>
      <c r="EV233" s="60" t="str">
        <f t="shared" si="408"/>
        <v/>
      </c>
      <c r="EW233" s="60" t="e">
        <f>IF(EV233="",NA(),SUM($EV$4:EV233))</f>
        <v>#N/A</v>
      </c>
      <c r="EX233" s="60" t="str">
        <f t="shared" si="409"/>
        <v/>
      </c>
      <c r="EY233" s="60" t="e">
        <f>IF(EX233="",NA(),SUM($EX$4:EX233))</f>
        <v>#N/A</v>
      </c>
      <c r="EZ233" s="60" t="str">
        <f t="shared" si="410"/>
        <v/>
      </c>
      <c r="FA233" s="60" t="e">
        <f>IF(EZ233="",NA(),SUM($EZ$4:EZ233))</f>
        <v>#N/A</v>
      </c>
      <c r="FB233" s="246" t="str">
        <f t="shared" si="436"/>
        <v/>
      </c>
      <c r="FC233" s="246" t="e">
        <f>IF($FB233="",#N/A,SUM(FB$4:$FB233))</f>
        <v>#N/A</v>
      </c>
      <c r="FD233" s="60">
        <f t="shared" si="411"/>
        <v>0.69945153139828775</v>
      </c>
      <c r="FE233" s="60">
        <f>IF($FD233="",#N/A,SUM($FD$4:FD233))</f>
        <v>2.0215754789003637</v>
      </c>
      <c r="FF233" s="60" t="str">
        <f t="shared" si="412"/>
        <v/>
      </c>
      <c r="FG233" s="60" t="e">
        <f>IF($FF233="",#N/A,SUM($FF$4:FF233))</f>
        <v>#N/A</v>
      </c>
      <c r="FH233" s="60" t="str">
        <f t="shared" si="413"/>
        <v/>
      </c>
      <c r="FI233" s="60" t="e">
        <f>IF($FH233="",#N/A,SUM($FH$4:FH233))</f>
        <v>#N/A</v>
      </c>
      <c r="FJ233" s="60" t="str">
        <f t="shared" si="414"/>
        <v/>
      </c>
      <c r="FK233" s="60" t="e">
        <f>IF($FJ233="",#N/A,SUM($FJ$4:FJ233))</f>
        <v>#N/A</v>
      </c>
      <c r="FL233" s="60" t="str">
        <f t="shared" si="415"/>
        <v/>
      </c>
      <c r="FM233" s="60" t="e">
        <f>IF($FL233="",#N/A,SUM($FL$4:FL233))</f>
        <v>#N/A</v>
      </c>
      <c r="FN233" s="82">
        <f t="shared" si="416"/>
        <v>-0.15560485610402275</v>
      </c>
      <c r="FO233" s="82">
        <f>IF($FN233="",#N/A,SUM(FN$4:$FN233))</f>
        <v>37.835642034658385</v>
      </c>
      <c r="FP233" s="82">
        <f t="shared" si="437"/>
        <v>-0.8550563875023105</v>
      </c>
      <c r="FQ233" s="246">
        <f>IF($EH233="",#N/A,SUM($FP$4:FP233))</f>
        <v>36.216473781291441</v>
      </c>
      <c r="FR233" s="82">
        <f>IFERROR(FQ233/COUNTA($J$4:J233),#N/A)</f>
        <v>0.15746292948387583</v>
      </c>
      <c r="FS233" s="82">
        <f t="shared" si="445"/>
        <v>0.19454329313486834</v>
      </c>
      <c r="FT233" s="82">
        <f t="shared" si="446"/>
        <v>0.24474122790179001</v>
      </c>
      <c r="FU233" s="337">
        <f t="shared" si="444"/>
        <v>14.304534470259727</v>
      </c>
      <c r="FV233" s="57" t="str">
        <f t="shared" si="418"/>
        <v>Dwn</v>
      </c>
      <c r="FW233" s="57" t="s">
        <v>2734</v>
      </c>
      <c r="FX233" s="57" t="str">
        <f t="shared" si="419"/>
        <v/>
      </c>
      <c r="FY233" s="57">
        <f t="shared" si="420"/>
        <v>1</v>
      </c>
      <c r="FZ233" s="57" t="str">
        <f t="shared" si="421"/>
        <v/>
      </c>
      <c r="GA233" s="57" t="str">
        <f t="shared" si="422"/>
        <v>Short</v>
      </c>
      <c r="GB233" s="57" t="str">
        <f t="shared" si="423"/>
        <v/>
      </c>
      <c r="GC233" s="57" t="str">
        <f t="shared" si="424"/>
        <v/>
      </c>
      <c r="GD233" s="57" t="str">
        <f t="shared" si="425"/>
        <v/>
      </c>
      <c r="GE233" s="62">
        <f t="shared" si="339"/>
        <v>216.36</v>
      </c>
      <c r="GF233" s="62" t="s">
        <v>2780</v>
      </c>
      <c r="GG233" s="199">
        <v>2</v>
      </c>
      <c r="GH233" s="207">
        <f t="shared" si="426"/>
        <v>432.72</v>
      </c>
      <c r="GI233" s="199">
        <v>2</v>
      </c>
      <c r="GJ233" s="200">
        <v>227.46</v>
      </c>
      <c r="GK233" s="63">
        <f t="shared" si="427"/>
        <v>-22.199999999999989</v>
      </c>
      <c r="GL233" s="63">
        <f t="shared" si="340"/>
        <v>-4.0399999999999636</v>
      </c>
      <c r="GM233" s="82" t="str">
        <f t="shared" si="428"/>
        <v/>
      </c>
      <c r="GN233" s="82">
        <f>IF($GZ233="",#N/A,SUM(GM$4:GM233))</f>
        <v>-0.19159368637264962</v>
      </c>
      <c r="GO233" s="82" t="str">
        <f t="shared" si="429"/>
        <v/>
      </c>
      <c r="GP233" s="82">
        <f>IF($GZ233="",#N/A,SUM(GO$4:GO233))</f>
        <v>11.386619524452389</v>
      </c>
      <c r="GQ233" s="82">
        <f t="shared" si="430"/>
        <v>-0.15560485610402275</v>
      </c>
      <c r="GR233" s="82">
        <f>IF($GZ233="",#N/A,SUM(GQ$4:GQ233))</f>
        <v>26.014779242136306</v>
      </c>
      <c r="GS233" s="63" t="str">
        <f t="shared" si="438"/>
        <v/>
      </c>
      <c r="GT233" s="63" t="e">
        <f>IF($GZ233="",#N/A,SUM(GS$4:GS233))</f>
        <v>#N/A</v>
      </c>
      <c r="GU233" s="63" t="str">
        <f t="shared" si="439"/>
        <v/>
      </c>
      <c r="GV233" s="63" t="e">
        <f>IF($GZ233="",#N/A,SUM(GU$4:GU233))</f>
        <v>#N/A</v>
      </c>
      <c r="GW233" s="63" t="e">
        <f t="shared" si="440"/>
        <v>#N/A</v>
      </c>
      <c r="GX233" s="63" t="e">
        <f>IF($GZ233="",#N/A,SUM(GW$4:GW233))</f>
        <v>#N/A</v>
      </c>
      <c r="GY233" s="63" t="e">
        <f>IF(EJ233="",#N/A,SUM($EJ$4:EJ233))</f>
        <v>#N/A</v>
      </c>
      <c r="GZ233" s="159">
        <v>218.38</v>
      </c>
      <c r="HA233" s="63">
        <f t="shared" si="431"/>
        <v>18.160000000000025</v>
      </c>
      <c r="HB233" s="62" t="s">
        <v>2538</v>
      </c>
      <c r="HC233" s="60">
        <f>IFERROR(VLOOKUP(E233,Expectancy!$P$4:$S$19,1+C233,FALSE),"")</f>
        <v>0.18997806194873415</v>
      </c>
      <c r="HD233" s="82">
        <f t="shared" si="432"/>
        <v>-0.8550563875023105</v>
      </c>
      <c r="HE233" s="138">
        <f>IF(HD233="",#N/A,SUM($HD$4:HD233))</f>
        <v>7.3819393110317169</v>
      </c>
      <c r="HF233" s="85">
        <f>IF(HD233="",#N/A,IF(HB233="Skip",#N/A,SUM($HG$4:HG233)))</f>
        <v>201.84156919911447</v>
      </c>
      <c r="HG233" s="63">
        <f t="shared" si="433"/>
        <v>-22.199999999999989</v>
      </c>
      <c r="HH233" s="82">
        <f t="shared" si="434"/>
        <v>-0.15560485610402275</v>
      </c>
    </row>
    <row r="234" spans="1:216" x14ac:dyDescent="0.25">
      <c r="A234" s="57" t="s">
        <v>948</v>
      </c>
      <c r="B234" s="58" t="s">
        <v>5220</v>
      </c>
      <c r="C234" s="386">
        <f t="shared" si="343"/>
        <v>2</v>
      </c>
      <c r="D234" s="372" t="str">
        <f>_xlfn.XLOOKUP(A234,[1]SP500!$A$2:$A$502,[1]SP500!$D$2:$D$502,"N")</f>
        <v>Y</v>
      </c>
      <c r="E234" s="57" t="str">
        <f>_xlfn.XLOOKUP(A234,[1]SP500!$A$2:$A$655,[1]SP500!$B$2:$B$655)</f>
        <v>SMH</v>
      </c>
      <c r="F234" s="59">
        <v>45693</v>
      </c>
      <c r="G234" s="57" t="str">
        <f t="shared" si="344"/>
        <v>AMC</v>
      </c>
      <c r="H234" s="57" t="str">
        <f t="shared" si="345"/>
        <v>s</v>
      </c>
      <c r="I234" s="159">
        <v>87.08</v>
      </c>
      <c r="J234" s="159">
        <v>62.55</v>
      </c>
      <c r="K234" s="61">
        <f t="shared" si="346"/>
        <v>-0.28169499310978413</v>
      </c>
      <c r="L234" s="87">
        <f t="shared" si="347"/>
        <v>122.64999999999998</v>
      </c>
      <c r="M234" s="130">
        <f t="shared" si="338"/>
        <v>-0.69999999999998863</v>
      </c>
      <c r="N234" s="169" t="str">
        <f t="shared" si="348"/>
        <v/>
      </c>
      <c r="O234" s="169">
        <f>IF($J234="",#N/A,SUM($N$4:N234))</f>
        <v>297.23492601211706</v>
      </c>
      <c r="P234" s="174">
        <f t="shared" si="349"/>
        <v>122.64999999999998</v>
      </c>
      <c r="Q234" s="174">
        <f>IF($J234="",#N/A,SUM($P$4:P234))</f>
        <v>630.62776401603674</v>
      </c>
      <c r="R234" s="178" t="str">
        <f t="shared" si="350"/>
        <v/>
      </c>
      <c r="S234" s="178">
        <f>IF($J234="",#N/A,SUM($R$4:R234))</f>
        <v>100.61663788567108</v>
      </c>
      <c r="T234" s="290" t="str">
        <f t="shared" si="351"/>
        <v/>
      </c>
      <c r="U234" s="290">
        <f>IF($J234="",#N/A,SUM($T$4:T234))</f>
        <v>10.712061678440325</v>
      </c>
      <c r="V234" s="291">
        <f t="shared" si="352"/>
        <v>4.6949165518297349</v>
      </c>
      <c r="W234" s="291">
        <f>IF($J234="",#N/A,SUM($V$4:V234))</f>
        <v>26.230324244510406</v>
      </c>
      <c r="X234" s="292" t="str">
        <f t="shared" si="353"/>
        <v/>
      </c>
      <c r="Y234" s="292">
        <f>IF($J234="",#N/A,SUM($X$4:X234))</f>
        <v>3.9690044101704491</v>
      </c>
      <c r="Z234" s="304" t="str">
        <f t="shared" si="354"/>
        <v/>
      </c>
      <c r="AA234" s="313" t="e">
        <f>IF($J234="",#N/A,SUM(Z$4:Z234))</f>
        <v>#N/A</v>
      </c>
      <c r="AB234" s="314" t="str">
        <f t="shared" si="355"/>
        <v/>
      </c>
      <c r="AC234" s="314" t="e">
        <f>IF($J234="",#N/A,SUM(AB$4:AB234))</f>
        <v>#N/A</v>
      </c>
      <c r="AD234" s="315" t="str">
        <f t="shared" si="356"/>
        <v/>
      </c>
      <c r="AE234" s="315" t="e">
        <f>IF($J234="",#N/A,SUM(AD$4:AD234))</f>
        <v>#N/A</v>
      </c>
      <c r="AF234" s="315" t="e">
        <f>IF($J234="",#N/A,SUM(AD$4:AD234,AB$4:AB234,Z$4:Z234))</f>
        <v>#N/A</v>
      </c>
      <c r="AG234" s="304" t="str">
        <f t="shared" si="357"/>
        <v/>
      </c>
      <c r="AH234" s="313" t="e">
        <f>IF($J234="",#N/A,SUM(AG$4:AG234))</f>
        <v>#N/A</v>
      </c>
      <c r="AI234" s="314" t="str">
        <f t="shared" si="358"/>
        <v/>
      </c>
      <c r="AJ234" s="314" t="e">
        <f>IF($J234="",#N/A,SUM(AI$4:AI234))</f>
        <v>#N/A</v>
      </c>
      <c r="AK234" s="315" t="str">
        <f t="shared" si="359"/>
        <v/>
      </c>
      <c r="AL234" s="315" t="e">
        <f>IF($J234="",#N/A,SUM(AK$4:AK234))</f>
        <v>#N/A</v>
      </c>
      <c r="AM234" s="315" t="e">
        <f>IF($J234="",#N/A,SUM(AK$4:AK234,AI$4:AI234,AG$4:AG234))</f>
        <v>#N/A</v>
      </c>
      <c r="AN234" s="304" t="str">
        <f t="shared" si="360"/>
        <v/>
      </c>
      <c r="AO234" s="313" t="e">
        <f>IF($J234="",#N/A,SUM(AN$4:AN234))</f>
        <v>#N/A</v>
      </c>
      <c r="AP234" s="314" t="str">
        <f t="shared" si="361"/>
        <v/>
      </c>
      <c r="AQ234" s="314" t="e">
        <f>IF($J234="",#N/A,SUM(AP$4:AP234))</f>
        <v>#N/A</v>
      </c>
      <c r="AR234" s="315" t="str">
        <f t="shared" si="362"/>
        <v/>
      </c>
      <c r="AS234" s="315" t="e">
        <f>IF($J234="",#N/A,SUM(AR$4:AR234))</f>
        <v>#N/A</v>
      </c>
      <c r="AT234" s="315" t="e">
        <f>IF($J234="",#N/A,SUM(AR$4:AR234,AP$4:AP234,AN$4:AN234))</f>
        <v>#N/A</v>
      </c>
      <c r="AU234" s="304" t="str">
        <f t="shared" si="363"/>
        <v/>
      </c>
      <c r="AV234" s="313" t="e">
        <f>IF($J234="",#N/A,SUM(AU$4:AU234))</f>
        <v>#N/A</v>
      </c>
      <c r="AW234" s="314" t="str">
        <f t="shared" si="364"/>
        <v/>
      </c>
      <c r="AX234" s="314" t="e">
        <f>IF($J234="",#N/A,SUM(AW$4:AW234))</f>
        <v>#N/A</v>
      </c>
      <c r="AY234" s="315" t="str">
        <f t="shared" si="365"/>
        <v/>
      </c>
      <c r="AZ234" s="315" t="e">
        <f>IF($J234="",#N/A,SUM(AY$4:AY234))</f>
        <v>#N/A</v>
      </c>
      <c r="BA234" s="315" t="e">
        <f>IF($J234="",#N/A,SUM(AY$4:AY234,AW$4:AW234,AU$4:AU234))</f>
        <v>#N/A</v>
      </c>
      <c r="BB234" s="304" t="str">
        <f t="shared" si="366"/>
        <v/>
      </c>
      <c r="BC234" s="313" t="e">
        <f>IF($J234="",#N/A,SUM(BB$4:BB234))</f>
        <v>#N/A</v>
      </c>
      <c r="BD234" s="314" t="str">
        <f t="shared" si="367"/>
        <v/>
      </c>
      <c r="BE234" s="314" t="e">
        <f>IF($J234="",#N/A,SUM(BD$4:BD234))</f>
        <v>#N/A</v>
      </c>
      <c r="BF234" s="315" t="str">
        <f t="shared" si="368"/>
        <v/>
      </c>
      <c r="BG234" s="315" t="e">
        <f>IF($J234="",#N/A,SUM(BF$4:BF234))</f>
        <v>#N/A</v>
      </c>
      <c r="BH234" s="315" t="e">
        <f>IF($J234="",#N/A,SUM(BF$4:BF234,BD$4:BD234,BB$4:BB234))</f>
        <v>#N/A</v>
      </c>
      <c r="BI234" s="304" t="str">
        <f t="shared" si="369"/>
        <v/>
      </c>
      <c r="BJ234" s="313" t="e">
        <f>IF($J234="",#N/A,SUM(BI$4:BI234))</f>
        <v>#N/A</v>
      </c>
      <c r="BK234" s="314" t="str">
        <f t="shared" si="370"/>
        <v/>
      </c>
      <c r="BL234" s="314" t="e">
        <f>IF($J234="",#N/A,SUM(BK$4:BK234))</f>
        <v>#N/A</v>
      </c>
      <c r="BM234" s="315" t="str">
        <f t="shared" si="371"/>
        <v/>
      </c>
      <c r="BN234" s="315" t="e">
        <f>IF($J234="",#N/A,SUM(BM$4:BM234))</f>
        <v>#N/A</v>
      </c>
      <c r="BO234" s="315" t="e">
        <f>IF($J234="",#N/A,SUM(BM$4:BM234,BK$4:BK234,BI$4:BI234))</f>
        <v>#N/A</v>
      </c>
      <c r="BP234" s="304" t="str">
        <f t="shared" si="372"/>
        <v/>
      </c>
      <c r="BQ234" s="313" t="e">
        <f>IF($J234="",#N/A,SUM(BP$4:BP234))</f>
        <v>#N/A</v>
      </c>
      <c r="BR234" s="314" t="str">
        <f t="shared" si="373"/>
        <v/>
      </c>
      <c r="BS234" s="314" t="e">
        <f>IF($J234="",#N/A,SUM(BR$4:BR234))</f>
        <v>#N/A</v>
      </c>
      <c r="BT234" s="315" t="str">
        <f t="shared" si="374"/>
        <v/>
      </c>
      <c r="BU234" s="315" t="e">
        <f>IF($J234="",#N/A,SUM(BT$4:BT234))</f>
        <v>#N/A</v>
      </c>
      <c r="BV234" s="315" t="e">
        <f>IF($J234="",#N/A,SUM(BT$4:BT234,BR$4:BR234,BP$4:BP234))</f>
        <v>#N/A</v>
      </c>
      <c r="BW234" s="304" t="str">
        <f t="shared" si="375"/>
        <v/>
      </c>
      <c r="BX234" s="313" t="e">
        <f>IF($J234="",#N/A,SUM(BW$4:BW234))</f>
        <v>#N/A</v>
      </c>
      <c r="BY234" s="314" t="str">
        <f t="shared" si="376"/>
        <v/>
      </c>
      <c r="BZ234" s="314" t="e">
        <f>IF($J234="",#N/A,SUM(BY$4:BY234))</f>
        <v>#N/A</v>
      </c>
      <c r="CA234" s="315" t="str">
        <f t="shared" si="377"/>
        <v/>
      </c>
      <c r="CB234" s="315" t="e">
        <f>IF($J234="",#N/A,SUM(CA$4:CA234))</f>
        <v>#N/A</v>
      </c>
      <c r="CC234" s="315" t="e">
        <f>IF($J234="",#N/A,SUM(CA$4:CA234,BY$4:BY234,BW$4:BW234))</f>
        <v>#N/A</v>
      </c>
      <c r="CD234" s="304" t="str">
        <f t="shared" si="378"/>
        <v/>
      </c>
      <c r="CE234" s="313" t="e">
        <f>IF($J234="",#N/A,SUM(CD$4:CD234))</f>
        <v>#N/A</v>
      </c>
      <c r="CF234" s="314" t="str">
        <f t="shared" si="379"/>
        <v/>
      </c>
      <c r="CG234" s="314" t="e">
        <f>IF($J234="",#N/A,SUM(CF$4:CF234))</f>
        <v>#N/A</v>
      </c>
      <c r="CH234" s="315" t="str">
        <f t="shared" si="380"/>
        <v/>
      </c>
      <c r="CI234" s="315" t="e">
        <f>IF($J234="",#N/A,SUM(CH$4:CH234))</f>
        <v>#N/A</v>
      </c>
      <c r="CJ234" s="315" t="e">
        <f>IF($J234="",#N/A,SUM(CH$4:CH234,CF$4:CF234,CD$4:CD234))</f>
        <v>#N/A</v>
      </c>
      <c r="CK234" s="304" t="str">
        <f t="shared" si="381"/>
        <v/>
      </c>
      <c r="CL234" s="313" t="e">
        <f>IF($J234="",#N/A,SUM(CK$4:CK234))</f>
        <v>#N/A</v>
      </c>
      <c r="CM234" s="314">
        <f t="shared" si="382"/>
        <v>4.6949165518297349</v>
      </c>
      <c r="CN234" s="314" t="e">
        <f>IF($J234="",#N/A,SUM(CM$4:CM234))</f>
        <v>#N/A</v>
      </c>
      <c r="CO234" s="315" t="str">
        <f t="shared" si="383"/>
        <v/>
      </c>
      <c r="CP234" s="315" t="e">
        <f>IF($J234="",#N/A,SUM(CO$4:CO234))</f>
        <v>#N/A</v>
      </c>
      <c r="CQ234" s="315" t="e">
        <f>IF($J234="",#N/A,SUM(CO$4:CO234,CM$4:CM234,CK$4:CK234))</f>
        <v>#N/A</v>
      </c>
      <c r="CR234" s="304" t="str">
        <f t="shared" si="384"/>
        <v/>
      </c>
      <c r="CS234" s="313" t="e">
        <f>IF($J234="",#N/A,SUM(CR$4:CR234))</f>
        <v>#N/A</v>
      </c>
      <c r="CT234" s="314" t="str">
        <f t="shared" si="385"/>
        <v/>
      </c>
      <c r="CU234" s="314" t="e">
        <f>IF($J234="",#N/A,SUM(CT$4:CT234))</f>
        <v>#N/A</v>
      </c>
      <c r="CV234" s="315" t="str">
        <f t="shared" si="386"/>
        <v/>
      </c>
      <c r="CW234" s="315" t="e">
        <f>IF($J234="",#N/A,SUM(CV$4:CV234))</f>
        <v>#N/A</v>
      </c>
      <c r="CX234" s="315" t="e">
        <f>IF($J234="",#N/A,SUM(CV$4:CV234,CT$4:CT234,CR$4:CR234))</f>
        <v>#N/A</v>
      </c>
      <c r="CY234" s="304" t="str">
        <f t="shared" si="387"/>
        <v/>
      </c>
      <c r="CZ234" s="313" t="e">
        <f>IF($J234="",#N/A,SUM(CY$4:CY234))</f>
        <v>#N/A</v>
      </c>
      <c r="DA234" s="314" t="str">
        <f t="shared" si="388"/>
        <v/>
      </c>
      <c r="DB234" s="314" t="e">
        <f>IF($J234="",#N/A,SUM(DA$4:DA234))</f>
        <v>#N/A</v>
      </c>
      <c r="DC234" s="315" t="str">
        <f t="shared" si="389"/>
        <v/>
      </c>
      <c r="DD234" s="315" t="e">
        <f>IF($J234="",#N/A,SUM(DC$4:DC234))</f>
        <v>#N/A</v>
      </c>
      <c r="DE234" s="315" t="e">
        <f>IF($J234="",#N/A,SUM(DC$4:DC234,DA$4:DA234,CY$4:CY234))</f>
        <v>#N/A</v>
      </c>
      <c r="DF234" s="304" t="str">
        <f t="shared" si="390"/>
        <v/>
      </c>
      <c r="DG234" s="313" t="e">
        <f>IF($J234="",#N/A,SUM(DF$4:DF234))</f>
        <v>#N/A</v>
      </c>
      <c r="DH234" s="314" t="str">
        <f t="shared" si="391"/>
        <v/>
      </c>
      <c r="DI234" s="314" t="e">
        <f>IF($J234="",#N/A,SUM(DH$4:DH234))</f>
        <v>#N/A</v>
      </c>
      <c r="DJ234" s="315" t="str">
        <f t="shared" si="392"/>
        <v/>
      </c>
      <c r="DK234" s="315" t="e">
        <f>IF($J234="",#N/A,SUM(DJ$4:DJ234))</f>
        <v>#N/A</v>
      </c>
      <c r="DL234" s="315" t="e">
        <f>IF($J234="",#N/A,SUM(DJ$4:DJ234,DH$4:DH234,DF$4:DF234))</f>
        <v>#N/A</v>
      </c>
      <c r="DM234" s="304" t="str">
        <f t="shared" si="393"/>
        <v/>
      </c>
      <c r="DN234" s="313" t="e">
        <f>IF($J234="",#N/A,SUM(DM$4:DM234))</f>
        <v>#N/A</v>
      </c>
      <c r="DO234" s="314" t="str">
        <f t="shared" si="394"/>
        <v/>
      </c>
      <c r="DP234" s="314" t="e">
        <f>IF($J234="",#N/A,SUM(DO$4:DO234))</f>
        <v>#N/A</v>
      </c>
      <c r="DQ234" s="315" t="str">
        <f t="shared" si="395"/>
        <v/>
      </c>
      <c r="DR234" s="315" t="e">
        <f>IF($J234="",#N/A,SUM(DQ$4:DQ234))</f>
        <v>#N/A</v>
      </c>
      <c r="DS234" s="315" t="e">
        <f>IF($J234="",#N/A,SUM(DQ$4:DQ234,DO$4:DO234,DM$4:DM234))</f>
        <v>#N/A</v>
      </c>
      <c r="DT234" s="304" t="str">
        <f t="shared" si="396"/>
        <v/>
      </c>
      <c r="DU234" s="313" t="e">
        <f>IF($J234="",#N/A,SUM(DT$4:DT234))</f>
        <v>#N/A</v>
      </c>
      <c r="DV234" s="314" t="str">
        <f t="shared" si="397"/>
        <v/>
      </c>
      <c r="DW234" s="314" t="e">
        <f>IF($J234="",#N/A,SUM(DV$4:DV234))</f>
        <v>#N/A</v>
      </c>
      <c r="DX234" s="315" t="str">
        <f t="shared" si="398"/>
        <v/>
      </c>
      <c r="DY234" s="315" t="e">
        <f>IF($J234="",#N/A,SUM(DX$4:DX234))</f>
        <v>#N/A</v>
      </c>
      <c r="DZ234" s="315" t="e">
        <f>IF($J234="",#N/A,SUM(DX$4:DX234,DV$4:DV234,DT$4:DT234))</f>
        <v>#N/A</v>
      </c>
      <c r="EA234" s="304" t="str">
        <f t="shared" si="399"/>
        <v/>
      </c>
      <c r="EB234" s="313" t="e">
        <f>IF($J234="",#N/A,SUM(EA$4:EA234))</f>
        <v>#N/A</v>
      </c>
      <c r="EC234" s="314" t="str">
        <f t="shared" si="400"/>
        <v/>
      </c>
      <c r="ED234" s="314" t="e">
        <f>IF($J234="",#N/A,SUM(EC$4:EC234))</f>
        <v>#N/A</v>
      </c>
      <c r="EE234" s="315" t="str">
        <f t="shared" si="401"/>
        <v/>
      </c>
      <c r="EF234" s="315" t="e">
        <f>IF($J234="",#N/A,SUM(EE$4:EE234))</f>
        <v>#N/A</v>
      </c>
      <c r="EG234" s="315" t="e">
        <f>IF($J234="",#N/A,SUM(EE$4:EE234,EC$4:EC234,EA$4:EA234))</f>
        <v>#N/A</v>
      </c>
      <c r="EH234" s="130">
        <f t="shared" si="402"/>
        <v>122.64999999999998</v>
      </c>
      <c r="EI234" s="63">
        <f>IF(EH234="",#N/A,SUM($EH$4:EH234))</f>
        <v>1028.4793279138253</v>
      </c>
      <c r="EJ234" s="223" t="e">
        <f t="shared" si="403"/>
        <v>#N/A</v>
      </c>
      <c r="EK234" s="63" t="e">
        <f>IF($GZ234="",#N/A,SUM(EJ$4:EJ234))</f>
        <v>#N/A</v>
      </c>
      <c r="EL234" s="60">
        <f t="shared" si="435"/>
        <v>4.6949165518297349</v>
      </c>
      <c r="EM234" s="60">
        <f>IF(EL234="",NA(),SUM($EL$4:EL234))</f>
        <v>31.347953131172559</v>
      </c>
      <c r="EN234" s="60" t="str">
        <f t="shared" si="404"/>
        <v/>
      </c>
      <c r="EO234" s="60" t="e">
        <f>IF(EN234="",NA(),SUM($EN$4:EN234))</f>
        <v>#N/A</v>
      </c>
      <c r="EP234" s="60" t="str">
        <f t="shared" si="405"/>
        <v/>
      </c>
      <c r="EQ234" s="60" t="e">
        <f>IF(EP234="",NA(),SUM($EP$4:EP234))</f>
        <v>#N/A</v>
      </c>
      <c r="ER234" s="60">
        <f t="shared" si="406"/>
        <v>4.6949165518297349</v>
      </c>
      <c r="ES234" s="60">
        <f>IF(ER234="",NA(),SUM($ER$4:ER234))</f>
        <v>17.695836947135309</v>
      </c>
      <c r="ET234" s="60" t="str">
        <f t="shared" si="407"/>
        <v/>
      </c>
      <c r="EU234" s="60" t="e">
        <f>IF(ET234="",NA(),SUM($ET$4:ET234))</f>
        <v>#N/A</v>
      </c>
      <c r="EV234" s="60" t="str">
        <f t="shared" si="408"/>
        <v/>
      </c>
      <c r="EW234" s="60" t="e">
        <f>IF(EV234="",NA(),SUM($EV$4:EV234))</f>
        <v>#N/A</v>
      </c>
      <c r="EX234" s="60" t="str">
        <f t="shared" si="409"/>
        <v/>
      </c>
      <c r="EY234" s="60" t="e">
        <f>IF(EX234="",NA(),SUM($EX$4:EX234))</f>
        <v>#N/A</v>
      </c>
      <c r="EZ234" s="60" t="str">
        <f t="shared" si="410"/>
        <v/>
      </c>
      <c r="FA234" s="60" t="e">
        <f>IF(EZ234="",NA(),SUM($EZ$4:EZ234))</f>
        <v>#N/A</v>
      </c>
      <c r="FB234" s="246">
        <f t="shared" si="436"/>
        <v>-0.58375440208237706</v>
      </c>
      <c r="FC234" s="246">
        <f>IF($FB234="",#N/A,SUM(FB$4:$FB234))</f>
        <v>1.8740416684728869</v>
      </c>
      <c r="FD234" s="60" t="str">
        <f t="shared" si="411"/>
        <v/>
      </c>
      <c r="FE234" s="60" t="e">
        <f>IF($FD234="",#N/A,SUM($FD$4:FD234))</f>
        <v>#N/A</v>
      </c>
      <c r="FF234" s="60" t="str">
        <f t="shared" si="412"/>
        <v/>
      </c>
      <c r="FG234" s="60" t="e">
        <f>IF($FF234="",#N/A,SUM($FF$4:FF234))</f>
        <v>#N/A</v>
      </c>
      <c r="FH234" s="60" t="str">
        <f t="shared" si="413"/>
        <v/>
      </c>
      <c r="FI234" s="60" t="e">
        <f>IF($FH234="",#N/A,SUM($FH$4:FH234))</f>
        <v>#N/A</v>
      </c>
      <c r="FJ234" s="60" t="str">
        <f t="shared" si="414"/>
        <v/>
      </c>
      <c r="FK234" s="60" t="e">
        <f>IF($FJ234="",#N/A,SUM($FJ$4:FJ234))</f>
        <v>#N/A</v>
      </c>
      <c r="FL234" s="60" t="str">
        <f t="shared" si="415"/>
        <v/>
      </c>
      <c r="FM234" s="60" t="e">
        <f>IF($FL234="",#N/A,SUM($FL$4:FL234))</f>
        <v>#N/A</v>
      </c>
      <c r="FN234" s="82">
        <f t="shared" si="416"/>
        <v>4.1111621497473578</v>
      </c>
      <c r="FO234" s="82">
        <f>IF($FN234="",#N/A,SUM(FN$4:$FN234))</f>
        <v>41.946804184405742</v>
      </c>
      <c r="FP234" s="82">
        <f t="shared" si="437"/>
        <v>4.6949165518297349</v>
      </c>
      <c r="FQ234" s="246">
        <f>IF($EH234="",#N/A,SUM($FP$4:FP234))</f>
        <v>40.911390333121176</v>
      </c>
      <c r="FR234" s="82">
        <f>IFERROR(FQ234/COUNTA($J$4:J234),#N/A)</f>
        <v>0.17710558585766742</v>
      </c>
      <c r="FS234" s="82">
        <f t="shared" si="445"/>
        <v>0.30281059645829417</v>
      </c>
      <c r="FT234" s="82">
        <f t="shared" si="446"/>
        <v>0.44212839864295089</v>
      </c>
      <c r="FU234" s="337">
        <f t="shared" si="444"/>
        <v>14.331329754289735</v>
      </c>
      <c r="FV234" s="57" t="str">
        <f t="shared" si="418"/>
        <v>Dwn</v>
      </c>
      <c r="FW234" s="57" t="s">
        <v>2733</v>
      </c>
      <c r="FX234" s="57" t="str">
        <f t="shared" si="419"/>
        <v/>
      </c>
      <c r="FY234" s="57" t="str">
        <f t="shared" si="420"/>
        <v/>
      </c>
      <c r="FZ234" s="57" t="str">
        <f t="shared" si="421"/>
        <v/>
      </c>
      <c r="GA234" s="57" t="str">
        <f t="shared" si="422"/>
        <v>Short</v>
      </c>
      <c r="GB234" s="57">
        <f t="shared" si="423"/>
        <v>1</v>
      </c>
      <c r="GC234" s="57" t="str">
        <f t="shared" si="424"/>
        <v/>
      </c>
      <c r="GD234" s="57" t="str">
        <f t="shared" si="425"/>
        <v/>
      </c>
      <c r="GE234" s="62">
        <f t="shared" si="339"/>
        <v>87.08</v>
      </c>
      <c r="GF234" s="62" t="s">
        <v>2780</v>
      </c>
      <c r="GG234" s="199">
        <v>5</v>
      </c>
      <c r="GH234" s="207">
        <f t="shared" si="426"/>
        <v>435.4</v>
      </c>
      <c r="GI234" s="199">
        <v>5</v>
      </c>
      <c r="GJ234" s="200">
        <v>62.69</v>
      </c>
      <c r="GK234" s="63">
        <f t="shared" si="427"/>
        <v>121.94999999999999</v>
      </c>
      <c r="GL234" s="63">
        <f t="shared" si="340"/>
        <v>107.39999999999998</v>
      </c>
      <c r="GM234" s="82" t="str">
        <f t="shared" si="428"/>
        <v/>
      </c>
      <c r="GN234" s="82">
        <f>IF($GZ234="",#N/A,SUM(GM$4:GM234))</f>
        <v>-0.19159368637264962</v>
      </c>
      <c r="GO234" s="82" t="str">
        <f t="shared" si="429"/>
        <v/>
      </c>
      <c r="GP234" s="82">
        <f>IF($GZ234="",#N/A,SUM(GO$4:GO234))</f>
        <v>11.386619524452389</v>
      </c>
      <c r="GQ234" s="82">
        <f t="shared" si="430"/>
        <v>4.1111621497473578</v>
      </c>
      <c r="GR234" s="82">
        <f>IF($GZ234="",#N/A,SUM(GQ$4:GQ234))</f>
        <v>30.125941391883664</v>
      </c>
      <c r="GS234" s="63" t="str">
        <f t="shared" si="438"/>
        <v/>
      </c>
      <c r="GT234" s="63" t="e">
        <f>IF($GZ234="",#N/A,SUM(GS$4:GS234))</f>
        <v>#N/A</v>
      </c>
      <c r="GU234" s="63" t="str">
        <f t="shared" si="439"/>
        <v/>
      </c>
      <c r="GV234" s="63" t="e">
        <f>IF($GZ234="",#N/A,SUM(GU$4:GU234))</f>
        <v>#N/A</v>
      </c>
      <c r="GW234" s="63" t="e">
        <f t="shared" si="440"/>
        <v>#N/A</v>
      </c>
      <c r="GX234" s="63" t="e">
        <f>IF($GZ234="",#N/A,SUM(GW$4:GW234))</f>
        <v>#N/A</v>
      </c>
      <c r="GY234" s="63" t="e">
        <f>IF(EJ234="",#N/A,SUM($EJ$4:EJ234))</f>
        <v>#N/A</v>
      </c>
      <c r="GZ234" s="159">
        <v>65.599999999999994</v>
      </c>
      <c r="HA234" s="63">
        <f t="shared" si="431"/>
        <v>-15.25</v>
      </c>
      <c r="HB234" s="62" t="s">
        <v>2538</v>
      </c>
      <c r="HC234" s="60">
        <f>IFERROR(VLOOKUP(E234,Expectancy!$P$4:$S$19,1+C234,FALSE),"")</f>
        <v>0.6915396365341927</v>
      </c>
      <c r="HD234" s="82">
        <f t="shared" si="432"/>
        <v>4.6681212677997239</v>
      </c>
      <c r="HE234" s="138">
        <f>IF(HD234="",#N/A,SUM($HD$4:HD234))</f>
        <v>12.050060578831442</v>
      </c>
      <c r="HF234" s="85">
        <f>IF(HD234="",#N/A,IF(HB234="Skip",#N/A,SUM($HG$4:HG234)))</f>
        <v>323.79156919911446</v>
      </c>
      <c r="HG234" s="63">
        <f t="shared" si="433"/>
        <v>121.94999999999999</v>
      </c>
      <c r="HH234" s="82">
        <f t="shared" si="434"/>
        <v>4.1111621497473578</v>
      </c>
    </row>
    <row r="235" spans="1:216" x14ac:dyDescent="0.25">
      <c r="A235" s="57" t="s">
        <v>1601</v>
      </c>
      <c r="B235" s="58" t="s">
        <v>5215</v>
      </c>
      <c r="C235" s="386">
        <f t="shared" si="343"/>
        <v>1</v>
      </c>
      <c r="D235" s="372" t="str">
        <f>_xlfn.XLOOKUP(A235,[1]SP500!$A$2:$A$502,[1]SP500!$D$2:$D$502,"N")</f>
        <v>Y</v>
      </c>
      <c r="E235" s="103" t="str">
        <f>_xlfn.XLOOKUP(A235,[1]SP500!$A$2:$A$655,[1]SP500!$B$2:$B$655)</f>
        <v>INS</v>
      </c>
      <c r="F235" s="59">
        <v>45693</v>
      </c>
      <c r="G235" s="57" t="str">
        <f t="shared" si="344"/>
        <v>AMC</v>
      </c>
      <c r="H235" s="57" t="str">
        <f t="shared" si="345"/>
        <v>o</v>
      </c>
      <c r="I235" s="162">
        <v>123.07</v>
      </c>
      <c r="J235" s="159">
        <v>124.11</v>
      </c>
      <c r="K235" s="61">
        <f t="shared" si="346"/>
        <v>8.4504753392378833E-3</v>
      </c>
      <c r="L235" s="87">
        <f t="shared" si="347"/>
        <v>3.3801901356951589</v>
      </c>
      <c r="M235" s="214" t="e">
        <f t="shared" si="338"/>
        <v>#N/A</v>
      </c>
      <c r="N235" s="168">
        <f t="shared" si="348"/>
        <v>3.3801901356951589</v>
      </c>
      <c r="O235" s="168">
        <f>IF($J235="",#N/A,SUM($N$4:N235))</f>
        <v>300.61511614781222</v>
      </c>
      <c r="P235" s="173" t="str">
        <f t="shared" si="349"/>
        <v/>
      </c>
      <c r="Q235" s="173">
        <f>IF($J235="",#N/A,SUM($P$4:P235))</f>
        <v>630.62776401603674</v>
      </c>
      <c r="R235" s="177" t="str">
        <f t="shared" si="350"/>
        <v/>
      </c>
      <c r="S235" s="177">
        <f>IF($J235="",#N/A,SUM($R$4:R235))</f>
        <v>100.61663788567108</v>
      </c>
      <c r="T235" s="293">
        <f t="shared" si="351"/>
        <v>0.14084125565396496</v>
      </c>
      <c r="U235" s="293">
        <f>IF($J235="",#N/A,SUM($T$4:T235))</f>
        <v>10.85290293409429</v>
      </c>
      <c r="V235" s="294" t="str">
        <f t="shared" si="352"/>
        <v/>
      </c>
      <c r="W235" s="294">
        <f>IF($J235="",#N/A,SUM($V$4:V235))</f>
        <v>26.230324244510406</v>
      </c>
      <c r="X235" s="295" t="str">
        <f t="shared" si="353"/>
        <v/>
      </c>
      <c r="Y235" s="295">
        <f>IF($J235="",#N/A,SUM($X$4:X235))</f>
        <v>3.9690044101704491</v>
      </c>
      <c r="Z235" s="304" t="str">
        <f t="shared" si="354"/>
        <v/>
      </c>
      <c r="AA235" s="316" t="e">
        <f>IF($J235="",#N/A,SUM(Z$4:Z235))</f>
        <v>#N/A</v>
      </c>
      <c r="AB235" s="317" t="str">
        <f t="shared" si="355"/>
        <v/>
      </c>
      <c r="AC235" s="317" t="e">
        <f>IF($J235="",#N/A,SUM(AB$4:AB235))</f>
        <v>#N/A</v>
      </c>
      <c r="AD235" s="318" t="str">
        <f t="shared" si="356"/>
        <v/>
      </c>
      <c r="AE235" s="318" t="e">
        <f>IF($J235="",#N/A,SUM(AD$4:AD235))</f>
        <v>#N/A</v>
      </c>
      <c r="AF235" s="318" t="e">
        <f>IF($J235="",#N/A,SUM(AD$4:AD235,AB$4:AB235,Z$4:Z235))</f>
        <v>#N/A</v>
      </c>
      <c r="AG235" s="304" t="str">
        <f t="shared" si="357"/>
        <v/>
      </c>
      <c r="AH235" s="316" t="e">
        <f>IF($J235="",#N/A,SUM(AG$4:AG235))</f>
        <v>#N/A</v>
      </c>
      <c r="AI235" s="317" t="str">
        <f t="shared" si="358"/>
        <v/>
      </c>
      <c r="AJ235" s="317" t="e">
        <f>IF($J235="",#N/A,SUM(AI$4:AI235))</f>
        <v>#N/A</v>
      </c>
      <c r="AK235" s="318" t="str">
        <f t="shared" si="359"/>
        <v/>
      </c>
      <c r="AL235" s="318" t="e">
        <f>IF($J235="",#N/A,SUM(AK$4:AK235))</f>
        <v>#N/A</v>
      </c>
      <c r="AM235" s="318" t="e">
        <f>IF($J235="",#N/A,SUM(AK$4:AK235,AI$4:AI235,AG$4:AG235))</f>
        <v>#N/A</v>
      </c>
      <c r="AN235" s="304" t="str">
        <f t="shared" si="360"/>
        <v/>
      </c>
      <c r="AO235" s="316" t="e">
        <f>IF($J235="",#N/A,SUM(AN$4:AN235))</f>
        <v>#N/A</v>
      </c>
      <c r="AP235" s="317" t="str">
        <f t="shared" si="361"/>
        <v/>
      </c>
      <c r="AQ235" s="317" t="e">
        <f>IF($J235="",#N/A,SUM(AP$4:AP235))</f>
        <v>#N/A</v>
      </c>
      <c r="AR235" s="318" t="str">
        <f t="shared" si="362"/>
        <v/>
      </c>
      <c r="AS235" s="318" t="e">
        <f>IF($J235="",#N/A,SUM(AR$4:AR235))</f>
        <v>#N/A</v>
      </c>
      <c r="AT235" s="318" t="e">
        <f>IF($J235="",#N/A,SUM(AR$4:AR235,AP$4:AP235,AN$4:AN235))</f>
        <v>#N/A</v>
      </c>
      <c r="AU235" s="304" t="str">
        <f t="shared" si="363"/>
        <v/>
      </c>
      <c r="AV235" s="316" t="e">
        <f>IF($J235="",#N/A,SUM(AU$4:AU235))</f>
        <v>#N/A</v>
      </c>
      <c r="AW235" s="317" t="str">
        <f t="shared" si="364"/>
        <v/>
      </c>
      <c r="AX235" s="317" t="e">
        <f>IF($J235="",#N/A,SUM(AW$4:AW235))</f>
        <v>#N/A</v>
      </c>
      <c r="AY235" s="318" t="str">
        <f t="shared" si="365"/>
        <v/>
      </c>
      <c r="AZ235" s="318" t="e">
        <f>IF($J235="",#N/A,SUM(AY$4:AY235))</f>
        <v>#N/A</v>
      </c>
      <c r="BA235" s="318" t="e">
        <f>IF($J235="",#N/A,SUM(AY$4:AY235,AW$4:AW235,AU$4:AU235))</f>
        <v>#N/A</v>
      </c>
      <c r="BB235" s="304" t="str">
        <f t="shared" si="366"/>
        <v/>
      </c>
      <c r="BC235" s="316" t="e">
        <f>IF($J235="",#N/A,SUM(BB$4:BB235))</f>
        <v>#N/A</v>
      </c>
      <c r="BD235" s="317" t="str">
        <f t="shared" si="367"/>
        <v/>
      </c>
      <c r="BE235" s="317" t="e">
        <f>IF($J235="",#N/A,SUM(BD$4:BD235))</f>
        <v>#N/A</v>
      </c>
      <c r="BF235" s="318" t="str">
        <f t="shared" si="368"/>
        <v/>
      </c>
      <c r="BG235" s="318" t="e">
        <f>IF($J235="",#N/A,SUM(BF$4:BF235))</f>
        <v>#N/A</v>
      </c>
      <c r="BH235" s="318" t="e">
        <f>IF($J235="",#N/A,SUM(BF$4:BF235,BD$4:BD235,BB$4:BB235))</f>
        <v>#N/A</v>
      </c>
      <c r="BI235" s="304" t="str">
        <f t="shared" si="369"/>
        <v/>
      </c>
      <c r="BJ235" s="316" t="e">
        <f>IF($J235="",#N/A,SUM(BI$4:BI235))</f>
        <v>#N/A</v>
      </c>
      <c r="BK235" s="317" t="str">
        <f t="shared" si="370"/>
        <v/>
      </c>
      <c r="BL235" s="317" t="e">
        <f>IF($J235="",#N/A,SUM(BK$4:BK235))</f>
        <v>#N/A</v>
      </c>
      <c r="BM235" s="318" t="str">
        <f t="shared" si="371"/>
        <v/>
      </c>
      <c r="BN235" s="318" t="e">
        <f>IF($J235="",#N/A,SUM(BM$4:BM235))</f>
        <v>#N/A</v>
      </c>
      <c r="BO235" s="318" t="e">
        <f>IF($J235="",#N/A,SUM(BM$4:BM235,BK$4:BK235,BI$4:BI235))</f>
        <v>#N/A</v>
      </c>
      <c r="BP235" s="304" t="str">
        <f t="shared" si="372"/>
        <v/>
      </c>
      <c r="BQ235" s="316" t="e">
        <f>IF($J235="",#N/A,SUM(BP$4:BP235))</f>
        <v>#N/A</v>
      </c>
      <c r="BR235" s="317" t="str">
        <f t="shared" si="373"/>
        <v/>
      </c>
      <c r="BS235" s="317" t="e">
        <f>IF($J235="",#N/A,SUM(BR$4:BR235))</f>
        <v>#N/A</v>
      </c>
      <c r="BT235" s="318" t="str">
        <f t="shared" si="374"/>
        <v/>
      </c>
      <c r="BU235" s="318" t="e">
        <f>IF($J235="",#N/A,SUM(BT$4:BT235))</f>
        <v>#N/A</v>
      </c>
      <c r="BV235" s="318" t="e">
        <f>IF($J235="",#N/A,SUM(BT$4:BT235,BR$4:BR235,BP$4:BP235))</f>
        <v>#N/A</v>
      </c>
      <c r="BW235" s="304" t="str">
        <f t="shared" si="375"/>
        <v/>
      </c>
      <c r="BX235" s="316" t="e">
        <f>IF($J235="",#N/A,SUM(BW$4:BW235))</f>
        <v>#N/A</v>
      </c>
      <c r="BY235" s="317" t="str">
        <f t="shared" si="376"/>
        <v/>
      </c>
      <c r="BZ235" s="317" t="e">
        <f>IF($J235="",#N/A,SUM(BY$4:BY235))</f>
        <v>#N/A</v>
      </c>
      <c r="CA235" s="318" t="str">
        <f t="shared" si="377"/>
        <v/>
      </c>
      <c r="CB235" s="318" t="e">
        <f>IF($J235="",#N/A,SUM(CA$4:CA235))</f>
        <v>#N/A</v>
      </c>
      <c r="CC235" s="318" t="e">
        <f>IF($J235="",#N/A,SUM(CA$4:CA235,BY$4:BY235,BW$4:BW235))</f>
        <v>#N/A</v>
      </c>
      <c r="CD235" s="304" t="str">
        <f t="shared" si="378"/>
        <v/>
      </c>
      <c r="CE235" s="316" t="e">
        <f>IF($J235="",#N/A,SUM(CD$4:CD235))</f>
        <v>#N/A</v>
      </c>
      <c r="CF235" s="317" t="str">
        <f t="shared" si="379"/>
        <v/>
      </c>
      <c r="CG235" s="317" t="e">
        <f>IF($J235="",#N/A,SUM(CF$4:CF235))</f>
        <v>#N/A</v>
      </c>
      <c r="CH235" s="318" t="str">
        <f t="shared" si="380"/>
        <v/>
      </c>
      <c r="CI235" s="318" t="e">
        <f>IF($J235="",#N/A,SUM(CH$4:CH235))</f>
        <v>#N/A</v>
      </c>
      <c r="CJ235" s="318" t="e">
        <f>IF($J235="",#N/A,SUM(CH$4:CH235,CF$4:CF235,CD$4:CD235))</f>
        <v>#N/A</v>
      </c>
      <c r="CK235" s="304" t="str">
        <f t="shared" si="381"/>
        <v/>
      </c>
      <c r="CL235" s="316" t="e">
        <f>IF($J235="",#N/A,SUM(CK$4:CK235))</f>
        <v>#N/A</v>
      </c>
      <c r="CM235" s="317" t="str">
        <f t="shared" si="382"/>
        <v/>
      </c>
      <c r="CN235" s="317" t="e">
        <f>IF($J235="",#N/A,SUM(CM$4:CM235))</f>
        <v>#N/A</v>
      </c>
      <c r="CO235" s="318" t="str">
        <f t="shared" si="383"/>
        <v/>
      </c>
      <c r="CP235" s="318" t="e">
        <f>IF($J235="",#N/A,SUM(CO$4:CO235))</f>
        <v>#N/A</v>
      </c>
      <c r="CQ235" s="318" t="e">
        <f>IF($J235="",#N/A,SUM(CO$4:CO235,CM$4:CM235,CK$4:CK235))</f>
        <v>#N/A</v>
      </c>
      <c r="CR235" s="304" t="str">
        <f t="shared" si="384"/>
        <v/>
      </c>
      <c r="CS235" s="316" t="e">
        <f>IF($J235="",#N/A,SUM(CR$4:CR235))</f>
        <v>#N/A</v>
      </c>
      <c r="CT235" s="317" t="str">
        <f t="shared" si="385"/>
        <v/>
      </c>
      <c r="CU235" s="317" t="e">
        <f>IF($J235="",#N/A,SUM(CT$4:CT235))</f>
        <v>#N/A</v>
      </c>
      <c r="CV235" s="318" t="str">
        <f t="shared" si="386"/>
        <v/>
      </c>
      <c r="CW235" s="318" t="e">
        <f>IF($J235="",#N/A,SUM(CV$4:CV235))</f>
        <v>#N/A</v>
      </c>
      <c r="CX235" s="318" t="e">
        <f>IF($J235="",#N/A,SUM(CV$4:CV235,CT$4:CT235,CR$4:CR235))</f>
        <v>#N/A</v>
      </c>
      <c r="CY235" s="304" t="str">
        <f t="shared" si="387"/>
        <v/>
      </c>
      <c r="CZ235" s="316" t="e">
        <f>IF($J235="",#N/A,SUM(CY$4:CY235))</f>
        <v>#N/A</v>
      </c>
      <c r="DA235" s="317" t="str">
        <f t="shared" si="388"/>
        <v/>
      </c>
      <c r="DB235" s="317" t="e">
        <f>IF($J235="",#N/A,SUM(DA$4:DA235))</f>
        <v>#N/A</v>
      </c>
      <c r="DC235" s="318" t="str">
        <f t="shared" si="389"/>
        <v/>
      </c>
      <c r="DD235" s="318" t="e">
        <f>IF($J235="",#N/A,SUM(DC$4:DC235))</f>
        <v>#N/A</v>
      </c>
      <c r="DE235" s="318" t="e">
        <f>IF($J235="",#N/A,SUM(DC$4:DC235,DA$4:DA235,CY$4:CY235))</f>
        <v>#N/A</v>
      </c>
      <c r="DF235" s="304" t="str">
        <f t="shared" si="390"/>
        <v/>
      </c>
      <c r="DG235" s="316" t="e">
        <f>IF($J235="",#N/A,SUM(DF$4:DF235))</f>
        <v>#N/A</v>
      </c>
      <c r="DH235" s="317" t="str">
        <f t="shared" si="391"/>
        <v/>
      </c>
      <c r="DI235" s="317" t="e">
        <f>IF($J235="",#N/A,SUM(DH$4:DH235))</f>
        <v>#N/A</v>
      </c>
      <c r="DJ235" s="318" t="str">
        <f t="shared" si="392"/>
        <v/>
      </c>
      <c r="DK235" s="318" t="e">
        <f>IF($J235="",#N/A,SUM(DJ$4:DJ235))</f>
        <v>#N/A</v>
      </c>
      <c r="DL235" s="318" t="e">
        <f>IF($J235="",#N/A,SUM(DJ$4:DJ235,DH$4:DH235,DF$4:DF235))</f>
        <v>#N/A</v>
      </c>
      <c r="DM235" s="304">
        <f t="shared" si="393"/>
        <v>0.14084125565396496</v>
      </c>
      <c r="DN235" s="316" t="e">
        <f>IF($J235="",#N/A,SUM(DM$4:DM235))</f>
        <v>#N/A</v>
      </c>
      <c r="DO235" s="317" t="str">
        <f t="shared" si="394"/>
        <v/>
      </c>
      <c r="DP235" s="317" t="e">
        <f>IF($J235="",#N/A,SUM(DO$4:DO235))</f>
        <v>#N/A</v>
      </c>
      <c r="DQ235" s="318" t="str">
        <f t="shared" si="395"/>
        <v/>
      </c>
      <c r="DR235" s="318" t="e">
        <f>IF($J235="",#N/A,SUM(DQ$4:DQ235))</f>
        <v>#N/A</v>
      </c>
      <c r="DS235" s="318" t="e">
        <f>IF($J235="",#N/A,SUM(DQ$4:DQ235,DO$4:DO235,DM$4:DM235))</f>
        <v>#N/A</v>
      </c>
      <c r="DT235" s="304" t="str">
        <f t="shared" si="396"/>
        <v/>
      </c>
      <c r="DU235" s="316" t="e">
        <f>IF($J235="",#N/A,SUM(DT$4:DT235))</f>
        <v>#N/A</v>
      </c>
      <c r="DV235" s="317" t="str">
        <f t="shared" si="397"/>
        <v/>
      </c>
      <c r="DW235" s="317" t="e">
        <f>IF($J235="",#N/A,SUM(DV$4:DV235))</f>
        <v>#N/A</v>
      </c>
      <c r="DX235" s="318" t="str">
        <f t="shared" si="398"/>
        <v/>
      </c>
      <c r="DY235" s="318" t="e">
        <f>IF($J235="",#N/A,SUM(DX$4:DX235))</f>
        <v>#N/A</v>
      </c>
      <c r="DZ235" s="318" t="e">
        <f>IF($J235="",#N/A,SUM(DX$4:DX235,DV$4:DV235,DT$4:DT235))</f>
        <v>#N/A</v>
      </c>
      <c r="EA235" s="304" t="str">
        <f t="shared" si="399"/>
        <v/>
      </c>
      <c r="EB235" s="316" t="e">
        <f>IF($J235="",#N/A,SUM(EA$4:EA235))</f>
        <v>#N/A</v>
      </c>
      <c r="EC235" s="317" t="str">
        <f t="shared" si="400"/>
        <v/>
      </c>
      <c r="ED235" s="317" t="e">
        <f>IF($J235="",#N/A,SUM(EC$4:EC235))</f>
        <v>#N/A</v>
      </c>
      <c r="EE235" s="318" t="str">
        <f t="shared" si="401"/>
        <v/>
      </c>
      <c r="EF235" s="318" t="e">
        <f>IF($J235="",#N/A,SUM(EE$4:EE235))</f>
        <v>#N/A</v>
      </c>
      <c r="EG235" s="318" t="e">
        <f>IF($J235="",#N/A,SUM(EE$4:EE235,EC$4:EC235,EA$4:EA235))</f>
        <v>#N/A</v>
      </c>
      <c r="EH235" s="211">
        <f t="shared" si="402"/>
        <v>3.3801901356951589</v>
      </c>
      <c r="EI235" s="63">
        <f>IF(EH235="",#N/A,SUM($EH$4:EH235))</f>
        <v>1031.8595180495204</v>
      </c>
      <c r="EJ235" s="223" t="e">
        <f t="shared" si="403"/>
        <v>#N/A</v>
      </c>
      <c r="EK235" s="63" t="e">
        <f>IF($GZ235="",#N/A,SUM(EJ$4:EJ235))</f>
        <v>#N/A</v>
      </c>
      <c r="EL235" s="60">
        <f t="shared" si="435"/>
        <v>0.14084125565396496</v>
      </c>
      <c r="EM235" s="60">
        <f>IF(EL235="",NA(),SUM($EL$4:EL235))</f>
        <v>31.488794386826523</v>
      </c>
      <c r="EN235" s="60">
        <f t="shared" si="404"/>
        <v>0.14084125565396496</v>
      </c>
      <c r="EO235" s="60">
        <f>IF(EN235="",NA(),SUM($EN$4:EN235))</f>
        <v>8.8961961094435651</v>
      </c>
      <c r="EP235" s="60" t="str">
        <f t="shared" si="405"/>
        <v/>
      </c>
      <c r="EQ235" s="60" t="e">
        <f>IF(EP235="",NA(),SUM($EP$4:EP235))</f>
        <v>#N/A</v>
      </c>
      <c r="ER235" s="60" t="str">
        <f t="shared" si="406"/>
        <v/>
      </c>
      <c r="ES235" s="60" t="e">
        <f>IF(ER235="",NA(),SUM($ER$4:ER235))</f>
        <v>#N/A</v>
      </c>
      <c r="ET235" s="60" t="str">
        <f t="shared" si="407"/>
        <v/>
      </c>
      <c r="EU235" s="60" t="e">
        <f>IF(ET235="",NA(),SUM($ET$4:ET235))</f>
        <v>#N/A</v>
      </c>
      <c r="EV235" s="60" t="str">
        <f t="shared" si="408"/>
        <v/>
      </c>
      <c r="EW235" s="60" t="e">
        <f>IF(EV235="",NA(),SUM($EV$4:EV235))</f>
        <v>#N/A</v>
      </c>
      <c r="EX235" s="60" t="str">
        <f t="shared" si="409"/>
        <v/>
      </c>
      <c r="EY235" s="60" t="e">
        <f>IF(EX235="",NA(),SUM($EX$4:EX235))</f>
        <v>#N/A</v>
      </c>
      <c r="EZ235" s="60" t="str">
        <f t="shared" si="410"/>
        <v/>
      </c>
      <c r="FA235" s="60" t="e">
        <f>IF(EZ235="",NA(),SUM($EZ$4:EZ235))</f>
        <v>#N/A</v>
      </c>
      <c r="FB235" s="246" t="str">
        <f t="shared" si="436"/>
        <v/>
      </c>
      <c r="FC235" s="246" t="e">
        <f>IF($FB235="",#N/A,SUM(FB$4:$FB235))</f>
        <v>#N/A</v>
      </c>
      <c r="FD235" s="60" t="str">
        <f t="shared" si="411"/>
        <v/>
      </c>
      <c r="FE235" s="60" t="e">
        <f>IF($FD235="",#N/A,SUM($FD$4:FD235))</f>
        <v>#N/A</v>
      </c>
      <c r="FF235" s="60">
        <f t="shared" si="412"/>
        <v>-0.56065653693020323</v>
      </c>
      <c r="FG235" s="60">
        <f>IF($FF235="",#N/A,SUM($FF$4:FF235))</f>
        <v>-1.8875199142928833</v>
      </c>
      <c r="FH235" s="60" t="str">
        <f t="shared" si="413"/>
        <v/>
      </c>
      <c r="FI235" s="60" t="e">
        <f>IF($FH235="",#N/A,SUM($FH$4:FH235))</f>
        <v>#N/A</v>
      </c>
      <c r="FJ235" s="60" t="str">
        <f t="shared" si="414"/>
        <v/>
      </c>
      <c r="FK235" s="60" t="e">
        <f>IF($FJ235="",#N/A,SUM($FJ$4:FJ235))</f>
        <v>#N/A</v>
      </c>
      <c r="FL235" s="60" t="str">
        <f t="shared" si="415"/>
        <v/>
      </c>
      <c r="FM235" s="60" t="e">
        <f>IF($FL235="",#N/A,SUM($FL$4:FL235))</f>
        <v>#N/A</v>
      </c>
      <c r="FN235" s="82">
        <f t="shared" si="416"/>
        <v>-0.41981528127623829</v>
      </c>
      <c r="FO235" s="82">
        <f>IF($FN235="",#N/A,SUM(FN$4:$FN235))</f>
        <v>41.526988903129507</v>
      </c>
      <c r="FP235" s="82">
        <f t="shared" si="437"/>
        <v>0.14084125565396496</v>
      </c>
      <c r="FQ235" s="246">
        <f>IF($EH235="",#N/A,SUM($FP$4:FP235))</f>
        <v>41.052231588775143</v>
      </c>
      <c r="FR235" s="82">
        <f>IFERROR(FQ235/COUNTA($J$4:J235),#N/A)</f>
        <v>0.17694927408954803</v>
      </c>
      <c r="FS235" s="82">
        <f t="shared" si="445"/>
        <v>0.32960955155678662</v>
      </c>
      <c r="FT235" s="82">
        <f t="shared" si="446"/>
        <v>0.45085868290545411</v>
      </c>
      <c r="FU235" s="273"/>
      <c r="FV235" s="57" t="str">
        <f t="shared" si="418"/>
        <v>Up</v>
      </c>
      <c r="FW235" s="57" t="s">
        <v>2733</v>
      </c>
      <c r="FX235" s="57">
        <f t="shared" si="419"/>
        <v>1</v>
      </c>
      <c r="FY235" s="57" t="str">
        <f t="shared" si="420"/>
        <v/>
      </c>
      <c r="FZ235" s="57" t="str">
        <f t="shared" si="421"/>
        <v/>
      </c>
      <c r="GA235" s="57" t="str">
        <f t="shared" si="422"/>
        <v>Long</v>
      </c>
      <c r="GB235" s="57" t="str">
        <f t="shared" si="423"/>
        <v/>
      </c>
      <c r="GC235" s="57" t="str">
        <f t="shared" si="424"/>
        <v/>
      </c>
      <c r="GD235" s="57" t="str">
        <f t="shared" si="425"/>
        <v/>
      </c>
      <c r="GE235" s="62">
        <f t="shared" si="339"/>
        <v>123.07</v>
      </c>
      <c r="GF235" s="62" t="s">
        <v>2779</v>
      </c>
      <c r="GG235" s="99">
        <f>400/I235</f>
        <v>3.2501828227837817</v>
      </c>
      <c r="GH235" s="207">
        <f t="shared" si="426"/>
        <v>400</v>
      </c>
      <c r="GI235" s="99">
        <f>GG235</f>
        <v>3.2501828227837817</v>
      </c>
      <c r="GJ235" s="98">
        <f>J235</f>
        <v>124.11</v>
      </c>
      <c r="GK235" s="63">
        <f t="shared" si="427"/>
        <v>3.3801901356951589</v>
      </c>
      <c r="GL235" s="63">
        <f t="shared" si="340"/>
        <v>-10.075566750629719</v>
      </c>
      <c r="GM235" s="82" t="str">
        <f t="shared" si="428"/>
        <v/>
      </c>
      <c r="GN235" s="82">
        <f>IF($GZ235="",#N/A,SUM(GM$4:GM235))</f>
        <v>-0.19159368637264962</v>
      </c>
      <c r="GO235" s="82">
        <f t="shared" si="429"/>
        <v>-0.41981528127623829</v>
      </c>
      <c r="GP235" s="82">
        <f>IF($GZ235="",#N/A,SUM(GO$4:GO235))</f>
        <v>10.966804243176151</v>
      </c>
      <c r="GQ235" s="82" t="str">
        <f t="shared" si="430"/>
        <v/>
      </c>
      <c r="GR235" s="82">
        <f>IF($GZ235="",#N/A,SUM(GQ$4:GQ235))</f>
        <v>30.125941391883664</v>
      </c>
      <c r="GS235" s="63" t="str">
        <f t="shared" si="438"/>
        <v/>
      </c>
      <c r="GT235" s="63" t="e">
        <f>IF($GZ235="",#N/A,SUM(GS$4:GS235))</f>
        <v>#N/A</v>
      </c>
      <c r="GU235" s="63" t="e">
        <f t="shared" si="439"/>
        <v>#N/A</v>
      </c>
      <c r="GV235" s="63" t="e">
        <f>IF($GZ235="",#N/A,SUM(GU$4:GU235))</f>
        <v>#N/A</v>
      </c>
      <c r="GW235" s="63" t="str">
        <f t="shared" si="440"/>
        <v/>
      </c>
      <c r="GX235" s="63" t="e">
        <f>IF($GZ235="",#N/A,SUM(GW$4:GW235))</f>
        <v>#N/A</v>
      </c>
      <c r="GY235" s="63" t="e">
        <f>IF(EJ235="",#N/A,SUM($EJ$4:EJ235))</f>
        <v>#N/A</v>
      </c>
      <c r="GZ235" s="159">
        <v>119.97</v>
      </c>
      <c r="HA235" s="63">
        <f t="shared" si="431"/>
        <v>-13.455756886324878</v>
      </c>
      <c r="HB235" s="130" t="s">
        <v>4970</v>
      </c>
      <c r="HC235" s="60">
        <f>IFERROR(VLOOKUP(E235,Expectancy!$P$4:$S$19,1+C235,FALSE),"")</f>
        <v>-1.4093989360216316E-2</v>
      </c>
      <c r="HD235" s="82" t="str">
        <f t="shared" si="432"/>
        <v/>
      </c>
      <c r="HE235" s="138" t="e">
        <f>IF(HD235="",#N/A,SUM($HD$4:HD235))</f>
        <v>#N/A</v>
      </c>
      <c r="HF235" s="85" t="e">
        <f>IF(HD235="",#N/A,IF(HB235="Skip",#N/A,SUM($HG$4:HG235)))</f>
        <v>#N/A</v>
      </c>
      <c r="HG235" s="205" t="str">
        <f t="shared" si="433"/>
        <v/>
      </c>
      <c r="HH235" s="82">
        <f t="shared" si="434"/>
        <v>-0.41981528127623829</v>
      </c>
    </row>
    <row r="236" spans="1:216" x14ac:dyDescent="0.25">
      <c r="A236" s="57" t="s">
        <v>2614</v>
      </c>
      <c r="B236" s="58" t="s">
        <v>5223</v>
      </c>
      <c r="C236" s="386">
        <f t="shared" si="343"/>
        <v>3</v>
      </c>
      <c r="D236" s="372" t="str">
        <f>_xlfn.XLOOKUP(A236,[1]SP500!$A$2:$A$502,[1]SP500!$D$2:$D$502,"N")</f>
        <v>N</v>
      </c>
      <c r="E236" s="57" t="str">
        <f>_xlfn.XLOOKUP(A236,[1]SP500!$A$2:$A$655,[1]SP500!$B$2:$B$655)</f>
        <v>IGV</v>
      </c>
      <c r="F236" s="227">
        <v>45693</v>
      </c>
      <c r="G236" s="57" t="str">
        <f t="shared" si="344"/>
        <v>AMC</v>
      </c>
      <c r="H236" s="57" t="str">
        <f t="shared" si="345"/>
        <v>o</v>
      </c>
      <c r="I236" s="159">
        <v>336.7</v>
      </c>
      <c r="J236" s="159">
        <v>338.7</v>
      </c>
      <c r="K236" s="61">
        <f t="shared" si="346"/>
        <v>5.9400059400059402E-3</v>
      </c>
      <c r="L236" s="87">
        <f t="shared" si="347"/>
        <v>2.3760023760023614</v>
      </c>
      <c r="M236" s="214" t="e">
        <f t="shared" si="338"/>
        <v>#N/A</v>
      </c>
      <c r="N236" s="169" t="str">
        <f t="shared" si="348"/>
        <v/>
      </c>
      <c r="O236" s="169">
        <f>IF($J236="",#N/A,SUM($N$4:N236))</f>
        <v>300.61511614781222</v>
      </c>
      <c r="P236" s="174" t="str">
        <f t="shared" si="349"/>
        <v/>
      </c>
      <c r="Q236" s="174">
        <f>IF($J236="",#N/A,SUM($P$4:P236))</f>
        <v>630.62776401603674</v>
      </c>
      <c r="R236" s="178">
        <f t="shared" si="350"/>
        <v>2.3760023760023614</v>
      </c>
      <c r="S236" s="178">
        <f>IF($J236="",#N/A,SUM($R$4:R236))</f>
        <v>102.99264026167344</v>
      </c>
      <c r="T236" s="290" t="str">
        <f t="shared" si="351"/>
        <v/>
      </c>
      <c r="U236" s="290">
        <f>IF($J236="",#N/A,SUM($T$4:T236))</f>
        <v>10.85290293409429</v>
      </c>
      <c r="V236" s="291" t="str">
        <f t="shared" si="352"/>
        <v/>
      </c>
      <c r="W236" s="291">
        <f>IF($J236="",#N/A,SUM($V$4:V236))</f>
        <v>26.230324244510406</v>
      </c>
      <c r="X236" s="292">
        <f t="shared" si="353"/>
        <v>9.9000099000098388E-2</v>
      </c>
      <c r="Y236" s="292">
        <f>IF($J236="",#N/A,SUM($X$4:X236))</f>
        <v>4.0680045091705477</v>
      </c>
      <c r="Z236" s="304" t="str">
        <f t="shared" si="354"/>
        <v/>
      </c>
      <c r="AA236" s="313" t="e">
        <f>IF($J236="",#N/A,SUM(Z$4:Z236))</f>
        <v>#N/A</v>
      </c>
      <c r="AB236" s="314" t="str">
        <f t="shared" si="355"/>
        <v/>
      </c>
      <c r="AC236" s="314" t="e">
        <f>IF($J236="",#N/A,SUM(AB$4:AB236))</f>
        <v>#N/A</v>
      </c>
      <c r="AD236" s="315" t="str">
        <f t="shared" si="356"/>
        <v/>
      </c>
      <c r="AE236" s="315" t="e">
        <f>IF($J236="",#N/A,SUM(AD$4:AD236))</f>
        <v>#N/A</v>
      </c>
      <c r="AF236" s="315" t="e">
        <f>IF($J236="",#N/A,SUM(AD$4:AD236,AB$4:AB236,Z$4:Z236))</f>
        <v>#N/A</v>
      </c>
      <c r="AG236" s="304" t="str">
        <f t="shared" si="357"/>
        <v/>
      </c>
      <c r="AH236" s="313" t="e">
        <f>IF($J236="",#N/A,SUM(AG$4:AG236))</f>
        <v>#N/A</v>
      </c>
      <c r="AI236" s="314" t="str">
        <f t="shared" si="358"/>
        <v/>
      </c>
      <c r="AJ236" s="314" t="e">
        <f>IF($J236="",#N/A,SUM(AI$4:AI236))</f>
        <v>#N/A</v>
      </c>
      <c r="AK236" s="315">
        <f t="shared" si="359"/>
        <v>9.9000099000098388E-2</v>
      </c>
      <c r="AL236" s="315" t="e">
        <f>IF($J236="",#N/A,SUM(AK$4:AK236))</f>
        <v>#N/A</v>
      </c>
      <c r="AM236" s="315" t="e">
        <f>IF($J236="",#N/A,SUM(AK$4:AK236,AI$4:AI236,AG$4:AG236))</f>
        <v>#N/A</v>
      </c>
      <c r="AN236" s="304" t="str">
        <f t="shared" si="360"/>
        <v/>
      </c>
      <c r="AO236" s="313" t="e">
        <f>IF($J236="",#N/A,SUM(AN$4:AN236))</f>
        <v>#N/A</v>
      </c>
      <c r="AP236" s="314" t="str">
        <f t="shared" si="361"/>
        <v/>
      </c>
      <c r="AQ236" s="314" t="e">
        <f>IF($J236="",#N/A,SUM(AP$4:AP236))</f>
        <v>#N/A</v>
      </c>
      <c r="AR236" s="315" t="str">
        <f t="shared" si="362"/>
        <v/>
      </c>
      <c r="AS236" s="315" t="e">
        <f>IF($J236="",#N/A,SUM(AR$4:AR236))</f>
        <v>#N/A</v>
      </c>
      <c r="AT236" s="315" t="e">
        <f>IF($J236="",#N/A,SUM(AR$4:AR236,AP$4:AP236,AN$4:AN236))</f>
        <v>#N/A</v>
      </c>
      <c r="AU236" s="304" t="str">
        <f t="shared" si="363"/>
        <v/>
      </c>
      <c r="AV236" s="313" t="e">
        <f>IF($J236="",#N/A,SUM(AU$4:AU236))</f>
        <v>#N/A</v>
      </c>
      <c r="AW236" s="314" t="str">
        <f t="shared" si="364"/>
        <v/>
      </c>
      <c r="AX236" s="314" t="e">
        <f>IF($J236="",#N/A,SUM(AW$4:AW236))</f>
        <v>#N/A</v>
      </c>
      <c r="AY236" s="315" t="str">
        <f t="shared" si="365"/>
        <v/>
      </c>
      <c r="AZ236" s="315" t="e">
        <f>IF($J236="",#N/A,SUM(AY$4:AY236))</f>
        <v>#N/A</v>
      </c>
      <c r="BA236" s="315" t="e">
        <f>IF($J236="",#N/A,SUM(AY$4:AY236,AW$4:AW236,AU$4:AU236))</f>
        <v>#N/A</v>
      </c>
      <c r="BB236" s="304" t="str">
        <f t="shared" si="366"/>
        <v/>
      </c>
      <c r="BC236" s="313" t="e">
        <f>IF($J236="",#N/A,SUM(BB$4:BB236))</f>
        <v>#N/A</v>
      </c>
      <c r="BD236" s="314" t="str">
        <f t="shared" si="367"/>
        <v/>
      </c>
      <c r="BE236" s="314" t="e">
        <f>IF($J236="",#N/A,SUM(BD$4:BD236))</f>
        <v>#N/A</v>
      </c>
      <c r="BF236" s="315" t="str">
        <f t="shared" si="368"/>
        <v/>
      </c>
      <c r="BG236" s="315" t="e">
        <f>IF($J236="",#N/A,SUM(BF$4:BF236))</f>
        <v>#N/A</v>
      </c>
      <c r="BH236" s="315" t="e">
        <f>IF($J236="",#N/A,SUM(BF$4:BF236,BD$4:BD236,BB$4:BB236))</f>
        <v>#N/A</v>
      </c>
      <c r="BI236" s="304" t="str">
        <f t="shared" si="369"/>
        <v/>
      </c>
      <c r="BJ236" s="313" t="e">
        <f>IF($J236="",#N/A,SUM(BI$4:BI236))</f>
        <v>#N/A</v>
      </c>
      <c r="BK236" s="314" t="str">
        <f t="shared" si="370"/>
        <v/>
      </c>
      <c r="BL236" s="314" t="e">
        <f>IF($J236="",#N/A,SUM(BK$4:BK236))</f>
        <v>#N/A</v>
      </c>
      <c r="BM236" s="315" t="str">
        <f t="shared" si="371"/>
        <v/>
      </c>
      <c r="BN236" s="315" t="e">
        <f>IF($J236="",#N/A,SUM(BM$4:BM236))</f>
        <v>#N/A</v>
      </c>
      <c r="BO236" s="315" t="e">
        <f>IF($J236="",#N/A,SUM(BM$4:BM236,BK$4:BK236,BI$4:BI236))</f>
        <v>#N/A</v>
      </c>
      <c r="BP236" s="304" t="str">
        <f t="shared" si="372"/>
        <v/>
      </c>
      <c r="BQ236" s="313" t="e">
        <f>IF($J236="",#N/A,SUM(BP$4:BP236))</f>
        <v>#N/A</v>
      </c>
      <c r="BR236" s="314" t="str">
        <f t="shared" si="373"/>
        <v/>
      </c>
      <c r="BS236" s="314" t="e">
        <f>IF($J236="",#N/A,SUM(BR$4:BR236))</f>
        <v>#N/A</v>
      </c>
      <c r="BT236" s="315" t="str">
        <f t="shared" si="374"/>
        <v/>
      </c>
      <c r="BU236" s="315" t="e">
        <f>IF($J236="",#N/A,SUM(BT$4:BT236))</f>
        <v>#N/A</v>
      </c>
      <c r="BV236" s="315" t="e">
        <f>IF($J236="",#N/A,SUM(BT$4:BT236,BR$4:BR236,BP$4:BP236))</f>
        <v>#N/A</v>
      </c>
      <c r="BW236" s="304" t="str">
        <f t="shared" si="375"/>
        <v/>
      </c>
      <c r="BX236" s="313" t="e">
        <f>IF($J236="",#N/A,SUM(BW$4:BW236))</f>
        <v>#N/A</v>
      </c>
      <c r="BY236" s="314" t="str">
        <f t="shared" si="376"/>
        <v/>
      </c>
      <c r="BZ236" s="314" t="e">
        <f>IF($J236="",#N/A,SUM(BY$4:BY236))</f>
        <v>#N/A</v>
      </c>
      <c r="CA236" s="315" t="str">
        <f t="shared" si="377"/>
        <v/>
      </c>
      <c r="CB236" s="315" t="e">
        <f>IF($J236="",#N/A,SUM(CA$4:CA236))</f>
        <v>#N/A</v>
      </c>
      <c r="CC236" s="315" t="e">
        <f>IF($J236="",#N/A,SUM(CA$4:CA236,BY$4:BY236,BW$4:BW236))</f>
        <v>#N/A</v>
      </c>
      <c r="CD236" s="304" t="str">
        <f t="shared" si="378"/>
        <v/>
      </c>
      <c r="CE236" s="313" t="e">
        <f>IF($J236="",#N/A,SUM(CD$4:CD236))</f>
        <v>#N/A</v>
      </c>
      <c r="CF236" s="314" t="str">
        <f t="shared" si="379"/>
        <v/>
      </c>
      <c r="CG236" s="314" t="e">
        <f>IF($J236="",#N/A,SUM(CF$4:CF236))</f>
        <v>#N/A</v>
      </c>
      <c r="CH236" s="315" t="str">
        <f t="shared" si="380"/>
        <v/>
      </c>
      <c r="CI236" s="315" t="e">
        <f>IF($J236="",#N/A,SUM(CH$4:CH236))</f>
        <v>#N/A</v>
      </c>
      <c r="CJ236" s="315" t="e">
        <f>IF($J236="",#N/A,SUM(CH$4:CH236,CF$4:CF236,CD$4:CD236))</f>
        <v>#N/A</v>
      </c>
      <c r="CK236" s="304" t="str">
        <f t="shared" si="381"/>
        <v/>
      </c>
      <c r="CL236" s="313" t="e">
        <f>IF($J236="",#N/A,SUM(CK$4:CK236))</f>
        <v>#N/A</v>
      </c>
      <c r="CM236" s="314" t="str">
        <f t="shared" si="382"/>
        <v/>
      </c>
      <c r="CN236" s="314" t="e">
        <f>IF($J236="",#N/A,SUM(CM$4:CM236))</f>
        <v>#N/A</v>
      </c>
      <c r="CO236" s="315" t="str">
        <f t="shared" si="383"/>
        <v/>
      </c>
      <c r="CP236" s="315" t="e">
        <f>IF($J236="",#N/A,SUM(CO$4:CO236))</f>
        <v>#N/A</v>
      </c>
      <c r="CQ236" s="315" t="e">
        <f>IF($J236="",#N/A,SUM(CO$4:CO236,CM$4:CM236,CK$4:CK236))</f>
        <v>#N/A</v>
      </c>
      <c r="CR236" s="304" t="str">
        <f t="shared" si="384"/>
        <v/>
      </c>
      <c r="CS236" s="313" t="e">
        <f>IF($J236="",#N/A,SUM(CR$4:CR236))</f>
        <v>#N/A</v>
      </c>
      <c r="CT236" s="314" t="str">
        <f t="shared" si="385"/>
        <v/>
      </c>
      <c r="CU236" s="314" t="e">
        <f>IF($J236="",#N/A,SUM(CT$4:CT236))</f>
        <v>#N/A</v>
      </c>
      <c r="CV236" s="315" t="str">
        <f t="shared" si="386"/>
        <v/>
      </c>
      <c r="CW236" s="315" t="e">
        <f>IF($J236="",#N/A,SUM(CV$4:CV236))</f>
        <v>#N/A</v>
      </c>
      <c r="CX236" s="315" t="e">
        <f>IF($J236="",#N/A,SUM(CV$4:CV236,CT$4:CT236,CR$4:CR236))</f>
        <v>#N/A</v>
      </c>
      <c r="CY236" s="304" t="str">
        <f t="shared" si="387"/>
        <v/>
      </c>
      <c r="CZ236" s="313" t="e">
        <f>IF($J236="",#N/A,SUM(CY$4:CY236))</f>
        <v>#N/A</v>
      </c>
      <c r="DA236" s="314" t="str">
        <f t="shared" si="388"/>
        <v/>
      </c>
      <c r="DB236" s="314" t="e">
        <f>IF($J236="",#N/A,SUM(DA$4:DA236))</f>
        <v>#N/A</v>
      </c>
      <c r="DC236" s="315" t="str">
        <f t="shared" si="389"/>
        <v/>
      </c>
      <c r="DD236" s="315" t="e">
        <f>IF($J236="",#N/A,SUM(DC$4:DC236))</f>
        <v>#N/A</v>
      </c>
      <c r="DE236" s="315" t="e">
        <f>IF($J236="",#N/A,SUM(DC$4:DC236,DA$4:DA236,CY$4:CY236))</f>
        <v>#N/A</v>
      </c>
      <c r="DF236" s="304" t="str">
        <f t="shared" si="390"/>
        <v/>
      </c>
      <c r="DG236" s="313" t="e">
        <f>IF($J236="",#N/A,SUM(DF$4:DF236))</f>
        <v>#N/A</v>
      </c>
      <c r="DH236" s="314" t="str">
        <f t="shared" si="391"/>
        <v/>
      </c>
      <c r="DI236" s="314" t="e">
        <f>IF($J236="",#N/A,SUM(DH$4:DH236))</f>
        <v>#N/A</v>
      </c>
      <c r="DJ236" s="315" t="str">
        <f t="shared" si="392"/>
        <v/>
      </c>
      <c r="DK236" s="315" t="e">
        <f>IF($J236="",#N/A,SUM(DJ$4:DJ236))</f>
        <v>#N/A</v>
      </c>
      <c r="DL236" s="315" t="e">
        <f>IF($J236="",#N/A,SUM(DJ$4:DJ236,DH$4:DH236,DF$4:DF236))</f>
        <v>#N/A</v>
      </c>
      <c r="DM236" s="304" t="str">
        <f t="shared" si="393"/>
        <v/>
      </c>
      <c r="DN236" s="313" t="e">
        <f>IF($J236="",#N/A,SUM(DM$4:DM236))</f>
        <v>#N/A</v>
      </c>
      <c r="DO236" s="314" t="str">
        <f t="shared" si="394"/>
        <v/>
      </c>
      <c r="DP236" s="314" t="e">
        <f>IF($J236="",#N/A,SUM(DO$4:DO236))</f>
        <v>#N/A</v>
      </c>
      <c r="DQ236" s="315" t="str">
        <f t="shared" si="395"/>
        <v/>
      </c>
      <c r="DR236" s="315" t="e">
        <f>IF($J236="",#N/A,SUM(DQ$4:DQ236))</f>
        <v>#N/A</v>
      </c>
      <c r="DS236" s="315" t="e">
        <f>IF($J236="",#N/A,SUM(DQ$4:DQ236,DO$4:DO236,DM$4:DM236))</f>
        <v>#N/A</v>
      </c>
      <c r="DT236" s="304" t="str">
        <f t="shared" si="396"/>
        <v/>
      </c>
      <c r="DU236" s="313" t="e">
        <f>IF($J236="",#N/A,SUM(DT$4:DT236))</f>
        <v>#N/A</v>
      </c>
      <c r="DV236" s="314" t="str">
        <f t="shared" si="397"/>
        <v/>
      </c>
      <c r="DW236" s="314" t="e">
        <f>IF($J236="",#N/A,SUM(DV$4:DV236))</f>
        <v>#N/A</v>
      </c>
      <c r="DX236" s="315" t="str">
        <f t="shared" si="398"/>
        <v/>
      </c>
      <c r="DY236" s="315" t="e">
        <f>IF($J236="",#N/A,SUM(DX$4:DX236))</f>
        <v>#N/A</v>
      </c>
      <c r="DZ236" s="315" t="e">
        <f>IF($J236="",#N/A,SUM(DX$4:DX236,DV$4:DV236,DT$4:DT236))</f>
        <v>#N/A</v>
      </c>
      <c r="EA236" s="304" t="str">
        <f t="shared" si="399"/>
        <v/>
      </c>
      <c r="EB236" s="313" t="e">
        <f>IF($J236="",#N/A,SUM(EA$4:EA236))</f>
        <v>#N/A</v>
      </c>
      <c r="EC236" s="314" t="str">
        <f t="shared" si="400"/>
        <v/>
      </c>
      <c r="ED236" s="314" t="e">
        <f>IF($J236="",#N/A,SUM(EC$4:EC236))</f>
        <v>#N/A</v>
      </c>
      <c r="EE236" s="315" t="str">
        <f t="shared" si="401"/>
        <v/>
      </c>
      <c r="EF236" s="315" t="e">
        <f>IF($J236="",#N/A,SUM(EE$4:EE236))</f>
        <v>#N/A</v>
      </c>
      <c r="EG236" s="315" t="e">
        <f>IF($J236="",#N/A,SUM(EE$4:EE236,EC$4:EC236,EA$4:EA236))</f>
        <v>#N/A</v>
      </c>
      <c r="EH236" s="130">
        <f t="shared" si="402"/>
        <v>2.3760023760023614</v>
      </c>
      <c r="EI236" s="63">
        <f>IF(EH236="",#N/A,SUM($EH$4:EH236))</f>
        <v>1034.2355204255227</v>
      </c>
      <c r="EJ236" s="223" t="e">
        <f t="shared" si="403"/>
        <v>#N/A</v>
      </c>
      <c r="EK236" s="63" t="e">
        <f>IF($GZ236="",#N/A,SUM(EJ$4:EJ236))</f>
        <v>#N/A</v>
      </c>
      <c r="EL236" s="60" t="str">
        <f t="shared" si="435"/>
        <v/>
      </c>
      <c r="EM236" s="60" t="e">
        <f>IF(EL236="",NA(),SUM($EL$4:EL236))</f>
        <v>#N/A</v>
      </c>
      <c r="EN236" s="60" t="str">
        <f t="shared" si="404"/>
        <v/>
      </c>
      <c r="EO236" s="60" t="e">
        <f>IF(EN236="",NA(),SUM($EN$4:EN236))</f>
        <v>#N/A</v>
      </c>
      <c r="EP236" s="60" t="str">
        <f t="shared" si="405"/>
        <v/>
      </c>
      <c r="EQ236" s="60" t="e">
        <f>IF(EP236="",NA(),SUM($EP$4:EP236))</f>
        <v>#N/A</v>
      </c>
      <c r="ER236" s="60" t="str">
        <f t="shared" si="406"/>
        <v/>
      </c>
      <c r="ES236" s="60" t="e">
        <f>IF(ER236="",NA(),SUM($ER$4:ER236))</f>
        <v>#N/A</v>
      </c>
      <c r="ET236" s="60">
        <f t="shared" si="407"/>
        <v>9.9000099000098388E-2</v>
      </c>
      <c r="EU236" s="60">
        <f>IF(ET236="",NA(),SUM($ET$4:ET236))</f>
        <v>9.6624373009487261</v>
      </c>
      <c r="EV236" s="60" t="str">
        <f t="shared" si="408"/>
        <v/>
      </c>
      <c r="EW236" s="60" t="e">
        <f>IF(EV236="",NA(),SUM($EV$4:EV236))</f>
        <v>#N/A</v>
      </c>
      <c r="EX236" s="60">
        <f t="shared" si="409"/>
        <v>9.9000099000098388E-2</v>
      </c>
      <c r="EY236" s="60">
        <f>IF(EX236="",NA(),SUM($EX$4:EX236))</f>
        <v>-0.82875682107709725</v>
      </c>
      <c r="EZ236" s="60" t="str">
        <f t="shared" si="410"/>
        <v/>
      </c>
      <c r="FA236" s="60" t="e">
        <f>IF(EZ236="",NA(),SUM($EZ$4:EZ236))</f>
        <v>#N/A</v>
      </c>
      <c r="FB236" s="246" t="str">
        <f t="shared" si="436"/>
        <v/>
      </c>
      <c r="FC236" s="246" t="e">
        <f>IF($FB236="",#N/A,SUM(FB$4:$FB236))</f>
        <v>#N/A</v>
      </c>
      <c r="FD236" s="60" t="str">
        <f t="shared" si="411"/>
        <v/>
      </c>
      <c r="FE236" s="60" t="e">
        <f>IF($FD236="",#N/A,SUM($FD$4:FD236))</f>
        <v>#N/A</v>
      </c>
      <c r="FF236" s="60" t="str">
        <f t="shared" si="412"/>
        <v/>
      </c>
      <c r="FG236" s="60" t="e">
        <f>IF($FF236="",#N/A,SUM($FF$4:FF236))</f>
        <v>#N/A</v>
      </c>
      <c r="FH236" s="60" t="str">
        <f t="shared" si="413"/>
        <v/>
      </c>
      <c r="FI236" s="60" t="e">
        <f>IF($FH236="",#N/A,SUM($FH$4:FH236))</f>
        <v>#N/A</v>
      </c>
      <c r="FJ236" s="60">
        <f t="shared" si="414"/>
        <v>-0.65538065538065626</v>
      </c>
      <c r="FK236" s="60">
        <f>IF($FJ236="",#N/A,SUM($FJ$4:FJ236))</f>
        <v>-5.7078652252062856</v>
      </c>
      <c r="FL236" s="60" t="str">
        <f t="shared" si="415"/>
        <v/>
      </c>
      <c r="FM236" s="60" t="e">
        <f>IF($FL236="",#N/A,SUM($FL$4:FL236))</f>
        <v>#N/A</v>
      </c>
      <c r="FN236" s="82">
        <f t="shared" si="416"/>
        <v>-0.55638055638055783</v>
      </c>
      <c r="FO236" s="82">
        <f>IF($FN236="",#N/A,SUM(FN$4:$FN236))</f>
        <v>40.970608346748946</v>
      </c>
      <c r="FP236" s="82">
        <f t="shared" si="437"/>
        <v>9.9000099000098388E-2</v>
      </c>
      <c r="FQ236" s="246">
        <f>IF($EH236="",#N/A,SUM($FP$4:FP236))</f>
        <v>41.151231687775244</v>
      </c>
      <c r="FR236" s="82">
        <f>IFERROR(FQ236/COUNTA($J$4:J236),#N/A)</f>
        <v>0.17661472827371349</v>
      </c>
      <c r="FS236" s="82">
        <f t="shared" si="445"/>
        <v>0.29778713590719996</v>
      </c>
      <c r="FT236" s="82">
        <f t="shared" si="446"/>
        <v>0.37322153758117654</v>
      </c>
      <c r="FU236" s="273"/>
      <c r="FV236" s="57" t="str">
        <f t="shared" si="418"/>
        <v>SW</v>
      </c>
      <c r="FW236" s="57" t="s">
        <v>2732</v>
      </c>
      <c r="FX236" s="57" t="str">
        <f t="shared" si="419"/>
        <v/>
      </c>
      <c r="FY236" s="57" t="str">
        <f t="shared" si="420"/>
        <v/>
      </c>
      <c r="FZ236" s="57">
        <f t="shared" si="421"/>
        <v>1</v>
      </c>
      <c r="GA236" s="57" t="str">
        <f t="shared" si="422"/>
        <v>Long</v>
      </c>
      <c r="GB236" s="57" t="str">
        <f t="shared" si="423"/>
        <v/>
      </c>
      <c r="GC236" s="57" t="str">
        <f t="shared" si="424"/>
        <v/>
      </c>
      <c r="GD236" s="57" t="str">
        <f t="shared" si="425"/>
        <v/>
      </c>
      <c r="GE236" s="62">
        <f t="shared" si="339"/>
        <v>336.7</v>
      </c>
      <c r="GF236" s="62" t="s">
        <v>2779</v>
      </c>
      <c r="GG236" s="99">
        <f>400/I236</f>
        <v>1.188001188001188</v>
      </c>
      <c r="GH236" s="207">
        <f t="shared" si="426"/>
        <v>400</v>
      </c>
      <c r="GI236" s="99">
        <f>GG236</f>
        <v>1.188001188001188</v>
      </c>
      <c r="GJ236" s="98">
        <f>J236</f>
        <v>338.7</v>
      </c>
      <c r="GK236" s="63">
        <f t="shared" si="427"/>
        <v>2.3760023760023614</v>
      </c>
      <c r="GL236" s="63">
        <f t="shared" si="340"/>
        <v>-13.353133353133387</v>
      </c>
      <c r="GM236" s="82">
        <f t="shared" si="428"/>
        <v>-0.55638055638055783</v>
      </c>
      <c r="GN236" s="82">
        <f>IF($GZ236="",#N/A,SUM(GM$4:GM236))</f>
        <v>-0.74797424275320745</v>
      </c>
      <c r="GO236" s="82" t="str">
        <f t="shared" si="429"/>
        <v/>
      </c>
      <c r="GP236" s="82">
        <f>IF($GZ236="",#N/A,SUM(GO$4:GO236))</f>
        <v>10.966804243176151</v>
      </c>
      <c r="GQ236" s="82" t="str">
        <f t="shared" si="430"/>
        <v/>
      </c>
      <c r="GR236" s="82">
        <f>IF($GZ236="",#N/A,SUM(GQ$4:GQ236))</f>
        <v>30.125941391883664</v>
      </c>
      <c r="GS236" s="63" t="e">
        <f t="shared" si="438"/>
        <v>#N/A</v>
      </c>
      <c r="GT236" s="63" t="e">
        <f>IF($GZ236="",#N/A,SUM(GS$4:GS236))</f>
        <v>#N/A</v>
      </c>
      <c r="GU236" s="63" t="str">
        <f t="shared" si="439"/>
        <v/>
      </c>
      <c r="GV236" s="63" t="e">
        <f>IF($GZ236="",#N/A,SUM(GU$4:GU236))</f>
        <v>#N/A</v>
      </c>
      <c r="GW236" s="63" t="str">
        <f t="shared" si="440"/>
        <v/>
      </c>
      <c r="GX236" s="63" t="e">
        <f>IF($GZ236="",#N/A,SUM(GW$4:GW236))</f>
        <v>#N/A</v>
      </c>
      <c r="GY236" s="63" t="e">
        <f>IF(EJ236="",#N/A,SUM($EJ$4:EJ236))</f>
        <v>#N/A</v>
      </c>
      <c r="GZ236" s="159">
        <v>325.45999999999998</v>
      </c>
      <c r="HA236" s="63">
        <f t="shared" si="431"/>
        <v>-15.729135729135749</v>
      </c>
      <c r="HB236" s="130" t="s">
        <v>4970</v>
      </c>
      <c r="HC236" s="60">
        <f>IFERROR(VLOOKUP(E236,Expectancy!$P$4:$S$19,1+C236,FALSE),"")</f>
        <v>0.27741610538114203</v>
      </c>
      <c r="HD236" s="82" t="str">
        <f t="shared" si="432"/>
        <v/>
      </c>
      <c r="HE236" s="138" t="e">
        <f>IF(HD236="",#N/A,SUM($HD$4:HD236))</f>
        <v>#N/A</v>
      </c>
      <c r="HF236" s="85" t="e">
        <f>IF(HD236="",#N/A,IF(HB236="Skip",#N/A,SUM($HG$4:HG236)))</f>
        <v>#N/A</v>
      </c>
      <c r="HG236" s="62" t="str">
        <f t="shared" si="433"/>
        <v/>
      </c>
      <c r="HH236" s="82">
        <f t="shared" si="434"/>
        <v>-0.55638055638055783</v>
      </c>
    </row>
    <row r="237" spans="1:216" x14ac:dyDescent="0.25">
      <c r="A237" s="57" t="s">
        <v>1692</v>
      </c>
      <c r="B237" s="58" t="s">
        <v>5216</v>
      </c>
      <c r="C237" s="386">
        <f t="shared" si="343"/>
        <v>3</v>
      </c>
      <c r="D237" s="372" t="str">
        <f>_xlfn.XLOOKUP(A237,[1]SP500!$A$2:$A$502,[1]SP500!$D$2:$D$502,"N")</f>
        <v>N</v>
      </c>
      <c r="E237" s="57" t="str">
        <f>_xlfn.XLOOKUP(A237,[1]SP500!$A$2:$A$655,[1]SP500!$B$2:$B$655)</f>
        <v>IGV</v>
      </c>
      <c r="F237" s="227">
        <v>45693</v>
      </c>
      <c r="G237" s="57" t="str">
        <f t="shared" si="344"/>
        <v>AMC</v>
      </c>
      <c r="H237" s="57" t="str">
        <f t="shared" si="345"/>
        <v>o</v>
      </c>
      <c r="I237" s="159">
        <v>43.21</v>
      </c>
      <c r="J237" s="159">
        <v>43.62</v>
      </c>
      <c r="K237" s="61">
        <f t="shared" si="346"/>
        <v>9.4885443184447252E-3</v>
      </c>
      <c r="L237" s="87">
        <f t="shared" si="347"/>
        <v>3.7954177273778669</v>
      </c>
      <c r="M237" s="214" t="e">
        <f t="shared" si="338"/>
        <v>#N/A</v>
      </c>
      <c r="N237" s="169" t="str">
        <f t="shared" si="348"/>
        <v/>
      </c>
      <c r="O237" s="169">
        <f>IF($J237="",#N/A,SUM($N$4:N237))</f>
        <v>300.61511614781222</v>
      </c>
      <c r="P237" s="174" t="str">
        <f t="shared" si="349"/>
        <v/>
      </c>
      <c r="Q237" s="174">
        <f>IF($J237="",#N/A,SUM($P$4:P237))</f>
        <v>630.62776401603674</v>
      </c>
      <c r="R237" s="178">
        <f t="shared" si="350"/>
        <v>3.7954177273778669</v>
      </c>
      <c r="S237" s="178">
        <f>IF($J237="",#N/A,SUM($R$4:R237))</f>
        <v>106.78805798905131</v>
      </c>
      <c r="T237" s="290" t="str">
        <f t="shared" si="351"/>
        <v/>
      </c>
      <c r="U237" s="290">
        <f>IF($J237="",#N/A,SUM($T$4:T237))</f>
        <v>10.85290293409429</v>
      </c>
      <c r="V237" s="291" t="str">
        <f t="shared" si="352"/>
        <v/>
      </c>
      <c r="W237" s="291">
        <f>IF($J237="",#N/A,SUM($V$4:V237))</f>
        <v>26.230324244510406</v>
      </c>
      <c r="X237" s="292">
        <f t="shared" si="353"/>
        <v>0.15814240530741111</v>
      </c>
      <c r="Y237" s="292">
        <f>IF($J237="",#N/A,SUM($X$4:X237))</f>
        <v>4.2261469144779591</v>
      </c>
      <c r="Z237" s="304" t="str">
        <f t="shared" si="354"/>
        <v/>
      </c>
      <c r="AA237" s="313" t="e">
        <f>IF($J237="",#N/A,SUM(Z$4:Z237))</f>
        <v>#N/A</v>
      </c>
      <c r="AB237" s="314" t="str">
        <f t="shared" si="355"/>
        <v/>
      </c>
      <c r="AC237" s="314" t="e">
        <f>IF($J237="",#N/A,SUM(AB$4:AB237))</f>
        <v>#N/A</v>
      </c>
      <c r="AD237" s="315" t="str">
        <f t="shared" si="356"/>
        <v/>
      </c>
      <c r="AE237" s="315" t="e">
        <f>IF($J237="",#N/A,SUM(AD$4:AD237))</f>
        <v>#N/A</v>
      </c>
      <c r="AF237" s="315" t="e">
        <f>IF($J237="",#N/A,SUM(AD$4:AD237,AB$4:AB237,Z$4:Z237))</f>
        <v>#N/A</v>
      </c>
      <c r="AG237" s="304" t="str">
        <f t="shared" si="357"/>
        <v/>
      </c>
      <c r="AH237" s="313" t="e">
        <f>IF($J237="",#N/A,SUM(AG$4:AG237))</f>
        <v>#N/A</v>
      </c>
      <c r="AI237" s="314" t="str">
        <f t="shared" si="358"/>
        <v/>
      </c>
      <c r="AJ237" s="314" t="e">
        <f>IF($J237="",#N/A,SUM(AI$4:AI237))</f>
        <v>#N/A</v>
      </c>
      <c r="AK237" s="315">
        <f t="shared" si="359"/>
        <v>0.15814240530741111</v>
      </c>
      <c r="AL237" s="315" t="e">
        <f>IF($J237="",#N/A,SUM(AK$4:AK237))</f>
        <v>#N/A</v>
      </c>
      <c r="AM237" s="315" t="e">
        <f>IF($J237="",#N/A,SUM(AK$4:AK237,AI$4:AI237,AG$4:AG237))</f>
        <v>#N/A</v>
      </c>
      <c r="AN237" s="304" t="str">
        <f t="shared" si="360"/>
        <v/>
      </c>
      <c r="AO237" s="313" t="e">
        <f>IF($J237="",#N/A,SUM(AN$4:AN237))</f>
        <v>#N/A</v>
      </c>
      <c r="AP237" s="314" t="str">
        <f t="shared" si="361"/>
        <v/>
      </c>
      <c r="AQ237" s="314" t="e">
        <f>IF($J237="",#N/A,SUM(AP$4:AP237))</f>
        <v>#N/A</v>
      </c>
      <c r="AR237" s="315" t="str">
        <f t="shared" si="362"/>
        <v/>
      </c>
      <c r="AS237" s="315" t="e">
        <f>IF($J237="",#N/A,SUM(AR$4:AR237))</f>
        <v>#N/A</v>
      </c>
      <c r="AT237" s="315" t="e">
        <f>IF($J237="",#N/A,SUM(AR$4:AR237,AP$4:AP237,AN$4:AN237))</f>
        <v>#N/A</v>
      </c>
      <c r="AU237" s="304" t="str">
        <f t="shared" si="363"/>
        <v/>
      </c>
      <c r="AV237" s="313" t="e">
        <f>IF($J237="",#N/A,SUM(AU$4:AU237))</f>
        <v>#N/A</v>
      </c>
      <c r="AW237" s="314" t="str">
        <f t="shared" si="364"/>
        <v/>
      </c>
      <c r="AX237" s="314" t="e">
        <f>IF($J237="",#N/A,SUM(AW$4:AW237))</f>
        <v>#N/A</v>
      </c>
      <c r="AY237" s="315" t="str">
        <f t="shared" si="365"/>
        <v/>
      </c>
      <c r="AZ237" s="315" t="e">
        <f>IF($J237="",#N/A,SUM(AY$4:AY237))</f>
        <v>#N/A</v>
      </c>
      <c r="BA237" s="315" t="e">
        <f>IF($J237="",#N/A,SUM(AY$4:AY237,AW$4:AW237,AU$4:AU237))</f>
        <v>#N/A</v>
      </c>
      <c r="BB237" s="304" t="str">
        <f t="shared" si="366"/>
        <v/>
      </c>
      <c r="BC237" s="313" t="e">
        <f>IF($J237="",#N/A,SUM(BB$4:BB237))</f>
        <v>#N/A</v>
      </c>
      <c r="BD237" s="314" t="str">
        <f t="shared" si="367"/>
        <v/>
      </c>
      <c r="BE237" s="314" t="e">
        <f>IF($J237="",#N/A,SUM(BD$4:BD237))</f>
        <v>#N/A</v>
      </c>
      <c r="BF237" s="315" t="str">
        <f t="shared" si="368"/>
        <v/>
      </c>
      <c r="BG237" s="315" t="e">
        <f>IF($J237="",#N/A,SUM(BF$4:BF237))</f>
        <v>#N/A</v>
      </c>
      <c r="BH237" s="315" t="e">
        <f>IF($J237="",#N/A,SUM(BF$4:BF237,BD$4:BD237,BB$4:BB237))</f>
        <v>#N/A</v>
      </c>
      <c r="BI237" s="304" t="str">
        <f t="shared" si="369"/>
        <v/>
      </c>
      <c r="BJ237" s="313" t="e">
        <f>IF($J237="",#N/A,SUM(BI$4:BI237))</f>
        <v>#N/A</v>
      </c>
      <c r="BK237" s="314" t="str">
        <f t="shared" si="370"/>
        <v/>
      </c>
      <c r="BL237" s="314" t="e">
        <f>IF($J237="",#N/A,SUM(BK$4:BK237))</f>
        <v>#N/A</v>
      </c>
      <c r="BM237" s="315" t="str">
        <f t="shared" si="371"/>
        <v/>
      </c>
      <c r="BN237" s="315" t="e">
        <f>IF($J237="",#N/A,SUM(BM$4:BM237))</f>
        <v>#N/A</v>
      </c>
      <c r="BO237" s="315" t="e">
        <f>IF($J237="",#N/A,SUM(BM$4:BM237,BK$4:BK237,BI$4:BI237))</f>
        <v>#N/A</v>
      </c>
      <c r="BP237" s="304" t="str">
        <f t="shared" si="372"/>
        <v/>
      </c>
      <c r="BQ237" s="313" t="e">
        <f>IF($J237="",#N/A,SUM(BP$4:BP237))</f>
        <v>#N/A</v>
      </c>
      <c r="BR237" s="314" t="str">
        <f t="shared" si="373"/>
        <v/>
      </c>
      <c r="BS237" s="314" t="e">
        <f>IF($J237="",#N/A,SUM(BR$4:BR237))</f>
        <v>#N/A</v>
      </c>
      <c r="BT237" s="315" t="str">
        <f t="shared" si="374"/>
        <v/>
      </c>
      <c r="BU237" s="315" t="e">
        <f>IF($J237="",#N/A,SUM(BT$4:BT237))</f>
        <v>#N/A</v>
      </c>
      <c r="BV237" s="315" t="e">
        <f>IF($J237="",#N/A,SUM(BT$4:BT237,BR$4:BR237,BP$4:BP237))</f>
        <v>#N/A</v>
      </c>
      <c r="BW237" s="304" t="str">
        <f t="shared" si="375"/>
        <v/>
      </c>
      <c r="BX237" s="313" t="e">
        <f>IF($J237="",#N/A,SUM(BW$4:BW237))</f>
        <v>#N/A</v>
      </c>
      <c r="BY237" s="314" t="str">
        <f t="shared" si="376"/>
        <v/>
      </c>
      <c r="BZ237" s="314" t="e">
        <f>IF($J237="",#N/A,SUM(BY$4:BY237))</f>
        <v>#N/A</v>
      </c>
      <c r="CA237" s="315" t="str">
        <f t="shared" si="377"/>
        <v/>
      </c>
      <c r="CB237" s="315" t="e">
        <f>IF($J237="",#N/A,SUM(CA$4:CA237))</f>
        <v>#N/A</v>
      </c>
      <c r="CC237" s="315" t="e">
        <f>IF($J237="",#N/A,SUM(CA$4:CA237,BY$4:BY237,BW$4:BW237))</f>
        <v>#N/A</v>
      </c>
      <c r="CD237" s="304" t="str">
        <f t="shared" si="378"/>
        <v/>
      </c>
      <c r="CE237" s="313" t="e">
        <f>IF($J237="",#N/A,SUM(CD$4:CD237))</f>
        <v>#N/A</v>
      </c>
      <c r="CF237" s="314" t="str">
        <f t="shared" si="379"/>
        <v/>
      </c>
      <c r="CG237" s="314" t="e">
        <f>IF($J237="",#N/A,SUM(CF$4:CF237))</f>
        <v>#N/A</v>
      </c>
      <c r="CH237" s="315" t="str">
        <f t="shared" si="380"/>
        <v/>
      </c>
      <c r="CI237" s="315" t="e">
        <f>IF($J237="",#N/A,SUM(CH$4:CH237))</f>
        <v>#N/A</v>
      </c>
      <c r="CJ237" s="315" t="e">
        <f>IF($J237="",#N/A,SUM(CH$4:CH237,CF$4:CF237,CD$4:CD237))</f>
        <v>#N/A</v>
      </c>
      <c r="CK237" s="304" t="str">
        <f t="shared" si="381"/>
        <v/>
      </c>
      <c r="CL237" s="313" t="e">
        <f>IF($J237="",#N/A,SUM(CK$4:CK237))</f>
        <v>#N/A</v>
      </c>
      <c r="CM237" s="314" t="str">
        <f t="shared" si="382"/>
        <v/>
      </c>
      <c r="CN237" s="314" t="e">
        <f>IF($J237="",#N/A,SUM(CM$4:CM237))</f>
        <v>#N/A</v>
      </c>
      <c r="CO237" s="315" t="str">
        <f t="shared" si="383"/>
        <v/>
      </c>
      <c r="CP237" s="315" t="e">
        <f>IF($J237="",#N/A,SUM(CO$4:CO237))</f>
        <v>#N/A</v>
      </c>
      <c r="CQ237" s="315" t="e">
        <f>IF($J237="",#N/A,SUM(CO$4:CO237,CM$4:CM237,CK$4:CK237))</f>
        <v>#N/A</v>
      </c>
      <c r="CR237" s="304" t="str">
        <f t="shared" si="384"/>
        <v/>
      </c>
      <c r="CS237" s="313" t="e">
        <f>IF($J237="",#N/A,SUM(CR$4:CR237))</f>
        <v>#N/A</v>
      </c>
      <c r="CT237" s="314" t="str">
        <f t="shared" si="385"/>
        <v/>
      </c>
      <c r="CU237" s="314" t="e">
        <f>IF($J237="",#N/A,SUM(CT$4:CT237))</f>
        <v>#N/A</v>
      </c>
      <c r="CV237" s="315" t="str">
        <f t="shared" si="386"/>
        <v/>
      </c>
      <c r="CW237" s="315" t="e">
        <f>IF($J237="",#N/A,SUM(CV$4:CV237))</f>
        <v>#N/A</v>
      </c>
      <c r="CX237" s="315" t="e">
        <f>IF($J237="",#N/A,SUM(CV$4:CV237,CT$4:CT237,CR$4:CR237))</f>
        <v>#N/A</v>
      </c>
      <c r="CY237" s="304" t="str">
        <f t="shared" si="387"/>
        <v/>
      </c>
      <c r="CZ237" s="313" t="e">
        <f>IF($J237="",#N/A,SUM(CY$4:CY237))</f>
        <v>#N/A</v>
      </c>
      <c r="DA237" s="314" t="str">
        <f t="shared" si="388"/>
        <v/>
      </c>
      <c r="DB237" s="314" t="e">
        <f>IF($J237="",#N/A,SUM(DA$4:DA237))</f>
        <v>#N/A</v>
      </c>
      <c r="DC237" s="315" t="str">
        <f t="shared" si="389"/>
        <v/>
      </c>
      <c r="DD237" s="315" t="e">
        <f>IF($J237="",#N/A,SUM(DC$4:DC237))</f>
        <v>#N/A</v>
      </c>
      <c r="DE237" s="315" t="e">
        <f>IF($J237="",#N/A,SUM(DC$4:DC237,DA$4:DA237,CY$4:CY237))</f>
        <v>#N/A</v>
      </c>
      <c r="DF237" s="304" t="str">
        <f t="shared" si="390"/>
        <v/>
      </c>
      <c r="DG237" s="313" t="e">
        <f>IF($J237="",#N/A,SUM(DF$4:DF237))</f>
        <v>#N/A</v>
      </c>
      <c r="DH237" s="314" t="str">
        <f t="shared" si="391"/>
        <v/>
      </c>
      <c r="DI237" s="314" t="e">
        <f>IF($J237="",#N/A,SUM(DH$4:DH237))</f>
        <v>#N/A</v>
      </c>
      <c r="DJ237" s="315" t="str">
        <f t="shared" si="392"/>
        <v/>
      </c>
      <c r="DK237" s="315" t="e">
        <f>IF($J237="",#N/A,SUM(DJ$4:DJ237))</f>
        <v>#N/A</v>
      </c>
      <c r="DL237" s="315" t="e">
        <f>IF($J237="",#N/A,SUM(DJ$4:DJ237,DH$4:DH237,DF$4:DF237))</f>
        <v>#N/A</v>
      </c>
      <c r="DM237" s="304" t="str">
        <f t="shared" si="393"/>
        <v/>
      </c>
      <c r="DN237" s="313" t="e">
        <f>IF($J237="",#N/A,SUM(DM$4:DM237))</f>
        <v>#N/A</v>
      </c>
      <c r="DO237" s="314" t="str">
        <f t="shared" si="394"/>
        <v/>
      </c>
      <c r="DP237" s="314" t="e">
        <f>IF($J237="",#N/A,SUM(DO$4:DO237))</f>
        <v>#N/A</v>
      </c>
      <c r="DQ237" s="315" t="str">
        <f t="shared" si="395"/>
        <v/>
      </c>
      <c r="DR237" s="315" t="e">
        <f>IF($J237="",#N/A,SUM(DQ$4:DQ237))</f>
        <v>#N/A</v>
      </c>
      <c r="DS237" s="315" t="e">
        <f>IF($J237="",#N/A,SUM(DQ$4:DQ237,DO$4:DO237,DM$4:DM237))</f>
        <v>#N/A</v>
      </c>
      <c r="DT237" s="304" t="str">
        <f t="shared" si="396"/>
        <v/>
      </c>
      <c r="DU237" s="313" t="e">
        <f>IF($J237="",#N/A,SUM(DT$4:DT237))</f>
        <v>#N/A</v>
      </c>
      <c r="DV237" s="314" t="str">
        <f t="shared" si="397"/>
        <v/>
      </c>
      <c r="DW237" s="314" t="e">
        <f>IF($J237="",#N/A,SUM(DV$4:DV237))</f>
        <v>#N/A</v>
      </c>
      <c r="DX237" s="315" t="str">
        <f t="shared" si="398"/>
        <v/>
      </c>
      <c r="DY237" s="315" t="e">
        <f>IF($J237="",#N/A,SUM(DX$4:DX237))</f>
        <v>#N/A</v>
      </c>
      <c r="DZ237" s="315" t="e">
        <f>IF($J237="",#N/A,SUM(DX$4:DX237,DV$4:DV237,DT$4:DT237))</f>
        <v>#N/A</v>
      </c>
      <c r="EA237" s="304" t="str">
        <f t="shared" si="399"/>
        <v/>
      </c>
      <c r="EB237" s="313" t="e">
        <f>IF($J237="",#N/A,SUM(EA$4:EA237))</f>
        <v>#N/A</v>
      </c>
      <c r="EC237" s="314" t="str">
        <f t="shared" si="400"/>
        <v/>
      </c>
      <c r="ED237" s="314" t="e">
        <f>IF($J237="",#N/A,SUM(EC$4:EC237))</f>
        <v>#N/A</v>
      </c>
      <c r="EE237" s="315" t="str">
        <f t="shared" si="401"/>
        <v/>
      </c>
      <c r="EF237" s="315" t="e">
        <f>IF($J237="",#N/A,SUM(EE$4:EE237))</f>
        <v>#N/A</v>
      </c>
      <c r="EG237" s="315" t="e">
        <f>IF($J237="",#N/A,SUM(EE$4:EE237,EC$4:EC237,EA$4:EA237))</f>
        <v>#N/A</v>
      </c>
      <c r="EH237" s="130">
        <f t="shared" si="402"/>
        <v>3.7954177273778669</v>
      </c>
      <c r="EI237" s="63">
        <f>IF(EH237="",#N/A,SUM($EH$4:EH237))</f>
        <v>1038.0309381529005</v>
      </c>
      <c r="EJ237" s="223" t="e">
        <f t="shared" si="403"/>
        <v>#N/A</v>
      </c>
      <c r="EK237" s="63" t="e">
        <f>IF($GZ237="",#N/A,SUM(EJ$4:EJ237))</f>
        <v>#N/A</v>
      </c>
      <c r="EL237" s="60" t="str">
        <f t="shared" si="435"/>
        <v/>
      </c>
      <c r="EM237" s="60" t="e">
        <f>IF(EL237="",NA(),SUM($EL$4:EL237))</f>
        <v>#N/A</v>
      </c>
      <c r="EN237" s="60" t="str">
        <f t="shared" si="404"/>
        <v/>
      </c>
      <c r="EO237" s="60" t="e">
        <f>IF(EN237="",NA(),SUM($EN$4:EN237))</f>
        <v>#N/A</v>
      </c>
      <c r="EP237" s="60" t="str">
        <f t="shared" si="405"/>
        <v/>
      </c>
      <c r="EQ237" s="60" t="e">
        <f>IF(EP237="",NA(),SUM($EP$4:EP237))</f>
        <v>#N/A</v>
      </c>
      <c r="ER237" s="60" t="str">
        <f t="shared" si="406"/>
        <v/>
      </c>
      <c r="ES237" s="60" t="e">
        <f>IF(ER237="",NA(),SUM($ER$4:ER237))</f>
        <v>#N/A</v>
      </c>
      <c r="ET237" s="60">
        <f t="shared" si="407"/>
        <v>0.15814240530741111</v>
      </c>
      <c r="EU237" s="60">
        <f>IF(ET237="",NA(),SUM($ET$4:ET237))</f>
        <v>9.8205797062561366</v>
      </c>
      <c r="EV237" s="60" t="str">
        <f t="shared" si="408"/>
        <v/>
      </c>
      <c r="EW237" s="60" t="e">
        <f>IF(EV237="",NA(),SUM($EV$4:EV237))</f>
        <v>#N/A</v>
      </c>
      <c r="EX237" s="60">
        <f t="shared" si="409"/>
        <v>0.15814240530741111</v>
      </c>
      <c r="EY237" s="60">
        <f>IF(EX237="",NA(),SUM($EX$4:EX237))</f>
        <v>-0.67061441576968617</v>
      </c>
      <c r="EZ237" s="60" t="str">
        <f t="shared" si="410"/>
        <v/>
      </c>
      <c r="FA237" s="60" t="e">
        <f>IF(EZ237="",NA(),SUM($EZ$4:EZ237))</f>
        <v>#N/A</v>
      </c>
      <c r="FB237" s="246" t="str">
        <f t="shared" si="436"/>
        <v/>
      </c>
      <c r="FC237" s="246" t="e">
        <f>IF($FB237="",#N/A,SUM(FB$4:$FB237))</f>
        <v>#N/A</v>
      </c>
      <c r="FD237" s="60" t="str">
        <f t="shared" si="411"/>
        <v/>
      </c>
      <c r="FE237" s="60" t="e">
        <f>IF($FD237="",#N/A,SUM($FD$4:FD237))</f>
        <v>#N/A</v>
      </c>
      <c r="FF237" s="60" t="str">
        <f t="shared" si="412"/>
        <v/>
      </c>
      <c r="FG237" s="60" t="e">
        <f>IF($FF237="",#N/A,SUM($FF$4:FF237))</f>
        <v>#N/A</v>
      </c>
      <c r="FH237" s="60" t="str">
        <f t="shared" si="413"/>
        <v/>
      </c>
      <c r="FI237" s="60" t="e">
        <f>IF($FH237="",#N/A,SUM($FH$4:FH237))</f>
        <v>#N/A</v>
      </c>
      <c r="FJ237" s="60">
        <f t="shared" si="414"/>
        <v>-1.4541387024608479</v>
      </c>
      <c r="FK237" s="60">
        <f>IF($FJ237="",#N/A,SUM($FJ$4:FJ237))</f>
        <v>-7.1620039276671337</v>
      </c>
      <c r="FL237" s="60" t="str">
        <f t="shared" si="415"/>
        <v/>
      </c>
      <c r="FM237" s="60" t="e">
        <f>IF($FL237="",#N/A,SUM($FL$4:FL237))</f>
        <v>#N/A</v>
      </c>
      <c r="FN237" s="82">
        <f t="shared" si="416"/>
        <v>-1.2959962971534367</v>
      </c>
      <c r="FO237" s="82">
        <f>IF($FN237="",#N/A,SUM(FN$4:$FN237))</f>
        <v>39.67461204959551</v>
      </c>
      <c r="FP237" s="82">
        <f t="shared" si="437"/>
        <v>0.15814240530741111</v>
      </c>
      <c r="FQ237" s="246">
        <f>IF($EH237="",#N/A,SUM($FP$4:FP237))</f>
        <v>41.309374093082653</v>
      </c>
      <c r="FR237" s="82">
        <f>IFERROR(FQ237/COUNTA($J$4:J237),#N/A)</f>
        <v>0.17653578672257544</v>
      </c>
      <c r="FS237" s="82">
        <f t="shared" si="445"/>
        <v>0.29904917586549773</v>
      </c>
      <c r="FT237" s="82">
        <f t="shared" si="446"/>
        <v>0.37227118042460966</v>
      </c>
      <c r="FU237" s="273"/>
      <c r="FV237" s="57" t="str">
        <f t="shared" si="418"/>
        <v>SW</v>
      </c>
      <c r="FW237" s="57" t="s">
        <v>2732</v>
      </c>
      <c r="FX237" s="57" t="str">
        <f t="shared" si="419"/>
        <v/>
      </c>
      <c r="FY237" s="57" t="str">
        <f t="shared" si="420"/>
        <v/>
      </c>
      <c r="FZ237" s="57">
        <f t="shared" si="421"/>
        <v>1</v>
      </c>
      <c r="GA237" s="57" t="str">
        <f t="shared" si="422"/>
        <v>Long</v>
      </c>
      <c r="GB237" s="57" t="str">
        <f t="shared" si="423"/>
        <v/>
      </c>
      <c r="GC237" s="57" t="str">
        <f t="shared" si="424"/>
        <v/>
      </c>
      <c r="GD237" s="57" t="str">
        <f t="shared" si="425"/>
        <v/>
      </c>
      <c r="GE237" s="62">
        <f t="shared" si="339"/>
        <v>43.21</v>
      </c>
      <c r="GF237" s="62" t="s">
        <v>2779</v>
      </c>
      <c r="GG237" s="99">
        <f>400/I237</f>
        <v>9.2571164082388329</v>
      </c>
      <c r="GH237" s="207">
        <f t="shared" si="426"/>
        <v>400</v>
      </c>
      <c r="GI237" s="99">
        <f>GG237</f>
        <v>9.2571164082388329</v>
      </c>
      <c r="GJ237" s="98">
        <f>J237</f>
        <v>43.62</v>
      </c>
      <c r="GK237" s="63">
        <f t="shared" si="427"/>
        <v>3.7954177273778669</v>
      </c>
      <c r="GL237" s="63">
        <f t="shared" si="340"/>
        <v>-31.10391113168248</v>
      </c>
      <c r="GM237" s="82">
        <f t="shared" si="428"/>
        <v>-1.2959962971534367</v>
      </c>
      <c r="GN237" s="82">
        <f>IF($GZ237="",#N/A,SUM(GM$4:GM237))</f>
        <v>-2.0439705399066441</v>
      </c>
      <c r="GO237" s="82" t="str">
        <f t="shared" si="429"/>
        <v/>
      </c>
      <c r="GP237" s="82">
        <f>IF($GZ237="",#N/A,SUM(GO$4:GO237))</f>
        <v>10.966804243176151</v>
      </c>
      <c r="GQ237" s="82" t="str">
        <f t="shared" si="430"/>
        <v/>
      </c>
      <c r="GR237" s="82">
        <f>IF($GZ237="",#N/A,SUM(GQ$4:GQ237))</f>
        <v>30.125941391883664</v>
      </c>
      <c r="GS237" s="63" t="e">
        <f t="shared" si="438"/>
        <v>#N/A</v>
      </c>
      <c r="GT237" s="63" t="e">
        <f>IF($GZ237="",#N/A,SUM(GS$4:GS237))</f>
        <v>#N/A</v>
      </c>
      <c r="GU237" s="63" t="str">
        <f t="shared" si="439"/>
        <v/>
      </c>
      <c r="GV237" s="63" t="e">
        <f>IF($GZ237="",#N/A,SUM(GU$4:GU237))</f>
        <v>#N/A</v>
      </c>
      <c r="GW237" s="63" t="str">
        <f t="shared" si="440"/>
        <v/>
      </c>
      <c r="GX237" s="63" t="e">
        <f>IF($GZ237="",#N/A,SUM(GW$4:GW237))</f>
        <v>#N/A</v>
      </c>
      <c r="GY237" s="63" t="e">
        <f>IF(EJ237="",#N/A,SUM($EJ$4:EJ237))</f>
        <v>#N/A</v>
      </c>
      <c r="GZ237" s="159">
        <v>39.85</v>
      </c>
      <c r="HA237" s="63">
        <f t="shared" si="431"/>
        <v>-34.899328859060347</v>
      </c>
      <c r="HB237" s="130" t="s">
        <v>4970</v>
      </c>
      <c r="HC237" s="60">
        <f>IFERROR(VLOOKUP(E237,Expectancy!$P$4:$S$19,1+C237,FALSE),"")</f>
        <v>0.27741610538114203</v>
      </c>
      <c r="HD237" s="82" t="str">
        <f t="shared" si="432"/>
        <v/>
      </c>
      <c r="HE237" s="138" t="e">
        <f>IF(HD237="",#N/A,SUM($HD$4:HD237))</f>
        <v>#N/A</v>
      </c>
      <c r="HF237" s="85" t="e">
        <f>IF(HD237="",#N/A,IF(HB237="Skip",#N/A,SUM($HG$4:HG237)))</f>
        <v>#N/A</v>
      </c>
      <c r="HG237" s="62" t="str">
        <f t="shared" si="433"/>
        <v/>
      </c>
      <c r="HH237" s="82">
        <f t="shared" si="434"/>
        <v>-1.2959962971534367</v>
      </c>
    </row>
    <row r="238" spans="1:216" x14ac:dyDescent="0.25">
      <c r="A238" s="57" t="s">
        <v>1284</v>
      </c>
      <c r="B238" s="58" t="s">
        <v>5224</v>
      </c>
      <c r="C238" s="386">
        <f t="shared" si="343"/>
        <v>3</v>
      </c>
      <c r="D238" s="372" t="str">
        <f>_xlfn.XLOOKUP(A238,[1]SP500!$A$2:$A$502,[1]SP500!$D$2:$D$502,"N")</f>
        <v>Y</v>
      </c>
      <c r="E238" s="57" t="str">
        <f>_xlfn.XLOOKUP(A238,[1]SP500!$A$2:$A$655,[1]SP500!$B$2:$B$655)</f>
        <v>XLV</v>
      </c>
      <c r="F238" s="59">
        <v>45694</v>
      </c>
      <c r="G238" s="57" t="str">
        <f t="shared" si="344"/>
        <v>BMO</v>
      </c>
      <c r="H238" s="57" t="str">
        <f t="shared" si="345"/>
        <v>o</v>
      </c>
      <c r="I238" s="162">
        <v>842.18</v>
      </c>
      <c r="J238" s="159">
        <v>839.52</v>
      </c>
      <c r="K238" s="61">
        <f t="shared" si="346"/>
        <v>-3.1584696858153465E-3</v>
      </c>
      <c r="L238" s="87">
        <f t="shared" si="347"/>
        <v>1.2633878743261562</v>
      </c>
      <c r="M238" s="214" t="e">
        <f t="shared" si="338"/>
        <v>#N/A</v>
      </c>
      <c r="N238" s="168" t="str">
        <f t="shared" si="348"/>
        <v/>
      </c>
      <c r="O238" s="168">
        <f>IF($J238="",#N/A,SUM($N$4:N238))</f>
        <v>300.61511614781222</v>
      </c>
      <c r="P238" s="173" t="str">
        <f t="shared" si="349"/>
        <v/>
      </c>
      <c r="Q238" s="173">
        <f>IF($J238="",#N/A,SUM($P$4:P238))</f>
        <v>630.62776401603674</v>
      </c>
      <c r="R238" s="177">
        <f t="shared" si="350"/>
        <v>-1.2633878743261562</v>
      </c>
      <c r="S238" s="177">
        <f>IF($J238="",#N/A,SUM($R$4:R238))</f>
        <v>105.52467011472515</v>
      </c>
      <c r="T238" s="293" t="str">
        <f t="shared" si="351"/>
        <v/>
      </c>
      <c r="U238" s="293">
        <f>IF($J238="",#N/A,SUM($T$4:T238))</f>
        <v>10.85290293409429</v>
      </c>
      <c r="V238" s="294" t="str">
        <f t="shared" si="352"/>
        <v/>
      </c>
      <c r="W238" s="294">
        <f>IF($J238="",#N/A,SUM($V$4:V238))</f>
        <v>26.230324244510406</v>
      </c>
      <c r="X238" s="295">
        <f t="shared" si="353"/>
        <v>-5.264116143025651E-2</v>
      </c>
      <c r="Y238" s="295">
        <f>IF($J238="",#N/A,SUM($X$4:X238))</f>
        <v>4.1735057530477029</v>
      </c>
      <c r="Z238" s="304" t="str">
        <f t="shared" si="354"/>
        <v/>
      </c>
      <c r="AA238" s="316" t="e">
        <f>IF($J238="",#N/A,SUM(Z$4:Z238))</f>
        <v>#N/A</v>
      </c>
      <c r="AB238" s="317" t="str">
        <f t="shared" si="355"/>
        <v/>
      </c>
      <c r="AC238" s="317" t="e">
        <f>IF($J238="",#N/A,SUM(AB$4:AB238))</f>
        <v>#N/A</v>
      </c>
      <c r="AD238" s="318" t="str">
        <f t="shared" si="356"/>
        <v/>
      </c>
      <c r="AE238" s="318" t="e">
        <f>IF($J238="",#N/A,SUM(AD$4:AD238))</f>
        <v>#N/A</v>
      </c>
      <c r="AF238" s="318" t="e">
        <f>IF($J238="",#N/A,SUM(AD$4:AD238,AB$4:AB238,Z$4:Z238))</f>
        <v>#N/A</v>
      </c>
      <c r="AG238" s="304" t="str">
        <f t="shared" si="357"/>
        <v/>
      </c>
      <c r="AH238" s="316" t="e">
        <f>IF($J238="",#N/A,SUM(AG$4:AG238))</f>
        <v>#N/A</v>
      </c>
      <c r="AI238" s="317" t="str">
        <f t="shared" si="358"/>
        <v/>
      </c>
      <c r="AJ238" s="317" t="e">
        <f>IF($J238="",#N/A,SUM(AI$4:AI238))</f>
        <v>#N/A</v>
      </c>
      <c r="AK238" s="318" t="str">
        <f t="shared" si="359"/>
        <v/>
      </c>
      <c r="AL238" s="318" t="e">
        <f>IF($J238="",#N/A,SUM(AK$4:AK238))</f>
        <v>#N/A</v>
      </c>
      <c r="AM238" s="318" t="e">
        <f>IF($J238="",#N/A,SUM(AK$4:AK238,AI$4:AI238,AG$4:AG238))</f>
        <v>#N/A</v>
      </c>
      <c r="AN238" s="304" t="str">
        <f t="shared" si="360"/>
        <v/>
      </c>
      <c r="AO238" s="316" t="e">
        <f>IF($J238="",#N/A,SUM(AN$4:AN238))</f>
        <v>#N/A</v>
      </c>
      <c r="AP238" s="317" t="str">
        <f t="shared" si="361"/>
        <v/>
      </c>
      <c r="AQ238" s="317" t="e">
        <f>IF($J238="",#N/A,SUM(AP$4:AP238))</f>
        <v>#N/A</v>
      </c>
      <c r="AR238" s="318" t="str">
        <f t="shared" si="362"/>
        <v/>
      </c>
      <c r="AS238" s="318" t="e">
        <f>IF($J238="",#N/A,SUM(AR$4:AR238))</f>
        <v>#N/A</v>
      </c>
      <c r="AT238" s="318" t="e">
        <f>IF($J238="",#N/A,SUM(AR$4:AR238,AP$4:AP238,AN$4:AN238))</f>
        <v>#N/A</v>
      </c>
      <c r="AU238" s="304" t="str">
        <f t="shared" si="363"/>
        <v/>
      </c>
      <c r="AV238" s="316" t="e">
        <f>IF($J238="",#N/A,SUM(AU$4:AU238))</f>
        <v>#N/A</v>
      </c>
      <c r="AW238" s="317" t="str">
        <f t="shared" si="364"/>
        <v/>
      </c>
      <c r="AX238" s="317" t="e">
        <f>IF($J238="",#N/A,SUM(AW$4:AW238))</f>
        <v>#N/A</v>
      </c>
      <c r="AY238" s="318" t="str">
        <f t="shared" si="365"/>
        <v/>
      </c>
      <c r="AZ238" s="318" t="e">
        <f>IF($J238="",#N/A,SUM(AY$4:AY238))</f>
        <v>#N/A</v>
      </c>
      <c r="BA238" s="318" t="e">
        <f>IF($J238="",#N/A,SUM(AY$4:AY238,AW$4:AW238,AU$4:AU238))</f>
        <v>#N/A</v>
      </c>
      <c r="BB238" s="304" t="str">
        <f t="shared" si="366"/>
        <v/>
      </c>
      <c r="BC238" s="316" t="e">
        <f>IF($J238="",#N/A,SUM(BB$4:BB238))</f>
        <v>#N/A</v>
      </c>
      <c r="BD238" s="317" t="str">
        <f t="shared" si="367"/>
        <v/>
      </c>
      <c r="BE238" s="317" t="e">
        <f>IF($J238="",#N/A,SUM(BD$4:BD238))</f>
        <v>#N/A</v>
      </c>
      <c r="BF238" s="318" t="str">
        <f t="shared" si="368"/>
        <v/>
      </c>
      <c r="BG238" s="318" t="e">
        <f>IF($J238="",#N/A,SUM(BF$4:BF238))</f>
        <v>#N/A</v>
      </c>
      <c r="BH238" s="318" t="e">
        <f>IF($J238="",#N/A,SUM(BF$4:BF238,BD$4:BD238,BB$4:BB238))</f>
        <v>#N/A</v>
      </c>
      <c r="BI238" s="304" t="str">
        <f t="shared" si="369"/>
        <v/>
      </c>
      <c r="BJ238" s="316" t="e">
        <f>IF($J238="",#N/A,SUM(BI$4:BI238))</f>
        <v>#N/A</v>
      </c>
      <c r="BK238" s="317" t="str">
        <f t="shared" si="370"/>
        <v/>
      </c>
      <c r="BL238" s="317" t="e">
        <f>IF($J238="",#N/A,SUM(BK$4:BK238))</f>
        <v>#N/A</v>
      </c>
      <c r="BM238" s="318" t="str">
        <f t="shared" si="371"/>
        <v/>
      </c>
      <c r="BN238" s="318" t="e">
        <f>IF($J238="",#N/A,SUM(BM$4:BM238))</f>
        <v>#N/A</v>
      </c>
      <c r="BO238" s="318" t="e">
        <f>IF($J238="",#N/A,SUM(BM$4:BM238,BK$4:BK238,BI$4:BI238))</f>
        <v>#N/A</v>
      </c>
      <c r="BP238" s="304" t="str">
        <f t="shared" si="372"/>
        <v/>
      </c>
      <c r="BQ238" s="316" t="e">
        <f>IF($J238="",#N/A,SUM(BP$4:BP238))</f>
        <v>#N/A</v>
      </c>
      <c r="BR238" s="317" t="str">
        <f t="shared" si="373"/>
        <v/>
      </c>
      <c r="BS238" s="317" t="e">
        <f>IF($J238="",#N/A,SUM(BR$4:BR238))</f>
        <v>#N/A</v>
      </c>
      <c r="BT238" s="318" t="str">
        <f t="shared" si="374"/>
        <v/>
      </c>
      <c r="BU238" s="318" t="e">
        <f>IF($J238="",#N/A,SUM(BT$4:BT238))</f>
        <v>#N/A</v>
      </c>
      <c r="BV238" s="318" t="e">
        <f>IF($J238="",#N/A,SUM(BT$4:BT238,BR$4:BR238,BP$4:BP238))</f>
        <v>#N/A</v>
      </c>
      <c r="BW238" s="304" t="str">
        <f t="shared" si="375"/>
        <v/>
      </c>
      <c r="BX238" s="316" t="e">
        <f>IF($J238="",#N/A,SUM(BW$4:BW238))</f>
        <v>#N/A</v>
      </c>
      <c r="BY238" s="317" t="str">
        <f t="shared" si="376"/>
        <v/>
      </c>
      <c r="BZ238" s="317" t="e">
        <f>IF($J238="",#N/A,SUM(BY$4:BY238))</f>
        <v>#N/A</v>
      </c>
      <c r="CA238" s="318">
        <f t="shared" si="377"/>
        <v>-5.264116143025651E-2</v>
      </c>
      <c r="CB238" s="318" t="e">
        <f>IF($J238="",#N/A,SUM(CA$4:CA238))</f>
        <v>#N/A</v>
      </c>
      <c r="CC238" s="318" t="e">
        <f>IF($J238="",#N/A,SUM(CA$4:CA238,BY$4:BY238,BW$4:BW238))</f>
        <v>#N/A</v>
      </c>
      <c r="CD238" s="304" t="str">
        <f t="shared" si="378"/>
        <v/>
      </c>
      <c r="CE238" s="316" t="e">
        <f>IF($J238="",#N/A,SUM(CD$4:CD238))</f>
        <v>#N/A</v>
      </c>
      <c r="CF238" s="317" t="str">
        <f t="shared" si="379"/>
        <v/>
      </c>
      <c r="CG238" s="317" t="e">
        <f>IF($J238="",#N/A,SUM(CF$4:CF238))</f>
        <v>#N/A</v>
      </c>
      <c r="CH238" s="318" t="str">
        <f t="shared" si="380"/>
        <v/>
      </c>
      <c r="CI238" s="318" t="e">
        <f>IF($J238="",#N/A,SUM(CH$4:CH238))</f>
        <v>#N/A</v>
      </c>
      <c r="CJ238" s="318" t="e">
        <f>IF($J238="",#N/A,SUM(CH$4:CH238,CF$4:CF238,CD$4:CD238))</f>
        <v>#N/A</v>
      </c>
      <c r="CK238" s="304" t="str">
        <f t="shared" si="381"/>
        <v/>
      </c>
      <c r="CL238" s="316" t="e">
        <f>IF($J238="",#N/A,SUM(CK$4:CK238))</f>
        <v>#N/A</v>
      </c>
      <c r="CM238" s="317" t="str">
        <f t="shared" si="382"/>
        <v/>
      </c>
      <c r="CN238" s="317" t="e">
        <f>IF($J238="",#N/A,SUM(CM$4:CM238))</f>
        <v>#N/A</v>
      </c>
      <c r="CO238" s="318" t="str">
        <f t="shared" si="383"/>
        <v/>
      </c>
      <c r="CP238" s="318" t="e">
        <f>IF($J238="",#N/A,SUM(CO$4:CO238))</f>
        <v>#N/A</v>
      </c>
      <c r="CQ238" s="318" t="e">
        <f>IF($J238="",#N/A,SUM(CO$4:CO238,CM$4:CM238,CK$4:CK238))</f>
        <v>#N/A</v>
      </c>
      <c r="CR238" s="304" t="str">
        <f t="shared" si="384"/>
        <v/>
      </c>
      <c r="CS238" s="316" t="e">
        <f>IF($J238="",#N/A,SUM(CR$4:CR238))</f>
        <v>#N/A</v>
      </c>
      <c r="CT238" s="317" t="str">
        <f t="shared" si="385"/>
        <v/>
      </c>
      <c r="CU238" s="317" t="e">
        <f>IF($J238="",#N/A,SUM(CT$4:CT238))</f>
        <v>#N/A</v>
      </c>
      <c r="CV238" s="318" t="str">
        <f t="shared" si="386"/>
        <v/>
      </c>
      <c r="CW238" s="318" t="e">
        <f>IF($J238="",#N/A,SUM(CV$4:CV238))</f>
        <v>#N/A</v>
      </c>
      <c r="CX238" s="318" t="e">
        <f>IF($J238="",#N/A,SUM(CV$4:CV238,CT$4:CT238,CR$4:CR238))</f>
        <v>#N/A</v>
      </c>
      <c r="CY238" s="304" t="str">
        <f t="shared" si="387"/>
        <v/>
      </c>
      <c r="CZ238" s="316" t="e">
        <f>IF($J238="",#N/A,SUM(CY$4:CY238))</f>
        <v>#N/A</v>
      </c>
      <c r="DA238" s="317" t="str">
        <f t="shared" si="388"/>
        <v/>
      </c>
      <c r="DB238" s="317" t="e">
        <f>IF($J238="",#N/A,SUM(DA$4:DA238))</f>
        <v>#N/A</v>
      </c>
      <c r="DC238" s="318" t="str">
        <f t="shared" si="389"/>
        <v/>
      </c>
      <c r="DD238" s="318" t="e">
        <f>IF($J238="",#N/A,SUM(DC$4:DC238))</f>
        <v>#N/A</v>
      </c>
      <c r="DE238" s="318" t="e">
        <f>IF($J238="",#N/A,SUM(DC$4:DC238,DA$4:DA238,CY$4:CY238))</f>
        <v>#N/A</v>
      </c>
      <c r="DF238" s="304" t="str">
        <f t="shared" si="390"/>
        <v/>
      </c>
      <c r="DG238" s="316" t="e">
        <f>IF($J238="",#N/A,SUM(DF$4:DF238))</f>
        <v>#N/A</v>
      </c>
      <c r="DH238" s="317" t="str">
        <f t="shared" si="391"/>
        <v/>
      </c>
      <c r="DI238" s="317" t="e">
        <f>IF($J238="",#N/A,SUM(DH$4:DH238))</f>
        <v>#N/A</v>
      </c>
      <c r="DJ238" s="318" t="str">
        <f t="shared" si="392"/>
        <v/>
      </c>
      <c r="DK238" s="318" t="e">
        <f>IF($J238="",#N/A,SUM(DJ$4:DJ238))</f>
        <v>#N/A</v>
      </c>
      <c r="DL238" s="318" t="e">
        <f>IF($J238="",#N/A,SUM(DJ$4:DJ238,DH$4:DH238,DF$4:DF238))</f>
        <v>#N/A</v>
      </c>
      <c r="DM238" s="304" t="str">
        <f t="shared" si="393"/>
        <v/>
      </c>
      <c r="DN238" s="316" t="e">
        <f>IF($J238="",#N/A,SUM(DM$4:DM238))</f>
        <v>#N/A</v>
      </c>
      <c r="DO238" s="317" t="str">
        <f t="shared" si="394"/>
        <v/>
      </c>
      <c r="DP238" s="317" t="e">
        <f>IF($J238="",#N/A,SUM(DO$4:DO238))</f>
        <v>#N/A</v>
      </c>
      <c r="DQ238" s="318" t="str">
        <f t="shared" si="395"/>
        <v/>
      </c>
      <c r="DR238" s="318" t="e">
        <f>IF($J238="",#N/A,SUM(DQ$4:DQ238))</f>
        <v>#N/A</v>
      </c>
      <c r="DS238" s="318" t="e">
        <f>IF($J238="",#N/A,SUM(DQ$4:DQ238,DO$4:DO238,DM$4:DM238))</f>
        <v>#N/A</v>
      </c>
      <c r="DT238" s="304" t="str">
        <f t="shared" si="396"/>
        <v/>
      </c>
      <c r="DU238" s="316" t="e">
        <f>IF($J238="",#N/A,SUM(DT$4:DT238))</f>
        <v>#N/A</v>
      </c>
      <c r="DV238" s="317" t="str">
        <f t="shared" si="397"/>
        <v/>
      </c>
      <c r="DW238" s="317" t="e">
        <f>IF($J238="",#N/A,SUM(DV$4:DV238))</f>
        <v>#N/A</v>
      </c>
      <c r="DX238" s="318" t="str">
        <f t="shared" si="398"/>
        <v/>
      </c>
      <c r="DY238" s="318" t="e">
        <f>IF($J238="",#N/A,SUM(DX$4:DX238))</f>
        <v>#N/A</v>
      </c>
      <c r="DZ238" s="318" t="e">
        <f>IF($J238="",#N/A,SUM(DX$4:DX238,DV$4:DV238,DT$4:DT238))</f>
        <v>#N/A</v>
      </c>
      <c r="EA238" s="304" t="str">
        <f t="shared" si="399"/>
        <v/>
      </c>
      <c r="EB238" s="316" t="e">
        <f>IF($J238="",#N/A,SUM(EA$4:EA238))</f>
        <v>#N/A</v>
      </c>
      <c r="EC238" s="317" t="str">
        <f t="shared" si="400"/>
        <v/>
      </c>
      <c r="ED238" s="317" t="e">
        <f>IF($J238="",#N/A,SUM(EC$4:EC238))</f>
        <v>#N/A</v>
      </c>
      <c r="EE238" s="318" t="str">
        <f t="shared" si="401"/>
        <v/>
      </c>
      <c r="EF238" s="318" t="e">
        <f>IF($J238="",#N/A,SUM(EE$4:EE238))</f>
        <v>#N/A</v>
      </c>
      <c r="EG238" s="318" t="e">
        <f>IF($J238="",#N/A,SUM(EE$4:EE238,EC$4:EC238,EA$4:EA238))</f>
        <v>#N/A</v>
      </c>
      <c r="EH238" s="211">
        <f t="shared" si="402"/>
        <v>-1.2633878743261562</v>
      </c>
      <c r="EI238" s="63">
        <f>IF(EH238="",#N/A,SUM($EH$4:EH238))</f>
        <v>1036.7675502785744</v>
      </c>
      <c r="EJ238" s="223" t="e">
        <f t="shared" si="403"/>
        <v>#N/A</v>
      </c>
      <c r="EK238" s="63" t="e">
        <f>IF($GZ238="",#N/A,SUM(EJ$4:EJ238))</f>
        <v>#N/A</v>
      </c>
      <c r="EL238" s="60">
        <f t="shared" si="435"/>
        <v>-5.264116143025651E-2</v>
      </c>
      <c r="EM238" s="60">
        <f>IF(EL238="",NA(),SUM($EL$4:EL238))</f>
        <v>31.436153225396268</v>
      </c>
      <c r="EN238" s="60" t="str">
        <f t="shared" si="404"/>
        <v/>
      </c>
      <c r="EO238" s="60" t="e">
        <f>IF(EN238="",NA(),SUM($EN$4:EN238))</f>
        <v>#N/A</v>
      </c>
      <c r="EP238" s="60">
        <f t="shared" si="405"/>
        <v>-5.264116143025651E-2</v>
      </c>
      <c r="EQ238" s="60">
        <f>IF(EP238="",NA(),SUM($EP$4:EP238))</f>
        <v>4.8441201688173869</v>
      </c>
      <c r="ER238" s="60" t="str">
        <f t="shared" si="406"/>
        <v/>
      </c>
      <c r="ES238" s="60" t="e">
        <f>IF(ER238="",NA(),SUM($ER$4:ER238))</f>
        <v>#N/A</v>
      </c>
      <c r="ET238" s="60" t="str">
        <f t="shared" si="407"/>
        <v/>
      </c>
      <c r="EU238" s="60" t="e">
        <f>IF(ET238="",NA(),SUM($ET$4:ET238))</f>
        <v>#N/A</v>
      </c>
      <c r="EV238" s="60" t="str">
        <f t="shared" si="408"/>
        <v/>
      </c>
      <c r="EW238" s="60" t="e">
        <f>IF(EV238="",NA(),SUM($EV$4:EV238))</f>
        <v>#N/A</v>
      </c>
      <c r="EX238" s="60" t="str">
        <f t="shared" si="409"/>
        <v/>
      </c>
      <c r="EY238" s="60" t="e">
        <f>IF(EX238="",NA(),SUM($EX$4:EX238))</f>
        <v>#N/A</v>
      </c>
      <c r="EZ238" s="60" t="str">
        <f t="shared" si="410"/>
        <v/>
      </c>
      <c r="FA238" s="60" t="e">
        <f>IF(EZ238="",NA(),SUM($EZ$4:EZ238))</f>
        <v>#N/A</v>
      </c>
      <c r="FB238" s="246" t="str">
        <f t="shared" si="436"/>
        <v/>
      </c>
      <c r="FC238" s="246" t="e">
        <f>IF($FB238="",#N/A,SUM(FB$4:$FB238))</f>
        <v>#N/A</v>
      </c>
      <c r="FD238" s="60" t="str">
        <f t="shared" si="411"/>
        <v/>
      </c>
      <c r="FE238" s="60" t="e">
        <f>IF($FD238="",#N/A,SUM($FD$4:FD238))</f>
        <v>#N/A</v>
      </c>
      <c r="FF238" s="60" t="str">
        <f t="shared" si="412"/>
        <v/>
      </c>
      <c r="FG238" s="60" t="e">
        <f>IF($FF238="",#N/A,SUM($FF$4:FF238))</f>
        <v>#N/A</v>
      </c>
      <c r="FH238" s="60" t="str">
        <f t="shared" si="413"/>
        <v/>
      </c>
      <c r="FI238" s="60" t="e">
        <f>IF($FH238="",#N/A,SUM($FH$4:FH238))</f>
        <v>#N/A</v>
      </c>
      <c r="FJ238" s="60" t="str">
        <f t="shared" si="414"/>
        <v/>
      </c>
      <c r="FK238" s="60" t="e">
        <f>IF($FJ238="",#N/A,SUM($FJ$4:FJ238))</f>
        <v>#N/A</v>
      </c>
      <c r="FL238" s="60">
        <f t="shared" si="415"/>
        <v>0.61051873312910254</v>
      </c>
      <c r="FM238" s="60">
        <f>IF($FL238="",#N/A,SUM($FL$4:FL238))</f>
        <v>1.5024052064116336</v>
      </c>
      <c r="FN238" s="82">
        <f t="shared" si="416"/>
        <v>0.557877571698846</v>
      </c>
      <c r="FO238" s="82">
        <f>IF($FN238="",#N/A,SUM(FN$4:$FN238))</f>
        <v>40.232489621294356</v>
      </c>
      <c r="FP238" s="82">
        <f t="shared" si="437"/>
        <v>-5.264116143025651E-2</v>
      </c>
      <c r="FQ238" s="246">
        <f>IF($EH238="",#N/A,SUM($FP$4:FP238))</f>
        <v>41.256732931652394</v>
      </c>
      <c r="FR238" s="82">
        <f>IFERROR(FQ238/COUNTA($J$4:J238),#N/A)</f>
        <v>0.17556056566660594</v>
      </c>
      <c r="FS238" s="82">
        <f t="shared" si="445"/>
        <v>0.28664103854818468</v>
      </c>
      <c r="FT238" s="82">
        <f t="shared" si="446"/>
        <v>0.38633457194012633</v>
      </c>
      <c r="FU238" s="273"/>
      <c r="FV238" s="57" t="str">
        <f t="shared" si="418"/>
        <v>SW</v>
      </c>
      <c r="FW238" s="57" t="s">
        <v>2732</v>
      </c>
      <c r="FX238" s="57" t="str">
        <f t="shared" si="419"/>
        <v/>
      </c>
      <c r="FY238" s="57" t="str">
        <f t="shared" si="420"/>
        <v/>
      </c>
      <c r="FZ238" s="57" t="str">
        <f t="shared" si="421"/>
        <v/>
      </c>
      <c r="GA238" s="57" t="str">
        <f t="shared" si="422"/>
        <v>Long</v>
      </c>
      <c r="GB238" s="57" t="str">
        <f t="shared" si="423"/>
        <v/>
      </c>
      <c r="GC238" s="57" t="str">
        <f t="shared" si="424"/>
        <v/>
      </c>
      <c r="GD238" s="57">
        <f t="shared" si="425"/>
        <v>1</v>
      </c>
      <c r="GE238" s="62">
        <f t="shared" si="339"/>
        <v>842.18</v>
      </c>
      <c r="GF238" s="62" t="s">
        <v>2780</v>
      </c>
      <c r="GG238" s="99">
        <f>400/I238</f>
        <v>0.4749578474910352</v>
      </c>
      <c r="GH238" s="207">
        <f t="shared" si="426"/>
        <v>400</v>
      </c>
      <c r="GI238" s="99">
        <f>GG238</f>
        <v>0.4749578474910352</v>
      </c>
      <c r="GJ238" s="98">
        <f>J238</f>
        <v>839.52</v>
      </c>
      <c r="GK238" s="63">
        <f t="shared" si="427"/>
        <v>1.2633878743261562</v>
      </c>
      <c r="GL238" s="63">
        <f t="shared" si="340"/>
        <v>-13.389061720772304</v>
      </c>
      <c r="GM238" s="82">
        <f t="shared" si="428"/>
        <v>0.557877571698846</v>
      </c>
      <c r="GN238" s="82">
        <f>IF($GZ238="",#N/A,SUM(GM$4:GM238))</f>
        <v>-1.4860929682077981</v>
      </c>
      <c r="GO238" s="82" t="str">
        <f t="shared" si="429"/>
        <v/>
      </c>
      <c r="GP238" s="82">
        <f>IF($GZ238="",#N/A,SUM(GO$4:GO238))</f>
        <v>10.966804243176151</v>
      </c>
      <c r="GQ238" s="82" t="str">
        <f t="shared" si="430"/>
        <v/>
      </c>
      <c r="GR238" s="82">
        <f>IF($GZ238="",#N/A,SUM(GQ$4:GQ238))</f>
        <v>30.125941391883664</v>
      </c>
      <c r="GS238" s="63" t="e">
        <f t="shared" si="438"/>
        <v>#N/A</v>
      </c>
      <c r="GT238" s="63" t="e">
        <f>IF($GZ238="",#N/A,SUM(GS$4:GS238))</f>
        <v>#N/A</v>
      </c>
      <c r="GU238" s="63" t="str">
        <f t="shared" si="439"/>
        <v/>
      </c>
      <c r="GV238" s="63" t="e">
        <f>IF($GZ238="",#N/A,SUM(GU$4:GU238))</f>
        <v>#N/A</v>
      </c>
      <c r="GW238" s="63" t="str">
        <f t="shared" si="440"/>
        <v/>
      </c>
      <c r="GX238" s="63" t="e">
        <f>IF($GZ238="",#N/A,SUM(GW$4:GW238))</f>
        <v>#N/A</v>
      </c>
      <c r="GY238" s="63" t="e">
        <f>IF(EJ238="",#N/A,SUM($EJ$4:EJ238))</f>
        <v>#N/A</v>
      </c>
      <c r="GZ238" s="159">
        <v>870.37</v>
      </c>
      <c r="HA238" s="63">
        <f t="shared" si="431"/>
        <v>-12.125673846446148</v>
      </c>
      <c r="HB238" s="130" t="s">
        <v>4970</v>
      </c>
      <c r="HC238" s="60">
        <f>IFERROR(VLOOKUP(E238,Expectancy!$P$4:$S$19,1+C238,FALSE),"")</f>
        <v>-0.15084750675779673</v>
      </c>
      <c r="HD238" s="82" t="str">
        <f t="shared" si="432"/>
        <v/>
      </c>
      <c r="HE238" s="138" t="e">
        <f>IF(HD238="",#N/A,SUM($HD$4:HD238))</f>
        <v>#N/A</v>
      </c>
      <c r="HF238" s="85" t="e">
        <f>IF(HD238="",#N/A,IF(HB238="Skip",#N/A,SUM($HG$4:HG238)))</f>
        <v>#N/A</v>
      </c>
      <c r="HG238" s="205" t="str">
        <f t="shared" si="433"/>
        <v/>
      </c>
      <c r="HH238" s="82">
        <f t="shared" si="434"/>
        <v>0.557877571698846</v>
      </c>
    </row>
    <row r="239" spans="1:216" x14ac:dyDescent="0.25">
      <c r="A239" s="57" t="s">
        <v>1301</v>
      </c>
      <c r="B239" s="58" t="s">
        <v>5225</v>
      </c>
      <c r="C239" s="386">
        <f t="shared" si="343"/>
        <v>3</v>
      </c>
      <c r="D239" s="372" t="str">
        <f>_xlfn.XLOOKUP(A239,[1]SP500!$A$2:$A$502,[1]SP500!$D$2:$D$502,"N")</f>
        <v>Y</v>
      </c>
      <c r="E239" s="57" t="str">
        <f>_xlfn.XLOOKUP(A239,[1]SP500!$A$2:$A$655,[1]SP500!$B$2:$B$655)</f>
        <v>XLB</v>
      </c>
      <c r="F239" s="59">
        <v>45694</v>
      </c>
      <c r="G239" s="57" t="str">
        <f t="shared" si="344"/>
        <v>BMO</v>
      </c>
      <c r="H239" s="57" t="str">
        <f t="shared" si="345"/>
        <v>o</v>
      </c>
      <c r="I239" s="159">
        <v>453.7</v>
      </c>
      <c r="J239" s="159">
        <v>450.03</v>
      </c>
      <c r="K239" s="61">
        <f t="shared" si="346"/>
        <v>-8.0890456248622795E-3</v>
      </c>
      <c r="L239" s="87">
        <f t="shared" si="347"/>
        <v>3.6700000000000159</v>
      </c>
      <c r="M239" s="130">
        <f t="shared" si="338"/>
        <v>-0.20000000000004547</v>
      </c>
      <c r="N239" s="169" t="str">
        <f t="shared" si="348"/>
        <v/>
      </c>
      <c r="O239" s="169">
        <f>IF($J239="",#N/A,SUM($N$4:N239))</f>
        <v>300.61511614781222</v>
      </c>
      <c r="P239" s="174" t="str">
        <f t="shared" si="349"/>
        <v/>
      </c>
      <c r="Q239" s="174">
        <f>IF($J239="",#N/A,SUM($P$4:P239))</f>
        <v>630.62776401603674</v>
      </c>
      <c r="R239" s="178">
        <f t="shared" si="350"/>
        <v>-3.6700000000000159</v>
      </c>
      <c r="S239" s="178">
        <f>IF($J239="",#N/A,SUM($R$4:R239))</f>
        <v>101.85467011472514</v>
      </c>
      <c r="T239" s="290" t="str">
        <f t="shared" si="351"/>
        <v/>
      </c>
      <c r="U239" s="290">
        <f>IF($J239="",#N/A,SUM($T$4:T239))</f>
        <v>10.85290293409429</v>
      </c>
      <c r="V239" s="291" t="str">
        <f t="shared" si="352"/>
        <v/>
      </c>
      <c r="W239" s="291">
        <f>IF($J239="",#N/A,SUM($V$4:V239))</f>
        <v>26.230324244510406</v>
      </c>
      <c r="X239" s="292">
        <f t="shared" si="353"/>
        <v>-0.134817427081038</v>
      </c>
      <c r="Y239" s="292">
        <f>IF($J239="",#N/A,SUM($X$4:X239))</f>
        <v>4.0386883259666648</v>
      </c>
      <c r="Z239" s="304" t="str">
        <f t="shared" si="354"/>
        <v/>
      </c>
      <c r="AA239" s="313" t="e">
        <f>IF($J239="",#N/A,SUM(Z$4:Z239))</f>
        <v>#N/A</v>
      </c>
      <c r="AB239" s="314" t="str">
        <f t="shared" si="355"/>
        <v/>
      </c>
      <c r="AC239" s="314" t="e">
        <f>IF($J239="",#N/A,SUM(AB$4:AB239))</f>
        <v>#N/A</v>
      </c>
      <c r="AD239" s="315" t="str">
        <f t="shared" si="356"/>
        <v/>
      </c>
      <c r="AE239" s="315" t="e">
        <f>IF($J239="",#N/A,SUM(AD$4:AD239))</f>
        <v>#N/A</v>
      </c>
      <c r="AF239" s="315" t="e">
        <f>IF($J239="",#N/A,SUM(AD$4:AD239,AB$4:AB239,Z$4:Z239))</f>
        <v>#N/A</v>
      </c>
      <c r="AG239" s="304" t="str">
        <f t="shared" si="357"/>
        <v/>
      </c>
      <c r="AH239" s="313" t="e">
        <f>IF($J239="",#N/A,SUM(AG$4:AG239))</f>
        <v>#N/A</v>
      </c>
      <c r="AI239" s="314" t="str">
        <f t="shared" si="358"/>
        <v/>
      </c>
      <c r="AJ239" s="314" t="e">
        <f>IF($J239="",#N/A,SUM(AI$4:AI239))</f>
        <v>#N/A</v>
      </c>
      <c r="AK239" s="315" t="str">
        <f t="shared" si="359"/>
        <v/>
      </c>
      <c r="AL239" s="315" t="e">
        <f>IF($J239="",#N/A,SUM(AK$4:AK239))</f>
        <v>#N/A</v>
      </c>
      <c r="AM239" s="315" t="e">
        <f>IF($J239="",#N/A,SUM(AK$4:AK239,AI$4:AI239,AG$4:AG239))</f>
        <v>#N/A</v>
      </c>
      <c r="AN239" s="304" t="str">
        <f t="shared" si="360"/>
        <v/>
      </c>
      <c r="AO239" s="313" t="e">
        <f>IF($J239="",#N/A,SUM(AN$4:AN239))</f>
        <v>#N/A</v>
      </c>
      <c r="AP239" s="314" t="str">
        <f t="shared" si="361"/>
        <v/>
      </c>
      <c r="AQ239" s="314" t="e">
        <f>IF($J239="",#N/A,SUM(AP$4:AP239))</f>
        <v>#N/A</v>
      </c>
      <c r="AR239" s="315" t="str">
        <f t="shared" si="362"/>
        <v/>
      </c>
      <c r="AS239" s="315" t="e">
        <f>IF($J239="",#N/A,SUM(AR$4:AR239))</f>
        <v>#N/A</v>
      </c>
      <c r="AT239" s="315" t="e">
        <f>IF($J239="",#N/A,SUM(AR$4:AR239,AP$4:AP239,AN$4:AN239))</f>
        <v>#N/A</v>
      </c>
      <c r="AU239" s="304" t="str">
        <f t="shared" si="363"/>
        <v/>
      </c>
      <c r="AV239" s="313" t="e">
        <f>IF($J239="",#N/A,SUM(AU$4:AU239))</f>
        <v>#N/A</v>
      </c>
      <c r="AW239" s="314" t="str">
        <f t="shared" si="364"/>
        <v/>
      </c>
      <c r="AX239" s="314" t="e">
        <f>IF($J239="",#N/A,SUM(AW$4:AW239))</f>
        <v>#N/A</v>
      </c>
      <c r="AY239" s="315" t="str">
        <f t="shared" si="365"/>
        <v/>
      </c>
      <c r="AZ239" s="315" t="e">
        <f>IF($J239="",#N/A,SUM(AY$4:AY239))</f>
        <v>#N/A</v>
      </c>
      <c r="BA239" s="315" t="e">
        <f>IF($J239="",#N/A,SUM(AY$4:AY239,AW$4:AW239,AU$4:AU239))</f>
        <v>#N/A</v>
      </c>
      <c r="BB239" s="304" t="str">
        <f t="shared" si="366"/>
        <v/>
      </c>
      <c r="BC239" s="313" t="e">
        <f>IF($J239="",#N/A,SUM(BB$4:BB239))</f>
        <v>#N/A</v>
      </c>
      <c r="BD239" s="314" t="str">
        <f t="shared" si="367"/>
        <v/>
      </c>
      <c r="BE239" s="314" t="e">
        <f>IF($J239="",#N/A,SUM(BD$4:BD239))</f>
        <v>#N/A</v>
      </c>
      <c r="BF239" s="315" t="str">
        <f t="shared" si="368"/>
        <v/>
      </c>
      <c r="BG239" s="315" t="e">
        <f>IF($J239="",#N/A,SUM(BF$4:BF239))</f>
        <v>#N/A</v>
      </c>
      <c r="BH239" s="315" t="e">
        <f>IF($J239="",#N/A,SUM(BF$4:BF239,BD$4:BD239,BB$4:BB239))</f>
        <v>#N/A</v>
      </c>
      <c r="BI239" s="304" t="str">
        <f t="shared" si="369"/>
        <v/>
      </c>
      <c r="BJ239" s="313" t="e">
        <f>IF($J239="",#N/A,SUM(BI$4:BI239))</f>
        <v>#N/A</v>
      </c>
      <c r="BK239" s="314" t="str">
        <f t="shared" si="370"/>
        <v/>
      </c>
      <c r="BL239" s="314" t="e">
        <f>IF($J239="",#N/A,SUM(BK$4:BK239))</f>
        <v>#N/A</v>
      </c>
      <c r="BM239" s="315" t="str">
        <f t="shared" si="371"/>
        <v/>
      </c>
      <c r="BN239" s="315" t="e">
        <f>IF($J239="",#N/A,SUM(BM$4:BM239))</f>
        <v>#N/A</v>
      </c>
      <c r="BO239" s="315" t="e">
        <f>IF($J239="",#N/A,SUM(BM$4:BM239,BK$4:BK239,BI$4:BI239))</f>
        <v>#N/A</v>
      </c>
      <c r="BP239" s="304" t="str">
        <f t="shared" si="372"/>
        <v/>
      </c>
      <c r="BQ239" s="313" t="e">
        <f>IF($J239="",#N/A,SUM(BP$4:BP239))</f>
        <v>#N/A</v>
      </c>
      <c r="BR239" s="314" t="str">
        <f t="shared" si="373"/>
        <v/>
      </c>
      <c r="BS239" s="314" t="e">
        <f>IF($J239="",#N/A,SUM(BR$4:BR239))</f>
        <v>#N/A</v>
      </c>
      <c r="BT239" s="315" t="str">
        <f t="shared" si="374"/>
        <v/>
      </c>
      <c r="BU239" s="315" t="e">
        <f>IF($J239="",#N/A,SUM(BT$4:BT239))</f>
        <v>#N/A</v>
      </c>
      <c r="BV239" s="315" t="e">
        <f>IF($J239="",#N/A,SUM(BT$4:BT239,BR$4:BR239,BP$4:BP239))</f>
        <v>#N/A</v>
      </c>
      <c r="BW239" s="304" t="str">
        <f t="shared" si="375"/>
        <v/>
      </c>
      <c r="BX239" s="313" t="e">
        <f>IF($J239="",#N/A,SUM(BW$4:BW239))</f>
        <v>#N/A</v>
      </c>
      <c r="BY239" s="314" t="str">
        <f t="shared" si="376"/>
        <v/>
      </c>
      <c r="BZ239" s="314" t="e">
        <f>IF($J239="",#N/A,SUM(BY$4:BY239))</f>
        <v>#N/A</v>
      </c>
      <c r="CA239" s="315" t="str">
        <f t="shared" si="377"/>
        <v/>
      </c>
      <c r="CB239" s="315" t="e">
        <f>IF($J239="",#N/A,SUM(CA$4:CA239))</f>
        <v>#N/A</v>
      </c>
      <c r="CC239" s="315" t="e">
        <f>IF($J239="",#N/A,SUM(CA$4:CA239,BY$4:BY239,BW$4:BW239))</f>
        <v>#N/A</v>
      </c>
      <c r="CD239" s="304" t="str">
        <f t="shared" si="378"/>
        <v/>
      </c>
      <c r="CE239" s="313" t="e">
        <f>IF($J239="",#N/A,SUM(CD$4:CD239))</f>
        <v>#N/A</v>
      </c>
      <c r="CF239" s="314" t="str">
        <f t="shared" si="379"/>
        <v/>
      </c>
      <c r="CG239" s="314" t="e">
        <f>IF($J239="",#N/A,SUM(CF$4:CF239))</f>
        <v>#N/A</v>
      </c>
      <c r="CH239" s="315">
        <f t="shared" si="380"/>
        <v>-0.134817427081038</v>
      </c>
      <c r="CI239" s="315" t="e">
        <f>IF($J239="",#N/A,SUM(CH$4:CH239))</f>
        <v>#N/A</v>
      </c>
      <c r="CJ239" s="315" t="e">
        <f>IF($J239="",#N/A,SUM(CH$4:CH239,CF$4:CF239,CD$4:CD239))</f>
        <v>#N/A</v>
      </c>
      <c r="CK239" s="304" t="str">
        <f t="shared" si="381"/>
        <v/>
      </c>
      <c r="CL239" s="313" t="e">
        <f>IF($J239="",#N/A,SUM(CK$4:CK239))</f>
        <v>#N/A</v>
      </c>
      <c r="CM239" s="314" t="str">
        <f t="shared" si="382"/>
        <v/>
      </c>
      <c r="CN239" s="314" t="e">
        <f>IF($J239="",#N/A,SUM(CM$4:CM239))</f>
        <v>#N/A</v>
      </c>
      <c r="CO239" s="315" t="str">
        <f t="shared" si="383"/>
        <v/>
      </c>
      <c r="CP239" s="315" t="e">
        <f>IF($J239="",#N/A,SUM(CO$4:CO239))</f>
        <v>#N/A</v>
      </c>
      <c r="CQ239" s="315" t="e">
        <f>IF($J239="",#N/A,SUM(CO$4:CO239,CM$4:CM239,CK$4:CK239))</f>
        <v>#N/A</v>
      </c>
      <c r="CR239" s="304" t="str">
        <f t="shared" si="384"/>
        <v/>
      </c>
      <c r="CS239" s="313" t="e">
        <f>IF($J239="",#N/A,SUM(CR$4:CR239))</f>
        <v>#N/A</v>
      </c>
      <c r="CT239" s="314" t="str">
        <f t="shared" si="385"/>
        <v/>
      </c>
      <c r="CU239" s="314" t="e">
        <f>IF($J239="",#N/A,SUM(CT$4:CT239))</f>
        <v>#N/A</v>
      </c>
      <c r="CV239" s="315" t="str">
        <f t="shared" si="386"/>
        <v/>
      </c>
      <c r="CW239" s="315" t="e">
        <f>IF($J239="",#N/A,SUM(CV$4:CV239))</f>
        <v>#N/A</v>
      </c>
      <c r="CX239" s="315" t="e">
        <f>IF($J239="",#N/A,SUM(CV$4:CV239,CT$4:CT239,CR$4:CR239))</f>
        <v>#N/A</v>
      </c>
      <c r="CY239" s="304" t="str">
        <f t="shared" si="387"/>
        <v/>
      </c>
      <c r="CZ239" s="313" t="e">
        <f>IF($J239="",#N/A,SUM(CY$4:CY239))</f>
        <v>#N/A</v>
      </c>
      <c r="DA239" s="314" t="str">
        <f t="shared" si="388"/>
        <v/>
      </c>
      <c r="DB239" s="314" t="e">
        <f>IF($J239="",#N/A,SUM(DA$4:DA239))</f>
        <v>#N/A</v>
      </c>
      <c r="DC239" s="315" t="str">
        <f t="shared" si="389"/>
        <v/>
      </c>
      <c r="DD239" s="315" t="e">
        <f>IF($J239="",#N/A,SUM(DC$4:DC239))</f>
        <v>#N/A</v>
      </c>
      <c r="DE239" s="315" t="e">
        <f>IF($J239="",#N/A,SUM(DC$4:DC239,DA$4:DA239,CY$4:CY239))</f>
        <v>#N/A</v>
      </c>
      <c r="DF239" s="304" t="str">
        <f t="shared" si="390"/>
        <v/>
      </c>
      <c r="DG239" s="313" t="e">
        <f>IF($J239="",#N/A,SUM(DF$4:DF239))</f>
        <v>#N/A</v>
      </c>
      <c r="DH239" s="314" t="str">
        <f t="shared" si="391"/>
        <v/>
      </c>
      <c r="DI239" s="314" t="e">
        <f>IF($J239="",#N/A,SUM(DH$4:DH239))</f>
        <v>#N/A</v>
      </c>
      <c r="DJ239" s="315" t="str">
        <f t="shared" si="392"/>
        <v/>
      </c>
      <c r="DK239" s="315" t="e">
        <f>IF($J239="",#N/A,SUM(DJ$4:DJ239))</f>
        <v>#N/A</v>
      </c>
      <c r="DL239" s="315" t="e">
        <f>IF($J239="",#N/A,SUM(DJ$4:DJ239,DH$4:DH239,DF$4:DF239))</f>
        <v>#N/A</v>
      </c>
      <c r="DM239" s="304" t="str">
        <f t="shared" si="393"/>
        <v/>
      </c>
      <c r="DN239" s="313" t="e">
        <f>IF($J239="",#N/A,SUM(DM$4:DM239))</f>
        <v>#N/A</v>
      </c>
      <c r="DO239" s="314" t="str">
        <f t="shared" si="394"/>
        <v/>
      </c>
      <c r="DP239" s="314" t="e">
        <f>IF($J239="",#N/A,SUM(DO$4:DO239))</f>
        <v>#N/A</v>
      </c>
      <c r="DQ239" s="315" t="str">
        <f t="shared" si="395"/>
        <v/>
      </c>
      <c r="DR239" s="315" t="e">
        <f>IF($J239="",#N/A,SUM(DQ$4:DQ239))</f>
        <v>#N/A</v>
      </c>
      <c r="DS239" s="315" t="e">
        <f>IF($J239="",#N/A,SUM(DQ$4:DQ239,DO$4:DO239,DM$4:DM239))</f>
        <v>#N/A</v>
      </c>
      <c r="DT239" s="304" t="str">
        <f t="shared" si="396"/>
        <v/>
      </c>
      <c r="DU239" s="313" t="e">
        <f>IF($J239="",#N/A,SUM(DT$4:DT239))</f>
        <v>#N/A</v>
      </c>
      <c r="DV239" s="314" t="str">
        <f t="shared" si="397"/>
        <v/>
      </c>
      <c r="DW239" s="314" t="e">
        <f>IF($J239="",#N/A,SUM(DV$4:DV239))</f>
        <v>#N/A</v>
      </c>
      <c r="DX239" s="315" t="str">
        <f t="shared" si="398"/>
        <v/>
      </c>
      <c r="DY239" s="315" t="e">
        <f>IF($J239="",#N/A,SUM(DX$4:DX239))</f>
        <v>#N/A</v>
      </c>
      <c r="DZ239" s="315" t="e">
        <f>IF($J239="",#N/A,SUM(DX$4:DX239,DV$4:DV239,DT$4:DT239))</f>
        <v>#N/A</v>
      </c>
      <c r="EA239" s="304" t="str">
        <f t="shared" si="399"/>
        <v/>
      </c>
      <c r="EB239" s="313" t="e">
        <f>IF($J239="",#N/A,SUM(EA$4:EA239))</f>
        <v>#N/A</v>
      </c>
      <c r="EC239" s="314" t="str">
        <f t="shared" si="400"/>
        <v/>
      </c>
      <c r="ED239" s="314" t="e">
        <f>IF($J239="",#N/A,SUM(EC$4:EC239))</f>
        <v>#N/A</v>
      </c>
      <c r="EE239" s="315" t="str">
        <f t="shared" si="401"/>
        <v/>
      </c>
      <c r="EF239" s="315" t="e">
        <f>IF($J239="",#N/A,SUM(EE$4:EE239))</f>
        <v>#N/A</v>
      </c>
      <c r="EG239" s="315" t="e">
        <f>IF($J239="",#N/A,SUM(EE$4:EE239,EC$4:EC239,EA$4:EA239))</f>
        <v>#N/A</v>
      </c>
      <c r="EH239" s="130">
        <f t="shared" si="402"/>
        <v>-3.6700000000000159</v>
      </c>
      <c r="EI239" s="63">
        <f>IF(EH239="",#N/A,SUM($EH$4:EH239))</f>
        <v>1033.0975502785743</v>
      </c>
      <c r="EJ239" s="223" t="e">
        <f t="shared" si="403"/>
        <v>#N/A</v>
      </c>
      <c r="EK239" s="63" t="e">
        <f>IF($GZ239="",#N/A,SUM(EJ$4:EJ239))</f>
        <v>#N/A</v>
      </c>
      <c r="EL239" s="60">
        <f t="shared" si="435"/>
        <v>-0.134817427081038</v>
      </c>
      <c r="EM239" s="60">
        <f>IF(EL239="",NA(),SUM($EL$4:EL239))</f>
        <v>31.301335798315229</v>
      </c>
      <c r="EN239" s="60" t="str">
        <f t="shared" si="404"/>
        <v/>
      </c>
      <c r="EO239" s="60" t="e">
        <f>IF(EN239="",NA(),SUM($EN$4:EN239))</f>
        <v>#N/A</v>
      </c>
      <c r="EP239" s="60">
        <f t="shared" si="405"/>
        <v>-0.134817427081038</v>
      </c>
      <c r="EQ239" s="60">
        <f>IF(EP239="",NA(),SUM($EP$4:EP239))</f>
        <v>4.7093027417363489</v>
      </c>
      <c r="ER239" s="60" t="str">
        <f t="shared" si="406"/>
        <v/>
      </c>
      <c r="ES239" s="60" t="e">
        <f>IF(ER239="",NA(),SUM($ER$4:ER239))</f>
        <v>#N/A</v>
      </c>
      <c r="ET239" s="60" t="str">
        <f t="shared" si="407"/>
        <v/>
      </c>
      <c r="EU239" s="60" t="e">
        <f>IF(ET239="",NA(),SUM($ET$4:ET239))</f>
        <v>#N/A</v>
      </c>
      <c r="EV239" s="60" t="str">
        <f t="shared" si="408"/>
        <v/>
      </c>
      <c r="EW239" s="60" t="e">
        <f>IF(EV239="",NA(),SUM($EV$4:EV239))</f>
        <v>#N/A</v>
      </c>
      <c r="EX239" s="60" t="str">
        <f t="shared" si="409"/>
        <v/>
      </c>
      <c r="EY239" s="60" t="e">
        <f>IF(EX239="",NA(),SUM($EX$4:EX239))</f>
        <v>#N/A</v>
      </c>
      <c r="EZ239" s="60" t="str">
        <f t="shared" si="410"/>
        <v/>
      </c>
      <c r="FA239" s="60" t="e">
        <f>IF(EZ239="",NA(),SUM($EZ$4:EZ239))</f>
        <v>#N/A</v>
      </c>
      <c r="FB239" s="246" t="str">
        <f t="shared" si="436"/>
        <v/>
      </c>
      <c r="FC239" s="246" t="e">
        <f>IF($FB239="",#N/A,SUM(FB$4:$FB239))</f>
        <v>#N/A</v>
      </c>
      <c r="FD239" s="60" t="str">
        <f t="shared" si="411"/>
        <v/>
      </c>
      <c r="FE239" s="60" t="e">
        <f>IF($FD239="",#N/A,SUM($FD$4:FD239))</f>
        <v>#N/A</v>
      </c>
      <c r="FF239" s="60" t="str">
        <f t="shared" si="412"/>
        <v/>
      </c>
      <c r="FG239" s="60" t="e">
        <f>IF($FF239="",#N/A,SUM($FF$4:FF239))</f>
        <v>#N/A</v>
      </c>
      <c r="FH239" s="60" t="str">
        <f t="shared" si="413"/>
        <v/>
      </c>
      <c r="FI239" s="60" t="e">
        <f>IF($FH239="",#N/A,SUM($FH$4:FH239))</f>
        <v>#N/A</v>
      </c>
      <c r="FJ239" s="60" t="str">
        <f t="shared" si="414"/>
        <v/>
      </c>
      <c r="FK239" s="60" t="e">
        <f>IF($FJ239="",#N/A,SUM($FJ$4:FJ239))</f>
        <v>#N/A</v>
      </c>
      <c r="FL239" s="60">
        <f t="shared" si="415"/>
        <v>0.39122768349129511</v>
      </c>
      <c r="FM239" s="60">
        <f>IF($FL239="",#N/A,SUM($FL$4:FL239))</f>
        <v>1.8936328899029287</v>
      </c>
      <c r="FN239" s="82">
        <f t="shared" si="416"/>
        <v>0.25641025641025711</v>
      </c>
      <c r="FO239" s="82">
        <f>IF($FN239="",#N/A,SUM(FN$4:$FN239))</f>
        <v>40.488899877704611</v>
      </c>
      <c r="FP239" s="82">
        <f t="shared" si="437"/>
        <v>-0.134817427081038</v>
      </c>
      <c r="FQ239" s="246">
        <f>IF($EH239="",#N/A,SUM($FP$4:FP239))</f>
        <v>41.121915504571355</v>
      </c>
      <c r="FR239" s="82">
        <f>IFERROR(FQ239/COUNTA($J$4:J239),#N/A)</f>
        <v>0.1742454046803871</v>
      </c>
      <c r="FS239" s="82">
        <f t="shared" si="445"/>
        <v>0.30117885535662631</v>
      </c>
      <c r="FT239" s="82">
        <f t="shared" si="446"/>
        <v>0.3053542910038699</v>
      </c>
      <c r="FU239" s="337">
        <f>IF(AND(HB239="MOC",GZ239=""),#N/A,IFERROR(FQ239-HE239,FQ239-0))-14.53</f>
        <v>14.414384497409886</v>
      </c>
      <c r="FV239" s="57" t="str">
        <f t="shared" si="418"/>
        <v>SW</v>
      </c>
      <c r="FW239" s="57" t="s">
        <v>2732</v>
      </c>
      <c r="FX239" s="57" t="str">
        <f t="shared" si="419"/>
        <v/>
      </c>
      <c r="FY239" s="57" t="str">
        <f t="shared" si="420"/>
        <v/>
      </c>
      <c r="FZ239" s="57" t="str">
        <f t="shared" si="421"/>
        <v/>
      </c>
      <c r="GA239" s="57" t="str">
        <f t="shared" si="422"/>
        <v>Long</v>
      </c>
      <c r="GB239" s="57" t="str">
        <f t="shared" si="423"/>
        <v/>
      </c>
      <c r="GC239" s="57" t="str">
        <f t="shared" si="424"/>
        <v/>
      </c>
      <c r="GD239" s="57">
        <f t="shared" si="425"/>
        <v>1</v>
      </c>
      <c r="GE239" s="62">
        <f t="shared" si="339"/>
        <v>453.7</v>
      </c>
      <c r="GF239" s="62" t="s">
        <v>2780</v>
      </c>
      <c r="GG239" s="199">
        <v>1</v>
      </c>
      <c r="GH239" s="207">
        <f t="shared" si="426"/>
        <v>453.7</v>
      </c>
      <c r="GI239" s="199">
        <v>1</v>
      </c>
      <c r="GJ239" s="200">
        <v>450.23</v>
      </c>
      <c r="GK239" s="63">
        <f t="shared" si="427"/>
        <v>3.4699999999999704</v>
      </c>
      <c r="GL239" s="63">
        <f t="shared" si="340"/>
        <v>-6.9800000000000182</v>
      </c>
      <c r="GM239" s="82">
        <f t="shared" si="428"/>
        <v>0.25641025641025711</v>
      </c>
      <c r="GN239" s="82">
        <f>IF($GZ239="",#N/A,SUM(GM$4:GM239))</f>
        <v>-1.2296827117975411</v>
      </c>
      <c r="GO239" s="82" t="str">
        <f t="shared" si="429"/>
        <v/>
      </c>
      <c r="GP239" s="82">
        <f>IF($GZ239="",#N/A,SUM(GO$4:GO239))</f>
        <v>10.966804243176151</v>
      </c>
      <c r="GQ239" s="82" t="str">
        <f t="shared" si="430"/>
        <v/>
      </c>
      <c r="GR239" s="82">
        <f>IF($GZ239="",#N/A,SUM(GQ$4:GQ239))</f>
        <v>30.125941391883664</v>
      </c>
      <c r="GS239" s="63" t="e">
        <f t="shared" si="438"/>
        <v>#N/A</v>
      </c>
      <c r="GT239" s="63" t="e">
        <f>IF($GZ239="",#N/A,SUM(GS$4:GS239))</f>
        <v>#N/A</v>
      </c>
      <c r="GU239" s="63" t="str">
        <f t="shared" si="439"/>
        <v/>
      </c>
      <c r="GV239" s="63" t="e">
        <f>IF($GZ239="",#N/A,SUM(GU$4:GU239))</f>
        <v>#N/A</v>
      </c>
      <c r="GW239" s="63" t="str">
        <f t="shared" si="440"/>
        <v/>
      </c>
      <c r="GX239" s="63" t="e">
        <f>IF($GZ239="",#N/A,SUM(GW$4:GW239))</f>
        <v>#N/A</v>
      </c>
      <c r="GY239" s="63" t="e">
        <f>IF(EJ239="",#N/A,SUM($EJ$4:EJ239))</f>
        <v>#N/A</v>
      </c>
      <c r="GZ239" s="159">
        <v>460.68</v>
      </c>
      <c r="HA239" s="63">
        <f t="shared" si="431"/>
        <v>-3.3100000000000023</v>
      </c>
      <c r="HB239" s="62" t="s">
        <v>2538</v>
      </c>
      <c r="HC239" s="60">
        <f>IFERROR(VLOOKUP(E239,Expectancy!$P$4:$S$19,1+C239,FALSE),"")</f>
        <v>-0.22212962098938482</v>
      </c>
      <c r="HD239" s="82">
        <f t="shared" si="432"/>
        <v>0.12747042833002611</v>
      </c>
      <c r="HE239" s="138">
        <f>IF(HD239="",#N/A,SUM($HD$4:HD239))</f>
        <v>12.177531007161468</v>
      </c>
      <c r="HF239" s="85">
        <f>IF(HD239="",#N/A,IF(HB239="Skip",#N/A,SUM($HG$4:HG239)))</f>
        <v>327.26156919911443</v>
      </c>
      <c r="HG239" s="63">
        <f t="shared" si="433"/>
        <v>3.4699999999999704</v>
      </c>
      <c r="HH239" s="82">
        <f t="shared" si="434"/>
        <v>0.25641025641025711</v>
      </c>
    </row>
    <row r="240" spans="1:216" x14ac:dyDescent="0.25">
      <c r="A240" s="57" t="s">
        <v>1305</v>
      </c>
      <c r="B240" s="58" t="s">
        <v>5226</v>
      </c>
      <c r="C240" s="386">
        <f t="shared" si="343"/>
        <v>1</v>
      </c>
      <c r="D240" s="372" t="str">
        <f>_xlfn.XLOOKUP(A240,[1]SP500!$A$2:$A$502,[1]SP500!$D$2:$D$502,"N")</f>
        <v>Y</v>
      </c>
      <c r="E240" s="57" t="str">
        <f>_xlfn.XLOOKUP(A240,[1]SP500!$A$2:$A$655,[1]SP500!$B$2:$B$655)</f>
        <v>XLP</v>
      </c>
      <c r="F240" s="59">
        <v>45694</v>
      </c>
      <c r="G240" s="57" t="str">
        <f t="shared" si="344"/>
        <v>BMO</v>
      </c>
      <c r="H240" s="57" t="str">
        <f t="shared" si="345"/>
        <v>s</v>
      </c>
      <c r="I240" s="159">
        <v>130.97999999999999</v>
      </c>
      <c r="J240" s="159">
        <v>145.94</v>
      </c>
      <c r="K240" s="61">
        <f t="shared" si="346"/>
        <v>0.11421591082608039</v>
      </c>
      <c r="L240" s="87">
        <f t="shared" si="347"/>
        <v>44.880000000000052</v>
      </c>
      <c r="M240" s="130">
        <f t="shared" si="338"/>
        <v>-4.5299999999999727</v>
      </c>
      <c r="N240" s="169">
        <f t="shared" si="348"/>
        <v>44.880000000000052</v>
      </c>
      <c r="O240" s="169">
        <f>IF($J240="",#N/A,SUM($N$4:N240))</f>
        <v>345.49511614781227</v>
      </c>
      <c r="P240" s="174" t="str">
        <f t="shared" si="349"/>
        <v/>
      </c>
      <c r="Q240" s="174">
        <f>IF($J240="",#N/A,SUM($P$4:P240))</f>
        <v>630.62776401603674</v>
      </c>
      <c r="R240" s="178" t="str">
        <f t="shared" si="350"/>
        <v/>
      </c>
      <c r="S240" s="178">
        <f>IF($J240="",#N/A,SUM($R$4:R240))</f>
        <v>101.85467011472514</v>
      </c>
      <c r="T240" s="290">
        <f t="shared" si="351"/>
        <v>1.9035985137680078</v>
      </c>
      <c r="U240" s="290">
        <f>IF($J240="",#N/A,SUM($T$4:T240))</f>
        <v>12.756501447862298</v>
      </c>
      <c r="V240" s="291" t="str">
        <f t="shared" si="352"/>
        <v/>
      </c>
      <c r="W240" s="291">
        <f>IF($J240="",#N/A,SUM($V$4:V240))</f>
        <v>26.230324244510406</v>
      </c>
      <c r="X240" s="292" t="str">
        <f t="shared" si="353"/>
        <v/>
      </c>
      <c r="Y240" s="292">
        <f>IF($J240="",#N/A,SUM($X$4:X240))</f>
        <v>4.0386883259666648</v>
      </c>
      <c r="Z240" s="304" t="str">
        <f t="shared" si="354"/>
        <v/>
      </c>
      <c r="AA240" s="313" t="e">
        <f>IF($J240="",#N/A,SUM(Z$4:Z240))</f>
        <v>#N/A</v>
      </c>
      <c r="AB240" s="314" t="str">
        <f t="shared" si="355"/>
        <v/>
      </c>
      <c r="AC240" s="314" t="e">
        <f>IF($J240="",#N/A,SUM(AB$4:AB240))</f>
        <v>#N/A</v>
      </c>
      <c r="AD240" s="315" t="str">
        <f t="shared" si="356"/>
        <v/>
      </c>
      <c r="AE240" s="315" t="e">
        <f>IF($J240="",#N/A,SUM(AD$4:AD240))</f>
        <v>#N/A</v>
      </c>
      <c r="AF240" s="315" t="e">
        <f>IF($J240="",#N/A,SUM(AD$4:AD240,AB$4:AB240,Z$4:Z240))</f>
        <v>#N/A</v>
      </c>
      <c r="AG240" s="304" t="str">
        <f t="shared" si="357"/>
        <v/>
      </c>
      <c r="AH240" s="313" t="e">
        <f>IF($J240="",#N/A,SUM(AG$4:AG240))</f>
        <v>#N/A</v>
      </c>
      <c r="AI240" s="314" t="str">
        <f t="shared" si="358"/>
        <v/>
      </c>
      <c r="AJ240" s="314" t="e">
        <f>IF($J240="",#N/A,SUM(AI$4:AI240))</f>
        <v>#N/A</v>
      </c>
      <c r="AK240" s="315" t="str">
        <f t="shared" si="359"/>
        <v/>
      </c>
      <c r="AL240" s="315" t="e">
        <f>IF($J240="",#N/A,SUM(AK$4:AK240))</f>
        <v>#N/A</v>
      </c>
      <c r="AM240" s="315" t="e">
        <f>IF($J240="",#N/A,SUM(AK$4:AK240,AI$4:AI240,AG$4:AG240))</f>
        <v>#N/A</v>
      </c>
      <c r="AN240" s="304" t="str">
        <f t="shared" si="360"/>
        <v/>
      </c>
      <c r="AO240" s="313" t="e">
        <f>IF($J240="",#N/A,SUM(AN$4:AN240))</f>
        <v>#N/A</v>
      </c>
      <c r="AP240" s="314" t="str">
        <f t="shared" si="361"/>
        <v/>
      </c>
      <c r="AQ240" s="314" t="e">
        <f>IF($J240="",#N/A,SUM(AP$4:AP240))</f>
        <v>#N/A</v>
      </c>
      <c r="AR240" s="315" t="str">
        <f t="shared" si="362"/>
        <v/>
      </c>
      <c r="AS240" s="315" t="e">
        <f>IF($J240="",#N/A,SUM(AR$4:AR240))</f>
        <v>#N/A</v>
      </c>
      <c r="AT240" s="315" t="e">
        <f>IF($J240="",#N/A,SUM(AR$4:AR240,AP$4:AP240,AN$4:AN240))</f>
        <v>#N/A</v>
      </c>
      <c r="AU240" s="304">
        <f t="shared" si="363"/>
        <v>1.9035985137680078</v>
      </c>
      <c r="AV240" s="313" t="e">
        <f>IF($J240="",#N/A,SUM(AU$4:AU240))</f>
        <v>#N/A</v>
      </c>
      <c r="AW240" s="314" t="str">
        <f t="shared" si="364"/>
        <v/>
      </c>
      <c r="AX240" s="314" t="e">
        <f>IF($J240="",#N/A,SUM(AW$4:AW240))</f>
        <v>#N/A</v>
      </c>
      <c r="AY240" s="315" t="str">
        <f t="shared" si="365"/>
        <v/>
      </c>
      <c r="AZ240" s="315" t="e">
        <f>IF($J240="",#N/A,SUM(AY$4:AY240))</f>
        <v>#N/A</v>
      </c>
      <c r="BA240" s="315" t="e">
        <f>IF($J240="",#N/A,SUM(AY$4:AY240,AW$4:AW240,AU$4:AU240))</f>
        <v>#N/A</v>
      </c>
      <c r="BB240" s="304" t="str">
        <f t="shared" si="366"/>
        <v/>
      </c>
      <c r="BC240" s="313" t="e">
        <f>IF($J240="",#N/A,SUM(BB$4:BB240))</f>
        <v>#N/A</v>
      </c>
      <c r="BD240" s="314" t="str">
        <f t="shared" si="367"/>
        <v/>
      </c>
      <c r="BE240" s="314" t="e">
        <f>IF($J240="",#N/A,SUM(BD$4:BD240))</f>
        <v>#N/A</v>
      </c>
      <c r="BF240" s="315" t="str">
        <f t="shared" si="368"/>
        <v/>
      </c>
      <c r="BG240" s="315" t="e">
        <f>IF($J240="",#N/A,SUM(BF$4:BF240))</f>
        <v>#N/A</v>
      </c>
      <c r="BH240" s="315" t="e">
        <f>IF($J240="",#N/A,SUM(BF$4:BF240,BD$4:BD240,BB$4:BB240))</f>
        <v>#N/A</v>
      </c>
      <c r="BI240" s="304" t="str">
        <f t="shared" si="369"/>
        <v/>
      </c>
      <c r="BJ240" s="313" t="e">
        <f>IF($J240="",#N/A,SUM(BI$4:BI240))</f>
        <v>#N/A</v>
      </c>
      <c r="BK240" s="314" t="str">
        <f t="shared" si="370"/>
        <v/>
      </c>
      <c r="BL240" s="314" t="e">
        <f>IF($J240="",#N/A,SUM(BK$4:BK240))</f>
        <v>#N/A</v>
      </c>
      <c r="BM240" s="315" t="str">
        <f t="shared" si="371"/>
        <v/>
      </c>
      <c r="BN240" s="315" t="e">
        <f>IF($J240="",#N/A,SUM(BM$4:BM240))</f>
        <v>#N/A</v>
      </c>
      <c r="BO240" s="315" t="e">
        <f>IF($J240="",#N/A,SUM(BM$4:BM240,BK$4:BK240,BI$4:BI240))</f>
        <v>#N/A</v>
      </c>
      <c r="BP240" s="304" t="str">
        <f t="shared" si="372"/>
        <v/>
      </c>
      <c r="BQ240" s="313" t="e">
        <f>IF($J240="",#N/A,SUM(BP$4:BP240))</f>
        <v>#N/A</v>
      </c>
      <c r="BR240" s="314" t="str">
        <f t="shared" si="373"/>
        <v/>
      </c>
      <c r="BS240" s="314" t="e">
        <f>IF($J240="",#N/A,SUM(BR$4:BR240))</f>
        <v>#N/A</v>
      </c>
      <c r="BT240" s="315" t="str">
        <f t="shared" si="374"/>
        <v/>
      </c>
      <c r="BU240" s="315" t="e">
        <f>IF($J240="",#N/A,SUM(BT$4:BT240))</f>
        <v>#N/A</v>
      </c>
      <c r="BV240" s="315" t="e">
        <f>IF($J240="",#N/A,SUM(BT$4:BT240,BR$4:BR240,BP$4:BP240))</f>
        <v>#N/A</v>
      </c>
      <c r="BW240" s="304" t="str">
        <f t="shared" si="375"/>
        <v/>
      </c>
      <c r="BX240" s="313" t="e">
        <f>IF($J240="",#N/A,SUM(BW$4:BW240))</f>
        <v>#N/A</v>
      </c>
      <c r="BY240" s="314" t="str">
        <f t="shared" si="376"/>
        <v/>
      </c>
      <c r="BZ240" s="314" t="e">
        <f>IF($J240="",#N/A,SUM(BY$4:BY240))</f>
        <v>#N/A</v>
      </c>
      <c r="CA240" s="315" t="str">
        <f t="shared" si="377"/>
        <v/>
      </c>
      <c r="CB240" s="315" t="e">
        <f>IF($J240="",#N/A,SUM(CA$4:CA240))</f>
        <v>#N/A</v>
      </c>
      <c r="CC240" s="315" t="e">
        <f>IF($J240="",#N/A,SUM(CA$4:CA240,BY$4:BY240,BW$4:BW240))</f>
        <v>#N/A</v>
      </c>
      <c r="CD240" s="304" t="str">
        <f t="shared" si="378"/>
        <v/>
      </c>
      <c r="CE240" s="313" t="e">
        <f>IF($J240="",#N/A,SUM(CD$4:CD240))</f>
        <v>#N/A</v>
      </c>
      <c r="CF240" s="314" t="str">
        <f t="shared" si="379"/>
        <v/>
      </c>
      <c r="CG240" s="314" t="e">
        <f>IF($J240="",#N/A,SUM(CF$4:CF240))</f>
        <v>#N/A</v>
      </c>
      <c r="CH240" s="315" t="str">
        <f t="shared" si="380"/>
        <v/>
      </c>
      <c r="CI240" s="315" t="e">
        <f>IF($J240="",#N/A,SUM(CH$4:CH240))</f>
        <v>#N/A</v>
      </c>
      <c r="CJ240" s="315" t="e">
        <f>IF($J240="",#N/A,SUM(CH$4:CH240,CF$4:CF240,CD$4:CD240))</f>
        <v>#N/A</v>
      </c>
      <c r="CK240" s="304" t="str">
        <f t="shared" si="381"/>
        <v/>
      </c>
      <c r="CL240" s="313" t="e">
        <f>IF($J240="",#N/A,SUM(CK$4:CK240))</f>
        <v>#N/A</v>
      </c>
      <c r="CM240" s="314" t="str">
        <f t="shared" si="382"/>
        <v/>
      </c>
      <c r="CN240" s="314" t="e">
        <f>IF($J240="",#N/A,SUM(CM$4:CM240))</f>
        <v>#N/A</v>
      </c>
      <c r="CO240" s="315" t="str">
        <f t="shared" si="383"/>
        <v/>
      </c>
      <c r="CP240" s="315" t="e">
        <f>IF($J240="",#N/A,SUM(CO$4:CO240))</f>
        <v>#N/A</v>
      </c>
      <c r="CQ240" s="315" t="e">
        <f>IF($J240="",#N/A,SUM(CO$4:CO240,CM$4:CM240,CK$4:CK240))</f>
        <v>#N/A</v>
      </c>
      <c r="CR240" s="304" t="str">
        <f t="shared" si="384"/>
        <v/>
      </c>
      <c r="CS240" s="313" t="e">
        <f>IF($J240="",#N/A,SUM(CR$4:CR240))</f>
        <v>#N/A</v>
      </c>
      <c r="CT240" s="314" t="str">
        <f t="shared" si="385"/>
        <v/>
      </c>
      <c r="CU240" s="314" t="e">
        <f>IF($J240="",#N/A,SUM(CT$4:CT240))</f>
        <v>#N/A</v>
      </c>
      <c r="CV240" s="315" t="str">
        <f t="shared" si="386"/>
        <v/>
      </c>
      <c r="CW240" s="315" t="e">
        <f>IF($J240="",#N/A,SUM(CV$4:CV240))</f>
        <v>#N/A</v>
      </c>
      <c r="CX240" s="315" t="e">
        <f>IF($J240="",#N/A,SUM(CV$4:CV240,CT$4:CT240,CR$4:CR240))</f>
        <v>#N/A</v>
      </c>
      <c r="CY240" s="304" t="str">
        <f t="shared" si="387"/>
        <v/>
      </c>
      <c r="CZ240" s="313" t="e">
        <f>IF($J240="",#N/A,SUM(CY$4:CY240))</f>
        <v>#N/A</v>
      </c>
      <c r="DA240" s="314" t="str">
        <f t="shared" si="388"/>
        <v/>
      </c>
      <c r="DB240" s="314" t="e">
        <f>IF($J240="",#N/A,SUM(DA$4:DA240))</f>
        <v>#N/A</v>
      </c>
      <c r="DC240" s="315" t="str">
        <f t="shared" si="389"/>
        <v/>
      </c>
      <c r="DD240" s="315" t="e">
        <f>IF($J240="",#N/A,SUM(DC$4:DC240))</f>
        <v>#N/A</v>
      </c>
      <c r="DE240" s="315" t="e">
        <f>IF($J240="",#N/A,SUM(DC$4:DC240,DA$4:DA240,CY$4:CY240))</f>
        <v>#N/A</v>
      </c>
      <c r="DF240" s="304" t="str">
        <f t="shared" si="390"/>
        <v/>
      </c>
      <c r="DG240" s="313" t="e">
        <f>IF($J240="",#N/A,SUM(DF$4:DF240))</f>
        <v>#N/A</v>
      </c>
      <c r="DH240" s="314" t="str">
        <f t="shared" si="391"/>
        <v/>
      </c>
      <c r="DI240" s="314" t="e">
        <f>IF($J240="",#N/A,SUM(DH$4:DH240))</f>
        <v>#N/A</v>
      </c>
      <c r="DJ240" s="315" t="str">
        <f t="shared" si="392"/>
        <v/>
      </c>
      <c r="DK240" s="315" t="e">
        <f>IF($J240="",#N/A,SUM(DJ$4:DJ240))</f>
        <v>#N/A</v>
      </c>
      <c r="DL240" s="315" t="e">
        <f>IF($J240="",#N/A,SUM(DJ$4:DJ240,DH$4:DH240,DF$4:DF240))</f>
        <v>#N/A</v>
      </c>
      <c r="DM240" s="304" t="str">
        <f t="shared" si="393"/>
        <v/>
      </c>
      <c r="DN240" s="313" t="e">
        <f>IF($J240="",#N/A,SUM(DM$4:DM240))</f>
        <v>#N/A</v>
      </c>
      <c r="DO240" s="314" t="str">
        <f t="shared" si="394"/>
        <v/>
      </c>
      <c r="DP240" s="314" t="e">
        <f>IF($J240="",#N/A,SUM(DO$4:DO240))</f>
        <v>#N/A</v>
      </c>
      <c r="DQ240" s="315" t="str">
        <f t="shared" si="395"/>
        <v/>
      </c>
      <c r="DR240" s="315" t="e">
        <f>IF($J240="",#N/A,SUM(DQ$4:DQ240))</f>
        <v>#N/A</v>
      </c>
      <c r="DS240" s="315" t="e">
        <f>IF($J240="",#N/A,SUM(DQ$4:DQ240,DO$4:DO240,DM$4:DM240))</f>
        <v>#N/A</v>
      </c>
      <c r="DT240" s="304" t="str">
        <f t="shared" si="396"/>
        <v/>
      </c>
      <c r="DU240" s="313" t="e">
        <f>IF($J240="",#N/A,SUM(DT$4:DT240))</f>
        <v>#N/A</v>
      </c>
      <c r="DV240" s="314" t="str">
        <f t="shared" si="397"/>
        <v/>
      </c>
      <c r="DW240" s="314" t="e">
        <f>IF($J240="",#N/A,SUM(DV$4:DV240))</f>
        <v>#N/A</v>
      </c>
      <c r="DX240" s="315" t="str">
        <f t="shared" si="398"/>
        <v/>
      </c>
      <c r="DY240" s="315" t="e">
        <f>IF($J240="",#N/A,SUM(DX$4:DX240))</f>
        <v>#N/A</v>
      </c>
      <c r="DZ240" s="315" t="e">
        <f>IF($J240="",#N/A,SUM(DX$4:DX240,DV$4:DV240,DT$4:DT240))</f>
        <v>#N/A</v>
      </c>
      <c r="EA240" s="304" t="str">
        <f t="shared" si="399"/>
        <v/>
      </c>
      <c r="EB240" s="313" t="e">
        <f>IF($J240="",#N/A,SUM(EA$4:EA240))</f>
        <v>#N/A</v>
      </c>
      <c r="EC240" s="314" t="str">
        <f t="shared" si="400"/>
        <v/>
      </c>
      <c r="ED240" s="314" t="e">
        <f>IF($J240="",#N/A,SUM(EC$4:EC240))</f>
        <v>#N/A</v>
      </c>
      <c r="EE240" s="315" t="str">
        <f t="shared" si="401"/>
        <v/>
      </c>
      <c r="EF240" s="315" t="e">
        <f>IF($J240="",#N/A,SUM(EE$4:EE240))</f>
        <v>#N/A</v>
      </c>
      <c r="EG240" s="315" t="e">
        <f>IF($J240="",#N/A,SUM(EE$4:EE240,EC$4:EC240,EA$4:EA240))</f>
        <v>#N/A</v>
      </c>
      <c r="EH240" s="130">
        <f t="shared" si="402"/>
        <v>44.880000000000052</v>
      </c>
      <c r="EI240" s="63">
        <f>IF(EH240="",#N/A,SUM($EH$4:EH240))</f>
        <v>1077.9775502785744</v>
      </c>
      <c r="EJ240" s="223" t="e">
        <f t="shared" si="403"/>
        <v>#N/A</v>
      </c>
      <c r="EK240" s="63" t="e">
        <f>IF($GZ240="",#N/A,SUM(EJ$4:EJ240))</f>
        <v>#N/A</v>
      </c>
      <c r="EL240" s="60">
        <f t="shared" si="435"/>
        <v>1.9035985137680078</v>
      </c>
      <c r="EM240" s="60">
        <f>IF(EL240="",NA(),SUM($EL$4:EL240))</f>
        <v>33.204934312083239</v>
      </c>
      <c r="EN240" s="60">
        <f t="shared" si="404"/>
        <v>1.9035985137680078</v>
      </c>
      <c r="EO240" s="60">
        <f>IF(EN240="",NA(),SUM($EN$4:EN240))</f>
        <v>10.799794623211573</v>
      </c>
      <c r="EP240" s="60" t="str">
        <f t="shared" si="405"/>
        <v/>
      </c>
      <c r="EQ240" s="60" t="e">
        <f>IF(EP240="",NA(),SUM($EP$4:EP240))</f>
        <v>#N/A</v>
      </c>
      <c r="ER240" s="60" t="str">
        <f t="shared" si="406"/>
        <v/>
      </c>
      <c r="ES240" s="60" t="e">
        <f>IF(ER240="",NA(),SUM($ER$4:ER240))</f>
        <v>#N/A</v>
      </c>
      <c r="ET240" s="60" t="str">
        <f t="shared" si="407"/>
        <v/>
      </c>
      <c r="EU240" s="60" t="e">
        <f>IF(ET240="",NA(),SUM($ET$4:ET240))</f>
        <v>#N/A</v>
      </c>
      <c r="EV240" s="60" t="str">
        <f t="shared" si="408"/>
        <v/>
      </c>
      <c r="EW240" s="60" t="e">
        <f>IF(EV240="",NA(),SUM($EV$4:EV240))</f>
        <v>#N/A</v>
      </c>
      <c r="EX240" s="60" t="str">
        <f t="shared" si="409"/>
        <v/>
      </c>
      <c r="EY240" s="60" t="e">
        <f>IF(EX240="",NA(),SUM($EX$4:EX240))</f>
        <v>#N/A</v>
      </c>
      <c r="EZ240" s="60" t="str">
        <f t="shared" si="410"/>
        <v/>
      </c>
      <c r="FA240" s="60" t="e">
        <f>IF(EZ240="",NA(),SUM($EZ$4:EZ240))</f>
        <v>#N/A</v>
      </c>
      <c r="FB240" s="246" t="str">
        <f t="shared" si="436"/>
        <v/>
      </c>
      <c r="FC240" s="246" t="e">
        <f>IF($FB240="",#N/A,SUM(FB$4:$FB240))</f>
        <v>#N/A</v>
      </c>
      <c r="FD240" s="60" t="str">
        <f t="shared" si="411"/>
        <v/>
      </c>
      <c r="FE240" s="60" t="e">
        <f>IF($FD240="",#N/A,SUM($FD$4:FD240))</f>
        <v>#N/A</v>
      </c>
      <c r="FF240" s="60">
        <f t="shared" si="412"/>
        <v>-7.8892451773808325E-2</v>
      </c>
      <c r="FG240" s="60">
        <f>IF($FF240="",#N/A,SUM($FF$4:FF240))</f>
        <v>-1.9664123660666917</v>
      </c>
      <c r="FH240" s="60" t="str">
        <f t="shared" si="413"/>
        <v/>
      </c>
      <c r="FI240" s="60" t="e">
        <f>IF($FH240="",#N/A,SUM($FH$4:FH240))</f>
        <v>#N/A</v>
      </c>
      <c r="FJ240" s="60" t="str">
        <f t="shared" si="414"/>
        <v/>
      </c>
      <c r="FK240" s="60" t="e">
        <f>IF($FJ240="",#N/A,SUM($FJ$4:FJ240))</f>
        <v>#N/A</v>
      </c>
      <c r="FL240" s="60" t="str">
        <f t="shared" si="415"/>
        <v/>
      </c>
      <c r="FM240" s="60" t="e">
        <f>IF($FL240="",#N/A,SUM($FL$4:FL240))</f>
        <v>#N/A</v>
      </c>
      <c r="FN240" s="82">
        <f t="shared" si="416"/>
        <v>1.8247060619941995</v>
      </c>
      <c r="FO240" s="82">
        <f>IF($FN240="",#N/A,SUM(FN$4:$FN240))</f>
        <v>42.31360593969881</v>
      </c>
      <c r="FP240" s="82">
        <f t="shared" si="437"/>
        <v>1.9035985137680078</v>
      </c>
      <c r="FQ240" s="246">
        <f>IF($EH240="",#N/A,SUM($FP$4:FP240))</f>
        <v>43.025514018339365</v>
      </c>
      <c r="FR240" s="82">
        <f>IFERROR(FQ240/COUNTA($J$4:J240),#N/A)</f>
        <v>0.18154225324193826</v>
      </c>
      <c r="FS240" s="82">
        <f t="shared" si="445"/>
        <v>0.30988788215100199</v>
      </c>
      <c r="FT240" s="82">
        <f t="shared" si="446"/>
        <v>0.35149652999405956</v>
      </c>
      <c r="FU240" s="337">
        <f>IF(AND(HB240="MOC",GZ240=""),#N/A,IFERROR(FQ240-HE240,FQ240-0))-14.53</f>
        <v>14.606525791246098</v>
      </c>
      <c r="FV240" s="57" t="str">
        <f t="shared" si="418"/>
        <v>Up</v>
      </c>
      <c r="FW240" s="57" t="s">
        <v>2733</v>
      </c>
      <c r="FX240" s="57">
        <f t="shared" si="419"/>
        <v>1</v>
      </c>
      <c r="FY240" s="57" t="str">
        <f t="shared" si="420"/>
        <v/>
      </c>
      <c r="FZ240" s="57" t="str">
        <f t="shared" si="421"/>
        <v/>
      </c>
      <c r="GA240" s="57" t="str">
        <f t="shared" si="422"/>
        <v>Long</v>
      </c>
      <c r="GB240" s="57" t="str">
        <f t="shared" si="423"/>
        <v/>
      </c>
      <c r="GC240" s="57" t="str">
        <f t="shared" si="424"/>
        <v/>
      </c>
      <c r="GD240" s="57" t="str">
        <f t="shared" si="425"/>
        <v/>
      </c>
      <c r="GE240" s="62">
        <f t="shared" si="339"/>
        <v>130.97999999999999</v>
      </c>
      <c r="GF240" s="62" t="s">
        <v>2779</v>
      </c>
      <c r="GG240" s="199">
        <v>3</v>
      </c>
      <c r="GH240" s="207">
        <f t="shared" si="426"/>
        <v>392.93999999999994</v>
      </c>
      <c r="GI240" s="199">
        <v>3</v>
      </c>
      <c r="GJ240" s="200">
        <v>144.43</v>
      </c>
      <c r="GK240" s="63">
        <f t="shared" si="427"/>
        <v>40.35000000000008</v>
      </c>
      <c r="GL240" s="63">
        <f t="shared" si="340"/>
        <v>43.020000000000039</v>
      </c>
      <c r="GM240" s="82" t="str">
        <f t="shared" si="428"/>
        <v/>
      </c>
      <c r="GN240" s="82">
        <f>IF($GZ240="",#N/A,SUM(GM$4:GM240))</f>
        <v>-1.2296827117975411</v>
      </c>
      <c r="GO240" s="82">
        <f t="shared" si="429"/>
        <v>1.8247060619941995</v>
      </c>
      <c r="GP240" s="82">
        <f>IF($GZ240="",#N/A,SUM(GO$4:GO240))</f>
        <v>12.79151030517035</v>
      </c>
      <c r="GQ240" s="82" t="str">
        <f t="shared" si="430"/>
        <v/>
      </c>
      <c r="GR240" s="82">
        <f>IF($GZ240="",#N/A,SUM(GQ$4:GQ240))</f>
        <v>30.125941391883664</v>
      </c>
      <c r="GS240" s="63" t="str">
        <f t="shared" si="438"/>
        <v/>
      </c>
      <c r="GT240" s="63" t="e">
        <f>IF($GZ240="",#N/A,SUM(GS$4:GS240))</f>
        <v>#N/A</v>
      </c>
      <c r="GU240" s="63" t="e">
        <f t="shared" si="439"/>
        <v>#N/A</v>
      </c>
      <c r="GV240" s="63" t="e">
        <f>IF($GZ240="",#N/A,SUM(GU$4:GU240))</f>
        <v>#N/A</v>
      </c>
      <c r="GW240" s="63" t="str">
        <f t="shared" si="440"/>
        <v/>
      </c>
      <c r="GX240" s="63" t="e">
        <f>IF($GZ240="",#N/A,SUM(GW$4:GW240))</f>
        <v>#N/A</v>
      </c>
      <c r="GY240" s="63" t="e">
        <f>IF(EJ240="",#N/A,SUM($EJ$4:EJ240))</f>
        <v>#N/A</v>
      </c>
      <c r="GZ240" s="159">
        <v>145.32</v>
      </c>
      <c r="HA240" s="63">
        <f t="shared" si="431"/>
        <v>-1.8600000000000136</v>
      </c>
      <c r="HB240" s="62" t="s">
        <v>2538</v>
      </c>
      <c r="HC240" s="60">
        <f>IFERROR(VLOOKUP(E240,Expectancy!$P$4:$S$19,1+C240,FALSE),"")</f>
        <v>0.264760236699845</v>
      </c>
      <c r="HD240" s="82">
        <f t="shared" si="432"/>
        <v>1.7114572199317999</v>
      </c>
      <c r="HE240" s="138">
        <f>IF(HD240="",#N/A,SUM($HD$4:HD240))</f>
        <v>13.888988227093268</v>
      </c>
      <c r="HF240" s="85">
        <f>IF(HD240="",#N/A,IF(HB240="Skip",#N/A,SUM($HG$4:HG240)))</f>
        <v>367.61156919911451</v>
      </c>
      <c r="HG240" s="63">
        <f t="shared" si="433"/>
        <v>40.35000000000008</v>
      </c>
      <c r="HH240" s="82">
        <f t="shared" si="434"/>
        <v>1.8247060619941995</v>
      </c>
    </row>
    <row r="241" spans="1:216" x14ac:dyDescent="0.25">
      <c r="A241" s="57" t="s">
        <v>1326</v>
      </c>
      <c r="B241" s="58" t="s">
        <v>5227</v>
      </c>
      <c r="C241" s="386">
        <f t="shared" si="343"/>
        <v>3</v>
      </c>
      <c r="D241" s="372" t="str">
        <f>_xlfn.XLOOKUP(A241,[1]SP500!$A$2:$A$502,[1]SP500!$D$2:$D$502,"N")</f>
        <v>Y</v>
      </c>
      <c r="E241" s="57" t="str">
        <f>_xlfn.XLOOKUP(A241,[1]SP500!$A$2:$A$655,[1]SP500!$B$2:$B$655)</f>
        <v>XLI</v>
      </c>
      <c r="F241" s="59">
        <v>45694</v>
      </c>
      <c r="G241" s="57" t="str">
        <f t="shared" si="344"/>
        <v>BMO</v>
      </c>
      <c r="H241" s="57" t="str">
        <f t="shared" si="345"/>
        <v>o</v>
      </c>
      <c r="I241" s="159">
        <v>222.35</v>
      </c>
      <c r="J241" s="158">
        <v>215</v>
      </c>
      <c r="K241" s="61">
        <f t="shared" si="346"/>
        <v>-3.3055992804137596E-2</v>
      </c>
      <c r="L241" s="87">
        <f t="shared" si="347"/>
        <v>14.699999999999989</v>
      </c>
      <c r="M241" s="130">
        <f t="shared" si="338"/>
        <v>0</v>
      </c>
      <c r="N241" s="169" t="str">
        <f t="shared" si="348"/>
        <v/>
      </c>
      <c r="O241" s="169">
        <f>IF($J241="",#N/A,SUM($N$4:N241))</f>
        <v>345.49511614781227</v>
      </c>
      <c r="P241" s="174" t="str">
        <f t="shared" si="349"/>
        <v/>
      </c>
      <c r="Q241" s="174">
        <f>IF($J241="",#N/A,SUM($P$4:P241))</f>
        <v>630.62776401603674</v>
      </c>
      <c r="R241" s="178">
        <f t="shared" si="350"/>
        <v>-14.699999999999989</v>
      </c>
      <c r="S241" s="178">
        <f>IF($J241="",#N/A,SUM($R$4:R241))</f>
        <v>87.15467011472515</v>
      </c>
      <c r="T241" s="290" t="str">
        <f t="shared" si="351"/>
        <v/>
      </c>
      <c r="U241" s="290">
        <f>IF($J241="",#N/A,SUM($T$4:T241))</f>
        <v>12.756501447862298</v>
      </c>
      <c r="V241" s="291" t="str">
        <f t="shared" si="352"/>
        <v/>
      </c>
      <c r="W241" s="291">
        <f>IF($J241="",#N/A,SUM($V$4:V241))</f>
        <v>26.230324244510406</v>
      </c>
      <c r="X241" s="292">
        <f t="shared" si="353"/>
        <v>-0.55093321340229329</v>
      </c>
      <c r="Y241" s="292">
        <f>IF($J241="",#N/A,SUM($X$4:X241))</f>
        <v>3.4877551125643715</v>
      </c>
      <c r="Z241" s="304" t="str">
        <f t="shared" si="354"/>
        <v/>
      </c>
      <c r="AA241" s="313" t="e">
        <f>IF($J241="",#N/A,SUM(Z$4:Z241))</f>
        <v>#N/A</v>
      </c>
      <c r="AB241" s="314" t="str">
        <f t="shared" si="355"/>
        <v/>
      </c>
      <c r="AC241" s="314" t="e">
        <f>IF($J241="",#N/A,SUM(AB$4:AB241))</f>
        <v>#N/A</v>
      </c>
      <c r="AD241" s="315" t="str">
        <f t="shared" si="356"/>
        <v/>
      </c>
      <c r="AE241" s="315" t="e">
        <f>IF($J241="",#N/A,SUM(AD$4:AD241))</f>
        <v>#N/A</v>
      </c>
      <c r="AF241" s="315" t="e">
        <f>IF($J241="",#N/A,SUM(AD$4:AD241,AB$4:AB241,Z$4:Z241))</f>
        <v>#N/A</v>
      </c>
      <c r="AG241" s="304" t="str">
        <f t="shared" si="357"/>
        <v/>
      </c>
      <c r="AH241" s="313" t="e">
        <f>IF($J241="",#N/A,SUM(AG$4:AG241))</f>
        <v>#N/A</v>
      </c>
      <c r="AI241" s="314" t="str">
        <f t="shared" si="358"/>
        <v/>
      </c>
      <c r="AJ241" s="314" t="e">
        <f>IF($J241="",#N/A,SUM(AI$4:AI241))</f>
        <v>#N/A</v>
      </c>
      <c r="AK241" s="315" t="str">
        <f t="shared" si="359"/>
        <v/>
      </c>
      <c r="AL241" s="315" t="e">
        <f>IF($J241="",#N/A,SUM(AK$4:AK241))</f>
        <v>#N/A</v>
      </c>
      <c r="AM241" s="315" t="e">
        <f>IF($J241="",#N/A,SUM(AK$4:AK241,AI$4:AI241,AG$4:AG241))</f>
        <v>#N/A</v>
      </c>
      <c r="AN241" s="304" t="str">
        <f t="shared" si="360"/>
        <v/>
      </c>
      <c r="AO241" s="313" t="e">
        <f>IF($J241="",#N/A,SUM(AN$4:AN241))</f>
        <v>#N/A</v>
      </c>
      <c r="AP241" s="314" t="str">
        <f t="shared" si="361"/>
        <v/>
      </c>
      <c r="AQ241" s="314" t="e">
        <f>IF($J241="",#N/A,SUM(AP$4:AP241))</f>
        <v>#N/A</v>
      </c>
      <c r="AR241" s="315" t="str">
        <f t="shared" si="362"/>
        <v/>
      </c>
      <c r="AS241" s="315" t="e">
        <f>IF($J241="",#N/A,SUM(AR$4:AR241))</f>
        <v>#N/A</v>
      </c>
      <c r="AT241" s="315" t="e">
        <f>IF($J241="",#N/A,SUM(AR$4:AR241,AP$4:AP241,AN$4:AN241))</f>
        <v>#N/A</v>
      </c>
      <c r="AU241" s="304" t="str">
        <f t="shared" si="363"/>
        <v/>
      </c>
      <c r="AV241" s="313" t="e">
        <f>IF($J241="",#N/A,SUM(AU$4:AU241))</f>
        <v>#N/A</v>
      </c>
      <c r="AW241" s="314" t="str">
        <f t="shared" si="364"/>
        <v/>
      </c>
      <c r="AX241" s="314" t="e">
        <f>IF($J241="",#N/A,SUM(AW$4:AW241))</f>
        <v>#N/A</v>
      </c>
      <c r="AY241" s="315" t="str">
        <f t="shared" si="365"/>
        <v/>
      </c>
      <c r="AZ241" s="315" t="e">
        <f>IF($J241="",#N/A,SUM(AY$4:AY241))</f>
        <v>#N/A</v>
      </c>
      <c r="BA241" s="315" t="e">
        <f>IF($J241="",#N/A,SUM(AY$4:AY241,AW$4:AW241,AU$4:AU241))</f>
        <v>#N/A</v>
      </c>
      <c r="BB241" s="304" t="str">
        <f t="shared" si="366"/>
        <v/>
      </c>
      <c r="BC241" s="313" t="e">
        <f>IF($J241="",#N/A,SUM(BB$4:BB241))</f>
        <v>#N/A</v>
      </c>
      <c r="BD241" s="314" t="str">
        <f t="shared" si="367"/>
        <v/>
      </c>
      <c r="BE241" s="314" t="e">
        <f>IF($J241="",#N/A,SUM(BD$4:BD241))</f>
        <v>#N/A</v>
      </c>
      <c r="BF241" s="315" t="str">
        <f t="shared" si="368"/>
        <v/>
      </c>
      <c r="BG241" s="315" t="e">
        <f>IF($J241="",#N/A,SUM(BF$4:BF241))</f>
        <v>#N/A</v>
      </c>
      <c r="BH241" s="315" t="e">
        <f>IF($J241="",#N/A,SUM(BF$4:BF241,BD$4:BD241,BB$4:BB241))</f>
        <v>#N/A</v>
      </c>
      <c r="BI241" s="304" t="str">
        <f t="shared" si="369"/>
        <v/>
      </c>
      <c r="BJ241" s="313" t="e">
        <f>IF($J241="",#N/A,SUM(BI$4:BI241))</f>
        <v>#N/A</v>
      </c>
      <c r="BK241" s="314" t="str">
        <f t="shared" si="370"/>
        <v/>
      </c>
      <c r="BL241" s="314" t="e">
        <f>IF($J241="",#N/A,SUM(BK$4:BK241))</f>
        <v>#N/A</v>
      </c>
      <c r="BM241" s="315" t="str">
        <f t="shared" si="371"/>
        <v/>
      </c>
      <c r="BN241" s="315" t="e">
        <f>IF($J241="",#N/A,SUM(BM$4:BM241))</f>
        <v>#N/A</v>
      </c>
      <c r="BO241" s="315" t="e">
        <f>IF($J241="",#N/A,SUM(BM$4:BM241,BK$4:BK241,BI$4:BI241))</f>
        <v>#N/A</v>
      </c>
      <c r="BP241" s="304" t="str">
        <f t="shared" si="372"/>
        <v/>
      </c>
      <c r="BQ241" s="313" t="e">
        <f>IF($J241="",#N/A,SUM(BP$4:BP241))</f>
        <v>#N/A</v>
      </c>
      <c r="BR241" s="314" t="str">
        <f t="shared" si="373"/>
        <v/>
      </c>
      <c r="BS241" s="314" t="e">
        <f>IF($J241="",#N/A,SUM(BR$4:BR241))</f>
        <v>#N/A</v>
      </c>
      <c r="BT241" s="315">
        <f t="shared" si="374"/>
        <v>-0.55093321340229329</v>
      </c>
      <c r="BU241" s="315" t="e">
        <f>IF($J241="",#N/A,SUM(BT$4:BT241))</f>
        <v>#N/A</v>
      </c>
      <c r="BV241" s="315" t="e">
        <f>IF($J241="",#N/A,SUM(BT$4:BT241,BR$4:BR241,BP$4:BP241))</f>
        <v>#N/A</v>
      </c>
      <c r="BW241" s="304" t="str">
        <f t="shared" si="375"/>
        <v/>
      </c>
      <c r="BX241" s="313" t="e">
        <f>IF($J241="",#N/A,SUM(BW$4:BW241))</f>
        <v>#N/A</v>
      </c>
      <c r="BY241" s="314" t="str">
        <f t="shared" si="376"/>
        <v/>
      </c>
      <c r="BZ241" s="314" t="e">
        <f>IF($J241="",#N/A,SUM(BY$4:BY241))</f>
        <v>#N/A</v>
      </c>
      <c r="CA241" s="315" t="str">
        <f t="shared" si="377"/>
        <v/>
      </c>
      <c r="CB241" s="315" t="e">
        <f>IF($J241="",#N/A,SUM(CA$4:CA241))</f>
        <v>#N/A</v>
      </c>
      <c r="CC241" s="315" t="e">
        <f>IF($J241="",#N/A,SUM(CA$4:CA241,BY$4:BY241,BW$4:BW241))</f>
        <v>#N/A</v>
      </c>
      <c r="CD241" s="304" t="str">
        <f t="shared" si="378"/>
        <v/>
      </c>
      <c r="CE241" s="313" t="e">
        <f>IF($J241="",#N/A,SUM(CD$4:CD241))</f>
        <v>#N/A</v>
      </c>
      <c r="CF241" s="314" t="str">
        <f t="shared" si="379"/>
        <v/>
      </c>
      <c r="CG241" s="314" t="e">
        <f>IF($J241="",#N/A,SUM(CF$4:CF241))</f>
        <v>#N/A</v>
      </c>
      <c r="CH241" s="315" t="str">
        <f t="shared" si="380"/>
        <v/>
      </c>
      <c r="CI241" s="315" t="e">
        <f>IF($J241="",#N/A,SUM(CH$4:CH241))</f>
        <v>#N/A</v>
      </c>
      <c r="CJ241" s="315" t="e">
        <f>IF($J241="",#N/A,SUM(CH$4:CH241,CF$4:CF241,CD$4:CD241))</f>
        <v>#N/A</v>
      </c>
      <c r="CK241" s="304" t="str">
        <f t="shared" si="381"/>
        <v/>
      </c>
      <c r="CL241" s="313" t="e">
        <f>IF($J241="",#N/A,SUM(CK$4:CK241))</f>
        <v>#N/A</v>
      </c>
      <c r="CM241" s="314" t="str">
        <f t="shared" si="382"/>
        <v/>
      </c>
      <c r="CN241" s="314" t="e">
        <f>IF($J241="",#N/A,SUM(CM$4:CM241))</f>
        <v>#N/A</v>
      </c>
      <c r="CO241" s="315" t="str">
        <f t="shared" si="383"/>
        <v/>
      </c>
      <c r="CP241" s="315" t="e">
        <f>IF($J241="",#N/A,SUM(CO$4:CO241))</f>
        <v>#N/A</v>
      </c>
      <c r="CQ241" s="315" t="e">
        <f>IF($J241="",#N/A,SUM(CO$4:CO241,CM$4:CM241,CK$4:CK241))</f>
        <v>#N/A</v>
      </c>
      <c r="CR241" s="304" t="str">
        <f t="shared" si="384"/>
        <v/>
      </c>
      <c r="CS241" s="313" t="e">
        <f>IF($J241="",#N/A,SUM(CR$4:CR241))</f>
        <v>#N/A</v>
      </c>
      <c r="CT241" s="314" t="str">
        <f t="shared" si="385"/>
        <v/>
      </c>
      <c r="CU241" s="314" t="e">
        <f>IF($J241="",#N/A,SUM(CT$4:CT241))</f>
        <v>#N/A</v>
      </c>
      <c r="CV241" s="315" t="str">
        <f t="shared" si="386"/>
        <v/>
      </c>
      <c r="CW241" s="315" t="e">
        <f>IF($J241="",#N/A,SUM(CV$4:CV241))</f>
        <v>#N/A</v>
      </c>
      <c r="CX241" s="315" t="e">
        <f>IF($J241="",#N/A,SUM(CV$4:CV241,CT$4:CT241,CR$4:CR241))</f>
        <v>#N/A</v>
      </c>
      <c r="CY241" s="304" t="str">
        <f t="shared" si="387"/>
        <v/>
      </c>
      <c r="CZ241" s="313" t="e">
        <f>IF($J241="",#N/A,SUM(CY$4:CY241))</f>
        <v>#N/A</v>
      </c>
      <c r="DA241" s="314" t="str">
        <f t="shared" si="388"/>
        <v/>
      </c>
      <c r="DB241" s="314" t="e">
        <f>IF($J241="",#N/A,SUM(DA$4:DA241))</f>
        <v>#N/A</v>
      </c>
      <c r="DC241" s="315" t="str">
        <f t="shared" si="389"/>
        <v/>
      </c>
      <c r="DD241" s="315" t="e">
        <f>IF($J241="",#N/A,SUM(DC$4:DC241))</f>
        <v>#N/A</v>
      </c>
      <c r="DE241" s="315" t="e">
        <f>IF($J241="",#N/A,SUM(DC$4:DC241,DA$4:DA241,CY$4:CY241))</f>
        <v>#N/A</v>
      </c>
      <c r="DF241" s="304" t="str">
        <f t="shared" si="390"/>
        <v/>
      </c>
      <c r="DG241" s="313" t="e">
        <f>IF($J241="",#N/A,SUM(DF$4:DF241))</f>
        <v>#N/A</v>
      </c>
      <c r="DH241" s="314" t="str">
        <f t="shared" si="391"/>
        <v/>
      </c>
      <c r="DI241" s="314" t="e">
        <f>IF($J241="",#N/A,SUM(DH$4:DH241))</f>
        <v>#N/A</v>
      </c>
      <c r="DJ241" s="315" t="str">
        <f t="shared" si="392"/>
        <v/>
      </c>
      <c r="DK241" s="315" t="e">
        <f>IF($J241="",#N/A,SUM(DJ$4:DJ241))</f>
        <v>#N/A</v>
      </c>
      <c r="DL241" s="315" t="e">
        <f>IF($J241="",#N/A,SUM(DJ$4:DJ241,DH$4:DH241,DF$4:DF241))</f>
        <v>#N/A</v>
      </c>
      <c r="DM241" s="304" t="str">
        <f t="shared" si="393"/>
        <v/>
      </c>
      <c r="DN241" s="313" t="e">
        <f>IF($J241="",#N/A,SUM(DM$4:DM241))</f>
        <v>#N/A</v>
      </c>
      <c r="DO241" s="314" t="str">
        <f t="shared" si="394"/>
        <v/>
      </c>
      <c r="DP241" s="314" t="e">
        <f>IF($J241="",#N/A,SUM(DO$4:DO241))</f>
        <v>#N/A</v>
      </c>
      <c r="DQ241" s="315" t="str">
        <f t="shared" si="395"/>
        <v/>
      </c>
      <c r="DR241" s="315" t="e">
        <f>IF($J241="",#N/A,SUM(DQ$4:DQ241))</f>
        <v>#N/A</v>
      </c>
      <c r="DS241" s="315" t="e">
        <f>IF($J241="",#N/A,SUM(DQ$4:DQ241,DO$4:DO241,DM$4:DM241))</f>
        <v>#N/A</v>
      </c>
      <c r="DT241" s="304" t="str">
        <f t="shared" si="396"/>
        <v/>
      </c>
      <c r="DU241" s="313" t="e">
        <f>IF($J241="",#N/A,SUM(DT$4:DT241))</f>
        <v>#N/A</v>
      </c>
      <c r="DV241" s="314" t="str">
        <f t="shared" si="397"/>
        <v/>
      </c>
      <c r="DW241" s="314" t="e">
        <f>IF($J241="",#N/A,SUM(DV$4:DV241))</f>
        <v>#N/A</v>
      </c>
      <c r="DX241" s="315" t="str">
        <f t="shared" si="398"/>
        <v/>
      </c>
      <c r="DY241" s="315" t="e">
        <f>IF($J241="",#N/A,SUM(DX$4:DX241))</f>
        <v>#N/A</v>
      </c>
      <c r="DZ241" s="315" t="e">
        <f>IF($J241="",#N/A,SUM(DX$4:DX241,DV$4:DV241,DT$4:DT241))</f>
        <v>#N/A</v>
      </c>
      <c r="EA241" s="304" t="str">
        <f t="shared" si="399"/>
        <v/>
      </c>
      <c r="EB241" s="313" t="e">
        <f>IF($J241="",#N/A,SUM(EA$4:EA241))</f>
        <v>#N/A</v>
      </c>
      <c r="EC241" s="314" t="str">
        <f t="shared" si="400"/>
        <v/>
      </c>
      <c r="ED241" s="314" t="e">
        <f>IF($J241="",#N/A,SUM(EC$4:EC241))</f>
        <v>#N/A</v>
      </c>
      <c r="EE241" s="315" t="str">
        <f t="shared" si="401"/>
        <v/>
      </c>
      <c r="EF241" s="315" t="e">
        <f>IF($J241="",#N/A,SUM(EE$4:EE241))</f>
        <v>#N/A</v>
      </c>
      <c r="EG241" s="315" t="e">
        <f>IF($J241="",#N/A,SUM(EE$4:EE241,EC$4:EC241,EA$4:EA241))</f>
        <v>#N/A</v>
      </c>
      <c r="EH241" s="130">
        <f t="shared" si="402"/>
        <v>-14.699999999999989</v>
      </c>
      <c r="EI241" s="63">
        <f>IF(EH241="",#N/A,SUM($EH$4:EH241))</f>
        <v>1063.2775502785744</v>
      </c>
      <c r="EJ241" s="223" t="e">
        <f t="shared" si="403"/>
        <v>#N/A</v>
      </c>
      <c r="EK241" s="63" t="e">
        <f>IF($GZ241="",#N/A,SUM(EJ$4:EJ241))</f>
        <v>#N/A</v>
      </c>
      <c r="EL241" s="60">
        <f t="shared" si="435"/>
        <v>-0.55093321340229329</v>
      </c>
      <c r="EM241" s="60">
        <f>IF(EL241="",NA(),SUM($EL$4:EL241))</f>
        <v>32.654001098680943</v>
      </c>
      <c r="EN241" s="60" t="str">
        <f t="shared" si="404"/>
        <v/>
      </c>
      <c r="EO241" s="60" t="e">
        <f>IF(EN241="",NA(),SUM($EN$4:EN241))</f>
        <v>#N/A</v>
      </c>
      <c r="EP241" s="60">
        <f t="shared" si="405"/>
        <v>-0.55093321340229329</v>
      </c>
      <c r="EQ241" s="60">
        <f>IF(EP241="",NA(),SUM($EP$4:EP241))</f>
        <v>4.158369528334056</v>
      </c>
      <c r="ER241" s="60" t="str">
        <f t="shared" si="406"/>
        <v/>
      </c>
      <c r="ES241" s="60" t="e">
        <f>IF(ER241="",NA(),SUM($ER$4:ER241))</f>
        <v>#N/A</v>
      </c>
      <c r="ET241" s="60" t="str">
        <f t="shared" si="407"/>
        <v/>
      </c>
      <c r="EU241" s="60" t="e">
        <f>IF(ET241="",NA(),SUM($ET$4:ET241))</f>
        <v>#N/A</v>
      </c>
      <c r="EV241" s="60" t="str">
        <f t="shared" si="408"/>
        <v/>
      </c>
      <c r="EW241" s="60" t="e">
        <f>IF(EV241="",NA(),SUM($EV$4:EV241))</f>
        <v>#N/A</v>
      </c>
      <c r="EX241" s="60" t="str">
        <f t="shared" si="409"/>
        <v/>
      </c>
      <c r="EY241" s="60" t="e">
        <f>IF(EX241="",NA(),SUM($EX$4:EX241))</f>
        <v>#N/A</v>
      </c>
      <c r="EZ241" s="60" t="str">
        <f t="shared" si="410"/>
        <v/>
      </c>
      <c r="FA241" s="60" t="e">
        <f>IF(EZ241="",NA(),SUM($EZ$4:EZ241))</f>
        <v>#N/A</v>
      </c>
      <c r="FB241" s="246" t="str">
        <f t="shared" si="436"/>
        <v/>
      </c>
      <c r="FC241" s="246" t="e">
        <f>IF($FB241="",#N/A,SUM(FB$4:$FB241))</f>
        <v>#N/A</v>
      </c>
      <c r="FD241" s="60" t="str">
        <f t="shared" si="411"/>
        <v/>
      </c>
      <c r="FE241" s="60" t="e">
        <f>IF($FD241="",#N/A,SUM($FD$4:FD241))</f>
        <v>#N/A</v>
      </c>
      <c r="FF241" s="60" t="str">
        <f t="shared" si="412"/>
        <v/>
      </c>
      <c r="FG241" s="60" t="e">
        <f>IF($FF241="",#N/A,SUM($FF$4:FF241))</f>
        <v>#N/A</v>
      </c>
      <c r="FH241" s="60" t="str">
        <f t="shared" si="413"/>
        <v/>
      </c>
      <c r="FI241" s="60" t="e">
        <f>IF($FH241="",#N/A,SUM($FH$4:FH241))</f>
        <v>#N/A</v>
      </c>
      <c r="FJ241" s="60" t="str">
        <f t="shared" si="414"/>
        <v/>
      </c>
      <c r="FK241" s="60" t="e">
        <f>IF($FJ241="",#N/A,SUM($FJ$4:FJ241))</f>
        <v>#N/A</v>
      </c>
      <c r="FL241" s="60">
        <f t="shared" si="415"/>
        <v>-0.38827674087399799</v>
      </c>
      <c r="FM241" s="60">
        <f>IF($FL241="",#N/A,SUM($FL$4:FL241))</f>
        <v>1.5053561490289307</v>
      </c>
      <c r="FN241" s="82">
        <f t="shared" si="416"/>
        <v>-0.93920995427629128</v>
      </c>
      <c r="FO241" s="82">
        <f>IF($FN241="",#N/A,SUM(FN$4:$FN241))</f>
        <v>41.374395985422517</v>
      </c>
      <c r="FP241" s="82">
        <f t="shared" si="437"/>
        <v>-0.55093321340229329</v>
      </c>
      <c r="FQ241" s="246">
        <f>IF($EH241="",#N/A,SUM($FP$4:FP241))</f>
        <v>42.474580804937069</v>
      </c>
      <c r="FR241" s="82">
        <f>IFERROR(FQ241/COUNTA($J$4:J241),#N/A)</f>
        <v>0.17846462523082801</v>
      </c>
      <c r="FS241" s="82">
        <f t="shared" si="445"/>
        <v>0.30761275014462308</v>
      </c>
      <c r="FT241" s="82">
        <f t="shared" si="446"/>
        <v>0.29817860639619498</v>
      </c>
      <c r="FU241" s="337">
        <f>IF(AND(HB241="MOC",GZ241=""),#N/A,IFERROR(FQ241-HE241,FQ241-0))-14.53</f>
        <v>13.50465936444151</v>
      </c>
      <c r="FV241" s="57" t="str">
        <f t="shared" si="418"/>
        <v>SW</v>
      </c>
      <c r="FW241" s="57" t="s">
        <v>2732</v>
      </c>
      <c r="FX241" s="57" t="str">
        <f t="shared" si="419"/>
        <v/>
      </c>
      <c r="FY241" s="57" t="str">
        <f t="shared" si="420"/>
        <v/>
      </c>
      <c r="FZ241" s="57" t="str">
        <f t="shared" si="421"/>
        <v/>
      </c>
      <c r="GA241" s="57" t="str">
        <f t="shared" si="422"/>
        <v>Long</v>
      </c>
      <c r="GB241" s="57" t="str">
        <f t="shared" si="423"/>
        <v/>
      </c>
      <c r="GC241" s="57" t="str">
        <f t="shared" si="424"/>
        <v/>
      </c>
      <c r="GD241" s="57">
        <f t="shared" si="425"/>
        <v>1</v>
      </c>
      <c r="GE241" s="62">
        <f t="shared" si="339"/>
        <v>222.35</v>
      </c>
      <c r="GF241" s="62" t="s">
        <v>2780</v>
      </c>
      <c r="GG241" s="199">
        <v>2</v>
      </c>
      <c r="GH241" s="207">
        <f t="shared" si="426"/>
        <v>444.7</v>
      </c>
      <c r="GI241" s="199">
        <v>2</v>
      </c>
      <c r="GJ241" s="200">
        <v>215</v>
      </c>
      <c r="GK241" s="63">
        <f t="shared" si="427"/>
        <v>14.699999999999989</v>
      </c>
      <c r="GL241" s="63">
        <f t="shared" si="340"/>
        <v>25.060000000000002</v>
      </c>
      <c r="GM241" s="82">
        <f t="shared" si="428"/>
        <v>-0.93920995427629128</v>
      </c>
      <c r="GN241" s="82">
        <f>IF($GZ241="",#N/A,SUM(GM$4:GM241))</f>
        <v>-2.1688926660738321</v>
      </c>
      <c r="GO241" s="82" t="str">
        <f t="shared" si="429"/>
        <v/>
      </c>
      <c r="GP241" s="82">
        <f>IF($GZ241="",#N/A,SUM(GO$4:GO241))</f>
        <v>12.79151030517035</v>
      </c>
      <c r="GQ241" s="82" t="str">
        <f t="shared" si="430"/>
        <v/>
      </c>
      <c r="GR241" s="82">
        <f>IF($GZ241="",#N/A,SUM(GQ$4:GQ241))</f>
        <v>30.125941391883664</v>
      </c>
      <c r="GS241" s="63" t="e">
        <f t="shared" si="438"/>
        <v>#N/A</v>
      </c>
      <c r="GT241" s="63" t="e">
        <f>IF($GZ241="",#N/A,SUM(GS$4:GS241))</f>
        <v>#N/A</v>
      </c>
      <c r="GU241" s="63" t="str">
        <f t="shared" si="439"/>
        <v/>
      </c>
      <c r="GV241" s="63" t="e">
        <f>IF($GZ241="",#N/A,SUM(GU$4:GU241))</f>
        <v>#N/A</v>
      </c>
      <c r="GW241" s="63" t="str">
        <f t="shared" si="440"/>
        <v/>
      </c>
      <c r="GX241" s="63" t="e">
        <f>IF($GZ241="",#N/A,SUM(GW$4:GW241))</f>
        <v>#N/A</v>
      </c>
      <c r="GY241" s="63" t="e">
        <f>IF(EJ241="",#N/A,SUM($EJ$4:EJ241))</f>
        <v>#N/A</v>
      </c>
      <c r="GZ241" s="159">
        <v>209.82</v>
      </c>
      <c r="HA241" s="63">
        <f t="shared" si="431"/>
        <v>39.759999999999991</v>
      </c>
      <c r="HB241" s="62" t="s">
        <v>2538</v>
      </c>
      <c r="HC241" s="60">
        <f>IFERROR(VLOOKUP(E241,Expectancy!$P$4:$S$19,1+C241,FALSE),"")</f>
        <v>2.40735201201209E-2</v>
      </c>
      <c r="HD241" s="82">
        <f t="shared" si="432"/>
        <v>0.55093321340229329</v>
      </c>
      <c r="HE241" s="138">
        <f>IF(HD241="",#N/A,SUM($HD$4:HD241))</f>
        <v>14.439921440495562</v>
      </c>
      <c r="HF241" s="85">
        <f>IF(HD241="",#N/A,IF(HB241="Skip",#N/A,SUM($HG$4:HG241)))</f>
        <v>382.3115691991145</v>
      </c>
      <c r="HG241" s="63">
        <f t="shared" si="433"/>
        <v>14.699999999999989</v>
      </c>
      <c r="HH241" s="82">
        <f t="shared" si="434"/>
        <v>-0.93920995427629128</v>
      </c>
    </row>
    <row r="242" spans="1:216" x14ac:dyDescent="0.25">
      <c r="A242" s="57" t="s">
        <v>1335</v>
      </c>
      <c r="B242" s="58" t="s">
        <v>5228</v>
      </c>
      <c r="C242" s="386">
        <f t="shared" si="343"/>
        <v>3</v>
      </c>
      <c r="D242" s="372" t="str">
        <f>_xlfn.XLOOKUP(A242,[1]SP500!$A$2:$A$502,[1]SP500!$D$2:$D$502,"N")</f>
        <v>Y</v>
      </c>
      <c r="E242" s="57" t="str">
        <f>_xlfn.XLOOKUP(A242,[1]SP500!$A$2:$A$655,[1]SP500!$B$2:$B$655)</f>
        <v>XLE</v>
      </c>
      <c r="F242" s="59">
        <v>45694</v>
      </c>
      <c r="G242" s="57" t="str">
        <f t="shared" si="344"/>
        <v>BMO</v>
      </c>
      <c r="H242" s="57" t="str">
        <f t="shared" si="345"/>
        <v>o</v>
      </c>
      <c r="I242" s="162">
        <v>100.21</v>
      </c>
      <c r="J242" s="159">
        <v>98.89</v>
      </c>
      <c r="K242" s="61">
        <f t="shared" si="346"/>
        <v>-1.3172338090010909E-2</v>
      </c>
      <c r="L242" s="87">
        <f t="shared" si="347"/>
        <v>5.2689352360043813</v>
      </c>
      <c r="M242" s="214" t="e">
        <f t="shared" si="338"/>
        <v>#N/A</v>
      </c>
      <c r="N242" s="168" t="str">
        <f t="shared" si="348"/>
        <v/>
      </c>
      <c r="O242" s="168">
        <f>IF($J242="",#N/A,SUM($N$4:N242))</f>
        <v>345.49511614781227</v>
      </c>
      <c r="P242" s="173" t="str">
        <f t="shared" si="349"/>
        <v/>
      </c>
      <c r="Q242" s="173">
        <f>IF($J242="",#N/A,SUM($P$4:P242))</f>
        <v>630.62776401603674</v>
      </c>
      <c r="R242" s="177">
        <f t="shared" si="350"/>
        <v>-5.2689352360043813</v>
      </c>
      <c r="S242" s="177">
        <f>IF($J242="",#N/A,SUM($R$4:R242))</f>
        <v>81.885734878720768</v>
      </c>
      <c r="T242" s="293" t="str">
        <f t="shared" si="351"/>
        <v/>
      </c>
      <c r="U242" s="293">
        <f>IF($J242="",#N/A,SUM($T$4:T242))</f>
        <v>12.756501447862298</v>
      </c>
      <c r="V242" s="294" t="str">
        <f t="shared" si="352"/>
        <v/>
      </c>
      <c r="W242" s="294">
        <f>IF($J242="",#N/A,SUM($V$4:V242))</f>
        <v>26.230324244510406</v>
      </c>
      <c r="X242" s="295">
        <f t="shared" si="353"/>
        <v>-0.21953896816684923</v>
      </c>
      <c r="Y242" s="295">
        <f>IF($J242="",#N/A,SUM($X$4:X242))</f>
        <v>3.2682161443975222</v>
      </c>
      <c r="Z242" s="304" t="str">
        <f t="shared" si="354"/>
        <v/>
      </c>
      <c r="AA242" s="316" t="e">
        <f>IF($J242="",#N/A,SUM(Z$4:Z242))</f>
        <v>#N/A</v>
      </c>
      <c r="AB242" s="317" t="str">
        <f t="shared" si="355"/>
        <v/>
      </c>
      <c r="AC242" s="317" t="e">
        <f>IF($J242="",#N/A,SUM(AB$4:AB242))</f>
        <v>#N/A</v>
      </c>
      <c r="AD242" s="318" t="str">
        <f t="shared" si="356"/>
        <v/>
      </c>
      <c r="AE242" s="318" t="e">
        <f>IF($J242="",#N/A,SUM(AD$4:AD242))</f>
        <v>#N/A</v>
      </c>
      <c r="AF242" s="318" t="e">
        <f>IF($J242="",#N/A,SUM(AD$4:AD242,AB$4:AB242,Z$4:Z242))</f>
        <v>#N/A</v>
      </c>
      <c r="AG242" s="304" t="str">
        <f t="shared" si="357"/>
        <v/>
      </c>
      <c r="AH242" s="316" t="e">
        <f>IF($J242="",#N/A,SUM(AG$4:AG242))</f>
        <v>#N/A</v>
      </c>
      <c r="AI242" s="317" t="str">
        <f t="shared" si="358"/>
        <v/>
      </c>
      <c r="AJ242" s="317" t="e">
        <f>IF($J242="",#N/A,SUM(AI$4:AI242))</f>
        <v>#N/A</v>
      </c>
      <c r="AK242" s="318" t="str">
        <f t="shared" si="359"/>
        <v/>
      </c>
      <c r="AL242" s="318" t="e">
        <f>IF($J242="",#N/A,SUM(AK$4:AK242))</f>
        <v>#N/A</v>
      </c>
      <c r="AM242" s="318" t="e">
        <f>IF($J242="",#N/A,SUM(AK$4:AK242,AI$4:AI242,AG$4:AG242))</f>
        <v>#N/A</v>
      </c>
      <c r="AN242" s="304" t="str">
        <f t="shared" si="360"/>
        <v/>
      </c>
      <c r="AO242" s="316" t="e">
        <f>IF($J242="",#N/A,SUM(AN$4:AN242))</f>
        <v>#N/A</v>
      </c>
      <c r="AP242" s="317" t="str">
        <f t="shared" si="361"/>
        <v/>
      </c>
      <c r="AQ242" s="317" t="e">
        <f>IF($J242="",#N/A,SUM(AP$4:AP242))</f>
        <v>#N/A</v>
      </c>
      <c r="AR242" s="318" t="str">
        <f t="shared" si="362"/>
        <v/>
      </c>
      <c r="AS242" s="318" t="e">
        <f>IF($J242="",#N/A,SUM(AR$4:AR242))</f>
        <v>#N/A</v>
      </c>
      <c r="AT242" s="318" t="e">
        <f>IF($J242="",#N/A,SUM(AR$4:AR242,AP$4:AP242,AN$4:AN242))</f>
        <v>#N/A</v>
      </c>
      <c r="AU242" s="304" t="str">
        <f t="shared" si="363"/>
        <v/>
      </c>
      <c r="AV242" s="316" t="e">
        <f>IF($J242="",#N/A,SUM(AU$4:AU242))</f>
        <v>#N/A</v>
      </c>
      <c r="AW242" s="317" t="str">
        <f t="shared" si="364"/>
        <v/>
      </c>
      <c r="AX242" s="317" t="e">
        <f>IF($J242="",#N/A,SUM(AW$4:AW242))</f>
        <v>#N/A</v>
      </c>
      <c r="AY242" s="318" t="str">
        <f t="shared" si="365"/>
        <v/>
      </c>
      <c r="AZ242" s="318" t="e">
        <f>IF($J242="",#N/A,SUM(AY$4:AY242))</f>
        <v>#N/A</v>
      </c>
      <c r="BA242" s="318" t="e">
        <f>IF($J242="",#N/A,SUM(AY$4:AY242,AW$4:AW242,AU$4:AU242))</f>
        <v>#N/A</v>
      </c>
      <c r="BB242" s="304" t="str">
        <f t="shared" si="366"/>
        <v/>
      </c>
      <c r="BC242" s="316" t="e">
        <f>IF($J242="",#N/A,SUM(BB$4:BB242))</f>
        <v>#N/A</v>
      </c>
      <c r="BD242" s="317" t="str">
        <f t="shared" si="367"/>
        <v/>
      </c>
      <c r="BE242" s="317" t="e">
        <f>IF($J242="",#N/A,SUM(BD$4:BD242))</f>
        <v>#N/A</v>
      </c>
      <c r="BF242" s="318" t="str">
        <f t="shared" si="368"/>
        <v/>
      </c>
      <c r="BG242" s="318" t="e">
        <f>IF($J242="",#N/A,SUM(BF$4:BF242))</f>
        <v>#N/A</v>
      </c>
      <c r="BH242" s="318" t="e">
        <f>IF($J242="",#N/A,SUM(BF$4:BF242,BD$4:BD242,BB$4:BB242))</f>
        <v>#N/A</v>
      </c>
      <c r="BI242" s="304" t="str">
        <f t="shared" si="369"/>
        <v/>
      </c>
      <c r="BJ242" s="316" t="e">
        <f>IF($J242="",#N/A,SUM(BI$4:BI242))</f>
        <v>#N/A</v>
      </c>
      <c r="BK242" s="317" t="str">
        <f t="shared" si="370"/>
        <v/>
      </c>
      <c r="BL242" s="317" t="e">
        <f>IF($J242="",#N/A,SUM(BK$4:BK242))</f>
        <v>#N/A</v>
      </c>
      <c r="BM242" s="318" t="str">
        <f t="shared" si="371"/>
        <v/>
      </c>
      <c r="BN242" s="318" t="e">
        <f>IF($J242="",#N/A,SUM(BM$4:BM242))</f>
        <v>#N/A</v>
      </c>
      <c r="BO242" s="318" t="e">
        <f>IF($J242="",#N/A,SUM(BM$4:BM242,BK$4:BK242,BI$4:BI242))</f>
        <v>#N/A</v>
      </c>
      <c r="BP242" s="304" t="str">
        <f t="shared" si="372"/>
        <v/>
      </c>
      <c r="BQ242" s="316" t="e">
        <f>IF($J242="",#N/A,SUM(BP$4:BP242))</f>
        <v>#N/A</v>
      </c>
      <c r="BR242" s="317" t="str">
        <f t="shared" si="373"/>
        <v/>
      </c>
      <c r="BS242" s="317" t="e">
        <f>IF($J242="",#N/A,SUM(BR$4:BR242))</f>
        <v>#N/A</v>
      </c>
      <c r="BT242" s="318" t="str">
        <f t="shared" si="374"/>
        <v/>
      </c>
      <c r="BU242" s="318" t="e">
        <f>IF($J242="",#N/A,SUM(BT$4:BT242))</f>
        <v>#N/A</v>
      </c>
      <c r="BV242" s="318" t="e">
        <f>IF($J242="",#N/A,SUM(BT$4:BT242,BR$4:BR242,BP$4:BP242))</f>
        <v>#N/A</v>
      </c>
      <c r="BW242" s="304" t="str">
        <f t="shared" si="375"/>
        <v/>
      </c>
      <c r="BX242" s="316" t="e">
        <f>IF($J242="",#N/A,SUM(BW$4:BW242))</f>
        <v>#N/A</v>
      </c>
      <c r="BY242" s="317" t="str">
        <f t="shared" si="376"/>
        <v/>
      </c>
      <c r="BZ242" s="317" t="e">
        <f>IF($J242="",#N/A,SUM(BY$4:BY242))</f>
        <v>#N/A</v>
      </c>
      <c r="CA242" s="318" t="str">
        <f t="shared" si="377"/>
        <v/>
      </c>
      <c r="CB242" s="318" t="e">
        <f>IF($J242="",#N/A,SUM(CA$4:CA242))</f>
        <v>#N/A</v>
      </c>
      <c r="CC242" s="318" t="e">
        <f>IF($J242="",#N/A,SUM(CA$4:CA242,BY$4:BY242,BW$4:BW242))</f>
        <v>#N/A</v>
      </c>
      <c r="CD242" s="304" t="str">
        <f t="shared" si="378"/>
        <v/>
      </c>
      <c r="CE242" s="316" t="e">
        <f>IF($J242="",#N/A,SUM(CD$4:CD242))</f>
        <v>#N/A</v>
      </c>
      <c r="CF242" s="317" t="str">
        <f t="shared" si="379"/>
        <v/>
      </c>
      <c r="CG242" s="317" t="e">
        <f>IF($J242="",#N/A,SUM(CF$4:CF242))</f>
        <v>#N/A</v>
      </c>
      <c r="CH242" s="318" t="str">
        <f t="shared" si="380"/>
        <v/>
      </c>
      <c r="CI242" s="318" t="e">
        <f>IF($J242="",#N/A,SUM(CH$4:CH242))</f>
        <v>#N/A</v>
      </c>
      <c r="CJ242" s="318" t="e">
        <f>IF($J242="",#N/A,SUM(CH$4:CH242,CF$4:CF242,CD$4:CD242))</f>
        <v>#N/A</v>
      </c>
      <c r="CK242" s="304" t="str">
        <f t="shared" si="381"/>
        <v/>
      </c>
      <c r="CL242" s="316" t="e">
        <f>IF($J242="",#N/A,SUM(CK$4:CK242))</f>
        <v>#N/A</v>
      </c>
      <c r="CM242" s="317" t="str">
        <f t="shared" si="382"/>
        <v/>
      </c>
      <c r="CN242" s="317" t="e">
        <f>IF($J242="",#N/A,SUM(CM$4:CM242))</f>
        <v>#N/A</v>
      </c>
      <c r="CO242" s="318" t="str">
        <f t="shared" si="383"/>
        <v/>
      </c>
      <c r="CP242" s="318" t="e">
        <f>IF($J242="",#N/A,SUM(CO$4:CO242))</f>
        <v>#N/A</v>
      </c>
      <c r="CQ242" s="318" t="e">
        <f>IF($J242="",#N/A,SUM(CO$4:CO242,CM$4:CM242,CK$4:CK242))</f>
        <v>#N/A</v>
      </c>
      <c r="CR242" s="304" t="str">
        <f t="shared" si="384"/>
        <v/>
      </c>
      <c r="CS242" s="316" t="e">
        <f>IF($J242="",#N/A,SUM(CR$4:CR242))</f>
        <v>#N/A</v>
      </c>
      <c r="CT242" s="317" t="str">
        <f t="shared" si="385"/>
        <v/>
      </c>
      <c r="CU242" s="317" t="e">
        <f>IF($J242="",#N/A,SUM(CT$4:CT242))</f>
        <v>#N/A</v>
      </c>
      <c r="CV242" s="318">
        <f t="shared" si="386"/>
        <v>-0.21953896816684923</v>
      </c>
      <c r="CW242" s="318" t="e">
        <f>IF($J242="",#N/A,SUM(CV$4:CV242))</f>
        <v>#N/A</v>
      </c>
      <c r="CX242" s="318" t="e">
        <f>IF($J242="",#N/A,SUM(CV$4:CV242,CT$4:CT242,CR$4:CR242))</f>
        <v>#N/A</v>
      </c>
      <c r="CY242" s="304" t="str">
        <f t="shared" si="387"/>
        <v/>
      </c>
      <c r="CZ242" s="316" t="e">
        <f>IF($J242="",#N/A,SUM(CY$4:CY242))</f>
        <v>#N/A</v>
      </c>
      <c r="DA242" s="317" t="str">
        <f t="shared" si="388"/>
        <v/>
      </c>
      <c r="DB242" s="317" t="e">
        <f>IF($J242="",#N/A,SUM(DA$4:DA242))</f>
        <v>#N/A</v>
      </c>
      <c r="DC242" s="318" t="str">
        <f t="shared" si="389"/>
        <v/>
      </c>
      <c r="DD242" s="318" t="e">
        <f>IF($J242="",#N/A,SUM(DC$4:DC242))</f>
        <v>#N/A</v>
      </c>
      <c r="DE242" s="318" t="e">
        <f>IF($J242="",#N/A,SUM(DC$4:DC242,DA$4:DA242,CY$4:CY242))</f>
        <v>#N/A</v>
      </c>
      <c r="DF242" s="304" t="str">
        <f t="shared" si="390"/>
        <v/>
      </c>
      <c r="DG242" s="316" t="e">
        <f>IF($J242="",#N/A,SUM(DF$4:DF242))</f>
        <v>#N/A</v>
      </c>
      <c r="DH242" s="317" t="str">
        <f t="shared" si="391"/>
        <v/>
      </c>
      <c r="DI242" s="317" t="e">
        <f>IF($J242="",#N/A,SUM(DH$4:DH242))</f>
        <v>#N/A</v>
      </c>
      <c r="DJ242" s="318" t="str">
        <f t="shared" si="392"/>
        <v/>
      </c>
      <c r="DK242" s="318" t="e">
        <f>IF($J242="",#N/A,SUM(DJ$4:DJ242))</f>
        <v>#N/A</v>
      </c>
      <c r="DL242" s="318" t="e">
        <f>IF($J242="",#N/A,SUM(DJ$4:DJ242,DH$4:DH242,DF$4:DF242))</f>
        <v>#N/A</v>
      </c>
      <c r="DM242" s="304" t="str">
        <f t="shared" si="393"/>
        <v/>
      </c>
      <c r="DN242" s="316" t="e">
        <f>IF($J242="",#N/A,SUM(DM$4:DM242))</f>
        <v>#N/A</v>
      </c>
      <c r="DO242" s="317" t="str">
        <f t="shared" si="394"/>
        <v/>
      </c>
      <c r="DP242" s="317" t="e">
        <f>IF($J242="",#N/A,SUM(DO$4:DO242))</f>
        <v>#N/A</v>
      </c>
      <c r="DQ242" s="318" t="str">
        <f t="shared" si="395"/>
        <v/>
      </c>
      <c r="DR242" s="318" t="e">
        <f>IF($J242="",#N/A,SUM(DQ$4:DQ242))</f>
        <v>#N/A</v>
      </c>
      <c r="DS242" s="318" t="e">
        <f>IF($J242="",#N/A,SUM(DQ$4:DQ242,DO$4:DO242,DM$4:DM242))</f>
        <v>#N/A</v>
      </c>
      <c r="DT242" s="304" t="str">
        <f t="shared" si="396"/>
        <v/>
      </c>
      <c r="DU242" s="316" t="e">
        <f>IF($J242="",#N/A,SUM(DT$4:DT242))</f>
        <v>#N/A</v>
      </c>
      <c r="DV242" s="317" t="str">
        <f t="shared" si="397"/>
        <v/>
      </c>
      <c r="DW242" s="317" t="e">
        <f>IF($J242="",#N/A,SUM(DV$4:DV242))</f>
        <v>#N/A</v>
      </c>
      <c r="DX242" s="318" t="str">
        <f t="shared" si="398"/>
        <v/>
      </c>
      <c r="DY242" s="318" t="e">
        <f>IF($J242="",#N/A,SUM(DX$4:DX242))</f>
        <v>#N/A</v>
      </c>
      <c r="DZ242" s="318" t="e">
        <f>IF($J242="",#N/A,SUM(DX$4:DX242,DV$4:DV242,DT$4:DT242))</f>
        <v>#N/A</v>
      </c>
      <c r="EA242" s="304" t="str">
        <f t="shared" si="399"/>
        <v/>
      </c>
      <c r="EB242" s="316" t="e">
        <f>IF($J242="",#N/A,SUM(EA$4:EA242))</f>
        <v>#N/A</v>
      </c>
      <c r="EC242" s="317" t="str">
        <f t="shared" si="400"/>
        <v/>
      </c>
      <c r="ED242" s="317" t="e">
        <f>IF($J242="",#N/A,SUM(EC$4:EC242))</f>
        <v>#N/A</v>
      </c>
      <c r="EE242" s="318" t="str">
        <f t="shared" si="401"/>
        <v/>
      </c>
      <c r="EF242" s="318" t="e">
        <f>IF($J242="",#N/A,SUM(EE$4:EE242))</f>
        <v>#N/A</v>
      </c>
      <c r="EG242" s="318" t="e">
        <f>IF($J242="",#N/A,SUM(EE$4:EE242,EC$4:EC242,EA$4:EA242))</f>
        <v>#N/A</v>
      </c>
      <c r="EH242" s="211">
        <f t="shared" si="402"/>
        <v>-5.2689352360043813</v>
      </c>
      <c r="EI242" s="63">
        <f>IF(EH242="",#N/A,SUM($EH$4:EH242))</f>
        <v>1058.00861504257</v>
      </c>
      <c r="EJ242" s="223" t="e">
        <f t="shared" si="403"/>
        <v>#N/A</v>
      </c>
      <c r="EK242" s="63" t="e">
        <f>IF($GZ242="",#N/A,SUM(EJ$4:EJ242))</f>
        <v>#N/A</v>
      </c>
      <c r="EL242" s="60">
        <f t="shared" si="435"/>
        <v>-0.21953896816684923</v>
      </c>
      <c r="EM242" s="60">
        <f>IF(EL242="",NA(),SUM($EL$4:EL242))</f>
        <v>32.434462130514092</v>
      </c>
      <c r="EN242" s="60" t="str">
        <f t="shared" si="404"/>
        <v/>
      </c>
      <c r="EO242" s="60" t="e">
        <f>IF(EN242="",NA(),SUM($EN$4:EN242))</f>
        <v>#N/A</v>
      </c>
      <c r="EP242" s="60">
        <f t="shared" si="405"/>
        <v>-0.21953896816684923</v>
      </c>
      <c r="EQ242" s="60">
        <f>IF(EP242="",NA(),SUM($EP$4:EP242))</f>
        <v>3.9388305601672067</v>
      </c>
      <c r="ER242" s="60" t="str">
        <f t="shared" si="406"/>
        <v/>
      </c>
      <c r="ES242" s="60" t="e">
        <f>IF(ER242="",NA(),SUM($ER$4:ER242))</f>
        <v>#N/A</v>
      </c>
      <c r="ET242" s="60" t="str">
        <f t="shared" si="407"/>
        <v/>
      </c>
      <c r="EU242" s="60" t="e">
        <f>IF(ET242="",NA(),SUM($ET$4:ET242))</f>
        <v>#N/A</v>
      </c>
      <c r="EV242" s="60" t="str">
        <f t="shared" si="408"/>
        <v/>
      </c>
      <c r="EW242" s="60" t="e">
        <f>IF(EV242="",NA(),SUM($EV$4:EV242))</f>
        <v>#N/A</v>
      </c>
      <c r="EX242" s="60" t="str">
        <f t="shared" si="409"/>
        <v/>
      </c>
      <c r="EY242" s="60" t="e">
        <f>IF(EX242="",NA(),SUM($EX$4:EX242))</f>
        <v>#N/A</v>
      </c>
      <c r="EZ242" s="60" t="str">
        <f t="shared" si="410"/>
        <v/>
      </c>
      <c r="FA242" s="60" t="e">
        <f>IF(EZ242="",NA(),SUM($EZ$4:EZ242))</f>
        <v>#N/A</v>
      </c>
      <c r="FB242" s="246" t="str">
        <f t="shared" si="436"/>
        <v/>
      </c>
      <c r="FC242" s="246" t="e">
        <f>IF($FB242="",#N/A,SUM(FB$4:$FB242))</f>
        <v>#N/A</v>
      </c>
      <c r="FD242" s="60" t="str">
        <f t="shared" si="411"/>
        <v/>
      </c>
      <c r="FE242" s="60" t="e">
        <f>IF($FD242="",#N/A,SUM($FD$4:FD242))</f>
        <v>#N/A</v>
      </c>
      <c r="FF242" s="60" t="str">
        <f t="shared" si="412"/>
        <v/>
      </c>
      <c r="FG242" s="60" t="e">
        <f>IF($FF242="",#N/A,SUM($FF$4:FF242))</f>
        <v>#N/A</v>
      </c>
      <c r="FH242" s="60" t="str">
        <f t="shared" si="413"/>
        <v/>
      </c>
      <c r="FI242" s="60" t="e">
        <f>IF($FH242="",#N/A,SUM($FH$4:FH242))</f>
        <v>#N/A</v>
      </c>
      <c r="FJ242" s="60" t="str">
        <f t="shared" si="414"/>
        <v/>
      </c>
      <c r="FK242" s="60" t="e">
        <f>IF($FJ242="",#N/A,SUM($FJ$4:FJ242))</f>
        <v>#N/A</v>
      </c>
      <c r="FL242" s="60">
        <f t="shared" si="415"/>
        <v>0.17463327013272098</v>
      </c>
      <c r="FM242" s="60">
        <f>IF($FL242="",#N/A,SUM($FL$4:FL242))</f>
        <v>1.6799894191616516</v>
      </c>
      <c r="FN242" s="82">
        <f t="shared" si="416"/>
        <v>-4.490569803412825E-2</v>
      </c>
      <c r="FO242" s="82">
        <f>IF($FN242="",#N/A,SUM(FN$4:$FN242))</f>
        <v>41.329490287388388</v>
      </c>
      <c r="FP242" s="82">
        <f t="shared" si="437"/>
        <v>-0.21953896816684923</v>
      </c>
      <c r="FQ242" s="246">
        <f>IF($EH242="",#N/A,SUM($FP$4:FP242))</f>
        <v>42.255041836770218</v>
      </c>
      <c r="FR242" s="82">
        <f>IFERROR(FQ242/COUNTA($J$4:J242),#N/A)</f>
        <v>0.1767993382291641</v>
      </c>
      <c r="FS242" s="82">
        <f t="shared" si="445"/>
        <v>0.31937473627713214</v>
      </c>
      <c r="FT242" s="82">
        <f t="shared" si="446"/>
        <v>0.33182053688434121</v>
      </c>
      <c r="FU242" s="273"/>
      <c r="FV242" s="57" t="str">
        <f t="shared" si="418"/>
        <v>SW</v>
      </c>
      <c r="FW242" s="57" t="s">
        <v>2732</v>
      </c>
      <c r="FX242" s="57" t="str">
        <f t="shared" si="419"/>
        <v/>
      </c>
      <c r="FY242" s="57" t="str">
        <f t="shared" si="420"/>
        <v/>
      </c>
      <c r="FZ242" s="57" t="str">
        <f t="shared" si="421"/>
        <v/>
      </c>
      <c r="GA242" s="57" t="str">
        <f t="shared" si="422"/>
        <v>Long</v>
      </c>
      <c r="GB242" s="57" t="str">
        <f t="shared" si="423"/>
        <v/>
      </c>
      <c r="GC242" s="57" t="str">
        <f t="shared" si="424"/>
        <v/>
      </c>
      <c r="GD242" s="57">
        <f t="shared" si="425"/>
        <v>1</v>
      </c>
      <c r="GE242" s="62">
        <f t="shared" si="339"/>
        <v>100.21</v>
      </c>
      <c r="GF242" s="62" t="s">
        <v>2780</v>
      </c>
      <c r="GG242" s="99">
        <f>400/I242</f>
        <v>3.9916176030336294</v>
      </c>
      <c r="GH242" s="207">
        <f t="shared" si="426"/>
        <v>400</v>
      </c>
      <c r="GI242" s="99">
        <f>GG242</f>
        <v>3.9916176030336294</v>
      </c>
      <c r="GJ242" s="98">
        <f>J242</f>
        <v>98.89</v>
      </c>
      <c r="GK242" s="63">
        <f t="shared" si="427"/>
        <v>5.2689352360043813</v>
      </c>
      <c r="GL242" s="63">
        <f t="shared" si="340"/>
        <v>1.077736752819078</v>
      </c>
      <c r="GM242" s="82">
        <f t="shared" si="428"/>
        <v>-4.490569803412825E-2</v>
      </c>
      <c r="GN242" s="82">
        <f>IF($GZ242="",#N/A,SUM(GM$4:GM242))</f>
        <v>-2.2137983641079604</v>
      </c>
      <c r="GO242" s="82" t="str">
        <f t="shared" si="429"/>
        <v/>
      </c>
      <c r="GP242" s="82">
        <f>IF($GZ242="",#N/A,SUM(GO$4:GO242))</f>
        <v>12.79151030517035</v>
      </c>
      <c r="GQ242" s="82" t="str">
        <f t="shared" si="430"/>
        <v/>
      </c>
      <c r="GR242" s="82">
        <f>IF($GZ242="",#N/A,SUM(GQ$4:GQ242))</f>
        <v>30.125941391883664</v>
      </c>
      <c r="GS242" s="63" t="e">
        <f t="shared" si="438"/>
        <v>#N/A</v>
      </c>
      <c r="GT242" s="63" t="e">
        <f>IF($GZ242="",#N/A,SUM(GS$4:GS242))</f>
        <v>#N/A</v>
      </c>
      <c r="GU242" s="63" t="str">
        <f t="shared" si="439"/>
        <v/>
      </c>
      <c r="GV242" s="63" t="e">
        <f>IF($GZ242="",#N/A,SUM(GU$4:GU242))</f>
        <v>#N/A</v>
      </c>
      <c r="GW242" s="63" t="str">
        <f t="shared" si="440"/>
        <v/>
      </c>
      <c r="GX242" s="63" t="e">
        <f>IF($GZ242="",#N/A,SUM(GW$4:GW242))</f>
        <v>#N/A</v>
      </c>
      <c r="GY242" s="63" t="e">
        <f>IF(EJ242="",#N/A,SUM($EJ$4:EJ242))</f>
        <v>#N/A</v>
      </c>
      <c r="GZ242" s="159">
        <v>99.94</v>
      </c>
      <c r="HA242" s="63">
        <f t="shared" si="431"/>
        <v>6.3466719888234593</v>
      </c>
      <c r="HB242" s="130" t="s">
        <v>4970</v>
      </c>
      <c r="HC242" s="60">
        <f>IFERROR(VLOOKUP(E242,Expectancy!$P$4:$S$19,1+C242,FALSE),"")</f>
        <v>-0.14347628028912107</v>
      </c>
      <c r="HD242" s="82" t="str">
        <f t="shared" si="432"/>
        <v/>
      </c>
      <c r="HE242" s="138" t="e">
        <f>IF(HD242="",#N/A,SUM($HD$4:HD242))</f>
        <v>#N/A</v>
      </c>
      <c r="HF242" s="85" t="e">
        <f>IF(HD242="",#N/A,IF(HB242="Skip",#N/A,SUM($HG$4:HG242)))</f>
        <v>#N/A</v>
      </c>
      <c r="HG242" s="205" t="str">
        <f t="shared" si="433"/>
        <v/>
      </c>
      <c r="HH242" s="82">
        <f t="shared" si="434"/>
        <v>-4.490569803412825E-2</v>
      </c>
    </row>
    <row r="243" spans="1:216" x14ac:dyDescent="0.25">
      <c r="A243" s="57" t="s">
        <v>1340</v>
      </c>
      <c r="B243" s="58" t="s">
        <v>5226</v>
      </c>
      <c r="C243" s="386">
        <f t="shared" si="343"/>
        <v>1</v>
      </c>
      <c r="D243" s="372" t="str">
        <f>_xlfn.XLOOKUP(A243,[1]SP500!$A$2:$A$502,[1]SP500!$D$2:$D$502,"N")</f>
        <v>Y</v>
      </c>
      <c r="E243" s="57" t="str">
        <f>_xlfn.XLOOKUP(A243,[1]SP500!$A$2:$A$655,[1]SP500!$B$2:$B$655)</f>
        <v>XLV</v>
      </c>
      <c r="F243" s="59">
        <v>45694</v>
      </c>
      <c r="G243" s="57" t="str">
        <f t="shared" si="344"/>
        <v>BMO</v>
      </c>
      <c r="H243" s="57" t="str">
        <f t="shared" si="345"/>
        <v>s</v>
      </c>
      <c r="I243" s="159">
        <v>59.71</v>
      </c>
      <c r="J243" s="159">
        <v>57.37</v>
      </c>
      <c r="K243" s="61">
        <f t="shared" si="346"/>
        <v>-3.9189415508290124E-2</v>
      </c>
      <c r="L243" s="87">
        <f t="shared" si="347"/>
        <v>-16.380000000000052</v>
      </c>
      <c r="M243" s="130">
        <f t="shared" si="338"/>
        <v>0</v>
      </c>
      <c r="N243" s="169">
        <f t="shared" si="348"/>
        <v>-16.380000000000052</v>
      </c>
      <c r="O243" s="169">
        <f>IF($J243="",#N/A,SUM($N$4:N243))</f>
        <v>329.11511614781222</v>
      </c>
      <c r="P243" s="174" t="str">
        <f t="shared" si="349"/>
        <v/>
      </c>
      <c r="Q243" s="174">
        <f>IF($J243="",#N/A,SUM($P$4:P243))</f>
        <v>630.62776401603674</v>
      </c>
      <c r="R243" s="178" t="str">
        <f t="shared" si="350"/>
        <v/>
      </c>
      <c r="S243" s="178">
        <f>IF($J243="",#N/A,SUM($R$4:R243))</f>
        <v>81.885734878720768</v>
      </c>
      <c r="T243" s="290">
        <f t="shared" si="351"/>
        <v>-0.65315692513816992</v>
      </c>
      <c r="U243" s="290">
        <f>IF($J243="",#N/A,SUM($T$4:T243))</f>
        <v>12.103344522724129</v>
      </c>
      <c r="V243" s="291" t="str">
        <f t="shared" si="352"/>
        <v/>
      </c>
      <c r="W243" s="291">
        <f>IF($J243="",#N/A,SUM($V$4:V243))</f>
        <v>26.230324244510406</v>
      </c>
      <c r="X243" s="292" t="str">
        <f t="shared" si="353"/>
        <v/>
      </c>
      <c r="Y243" s="292">
        <f>IF($J243="",#N/A,SUM($X$4:X243))</f>
        <v>3.2682161443975222</v>
      </c>
      <c r="Z243" s="304" t="str">
        <f t="shared" si="354"/>
        <v/>
      </c>
      <c r="AA243" s="313" t="e">
        <f>IF($J243="",#N/A,SUM(Z$4:Z243))</f>
        <v>#N/A</v>
      </c>
      <c r="AB243" s="314" t="str">
        <f t="shared" si="355"/>
        <v/>
      </c>
      <c r="AC243" s="314" t="e">
        <f>IF($J243="",#N/A,SUM(AB$4:AB243))</f>
        <v>#N/A</v>
      </c>
      <c r="AD243" s="315" t="str">
        <f t="shared" si="356"/>
        <v/>
      </c>
      <c r="AE243" s="315" t="e">
        <f>IF($J243="",#N/A,SUM(AD$4:AD243))</f>
        <v>#N/A</v>
      </c>
      <c r="AF243" s="315" t="e">
        <f>IF($J243="",#N/A,SUM(AD$4:AD243,AB$4:AB243,Z$4:Z243))</f>
        <v>#N/A</v>
      </c>
      <c r="AG243" s="304" t="str">
        <f t="shared" si="357"/>
        <v/>
      </c>
      <c r="AH243" s="313" t="e">
        <f>IF($J243="",#N/A,SUM(AG$4:AG243))</f>
        <v>#N/A</v>
      </c>
      <c r="AI243" s="314" t="str">
        <f t="shared" si="358"/>
        <v/>
      </c>
      <c r="AJ243" s="314" t="e">
        <f>IF($J243="",#N/A,SUM(AI$4:AI243))</f>
        <v>#N/A</v>
      </c>
      <c r="AK243" s="315" t="str">
        <f t="shared" si="359"/>
        <v/>
      </c>
      <c r="AL243" s="315" t="e">
        <f>IF($J243="",#N/A,SUM(AK$4:AK243))</f>
        <v>#N/A</v>
      </c>
      <c r="AM243" s="315" t="e">
        <f>IF($J243="",#N/A,SUM(AK$4:AK243,AI$4:AI243,AG$4:AG243))</f>
        <v>#N/A</v>
      </c>
      <c r="AN243" s="304" t="str">
        <f t="shared" si="360"/>
        <v/>
      </c>
      <c r="AO243" s="313" t="e">
        <f>IF($J243="",#N/A,SUM(AN$4:AN243))</f>
        <v>#N/A</v>
      </c>
      <c r="AP243" s="314" t="str">
        <f t="shared" si="361"/>
        <v/>
      </c>
      <c r="AQ243" s="314" t="e">
        <f>IF($J243="",#N/A,SUM(AP$4:AP243))</f>
        <v>#N/A</v>
      </c>
      <c r="AR243" s="315" t="str">
        <f t="shared" si="362"/>
        <v/>
      </c>
      <c r="AS243" s="315" t="e">
        <f>IF($J243="",#N/A,SUM(AR$4:AR243))</f>
        <v>#N/A</v>
      </c>
      <c r="AT243" s="315" t="e">
        <f>IF($J243="",#N/A,SUM(AR$4:AR243,AP$4:AP243,AN$4:AN243))</f>
        <v>#N/A</v>
      </c>
      <c r="AU243" s="304" t="str">
        <f t="shared" si="363"/>
        <v/>
      </c>
      <c r="AV243" s="313" t="e">
        <f>IF($J243="",#N/A,SUM(AU$4:AU243))</f>
        <v>#N/A</v>
      </c>
      <c r="AW243" s="314" t="str">
        <f t="shared" si="364"/>
        <v/>
      </c>
      <c r="AX243" s="314" t="e">
        <f>IF($J243="",#N/A,SUM(AW$4:AW243))</f>
        <v>#N/A</v>
      </c>
      <c r="AY243" s="315" t="str">
        <f t="shared" si="365"/>
        <v/>
      </c>
      <c r="AZ243" s="315" t="e">
        <f>IF($J243="",#N/A,SUM(AY$4:AY243))</f>
        <v>#N/A</v>
      </c>
      <c r="BA243" s="315" t="e">
        <f>IF($J243="",#N/A,SUM(AY$4:AY243,AW$4:AW243,AU$4:AU243))</f>
        <v>#N/A</v>
      </c>
      <c r="BB243" s="304" t="str">
        <f t="shared" si="366"/>
        <v/>
      </c>
      <c r="BC243" s="313" t="e">
        <f>IF($J243="",#N/A,SUM(BB$4:BB243))</f>
        <v>#N/A</v>
      </c>
      <c r="BD243" s="314" t="str">
        <f t="shared" si="367"/>
        <v/>
      </c>
      <c r="BE243" s="314" t="e">
        <f>IF($J243="",#N/A,SUM(BD$4:BD243))</f>
        <v>#N/A</v>
      </c>
      <c r="BF243" s="315" t="str">
        <f t="shared" si="368"/>
        <v/>
      </c>
      <c r="BG243" s="315" t="e">
        <f>IF($J243="",#N/A,SUM(BF$4:BF243))</f>
        <v>#N/A</v>
      </c>
      <c r="BH243" s="315" t="e">
        <f>IF($J243="",#N/A,SUM(BF$4:BF243,BD$4:BD243,BB$4:BB243))</f>
        <v>#N/A</v>
      </c>
      <c r="BI243" s="304" t="str">
        <f t="shared" si="369"/>
        <v/>
      </c>
      <c r="BJ243" s="313" t="e">
        <f>IF($J243="",#N/A,SUM(BI$4:BI243))</f>
        <v>#N/A</v>
      </c>
      <c r="BK243" s="314" t="str">
        <f t="shared" si="370"/>
        <v/>
      </c>
      <c r="BL243" s="314" t="e">
        <f>IF($J243="",#N/A,SUM(BK$4:BK243))</f>
        <v>#N/A</v>
      </c>
      <c r="BM243" s="315" t="str">
        <f t="shared" si="371"/>
        <v/>
      </c>
      <c r="BN243" s="315" t="e">
        <f>IF($J243="",#N/A,SUM(BM$4:BM243))</f>
        <v>#N/A</v>
      </c>
      <c r="BO243" s="315" t="e">
        <f>IF($J243="",#N/A,SUM(BM$4:BM243,BK$4:BK243,BI$4:BI243))</f>
        <v>#N/A</v>
      </c>
      <c r="BP243" s="304" t="str">
        <f t="shared" si="372"/>
        <v/>
      </c>
      <c r="BQ243" s="313" t="e">
        <f>IF($J243="",#N/A,SUM(BP$4:BP243))</f>
        <v>#N/A</v>
      </c>
      <c r="BR243" s="314" t="str">
        <f t="shared" si="373"/>
        <v/>
      </c>
      <c r="BS243" s="314" t="e">
        <f>IF($J243="",#N/A,SUM(BR$4:BR243))</f>
        <v>#N/A</v>
      </c>
      <c r="BT243" s="315" t="str">
        <f t="shared" si="374"/>
        <v/>
      </c>
      <c r="BU243" s="315" t="e">
        <f>IF($J243="",#N/A,SUM(BT$4:BT243))</f>
        <v>#N/A</v>
      </c>
      <c r="BV243" s="315" t="e">
        <f>IF($J243="",#N/A,SUM(BT$4:BT243,BR$4:BR243,BP$4:BP243))</f>
        <v>#N/A</v>
      </c>
      <c r="BW243" s="304">
        <f t="shared" si="375"/>
        <v>-0.65315692513816992</v>
      </c>
      <c r="BX243" s="313" t="e">
        <f>IF($J243="",#N/A,SUM(BW$4:BW243))</f>
        <v>#N/A</v>
      </c>
      <c r="BY243" s="314" t="str">
        <f t="shared" si="376"/>
        <v/>
      </c>
      <c r="BZ243" s="314" t="e">
        <f>IF($J243="",#N/A,SUM(BY$4:BY243))</f>
        <v>#N/A</v>
      </c>
      <c r="CA243" s="315" t="str">
        <f t="shared" si="377"/>
        <v/>
      </c>
      <c r="CB243" s="315" t="e">
        <f>IF($J243="",#N/A,SUM(CA$4:CA243))</f>
        <v>#N/A</v>
      </c>
      <c r="CC243" s="315" t="e">
        <f>IF($J243="",#N/A,SUM(CA$4:CA243,BY$4:BY243,BW$4:BW243))</f>
        <v>#N/A</v>
      </c>
      <c r="CD243" s="304" t="str">
        <f t="shared" si="378"/>
        <v/>
      </c>
      <c r="CE243" s="313" t="e">
        <f>IF($J243="",#N/A,SUM(CD$4:CD243))</f>
        <v>#N/A</v>
      </c>
      <c r="CF243" s="314" t="str">
        <f t="shared" si="379"/>
        <v/>
      </c>
      <c r="CG243" s="314" t="e">
        <f>IF($J243="",#N/A,SUM(CF$4:CF243))</f>
        <v>#N/A</v>
      </c>
      <c r="CH243" s="315" t="str">
        <f t="shared" si="380"/>
        <v/>
      </c>
      <c r="CI243" s="315" t="e">
        <f>IF($J243="",#N/A,SUM(CH$4:CH243))</f>
        <v>#N/A</v>
      </c>
      <c r="CJ243" s="315" t="e">
        <f>IF($J243="",#N/A,SUM(CH$4:CH243,CF$4:CF243,CD$4:CD243))</f>
        <v>#N/A</v>
      </c>
      <c r="CK243" s="304" t="str">
        <f t="shared" si="381"/>
        <v/>
      </c>
      <c r="CL243" s="313" t="e">
        <f>IF($J243="",#N/A,SUM(CK$4:CK243))</f>
        <v>#N/A</v>
      </c>
      <c r="CM243" s="314" t="str">
        <f t="shared" si="382"/>
        <v/>
      </c>
      <c r="CN243" s="314" t="e">
        <f>IF($J243="",#N/A,SUM(CM$4:CM243))</f>
        <v>#N/A</v>
      </c>
      <c r="CO243" s="315" t="str">
        <f t="shared" si="383"/>
        <v/>
      </c>
      <c r="CP243" s="315" t="e">
        <f>IF($J243="",#N/A,SUM(CO$4:CO243))</f>
        <v>#N/A</v>
      </c>
      <c r="CQ243" s="315" t="e">
        <f>IF($J243="",#N/A,SUM(CO$4:CO243,CM$4:CM243,CK$4:CK243))</f>
        <v>#N/A</v>
      </c>
      <c r="CR243" s="304" t="str">
        <f t="shared" si="384"/>
        <v/>
      </c>
      <c r="CS243" s="313" t="e">
        <f>IF($J243="",#N/A,SUM(CR$4:CR243))</f>
        <v>#N/A</v>
      </c>
      <c r="CT243" s="314" t="str">
        <f t="shared" si="385"/>
        <v/>
      </c>
      <c r="CU243" s="314" t="e">
        <f>IF($J243="",#N/A,SUM(CT$4:CT243))</f>
        <v>#N/A</v>
      </c>
      <c r="CV243" s="315" t="str">
        <f t="shared" si="386"/>
        <v/>
      </c>
      <c r="CW243" s="315" t="e">
        <f>IF($J243="",#N/A,SUM(CV$4:CV243))</f>
        <v>#N/A</v>
      </c>
      <c r="CX243" s="315" t="e">
        <f>IF($J243="",#N/A,SUM(CV$4:CV243,CT$4:CT243,CR$4:CR243))</f>
        <v>#N/A</v>
      </c>
      <c r="CY243" s="304" t="str">
        <f t="shared" si="387"/>
        <v/>
      </c>
      <c r="CZ243" s="313" t="e">
        <f>IF($J243="",#N/A,SUM(CY$4:CY243))</f>
        <v>#N/A</v>
      </c>
      <c r="DA243" s="314" t="str">
        <f t="shared" si="388"/>
        <v/>
      </c>
      <c r="DB243" s="314" t="e">
        <f>IF($J243="",#N/A,SUM(DA$4:DA243))</f>
        <v>#N/A</v>
      </c>
      <c r="DC243" s="315" t="str">
        <f t="shared" si="389"/>
        <v/>
      </c>
      <c r="DD243" s="315" t="e">
        <f>IF($J243="",#N/A,SUM(DC$4:DC243))</f>
        <v>#N/A</v>
      </c>
      <c r="DE243" s="315" t="e">
        <f>IF($J243="",#N/A,SUM(DC$4:DC243,DA$4:DA243,CY$4:CY243))</f>
        <v>#N/A</v>
      </c>
      <c r="DF243" s="304" t="str">
        <f t="shared" si="390"/>
        <v/>
      </c>
      <c r="DG243" s="313" t="e">
        <f>IF($J243="",#N/A,SUM(DF$4:DF243))</f>
        <v>#N/A</v>
      </c>
      <c r="DH243" s="314" t="str">
        <f t="shared" si="391"/>
        <v/>
      </c>
      <c r="DI243" s="314" t="e">
        <f>IF($J243="",#N/A,SUM(DH$4:DH243))</f>
        <v>#N/A</v>
      </c>
      <c r="DJ243" s="315" t="str">
        <f t="shared" si="392"/>
        <v/>
      </c>
      <c r="DK243" s="315" t="e">
        <f>IF($J243="",#N/A,SUM(DJ$4:DJ243))</f>
        <v>#N/A</v>
      </c>
      <c r="DL243" s="315" t="e">
        <f>IF($J243="",#N/A,SUM(DJ$4:DJ243,DH$4:DH243,DF$4:DF243))</f>
        <v>#N/A</v>
      </c>
      <c r="DM243" s="304" t="str">
        <f t="shared" si="393"/>
        <v/>
      </c>
      <c r="DN243" s="313" t="e">
        <f>IF($J243="",#N/A,SUM(DM$4:DM243))</f>
        <v>#N/A</v>
      </c>
      <c r="DO243" s="314" t="str">
        <f t="shared" si="394"/>
        <v/>
      </c>
      <c r="DP243" s="314" t="e">
        <f>IF($J243="",#N/A,SUM(DO$4:DO243))</f>
        <v>#N/A</v>
      </c>
      <c r="DQ243" s="315" t="str">
        <f t="shared" si="395"/>
        <v/>
      </c>
      <c r="DR243" s="315" t="e">
        <f>IF($J243="",#N/A,SUM(DQ$4:DQ243))</f>
        <v>#N/A</v>
      </c>
      <c r="DS243" s="315" t="e">
        <f>IF($J243="",#N/A,SUM(DQ$4:DQ243,DO$4:DO243,DM$4:DM243))</f>
        <v>#N/A</v>
      </c>
      <c r="DT243" s="304" t="str">
        <f t="shared" si="396"/>
        <v/>
      </c>
      <c r="DU243" s="313" t="e">
        <f>IF($J243="",#N/A,SUM(DT$4:DT243))</f>
        <v>#N/A</v>
      </c>
      <c r="DV243" s="314" t="str">
        <f t="shared" si="397"/>
        <v/>
      </c>
      <c r="DW243" s="314" t="e">
        <f>IF($J243="",#N/A,SUM(DV$4:DV243))</f>
        <v>#N/A</v>
      </c>
      <c r="DX243" s="315" t="str">
        <f t="shared" si="398"/>
        <v/>
      </c>
      <c r="DY243" s="315" t="e">
        <f>IF($J243="",#N/A,SUM(DX$4:DX243))</f>
        <v>#N/A</v>
      </c>
      <c r="DZ243" s="315" t="e">
        <f>IF($J243="",#N/A,SUM(DX$4:DX243,DV$4:DV243,DT$4:DT243))</f>
        <v>#N/A</v>
      </c>
      <c r="EA243" s="304" t="str">
        <f t="shared" si="399"/>
        <v/>
      </c>
      <c r="EB243" s="313" t="e">
        <f>IF($J243="",#N/A,SUM(EA$4:EA243))</f>
        <v>#N/A</v>
      </c>
      <c r="EC243" s="314" t="str">
        <f t="shared" si="400"/>
        <v/>
      </c>
      <c r="ED243" s="314" t="e">
        <f>IF($J243="",#N/A,SUM(EC$4:EC243))</f>
        <v>#N/A</v>
      </c>
      <c r="EE243" s="315" t="str">
        <f t="shared" si="401"/>
        <v/>
      </c>
      <c r="EF243" s="315" t="e">
        <f>IF($J243="",#N/A,SUM(EE$4:EE243))</f>
        <v>#N/A</v>
      </c>
      <c r="EG243" s="315" t="e">
        <f>IF($J243="",#N/A,SUM(EE$4:EE243,EC$4:EC243,EA$4:EA243))</f>
        <v>#N/A</v>
      </c>
      <c r="EH243" s="130">
        <f t="shared" si="402"/>
        <v>-16.380000000000052</v>
      </c>
      <c r="EI243" s="63">
        <f>IF(EH243="",#N/A,SUM($EH$4:EH243))</f>
        <v>1041.6286150425699</v>
      </c>
      <c r="EJ243" s="223" t="e">
        <f t="shared" si="403"/>
        <v>#N/A</v>
      </c>
      <c r="EK243" s="63" t="e">
        <f>IF($GZ243="",#N/A,SUM(EJ$4:EJ243))</f>
        <v>#N/A</v>
      </c>
      <c r="EL243" s="60">
        <f t="shared" si="435"/>
        <v>-0.65315692513816992</v>
      </c>
      <c r="EM243" s="60">
        <f>IF(EL243="",NA(),SUM($EL$4:EL243))</f>
        <v>31.781305205375922</v>
      </c>
      <c r="EN243" s="60">
        <f t="shared" si="404"/>
        <v>-0.65315692513816992</v>
      </c>
      <c r="EO243" s="60">
        <f>IF(EN243="",NA(),SUM($EN$4:EN243))</f>
        <v>10.146637698073404</v>
      </c>
      <c r="EP243" s="60" t="str">
        <f t="shared" si="405"/>
        <v/>
      </c>
      <c r="EQ243" s="60" t="e">
        <f>IF(EP243="",NA(),SUM($EP$4:EP243))</f>
        <v>#N/A</v>
      </c>
      <c r="ER243" s="60" t="str">
        <f t="shared" si="406"/>
        <v/>
      </c>
      <c r="ES243" s="60" t="e">
        <f>IF(ER243="",NA(),SUM($ER$4:ER243))</f>
        <v>#N/A</v>
      </c>
      <c r="ET243" s="60" t="str">
        <f t="shared" si="407"/>
        <v/>
      </c>
      <c r="EU243" s="60" t="e">
        <f>IF(ET243="",NA(),SUM($ET$4:ET243))</f>
        <v>#N/A</v>
      </c>
      <c r="EV243" s="60" t="str">
        <f t="shared" si="408"/>
        <v/>
      </c>
      <c r="EW243" s="60" t="e">
        <f>IF(EV243="",NA(),SUM($EV$4:EV243))</f>
        <v>#N/A</v>
      </c>
      <c r="EX243" s="60" t="str">
        <f t="shared" si="409"/>
        <v/>
      </c>
      <c r="EY243" s="60" t="e">
        <f>IF(EX243="",NA(),SUM($EX$4:EX243))</f>
        <v>#N/A</v>
      </c>
      <c r="EZ243" s="60" t="str">
        <f t="shared" si="410"/>
        <v/>
      </c>
      <c r="FA243" s="60" t="e">
        <f>IF(EZ243="",NA(),SUM($EZ$4:EZ243))</f>
        <v>#N/A</v>
      </c>
      <c r="FB243" s="246" t="str">
        <f t="shared" si="436"/>
        <v/>
      </c>
      <c r="FC243" s="246" t="e">
        <f>IF($FB243="",#N/A,SUM(FB$4:$FB243))</f>
        <v>#N/A</v>
      </c>
      <c r="FD243" s="60" t="str">
        <f t="shared" si="411"/>
        <v/>
      </c>
      <c r="FE243" s="60" t="e">
        <f>IF($FD243="",#N/A,SUM($FD$4:FD243))</f>
        <v>#N/A</v>
      </c>
      <c r="FF243" s="60" t="str">
        <f t="shared" si="412"/>
        <v/>
      </c>
      <c r="FG243" s="60" t="e">
        <f>IF($FF243="",#N/A,SUM($FF$4:FF243))</f>
        <v>#N/A</v>
      </c>
      <c r="FH243" s="60">
        <f t="shared" si="413"/>
        <v>1.3956344554235223E-2</v>
      </c>
      <c r="FI243" s="60">
        <f>IF($FH243="",#N/A,SUM($FH$4:FH243))</f>
        <v>2.015377567928982</v>
      </c>
      <c r="FJ243" s="60" t="str">
        <f t="shared" si="414"/>
        <v/>
      </c>
      <c r="FK243" s="60" t="e">
        <f>IF($FJ243="",#N/A,SUM($FJ$4:FJ243))</f>
        <v>#N/A</v>
      </c>
      <c r="FL243" s="60" t="str">
        <f t="shared" si="415"/>
        <v/>
      </c>
      <c r="FM243" s="60" t="e">
        <f>IF($FL243="",#N/A,SUM($FL$4:FL243))</f>
        <v>#N/A</v>
      </c>
      <c r="FN243" s="82">
        <f t="shared" si="416"/>
        <v>-0.6392005805839347</v>
      </c>
      <c r="FO243" s="82">
        <f>IF($FN243="",#N/A,SUM(FN$4:$FN243))</f>
        <v>40.690289706804457</v>
      </c>
      <c r="FP243" s="82">
        <f t="shared" si="437"/>
        <v>-0.65315692513816992</v>
      </c>
      <c r="FQ243" s="246">
        <f>IF($EH243="",#N/A,SUM($FP$4:FP243))</f>
        <v>41.601884911632048</v>
      </c>
      <c r="FR243" s="82">
        <f>IFERROR(FQ243/COUNTA($J$4:J243),#N/A)</f>
        <v>0.17334118713180019</v>
      </c>
      <c r="FS243" s="82">
        <f t="shared" si="445"/>
        <v>0.305068181405934</v>
      </c>
      <c r="FT243" s="82">
        <f t="shared" si="446"/>
        <v>0.24723526328764878</v>
      </c>
      <c r="FU243" s="337">
        <f t="shared" ref="FU243:FU249" si="447">IF(AND(HB243="MOC",GZ243=""),#N/A,IFERROR(FQ243-HE243,FQ243-0))-14.53</f>
        <v>13.285120396274658</v>
      </c>
      <c r="FV243" s="57" t="str">
        <f t="shared" si="418"/>
        <v>Up</v>
      </c>
      <c r="FW243" s="57" t="s">
        <v>2734</v>
      </c>
      <c r="FX243" s="57" t="str">
        <f t="shared" si="419"/>
        <v/>
      </c>
      <c r="FY243" s="57" t="str">
        <f t="shared" si="420"/>
        <v/>
      </c>
      <c r="FZ243" s="57" t="str">
        <f t="shared" si="421"/>
        <v/>
      </c>
      <c r="GA243" s="57" t="str">
        <f t="shared" si="422"/>
        <v>Long</v>
      </c>
      <c r="GB243" s="57" t="str">
        <f t="shared" si="423"/>
        <v/>
      </c>
      <c r="GC243" s="57">
        <f t="shared" si="424"/>
        <v>1</v>
      </c>
      <c r="GD243" s="57" t="str">
        <f t="shared" si="425"/>
        <v/>
      </c>
      <c r="GE243" s="62">
        <f t="shared" si="339"/>
        <v>59.71</v>
      </c>
      <c r="GF243" s="62" t="s">
        <v>2779</v>
      </c>
      <c r="GG243" s="199">
        <v>7</v>
      </c>
      <c r="GH243" s="207">
        <f t="shared" si="426"/>
        <v>417.97</v>
      </c>
      <c r="GI243" s="199">
        <v>7</v>
      </c>
      <c r="GJ243" s="200">
        <v>57.37</v>
      </c>
      <c r="GK243" s="63">
        <f t="shared" si="427"/>
        <v>-16.380000000000052</v>
      </c>
      <c r="GL243" s="63">
        <f t="shared" si="340"/>
        <v>-16.03000000000003</v>
      </c>
      <c r="GM243" s="82" t="str">
        <f t="shared" si="428"/>
        <v/>
      </c>
      <c r="GN243" s="82">
        <f>IF($GZ243="",#N/A,SUM(GM$4:GM243))</f>
        <v>-2.2137983641079604</v>
      </c>
      <c r="GO243" s="82">
        <f t="shared" si="429"/>
        <v>-0.6392005805839347</v>
      </c>
      <c r="GP243" s="82">
        <f>IF($GZ243="",#N/A,SUM(GO$4:GO243))</f>
        <v>12.152309724586415</v>
      </c>
      <c r="GQ243" s="82" t="str">
        <f t="shared" si="430"/>
        <v/>
      </c>
      <c r="GR243" s="82">
        <f>IF($GZ243="",#N/A,SUM(GQ$4:GQ243))</f>
        <v>30.125941391883664</v>
      </c>
      <c r="GS243" s="63" t="str">
        <f t="shared" si="438"/>
        <v/>
      </c>
      <c r="GT243" s="63" t="e">
        <f>IF($GZ243="",#N/A,SUM(GS$4:GS243))</f>
        <v>#N/A</v>
      </c>
      <c r="GU243" s="63" t="e">
        <f t="shared" si="439"/>
        <v>#N/A</v>
      </c>
      <c r="GV243" s="63" t="e">
        <f>IF($GZ243="",#N/A,SUM(GU$4:GU243))</f>
        <v>#N/A</v>
      </c>
      <c r="GW243" s="63" t="str">
        <f t="shared" si="440"/>
        <v/>
      </c>
      <c r="GX243" s="63" t="e">
        <f>IF($GZ243="",#N/A,SUM(GW$4:GW243))</f>
        <v>#N/A</v>
      </c>
      <c r="GY243" s="63" t="e">
        <f>IF(EJ243="",#N/A,SUM($EJ$4:EJ243))</f>
        <v>#N/A</v>
      </c>
      <c r="GZ243" s="159">
        <v>57.42</v>
      </c>
      <c r="HA243" s="63">
        <f t="shared" si="431"/>
        <v>0.35000000000002274</v>
      </c>
      <c r="HB243" s="62" t="s">
        <v>2538</v>
      </c>
      <c r="HC243" s="60">
        <f>IFERROR(VLOOKUP(E243,Expectancy!$P$4:$S$19,1+C243,FALSE),"")</f>
        <v>-0.45514116799985843</v>
      </c>
      <c r="HD243" s="82">
        <f t="shared" si="432"/>
        <v>-0.65315692513816992</v>
      </c>
      <c r="HE243" s="138">
        <f>IF(HD243="",#N/A,SUM($HD$4:HD243))</f>
        <v>13.786764515357392</v>
      </c>
      <c r="HF243" s="85">
        <f>IF(HD243="",#N/A,IF(HB243="Skip",#N/A,SUM($HG$4:HG243)))</f>
        <v>365.93156919911445</v>
      </c>
      <c r="HG243" s="63">
        <f t="shared" si="433"/>
        <v>-16.380000000000052</v>
      </c>
      <c r="HH243" s="82">
        <f t="shared" si="434"/>
        <v>-0.6392005805839347</v>
      </c>
    </row>
    <row r="244" spans="1:216" x14ac:dyDescent="0.25">
      <c r="A244" s="57" t="s">
        <v>1359</v>
      </c>
      <c r="B244" s="58" t="s">
        <v>5229</v>
      </c>
      <c r="C244" s="386">
        <f t="shared" si="343"/>
        <v>1</v>
      </c>
      <c r="D244" s="372" t="str">
        <f>_xlfn.XLOOKUP(A244,[1]SP500!$A$2:$A$502,[1]SP500!$D$2:$D$502,"N")</f>
        <v>Y</v>
      </c>
      <c r="E244" s="57" t="str">
        <f>_xlfn.XLOOKUP(A244,[1]SP500!$A$2:$A$655,[1]SP500!$B$2:$B$655)</f>
        <v>XLF</v>
      </c>
      <c r="F244" s="59">
        <v>45694</v>
      </c>
      <c r="G244" s="57" t="str">
        <f t="shared" si="344"/>
        <v>BMO</v>
      </c>
      <c r="H244" s="57" t="str">
        <f t="shared" si="345"/>
        <v>s</v>
      </c>
      <c r="I244" s="158">
        <v>160.69999999999999</v>
      </c>
      <c r="J244" s="159">
        <v>165.53</v>
      </c>
      <c r="K244" s="61">
        <f t="shared" si="346"/>
        <v>3.0056004978220367E-2</v>
      </c>
      <c r="L244" s="87">
        <f t="shared" si="347"/>
        <v>9.660000000000025</v>
      </c>
      <c r="M244" s="130">
        <f t="shared" si="338"/>
        <v>0</v>
      </c>
      <c r="N244" s="169">
        <f t="shared" si="348"/>
        <v>9.660000000000025</v>
      </c>
      <c r="O244" s="169">
        <f>IF($J244="",#N/A,SUM($N$4:N244))</f>
        <v>338.77511614781224</v>
      </c>
      <c r="P244" s="174" t="str">
        <f t="shared" si="349"/>
        <v/>
      </c>
      <c r="Q244" s="174">
        <f>IF($J244="",#N/A,SUM($P$4:P244))</f>
        <v>630.62776401603674</v>
      </c>
      <c r="R244" s="178" t="str">
        <f t="shared" si="350"/>
        <v/>
      </c>
      <c r="S244" s="178">
        <f>IF($J244="",#N/A,SUM($R$4:R244))</f>
        <v>81.885734878720768</v>
      </c>
      <c r="T244" s="290">
        <f t="shared" si="351"/>
        <v>0.50093341630367272</v>
      </c>
      <c r="U244" s="290">
        <f>IF($J244="",#N/A,SUM($T$4:T244))</f>
        <v>12.604277939027801</v>
      </c>
      <c r="V244" s="291" t="str">
        <f t="shared" si="352"/>
        <v/>
      </c>
      <c r="W244" s="291">
        <f>IF($J244="",#N/A,SUM($V$4:V244))</f>
        <v>26.230324244510406</v>
      </c>
      <c r="X244" s="292" t="str">
        <f t="shared" si="353"/>
        <v/>
      </c>
      <c r="Y244" s="292">
        <f>IF($J244="",#N/A,SUM($X$4:X244))</f>
        <v>3.2682161443975222</v>
      </c>
      <c r="Z244" s="304" t="str">
        <f t="shared" si="354"/>
        <v/>
      </c>
      <c r="AA244" s="313" t="e">
        <f>IF($J244="",#N/A,SUM(Z$4:Z244))</f>
        <v>#N/A</v>
      </c>
      <c r="AB244" s="314" t="str">
        <f t="shared" si="355"/>
        <v/>
      </c>
      <c r="AC244" s="314" t="e">
        <f>IF($J244="",#N/A,SUM(AB$4:AB244))</f>
        <v>#N/A</v>
      </c>
      <c r="AD244" s="315" t="str">
        <f t="shared" si="356"/>
        <v/>
      </c>
      <c r="AE244" s="315" t="e">
        <f>IF($J244="",#N/A,SUM(AD$4:AD244))</f>
        <v>#N/A</v>
      </c>
      <c r="AF244" s="315" t="e">
        <f>IF($J244="",#N/A,SUM(AD$4:AD244,AB$4:AB244,Z$4:Z244))</f>
        <v>#N/A</v>
      </c>
      <c r="AG244" s="304" t="str">
        <f t="shared" si="357"/>
        <v/>
      </c>
      <c r="AH244" s="313" t="e">
        <f>IF($J244="",#N/A,SUM(AG$4:AG244))</f>
        <v>#N/A</v>
      </c>
      <c r="AI244" s="314" t="str">
        <f t="shared" si="358"/>
        <v/>
      </c>
      <c r="AJ244" s="314" t="e">
        <f>IF($J244="",#N/A,SUM(AI$4:AI244))</f>
        <v>#N/A</v>
      </c>
      <c r="AK244" s="315" t="str">
        <f t="shared" si="359"/>
        <v/>
      </c>
      <c r="AL244" s="315" t="e">
        <f>IF($J244="",#N/A,SUM(AK$4:AK244))</f>
        <v>#N/A</v>
      </c>
      <c r="AM244" s="315" t="e">
        <f>IF($J244="",#N/A,SUM(AK$4:AK244,AI$4:AI244,AG$4:AG244))</f>
        <v>#N/A</v>
      </c>
      <c r="AN244" s="304" t="str">
        <f t="shared" si="360"/>
        <v/>
      </c>
      <c r="AO244" s="313" t="e">
        <f>IF($J244="",#N/A,SUM(AN$4:AN244))</f>
        <v>#N/A</v>
      </c>
      <c r="AP244" s="314" t="str">
        <f t="shared" si="361"/>
        <v/>
      </c>
      <c r="AQ244" s="314" t="e">
        <f>IF($J244="",#N/A,SUM(AP$4:AP244))</f>
        <v>#N/A</v>
      </c>
      <c r="AR244" s="315" t="str">
        <f t="shared" si="362"/>
        <v/>
      </c>
      <c r="AS244" s="315" t="e">
        <f>IF($J244="",#N/A,SUM(AR$4:AR244))</f>
        <v>#N/A</v>
      </c>
      <c r="AT244" s="315" t="e">
        <f>IF($J244="",#N/A,SUM(AR$4:AR244,AP$4:AP244,AN$4:AN244))</f>
        <v>#N/A</v>
      </c>
      <c r="AU244" s="304" t="str">
        <f t="shared" si="363"/>
        <v/>
      </c>
      <c r="AV244" s="313" t="e">
        <f>IF($J244="",#N/A,SUM(AU$4:AU244))</f>
        <v>#N/A</v>
      </c>
      <c r="AW244" s="314" t="str">
        <f t="shared" si="364"/>
        <v/>
      </c>
      <c r="AX244" s="314" t="e">
        <f>IF($J244="",#N/A,SUM(AW$4:AW244))</f>
        <v>#N/A</v>
      </c>
      <c r="AY244" s="315" t="str">
        <f t="shared" si="365"/>
        <v/>
      </c>
      <c r="AZ244" s="315" t="e">
        <f>IF($J244="",#N/A,SUM(AY$4:AY244))</f>
        <v>#N/A</v>
      </c>
      <c r="BA244" s="315" t="e">
        <f>IF($J244="",#N/A,SUM(AY$4:AY244,AW$4:AW244,AU$4:AU244))</f>
        <v>#N/A</v>
      </c>
      <c r="BB244" s="304" t="str">
        <f t="shared" si="366"/>
        <v/>
      </c>
      <c r="BC244" s="313" t="e">
        <f>IF($J244="",#N/A,SUM(BB$4:BB244))</f>
        <v>#N/A</v>
      </c>
      <c r="BD244" s="314" t="str">
        <f t="shared" si="367"/>
        <v/>
      </c>
      <c r="BE244" s="314" t="e">
        <f>IF($J244="",#N/A,SUM(BD$4:BD244))</f>
        <v>#N/A</v>
      </c>
      <c r="BF244" s="315" t="str">
        <f t="shared" si="368"/>
        <v/>
      </c>
      <c r="BG244" s="315" t="e">
        <f>IF($J244="",#N/A,SUM(BF$4:BF244))</f>
        <v>#N/A</v>
      </c>
      <c r="BH244" s="315" t="e">
        <f>IF($J244="",#N/A,SUM(BF$4:BF244,BD$4:BD244,BB$4:BB244))</f>
        <v>#N/A</v>
      </c>
      <c r="BI244" s="304">
        <f t="shared" si="369"/>
        <v>0.50093341630367272</v>
      </c>
      <c r="BJ244" s="313" t="e">
        <f>IF($J244="",#N/A,SUM(BI$4:BI244))</f>
        <v>#N/A</v>
      </c>
      <c r="BK244" s="314" t="str">
        <f t="shared" si="370"/>
        <v/>
      </c>
      <c r="BL244" s="314" t="e">
        <f>IF($J244="",#N/A,SUM(BK$4:BK244))</f>
        <v>#N/A</v>
      </c>
      <c r="BM244" s="315" t="str">
        <f t="shared" si="371"/>
        <v/>
      </c>
      <c r="BN244" s="315" t="e">
        <f>IF($J244="",#N/A,SUM(BM$4:BM244))</f>
        <v>#N/A</v>
      </c>
      <c r="BO244" s="315" t="e">
        <f>IF($J244="",#N/A,SUM(BM$4:BM244,BK$4:BK244,BI$4:BI244))</f>
        <v>#N/A</v>
      </c>
      <c r="BP244" s="304" t="str">
        <f t="shared" si="372"/>
        <v/>
      </c>
      <c r="BQ244" s="313" t="e">
        <f>IF($J244="",#N/A,SUM(BP$4:BP244))</f>
        <v>#N/A</v>
      </c>
      <c r="BR244" s="314" t="str">
        <f t="shared" si="373"/>
        <v/>
      </c>
      <c r="BS244" s="314" t="e">
        <f>IF($J244="",#N/A,SUM(BR$4:BR244))</f>
        <v>#N/A</v>
      </c>
      <c r="BT244" s="315" t="str">
        <f t="shared" si="374"/>
        <v/>
      </c>
      <c r="BU244" s="315" t="e">
        <f>IF($J244="",#N/A,SUM(BT$4:BT244))</f>
        <v>#N/A</v>
      </c>
      <c r="BV244" s="315" t="e">
        <f>IF($J244="",#N/A,SUM(BT$4:BT244,BR$4:BR244,BP$4:BP244))</f>
        <v>#N/A</v>
      </c>
      <c r="BW244" s="304" t="str">
        <f t="shared" si="375"/>
        <v/>
      </c>
      <c r="BX244" s="313" t="e">
        <f>IF($J244="",#N/A,SUM(BW$4:BW244))</f>
        <v>#N/A</v>
      </c>
      <c r="BY244" s="314" t="str">
        <f t="shared" si="376"/>
        <v/>
      </c>
      <c r="BZ244" s="314" t="e">
        <f>IF($J244="",#N/A,SUM(BY$4:BY244))</f>
        <v>#N/A</v>
      </c>
      <c r="CA244" s="315" t="str">
        <f t="shared" si="377"/>
        <v/>
      </c>
      <c r="CB244" s="315" t="e">
        <f>IF($J244="",#N/A,SUM(CA$4:CA244))</f>
        <v>#N/A</v>
      </c>
      <c r="CC244" s="315" t="e">
        <f>IF($J244="",#N/A,SUM(CA$4:CA244,BY$4:BY244,BW$4:BW244))</f>
        <v>#N/A</v>
      </c>
      <c r="CD244" s="304" t="str">
        <f t="shared" si="378"/>
        <v/>
      </c>
      <c r="CE244" s="313" t="e">
        <f>IF($J244="",#N/A,SUM(CD$4:CD244))</f>
        <v>#N/A</v>
      </c>
      <c r="CF244" s="314" t="str">
        <f t="shared" si="379"/>
        <v/>
      </c>
      <c r="CG244" s="314" t="e">
        <f>IF($J244="",#N/A,SUM(CF$4:CF244))</f>
        <v>#N/A</v>
      </c>
      <c r="CH244" s="315" t="str">
        <f t="shared" si="380"/>
        <v/>
      </c>
      <c r="CI244" s="315" t="e">
        <f>IF($J244="",#N/A,SUM(CH$4:CH244))</f>
        <v>#N/A</v>
      </c>
      <c r="CJ244" s="315" t="e">
        <f>IF($J244="",#N/A,SUM(CH$4:CH244,CF$4:CF244,CD$4:CD244))</f>
        <v>#N/A</v>
      </c>
      <c r="CK244" s="304" t="str">
        <f t="shared" si="381"/>
        <v/>
      </c>
      <c r="CL244" s="313" t="e">
        <f>IF($J244="",#N/A,SUM(CK$4:CK244))</f>
        <v>#N/A</v>
      </c>
      <c r="CM244" s="314" t="str">
        <f t="shared" si="382"/>
        <v/>
      </c>
      <c r="CN244" s="314" t="e">
        <f>IF($J244="",#N/A,SUM(CM$4:CM244))</f>
        <v>#N/A</v>
      </c>
      <c r="CO244" s="315" t="str">
        <f t="shared" si="383"/>
        <v/>
      </c>
      <c r="CP244" s="315" t="e">
        <f>IF($J244="",#N/A,SUM(CO$4:CO244))</f>
        <v>#N/A</v>
      </c>
      <c r="CQ244" s="315" t="e">
        <f>IF($J244="",#N/A,SUM(CO$4:CO244,CM$4:CM244,CK$4:CK244))</f>
        <v>#N/A</v>
      </c>
      <c r="CR244" s="304" t="str">
        <f t="shared" si="384"/>
        <v/>
      </c>
      <c r="CS244" s="313" t="e">
        <f>IF($J244="",#N/A,SUM(CR$4:CR244))</f>
        <v>#N/A</v>
      </c>
      <c r="CT244" s="314" t="str">
        <f t="shared" si="385"/>
        <v/>
      </c>
      <c r="CU244" s="314" t="e">
        <f>IF($J244="",#N/A,SUM(CT$4:CT244))</f>
        <v>#N/A</v>
      </c>
      <c r="CV244" s="315" t="str">
        <f t="shared" si="386"/>
        <v/>
      </c>
      <c r="CW244" s="315" t="e">
        <f>IF($J244="",#N/A,SUM(CV$4:CV244))</f>
        <v>#N/A</v>
      </c>
      <c r="CX244" s="315" t="e">
        <f>IF($J244="",#N/A,SUM(CV$4:CV244,CT$4:CT244,CR$4:CR244))</f>
        <v>#N/A</v>
      </c>
      <c r="CY244" s="304" t="str">
        <f t="shared" si="387"/>
        <v/>
      </c>
      <c r="CZ244" s="313" t="e">
        <f>IF($J244="",#N/A,SUM(CY$4:CY244))</f>
        <v>#N/A</v>
      </c>
      <c r="DA244" s="314" t="str">
        <f t="shared" si="388"/>
        <v/>
      </c>
      <c r="DB244" s="314" t="e">
        <f>IF($J244="",#N/A,SUM(DA$4:DA244))</f>
        <v>#N/A</v>
      </c>
      <c r="DC244" s="315" t="str">
        <f t="shared" si="389"/>
        <v/>
      </c>
      <c r="DD244" s="315" t="e">
        <f>IF($J244="",#N/A,SUM(DC$4:DC244))</f>
        <v>#N/A</v>
      </c>
      <c r="DE244" s="315" t="e">
        <f>IF($J244="",#N/A,SUM(DC$4:DC244,DA$4:DA244,CY$4:CY244))</f>
        <v>#N/A</v>
      </c>
      <c r="DF244" s="304" t="str">
        <f t="shared" si="390"/>
        <v/>
      </c>
      <c r="DG244" s="313" t="e">
        <f>IF($J244="",#N/A,SUM(DF$4:DF244))</f>
        <v>#N/A</v>
      </c>
      <c r="DH244" s="314" t="str">
        <f t="shared" si="391"/>
        <v/>
      </c>
      <c r="DI244" s="314" t="e">
        <f>IF($J244="",#N/A,SUM(DH$4:DH244))</f>
        <v>#N/A</v>
      </c>
      <c r="DJ244" s="315" t="str">
        <f t="shared" si="392"/>
        <v/>
      </c>
      <c r="DK244" s="315" t="e">
        <f>IF($J244="",#N/A,SUM(DJ$4:DJ244))</f>
        <v>#N/A</v>
      </c>
      <c r="DL244" s="315" t="e">
        <f>IF($J244="",#N/A,SUM(DJ$4:DJ244,DH$4:DH244,DF$4:DF244))</f>
        <v>#N/A</v>
      </c>
      <c r="DM244" s="304" t="str">
        <f t="shared" si="393"/>
        <v/>
      </c>
      <c r="DN244" s="313" t="e">
        <f>IF($J244="",#N/A,SUM(DM$4:DM244))</f>
        <v>#N/A</v>
      </c>
      <c r="DO244" s="314" t="str">
        <f t="shared" si="394"/>
        <v/>
      </c>
      <c r="DP244" s="314" t="e">
        <f>IF($J244="",#N/A,SUM(DO$4:DO244))</f>
        <v>#N/A</v>
      </c>
      <c r="DQ244" s="315" t="str">
        <f t="shared" si="395"/>
        <v/>
      </c>
      <c r="DR244" s="315" t="e">
        <f>IF($J244="",#N/A,SUM(DQ$4:DQ244))</f>
        <v>#N/A</v>
      </c>
      <c r="DS244" s="315" t="e">
        <f>IF($J244="",#N/A,SUM(DQ$4:DQ244,DO$4:DO244,DM$4:DM244))</f>
        <v>#N/A</v>
      </c>
      <c r="DT244" s="304" t="str">
        <f t="shared" si="396"/>
        <v/>
      </c>
      <c r="DU244" s="313" t="e">
        <f>IF($J244="",#N/A,SUM(DT$4:DT244))</f>
        <v>#N/A</v>
      </c>
      <c r="DV244" s="314" t="str">
        <f t="shared" si="397"/>
        <v/>
      </c>
      <c r="DW244" s="314" t="e">
        <f>IF($J244="",#N/A,SUM(DV$4:DV244))</f>
        <v>#N/A</v>
      </c>
      <c r="DX244" s="315" t="str">
        <f t="shared" si="398"/>
        <v/>
      </c>
      <c r="DY244" s="315" t="e">
        <f>IF($J244="",#N/A,SUM(DX$4:DX244))</f>
        <v>#N/A</v>
      </c>
      <c r="DZ244" s="315" t="e">
        <f>IF($J244="",#N/A,SUM(DX$4:DX244,DV$4:DV244,DT$4:DT244))</f>
        <v>#N/A</v>
      </c>
      <c r="EA244" s="304" t="str">
        <f t="shared" si="399"/>
        <v/>
      </c>
      <c r="EB244" s="313" t="e">
        <f>IF($J244="",#N/A,SUM(EA$4:EA244))</f>
        <v>#N/A</v>
      </c>
      <c r="EC244" s="314" t="str">
        <f t="shared" si="400"/>
        <v/>
      </c>
      <c r="ED244" s="314" t="e">
        <f>IF($J244="",#N/A,SUM(EC$4:EC244))</f>
        <v>#N/A</v>
      </c>
      <c r="EE244" s="315" t="str">
        <f t="shared" si="401"/>
        <v/>
      </c>
      <c r="EF244" s="315" t="e">
        <f>IF($J244="",#N/A,SUM(EE$4:EE244))</f>
        <v>#N/A</v>
      </c>
      <c r="EG244" s="315" t="e">
        <f>IF($J244="",#N/A,SUM(EE$4:EE244,EC$4:EC244,EA$4:EA244))</f>
        <v>#N/A</v>
      </c>
      <c r="EH244" s="130">
        <f t="shared" si="402"/>
        <v>9.660000000000025</v>
      </c>
      <c r="EI244" s="63">
        <f>IF(EH244="",#N/A,SUM($EH$4:EH244))</f>
        <v>1051.28861504257</v>
      </c>
      <c r="EJ244" s="223" t="e">
        <f t="shared" si="403"/>
        <v>#N/A</v>
      </c>
      <c r="EK244" s="63" t="e">
        <f>IF($GZ244="",#N/A,SUM(EJ$4:EJ244))</f>
        <v>#N/A</v>
      </c>
      <c r="EL244" s="60">
        <f t="shared" si="435"/>
        <v>0.50093341630367272</v>
      </c>
      <c r="EM244" s="60">
        <f>IF(EL244="",NA(),SUM($EL$4:EL244))</f>
        <v>32.282238621679596</v>
      </c>
      <c r="EN244" s="60">
        <f t="shared" si="404"/>
        <v>0.50093341630367272</v>
      </c>
      <c r="EO244" s="60">
        <f>IF(EN244="",NA(),SUM($EN$4:EN244))</f>
        <v>10.647571114377076</v>
      </c>
      <c r="EP244" s="60" t="str">
        <f t="shared" si="405"/>
        <v/>
      </c>
      <c r="EQ244" s="60" t="e">
        <f>IF(EP244="",NA(),SUM($EP$4:EP244))</f>
        <v>#N/A</v>
      </c>
      <c r="ER244" s="60" t="str">
        <f t="shared" si="406"/>
        <v/>
      </c>
      <c r="ES244" s="60" t="e">
        <f>IF(ER244="",NA(),SUM($ER$4:ER244))</f>
        <v>#N/A</v>
      </c>
      <c r="ET244" s="60" t="str">
        <f t="shared" si="407"/>
        <v/>
      </c>
      <c r="EU244" s="60" t="e">
        <f>IF(ET244="",NA(),SUM($ET$4:ET244))</f>
        <v>#N/A</v>
      </c>
      <c r="EV244" s="60" t="str">
        <f t="shared" si="408"/>
        <v/>
      </c>
      <c r="EW244" s="60" t="e">
        <f>IF(EV244="",NA(),SUM($EV$4:EV244))</f>
        <v>#N/A</v>
      </c>
      <c r="EX244" s="60" t="str">
        <f t="shared" si="409"/>
        <v/>
      </c>
      <c r="EY244" s="60" t="e">
        <f>IF(EX244="",NA(),SUM($EX$4:EX244))</f>
        <v>#N/A</v>
      </c>
      <c r="EZ244" s="60" t="str">
        <f t="shared" si="410"/>
        <v/>
      </c>
      <c r="FA244" s="60" t="e">
        <f>IF(EZ244="",NA(),SUM($EZ$4:EZ244))</f>
        <v>#N/A</v>
      </c>
      <c r="FB244" s="246" t="str">
        <f t="shared" si="436"/>
        <v/>
      </c>
      <c r="FC244" s="246" t="e">
        <f>IF($FB244="",#N/A,SUM(FB$4:$FB244))</f>
        <v>#N/A</v>
      </c>
      <c r="FD244" s="60" t="str">
        <f t="shared" si="411"/>
        <v/>
      </c>
      <c r="FE244" s="60" t="e">
        <f>IF($FD244="",#N/A,SUM($FD$4:FD244))</f>
        <v>#N/A</v>
      </c>
      <c r="FF244" s="60">
        <f t="shared" si="412"/>
        <v>0.22298278365484403</v>
      </c>
      <c r="FG244" s="60">
        <f>IF($FF244="",#N/A,SUM($FF$4:FF244))</f>
        <v>-1.7434295824118475</v>
      </c>
      <c r="FH244" s="60" t="str">
        <f t="shared" si="413"/>
        <v/>
      </c>
      <c r="FI244" s="60" t="e">
        <f>IF($FH244="",#N/A,SUM($FH$4:FH244))</f>
        <v>#N/A</v>
      </c>
      <c r="FJ244" s="60" t="str">
        <f t="shared" si="414"/>
        <v/>
      </c>
      <c r="FK244" s="60" t="e">
        <f>IF($FJ244="",#N/A,SUM($FJ$4:FJ244))</f>
        <v>#N/A</v>
      </c>
      <c r="FL244" s="60" t="str">
        <f t="shared" si="415"/>
        <v/>
      </c>
      <c r="FM244" s="60" t="e">
        <f>IF($FL244="",#N/A,SUM($FL$4:FL244))</f>
        <v>#N/A</v>
      </c>
      <c r="FN244" s="82">
        <f t="shared" si="416"/>
        <v>0.72391619995851675</v>
      </c>
      <c r="FO244" s="82">
        <f>IF($FN244="",#N/A,SUM(FN$4:$FN244))</f>
        <v>41.414205906762973</v>
      </c>
      <c r="FP244" s="82">
        <f t="shared" si="437"/>
        <v>0.50093341630367272</v>
      </c>
      <c r="FQ244" s="246">
        <f>IF($EH244="",#N/A,SUM($FP$4:FP244))</f>
        <v>42.102818327935722</v>
      </c>
      <c r="FR244" s="82">
        <f>IFERROR(FQ244/COUNTA($J$4:J244),#N/A)</f>
        <v>0.17470049098728516</v>
      </c>
      <c r="FS244" s="82" t="e">
        <f>IFERROR(($FQ244-#REF!)/COUNTA($J196:$J244),#N/A)</f>
        <v>#N/A</v>
      </c>
      <c r="FT244" s="82">
        <f t="shared" si="446"/>
        <v>0.29573556012731816</v>
      </c>
      <c r="FU244" s="337">
        <f t="shared" si="447"/>
        <v>13.285120396274658</v>
      </c>
      <c r="FV244" s="57" t="str">
        <f t="shared" si="418"/>
        <v>Up</v>
      </c>
      <c r="FW244" s="57" t="s">
        <v>2733</v>
      </c>
      <c r="FX244" s="57">
        <f t="shared" si="419"/>
        <v>1</v>
      </c>
      <c r="FY244" s="57" t="str">
        <f t="shared" si="420"/>
        <v/>
      </c>
      <c r="FZ244" s="57" t="str">
        <f t="shared" si="421"/>
        <v/>
      </c>
      <c r="GA244" s="57" t="str">
        <f t="shared" si="422"/>
        <v>Long</v>
      </c>
      <c r="GB244" s="57" t="str">
        <f t="shared" si="423"/>
        <v/>
      </c>
      <c r="GC244" s="57" t="str">
        <f t="shared" si="424"/>
        <v/>
      </c>
      <c r="GD244" s="57" t="str">
        <f t="shared" si="425"/>
        <v/>
      </c>
      <c r="GE244" s="62">
        <f t="shared" si="339"/>
        <v>160.69999999999999</v>
      </c>
      <c r="GF244" s="62" t="s">
        <v>2779</v>
      </c>
      <c r="GG244" s="199">
        <v>2</v>
      </c>
      <c r="GH244" s="207">
        <f t="shared" si="426"/>
        <v>321.39999999999998</v>
      </c>
      <c r="GI244" s="199">
        <v>2</v>
      </c>
      <c r="GJ244" s="200">
        <v>165.53</v>
      </c>
      <c r="GK244" s="63">
        <f t="shared" si="427"/>
        <v>9.660000000000025</v>
      </c>
      <c r="GL244" s="63">
        <f t="shared" si="340"/>
        <v>13.960000000000036</v>
      </c>
      <c r="GM244" s="82" t="str">
        <f t="shared" si="428"/>
        <v/>
      </c>
      <c r="GN244" s="82">
        <f>IF($GZ244="",#N/A,SUM(GM$4:GM244))</f>
        <v>-2.2137983641079604</v>
      </c>
      <c r="GO244" s="82">
        <f t="shared" si="429"/>
        <v>0.72391619995851675</v>
      </c>
      <c r="GP244" s="82">
        <f>IF($GZ244="",#N/A,SUM(GO$4:GO244))</f>
        <v>12.876225924544931</v>
      </c>
      <c r="GQ244" s="82" t="str">
        <f t="shared" si="430"/>
        <v/>
      </c>
      <c r="GR244" s="82">
        <f>IF($GZ244="",#N/A,SUM(GQ$4:GQ244))</f>
        <v>30.125941391883664</v>
      </c>
      <c r="GS244" s="63" t="str">
        <f t="shared" si="438"/>
        <v/>
      </c>
      <c r="GT244" s="63" t="e">
        <f>IF($GZ244="",#N/A,SUM(GS$4:GS244))</f>
        <v>#N/A</v>
      </c>
      <c r="GU244" s="63" t="e">
        <f t="shared" si="439"/>
        <v>#N/A</v>
      </c>
      <c r="GV244" s="63" t="e">
        <f>IF($GZ244="",#N/A,SUM(GU$4:GU244))</f>
        <v>#N/A</v>
      </c>
      <c r="GW244" s="63" t="str">
        <f t="shared" si="440"/>
        <v/>
      </c>
      <c r="GX244" s="63" t="e">
        <f>IF($GZ244="",#N/A,SUM(GW$4:GW244))</f>
        <v>#N/A</v>
      </c>
      <c r="GY244" s="63" t="e">
        <f>IF(EJ244="",#N/A,SUM($EJ$4:EJ244))</f>
        <v>#N/A</v>
      </c>
      <c r="GZ244" s="159">
        <v>167.68</v>
      </c>
      <c r="HA244" s="63">
        <f t="shared" si="431"/>
        <v>4.3000000000000114</v>
      </c>
      <c r="HB244" s="62" t="s">
        <v>2538</v>
      </c>
      <c r="HC244" s="60">
        <f>IFERROR(VLOOKUP(E244,Expectancy!$P$4:$S$19,1+C244,FALSE),"")</f>
        <v>-7.9483352726509887E-2</v>
      </c>
      <c r="HD244" s="82">
        <f t="shared" si="432"/>
        <v>0.50093341630367272</v>
      </c>
      <c r="HE244" s="138">
        <f>IF(HD244="",#N/A,SUM($HD$4:HD244))</f>
        <v>14.287697931661064</v>
      </c>
      <c r="HF244" s="85">
        <f>IF(HD244="",#N/A,IF(HB244="Skip",#N/A,SUM($HG$4:HG244)))</f>
        <v>375.59156919911447</v>
      </c>
      <c r="HG244" s="63">
        <f t="shared" si="433"/>
        <v>9.660000000000025</v>
      </c>
      <c r="HH244" s="82">
        <f t="shared" si="434"/>
        <v>0.72391619995851675</v>
      </c>
    </row>
    <row r="245" spans="1:216" x14ac:dyDescent="0.25">
      <c r="A245" s="57" t="s">
        <v>542</v>
      </c>
      <c r="B245" s="58" t="s">
        <v>5227</v>
      </c>
      <c r="C245" s="386">
        <f t="shared" si="343"/>
        <v>1</v>
      </c>
      <c r="D245" s="372" t="str">
        <f>_xlfn.XLOOKUP(A245,[1]SP500!$A$2:$A$502,[1]SP500!$D$2:$D$502,"N")</f>
        <v>Y</v>
      </c>
      <c r="E245" s="57" t="str">
        <f>_xlfn.XLOOKUP(A245,[1]SP500!$A$2:$A$655,[1]SP500!$B$2:$B$655)</f>
        <v>XLB</v>
      </c>
      <c r="F245" s="59">
        <v>45694</v>
      </c>
      <c r="G245" s="57" t="str">
        <f t="shared" si="344"/>
        <v>BMO</v>
      </c>
      <c r="H245" s="57" t="str">
        <f t="shared" si="345"/>
        <v>o</v>
      </c>
      <c r="I245" s="159">
        <v>333.15</v>
      </c>
      <c r="J245" s="159">
        <v>329.93</v>
      </c>
      <c r="K245" s="61">
        <f t="shared" si="346"/>
        <v>-9.6653159237579788E-3</v>
      </c>
      <c r="L245" s="87">
        <f t="shared" si="347"/>
        <v>3.2199999999999704</v>
      </c>
      <c r="M245" s="130">
        <f t="shared" si="338"/>
        <v>0</v>
      </c>
      <c r="N245" s="169">
        <f t="shared" si="348"/>
        <v>-3.2199999999999704</v>
      </c>
      <c r="O245" s="169">
        <f>IF($J245="",#N/A,SUM($N$4:N245))</f>
        <v>335.55511614781227</v>
      </c>
      <c r="P245" s="174" t="str">
        <f t="shared" si="349"/>
        <v/>
      </c>
      <c r="Q245" s="174">
        <f>IF($J245="",#N/A,SUM($P$4:P245))</f>
        <v>630.62776401603674</v>
      </c>
      <c r="R245" s="178" t="str">
        <f t="shared" si="350"/>
        <v/>
      </c>
      <c r="S245" s="178">
        <f>IF($J245="",#N/A,SUM($R$4:R245))</f>
        <v>81.885734878720768</v>
      </c>
      <c r="T245" s="290">
        <f t="shared" si="351"/>
        <v>-0.16108859872929965</v>
      </c>
      <c r="U245" s="290">
        <f>IF($J245="",#N/A,SUM($T$4:T245))</f>
        <v>12.443189340298501</v>
      </c>
      <c r="V245" s="291" t="str">
        <f t="shared" si="352"/>
        <v/>
      </c>
      <c r="W245" s="291">
        <f>IF($J245="",#N/A,SUM($V$4:V245))</f>
        <v>26.230324244510406</v>
      </c>
      <c r="X245" s="292" t="str">
        <f t="shared" si="353"/>
        <v/>
      </c>
      <c r="Y245" s="292">
        <f>IF($J245="",#N/A,SUM($X$4:X245))</f>
        <v>3.2682161443975222</v>
      </c>
      <c r="Z245" s="304" t="str">
        <f t="shared" si="354"/>
        <v/>
      </c>
      <c r="AA245" s="313" t="e">
        <f>IF($J245="",#N/A,SUM(Z$4:Z245))</f>
        <v>#N/A</v>
      </c>
      <c r="AB245" s="314" t="str">
        <f t="shared" si="355"/>
        <v/>
      </c>
      <c r="AC245" s="314" t="e">
        <f>IF($J245="",#N/A,SUM(AB$4:AB245))</f>
        <v>#N/A</v>
      </c>
      <c r="AD245" s="315" t="str">
        <f t="shared" si="356"/>
        <v/>
      </c>
      <c r="AE245" s="315" t="e">
        <f>IF($J245="",#N/A,SUM(AD$4:AD245))</f>
        <v>#N/A</v>
      </c>
      <c r="AF245" s="315" t="e">
        <f>IF($J245="",#N/A,SUM(AD$4:AD245,AB$4:AB245,Z$4:Z245))</f>
        <v>#N/A</v>
      </c>
      <c r="AG245" s="304" t="str">
        <f t="shared" si="357"/>
        <v/>
      </c>
      <c r="AH245" s="313" t="e">
        <f>IF($J245="",#N/A,SUM(AG$4:AG245))</f>
        <v>#N/A</v>
      </c>
      <c r="AI245" s="314" t="str">
        <f t="shared" si="358"/>
        <v/>
      </c>
      <c r="AJ245" s="314" t="e">
        <f>IF($J245="",#N/A,SUM(AI$4:AI245))</f>
        <v>#N/A</v>
      </c>
      <c r="AK245" s="315" t="str">
        <f t="shared" si="359"/>
        <v/>
      </c>
      <c r="AL245" s="315" t="e">
        <f>IF($J245="",#N/A,SUM(AK$4:AK245))</f>
        <v>#N/A</v>
      </c>
      <c r="AM245" s="315" t="e">
        <f>IF($J245="",#N/A,SUM(AK$4:AK245,AI$4:AI245,AG$4:AG245))</f>
        <v>#N/A</v>
      </c>
      <c r="AN245" s="304" t="str">
        <f t="shared" si="360"/>
        <v/>
      </c>
      <c r="AO245" s="313" t="e">
        <f>IF($J245="",#N/A,SUM(AN$4:AN245))</f>
        <v>#N/A</v>
      </c>
      <c r="AP245" s="314" t="str">
        <f t="shared" si="361"/>
        <v/>
      </c>
      <c r="AQ245" s="314" t="e">
        <f>IF($J245="",#N/A,SUM(AP$4:AP245))</f>
        <v>#N/A</v>
      </c>
      <c r="AR245" s="315" t="str">
        <f t="shared" si="362"/>
        <v/>
      </c>
      <c r="AS245" s="315" t="e">
        <f>IF($J245="",#N/A,SUM(AR$4:AR245))</f>
        <v>#N/A</v>
      </c>
      <c r="AT245" s="315" t="e">
        <f>IF($J245="",#N/A,SUM(AR$4:AR245,AP$4:AP245,AN$4:AN245))</f>
        <v>#N/A</v>
      </c>
      <c r="AU245" s="304" t="str">
        <f t="shared" si="363"/>
        <v/>
      </c>
      <c r="AV245" s="313" t="e">
        <f>IF($J245="",#N/A,SUM(AU$4:AU245))</f>
        <v>#N/A</v>
      </c>
      <c r="AW245" s="314" t="str">
        <f t="shared" si="364"/>
        <v/>
      </c>
      <c r="AX245" s="314" t="e">
        <f>IF($J245="",#N/A,SUM(AW$4:AW245))</f>
        <v>#N/A</v>
      </c>
      <c r="AY245" s="315" t="str">
        <f t="shared" si="365"/>
        <v/>
      </c>
      <c r="AZ245" s="315" t="e">
        <f>IF($J245="",#N/A,SUM(AY$4:AY245))</f>
        <v>#N/A</v>
      </c>
      <c r="BA245" s="315" t="e">
        <f>IF($J245="",#N/A,SUM(AY$4:AY245,AW$4:AW245,AU$4:AU245))</f>
        <v>#N/A</v>
      </c>
      <c r="BB245" s="304" t="str">
        <f t="shared" si="366"/>
        <v/>
      </c>
      <c r="BC245" s="313" t="e">
        <f>IF($J245="",#N/A,SUM(BB$4:BB245))</f>
        <v>#N/A</v>
      </c>
      <c r="BD245" s="314" t="str">
        <f t="shared" si="367"/>
        <v/>
      </c>
      <c r="BE245" s="314" t="e">
        <f>IF($J245="",#N/A,SUM(BD$4:BD245))</f>
        <v>#N/A</v>
      </c>
      <c r="BF245" s="315" t="str">
        <f t="shared" si="368"/>
        <v/>
      </c>
      <c r="BG245" s="315" t="e">
        <f>IF($J245="",#N/A,SUM(BF$4:BF245))</f>
        <v>#N/A</v>
      </c>
      <c r="BH245" s="315" t="e">
        <f>IF($J245="",#N/A,SUM(BF$4:BF245,BD$4:BD245,BB$4:BB245))</f>
        <v>#N/A</v>
      </c>
      <c r="BI245" s="304" t="str">
        <f t="shared" si="369"/>
        <v/>
      </c>
      <c r="BJ245" s="313" t="e">
        <f>IF($J245="",#N/A,SUM(BI$4:BI245))</f>
        <v>#N/A</v>
      </c>
      <c r="BK245" s="314" t="str">
        <f t="shared" si="370"/>
        <v/>
      </c>
      <c r="BL245" s="314" t="e">
        <f>IF($J245="",#N/A,SUM(BK$4:BK245))</f>
        <v>#N/A</v>
      </c>
      <c r="BM245" s="315" t="str">
        <f t="shared" si="371"/>
        <v/>
      </c>
      <c r="BN245" s="315" t="e">
        <f>IF($J245="",#N/A,SUM(BM$4:BM245))</f>
        <v>#N/A</v>
      </c>
      <c r="BO245" s="315" t="e">
        <f>IF($J245="",#N/A,SUM(BM$4:BM245,BK$4:BK245,BI$4:BI245))</f>
        <v>#N/A</v>
      </c>
      <c r="BP245" s="304" t="str">
        <f t="shared" si="372"/>
        <v/>
      </c>
      <c r="BQ245" s="313" t="e">
        <f>IF($J245="",#N/A,SUM(BP$4:BP245))</f>
        <v>#N/A</v>
      </c>
      <c r="BR245" s="314" t="str">
        <f t="shared" si="373"/>
        <v/>
      </c>
      <c r="BS245" s="314" t="e">
        <f>IF($J245="",#N/A,SUM(BR$4:BR245))</f>
        <v>#N/A</v>
      </c>
      <c r="BT245" s="315" t="str">
        <f t="shared" si="374"/>
        <v/>
      </c>
      <c r="BU245" s="315" t="e">
        <f>IF($J245="",#N/A,SUM(BT$4:BT245))</f>
        <v>#N/A</v>
      </c>
      <c r="BV245" s="315" t="e">
        <f>IF($J245="",#N/A,SUM(BT$4:BT245,BR$4:BR245,BP$4:BP245))</f>
        <v>#N/A</v>
      </c>
      <c r="BW245" s="304" t="str">
        <f t="shared" si="375"/>
        <v/>
      </c>
      <c r="BX245" s="313" t="e">
        <f>IF($J245="",#N/A,SUM(BW$4:BW245))</f>
        <v>#N/A</v>
      </c>
      <c r="BY245" s="314" t="str">
        <f t="shared" si="376"/>
        <v/>
      </c>
      <c r="BZ245" s="314" t="e">
        <f>IF($J245="",#N/A,SUM(BY$4:BY245))</f>
        <v>#N/A</v>
      </c>
      <c r="CA245" s="315" t="str">
        <f t="shared" si="377"/>
        <v/>
      </c>
      <c r="CB245" s="315" t="e">
        <f>IF($J245="",#N/A,SUM(CA$4:CA245))</f>
        <v>#N/A</v>
      </c>
      <c r="CC245" s="315" t="e">
        <f>IF($J245="",#N/A,SUM(CA$4:CA245,BY$4:BY245,BW$4:BW245))</f>
        <v>#N/A</v>
      </c>
      <c r="CD245" s="304">
        <f t="shared" si="378"/>
        <v>-0.16108859872929965</v>
      </c>
      <c r="CE245" s="313" t="e">
        <f>IF($J245="",#N/A,SUM(CD$4:CD245))</f>
        <v>#N/A</v>
      </c>
      <c r="CF245" s="314" t="str">
        <f t="shared" si="379"/>
        <v/>
      </c>
      <c r="CG245" s="314" t="e">
        <f>IF($J245="",#N/A,SUM(CF$4:CF245))</f>
        <v>#N/A</v>
      </c>
      <c r="CH245" s="315" t="str">
        <f t="shared" si="380"/>
        <v/>
      </c>
      <c r="CI245" s="315" t="e">
        <f>IF($J245="",#N/A,SUM(CH$4:CH245))</f>
        <v>#N/A</v>
      </c>
      <c r="CJ245" s="315" t="e">
        <f>IF($J245="",#N/A,SUM(CH$4:CH245,CF$4:CF245,CD$4:CD245))</f>
        <v>#N/A</v>
      </c>
      <c r="CK245" s="304" t="str">
        <f t="shared" si="381"/>
        <v/>
      </c>
      <c r="CL245" s="313" t="e">
        <f>IF($J245="",#N/A,SUM(CK$4:CK245))</f>
        <v>#N/A</v>
      </c>
      <c r="CM245" s="314" t="str">
        <f t="shared" si="382"/>
        <v/>
      </c>
      <c r="CN245" s="314" t="e">
        <f>IF($J245="",#N/A,SUM(CM$4:CM245))</f>
        <v>#N/A</v>
      </c>
      <c r="CO245" s="315" t="str">
        <f t="shared" si="383"/>
        <v/>
      </c>
      <c r="CP245" s="315" t="e">
        <f>IF($J245="",#N/A,SUM(CO$4:CO245))</f>
        <v>#N/A</v>
      </c>
      <c r="CQ245" s="315" t="e">
        <f>IF($J245="",#N/A,SUM(CO$4:CO245,CM$4:CM245,CK$4:CK245))</f>
        <v>#N/A</v>
      </c>
      <c r="CR245" s="304" t="str">
        <f t="shared" si="384"/>
        <v/>
      </c>
      <c r="CS245" s="313" t="e">
        <f>IF($J245="",#N/A,SUM(CR$4:CR245))</f>
        <v>#N/A</v>
      </c>
      <c r="CT245" s="314" t="str">
        <f t="shared" si="385"/>
        <v/>
      </c>
      <c r="CU245" s="314" t="e">
        <f>IF($J245="",#N/A,SUM(CT$4:CT245))</f>
        <v>#N/A</v>
      </c>
      <c r="CV245" s="315" t="str">
        <f t="shared" si="386"/>
        <v/>
      </c>
      <c r="CW245" s="315" t="e">
        <f>IF($J245="",#N/A,SUM(CV$4:CV245))</f>
        <v>#N/A</v>
      </c>
      <c r="CX245" s="315" t="e">
        <f>IF($J245="",#N/A,SUM(CV$4:CV245,CT$4:CT245,CR$4:CR245))</f>
        <v>#N/A</v>
      </c>
      <c r="CY245" s="304" t="str">
        <f t="shared" si="387"/>
        <v/>
      </c>
      <c r="CZ245" s="313" t="e">
        <f>IF($J245="",#N/A,SUM(CY$4:CY245))</f>
        <v>#N/A</v>
      </c>
      <c r="DA245" s="314" t="str">
        <f t="shared" si="388"/>
        <v/>
      </c>
      <c r="DB245" s="314" t="e">
        <f>IF($J245="",#N/A,SUM(DA$4:DA245))</f>
        <v>#N/A</v>
      </c>
      <c r="DC245" s="315" t="str">
        <f t="shared" si="389"/>
        <v/>
      </c>
      <c r="DD245" s="315" t="e">
        <f>IF($J245="",#N/A,SUM(DC$4:DC245))</f>
        <v>#N/A</v>
      </c>
      <c r="DE245" s="315" t="e">
        <f>IF($J245="",#N/A,SUM(DC$4:DC245,DA$4:DA245,CY$4:CY245))</f>
        <v>#N/A</v>
      </c>
      <c r="DF245" s="304" t="str">
        <f t="shared" si="390"/>
        <v/>
      </c>
      <c r="DG245" s="313" t="e">
        <f>IF($J245="",#N/A,SUM(DF$4:DF245))</f>
        <v>#N/A</v>
      </c>
      <c r="DH245" s="314" t="str">
        <f t="shared" si="391"/>
        <v/>
      </c>
      <c r="DI245" s="314" t="e">
        <f>IF($J245="",#N/A,SUM(DH$4:DH245))</f>
        <v>#N/A</v>
      </c>
      <c r="DJ245" s="315" t="str">
        <f t="shared" si="392"/>
        <v/>
      </c>
      <c r="DK245" s="315" t="e">
        <f>IF($J245="",#N/A,SUM(DJ$4:DJ245))</f>
        <v>#N/A</v>
      </c>
      <c r="DL245" s="315" t="e">
        <f>IF($J245="",#N/A,SUM(DJ$4:DJ245,DH$4:DH245,DF$4:DF245))</f>
        <v>#N/A</v>
      </c>
      <c r="DM245" s="304" t="str">
        <f t="shared" si="393"/>
        <v/>
      </c>
      <c r="DN245" s="313" t="e">
        <f>IF($J245="",#N/A,SUM(DM$4:DM245))</f>
        <v>#N/A</v>
      </c>
      <c r="DO245" s="314" t="str">
        <f t="shared" si="394"/>
        <v/>
      </c>
      <c r="DP245" s="314" t="e">
        <f>IF($J245="",#N/A,SUM(DO$4:DO245))</f>
        <v>#N/A</v>
      </c>
      <c r="DQ245" s="315" t="str">
        <f t="shared" si="395"/>
        <v/>
      </c>
      <c r="DR245" s="315" t="e">
        <f>IF($J245="",#N/A,SUM(DQ$4:DQ245))</f>
        <v>#N/A</v>
      </c>
      <c r="DS245" s="315" t="e">
        <f>IF($J245="",#N/A,SUM(DQ$4:DQ245,DO$4:DO245,DM$4:DM245))</f>
        <v>#N/A</v>
      </c>
      <c r="DT245" s="304" t="str">
        <f t="shared" si="396"/>
        <v/>
      </c>
      <c r="DU245" s="313" t="e">
        <f>IF($J245="",#N/A,SUM(DT$4:DT245))</f>
        <v>#N/A</v>
      </c>
      <c r="DV245" s="314" t="str">
        <f t="shared" si="397"/>
        <v/>
      </c>
      <c r="DW245" s="314" t="e">
        <f>IF($J245="",#N/A,SUM(DV$4:DV245))</f>
        <v>#N/A</v>
      </c>
      <c r="DX245" s="315" t="str">
        <f t="shared" si="398"/>
        <v/>
      </c>
      <c r="DY245" s="315" t="e">
        <f>IF($J245="",#N/A,SUM(DX$4:DX245))</f>
        <v>#N/A</v>
      </c>
      <c r="DZ245" s="315" t="e">
        <f>IF($J245="",#N/A,SUM(DX$4:DX245,DV$4:DV245,DT$4:DT245))</f>
        <v>#N/A</v>
      </c>
      <c r="EA245" s="304" t="str">
        <f t="shared" si="399"/>
        <v/>
      </c>
      <c r="EB245" s="313" t="e">
        <f>IF($J245="",#N/A,SUM(EA$4:EA245))</f>
        <v>#N/A</v>
      </c>
      <c r="EC245" s="314" t="str">
        <f t="shared" si="400"/>
        <v/>
      </c>
      <c r="ED245" s="314" t="e">
        <f>IF($J245="",#N/A,SUM(EC$4:EC245))</f>
        <v>#N/A</v>
      </c>
      <c r="EE245" s="315" t="str">
        <f t="shared" si="401"/>
        <v/>
      </c>
      <c r="EF245" s="315" t="e">
        <f>IF($J245="",#N/A,SUM(EE$4:EE245))</f>
        <v>#N/A</v>
      </c>
      <c r="EG245" s="315" t="e">
        <f>IF($J245="",#N/A,SUM(EE$4:EE245,EC$4:EC245,EA$4:EA245))</f>
        <v>#N/A</v>
      </c>
      <c r="EH245" s="130">
        <f t="shared" si="402"/>
        <v>-3.2199999999999704</v>
      </c>
      <c r="EI245" s="63">
        <f>IF(EH245="",#N/A,SUM($EH$4:EH245))</f>
        <v>1048.0686150425699</v>
      </c>
      <c r="EJ245" s="223" t="e">
        <f t="shared" si="403"/>
        <v>#N/A</v>
      </c>
      <c r="EK245" s="63" t="e">
        <f>IF($GZ245="",#N/A,SUM(EJ$4:EJ245))</f>
        <v>#N/A</v>
      </c>
      <c r="EL245" s="60">
        <f t="shared" si="435"/>
        <v>-0.16108859872929965</v>
      </c>
      <c r="EM245" s="60">
        <f>IF(EL245="",NA(),SUM($EL$4:EL245))</f>
        <v>32.121150022950296</v>
      </c>
      <c r="EN245" s="60">
        <f t="shared" si="404"/>
        <v>-0.16108859872929965</v>
      </c>
      <c r="EO245" s="60">
        <f>IF(EN245="",NA(),SUM($EN$4:EN245))</f>
        <v>10.486482515647776</v>
      </c>
      <c r="EP245" s="60" t="str">
        <f t="shared" si="405"/>
        <v/>
      </c>
      <c r="EQ245" s="60" t="e">
        <f>IF(EP245="",NA(),SUM($EP$4:EP245))</f>
        <v>#N/A</v>
      </c>
      <c r="ER245" s="60" t="str">
        <f t="shared" si="406"/>
        <v/>
      </c>
      <c r="ES245" s="60" t="e">
        <f>IF(ER245="",NA(),SUM($ER$4:ER245))</f>
        <v>#N/A</v>
      </c>
      <c r="ET245" s="60" t="str">
        <f t="shared" si="407"/>
        <v/>
      </c>
      <c r="EU245" s="60" t="e">
        <f>IF(ET245="",NA(),SUM($ET$4:ET245))</f>
        <v>#N/A</v>
      </c>
      <c r="EV245" s="60" t="str">
        <f t="shared" si="408"/>
        <v/>
      </c>
      <c r="EW245" s="60" t="e">
        <f>IF(EV245="",NA(),SUM($EV$4:EV245))</f>
        <v>#N/A</v>
      </c>
      <c r="EX245" s="60" t="str">
        <f t="shared" si="409"/>
        <v/>
      </c>
      <c r="EY245" s="60" t="e">
        <f>IF(EX245="",NA(),SUM($EX$4:EX245))</f>
        <v>#N/A</v>
      </c>
      <c r="EZ245" s="60" t="str">
        <f t="shared" si="410"/>
        <v/>
      </c>
      <c r="FA245" s="60" t="e">
        <f>IF(EZ245="",NA(),SUM($EZ$4:EZ245))</f>
        <v>#N/A</v>
      </c>
      <c r="FB245" s="246" t="str">
        <f t="shared" si="436"/>
        <v/>
      </c>
      <c r="FC245" s="246" t="e">
        <f>IF($FB245="",#N/A,SUM(FB$4:$FB245))</f>
        <v>#N/A</v>
      </c>
      <c r="FD245" s="60" t="str">
        <f t="shared" si="411"/>
        <v/>
      </c>
      <c r="FE245" s="60" t="e">
        <f>IF($FD245="",#N/A,SUM($FD$4:FD245))</f>
        <v>#N/A</v>
      </c>
      <c r="FF245" s="60" t="str">
        <f t="shared" si="412"/>
        <v/>
      </c>
      <c r="FG245" s="60" t="e">
        <f>IF($FF245="",#N/A,SUM($FF$4:FF245))</f>
        <v>#N/A</v>
      </c>
      <c r="FH245" s="60">
        <f t="shared" si="413"/>
        <v>-9.0049527239982607E-2</v>
      </c>
      <c r="FI245" s="60">
        <f>IF($FH245="",#N/A,SUM($FH$4:FH245))</f>
        <v>1.9253280406889994</v>
      </c>
      <c r="FJ245" s="60" t="str">
        <f t="shared" si="414"/>
        <v/>
      </c>
      <c r="FK245" s="60" t="e">
        <f>IF($FJ245="",#N/A,SUM($FJ$4:FJ245))</f>
        <v>#N/A</v>
      </c>
      <c r="FL245" s="60" t="str">
        <f t="shared" si="415"/>
        <v/>
      </c>
      <c r="FM245" s="60" t="e">
        <f>IF($FL245="",#N/A,SUM($FL$4:FL245))</f>
        <v>#N/A</v>
      </c>
      <c r="FN245" s="82">
        <f t="shared" si="416"/>
        <v>-0.25113812596928226</v>
      </c>
      <c r="FO245" s="82">
        <f>IF($FN245="",#N/A,SUM(FN$4:$FN245))</f>
        <v>41.163067780793689</v>
      </c>
      <c r="FP245" s="82">
        <f t="shared" si="437"/>
        <v>-0.16108859872929965</v>
      </c>
      <c r="FQ245" s="246">
        <f>IF($EH245="",#N/A,SUM($FP$4:FP245))</f>
        <v>41.941729729206422</v>
      </c>
      <c r="FR245" s="82">
        <f>IFERROR(FQ245/COUNTA($J$4:J245),#N/A)</f>
        <v>0.17331293276531579</v>
      </c>
      <c r="FS245" s="82">
        <f>IFERROR(($FQ245-$FQ196)/COUNTA($J196:$J245),#N/A)</f>
        <v>0.30664595425204921</v>
      </c>
      <c r="FT245" s="82">
        <f t="shared" si="446"/>
        <v>0.30739012215742423</v>
      </c>
      <c r="FU245" s="337">
        <f t="shared" si="447"/>
        <v>12.962943198816058</v>
      </c>
      <c r="FV245" s="57" t="str">
        <f t="shared" si="418"/>
        <v>Up</v>
      </c>
      <c r="FW245" s="57" t="s">
        <v>2734</v>
      </c>
      <c r="FX245" s="57" t="str">
        <f t="shared" si="419"/>
        <v/>
      </c>
      <c r="FY245" s="57" t="str">
        <f t="shared" si="420"/>
        <v/>
      </c>
      <c r="FZ245" s="57" t="str">
        <f t="shared" si="421"/>
        <v/>
      </c>
      <c r="GA245" s="57" t="str">
        <f t="shared" si="422"/>
        <v>Long</v>
      </c>
      <c r="GB245" s="57" t="str">
        <f t="shared" si="423"/>
        <v/>
      </c>
      <c r="GC245" s="57">
        <f t="shared" si="424"/>
        <v>1</v>
      </c>
      <c r="GD245" s="57" t="str">
        <f t="shared" si="425"/>
        <v/>
      </c>
      <c r="GE245" s="62">
        <f t="shared" si="339"/>
        <v>333.15</v>
      </c>
      <c r="GF245" s="62" t="s">
        <v>2780</v>
      </c>
      <c r="GG245" s="199">
        <v>1</v>
      </c>
      <c r="GH245" s="207">
        <f t="shared" si="426"/>
        <v>333.15</v>
      </c>
      <c r="GI245" s="199">
        <v>1</v>
      </c>
      <c r="GJ245" s="200">
        <v>329.93</v>
      </c>
      <c r="GK245" s="63">
        <f t="shared" si="427"/>
        <v>3.2199999999999704</v>
      </c>
      <c r="GL245" s="63">
        <f t="shared" si="340"/>
        <v>5.0199999999999818</v>
      </c>
      <c r="GM245" s="82" t="str">
        <f t="shared" si="428"/>
        <v/>
      </c>
      <c r="GN245" s="82">
        <f>IF($GZ245="",#N/A,SUM(GM$4:GM245))</f>
        <v>-2.2137983641079604</v>
      </c>
      <c r="GO245" s="82">
        <f t="shared" si="429"/>
        <v>-0.25113812596928226</v>
      </c>
      <c r="GP245" s="82">
        <f>IF($GZ245="",#N/A,SUM(GO$4:GO245))</f>
        <v>12.625087798575649</v>
      </c>
      <c r="GQ245" s="82" t="str">
        <f t="shared" si="430"/>
        <v/>
      </c>
      <c r="GR245" s="82">
        <f>IF($GZ245="",#N/A,SUM(GQ$4:GQ245))</f>
        <v>30.125941391883664</v>
      </c>
      <c r="GS245" s="63" t="str">
        <f t="shared" si="438"/>
        <v/>
      </c>
      <c r="GT245" s="63" t="e">
        <f>IF($GZ245="",#N/A,SUM(GS$4:GS245))</f>
        <v>#N/A</v>
      </c>
      <c r="GU245" s="63" t="e">
        <f t="shared" si="439"/>
        <v>#N/A</v>
      </c>
      <c r="GV245" s="63" t="e">
        <f>IF($GZ245="",#N/A,SUM(GU$4:GU245))</f>
        <v>#N/A</v>
      </c>
      <c r="GW245" s="63" t="str">
        <f t="shared" si="440"/>
        <v/>
      </c>
      <c r="GX245" s="63" t="e">
        <f>IF($GZ245="",#N/A,SUM(GW$4:GW245))</f>
        <v>#N/A</v>
      </c>
      <c r="GY245" s="63" t="e">
        <f>IF(EJ245="",#N/A,SUM($EJ$4:EJ245))</f>
        <v>#N/A</v>
      </c>
      <c r="GZ245" s="159">
        <v>328.13</v>
      </c>
      <c r="HA245" s="63">
        <f t="shared" si="431"/>
        <v>8.2399999999999523</v>
      </c>
      <c r="HB245" s="62" t="s">
        <v>2538</v>
      </c>
      <c r="HC245" s="60">
        <f>IFERROR(VLOOKUP(E245,Expectancy!$P$4:$S$19,1+C245,FALSE),"")</f>
        <v>-0.11318819365066257</v>
      </c>
      <c r="HD245" s="82">
        <f t="shared" si="432"/>
        <v>0.16108859872929965</v>
      </c>
      <c r="HE245" s="138">
        <f>IF(HD245="",#N/A,SUM($HD$4:HD245))</f>
        <v>14.448786530390365</v>
      </c>
      <c r="HF245" s="85">
        <f>IF(HD245="",#N/A,IF(HB245="Skip",#N/A,SUM($HG$4:HG245)))</f>
        <v>378.81156919911444</v>
      </c>
      <c r="HG245" s="63">
        <f t="shared" si="433"/>
        <v>3.2199999999999704</v>
      </c>
      <c r="HH245" s="82">
        <f t="shared" si="434"/>
        <v>-0.25113812596928226</v>
      </c>
    </row>
    <row r="246" spans="1:216" x14ac:dyDescent="0.25">
      <c r="A246" s="57" t="s">
        <v>556</v>
      </c>
      <c r="B246" s="58" t="s">
        <v>4958</v>
      </c>
      <c r="C246" s="386">
        <f t="shared" si="343"/>
        <v>1</v>
      </c>
      <c r="D246" s="372" t="str">
        <f>_xlfn.XLOOKUP(A246,[1]SP500!$A$2:$A$502,[1]SP500!$D$2:$D$502,"N")</f>
        <v>Y</v>
      </c>
      <c r="E246" s="57" t="str">
        <f>_xlfn.XLOOKUP(A246,[1]SP500!$A$2:$A$655,[1]SP500!$B$2:$B$655)</f>
        <v>XLV</v>
      </c>
      <c r="F246" s="59">
        <v>45694</v>
      </c>
      <c r="G246" s="57" t="str">
        <f t="shared" si="344"/>
        <v>BMO</v>
      </c>
      <c r="H246" s="57" t="str">
        <f t="shared" si="345"/>
        <v>o</v>
      </c>
      <c r="I246" s="159">
        <v>245.06</v>
      </c>
      <c r="J246" s="159">
        <v>233.55</v>
      </c>
      <c r="K246" s="61">
        <f t="shared" si="346"/>
        <v>-4.6968089447482209E-2</v>
      </c>
      <c r="L246" s="87">
        <f t="shared" si="347"/>
        <v>23.019999999999982</v>
      </c>
      <c r="M246" s="130">
        <f t="shared" si="338"/>
        <v>0.30000000000001137</v>
      </c>
      <c r="N246" s="169">
        <f t="shared" si="348"/>
        <v>-23.019999999999982</v>
      </c>
      <c r="O246" s="169">
        <f>IF($J246="",#N/A,SUM($N$4:N246))</f>
        <v>312.53511614781229</v>
      </c>
      <c r="P246" s="174" t="str">
        <f t="shared" si="349"/>
        <v/>
      </c>
      <c r="Q246" s="174">
        <f>IF($J246="",#N/A,SUM($P$4:P246))</f>
        <v>630.62776401603674</v>
      </c>
      <c r="R246" s="178" t="str">
        <f t="shared" si="350"/>
        <v/>
      </c>
      <c r="S246" s="178">
        <f>IF($J246="",#N/A,SUM($R$4:R246))</f>
        <v>81.885734878720768</v>
      </c>
      <c r="T246" s="290">
        <f t="shared" si="351"/>
        <v>-0.78280149079137018</v>
      </c>
      <c r="U246" s="290">
        <f>IF($J246="",#N/A,SUM($T$4:T246))</f>
        <v>11.660387849507131</v>
      </c>
      <c r="V246" s="291" t="str">
        <f t="shared" si="352"/>
        <v/>
      </c>
      <c r="W246" s="291">
        <f>IF($J246="",#N/A,SUM($V$4:V246))</f>
        <v>26.230324244510406</v>
      </c>
      <c r="X246" s="292" t="str">
        <f t="shared" si="353"/>
        <v/>
      </c>
      <c r="Y246" s="292">
        <f>IF($J246="",#N/A,SUM($X$4:X246))</f>
        <v>3.2682161443975222</v>
      </c>
      <c r="Z246" s="304" t="str">
        <f t="shared" si="354"/>
        <v/>
      </c>
      <c r="AA246" s="313" t="e">
        <f>IF($J246="",#N/A,SUM(Z$4:Z246))</f>
        <v>#N/A</v>
      </c>
      <c r="AB246" s="314" t="str">
        <f t="shared" si="355"/>
        <v/>
      </c>
      <c r="AC246" s="314" t="e">
        <f>IF($J246="",#N/A,SUM(AB$4:AB246))</f>
        <v>#N/A</v>
      </c>
      <c r="AD246" s="315" t="str">
        <f t="shared" si="356"/>
        <v/>
      </c>
      <c r="AE246" s="315" t="e">
        <f>IF($J246="",#N/A,SUM(AD$4:AD246))</f>
        <v>#N/A</v>
      </c>
      <c r="AF246" s="315" t="e">
        <f>IF($J246="",#N/A,SUM(AD$4:AD246,AB$4:AB246,Z$4:Z246))</f>
        <v>#N/A</v>
      </c>
      <c r="AG246" s="304" t="str">
        <f t="shared" si="357"/>
        <v/>
      </c>
      <c r="AH246" s="313" t="e">
        <f>IF($J246="",#N/A,SUM(AG$4:AG246))</f>
        <v>#N/A</v>
      </c>
      <c r="AI246" s="314" t="str">
        <f t="shared" si="358"/>
        <v/>
      </c>
      <c r="AJ246" s="314" t="e">
        <f>IF($J246="",#N/A,SUM(AI$4:AI246))</f>
        <v>#N/A</v>
      </c>
      <c r="AK246" s="315" t="str">
        <f t="shared" si="359"/>
        <v/>
      </c>
      <c r="AL246" s="315" t="e">
        <f>IF($J246="",#N/A,SUM(AK$4:AK246))</f>
        <v>#N/A</v>
      </c>
      <c r="AM246" s="315" t="e">
        <f>IF($J246="",#N/A,SUM(AK$4:AK246,AI$4:AI246,AG$4:AG246))</f>
        <v>#N/A</v>
      </c>
      <c r="AN246" s="304" t="str">
        <f t="shared" si="360"/>
        <v/>
      </c>
      <c r="AO246" s="313" t="e">
        <f>IF($J246="",#N/A,SUM(AN$4:AN246))</f>
        <v>#N/A</v>
      </c>
      <c r="AP246" s="314" t="str">
        <f t="shared" si="361"/>
        <v/>
      </c>
      <c r="AQ246" s="314" t="e">
        <f>IF($J246="",#N/A,SUM(AP$4:AP246))</f>
        <v>#N/A</v>
      </c>
      <c r="AR246" s="315" t="str">
        <f t="shared" si="362"/>
        <v/>
      </c>
      <c r="AS246" s="315" t="e">
        <f>IF($J246="",#N/A,SUM(AR$4:AR246))</f>
        <v>#N/A</v>
      </c>
      <c r="AT246" s="315" t="e">
        <f>IF($J246="",#N/A,SUM(AR$4:AR246,AP$4:AP246,AN$4:AN246))</f>
        <v>#N/A</v>
      </c>
      <c r="AU246" s="304" t="str">
        <f t="shared" si="363"/>
        <v/>
      </c>
      <c r="AV246" s="313" t="e">
        <f>IF($J246="",#N/A,SUM(AU$4:AU246))</f>
        <v>#N/A</v>
      </c>
      <c r="AW246" s="314" t="str">
        <f t="shared" si="364"/>
        <v/>
      </c>
      <c r="AX246" s="314" t="e">
        <f>IF($J246="",#N/A,SUM(AW$4:AW246))</f>
        <v>#N/A</v>
      </c>
      <c r="AY246" s="315" t="str">
        <f t="shared" si="365"/>
        <v/>
      </c>
      <c r="AZ246" s="315" t="e">
        <f>IF($J246="",#N/A,SUM(AY$4:AY246))</f>
        <v>#N/A</v>
      </c>
      <c r="BA246" s="315" t="e">
        <f>IF($J246="",#N/A,SUM(AY$4:AY246,AW$4:AW246,AU$4:AU246))</f>
        <v>#N/A</v>
      </c>
      <c r="BB246" s="304" t="str">
        <f t="shared" si="366"/>
        <v/>
      </c>
      <c r="BC246" s="313" t="e">
        <f>IF($J246="",#N/A,SUM(BB$4:BB246))</f>
        <v>#N/A</v>
      </c>
      <c r="BD246" s="314" t="str">
        <f t="shared" si="367"/>
        <v/>
      </c>
      <c r="BE246" s="314" t="e">
        <f>IF($J246="",#N/A,SUM(BD$4:BD246))</f>
        <v>#N/A</v>
      </c>
      <c r="BF246" s="315" t="str">
        <f t="shared" si="368"/>
        <v/>
      </c>
      <c r="BG246" s="315" t="e">
        <f>IF($J246="",#N/A,SUM(BF$4:BF246))</f>
        <v>#N/A</v>
      </c>
      <c r="BH246" s="315" t="e">
        <f>IF($J246="",#N/A,SUM(BF$4:BF246,BD$4:BD246,BB$4:BB246))</f>
        <v>#N/A</v>
      </c>
      <c r="BI246" s="304" t="str">
        <f t="shared" si="369"/>
        <v/>
      </c>
      <c r="BJ246" s="313" t="e">
        <f>IF($J246="",#N/A,SUM(BI$4:BI246))</f>
        <v>#N/A</v>
      </c>
      <c r="BK246" s="314" t="str">
        <f t="shared" si="370"/>
        <v/>
      </c>
      <c r="BL246" s="314" t="e">
        <f>IF($J246="",#N/A,SUM(BK$4:BK246))</f>
        <v>#N/A</v>
      </c>
      <c r="BM246" s="315" t="str">
        <f t="shared" si="371"/>
        <v/>
      </c>
      <c r="BN246" s="315" t="e">
        <f>IF($J246="",#N/A,SUM(BM$4:BM246))</f>
        <v>#N/A</v>
      </c>
      <c r="BO246" s="315" t="e">
        <f>IF($J246="",#N/A,SUM(BM$4:BM246,BK$4:BK246,BI$4:BI246))</f>
        <v>#N/A</v>
      </c>
      <c r="BP246" s="304" t="str">
        <f t="shared" si="372"/>
        <v/>
      </c>
      <c r="BQ246" s="313" t="e">
        <f>IF($J246="",#N/A,SUM(BP$4:BP246))</f>
        <v>#N/A</v>
      </c>
      <c r="BR246" s="314" t="str">
        <f t="shared" si="373"/>
        <v/>
      </c>
      <c r="BS246" s="314" t="e">
        <f>IF($J246="",#N/A,SUM(BR$4:BR246))</f>
        <v>#N/A</v>
      </c>
      <c r="BT246" s="315" t="str">
        <f t="shared" si="374"/>
        <v/>
      </c>
      <c r="BU246" s="315" t="e">
        <f>IF($J246="",#N/A,SUM(BT$4:BT246))</f>
        <v>#N/A</v>
      </c>
      <c r="BV246" s="315" t="e">
        <f>IF($J246="",#N/A,SUM(BT$4:BT246,BR$4:BR246,BP$4:BP246))</f>
        <v>#N/A</v>
      </c>
      <c r="BW246" s="304">
        <f t="shared" si="375"/>
        <v>-0.78280149079137018</v>
      </c>
      <c r="BX246" s="313" t="e">
        <f>IF($J246="",#N/A,SUM(BW$4:BW246))</f>
        <v>#N/A</v>
      </c>
      <c r="BY246" s="314" t="str">
        <f t="shared" si="376"/>
        <v/>
      </c>
      <c r="BZ246" s="314" t="e">
        <f>IF($J246="",#N/A,SUM(BY$4:BY246))</f>
        <v>#N/A</v>
      </c>
      <c r="CA246" s="315" t="str">
        <f t="shared" si="377"/>
        <v/>
      </c>
      <c r="CB246" s="315" t="e">
        <f>IF($J246="",#N/A,SUM(CA$4:CA246))</f>
        <v>#N/A</v>
      </c>
      <c r="CC246" s="315" t="e">
        <f>IF($J246="",#N/A,SUM(CA$4:CA246,BY$4:BY246,BW$4:BW246))</f>
        <v>#N/A</v>
      </c>
      <c r="CD246" s="304" t="str">
        <f t="shared" si="378"/>
        <v/>
      </c>
      <c r="CE246" s="313" t="e">
        <f>IF($J246="",#N/A,SUM(CD$4:CD246))</f>
        <v>#N/A</v>
      </c>
      <c r="CF246" s="314" t="str">
        <f t="shared" si="379"/>
        <v/>
      </c>
      <c r="CG246" s="314" t="e">
        <f>IF($J246="",#N/A,SUM(CF$4:CF246))</f>
        <v>#N/A</v>
      </c>
      <c r="CH246" s="315" t="str">
        <f t="shared" si="380"/>
        <v/>
      </c>
      <c r="CI246" s="315" t="e">
        <f>IF($J246="",#N/A,SUM(CH$4:CH246))</f>
        <v>#N/A</v>
      </c>
      <c r="CJ246" s="315" t="e">
        <f>IF($J246="",#N/A,SUM(CH$4:CH246,CF$4:CF246,CD$4:CD246))</f>
        <v>#N/A</v>
      </c>
      <c r="CK246" s="304" t="str">
        <f t="shared" si="381"/>
        <v/>
      </c>
      <c r="CL246" s="313" t="e">
        <f>IF($J246="",#N/A,SUM(CK$4:CK246))</f>
        <v>#N/A</v>
      </c>
      <c r="CM246" s="314" t="str">
        <f t="shared" si="382"/>
        <v/>
      </c>
      <c r="CN246" s="314" t="e">
        <f>IF($J246="",#N/A,SUM(CM$4:CM246))</f>
        <v>#N/A</v>
      </c>
      <c r="CO246" s="315" t="str">
        <f t="shared" si="383"/>
        <v/>
      </c>
      <c r="CP246" s="315" t="e">
        <f>IF($J246="",#N/A,SUM(CO$4:CO246))</f>
        <v>#N/A</v>
      </c>
      <c r="CQ246" s="315" t="e">
        <f>IF($J246="",#N/A,SUM(CO$4:CO246,CM$4:CM246,CK$4:CK246))</f>
        <v>#N/A</v>
      </c>
      <c r="CR246" s="304" t="str">
        <f t="shared" si="384"/>
        <v/>
      </c>
      <c r="CS246" s="313" t="e">
        <f>IF($J246="",#N/A,SUM(CR$4:CR246))</f>
        <v>#N/A</v>
      </c>
      <c r="CT246" s="314" t="str">
        <f t="shared" si="385"/>
        <v/>
      </c>
      <c r="CU246" s="314" t="e">
        <f>IF($J246="",#N/A,SUM(CT$4:CT246))</f>
        <v>#N/A</v>
      </c>
      <c r="CV246" s="315" t="str">
        <f t="shared" si="386"/>
        <v/>
      </c>
      <c r="CW246" s="315" t="e">
        <f>IF($J246="",#N/A,SUM(CV$4:CV246))</f>
        <v>#N/A</v>
      </c>
      <c r="CX246" s="315" t="e">
        <f>IF($J246="",#N/A,SUM(CV$4:CV246,CT$4:CT246,CR$4:CR246))</f>
        <v>#N/A</v>
      </c>
      <c r="CY246" s="304" t="str">
        <f t="shared" si="387"/>
        <v/>
      </c>
      <c r="CZ246" s="313" t="e">
        <f>IF($J246="",#N/A,SUM(CY$4:CY246))</f>
        <v>#N/A</v>
      </c>
      <c r="DA246" s="314" t="str">
        <f t="shared" si="388"/>
        <v/>
      </c>
      <c r="DB246" s="314" t="e">
        <f>IF($J246="",#N/A,SUM(DA$4:DA246))</f>
        <v>#N/A</v>
      </c>
      <c r="DC246" s="315" t="str">
        <f t="shared" si="389"/>
        <v/>
      </c>
      <c r="DD246" s="315" t="e">
        <f>IF($J246="",#N/A,SUM(DC$4:DC246))</f>
        <v>#N/A</v>
      </c>
      <c r="DE246" s="315" t="e">
        <f>IF($J246="",#N/A,SUM(DC$4:DC246,DA$4:DA246,CY$4:CY246))</f>
        <v>#N/A</v>
      </c>
      <c r="DF246" s="304" t="str">
        <f t="shared" si="390"/>
        <v/>
      </c>
      <c r="DG246" s="313" t="e">
        <f>IF($J246="",#N/A,SUM(DF$4:DF246))</f>
        <v>#N/A</v>
      </c>
      <c r="DH246" s="314" t="str">
        <f t="shared" si="391"/>
        <v/>
      </c>
      <c r="DI246" s="314" t="e">
        <f>IF($J246="",#N/A,SUM(DH$4:DH246))</f>
        <v>#N/A</v>
      </c>
      <c r="DJ246" s="315" t="str">
        <f t="shared" si="392"/>
        <v/>
      </c>
      <c r="DK246" s="315" t="e">
        <f>IF($J246="",#N/A,SUM(DJ$4:DJ246))</f>
        <v>#N/A</v>
      </c>
      <c r="DL246" s="315" t="e">
        <f>IF($J246="",#N/A,SUM(DJ$4:DJ246,DH$4:DH246,DF$4:DF246))</f>
        <v>#N/A</v>
      </c>
      <c r="DM246" s="304" t="str">
        <f t="shared" si="393"/>
        <v/>
      </c>
      <c r="DN246" s="313" t="e">
        <f>IF($J246="",#N/A,SUM(DM$4:DM246))</f>
        <v>#N/A</v>
      </c>
      <c r="DO246" s="314" t="str">
        <f t="shared" si="394"/>
        <v/>
      </c>
      <c r="DP246" s="314" t="e">
        <f>IF($J246="",#N/A,SUM(DO$4:DO246))</f>
        <v>#N/A</v>
      </c>
      <c r="DQ246" s="315" t="str">
        <f t="shared" si="395"/>
        <v/>
      </c>
      <c r="DR246" s="315" t="e">
        <f>IF($J246="",#N/A,SUM(DQ$4:DQ246))</f>
        <v>#N/A</v>
      </c>
      <c r="DS246" s="315" t="e">
        <f>IF($J246="",#N/A,SUM(DQ$4:DQ246,DO$4:DO246,DM$4:DM246))</f>
        <v>#N/A</v>
      </c>
      <c r="DT246" s="304" t="str">
        <f t="shared" si="396"/>
        <v/>
      </c>
      <c r="DU246" s="313" t="e">
        <f>IF($J246="",#N/A,SUM(DT$4:DT246))</f>
        <v>#N/A</v>
      </c>
      <c r="DV246" s="314" t="str">
        <f t="shared" si="397"/>
        <v/>
      </c>
      <c r="DW246" s="314" t="e">
        <f>IF($J246="",#N/A,SUM(DV$4:DV246))</f>
        <v>#N/A</v>
      </c>
      <c r="DX246" s="315" t="str">
        <f t="shared" si="398"/>
        <v/>
      </c>
      <c r="DY246" s="315" t="e">
        <f>IF($J246="",#N/A,SUM(DX$4:DX246))</f>
        <v>#N/A</v>
      </c>
      <c r="DZ246" s="315" t="e">
        <f>IF($J246="",#N/A,SUM(DX$4:DX246,DV$4:DV246,DT$4:DT246))</f>
        <v>#N/A</v>
      </c>
      <c r="EA246" s="304" t="str">
        <f t="shared" si="399"/>
        <v/>
      </c>
      <c r="EB246" s="313" t="e">
        <f>IF($J246="",#N/A,SUM(EA$4:EA246))</f>
        <v>#N/A</v>
      </c>
      <c r="EC246" s="314" t="str">
        <f t="shared" si="400"/>
        <v/>
      </c>
      <c r="ED246" s="314" t="e">
        <f>IF($J246="",#N/A,SUM(EC$4:EC246))</f>
        <v>#N/A</v>
      </c>
      <c r="EE246" s="315" t="str">
        <f t="shared" si="401"/>
        <v/>
      </c>
      <c r="EF246" s="315" t="e">
        <f>IF($J246="",#N/A,SUM(EE$4:EE246))</f>
        <v>#N/A</v>
      </c>
      <c r="EG246" s="315" t="e">
        <f>IF($J246="",#N/A,SUM(EE$4:EE246,EC$4:EC246,EA$4:EA246))</f>
        <v>#N/A</v>
      </c>
      <c r="EH246" s="130">
        <f t="shared" si="402"/>
        <v>-23.019999999999982</v>
      </c>
      <c r="EI246" s="63">
        <f>IF(EH246="",#N/A,SUM($EH$4:EH246))</f>
        <v>1025.04861504257</v>
      </c>
      <c r="EJ246" s="223" t="e">
        <f t="shared" si="403"/>
        <v>#N/A</v>
      </c>
      <c r="EK246" s="63" t="e">
        <f>IF($GZ246="",#N/A,SUM(EJ$4:EJ246))</f>
        <v>#N/A</v>
      </c>
      <c r="EL246" s="60">
        <f t="shared" si="435"/>
        <v>-0.78280149079137018</v>
      </c>
      <c r="EM246" s="60">
        <f>IF(EL246="",NA(),SUM($EL$4:EL246))</f>
        <v>31.338348532158925</v>
      </c>
      <c r="EN246" s="60">
        <f t="shared" si="404"/>
        <v>-0.78280149079137018</v>
      </c>
      <c r="EO246" s="60">
        <f>IF(EN246="",NA(),SUM($EN$4:EN246))</f>
        <v>9.7036810248564063</v>
      </c>
      <c r="EP246" s="60" t="str">
        <f t="shared" si="405"/>
        <v/>
      </c>
      <c r="EQ246" s="60" t="e">
        <f>IF(EP246="",NA(),SUM($EP$4:EP246))</f>
        <v>#N/A</v>
      </c>
      <c r="ER246" s="60" t="str">
        <f t="shared" si="406"/>
        <v/>
      </c>
      <c r="ES246" s="60" t="e">
        <f>IF(ER246="",NA(),SUM($ER$4:ER246))</f>
        <v>#N/A</v>
      </c>
      <c r="ET246" s="60" t="str">
        <f t="shared" si="407"/>
        <v/>
      </c>
      <c r="EU246" s="60" t="e">
        <f>IF(ET246="",NA(),SUM($ET$4:ET246))</f>
        <v>#N/A</v>
      </c>
      <c r="EV246" s="60" t="str">
        <f t="shared" si="408"/>
        <v/>
      </c>
      <c r="EW246" s="60" t="e">
        <f>IF(EV246="",NA(),SUM($EV$4:EV246))</f>
        <v>#N/A</v>
      </c>
      <c r="EX246" s="60" t="str">
        <f t="shared" si="409"/>
        <v/>
      </c>
      <c r="EY246" s="60" t="e">
        <f>IF(EX246="",NA(),SUM($EX$4:EX246))</f>
        <v>#N/A</v>
      </c>
      <c r="EZ246" s="60" t="str">
        <f t="shared" si="410"/>
        <v/>
      </c>
      <c r="FA246" s="60" t="e">
        <f>IF(EZ246="",NA(),SUM($EZ$4:EZ246))</f>
        <v>#N/A</v>
      </c>
      <c r="FB246" s="246" t="str">
        <f t="shared" si="436"/>
        <v/>
      </c>
      <c r="FC246" s="246" t="e">
        <f>IF($FB246="",#N/A,SUM(FB$4:$FB246))</f>
        <v>#N/A</v>
      </c>
      <c r="FD246" s="60" t="str">
        <f t="shared" si="411"/>
        <v/>
      </c>
      <c r="FE246" s="60" t="e">
        <f>IF($FD246="",#N/A,SUM($FD$4:FD246))</f>
        <v>#N/A</v>
      </c>
      <c r="FF246" s="60" t="str">
        <f t="shared" si="412"/>
        <v/>
      </c>
      <c r="FG246" s="60" t="e">
        <f>IF($FF246="",#N/A,SUM($FF$4:FF246))</f>
        <v>#N/A</v>
      </c>
      <c r="FH246" s="60">
        <f t="shared" si="413"/>
        <v>-0.43118692021001681</v>
      </c>
      <c r="FI246" s="60">
        <f>IF($FH246="",#N/A,SUM($FH$4:FH246))</f>
        <v>1.4941411204789827</v>
      </c>
      <c r="FJ246" s="60" t="str">
        <f t="shared" si="414"/>
        <v/>
      </c>
      <c r="FK246" s="60" t="e">
        <f>IF($FJ246="",#N/A,SUM($FJ$4:FJ246))</f>
        <v>#N/A</v>
      </c>
      <c r="FL246" s="60" t="str">
        <f t="shared" si="415"/>
        <v/>
      </c>
      <c r="FM246" s="60" t="e">
        <f>IF($FL246="",#N/A,SUM($FL$4:FL246))</f>
        <v>#N/A</v>
      </c>
      <c r="FN246" s="82">
        <f t="shared" si="416"/>
        <v>-1.213988411001387</v>
      </c>
      <c r="FO246" s="82">
        <f>IF($FN246="",#N/A,SUM(FN$4:$FN246))</f>
        <v>39.949079369792301</v>
      </c>
      <c r="FP246" s="82">
        <f t="shared" si="437"/>
        <v>-0.78280149079137018</v>
      </c>
      <c r="FQ246" s="246">
        <f>IF($EH246="",#N/A,SUM($FP$4:FP246))</f>
        <v>41.158928238415051</v>
      </c>
      <c r="FR246" s="82">
        <f>IFERROR(FQ246/COUNTA($J$4:J246),#N/A)</f>
        <v>0.16937830550788086</v>
      </c>
      <c r="FS246" s="82">
        <f>IFERROR(($FQ246-$FQ197)/COUNTA($J197:$J246),#N/A)</f>
        <v>0.30698199700272838</v>
      </c>
      <c r="FT246" s="82">
        <f t="shared" si="446"/>
        <v>0.2830180852097533</v>
      </c>
      <c r="FU246" s="337">
        <f t="shared" si="447"/>
        <v>11.387138633947588</v>
      </c>
      <c r="FV246" s="57" t="str">
        <f t="shared" si="418"/>
        <v>Up</v>
      </c>
      <c r="FW246" s="57" t="s">
        <v>2734</v>
      </c>
      <c r="FX246" s="57" t="str">
        <f t="shared" si="419"/>
        <v/>
      </c>
      <c r="FY246" s="57" t="str">
        <f t="shared" si="420"/>
        <v/>
      </c>
      <c r="FZ246" s="57" t="str">
        <f t="shared" si="421"/>
        <v/>
      </c>
      <c r="GA246" s="57" t="str">
        <f t="shared" si="422"/>
        <v>Long</v>
      </c>
      <c r="GB246" s="57" t="str">
        <f t="shared" si="423"/>
        <v/>
      </c>
      <c r="GC246" s="57">
        <f t="shared" si="424"/>
        <v>1</v>
      </c>
      <c r="GD246" s="57" t="str">
        <f t="shared" si="425"/>
        <v/>
      </c>
      <c r="GE246" s="62">
        <f t="shared" si="339"/>
        <v>245.06</v>
      </c>
      <c r="GF246" s="62" t="s">
        <v>2780</v>
      </c>
      <c r="GG246" s="199">
        <v>2</v>
      </c>
      <c r="GH246" s="207">
        <f t="shared" si="426"/>
        <v>490.12</v>
      </c>
      <c r="GI246" s="199">
        <v>2</v>
      </c>
      <c r="GJ246" s="200">
        <v>233.4</v>
      </c>
      <c r="GK246" s="63">
        <f t="shared" si="427"/>
        <v>23.319999999999993</v>
      </c>
      <c r="GL246" s="63">
        <f t="shared" si="340"/>
        <v>35.699999999999989</v>
      </c>
      <c r="GM246" s="82" t="str">
        <f t="shared" si="428"/>
        <v/>
      </c>
      <c r="GN246" s="82">
        <f>IF($GZ246="",#N/A,SUM(GM$4:GM246))</f>
        <v>-2.2137983641079604</v>
      </c>
      <c r="GO246" s="82">
        <f t="shared" si="429"/>
        <v>-1.213988411001387</v>
      </c>
      <c r="GP246" s="82">
        <f>IF($GZ246="",#N/A,SUM(GO$4:GO246))</f>
        <v>11.411099387574263</v>
      </c>
      <c r="GQ246" s="82" t="str">
        <f t="shared" si="430"/>
        <v/>
      </c>
      <c r="GR246" s="82">
        <f>IF($GZ246="",#N/A,SUM(GQ$4:GQ246))</f>
        <v>30.125941391883664</v>
      </c>
      <c r="GS246" s="63" t="str">
        <f t="shared" si="438"/>
        <v/>
      </c>
      <c r="GT246" s="63" t="e">
        <f>IF($GZ246="",#N/A,SUM(GS$4:GS246))</f>
        <v>#N/A</v>
      </c>
      <c r="GU246" s="63" t="e">
        <f t="shared" si="439"/>
        <v>#N/A</v>
      </c>
      <c r="GV246" s="63" t="e">
        <f>IF($GZ246="",#N/A,SUM(GU$4:GU246))</f>
        <v>#N/A</v>
      </c>
      <c r="GW246" s="63" t="str">
        <f t="shared" si="440"/>
        <v/>
      </c>
      <c r="GX246" s="63" t="e">
        <f>IF($GZ246="",#N/A,SUM(GW$4:GW246))</f>
        <v>#N/A</v>
      </c>
      <c r="GY246" s="63" t="e">
        <f>IF(EJ246="",#N/A,SUM($EJ$4:EJ246))</f>
        <v>#N/A</v>
      </c>
      <c r="GZ246" s="159">
        <v>227.21</v>
      </c>
      <c r="HA246" s="63">
        <f t="shared" si="431"/>
        <v>58.71999999999997</v>
      </c>
      <c r="HB246" s="62" t="s">
        <v>2538</v>
      </c>
      <c r="HC246" s="60">
        <f>IFERROR(VLOOKUP(E246,Expectancy!$P$4:$S$19,1+C246,FALSE),"")</f>
        <v>-0.45514116799985843</v>
      </c>
      <c r="HD246" s="82">
        <f t="shared" si="432"/>
        <v>0.79300307407709658</v>
      </c>
      <c r="HE246" s="138">
        <f>IF(HD246="",#N/A,SUM($HD$4:HD246))</f>
        <v>15.241789604467462</v>
      </c>
      <c r="HF246" s="85">
        <f>IF(HD246="",#N/A,IF(HB246="Skip",#N/A,SUM($HG$4:HG246)))</f>
        <v>402.13156919911444</v>
      </c>
      <c r="HG246" s="63">
        <f t="shared" si="433"/>
        <v>23.319999999999993</v>
      </c>
      <c r="HH246" s="82">
        <f t="shared" si="434"/>
        <v>-1.213988411001387</v>
      </c>
    </row>
    <row r="247" spans="1:216" x14ac:dyDescent="0.25">
      <c r="A247" s="57" t="s">
        <v>1399</v>
      </c>
      <c r="B247" s="58" t="s">
        <v>5227</v>
      </c>
      <c r="C247" s="386">
        <f t="shared" si="343"/>
        <v>1</v>
      </c>
      <c r="D247" s="372" t="str">
        <f>_xlfn.XLOOKUP(A247,[1]SP500!$A$2:$A$502,[1]SP500!$D$2:$D$502,"N")</f>
        <v>Y</v>
      </c>
      <c r="E247" s="57" t="str">
        <f>_xlfn.XLOOKUP(A247,[1]SP500!$A$2:$A$655,[1]SP500!$B$2:$B$655)</f>
        <v>XLY</v>
      </c>
      <c r="F247" s="59">
        <v>45694</v>
      </c>
      <c r="G247" s="57" t="str">
        <f t="shared" si="344"/>
        <v>BMO</v>
      </c>
      <c r="H247" s="57" t="str">
        <f t="shared" si="345"/>
        <v>s</v>
      </c>
      <c r="I247" s="159">
        <v>257.85000000000002</v>
      </c>
      <c r="J247" s="159">
        <v>257.68</v>
      </c>
      <c r="K247" s="61">
        <f t="shared" si="346"/>
        <v>-6.5929804149705601E-4</v>
      </c>
      <c r="L247" s="87">
        <f t="shared" si="347"/>
        <v>-0.34000000000003183</v>
      </c>
      <c r="M247" s="130">
        <f t="shared" si="338"/>
        <v>0</v>
      </c>
      <c r="N247" s="169">
        <f t="shared" si="348"/>
        <v>-0.34000000000003183</v>
      </c>
      <c r="O247" s="169">
        <f>IF($J247="",#N/A,SUM($N$4:N247))</f>
        <v>312.19511614781226</v>
      </c>
      <c r="P247" s="174" t="str">
        <f t="shared" si="349"/>
        <v/>
      </c>
      <c r="Q247" s="174">
        <f>IF($J247="",#N/A,SUM($P$4:P247))</f>
        <v>630.62776401603674</v>
      </c>
      <c r="R247" s="178" t="str">
        <f t="shared" si="350"/>
        <v/>
      </c>
      <c r="S247" s="178">
        <f>IF($J247="",#N/A,SUM($R$4:R247))</f>
        <v>81.885734878720768</v>
      </c>
      <c r="T247" s="290">
        <f t="shared" si="351"/>
        <v>-1.0988300691617601E-2</v>
      </c>
      <c r="U247" s="290">
        <f>IF($J247="",#N/A,SUM($T$4:T247))</f>
        <v>11.649399548815515</v>
      </c>
      <c r="V247" s="291" t="str">
        <f t="shared" si="352"/>
        <v/>
      </c>
      <c r="W247" s="291">
        <f>IF($J247="",#N/A,SUM($V$4:V247))</f>
        <v>26.230324244510406</v>
      </c>
      <c r="X247" s="292" t="str">
        <f t="shared" si="353"/>
        <v/>
      </c>
      <c r="Y247" s="292">
        <f>IF($J247="",#N/A,SUM($X$4:X247))</f>
        <v>3.2682161443975222</v>
      </c>
      <c r="Z247" s="304" t="str">
        <f t="shared" si="354"/>
        <v/>
      </c>
      <c r="AA247" s="313" t="e">
        <f>IF($J247="",#N/A,SUM(Z$4:Z247))</f>
        <v>#N/A</v>
      </c>
      <c r="AB247" s="314" t="str">
        <f t="shared" si="355"/>
        <v/>
      </c>
      <c r="AC247" s="314" t="e">
        <f>IF($J247="",#N/A,SUM(AB$4:AB247))</f>
        <v>#N/A</v>
      </c>
      <c r="AD247" s="315" t="str">
        <f t="shared" si="356"/>
        <v/>
      </c>
      <c r="AE247" s="315" t="e">
        <f>IF($J247="",#N/A,SUM(AD$4:AD247))</f>
        <v>#N/A</v>
      </c>
      <c r="AF247" s="315" t="e">
        <f>IF($J247="",#N/A,SUM(AD$4:AD247,AB$4:AB247,Z$4:Z247))</f>
        <v>#N/A</v>
      </c>
      <c r="AG247" s="304" t="str">
        <f t="shared" si="357"/>
        <v/>
      </c>
      <c r="AH247" s="313" t="e">
        <f>IF($J247="",#N/A,SUM(AG$4:AG247))</f>
        <v>#N/A</v>
      </c>
      <c r="AI247" s="314" t="str">
        <f t="shared" si="358"/>
        <v/>
      </c>
      <c r="AJ247" s="314" t="e">
        <f>IF($J247="",#N/A,SUM(AI$4:AI247))</f>
        <v>#N/A</v>
      </c>
      <c r="AK247" s="315" t="str">
        <f t="shared" si="359"/>
        <v/>
      </c>
      <c r="AL247" s="315" t="e">
        <f>IF($J247="",#N/A,SUM(AK$4:AK247))</f>
        <v>#N/A</v>
      </c>
      <c r="AM247" s="315" t="e">
        <f>IF($J247="",#N/A,SUM(AK$4:AK247,AI$4:AI247,AG$4:AG247))</f>
        <v>#N/A</v>
      </c>
      <c r="AN247" s="304">
        <f t="shared" si="360"/>
        <v>-1.0988300691617601E-2</v>
      </c>
      <c r="AO247" s="313" t="e">
        <f>IF($J247="",#N/A,SUM(AN$4:AN247))</f>
        <v>#N/A</v>
      </c>
      <c r="AP247" s="314" t="str">
        <f t="shared" si="361"/>
        <v/>
      </c>
      <c r="AQ247" s="314" t="e">
        <f>IF($J247="",#N/A,SUM(AP$4:AP247))</f>
        <v>#N/A</v>
      </c>
      <c r="AR247" s="315" t="str">
        <f t="shared" si="362"/>
        <v/>
      </c>
      <c r="AS247" s="315" t="e">
        <f>IF($J247="",#N/A,SUM(AR$4:AR247))</f>
        <v>#N/A</v>
      </c>
      <c r="AT247" s="315" t="e">
        <f>IF($J247="",#N/A,SUM(AR$4:AR247,AP$4:AP247,AN$4:AN247))</f>
        <v>#N/A</v>
      </c>
      <c r="AU247" s="304" t="str">
        <f t="shared" si="363"/>
        <v/>
      </c>
      <c r="AV247" s="313" t="e">
        <f>IF($J247="",#N/A,SUM(AU$4:AU247))</f>
        <v>#N/A</v>
      </c>
      <c r="AW247" s="314" t="str">
        <f t="shared" si="364"/>
        <v/>
      </c>
      <c r="AX247" s="314" t="e">
        <f>IF($J247="",#N/A,SUM(AW$4:AW247))</f>
        <v>#N/A</v>
      </c>
      <c r="AY247" s="315" t="str">
        <f t="shared" si="365"/>
        <v/>
      </c>
      <c r="AZ247" s="315" t="e">
        <f>IF($J247="",#N/A,SUM(AY$4:AY247))</f>
        <v>#N/A</v>
      </c>
      <c r="BA247" s="315" t="e">
        <f>IF($J247="",#N/A,SUM(AY$4:AY247,AW$4:AW247,AU$4:AU247))</f>
        <v>#N/A</v>
      </c>
      <c r="BB247" s="304" t="str">
        <f t="shared" si="366"/>
        <v/>
      </c>
      <c r="BC247" s="313" t="e">
        <f>IF($J247="",#N/A,SUM(BB$4:BB247))</f>
        <v>#N/A</v>
      </c>
      <c r="BD247" s="314" t="str">
        <f t="shared" si="367"/>
        <v/>
      </c>
      <c r="BE247" s="314" t="e">
        <f>IF($J247="",#N/A,SUM(BD$4:BD247))</f>
        <v>#N/A</v>
      </c>
      <c r="BF247" s="315" t="str">
        <f t="shared" si="368"/>
        <v/>
      </c>
      <c r="BG247" s="315" t="e">
        <f>IF($J247="",#N/A,SUM(BF$4:BF247))</f>
        <v>#N/A</v>
      </c>
      <c r="BH247" s="315" t="e">
        <f>IF($J247="",#N/A,SUM(BF$4:BF247,BD$4:BD247,BB$4:BB247))</f>
        <v>#N/A</v>
      </c>
      <c r="BI247" s="304" t="str">
        <f t="shared" si="369"/>
        <v/>
      </c>
      <c r="BJ247" s="313" t="e">
        <f>IF($J247="",#N/A,SUM(BI$4:BI247))</f>
        <v>#N/A</v>
      </c>
      <c r="BK247" s="314" t="str">
        <f t="shared" si="370"/>
        <v/>
      </c>
      <c r="BL247" s="314" t="e">
        <f>IF($J247="",#N/A,SUM(BK$4:BK247))</f>
        <v>#N/A</v>
      </c>
      <c r="BM247" s="315" t="str">
        <f t="shared" si="371"/>
        <v/>
      </c>
      <c r="BN247" s="315" t="e">
        <f>IF($J247="",#N/A,SUM(BM$4:BM247))</f>
        <v>#N/A</v>
      </c>
      <c r="BO247" s="315" t="e">
        <f>IF($J247="",#N/A,SUM(BM$4:BM247,BK$4:BK247,BI$4:BI247))</f>
        <v>#N/A</v>
      </c>
      <c r="BP247" s="304" t="str">
        <f t="shared" si="372"/>
        <v/>
      </c>
      <c r="BQ247" s="313" t="e">
        <f>IF($J247="",#N/A,SUM(BP$4:BP247))</f>
        <v>#N/A</v>
      </c>
      <c r="BR247" s="314" t="str">
        <f t="shared" si="373"/>
        <v/>
      </c>
      <c r="BS247" s="314" t="e">
        <f>IF($J247="",#N/A,SUM(BR$4:BR247))</f>
        <v>#N/A</v>
      </c>
      <c r="BT247" s="315" t="str">
        <f t="shared" si="374"/>
        <v/>
      </c>
      <c r="BU247" s="315" t="e">
        <f>IF($J247="",#N/A,SUM(BT$4:BT247))</f>
        <v>#N/A</v>
      </c>
      <c r="BV247" s="315" t="e">
        <f>IF($J247="",#N/A,SUM(BT$4:BT247,BR$4:BR247,BP$4:BP247))</f>
        <v>#N/A</v>
      </c>
      <c r="BW247" s="304" t="str">
        <f t="shared" si="375"/>
        <v/>
      </c>
      <c r="BX247" s="313" t="e">
        <f>IF($J247="",#N/A,SUM(BW$4:BW247))</f>
        <v>#N/A</v>
      </c>
      <c r="BY247" s="314" t="str">
        <f t="shared" si="376"/>
        <v/>
      </c>
      <c r="BZ247" s="314" t="e">
        <f>IF($J247="",#N/A,SUM(BY$4:BY247))</f>
        <v>#N/A</v>
      </c>
      <c r="CA247" s="315" t="str">
        <f t="shared" si="377"/>
        <v/>
      </c>
      <c r="CB247" s="315" t="e">
        <f>IF($J247="",#N/A,SUM(CA$4:CA247))</f>
        <v>#N/A</v>
      </c>
      <c r="CC247" s="315" t="e">
        <f>IF($J247="",#N/A,SUM(CA$4:CA247,BY$4:BY247,BW$4:BW247))</f>
        <v>#N/A</v>
      </c>
      <c r="CD247" s="304" t="str">
        <f t="shared" si="378"/>
        <v/>
      </c>
      <c r="CE247" s="313" t="e">
        <f>IF($J247="",#N/A,SUM(CD$4:CD247))</f>
        <v>#N/A</v>
      </c>
      <c r="CF247" s="314" t="str">
        <f t="shared" si="379"/>
        <v/>
      </c>
      <c r="CG247" s="314" t="e">
        <f>IF($J247="",#N/A,SUM(CF$4:CF247))</f>
        <v>#N/A</v>
      </c>
      <c r="CH247" s="315" t="str">
        <f t="shared" si="380"/>
        <v/>
      </c>
      <c r="CI247" s="315" t="e">
        <f>IF($J247="",#N/A,SUM(CH$4:CH247))</f>
        <v>#N/A</v>
      </c>
      <c r="CJ247" s="315" t="e">
        <f>IF($J247="",#N/A,SUM(CH$4:CH247,CF$4:CF247,CD$4:CD247))</f>
        <v>#N/A</v>
      </c>
      <c r="CK247" s="304" t="str">
        <f t="shared" si="381"/>
        <v/>
      </c>
      <c r="CL247" s="313" t="e">
        <f>IF($J247="",#N/A,SUM(CK$4:CK247))</f>
        <v>#N/A</v>
      </c>
      <c r="CM247" s="314" t="str">
        <f t="shared" si="382"/>
        <v/>
      </c>
      <c r="CN247" s="314" t="e">
        <f>IF($J247="",#N/A,SUM(CM$4:CM247))</f>
        <v>#N/A</v>
      </c>
      <c r="CO247" s="315" t="str">
        <f t="shared" si="383"/>
        <v/>
      </c>
      <c r="CP247" s="315" t="e">
        <f>IF($J247="",#N/A,SUM(CO$4:CO247))</f>
        <v>#N/A</v>
      </c>
      <c r="CQ247" s="315" t="e">
        <f>IF($J247="",#N/A,SUM(CO$4:CO247,CM$4:CM247,CK$4:CK247))</f>
        <v>#N/A</v>
      </c>
      <c r="CR247" s="304" t="str">
        <f t="shared" si="384"/>
        <v/>
      </c>
      <c r="CS247" s="313" t="e">
        <f>IF($J247="",#N/A,SUM(CR$4:CR247))</f>
        <v>#N/A</v>
      </c>
      <c r="CT247" s="314" t="str">
        <f t="shared" si="385"/>
        <v/>
      </c>
      <c r="CU247" s="314" t="e">
        <f>IF($J247="",#N/A,SUM(CT$4:CT247))</f>
        <v>#N/A</v>
      </c>
      <c r="CV247" s="315" t="str">
        <f t="shared" si="386"/>
        <v/>
      </c>
      <c r="CW247" s="315" t="e">
        <f>IF($J247="",#N/A,SUM(CV$4:CV247))</f>
        <v>#N/A</v>
      </c>
      <c r="CX247" s="315" t="e">
        <f>IF($J247="",#N/A,SUM(CV$4:CV247,CT$4:CT247,CR$4:CR247))</f>
        <v>#N/A</v>
      </c>
      <c r="CY247" s="304" t="str">
        <f t="shared" si="387"/>
        <v/>
      </c>
      <c r="CZ247" s="313" t="e">
        <f>IF($J247="",#N/A,SUM(CY$4:CY247))</f>
        <v>#N/A</v>
      </c>
      <c r="DA247" s="314" t="str">
        <f t="shared" si="388"/>
        <v/>
      </c>
      <c r="DB247" s="314" t="e">
        <f>IF($J247="",#N/A,SUM(DA$4:DA247))</f>
        <v>#N/A</v>
      </c>
      <c r="DC247" s="315" t="str">
        <f t="shared" si="389"/>
        <v/>
      </c>
      <c r="DD247" s="315" t="e">
        <f>IF($J247="",#N/A,SUM(DC$4:DC247))</f>
        <v>#N/A</v>
      </c>
      <c r="DE247" s="315" t="e">
        <f>IF($J247="",#N/A,SUM(DC$4:DC247,DA$4:DA247,CY$4:CY247))</f>
        <v>#N/A</v>
      </c>
      <c r="DF247" s="304" t="str">
        <f t="shared" si="390"/>
        <v/>
      </c>
      <c r="DG247" s="313" t="e">
        <f>IF($J247="",#N/A,SUM(DF$4:DF247))</f>
        <v>#N/A</v>
      </c>
      <c r="DH247" s="314" t="str">
        <f t="shared" si="391"/>
        <v/>
      </c>
      <c r="DI247" s="314" t="e">
        <f>IF($J247="",#N/A,SUM(DH$4:DH247))</f>
        <v>#N/A</v>
      </c>
      <c r="DJ247" s="315" t="str">
        <f t="shared" si="392"/>
        <v/>
      </c>
      <c r="DK247" s="315" t="e">
        <f>IF($J247="",#N/A,SUM(DJ$4:DJ247))</f>
        <v>#N/A</v>
      </c>
      <c r="DL247" s="315" t="e">
        <f>IF($J247="",#N/A,SUM(DJ$4:DJ247,DH$4:DH247,DF$4:DF247))</f>
        <v>#N/A</v>
      </c>
      <c r="DM247" s="304" t="str">
        <f t="shared" si="393"/>
        <v/>
      </c>
      <c r="DN247" s="313" t="e">
        <f>IF($J247="",#N/A,SUM(DM$4:DM247))</f>
        <v>#N/A</v>
      </c>
      <c r="DO247" s="314" t="str">
        <f t="shared" si="394"/>
        <v/>
      </c>
      <c r="DP247" s="314" t="e">
        <f>IF($J247="",#N/A,SUM(DO$4:DO247))</f>
        <v>#N/A</v>
      </c>
      <c r="DQ247" s="315" t="str">
        <f t="shared" si="395"/>
        <v/>
      </c>
      <c r="DR247" s="315" t="e">
        <f>IF($J247="",#N/A,SUM(DQ$4:DQ247))</f>
        <v>#N/A</v>
      </c>
      <c r="DS247" s="315" t="e">
        <f>IF($J247="",#N/A,SUM(DQ$4:DQ247,DO$4:DO247,DM$4:DM247))</f>
        <v>#N/A</v>
      </c>
      <c r="DT247" s="304" t="str">
        <f t="shared" si="396"/>
        <v/>
      </c>
      <c r="DU247" s="313" t="e">
        <f>IF($J247="",#N/A,SUM(DT$4:DT247))</f>
        <v>#N/A</v>
      </c>
      <c r="DV247" s="314" t="str">
        <f t="shared" si="397"/>
        <v/>
      </c>
      <c r="DW247" s="314" t="e">
        <f>IF($J247="",#N/A,SUM(DV$4:DV247))</f>
        <v>#N/A</v>
      </c>
      <c r="DX247" s="315" t="str">
        <f t="shared" si="398"/>
        <v/>
      </c>
      <c r="DY247" s="315" t="e">
        <f>IF($J247="",#N/A,SUM(DX$4:DX247))</f>
        <v>#N/A</v>
      </c>
      <c r="DZ247" s="315" t="e">
        <f>IF($J247="",#N/A,SUM(DX$4:DX247,DV$4:DV247,DT$4:DT247))</f>
        <v>#N/A</v>
      </c>
      <c r="EA247" s="304" t="str">
        <f t="shared" si="399"/>
        <v/>
      </c>
      <c r="EB247" s="313" t="e">
        <f>IF($J247="",#N/A,SUM(EA$4:EA247))</f>
        <v>#N/A</v>
      </c>
      <c r="EC247" s="314" t="str">
        <f t="shared" si="400"/>
        <v/>
      </c>
      <c r="ED247" s="314" t="e">
        <f>IF($J247="",#N/A,SUM(EC$4:EC247))</f>
        <v>#N/A</v>
      </c>
      <c r="EE247" s="315" t="str">
        <f t="shared" si="401"/>
        <v/>
      </c>
      <c r="EF247" s="315" t="e">
        <f>IF($J247="",#N/A,SUM(EE$4:EE247))</f>
        <v>#N/A</v>
      </c>
      <c r="EG247" s="315" t="e">
        <f>IF($J247="",#N/A,SUM(EE$4:EE247,EC$4:EC247,EA$4:EA247))</f>
        <v>#N/A</v>
      </c>
      <c r="EH247" s="130">
        <f t="shared" si="402"/>
        <v>-0.34000000000003183</v>
      </c>
      <c r="EI247" s="63">
        <f>IF(EH247="",#N/A,SUM($EH$4:EH247))</f>
        <v>1024.7086150425698</v>
      </c>
      <c r="EJ247" s="223" t="e">
        <f t="shared" si="403"/>
        <v>#N/A</v>
      </c>
      <c r="EK247" s="63" t="e">
        <f>IF($GZ247="",#N/A,SUM(EJ$4:EJ247))</f>
        <v>#N/A</v>
      </c>
      <c r="EL247" s="60">
        <f t="shared" si="435"/>
        <v>-1.0988300691617601E-2</v>
      </c>
      <c r="EM247" s="60">
        <f>IF(EL247="",NA(),SUM($EL$4:EL247))</f>
        <v>31.327360231467306</v>
      </c>
      <c r="EN247" s="60">
        <f t="shared" si="404"/>
        <v>-1.0988300691617601E-2</v>
      </c>
      <c r="EO247" s="60">
        <f>IF(EN247="",NA(),SUM($EN$4:EN247))</f>
        <v>9.6926927241647896</v>
      </c>
      <c r="EP247" s="60" t="str">
        <f t="shared" si="405"/>
        <v/>
      </c>
      <c r="EQ247" s="60" t="e">
        <f>IF(EP247="",NA(),SUM($EP$4:EP247))</f>
        <v>#N/A</v>
      </c>
      <c r="ER247" s="60" t="str">
        <f t="shared" si="406"/>
        <v/>
      </c>
      <c r="ES247" s="60" t="e">
        <f>IF(ER247="",NA(),SUM($ER$4:ER247))</f>
        <v>#N/A</v>
      </c>
      <c r="ET247" s="60" t="str">
        <f t="shared" si="407"/>
        <v/>
      </c>
      <c r="EU247" s="60" t="e">
        <f>IF(ET247="",NA(),SUM($ET$4:ET247))</f>
        <v>#N/A</v>
      </c>
      <c r="EV247" s="60" t="str">
        <f t="shared" si="408"/>
        <v/>
      </c>
      <c r="EW247" s="60" t="e">
        <f>IF(EV247="",NA(),SUM($EV$4:EV247))</f>
        <v>#N/A</v>
      </c>
      <c r="EX247" s="60" t="str">
        <f t="shared" si="409"/>
        <v/>
      </c>
      <c r="EY247" s="60" t="e">
        <f>IF(EX247="",NA(),SUM($EX$4:EX247))</f>
        <v>#N/A</v>
      </c>
      <c r="EZ247" s="60" t="str">
        <f t="shared" si="410"/>
        <v/>
      </c>
      <c r="FA247" s="60" t="e">
        <f>IF(EZ247="",NA(),SUM($EZ$4:EZ247))</f>
        <v>#N/A</v>
      </c>
      <c r="FB247" s="246" t="str">
        <f t="shared" si="436"/>
        <v/>
      </c>
      <c r="FC247" s="246" t="e">
        <f>IF($FB247="",#N/A,SUM(FB$4:$FB247))</f>
        <v>#N/A</v>
      </c>
      <c r="FD247" s="60" t="str">
        <f t="shared" si="411"/>
        <v/>
      </c>
      <c r="FE247" s="60" t="e">
        <f>IF($FD247="",#N/A,SUM($FD$4:FD247))</f>
        <v>#N/A</v>
      </c>
      <c r="FF247" s="60" t="str">
        <f t="shared" si="412"/>
        <v/>
      </c>
      <c r="FG247" s="60" t="e">
        <f>IF($FF247="",#N/A,SUM($FF$4:FF247))</f>
        <v>#N/A</v>
      </c>
      <c r="FH247" s="60">
        <f t="shared" si="413"/>
        <v>0.82153706935556714</v>
      </c>
      <c r="FI247" s="60">
        <f>IF($FH247="",#N/A,SUM($FH$4:FH247))</f>
        <v>2.31567818983455</v>
      </c>
      <c r="FJ247" s="60" t="str">
        <f t="shared" si="414"/>
        <v/>
      </c>
      <c r="FK247" s="60" t="e">
        <f>IF($FJ247="",#N/A,SUM($FJ$4:FJ247))</f>
        <v>#N/A</v>
      </c>
      <c r="FL247" s="60" t="str">
        <f t="shared" si="415"/>
        <v/>
      </c>
      <c r="FM247" s="60" t="e">
        <f>IF($FL247="",#N/A,SUM($FL$4:FL247))</f>
        <v>#N/A</v>
      </c>
      <c r="FN247" s="82">
        <f t="shared" si="416"/>
        <v>0.81054876866394954</v>
      </c>
      <c r="FO247" s="82">
        <f>IF($FN247="",#N/A,SUM(FN$4:$FN247))</f>
        <v>40.75962813845625</v>
      </c>
      <c r="FP247" s="82">
        <f t="shared" si="437"/>
        <v>-1.0988300691617601E-2</v>
      </c>
      <c r="FQ247" s="246">
        <f>IF($EH247="",#N/A,SUM($FP$4:FP247))</f>
        <v>41.147939937723436</v>
      </c>
      <c r="FR247" s="82">
        <f>IFERROR(FQ247/COUNTA($J$4:J247),#N/A)</f>
        <v>0.16863909810542391</v>
      </c>
      <c r="FS247" s="82">
        <f>IFERROR(($FQ247-$FQ198)/COUNTA($J198:$J247),#N/A)</f>
        <v>0.30658989643007262</v>
      </c>
      <c r="FT247" s="82">
        <f t="shared" si="446"/>
        <v>0.29571763020577724</v>
      </c>
      <c r="FU247" s="337">
        <f t="shared" si="447"/>
        <v>11.387138633947592</v>
      </c>
      <c r="FV247" s="57" t="str">
        <f t="shared" si="418"/>
        <v>Up</v>
      </c>
      <c r="FW247" s="57" t="s">
        <v>2734</v>
      </c>
      <c r="FX247" s="57" t="str">
        <f t="shared" si="419"/>
        <v/>
      </c>
      <c r="FY247" s="57" t="str">
        <f t="shared" si="420"/>
        <v/>
      </c>
      <c r="FZ247" s="57" t="str">
        <f t="shared" si="421"/>
        <v/>
      </c>
      <c r="GA247" s="57" t="str">
        <f t="shared" si="422"/>
        <v>Long</v>
      </c>
      <c r="GB247" s="57" t="str">
        <f t="shared" si="423"/>
        <v/>
      </c>
      <c r="GC247" s="57">
        <f t="shared" si="424"/>
        <v>1</v>
      </c>
      <c r="GD247" s="57" t="str">
        <f t="shared" si="425"/>
        <v/>
      </c>
      <c r="GE247" s="62">
        <f t="shared" si="339"/>
        <v>257.85000000000002</v>
      </c>
      <c r="GF247" s="62" t="s">
        <v>2779</v>
      </c>
      <c r="GG247" s="199">
        <v>2</v>
      </c>
      <c r="GH247" s="207">
        <f t="shared" si="426"/>
        <v>515.70000000000005</v>
      </c>
      <c r="GI247" s="199">
        <v>2</v>
      </c>
      <c r="GJ247" s="200">
        <v>257.68</v>
      </c>
      <c r="GK247" s="63">
        <f t="shared" si="427"/>
        <v>-0.34000000000003183</v>
      </c>
      <c r="GL247" s="63">
        <f t="shared" si="340"/>
        <v>25.079999999999927</v>
      </c>
      <c r="GM247" s="82" t="str">
        <f t="shared" si="428"/>
        <v/>
      </c>
      <c r="GN247" s="82">
        <f>IF($GZ247="",#N/A,SUM(GM$4:GM247))</f>
        <v>-2.2137983641079604</v>
      </c>
      <c r="GO247" s="82">
        <f t="shared" si="429"/>
        <v>0.81054876866394954</v>
      </c>
      <c r="GP247" s="82">
        <f>IF($GZ247="",#N/A,SUM(GO$4:GO247))</f>
        <v>12.221648156238212</v>
      </c>
      <c r="GQ247" s="82" t="str">
        <f t="shared" si="430"/>
        <v/>
      </c>
      <c r="GR247" s="82">
        <f>IF($GZ247="",#N/A,SUM(GQ$4:GQ247))</f>
        <v>30.125941391883664</v>
      </c>
      <c r="GS247" s="63" t="str">
        <f t="shared" si="438"/>
        <v/>
      </c>
      <c r="GT247" s="63" t="e">
        <f>IF($GZ247="",#N/A,SUM(GS$4:GS247))</f>
        <v>#N/A</v>
      </c>
      <c r="GU247" s="63" t="e">
        <f t="shared" si="439"/>
        <v>#N/A</v>
      </c>
      <c r="GV247" s="63" t="e">
        <f>IF($GZ247="",#N/A,SUM(GU$4:GU247))</f>
        <v>#N/A</v>
      </c>
      <c r="GW247" s="63" t="str">
        <f t="shared" si="440"/>
        <v/>
      </c>
      <c r="GX247" s="63" t="e">
        <f>IF($GZ247="",#N/A,SUM(GW$4:GW247))</f>
        <v>#N/A</v>
      </c>
      <c r="GY247" s="63" t="e">
        <f>IF(EJ247="",#N/A,SUM($EJ$4:EJ247))</f>
        <v>#N/A</v>
      </c>
      <c r="GZ247" s="159">
        <v>270.39</v>
      </c>
      <c r="HA247" s="63">
        <f t="shared" si="431"/>
        <v>25.419999999999959</v>
      </c>
      <c r="HB247" s="62" t="s">
        <v>2538</v>
      </c>
      <c r="HC247" s="60">
        <f>IFERROR(VLOOKUP(E247,Expectancy!$P$4:$S$19,1+C247,FALSE),"")</f>
        <v>9.4642213510490861E-2</v>
      </c>
      <c r="HD247" s="82">
        <f t="shared" si="432"/>
        <v>-1.0988300691617601E-2</v>
      </c>
      <c r="HE247" s="138">
        <f>IF(HD247="",#N/A,SUM($HD$4:HD247))</f>
        <v>15.230801303775845</v>
      </c>
      <c r="HF247" s="85">
        <f>IF(HD247="",#N/A,IF(HB247="Skip",#N/A,SUM($HG$4:HG247)))</f>
        <v>401.79156919911441</v>
      </c>
      <c r="HG247" s="63">
        <f t="shared" si="433"/>
        <v>-0.34000000000003183</v>
      </c>
      <c r="HH247" s="82">
        <f t="shared" si="434"/>
        <v>0.81054876866394954</v>
      </c>
    </row>
    <row r="248" spans="1:216" x14ac:dyDescent="0.25">
      <c r="A248" s="57" t="s">
        <v>570</v>
      </c>
      <c r="B248" s="58" t="s">
        <v>5224</v>
      </c>
      <c r="C248" s="386">
        <f t="shared" si="343"/>
        <v>2</v>
      </c>
      <c r="D248" s="372" t="str">
        <f>_xlfn.XLOOKUP(A248,[1]SP500!$A$2:$A$502,[1]SP500!$D$2:$D$502,"N")</f>
        <v>Y</v>
      </c>
      <c r="E248" s="57" t="str">
        <f>_xlfn.XLOOKUP(A248,[1]SP500!$A$2:$A$655,[1]SP500!$B$2:$B$655)</f>
        <v>XLP</v>
      </c>
      <c r="F248" s="59">
        <v>45694</v>
      </c>
      <c r="G248" s="57" t="str">
        <f t="shared" si="344"/>
        <v>BMO</v>
      </c>
      <c r="H248" s="57" t="str">
        <f t="shared" si="345"/>
        <v>s</v>
      </c>
      <c r="I248" s="159">
        <v>20.74</v>
      </c>
      <c r="J248" s="159">
        <v>20.535</v>
      </c>
      <c r="K248" s="61">
        <f t="shared" si="346"/>
        <v>-9.8842815814849713E-3</v>
      </c>
      <c r="L248" s="87">
        <f t="shared" si="347"/>
        <v>4.0999999999999659</v>
      </c>
      <c r="M248" s="130">
        <f t="shared" si="338"/>
        <v>-0.89999999999997726</v>
      </c>
      <c r="N248" s="169" t="str">
        <f t="shared" si="348"/>
        <v/>
      </c>
      <c r="O248" s="169">
        <f>IF($J248="",#N/A,SUM($N$4:N248))</f>
        <v>312.19511614781226</v>
      </c>
      <c r="P248" s="174">
        <f t="shared" si="349"/>
        <v>4.0999999999999659</v>
      </c>
      <c r="Q248" s="174">
        <f>IF($J248="",#N/A,SUM($P$4:P248))</f>
        <v>634.72776401603664</v>
      </c>
      <c r="R248" s="178" t="str">
        <f t="shared" si="350"/>
        <v/>
      </c>
      <c r="S248" s="178">
        <f>IF($J248="",#N/A,SUM($R$4:R248))</f>
        <v>81.885734878720768</v>
      </c>
      <c r="T248" s="290" t="str">
        <f t="shared" si="351"/>
        <v/>
      </c>
      <c r="U248" s="290">
        <f>IF($J248="",#N/A,SUM($T$4:T248))</f>
        <v>11.649399548815515</v>
      </c>
      <c r="V248" s="291">
        <f t="shared" si="352"/>
        <v>0.16473802635808285</v>
      </c>
      <c r="W248" s="291">
        <f>IF($J248="",#N/A,SUM($V$4:V248))</f>
        <v>26.39506227086849</v>
      </c>
      <c r="X248" s="292" t="str">
        <f t="shared" si="353"/>
        <v/>
      </c>
      <c r="Y248" s="292">
        <f>IF($J248="",#N/A,SUM($X$4:X248))</f>
        <v>3.2682161443975222</v>
      </c>
      <c r="Z248" s="304" t="str">
        <f t="shared" si="354"/>
        <v/>
      </c>
      <c r="AA248" s="313" t="e">
        <f>IF($J248="",#N/A,SUM(Z$4:Z248))</f>
        <v>#N/A</v>
      </c>
      <c r="AB248" s="314" t="str">
        <f t="shared" si="355"/>
        <v/>
      </c>
      <c r="AC248" s="314" t="e">
        <f>IF($J248="",#N/A,SUM(AB$4:AB248))</f>
        <v>#N/A</v>
      </c>
      <c r="AD248" s="315" t="str">
        <f t="shared" si="356"/>
        <v/>
      </c>
      <c r="AE248" s="315" t="e">
        <f>IF($J248="",#N/A,SUM(AD$4:AD248))</f>
        <v>#N/A</v>
      </c>
      <c r="AF248" s="315" t="e">
        <f>IF($J248="",#N/A,SUM(AD$4:AD248,AB$4:AB248,Z$4:Z248))</f>
        <v>#N/A</v>
      </c>
      <c r="AG248" s="304" t="str">
        <f t="shared" si="357"/>
        <v/>
      </c>
      <c r="AH248" s="313" t="e">
        <f>IF($J248="",#N/A,SUM(AG$4:AG248))</f>
        <v>#N/A</v>
      </c>
      <c r="AI248" s="314" t="str">
        <f t="shared" si="358"/>
        <v/>
      </c>
      <c r="AJ248" s="314" t="e">
        <f>IF($J248="",#N/A,SUM(AI$4:AI248))</f>
        <v>#N/A</v>
      </c>
      <c r="AK248" s="315" t="str">
        <f t="shared" si="359"/>
        <v/>
      </c>
      <c r="AL248" s="315" t="e">
        <f>IF($J248="",#N/A,SUM(AK$4:AK248))</f>
        <v>#N/A</v>
      </c>
      <c r="AM248" s="315" t="e">
        <f>IF($J248="",#N/A,SUM(AK$4:AK248,AI$4:AI248,AG$4:AG248))</f>
        <v>#N/A</v>
      </c>
      <c r="AN248" s="304" t="str">
        <f t="shared" si="360"/>
        <v/>
      </c>
      <c r="AO248" s="313" t="e">
        <f>IF($J248="",#N/A,SUM(AN$4:AN248))</f>
        <v>#N/A</v>
      </c>
      <c r="AP248" s="314" t="str">
        <f t="shared" si="361"/>
        <v/>
      </c>
      <c r="AQ248" s="314" t="e">
        <f>IF($J248="",#N/A,SUM(AP$4:AP248))</f>
        <v>#N/A</v>
      </c>
      <c r="AR248" s="315" t="str">
        <f t="shared" si="362"/>
        <v/>
      </c>
      <c r="AS248" s="315" t="e">
        <f>IF($J248="",#N/A,SUM(AR$4:AR248))</f>
        <v>#N/A</v>
      </c>
      <c r="AT248" s="315" t="e">
        <f>IF($J248="",#N/A,SUM(AR$4:AR248,AP$4:AP248,AN$4:AN248))</f>
        <v>#N/A</v>
      </c>
      <c r="AU248" s="304" t="str">
        <f t="shared" si="363"/>
        <v/>
      </c>
      <c r="AV248" s="313" t="e">
        <f>IF($J248="",#N/A,SUM(AU$4:AU248))</f>
        <v>#N/A</v>
      </c>
      <c r="AW248" s="314">
        <f t="shared" si="364"/>
        <v>0.16473802635808285</v>
      </c>
      <c r="AX248" s="314" t="e">
        <f>IF($J248="",#N/A,SUM(AW$4:AW248))</f>
        <v>#N/A</v>
      </c>
      <c r="AY248" s="315" t="str">
        <f t="shared" si="365"/>
        <v/>
      </c>
      <c r="AZ248" s="315" t="e">
        <f>IF($J248="",#N/A,SUM(AY$4:AY248))</f>
        <v>#N/A</v>
      </c>
      <c r="BA248" s="315" t="e">
        <f>IF($J248="",#N/A,SUM(AY$4:AY248,AW$4:AW248,AU$4:AU248))</f>
        <v>#N/A</v>
      </c>
      <c r="BB248" s="304" t="str">
        <f t="shared" si="366"/>
        <v/>
      </c>
      <c r="BC248" s="313" t="e">
        <f>IF($J248="",#N/A,SUM(BB$4:BB248))</f>
        <v>#N/A</v>
      </c>
      <c r="BD248" s="314" t="str">
        <f t="shared" si="367"/>
        <v/>
      </c>
      <c r="BE248" s="314" t="e">
        <f>IF($J248="",#N/A,SUM(BD$4:BD248))</f>
        <v>#N/A</v>
      </c>
      <c r="BF248" s="315" t="str">
        <f t="shared" si="368"/>
        <v/>
      </c>
      <c r="BG248" s="315" t="e">
        <f>IF($J248="",#N/A,SUM(BF$4:BF248))</f>
        <v>#N/A</v>
      </c>
      <c r="BH248" s="315" t="e">
        <f>IF($J248="",#N/A,SUM(BF$4:BF248,BD$4:BD248,BB$4:BB248))</f>
        <v>#N/A</v>
      </c>
      <c r="BI248" s="304" t="str">
        <f t="shared" si="369"/>
        <v/>
      </c>
      <c r="BJ248" s="313" t="e">
        <f>IF($J248="",#N/A,SUM(BI$4:BI248))</f>
        <v>#N/A</v>
      </c>
      <c r="BK248" s="314" t="str">
        <f t="shared" si="370"/>
        <v/>
      </c>
      <c r="BL248" s="314" t="e">
        <f>IF($J248="",#N/A,SUM(BK$4:BK248))</f>
        <v>#N/A</v>
      </c>
      <c r="BM248" s="315" t="str">
        <f t="shared" si="371"/>
        <v/>
      </c>
      <c r="BN248" s="315" t="e">
        <f>IF($J248="",#N/A,SUM(BM$4:BM248))</f>
        <v>#N/A</v>
      </c>
      <c r="BO248" s="315" t="e">
        <f>IF($J248="",#N/A,SUM(BM$4:BM248,BK$4:BK248,BI$4:BI248))</f>
        <v>#N/A</v>
      </c>
      <c r="BP248" s="304" t="str">
        <f t="shared" si="372"/>
        <v/>
      </c>
      <c r="BQ248" s="313" t="e">
        <f>IF($J248="",#N/A,SUM(BP$4:BP248))</f>
        <v>#N/A</v>
      </c>
      <c r="BR248" s="314" t="str">
        <f t="shared" si="373"/>
        <v/>
      </c>
      <c r="BS248" s="314" t="e">
        <f>IF($J248="",#N/A,SUM(BR$4:BR248))</f>
        <v>#N/A</v>
      </c>
      <c r="BT248" s="315" t="str">
        <f t="shared" si="374"/>
        <v/>
      </c>
      <c r="BU248" s="315" t="e">
        <f>IF($J248="",#N/A,SUM(BT$4:BT248))</f>
        <v>#N/A</v>
      </c>
      <c r="BV248" s="315" t="e">
        <f>IF($J248="",#N/A,SUM(BT$4:BT248,BR$4:BR248,BP$4:BP248))</f>
        <v>#N/A</v>
      </c>
      <c r="BW248" s="304" t="str">
        <f t="shared" si="375"/>
        <v/>
      </c>
      <c r="BX248" s="313" t="e">
        <f>IF($J248="",#N/A,SUM(BW$4:BW248))</f>
        <v>#N/A</v>
      </c>
      <c r="BY248" s="314" t="str">
        <f t="shared" si="376"/>
        <v/>
      </c>
      <c r="BZ248" s="314" t="e">
        <f>IF($J248="",#N/A,SUM(BY$4:BY248))</f>
        <v>#N/A</v>
      </c>
      <c r="CA248" s="315" t="str">
        <f t="shared" si="377"/>
        <v/>
      </c>
      <c r="CB248" s="315" t="e">
        <f>IF($J248="",#N/A,SUM(CA$4:CA248))</f>
        <v>#N/A</v>
      </c>
      <c r="CC248" s="315" t="e">
        <f>IF($J248="",#N/A,SUM(CA$4:CA248,BY$4:BY248,BW$4:BW248))</f>
        <v>#N/A</v>
      </c>
      <c r="CD248" s="304" t="str">
        <f t="shared" si="378"/>
        <v/>
      </c>
      <c r="CE248" s="313" t="e">
        <f>IF($J248="",#N/A,SUM(CD$4:CD248))</f>
        <v>#N/A</v>
      </c>
      <c r="CF248" s="314" t="str">
        <f t="shared" si="379"/>
        <v/>
      </c>
      <c r="CG248" s="314" t="e">
        <f>IF($J248="",#N/A,SUM(CF$4:CF248))</f>
        <v>#N/A</v>
      </c>
      <c r="CH248" s="315" t="str">
        <f t="shared" si="380"/>
        <v/>
      </c>
      <c r="CI248" s="315" t="e">
        <f>IF($J248="",#N/A,SUM(CH$4:CH248))</f>
        <v>#N/A</v>
      </c>
      <c r="CJ248" s="315" t="e">
        <f>IF($J248="",#N/A,SUM(CH$4:CH248,CF$4:CF248,CD$4:CD248))</f>
        <v>#N/A</v>
      </c>
      <c r="CK248" s="304" t="str">
        <f t="shared" si="381"/>
        <v/>
      </c>
      <c r="CL248" s="313" t="e">
        <f>IF($J248="",#N/A,SUM(CK$4:CK248))</f>
        <v>#N/A</v>
      </c>
      <c r="CM248" s="314" t="str">
        <f t="shared" si="382"/>
        <v/>
      </c>
      <c r="CN248" s="314" t="e">
        <f>IF($J248="",#N/A,SUM(CM$4:CM248))</f>
        <v>#N/A</v>
      </c>
      <c r="CO248" s="315" t="str">
        <f t="shared" si="383"/>
        <v/>
      </c>
      <c r="CP248" s="315" t="e">
        <f>IF($J248="",#N/A,SUM(CO$4:CO248))</f>
        <v>#N/A</v>
      </c>
      <c r="CQ248" s="315" t="e">
        <f>IF($J248="",#N/A,SUM(CO$4:CO248,CM$4:CM248,CK$4:CK248))</f>
        <v>#N/A</v>
      </c>
      <c r="CR248" s="304" t="str">
        <f t="shared" si="384"/>
        <v/>
      </c>
      <c r="CS248" s="313" t="e">
        <f>IF($J248="",#N/A,SUM(CR$4:CR248))</f>
        <v>#N/A</v>
      </c>
      <c r="CT248" s="314" t="str">
        <f t="shared" si="385"/>
        <v/>
      </c>
      <c r="CU248" s="314" t="e">
        <f>IF($J248="",#N/A,SUM(CT$4:CT248))</f>
        <v>#N/A</v>
      </c>
      <c r="CV248" s="315" t="str">
        <f t="shared" si="386"/>
        <v/>
      </c>
      <c r="CW248" s="315" t="e">
        <f>IF($J248="",#N/A,SUM(CV$4:CV248))</f>
        <v>#N/A</v>
      </c>
      <c r="CX248" s="315" t="e">
        <f>IF($J248="",#N/A,SUM(CV$4:CV248,CT$4:CT248,CR$4:CR248))</f>
        <v>#N/A</v>
      </c>
      <c r="CY248" s="304" t="str">
        <f t="shared" si="387"/>
        <v/>
      </c>
      <c r="CZ248" s="313" t="e">
        <f>IF($J248="",#N/A,SUM(CY$4:CY248))</f>
        <v>#N/A</v>
      </c>
      <c r="DA248" s="314" t="str">
        <f t="shared" si="388"/>
        <v/>
      </c>
      <c r="DB248" s="314" t="e">
        <f>IF($J248="",#N/A,SUM(DA$4:DA248))</f>
        <v>#N/A</v>
      </c>
      <c r="DC248" s="315" t="str">
        <f t="shared" si="389"/>
        <v/>
      </c>
      <c r="DD248" s="315" t="e">
        <f>IF($J248="",#N/A,SUM(DC$4:DC248))</f>
        <v>#N/A</v>
      </c>
      <c r="DE248" s="315" t="e">
        <f>IF($J248="",#N/A,SUM(DC$4:DC248,DA$4:DA248,CY$4:CY248))</f>
        <v>#N/A</v>
      </c>
      <c r="DF248" s="304" t="str">
        <f t="shared" si="390"/>
        <v/>
      </c>
      <c r="DG248" s="313" t="e">
        <f>IF($J248="",#N/A,SUM(DF$4:DF248))</f>
        <v>#N/A</v>
      </c>
      <c r="DH248" s="314" t="str">
        <f t="shared" si="391"/>
        <v/>
      </c>
      <c r="DI248" s="314" t="e">
        <f>IF($J248="",#N/A,SUM(DH$4:DH248))</f>
        <v>#N/A</v>
      </c>
      <c r="DJ248" s="315" t="str">
        <f t="shared" si="392"/>
        <v/>
      </c>
      <c r="DK248" s="315" t="e">
        <f>IF($J248="",#N/A,SUM(DJ$4:DJ248))</f>
        <v>#N/A</v>
      </c>
      <c r="DL248" s="315" t="e">
        <f>IF($J248="",#N/A,SUM(DJ$4:DJ248,DH$4:DH248,DF$4:DF248))</f>
        <v>#N/A</v>
      </c>
      <c r="DM248" s="304" t="str">
        <f t="shared" si="393"/>
        <v/>
      </c>
      <c r="DN248" s="313" t="e">
        <f>IF($J248="",#N/A,SUM(DM$4:DM248))</f>
        <v>#N/A</v>
      </c>
      <c r="DO248" s="314" t="str">
        <f t="shared" si="394"/>
        <v/>
      </c>
      <c r="DP248" s="314" t="e">
        <f>IF($J248="",#N/A,SUM(DO$4:DO248))</f>
        <v>#N/A</v>
      </c>
      <c r="DQ248" s="315" t="str">
        <f t="shared" si="395"/>
        <v/>
      </c>
      <c r="DR248" s="315" t="e">
        <f>IF($J248="",#N/A,SUM(DQ$4:DQ248))</f>
        <v>#N/A</v>
      </c>
      <c r="DS248" s="315" t="e">
        <f>IF($J248="",#N/A,SUM(DQ$4:DQ248,DO$4:DO248,DM$4:DM248))</f>
        <v>#N/A</v>
      </c>
      <c r="DT248" s="304" t="str">
        <f t="shared" si="396"/>
        <v/>
      </c>
      <c r="DU248" s="313" t="e">
        <f>IF($J248="",#N/A,SUM(DT$4:DT248))</f>
        <v>#N/A</v>
      </c>
      <c r="DV248" s="314" t="str">
        <f t="shared" si="397"/>
        <v/>
      </c>
      <c r="DW248" s="314" t="e">
        <f>IF($J248="",#N/A,SUM(DV$4:DV248))</f>
        <v>#N/A</v>
      </c>
      <c r="DX248" s="315" t="str">
        <f t="shared" si="398"/>
        <v/>
      </c>
      <c r="DY248" s="315" t="e">
        <f>IF($J248="",#N/A,SUM(DX$4:DX248))</f>
        <v>#N/A</v>
      </c>
      <c r="DZ248" s="315" t="e">
        <f>IF($J248="",#N/A,SUM(DX$4:DX248,DV$4:DV248,DT$4:DT248))</f>
        <v>#N/A</v>
      </c>
      <c r="EA248" s="304" t="str">
        <f t="shared" si="399"/>
        <v/>
      </c>
      <c r="EB248" s="313" t="e">
        <f>IF($J248="",#N/A,SUM(EA$4:EA248))</f>
        <v>#N/A</v>
      </c>
      <c r="EC248" s="314" t="str">
        <f t="shared" si="400"/>
        <v/>
      </c>
      <c r="ED248" s="314" t="e">
        <f>IF($J248="",#N/A,SUM(EC$4:EC248))</f>
        <v>#N/A</v>
      </c>
      <c r="EE248" s="315" t="str">
        <f t="shared" si="401"/>
        <v/>
      </c>
      <c r="EF248" s="315" t="e">
        <f>IF($J248="",#N/A,SUM(EE$4:EE248))</f>
        <v>#N/A</v>
      </c>
      <c r="EG248" s="315" t="e">
        <f>IF($J248="",#N/A,SUM(EE$4:EE248,EC$4:EC248,EA$4:EA248))</f>
        <v>#N/A</v>
      </c>
      <c r="EH248" s="130">
        <f t="shared" si="402"/>
        <v>4.0999999999999659</v>
      </c>
      <c r="EI248" s="63">
        <f>IF(EH248="",#N/A,SUM($EH$4:EH248))</f>
        <v>1028.8086150425697</v>
      </c>
      <c r="EJ248" s="223" t="e">
        <f t="shared" si="403"/>
        <v>#N/A</v>
      </c>
      <c r="EK248" s="63" t="e">
        <f>IF($GZ248="",#N/A,SUM(EJ$4:EJ248))</f>
        <v>#N/A</v>
      </c>
      <c r="EL248" s="60">
        <f t="shared" si="435"/>
        <v>0.16473802635808285</v>
      </c>
      <c r="EM248" s="60">
        <f>IF(EL248="",NA(),SUM($EL$4:EL248))</f>
        <v>31.49209825782539</v>
      </c>
      <c r="EN248" s="60" t="str">
        <f t="shared" si="404"/>
        <v/>
      </c>
      <c r="EO248" s="60" t="e">
        <f>IF(EN248="",NA(),SUM($EN$4:EN248))</f>
        <v>#N/A</v>
      </c>
      <c r="EP248" s="60" t="str">
        <f t="shared" si="405"/>
        <v/>
      </c>
      <c r="EQ248" s="60" t="e">
        <f>IF(EP248="",NA(),SUM($EP$4:EP248))</f>
        <v>#N/A</v>
      </c>
      <c r="ER248" s="60">
        <f t="shared" si="406"/>
        <v>0.16473802635808285</v>
      </c>
      <c r="ES248" s="60">
        <f>IF(ER248="",NA(),SUM($ER$4:ER248))</f>
        <v>17.860574973493392</v>
      </c>
      <c r="ET248" s="60" t="str">
        <f t="shared" si="407"/>
        <v/>
      </c>
      <c r="EU248" s="60" t="e">
        <f>IF(ET248="",NA(),SUM($ET$4:ET248))</f>
        <v>#N/A</v>
      </c>
      <c r="EV248" s="60" t="str">
        <f t="shared" si="408"/>
        <v/>
      </c>
      <c r="EW248" s="60" t="e">
        <f>IF(EV248="",NA(),SUM($EV$4:EV248))</f>
        <v>#N/A</v>
      </c>
      <c r="EX248" s="60" t="str">
        <f t="shared" si="409"/>
        <v/>
      </c>
      <c r="EY248" s="60" t="e">
        <f>IF(EX248="",NA(),SUM($EX$4:EX248))</f>
        <v>#N/A</v>
      </c>
      <c r="EZ248" s="60" t="str">
        <f t="shared" si="410"/>
        <v/>
      </c>
      <c r="FA248" s="60" t="e">
        <f>IF(EZ248="",NA(),SUM($EZ$4:EZ248))</f>
        <v>#N/A</v>
      </c>
      <c r="FB248" s="246">
        <f t="shared" si="436"/>
        <v>0.59064609450337469</v>
      </c>
      <c r="FC248" s="246">
        <f>IF($FB248="",#N/A,SUM(FB$4:$FB248))</f>
        <v>2.4646877629762614</v>
      </c>
      <c r="FD248" s="60" t="str">
        <f t="shared" si="411"/>
        <v/>
      </c>
      <c r="FE248" s="60" t="e">
        <f>IF($FD248="",#N/A,SUM($FD$4:FD248))</f>
        <v>#N/A</v>
      </c>
      <c r="FF248" s="60" t="str">
        <f t="shared" si="412"/>
        <v/>
      </c>
      <c r="FG248" s="60" t="e">
        <f>IF($FF248="",#N/A,SUM($FF$4:FF248))</f>
        <v>#N/A</v>
      </c>
      <c r="FH248" s="60" t="str">
        <f t="shared" si="413"/>
        <v/>
      </c>
      <c r="FI248" s="60" t="e">
        <f>IF($FH248="",#N/A,SUM($FH$4:FH248))</f>
        <v>#N/A</v>
      </c>
      <c r="FJ248" s="60" t="str">
        <f t="shared" si="414"/>
        <v/>
      </c>
      <c r="FK248" s="60" t="e">
        <f>IF($FJ248="",#N/A,SUM($FJ$4:FJ248))</f>
        <v>#N/A</v>
      </c>
      <c r="FL248" s="60" t="str">
        <f t="shared" si="415"/>
        <v/>
      </c>
      <c r="FM248" s="60" t="e">
        <f>IF($FL248="",#N/A,SUM($FL$4:FL248))</f>
        <v>#N/A</v>
      </c>
      <c r="FN248" s="82">
        <f t="shared" si="416"/>
        <v>0.75538412086145756</v>
      </c>
      <c r="FO248" s="82">
        <f>IF($FN248="",#N/A,SUM(FN$4:$FN248))</f>
        <v>41.515012259317707</v>
      </c>
      <c r="FP248" s="82">
        <f t="shared" si="437"/>
        <v>0.16473802635808285</v>
      </c>
      <c r="FQ248" s="246">
        <f>IF($EH248="",#N/A,SUM($FP$4:FP248))</f>
        <v>41.312677964081516</v>
      </c>
      <c r="FR248" s="82">
        <f>IFERROR(FQ248/COUNTA($J$4:J248),#N/A)</f>
        <v>0.16862317536359803</v>
      </c>
      <c r="FS248" s="82" t="e">
        <f>IFERROR(($FQ248-#REF!)/COUNTA($J199:$J248),#N/A)</f>
        <v>#N/A</v>
      </c>
      <c r="FT248" s="82">
        <f t="shared" si="446"/>
        <v>0.29544451159508472</v>
      </c>
      <c r="FU248" s="337">
        <f t="shared" si="447"/>
        <v>11.423300639733506</v>
      </c>
      <c r="FV248" s="57" t="str">
        <f t="shared" si="418"/>
        <v>Dwn</v>
      </c>
      <c r="FW248" s="57" t="s">
        <v>2733</v>
      </c>
      <c r="FX248" s="57" t="str">
        <f t="shared" si="419"/>
        <v/>
      </c>
      <c r="FY248" s="57" t="str">
        <f t="shared" si="420"/>
        <v/>
      </c>
      <c r="FZ248" s="57" t="str">
        <f t="shared" si="421"/>
        <v/>
      </c>
      <c r="GA248" s="57" t="str">
        <f t="shared" si="422"/>
        <v>Short</v>
      </c>
      <c r="GB248" s="57">
        <f t="shared" si="423"/>
        <v>1</v>
      </c>
      <c r="GC248" s="57" t="str">
        <f t="shared" si="424"/>
        <v/>
      </c>
      <c r="GD248" s="57" t="str">
        <f t="shared" si="425"/>
        <v/>
      </c>
      <c r="GE248" s="62">
        <f t="shared" si="339"/>
        <v>20.74</v>
      </c>
      <c r="GF248" s="62" t="s">
        <v>2780</v>
      </c>
      <c r="GG248" s="199">
        <v>20</v>
      </c>
      <c r="GH248" s="207">
        <f t="shared" si="426"/>
        <v>414.79999999999995</v>
      </c>
      <c r="GI248" s="199">
        <v>20</v>
      </c>
      <c r="GJ248" s="200">
        <v>20.58</v>
      </c>
      <c r="GK248" s="63">
        <f t="shared" si="427"/>
        <v>3.1999999999999886</v>
      </c>
      <c r="GL248" s="63">
        <f t="shared" si="340"/>
        <v>18.799999999999955</v>
      </c>
      <c r="GM248" s="82" t="str">
        <f t="shared" si="428"/>
        <v/>
      </c>
      <c r="GN248" s="82">
        <f>IF($GZ248="",#N/A,SUM(GM$4:GM248))</f>
        <v>-2.2137983641079604</v>
      </c>
      <c r="GO248" s="82" t="str">
        <f t="shared" si="429"/>
        <v/>
      </c>
      <c r="GP248" s="82">
        <f>IF($GZ248="",#N/A,SUM(GO$4:GO248))</f>
        <v>12.221648156238212</v>
      </c>
      <c r="GQ248" s="82">
        <f t="shared" si="430"/>
        <v>0.75538412086145756</v>
      </c>
      <c r="GR248" s="82">
        <f>IF($GZ248="",#N/A,SUM(GQ$4:GQ248))</f>
        <v>30.881325512745121</v>
      </c>
      <c r="GS248" s="63" t="str">
        <f t="shared" si="438"/>
        <v/>
      </c>
      <c r="GT248" s="63" t="e">
        <f>IF($GZ248="",#N/A,SUM(GS$4:GS248))</f>
        <v>#N/A</v>
      </c>
      <c r="GU248" s="63" t="str">
        <f t="shared" si="439"/>
        <v/>
      </c>
      <c r="GV248" s="63" t="e">
        <f>IF($GZ248="",#N/A,SUM(GU$4:GU248))</f>
        <v>#N/A</v>
      </c>
      <c r="GW248" s="63" t="e">
        <f t="shared" si="440"/>
        <v>#N/A</v>
      </c>
      <c r="GX248" s="63" t="e">
        <f>IF($GZ248="",#N/A,SUM(GW$4:GW248))</f>
        <v>#N/A</v>
      </c>
      <c r="GY248" s="63" t="e">
        <f>IF(EJ248="",#N/A,SUM($EJ$4:EJ248))</f>
        <v>#N/A</v>
      </c>
      <c r="GZ248" s="159">
        <v>19.8</v>
      </c>
      <c r="HA248" s="63">
        <f t="shared" si="431"/>
        <v>14.699999999999989</v>
      </c>
      <c r="HB248" s="62" t="s">
        <v>2538</v>
      </c>
      <c r="HC248" s="60">
        <f>IFERROR(VLOOKUP(E248,Expectancy!$P$4:$S$19,1+C248,FALSE),"")</f>
        <v>0.30769020202715358</v>
      </c>
      <c r="HD248" s="82">
        <f t="shared" si="432"/>
        <v>0.12857602057216286</v>
      </c>
      <c r="HE248" s="138">
        <f>IF(HD248="",#N/A,SUM($HD$4:HD248))</f>
        <v>15.359377324348008</v>
      </c>
      <c r="HF248" s="85">
        <f>IF(HD248="",#N/A,IF(HB248="Skip",#N/A,SUM($HG$4:HG248)))</f>
        <v>404.99156919911439</v>
      </c>
      <c r="HG248" s="63">
        <f t="shared" si="433"/>
        <v>3.1999999999999886</v>
      </c>
      <c r="HH248" s="82">
        <f t="shared" si="434"/>
        <v>0.75538412086145756</v>
      </c>
    </row>
    <row r="249" spans="1:216" x14ac:dyDescent="0.25">
      <c r="A249" s="57" t="s">
        <v>185</v>
      </c>
      <c r="B249" s="58" t="s">
        <v>5228</v>
      </c>
      <c r="C249" s="386">
        <f t="shared" si="343"/>
        <v>3</v>
      </c>
      <c r="D249" s="372" t="str">
        <f>_xlfn.XLOOKUP(A249,[1]SP500!$A$2:$A$502,[1]SP500!$D$2:$D$502,"N")</f>
        <v>Y</v>
      </c>
      <c r="E249" s="57" t="str">
        <f>_xlfn.XLOOKUP(A249,[1]SP500!$A$2:$A$655,[1]SP500!$B$2:$B$655)</f>
        <v>XLY</v>
      </c>
      <c r="F249" s="59">
        <v>45694</v>
      </c>
      <c r="G249" s="57" t="str">
        <f t="shared" si="344"/>
        <v>BMO</v>
      </c>
      <c r="H249" s="57" t="str">
        <f t="shared" si="345"/>
        <v>o</v>
      </c>
      <c r="I249" s="159">
        <v>131.25</v>
      </c>
      <c r="J249" s="159">
        <v>138.72999999999999</v>
      </c>
      <c r="K249" s="61">
        <f t="shared" si="346"/>
        <v>5.6990476190476112E-2</v>
      </c>
      <c r="L249" s="87">
        <f t="shared" si="347"/>
        <v>-22.439999999999941</v>
      </c>
      <c r="M249" s="130">
        <f t="shared" si="338"/>
        <v>-2.8800000000000523</v>
      </c>
      <c r="N249" s="169" t="str">
        <f t="shared" si="348"/>
        <v/>
      </c>
      <c r="O249" s="169">
        <f>IF($J249="",#N/A,SUM($N$4:N249))</f>
        <v>312.19511614781226</v>
      </c>
      <c r="P249" s="174" t="str">
        <f t="shared" si="349"/>
        <v/>
      </c>
      <c r="Q249" s="174">
        <f>IF($J249="",#N/A,SUM($P$4:P249))</f>
        <v>634.72776401603664</v>
      </c>
      <c r="R249" s="178">
        <f t="shared" si="350"/>
        <v>22.439999999999941</v>
      </c>
      <c r="S249" s="178">
        <f>IF($J249="",#N/A,SUM($R$4:R249))</f>
        <v>104.32573487872071</v>
      </c>
      <c r="T249" s="290" t="str">
        <f t="shared" si="351"/>
        <v/>
      </c>
      <c r="U249" s="290">
        <f>IF($J249="",#N/A,SUM($T$4:T249))</f>
        <v>11.649399548815515</v>
      </c>
      <c r="V249" s="291" t="str">
        <f t="shared" si="352"/>
        <v/>
      </c>
      <c r="W249" s="291">
        <f>IF($J249="",#N/A,SUM($V$4:V249))</f>
        <v>26.39506227086849</v>
      </c>
      <c r="X249" s="292">
        <f t="shared" si="353"/>
        <v>0.94984126984126738</v>
      </c>
      <c r="Y249" s="292">
        <f>IF($J249="",#N/A,SUM($X$4:X249))</f>
        <v>4.2180574142387899</v>
      </c>
      <c r="Z249" s="304" t="str">
        <f t="shared" si="354"/>
        <v/>
      </c>
      <c r="AA249" s="313" t="e">
        <f>IF($J249="",#N/A,SUM(Z$4:Z249))</f>
        <v>#N/A</v>
      </c>
      <c r="AB249" s="314" t="str">
        <f t="shared" si="355"/>
        <v/>
      </c>
      <c r="AC249" s="314" t="e">
        <f>IF($J249="",#N/A,SUM(AB$4:AB249))</f>
        <v>#N/A</v>
      </c>
      <c r="AD249" s="315" t="str">
        <f t="shared" si="356"/>
        <v/>
      </c>
      <c r="AE249" s="315" t="e">
        <f>IF($J249="",#N/A,SUM(AD$4:AD249))</f>
        <v>#N/A</v>
      </c>
      <c r="AF249" s="315" t="e">
        <f>IF($J249="",#N/A,SUM(AD$4:AD249,AB$4:AB249,Z$4:Z249))</f>
        <v>#N/A</v>
      </c>
      <c r="AG249" s="304" t="str">
        <f t="shared" si="357"/>
        <v/>
      </c>
      <c r="AH249" s="313" t="e">
        <f>IF($J249="",#N/A,SUM(AG$4:AG249))</f>
        <v>#N/A</v>
      </c>
      <c r="AI249" s="314" t="str">
        <f t="shared" si="358"/>
        <v/>
      </c>
      <c r="AJ249" s="314" t="e">
        <f>IF($J249="",#N/A,SUM(AI$4:AI249))</f>
        <v>#N/A</v>
      </c>
      <c r="AK249" s="315" t="str">
        <f t="shared" si="359"/>
        <v/>
      </c>
      <c r="AL249" s="315" t="e">
        <f>IF($J249="",#N/A,SUM(AK$4:AK249))</f>
        <v>#N/A</v>
      </c>
      <c r="AM249" s="315" t="e">
        <f>IF($J249="",#N/A,SUM(AK$4:AK249,AI$4:AI249,AG$4:AG249))</f>
        <v>#N/A</v>
      </c>
      <c r="AN249" s="304" t="str">
        <f t="shared" si="360"/>
        <v/>
      </c>
      <c r="AO249" s="313" t="e">
        <f>IF($J249="",#N/A,SUM(AN$4:AN249))</f>
        <v>#N/A</v>
      </c>
      <c r="AP249" s="314" t="str">
        <f t="shared" si="361"/>
        <v/>
      </c>
      <c r="AQ249" s="314" t="e">
        <f>IF($J249="",#N/A,SUM(AP$4:AP249))</f>
        <v>#N/A</v>
      </c>
      <c r="AR249" s="315">
        <f t="shared" si="362"/>
        <v>0.94984126984126738</v>
      </c>
      <c r="AS249" s="315" t="e">
        <f>IF($J249="",#N/A,SUM(AR$4:AR249))</f>
        <v>#N/A</v>
      </c>
      <c r="AT249" s="315" t="e">
        <f>IF($J249="",#N/A,SUM(AR$4:AR249,AP$4:AP249,AN$4:AN249))</f>
        <v>#N/A</v>
      </c>
      <c r="AU249" s="304" t="str">
        <f t="shared" si="363"/>
        <v/>
      </c>
      <c r="AV249" s="313" t="e">
        <f>IF($J249="",#N/A,SUM(AU$4:AU249))</f>
        <v>#N/A</v>
      </c>
      <c r="AW249" s="314" t="str">
        <f t="shared" si="364"/>
        <v/>
      </c>
      <c r="AX249" s="314" t="e">
        <f>IF($J249="",#N/A,SUM(AW$4:AW249))</f>
        <v>#N/A</v>
      </c>
      <c r="AY249" s="315" t="str">
        <f t="shared" si="365"/>
        <v/>
      </c>
      <c r="AZ249" s="315" t="e">
        <f>IF($J249="",#N/A,SUM(AY$4:AY249))</f>
        <v>#N/A</v>
      </c>
      <c r="BA249" s="315" t="e">
        <f>IF($J249="",#N/A,SUM(AY$4:AY249,AW$4:AW249,AU$4:AU249))</f>
        <v>#N/A</v>
      </c>
      <c r="BB249" s="304" t="str">
        <f t="shared" si="366"/>
        <v/>
      </c>
      <c r="BC249" s="313" t="e">
        <f>IF($J249="",#N/A,SUM(BB$4:BB249))</f>
        <v>#N/A</v>
      </c>
      <c r="BD249" s="314" t="str">
        <f t="shared" si="367"/>
        <v/>
      </c>
      <c r="BE249" s="314" t="e">
        <f>IF($J249="",#N/A,SUM(BD$4:BD249))</f>
        <v>#N/A</v>
      </c>
      <c r="BF249" s="315" t="str">
        <f t="shared" si="368"/>
        <v/>
      </c>
      <c r="BG249" s="315" t="e">
        <f>IF($J249="",#N/A,SUM(BF$4:BF249))</f>
        <v>#N/A</v>
      </c>
      <c r="BH249" s="315" t="e">
        <f>IF($J249="",#N/A,SUM(BF$4:BF249,BD$4:BD249,BB$4:BB249))</f>
        <v>#N/A</v>
      </c>
      <c r="BI249" s="304" t="str">
        <f t="shared" si="369"/>
        <v/>
      </c>
      <c r="BJ249" s="313" t="e">
        <f>IF($J249="",#N/A,SUM(BI$4:BI249))</f>
        <v>#N/A</v>
      </c>
      <c r="BK249" s="314" t="str">
        <f t="shared" si="370"/>
        <v/>
      </c>
      <c r="BL249" s="314" t="e">
        <f>IF($J249="",#N/A,SUM(BK$4:BK249))</f>
        <v>#N/A</v>
      </c>
      <c r="BM249" s="315" t="str">
        <f t="shared" si="371"/>
        <v/>
      </c>
      <c r="BN249" s="315" t="e">
        <f>IF($J249="",#N/A,SUM(BM$4:BM249))</f>
        <v>#N/A</v>
      </c>
      <c r="BO249" s="315" t="e">
        <f>IF($J249="",#N/A,SUM(BM$4:BM249,BK$4:BK249,BI$4:BI249))</f>
        <v>#N/A</v>
      </c>
      <c r="BP249" s="304" t="str">
        <f t="shared" si="372"/>
        <v/>
      </c>
      <c r="BQ249" s="313" t="e">
        <f>IF($J249="",#N/A,SUM(BP$4:BP249))</f>
        <v>#N/A</v>
      </c>
      <c r="BR249" s="314" t="str">
        <f t="shared" si="373"/>
        <v/>
      </c>
      <c r="BS249" s="314" t="e">
        <f>IF($J249="",#N/A,SUM(BR$4:BR249))</f>
        <v>#N/A</v>
      </c>
      <c r="BT249" s="315" t="str">
        <f t="shared" si="374"/>
        <v/>
      </c>
      <c r="BU249" s="315" t="e">
        <f>IF($J249="",#N/A,SUM(BT$4:BT249))</f>
        <v>#N/A</v>
      </c>
      <c r="BV249" s="315" t="e">
        <f>IF($J249="",#N/A,SUM(BT$4:BT249,BR$4:BR249,BP$4:BP249))</f>
        <v>#N/A</v>
      </c>
      <c r="BW249" s="304" t="str">
        <f t="shared" si="375"/>
        <v/>
      </c>
      <c r="BX249" s="313" t="e">
        <f>IF($J249="",#N/A,SUM(BW$4:BW249))</f>
        <v>#N/A</v>
      </c>
      <c r="BY249" s="314" t="str">
        <f t="shared" si="376"/>
        <v/>
      </c>
      <c r="BZ249" s="314" t="e">
        <f>IF($J249="",#N/A,SUM(BY$4:BY249))</f>
        <v>#N/A</v>
      </c>
      <c r="CA249" s="315" t="str">
        <f t="shared" si="377"/>
        <v/>
      </c>
      <c r="CB249" s="315" t="e">
        <f>IF($J249="",#N/A,SUM(CA$4:CA249))</f>
        <v>#N/A</v>
      </c>
      <c r="CC249" s="315" t="e">
        <f>IF($J249="",#N/A,SUM(CA$4:CA249,BY$4:BY249,BW$4:BW249))</f>
        <v>#N/A</v>
      </c>
      <c r="CD249" s="304" t="str">
        <f t="shared" si="378"/>
        <v/>
      </c>
      <c r="CE249" s="313" t="e">
        <f>IF($J249="",#N/A,SUM(CD$4:CD249))</f>
        <v>#N/A</v>
      </c>
      <c r="CF249" s="314" t="str">
        <f t="shared" si="379"/>
        <v/>
      </c>
      <c r="CG249" s="314" t="e">
        <f>IF($J249="",#N/A,SUM(CF$4:CF249))</f>
        <v>#N/A</v>
      </c>
      <c r="CH249" s="315" t="str">
        <f t="shared" si="380"/>
        <v/>
      </c>
      <c r="CI249" s="315" t="e">
        <f>IF($J249="",#N/A,SUM(CH$4:CH249))</f>
        <v>#N/A</v>
      </c>
      <c r="CJ249" s="315" t="e">
        <f>IF($J249="",#N/A,SUM(CH$4:CH249,CF$4:CF249,CD$4:CD249))</f>
        <v>#N/A</v>
      </c>
      <c r="CK249" s="304" t="str">
        <f t="shared" si="381"/>
        <v/>
      </c>
      <c r="CL249" s="313" t="e">
        <f>IF($J249="",#N/A,SUM(CK$4:CK249))</f>
        <v>#N/A</v>
      </c>
      <c r="CM249" s="314" t="str">
        <f t="shared" si="382"/>
        <v/>
      </c>
      <c r="CN249" s="314" t="e">
        <f>IF($J249="",#N/A,SUM(CM$4:CM249))</f>
        <v>#N/A</v>
      </c>
      <c r="CO249" s="315" t="str">
        <f t="shared" si="383"/>
        <v/>
      </c>
      <c r="CP249" s="315" t="e">
        <f>IF($J249="",#N/A,SUM(CO$4:CO249))</f>
        <v>#N/A</v>
      </c>
      <c r="CQ249" s="315" t="e">
        <f>IF($J249="",#N/A,SUM(CO$4:CO249,CM$4:CM249,CK$4:CK249))</f>
        <v>#N/A</v>
      </c>
      <c r="CR249" s="304" t="str">
        <f t="shared" si="384"/>
        <v/>
      </c>
      <c r="CS249" s="313" t="e">
        <f>IF($J249="",#N/A,SUM(CR$4:CR249))</f>
        <v>#N/A</v>
      </c>
      <c r="CT249" s="314" t="str">
        <f t="shared" si="385"/>
        <v/>
      </c>
      <c r="CU249" s="314" t="e">
        <f>IF($J249="",#N/A,SUM(CT$4:CT249))</f>
        <v>#N/A</v>
      </c>
      <c r="CV249" s="315" t="str">
        <f t="shared" si="386"/>
        <v/>
      </c>
      <c r="CW249" s="315" t="e">
        <f>IF($J249="",#N/A,SUM(CV$4:CV249))</f>
        <v>#N/A</v>
      </c>
      <c r="CX249" s="315" t="e">
        <f>IF($J249="",#N/A,SUM(CV$4:CV249,CT$4:CT249,CR$4:CR249))</f>
        <v>#N/A</v>
      </c>
      <c r="CY249" s="304" t="str">
        <f t="shared" si="387"/>
        <v/>
      </c>
      <c r="CZ249" s="313" t="e">
        <f>IF($J249="",#N/A,SUM(CY$4:CY249))</f>
        <v>#N/A</v>
      </c>
      <c r="DA249" s="314" t="str">
        <f t="shared" si="388"/>
        <v/>
      </c>
      <c r="DB249" s="314" t="e">
        <f>IF($J249="",#N/A,SUM(DA$4:DA249))</f>
        <v>#N/A</v>
      </c>
      <c r="DC249" s="315" t="str">
        <f t="shared" si="389"/>
        <v/>
      </c>
      <c r="DD249" s="315" t="e">
        <f>IF($J249="",#N/A,SUM(DC$4:DC249))</f>
        <v>#N/A</v>
      </c>
      <c r="DE249" s="315" t="e">
        <f>IF($J249="",#N/A,SUM(DC$4:DC249,DA$4:DA249,CY$4:CY249))</f>
        <v>#N/A</v>
      </c>
      <c r="DF249" s="304" t="str">
        <f t="shared" si="390"/>
        <v/>
      </c>
      <c r="DG249" s="313" t="e">
        <f>IF($J249="",#N/A,SUM(DF$4:DF249))</f>
        <v>#N/A</v>
      </c>
      <c r="DH249" s="314" t="str">
        <f t="shared" si="391"/>
        <v/>
      </c>
      <c r="DI249" s="314" t="e">
        <f>IF($J249="",#N/A,SUM(DH$4:DH249))</f>
        <v>#N/A</v>
      </c>
      <c r="DJ249" s="315" t="str">
        <f t="shared" si="392"/>
        <v/>
      </c>
      <c r="DK249" s="315" t="e">
        <f>IF($J249="",#N/A,SUM(DJ$4:DJ249))</f>
        <v>#N/A</v>
      </c>
      <c r="DL249" s="315" t="e">
        <f>IF($J249="",#N/A,SUM(DJ$4:DJ249,DH$4:DH249,DF$4:DF249))</f>
        <v>#N/A</v>
      </c>
      <c r="DM249" s="304" t="str">
        <f t="shared" si="393"/>
        <v/>
      </c>
      <c r="DN249" s="313" t="e">
        <f>IF($J249="",#N/A,SUM(DM$4:DM249))</f>
        <v>#N/A</v>
      </c>
      <c r="DO249" s="314" t="str">
        <f t="shared" si="394"/>
        <v/>
      </c>
      <c r="DP249" s="314" t="e">
        <f>IF($J249="",#N/A,SUM(DO$4:DO249))</f>
        <v>#N/A</v>
      </c>
      <c r="DQ249" s="315" t="str">
        <f t="shared" si="395"/>
        <v/>
      </c>
      <c r="DR249" s="315" t="e">
        <f>IF($J249="",#N/A,SUM(DQ$4:DQ249))</f>
        <v>#N/A</v>
      </c>
      <c r="DS249" s="315" t="e">
        <f>IF($J249="",#N/A,SUM(DQ$4:DQ249,DO$4:DO249,DM$4:DM249))</f>
        <v>#N/A</v>
      </c>
      <c r="DT249" s="304" t="str">
        <f t="shared" si="396"/>
        <v/>
      </c>
      <c r="DU249" s="313" t="e">
        <f>IF($J249="",#N/A,SUM(DT$4:DT249))</f>
        <v>#N/A</v>
      </c>
      <c r="DV249" s="314" t="str">
        <f t="shared" si="397"/>
        <v/>
      </c>
      <c r="DW249" s="314" t="e">
        <f>IF($J249="",#N/A,SUM(DV$4:DV249))</f>
        <v>#N/A</v>
      </c>
      <c r="DX249" s="315" t="str">
        <f t="shared" si="398"/>
        <v/>
      </c>
      <c r="DY249" s="315" t="e">
        <f>IF($J249="",#N/A,SUM(DX$4:DX249))</f>
        <v>#N/A</v>
      </c>
      <c r="DZ249" s="315" t="e">
        <f>IF($J249="",#N/A,SUM(DX$4:DX249,DV$4:DV249,DT$4:DT249))</f>
        <v>#N/A</v>
      </c>
      <c r="EA249" s="304" t="str">
        <f t="shared" si="399"/>
        <v/>
      </c>
      <c r="EB249" s="313" t="e">
        <f>IF($J249="",#N/A,SUM(EA$4:EA249))</f>
        <v>#N/A</v>
      </c>
      <c r="EC249" s="314" t="str">
        <f t="shared" si="400"/>
        <v/>
      </c>
      <c r="ED249" s="314" t="e">
        <f>IF($J249="",#N/A,SUM(EC$4:EC249))</f>
        <v>#N/A</v>
      </c>
      <c r="EE249" s="315" t="str">
        <f t="shared" si="401"/>
        <v/>
      </c>
      <c r="EF249" s="315" t="e">
        <f>IF($J249="",#N/A,SUM(EE$4:EE249))</f>
        <v>#N/A</v>
      </c>
      <c r="EG249" s="315" t="e">
        <f>IF($J249="",#N/A,SUM(EE$4:EE249,EC$4:EC249,EA$4:EA249))</f>
        <v>#N/A</v>
      </c>
      <c r="EH249" s="130">
        <f t="shared" si="402"/>
        <v>22.439999999999941</v>
      </c>
      <c r="EI249" s="63">
        <f>IF(EH249="",#N/A,SUM($EH$4:EH249))</f>
        <v>1051.2486150425698</v>
      </c>
      <c r="EJ249" s="223" t="e">
        <f t="shared" si="403"/>
        <v>#N/A</v>
      </c>
      <c r="EK249" s="63" t="e">
        <f>IF($GZ249="",#N/A,SUM(EJ$4:EJ249))</f>
        <v>#N/A</v>
      </c>
      <c r="EL249" s="60">
        <f t="shared" si="435"/>
        <v>0.94984126984126738</v>
      </c>
      <c r="EM249" s="60">
        <f>IF(EL249="",NA(),SUM($EL$4:EL249))</f>
        <v>32.441939527666655</v>
      </c>
      <c r="EN249" s="60" t="str">
        <f t="shared" si="404"/>
        <v/>
      </c>
      <c r="EO249" s="60" t="e">
        <f>IF(EN249="",NA(),SUM($EN$4:EN249))</f>
        <v>#N/A</v>
      </c>
      <c r="EP249" s="60">
        <f t="shared" si="405"/>
        <v>0.94984126984126738</v>
      </c>
      <c r="EQ249" s="60">
        <f>IF(EP249="",NA(),SUM($EP$4:EP249))</f>
        <v>4.8886718300084739</v>
      </c>
      <c r="ER249" s="60" t="str">
        <f t="shared" si="406"/>
        <v/>
      </c>
      <c r="ES249" s="60" t="e">
        <f>IF(ER249="",NA(),SUM($ER$4:ER249))</f>
        <v>#N/A</v>
      </c>
      <c r="ET249" s="60" t="str">
        <f t="shared" si="407"/>
        <v/>
      </c>
      <c r="EU249" s="60" t="e">
        <f>IF(ET249="",NA(),SUM($ET$4:ET249))</f>
        <v>#N/A</v>
      </c>
      <c r="EV249" s="60" t="str">
        <f t="shared" si="408"/>
        <v/>
      </c>
      <c r="EW249" s="60" t="e">
        <f>IF(EV249="",NA(),SUM($EV$4:EV249))</f>
        <v>#N/A</v>
      </c>
      <c r="EX249" s="60" t="str">
        <f t="shared" si="409"/>
        <v/>
      </c>
      <c r="EY249" s="60" t="e">
        <f>IF(EX249="",NA(),SUM($EX$4:EX249))</f>
        <v>#N/A</v>
      </c>
      <c r="EZ249" s="60" t="str">
        <f t="shared" si="410"/>
        <v/>
      </c>
      <c r="FA249" s="60" t="e">
        <f>IF(EZ249="",NA(),SUM($EZ$4:EZ249))</f>
        <v>#N/A</v>
      </c>
      <c r="FB249" s="246" t="str">
        <f t="shared" si="436"/>
        <v/>
      </c>
      <c r="FC249" s="246" t="e">
        <f>IF($FB249="",#N/A,SUM(FB$4:$FB249))</f>
        <v>#N/A</v>
      </c>
      <c r="FD249" s="60" t="str">
        <f t="shared" si="411"/>
        <v/>
      </c>
      <c r="FE249" s="60" t="e">
        <f>IF($FD249="",#N/A,SUM($FD$4:FD249))</f>
        <v>#N/A</v>
      </c>
      <c r="FF249" s="60" t="str">
        <f t="shared" si="412"/>
        <v/>
      </c>
      <c r="FG249" s="60" t="e">
        <f>IF($FF249="",#N/A,SUM($FF$4:FF249))</f>
        <v>#N/A</v>
      </c>
      <c r="FH249" s="60" t="str">
        <f t="shared" si="413"/>
        <v/>
      </c>
      <c r="FI249" s="60" t="e">
        <f>IF($FH249="",#N/A,SUM($FH$4:FH249))</f>
        <v>#N/A</v>
      </c>
      <c r="FJ249" s="60">
        <f t="shared" si="414"/>
        <v>0.67047619047619189</v>
      </c>
      <c r="FK249" s="60">
        <f>IF($FJ249="",#N/A,SUM($FJ$4:FJ249))</f>
        <v>-6.4915277371909417</v>
      </c>
      <c r="FL249" s="60" t="str">
        <f t="shared" si="415"/>
        <v/>
      </c>
      <c r="FM249" s="60" t="e">
        <f>IF($FL249="",#N/A,SUM($FL$4:FL249))</f>
        <v>#N/A</v>
      </c>
      <c r="FN249" s="82">
        <f t="shared" si="416"/>
        <v>1.6203174603174593</v>
      </c>
      <c r="FO249" s="82">
        <f>IF($FN249="",#N/A,SUM(FN$4:$FN249))</f>
        <v>43.135329719635166</v>
      </c>
      <c r="FP249" s="82">
        <f t="shared" si="437"/>
        <v>0.94984126984126738</v>
      </c>
      <c r="FQ249" s="246">
        <f>IF($EH249="",#N/A,SUM($FP$4:FP249))</f>
        <v>42.262519233922781</v>
      </c>
      <c r="FR249" s="82">
        <f>IFERROR(FQ249/COUNTA($J$4:J249),#N/A)</f>
        <v>0.17179885867448286</v>
      </c>
      <c r="FS249" s="82">
        <f t="shared" ref="FS249:FS312" si="448">IFERROR(($FQ249-$FQ200)/COUNTA($J200:$J249),#N/A)</f>
        <v>0.35437690556669676</v>
      </c>
      <c r="FT249" s="82">
        <f t="shared" ref="FT249:FT312" si="449">IFERROR(($FQ249-$FQ225)/COUNTA($J225:$J249),#N/A)</f>
        <v>0.31323541976338531</v>
      </c>
      <c r="FU249" s="337">
        <f t="shared" si="447"/>
        <v>13.444887941320802</v>
      </c>
      <c r="FV249" s="57" t="str">
        <f t="shared" si="418"/>
        <v>SW</v>
      </c>
      <c r="FW249" s="57" t="s">
        <v>2732</v>
      </c>
      <c r="FX249" s="57" t="str">
        <f t="shared" si="419"/>
        <v/>
      </c>
      <c r="FY249" s="57" t="str">
        <f t="shared" si="420"/>
        <v/>
      </c>
      <c r="FZ249" s="57">
        <f t="shared" si="421"/>
        <v>1</v>
      </c>
      <c r="GA249" s="57" t="str">
        <f t="shared" si="422"/>
        <v>Long</v>
      </c>
      <c r="GB249" s="57" t="str">
        <f t="shared" si="423"/>
        <v/>
      </c>
      <c r="GC249" s="57" t="str">
        <f t="shared" si="424"/>
        <v/>
      </c>
      <c r="GD249" s="57" t="str">
        <f t="shared" si="425"/>
        <v/>
      </c>
      <c r="GE249" s="62">
        <f t="shared" si="339"/>
        <v>131.25</v>
      </c>
      <c r="GF249" s="62" t="s">
        <v>2780</v>
      </c>
      <c r="GG249" s="199">
        <v>3</v>
      </c>
      <c r="GH249" s="207">
        <f t="shared" si="426"/>
        <v>393.75</v>
      </c>
      <c r="GI249" s="199">
        <v>3</v>
      </c>
      <c r="GJ249" s="200">
        <v>139.69</v>
      </c>
      <c r="GK249" s="63">
        <f t="shared" si="427"/>
        <v>-25.319999999999993</v>
      </c>
      <c r="GL249" s="63">
        <f t="shared" si="340"/>
        <v>-38.279999999999973</v>
      </c>
      <c r="GM249" s="82">
        <f t="shared" si="428"/>
        <v>1.6203174603174593</v>
      </c>
      <c r="GN249" s="82">
        <f>IF($GZ249="",#N/A,SUM(GM$4:GM249))</f>
        <v>-0.59348090379050111</v>
      </c>
      <c r="GO249" s="82" t="str">
        <f t="shared" si="429"/>
        <v/>
      </c>
      <c r="GP249" s="82">
        <f>IF($GZ249="",#N/A,SUM(GO$4:GO249))</f>
        <v>12.221648156238212</v>
      </c>
      <c r="GQ249" s="82" t="str">
        <f t="shared" si="430"/>
        <v/>
      </c>
      <c r="GR249" s="82">
        <f>IF($GZ249="",#N/A,SUM(GQ$4:GQ249))</f>
        <v>30.881325512745121</v>
      </c>
      <c r="GS249" s="63" t="e">
        <f t="shared" si="438"/>
        <v>#N/A</v>
      </c>
      <c r="GT249" s="63" t="e">
        <f>IF($GZ249="",#N/A,SUM(GS$4:GS249))</f>
        <v>#N/A</v>
      </c>
      <c r="GU249" s="63" t="str">
        <f t="shared" si="439"/>
        <v/>
      </c>
      <c r="GV249" s="63" t="e">
        <f>IF($GZ249="",#N/A,SUM(GU$4:GU249))</f>
        <v>#N/A</v>
      </c>
      <c r="GW249" s="63" t="str">
        <f t="shared" si="440"/>
        <v/>
      </c>
      <c r="GX249" s="63" t="e">
        <f>IF($GZ249="",#N/A,SUM(GW$4:GW249))</f>
        <v>#N/A</v>
      </c>
      <c r="GY249" s="63" t="e">
        <f>IF(EJ249="",#N/A,SUM($EJ$4:EJ249))</f>
        <v>#N/A</v>
      </c>
      <c r="GZ249" s="159">
        <v>144.01</v>
      </c>
      <c r="HA249" s="63">
        <f t="shared" si="431"/>
        <v>-60.719999999999914</v>
      </c>
      <c r="HB249" s="62" t="s">
        <v>2538</v>
      </c>
      <c r="HC249" s="60">
        <f>IFERROR(VLOOKUP(E249,Expectancy!$P$4:$S$19,1+C249,FALSE),"")</f>
        <v>0.48685636958953199</v>
      </c>
      <c r="HD249" s="82">
        <f t="shared" si="432"/>
        <v>-1.0717460317460314</v>
      </c>
      <c r="HE249" s="138">
        <f>IF(HD249="",#N/A,SUM($HD$4:HD249))</f>
        <v>14.287631292601978</v>
      </c>
      <c r="HF249" s="85">
        <f>IF(HD249="",#N/A,IF(HB249="Skip",#N/A,SUM($HG$4:HG249)))</f>
        <v>379.6715691991144</v>
      </c>
      <c r="HG249" s="63">
        <f t="shared" si="433"/>
        <v>-25.319999999999993</v>
      </c>
      <c r="HH249" s="82">
        <f t="shared" si="434"/>
        <v>1.6203174603174593</v>
      </c>
    </row>
    <row r="250" spans="1:216" x14ac:dyDescent="0.25">
      <c r="A250" s="57" t="s">
        <v>573</v>
      </c>
      <c r="B250" s="58" t="s">
        <v>5224</v>
      </c>
      <c r="C250" s="386">
        <f t="shared" si="343"/>
        <v>2</v>
      </c>
      <c r="D250" s="372" t="str">
        <f>_xlfn.XLOOKUP(A250,[1]SP500!$A$2:$A$502,[1]SP500!$D$2:$D$502,"N")</f>
        <v>Y</v>
      </c>
      <c r="E250" s="57" t="str">
        <f>_xlfn.XLOOKUP(A250,[1]SP500!$A$2:$A$655,[1]SP500!$B$2:$B$655)</f>
        <v>XLP</v>
      </c>
      <c r="F250" s="59">
        <v>45694</v>
      </c>
      <c r="G250" s="57" t="str">
        <f t="shared" si="344"/>
        <v>BMO</v>
      </c>
      <c r="H250" s="57" t="str">
        <f t="shared" si="345"/>
        <v>o</v>
      </c>
      <c r="I250" s="162">
        <v>145.91999999999999</v>
      </c>
      <c r="J250" s="159">
        <v>155.25</v>
      </c>
      <c r="K250" s="61">
        <f t="shared" si="346"/>
        <v>6.3939144736842202E-2</v>
      </c>
      <c r="L250" s="87">
        <f t="shared" si="347"/>
        <v>-25.575657894736878</v>
      </c>
      <c r="M250" s="214" t="e">
        <f t="shared" si="338"/>
        <v>#N/A</v>
      </c>
      <c r="N250" s="168" t="str">
        <f t="shared" si="348"/>
        <v/>
      </c>
      <c r="O250" s="168">
        <f>IF($J250="",#N/A,SUM($N$4:N250))</f>
        <v>312.19511614781226</v>
      </c>
      <c r="P250" s="173">
        <f t="shared" si="349"/>
        <v>-25.575657894736878</v>
      </c>
      <c r="Q250" s="173">
        <f>IF($J250="",#N/A,SUM($P$4:P250))</f>
        <v>609.15210612129977</v>
      </c>
      <c r="R250" s="177" t="str">
        <f t="shared" si="350"/>
        <v/>
      </c>
      <c r="S250" s="177">
        <f>IF($J250="",#N/A,SUM($R$4:R250))</f>
        <v>104.32573487872071</v>
      </c>
      <c r="T250" s="293" t="str">
        <f t="shared" si="351"/>
        <v/>
      </c>
      <c r="U250" s="293">
        <f>IF($J250="",#N/A,SUM($T$4:T250))</f>
        <v>11.649399548815515</v>
      </c>
      <c r="V250" s="294">
        <f t="shared" si="352"/>
        <v>-1.0656524122807032</v>
      </c>
      <c r="W250" s="294">
        <f>IF($J250="",#N/A,SUM($V$4:V250))</f>
        <v>25.329409858587788</v>
      </c>
      <c r="X250" s="295" t="str">
        <f t="shared" si="353"/>
        <v/>
      </c>
      <c r="Y250" s="295">
        <f>IF($J250="",#N/A,SUM($X$4:X250))</f>
        <v>4.2180574142387899</v>
      </c>
      <c r="Z250" s="304" t="str">
        <f t="shared" si="354"/>
        <v/>
      </c>
      <c r="AA250" s="316" t="e">
        <f>IF($J250="",#N/A,SUM(Z$4:Z250))</f>
        <v>#N/A</v>
      </c>
      <c r="AB250" s="317" t="str">
        <f t="shared" si="355"/>
        <v/>
      </c>
      <c r="AC250" s="317" t="e">
        <f>IF($J250="",#N/A,SUM(AB$4:AB250))</f>
        <v>#N/A</v>
      </c>
      <c r="AD250" s="318" t="str">
        <f t="shared" si="356"/>
        <v/>
      </c>
      <c r="AE250" s="318" t="e">
        <f>IF($J250="",#N/A,SUM(AD$4:AD250))</f>
        <v>#N/A</v>
      </c>
      <c r="AF250" s="318" t="e">
        <f>IF($J250="",#N/A,SUM(AD$4:AD250,AB$4:AB250,Z$4:Z250))</f>
        <v>#N/A</v>
      </c>
      <c r="AG250" s="304" t="str">
        <f t="shared" si="357"/>
        <v/>
      </c>
      <c r="AH250" s="316" t="e">
        <f>IF($J250="",#N/A,SUM(AG$4:AG250))</f>
        <v>#N/A</v>
      </c>
      <c r="AI250" s="317" t="str">
        <f t="shared" si="358"/>
        <v/>
      </c>
      <c r="AJ250" s="317" t="e">
        <f>IF($J250="",#N/A,SUM(AI$4:AI250))</f>
        <v>#N/A</v>
      </c>
      <c r="AK250" s="318" t="str">
        <f t="shared" si="359"/>
        <v/>
      </c>
      <c r="AL250" s="318" t="e">
        <f>IF($J250="",#N/A,SUM(AK$4:AK250))</f>
        <v>#N/A</v>
      </c>
      <c r="AM250" s="318" t="e">
        <f>IF($J250="",#N/A,SUM(AK$4:AK250,AI$4:AI250,AG$4:AG250))</f>
        <v>#N/A</v>
      </c>
      <c r="AN250" s="304" t="str">
        <f t="shared" si="360"/>
        <v/>
      </c>
      <c r="AO250" s="316" t="e">
        <f>IF($J250="",#N/A,SUM(AN$4:AN250))</f>
        <v>#N/A</v>
      </c>
      <c r="AP250" s="317" t="str">
        <f t="shared" si="361"/>
        <v/>
      </c>
      <c r="AQ250" s="317" t="e">
        <f>IF($J250="",#N/A,SUM(AP$4:AP250))</f>
        <v>#N/A</v>
      </c>
      <c r="AR250" s="318" t="str">
        <f t="shared" si="362"/>
        <v/>
      </c>
      <c r="AS250" s="318" t="e">
        <f>IF($J250="",#N/A,SUM(AR$4:AR250))</f>
        <v>#N/A</v>
      </c>
      <c r="AT250" s="318" t="e">
        <f>IF($J250="",#N/A,SUM(AR$4:AR250,AP$4:AP250,AN$4:AN250))</f>
        <v>#N/A</v>
      </c>
      <c r="AU250" s="304" t="str">
        <f t="shared" si="363"/>
        <v/>
      </c>
      <c r="AV250" s="316" t="e">
        <f>IF($J250="",#N/A,SUM(AU$4:AU250))</f>
        <v>#N/A</v>
      </c>
      <c r="AW250" s="317">
        <f t="shared" si="364"/>
        <v>-1.0656524122807032</v>
      </c>
      <c r="AX250" s="317" t="e">
        <f>IF($J250="",#N/A,SUM(AW$4:AW250))</f>
        <v>#N/A</v>
      </c>
      <c r="AY250" s="318" t="str">
        <f t="shared" si="365"/>
        <v/>
      </c>
      <c r="AZ250" s="318" t="e">
        <f>IF($J250="",#N/A,SUM(AY$4:AY250))</f>
        <v>#N/A</v>
      </c>
      <c r="BA250" s="318" t="e">
        <f>IF($J250="",#N/A,SUM(AY$4:AY250,AW$4:AW250,AU$4:AU250))</f>
        <v>#N/A</v>
      </c>
      <c r="BB250" s="304" t="str">
        <f t="shared" si="366"/>
        <v/>
      </c>
      <c r="BC250" s="316" t="e">
        <f>IF($J250="",#N/A,SUM(BB$4:BB250))</f>
        <v>#N/A</v>
      </c>
      <c r="BD250" s="317" t="str">
        <f t="shared" si="367"/>
        <v/>
      </c>
      <c r="BE250" s="317" t="e">
        <f>IF($J250="",#N/A,SUM(BD$4:BD250))</f>
        <v>#N/A</v>
      </c>
      <c r="BF250" s="318" t="str">
        <f t="shared" si="368"/>
        <v/>
      </c>
      <c r="BG250" s="318" t="e">
        <f>IF($J250="",#N/A,SUM(BF$4:BF250))</f>
        <v>#N/A</v>
      </c>
      <c r="BH250" s="318" t="e">
        <f>IF($J250="",#N/A,SUM(BF$4:BF250,BD$4:BD250,BB$4:BB250))</f>
        <v>#N/A</v>
      </c>
      <c r="BI250" s="304" t="str">
        <f t="shared" si="369"/>
        <v/>
      </c>
      <c r="BJ250" s="316" t="e">
        <f>IF($J250="",#N/A,SUM(BI$4:BI250))</f>
        <v>#N/A</v>
      </c>
      <c r="BK250" s="317" t="str">
        <f t="shared" si="370"/>
        <v/>
      </c>
      <c r="BL250" s="317" t="e">
        <f>IF($J250="",#N/A,SUM(BK$4:BK250))</f>
        <v>#N/A</v>
      </c>
      <c r="BM250" s="318" t="str">
        <f t="shared" si="371"/>
        <v/>
      </c>
      <c r="BN250" s="318" t="e">
        <f>IF($J250="",#N/A,SUM(BM$4:BM250))</f>
        <v>#N/A</v>
      </c>
      <c r="BO250" s="318" t="e">
        <f>IF($J250="",#N/A,SUM(BM$4:BM250,BK$4:BK250,BI$4:BI250))</f>
        <v>#N/A</v>
      </c>
      <c r="BP250" s="304" t="str">
        <f t="shared" si="372"/>
        <v/>
      </c>
      <c r="BQ250" s="316" t="e">
        <f>IF($J250="",#N/A,SUM(BP$4:BP250))</f>
        <v>#N/A</v>
      </c>
      <c r="BR250" s="317" t="str">
        <f t="shared" si="373"/>
        <v/>
      </c>
      <c r="BS250" s="317" t="e">
        <f>IF($J250="",#N/A,SUM(BR$4:BR250))</f>
        <v>#N/A</v>
      </c>
      <c r="BT250" s="318" t="str">
        <f t="shared" si="374"/>
        <v/>
      </c>
      <c r="BU250" s="318" t="e">
        <f>IF($J250="",#N/A,SUM(BT$4:BT250))</f>
        <v>#N/A</v>
      </c>
      <c r="BV250" s="318" t="e">
        <f>IF($J250="",#N/A,SUM(BT$4:BT250,BR$4:BR250,BP$4:BP250))</f>
        <v>#N/A</v>
      </c>
      <c r="BW250" s="304" t="str">
        <f t="shared" si="375"/>
        <v/>
      </c>
      <c r="BX250" s="316" t="e">
        <f>IF($J250="",#N/A,SUM(BW$4:BW250))</f>
        <v>#N/A</v>
      </c>
      <c r="BY250" s="317" t="str">
        <f t="shared" si="376"/>
        <v/>
      </c>
      <c r="BZ250" s="317" t="e">
        <f>IF($J250="",#N/A,SUM(BY$4:BY250))</f>
        <v>#N/A</v>
      </c>
      <c r="CA250" s="318" t="str">
        <f t="shared" si="377"/>
        <v/>
      </c>
      <c r="CB250" s="318" t="e">
        <f>IF($J250="",#N/A,SUM(CA$4:CA250))</f>
        <v>#N/A</v>
      </c>
      <c r="CC250" s="318" t="e">
        <f>IF($J250="",#N/A,SUM(CA$4:CA250,BY$4:BY250,BW$4:BW250))</f>
        <v>#N/A</v>
      </c>
      <c r="CD250" s="304" t="str">
        <f t="shared" si="378"/>
        <v/>
      </c>
      <c r="CE250" s="316" t="e">
        <f>IF($J250="",#N/A,SUM(CD$4:CD250))</f>
        <v>#N/A</v>
      </c>
      <c r="CF250" s="317" t="str">
        <f t="shared" si="379"/>
        <v/>
      </c>
      <c r="CG250" s="317" t="e">
        <f>IF($J250="",#N/A,SUM(CF$4:CF250))</f>
        <v>#N/A</v>
      </c>
      <c r="CH250" s="318" t="str">
        <f t="shared" si="380"/>
        <v/>
      </c>
      <c r="CI250" s="318" t="e">
        <f>IF($J250="",#N/A,SUM(CH$4:CH250))</f>
        <v>#N/A</v>
      </c>
      <c r="CJ250" s="318" t="e">
        <f>IF($J250="",#N/A,SUM(CH$4:CH250,CF$4:CF250,CD$4:CD250))</f>
        <v>#N/A</v>
      </c>
      <c r="CK250" s="304" t="str">
        <f t="shared" si="381"/>
        <v/>
      </c>
      <c r="CL250" s="316" t="e">
        <f>IF($J250="",#N/A,SUM(CK$4:CK250))</f>
        <v>#N/A</v>
      </c>
      <c r="CM250" s="317" t="str">
        <f t="shared" si="382"/>
        <v/>
      </c>
      <c r="CN250" s="317" t="e">
        <f>IF($J250="",#N/A,SUM(CM$4:CM250))</f>
        <v>#N/A</v>
      </c>
      <c r="CO250" s="318" t="str">
        <f t="shared" si="383"/>
        <v/>
      </c>
      <c r="CP250" s="318" t="e">
        <f>IF($J250="",#N/A,SUM(CO$4:CO250))</f>
        <v>#N/A</v>
      </c>
      <c r="CQ250" s="318" t="e">
        <f>IF($J250="",#N/A,SUM(CO$4:CO250,CM$4:CM250,CK$4:CK250))</f>
        <v>#N/A</v>
      </c>
      <c r="CR250" s="304" t="str">
        <f t="shared" si="384"/>
        <v/>
      </c>
      <c r="CS250" s="316" t="e">
        <f>IF($J250="",#N/A,SUM(CR$4:CR250))</f>
        <v>#N/A</v>
      </c>
      <c r="CT250" s="317" t="str">
        <f t="shared" si="385"/>
        <v/>
      </c>
      <c r="CU250" s="317" t="e">
        <f>IF($J250="",#N/A,SUM(CT$4:CT250))</f>
        <v>#N/A</v>
      </c>
      <c r="CV250" s="318" t="str">
        <f t="shared" si="386"/>
        <v/>
      </c>
      <c r="CW250" s="318" t="e">
        <f>IF($J250="",#N/A,SUM(CV$4:CV250))</f>
        <v>#N/A</v>
      </c>
      <c r="CX250" s="318" t="e">
        <f>IF($J250="",#N/A,SUM(CV$4:CV250,CT$4:CT250,CR$4:CR250))</f>
        <v>#N/A</v>
      </c>
      <c r="CY250" s="304" t="str">
        <f t="shared" si="387"/>
        <v/>
      </c>
      <c r="CZ250" s="316" t="e">
        <f>IF($J250="",#N/A,SUM(CY$4:CY250))</f>
        <v>#N/A</v>
      </c>
      <c r="DA250" s="317" t="str">
        <f t="shared" si="388"/>
        <v/>
      </c>
      <c r="DB250" s="317" t="e">
        <f>IF($J250="",#N/A,SUM(DA$4:DA250))</f>
        <v>#N/A</v>
      </c>
      <c r="DC250" s="318" t="str">
        <f t="shared" si="389"/>
        <v/>
      </c>
      <c r="DD250" s="318" t="e">
        <f>IF($J250="",#N/A,SUM(DC$4:DC250))</f>
        <v>#N/A</v>
      </c>
      <c r="DE250" s="318" t="e">
        <f>IF($J250="",#N/A,SUM(DC$4:DC250,DA$4:DA250,CY$4:CY250))</f>
        <v>#N/A</v>
      </c>
      <c r="DF250" s="304" t="str">
        <f t="shared" si="390"/>
        <v/>
      </c>
      <c r="DG250" s="316" t="e">
        <f>IF($J250="",#N/A,SUM(DF$4:DF250))</f>
        <v>#N/A</v>
      </c>
      <c r="DH250" s="317" t="str">
        <f t="shared" si="391"/>
        <v/>
      </c>
      <c r="DI250" s="317" t="e">
        <f>IF($J250="",#N/A,SUM(DH$4:DH250))</f>
        <v>#N/A</v>
      </c>
      <c r="DJ250" s="318" t="str">
        <f t="shared" si="392"/>
        <v/>
      </c>
      <c r="DK250" s="318" t="e">
        <f>IF($J250="",#N/A,SUM(DJ$4:DJ250))</f>
        <v>#N/A</v>
      </c>
      <c r="DL250" s="318" t="e">
        <f>IF($J250="",#N/A,SUM(DJ$4:DJ250,DH$4:DH250,DF$4:DF250))</f>
        <v>#N/A</v>
      </c>
      <c r="DM250" s="304" t="str">
        <f t="shared" si="393"/>
        <v/>
      </c>
      <c r="DN250" s="316" t="e">
        <f>IF($J250="",#N/A,SUM(DM$4:DM250))</f>
        <v>#N/A</v>
      </c>
      <c r="DO250" s="317" t="str">
        <f t="shared" si="394"/>
        <v/>
      </c>
      <c r="DP250" s="317" t="e">
        <f>IF($J250="",#N/A,SUM(DO$4:DO250))</f>
        <v>#N/A</v>
      </c>
      <c r="DQ250" s="318" t="str">
        <f t="shared" si="395"/>
        <v/>
      </c>
      <c r="DR250" s="318" t="e">
        <f>IF($J250="",#N/A,SUM(DQ$4:DQ250))</f>
        <v>#N/A</v>
      </c>
      <c r="DS250" s="318" t="e">
        <f>IF($J250="",#N/A,SUM(DQ$4:DQ250,DO$4:DO250,DM$4:DM250))</f>
        <v>#N/A</v>
      </c>
      <c r="DT250" s="304" t="str">
        <f t="shared" si="396"/>
        <v/>
      </c>
      <c r="DU250" s="316" t="e">
        <f>IF($J250="",#N/A,SUM(DT$4:DT250))</f>
        <v>#N/A</v>
      </c>
      <c r="DV250" s="317" t="str">
        <f t="shared" si="397"/>
        <v/>
      </c>
      <c r="DW250" s="317" t="e">
        <f>IF($J250="",#N/A,SUM(DV$4:DV250))</f>
        <v>#N/A</v>
      </c>
      <c r="DX250" s="318" t="str">
        <f t="shared" si="398"/>
        <v/>
      </c>
      <c r="DY250" s="318" t="e">
        <f>IF($J250="",#N/A,SUM(DX$4:DX250))</f>
        <v>#N/A</v>
      </c>
      <c r="DZ250" s="318" t="e">
        <f>IF($J250="",#N/A,SUM(DX$4:DX250,DV$4:DV250,DT$4:DT250))</f>
        <v>#N/A</v>
      </c>
      <c r="EA250" s="304" t="str">
        <f t="shared" si="399"/>
        <v/>
      </c>
      <c r="EB250" s="316" t="e">
        <f>IF($J250="",#N/A,SUM(EA$4:EA250))</f>
        <v>#N/A</v>
      </c>
      <c r="EC250" s="317" t="str">
        <f t="shared" si="400"/>
        <v/>
      </c>
      <c r="ED250" s="317" t="e">
        <f>IF($J250="",#N/A,SUM(EC$4:EC250))</f>
        <v>#N/A</v>
      </c>
      <c r="EE250" s="318" t="str">
        <f t="shared" si="401"/>
        <v/>
      </c>
      <c r="EF250" s="318" t="e">
        <f>IF($J250="",#N/A,SUM(EE$4:EE250))</f>
        <v>#N/A</v>
      </c>
      <c r="EG250" s="318" t="e">
        <f>IF($J250="",#N/A,SUM(EE$4:EE250,EC$4:EC250,EA$4:EA250))</f>
        <v>#N/A</v>
      </c>
      <c r="EH250" s="211">
        <f t="shared" si="402"/>
        <v>-25.575657894736878</v>
      </c>
      <c r="EI250" s="63">
        <f>IF(EH250="",#N/A,SUM($EH$4:EH250))</f>
        <v>1025.6729571478329</v>
      </c>
      <c r="EJ250" s="223" t="e">
        <f t="shared" si="403"/>
        <v>#N/A</v>
      </c>
      <c r="EK250" s="63" t="e">
        <f>IF($GZ250="",#N/A,SUM(EJ$4:EJ250))</f>
        <v>#N/A</v>
      </c>
      <c r="EL250" s="60">
        <f t="shared" si="435"/>
        <v>-1.0656524122807032</v>
      </c>
      <c r="EM250" s="60">
        <f>IF(EL250="",NA(),SUM($EL$4:EL250))</f>
        <v>31.376287115385953</v>
      </c>
      <c r="EN250" s="60" t="str">
        <f t="shared" si="404"/>
        <v/>
      </c>
      <c r="EO250" s="60" t="e">
        <f>IF(EN250="",NA(),SUM($EN$4:EN250))</f>
        <v>#N/A</v>
      </c>
      <c r="EP250" s="60" t="str">
        <f t="shared" si="405"/>
        <v/>
      </c>
      <c r="EQ250" s="60" t="e">
        <f>IF(EP250="",NA(),SUM($EP$4:EP250))</f>
        <v>#N/A</v>
      </c>
      <c r="ER250" s="60">
        <f t="shared" si="406"/>
        <v>-1.0656524122807032</v>
      </c>
      <c r="ES250" s="60">
        <f>IF(ER250="",NA(),SUM($ER$4:ER250))</f>
        <v>16.79492256121269</v>
      </c>
      <c r="ET250" s="60" t="str">
        <f t="shared" si="407"/>
        <v/>
      </c>
      <c r="EU250" s="60" t="e">
        <f>IF(ET250="",NA(),SUM($ET$4:ET250))</f>
        <v>#N/A</v>
      </c>
      <c r="EV250" s="60" t="str">
        <f t="shared" si="408"/>
        <v/>
      </c>
      <c r="EW250" s="60" t="e">
        <f>IF(EV250="",NA(),SUM($EV$4:EV250))</f>
        <v>#N/A</v>
      </c>
      <c r="EX250" s="60" t="str">
        <f t="shared" si="409"/>
        <v/>
      </c>
      <c r="EY250" s="60" t="e">
        <f>IF(EX250="",NA(),SUM($EX$4:EX250))</f>
        <v>#N/A</v>
      </c>
      <c r="EZ250" s="60" t="str">
        <f t="shared" si="410"/>
        <v/>
      </c>
      <c r="FA250" s="60" t="e">
        <f>IF(EZ250="",NA(),SUM($EZ$4:EZ250))</f>
        <v>#N/A</v>
      </c>
      <c r="FB250" s="246" t="str">
        <f t="shared" si="436"/>
        <v/>
      </c>
      <c r="FC250" s="246" t="e">
        <f>IF($FB250="",#N/A,SUM(FB$4:$FB250))</f>
        <v>#N/A</v>
      </c>
      <c r="FD250" s="60">
        <f t="shared" si="411"/>
        <v>0.33237390350877161</v>
      </c>
      <c r="FE250" s="60">
        <f>IF($FD250="",#N/A,SUM($FD$4:FD250))</f>
        <v>2.3539493824091355</v>
      </c>
      <c r="FF250" s="60" t="str">
        <f t="shared" si="412"/>
        <v/>
      </c>
      <c r="FG250" s="60" t="e">
        <f>IF($FF250="",#N/A,SUM($FF$4:FF250))</f>
        <v>#N/A</v>
      </c>
      <c r="FH250" s="60" t="str">
        <f t="shared" si="413"/>
        <v/>
      </c>
      <c r="FI250" s="60" t="e">
        <f>IF($FH250="",#N/A,SUM($FH$4:FH250))</f>
        <v>#N/A</v>
      </c>
      <c r="FJ250" s="60" t="str">
        <f t="shared" si="414"/>
        <v/>
      </c>
      <c r="FK250" s="60" t="e">
        <f>IF($FJ250="",#N/A,SUM($FJ$4:FJ250))</f>
        <v>#N/A</v>
      </c>
      <c r="FL250" s="60" t="str">
        <f t="shared" si="415"/>
        <v/>
      </c>
      <c r="FM250" s="60" t="e">
        <f>IF($FL250="",#N/A,SUM($FL$4:FL250))</f>
        <v>#N/A</v>
      </c>
      <c r="FN250" s="82">
        <f t="shared" si="416"/>
        <v>-0.73327850877193157</v>
      </c>
      <c r="FO250" s="82">
        <f>IF($FN250="",#N/A,SUM(FN$4:$FN250))</f>
        <v>42.402051210863235</v>
      </c>
      <c r="FP250" s="82">
        <f t="shared" si="437"/>
        <v>-1.0656524122807032</v>
      </c>
      <c r="FQ250" s="246">
        <f>IF($EH250="",#N/A,SUM($FP$4:FP250))</f>
        <v>41.196866821642075</v>
      </c>
      <c r="FR250" s="82">
        <f>IFERROR(FQ250/COUNTA($J$4:J250),#N/A)</f>
        <v>0.16678893450057519</v>
      </c>
      <c r="FS250" s="82">
        <f t="shared" si="448"/>
        <v>0.22129479736549421</v>
      </c>
      <c r="FT250" s="82">
        <f t="shared" si="449"/>
        <v>0.26590437909352888</v>
      </c>
      <c r="FU250" s="273"/>
      <c r="FV250" s="57" t="str">
        <f t="shared" si="418"/>
        <v>Dwn</v>
      </c>
      <c r="FW250" s="57" t="s">
        <v>2734</v>
      </c>
      <c r="FX250" s="57" t="str">
        <f t="shared" si="419"/>
        <v/>
      </c>
      <c r="FY250" s="57">
        <f t="shared" si="420"/>
        <v>1</v>
      </c>
      <c r="FZ250" s="57" t="str">
        <f t="shared" si="421"/>
        <v/>
      </c>
      <c r="GA250" s="57" t="str">
        <f t="shared" si="422"/>
        <v>Short</v>
      </c>
      <c r="GB250" s="57" t="str">
        <f t="shared" si="423"/>
        <v/>
      </c>
      <c r="GC250" s="57" t="str">
        <f t="shared" si="424"/>
        <v/>
      </c>
      <c r="GD250" s="57" t="str">
        <f t="shared" si="425"/>
        <v/>
      </c>
      <c r="GE250" s="62">
        <f t="shared" si="339"/>
        <v>145.91999999999999</v>
      </c>
      <c r="GF250" s="62" t="s">
        <v>2780</v>
      </c>
      <c r="GG250" s="99">
        <f>400/I250</f>
        <v>2.7412280701754388</v>
      </c>
      <c r="GH250" s="207">
        <f t="shared" si="426"/>
        <v>400</v>
      </c>
      <c r="GI250" s="99">
        <f>GG250</f>
        <v>2.7412280701754388</v>
      </c>
      <c r="GJ250" s="98">
        <f>J250</f>
        <v>155.25</v>
      </c>
      <c r="GK250" s="63">
        <f t="shared" si="427"/>
        <v>-25.575657894736878</v>
      </c>
      <c r="GL250" s="63">
        <f t="shared" si="340"/>
        <v>-17.598684210526358</v>
      </c>
      <c r="GM250" s="82" t="str">
        <f t="shared" si="428"/>
        <v/>
      </c>
      <c r="GN250" s="82">
        <f>IF($GZ250="",#N/A,SUM(GM$4:GM250))</f>
        <v>-0.59348090379050111</v>
      </c>
      <c r="GO250" s="82" t="str">
        <f t="shared" si="429"/>
        <v/>
      </c>
      <c r="GP250" s="82">
        <f>IF($GZ250="",#N/A,SUM(GO$4:GO250))</f>
        <v>12.221648156238212</v>
      </c>
      <c r="GQ250" s="82">
        <f t="shared" si="430"/>
        <v>-0.73327850877193157</v>
      </c>
      <c r="GR250" s="82">
        <f>IF($GZ250="",#N/A,SUM(GQ$4:GQ250))</f>
        <v>30.14804700397319</v>
      </c>
      <c r="GS250" s="63" t="str">
        <f t="shared" si="438"/>
        <v/>
      </c>
      <c r="GT250" s="63" t="e">
        <f>IF($GZ250="",#N/A,SUM(GS$4:GS250))</f>
        <v>#N/A</v>
      </c>
      <c r="GU250" s="63" t="str">
        <f t="shared" si="439"/>
        <v/>
      </c>
      <c r="GV250" s="63" t="e">
        <f>IF($GZ250="",#N/A,SUM(GU$4:GU250))</f>
        <v>#N/A</v>
      </c>
      <c r="GW250" s="63" t="e">
        <f t="shared" si="440"/>
        <v>#N/A</v>
      </c>
      <c r="GX250" s="63" t="e">
        <f>IF($GZ250="",#N/A,SUM(GW$4:GW250))</f>
        <v>#N/A</v>
      </c>
      <c r="GY250" s="63" t="e">
        <f>IF(EJ250="",#N/A,SUM($EJ$4:EJ250))</f>
        <v>#N/A</v>
      </c>
      <c r="GZ250" s="159">
        <v>152.34</v>
      </c>
      <c r="HA250" s="63">
        <f t="shared" si="431"/>
        <v>7.9769736842105203</v>
      </c>
      <c r="HB250" s="130" t="s">
        <v>4970</v>
      </c>
      <c r="HC250" s="60">
        <f>IFERROR(VLOOKUP(E250,Expectancy!$P$4:$S$19,1+C250,FALSE),"")</f>
        <v>0.30769020202715358</v>
      </c>
      <c r="HD250" s="82" t="str">
        <f t="shared" si="432"/>
        <v/>
      </c>
      <c r="HE250" s="138" t="e">
        <f>IF(HD250="",#N/A,SUM($HD$4:HD250))</f>
        <v>#N/A</v>
      </c>
      <c r="HF250" s="85" t="e">
        <f>IF(HD250="",#N/A,IF(HB250="Skip",#N/A,SUM($HG$4:HG250)))</f>
        <v>#N/A</v>
      </c>
      <c r="HG250" s="205" t="str">
        <f t="shared" si="433"/>
        <v/>
      </c>
      <c r="HH250" s="82">
        <f t="shared" si="434"/>
        <v>-0.73327850877193157</v>
      </c>
    </row>
    <row r="251" spans="1:216" x14ac:dyDescent="0.25">
      <c r="A251" s="57" t="s">
        <v>1458</v>
      </c>
      <c r="B251" s="58" t="s">
        <v>5228</v>
      </c>
      <c r="C251" s="386">
        <f t="shared" si="343"/>
        <v>3</v>
      </c>
      <c r="D251" s="372" t="str">
        <f>_xlfn.XLOOKUP(A251,[1]SP500!$A$2:$A$502,[1]SP500!$D$2:$D$502,"N")</f>
        <v>Y</v>
      </c>
      <c r="E251" s="57" t="str">
        <f>_xlfn.XLOOKUP(A251,[1]SP500!$A$2:$A$655,[1]SP500!$B$2:$B$655)</f>
        <v>XLV</v>
      </c>
      <c r="F251" s="59">
        <v>45694</v>
      </c>
      <c r="G251" s="57" t="str">
        <f t="shared" si="344"/>
        <v>BMO</v>
      </c>
      <c r="H251" s="57" t="str">
        <f t="shared" si="345"/>
        <v>o</v>
      </c>
      <c r="I251" s="159">
        <v>205.44</v>
      </c>
      <c r="J251" s="158">
        <v>218.1</v>
      </c>
      <c r="K251" s="61">
        <f t="shared" si="346"/>
        <v>6.1623831775700917E-2</v>
      </c>
      <c r="L251" s="87">
        <f t="shared" si="347"/>
        <v>-25.319999999999993</v>
      </c>
      <c r="M251" s="130">
        <f t="shared" si="338"/>
        <v>2.1999999999999886</v>
      </c>
      <c r="N251" s="169" t="str">
        <f t="shared" si="348"/>
        <v/>
      </c>
      <c r="O251" s="169">
        <f>IF($J251="",#N/A,SUM($N$4:N251))</f>
        <v>312.19511614781226</v>
      </c>
      <c r="P251" s="174" t="str">
        <f t="shared" si="349"/>
        <v/>
      </c>
      <c r="Q251" s="174">
        <f>IF($J251="",#N/A,SUM($P$4:P251))</f>
        <v>609.15210612129977</v>
      </c>
      <c r="R251" s="178">
        <f t="shared" si="350"/>
        <v>25.319999999999993</v>
      </c>
      <c r="S251" s="178">
        <f>IF($J251="",#N/A,SUM($R$4:R251))</f>
        <v>129.6457348787207</v>
      </c>
      <c r="T251" s="290" t="str">
        <f t="shared" si="351"/>
        <v/>
      </c>
      <c r="U251" s="290">
        <f>IF($J251="",#N/A,SUM($T$4:T251))</f>
        <v>11.649399548815515</v>
      </c>
      <c r="V251" s="291" t="str">
        <f t="shared" si="352"/>
        <v/>
      </c>
      <c r="W251" s="291">
        <f>IF($J251="",#N/A,SUM($V$4:V251))</f>
        <v>25.329409858587788</v>
      </c>
      <c r="X251" s="292">
        <f t="shared" si="353"/>
        <v>1.0270638629283486</v>
      </c>
      <c r="Y251" s="292">
        <f>IF($J251="",#N/A,SUM($X$4:X251))</f>
        <v>5.2451212771671383</v>
      </c>
      <c r="Z251" s="304" t="str">
        <f t="shared" si="354"/>
        <v/>
      </c>
      <c r="AA251" s="313" t="e">
        <f>IF($J251="",#N/A,SUM(Z$4:Z251))</f>
        <v>#N/A</v>
      </c>
      <c r="AB251" s="314" t="str">
        <f t="shared" si="355"/>
        <v/>
      </c>
      <c r="AC251" s="314" t="e">
        <f>IF($J251="",#N/A,SUM(AB$4:AB251))</f>
        <v>#N/A</v>
      </c>
      <c r="AD251" s="315" t="str">
        <f t="shared" si="356"/>
        <v/>
      </c>
      <c r="AE251" s="315" t="e">
        <f>IF($J251="",#N/A,SUM(AD$4:AD251))</f>
        <v>#N/A</v>
      </c>
      <c r="AF251" s="315" t="e">
        <f>IF($J251="",#N/A,SUM(AD$4:AD251,AB$4:AB251,Z$4:Z251))</f>
        <v>#N/A</v>
      </c>
      <c r="AG251" s="304" t="str">
        <f t="shared" si="357"/>
        <v/>
      </c>
      <c r="AH251" s="313" t="e">
        <f>IF($J251="",#N/A,SUM(AG$4:AG251))</f>
        <v>#N/A</v>
      </c>
      <c r="AI251" s="314" t="str">
        <f t="shared" si="358"/>
        <v/>
      </c>
      <c r="AJ251" s="314" t="e">
        <f>IF($J251="",#N/A,SUM(AI$4:AI251))</f>
        <v>#N/A</v>
      </c>
      <c r="AK251" s="315" t="str">
        <f t="shared" si="359"/>
        <v/>
      </c>
      <c r="AL251" s="315" t="e">
        <f>IF($J251="",#N/A,SUM(AK$4:AK251))</f>
        <v>#N/A</v>
      </c>
      <c r="AM251" s="315" t="e">
        <f>IF($J251="",#N/A,SUM(AK$4:AK251,AI$4:AI251,AG$4:AG251))</f>
        <v>#N/A</v>
      </c>
      <c r="AN251" s="304" t="str">
        <f t="shared" si="360"/>
        <v/>
      </c>
      <c r="AO251" s="313" t="e">
        <f>IF($J251="",#N/A,SUM(AN$4:AN251))</f>
        <v>#N/A</v>
      </c>
      <c r="AP251" s="314" t="str">
        <f t="shared" si="361"/>
        <v/>
      </c>
      <c r="AQ251" s="314" t="e">
        <f>IF($J251="",#N/A,SUM(AP$4:AP251))</f>
        <v>#N/A</v>
      </c>
      <c r="AR251" s="315" t="str">
        <f t="shared" si="362"/>
        <v/>
      </c>
      <c r="AS251" s="315" t="e">
        <f>IF($J251="",#N/A,SUM(AR$4:AR251))</f>
        <v>#N/A</v>
      </c>
      <c r="AT251" s="315" t="e">
        <f>IF($J251="",#N/A,SUM(AR$4:AR251,AP$4:AP251,AN$4:AN251))</f>
        <v>#N/A</v>
      </c>
      <c r="AU251" s="304" t="str">
        <f t="shared" si="363"/>
        <v/>
      </c>
      <c r="AV251" s="313" t="e">
        <f>IF($J251="",#N/A,SUM(AU$4:AU251))</f>
        <v>#N/A</v>
      </c>
      <c r="AW251" s="314" t="str">
        <f t="shared" si="364"/>
        <v/>
      </c>
      <c r="AX251" s="314" t="e">
        <f>IF($J251="",#N/A,SUM(AW$4:AW251))</f>
        <v>#N/A</v>
      </c>
      <c r="AY251" s="315" t="str">
        <f t="shared" si="365"/>
        <v/>
      </c>
      <c r="AZ251" s="315" t="e">
        <f>IF($J251="",#N/A,SUM(AY$4:AY251))</f>
        <v>#N/A</v>
      </c>
      <c r="BA251" s="315" t="e">
        <f>IF($J251="",#N/A,SUM(AY$4:AY251,AW$4:AW251,AU$4:AU251))</f>
        <v>#N/A</v>
      </c>
      <c r="BB251" s="304" t="str">
        <f t="shared" si="366"/>
        <v/>
      </c>
      <c r="BC251" s="313" t="e">
        <f>IF($J251="",#N/A,SUM(BB$4:BB251))</f>
        <v>#N/A</v>
      </c>
      <c r="BD251" s="314" t="str">
        <f t="shared" si="367"/>
        <v/>
      </c>
      <c r="BE251" s="314" t="e">
        <f>IF($J251="",#N/A,SUM(BD$4:BD251))</f>
        <v>#N/A</v>
      </c>
      <c r="BF251" s="315" t="str">
        <f t="shared" si="368"/>
        <v/>
      </c>
      <c r="BG251" s="315" t="e">
        <f>IF($J251="",#N/A,SUM(BF$4:BF251))</f>
        <v>#N/A</v>
      </c>
      <c r="BH251" s="315" t="e">
        <f>IF($J251="",#N/A,SUM(BF$4:BF251,BD$4:BD251,BB$4:BB251))</f>
        <v>#N/A</v>
      </c>
      <c r="BI251" s="304" t="str">
        <f t="shared" si="369"/>
        <v/>
      </c>
      <c r="BJ251" s="313" t="e">
        <f>IF($J251="",#N/A,SUM(BI$4:BI251))</f>
        <v>#N/A</v>
      </c>
      <c r="BK251" s="314" t="str">
        <f t="shared" si="370"/>
        <v/>
      </c>
      <c r="BL251" s="314" t="e">
        <f>IF($J251="",#N/A,SUM(BK$4:BK251))</f>
        <v>#N/A</v>
      </c>
      <c r="BM251" s="315" t="str">
        <f t="shared" si="371"/>
        <v/>
      </c>
      <c r="BN251" s="315" t="e">
        <f>IF($J251="",#N/A,SUM(BM$4:BM251))</f>
        <v>#N/A</v>
      </c>
      <c r="BO251" s="315" t="e">
        <f>IF($J251="",#N/A,SUM(BM$4:BM251,BK$4:BK251,BI$4:BI251))</f>
        <v>#N/A</v>
      </c>
      <c r="BP251" s="304" t="str">
        <f t="shared" si="372"/>
        <v/>
      </c>
      <c r="BQ251" s="313" t="e">
        <f>IF($J251="",#N/A,SUM(BP$4:BP251))</f>
        <v>#N/A</v>
      </c>
      <c r="BR251" s="314" t="str">
        <f t="shared" si="373"/>
        <v/>
      </c>
      <c r="BS251" s="314" t="e">
        <f>IF($J251="",#N/A,SUM(BR$4:BR251))</f>
        <v>#N/A</v>
      </c>
      <c r="BT251" s="315" t="str">
        <f t="shared" si="374"/>
        <v/>
      </c>
      <c r="BU251" s="315" t="e">
        <f>IF($J251="",#N/A,SUM(BT$4:BT251))</f>
        <v>#N/A</v>
      </c>
      <c r="BV251" s="315" t="e">
        <f>IF($J251="",#N/A,SUM(BT$4:BT251,BR$4:BR251,BP$4:BP251))</f>
        <v>#N/A</v>
      </c>
      <c r="BW251" s="304" t="str">
        <f t="shared" si="375"/>
        <v/>
      </c>
      <c r="BX251" s="313" t="e">
        <f>IF($J251="",#N/A,SUM(BW$4:BW251))</f>
        <v>#N/A</v>
      </c>
      <c r="BY251" s="314" t="str">
        <f t="shared" si="376"/>
        <v/>
      </c>
      <c r="BZ251" s="314" t="e">
        <f>IF($J251="",#N/A,SUM(BY$4:BY251))</f>
        <v>#N/A</v>
      </c>
      <c r="CA251" s="315">
        <f t="shared" si="377"/>
        <v>1.0270638629283486</v>
      </c>
      <c r="CB251" s="315" t="e">
        <f>IF($J251="",#N/A,SUM(CA$4:CA251))</f>
        <v>#N/A</v>
      </c>
      <c r="CC251" s="315" t="e">
        <f>IF($J251="",#N/A,SUM(CA$4:CA251,BY$4:BY251,BW$4:BW251))</f>
        <v>#N/A</v>
      </c>
      <c r="CD251" s="304" t="str">
        <f t="shared" si="378"/>
        <v/>
      </c>
      <c r="CE251" s="313" t="e">
        <f>IF($J251="",#N/A,SUM(CD$4:CD251))</f>
        <v>#N/A</v>
      </c>
      <c r="CF251" s="314" t="str">
        <f t="shared" si="379"/>
        <v/>
      </c>
      <c r="CG251" s="314" t="e">
        <f>IF($J251="",#N/A,SUM(CF$4:CF251))</f>
        <v>#N/A</v>
      </c>
      <c r="CH251" s="315" t="str">
        <f t="shared" si="380"/>
        <v/>
      </c>
      <c r="CI251" s="315" t="e">
        <f>IF($J251="",#N/A,SUM(CH$4:CH251))</f>
        <v>#N/A</v>
      </c>
      <c r="CJ251" s="315" t="e">
        <f>IF($J251="",#N/A,SUM(CH$4:CH251,CF$4:CF251,CD$4:CD251))</f>
        <v>#N/A</v>
      </c>
      <c r="CK251" s="304" t="str">
        <f t="shared" si="381"/>
        <v/>
      </c>
      <c r="CL251" s="313" t="e">
        <f>IF($J251="",#N/A,SUM(CK$4:CK251))</f>
        <v>#N/A</v>
      </c>
      <c r="CM251" s="314" t="str">
        <f t="shared" si="382"/>
        <v/>
      </c>
      <c r="CN251" s="314" t="e">
        <f>IF($J251="",#N/A,SUM(CM$4:CM251))</f>
        <v>#N/A</v>
      </c>
      <c r="CO251" s="315" t="str">
        <f t="shared" si="383"/>
        <v/>
      </c>
      <c r="CP251" s="315" t="e">
        <f>IF($J251="",#N/A,SUM(CO$4:CO251))</f>
        <v>#N/A</v>
      </c>
      <c r="CQ251" s="315" t="e">
        <f>IF($J251="",#N/A,SUM(CO$4:CO251,CM$4:CM251,CK$4:CK251))</f>
        <v>#N/A</v>
      </c>
      <c r="CR251" s="304" t="str">
        <f t="shared" si="384"/>
        <v/>
      </c>
      <c r="CS251" s="313" t="e">
        <f>IF($J251="",#N/A,SUM(CR$4:CR251))</f>
        <v>#N/A</v>
      </c>
      <c r="CT251" s="314" t="str">
        <f t="shared" si="385"/>
        <v/>
      </c>
      <c r="CU251" s="314" t="e">
        <f>IF($J251="",#N/A,SUM(CT$4:CT251))</f>
        <v>#N/A</v>
      </c>
      <c r="CV251" s="315" t="str">
        <f t="shared" si="386"/>
        <v/>
      </c>
      <c r="CW251" s="315" t="e">
        <f>IF($J251="",#N/A,SUM(CV$4:CV251))</f>
        <v>#N/A</v>
      </c>
      <c r="CX251" s="315" t="e">
        <f>IF($J251="",#N/A,SUM(CV$4:CV251,CT$4:CT251,CR$4:CR251))</f>
        <v>#N/A</v>
      </c>
      <c r="CY251" s="304" t="str">
        <f t="shared" si="387"/>
        <v/>
      </c>
      <c r="CZ251" s="313" t="e">
        <f>IF($J251="",#N/A,SUM(CY$4:CY251))</f>
        <v>#N/A</v>
      </c>
      <c r="DA251" s="314" t="str">
        <f t="shared" si="388"/>
        <v/>
      </c>
      <c r="DB251" s="314" t="e">
        <f>IF($J251="",#N/A,SUM(DA$4:DA251))</f>
        <v>#N/A</v>
      </c>
      <c r="DC251" s="315" t="str">
        <f t="shared" si="389"/>
        <v/>
      </c>
      <c r="DD251" s="315" t="e">
        <f>IF($J251="",#N/A,SUM(DC$4:DC251))</f>
        <v>#N/A</v>
      </c>
      <c r="DE251" s="315" t="e">
        <f>IF($J251="",#N/A,SUM(DC$4:DC251,DA$4:DA251,CY$4:CY251))</f>
        <v>#N/A</v>
      </c>
      <c r="DF251" s="304" t="str">
        <f t="shared" si="390"/>
        <v/>
      </c>
      <c r="DG251" s="313" t="e">
        <f>IF($J251="",#N/A,SUM(DF$4:DF251))</f>
        <v>#N/A</v>
      </c>
      <c r="DH251" s="314" t="str">
        <f t="shared" si="391"/>
        <v/>
      </c>
      <c r="DI251" s="314" t="e">
        <f>IF($J251="",#N/A,SUM(DH$4:DH251))</f>
        <v>#N/A</v>
      </c>
      <c r="DJ251" s="315" t="str">
        <f t="shared" si="392"/>
        <v/>
      </c>
      <c r="DK251" s="315" t="e">
        <f>IF($J251="",#N/A,SUM(DJ$4:DJ251))</f>
        <v>#N/A</v>
      </c>
      <c r="DL251" s="315" t="e">
        <f>IF($J251="",#N/A,SUM(DJ$4:DJ251,DH$4:DH251,DF$4:DF251))</f>
        <v>#N/A</v>
      </c>
      <c r="DM251" s="304" t="str">
        <f t="shared" si="393"/>
        <v/>
      </c>
      <c r="DN251" s="313" t="e">
        <f>IF($J251="",#N/A,SUM(DM$4:DM251))</f>
        <v>#N/A</v>
      </c>
      <c r="DO251" s="314" t="str">
        <f t="shared" si="394"/>
        <v/>
      </c>
      <c r="DP251" s="314" t="e">
        <f>IF($J251="",#N/A,SUM(DO$4:DO251))</f>
        <v>#N/A</v>
      </c>
      <c r="DQ251" s="315" t="str">
        <f t="shared" si="395"/>
        <v/>
      </c>
      <c r="DR251" s="315" t="e">
        <f>IF($J251="",#N/A,SUM(DQ$4:DQ251))</f>
        <v>#N/A</v>
      </c>
      <c r="DS251" s="315" t="e">
        <f>IF($J251="",#N/A,SUM(DQ$4:DQ251,DO$4:DO251,DM$4:DM251))</f>
        <v>#N/A</v>
      </c>
      <c r="DT251" s="304" t="str">
        <f t="shared" si="396"/>
        <v/>
      </c>
      <c r="DU251" s="313" t="e">
        <f>IF($J251="",#N/A,SUM(DT$4:DT251))</f>
        <v>#N/A</v>
      </c>
      <c r="DV251" s="314" t="str">
        <f t="shared" si="397"/>
        <v/>
      </c>
      <c r="DW251" s="314" t="e">
        <f>IF($J251="",#N/A,SUM(DV$4:DV251))</f>
        <v>#N/A</v>
      </c>
      <c r="DX251" s="315" t="str">
        <f t="shared" si="398"/>
        <v/>
      </c>
      <c r="DY251" s="315" t="e">
        <f>IF($J251="",#N/A,SUM(DX$4:DX251))</f>
        <v>#N/A</v>
      </c>
      <c r="DZ251" s="315" t="e">
        <f>IF($J251="",#N/A,SUM(DX$4:DX251,DV$4:DV251,DT$4:DT251))</f>
        <v>#N/A</v>
      </c>
      <c r="EA251" s="304" t="str">
        <f t="shared" si="399"/>
        <v/>
      </c>
      <c r="EB251" s="313" t="e">
        <f>IF($J251="",#N/A,SUM(EA$4:EA251))</f>
        <v>#N/A</v>
      </c>
      <c r="EC251" s="314" t="str">
        <f t="shared" si="400"/>
        <v/>
      </c>
      <c r="ED251" s="314" t="e">
        <f>IF($J251="",#N/A,SUM(EC$4:EC251))</f>
        <v>#N/A</v>
      </c>
      <c r="EE251" s="315" t="str">
        <f t="shared" si="401"/>
        <v/>
      </c>
      <c r="EF251" s="315" t="e">
        <f>IF($J251="",#N/A,SUM(EE$4:EE251))</f>
        <v>#N/A</v>
      </c>
      <c r="EG251" s="315" t="e">
        <f>IF($J251="",#N/A,SUM(EE$4:EE251,EC$4:EC251,EA$4:EA251))</f>
        <v>#N/A</v>
      </c>
      <c r="EH251" s="130">
        <f t="shared" si="402"/>
        <v>25.319999999999993</v>
      </c>
      <c r="EI251" s="63">
        <f>IF(EH251="",#N/A,SUM($EH$4:EH251))</f>
        <v>1050.9929571478328</v>
      </c>
      <c r="EJ251" s="223" t="e">
        <f t="shared" si="403"/>
        <v>#N/A</v>
      </c>
      <c r="EK251" s="63" t="e">
        <f>IF($GZ251="",#N/A,SUM(EJ$4:EJ251))</f>
        <v>#N/A</v>
      </c>
      <c r="EL251" s="60">
        <f t="shared" si="435"/>
        <v>1.0270638629283486</v>
      </c>
      <c r="EM251" s="60">
        <f>IF(EL251="",NA(),SUM($EL$4:EL251))</f>
        <v>32.4033509783143</v>
      </c>
      <c r="EN251" s="60" t="str">
        <f t="shared" si="404"/>
        <v/>
      </c>
      <c r="EO251" s="60" t="e">
        <f>IF(EN251="",NA(),SUM($EN$4:EN251))</f>
        <v>#N/A</v>
      </c>
      <c r="EP251" s="60">
        <f t="shared" si="405"/>
        <v>1.0270638629283486</v>
      </c>
      <c r="EQ251" s="60">
        <f>IF(EP251="",NA(),SUM($EP$4:EP251))</f>
        <v>5.9157356929368223</v>
      </c>
      <c r="ER251" s="60" t="str">
        <f t="shared" si="406"/>
        <v/>
      </c>
      <c r="ES251" s="60" t="e">
        <f>IF(ER251="",NA(),SUM($ER$4:ER251))</f>
        <v>#N/A</v>
      </c>
      <c r="ET251" s="60" t="str">
        <f t="shared" si="407"/>
        <v/>
      </c>
      <c r="EU251" s="60" t="e">
        <f>IF(ET251="",NA(),SUM($ET$4:ET251))</f>
        <v>#N/A</v>
      </c>
      <c r="EV251" s="60" t="str">
        <f t="shared" si="408"/>
        <v/>
      </c>
      <c r="EW251" s="60" t="e">
        <f>IF(EV251="",NA(),SUM($EV$4:EV251))</f>
        <v>#N/A</v>
      </c>
      <c r="EX251" s="60" t="str">
        <f t="shared" si="409"/>
        <v/>
      </c>
      <c r="EY251" s="60" t="e">
        <f>IF(EX251="",NA(),SUM($EX$4:EX251))</f>
        <v>#N/A</v>
      </c>
      <c r="EZ251" s="60" t="str">
        <f t="shared" si="410"/>
        <v/>
      </c>
      <c r="FA251" s="60" t="e">
        <f>IF(EZ251="",NA(),SUM($EZ$4:EZ251))</f>
        <v>#N/A</v>
      </c>
      <c r="FB251" s="246" t="str">
        <f t="shared" si="436"/>
        <v/>
      </c>
      <c r="FC251" s="246" t="e">
        <f>IF($FB251="",#N/A,SUM(FB$4:$FB251))</f>
        <v>#N/A</v>
      </c>
      <c r="FD251" s="60" t="str">
        <f t="shared" si="411"/>
        <v/>
      </c>
      <c r="FE251" s="60" t="e">
        <f>IF($FD251="",#N/A,SUM($FD$4:FD251))</f>
        <v>#N/A</v>
      </c>
      <c r="FF251" s="60" t="str">
        <f t="shared" si="412"/>
        <v/>
      </c>
      <c r="FG251" s="60" t="e">
        <f>IF($FF251="",#N/A,SUM($FF$4:FF251))</f>
        <v>#N/A</v>
      </c>
      <c r="FH251" s="60" t="str">
        <f t="shared" si="413"/>
        <v/>
      </c>
      <c r="FI251" s="60" t="e">
        <f>IF($FH251="",#N/A,SUM($FH$4:FH251))</f>
        <v>#N/A</v>
      </c>
      <c r="FJ251" s="60">
        <f t="shared" si="414"/>
        <v>-0.66037123572170187</v>
      </c>
      <c r="FK251" s="60">
        <f>IF($FJ251="",#N/A,SUM($FJ$4:FJ251))</f>
        <v>-7.1518989729126439</v>
      </c>
      <c r="FL251" s="60" t="str">
        <f t="shared" si="415"/>
        <v/>
      </c>
      <c r="FM251" s="60" t="e">
        <f>IF($FL251="",#N/A,SUM($FL$4:FL251))</f>
        <v>#N/A</v>
      </c>
      <c r="FN251" s="82">
        <f t="shared" si="416"/>
        <v>0.36669262720664675</v>
      </c>
      <c r="FO251" s="82">
        <f>IF($FN251="",#N/A,SUM(FN$4:$FN251))</f>
        <v>42.768743838069881</v>
      </c>
      <c r="FP251" s="82">
        <f t="shared" si="437"/>
        <v>1.0270638629283486</v>
      </c>
      <c r="FQ251" s="246">
        <f>IF($EH251="",#N/A,SUM($FP$4:FP251))</f>
        <v>42.223930684570426</v>
      </c>
      <c r="FR251" s="82">
        <f>IFERROR(FQ251/COUNTA($J$4:J251),#N/A)</f>
        <v>0.17025778501842914</v>
      </c>
      <c r="FS251" s="82">
        <f t="shared" si="448"/>
        <v>0.24011193669302672</v>
      </c>
      <c r="FT251" s="82">
        <f t="shared" si="449"/>
        <v>0.32497991823343625</v>
      </c>
      <c r="FU251" s="337">
        <f>IF(AND(HB251="MOC",GZ251=""),#N/A,IFERROR(FQ251-HE251,FQ251-0))-14.53</f>
        <v>14.344123898718189</v>
      </c>
      <c r="FV251" s="57" t="str">
        <f t="shared" si="418"/>
        <v>SW</v>
      </c>
      <c r="FW251" s="57" t="s">
        <v>2732</v>
      </c>
      <c r="FX251" s="57" t="str">
        <f t="shared" si="419"/>
        <v/>
      </c>
      <c r="FY251" s="57" t="str">
        <f t="shared" si="420"/>
        <v/>
      </c>
      <c r="FZ251" s="57">
        <f t="shared" si="421"/>
        <v>1</v>
      </c>
      <c r="GA251" s="57" t="str">
        <f t="shared" si="422"/>
        <v>Long</v>
      </c>
      <c r="GB251" s="57" t="str">
        <f t="shared" si="423"/>
        <v/>
      </c>
      <c r="GC251" s="57" t="str">
        <f t="shared" si="424"/>
        <v/>
      </c>
      <c r="GD251" s="57" t="str">
        <f t="shared" si="425"/>
        <v/>
      </c>
      <c r="GE251" s="62">
        <f t="shared" si="339"/>
        <v>205.44</v>
      </c>
      <c r="GF251" s="62" t="s">
        <v>2780</v>
      </c>
      <c r="GG251" s="199">
        <v>2</v>
      </c>
      <c r="GH251" s="207">
        <f t="shared" si="426"/>
        <v>410.88</v>
      </c>
      <c r="GI251" s="199">
        <v>2</v>
      </c>
      <c r="GJ251" s="200">
        <v>217</v>
      </c>
      <c r="GK251" s="63">
        <f t="shared" si="427"/>
        <v>-23.120000000000005</v>
      </c>
      <c r="GL251" s="63">
        <f t="shared" si="340"/>
        <v>-9.0400000000000205</v>
      </c>
      <c r="GM251" s="82">
        <f t="shared" si="428"/>
        <v>0.36669262720664675</v>
      </c>
      <c r="GN251" s="82">
        <f>IF($GZ251="",#N/A,SUM(GM$4:GM251))</f>
        <v>-0.22678827658385436</v>
      </c>
      <c r="GO251" s="82" t="str">
        <f t="shared" si="429"/>
        <v/>
      </c>
      <c r="GP251" s="82">
        <f>IF($GZ251="",#N/A,SUM(GO$4:GO251))</f>
        <v>12.221648156238212</v>
      </c>
      <c r="GQ251" s="82" t="str">
        <f t="shared" si="430"/>
        <v/>
      </c>
      <c r="GR251" s="82">
        <f>IF($GZ251="",#N/A,SUM(GQ$4:GQ251))</f>
        <v>30.14804700397319</v>
      </c>
      <c r="GS251" s="63" t="e">
        <f t="shared" si="438"/>
        <v>#N/A</v>
      </c>
      <c r="GT251" s="63" t="e">
        <f>IF($GZ251="",#N/A,SUM(GS$4:GS251))</f>
        <v>#N/A</v>
      </c>
      <c r="GU251" s="63" t="str">
        <f t="shared" si="439"/>
        <v/>
      </c>
      <c r="GV251" s="63" t="e">
        <f>IF($GZ251="",#N/A,SUM(GU$4:GU251))</f>
        <v>#N/A</v>
      </c>
      <c r="GW251" s="63" t="str">
        <f t="shared" si="440"/>
        <v/>
      </c>
      <c r="GX251" s="63" t="e">
        <f>IF($GZ251="",#N/A,SUM(GW$4:GW251))</f>
        <v>#N/A</v>
      </c>
      <c r="GY251" s="63" t="e">
        <f>IF(EJ251="",#N/A,SUM($EJ$4:EJ251))</f>
        <v>#N/A</v>
      </c>
      <c r="GZ251" s="159">
        <v>209.96</v>
      </c>
      <c r="HA251" s="63">
        <f t="shared" si="431"/>
        <v>-34.360000000000014</v>
      </c>
      <c r="HB251" s="62" t="s">
        <v>2538</v>
      </c>
      <c r="HC251" s="60">
        <f>IFERROR(VLOOKUP(E251,Expectancy!$P$4:$S$19,1+C251,FALSE),"")</f>
        <v>-0.15084750675779673</v>
      </c>
      <c r="HD251" s="82">
        <f t="shared" si="432"/>
        <v>-0.93782450674974061</v>
      </c>
      <c r="HE251" s="138">
        <f>IF(HD251="",#N/A,SUM($HD$4:HD251))</f>
        <v>13.349806785852238</v>
      </c>
      <c r="HF251" s="85">
        <f>IF(HD251="",#N/A,IF(HB251="Skip",#N/A,SUM($HG$4:HG251)))</f>
        <v>356.5515691991144</v>
      </c>
      <c r="HG251" s="63">
        <f t="shared" si="433"/>
        <v>-23.120000000000005</v>
      </c>
      <c r="HH251" s="82">
        <f t="shared" si="434"/>
        <v>0.36669262720664675</v>
      </c>
    </row>
    <row r="252" spans="1:216" x14ac:dyDescent="0.25">
      <c r="A252" s="57" t="s">
        <v>605</v>
      </c>
      <c r="B252" s="58" t="s">
        <v>5230</v>
      </c>
      <c r="C252" s="386">
        <f t="shared" si="343"/>
        <v>2</v>
      </c>
      <c r="D252" s="372" t="str">
        <f>_xlfn.XLOOKUP(A252,[1]SP500!$A$2:$A$502,[1]SP500!$D$2:$D$502,"N")</f>
        <v>Y</v>
      </c>
      <c r="E252" s="57" t="str">
        <f>_xlfn.XLOOKUP(A252,[1]SP500!$A$2:$A$655,[1]SP500!$B$2:$B$655)</f>
        <v>XLI</v>
      </c>
      <c r="F252" s="59">
        <v>45694</v>
      </c>
      <c r="G252" s="57" t="str">
        <f t="shared" si="344"/>
        <v>BMO</v>
      </c>
      <c r="H252" s="57" t="str">
        <f t="shared" si="345"/>
        <v>s</v>
      </c>
      <c r="I252" s="159">
        <v>270.56</v>
      </c>
      <c r="J252" s="159">
        <v>272.33</v>
      </c>
      <c r="K252" s="61">
        <f t="shared" si="346"/>
        <v>6.5419869899467102E-3</v>
      </c>
      <c r="L252" s="87">
        <f t="shared" si="347"/>
        <v>-1.7699999999999818</v>
      </c>
      <c r="M252" s="130">
        <f t="shared" si="338"/>
        <v>0</v>
      </c>
      <c r="N252" s="169" t="str">
        <f t="shared" si="348"/>
        <v/>
      </c>
      <c r="O252" s="169">
        <f>IF($J252="",#N/A,SUM($N$4:N252))</f>
        <v>312.19511614781226</v>
      </c>
      <c r="P252" s="174">
        <f t="shared" si="349"/>
        <v>-1.7699999999999818</v>
      </c>
      <c r="Q252" s="174">
        <f>IF($J252="",#N/A,SUM($P$4:P252))</f>
        <v>607.38210612129978</v>
      </c>
      <c r="R252" s="178" t="str">
        <f t="shared" si="350"/>
        <v/>
      </c>
      <c r="S252" s="178">
        <f>IF($J252="",#N/A,SUM($R$4:R252))</f>
        <v>129.6457348787207</v>
      </c>
      <c r="T252" s="290" t="str">
        <f t="shared" si="351"/>
        <v/>
      </c>
      <c r="U252" s="290">
        <f>IF($J252="",#N/A,SUM($T$4:T252))</f>
        <v>11.649399548815515</v>
      </c>
      <c r="V252" s="291">
        <f t="shared" si="352"/>
        <v>-0.10903311649911183</v>
      </c>
      <c r="W252" s="291">
        <f>IF($J252="",#N/A,SUM($V$4:V252))</f>
        <v>25.220376742088675</v>
      </c>
      <c r="X252" s="292" t="str">
        <f t="shared" si="353"/>
        <v/>
      </c>
      <c r="Y252" s="292">
        <f>IF($J252="",#N/A,SUM($X$4:X252))</f>
        <v>5.2451212771671383</v>
      </c>
      <c r="Z252" s="304" t="str">
        <f t="shared" si="354"/>
        <v/>
      </c>
      <c r="AA252" s="313" t="e">
        <f>IF($J252="",#N/A,SUM(Z$4:Z252))</f>
        <v>#N/A</v>
      </c>
      <c r="AB252" s="314" t="str">
        <f t="shared" si="355"/>
        <v/>
      </c>
      <c r="AC252" s="314" t="e">
        <f>IF($J252="",#N/A,SUM(AB$4:AB252))</f>
        <v>#N/A</v>
      </c>
      <c r="AD252" s="315" t="str">
        <f t="shared" si="356"/>
        <v/>
      </c>
      <c r="AE252" s="315" t="e">
        <f>IF($J252="",#N/A,SUM(AD$4:AD252))</f>
        <v>#N/A</v>
      </c>
      <c r="AF252" s="315" t="e">
        <f>IF($J252="",#N/A,SUM(AD$4:AD252,AB$4:AB252,Z$4:Z252))</f>
        <v>#N/A</v>
      </c>
      <c r="AG252" s="304" t="str">
        <f t="shared" si="357"/>
        <v/>
      </c>
      <c r="AH252" s="313" t="e">
        <f>IF($J252="",#N/A,SUM(AG$4:AG252))</f>
        <v>#N/A</v>
      </c>
      <c r="AI252" s="314" t="str">
        <f t="shared" si="358"/>
        <v/>
      </c>
      <c r="AJ252" s="314" t="e">
        <f>IF($J252="",#N/A,SUM(AI$4:AI252))</f>
        <v>#N/A</v>
      </c>
      <c r="AK252" s="315" t="str">
        <f t="shared" si="359"/>
        <v/>
      </c>
      <c r="AL252" s="315" t="e">
        <f>IF($J252="",#N/A,SUM(AK$4:AK252))</f>
        <v>#N/A</v>
      </c>
      <c r="AM252" s="315" t="e">
        <f>IF($J252="",#N/A,SUM(AK$4:AK252,AI$4:AI252,AG$4:AG252))</f>
        <v>#N/A</v>
      </c>
      <c r="AN252" s="304" t="str">
        <f t="shared" si="360"/>
        <v/>
      </c>
      <c r="AO252" s="313" t="e">
        <f>IF($J252="",#N/A,SUM(AN$4:AN252))</f>
        <v>#N/A</v>
      </c>
      <c r="AP252" s="314" t="str">
        <f t="shared" si="361"/>
        <v/>
      </c>
      <c r="AQ252" s="314" t="e">
        <f>IF($J252="",#N/A,SUM(AP$4:AP252))</f>
        <v>#N/A</v>
      </c>
      <c r="AR252" s="315" t="str">
        <f t="shared" si="362"/>
        <v/>
      </c>
      <c r="AS252" s="315" t="e">
        <f>IF($J252="",#N/A,SUM(AR$4:AR252))</f>
        <v>#N/A</v>
      </c>
      <c r="AT252" s="315" t="e">
        <f>IF($J252="",#N/A,SUM(AR$4:AR252,AP$4:AP252,AN$4:AN252))</f>
        <v>#N/A</v>
      </c>
      <c r="AU252" s="304" t="str">
        <f t="shared" si="363"/>
        <v/>
      </c>
      <c r="AV252" s="313" t="e">
        <f>IF($J252="",#N/A,SUM(AU$4:AU252))</f>
        <v>#N/A</v>
      </c>
      <c r="AW252" s="314" t="str">
        <f t="shared" si="364"/>
        <v/>
      </c>
      <c r="AX252" s="314" t="e">
        <f>IF($J252="",#N/A,SUM(AW$4:AW252))</f>
        <v>#N/A</v>
      </c>
      <c r="AY252" s="315" t="str">
        <f t="shared" si="365"/>
        <v/>
      </c>
      <c r="AZ252" s="315" t="e">
        <f>IF($J252="",#N/A,SUM(AY$4:AY252))</f>
        <v>#N/A</v>
      </c>
      <c r="BA252" s="315" t="e">
        <f>IF($J252="",#N/A,SUM(AY$4:AY252,AW$4:AW252,AU$4:AU252))</f>
        <v>#N/A</v>
      </c>
      <c r="BB252" s="304" t="str">
        <f t="shared" si="366"/>
        <v/>
      </c>
      <c r="BC252" s="313" t="e">
        <f>IF($J252="",#N/A,SUM(BB$4:BB252))</f>
        <v>#N/A</v>
      </c>
      <c r="BD252" s="314" t="str">
        <f t="shared" si="367"/>
        <v/>
      </c>
      <c r="BE252" s="314" t="e">
        <f>IF($J252="",#N/A,SUM(BD$4:BD252))</f>
        <v>#N/A</v>
      </c>
      <c r="BF252" s="315" t="str">
        <f t="shared" si="368"/>
        <v/>
      </c>
      <c r="BG252" s="315" t="e">
        <f>IF($J252="",#N/A,SUM(BF$4:BF252))</f>
        <v>#N/A</v>
      </c>
      <c r="BH252" s="315" t="e">
        <f>IF($J252="",#N/A,SUM(BF$4:BF252,BD$4:BD252,BB$4:BB252))</f>
        <v>#N/A</v>
      </c>
      <c r="BI252" s="304" t="str">
        <f t="shared" si="369"/>
        <v/>
      </c>
      <c r="BJ252" s="313" t="e">
        <f>IF($J252="",#N/A,SUM(BI$4:BI252))</f>
        <v>#N/A</v>
      </c>
      <c r="BK252" s="314" t="str">
        <f t="shared" si="370"/>
        <v/>
      </c>
      <c r="BL252" s="314" t="e">
        <f>IF($J252="",#N/A,SUM(BK$4:BK252))</f>
        <v>#N/A</v>
      </c>
      <c r="BM252" s="315" t="str">
        <f t="shared" si="371"/>
        <v/>
      </c>
      <c r="BN252" s="315" t="e">
        <f>IF($J252="",#N/A,SUM(BM$4:BM252))</f>
        <v>#N/A</v>
      </c>
      <c r="BO252" s="315" t="e">
        <f>IF($J252="",#N/A,SUM(BM$4:BM252,BK$4:BK252,BI$4:BI252))</f>
        <v>#N/A</v>
      </c>
      <c r="BP252" s="304" t="str">
        <f t="shared" si="372"/>
        <v/>
      </c>
      <c r="BQ252" s="313" t="e">
        <f>IF($J252="",#N/A,SUM(BP$4:BP252))</f>
        <v>#N/A</v>
      </c>
      <c r="BR252" s="314">
        <f t="shared" si="373"/>
        <v>-0.10903311649911183</v>
      </c>
      <c r="BS252" s="314" t="e">
        <f>IF($J252="",#N/A,SUM(BR$4:BR252))</f>
        <v>#N/A</v>
      </c>
      <c r="BT252" s="315" t="str">
        <f t="shared" si="374"/>
        <v/>
      </c>
      <c r="BU252" s="315" t="e">
        <f>IF($J252="",#N/A,SUM(BT$4:BT252))</f>
        <v>#N/A</v>
      </c>
      <c r="BV252" s="315" t="e">
        <f>IF($J252="",#N/A,SUM(BT$4:BT252,BR$4:BR252,BP$4:BP252))</f>
        <v>#N/A</v>
      </c>
      <c r="BW252" s="304" t="str">
        <f t="shared" si="375"/>
        <v/>
      </c>
      <c r="BX252" s="313" t="e">
        <f>IF($J252="",#N/A,SUM(BW$4:BW252))</f>
        <v>#N/A</v>
      </c>
      <c r="BY252" s="314" t="str">
        <f t="shared" si="376"/>
        <v/>
      </c>
      <c r="BZ252" s="314" t="e">
        <f>IF($J252="",#N/A,SUM(BY$4:BY252))</f>
        <v>#N/A</v>
      </c>
      <c r="CA252" s="315" t="str">
        <f t="shared" si="377"/>
        <v/>
      </c>
      <c r="CB252" s="315" t="e">
        <f>IF($J252="",#N/A,SUM(CA$4:CA252))</f>
        <v>#N/A</v>
      </c>
      <c r="CC252" s="315" t="e">
        <f>IF($J252="",#N/A,SUM(CA$4:CA252,BY$4:BY252,BW$4:BW252))</f>
        <v>#N/A</v>
      </c>
      <c r="CD252" s="304" t="str">
        <f t="shared" si="378"/>
        <v/>
      </c>
      <c r="CE252" s="313" t="e">
        <f>IF($J252="",#N/A,SUM(CD$4:CD252))</f>
        <v>#N/A</v>
      </c>
      <c r="CF252" s="314" t="str">
        <f t="shared" si="379"/>
        <v/>
      </c>
      <c r="CG252" s="314" t="e">
        <f>IF($J252="",#N/A,SUM(CF$4:CF252))</f>
        <v>#N/A</v>
      </c>
      <c r="CH252" s="315" t="str">
        <f t="shared" si="380"/>
        <v/>
      </c>
      <c r="CI252" s="315" t="e">
        <f>IF($J252="",#N/A,SUM(CH$4:CH252))</f>
        <v>#N/A</v>
      </c>
      <c r="CJ252" s="315" t="e">
        <f>IF($J252="",#N/A,SUM(CH$4:CH252,CF$4:CF252,CD$4:CD252))</f>
        <v>#N/A</v>
      </c>
      <c r="CK252" s="304" t="str">
        <f t="shared" si="381"/>
        <v/>
      </c>
      <c r="CL252" s="313" t="e">
        <f>IF($J252="",#N/A,SUM(CK$4:CK252))</f>
        <v>#N/A</v>
      </c>
      <c r="CM252" s="314" t="str">
        <f t="shared" si="382"/>
        <v/>
      </c>
      <c r="CN252" s="314" t="e">
        <f>IF($J252="",#N/A,SUM(CM$4:CM252))</f>
        <v>#N/A</v>
      </c>
      <c r="CO252" s="315" t="str">
        <f t="shared" si="383"/>
        <v/>
      </c>
      <c r="CP252" s="315" t="e">
        <f>IF($J252="",#N/A,SUM(CO$4:CO252))</f>
        <v>#N/A</v>
      </c>
      <c r="CQ252" s="315" t="e">
        <f>IF($J252="",#N/A,SUM(CO$4:CO252,CM$4:CM252,CK$4:CK252))</f>
        <v>#N/A</v>
      </c>
      <c r="CR252" s="304" t="str">
        <f t="shared" si="384"/>
        <v/>
      </c>
      <c r="CS252" s="313" t="e">
        <f>IF($J252="",#N/A,SUM(CR$4:CR252))</f>
        <v>#N/A</v>
      </c>
      <c r="CT252" s="314" t="str">
        <f t="shared" si="385"/>
        <v/>
      </c>
      <c r="CU252" s="314" t="e">
        <f>IF($J252="",#N/A,SUM(CT$4:CT252))</f>
        <v>#N/A</v>
      </c>
      <c r="CV252" s="315" t="str">
        <f t="shared" si="386"/>
        <v/>
      </c>
      <c r="CW252" s="315" t="e">
        <f>IF($J252="",#N/A,SUM(CV$4:CV252))</f>
        <v>#N/A</v>
      </c>
      <c r="CX252" s="315" t="e">
        <f>IF($J252="",#N/A,SUM(CV$4:CV252,CT$4:CT252,CR$4:CR252))</f>
        <v>#N/A</v>
      </c>
      <c r="CY252" s="304" t="str">
        <f t="shared" si="387"/>
        <v/>
      </c>
      <c r="CZ252" s="313" t="e">
        <f>IF($J252="",#N/A,SUM(CY$4:CY252))</f>
        <v>#N/A</v>
      </c>
      <c r="DA252" s="314" t="str">
        <f t="shared" si="388"/>
        <v/>
      </c>
      <c r="DB252" s="314" t="e">
        <f>IF($J252="",#N/A,SUM(DA$4:DA252))</f>
        <v>#N/A</v>
      </c>
      <c r="DC252" s="315" t="str">
        <f t="shared" si="389"/>
        <v/>
      </c>
      <c r="DD252" s="315" t="e">
        <f>IF($J252="",#N/A,SUM(DC$4:DC252))</f>
        <v>#N/A</v>
      </c>
      <c r="DE252" s="315" t="e">
        <f>IF($J252="",#N/A,SUM(DC$4:DC252,DA$4:DA252,CY$4:CY252))</f>
        <v>#N/A</v>
      </c>
      <c r="DF252" s="304" t="str">
        <f t="shared" si="390"/>
        <v/>
      </c>
      <c r="DG252" s="313" t="e">
        <f>IF($J252="",#N/A,SUM(DF$4:DF252))</f>
        <v>#N/A</v>
      </c>
      <c r="DH252" s="314" t="str">
        <f t="shared" si="391"/>
        <v/>
      </c>
      <c r="DI252" s="314" t="e">
        <f>IF($J252="",#N/A,SUM(DH$4:DH252))</f>
        <v>#N/A</v>
      </c>
      <c r="DJ252" s="315" t="str">
        <f t="shared" si="392"/>
        <v/>
      </c>
      <c r="DK252" s="315" t="e">
        <f>IF($J252="",#N/A,SUM(DJ$4:DJ252))</f>
        <v>#N/A</v>
      </c>
      <c r="DL252" s="315" t="e">
        <f>IF($J252="",#N/A,SUM(DJ$4:DJ252,DH$4:DH252,DF$4:DF252))</f>
        <v>#N/A</v>
      </c>
      <c r="DM252" s="304" t="str">
        <f t="shared" si="393"/>
        <v/>
      </c>
      <c r="DN252" s="313" t="e">
        <f>IF($J252="",#N/A,SUM(DM$4:DM252))</f>
        <v>#N/A</v>
      </c>
      <c r="DO252" s="314" t="str">
        <f t="shared" si="394"/>
        <v/>
      </c>
      <c r="DP252" s="314" t="e">
        <f>IF($J252="",#N/A,SUM(DO$4:DO252))</f>
        <v>#N/A</v>
      </c>
      <c r="DQ252" s="315" t="str">
        <f t="shared" si="395"/>
        <v/>
      </c>
      <c r="DR252" s="315" t="e">
        <f>IF($J252="",#N/A,SUM(DQ$4:DQ252))</f>
        <v>#N/A</v>
      </c>
      <c r="DS252" s="315" t="e">
        <f>IF($J252="",#N/A,SUM(DQ$4:DQ252,DO$4:DO252,DM$4:DM252))</f>
        <v>#N/A</v>
      </c>
      <c r="DT252" s="304" t="str">
        <f t="shared" si="396"/>
        <v/>
      </c>
      <c r="DU252" s="313" t="e">
        <f>IF($J252="",#N/A,SUM(DT$4:DT252))</f>
        <v>#N/A</v>
      </c>
      <c r="DV252" s="314" t="str">
        <f t="shared" si="397"/>
        <v/>
      </c>
      <c r="DW252" s="314" t="e">
        <f>IF($J252="",#N/A,SUM(DV$4:DV252))</f>
        <v>#N/A</v>
      </c>
      <c r="DX252" s="315" t="str">
        <f t="shared" si="398"/>
        <v/>
      </c>
      <c r="DY252" s="315" t="e">
        <f>IF($J252="",#N/A,SUM(DX$4:DX252))</f>
        <v>#N/A</v>
      </c>
      <c r="DZ252" s="315" t="e">
        <f>IF($J252="",#N/A,SUM(DX$4:DX252,DV$4:DV252,DT$4:DT252))</f>
        <v>#N/A</v>
      </c>
      <c r="EA252" s="304" t="str">
        <f t="shared" si="399"/>
        <v/>
      </c>
      <c r="EB252" s="313" t="e">
        <f>IF($J252="",#N/A,SUM(EA$4:EA252))</f>
        <v>#N/A</v>
      </c>
      <c r="EC252" s="314" t="str">
        <f t="shared" si="400"/>
        <v/>
      </c>
      <c r="ED252" s="314" t="e">
        <f>IF($J252="",#N/A,SUM(EC$4:EC252))</f>
        <v>#N/A</v>
      </c>
      <c r="EE252" s="315" t="str">
        <f t="shared" si="401"/>
        <v/>
      </c>
      <c r="EF252" s="315" t="e">
        <f>IF($J252="",#N/A,SUM(EE$4:EE252))</f>
        <v>#N/A</v>
      </c>
      <c r="EG252" s="315" t="e">
        <f>IF($J252="",#N/A,SUM(EE$4:EE252,EC$4:EC252,EA$4:EA252))</f>
        <v>#N/A</v>
      </c>
      <c r="EH252" s="130">
        <f t="shared" si="402"/>
        <v>-1.7699999999999818</v>
      </c>
      <c r="EI252" s="63">
        <f>IF(EH252="",#N/A,SUM($EH$4:EH252))</f>
        <v>1049.2229571478329</v>
      </c>
      <c r="EJ252" s="223" t="e">
        <f t="shared" si="403"/>
        <v>#N/A</v>
      </c>
      <c r="EK252" s="63" t="e">
        <f>IF($GZ252="",#N/A,SUM(EJ$4:EJ252))</f>
        <v>#N/A</v>
      </c>
      <c r="EL252" s="60">
        <f t="shared" si="435"/>
        <v>-0.10903311649911183</v>
      </c>
      <c r="EM252" s="60">
        <f>IF(EL252="",NA(),SUM($EL$4:EL252))</f>
        <v>32.294317861815188</v>
      </c>
      <c r="EN252" s="60" t="str">
        <f t="shared" si="404"/>
        <v/>
      </c>
      <c r="EO252" s="60" t="e">
        <f>IF(EN252="",NA(),SUM($EN$4:EN252))</f>
        <v>#N/A</v>
      </c>
      <c r="EP252" s="60" t="str">
        <f t="shared" si="405"/>
        <v/>
      </c>
      <c r="EQ252" s="60" t="e">
        <f>IF(EP252="",NA(),SUM($EP$4:EP252))</f>
        <v>#N/A</v>
      </c>
      <c r="ER252" s="60">
        <f t="shared" si="406"/>
        <v>-0.10903311649911183</v>
      </c>
      <c r="ES252" s="60">
        <f>IF(ER252="",NA(),SUM($ER$4:ER252))</f>
        <v>16.685889444713577</v>
      </c>
      <c r="ET252" s="60" t="str">
        <f t="shared" si="407"/>
        <v/>
      </c>
      <c r="EU252" s="60" t="e">
        <f>IF(ET252="",NA(),SUM($ET$4:ET252))</f>
        <v>#N/A</v>
      </c>
      <c r="EV252" s="60" t="str">
        <f t="shared" si="408"/>
        <v/>
      </c>
      <c r="EW252" s="60" t="e">
        <f>IF(EV252="",NA(),SUM($EV$4:EV252))</f>
        <v>#N/A</v>
      </c>
      <c r="EX252" s="60" t="str">
        <f t="shared" si="409"/>
        <v/>
      </c>
      <c r="EY252" s="60" t="e">
        <f>IF(EX252="",NA(),SUM($EX$4:EX252))</f>
        <v>#N/A</v>
      </c>
      <c r="EZ252" s="60" t="str">
        <f t="shared" si="410"/>
        <v/>
      </c>
      <c r="FA252" s="60" t="e">
        <f>IF(EZ252="",NA(),SUM($EZ$4:EZ252))</f>
        <v>#N/A</v>
      </c>
      <c r="FB252" s="246" t="str">
        <f t="shared" si="436"/>
        <v/>
      </c>
      <c r="FC252" s="246" t="e">
        <f>IF($FB252="",#N/A,SUM(FB$4:$FB252))</f>
        <v>#N/A</v>
      </c>
      <c r="FD252" s="60">
        <f t="shared" si="411"/>
        <v>0.2223782771535554</v>
      </c>
      <c r="FE252" s="60">
        <f>IF($FD252="",#N/A,SUM($FD$4:FD252))</f>
        <v>2.5763276595626907</v>
      </c>
      <c r="FF252" s="60" t="str">
        <f t="shared" si="412"/>
        <v/>
      </c>
      <c r="FG252" s="60" t="e">
        <f>IF($FF252="",#N/A,SUM($FF$4:FF252))</f>
        <v>#N/A</v>
      </c>
      <c r="FH252" s="60" t="str">
        <f t="shared" si="413"/>
        <v/>
      </c>
      <c r="FI252" s="60" t="e">
        <f>IF($FH252="",#N/A,SUM($FH$4:FH252))</f>
        <v>#N/A</v>
      </c>
      <c r="FJ252" s="60" t="str">
        <f t="shared" si="414"/>
        <v/>
      </c>
      <c r="FK252" s="60" t="e">
        <f>IF($FJ252="",#N/A,SUM($FJ$4:FJ252))</f>
        <v>#N/A</v>
      </c>
      <c r="FL252" s="60" t="str">
        <f t="shared" si="415"/>
        <v/>
      </c>
      <c r="FM252" s="60" t="e">
        <f>IF($FL252="",#N/A,SUM($FL$4:FL252))</f>
        <v>#N/A</v>
      </c>
      <c r="FN252" s="82">
        <f t="shared" si="416"/>
        <v>0.11334516065444357</v>
      </c>
      <c r="FO252" s="82">
        <f>IF($FN252="",#N/A,SUM(FN$4:$FN252))</f>
        <v>42.882088998724328</v>
      </c>
      <c r="FP252" s="82">
        <f t="shared" si="437"/>
        <v>-0.10903311649911183</v>
      </c>
      <c r="FQ252" s="246">
        <f>IF($EH252="",#N/A,SUM($FP$4:FP252))</f>
        <v>42.114897568071314</v>
      </c>
      <c r="FR252" s="82">
        <f>IFERROR(FQ252/COUNTA($J$4:J252),#N/A)</f>
        <v>0.16913613481153139</v>
      </c>
      <c r="FS252" s="82">
        <f t="shared" si="448"/>
        <v>0.21209865267218192</v>
      </c>
      <c r="FT252" s="82">
        <f t="shared" si="449"/>
        <v>0.34521106125194279</v>
      </c>
      <c r="FU252" s="337">
        <f>IF(AND(HB252="MOC",GZ252=""),#N/A,IFERROR(FQ252-HE252,FQ252-0))-14.53</f>
        <v>14.344123898718189</v>
      </c>
      <c r="FV252" s="57" t="str">
        <f t="shared" si="418"/>
        <v>Dwn</v>
      </c>
      <c r="FW252" s="57" t="s">
        <v>2734</v>
      </c>
      <c r="FX252" s="57" t="str">
        <f t="shared" si="419"/>
        <v/>
      </c>
      <c r="FY252" s="57">
        <f t="shared" si="420"/>
        <v>1</v>
      </c>
      <c r="FZ252" s="57" t="str">
        <f t="shared" si="421"/>
        <v/>
      </c>
      <c r="GA252" s="57" t="str">
        <f t="shared" si="422"/>
        <v>Short</v>
      </c>
      <c r="GB252" s="57" t="str">
        <f t="shared" si="423"/>
        <v/>
      </c>
      <c r="GC252" s="57" t="str">
        <f t="shared" si="424"/>
        <v/>
      </c>
      <c r="GD252" s="57" t="str">
        <f t="shared" si="425"/>
        <v/>
      </c>
      <c r="GE252" s="62">
        <f t="shared" si="339"/>
        <v>270.56</v>
      </c>
      <c r="GF252" s="62" t="s">
        <v>2780</v>
      </c>
      <c r="GG252" s="199">
        <v>1</v>
      </c>
      <c r="GH252" s="207">
        <f t="shared" si="426"/>
        <v>270.56</v>
      </c>
      <c r="GI252" s="199">
        <v>1</v>
      </c>
      <c r="GJ252" s="200">
        <v>272.33</v>
      </c>
      <c r="GK252" s="63">
        <f t="shared" si="427"/>
        <v>-1.7699999999999818</v>
      </c>
      <c r="GL252" s="63">
        <f t="shared" si="340"/>
        <v>1.839999999999975</v>
      </c>
      <c r="GM252" s="82" t="str">
        <f t="shared" si="428"/>
        <v/>
      </c>
      <c r="GN252" s="82">
        <f>IF($GZ252="",#N/A,SUM(GM$4:GM252))</f>
        <v>-0.22678827658385436</v>
      </c>
      <c r="GO252" s="82" t="str">
        <f t="shared" si="429"/>
        <v/>
      </c>
      <c r="GP252" s="82">
        <f>IF($GZ252="",#N/A,SUM(GO$4:GO252))</f>
        <v>12.221648156238212</v>
      </c>
      <c r="GQ252" s="82">
        <f t="shared" si="430"/>
        <v>0.11334516065444357</v>
      </c>
      <c r="GR252" s="82">
        <f>IF($GZ252="",#N/A,SUM(GQ$4:GQ252))</f>
        <v>30.261392164627633</v>
      </c>
      <c r="GS252" s="63" t="str">
        <f t="shared" si="438"/>
        <v/>
      </c>
      <c r="GT252" s="63" t="e">
        <f>IF($GZ252="",#N/A,SUM(GS$4:GS252))</f>
        <v>#N/A</v>
      </c>
      <c r="GU252" s="63" t="str">
        <f t="shared" si="439"/>
        <v/>
      </c>
      <c r="GV252" s="63" t="e">
        <f>IF($GZ252="",#N/A,SUM(GU$4:GU252))</f>
        <v>#N/A</v>
      </c>
      <c r="GW252" s="63" t="e">
        <f t="shared" si="440"/>
        <v>#N/A</v>
      </c>
      <c r="GX252" s="63" t="e">
        <f>IF($GZ252="",#N/A,SUM(GW$4:GW252))</f>
        <v>#N/A</v>
      </c>
      <c r="GY252" s="63" t="e">
        <f>IF(EJ252="",#N/A,SUM($EJ$4:EJ252))</f>
        <v>#N/A</v>
      </c>
      <c r="GZ252" s="159">
        <v>268.72000000000003</v>
      </c>
      <c r="HA252" s="63">
        <f t="shared" si="431"/>
        <v>3.6099999999999568</v>
      </c>
      <c r="HB252" s="62" t="s">
        <v>2538</v>
      </c>
      <c r="HC252" s="60">
        <f>IFERROR(VLOOKUP(E252,Expectancy!$P$4:$S$19,1+C252,FALSE),"")</f>
        <v>0.3117803024854584</v>
      </c>
      <c r="HD252" s="82">
        <f t="shared" si="432"/>
        <v>-0.10903311649911183</v>
      </c>
      <c r="HE252" s="138">
        <f>IF(HD252="",#N/A,SUM($HD$4:HD252))</f>
        <v>13.240773669353127</v>
      </c>
      <c r="HF252" s="85">
        <f>IF(HD252="",#N/A,IF(HB252="Skip",#N/A,SUM($HG$4:HG252)))</f>
        <v>354.78156919911441</v>
      </c>
      <c r="HG252" s="63">
        <f t="shared" si="433"/>
        <v>-1.7699999999999818</v>
      </c>
      <c r="HH252" s="82">
        <f t="shared" si="434"/>
        <v>0.11334516065444357</v>
      </c>
    </row>
    <row r="253" spans="1:216" x14ac:dyDescent="0.25">
      <c r="A253" s="57" t="s">
        <v>1476</v>
      </c>
      <c r="B253" s="58" t="s">
        <v>5231</v>
      </c>
      <c r="C253" s="386">
        <f t="shared" si="343"/>
        <v>3</v>
      </c>
      <c r="D253" s="372" t="str">
        <f>_xlfn.XLOOKUP(A253,[1]SP500!$A$2:$A$502,[1]SP500!$D$2:$D$502,"N")</f>
        <v>Y</v>
      </c>
      <c r="E253" s="57" t="str">
        <f>_xlfn.XLOOKUP(A253,[1]SP500!$A$2:$A$655,[1]SP500!$B$2:$B$655)</f>
        <v>XLF</v>
      </c>
      <c r="F253" s="59">
        <v>45694</v>
      </c>
      <c r="G253" s="57" t="str">
        <f t="shared" si="344"/>
        <v>BMO</v>
      </c>
      <c r="H253" s="57" t="str">
        <f t="shared" si="345"/>
        <v>o</v>
      </c>
      <c r="I253" s="159">
        <v>270.23</v>
      </c>
      <c r="J253" s="159">
        <v>254.83</v>
      </c>
      <c r="K253" s="61">
        <f t="shared" si="346"/>
        <v>-5.698849128520151E-2</v>
      </c>
      <c r="L253" s="87">
        <f t="shared" si="347"/>
        <v>15.400000000000006</v>
      </c>
      <c r="M253" s="130">
        <f t="shared" si="338"/>
        <v>-0.69999999999998863</v>
      </c>
      <c r="N253" s="169" t="str">
        <f t="shared" si="348"/>
        <v/>
      </c>
      <c r="O253" s="169">
        <f>IF($J253="",#N/A,SUM($N$4:N253))</f>
        <v>312.19511614781226</v>
      </c>
      <c r="P253" s="174" t="str">
        <f t="shared" si="349"/>
        <v/>
      </c>
      <c r="Q253" s="174">
        <f>IF($J253="",#N/A,SUM($P$4:P253))</f>
        <v>607.38210612129978</v>
      </c>
      <c r="R253" s="178">
        <f t="shared" si="350"/>
        <v>-15.400000000000006</v>
      </c>
      <c r="S253" s="178">
        <f>IF($J253="",#N/A,SUM($R$4:R253))</f>
        <v>114.2457348787207</v>
      </c>
      <c r="T253" s="290" t="str">
        <f t="shared" si="351"/>
        <v/>
      </c>
      <c r="U253" s="290">
        <f>IF($J253="",#N/A,SUM($T$4:T253))</f>
        <v>11.649399548815515</v>
      </c>
      <c r="V253" s="291" t="str">
        <f t="shared" si="352"/>
        <v/>
      </c>
      <c r="W253" s="291">
        <f>IF($J253="",#N/A,SUM($V$4:V253))</f>
        <v>25.220376742088675</v>
      </c>
      <c r="X253" s="292">
        <f t="shared" si="353"/>
        <v>-0.94980818808669198</v>
      </c>
      <c r="Y253" s="292">
        <f>IF($J253="",#N/A,SUM($X$4:X253))</f>
        <v>4.2953130890804463</v>
      </c>
      <c r="Z253" s="304" t="str">
        <f t="shared" si="354"/>
        <v/>
      </c>
      <c r="AA253" s="313" t="e">
        <f>IF($J253="",#N/A,SUM(Z$4:Z253))</f>
        <v>#N/A</v>
      </c>
      <c r="AB253" s="314" t="str">
        <f t="shared" si="355"/>
        <v/>
      </c>
      <c r="AC253" s="314" t="e">
        <f>IF($J253="",#N/A,SUM(AB$4:AB253))</f>
        <v>#N/A</v>
      </c>
      <c r="AD253" s="315" t="str">
        <f t="shared" si="356"/>
        <v/>
      </c>
      <c r="AE253" s="315" t="e">
        <f>IF($J253="",#N/A,SUM(AD$4:AD253))</f>
        <v>#N/A</v>
      </c>
      <c r="AF253" s="315" t="e">
        <f>IF($J253="",#N/A,SUM(AD$4:AD253,AB$4:AB253,Z$4:Z253))</f>
        <v>#N/A</v>
      </c>
      <c r="AG253" s="304" t="str">
        <f t="shared" si="357"/>
        <v/>
      </c>
      <c r="AH253" s="313" t="e">
        <f>IF($J253="",#N/A,SUM(AG$4:AG253))</f>
        <v>#N/A</v>
      </c>
      <c r="AI253" s="314" t="str">
        <f t="shared" si="358"/>
        <v/>
      </c>
      <c r="AJ253" s="314" t="e">
        <f>IF($J253="",#N/A,SUM(AI$4:AI253))</f>
        <v>#N/A</v>
      </c>
      <c r="AK253" s="315" t="str">
        <f t="shared" si="359"/>
        <v/>
      </c>
      <c r="AL253" s="315" t="e">
        <f>IF($J253="",#N/A,SUM(AK$4:AK253))</f>
        <v>#N/A</v>
      </c>
      <c r="AM253" s="315" t="e">
        <f>IF($J253="",#N/A,SUM(AK$4:AK253,AI$4:AI253,AG$4:AG253))</f>
        <v>#N/A</v>
      </c>
      <c r="AN253" s="304" t="str">
        <f t="shared" si="360"/>
        <v/>
      </c>
      <c r="AO253" s="313" t="e">
        <f>IF($J253="",#N/A,SUM(AN$4:AN253))</f>
        <v>#N/A</v>
      </c>
      <c r="AP253" s="314" t="str">
        <f t="shared" si="361"/>
        <v/>
      </c>
      <c r="AQ253" s="314" t="e">
        <f>IF($J253="",#N/A,SUM(AP$4:AP253))</f>
        <v>#N/A</v>
      </c>
      <c r="AR253" s="315" t="str">
        <f t="shared" si="362"/>
        <v/>
      </c>
      <c r="AS253" s="315" t="e">
        <f>IF($J253="",#N/A,SUM(AR$4:AR253))</f>
        <v>#N/A</v>
      </c>
      <c r="AT253" s="315" t="e">
        <f>IF($J253="",#N/A,SUM(AR$4:AR253,AP$4:AP253,AN$4:AN253))</f>
        <v>#N/A</v>
      </c>
      <c r="AU253" s="304" t="str">
        <f t="shared" si="363"/>
        <v/>
      </c>
      <c r="AV253" s="313" t="e">
        <f>IF($J253="",#N/A,SUM(AU$4:AU253))</f>
        <v>#N/A</v>
      </c>
      <c r="AW253" s="314" t="str">
        <f t="shared" si="364"/>
        <v/>
      </c>
      <c r="AX253" s="314" t="e">
        <f>IF($J253="",#N/A,SUM(AW$4:AW253))</f>
        <v>#N/A</v>
      </c>
      <c r="AY253" s="315" t="str">
        <f t="shared" si="365"/>
        <v/>
      </c>
      <c r="AZ253" s="315" t="e">
        <f>IF($J253="",#N/A,SUM(AY$4:AY253))</f>
        <v>#N/A</v>
      </c>
      <c r="BA253" s="315" t="e">
        <f>IF($J253="",#N/A,SUM(AY$4:AY253,AW$4:AW253,AU$4:AU253))</f>
        <v>#N/A</v>
      </c>
      <c r="BB253" s="304" t="str">
        <f t="shared" si="366"/>
        <v/>
      </c>
      <c r="BC253" s="313" t="e">
        <f>IF($J253="",#N/A,SUM(BB$4:BB253))</f>
        <v>#N/A</v>
      </c>
      <c r="BD253" s="314" t="str">
        <f t="shared" si="367"/>
        <v/>
      </c>
      <c r="BE253" s="314" t="e">
        <f>IF($J253="",#N/A,SUM(BD$4:BD253))</f>
        <v>#N/A</v>
      </c>
      <c r="BF253" s="315" t="str">
        <f t="shared" si="368"/>
        <v/>
      </c>
      <c r="BG253" s="315" t="e">
        <f>IF($J253="",#N/A,SUM(BF$4:BF253))</f>
        <v>#N/A</v>
      </c>
      <c r="BH253" s="315" t="e">
        <f>IF($J253="",#N/A,SUM(BF$4:BF253,BD$4:BD253,BB$4:BB253))</f>
        <v>#N/A</v>
      </c>
      <c r="BI253" s="304" t="str">
        <f t="shared" si="369"/>
        <v/>
      </c>
      <c r="BJ253" s="313" t="e">
        <f>IF($J253="",#N/A,SUM(BI$4:BI253))</f>
        <v>#N/A</v>
      </c>
      <c r="BK253" s="314" t="str">
        <f t="shared" si="370"/>
        <v/>
      </c>
      <c r="BL253" s="314" t="e">
        <f>IF($J253="",#N/A,SUM(BK$4:BK253))</f>
        <v>#N/A</v>
      </c>
      <c r="BM253" s="315">
        <f t="shared" si="371"/>
        <v>-0.94980818808669198</v>
      </c>
      <c r="BN253" s="315" t="e">
        <f>IF($J253="",#N/A,SUM(BM$4:BM253))</f>
        <v>#N/A</v>
      </c>
      <c r="BO253" s="315" t="e">
        <f>IF($J253="",#N/A,SUM(BM$4:BM253,BK$4:BK253,BI$4:BI253))</f>
        <v>#N/A</v>
      </c>
      <c r="BP253" s="304" t="str">
        <f t="shared" si="372"/>
        <v/>
      </c>
      <c r="BQ253" s="313" t="e">
        <f>IF($J253="",#N/A,SUM(BP$4:BP253))</f>
        <v>#N/A</v>
      </c>
      <c r="BR253" s="314" t="str">
        <f t="shared" si="373"/>
        <v/>
      </c>
      <c r="BS253" s="314" t="e">
        <f>IF($J253="",#N/A,SUM(BR$4:BR253))</f>
        <v>#N/A</v>
      </c>
      <c r="BT253" s="315" t="str">
        <f t="shared" si="374"/>
        <v/>
      </c>
      <c r="BU253" s="315" t="e">
        <f>IF($J253="",#N/A,SUM(BT$4:BT253))</f>
        <v>#N/A</v>
      </c>
      <c r="BV253" s="315" t="e">
        <f>IF($J253="",#N/A,SUM(BT$4:BT253,BR$4:BR253,BP$4:BP253))</f>
        <v>#N/A</v>
      </c>
      <c r="BW253" s="304" t="str">
        <f t="shared" si="375"/>
        <v/>
      </c>
      <c r="BX253" s="313" t="e">
        <f>IF($J253="",#N/A,SUM(BW$4:BW253))</f>
        <v>#N/A</v>
      </c>
      <c r="BY253" s="314" t="str">
        <f t="shared" si="376"/>
        <v/>
      </c>
      <c r="BZ253" s="314" t="e">
        <f>IF($J253="",#N/A,SUM(BY$4:BY253))</f>
        <v>#N/A</v>
      </c>
      <c r="CA253" s="315" t="str">
        <f t="shared" si="377"/>
        <v/>
      </c>
      <c r="CB253" s="315" t="e">
        <f>IF($J253="",#N/A,SUM(CA$4:CA253))</f>
        <v>#N/A</v>
      </c>
      <c r="CC253" s="315" t="e">
        <f>IF($J253="",#N/A,SUM(CA$4:CA253,BY$4:BY253,BW$4:BW253))</f>
        <v>#N/A</v>
      </c>
      <c r="CD253" s="304" t="str">
        <f t="shared" si="378"/>
        <v/>
      </c>
      <c r="CE253" s="313" t="e">
        <f>IF($J253="",#N/A,SUM(CD$4:CD253))</f>
        <v>#N/A</v>
      </c>
      <c r="CF253" s="314" t="str">
        <f t="shared" si="379"/>
        <v/>
      </c>
      <c r="CG253" s="314" t="e">
        <f>IF($J253="",#N/A,SUM(CF$4:CF253))</f>
        <v>#N/A</v>
      </c>
      <c r="CH253" s="315" t="str">
        <f t="shared" si="380"/>
        <v/>
      </c>
      <c r="CI253" s="315" t="e">
        <f>IF($J253="",#N/A,SUM(CH$4:CH253))</f>
        <v>#N/A</v>
      </c>
      <c r="CJ253" s="315" t="e">
        <f>IF($J253="",#N/A,SUM(CH$4:CH253,CF$4:CF253,CD$4:CD253))</f>
        <v>#N/A</v>
      </c>
      <c r="CK253" s="304" t="str">
        <f t="shared" si="381"/>
        <v/>
      </c>
      <c r="CL253" s="313" t="e">
        <f>IF($J253="",#N/A,SUM(CK$4:CK253))</f>
        <v>#N/A</v>
      </c>
      <c r="CM253" s="314" t="str">
        <f t="shared" si="382"/>
        <v/>
      </c>
      <c r="CN253" s="314" t="e">
        <f>IF($J253="",#N/A,SUM(CM$4:CM253))</f>
        <v>#N/A</v>
      </c>
      <c r="CO253" s="315" t="str">
        <f t="shared" si="383"/>
        <v/>
      </c>
      <c r="CP253" s="315" t="e">
        <f>IF($J253="",#N/A,SUM(CO$4:CO253))</f>
        <v>#N/A</v>
      </c>
      <c r="CQ253" s="315" t="e">
        <f>IF($J253="",#N/A,SUM(CO$4:CO253,CM$4:CM253,CK$4:CK253))</f>
        <v>#N/A</v>
      </c>
      <c r="CR253" s="304" t="str">
        <f t="shared" si="384"/>
        <v/>
      </c>
      <c r="CS253" s="313" t="e">
        <f>IF($J253="",#N/A,SUM(CR$4:CR253))</f>
        <v>#N/A</v>
      </c>
      <c r="CT253" s="314" t="str">
        <f t="shared" si="385"/>
        <v/>
      </c>
      <c r="CU253" s="314" t="e">
        <f>IF($J253="",#N/A,SUM(CT$4:CT253))</f>
        <v>#N/A</v>
      </c>
      <c r="CV253" s="315" t="str">
        <f t="shared" si="386"/>
        <v/>
      </c>
      <c r="CW253" s="315" t="e">
        <f>IF($J253="",#N/A,SUM(CV$4:CV253))</f>
        <v>#N/A</v>
      </c>
      <c r="CX253" s="315" t="e">
        <f>IF($J253="",#N/A,SUM(CV$4:CV253,CT$4:CT253,CR$4:CR253))</f>
        <v>#N/A</v>
      </c>
      <c r="CY253" s="304" t="str">
        <f t="shared" si="387"/>
        <v/>
      </c>
      <c r="CZ253" s="313" t="e">
        <f>IF($J253="",#N/A,SUM(CY$4:CY253))</f>
        <v>#N/A</v>
      </c>
      <c r="DA253" s="314" t="str">
        <f t="shared" si="388"/>
        <v/>
      </c>
      <c r="DB253" s="314" t="e">
        <f>IF($J253="",#N/A,SUM(DA$4:DA253))</f>
        <v>#N/A</v>
      </c>
      <c r="DC253" s="315" t="str">
        <f t="shared" si="389"/>
        <v/>
      </c>
      <c r="DD253" s="315" t="e">
        <f>IF($J253="",#N/A,SUM(DC$4:DC253))</f>
        <v>#N/A</v>
      </c>
      <c r="DE253" s="315" t="e">
        <f>IF($J253="",#N/A,SUM(DC$4:DC253,DA$4:DA253,CY$4:CY253))</f>
        <v>#N/A</v>
      </c>
      <c r="DF253" s="304" t="str">
        <f t="shared" si="390"/>
        <v/>
      </c>
      <c r="DG253" s="313" t="e">
        <f>IF($J253="",#N/A,SUM(DF$4:DF253))</f>
        <v>#N/A</v>
      </c>
      <c r="DH253" s="314" t="str">
        <f t="shared" si="391"/>
        <v/>
      </c>
      <c r="DI253" s="314" t="e">
        <f>IF($J253="",#N/A,SUM(DH$4:DH253))</f>
        <v>#N/A</v>
      </c>
      <c r="DJ253" s="315" t="str">
        <f t="shared" si="392"/>
        <v/>
      </c>
      <c r="DK253" s="315" t="e">
        <f>IF($J253="",#N/A,SUM(DJ$4:DJ253))</f>
        <v>#N/A</v>
      </c>
      <c r="DL253" s="315" t="e">
        <f>IF($J253="",#N/A,SUM(DJ$4:DJ253,DH$4:DH253,DF$4:DF253))</f>
        <v>#N/A</v>
      </c>
      <c r="DM253" s="304" t="str">
        <f t="shared" si="393"/>
        <v/>
      </c>
      <c r="DN253" s="313" t="e">
        <f>IF($J253="",#N/A,SUM(DM$4:DM253))</f>
        <v>#N/A</v>
      </c>
      <c r="DO253" s="314" t="str">
        <f t="shared" si="394"/>
        <v/>
      </c>
      <c r="DP253" s="314" t="e">
        <f>IF($J253="",#N/A,SUM(DO$4:DO253))</f>
        <v>#N/A</v>
      </c>
      <c r="DQ253" s="315" t="str">
        <f t="shared" si="395"/>
        <v/>
      </c>
      <c r="DR253" s="315" t="e">
        <f>IF($J253="",#N/A,SUM(DQ$4:DQ253))</f>
        <v>#N/A</v>
      </c>
      <c r="DS253" s="315" t="e">
        <f>IF($J253="",#N/A,SUM(DQ$4:DQ253,DO$4:DO253,DM$4:DM253))</f>
        <v>#N/A</v>
      </c>
      <c r="DT253" s="304" t="str">
        <f t="shared" si="396"/>
        <v/>
      </c>
      <c r="DU253" s="313" t="e">
        <f>IF($J253="",#N/A,SUM(DT$4:DT253))</f>
        <v>#N/A</v>
      </c>
      <c r="DV253" s="314" t="str">
        <f t="shared" si="397"/>
        <v/>
      </c>
      <c r="DW253" s="314" t="e">
        <f>IF($J253="",#N/A,SUM(DV$4:DV253))</f>
        <v>#N/A</v>
      </c>
      <c r="DX253" s="315" t="str">
        <f t="shared" si="398"/>
        <v/>
      </c>
      <c r="DY253" s="315" t="e">
        <f>IF($J253="",#N/A,SUM(DX$4:DX253))</f>
        <v>#N/A</v>
      </c>
      <c r="DZ253" s="315" t="e">
        <f>IF($J253="",#N/A,SUM(DX$4:DX253,DV$4:DV253,DT$4:DT253))</f>
        <v>#N/A</v>
      </c>
      <c r="EA253" s="304" t="str">
        <f t="shared" si="399"/>
        <v/>
      </c>
      <c r="EB253" s="313" t="e">
        <f>IF($J253="",#N/A,SUM(EA$4:EA253))</f>
        <v>#N/A</v>
      </c>
      <c r="EC253" s="314" t="str">
        <f t="shared" si="400"/>
        <v/>
      </c>
      <c r="ED253" s="314" t="e">
        <f>IF($J253="",#N/A,SUM(EC$4:EC253))</f>
        <v>#N/A</v>
      </c>
      <c r="EE253" s="315" t="str">
        <f t="shared" si="401"/>
        <v/>
      </c>
      <c r="EF253" s="315" t="e">
        <f>IF($J253="",#N/A,SUM(EE$4:EE253))</f>
        <v>#N/A</v>
      </c>
      <c r="EG253" s="315" t="e">
        <f>IF($J253="",#N/A,SUM(EE$4:EE253,EC$4:EC253,EA$4:EA253))</f>
        <v>#N/A</v>
      </c>
      <c r="EH253" s="130">
        <f t="shared" si="402"/>
        <v>-15.400000000000006</v>
      </c>
      <c r="EI253" s="63">
        <f>IF(EH253="",#N/A,SUM($EH$4:EH253))</f>
        <v>1033.8229571478328</v>
      </c>
      <c r="EJ253" s="223" t="e">
        <f t="shared" si="403"/>
        <v>#N/A</v>
      </c>
      <c r="EK253" s="63" t="e">
        <f>IF($GZ253="",#N/A,SUM(EJ$4:EJ253))</f>
        <v>#N/A</v>
      </c>
      <c r="EL253" s="60">
        <f t="shared" si="435"/>
        <v>-0.94980818808669198</v>
      </c>
      <c r="EM253" s="60">
        <f>IF(EL253="",NA(),SUM($EL$4:EL253))</f>
        <v>31.344509673728496</v>
      </c>
      <c r="EN253" s="60" t="str">
        <f t="shared" si="404"/>
        <v/>
      </c>
      <c r="EO253" s="60" t="e">
        <f>IF(EN253="",NA(),SUM($EN$4:EN253))</f>
        <v>#N/A</v>
      </c>
      <c r="EP253" s="60">
        <f t="shared" si="405"/>
        <v>-0.94980818808669198</v>
      </c>
      <c r="EQ253" s="60">
        <f>IF(EP253="",NA(),SUM($EP$4:EP253))</f>
        <v>4.9659275048501303</v>
      </c>
      <c r="ER253" s="60" t="str">
        <f t="shared" si="406"/>
        <v/>
      </c>
      <c r="ES253" s="60" t="e">
        <f>IF(ER253="",NA(),SUM($ER$4:ER253))</f>
        <v>#N/A</v>
      </c>
      <c r="ET253" s="60" t="str">
        <f t="shared" si="407"/>
        <v/>
      </c>
      <c r="EU253" s="60" t="e">
        <f>IF(ET253="",NA(),SUM($ET$4:ET253))</f>
        <v>#N/A</v>
      </c>
      <c r="EV253" s="60" t="str">
        <f t="shared" si="408"/>
        <v/>
      </c>
      <c r="EW253" s="60" t="e">
        <f>IF(EV253="",NA(),SUM($EV$4:EV253))</f>
        <v>#N/A</v>
      </c>
      <c r="EX253" s="60" t="str">
        <f t="shared" si="409"/>
        <v/>
      </c>
      <c r="EY253" s="60" t="e">
        <f>IF(EX253="",NA(),SUM($EX$4:EX253))</f>
        <v>#N/A</v>
      </c>
      <c r="EZ253" s="60" t="str">
        <f t="shared" si="410"/>
        <v/>
      </c>
      <c r="FA253" s="60" t="e">
        <f>IF(EZ253="",NA(),SUM($EZ$4:EZ253))</f>
        <v>#N/A</v>
      </c>
      <c r="FB253" s="246" t="str">
        <f t="shared" si="436"/>
        <v/>
      </c>
      <c r="FC253" s="246" t="e">
        <f>IF($FB253="",#N/A,SUM(FB$4:$FB253))</f>
        <v>#N/A</v>
      </c>
      <c r="FD253" s="60" t="str">
        <f t="shared" si="411"/>
        <v/>
      </c>
      <c r="FE253" s="60" t="e">
        <f>IF($FD253="",#N/A,SUM($FD$4:FD253))</f>
        <v>#N/A</v>
      </c>
      <c r="FF253" s="60" t="str">
        <f t="shared" si="412"/>
        <v/>
      </c>
      <c r="FG253" s="60" t="e">
        <f>IF($FF253="",#N/A,SUM($FF$4:FF253))</f>
        <v>#N/A</v>
      </c>
      <c r="FH253" s="60" t="str">
        <f t="shared" si="413"/>
        <v/>
      </c>
      <c r="FI253" s="60" t="e">
        <f>IF($FH253="",#N/A,SUM($FH$4:FH253))</f>
        <v>#N/A</v>
      </c>
      <c r="FJ253" s="60" t="str">
        <f t="shared" si="414"/>
        <v/>
      </c>
      <c r="FK253" s="60" t="e">
        <f>IF($FJ253="",#N/A,SUM($FJ$4:FJ253))</f>
        <v>#N/A</v>
      </c>
      <c r="FL253" s="60">
        <f t="shared" si="415"/>
        <v>-0.4533175443141042</v>
      </c>
      <c r="FM253" s="60">
        <f>IF($FL253="",#N/A,SUM($FL$4:FL253))</f>
        <v>1.2266718748475474</v>
      </c>
      <c r="FN253" s="82">
        <f t="shared" si="416"/>
        <v>-1.4031257324007962</v>
      </c>
      <c r="FO253" s="82">
        <f>IF($FN253="",#N/A,SUM(FN$4:$FN253))</f>
        <v>41.478963266323532</v>
      </c>
      <c r="FP253" s="82">
        <f t="shared" si="437"/>
        <v>-0.94980818808669198</v>
      </c>
      <c r="FQ253" s="246">
        <f>IF($EH253="",#N/A,SUM($FP$4:FP253))</f>
        <v>41.165089379984622</v>
      </c>
      <c r="FR253" s="82">
        <f>IFERROR(FQ253/COUNTA($J$4:J253),#N/A)</f>
        <v>0.16466035751993849</v>
      </c>
      <c r="FS253" s="82">
        <f t="shared" si="448"/>
        <v>0.23169134303460354</v>
      </c>
      <c r="FT253" s="82">
        <f t="shared" si="449"/>
        <v>0.30531681822786366</v>
      </c>
      <c r="FU253" s="337">
        <f>IF(AND(HB253="MOC",GZ253=""),#N/A,IFERROR(FQ253-HE253,FQ253-0))-14.53</f>
        <v>12.487680622003291</v>
      </c>
      <c r="FV253" s="57" t="str">
        <f t="shared" si="418"/>
        <v>SW</v>
      </c>
      <c r="FW253" s="57" t="s">
        <v>2732</v>
      </c>
      <c r="FX253" s="57" t="str">
        <f t="shared" si="419"/>
        <v/>
      </c>
      <c r="FY253" s="57" t="str">
        <f t="shared" si="420"/>
        <v/>
      </c>
      <c r="FZ253" s="57" t="str">
        <f t="shared" si="421"/>
        <v/>
      </c>
      <c r="GA253" s="57" t="str">
        <f t="shared" si="422"/>
        <v>Long</v>
      </c>
      <c r="GB253" s="57" t="str">
        <f t="shared" si="423"/>
        <v/>
      </c>
      <c r="GC253" s="57" t="str">
        <f t="shared" si="424"/>
        <v/>
      </c>
      <c r="GD253" s="57">
        <f t="shared" si="425"/>
        <v>1</v>
      </c>
      <c r="GE253" s="62">
        <f t="shared" si="339"/>
        <v>270.23</v>
      </c>
      <c r="GF253" s="62" t="s">
        <v>2780</v>
      </c>
      <c r="GG253" s="199">
        <v>1</v>
      </c>
      <c r="GH253" s="207">
        <f t="shared" si="426"/>
        <v>270.23</v>
      </c>
      <c r="GI253" s="199">
        <v>1</v>
      </c>
      <c r="GJ253" s="200">
        <v>255.53</v>
      </c>
      <c r="GK253" s="63">
        <f t="shared" si="427"/>
        <v>14.700000000000017</v>
      </c>
      <c r="GL253" s="63">
        <f t="shared" si="340"/>
        <v>22.750000000000028</v>
      </c>
      <c r="GM253" s="82">
        <f t="shared" si="428"/>
        <v>-1.4031257324007962</v>
      </c>
      <c r="GN253" s="82">
        <f>IF($GZ253="",#N/A,SUM(GM$4:GM253))</f>
        <v>-1.6299140089846507</v>
      </c>
      <c r="GO253" s="82" t="str">
        <f t="shared" si="429"/>
        <v/>
      </c>
      <c r="GP253" s="82">
        <f>IF($GZ253="",#N/A,SUM(GO$4:GO253))</f>
        <v>12.221648156238212</v>
      </c>
      <c r="GQ253" s="82" t="str">
        <f t="shared" si="430"/>
        <v/>
      </c>
      <c r="GR253" s="82">
        <f>IF($GZ253="",#N/A,SUM(GQ$4:GQ253))</f>
        <v>30.261392164627633</v>
      </c>
      <c r="GS253" s="63" t="e">
        <f t="shared" si="438"/>
        <v>#N/A</v>
      </c>
      <c r="GT253" s="63" t="e">
        <f>IF($GZ253="",#N/A,SUM(GS$4:GS253))</f>
        <v>#N/A</v>
      </c>
      <c r="GU253" s="63" t="str">
        <f t="shared" si="439"/>
        <v/>
      </c>
      <c r="GV253" s="63" t="e">
        <f>IF($GZ253="",#N/A,SUM(GU$4:GU253))</f>
        <v>#N/A</v>
      </c>
      <c r="GW253" s="63" t="str">
        <f t="shared" si="440"/>
        <v/>
      </c>
      <c r="GX253" s="63" t="e">
        <f>IF($GZ253="",#N/A,SUM(GW$4:GW253))</f>
        <v>#N/A</v>
      </c>
      <c r="GY253" s="63" t="e">
        <f>IF(EJ253="",#N/A,SUM($EJ$4:EJ253))</f>
        <v>#N/A</v>
      </c>
      <c r="GZ253" s="159">
        <v>247.48</v>
      </c>
      <c r="HA253" s="63">
        <f t="shared" si="431"/>
        <v>38.150000000000034</v>
      </c>
      <c r="HB253" s="62" t="s">
        <v>2538</v>
      </c>
      <c r="HC253" s="60">
        <f>IFERROR(VLOOKUP(E253,Expectancy!$P$4:$S$19,1+C253,FALSE),"")</f>
        <v>9.9793136114217987E-2</v>
      </c>
      <c r="HD253" s="82">
        <f t="shared" si="432"/>
        <v>0.90663508862820674</v>
      </c>
      <c r="HE253" s="138">
        <f>IF(HD253="",#N/A,SUM($HD$4:HD253))</f>
        <v>14.147408757981333</v>
      </c>
      <c r="HF253" s="85">
        <f>IF(HD253="",#N/A,IF(HB253="Skip",#N/A,SUM($HG$4:HG253)))</f>
        <v>369.48156919911446</v>
      </c>
      <c r="HG253" s="63">
        <f t="shared" si="433"/>
        <v>14.700000000000017</v>
      </c>
      <c r="HH253" s="82">
        <f t="shared" si="434"/>
        <v>-1.4031257324007962</v>
      </c>
    </row>
    <row r="254" spans="1:216" x14ac:dyDescent="0.25">
      <c r="A254" s="149" t="s">
        <v>1521</v>
      </c>
      <c r="B254" s="58" t="s">
        <v>5231</v>
      </c>
      <c r="C254" s="386">
        <f t="shared" si="343"/>
        <v>3</v>
      </c>
      <c r="D254" s="372" t="str">
        <f>_xlfn.XLOOKUP(A254,[1]SP500!$A$2:$A$502,[1]SP500!$D$2:$D$502,"N")</f>
        <v>Y</v>
      </c>
      <c r="E254" s="57" t="str">
        <f>_xlfn.XLOOKUP(A254,[1]SP500!$A$2:$A$655,[1]SP500!$B$2:$B$655)</f>
        <v>XLV</v>
      </c>
      <c r="F254" s="59">
        <v>45694</v>
      </c>
      <c r="G254" s="57" t="str">
        <f t="shared" si="344"/>
        <v>BMO</v>
      </c>
      <c r="H254" s="57" t="str">
        <f t="shared" si="345"/>
        <v>o</v>
      </c>
      <c r="I254" s="159">
        <v>108.25</v>
      </c>
      <c r="J254" s="159">
        <v>104</v>
      </c>
      <c r="K254" s="61">
        <f t="shared" si="346"/>
        <v>-3.9260969976905313E-2</v>
      </c>
      <c r="L254" s="87">
        <f t="shared" si="347"/>
        <v>17</v>
      </c>
      <c r="M254" s="130">
        <f t="shared" ref="M254:M317" si="450">IF(L254="","",IF(HG254="",#N/A,IF(HB254="Open",HG254-L254,#N/A)))</f>
        <v>-5.7599999999999909</v>
      </c>
      <c r="N254" s="169" t="str">
        <f t="shared" si="348"/>
        <v/>
      </c>
      <c r="O254" s="169">
        <f>IF($J254="",#N/A,SUM($N$4:N254))</f>
        <v>312.19511614781226</v>
      </c>
      <c r="P254" s="174" t="str">
        <f t="shared" si="349"/>
        <v/>
      </c>
      <c r="Q254" s="174">
        <f>IF($J254="",#N/A,SUM($P$4:P254))</f>
        <v>607.38210612129978</v>
      </c>
      <c r="R254" s="178">
        <f t="shared" si="350"/>
        <v>-17</v>
      </c>
      <c r="S254" s="178">
        <f>IF($J254="",#N/A,SUM($R$4:R254))</f>
        <v>97.245734878720697</v>
      </c>
      <c r="T254" s="290" t="str">
        <f t="shared" si="351"/>
        <v/>
      </c>
      <c r="U254" s="290">
        <f>IF($J254="",#N/A,SUM($T$4:T254))</f>
        <v>11.649399548815515</v>
      </c>
      <c r="V254" s="291" t="str">
        <f t="shared" si="352"/>
        <v/>
      </c>
      <c r="W254" s="291">
        <f>IF($J254="",#N/A,SUM($V$4:V254))</f>
        <v>25.220376742088675</v>
      </c>
      <c r="X254" s="292">
        <f t="shared" si="353"/>
        <v>-0.65434949961508848</v>
      </c>
      <c r="Y254" s="292">
        <f>IF($J254="",#N/A,SUM($X$4:X254))</f>
        <v>3.6409635894653576</v>
      </c>
      <c r="Z254" s="304" t="str">
        <f t="shared" si="354"/>
        <v/>
      </c>
      <c r="AA254" s="313" t="e">
        <f>IF($J254="",#N/A,SUM(Z$4:Z254))</f>
        <v>#N/A</v>
      </c>
      <c r="AB254" s="314" t="str">
        <f t="shared" si="355"/>
        <v/>
      </c>
      <c r="AC254" s="314" t="e">
        <f>IF($J254="",#N/A,SUM(AB$4:AB254))</f>
        <v>#N/A</v>
      </c>
      <c r="AD254" s="315" t="str">
        <f t="shared" si="356"/>
        <v/>
      </c>
      <c r="AE254" s="315" t="e">
        <f>IF($J254="",#N/A,SUM(AD$4:AD254))</f>
        <v>#N/A</v>
      </c>
      <c r="AF254" s="315" t="e">
        <f>IF($J254="",#N/A,SUM(AD$4:AD254,AB$4:AB254,Z$4:Z254))</f>
        <v>#N/A</v>
      </c>
      <c r="AG254" s="304" t="str">
        <f t="shared" si="357"/>
        <v/>
      </c>
      <c r="AH254" s="313" t="e">
        <f>IF($J254="",#N/A,SUM(AG$4:AG254))</f>
        <v>#N/A</v>
      </c>
      <c r="AI254" s="314" t="str">
        <f t="shared" si="358"/>
        <v/>
      </c>
      <c r="AJ254" s="314" t="e">
        <f>IF($J254="",#N/A,SUM(AI$4:AI254))</f>
        <v>#N/A</v>
      </c>
      <c r="AK254" s="315" t="str">
        <f t="shared" si="359"/>
        <v/>
      </c>
      <c r="AL254" s="315" t="e">
        <f>IF($J254="",#N/A,SUM(AK$4:AK254))</f>
        <v>#N/A</v>
      </c>
      <c r="AM254" s="315" t="e">
        <f>IF($J254="",#N/A,SUM(AK$4:AK254,AI$4:AI254,AG$4:AG254))</f>
        <v>#N/A</v>
      </c>
      <c r="AN254" s="304" t="str">
        <f t="shared" si="360"/>
        <v/>
      </c>
      <c r="AO254" s="313" t="e">
        <f>IF($J254="",#N/A,SUM(AN$4:AN254))</f>
        <v>#N/A</v>
      </c>
      <c r="AP254" s="314" t="str">
        <f t="shared" si="361"/>
        <v/>
      </c>
      <c r="AQ254" s="314" t="e">
        <f>IF($J254="",#N/A,SUM(AP$4:AP254))</f>
        <v>#N/A</v>
      </c>
      <c r="AR254" s="315" t="str">
        <f t="shared" si="362"/>
        <v/>
      </c>
      <c r="AS254" s="315" t="e">
        <f>IF($J254="",#N/A,SUM(AR$4:AR254))</f>
        <v>#N/A</v>
      </c>
      <c r="AT254" s="315" t="e">
        <f>IF($J254="",#N/A,SUM(AR$4:AR254,AP$4:AP254,AN$4:AN254))</f>
        <v>#N/A</v>
      </c>
      <c r="AU254" s="304" t="str">
        <f t="shared" si="363"/>
        <v/>
      </c>
      <c r="AV254" s="313" t="e">
        <f>IF($J254="",#N/A,SUM(AU$4:AU254))</f>
        <v>#N/A</v>
      </c>
      <c r="AW254" s="314" t="str">
        <f t="shared" si="364"/>
        <v/>
      </c>
      <c r="AX254" s="314" t="e">
        <f>IF($J254="",#N/A,SUM(AW$4:AW254))</f>
        <v>#N/A</v>
      </c>
      <c r="AY254" s="315" t="str">
        <f t="shared" si="365"/>
        <v/>
      </c>
      <c r="AZ254" s="315" t="e">
        <f>IF($J254="",#N/A,SUM(AY$4:AY254))</f>
        <v>#N/A</v>
      </c>
      <c r="BA254" s="315" t="e">
        <f>IF($J254="",#N/A,SUM(AY$4:AY254,AW$4:AW254,AU$4:AU254))</f>
        <v>#N/A</v>
      </c>
      <c r="BB254" s="304" t="str">
        <f t="shared" si="366"/>
        <v/>
      </c>
      <c r="BC254" s="313" t="e">
        <f>IF($J254="",#N/A,SUM(BB$4:BB254))</f>
        <v>#N/A</v>
      </c>
      <c r="BD254" s="314" t="str">
        <f t="shared" si="367"/>
        <v/>
      </c>
      <c r="BE254" s="314" t="e">
        <f>IF($J254="",#N/A,SUM(BD$4:BD254))</f>
        <v>#N/A</v>
      </c>
      <c r="BF254" s="315" t="str">
        <f t="shared" si="368"/>
        <v/>
      </c>
      <c r="BG254" s="315" t="e">
        <f>IF($J254="",#N/A,SUM(BF$4:BF254))</f>
        <v>#N/A</v>
      </c>
      <c r="BH254" s="315" t="e">
        <f>IF($J254="",#N/A,SUM(BF$4:BF254,BD$4:BD254,BB$4:BB254))</f>
        <v>#N/A</v>
      </c>
      <c r="BI254" s="304" t="str">
        <f t="shared" si="369"/>
        <v/>
      </c>
      <c r="BJ254" s="313" t="e">
        <f>IF($J254="",#N/A,SUM(BI$4:BI254))</f>
        <v>#N/A</v>
      </c>
      <c r="BK254" s="314" t="str">
        <f t="shared" si="370"/>
        <v/>
      </c>
      <c r="BL254" s="314" t="e">
        <f>IF($J254="",#N/A,SUM(BK$4:BK254))</f>
        <v>#N/A</v>
      </c>
      <c r="BM254" s="315" t="str">
        <f t="shared" si="371"/>
        <v/>
      </c>
      <c r="BN254" s="315" t="e">
        <f>IF($J254="",#N/A,SUM(BM$4:BM254))</f>
        <v>#N/A</v>
      </c>
      <c r="BO254" s="315" t="e">
        <f>IF($J254="",#N/A,SUM(BM$4:BM254,BK$4:BK254,BI$4:BI254))</f>
        <v>#N/A</v>
      </c>
      <c r="BP254" s="304" t="str">
        <f t="shared" si="372"/>
        <v/>
      </c>
      <c r="BQ254" s="313" t="e">
        <f>IF($J254="",#N/A,SUM(BP$4:BP254))</f>
        <v>#N/A</v>
      </c>
      <c r="BR254" s="314" t="str">
        <f t="shared" si="373"/>
        <v/>
      </c>
      <c r="BS254" s="314" t="e">
        <f>IF($J254="",#N/A,SUM(BR$4:BR254))</f>
        <v>#N/A</v>
      </c>
      <c r="BT254" s="315" t="str">
        <f t="shared" si="374"/>
        <v/>
      </c>
      <c r="BU254" s="315" t="e">
        <f>IF($J254="",#N/A,SUM(BT$4:BT254))</f>
        <v>#N/A</v>
      </c>
      <c r="BV254" s="315" t="e">
        <f>IF($J254="",#N/A,SUM(BT$4:BT254,BR$4:BR254,BP$4:BP254))</f>
        <v>#N/A</v>
      </c>
      <c r="BW254" s="304" t="str">
        <f t="shared" si="375"/>
        <v/>
      </c>
      <c r="BX254" s="313" t="e">
        <f>IF($J254="",#N/A,SUM(BW$4:BW254))</f>
        <v>#N/A</v>
      </c>
      <c r="BY254" s="314" t="str">
        <f t="shared" si="376"/>
        <v/>
      </c>
      <c r="BZ254" s="314" t="e">
        <f>IF($J254="",#N/A,SUM(BY$4:BY254))</f>
        <v>#N/A</v>
      </c>
      <c r="CA254" s="315">
        <f t="shared" si="377"/>
        <v>-0.65434949961508848</v>
      </c>
      <c r="CB254" s="315" t="e">
        <f>IF($J254="",#N/A,SUM(CA$4:CA254))</f>
        <v>#N/A</v>
      </c>
      <c r="CC254" s="315" t="e">
        <f>IF($J254="",#N/A,SUM(CA$4:CA254,BY$4:BY254,BW$4:BW254))</f>
        <v>#N/A</v>
      </c>
      <c r="CD254" s="304" t="str">
        <f t="shared" si="378"/>
        <v/>
      </c>
      <c r="CE254" s="313" t="e">
        <f>IF($J254="",#N/A,SUM(CD$4:CD254))</f>
        <v>#N/A</v>
      </c>
      <c r="CF254" s="314" t="str">
        <f t="shared" si="379"/>
        <v/>
      </c>
      <c r="CG254" s="314" t="e">
        <f>IF($J254="",#N/A,SUM(CF$4:CF254))</f>
        <v>#N/A</v>
      </c>
      <c r="CH254" s="315" t="str">
        <f t="shared" si="380"/>
        <v/>
      </c>
      <c r="CI254" s="315" t="e">
        <f>IF($J254="",#N/A,SUM(CH$4:CH254))</f>
        <v>#N/A</v>
      </c>
      <c r="CJ254" s="315" t="e">
        <f>IF($J254="",#N/A,SUM(CH$4:CH254,CF$4:CF254,CD$4:CD254))</f>
        <v>#N/A</v>
      </c>
      <c r="CK254" s="304" t="str">
        <f t="shared" si="381"/>
        <v/>
      </c>
      <c r="CL254" s="313" t="e">
        <f>IF($J254="",#N/A,SUM(CK$4:CK254))</f>
        <v>#N/A</v>
      </c>
      <c r="CM254" s="314" t="str">
        <f t="shared" si="382"/>
        <v/>
      </c>
      <c r="CN254" s="314" t="e">
        <f>IF($J254="",#N/A,SUM(CM$4:CM254))</f>
        <v>#N/A</v>
      </c>
      <c r="CO254" s="315" t="str">
        <f t="shared" si="383"/>
        <v/>
      </c>
      <c r="CP254" s="315" t="e">
        <f>IF($J254="",#N/A,SUM(CO$4:CO254))</f>
        <v>#N/A</v>
      </c>
      <c r="CQ254" s="315" t="e">
        <f>IF($J254="",#N/A,SUM(CO$4:CO254,CM$4:CM254,CK$4:CK254))</f>
        <v>#N/A</v>
      </c>
      <c r="CR254" s="304" t="str">
        <f t="shared" si="384"/>
        <v/>
      </c>
      <c r="CS254" s="313" t="e">
        <f>IF($J254="",#N/A,SUM(CR$4:CR254))</f>
        <v>#N/A</v>
      </c>
      <c r="CT254" s="314" t="str">
        <f t="shared" si="385"/>
        <v/>
      </c>
      <c r="CU254" s="314" t="e">
        <f>IF($J254="",#N/A,SUM(CT$4:CT254))</f>
        <v>#N/A</v>
      </c>
      <c r="CV254" s="315" t="str">
        <f t="shared" si="386"/>
        <v/>
      </c>
      <c r="CW254" s="315" t="e">
        <f>IF($J254="",#N/A,SUM(CV$4:CV254))</f>
        <v>#N/A</v>
      </c>
      <c r="CX254" s="315" t="e">
        <f>IF($J254="",#N/A,SUM(CV$4:CV254,CT$4:CT254,CR$4:CR254))</f>
        <v>#N/A</v>
      </c>
      <c r="CY254" s="304" t="str">
        <f t="shared" si="387"/>
        <v/>
      </c>
      <c r="CZ254" s="313" t="e">
        <f>IF($J254="",#N/A,SUM(CY$4:CY254))</f>
        <v>#N/A</v>
      </c>
      <c r="DA254" s="314" t="str">
        <f t="shared" si="388"/>
        <v/>
      </c>
      <c r="DB254" s="314" t="e">
        <f>IF($J254="",#N/A,SUM(DA$4:DA254))</f>
        <v>#N/A</v>
      </c>
      <c r="DC254" s="315" t="str">
        <f t="shared" si="389"/>
        <v/>
      </c>
      <c r="DD254" s="315" t="e">
        <f>IF($J254="",#N/A,SUM(DC$4:DC254))</f>
        <v>#N/A</v>
      </c>
      <c r="DE254" s="315" t="e">
        <f>IF($J254="",#N/A,SUM(DC$4:DC254,DA$4:DA254,CY$4:CY254))</f>
        <v>#N/A</v>
      </c>
      <c r="DF254" s="304" t="str">
        <f t="shared" si="390"/>
        <v/>
      </c>
      <c r="DG254" s="313" t="e">
        <f>IF($J254="",#N/A,SUM(DF$4:DF254))</f>
        <v>#N/A</v>
      </c>
      <c r="DH254" s="314" t="str">
        <f t="shared" si="391"/>
        <v/>
      </c>
      <c r="DI254" s="314" t="e">
        <f>IF($J254="",#N/A,SUM(DH$4:DH254))</f>
        <v>#N/A</v>
      </c>
      <c r="DJ254" s="315" t="str">
        <f t="shared" si="392"/>
        <v/>
      </c>
      <c r="DK254" s="315" t="e">
        <f>IF($J254="",#N/A,SUM(DJ$4:DJ254))</f>
        <v>#N/A</v>
      </c>
      <c r="DL254" s="315" t="e">
        <f>IF($J254="",#N/A,SUM(DJ$4:DJ254,DH$4:DH254,DF$4:DF254))</f>
        <v>#N/A</v>
      </c>
      <c r="DM254" s="304" t="str">
        <f t="shared" si="393"/>
        <v/>
      </c>
      <c r="DN254" s="313" t="e">
        <f>IF($J254="",#N/A,SUM(DM$4:DM254))</f>
        <v>#N/A</v>
      </c>
      <c r="DO254" s="314" t="str">
        <f t="shared" si="394"/>
        <v/>
      </c>
      <c r="DP254" s="314" t="e">
        <f>IF($J254="",#N/A,SUM(DO$4:DO254))</f>
        <v>#N/A</v>
      </c>
      <c r="DQ254" s="315" t="str">
        <f t="shared" si="395"/>
        <v/>
      </c>
      <c r="DR254" s="315" t="e">
        <f>IF($J254="",#N/A,SUM(DQ$4:DQ254))</f>
        <v>#N/A</v>
      </c>
      <c r="DS254" s="315" t="e">
        <f>IF($J254="",#N/A,SUM(DQ$4:DQ254,DO$4:DO254,DM$4:DM254))</f>
        <v>#N/A</v>
      </c>
      <c r="DT254" s="304" t="str">
        <f t="shared" si="396"/>
        <v/>
      </c>
      <c r="DU254" s="313" t="e">
        <f>IF($J254="",#N/A,SUM(DT$4:DT254))</f>
        <v>#N/A</v>
      </c>
      <c r="DV254" s="314" t="str">
        <f t="shared" si="397"/>
        <v/>
      </c>
      <c r="DW254" s="314" t="e">
        <f>IF($J254="",#N/A,SUM(DV$4:DV254))</f>
        <v>#N/A</v>
      </c>
      <c r="DX254" s="315" t="str">
        <f t="shared" si="398"/>
        <v/>
      </c>
      <c r="DY254" s="315" t="e">
        <f>IF($J254="",#N/A,SUM(DX$4:DX254))</f>
        <v>#N/A</v>
      </c>
      <c r="DZ254" s="315" t="e">
        <f>IF($J254="",#N/A,SUM(DX$4:DX254,DV$4:DV254,DT$4:DT254))</f>
        <v>#N/A</v>
      </c>
      <c r="EA254" s="304" t="str">
        <f t="shared" si="399"/>
        <v/>
      </c>
      <c r="EB254" s="313" t="e">
        <f>IF($J254="",#N/A,SUM(EA$4:EA254))</f>
        <v>#N/A</v>
      </c>
      <c r="EC254" s="314" t="str">
        <f t="shared" si="400"/>
        <v/>
      </c>
      <c r="ED254" s="314" t="e">
        <f>IF($J254="",#N/A,SUM(EC$4:EC254))</f>
        <v>#N/A</v>
      </c>
      <c r="EE254" s="315" t="str">
        <f t="shared" si="401"/>
        <v/>
      </c>
      <c r="EF254" s="315" t="e">
        <f>IF($J254="",#N/A,SUM(EE$4:EE254))</f>
        <v>#N/A</v>
      </c>
      <c r="EG254" s="315" t="e">
        <f>IF($J254="",#N/A,SUM(EE$4:EE254,EC$4:EC254,EA$4:EA254))</f>
        <v>#N/A</v>
      </c>
      <c r="EH254" s="130">
        <f t="shared" si="402"/>
        <v>-17</v>
      </c>
      <c r="EI254" s="63">
        <f>IF(EH254="",#N/A,SUM($EH$4:EH254))</f>
        <v>1016.8229571478328</v>
      </c>
      <c r="EJ254" s="223" t="e">
        <f t="shared" si="403"/>
        <v>#N/A</v>
      </c>
      <c r="EK254" s="63" t="e">
        <f>IF($GZ254="",#N/A,SUM(EJ$4:EJ254))</f>
        <v>#N/A</v>
      </c>
      <c r="EL254" s="60">
        <f t="shared" si="435"/>
        <v>-0.65434949961508848</v>
      </c>
      <c r="EM254" s="60">
        <f>IF(EL254="",NA(),SUM($EL$4:EL254))</f>
        <v>30.690160174113409</v>
      </c>
      <c r="EN254" s="60" t="str">
        <f t="shared" si="404"/>
        <v/>
      </c>
      <c r="EO254" s="60" t="e">
        <f>IF(EN254="",NA(),SUM($EN$4:EN254))</f>
        <v>#N/A</v>
      </c>
      <c r="EP254" s="60">
        <f t="shared" si="405"/>
        <v>-0.65434949961508848</v>
      </c>
      <c r="EQ254" s="60">
        <f>IF(EP254="",NA(),SUM($EP$4:EP254))</f>
        <v>4.3115780052350416</v>
      </c>
      <c r="ER254" s="60" t="str">
        <f t="shared" si="406"/>
        <v/>
      </c>
      <c r="ES254" s="60" t="e">
        <f>IF(ER254="",NA(),SUM($ER$4:ER254))</f>
        <v>#N/A</v>
      </c>
      <c r="ET254" s="60" t="str">
        <f t="shared" si="407"/>
        <v/>
      </c>
      <c r="EU254" s="60" t="e">
        <f>IF(ET254="",NA(),SUM($ET$4:ET254))</f>
        <v>#N/A</v>
      </c>
      <c r="EV254" s="60" t="str">
        <f t="shared" si="408"/>
        <v/>
      </c>
      <c r="EW254" s="60" t="e">
        <f>IF(EV254="",NA(),SUM($EV$4:EV254))</f>
        <v>#N/A</v>
      </c>
      <c r="EX254" s="60" t="str">
        <f t="shared" si="409"/>
        <v/>
      </c>
      <c r="EY254" s="60" t="e">
        <f>IF(EX254="",NA(),SUM($EX$4:EX254))</f>
        <v>#N/A</v>
      </c>
      <c r="EZ254" s="60" t="str">
        <f t="shared" si="410"/>
        <v/>
      </c>
      <c r="FA254" s="60" t="e">
        <f>IF(EZ254="",NA(),SUM($EZ$4:EZ254))</f>
        <v>#N/A</v>
      </c>
      <c r="FB254" s="246" t="str">
        <f t="shared" si="436"/>
        <v/>
      </c>
      <c r="FC254" s="246" t="e">
        <f>IF($FB254="",#N/A,SUM(FB$4:$FB254))</f>
        <v>#N/A</v>
      </c>
      <c r="FD254" s="60" t="str">
        <f t="shared" si="411"/>
        <v/>
      </c>
      <c r="FE254" s="60" t="e">
        <f>IF($FD254="",#N/A,SUM($FD$4:FD254))</f>
        <v>#N/A</v>
      </c>
      <c r="FF254" s="60" t="str">
        <f t="shared" si="412"/>
        <v/>
      </c>
      <c r="FG254" s="60" t="e">
        <f>IF($FF254="",#N/A,SUM($FF$4:FF254))</f>
        <v>#N/A</v>
      </c>
      <c r="FH254" s="60" t="str">
        <f t="shared" si="413"/>
        <v/>
      </c>
      <c r="FI254" s="60" t="e">
        <f>IF($FH254="",#N/A,SUM($FH$4:FH254))</f>
        <v>#N/A</v>
      </c>
      <c r="FJ254" s="60" t="str">
        <f t="shared" si="414"/>
        <v/>
      </c>
      <c r="FK254" s="60" t="e">
        <f>IF($FJ254="",#N/A,SUM($FJ$4:FJ254))</f>
        <v>#N/A</v>
      </c>
      <c r="FL254" s="60">
        <f t="shared" si="415"/>
        <v>-0.20169361046959233</v>
      </c>
      <c r="FM254" s="60">
        <f>IF($FL254="",#N/A,SUM($FL$4:FL254))</f>
        <v>1.024978264377955</v>
      </c>
      <c r="FN254" s="82">
        <f t="shared" si="416"/>
        <v>-0.85604311008468081</v>
      </c>
      <c r="FO254" s="82">
        <f>IF($FN254="",#N/A,SUM(FN$4:$FN254))</f>
        <v>40.622920156238848</v>
      </c>
      <c r="FP254" s="82">
        <f t="shared" si="437"/>
        <v>-0.65434949961508848</v>
      </c>
      <c r="FQ254" s="246">
        <f>IF($EH254="",#N/A,SUM($FP$4:FP254))</f>
        <v>40.510739880369535</v>
      </c>
      <c r="FR254" s="82">
        <f>IFERROR(FQ254/COUNTA($J$4:J254),#N/A)</f>
        <v>0.16139737004131288</v>
      </c>
      <c r="FS254" s="82">
        <f t="shared" si="448"/>
        <v>0.21154345277751802</v>
      </c>
      <c r="FT254" s="82">
        <f t="shared" si="449"/>
        <v>0.23518679428721639</v>
      </c>
      <c r="FU254" s="337">
        <f>IF(AND(HB254="MOC",GZ254=""),#N/A,IFERROR(FQ254-HE254,FQ254-0))-14.53</f>
        <v>11.40069062970152</v>
      </c>
      <c r="FV254" s="57" t="str">
        <f t="shared" si="418"/>
        <v>SW</v>
      </c>
      <c r="FW254" s="57" t="s">
        <v>2732</v>
      </c>
      <c r="FX254" s="57" t="str">
        <f t="shared" si="419"/>
        <v/>
      </c>
      <c r="FY254" s="57" t="str">
        <f t="shared" si="420"/>
        <v/>
      </c>
      <c r="FZ254" s="57" t="str">
        <f t="shared" si="421"/>
        <v/>
      </c>
      <c r="GA254" s="57" t="str">
        <f t="shared" si="422"/>
        <v>Long</v>
      </c>
      <c r="GB254" s="57" t="str">
        <f t="shared" si="423"/>
        <v/>
      </c>
      <c r="GC254" s="57" t="str">
        <f t="shared" si="424"/>
        <v/>
      </c>
      <c r="GD254" s="57">
        <f t="shared" si="425"/>
        <v>1</v>
      </c>
      <c r="GE254" s="62">
        <f t="shared" ref="GE254:GE317" si="451">IF(I254="","",I254)</f>
        <v>108.25</v>
      </c>
      <c r="GF254" s="62" t="s">
        <v>2780</v>
      </c>
      <c r="GG254" s="199">
        <v>4</v>
      </c>
      <c r="GH254" s="207">
        <f t="shared" si="426"/>
        <v>433</v>
      </c>
      <c r="GI254" s="199">
        <v>4</v>
      </c>
      <c r="GJ254" s="200">
        <v>105.44</v>
      </c>
      <c r="GK254" s="63">
        <f t="shared" si="427"/>
        <v>11.240000000000009</v>
      </c>
      <c r="GL254" s="63">
        <f t="shared" ref="GL254:GL317" si="452">IF($GZ254="","",IF($GF254="Long",(($GZ254*$GI254)-$GH254),($GH254-($GZ254*$GI254))))</f>
        <v>22.240000000000009</v>
      </c>
      <c r="GM254" s="82">
        <f t="shared" si="428"/>
        <v>-0.85604311008468081</v>
      </c>
      <c r="GN254" s="82">
        <f>IF($GZ254="",#N/A,SUM(GM$4:GM254))</f>
        <v>-2.4859571190693313</v>
      </c>
      <c r="GO254" s="82" t="str">
        <f t="shared" si="429"/>
        <v/>
      </c>
      <c r="GP254" s="82">
        <f>IF($GZ254="",#N/A,SUM(GO$4:GO254))</f>
        <v>12.221648156238212</v>
      </c>
      <c r="GQ254" s="82" t="str">
        <f t="shared" si="430"/>
        <v/>
      </c>
      <c r="GR254" s="82">
        <f>IF($GZ254="",#N/A,SUM(GQ$4:GQ254))</f>
        <v>30.261392164627633</v>
      </c>
      <c r="GS254" s="63" t="e">
        <f t="shared" si="438"/>
        <v>#N/A</v>
      </c>
      <c r="GT254" s="63" t="e">
        <f>IF($GZ254="",#N/A,SUM(GS$4:GS254))</f>
        <v>#N/A</v>
      </c>
      <c r="GU254" s="63" t="str">
        <f t="shared" si="439"/>
        <v/>
      </c>
      <c r="GV254" s="63" t="e">
        <f>IF($GZ254="",#N/A,SUM(GU$4:GU254))</f>
        <v>#N/A</v>
      </c>
      <c r="GW254" s="63" t="str">
        <f t="shared" si="440"/>
        <v/>
      </c>
      <c r="GX254" s="63" t="e">
        <f>IF($GZ254="",#N/A,SUM(GW$4:GW254))</f>
        <v>#N/A</v>
      </c>
      <c r="GY254" s="63" t="e">
        <f>IF(EJ254="",#N/A,SUM($EJ$4:EJ254))</f>
        <v>#N/A</v>
      </c>
      <c r="GZ254" s="159">
        <v>102.69</v>
      </c>
      <c r="HA254" s="63">
        <f t="shared" si="431"/>
        <v>39.240000000000009</v>
      </c>
      <c r="HB254" s="62" t="s">
        <v>2538</v>
      </c>
      <c r="HC254" s="60">
        <f>IFERROR(VLOOKUP(E254,Expectancy!$P$4:$S$19,1+C254,FALSE),"")</f>
        <v>-0.15084750675779673</v>
      </c>
      <c r="HD254" s="82">
        <f t="shared" si="432"/>
        <v>0.43264049268668242</v>
      </c>
      <c r="HE254" s="138">
        <f>IF(HD254="",#N/A,SUM($HD$4:HD254))</f>
        <v>14.580049250668015</v>
      </c>
      <c r="HF254" s="85">
        <f>IF(HD254="",#N/A,IF(HB254="Skip",#N/A,SUM($HG$4:HG254)))</f>
        <v>380.72156919911447</v>
      </c>
      <c r="HG254" s="63">
        <f t="shared" si="433"/>
        <v>11.240000000000009</v>
      </c>
      <c r="HH254" s="82">
        <f t="shared" si="434"/>
        <v>-0.85604311008468081</v>
      </c>
    </row>
    <row r="255" spans="1:216" x14ac:dyDescent="0.25">
      <c r="A255" s="57" t="s">
        <v>1534</v>
      </c>
      <c r="B255" s="58" t="s">
        <v>5232</v>
      </c>
      <c r="C255" s="386">
        <f t="shared" si="343"/>
        <v>1</v>
      </c>
      <c r="D255" s="372" t="str">
        <f>_xlfn.XLOOKUP(A255,[1]SP500!$A$2:$A$502,[1]SP500!$D$2:$D$502,"N")</f>
        <v>Y</v>
      </c>
      <c r="E255" s="57" t="str">
        <f>_xlfn.XLOOKUP(A255,[1]SP500!$A$2:$A$655,[1]SP500!$B$2:$B$655)</f>
        <v>XLV</v>
      </c>
      <c r="F255" s="59">
        <v>45694</v>
      </c>
      <c r="G255" s="57" t="str">
        <f t="shared" si="344"/>
        <v>BMO</v>
      </c>
      <c r="H255" s="57" t="str">
        <f t="shared" si="345"/>
        <v>o</v>
      </c>
      <c r="I255" s="159">
        <v>249.99</v>
      </c>
      <c r="J255" s="159">
        <v>252.98</v>
      </c>
      <c r="K255" s="61">
        <f t="shared" si="346"/>
        <v>1.1960478419136687E-2</v>
      </c>
      <c r="L255" s="87">
        <f t="shared" si="347"/>
        <v>-5.9799999999999613</v>
      </c>
      <c r="M255" s="130">
        <f t="shared" si="450"/>
        <v>0</v>
      </c>
      <c r="N255" s="169">
        <f t="shared" si="348"/>
        <v>5.9799999999999613</v>
      </c>
      <c r="O255" s="169">
        <f>IF($J255="",#N/A,SUM($N$4:N255))</f>
        <v>318.17511614781222</v>
      </c>
      <c r="P255" s="174" t="str">
        <f t="shared" si="349"/>
        <v/>
      </c>
      <c r="Q255" s="174">
        <f>IF($J255="",#N/A,SUM($P$4:P255))</f>
        <v>607.38210612129978</v>
      </c>
      <c r="R255" s="178" t="str">
        <f t="shared" si="350"/>
        <v/>
      </c>
      <c r="S255" s="178">
        <f>IF($J255="",#N/A,SUM($R$4:R255))</f>
        <v>97.245734878720697</v>
      </c>
      <c r="T255" s="290">
        <f t="shared" si="351"/>
        <v>0.19934130698561148</v>
      </c>
      <c r="U255" s="290">
        <f>IF($J255="",#N/A,SUM($T$4:T255))</f>
        <v>11.848740855801125</v>
      </c>
      <c r="V255" s="291" t="str">
        <f t="shared" si="352"/>
        <v/>
      </c>
      <c r="W255" s="291">
        <f>IF($J255="",#N/A,SUM($V$4:V255))</f>
        <v>25.220376742088675</v>
      </c>
      <c r="X255" s="292" t="str">
        <f t="shared" si="353"/>
        <v/>
      </c>
      <c r="Y255" s="292">
        <f>IF($J255="",#N/A,SUM($X$4:X255))</f>
        <v>3.6409635894653576</v>
      </c>
      <c r="Z255" s="304" t="str">
        <f t="shared" si="354"/>
        <v/>
      </c>
      <c r="AA255" s="313" t="e">
        <f>IF($J255="",#N/A,SUM(Z$4:Z255))</f>
        <v>#N/A</v>
      </c>
      <c r="AB255" s="314" t="str">
        <f t="shared" si="355"/>
        <v/>
      </c>
      <c r="AC255" s="314" t="e">
        <f>IF($J255="",#N/A,SUM(AB$4:AB255))</f>
        <v>#N/A</v>
      </c>
      <c r="AD255" s="315" t="str">
        <f t="shared" si="356"/>
        <v/>
      </c>
      <c r="AE255" s="315" t="e">
        <f>IF($J255="",#N/A,SUM(AD$4:AD255))</f>
        <v>#N/A</v>
      </c>
      <c r="AF255" s="315" t="e">
        <f>IF($J255="",#N/A,SUM(AD$4:AD255,AB$4:AB255,Z$4:Z255))</f>
        <v>#N/A</v>
      </c>
      <c r="AG255" s="304" t="str">
        <f t="shared" si="357"/>
        <v/>
      </c>
      <c r="AH255" s="313" t="e">
        <f>IF($J255="",#N/A,SUM(AG$4:AG255))</f>
        <v>#N/A</v>
      </c>
      <c r="AI255" s="314" t="str">
        <f t="shared" si="358"/>
        <v/>
      </c>
      <c r="AJ255" s="314" t="e">
        <f>IF($J255="",#N/A,SUM(AI$4:AI255))</f>
        <v>#N/A</v>
      </c>
      <c r="AK255" s="315" t="str">
        <f t="shared" si="359"/>
        <v/>
      </c>
      <c r="AL255" s="315" t="e">
        <f>IF($J255="",#N/A,SUM(AK$4:AK255))</f>
        <v>#N/A</v>
      </c>
      <c r="AM255" s="315" t="e">
        <f>IF($J255="",#N/A,SUM(AK$4:AK255,AI$4:AI255,AG$4:AG255))</f>
        <v>#N/A</v>
      </c>
      <c r="AN255" s="304" t="str">
        <f t="shared" si="360"/>
        <v/>
      </c>
      <c r="AO255" s="313" t="e">
        <f>IF($J255="",#N/A,SUM(AN$4:AN255))</f>
        <v>#N/A</v>
      </c>
      <c r="AP255" s="314" t="str">
        <f t="shared" si="361"/>
        <v/>
      </c>
      <c r="AQ255" s="314" t="e">
        <f>IF($J255="",#N/A,SUM(AP$4:AP255))</f>
        <v>#N/A</v>
      </c>
      <c r="AR255" s="315" t="str">
        <f t="shared" si="362"/>
        <v/>
      </c>
      <c r="AS255" s="315" t="e">
        <f>IF($J255="",#N/A,SUM(AR$4:AR255))</f>
        <v>#N/A</v>
      </c>
      <c r="AT255" s="315" t="e">
        <f>IF($J255="",#N/A,SUM(AR$4:AR255,AP$4:AP255,AN$4:AN255))</f>
        <v>#N/A</v>
      </c>
      <c r="AU255" s="304" t="str">
        <f t="shared" si="363"/>
        <v/>
      </c>
      <c r="AV255" s="313" t="e">
        <f>IF($J255="",#N/A,SUM(AU$4:AU255))</f>
        <v>#N/A</v>
      </c>
      <c r="AW255" s="314" t="str">
        <f t="shared" si="364"/>
        <v/>
      </c>
      <c r="AX255" s="314" t="e">
        <f>IF($J255="",#N/A,SUM(AW$4:AW255))</f>
        <v>#N/A</v>
      </c>
      <c r="AY255" s="315" t="str">
        <f t="shared" si="365"/>
        <v/>
      </c>
      <c r="AZ255" s="315" t="e">
        <f>IF($J255="",#N/A,SUM(AY$4:AY255))</f>
        <v>#N/A</v>
      </c>
      <c r="BA255" s="315" t="e">
        <f>IF($J255="",#N/A,SUM(AY$4:AY255,AW$4:AW255,AU$4:AU255))</f>
        <v>#N/A</v>
      </c>
      <c r="BB255" s="304" t="str">
        <f t="shared" si="366"/>
        <v/>
      </c>
      <c r="BC255" s="313" t="e">
        <f>IF($J255="",#N/A,SUM(BB$4:BB255))</f>
        <v>#N/A</v>
      </c>
      <c r="BD255" s="314" t="str">
        <f t="shared" si="367"/>
        <v/>
      </c>
      <c r="BE255" s="314" t="e">
        <f>IF($J255="",#N/A,SUM(BD$4:BD255))</f>
        <v>#N/A</v>
      </c>
      <c r="BF255" s="315" t="str">
        <f t="shared" si="368"/>
        <v/>
      </c>
      <c r="BG255" s="315" t="e">
        <f>IF($J255="",#N/A,SUM(BF$4:BF255))</f>
        <v>#N/A</v>
      </c>
      <c r="BH255" s="315" t="e">
        <f>IF($J255="",#N/A,SUM(BF$4:BF255,BD$4:BD255,BB$4:BB255))</f>
        <v>#N/A</v>
      </c>
      <c r="BI255" s="304" t="str">
        <f t="shared" si="369"/>
        <v/>
      </c>
      <c r="BJ255" s="313" t="e">
        <f>IF($J255="",#N/A,SUM(BI$4:BI255))</f>
        <v>#N/A</v>
      </c>
      <c r="BK255" s="314" t="str">
        <f t="shared" si="370"/>
        <v/>
      </c>
      <c r="BL255" s="314" t="e">
        <f>IF($J255="",#N/A,SUM(BK$4:BK255))</f>
        <v>#N/A</v>
      </c>
      <c r="BM255" s="315" t="str">
        <f t="shared" si="371"/>
        <v/>
      </c>
      <c r="BN255" s="315" t="e">
        <f>IF($J255="",#N/A,SUM(BM$4:BM255))</f>
        <v>#N/A</v>
      </c>
      <c r="BO255" s="315" t="e">
        <f>IF($J255="",#N/A,SUM(BM$4:BM255,BK$4:BK255,BI$4:BI255))</f>
        <v>#N/A</v>
      </c>
      <c r="BP255" s="304" t="str">
        <f t="shared" si="372"/>
        <v/>
      </c>
      <c r="BQ255" s="313" t="e">
        <f>IF($J255="",#N/A,SUM(BP$4:BP255))</f>
        <v>#N/A</v>
      </c>
      <c r="BR255" s="314" t="str">
        <f t="shared" si="373"/>
        <v/>
      </c>
      <c r="BS255" s="314" t="e">
        <f>IF($J255="",#N/A,SUM(BR$4:BR255))</f>
        <v>#N/A</v>
      </c>
      <c r="BT255" s="315" t="str">
        <f t="shared" si="374"/>
        <v/>
      </c>
      <c r="BU255" s="315" t="e">
        <f>IF($J255="",#N/A,SUM(BT$4:BT255))</f>
        <v>#N/A</v>
      </c>
      <c r="BV255" s="315" t="e">
        <f>IF($J255="",#N/A,SUM(BT$4:BT255,BR$4:BR255,BP$4:BP255))</f>
        <v>#N/A</v>
      </c>
      <c r="BW255" s="304">
        <f t="shared" si="375"/>
        <v>0.19934130698561148</v>
      </c>
      <c r="BX255" s="313" t="e">
        <f>IF($J255="",#N/A,SUM(BW$4:BW255))</f>
        <v>#N/A</v>
      </c>
      <c r="BY255" s="314" t="str">
        <f t="shared" si="376"/>
        <v/>
      </c>
      <c r="BZ255" s="314" t="e">
        <f>IF($J255="",#N/A,SUM(BY$4:BY255))</f>
        <v>#N/A</v>
      </c>
      <c r="CA255" s="315" t="str">
        <f t="shared" si="377"/>
        <v/>
      </c>
      <c r="CB255" s="315" t="e">
        <f>IF($J255="",#N/A,SUM(CA$4:CA255))</f>
        <v>#N/A</v>
      </c>
      <c r="CC255" s="315" t="e">
        <f>IF($J255="",#N/A,SUM(CA$4:CA255,BY$4:BY255,BW$4:BW255))</f>
        <v>#N/A</v>
      </c>
      <c r="CD255" s="304" t="str">
        <f t="shared" si="378"/>
        <v/>
      </c>
      <c r="CE255" s="313" t="e">
        <f>IF($J255="",#N/A,SUM(CD$4:CD255))</f>
        <v>#N/A</v>
      </c>
      <c r="CF255" s="314" t="str">
        <f t="shared" si="379"/>
        <v/>
      </c>
      <c r="CG255" s="314" t="e">
        <f>IF($J255="",#N/A,SUM(CF$4:CF255))</f>
        <v>#N/A</v>
      </c>
      <c r="CH255" s="315" t="str">
        <f t="shared" si="380"/>
        <v/>
      </c>
      <c r="CI255" s="315" t="e">
        <f>IF($J255="",#N/A,SUM(CH$4:CH255))</f>
        <v>#N/A</v>
      </c>
      <c r="CJ255" s="315" t="e">
        <f>IF($J255="",#N/A,SUM(CH$4:CH255,CF$4:CF255,CD$4:CD255))</f>
        <v>#N/A</v>
      </c>
      <c r="CK255" s="304" t="str">
        <f t="shared" si="381"/>
        <v/>
      </c>
      <c r="CL255" s="313" t="e">
        <f>IF($J255="",#N/A,SUM(CK$4:CK255))</f>
        <v>#N/A</v>
      </c>
      <c r="CM255" s="314" t="str">
        <f t="shared" si="382"/>
        <v/>
      </c>
      <c r="CN255" s="314" t="e">
        <f>IF($J255="",#N/A,SUM(CM$4:CM255))</f>
        <v>#N/A</v>
      </c>
      <c r="CO255" s="315" t="str">
        <f t="shared" si="383"/>
        <v/>
      </c>
      <c r="CP255" s="315" t="e">
        <f>IF($J255="",#N/A,SUM(CO$4:CO255))</f>
        <v>#N/A</v>
      </c>
      <c r="CQ255" s="315" t="e">
        <f>IF($J255="",#N/A,SUM(CO$4:CO255,CM$4:CM255,CK$4:CK255))</f>
        <v>#N/A</v>
      </c>
      <c r="CR255" s="304" t="str">
        <f t="shared" si="384"/>
        <v/>
      </c>
      <c r="CS255" s="313" t="e">
        <f>IF($J255="",#N/A,SUM(CR$4:CR255))</f>
        <v>#N/A</v>
      </c>
      <c r="CT255" s="314" t="str">
        <f t="shared" si="385"/>
        <v/>
      </c>
      <c r="CU255" s="314" t="e">
        <f>IF($J255="",#N/A,SUM(CT$4:CT255))</f>
        <v>#N/A</v>
      </c>
      <c r="CV255" s="315" t="str">
        <f t="shared" si="386"/>
        <v/>
      </c>
      <c r="CW255" s="315" t="e">
        <f>IF($J255="",#N/A,SUM(CV$4:CV255))</f>
        <v>#N/A</v>
      </c>
      <c r="CX255" s="315" t="e">
        <f>IF($J255="",#N/A,SUM(CV$4:CV255,CT$4:CT255,CR$4:CR255))</f>
        <v>#N/A</v>
      </c>
      <c r="CY255" s="304" t="str">
        <f t="shared" si="387"/>
        <v/>
      </c>
      <c r="CZ255" s="313" t="e">
        <f>IF($J255="",#N/A,SUM(CY$4:CY255))</f>
        <v>#N/A</v>
      </c>
      <c r="DA255" s="314" t="str">
        <f t="shared" si="388"/>
        <v/>
      </c>
      <c r="DB255" s="314" t="e">
        <f>IF($J255="",#N/A,SUM(DA$4:DA255))</f>
        <v>#N/A</v>
      </c>
      <c r="DC255" s="315" t="str">
        <f t="shared" si="389"/>
        <v/>
      </c>
      <c r="DD255" s="315" t="e">
        <f>IF($J255="",#N/A,SUM(DC$4:DC255))</f>
        <v>#N/A</v>
      </c>
      <c r="DE255" s="315" t="e">
        <f>IF($J255="",#N/A,SUM(DC$4:DC255,DA$4:DA255,CY$4:CY255))</f>
        <v>#N/A</v>
      </c>
      <c r="DF255" s="304" t="str">
        <f t="shared" si="390"/>
        <v/>
      </c>
      <c r="DG255" s="313" t="e">
        <f>IF($J255="",#N/A,SUM(DF$4:DF255))</f>
        <v>#N/A</v>
      </c>
      <c r="DH255" s="314" t="str">
        <f t="shared" si="391"/>
        <v/>
      </c>
      <c r="DI255" s="314" t="e">
        <f>IF($J255="",#N/A,SUM(DH$4:DH255))</f>
        <v>#N/A</v>
      </c>
      <c r="DJ255" s="315" t="str">
        <f t="shared" si="392"/>
        <v/>
      </c>
      <c r="DK255" s="315" t="e">
        <f>IF($J255="",#N/A,SUM(DJ$4:DJ255))</f>
        <v>#N/A</v>
      </c>
      <c r="DL255" s="315" t="e">
        <f>IF($J255="",#N/A,SUM(DJ$4:DJ255,DH$4:DH255,DF$4:DF255))</f>
        <v>#N/A</v>
      </c>
      <c r="DM255" s="304" t="str">
        <f t="shared" si="393"/>
        <v/>
      </c>
      <c r="DN255" s="313" t="e">
        <f>IF($J255="",#N/A,SUM(DM$4:DM255))</f>
        <v>#N/A</v>
      </c>
      <c r="DO255" s="314" t="str">
        <f t="shared" si="394"/>
        <v/>
      </c>
      <c r="DP255" s="314" t="e">
        <f>IF($J255="",#N/A,SUM(DO$4:DO255))</f>
        <v>#N/A</v>
      </c>
      <c r="DQ255" s="315" t="str">
        <f t="shared" si="395"/>
        <v/>
      </c>
      <c r="DR255" s="315" t="e">
        <f>IF($J255="",#N/A,SUM(DQ$4:DQ255))</f>
        <v>#N/A</v>
      </c>
      <c r="DS255" s="315" t="e">
        <f>IF($J255="",#N/A,SUM(DQ$4:DQ255,DO$4:DO255,DM$4:DM255))</f>
        <v>#N/A</v>
      </c>
      <c r="DT255" s="304" t="str">
        <f t="shared" si="396"/>
        <v/>
      </c>
      <c r="DU255" s="313" t="e">
        <f>IF($J255="",#N/A,SUM(DT$4:DT255))</f>
        <v>#N/A</v>
      </c>
      <c r="DV255" s="314" t="str">
        <f t="shared" si="397"/>
        <v/>
      </c>
      <c r="DW255" s="314" t="e">
        <f>IF($J255="",#N/A,SUM(DV$4:DV255))</f>
        <v>#N/A</v>
      </c>
      <c r="DX255" s="315" t="str">
        <f t="shared" si="398"/>
        <v/>
      </c>
      <c r="DY255" s="315" t="e">
        <f>IF($J255="",#N/A,SUM(DX$4:DX255))</f>
        <v>#N/A</v>
      </c>
      <c r="DZ255" s="315" t="e">
        <f>IF($J255="",#N/A,SUM(DX$4:DX255,DV$4:DV255,DT$4:DT255))</f>
        <v>#N/A</v>
      </c>
      <c r="EA255" s="304" t="str">
        <f t="shared" si="399"/>
        <v/>
      </c>
      <c r="EB255" s="313" t="e">
        <f>IF($J255="",#N/A,SUM(EA$4:EA255))</f>
        <v>#N/A</v>
      </c>
      <c r="EC255" s="314" t="str">
        <f t="shared" si="400"/>
        <v/>
      </c>
      <c r="ED255" s="314" t="e">
        <f>IF($J255="",#N/A,SUM(EC$4:EC255))</f>
        <v>#N/A</v>
      </c>
      <c r="EE255" s="315" t="str">
        <f t="shared" si="401"/>
        <v/>
      </c>
      <c r="EF255" s="315" t="e">
        <f>IF($J255="",#N/A,SUM(EE$4:EE255))</f>
        <v>#N/A</v>
      </c>
      <c r="EG255" s="315" t="e">
        <f>IF($J255="",#N/A,SUM(EE$4:EE255,EC$4:EC255,EA$4:EA255))</f>
        <v>#N/A</v>
      </c>
      <c r="EH255" s="130">
        <f t="shared" si="402"/>
        <v>5.9799999999999613</v>
      </c>
      <c r="EI255" s="63">
        <f>IF(EH255="",#N/A,SUM($EH$4:EH255))</f>
        <v>1022.8029571478328</v>
      </c>
      <c r="EJ255" s="223" t="e">
        <f t="shared" si="403"/>
        <v>#N/A</v>
      </c>
      <c r="EK255" s="63" t="e">
        <f>IF($GZ255="",#N/A,SUM(EJ$4:EJ255))</f>
        <v>#N/A</v>
      </c>
      <c r="EL255" s="60">
        <f t="shared" si="435"/>
        <v>0.19934130698561148</v>
      </c>
      <c r="EM255" s="60">
        <f>IF(EL255="",NA(),SUM($EL$4:EL255))</f>
        <v>30.889501481099021</v>
      </c>
      <c r="EN255" s="60">
        <f t="shared" si="404"/>
        <v>0.19934130698561148</v>
      </c>
      <c r="EO255" s="60">
        <f>IF(EN255="",NA(),SUM($EN$4:EN255))</f>
        <v>9.8920340311504003</v>
      </c>
      <c r="EP255" s="60" t="str">
        <f t="shared" si="405"/>
        <v/>
      </c>
      <c r="EQ255" s="60" t="e">
        <f>IF(EP255="",NA(),SUM($EP$4:EP255))</f>
        <v>#N/A</v>
      </c>
      <c r="ER255" s="60" t="str">
        <f t="shared" si="406"/>
        <v/>
      </c>
      <c r="ES255" s="60" t="e">
        <f>IF(ER255="",NA(),SUM($ER$4:ER255))</f>
        <v>#N/A</v>
      </c>
      <c r="ET255" s="60" t="str">
        <f t="shared" si="407"/>
        <v/>
      </c>
      <c r="EU255" s="60" t="e">
        <f>IF(ET255="",NA(),SUM($ET$4:ET255))</f>
        <v>#N/A</v>
      </c>
      <c r="EV255" s="60" t="str">
        <f t="shared" si="408"/>
        <v/>
      </c>
      <c r="EW255" s="60" t="e">
        <f>IF(EV255="",NA(),SUM($EV$4:EV255))</f>
        <v>#N/A</v>
      </c>
      <c r="EX255" s="60" t="str">
        <f t="shared" si="409"/>
        <v/>
      </c>
      <c r="EY255" s="60" t="e">
        <f>IF(EX255="",NA(),SUM($EX$4:EX255))</f>
        <v>#N/A</v>
      </c>
      <c r="EZ255" s="60" t="str">
        <f t="shared" si="410"/>
        <v/>
      </c>
      <c r="FA255" s="60" t="e">
        <f>IF(EZ255="",NA(),SUM($EZ$4:EZ255))</f>
        <v>#N/A</v>
      </c>
      <c r="FB255" s="246" t="str">
        <f t="shared" si="436"/>
        <v/>
      </c>
      <c r="FC255" s="246" t="e">
        <f>IF($FB255="",#N/A,SUM(FB$4:$FB255))</f>
        <v>#N/A</v>
      </c>
      <c r="FD255" s="60" t="str">
        <f t="shared" si="411"/>
        <v/>
      </c>
      <c r="FE255" s="60" t="e">
        <f>IF($FD255="",#N/A,SUM($FD$4:FD255))</f>
        <v>#N/A</v>
      </c>
      <c r="FF255" s="60">
        <f t="shared" si="412"/>
        <v>-0.34934730722562107</v>
      </c>
      <c r="FG255" s="60">
        <f>IF($FF255="",#N/A,SUM($FF$4:FF255))</f>
        <v>-2.0927768896374688</v>
      </c>
      <c r="FH255" s="60" t="str">
        <f t="shared" si="413"/>
        <v/>
      </c>
      <c r="FI255" s="60" t="e">
        <f>IF($FH255="",#N/A,SUM($FH$4:FH255))</f>
        <v>#N/A</v>
      </c>
      <c r="FJ255" s="60" t="str">
        <f t="shared" si="414"/>
        <v/>
      </c>
      <c r="FK255" s="60" t="e">
        <f>IF($FJ255="",#N/A,SUM($FJ$4:FJ255))</f>
        <v>#N/A</v>
      </c>
      <c r="FL255" s="60" t="str">
        <f t="shared" si="415"/>
        <v/>
      </c>
      <c r="FM255" s="60" t="e">
        <f>IF($FL255="",#N/A,SUM($FL$4:FL255))</f>
        <v>#N/A</v>
      </c>
      <c r="FN255" s="82">
        <f t="shared" si="416"/>
        <v>-0.1500060002400096</v>
      </c>
      <c r="FO255" s="82">
        <f>IF($FN255="",#N/A,SUM(FN$4:$FN255))</f>
        <v>40.472914155998836</v>
      </c>
      <c r="FP255" s="82">
        <f t="shared" si="437"/>
        <v>0.19934130698561148</v>
      </c>
      <c r="FQ255" s="246">
        <f>IF($EH255="",#N/A,SUM($FP$4:FP255))</f>
        <v>40.710081187355144</v>
      </c>
      <c r="FR255" s="82">
        <f>IFERROR(FQ255/COUNTA($J$4:J255),#N/A)</f>
        <v>0.16154794121966326</v>
      </c>
      <c r="FS255" s="82">
        <f t="shared" si="448"/>
        <v>0.23106193961018121</v>
      </c>
      <c r="FT255" s="82">
        <f t="shared" si="449"/>
        <v>0.2084632945409689</v>
      </c>
      <c r="FU255" s="337">
        <f>IF(AND(HB255="MOC",GZ255=""),#N/A,IFERROR(FQ255-HE255,FQ255-0))-14.53</f>
        <v>11.799373243672742</v>
      </c>
      <c r="FV255" s="57" t="str">
        <f t="shared" si="418"/>
        <v>Up</v>
      </c>
      <c r="FW255" s="57" t="s">
        <v>2733</v>
      </c>
      <c r="FX255" s="57">
        <f t="shared" si="419"/>
        <v>1</v>
      </c>
      <c r="FY255" s="57" t="str">
        <f t="shared" si="420"/>
        <v/>
      </c>
      <c r="FZ255" s="57" t="str">
        <f t="shared" si="421"/>
        <v/>
      </c>
      <c r="GA255" s="57" t="str">
        <f t="shared" si="422"/>
        <v>Long</v>
      </c>
      <c r="GB255" s="57" t="str">
        <f t="shared" si="423"/>
        <v/>
      </c>
      <c r="GC255" s="57" t="str">
        <f t="shared" si="424"/>
        <v/>
      </c>
      <c r="GD255" s="57" t="str">
        <f t="shared" si="425"/>
        <v/>
      </c>
      <c r="GE255" s="62">
        <f t="shared" si="451"/>
        <v>249.99</v>
      </c>
      <c r="GF255" s="62" t="s">
        <v>2780</v>
      </c>
      <c r="GG255" s="199">
        <v>2</v>
      </c>
      <c r="GH255" s="207">
        <f t="shared" si="426"/>
        <v>499.98</v>
      </c>
      <c r="GI255" s="199">
        <v>2</v>
      </c>
      <c r="GJ255" s="200">
        <v>252.98</v>
      </c>
      <c r="GK255" s="63">
        <f t="shared" si="427"/>
        <v>-5.9799999999999613</v>
      </c>
      <c r="GL255" s="63">
        <f t="shared" si="452"/>
        <v>4.5</v>
      </c>
      <c r="GM255" s="82" t="str">
        <f t="shared" si="428"/>
        <v/>
      </c>
      <c r="GN255" s="82">
        <f>IF($GZ255="",#N/A,SUM(GM$4:GM255))</f>
        <v>-2.4859571190693313</v>
      </c>
      <c r="GO255" s="82">
        <f t="shared" si="429"/>
        <v>-0.1500060002400096</v>
      </c>
      <c r="GP255" s="82">
        <f>IF($GZ255="",#N/A,SUM(GO$4:GO255))</f>
        <v>12.071642155998202</v>
      </c>
      <c r="GQ255" s="82" t="str">
        <f t="shared" si="430"/>
        <v/>
      </c>
      <c r="GR255" s="82">
        <f>IF($GZ255="",#N/A,SUM(GQ$4:GQ255))</f>
        <v>30.261392164627633</v>
      </c>
      <c r="GS255" s="63" t="str">
        <f t="shared" si="438"/>
        <v/>
      </c>
      <c r="GT255" s="63" t="e">
        <f>IF($GZ255="",#N/A,SUM(GS$4:GS255))</f>
        <v>#N/A</v>
      </c>
      <c r="GU255" s="63" t="e">
        <f t="shared" si="439"/>
        <v>#N/A</v>
      </c>
      <c r="GV255" s="63" t="e">
        <f>IF($GZ255="",#N/A,SUM(GU$4:GU255))</f>
        <v>#N/A</v>
      </c>
      <c r="GW255" s="63" t="str">
        <f t="shared" si="440"/>
        <v/>
      </c>
      <c r="GX255" s="63" t="e">
        <f>IF($GZ255="",#N/A,SUM(GW$4:GW255))</f>
        <v>#N/A</v>
      </c>
      <c r="GY255" s="63" t="e">
        <f>IF(EJ255="",#N/A,SUM($EJ$4:EJ255))</f>
        <v>#N/A</v>
      </c>
      <c r="GZ255" s="159">
        <v>247.74</v>
      </c>
      <c r="HA255" s="63">
        <f t="shared" si="431"/>
        <v>-1.4799999999999613</v>
      </c>
      <c r="HB255" s="62" t="s">
        <v>2538</v>
      </c>
      <c r="HC255" s="60">
        <f>IFERROR(VLOOKUP(E255,Expectancy!$P$4:$S$19,1+C255,FALSE),"")</f>
        <v>-0.45514116799985843</v>
      </c>
      <c r="HD255" s="82">
        <f t="shared" si="432"/>
        <v>-0.19934130698561148</v>
      </c>
      <c r="HE255" s="138">
        <f>IF(HD255="",#N/A,SUM($HD$4:HD255))</f>
        <v>14.380707943682404</v>
      </c>
      <c r="HF255" s="85">
        <f>IF(HD255="",#N/A,IF(HB255="Skip",#N/A,SUM($HG$4:HG255)))</f>
        <v>374.74156919911451</v>
      </c>
      <c r="HG255" s="63">
        <f t="shared" si="433"/>
        <v>-5.9799999999999613</v>
      </c>
      <c r="HH255" s="82">
        <f t="shared" si="434"/>
        <v>-0.1500060002400096</v>
      </c>
    </row>
    <row r="256" spans="1:216" x14ac:dyDescent="0.25">
      <c r="A256" s="57" t="s">
        <v>1545</v>
      </c>
      <c r="B256" s="58" t="s">
        <v>5231</v>
      </c>
      <c r="C256" s="386">
        <f t="shared" si="343"/>
        <v>3</v>
      </c>
      <c r="D256" s="372" t="str">
        <f>_xlfn.XLOOKUP(A256,[1]SP500!$A$2:$A$502,[1]SP500!$D$2:$D$502,"N")</f>
        <v>Y</v>
      </c>
      <c r="E256" s="57" t="str">
        <f>_xlfn.XLOOKUP(A256,[1]SP500!$A$2:$A$655,[1]SP500!$B$2:$B$655)</f>
        <v>XLI</v>
      </c>
      <c r="F256" s="59">
        <v>45694</v>
      </c>
      <c r="G256" s="57" t="str">
        <f t="shared" si="344"/>
        <v>BMO</v>
      </c>
      <c r="H256" s="57" t="str">
        <f t="shared" si="345"/>
        <v>o</v>
      </c>
      <c r="I256" s="162">
        <v>356.1</v>
      </c>
      <c r="J256" s="159">
        <v>346.26</v>
      </c>
      <c r="K256" s="61">
        <f t="shared" si="346"/>
        <v>-2.763268744734634E-2</v>
      </c>
      <c r="L256" s="87">
        <f t="shared" si="347"/>
        <v>-11.053074978938525</v>
      </c>
      <c r="M256" s="214" t="e">
        <f t="shared" si="450"/>
        <v>#N/A</v>
      </c>
      <c r="N256" s="168" t="str">
        <f t="shared" si="348"/>
        <v/>
      </c>
      <c r="O256" s="168">
        <f>IF($J256="",#N/A,SUM($N$4:N256))</f>
        <v>318.17511614781222</v>
      </c>
      <c r="P256" s="173" t="str">
        <f t="shared" si="349"/>
        <v/>
      </c>
      <c r="Q256" s="173">
        <f>IF($J256="",#N/A,SUM($P$4:P256))</f>
        <v>607.38210612129978</v>
      </c>
      <c r="R256" s="177">
        <f t="shared" si="350"/>
        <v>-11.053074978938525</v>
      </c>
      <c r="S256" s="177">
        <f>IF($J256="",#N/A,SUM($R$4:R256))</f>
        <v>86.192659899782171</v>
      </c>
      <c r="T256" s="293" t="str">
        <f t="shared" si="351"/>
        <v/>
      </c>
      <c r="U256" s="293">
        <f>IF($J256="",#N/A,SUM($T$4:T256))</f>
        <v>11.848740855801125</v>
      </c>
      <c r="V256" s="294" t="str">
        <f t="shared" si="352"/>
        <v/>
      </c>
      <c r="W256" s="294">
        <f>IF($J256="",#N/A,SUM($V$4:V256))</f>
        <v>25.220376742088675</v>
      </c>
      <c r="X256" s="295">
        <f t="shared" si="353"/>
        <v>-0.46054479078910521</v>
      </c>
      <c r="Y256" s="295">
        <f>IF($J256="",#N/A,SUM($X$4:X256))</f>
        <v>3.1804187986762522</v>
      </c>
      <c r="Z256" s="304" t="str">
        <f t="shared" si="354"/>
        <v/>
      </c>
      <c r="AA256" s="316" t="e">
        <f>IF($J256="",#N/A,SUM(Z$4:Z256))</f>
        <v>#N/A</v>
      </c>
      <c r="AB256" s="317" t="str">
        <f t="shared" si="355"/>
        <v/>
      </c>
      <c r="AC256" s="317" t="e">
        <f>IF($J256="",#N/A,SUM(AB$4:AB256))</f>
        <v>#N/A</v>
      </c>
      <c r="AD256" s="318" t="str">
        <f t="shared" si="356"/>
        <v/>
      </c>
      <c r="AE256" s="318" t="e">
        <f>IF($J256="",#N/A,SUM(AD$4:AD256))</f>
        <v>#N/A</v>
      </c>
      <c r="AF256" s="318" t="e">
        <f>IF($J256="",#N/A,SUM(AD$4:AD256,AB$4:AB256,Z$4:Z256))</f>
        <v>#N/A</v>
      </c>
      <c r="AG256" s="304" t="str">
        <f t="shared" si="357"/>
        <v/>
      </c>
      <c r="AH256" s="316" t="e">
        <f>IF($J256="",#N/A,SUM(AG$4:AG256))</f>
        <v>#N/A</v>
      </c>
      <c r="AI256" s="317" t="str">
        <f t="shared" si="358"/>
        <v/>
      </c>
      <c r="AJ256" s="317" t="e">
        <f>IF($J256="",#N/A,SUM(AI$4:AI256))</f>
        <v>#N/A</v>
      </c>
      <c r="AK256" s="318" t="str">
        <f t="shared" si="359"/>
        <v/>
      </c>
      <c r="AL256" s="318" t="e">
        <f>IF($J256="",#N/A,SUM(AK$4:AK256))</f>
        <v>#N/A</v>
      </c>
      <c r="AM256" s="318" t="e">
        <f>IF($J256="",#N/A,SUM(AK$4:AK256,AI$4:AI256,AG$4:AG256))</f>
        <v>#N/A</v>
      </c>
      <c r="AN256" s="304" t="str">
        <f t="shared" si="360"/>
        <v/>
      </c>
      <c r="AO256" s="316" t="e">
        <f>IF($J256="",#N/A,SUM(AN$4:AN256))</f>
        <v>#N/A</v>
      </c>
      <c r="AP256" s="317" t="str">
        <f t="shared" si="361"/>
        <v/>
      </c>
      <c r="AQ256" s="317" t="e">
        <f>IF($J256="",#N/A,SUM(AP$4:AP256))</f>
        <v>#N/A</v>
      </c>
      <c r="AR256" s="318" t="str">
        <f t="shared" si="362"/>
        <v/>
      </c>
      <c r="AS256" s="318" t="e">
        <f>IF($J256="",#N/A,SUM(AR$4:AR256))</f>
        <v>#N/A</v>
      </c>
      <c r="AT256" s="318" t="e">
        <f>IF($J256="",#N/A,SUM(AR$4:AR256,AP$4:AP256,AN$4:AN256))</f>
        <v>#N/A</v>
      </c>
      <c r="AU256" s="304" t="str">
        <f t="shared" si="363"/>
        <v/>
      </c>
      <c r="AV256" s="316" t="e">
        <f>IF($J256="",#N/A,SUM(AU$4:AU256))</f>
        <v>#N/A</v>
      </c>
      <c r="AW256" s="317" t="str">
        <f t="shared" si="364"/>
        <v/>
      </c>
      <c r="AX256" s="317" t="e">
        <f>IF($J256="",#N/A,SUM(AW$4:AW256))</f>
        <v>#N/A</v>
      </c>
      <c r="AY256" s="318" t="str">
        <f t="shared" si="365"/>
        <v/>
      </c>
      <c r="AZ256" s="318" t="e">
        <f>IF($J256="",#N/A,SUM(AY$4:AY256))</f>
        <v>#N/A</v>
      </c>
      <c r="BA256" s="318" t="e">
        <f>IF($J256="",#N/A,SUM(AY$4:AY256,AW$4:AW256,AU$4:AU256))</f>
        <v>#N/A</v>
      </c>
      <c r="BB256" s="304" t="str">
        <f t="shared" si="366"/>
        <v/>
      </c>
      <c r="BC256" s="316" t="e">
        <f>IF($J256="",#N/A,SUM(BB$4:BB256))</f>
        <v>#N/A</v>
      </c>
      <c r="BD256" s="317" t="str">
        <f t="shared" si="367"/>
        <v/>
      </c>
      <c r="BE256" s="317" t="e">
        <f>IF($J256="",#N/A,SUM(BD$4:BD256))</f>
        <v>#N/A</v>
      </c>
      <c r="BF256" s="318" t="str">
        <f t="shared" si="368"/>
        <v/>
      </c>
      <c r="BG256" s="318" t="e">
        <f>IF($J256="",#N/A,SUM(BF$4:BF256))</f>
        <v>#N/A</v>
      </c>
      <c r="BH256" s="318" t="e">
        <f>IF($J256="",#N/A,SUM(BF$4:BF256,BD$4:BD256,BB$4:BB256))</f>
        <v>#N/A</v>
      </c>
      <c r="BI256" s="304" t="str">
        <f t="shared" si="369"/>
        <v/>
      </c>
      <c r="BJ256" s="316" t="e">
        <f>IF($J256="",#N/A,SUM(BI$4:BI256))</f>
        <v>#N/A</v>
      </c>
      <c r="BK256" s="317" t="str">
        <f t="shared" si="370"/>
        <v/>
      </c>
      <c r="BL256" s="317" t="e">
        <f>IF($J256="",#N/A,SUM(BK$4:BK256))</f>
        <v>#N/A</v>
      </c>
      <c r="BM256" s="318" t="str">
        <f t="shared" si="371"/>
        <v/>
      </c>
      <c r="BN256" s="318" t="e">
        <f>IF($J256="",#N/A,SUM(BM$4:BM256))</f>
        <v>#N/A</v>
      </c>
      <c r="BO256" s="318" t="e">
        <f>IF($J256="",#N/A,SUM(BM$4:BM256,BK$4:BK256,BI$4:BI256))</f>
        <v>#N/A</v>
      </c>
      <c r="BP256" s="304" t="str">
        <f t="shared" si="372"/>
        <v/>
      </c>
      <c r="BQ256" s="316" t="e">
        <f>IF($J256="",#N/A,SUM(BP$4:BP256))</f>
        <v>#N/A</v>
      </c>
      <c r="BR256" s="317" t="str">
        <f t="shared" si="373"/>
        <v/>
      </c>
      <c r="BS256" s="317" t="e">
        <f>IF($J256="",#N/A,SUM(BR$4:BR256))</f>
        <v>#N/A</v>
      </c>
      <c r="BT256" s="318">
        <f t="shared" si="374"/>
        <v>-0.46054479078910521</v>
      </c>
      <c r="BU256" s="318" t="e">
        <f>IF($J256="",#N/A,SUM(BT$4:BT256))</f>
        <v>#N/A</v>
      </c>
      <c r="BV256" s="318" t="e">
        <f>IF($J256="",#N/A,SUM(BT$4:BT256,BR$4:BR256,BP$4:BP256))</f>
        <v>#N/A</v>
      </c>
      <c r="BW256" s="304" t="str">
        <f t="shared" si="375"/>
        <v/>
      </c>
      <c r="BX256" s="316" t="e">
        <f>IF($J256="",#N/A,SUM(BW$4:BW256))</f>
        <v>#N/A</v>
      </c>
      <c r="BY256" s="317" t="str">
        <f t="shared" si="376"/>
        <v/>
      </c>
      <c r="BZ256" s="317" t="e">
        <f>IF($J256="",#N/A,SUM(BY$4:BY256))</f>
        <v>#N/A</v>
      </c>
      <c r="CA256" s="318" t="str">
        <f t="shared" si="377"/>
        <v/>
      </c>
      <c r="CB256" s="318" t="e">
        <f>IF($J256="",#N/A,SUM(CA$4:CA256))</f>
        <v>#N/A</v>
      </c>
      <c r="CC256" s="318" t="e">
        <f>IF($J256="",#N/A,SUM(CA$4:CA256,BY$4:BY256,BW$4:BW256))</f>
        <v>#N/A</v>
      </c>
      <c r="CD256" s="304" t="str">
        <f t="shared" si="378"/>
        <v/>
      </c>
      <c r="CE256" s="316" t="e">
        <f>IF($J256="",#N/A,SUM(CD$4:CD256))</f>
        <v>#N/A</v>
      </c>
      <c r="CF256" s="317" t="str">
        <f t="shared" si="379"/>
        <v/>
      </c>
      <c r="CG256" s="317" t="e">
        <f>IF($J256="",#N/A,SUM(CF$4:CF256))</f>
        <v>#N/A</v>
      </c>
      <c r="CH256" s="318" t="str">
        <f t="shared" si="380"/>
        <v/>
      </c>
      <c r="CI256" s="318" t="e">
        <f>IF($J256="",#N/A,SUM(CH$4:CH256))</f>
        <v>#N/A</v>
      </c>
      <c r="CJ256" s="318" t="e">
        <f>IF($J256="",#N/A,SUM(CH$4:CH256,CF$4:CF256,CD$4:CD256))</f>
        <v>#N/A</v>
      </c>
      <c r="CK256" s="304" t="str">
        <f t="shared" si="381"/>
        <v/>
      </c>
      <c r="CL256" s="316" t="e">
        <f>IF($J256="",#N/A,SUM(CK$4:CK256))</f>
        <v>#N/A</v>
      </c>
      <c r="CM256" s="317" t="str">
        <f t="shared" si="382"/>
        <v/>
      </c>
      <c r="CN256" s="317" t="e">
        <f>IF($J256="",#N/A,SUM(CM$4:CM256))</f>
        <v>#N/A</v>
      </c>
      <c r="CO256" s="318" t="str">
        <f t="shared" si="383"/>
        <v/>
      </c>
      <c r="CP256" s="318" t="e">
        <f>IF($J256="",#N/A,SUM(CO$4:CO256))</f>
        <v>#N/A</v>
      </c>
      <c r="CQ256" s="318" t="e">
        <f>IF($J256="",#N/A,SUM(CO$4:CO256,CM$4:CM256,CK$4:CK256))</f>
        <v>#N/A</v>
      </c>
      <c r="CR256" s="304" t="str">
        <f t="shared" si="384"/>
        <v/>
      </c>
      <c r="CS256" s="316" t="e">
        <f>IF($J256="",#N/A,SUM(CR$4:CR256))</f>
        <v>#N/A</v>
      </c>
      <c r="CT256" s="317" t="str">
        <f t="shared" si="385"/>
        <v/>
      </c>
      <c r="CU256" s="317" t="e">
        <f>IF($J256="",#N/A,SUM(CT$4:CT256))</f>
        <v>#N/A</v>
      </c>
      <c r="CV256" s="318" t="str">
        <f t="shared" si="386"/>
        <v/>
      </c>
      <c r="CW256" s="318" t="e">
        <f>IF($J256="",#N/A,SUM(CV$4:CV256))</f>
        <v>#N/A</v>
      </c>
      <c r="CX256" s="318" t="e">
        <f>IF($J256="",#N/A,SUM(CV$4:CV256,CT$4:CT256,CR$4:CR256))</f>
        <v>#N/A</v>
      </c>
      <c r="CY256" s="304" t="str">
        <f t="shared" si="387"/>
        <v/>
      </c>
      <c r="CZ256" s="316" t="e">
        <f>IF($J256="",#N/A,SUM(CY$4:CY256))</f>
        <v>#N/A</v>
      </c>
      <c r="DA256" s="317" t="str">
        <f t="shared" si="388"/>
        <v/>
      </c>
      <c r="DB256" s="317" t="e">
        <f>IF($J256="",#N/A,SUM(DA$4:DA256))</f>
        <v>#N/A</v>
      </c>
      <c r="DC256" s="318" t="str">
        <f t="shared" si="389"/>
        <v/>
      </c>
      <c r="DD256" s="318" t="e">
        <f>IF($J256="",#N/A,SUM(DC$4:DC256))</f>
        <v>#N/A</v>
      </c>
      <c r="DE256" s="318" t="e">
        <f>IF($J256="",#N/A,SUM(DC$4:DC256,DA$4:DA256,CY$4:CY256))</f>
        <v>#N/A</v>
      </c>
      <c r="DF256" s="304" t="str">
        <f t="shared" si="390"/>
        <v/>
      </c>
      <c r="DG256" s="316" t="e">
        <f>IF($J256="",#N/A,SUM(DF$4:DF256))</f>
        <v>#N/A</v>
      </c>
      <c r="DH256" s="317" t="str">
        <f t="shared" si="391"/>
        <v/>
      </c>
      <c r="DI256" s="317" t="e">
        <f>IF($J256="",#N/A,SUM(DH$4:DH256))</f>
        <v>#N/A</v>
      </c>
      <c r="DJ256" s="318" t="str">
        <f t="shared" si="392"/>
        <v/>
      </c>
      <c r="DK256" s="318" t="e">
        <f>IF($J256="",#N/A,SUM(DJ$4:DJ256))</f>
        <v>#N/A</v>
      </c>
      <c r="DL256" s="318" t="e">
        <f>IF($J256="",#N/A,SUM(DJ$4:DJ256,DH$4:DH256,DF$4:DF256))</f>
        <v>#N/A</v>
      </c>
      <c r="DM256" s="304" t="str">
        <f t="shared" si="393"/>
        <v/>
      </c>
      <c r="DN256" s="316" t="e">
        <f>IF($J256="",#N/A,SUM(DM$4:DM256))</f>
        <v>#N/A</v>
      </c>
      <c r="DO256" s="317" t="str">
        <f t="shared" si="394"/>
        <v/>
      </c>
      <c r="DP256" s="317" t="e">
        <f>IF($J256="",#N/A,SUM(DO$4:DO256))</f>
        <v>#N/A</v>
      </c>
      <c r="DQ256" s="318" t="str">
        <f t="shared" si="395"/>
        <v/>
      </c>
      <c r="DR256" s="318" t="e">
        <f>IF($J256="",#N/A,SUM(DQ$4:DQ256))</f>
        <v>#N/A</v>
      </c>
      <c r="DS256" s="318" t="e">
        <f>IF($J256="",#N/A,SUM(DQ$4:DQ256,DO$4:DO256,DM$4:DM256))</f>
        <v>#N/A</v>
      </c>
      <c r="DT256" s="304" t="str">
        <f t="shared" si="396"/>
        <v/>
      </c>
      <c r="DU256" s="316" t="e">
        <f>IF($J256="",#N/A,SUM(DT$4:DT256))</f>
        <v>#N/A</v>
      </c>
      <c r="DV256" s="317" t="str">
        <f t="shared" si="397"/>
        <v/>
      </c>
      <c r="DW256" s="317" t="e">
        <f>IF($J256="",#N/A,SUM(DV$4:DV256))</f>
        <v>#N/A</v>
      </c>
      <c r="DX256" s="318" t="str">
        <f t="shared" si="398"/>
        <v/>
      </c>
      <c r="DY256" s="318" t="e">
        <f>IF($J256="",#N/A,SUM(DX$4:DX256))</f>
        <v>#N/A</v>
      </c>
      <c r="DZ256" s="318" t="e">
        <f>IF($J256="",#N/A,SUM(DX$4:DX256,DV$4:DV256,DT$4:DT256))</f>
        <v>#N/A</v>
      </c>
      <c r="EA256" s="304" t="str">
        <f t="shared" si="399"/>
        <v/>
      </c>
      <c r="EB256" s="316" t="e">
        <f>IF($J256="",#N/A,SUM(EA$4:EA256))</f>
        <v>#N/A</v>
      </c>
      <c r="EC256" s="317" t="str">
        <f t="shared" si="400"/>
        <v/>
      </c>
      <c r="ED256" s="317" t="e">
        <f>IF($J256="",#N/A,SUM(EC$4:EC256))</f>
        <v>#N/A</v>
      </c>
      <c r="EE256" s="318" t="str">
        <f t="shared" si="401"/>
        <v/>
      </c>
      <c r="EF256" s="318" t="e">
        <f>IF($J256="",#N/A,SUM(EE$4:EE256))</f>
        <v>#N/A</v>
      </c>
      <c r="EG256" s="318" t="e">
        <f>IF($J256="",#N/A,SUM(EE$4:EE256,EC$4:EC256,EA$4:EA256))</f>
        <v>#N/A</v>
      </c>
      <c r="EH256" s="211">
        <f t="shared" si="402"/>
        <v>-11.053074978938525</v>
      </c>
      <c r="EI256" s="63">
        <f>IF(EH256="",#N/A,SUM($EH$4:EH256))</f>
        <v>1011.7498821688943</v>
      </c>
      <c r="EJ256" s="223" t="e">
        <f t="shared" si="403"/>
        <v>#N/A</v>
      </c>
      <c r="EK256" s="63" t="e">
        <f>IF($GZ256="",#N/A,SUM(EJ$4:EJ256))</f>
        <v>#N/A</v>
      </c>
      <c r="EL256" s="60">
        <f t="shared" si="435"/>
        <v>-0.46054479078910521</v>
      </c>
      <c r="EM256" s="60">
        <f>IF(EL256="",NA(),SUM($EL$4:EL256))</f>
        <v>30.428956690309917</v>
      </c>
      <c r="EN256" s="60" t="str">
        <f t="shared" si="404"/>
        <v/>
      </c>
      <c r="EO256" s="60" t="e">
        <f>IF(EN256="",NA(),SUM($EN$4:EN256))</f>
        <v>#N/A</v>
      </c>
      <c r="EP256" s="60">
        <f t="shared" si="405"/>
        <v>-0.46054479078910521</v>
      </c>
      <c r="EQ256" s="60">
        <f>IF(EP256="",NA(),SUM($EP$4:EP256))</f>
        <v>3.8510332144459363</v>
      </c>
      <c r="ER256" s="60" t="str">
        <f t="shared" si="406"/>
        <v/>
      </c>
      <c r="ES256" s="60" t="e">
        <f>IF(ER256="",NA(),SUM($ER$4:ER256))</f>
        <v>#N/A</v>
      </c>
      <c r="ET256" s="60" t="str">
        <f t="shared" si="407"/>
        <v/>
      </c>
      <c r="EU256" s="60" t="e">
        <f>IF(ET256="",NA(),SUM($ET$4:ET256))</f>
        <v>#N/A</v>
      </c>
      <c r="EV256" s="60" t="str">
        <f t="shared" si="408"/>
        <v/>
      </c>
      <c r="EW256" s="60" t="e">
        <f>IF(EV256="",NA(),SUM($EV$4:EV256))</f>
        <v>#N/A</v>
      </c>
      <c r="EX256" s="60" t="str">
        <f t="shared" si="409"/>
        <v/>
      </c>
      <c r="EY256" s="60" t="e">
        <f>IF(EX256="",NA(),SUM($EX$4:EX256))</f>
        <v>#N/A</v>
      </c>
      <c r="EZ256" s="60" t="str">
        <f t="shared" si="410"/>
        <v/>
      </c>
      <c r="FA256" s="60" t="e">
        <f>IF(EZ256="",NA(),SUM($EZ$4:EZ256))</f>
        <v>#N/A</v>
      </c>
      <c r="FB256" s="246" t="str">
        <f t="shared" si="436"/>
        <v/>
      </c>
      <c r="FC256" s="246" t="e">
        <f>IF($FB256="",#N/A,SUM(FB$4:$FB256))</f>
        <v>#N/A</v>
      </c>
      <c r="FD256" s="60" t="str">
        <f t="shared" si="411"/>
        <v/>
      </c>
      <c r="FE256" s="60" t="e">
        <f>IF($FD256="",#N/A,SUM($FD$4:FD256))</f>
        <v>#N/A</v>
      </c>
      <c r="FF256" s="60" t="str">
        <f t="shared" si="412"/>
        <v/>
      </c>
      <c r="FG256" s="60" t="e">
        <f>IF($FF256="",#N/A,SUM($FF$4:FF256))</f>
        <v>#N/A</v>
      </c>
      <c r="FH256" s="60" t="str">
        <f t="shared" si="413"/>
        <v/>
      </c>
      <c r="FI256" s="60" t="e">
        <f>IF($FH256="",#N/A,SUM($FH$4:FH256))</f>
        <v>#N/A</v>
      </c>
      <c r="FJ256" s="60" t="str">
        <f t="shared" si="414"/>
        <v/>
      </c>
      <c r="FK256" s="60" t="e">
        <f>IF($FJ256="",#N/A,SUM($FJ$4:FJ256))</f>
        <v>#N/A</v>
      </c>
      <c r="FL256" s="60">
        <f t="shared" si="415"/>
        <v>-0.30047739399045287</v>
      </c>
      <c r="FM256" s="60">
        <f>IF($FL256="",#N/A,SUM($FL$4:FL256))</f>
        <v>0.72450087038750222</v>
      </c>
      <c r="FN256" s="82">
        <f t="shared" si="416"/>
        <v>-0.76102218477955808</v>
      </c>
      <c r="FO256" s="82">
        <f>IF($FN256="",#N/A,SUM(FN$4:$FN256))</f>
        <v>39.711891971219281</v>
      </c>
      <c r="FP256" s="82">
        <f t="shared" si="437"/>
        <v>-0.46054479078910521</v>
      </c>
      <c r="FQ256" s="246">
        <f>IF($EH256="",#N/A,SUM($FP$4:FP256))</f>
        <v>40.249536396566036</v>
      </c>
      <c r="FR256" s="82">
        <f>IFERROR(FQ256/COUNTA($J$4:J256),#N/A)</f>
        <v>0.15908907666626892</v>
      </c>
      <c r="FS256" s="82">
        <f t="shared" si="448"/>
        <v>0.22378266442410741</v>
      </c>
      <c r="FT256" s="82">
        <f t="shared" si="449"/>
        <v>0.12712024911089145</v>
      </c>
      <c r="FU256" s="273"/>
      <c r="FV256" s="57" t="str">
        <f t="shared" si="418"/>
        <v>SW</v>
      </c>
      <c r="FW256" s="57" t="s">
        <v>2732</v>
      </c>
      <c r="FX256" s="57" t="str">
        <f t="shared" si="419"/>
        <v/>
      </c>
      <c r="FY256" s="57" t="str">
        <f t="shared" si="420"/>
        <v/>
      </c>
      <c r="FZ256" s="57" t="str">
        <f t="shared" si="421"/>
        <v/>
      </c>
      <c r="GA256" s="57" t="str">
        <f t="shared" si="422"/>
        <v>Long</v>
      </c>
      <c r="GB256" s="57" t="str">
        <f t="shared" si="423"/>
        <v/>
      </c>
      <c r="GC256" s="57" t="str">
        <f t="shared" si="424"/>
        <v/>
      </c>
      <c r="GD256" s="57">
        <f t="shared" si="425"/>
        <v>1</v>
      </c>
      <c r="GE256" s="62">
        <f t="shared" si="451"/>
        <v>356.1</v>
      </c>
      <c r="GF256" s="62" t="s">
        <v>2779</v>
      </c>
      <c r="GG256" s="99">
        <f>400/I256</f>
        <v>1.1232799775344005</v>
      </c>
      <c r="GH256" s="207">
        <f t="shared" si="426"/>
        <v>400</v>
      </c>
      <c r="GI256" s="99">
        <f>GG256</f>
        <v>1.1232799775344005</v>
      </c>
      <c r="GJ256" s="98">
        <f>J256</f>
        <v>346.26</v>
      </c>
      <c r="GK256" s="63">
        <f t="shared" si="427"/>
        <v>-11.053074978938525</v>
      </c>
      <c r="GL256" s="63">
        <f t="shared" si="452"/>
        <v>-18.264532434709395</v>
      </c>
      <c r="GM256" s="82">
        <f t="shared" si="428"/>
        <v>-0.76102218477955808</v>
      </c>
      <c r="GN256" s="82">
        <f>IF($GZ256="",#N/A,SUM(GM$4:GM256))</f>
        <v>-3.2469793038488892</v>
      </c>
      <c r="GO256" s="82" t="str">
        <f t="shared" si="429"/>
        <v/>
      </c>
      <c r="GP256" s="82">
        <f>IF($GZ256="",#N/A,SUM(GO$4:GO256))</f>
        <v>12.071642155998202</v>
      </c>
      <c r="GQ256" s="82" t="str">
        <f t="shared" si="430"/>
        <v/>
      </c>
      <c r="GR256" s="82">
        <f>IF($GZ256="",#N/A,SUM(GQ$4:GQ256))</f>
        <v>30.261392164627633</v>
      </c>
      <c r="GS256" s="63" t="e">
        <f t="shared" si="438"/>
        <v>#N/A</v>
      </c>
      <c r="GT256" s="63" t="e">
        <f>IF($GZ256="",#N/A,SUM(GS$4:GS256))</f>
        <v>#N/A</v>
      </c>
      <c r="GU256" s="63" t="str">
        <f t="shared" si="439"/>
        <v/>
      </c>
      <c r="GV256" s="63" t="e">
        <f>IF($GZ256="",#N/A,SUM(GU$4:GU256))</f>
        <v>#N/A</v>
      </c>
      <c r="GW256" s="63" t="str">
        <f t="shared" si="440"/>
        <v/>
      </c>
      <c r="GX256" s="63" t="e">
        <f>IF($GZ256="",#N/A,SUM(GW$4:GW256))</f>
        <v>#N/A</v>
      </c>
      <c r="GY256" s="63" t="e">
        <f>IF(EJ256="",#N/A,SUM($EJ$4:EJ256))</f>
        <v>#N/A</v>
      </c>
      <c r="GZ256" s="159">
        <v>339.84</v>
      </c>
      <c r="HA256" s="63">
        <f t="shared" si="431"/>
        <v>-7.2114574557708693</v>
      </c>
      <c r="HB256" s="130" t="s">
        <v>4970</v>
      </c>
      <c r="HC256" s="60">
        <f>IFERROR(VLOOKUP(E256,Expectancy!$P$4:$S$19,1+C256,FALSE),"")</f>
        <v>2.40735201201209E-2</v>
      </c>
      <c r="HD256" s="82" t="str">
        <f t="shared" si="432"/>
        <v/>
      </c>
      <c r="HE256" s="138" t="e">
        <f>IF(HD256="",#N/A,SUM($HD$4:HD256))</f>
        <v>#N/A</v>
      </c>
      <c r="HF256" s="85" t="e">
        <f>IF(HD256="",#N/A,IF(HB256="Skip",#N/A,SUM($HG$4:HG256)))</f>
        <v>#N/A</v>
      </c>
      <c r="HG256" s="205" t="str">
        <f t="shared" si="433"/>
        <v/>
      </c>
      <c r="HH256" s="82">
        <f t="shared" si="434"/>
        <v>-0.76102218477955808</v>
      </c>
    </row>
    <row r="257" spans="1:216" x14ac:dyDescent="0.25">
      <c r="A257" s="57" t="s">
        <v>566</v>
      </c>
      <c r="B257" s="58" t="s">
        <v>5224</v>
      </c>
      <c r="C257" s="386">
        <f t="shared" si="343"/>
        <v>1</v>
      </c>
      <c r="D257" s="372" t="str">
        <f>_xlfn.XLOOKUP(A257,[1]SP500!$A$2:$A$502,[1]SP500!$D$2:$D$502,"N")</f>
        <v>Y</v>
      </c>
      <c r="E257" s="57" t="str">
        <f>_xlfn.XLOOKUP(A257,[1]SP500!$A$2:$A$655,[1]SP500!$B$2:$B$655)</f>
        <v>XLY</v>
      </c>
      <c r="F257" s="59">
        <v>45694</v>
      </c>
      <c r="G257" s="57" t="str">
        <f t="shared" si="344"/>
        <v>BMO</v>
      </c>
      <c r="H257" s="57" t="str">
        <f t="shared" si="345"/>
        <v>o</v>
      </c>
      <c r="I257" s="159">
        <v>73.38</v>
      </c>
      <c r="J257" s="159">
        <v>87.75</v>
      </c>
      <c r="K257" s="61">
        <f t="shared" si="346"/>
        <v>0.19582992641046615</v>
      </c>
      <c r="L257" s="87">
        <f t="shared" si="347"/>
        <v>-71.850000000000023</v>
      </c>
      <c r="M257" s="130">
        <f t="shared" si="450"/>
        <v>3.2999999999999545</v>
      </c>
      <c r="N257" s="169">
        <f t="shared" si="348"/>
        <v>71.850000000000023</v>
      </c>
      <c r="O257" s="169">
        <f>IF($J257="",#N/A,SUM($N$4:N257))</f>
        <v>390.02511614781224</v>
      </c>
      <c r="P257" s="174" t="str">
        <f t="shared" si="349"/>
        <v/>
      </c>
      <c r="Q257" s="174">
        <f>IF($J257="",#N/A,SUM($P$4:P257))</f>
        <v>607.38210612129978</v>
      </c>
      <c r="R257" s="178" t="str">
        <f t="shared" si="350"/>
        <v/>
      </c>
      <c r="S257" s="178">
        <f>IF($J257="",#N/A,SUM($R$4:R257))</f>
        <v>86.192659899782171</v>
      </c>
      <c r="T257" s="290">
        <f t="shared" si="351"/>
        <v>3.263832106841102</v>
      </c>
      <c r="U257" s="290">
        <f>IF($J257="",#N/A,SUM($T$4:T257))</f>
        <v>15.112572962642227</v>
      </c>
      <c r="V257" s="291" t="str">
        <f t="shared" si="352"/>
        <v/>
      </c>
      <c r="W257" s="291">
        <f>IF($J257="",#N/A,SUM($V$4:V257))</f>
        <v>25.220376742088675</v>
      </c>
      <c r="X257" s="292" t="str">
        <f t="shared" si="353"/>
        <v/>
      </c>
      <c r="Y257" s="292">
        <f>IF($J257="",#N/A,SUM($X$4:X257))</f>
        <v>3.1804187986762522</v>
      </c>
      <c r="Z257" s="304" t="str">
        <f t="shared" si="354"/>
        <v/>
      </c>
      <c r="AA257" s="313" t="e">
        <f>IF($J257="",#N/A,SUM(Z$4:Z257))</f>
        <v>#N/A</v>
      </c>
      <c r="AB257" s="314" t="str">
        <f t="shared" si="355"/>
        <v/>
      </c>
      <c r="AC257" s="314" t="e">
        <f>IF($J257="",#N/A,SUM(AB$4:AB257))</f>
        <v>#N/A</v>
      </c>
      <c r="AD257" s="315" t="str">
        <f t="shared" si="356"/>
        <v/>
      </c>
      <c r="AE257" s="315" t="e">
        <f>IF($J257="",#N/A,SUM(AD$4:AD257))</f>
        <v>#N/A</v>
      </c>
      <c r="AF257" s="315" t="e">
        <f>IF($J257="",#N/A,SUM(AD$4:AD257,AB$4:AB257,Z$4:Z257))</f>
        <v>#N/A</v>
      </c>
      <c r="AG257" s="304" t="str">
        <f t="shared" si="357"/>
        <v/>
      </c>
      <c r="AH257" s="313" t="e">
        <f>IF($J257="",#N/A,SUM(AG$4:AG257))</f>
        <v>#N/A</v>
      </c>
      <c r="AI257" s="314" t="str">
        <f t="shared" si="358"/>
        <v/>
      </c>
      <c r="AJ257" s="314" t="e">
        <f>IF($J257="",#N/A,SUM(AI$4:AI257))</f>
        <v>#N/A</v>
      </c>
      <c r="AK257" s="315" t="str">
        <f t="shared" si="359"/>
        <v/>
      </c>
      <c r="AL257" s="315" t="e">
        <f>IF($J257="",#N/A,SUM(AK$4:AK257))</f>
        <v>#N/A</v>
      </c>
      <c r="AM257" s="315" t="e">
        <f>IF($J257="",#N/A,SUM(AK$4:AK257,AI$4:AI257,AG$4:AG257))</f>
        <v>#N/A</v>
      </c>
      <c r="AN257" s="304">
        <f t="shared" si="360"/>
        <v>3.263832106841102</v>
      </c>
      <c r="AO257" s="313" t="e">
        <f>IF($J257="",#N/A,SUM(AN$4:AN257))</f>
        <v>#N/A</v>
      </c>
      <c r="AP257" s="314" t="str">
        <f t="shared" si="361"/>
        <v/>
      </c>
      <c r="AQ257" s="314" t="e">
        <f>IF($J257="",#N/A,SUM(AP$4:AP257))</f>
        <v>#N/A</v>
      </c>
      <c r="AR257" s="315" t="str">
        <f t="shared" si="362"/>
        <v/>
      </c>
      <c r="AS257" s="315" t="e">
        <f>IF($J257="",#N/A,SUM(AR$4:AR257))</f>
        <v>#N/A</v>
      </c>
      <c r="AT257" s="315" t="e">
        <f>IF($J257="",#N/A,SUM(AR$4:AR257,AP$4:AP257,AN$4:AN257))</f>
        <v>#N/A</v>
      </c>
      <c r="AU257" s="304" t="str">
        <f t="shared" si="363"/>
        <v/>
      </c>
      <c r="AV257" s="313" t="e">
        <f>IF($J257="",#N/A,SUM(AU$4:AU257))</f>
        <v>#N/A</v>
      </c>
      <c r="AW257" s="314" t="str">
        <f t="shared" si="364"/>
        <v/>
      </c>
      <c r="AX257" s="314" t="e">
        <f>IF($J257="",#N/A,SUM(AW$4:AW257))</f>
        <v>#N/A</v>
      </c>
      <c r="AY257" s="315" t="str">
        <f t="shared" si="365"/>
        <v/>
      </c>
      <c r="AZ257" s="315" t="e">
        <f>IF($J257="",#N/A,SUM(AY$4:AY257))</f>
        <v>#N/A</v>
      </c>
      <c r="BA257" s="315" t="e">
        <f>IF($J257="",#N/A,SUM(AY$4:AY257,AW$4:AW257,AU$4:AU257))</f>
        <v>#N/A</v>
      </c>
      <c r="BB257" s="304" t="str">
        <f t="shared" si="366"/>
        <v/>
      </c>
      <c r="BC257" s="313" t="e">
        <f>IF($J257="",#N/A,SUM(BB$4:BB257))</f>
        <v>#N/A</v>
      </c>
      <c r="BD257" s="314" t="str">
        <f t="shared" si="367"/>
        <v/>
      </c>
      <c r="BE257" s="314" t="e">
        <f>IF($J257="",#N/A,SUM(BD$4:BD257))</f>
        <v>#N/A</v>
      </c>
      <c r="BF257" s="315" t="str">
        <f t="shared" si="368"/>
        <v/>
      </c>
      <c r="BG257" s="315" t="e">
        <f>IF($J257="",#N/A,SUM(BF$4:BF257))</f>
        <v>#N/A</v>
      </c>
      <c r="BH257" s="315" t="e">
        <f>IF($J257="",#N/A,SUM(BF$4:BF257,BD$4:BD257,BB$4:BB257))</f>
        <v>#N/A</v>
      </c>
      <c r="BI257" s="304" t="str">
        <f t="shared" si="369"/>
        <v/>
      </c>
      <c r="BJ257" s="313" t="e">
        <f>IF($J257="",#N/A,SUM(BI$4:BI257))</f>
        <v>#N/A</v>
      </c>
      <c r="BK257" s="314" t="str">
        <f t="shared" si="370"/>
        <v/>
      </c>
      <c r="BL257" s="314" t="e">
        <f>IF($J257="",#N/A,SUM(BK$4:BK257))</f>
        <v>#N/A</v>
      </c>
      <c r="BM257" s="315" t="str">
        <f t="shared" si="371"/>
        <v/>
      </c>
      <c r="BN257" s="315" t="e">
        <f>IF($J257="",#N/A,SUM(BM$4:BM257))</f>
        <v>#N/A</v>
      </c>
      <c r="BO257" s="315" t="e">
        <f>IF($J257="",#N/A,SUM(BM$4:BM257,BK$4:BK257,BI$4:BI257))</f>
        <v>#N/A</v>
      </c>
      <c r="BP257" s="304" t="str">
        <f t="shared" si="372"/>
        <v/>
      </c>
      <c r="BQ257" s="313" t="e">
        <f>IF($J257="",#N/A,SUM(BP$4:BP257))</f>
        <v>#N/A</v>
      </c>
      <c r="BR257" s="314" t="str">
        <f t="shared" si="373"/>
        <v/>
      </c>
      <c r="BS257" s="314" t="e">
        <f>IF($J257="",#N/A,SUM(BR$4:BR257))</f>
        <v>#N/A</v>
      </c>
      <c r="BT257" s="315" t="str">
        <f t="shared" si="374"/>
        <v/>
      </c>
      <c r="BU257" s="315" t="e">
        <f>IF($J257="",#N/A,SUM(BT$4:BT257))</f>
        <v>#N/A</v>
      </c>
      <c r="BV257" s="315" t="e">
        <f>IF($J257="",#N/A,SUM(BT$4:BT257,BR$4:BR257,BP$4:BP257))</f>
        <v>#N/A</v>
      </c>
      <c r="BW257" s="304" t="str">
        <f t="shared" si="375"/>
        <v/>
      </c>
      <c r="BX257" s="313" t="e">
        <f>IF($J257="",#N/A,SUM(BW$4:BW257))</f>
        <v>#N/A</v>
      </c>
      <c r="BY257" s="314" t="str">
        <f t="shared" si="376"/>
        <v/>
      </c>
      <c r="BZ257" s="314" t="e">
        <f>IF($J257="",#N/A,SUM(BY$4:BY257))</f>
        <v>#N/A</v>
      </c>
      <c r="CA257" s="315" t="str">
        <f t="shared" si="377"/>
        <v/>
      </c>
      <c r="CB257" s="315" t="e">
        <f>IF($J257="",#N/A,SUM(CA$4:CA257))</f>
        <v>#N/A</v>
      </c>
      <c r="CC257" s="315" t="e">
        <f>IF($J257="",#N/A,SUM(CA$4:CA257,BY$4:BY257,BW$4:BW257))</f>
        <v>#N/A</v>
      </c>
      <c r="CD257" s="304" t="str">
        <f t="shared" si="378"/>
        <v/>
      </c>
      <c r="CE257" s="313" t="e">
        <f>IF($J257="",#N/A,SUM(CD$4:CD257))</f>
        <v>#N/A</v>
      </c>
      <c r="CF257" s="314" t="str">
        <f t="shared" si="379"/>
        <v/>
      </c>
      <c r="CG257" s="314" t="e">
        <f>IF($J257="",#N/A,SUM(CF$4:CF257))</f>
        <v>#N/A</v>
      </c>
      <c r="CH257" s="315" t="str">
        <f t="shared" si="380"/>
        <v/>
      </c>
      <c r="CI257" s="315" t="e">
        <f>IF($J257="",#N/A,SUM(CH$4:CH257))</f>
        <v>#N/A</v>
      </c>
      <c r="CJ257" s="315" t="e">
        <f>IF($J257="",#N/A,SUM(CH$4:CH257,CF$4:CF257,CD$4:CD257))</f>
        <v>#N/A</v>
      </c>
      <c r="CK257" s="304" t="str">
        <f t="shared" si="381"/>
        <v/>
      </c>
      <c r="CL257" s="313" t="e">
        <f>IF($J257="",#N/A,SUM(CK$4:CK257))</f>
        <v>#N/A</v>
      </c>
      <c r="CM257" s="314" t="str">
        <f t="shared" si="382"/>
        <v/>
      </c>
      <c r="CN257" s="314" t="e">
        <f>IF($J257="",#N/A,SUM(CM$4:CM257))</f>
        <v>#N/A</v>
      </c>
      <c r="CO257" s="315" t="str">
        <f t="shared" si="383"/>
        <v/>
      </c>
      <c r="CP257" s="315" t="e">
        <f>IF($J257="",#N/A,SUM(CO$4:CO257))</f>
        <v>#N/A</v>
      </c>
      <c r="CQ257" s="315" t="e">
        <f>IF($J257="",#N/A,SUM(CO$4:CO257,CM$4:CM257,CK$4:CK257))</f>
        <v>#N/A</v>
      </c>
      <c r="CR257" s="304" t="str">
        <f t="shared" si="384"/>
        <v/>
      </c>
      <c r="CS257" s="313" t="e">
        <f>IF($J257="",#N/A,SUM(CR$4:CR257))</f>
        <v>#N/A</v>
      </c>
      <c r="CT257" s="314" t="str">
        <f t="shared" si="385"/>
        <v/>
      </c>
      <c r="CU257" s="314" t="e">
        <f>IF($J257="",#N/A,SUM(CT$4:CT257))</f>
        <v>#N/A</v>
      </c>
      <c r="CV257" s="315" t="str">
        <f t="shared" si="386"/>
        <v/>
      </c>
      <c r="CW257" s="315" t="e">
        <f>IF($J257="",#N/A,SUM(CV$4:CV257))</f>
        <v>#N/A</v>
      </c>
      <c r="CX257" s="315" t="e">
        <f>IF($J257="",#N/A,SUM(CV$4:CV257,CT$4:CT257,CR$4:CR257))</f>
        <v>#N/A</v>
      </c>
      <c r="CY257" s="304" t="str">
        <f t="shared" si="387"/>
        <v/>
      </c>
      <c r="CZ257" s="313" t="e">
        <f>IF($J257="",#N/A,SUM(CY$4:CY257))</f>
        <v>#N/A</v>
      </c>
      <c r="DA257" s="314" t="str">
        <f t="shared" si="388"/>
        <v/>
      </c>
      <c r="DB257" s="314" t="e">
        <f>IF($J257="",#N/A,SUM(DA$4:DA257))</f>
        <v>#N/A</v>
      </c>
      <c r="DC257" s="315" t="str">
        <f t="shared" si="389"/>
        <v/>
      </c>
      <c r="DD257" s="315" t="e">
        <f>IF($J257="",#N/A,SUM(DC$4:DC257))</f>
        <v>#N/A</v>
      </c>
      <c r="DE257" s="315" t="e">
        <f>IF($J257="",#N/A,SUM(DC$4:DC257,DA$4:DA257,CY$4:CY257))</f>
        <v>#N/A</v>
      </c>
      <c r="DF257" s="304" t="str">
        <f t="shared" si="390"/>
        <v/>
      </c>
      <c r="DG257" s="313" t="e">
        <f>IF($J257="",#N/A,SUM(DF$4:DF257))</f>
        <v>#N/A</v>
      </c>
      <c r="DH257" s="314" t="str">
        <f t="shared" si="391"/>
        <v/>
      </c>
      <c r="DI257" s="314" t="e">
        <f>IF($J257="",#N/A,SUM(DH$4:DH257))</f>
        <v>#N/A</v>
      </c>
      <c r="DJ257" s="315" t="str">
        <f t="shared" si="392"/>
        <v/>
      </c>
      <c r="DK257" s="315" t="e">
        <f>IF($J257="",#N/A,SUM(DJ$4:DJ257))</f>
        <v>#N/A</v>
      </c>
      <c r="DL257" s="315" t="e">
        <f>IF($J257="",#N/A,SUM(DJ$4:DJ257,DH$4:DH257,DF$4:DF257))</f>
        <v>#N/A</v>
      </c>
      <c r="DM257" s="304" t="str">
        <f t="shared" si="393"/>
        <v/>
      </c>
      <c r="DN257" s="313" t="e">
        <f>IF($J257="",#N/A,SUM(DM$4:DM257))</f>
        <v>#N/A</v>
      </c>
      <c r="DO257" s="314" t="str">
        <f t="shared" si="394"/>
        <v/>
      </c>
      <c r="DP257" s="314" t="e">
        <f>IF($J257="",#N/A,SUM(DO$4:DO257))</f>
        <v>#N/A</v>
      </c>
      <c r="DQ257" s="315" t="str">
        <f t="shared" si="395"/>
        <v/>
      </c>
      <c r="DR257" s="315" t="e">
        <f>IF($J257="",#N/A,SUM(DQ$4:DQ257))</f>
        <v>#N/A</v>
      </c>
      <c r="DS257" s="315" t="e">
        <f>IF($J257="",#N/A,SUM(DQ$4:DQ257,DO$4:DO257,DM$4:DM257))</f>
        <v>#N/A</v>
      </c>
      <c r="DT257" s="304" t="str">
        <f t="shared" si="396"/>
        <v/>
      </c>
      <c r="DU257" s="313" t="e">
        <f>IF($J257="",#N/A,SUM(DT$4:DT257))</f>
        <v>#N/A</v>
      </c>
      <c r="DV257" s="314" t="str">
        <f t="shared" si="397"/>
        <v/>
      </c>
      <c r="DW257" s="314" t="e">
        <f>IF($J257="",#N/A,SUM(DV$4:DV257))</f>
        <v>#N/A</v>
      </c>
      <c r="DX257" s="315" t="str">
        <f t="shared" si="398"/>
        <v/>
      </c>
      <c r="DY257" s="315" t="e">
        <f>IF($J257="",#N/A,SUM(DX$4:DX257))</f>
        <v>#N/A</v>
      </c>
      <c r="DZ257" s="315" t="e">
        <f>IF($J257="",#N/A,SUM(DX$4:DX257,DV$4:DV257,DT$4:DT257))</f>
        <v>#N/A</v>
      </c>
      <c r="EA257" s="304" t="str">
        <f t="shared" si="399"/>
        <v/>
      </c>
      <c r="EB257" s="313" t="e">
        <f>IF($J257="",#N/A,SUM(EA$4:EA257))</f>
        <v>#N/A</v>
      </c>
      <c r="EC257" s="314" t="str">
        <f t="shared" si="400"/>
        <v/>
      </c>
      <c r="ED257" s="314" t="e">
        <f>IF($J257="",#N/A,SUM(EC$4:EC257))</f>
        <v>#N/A</v>
      </c>
      <c r="EE257" s="315" t="str">
        <f t="shared" si="401"/>
        <v/>
      </c>
      <c r="EF257" s="315" t="e">
        <f>IF($J257="",#N/A,SUM(EE$4:EE257))</f>
        <v>#N/A</v>
      </c>
      <c r="EG257" s="315" t="e">
        <f>IF($J257="",#N/A,SUM(EE$4:EE257,EC$4:EC257,EA$4:EA257))</f>
        <v>#N/A</v>
      </c>
      <c r="EH257" s="130">
        <f t="shared" si="402"/>
        <v>71.850000000000023</v>
      </c>
      <c r="EI257" s="63">
        <f>IF(EH257="",#N/A,SUM($EH$4:EH257))</f>
        <v>1083.5998821688943</v>
      </c>
      <c r="EJ257" s="223" t="e">
        <f t="shared" si="403"/>
        <v>#N/A</v>
      </c>
      <c r="EK257" s="63" t="e">
        <f>IF($GZ257="",#N/A,SUM(EJ$4:EJ257))</f>
        <v>#N/A</v>
      </c>
      <c r="EL257" s="60">
        <f t="shared" si="435"/>
        <v>3.263832106841102</v>
      </c>
      <c r="EM257" s="60">
        <f>IF(EL257="",NA(),SUM($EL$4:EL257))</f>
        <v>33.692788797151017</v>
      </c>
      <c r="EN257" s="60">
        <f t="shared" si="404"/>
        <v>3.263832106841102</v>
      </c>
      <c r="EO257" s="60">
        <f>IF(EN257="",NA(),SUM($EN$4:EN257))</f>
        <v>13.155866137991502</v>
      </c>
      <c r="EP257" s="60" t="str">
        <f t="shared" si="405"/>
        <v/>
      </c>
      <c r="EQ257" s="60" t="e">
        <f>IF(EP257="",NA(),SUM($EP$4:EP257))</f>
        <v>#N/A</v>
      </c>
      <c r="ER257" s="60" t="str">
        <f t="shared" si="406"/>
        <v/>
      </c>
      <c r="ES257" s="60" t="e">
        <f>IF(ER257="",NA(),SUM($ER$4:ER257))</f>
        <v>#N/A</v>
      </c>
      <c r="ET257" s="60" t="str">
        <f t="shared" si="407"/>
        <v/>
      </c>
      <c r="EU257" s="60" t="e">
        <f>IF(ET257="",NA(),SUM($ET$4:ET257))</f>
        <v>#N/A</v>
      </c>
      <c r="EV257" s="60" t="str">
        <f t="shared" si="408"/>
        <v/>
      </c>
      <c r="EW257" s="60" t="e">
        <f>IF(EV257="",NA(),SUM($EV$4:EV257))</f>
        <v>#N/A</v>
      </c>
      <c r="EX257" s="60" t="str">
        <f t="shared" si="409"/>
        <v/>
      </c>
      <c r="EY257" s="60" t="e">
        <f>IF(EX257="",NA(),SUM($EX$4:EX257))</f>
        <v>#N/A</v>
      </c>
      <c r="EZ257" s="60" t="str">
        <f t="shared" si="410"/>
        <v/>
      </c>
      <c r="FA257" s="60" t="e">
        <f>IF(EZ257="",NA(),SUM($EZ$4:EZ257))</f>
        <v>#N/A</v>
      </c>
      <c r="FB257" s="246" t="str">
        <f t="shared" si="436"/>
        <v/>
      </c>
      <c r="FC257" s="246" t="e">
        <f>IF($FB257="",#N/A,SUM(FB$4:$FB257))</f>
        <v>#N/A</v>
      </c>
      <c r="FD257" s="60" t="str">
        <f t="shared" si="411"/>
        <v/>
      </c>
      <c r="FE257" s="60" t="e">
        <f>IF($FD257="",#N/A,SUM($FD$4:FD257))</f>
        <v>#N/A</v>
      </c>
      <c r="FF257" s="60">
        <f t="shared" si="412"/>
        <v>-1.2605614608885252</v>
      </c>
      <c r="FG257" s="60">
        <f>IF($FF257="",#N/A,SUM($FF$4:FF257))</f>
        <v>-3.3533383505259939</v>
      </c>
      <c r="FH257" s="60" t="str">
        <f t="shared" si="413"/>
        <v/>
      </c>
      <c r="FI257" s="60" t="e">
        <f>IF($FH257="",#N/A,SUM($FH$4:FH257))</f>
        <v>#N/A</v>
      </c>
      <c r="FJ257" s="60" t="str">
        <f t="shared" si="414"/>
        <v/>
      </c>
      <c r="FK257" s="60" t="e">
        <f>IF($FJ257="",#N/A,SUM($FJ$4:FJ257))</f>
        <v>#N/A</v>
      </c>
      <c r="FL257" s="60" t="str">
        <f t="shared" si="415"/>
        <v/>
      </c>
      <c r="FM257" s="60" t="e">
        <f>IF($FL257="",#N/A,SUM($FL$4:FL257))</f>
        <v>#N/A</v>
      </c>
      <c r="FN257" s="82">
        <f t="shared" si="416"/>
        <v>2.0032706459525769</v>
      </c>
      <c r="FO257" s="82">
        <f>IF($FN257="",#N/A,SUM(FN$4:$FN257))</f>
        <v>41.715162617171856</v>
      </c>
      <c r="FP257" s="82">
        <f t="shared" si="437"/>
        <v>3.263832106841102</v>
      </c>
      <c r="FQ257" s="246">
        <f>IF($EH257="",#N/A,SUM($FP$4:FP257))</f>
        <v>43.513368503407136</v>
      </c>
      <c r="FR257" s="82">
        <f>IFERROR(FQ257/COUNTA($J$4:J257),#N/A)</f>
        <v>0.17131247442286274</v>
      </c>
      <c r="FS257" s="82">
        <f t="shared" si="448"/>
        <v>0.27320333295124472</v>
      </c>
      <c r="FT257" s="82">
        <f t="shared" si="449"/>
        <v>0.29187578888462778</v>
      </c>
      <c r="FU257" s="337">
        <f>IF(AND(HB257="MOC",GZ257=""),#N/A,IFERROR(FQ257-HE257,FQ257-0))-14.53</f>
        <v>17.716588060406117</v>
      </c>
      <c r="FV257" s="57" t="str">
        <f t="shared" si="418"/>
        <v>Up</v>
      </c>
      <c r="FW257" s="57" t="s">
        <v>2733</v>
      </c>
      <c r="FX257" s="57">
        <f t="shared" si="419"/>
        <v>1</v>
      </c>
      <c r="FY257" s="57" t="str">
        <f t="shared" si="420"/>
        <v/>
      </c>
      <c r="FZ257" s="57" t="str">
        <f t="shared" si="421"/>
        <v/>
      </c>
      <c r="GA257" s="57" t="str">
        <f t="shared" si="422"/>
        <v>Long</v>
      </c>
      <c r="GB257" s="57" t="str">
        <f t="shared" si="423"/>
        <v/>
      </c>
      <c r="GC257" s="57" t="str">
        <f t="shared" si="424"/>
        <v/>
      </c>
      <c r="GD257" s="57" t="str">
        <f t="shared" si="425"/>
        <v/>
      </c>
      <c r="GE257" s="62">
        <f t="shared" si="451"/>
        <v>73.38</v>
      </c>
      <c r="GF257" s="62" t="s">
        <v>2780</v>
      </c>
      <c r="GG257" s="199">
        <v>5</v>
      </c>
      <c r="GH257" s="207">
        <f t="shared" si="426"/>
        <v>366.9</v>
      </c>
      <c r="GI257" s="199">
        <v>5</v>
      </c>
      <c r="GJ257" s="200">
        <v>87.09</v>
      </c>
      <c r="GK257" s="63">
        <f t="shared" si="427"/>
        <v>-68.550000000000068</v>
      </c>
      <c r="GL257" s="63">
        <f t="shared" si="452"/>
        <v>-44.100000000000023</v>
      </c>
      <c r="GM257" s="82" t="str">
        <f t="shared" si="428"/>
        <v/>
      </c>
      <c r="GN257" s="82">
        <f>IF($GZ257="",#N/A,SUM(GM$4:GM257))</f>
        <v>-3.2469793038488892</v>
      </c>
      <c r="GO257" s="82">
        <f t="shared" si="429"/>
        <v>2.0032706459525769</v>
      </c>
      <c r="GP257" s="82">
        <f>IF($GZ257="",#N/A,SUM(GO$4:GO257))</f>
        <v>14.074912801950779</v>
      </c>
      <c r="GQ257" s="82" t="str">
        <f t="shared" si="430"/>
        <v/>
      </c>
      <c r="GR257" s="82">
        <f>IF($GZ257="",#N/A,SUM(GQ$4:GQ257))</f>
        <v>30.261392164627633</v>
      </c>
      <c r="GS257" s="63" t="str">
        <f t="shared" si="438"/>
        <v/>
      </c>
      <c r="GT257" s="63" t="e">
        <f>IF($GZ257="",#N/A,SUM(GS$4:GS257))</f>
        <v>#N/A</v>
      </c>
      <c r="GU257" s="63" t="e">
        <f t="shared" si="439"/>
        <v>#N/A</v>
      </c>
      <c r="GV257" s="63" t="e">
        <f>IF($GZ257="",#N/A,SUM(GU$4:GU257))</f>
        <v>#N/A</v>
      </c>
      <c r="GW257" s="63" t="str">
        <f t="shared" si="440"/>
        <v/>
      </c>
      <c r="GX257" s="63" t="e">
        <f>IF($GZ257="",#N/A,SUM(GW$4:GW257))</f>
        <v>#N/A</v>
      </c>
      <c r="GY257" s="63" t="e">
        <f>IF(EJ257="",#N/A,SUM($EJ$4:EJ257))</f>
        <v>#N/A</v>
      </c>
      <c r="GZ257" s="158">
        <v>82.2</v>
      </c>
      <c r="HA257" s="63">
        <f t="shared" si="431"/>
        <v>-115.95000000000005</v>
      </c>
      <c r="HB257" s="62" t="s">
        <v>2538</v>
      </c>
      <c r="HC257" s="60">
        <f>IFERROR(VLOOKUP(E257,Expectancy!$P$4:$S$19,1+C257,FALSE),"")</f>
        <v>9.4642213510490861E-2</v>
      </c>
      <c r="HD257" s="82">
        <f t="shared" si="432"/>
        <v>-3.1139275006813878</v>
      </c>
      <c r="HE257" s="138">
        <f>IF(HD257="",#N/A,SUM($HD$4:HD257))</f>
        <v>11.266780443001016</v>
      </c>
      <c r="HF257" s="85">
        <f>IF(HD257="",#N/A,IF(HB257="Skip",#N/A,SUM($HG$4:HG257)))</f>
        <v>306.19156919911444</v>
      </c>
      <c r="HG257" s="63">
        <f t="shared" si="433"/>
        <v>-68.550000000000068</v>
      </c>
      <c r="HH257" s="82">
        <f t="shared" si="434"/>
        <v>2.0032706459525769</v>
      </c>
    </row>
    <row r="258" spans="1:216" x14ac:dyDescent="0.25">
      <c r="A258" s="57" t="s">
        <v>640</v>
      </c>
      <c r="B258" s="58" t="s">
        <v>5233</v>
      </c>
      <c r="C258" s="386">
        <f t="shared" si="343"/>
        <v>1</v>
      </c>
      <c r="D258" s="372" t="str">
        <f>_xlfn.XLOOKUP(A258,[1]SP500!$A$2:$A$502,[1]SP500!$D$2:$D$502,"N")</f>
        <v>Y</v>
      </c>
      <c r="E258" s="57" t="str">
        <f>_xlfn.XLOOKUP(A258,[1]SP500!$A$2:$A$655,[1]SP500!$B$2:$B$655)</f>
        <v>XLY</v>
      </c>
      <c r="F258" s="59">
        <v>45694</v>
      </c>
      <c r="G258" s="57" t="str">
        <f t="shared" si="344"/>
        <v>BMO</v>
      </c>
      <c r="H258" s="57" t="str">
        <f t="shared" si="345"/>
        <v>o</v>
      </c>
      <c r="I258" s="158">
        <v>249</v>
      </c>
      <c r="J258" s="159">
        <v>285.5</v>
      </c>
      <c r="K258" s="61">
        <f t="shared" si="346"/>
        <v>0.1465863453815261</v>
      </c>
      <c r="L258" s="87">
        <f t="shared" si="347"/>
        <v>-73</v>
      </c>
      <c r="M258" s="130">
        <f t="shared" si="450"/>
        <v>3.7999999999999545</v>
      </c>
      <c r="N258" s="169">
        <f t="shared" si="348"/>
        <v>73</v>
      </c>
      <c r="O258" s="169">
        <f>IF($J258="",#N/A,SUM($N$4:N258))</f>
        <v>463.02511614781224</v>
      </c>
      <c r="P258" s="174" t="str">
        <f t="shared" si="349"/>
        <v/>
      </c>
      <c r="Q258" s="174">
        <f>IF($J258="",#N/A,SUM($P$4:P258))</f>
        <v>607.38210612129978</v>
      </c>
      <c r="R258" s="178" t="str">
        <f t="shared" si="350"/>
        <v/>
      </c>
      <c r="S258" s="178">
        <f>IF($J258="",#N/A,SUM($R$4:R258))</f>
        <v>86.192659899782171</v>
      </c>
      <c r="T258" s="290">
        <f t="shared" si="351"/>
        <v>2.4431057563587686</v>
      </c>
      <c r="U258" s="290">
        <f>IF($J258="",#N/A,SUM($T$4:T258))</f>
        <v>17.555678719000994</v>
      </c>
      <c r="V258" s="291" t="str">
        <f t="shared" si="352"/>
        <v/>
      </c>
      <c r="W258" s="291">
        <f>IF($J258="",#N/A,SUM($V$4:V258))</f>
        <v>25.220376742088675</v>
      </c>
      <c r="X258" s="292" t="str">
        <f t="shared" si="353"/>
        <v/>
      </c>
      <c r="Y258" s="292">
        <f>IF($J258="",#N/A,SUM($X$4:X258))</f>
        <v>3.1804187986762522</v>
      </c>
      <c r="Z258" s="304" t="str">
        <f t="shared" si="354"/>
        <v/>
      </c>
      <c r="AA258" s="313" t="e">
        <f>IF($J258="",#N/A,SUM(Z$4:Z258))</f>
        <v>#N/A</v>
      </c>
      <c r="AB258" s="314" t="str">
        <f t="shared" si="355"/>
        <v/>
      </c>
      <c r="AC258" s="314" t="e">
        <f>IF($J258="",#N/A,SUM(AB$4:AB258))</f>
        <v>#N/A</v>
      </c>
      <c r="AD258" s="315" t="str">
        <f t="shared" si="356"/>
        <v/>
      </c>
      <c r="AE258" s="315" t="e">
        <f>IF($J258="",#N/A,SUM(AD$4:AD258))</f>
        <v>#N/A</v>
      </c>
      <c r="AF258" s="315" t="e">
        <f>IF($J258="",#N/A,SUM(AD$4:AD258,AB$4:AB258,Z$4:Z258))</f>
        <v>#N/A</v>
      </c>
      <c r="AG258" s="304" t="str">
        <f t="shared" si="357"/>
        <v/>
      </c>
      <c r="AH258" s="313" t="e">
        <f>IF($J258="",#N/A,SUM(AG$4:AG258))</f>
        <v>#N/A</v>
      </c>
      <c r="AI258" s="314" t="str">
        <f t="shared" si="358"/>
        <v/>
      </c>
      <c r="AJ258" s="314" t="e">
        <f>IF($J258="",#N/A,SUM(AI$4:AI258))</f>
        <v>#N/A</v>
      </c>
      <c r="AK258" s="315" t="str">
        <f t="shared" si="359"/>
        <v/>
      </c>
      <c r="AL258" s="315" t="e">
        <f>IF($J258="",#N/A,SUM(AK$4:AK258))</f>
        <v>#N/A</v>
      </c>
      <c r="AM258" s="315" t="e">
        <f>IF($J258="",#N/A,SUM(AK$4:AK258,AI$4:AI258,AG$4:AG258))</f>
        <v>#N/A</v>
      </c>
      <c r="AN258" s="304">
        <f t="shared" si="360"/>
        <v>2.4431057563587686</v>
      </c>
      <c r="AO258" s="313" t="e">
        <f>IF($J258="",#N/A,SUM(AN$4:AN258))</f>
        <v>#N/A</v>
      </c>
      <c r="AP258" s="314" t="str">
        <f t="shared" si="361"/>
        <v/>
      </c>
      <c r="AQ258" s="314" t="e">
        <f>IF($J258="",#N/A,SUM(AP$4:AP258))</f>
        <v>#N/A</v>
      </c>
      <c r="AR258" s="315" t="str">
        <f t="shared" si="362"/>
        <v/>
      </c>
      <c r="AS258" s="315" t="e">
        <f>IF($J258="",#N/A,SUM(AR$4:AR258))</f>
        <v>#N/A</v>
      </c>
      <c r="AT258" s="315" t="e">
        <f>IF($J258="",#N/A,SUM(AR$4:AR258,AP$4:AP258,AN$4:AN258))</f>
        <v>#N/A</v>
      </c>
      <c r="AU258" s="304" t="str">
        <f t="shared" si="363"/>
        <v/>
      </c>
      <c r="AV258" s="313" t="e">
        <f>IF($J258="",#N/A,SUM(AU$4:AU258))</f>
        <v>#N/A</v>
      </c>
      <c r="AW258" s="314" t="str">
        <f t="shared" si="364"/>
        <v/>
      </c>
      <c r="AX258" s="314" t="e">
        <f>IF($J258="",#N/A,SUM(AW$4:AW258))</f>
        <v>#N/A</v>
      </c>
      <c r="AY258" s="315" t="str">
        <f t="shared" si="365"/>
        <v/>
      </c>
      <c r="AZ258" s="315" t="e">
        <f>IF($J258="",#N/A,SUM(AY$4:AY258))</f>
        <v>#N/A</v>
      </c>
      <c r="BA258" s="315" t="e">
        <f>IF($J258="",#N/A,SUM(AY$4:AY258,AW$4:AW258,AU$4:AU258))</f>
        <v>#N/A</v>
      </c>
      <c r="BB258" s="304" t="str">
        <f t="shared" si="366"/>
        <v/>
      </c>
      <c r="BC258" s="313" t="e">
        <f>IF($J258="",#N/A,SUM(BB$4:BB258))</f>
        <v>#N/A</v>
      </c>
      <c r="BD258" s="314" t="str">
        <f t="shared" si="367"/>
        <v/>
      </c>
      <c r="BE258" s="314" t="e">
        <f>IF($J258="",#N/A,SUM(BD$4:BD258))</f>
        <v>#N/A</v>
      </c>
      <c r="BF258" s="315" t="str">
        <f t="shared" si="368"/>
        <v/>
      </c>
      <c r="BG258" s="315" t="e">
        <f>IF($J258="",#N/A,SUM(BF$4:BF258))</f>
        <v>#N/A</v>
      </c>
      <c r="BH258" s="315" t="e">
        <f>IF($J258="",#N/A,SUM(BF$4:BF258,BD$4:BD258,BB$4:BB258))</f>
        <v>#N/A</v>
      </c>
      <c r="BI258" s="304" t="str">
        <f t="shared" si="369"/>
        <v/>
      </c>
      <c r="BJ258" s="313" t="e">
        <f>IF($J258="",#N/A,SUM(BI$4:BI258))</f>
        <v>#N/A</v>
      </c>
      <c r="BK258" s="314" t="str">
        <f t="shared" si="370"/>
        <v/>
      </c>
      <c r="BL258" s="314" t="e">
        <f>IF($J258="",#N/A,SUM(BK$4:BK258))</f>
        <v>#N/A</v>
      </c>
      <c r="BM258" s="315" t="str">
        <f t="shared" si="371"/>
        <v/>
      </c>
      <c r="BN258" s="315" t="e">
        <f>IF($J258="",#N/A,SUM(BM$4:BM258))</f>
        <v>#N/A</v>
      </c>
      <c r="BO258" s="315" t="e">
        <f>IF($J258="",#N/A,SUM(BM$4:BM258,BK$4:BK258,BI$4:BI258))</f>
        <v>#N/A</v>
      </c>
      <c r="BP258" s="304" t="str">
        <f t="shared" si="372"/>
        <v/>
      </c>
      <c r="BQ258" s="313" t="e">
        <f>IF($J258="",#N/A,SUM(BP$4:BP258))</f>
        <v>#N/A</v>
      </c>
      <c r="BR258" s="314" t="str">
        <f t="shared" si="373"/>
        <v/>
      </c>
      <c r="BS258" s="314" t="e">
        <f>IF($J258="",#N/A,SUM(BR$4:BR258))</f>
        <v>#N/A</v>
      </c>
      <c r="BT258" s="315" t="str">
        <f t="shared" si="374"/>
        <v/>
      </c>
      <c r="BU258" s="315" t="e">
        <f>IF($J258="",#N/A,SUM(BT$4:BT258))</f>
        <v>#N/A</v>
      </c>
      <c r="BV258" s="315" t="e">
        <f>IF($J258="",#N/A,SUM(BT$4:BT258,BR$4:BR258,BP$4:BP258))</f>
        <v>#N/A</v>
      </c>
      <c r="BW258" s="304" t="str">
        <f t="shared" si="375"/>
        <v/>
      </c>
      <c r="BX258" s="313" t="e">
        <f>IF($J258="",#N/A,SUM(BW$4:BW258))</f>
        <v>#N/A</v>
      </c>
      <c r="BY258" s="314" t="str">
        <f t="shared" si="376"/>
        <v/>
      </c>
      <c r="BZ258" s="314" t="e">
        <f>IF($J258="",#N/A,SUM(BY$4:BY258))</f>
        <v>#N/A</v>
      </c>
      <c r="CA258" s="315" t="str">
        <f t="shared" si="377"/>
        <v/>
      </c>
      <c r="CB258" s="315" t="e">
        <f>IF($J258="",#N/A,SUM(CA$4:CA258))</f>
        <v>#N/A</v>
      </c>
      <c r="CC258" s="315" t="e">
        <f>IF($J258="",#N/A,SUM(CA$4:CA258,BY$4:BY258,BW$4:BW258))</f>
        <v>#N/A</v>
      </c>
      <c r="CD258" s="304" t="str">
        <f t="shared" si="378"/>
        <v/>
      </c>
      <c r="CE258" s="313" t="e">
        <f>IF($J258="",#N/A,SUM(CD$4:CD258))</f>
        <v>#N/A</v>
      </c>
      <c r="CF258" s="314" t="str">
        <f t="shared" si="379"/>
        <v/>
      </c>
      <c r="CG258" s="314" t="e">
        <f>IF($J258="",#N/A,SUM(CF$4:CF258))</f>
        <v>#N/A</v>
      </c>
      <c r="CH258" s="315" t="str">
        <f t="shared" si="380"/>
        <v/>
      </c>
      <c r="CI258" s="315" t="e">
        <f>IF($J258="",#N/A,SUM(CH$4:CH258))</f>
        <v>#N/A</v>
      </c>
      <c r="CJ258" s="315" t="e">
        <f>IF($J258="",#N/A,SUM(CH$4:CH258,CF$4:CF258,CD$4:CD258))</f>
        <v>#N/A</v>
      </c>
      <c r="CK258" s="304" t="str">
        <f t="shared" si="381"/>
        <v/>
      </c>
      <c r="CL258" s="313" t="e">
        <f>IF($J258="",#N/A,SUM(CK$4:CK258))</f>
        <v>#N/A</v>
      </c>
      <c r="CM258" s="314" t="str">
        <f t="shared" si="382"/>
        <v/>
      </c>
      <c r="CN258" s="314" t="e">
        <f>IF($J258="",#N/A,SUM(CM$4:CM258))</f>
        <v>#N/A</v>
      </c>
      <c r="CO258" s="315" t="str">
        <f t="shared" si="383"/>
        <v/>
      </c>
      <c r="CP258" s="315" t="e">
        <f>IF($J258="",#N/A,SUM(CO$4:CO258))</f>
        <v>#N/A</v>
      </c>
      <c r="CQ258" s="315" t="e">
        <f>IF($J258="",#N/A,SUM(CO$4:CO258,CM$4:CM258,CK$4:CK258))</f>
        <v>#N/A</v>
      </c>
      <c r="CR258" s="304" t="str">
        <f t="shared" si="384"/>
        <v/>
      </c>
      <c r="CS258" s="313" t="e">
        <f>IF($J258="",#N/A,SUM(CR$4:CR258))</f>
        <v>#N/A</v>
      </c>
      <c r="CT258" s="314" t="str">
        <f t="shared" si="385"/>
        <v/>
      </c>
      <c r="CU258" s="314" t="e">
        <f>IF($J258="",#N/A,SUM(CT$4:CT258))</f>
        <v>#N/A</v>
      </c>
      <c r="CV258" s="315" t="str">
        <f t="shared" si="386"/>
        <v/>
      </c>
      <c r="CW258" s="315" t="e">
        <f>IF($J258="",#N/A,SUM(CV$4:CV258))</f>
        <v>#N/A</v>
      </c>
      <c r="CX258" s="315" t="e">
        <f>IF($J258="",#N/A,SUM(CV$4:CV258,CT$4:CT258,CR$4:CR258))</f>
        <v>#N/A</v>
      </c>
      <c r="CY258" s="304" t="str">
        <f t="shared" si="387"/>
        <v/>
      </c>
      <c r="CZ258" s="313" t="e">
        <f>IF($J258="",#N/A,SUM(CY$4:CY258))</f>
        <v>#N/A</v>
      </c>
      <c r="DA258" s="314" t="str">
        <f t="shared" si="388"/>
        <v/>
      </c>
      <c r="DB258" s="314" t="e">
        <f>IF($J258="",#N/A,SUM(DA$4:DA258))</f>
        <v>#N/A</v>
      </c>
      <c r="DC258" s="315" t="str">
        <f t="shared" si="389"/>
        <v/>
      </c>
      <c r="DD258" s="315" t="e">
        <f>IF($J258="",#N/A,SUM(DC$4:DC258))</f>
        <v>#N/A</v>
      </c>
      <c r="DE258" s="315" t="e">
        <f>IF($J258="",#N/A,SUM(DC$4:DC258,DA$4:DA258,CY$4:CY258))</f>
        <v>#N/A</v>
      </c>
      <c r="DF258" s="304" t="str">
        <f t="shared" si="390"/>
        <v/>
      </c>
      <c r="DG258" s="313" t="e">
        <f>IF($J258="",#N/A,SUM(DF$4:DF258))</f>
        <v>#N/A</v>
      </c>
      <c r="DH258" s="314" t="str">
        <f t="shared" si="391"/>
        <v/>
      </c>
      <c r="DI258" s="314" t="e">
        <f>IF($J258="",#N/A,SUM(DH$4:DH258))</f>
        <v>#N/A</v>
      </c>
      <c r="DJ258" s="315" t="str">
        <f t="shared" si="392"/>
        <v/>
      </c>
      <c r="DK258" s="315" t="e">
        <f>IF($J258="",#N/A,SUM(DJ$4:DJ258))</f>
        <v>#N/A</v>
      </c>
      <c r="DL258" s="315" t="e">
        <f>IF($J258="",#N/A,SUM(DJ$4:DJ258,DH$4:DH258,DF$4:DF258))</f>
        <v>#N/A</v>
      </c>
      <c r="DM258" s="304" t="str">
        <f t="shared" si="393"/>
        <v/>
      </c>
      <c r="DN258" s="313" t="e">
        <f>IF($J258="",#N/A,SUM(DM$4:DM258))</f>
        <v>#N/A</v>
      </c>
      <c r="DO258" s="314" t="str">
        <f t="shared" si="394"/>
        <v/>
      </c>
      <c r="DP258" s="314" t="e">
        <f>IF($J258="",#N/A,SUM(DO$4:DO258))</f>
        <v>#N/A</v>
      </c>
      <c r="DQ258" s="315" t="str">
        <f t="shared" si="395"/>
        <v/>
      </c>
      <c r="DR258" s="315" t="e">
        <f>IF($J258="",#N/A,SUM(DQ$4:DQ258))</f>
        <v>#N/A</v>
      </c>
      <c r="DS258" s="315" t="e">
        <f>IF($J258="",#N/A,SUM(DQ$4:DQ258,DO$4:DO258,DM$4:DM258))</f>
        <v>#N/A</v>
      </c>
      <c r="DT258" s="304" t="str">
        <f t="shared" si="396"/>
        <v/>
      </c>
      <c r="DU258" s="313" t="e">
        <f>IF($J258="",#N/A,SUM(DT$4:DT258))</f>
        <v>#N/A</v>
      </c>
      <c r="DV258" s="314" t="str">
        <f t="shared" si="397"/>
        <v/>
      </c>
      <c r="DW258" s="314" t="e">
        <f>IF($J258="",#N/A,SUM(DV$4:DV258))</f>
        <v>#N/A</v>
      </c>
      <c r="DX258" s="315" t="str">
        <f t="shared" si="398"/>
        <v/>
      </c>
      <c r="DY258" s="315" t="e">
        <f>IF($J258="",#N/A,SUM(DX$4:DX258))</f>
        <v>#N/A</v>
      </c>
      <c r="DZ258" s="315" t="e">
        <f>IF($J258="",#N/A,SUM(DX$4:DX258,DV$4:DV258,DT$4:DT258))</f>
        <v>#N/A</v>
      </c>
      <c r="EA258" s="304" t="str">
        <f t="shared" si="399"/>
        <v/>
      </c>
      <c r="EB258" s="313" t="e">
        <f>IF($J258="",#N/A,SUM(EA$4:EA258))</f>
        <v>#N/A</v>
      </c>
      <c r="EC258" s="314" t="str">
        <f t="shared" si="400"/>
        <v/>
      </c>
      <c r="ED258" s="314" t="e">
        <f>IF($J258="",#N/A,SUM(EC$4:EC258))</f>
        <v>#N/A</v>
      </c>
      <c r="EE258" s="315" t="str">
        <f t="shared" si="401"/>
        <v/>
      </c>
      <c r="EF258" s="315" t="e">
        <f>IF($J258="",#N/A,SUM(EE$4:EE258))</f>
        <v>#N/A</v>
      </c>
      <c r="EG258" s="315" t="e">
        <f>IF($J258="",#N/A,SUM(EE$4:EE258,EC$4:EC258,EA$4:EA258))</f>
        <v>#N/A</v>
      </c>
      <c r="EH258" s="130">
        <f t="shared" si="402"/>
        <v>73</v>
      </c>
      <c r="EI258" s="63">
        <f>IF(EH258="",#N/A,SUM($EH$4:EH258))</f>
        <v>1156.5998821688943</v>
      </c>
      <c r="EJ258" s="223" t="e">
        <f t="shared" si="403"/>
        <v>#N/A</v>
      </c>
      <c r="EK258" s="63" t="e">
        <f>IF($GZ258="",#N/A,SUM(EJ$4:EJ258))</f>
        <v>#N/A</v>
      </c>
      <c r="EL258" s="60">
        <f t="shared" si="435"/>
        <v>2.4431057563587686</v>
      </c>
      <c r="EM258" s="60">
        <f>IF(EL258="",NA(),SUM($EL$4:EL258))</f>
        <v>36.135894553509786</v>
      </c>
      <c r="EN258" s="60">
        <f t="shared" si="404"/>
        <v>2.4431057563587686</v>
      </c>
      <c r="EO258" s="60">
        <f>IF(EN258="",NA(),SUM($EN$4:EN258))</f>
        <v>15.598971894350271</v>
      </c>
      <c r="EP258" s="60" t="str">
        <f t="shared" si="405"/>
        <v/>
      </c>
      <c r="EQ258" s="60" t="e">
        <f>IF(EP258="",NA(),SUM($EP$4:EP258))</f>
        <v>#N/A</v>
      </c>
      <c r="ER258" s="60" t="str">
        <f t="shared" si="406"/>
        <v/>
      </c>
      <c r="ES258" s="60" t="e">
        <f>IF(ER258="",NA(),SUM($ER$4:ER258))</f>
        <v>#N/A</v>
      </c>
      <c r="ET258" s="60" t="str">
        <f t="shared" si="407"/>
        <v/>
      </c>
      <c r="EU258" s="60" t="e">
        <f>IF(ET258="",NA(),SUM($ET$4:ET258))</f>
        <v>#N/A</v>
      </c>
      <c r="EV258" s="60" t="str">
        <f t="shared" si="408"/>
        <v/>
      </c>
      <c r="EW258" s="60" t="e">
        <f>IF(EV258="",NA(),SUM($EV$4:EV258))</f>
        <v>#N/A</v>
      </c>
      <c r="EX258" s="60" t="str">
        <f t="shared" si="409"/>
        <v/>
      </c>
      <c r="EY258" s="60" t="e">
        <f>IF(EX258="",NA(),SUM($EX$4:EX258))</f>
        <v>#N/A</v>
      </c>
      <c r="EZ258" s="60" t="str">
        <f t="shared" si="410"/>
        <v/>
      </c>
      <c r="FA258" s="60" t="e">
        <f>IF(EZ258="",NA(),SUM($EZ$4:EZ258))</f>
        <v>#N/A</v>
      </c>
      <c r="FB258" s="246" t="str">
        <f t="shared" si="436"/>
        <v/>
      </c>
      <c r="FC258" s="246" t="e">
        <f>IF($FB258="",#N/A,SUM(FB$4:$FB258))</f>
        <v>#N/A</v>
      </c>
      <c r="FD258" s="60" t="str">
        <f t="shared" si="411"/>
        <v/>
      </c>
      <c r="FE258" s="60" t="e">
        <f>IF($FD258="",#N/A,SUM($FD$4:FD258))</f>
        <v>#N/A</v>
      </c>
      <c r="FF258" s="60">
        <f t="shared" si="412"/>
        <v>-0.82730923694779213</v>
      </c>
      <c r="FG258" s="60">
        <f>IF($FF258="",#N/A,SUM($FF$4:FF258))</f>
        <v>-4.1806475874737856</v>
      </c>
      <c r="FH258" s="60" t="str">
        <f t="shared" si="413"/>
        <v/>
      </c>
      <c r="FI258" s="60" t="e">
        <f>IF($FH258="",#N/A,SUM($FH$4:FH258))</f>
        <v>#N/A</v>
      </c>
      <c r="FJ258" s="60" t="str">
        <f t="shared" si="414"/>
        <v/>
      </c>
      <c r="FK258" s="60" t="e">
        <f>IF($FJ258="",#N/A,SUM($FJ$4:FJ258))</f>
        <v>#N/A</v>
      </c>
      <c r="FL258" s="60" t="str">
        <f t="shared" si="415"/>
        <v/>
      </c>
      <c r="FM258" s="60" t="e">
        <f>IF($FL258="",#N/A,SUM($FL$4:FL258))</f>
        <v>#N/A</v>
      </c>
      <c r="FN258" s="82">
        <f t="shared" si="416"/>
        <v>1.6157965194109765</v>
      </c>
      <c r="FO258" s="82">
        <f>IF($FN258="",#N/A,SUM(FN$4:$FN258))</f>
        <v>43.330959136582834</v>
      </c>
      <c r="FP258" s="82">
        <f t="shared" si="437"/>
        <v>2.4431057563587686</v>
      </c>
      <c r="FQ258" s="246">
        <f>IF($EH258="",#N/A,SUM($FP$4:FP258))</f>
        <v>45.956474259765905</v>
      </c>
      <c r="FR258" s="82">
        <f>IFERROR(FQ258/COUNTA($J$4:J258),#N/A)</f>
        <v>0.18022146768535649</v>
      </c>
      <c r="FS258" s="82">
        <f t="shared" si="448"/>
        <v>0.33080844582722901</v>
      </c>
      <c r="FT258" s="82">
        <f t="shared" si="449"/>
        <v>0.20180335706578917</v>
      </c>
      <c r="FU258" s="337">
        <f>IF(AND(HB258="MOC",GZ258=""),#N/A,IFERROR(FQ258-HE258,FQ258-0))-14.53</f>
        <v>22.475624204984435</v>
      </c>
      <c r="FV258" s="57" t="str">
        <f t="shared" si="418"/>
        <v>Up</v>
      </c>
      <c r="FW258" s="57" t="s">
        <v>2733</v>
      </c>
      <c r="FX258" s="57">
        <f t="shared" si="419"/>
        <v>1</v>
      </c>
      <c r="FY258" s="57" t="str">
        <f t="shared" si="420"/>
        <v/>
      </c>
      <c r="FZ258" s="57" t="str">
        <f t="shared" si="421"/>
        <v/>
      </c>
      <c r="GA258" s="57" t="str">
        <f t="shared" si="422"/>
        <v>Long</v>
      </c>
      <c r="GB258" s="57" t="str">
        <f t="shared" si="423"/>
        <v/>
      </c>
      <c r="GC258" s="57" t="str">
        <f t="shared" si="424"/>
        <v/>
      </c>
      <c r="GD258" s="57" t="str">
        <f t="shared" si="425"/>
        <v/>
      </c>
      <c r="GE258" s="62">
        <f t="shared" si="451"/>
        <v>249</v>
      </c>
      <c r="GF258" s="62" t="s">
        <v>2780</v>
      </c>
      <c r="GG258" s="199">
        <v>2</v>
      </c>
      <c r="GH258" s="207">
        <f t="shared" si="426"/>
        <v>498</v>
      </c>
      <c r="GI258" s="199">
        <v>2</v>
      </c>
      <c r="GJ258" s="200">
        <v>283.60000000000002</v>
      </c>
      <c r="GK258" s="63">
        <f t="shared" si="427"/>
        <v>-69.200000000000045</v>
      </c>
      <c r="GL258" s="63">
        <f t="shared" si="452"/>
        <v>-48.279999999999973</v>
      </c>
      <c r="GM258" s="82" t="str">
        <f t="shared" si="428"/>
        <v/>
      </c>
      <c r="GN258" s="82">
        <f>IF($GZ258="",#N/A,SUM(GM$4:GM258))</f>
        <v>-3.2469793038488892</v>
      </c>
      <c r="GO258" s="82">
        <f t="shared" si="429"/>
        <v>1.6157965194109765</v>
      </c>
      <c r="GP258" s="82">
        <f>IF($GZ258="",#N/A,SUM(GO$4:GO258))</f>
        <v>15.690709321361755</v>
      </c>
      <c r="GQ258" s="82" t="str">
        <f t="shared" si="430"/>
        <v/>
      </c>
      <c r="GR258" s="82">
        <f>IF($GZ258="",#N/A,SUM(GQ$4:GQ258))</f>
        <v>30.261392164627633</v>
      </c>
      <c r="GS258" s="63" t="str">
        <f t="shared" si="438"/>
        <v/>
      </c>
      <c r="GT258" s="63" t="e">
        <f>IF($GZ258="",#N/A,SUM(GS$4:GS258))</f>
        <v>#N/A</v>
      </c>
      <c r="GU258" s="63" t="e">
        <f t="shared" si="439"/>
        <v>#N/A</v>
      </c>
      <c r="GV258" s="63" t="e">
        <f>IF($GZ258="",#N/A,SUM(GU$4:GU258))</f>
        <v>#N/A</v>
      </c>
      <c r="GW258" s="63" t="str">
        <f t="shared" si="440"/>
        <v/>
      </c>
      <c r="GX258" s="63" t="e">
        <f>IF($GZ258="",#N/A,SUM(GW$4:GW258))</f>
        <v>#N/A</v>
      </c>
      <c r="GY258" s="63" t="e">
        <f>IF(EJ258="",#N/A,SUM($EJ$4:EJ258))</f>
        <v>#N/A</v>
      </c>
      <c r="GZ258" s="159">
        <v>273.14</v>
      </c>
      <c r="HA258" s="63">
        <f t="shared" si="431"/>
        <v>-121.27999999999997</v>
      </c>
      <c r="HB258" s="62" t="s">
        <v>2538</v>
      </c>
      <c r="HC258" s="60">
        <f>IFERROR(VLOOKUP(E258,Expectancy!$P$4:$S$19,1+C258,FALSE),"")</f>
        <v>9.4642213510490861E-2</v>
      </c>
      <c r="HD258" s="82">
        <f t="shared" si="432"/>
        <v>-2.3159303882195466</v>
      </c>
      <c r="HE258" s="138">
        <f>IF(HD258="",#N/A,SUM($HD$4:HD258))</f>
        <v>8.9508500547814691</v>
      </c>
      <c r="HF258" s="85">
        <f>IF(HD258="",#N/A,IF(HB258="Skip",#N/A,SUM($HG$4:HG258)))</f>
        <v>236.99156919911439</v>
      </c>
      <c r="HG258" s="63">
        <f t="shared" si="433"/>
        <v>-69.200000000000045</v>
      </c>
      <c r="HH258" s="82">
        <f t="shared" si="434"/>
        <v>1.6157965194109765</v>
      </c>
    </row>
    <row r="259" spans="1:216" x14ac:dyDescent="0.25">
      <c r="A259" s="57" t="s">
        <v>1583</v>
      </c>
      <c r="B259" s="58" t="s">
        <v>5224</v>
      </c>
      <c r="C259" s="386">
        <f t="shared" si="343"/>
        <v>3</v>
      </c>
      <c r="D259" s="372" t="str">
        <f>_xlfn.XLOOKUP(A259,[1]SP500!$A$2:$A$502,[1]SP500!$D$2:$D$502,"N")</f>
        <v>Y</v>
      </c>
      <c r="E259" s="57" t="str">
        <f>_xlfn.XLOOKUP(A259,[1]SP500!$A$2:$A$655,[1]SP500!$B$2:$B$655)</f>
        <v>XLY</v>
      </c>
      <c r="F259" s="59">
        <v>45694</v>
      </c>
      <c r="G259" s="57" t="str">
        <f t="shared" si="344"/>
        <v>BMO</v>
      </c>
      <c r="H259" s="57" t="str">
        <f t="shared" si="345"/>
        <v>o</v>
      </c>
      <c r="I259" s="162">
        <v>61.27</v>
      </c>
      <c r="J259" s="159">
        <v>65</v>
      </c>
      <c r="K259" s="61">
        <f t="shared" si="346"/>
        <v>6.0878080626734075E-2</v>
      </c>
      <c r="L259" s="87">
        <f t="shared" si="347"/>
        <v>-24.351232250693613</v>
      </c>
      <c r="M259" s="214" t="e">
        <f t="shared" si="450"/>
        <v>#N/A</v>
      </c>
      <c r="N259" s="168" t="str">
        <f t="shared" si="348"/>
        <v/>
      </c>
      <c r="O259" s="168">
        <f>IF($J259="",#N/A,SUM($N$4:N259))</f>
        <v>463.02511614781224</v>
      </c>
      <c r="P259" s="173" t="str">
        <f t="shared" si="349"/>
        <v/>
      </c>
      <c r="Q259" s="173">
        <f>IF($J259="",#N/A,SUM($P$4:P259))</f>
        <v>607.38210612129978</v>
      </c>
      <c r="R259" s="177">
        <f t="shared" si="350"/>
        <v>24.351232250693613</v>
      </c>
      <c r="S259" s="177">
        <f>IF($J259="",#N/A,SUM($R$4:R259))</f>
        <v>110.54389215047578</v>
      </c>
      <c r="T259" s="293" t="str">
        <f t="shared" si="351"/>
        <v/>
      </c>
      <c r="U259" s="293">
        <f>IF($J259="",#N/A,SUM($T$4:T259))</f>
        <v>17.555678719000994</v>
      </c>
      <c r="V259" s="294" t="str">
        <f t="shared" si="352"/>
        <v/>
      </c>
      <c r="W259" s="294">
        <f>IF($J259="",#N/A,SUM($V$4:V259))</f>
        <v>25.220376742088675</v>
      </c>
      <c r="X259" s="295">
        <f t="shared" si="353"/>
        <v>1.0146346771122339</v>
      </c>
      <c r="Y259" s="295">
        <f>IF($J259="",#N/A,SUM($X$4:X259))</f>
        <v>4.1950534757884856</v>
      </c>
      <c r="Z259" s="304" t="str">
        <f t="shared" si="354"/>
        <v/>
      </c>
      <c r="AA259" s="316" t="e">
        <f>IF($J259="",#N/A,SUM(Z$4:Z259))</f>
        <v>#N/A</v>
      </c>
      <c r="AB259" s="317" t="str">
        <f t="shared" si="355"/>
        <v/>
      </c>
      <c r="AC259" s="317" t="e">
        <f>IF($J259="",#N/A,SUM(AB$4:AB259))</f>
        <v>#N/A</v>
      </c>
      <c r="AD259" s="318" t="str">
        <f t="shared" si="356"/>
        <v/>
      </c>
      <c r="AE259" s="318" t="e">
        <f>IF($J259="",#N/A,SUM(AD$4:AD259))</f>
        <v>#N/A</v>
      </c>
      <c r="AF259" s="318" t="e">
        <f>IF($J259="",#N/A,SUM(AD$4:AD259,AB$4:AB259,Z$4:Z259))</f>
        <v>#N/A</v>
      </c>
      <c r="AG259" s="304" t="str">
        <f t="shared" si="357"/>
        <v/>
      </c>
      <c r="AH259" s="316" t="e">
        <f>IF($J259="",#N/A,SUM(AG$4:AG259))</f>
        <v>#N/A</v>
      </c>
      <c r="AI259" s="317" t="str">
        <f t="shared" si="358"/>
        <v/>
      </c>
      <c r="AJ259" s="317" t="e">
        <f>IF($J259="",#N/A,SUM(AI$4:AI259))</f>
        <v>#N/A</v>
      </c>
      <c r="AK259" s="318" t="str">
        <f t="shared" si="359"/>
        <v/>
      </c>
      <c r="AL259" s="318" t="e">
        <f>IF($J259="",#N/A,SUM(AK$4:AK259))</f>
        <v>#N/A</v>
      </c>
      <c r="AM259" s="318" t="e">
        <f>IF($J259="",#N/A,SUM(AK$4:AK259,AI$4:AI259,AG$4:AG259))</f>
        <v>#N/A</v>
      </c>
      <c r="AN259" s="304" t="str">
        <f t="shared" si="360"/>
        <v/>
      </c>
      <c r="AO259" s="316" t="e">
        <f>IF($J259="",#N/A,SUM(AN$4:AN259))</f>
        <v>#N/A</v>
      </c>
      <c r="AP259" s="317" t="str">
        <f t="shared" si="361"/>
        <v/>
      </c>
      <c r="AQ259" s="317" t="e">
        <f>IF($J259="",#N/A,SUM(AP$4:AP259))</f>
        <v>#N/A</v>
      </c>
      <c r="AR259" s="318">
        <f t="shared" si="362"/>
        <v>1.0146346771122339</v>
      </c>
      <c r="AS259" s="318" t="e">
        <f>IF($J259="",#N/A,SUM(AR$4:AR259))</f>
        <v>#N/A</v>
      </c>
      <c r="AT259" s="318" t="e">
        <f>IF($J259="",#N/A,SUM(AR$4:AR259,AP$4:AP259,AN$4:AN259))</f>
        <v>#N/A</v>
      </c>
      <c r="AU259" s="304" t="str">
        <f t="shared" si="363"/>
        <v/>
      </c>
      <c r="AV259" s="316" t="e">
        <f>IF($J259="",#N/A,SUM(AU$4:AU259))</f>
        <v>#N/A</v>
      </c>
      <c r="AW259" s="317" t="str">
        <f t="shared" si="364"/>
        <v/>
      </c>
      <c r="AX259" s="317" t="e">
        <f>IF($J259="",#N/A,SUM(AW$4:AW259))</f>
        <v>#N/A</v>
      </c>
      <c r="AY259" s="318" t="str">
        <f t="shared" si="365"/>
        <v/>
      </c>
      <c r="AZ259" s="318" t="e">
        <f>IF($J259="",#N/A,SUM(AY$4:AY259))</f>
        <v>#N/A</v>
      </c>
      <c r="BA259" s="318" t="e">
        <f>IF($J259="",#N/A,SUM(AY$4:AY259,AW$4:AW259,AU$4:AU259))</f>
        <v>#N/A</v>
      </c>
      <c r="BB259" s="304" t="str">
        <f t="shared" si="366"/>
        <v/>
      </c>
      <c r="BC259" s="316" t="e">
        <f>IF($J259="",#N/A,SUM(BB$4:BB259))</f>
        <v>#N/A</v>
      </c>
      <c r="BD259" s="317" t="str">
        <f t="shared" si="367"/>
        <v/>
      </c>
      <c r="BE259" s="317" t="e">
        <f>IF($J259="",#N/A,SUM(BD$4:BD259))</f>
        <v>#N/A</v>
      </c>
      <c r="BF259" s="318" t="str">
        <f t="shared" si="368"/>
        <v/>
      </c>
      <c r="BG259" s="318" t="e">
        <f>IF($J259="",#N/A,SUM(BF$4:BF259))</f>
        <v>#N/A</v>
      </c>
      <c r="BH259" s="318" t="e">
        <f>IF($J259="",#N/A,SUM(BF$4:BF259,BD$4:BD259,BB$4:BB259))</f>
        <v>#N/A</v>
      </c>
      <c r="BI259" s="304" t="str">
        <f t="shared" si="369"/>
        <v/>
      </c>
      <c r="BJ259" s="316" t="e">
        <f>IF($J259="",#N/A,SUM(BI$4:BI259))</f>
        <v>#N/A</v>
      </c>
      <c r="BK259" s="317" t="str">
        <f t="shared" si="370"/>
        <v/>
      </c>
      <c r="BL259" s="317" t="e">
        <f>IF($J259="",#N/A,SUM(BK$4:BK259))</f>
        <v>#N/A</v>
      </c>
      <c r="BM259" s="318" t="str">
        <f t="shared" si="371"/>
        <v/>
      </c>
      <c r="BN259" s="318" t="e">
        <f>IF($J259="",#N/A,SUM(BM$4:BM259))</f>
        <v>#N/A</v>
      </c>
      <c r="BO259" s="318" t="e">
        <f>IF($J259="",#N/A,SUM(BM$4:BM259,BK$4:BK259,BI$4:BI259))</f>
        <v>#N/A</v>
      </c>
      <c r="BP259" s="304" t="str">
        <f t="shared" si="372"/>
        <v/>
      </c>
      <c r="BQ259" s="316" t="e">
        <f>IF($J259="",#N/A,SUM(BP$4:BP259))</f>
        <v>#N/A</v>
      </c>
      <c r="BR259" s="317" t="str">
        <f t="shared" si="373"/>
        <v/>
      </c>
      <c r="BS259" s="317" t="e">
        <f>IF($J259="",#N/A,SUM(BR$4:BR259))</f>
        <v>#N/A</v>
      </c>
      <c r="BT259" s="318" t="str">
        <f t="shared" si="374"/>
        <v/>
      </c>
      <c r="BU259" s="318" t="e">
        <f>IF($J259="",#N/A,SUM(BT$4:BT259))</f>
        <v>#N/A</v>
      </c>
      <c r="BV259" s="318" t="e">
        <f>IF($J259="",#N/A,SUM(BT$4:BT259,BR$4:BR259,BP$4:BP259))</f>
        <v>#N/A</v>
      </c>
      <c r="BW259" s="304" t="str">
        <f t="shared" si="375"/>
        <v/>
      </c>
      <c r="BX259" s="316" t="e">
        <f>IF($J259="",#N/A,SUM(BW$4:BW259))</f>
        <v>#N/A</v>
      </c>
      <c r="BY259" s="317" t="str">
        <f t="shared" si="376"/>
        <v/>
      </c>
      <c r="BZ259" s="317" t="e">
        <f>IF($J259="",#N/A,SUM(BY$4:BY259))</f>
        <v>#N/A</v>
      </c>
      <c r="CA259" s="318" t="str">
        <f t="shared" si="377"/>
        <v/>
      </c>
      <c r="CB259" s="318" t="e">
        <f>IF($J259="",#N/A,SUM(CA$4:CA259))</f>
        <v>#N/A</v>
      </c>
      <c r="CC259" s="318" t="e">
        <f>IF($J259="",#N/A,SUM(CA$4:CA259,BY$4:BY259,BW$4:BW259))</f>
        <v>#N/A</v>
      </c>
      <c r="CD259" s="304" t="str">
        <f t="shared" si="378"/>
        <v/>
      </c>
      <c r="CE259" s="316" t="e">
        <f>IF($J259="",#N/A,SUM(CD$4:CD259))</f>
        <v>#N/A</v>
      </c>
      <c r="CF259" s="317" t="str">
        <f t="shared" si="379"/>
        <v/>
      </c>
      <c r="CG259" s="317" t="e">
        <f>IF($J259="",#N/A,SUM(CF$4:CF259))</f>
        <v>#N/A</v>
      </c>
      <c r="CH259" s="318" t="str">
        <f t="shared" si="380"/>
        <v/>
      </c>
      <c r="CI259" s="318" t="e">
        <f>IF($J259="",#N/A,SUM(CH$4:CH259))</f>
        <v>#N/A</v>
      </c>
      <c r="CJ259" s="318" t="e">
        <f>IF($J259="",#N/A,SUM(CH$4:CH259,CF$4:CF259,CD$4:CD259))</f>
        <v>#N/A</v>
      </c>
      <c r="CK259" s="304" t="str">
        <f t="shared" si="381"/>
        <v/>
      </c>
      <c r="CL259" s="316" t="e">
        <f>IF($J259="",#N/A,SUM(CK$4:CK259))</f>
        <v>#N/A</v>
      </c>
      <c r="CM259" s="317" t="str">
        <f t="shared" si="382"/>
        <v/>
      </c>
      <c r="CN259" s="317" t="e">
        <f>IF($J259="",#N/A,SUM(CM$4:CM259))</f>
        <v>#N/A</v>
      </c>
      <c r="CO259" s="318" t="str">
        <f t="shared" si="383"/>
        <v/>
      </c>
      <c r="CP259" s="318" t="e">
        <f>IF($J259="",#N/A,SUM(CO$4:CO259))</f>
        <v>#N/A</v>
      </c>
      <c r="CQ259" s="318" t="e">
        <f>IF($J259="",#N/A,SUM(CO$4:CO259,CM$4:CM259,CK$4:CK259))</f>
        <v>#N/A</v>
      </c>
      <c r="CR259" s="304" t="str">
        <f t="shared" si="384"/>
        <v/>
      </c>
      <c r="CS259" s="316" t="e">
        <f>IF($J259="",#N/A,SUM(CR$4:CR259))</f>
        <v>#N/A</v>
      </c>
      <c r="CT259" s="317" t="str">
        <f t="shared" si="385"/>
        <v/>
      </c>
      <c r="CU259" s="317" t="e">
        <f>IF($J259="",#N/A,SUM(CT$4:CT259))</f>
        <v>#N/A</v>
      </c>
      <c r="CV259" s="318" t="str">
        <f t="shared" si="386"/>
        <v/>
      </c>
      <c r="CW259" s="318" t="e">
        <f>IF($J259="",#N/A,SUM(CV$4:CV259))</f>
        <v>#N/A</v>
      </c>
      <c r="CX259" s="318" t="e">
        <f>IF($J259="",#N/A,SUM(CV$4:CV259,CT$4:CT259,CR$4:CR259))</f>
        <v>#N/A</v>
      </c>
      <c r="CY259" s="304" t="str">
        <f t="shared" si="387"/>
        <v/>
      </c>
      <c r="CZ259" s="316" t="e">
        <f>IF($J259="",#N/A,SUM(CY$4:CY259))</f>
        <v>#N/A</v>
      </c>
      <c r="DA259" s="317" t="str">
        <f t="shared" si="388"/>
        <v/>
      </c>
      <c r="DB259" s="317" t="e">
        <f>IF($J259="",#N/A,SUM(DA$4:DA259))</f>
        <v>#N/A</v>
      </c>
      <c r="DC259" s="318" t="str">
        <f t="shared" si="389"/>
        <v/>
      </c>
      <c r="DD259" s="318" t="e">
        <f>IF($J259="",#N/A,SUM(DC$4:DC259))</f>
        <v>#N/A</v>
      </c>
      <c r="DE259" s="318" t="e">
        <f>IF($J259="",#N/A,SUM(DC$4:DC259,DA$4:DA259,CY$4:CY259))</f>
        <v>#N/A</v>
      </c>
      <c r="DF259" s="304" t="str">
        <f t="shared" si="390"/>
        <v/>
      </c>
      <c r="DG259" s="316" t="e">
        <f>IF($J259="",#N/A,SUM(DF$4:DF259))</f>
        <v>#N/A</v>
      </c>
      <c r="DH259" s="317" t="str">
        <f t="shared" si="391"/>
        <v/>
      </c>
      <c r="DI259" s="317" t="e">
        <f>IF($J259="",#N/A,SUM(DH$4:DH259))</f>
        <v>#N/A</v>
      </c>
      <c r="DJ259" s="318" t="str">
        <f t="shared" si="392"/>
        <v/>
      </c>
      <c r="DK259" s="318" t="e">
        <f>IF($J259="",#N/A,SUM(DJ$4:DJ259))</f>
        <v>#N/A</v>
      </c>
      <c r="DL259" s="318" t="e">
        <f>IF($J259="",#N/A,SUM(DJ$4:DJ259,DH$4:DH259,DF$4:DF259))</f>
        <v>#N/A</v>
      </c>
      <c r="DM259" s="304" t="str">
        <f t="shared" si="393"/>
        <v/>
      </c>
      <c r="DN259" s="316" t="e">
        <f>IF($J259="",#N/A,SUM(DM$4:DM259))</f>
        <v>#N/A</v>
      </c>
      <c r="DO259" s="317" t="str">
        <f t="shared" si="394"/>
        <v/>
      </c>
      <c r="DP259" s="317" t="e">
        <f>IF($J259="",#N/A,SUM(DO$4:DO259))</f>
        <v>#N/A</v>
      </c>
      <c r="DQ259" s="318" t="str">
        <f t="shared" si="395"/>
        <v/>
      </c>
      <c r="DR259" s="318" t="e">
        <f>IF($J259="",#N/A,SUM(DQ$4:DQ259))</f>
        <v>#N/A</v>
      </c>
      <c r="DS259" s="318" t="e">
        <f>IF($J259="",#N/A,SUM(DQ$4:DQ259,DO$4:DO259,DM$4:DM259))</f>
        <v>#N/A</v>
      </c>
      <c r="DT259" s="304" t="str">
        <f t="shared" si="396"/>
        <v/>
      </c>
      <c r="DU259" s="316" t="e">
        <f>IF($J259="",#N/A,SUM(DT$4:DT259))</f>
        <v>#N/A</v>
      </c>
      <c r="DV259" s="317" t="str">
        <f t="shared" si="397"/>
        <v/>
      </c>
      <c r="DW259" s="317" t="e">
        <f>IF($J259="",#N/A,SUM(DV$4:DV259))</f>
        <v>#N/A</v>
      </c>
      <c r="DX259" s="318" t="str">
        <f t="shared" si="398"/>
        <v/>
      </c>
      <c r="DY259" s="318" t="e">
        <f>IF($J259="",#N/A,SUM(DX$4:DX259))</f>
        <v>#N/A</v>
      </c>
      <c r="DZ259" s="318" t="e">
        <f>IF($J259="",#N/A,SUM(DX$4:DX259,DV$4:DV259,DT$4:DT259))</f>
        <v>#N/A</v>
      </c>
      <c r="EA259" s="304" t="str">
        <f t="shared" si="399"/>
        <v/>
      </c>
      <c r="EB259" s="316" t="e">
        <f>IF($J259="",#N/A,SUM(EA$4:EA259))</f>
        <v>#N/A</v>
      </c>
      <c r="EC259" s="317" t="str">
        <f t="shared" si="400"/>
        <v/>
      </c>
      <c r="ED259" s="317" t="e">
        <f>IF($J259="",#N/A,SUM(EC$4:EC259))</f>
        <v>#N/A</v>
      </c>
      <c r="EE259" s="318" t="str">
        <f t="shared" si="401"/>
        <v/>
      </c>
      <c r="EF259" s="318" t="e">
        <f>IF($J259="",#N/A,SUM(EE$4:EE259))</f>
        <v>#N/A</v>
      </c>
      <c r="EG259" s="318" t="e">
        <f>IF($J259="",#N/A,SUM(EE$4:EE259,EC$4:EC259,EA$4:EA259))</f>
        <v>#N/A</v>
      </c>
      <c r="EH259" s="211">
        <f t="shared" si="402"/>
        <v>24.351232250693613</v>
      </c>
      <c r="EI259" s="63">
        <f>IF(EH259="",#N/A,SUM($EH$4:EH259))</f>
        <v>1180.9511144195878</v>
      </c>
      <c r="EJ259" s="223" t="e">
        <f t="shared" si="403"/>
        <v>#N/A</v>
      </c>
      <c r="EK259" s="63" t="e">
        <f>IF($GZ259="",#N/A,SUM(EJ$4:EJ259))</f>
        <v>#N/A</v>
      </c>
      <c r="EL259" s="60">
        <f t="shared" si="435"/>
        <v>1.0146346771122339</v>
      </c>
      <c r="EM259" s="60">
        <f>IF(EL259="",NA(),SUM($EL$4:EL259))</f>
        <v>37.15052923062202</v>
      </c>
      <c r="EN259" s="60" t="str">
        <f t="shared" si="404"/>
        <v/>
      </c>
      <c r="EO259" s="60" t="e">
        <f>IF(EN259="",NA(),SUM($EN$4:EN259))</f>
        <v>#N/A</v>
      </c>
      <c r="EP259" s="60">
        <f t="shared" si="405"/>
        <v>1.0146346771122339</v>
      </c>
      <c r="EQ259" s="60">
        <f>IF(EP259="",NA(),SUM($EP$4:EP259))</f>
        <v>4.8656678915581697</v>
      </c>
      <c r="ER259" s="60" t="str">
        <f t="shared" si="406"/>
        <v/>
      </c>
      <c r="ES259" s="60" t="e">
        <f>IF(ER259="",NA(),SUM($ER$4:ER259))</f>
        <v>#N/A</v>
      </c>
      <c r="ET259" s="60" t="str">
        <f t="shared" si="407"/>
        <v/>
      </c>
      <c r="EU259" s="60" t="e">
        <f>IF(ET259="",NA(),SUM($ET$4:ET259))</f>
        <v>#N/A</v>
      </c>
      <c r="EV259" s="60" t="str">
        <f t="shared" si="408"/>
        <v/>
      </c>
      <c r="EW259" s="60" t="e">
        <f>IF(EV259="",NA(),SUM($EV$4:EV259))</f>
        <v>#N/A</v>
      </c>
      <c r="EX259" s="60" t="str">
        <f t="shared" si="409"/>
        <v/>
      </c>
      <c r="EY259" s="60" t="e">
        <f>IF(EX259="",NA(),SUM($EX$4:EX259))</f>
        <v>#N/A</v>
      </c>
      <c r="EZ259" s="60" t="str">
        <f t="shared" si="410"/>
        <v/>
      </c>
      <c r="FA259" s="60" t="e">
        <f>IF(EZ259="",NA(),SUM($EZ$4:EZ259))</f>
        <v>#N/A</v>
      </c>
      <c r="FB259" s="246" t="str">
        <f t="shared" si="436"/>
        <v/>
      </c>
      <c r="FC259" s="246" t="e">
        <f>IF($FB259="",#N/A,SUM(FB$4:$FB259))</f>
        <v>#N/A</v>
      </c>
      <c r="FD259" s="60" t="str">
        <f t="shared" si="411"/>
        <v/>
      </c>
      <c r="FE259" s="60" t="e">
        <f>IF($FD259="",#N/A,SUM($FD$4:FD259))</f>
        <v>#N/A</v>
      </c>
      <c r="FF259" s="60" t="str">
        <f t="shared" si="412"/>
        <v/>
      </c>
      <c r="FG259" s="60" t="e">
        <f>IF($FF259="",#N/A,SUM($FF$4:FF259))</f>
        <v>#N/A</v>
      </c>
      <c r="FH259" s="60" t="str">
        <f t="shared" si="413"/>
        <v/>
      </c>
      <c r="FI259" s="60" t="e">
        <f>IF($FH259="",#N/A,SUM($FH$4:FH259))</f>
        <v>#N/A</v>
      </c>
      <c r="FJ259" s="60">
        <f t="shared" si="414"/>
        <v>-0.41347043142375151</v>
      </c>
      <c r="FK259" s="60">
        <f>IF($FJ259="",#N/A,SUM($FJ$4:FJ259))</f>
        <v>-7.565369404336395</v>
      </c>
      <c r="FL259" s="60" t="str">
        <f t="shared" si="415"/>
        <v/>
      </c>
      <c r="FM259" s="60" t="e">
        <f>IF($FL259="",#N/A,SUM($FL$4:FL259))</f>
        <v>#N/A</v>
      </c>
      <c r="FN259" s="82">
        <f t="shared" si="416"/>
        <v>0.60116424568848237</v>
      </c>
      <c r="FO259" s="82">
        <f>IF($FN259="",#N/A,SUM(FN$4:$FN259))</f>
        <v>43.932123382271314</v>
      </c>
      <c r="FP259" s="82">
        <f t="shared" si="437"/>
        <v>1.0146346771122339</v>
      </c>
      <c r="FQ259" s="246">
        <f>IF($EH259="",#N/A,SUM($FP$4:FP259))</f>
        <v>46.971108936878139</v>
      </c>
      <c r="FR259" s="82">
        <f>IFERROR(FQ259/COUNTA($J$4:J259),#N/A)</f>
        <v>0.18348089428468023</v>
      </c>
      <c r="FS259" s="82">
        <f t="shared" si="448"/>
        <v>0.35282406207289602</v>
      </c>
      <c r="FT259" s="82">
        <f t="shared" si="449"/>
        <v>0.23675509392411981</v>
      </c>
      <c r="FU259" s="273"/>
      <c r="FV259" s="57" t="str">
        <f t="shared" si="418"/>
        <v>SW</v>
      </c>
      <c r="FW259" s="57" t="s">
        <v>2732</v>
      </c>
      <c r="FX259" s="57" t="str">
        <f t="shared" si="419"/>
        <v/>
      </c>
      <c r="FY259" s="57" t="str">
        <f t="shared" si="420"/>
        <v/>
      </c>
      <c r="FZ259" s="57">
        <f t="shared" si="421"/>
        <v>1</v>
      </c>
      <c r="GA259" s="57" t="str">
        <f t="shared" si="422"/>
        <v>Long</v>
      </c>
      <c r="GB259" s="57" t="str">
        <f t="shared" si="423"/>
        <v/>
      </c>
      <c r="GC259" s="57" t="str">
        <f t="shared" si="424"/>
        <v/>
      </c>
      <c r="GD259" s="57" t="str">
        <f t="shared" si="425"/>
        <v/>
      </c>
      <c r="GE259" s="62">
        <f t="shared" si="451"/>
        <v>61.27</v>
      </c>
      <c r="GF259" s="62" t="s">
        <v>2780</v>
      </c>
      <c r="GG259" s="99">
        <f>400/I259</f>
        <v>6.5284804961645175</v>
      </c>
      <c r="GH259" s="207">
        <f t="shared" si="426"/>
        <v>400</v>
      </c>
      <c r="GI259" s="99">
        <f>GG259</f>
        <v>6.5284804961645175</v>
      </c>
      <c r="GJ259" s="98">
        <f>J259</f>
        <v>65</v>
      </c>
      <c r="GK259" s="63">
        <f t="shared" si="427"/>
        <v>-24.351232250693613</v>
      </c>
      <c r="GL259" s="63">
        <f t="shared" si="452"/>
        <v>-14.427941896523578</v>
      </c>
      <c r="GM259" s="82">
        <f t="shared" si="428"/>
        <v>0.60116424568848237</v>
      </c>
      <c r="GN259" s="82">
        <f>IF($GZ259="",#N/A,SUM(GM$4:GM259))</f>
        <v>-2.645815058160407</v>
      </c>
      <c r="GO259" s="82" t="str">
        <f t="shared" si="429"/>
        <v/>
      </c>
      <c r="GP259" s="82">
        <f>IF($GZ259="",#N/A,SUM(GO$4:GO259))</f>
        <v>15.690709321361755</v>
      </c>
      <c r="GQ259" s="82" t="str">
        <f t="shared" si="430"/>
        <v/>
      </c>
      <c r="GR259" s="82">
        <f>IF($GZ259="",#N/A,SUM(GQ$4:GQ259))</f>
        <v>30.261392164627633</v>
      </c>
      <c r="GS259" s="63" t="e">
        <f t="shared" si="438"/>
        <v>#N/A</v>
      </c>
      <c r="GT259" s="63" t="e">
        <f>IF($GZ259="",#N/A,SUM(GS$4:GS259))</f>
        <v>#N/A</v>
      </c>
      <c r="GU259" s="63" t="str">
        <f t="shared" si="439"/>
        <v/>
      </c>
      <c r="GV259" s="63" t="e">
        <f>IF($GZ259="",#N/A,SUM(GU$4:GU259))</f>
        <v>#N/A</v>
      </c>
      <c r="GW259" s="63" t="str">
        <f t="shared" si="440"/>
        <v/>
      </c>
      <c r="GX259" s="63" t="e">
        <f>IF($GZ259="",#N/A,SUM(GW$4:GW259))</f>
        <v>#N/A</v>
      </c>
      <c r="GY259" s="63" t="e">
        <f>IF(EJ259="",#N/A,SUM($EJ$4:EJ259))</f>
        <v>#N/A</v>
      </c>
      <c r="GZ259" s="159">
        <v>63.48</v>
      </c>
      <c r="HA259" s="63">
        <f t="shared" si="431"/>
        <v>-38.779174147217191</v>
      </c>
      <c r="HB259" s="130" t="s">
        <v>4970</v>
      </c>
      <c r="HC259" s="60">
        <f>IFERROR(VLOOKUP(E259,Expectancy!$P$4:$S$19,1+C259,FALSE),"")</f>
        <v>0.48685636958953199</v>
      </c>
      <c r="HD259" s="82" t="str">
        <f t="shared" si="432"/>
        <v/>
      </c>
      <c r="HE259" s="138" t="e">
        <f>IF(HD259="",#N/A,SUM($HD$4:HD259))</f>
        <v>#N/A</v>
      </c>
      <c r="HF259" s="85" t="e">
        <f>IF(HD259="",#N/A,IF(HB259="Skip",#N/A,SUM($HG$4:HG259)))</f>
        <v>#N/A</v>
      </c>
      <c r="HG259" s="205" t="str">
        <f t="shared" si="433"/>
        <v/>
      </c>
      <c r="HH259" s="82">
        <f t="shared" si="434"/>
        <v>0.60116424568848237</v>
      </c>
    </row>
    <row r="260" spans="1:216" x14ac:dyDescent="0.25">
      <c r="A260" s="57" t="s">
        <v>280</v>
      </c>
      <c r="B260" s="58" t="s">
        <v>5231</v>
      </c>
      <c r="C260" s="386">
        <f t="shared" ref="C260:C323" si="453">IF(FV260="Dwn",2,IF(FV260="Up",1,IF(FV260="SW",3,"x")))</f>
        <v>2</v>
      </c>
      <c r="D260" s="372" t="str">
        <f>_xlfn.XLOOKUP(A260,[1]SP500!$A$2:$A$502,[1]SP500!$D$2:$D$502,"N")</f>
        <v>Y</v>
      </c>
      <c r="E260" s="57" t="str">
        <f>_xlfn.XLOOKUP(A260,[1]SP500!$A$2:$A$655,[1]SP500!$B$2:$B$655)</f>
        <v>XLF</v>
      </c>
      <c r="F260" s="59">
        <v>45694</v>
      </c>
      <c r="G260" s="57" t="str">
        <f t="shared" ref="G260:G323" si="454">IF(ISNUMBER(FIND("After",B260,1)),"AMC",IF(ISNUMBER(FIND("Before",B260,1)),"BMO","err"))</f>
        <v>BMO</v>
      </c>
      <c r="H260" s="57" t="str">
        <f t="shared" ref="H260:H323" si="455">IF(HB260="other","o",IF(HB260="Skip","o",IF(OR(FV260="",GF260=""),"",IF(AND(FV260="Dwn",GF260="Short"),"s",IF(AND(FV260="Up",GF260="Long"),"s",IF(AND(FV260="SW",GF260="Long"),"s","o"))))))</f>
        <v>o</v>
      </c>
      <c r="I260" s="162">
        <v>198.07</v>
      </c>
      <c r="J260" s="159">
        <v>209.01</v>
      </c>
      <c r="K260" s="61">
        <f t="shared" ref="K260:K323" si="456">IF(J260="","",(J260-I260)/I260)</f>
        <v>5.5232998434896742E-2</v>
      </c>
      <c r="L260" s="87">
        <f t="shared" ref="L260:L323" si="457">IF(OR($GI260="",J260=""),"",IF($GF260="Long",(($J260*$GI260)-$GH260),($GH260-($J260*$GI260))))</f>
        <v>-22.093199373958669</v>
      </c>
      <c r="M260" s="214" t="e">
        <f t="shared" si="450"/>
        <v>#N/A</v>
      </c>
      <c r="N260" s="168" t="str">
        <f t="shared" ref="N260:N323" si="458">IF(AND($FV260="Up",$GA260="Long"),$EH260,"")</f>
        <v/>
      </c>
      <c r="O260" s="168">
        <f>IF($J260="",#N/A,SUM($N$4:N260))</f>
        <v>463.02511614781224</v>
      </c>
      <c r="P260" s="173">
        <f t="shared" ref="P260:P323" si="459">IF(AND($FV260="Dwn",$GA260="Short"),$EH260,"")</f>
        <v>-22.093199373958669</v>
      </c>
      <c r="Q260" s="173">
        <f>IF($J260="",#N/A,SUM($P$4:P260))</f>
        <v>585.28890674734112</v>
      </c>
      <c r="R260" s="177" t="str">
        <f t="shared" ref="R260:R323" si="460">IF(AND($FV260="SW",$GA260="Long"),$EH260,"")</f>
        <v/>
      </c>
      <c r="S260" s="177">
        <f>IF($J260="",#N/A,SUM($R$4:R260))</f>
        <v>110.54389215047578</v>
      </c>
      <c r="T260" s="293" t="str">
        <f t="shared" ref="T260:T323" si="461">IF(AND($FV260="Up",$GA260="Long"),$FP260,"")</f>
        <v/>
      </c>
      <c r="U260" s="293">
        <f>IF($J260="",#N/A,SUM($T$4:T260))</f>
        <v>17.555678719000994</v>
      </c>
      <c r="V260" s="294">
        <f t="shared" ref="V260:V323" si="462">IF(AND($FV260="Dwn",$GA260="Short"),$FP260,"")</f>
        <v>-0.92054997391494453</v>
      </c>
      <c r="W260" s="294">
        <f>IF($J260="",#N/A,SUM($V$4:V260))</f>
        <v>24.29982676817373</v>
      </c>
      <c r="X260" s="295" t="str">
        <f t="shared" ref="X260:X323" si="463">IF(AND($FV260="SW",$GA260="Long"),$FP260,"")</f>
        <v/>
      </c>
      <c r="Y260" s="295">
        <f>IF($J260="",#N/A,SUM($X$4:X260))</f>
        <v>4.1950534757884856</v>
      </c>
      <c r="Z260" s="304" t="str">
        <f t="shared" ref="Z260:Z323" si="464">IF(AND($FV260="Up",$GA260="Long",$E260=Z$2),$FP260,"")</f>
        <v/>
      </c>
      <c r="AA260" s="316" t="e">
        <f>IF($J260="",#N/A,SUM(Z$4:Z260))</f>
        <v>#N/A</v>
      </c>
      <c r="AB260" s="317" t="str">
        <f t="shared" ref="AB260:AB323" si="465">IF(AND($FV260="Dwn",$GA260="Short",$E260=Z$2),$FP260,"")</f>
        <v/>
      </c>
      <c r="AC260" s="317" t="e">
        <f>IF($J260="",#N/A,SUM(AB$4:AB260))</f>
        <v>#N/A</v>
      </c>
      <c r="AD260" s="318" t="str">
        <f t="shared" ref="AD260:AD323" si="466">IF(AND($FV260="SW",$GA260="Long",$E260=Z$2),$FP260,"")</f>
        <v/>
      </c>
      <c r="AE260" s="318" t="e">
        <f>IF($J260="",#N/A,SUM(AD$4:AD260))</f>
        <v>#N/A</v>
      </c>
      <c r="AF260" s="318" t="e">
        <f>IF($J260="",#N/A,SUM(AD$4:AD260,AB$4:AB260,Z$4:Z260))</f>
        <v>#N/A</v>
      </c>
      <c r="AG260" s="304" t="str">
        <f t="shared" ref="AG260:AG323" si="467">IF(AND($FV260="Up",$GA260="Long",$E260=AG$2),$FP260,"")</f>
        <v/>
      </c>
      <c r="AH260" s="316" t="e">
        <f>IF($J260="",#N/A,SUM(AG$4:AG260))</f>
        <v>#N/A</v>
      </c>
      <c r="AI260" s="317" t="str">
        <f t="shared" ref="AI260:AI323" si="468">IF(AND($FV260="Dwn",$GA260="Short",$E260=AG$2),$FP260,"")</f>
        <v/>
      </c>
      <c r="AJ260" s="317" t="e">
        <f>IF($J260="",#N/A,SUM(AI$4:AI260))</f>
        <v>#N/A</v>
      </c>
      <c r="AK260" s="318" t="str">
        <f t="shared" ref="AK260:AK323" si="469">IF(AND($FV260="SW",$GA260="Long",$E260=AG$2),$FP260,"")</f>
        <v/>
      </c>
      <c r="AL260" s="318" t="e">
        <f>IF($J260="",#N/A,SUM(AK$4:AK260))</f>
        <v>#N/A</v>
      </c>
      <c r="AM260" s="318" t="e">
        <f>IF($J260="",#N/A,SUM(AK$4:AK260,AI$4:AI260,AG$4:AG260))</f>
        <v>#N/A</v>
      </c>
      <c r="AN260" s="304" t="str">
        <f t="shared" ref="AN260:AN323" si="470">IF(AND($FV260="Up",$GA260="Long",$E260=AN$2),$FP260,"")</f>
        <v/>
      </c>
      <c r="AO260" s="316" t="e">
        <f>IF($J260="",#N/A,SUM(AN$4:AN260))</f>
        <v>#N/A</v>
      </c>
      <c r="AP260" s="317" t="str">
        <f t="shared" ref="AP260:AP323" si="471">IF(AND($FV260="Dwn",$GA260="Short",$E260=AN$2),$FP260,"")</f>
        <v/>
      </c>
      <c r="AQ260" s="317" t="e">
        <f>IF($J260="",#N/A,SUM(AP$4:AP260))</f>
        <v>#N/A</v>
      </c>
      <c r="AR260" s="318" t="str">
        <f t="shared" ref="AR260:AR323" si="472">IF(AND($FV260="SW",$GA260="Long",$E260=AN$2),$FP260,"")</f>
        <v/>
      </c>
      <c r="AS260" s="318" t="e">
        <f>IF($J260="",#N/A,SUM(AR$4:AR260))</f>
        <v>#N/A</v>
      </c>
      <c r="AT260" s="318" t="e">
        <f>IF($J260="",#N/A,SUM(AR$4:AR260,AP$4:AP260,AN$4:AN260))</f>
        <v>#N/A</v>
      </c>
      <c r="AU260" s="304" t="str">
        <f t="shared" ref="AU260:AU323" si="473">IF(AND($FV260="Up",$GA260="Long",$E260=AU$2),$FP260,"")</f>
        <v/>
      </c>
      <c r="AV260" s="316" t="e">
        <f>IF($J260="",#N/A,SUM(AU$4:AU260))</f>
        <v>#N/A</v>
      </c>
      <c r="AW260" s="317" t="str">
        <f t="shared" ref="AW260:AW323" si="474">IF(AND($FV260="Dwn",$GA260="Short",$E260=AU$2),$FP260,"")</f>
        <v/>
      </c>
      <c r="AX260" s="317" t="e">
        <f>IF($J260="",#N/A,SUM(AW$4:AW260))</f>
        <v>#N/A</v>
      </c>
      <c r="AY260" s="318" t="str">
        <f t="shared" ref="AY260:AY323" si="475">IF(AND($FV260="SW",$GA260="Long",$E260=AU$2),$FP260,"")</f>
        <v/>
      </c>
      <c r="AZ260" s="318" t="e">
        <f>IF($J260="",#N/A,SUM(AY$4:AY260))</f>
        <v>#N/A</v>
      </c>
      <c r="BA260" s="318" t="e">
        <f>IF($J260="",#N/A,SUM(AY$4:AY260,AW$4:AW260,AU$4:AU260))</f>
        <v>#N/A</v>
      </c>
      <c r="BB260" s="304" t="str">
        <f t="shared" ref="BB260:BB323" si="476">IF(AND($FV260="Up",$GA260="Long",$E260=BB$2),$FP260,"")</f>
        <v/>
      </c>
      <c r="BC260" s="316" t="e">
        <f>IF($J260="",#N/A,SUM(BB$4:BB260))</f>
        <v>#N/A</v>
      </c>
      <c r="BD260" s="317" t="str">
        <f t="shared" ref="BD260:BD323" si="477">IF(AND($FV260="Dwn",$GA260="Short",$E260=BB$2),$FP260,"")</f>
        <v/>
      </c>
      <c r="BE260" s="317" t="e">
        <f>IF($J260="",#N/A,SUM(BD$4:BD260))</f>
        <v>#N/A</v>
      </c>
      <c r="BF260" s="318" t="str">
        <f t="shared" ref="BF260:BF323" si="478">IF(AND($FV260="SW",$GA260="Long",$E260=BB$2),$FP260,"")</f>
        <v/>
      </c>
      <c r="BG260" s="318" t="e">
        <f>IF($J260="",#N/A,SUM(BF$4:BF260))</f>
        <v>#N/A</v>
      </c>
      <c r="BH260" s="318" t="e">
        <f>IF($J260="",#N/A,SUM(BF$4:BF260,BD$4:BD260,BB$4:BB260))</f>
        <v>#N/A</v>
      </c>
      <c r="BI260" s="304" t="str">
        <f t="shared" ref="BI260:BI323" si="479">IF(AND($FV260="Up",$GA260="Long",$E260=BI$2),$FP260,"")</f>
        <v/>
      </c>
      <c r="BJ260" s="316" t="e">
        <f>IF($J260="",#N/A,SUM(BI$4:BI260))</f>
        <v>#N/A</v>
      </c>
      <c r="BK260" s="317">
        <f t="shared" ref="BK260:BK323" si="480">IF(AND($FV260="Dwn",$GA260="Short",$E260=BI$2),$FP260,"")</f>
        <v>-0.92054997391494453</v>
      </c>
      <c r="BL260" s="317" t="e">
        <f>IF($J260="",#N/A,SUM(BK$4:BK260))</f>
        <v>#N/A</v>
      </c>
      <c r="BM260" s="318" t="str">
        <f t="shared" ref="BM260:BM323" si="481">IF(AND($FV260="SW",$GA260="Long",$E260=BI$2),$FP260,"")</f>
        <v/>
      </c>
      <c r="BN260" s="318" t="e">
        <f>IF($J260="",#N/A,SUM(BM$4:BM260))</f>
        <v>#N/A</v>
      </c>
      <c r="BO260" s="318" t="e">
        <f>IF($J260="",#N/A,SUM(BM$4:BM260,BK$4:BK260,BI$4:BI260))</f>
        <v>#N/A</v>
      </c>
      <c r="BP260" s="304" t="str">
        <f t="shared" ref="BP260:BP323" si="482">IF(AND($FV260="Up",$GA260="Long",$E260=BP$2),$FP260,"")</f>
        <v/>
      </c>
      <c r="BQ260" s="316" t="e">
        <f>IF($J260="",#N/A,SUM(BP$4:BP260))</f>
        <v>#N/A</v>
      </c>
      <c r="BR260" s="317" t="str">
        <f t="shared" ref="BR260:BR323" si="483">IF(AND($FV260="Dwn",$GA260="Short",$E260=BP$2),$FP260,"")</f>
        <v/>
      </c>
      <c r="BS260" s="317" t="e">
        <f>IF($J260="",#N/A,SUM(BR$4:BR260))</f>
        <v>#N/A</v>
      </c>
      <c r="BT260" s="318" t="str">
        <f t="shared" ref="BT260:BT323" si="484">IF(AND($FV260="SW",$GA260="Long",$E260=BP$2),$FP260,"")</f>
        <v/>
      </c>
      <c r="BU260" s="318" t="e">
        <f>IF($J260="",#N/A,SUM(BT$4:BT260))</f>
        <v>#N/A</v>
      </c>
      <c r="BV260" s="318" t="e">
        <f>IF($J260="",#N/A,SUM(BT$4:BT260,BR$4:BR260,BP$4:BP260))</f>
        <v>#N/A</v>
      </c>
      <c r="BW260" s="304" t="str">
        <f t="shared" ref="BW260:BW323" si="485">IF(AND($FV260="Up",$GA260="Long",$E260=BW$2),$FP260,"")</f>
        <v/>
      </c>
      <c r="BX260" s="316" t="e">
        <f>IF($J260="",#N/A,SUM(BW$4:BW260))</f>
        <v>#N/A</v>
      </c>
      <c r="BY260" s="317" t="str">
        <f t="shared" ref="BY260:BY323" si="486">IF(AND($FV260="Dwn",$GA260="Short",$E260=BW$2),$FP260,"")</f>
        <v/>
      </c>
      <c r="BZ260" s="317" t="e">
        <f>IF($J260="",#N/A,SUM(BY$4:BY260))</f>
        <v>#N/A</v>
      </c>
      <c r="CA260" s="318" t="str">
        <f t="shared" ref="CA260:CA323" si="487">IF(AND($FV260="SW",$GA260="Long",$E260=BW$2),$FP260,"")</f>
        <v/>
      </c>
      <c r="CB260" s="318" t="e">
        <f>IF($J260="",#N/A,SUM(CA$4:CA260))</f>
        <v>#N/A</v>
      </c>
      <c r="CC260" s="318" t="e">
        <f>IF($J260="",#N/A,SUM(CA$4:CA260,BY$4:BY260,BW$4:BW260))</f>
        <v>#N/A</v>
      </c>
      <c r="CD260" s="304" t="str">
        <f t="shared" ref="CD260:CD323" si="488">IF(AND($FV260="Up",$GA260="Long",$E260=CD$2),$FP260,"")</f>
        <v/>
      </c>
      <c r="CE260" s="316" t="e">
        <f>IF($J260="",#N/A,SUM(CD$4:CD260))</f>
        <v>#N/A</v>
      </c>
      <c r="CF260" s="317" t="str">
        <f t="shared" ref="CF260:CF323" si="489">IF(AND($FV260="Dwn",$GA260="Short",$E260=CD$2),$FP260,"")</f>
        <v/>
      </c>
      <c r="CG260" s="317" t="e">
        <f>IF($J260="",#N/A,SUM(CF$4:CF260))</f>
        <v>#N/A</v>
      </c>
      <c r="CH260" s="318" t="str">
        <f t="shared" ref="CH260:CH323" si="490">IF(AND($FV260="SW",$GA260="Long",$E260=CD$2),$FP260,"")</f>
        <v/>
      </c>
      <c r="CI260" s="318" t="e">
        <f>IF($J260="",#N/A,SUM(CH$4:CH260))</f>
        <v>#N/A</v>
      </c>
      <c r="CJ260" s="318" t="e">
        <f>IF($J260="",#N/A,SUM(CH$4:CH260,CF$4:CF260,CD$4:CD260))</f>
        <v>#N/A</v>
      </c>
      <c r="CK260" s="304" t="str">
        <f t="shared" ref="CK260:CK323" si="491">IF(AND($FV260="Up",$GA260="Long",$E260=CK$2),$FP260,"")</f>
        <v/>
      </c>
      <c r="CL260" s="316" t="e">
        <f>IF($J260="",#N/A,SUM(CK$4:CK260))</f>
        <v>#N/A</v>
      </c>
      <c r="CM260" s="317" t="str">
        <f t="shared" ref="CM260:CM323" si="492">IF(AND($FV260="Dwn",$GA260="Short",$E260=CK$2),$FP260,"")</f>
        <v/>
      </c>
      <c r="CN260" s="317" t="e">
        <f>IF($J260="",#N/A,SUM(CM$4:CM260))</f>
        <v>#N/A</v>
      </c>
      <c r="CO260" s="318" t="str">
        <f t="shared" ref="CO260:CO323" si="493">IF(AND($FV260="SW",$GA260="Long",$E260=CK$2),$FP260,"")</f>
        <v/>
      </c>
      <c r="CP260" s="318" t="e">
        <f>IF($J260="",#N/A,SUM(CO$4:CO260))</f>
        <v>#N/A</v>
      </c>
      <c r="CQ260" s="318" t="e">
        <f>IF($J260="",#N/A,SUM(CO$4:CO260,CM$4:CM260,CK$4:CK260))</f>
        <v>#N/A</v>
      </c>
      <c r="CR260" s="304" t="str">
        <f t="shared" ref="CR260:CR323" si="494">IF(AND($FV260="Up",$GA260="Long",$E260=CR$2),$FP260,"")</f>
        <v/>
      </c>
      <c r="CS260" s="316" t="e">
        <f>IF($J260="",#N/A,SUM(CR$4:CR260))</f>
        <v>#N/A</v>
      </c>
      <c r="CT260" s="317" t="str">
        <f t="shared" ref="CT260:CT323" si="495">IF(AND($FV260="Dwn",$GA260="Short",$E260=CR$2),$FP260,"")</f>
        <v/>
      </c>
      <c r="CU260" s="317" t="e">
        <f>IF($J260="",#N/A,SUM(CT$4:CT260))</f>
        <v>#N/A</v>
      </c>
      <c r="CV260" s="318" t="str">
        <f t="shared" ref="CV260:CV323" si="496">IF(AND($FV260="SW",$GA260="Long",$E260=CR$2),$FP260,"")</f>
        <v/>
      </c>
      <c r="CW260" s="318" t="e">
        <f>IF($J260="",#N/A,SUM(CV$4:CV260))</f>
        <v>#N/A</v>
      </c>
      <c r="CX260" s="318" t="e">
        <f>IF($J260="",#N/A,SUM(CV$4:CV260,CT$4:CT260,CR$4:CR260))</f>
        <v>#N/A</v>
      </c>
      <c r="CY260" s="304" t="str">
        <f t="shared" ref="CY260:CY323" si="497">IF(AND($FV260="Up",$GA260="Long",$E260=CY$2),$FP260,"")</f>
        <v/>
      </c>
      <c r="CZ260" s="316" t="e">
        <f>IF($J260="",#N/A,SUM(CY$4:CY260))</f>
        <v>#N/A</v>
      </c>
      <c r="DA260" s="317" t="str">
        <f t="shared" ref="DA260:DA323" si="498">IF(AND($FV260="Dwn",$GA260="Short",$E260=CY$2),$FP260,"")</f>
        <v/>
      </c>
      <c r="DB260" s="317" t="e">
        <f>IF($J260="",#N/A,SUM(DA$4:DA260))</f>
        <v>#N/A</v>
      </c>
      <c r="DC260" s="318" t="str">
        <f t="shared" ref="DC260:DC323" si="499">IF(AND($FV260="SW",$GA260="Long",$E260=CY$2),$FP260,"")</f>
        <v/>
      </c>
      <c r="DD260" s="318" t="e">
        <f>IF($J260="",#N/A,SUM(DC$4:DC260))</f>
        <v>#N/A</v>
      </c>
      <c r="DE260" s="318" t="e">
        <f>IF($J260="",#N/A,SUM(DC$4:DC260,DA$4:DA260,CY$4:CY260))</f>
        <v>#N/A</v>
      </c>
      <c r="DF260" s="304" t="str">
        <f t="shared" ref="DF260:DF323" si="500">IF(AND($FV260="Up",$GA260="Long",$E260=DF$2),$FP260,"")</f>
        <v/>
      </c>
      <c r="DG260" s="316" t="e">
        <f>IF($J260="",#N/A,SUM(DF$4:DF260))</f>
        <v>#N/A</v>
      </c>
      <c r="DH260" s="317" t="str">
        <f t="shared" ref="DH260:DH323" si="501">IF(AND($FV260="Dwn",$GA260="Short",$E260=DF$2),$FP260,"")</f>
        <v/>
      </c>
      <c r="DI260" s="317" t="e">
        <f>IF($J260="",#N/A,SUM(DH$4:DH260))</f>
        <v>#N/A</v>
      </c>
      <c r="DJ260" s="318" t="str">
        <f t="shared" ref="DJ260:DJ323" si="502">IF(AND($FV260="SW",$GA260="Long",$E260=DF$2),$FP260,"")</f>
        <v/>
      </c>
      <c r="DK260" s="318" t="e">
        <f>IF($J260="",#N/A,SUM(DJ$4:DJ260))</f>
        <v>#N/A</v>
      </c>
      <c r="DL260" s="318" t="e">
        <f>IF($J260="",#N/A,SUM(DJ$4:DJ260,DH$4:DH260,DF$4:DF260))</f>
        <v>#N/A</v>
      </c>
      <c r="DM260" s="304" t="str">
        <f t="shared" ref="DM260:DM323" si="503">IF(AND($FV260="Up",$GA260="Long",$E260=DM$2),$FP260,"")</f>
        <v/>
      </c>
      <c r="DN260" s="316" t="e">
        <f>IF($J260="",#N/A,SUM(DM$4:DM260))</f>
        <v>#N/A</v>
      </c>
      <c r="DO260" s="317" t="str">
        <f t="shared" ref="DO260:DO323" si="504">IF(AND($FV260="Dwn",$GA260="Short",$E260=DM$2),$FP260,"")</f>
        <v/>
      </c>
      <c r="DP260" s="317" t="e">
        <f>IF($J260="",#N/A,SUM(DO$4:DO260))</f>
        <v>#N/A</v>
      </c>
      <c r="DQ260" s="318" t="str">
        <f t="shared" ref="DQ260:DQ323" si="505">IF(AND($FV260="SW",$GA260="Long",$E260=DM$2),$FP260,"")</f>
        <v/>
      </c>
      <c r="DR260" s="318" t="e">
        <f>IF($J260="",#N/A,SUM(DQ$4:DQ260))</f>
        <v>#N/A</v>
      </c>
      <c r="DS260" s="318" t="e">
        <f>IF($J260="",#N/A,SUM(DQ$4:DQ260,DO$4:DO260,DM$4:DM260))</f>
        <v>#N/A</v>
      </c>
      <c r="DT260" s="304" t="str">
        <f t="shared" ref="DT260:DT323" si="506">IF(AND($FV260="Up",$GA260="Long",$E260=DT$2),$FP260,"")</f>
        <v/>
      </c>
      <c r="DU260" s="316" t="e">
        <f>IF($J260="",#N/A,SUM(DT$4:DT260))</f>
        <v>#N/A</v>
      </c>
      <c r="DV260" s="317" t="str">
        <f t="shared" ref="DV260:DV323" si="507">IF(AND($FV260="Dwn",$GA260="Short",$E260=DT$2),$FP260,"")</f>
        <v/>
      </c>
      <c r="DW260" s="317" t="e">
        <f>IF($J260="",#N/A,SUM(DV$4:DV260))</f>
        <v>#N/A</v>
      </c>
      <c r="DX260" s="318" t="str">
        <f t="shared" ref="DX260:DX323" si="508">IF(AND($FV260="SW",$GA260="Long",$E260=DT$2),$FP260,"")</f>
        <v/>
      </c>
      <c r="DY260" s="318" t="e">
        <f>IF($J260="",#N/A,SUM(DX$4:DX260))</f>
        <v>#N/A</v>
      </c>
      <c r="DZ260" s="318" t="e">
        <f>IF($J260="",#N/A,SUM(DX$4:DX260,DV$4:DV260,DT$4:DT260))</f>
        <v>#N/A</v>
      </c>
      <c r="EA260" s="304" t="str">
        <f t="shared" ref="EA260:EA323" si="509">IF(AND($FV260="Up",$GA260="Long",$E260=EA$2),$FP260,"")</f>
        <v/>
      </c>
      <c r="EB260" s="316" t="e">
        <f>IF($J260="",#N/A,SUM(EA$4:EA260))</f>
        <v>#N/A</v>
      </c>
      <c r="EC260" s="317" t="str">
        <f t="shared" ref="EC260:EC323" si="510">IF(AND($FV260="Dwn",$GA260="Short",$E260=EA$2),$FP260,"")</f>
        <v/>
      </c>
      <c r="ED260" s="317" t="e">
        <f>IF($J260="",#N/A,SUM(EC$4:EC260))</f>
        <v>#N/A</v>
      </c>
      <c r="EE260" s="318" t="str">
        <f t="shared" ref="EE260:EE323" si="511">IF(AND($FV260="SW",$GA260="Long",$E260=EA$2),$FP260,"")</f>
        <v/>
      </c>
      <c r="EF260" s="318" t="e">
        <f>IF($J260="",#N/A,SUM(EE$4:EE260))</f>
        <v>#N/A</v>
      </c>
      <c r="EG260" s="318" t="e">
        <f>IF($J260="",#N/A,SUM(EE$4:EE260,EC$4:EC260,EA$4:EA260))</f>
        <v>#N/A</v>
      </c>
      <c r="EH260" s="211">
        <f t="shared" ref="EH260:EH323" si="512">IF(OR($GI260="",L260=""),"",IF($GA260="Long",(($J260*$GI260)-$GH260),($GH260-($J260*$GI260))))</f>
        <v>-22.093199373958669</v>
      </c>
      <c r="EI260" s="63">
        <f>IF(EH260="",#N/A,SUM($EH$4:EH260))</f>
        <v>1158.8579150456292</v>
      </c>
      <c r="EJ260" s="223" t="e">
        <f t="shared" ref="EJ260:EJ323" si="513">IF(GZ260="","",IF(OR($GI260="",AM260=""),"",IF($GA260="Long",(($GZ260*$GI260)-$GH260),($GH260-($GZ260*$GI260)))))</f>
        <v>#N/A</v>
      </c>
      <c r="EK260" s="63" t="e">
        <f>IF($GZ260="",#N/A,SUM(EJ$4:EJ260))</f>
        <v>#N/A</v>
      </c>
      <c r="EL260" s="60">
        <f t="shared" si="435"/>
        <v>-0.92054997391494453</v>
      </c>
      <c r="EM260" s="60">
        <f>IF(EL260="",NA(),SUM($EL$4:EL260))</f>
        <v>36.229979256707075</v>
      </c>
      <c r="EN260" s="60" t="str">
        <f t="shared" ref="EN260:EN323" si="514">IF(AND($FV260="Up",$GA260="Long",$D260="Y"),$EL260,"")</f>
        <v/>
      </c>
      <c r="EO260" s="60" t="e">
        <f>IF(EN260="",NA(),SUM($EN$4:EN260))</f>
        <v>#N/A</v>
      </c>
      <c r="EP260" s="60" t="str">
        <f t="shared" ref="EP260:EP323" si="515">IF(AND($FV260="SW",$GA260="Long",$D260="Y"),$EL260,"")</f>
        <v/>
      </c>
      <c r="EQ260" s="60" t="e">
        <f>IF(EP260="",NA(),SUM($EP$4:EP260))</f>
        <v>#N/A</v>
      </c>
      <c r="ER260" s="60">
        <f t="shared" ref="ER260:ER323" si="516">IF(AND($FV260="Dwn",$GA260="Short",$D260="Y"),$EL260,"")</f>
        <v>-0.92054997391494453</v>
      </c>
      <c r="ES260" s="60">
        <f>IF(ER260="",NA(),SUM($ER$4:ER260))</f>
        <v>15.765339470798633</v>
      </c>
      <c r="ET260" s="60" t="str">
        <f t="shared" ref="ET260:ET323" si="517">IF($J260="","",IF($D260="N",$FP260,""))</f>
        <v/>
      </c>
      <c r="EU260" s="60" t="e">
        <f>IF(ET260="",NA(),SUM($ET$4:ET260))</f>
        <v>#N/A</v>
      </c>
      <c r="EV260" s="60" t="str">
        <f t="shared" ref="EV260:EV323" si="518">IF(AND($FV260="Up",$GA260="Long",$D260="N"),$ET260,"")</f>
        <v/>
      </c>
      <c r="EW260" s="60" t="e">
        <f>IF(EV260="",NA(),SUM($EV$4:EV260))</f>
        <v>#N/A</v>
      </c>
      <c r="EX260" s="60" t="str">
        <f t="shared" ref="EX260:EX323" si="519">IF(AND($FV260="SW",$GA260="Long",$D260="N"),$ET260,"")</f>
        <v/>
      </c>
      <c r="EY260" s="60" t="e">
        <f>IF(EX260="",NA(),SUM($EX$4:EX260))</f>
        <v>#N/A</v>
      </c>
      <c r="EZ260" s="60" t="str">
        <f t="shared" ref="EZ260:EZ323" si="520">IF(AND($FV260="Dwn",$GA260="Short",$D260="N"),$ET260,"")</f>
        <v/>
      </c>
      <c r="FA260" s="60" t="e">
        <f>IF(EZ260="",NA(),SUM($EZ$4:EZ260))</f>
        <v>#N/A</v>
      </c>
      <c r="FB260" s="246" t="str">
        <f t="shared" si="436"/>
        <v/>
      </c>
      <c r="FC260" s="246" t="e">
        <f>IF($FB260="",#N/A,SUM(FB$4:$FB260))</f>
        <v>#N/A</v>
      </c>
      <c r="FD260" s="60">
        <f t="shared" ref="FD260:FD323" si="521">IF($GZ260="","",IF(AND($FV260="Dwn",$K260&gt;0),$FN260-$FP260,""))</f>
        <v>0.6479190858450703</v>
      </c>
      <c r="FE260" s="60">
        <f>IF($FD260="",#N/A,SUM($FD$4:FD260))</f>
        <v>3.2242467454077612</v>
      </c>
      <c r="FF260" s="60" t="str">
        <f t="shared" ref="FF260:FF323" si="522">IF($GZ260="","",IF(AND($FV260="Up",$K260&gt;0),$FN260-$FP260,""))</f>
        <v/>
      </c>
      <c r="FG260" s="60" t="e">
        <f>IF($FF260="",#N/A,SUM($FF$4:FF260))</f>
        <v>#N/A</v>
      </c>
      <c r="FH260" s="60" t="str">
        <f t="shared" ref="FH260:FH323" si="523">IF($GZ260="","",IF(AND($FV260="Up",$K260&lt;0),$FN260-$FP260,""))</f>
        <v/>
      </c>
      <c r="FI260" s="60" t="e">
        <f>IF($FH260="",#N/A,SUM($FH$4:FH260))</f>
        <v>#N/A</v>
      </c>
      <c r="FJ260" s="60" t="str">
        <f t="shared" ref="FJ260:FJ323" si="524">IF($GZ260="","",IF(AND($FV260="SW",$K260&gt;0),$FN260-$FP260,""))</f>
        <v/>
      </c>
      <c r="FK260" s="60" t="e">
        <f>IF($FJ260="",#N/A,SUM($FJ$4:FJ260))</f>
        <v>#N/A</v>
      </c>
      <c r="FL260" s="60" t="str">
        <f t="shared" ref="FL260:FL323" si="525">IF($GZ260="","",IF(AND($FV260="SW",$K260&lt;0),$FN260-$FP260,""))</f>
        <v/>
      </c>
      <c r="FM260" s="60" t="e">
        <f>IF($FL260="",#N/A,SUM($FL$4:FL260))</f>
        <v>#N/A</v>
      </c>
      <c r="FN260" s="82">
        <f t="shared" ref="FN260:FN323" si="526">IF(OR($GI260="",$GZ260=""),"",IF($GA260="Long",(($GZ260*$GI260)-$GH260)/($GH260*0.06),($GH260-($GZ260*$GI260))/($GH260*0.06)))</f>
        <v>-0.27263088806987429</v>
      </c>
      <c r="FO260" s="82">
        <f>IF($FN260="",#N/A,SUM(FN$4:$FN260))</f>
        <v>43.659492494201437</v>
      </c>
      <c r="FP260" s="82">
        <f t="shared" si="437"/>
        <v>-0.92054997391494453</v>
      </c>
      <c r="FQ260" s="246">
        <f>IF($EH260="",#N/A,SUM($FP$4:FP260))</f>
        <v>46.050558962963194</v>
      </c>
      <c r="FR260" s="82">
        <f>IFERROR(FQ260/COUNTA($J$4:J260),#N/A)</f>
        <v>0.17918505433059609</v>
      </c>
      <c r="FS260" s="82">
        <f t="shared" si="448"/>
        <v>0.29206174504597082</v>
      </c>
      <c r="FT260" s="82">
        <f t="shared" si="449"/>
        <v>0.195973091007518</v>
      </c>
      <c r="FU260" s="273"/>
      <c r="FV260" s="57" t="str">
        <f t="shared" ref="FV260:FV288" si="527">IF(FW260="Down","Dwn",IF(FW260="Up","Up",IF(AND(FW260="",K260=""),"",IF(AND(K260&lt;0,FW260="Yes"),"Dwn",IF(AND(K260&gt;0,FW260="Yes"),"Up",IF(AND(K260&lt;0,FW260="No"),"Up",IF(AND(K260&gt;0,FW260="No"),"Dwn",IF(FW260="NA","SW","err"))))))))</f>
        <v>Dwn</v>
      </c>
      <c r="FW260" s="57" t="s">
        <v>2734</v>
      </c>
      <c r="FX260" s="57" t="str">
        <f t="shared" ref="FX260:FX323" si="528">IF(K260="","",IF(AND(K260&gt;0,FW260="Yes"),1,""))</f>
        <v/>
      </c>
      <c r="FY260" s="57">
        <f t="shared" ref="FY260:FY323" si="529">IF(K260="","",IF(AND($K260&gt;0,$FW260="No"),1,""))</f>
        <v>1</v>
      </c>
      <c r="FZ260" s="57" t="str">
        <f t="shared" ref="FZ260:FZ323" si="530">IF(K260="","",IF(AND($K260&gt;0,$FW260="NA"),1,""))</f>
        <v/>
      </c>
      <c r="GA260" s="57" t="str">
        <f t="shared" ref="GA260:GA323" si="531">IF(FV260="Dwn","Short","Long")</f>
        <v>Short</v>
      </c>
      <c r="GB260" s="57" t="str">
        <f t="shared" ref="GB260:GB323" si="532">IF(K260="","",IF(AND($K260&lt;0,$FW260="Yes"),1,""))</f>
        <v/>
      </c>
      <c r="GC260" s="57" t="str">
        <f t="shared" ref="GC260:GC323" si="533">IF(K260="","",IF(AND($K260&lt;0,$FW260="No"),1,""))</f>
        <v/>
      </c>
      <c r="GD260" s="57" t="str">
        <f t="shared" ref="GD260:GD323" si="534">IF(K260="","",IF(AND($K260&lt;0,$FW260="NA"),1,""))</f>
        <v/>
      </c>
      <c r="GE260" s="62">
        <f t="shared" si="451"/>
        <v>198.07</v>
      </c>
      <c r="GF260" s="62" t="s">
        <v>2780</v>
      </c>
      <c r="GG260" s="99">
        <f>400/I260</f>
        <v>2.0194880597768465</v>
      </c>
      <c r="GH260" s="207">
        <f t="shared" ref="GH260:GH323" si="535">IF(GG260="","",GE260*GG260)</f>
        <v>400</v>
      </c>
      <c r="GI260" s="99">
        <f>GG260</f>
        <v>2.0194880597768465</v>
      </c>
      <c r="GJ260" s="98">
        <f>J260</f>
        <v>209.01</v>
      </c>
      <c r="GK260" s="63">
        <f t="shared" ref="GK260:GK323" si="536">IF($GI260="","",IF($GF260="Long",(($GJ260*$GI260)-$GH260),($GH260-($GJ260*$GI260))))</f>
        <v>-22.093199373958669</v>
      </c>
      <c r="GL260" s="63">
        <f t="shared" si="452"/>
        <v>-6.5431413136769834</v>
      </c>
      <c r="GM260" s="82" t="str">
        <f t="shared" ref="GM260:GM323" si="537">IF(AND($FV260="SW",$GA260="Long"),$FN260,"")</f>
        <v/>
      </c>
      <c r="GN260" s="82">
        <f>IF($GZ260="",#N/A,SUM(GM$4:GM260))</f>
        <v>-2.645815058160407</v>
      </c>
      <c r="GO260" s="82" t="str">
        <f t="shared" ref="GO260:GO323" si="538">IF(AND($FV260="UP",$GA260="Long"),$FN260,"")</f>
        <v/>
      </c>
      <c r="GP260" s="82">
        <f>IF($GZ260="",#N/A,SUM(GO$4:GO260))</f>
        <v>15.690709321361755</v>
      </c>
      <c r="GQ260" s="82">
        <f t="shared" ref="GQ260:GQ323" si="539">IF(AND($FV260="Dwn",$GA260="Short"),$FN260,"")</f>
        <v>-0.27263088806987429</v>
      </c>
      <c r="GR260" s="82">
        <f>IF($GZ260="",#N/A,SUM(GQ$4:GQ260))</f>
        <v>29.98876127655776</v>
      </c>
      <c r="GS260" s="63" t="str">
        <f t="shared" si="438"/>
        <v/>
      </c>
      <c r="GT260" s="63" t="e">
        <f>IF($GZ260="",#N/A,SUM(GS$4:GS260))</f>
        <v>#N/A</v>
      </c>
      <c r="GU260" s="63" t="str">
        <f t="shared" si="439"/>
        <v/>
      </c>
      <c r="GV260" s="63" t="e">
        <f>IF($GZ260="",#N/A,SUM(GU$4:GU260))</f>
        <v>#N/A</v>
      </c>
      <c r="GW260" s="63" t="e">
        <f t="shared" si="440"/>
        <v>#N/A</v>
      </c>
      <c r="GX260" s="63" t="e">
        <f>IF($GZ260="",#N/A,SUM(GW$4:GW260))</f>
        <v>#N/A</v>
      </c>
      <c r="GY260" s="63" t="e">
        <f>IF(EJ260="",#N/A,SUM($EJ$4:EJ260))</f>
        <v>#N/A</v>
      </c>
      <c r="GZ260" s="159">
        <v>201.31</v>
      </c>
      <c r="HA260" s="63">
        <f t="shared" ref="HA260:HA323" si="540">IF(OR(GL260="",GZ260=""),"",GL260-EH260)</f>
        <v>15.550058060281685</v>
      </c>
      <c r="HB260" s="130" t="s">
        <v>4970</v>
      </c>
      <c r="HC260" s="60">
        <f>IFERROR(VLOOKUP(E260,Expectancy!$P$4:$S$19,1+C260,FALSE),"")</f>
        <v>-0.57605218740440378</v>
      </c>
      <c r="HD260" s="82" t="str">
        <f t="shared" ref="HD260:HD323" si="541">IF(AND(HB260="MOC",GZ260=""),"",IF(GI260="","",IF(HB260="Skip","",IF(HG260=0,0,HG260/(GH260*0.06)))))</f>
        <v/>
      </c>
      <c r="HE260" s="138" t="e">
        <f>IF(HD260="",#N/A,SUM($HD$4:HD260))</f>
        <v>#N/A</v>
      </c>
      <c r="HF260" s="85" t="e">
        <f>IF(HD260="",#N/A,IF(HB260="Skip",#N/A,SUM($HG$4:HG260)))</f>
        <v>#N/A</v>
      </c>
      <c r="HG260" s="205" t="str">
        <f t="shared" ref="HG260:HG323" si="542">IF(HB260="","",IF(HB260="Skip","",IF(OR(HB260="open",HB260="Other"),GK260,IF(HB260="MOC",GL260,"Err"))))</f>
        <v/>
      </c>
      <c r="HH260" s="82">
        <f t="shared" ref="HH260:HH323" si="543">IF(OR($GI260="",$L260=""),"",IF($GA260="Long",(($GZ260*$GI260)-$GH260)/($GH260*0.06),($GH260-($GZ260*$GI260))/($GH260*0.06)))</f>
        <v>-0.27263088806987429</v>
      </c>
    </row>
    <row r="261" spans="1:216" x14ac:dyDescent="0.25">
      <c r="A261" s="57" t="s">
        <v>1608</v>
      </c>
      <c r="B261" s="58" t="s">
        <v>5234</v>
      </c>
      <c r="C261" s="386">
        <f t="shared" si="453"/>
        <v>2</v>
      </c>
      <c r="D261" s="372" t="str">
        <f>_xlfn.XLOOKUP(A261,[1]SP500!$A$2:$A$502,[1]SP500!$D$2:$D$502,"N")</f>
        <v>Y</v>
      </c>
      <c r="E261" s="57" t="str">
        <f>_xlfn.XLOOKUP(A261,[1]SP500!$A$2:$A$655,[1]SP500!$B$2:$B$655)</f>
        <v>XLI</v>
      </c>
      <c r="F261" s="59">
        <v>45694</v>
      </c>
      <c r="G261" s="57" t="str">
        <f t="shared" si="454"/>
        <v>BMO</v>
      </c>
      <c r="H261" s="57" t="str">
        <f t="shared" si="455"/>
        <v>s</v>
      </c>
      <c r="I261" s="159">
        <v>195.58</v>
      </c>
      <c r="J261" s="159">
        <v>171.19</v>
      </c>
      <c r="K261" s="61">
        <f t="shared" si="456"/>
        <v>-0.12470600265875863</v>
      </c>
      <c r="L261" s="87">
        <f t="shared" si="457"/>
        <v>48.78000000000003</v>
      </c>
      <c r="M261" s="130">
        <f t="shared" si="450"/>
        <v>2.5</v>
      </c>
      <c r="N261" s="169" t="str">
        <f t="shared" si="458"/>
        <v/>
      </c>
      <c r="O261" s="169">
        <f>IF($J261="",#N/A,SUM($N$4:N261))</f>
        <v>463.02511614781224</v>
      </c>
      <c r="P261" s="174">
        <f t="shared" si="459"/>
        <v>48.78000000000003</v>
      </c>
      <c r="Q261" s="174">
        <f>IF($J261="",#N/A,SUM($P$4:P261))</f>
        <v>634.06890674734109</v>
      </c>
      <c r="R261" s="178" t="str">
        <f t="shared" si="460"/>
        <v/>
      </c>
      <c r="S261" s="178">
        <f>IF($J261="",#N/A,SUM($R$4:R261))</f>
        <v>110.54389215047578</v>
      </c>
      <c r="T261" s="290" t="str">
        <f t="shared" si="461"/>
        <v/>
      </c>
      <c r="U261" s="290">
        <f>IF($J261="",#N/A,SUM($T$4:T261))</f>
        <v>17.555678719000994</v>
      </c>
      <c r="V261" s="291">
        <f t="shared" si="462"/>
        <v>2.0784333776459771</v>
      </c>
      <c r="W261" s="291">
        <f>IF($J261="",#N/A,SUM($V$4:V261))</f>
        <v>26.378260145819709</v>
      </c>
      <c r="X261" s="292" t="str">
        <f t="shared" si="463"/>
        <v/>
      </c>
      <c r="Y261" s="292">
        <f>IF($J261="",#N/A,SUM($X$4:X261))</f>
        <v>4.1950534757884856</v>
      </c>
      <c r="Z261" s="304" t="str">
        <f t="shared" si="464"/>
        <v/>
      </c>
      <c r="AA261" s="313" t="e">
        <f>IF($J261="",#N/A,SUM(Z$4:Z261))</f>
        <v>#N/A</v>
      </c>
      <c r="AB261" s="314" t="str">
        <f t="shared" si="465"/>
        <v/>
      </c>
      <c r="AC261" s="314" t="e">
        <f>IF($J261="",#N/A,SUM(AB$4:AB261))</f>
        <v>#N/A</v>
      </c>
      <c r="AD261" s="315" t="str">
        <f t="shared" si="466"/>
        <v/>
      </c>
      <c r="AE261" s="315" t="e">
        <f>IF($J261="",#N/A,SUM(AD$4:AD261))</f>
        <v>#N/A</v>
      </c>
      <c r="AF261" s="315" t="e">
        <f>IF($J261="",#N/A,SUM(AD$4:AD261,AB$4:AB261,Z$4:Z261))</f>
        <v>#N/A</v>
      </c>
      <c r="AG261" s="304" t="str">
        <f t="shared" si="467"/>
        <v/>
      </c>
      <c r="AH261" s="313" t="e">
        <f>IF($J261="",#N/A,SUM(AG$4:AG261))</f>
        <v>#N/A</v>
      </c>
      <c r="AI261" s="314" t="str">
        <f t="shared" si="468"/>
        <v/>
      </c>
      <c r="AJ261" s="314" t="e">
        <f>IF($J261="",#N/A,SUM(AI$4:AI261))</f>
        <v>#N/A</v>
      </c>
      <c r="AK261" s="315" t="str">
        <f t="shared" si="469"/>
        <v/>
      </c>
      <c r="AL261" s="315" t="e">
        <f>IF($J261="",#N/A,SUM(AK$4:AK261))</f>
        <v>#N/A</v>
      </c>
      <c r="AM261" s="315" t="e">
        <f>IF($J261="",#N/A,SUM(AK$4:AK261,AI$4:AI261,AG$4:AG261))</f>
        <v>#N/A</v>
      </c>
      <c r="AN261" s="304" t="str">
        <f t="shared" si="470"/>
        <v/>
      </c>
      <c r="AO261" s="313" t="e">
        <f>IF($J261="",#N/A,SUM(AN$4:AN261))</f>
        <v>#N/A</v>
      </c>
      <c r="AP261" s="314" t="str">
        <f t="shared" si="471"/>
        <v/>
      </c>
      <c r="AQ261" s="314" t="e">
        <f>IF($J261="",#N/A,SUM(AP$4:AP261))</f>
        <v>#N/A</v>
      </c>
      <c r="AR261" s="315" t="str">
        <f t="shared" si="472"/>
        <v/>
      </c>
      <c r="AS261" s="315" t="e">
        <f>IF($J261="",#N/A,SUM(AR$4:AR261))</f>
        <v>#N/A</v>
      </c>
      <c r="AT261" s="315" t="e">
        <f>IF($J261="",#N/A,SUM(AR$4:AR261,AP$4:AP261,AN$4:AN261))</f>
        <v>#N/A</v>
      </c>
      <c r="AU261" s="304" t="str">
        <f t="shared" si="473"/>
        <v/>
      </c>
      <c r="AV261" s="313" t="e">
        <f>IF($J261="",#N/A,SUM(AU$4:AU261))</f>
        <v>#N/A</v>
      </c>
      <c r="AW261" s="314" t="str">
        <f t="shared" si="474"/>
        <v/>
      </c>
      <c r="AX261" s="314" t="e">
        <f>IF($J261="",#N/A,SUM(AW$4:AW261))</f>
        <v>#N/A</v>
      </c>
      <c r="AY261" s="315" t="str">
        <f t="shared" si="475"/>
        <v/>
      </c>
      <c r="AZ261" s="315" t="e">
        <f>IF($J261="",#N/A,SUM(AY$4:AY261))</f>
        <v>#N/A</v>
      </c>
      <c r="BA261" s="315" t="e">
        <f>IF($J261="",#N/A,SUM(AY$4:AY261,AW$4:AW261,AU$4:AU261))</f>
        <v>#N/A</v>
      </c>
      <c r="BB261" s="304" t="str">
        <f t="shared" si="476"/>
        <v/>
      </c>
      <c r="BC261" s="313" t="e">
        <f>IF($J261="",#N/A,SUM(BB$4:BB261))</f>
        <v>#N/A</v>
      </c>
      <c r="BD261" s="314" t="str">
        <f t="shared" si="477"/>
        <v/>
      </c>
      <c r="BE261" s="314" t="e">
        <f>IF($J261="",#N/A,SUM(BD$4:BD261))</f>
        <v>#N/A</v>
      </c>
      <c r="BF261" s="315" t="str">
        <f t="shared" si="478"/>
        <v/>
      </c>
      <c r="BG261" s="315" t="e">
        <f>IF($J261="",#N/A,SUM(BF$4:BF261))</f>
        <v>#N/A</v>
      </c>
      <c r="BH261" s="315" t="e">
        <f>IF($J261="",#N/A,SUM(BF$4:BF261,BD$4:BD261,BB$4:BB261))</f>
        <v>#N/A</v>
      </c>
      <c r="BI261" s="304" t="str">
        <f t="shared" si="479"/>
        <v/>
      </c>
      <c r="BJ261" s="313" t="e">
        <f>IF($J261="",#N/A,SUM(BI$4:BI261))</f>
        <v>#N/A</v>
      </c>
      <c r="BK261" s="314" t="str">
        <f t="shared" si="480"/>
        <v/>
      </c>
      <c r="BL261" s="314" t="e">
        <f>IF($J261="",#N/A,SUM(BK$4:BK261))</f>
        <v>#N/A</v>
      </c>
      <c r="BM261" s="315" t="str">
        <f t="shared" si="481"/>
        <v/>
      </c>
      <c r="BN261" s="315" t="e">
        <f>IF($J261="",#N/A,SUM(BM$4:BM261))</f>
        <v>#N/A</v>
      </c>
      <c r="BO261" s="315" t="e">
        <f>IF($J261="",#N/A,SUM(BM$4:BM261,BK$4:BK261,BI$4:BI261))</f>
        <v>#N/A</v>
      </c>
      <c r="BP261" s="304" t="str">
        <f t="shared" si="482"/>
        <v/>
      </c>
      <c r="BQ261" s="313" t="e">
        <f>IF($J261="",#N/A,SUM(BP$4:BP261))</f>
        <v>#N/A</v>
      </c>
      <c r="BR261" s="314">
        <f t="shared" si="483"/>
        <v>2.0784333776459771</v>
      </c>
      <c r="BS261" s="314" t="e">
        <f>IF($J261="",#N/A,SUM(BR$4:BR261))</f>
        <v>#N/A</v>
      </c>
      <c r="BT261" s="315" t="str">
        <f t="shared" si="484"/>
        <v/>
      </c>
      <c r="BU261" s="315" t="e">
        <f>IF($J261="",#N/A,SUM(BT$4:BT261))</f>
        <v>#N/A</v>
      </c>
      <c r="BV261" s="315" t="e">
        <f>IF($J261="",#N/A,SUM(BT$4:BT261,BR$4:BR261,BP$4:BP261))</f>
        <v>#N/A</v>
      </c>
      <c r="BW261" s="304" t="str">
        <f t="shared" si="485"/>
        <v/>
      </c>
      <c r="BX261" s="313" t="e">
        <f>IF($J261="",#N/A,SUM(BW$4:BW261))</f>
        <v>#N/A</v>
      </c>
      <c r="BY261" s="314" t="str">
        <f t="shared" si="486"/>
        <v/>
      </c>
      <c r="BZ261" s="314" t="e">
        <f>IF($J261="",#N/A,SUM(BY$4:BY261))</f>
        <v>#N/A</v>
      </c>
      <c r="CA261" s="315" t="str">
        <f t="shared" si="487"/>
        <v/>
      </c>
      <c r="CB261" s="315" t="e">
        <f>IF($J261="",#N/A,SUM(CA$4:CA261))</f>
        <v>#N/A</v>
      </c>
      <c r="CC261" s="315" t="e">
        <f>IF($J261="",#N/A,SUM(CA$4:CA261,BY$4:BY261,BW$4:BW261))</f>
        <v>#N/A</v>
      </c>
      <c r="CD261" s="304" t="str">
        <f t="shared" si="488"/>
        <v/>
      </c>
      <c r="CE261" s="313" t="e">
        <f>IF($J261="",#N/A,SUM(CD$4:CD261))</f>
        <v>#N/A</v>
      </c>
      <c r="CF261" s="314" t="str">
        <f t="shared" si="489"/>
        <v/>
      </c>
      <c r="CG261" s="314" t="e">
        <f>IF($J261="",#N/A,SUM(CF$4:CF261))</f>
        <v>#N/A</v>
      </c>
      <c r="CH261" s="315" t="str">
        <f t="shared" si="490"/>
        <v/>
      </c>
      <c r="CI261" s="315" t="e">
        <f>IF($J261="",#N/A,SUM(CH$4:CH261))</f>
        <v>#N/A</v>
      </c>
      <c r="CJ261" s="315" t="e">
        <f>IF($J261="",#N/A,SUM(CH$4:CH261,CF$4:CF261,CD$4:CD261))</f>
        <v>#N/A</v>
      </c>
      <c r="CK261" s="304" t="str">
        <f t="shared" si="491"/>
        <v/>
      </c>
      <c r="CL261" s="313" t="e">
        <f>IF($J261="",#N/A,SUM(CK$4:CK261))</f>
        <v>#N/A</v>
      </c>
      <c r="CM261" s="314" t="str">
        <f t="shared" si="492"/>
        <v/>
      </c>
      <c r="CN261" s="314" t="e">
        <f>IF($J261="",#N/A,SUM(CM$4:CM261))</f>
        <v>#N/A</v>
      </c>
      <c r="CO261" s="315" t="str">
        <f t="shared" si="493"/>
        <v/>
      </c>
      <c r="CP261" s="315" t="e">
        <f>IF($J261="",#N/A,SUM(CO$4:CO261))</f>
        <v>#N/A</v>
      </c>
      <c r="CQ261" s="315" t="e">
        <f>IF($J261="",#N/A,SUM(CO$4:CO261,CM$4:CM261,CK$4:CK261))</f>
        <v>#N/A</v>
      </c>
      <c r="CR261" s="304" t="str">
        <f t="shared" si="494"/>
        <v/>
      </c>
      <c r="CS261" s="313" t="e">
        <f>IF($J261="",#N/A,SUM(CR$4:CR261))</f>
        <v>#N/A</v>
      </c>
      <c r="CT261" s="314" t="str">
        <f t="shared" si="495"/>
        <v/>
      </c>
      <c r="CU261" s="314" t="e">
        <f>IF($J261="",#N/A,SUM(CT$4:CT261))</f>
        <v>#N/A</v>
      </c>
      <c r="CV261" s="315" t="str">
        <f t="shared" si="496"/>
        <v/>
      </c>
      <c r="CW261" s="315" t="e">
        <f>IF($J261="",#N/A,SUM(CV$4:CV261))</f>
        <v>#N/A</v>
      </c>
      <c r="CX261" s="315" t="e">
        <f>IF($J261="",#N/A,SUM(CV$4:CV261,CT$4:CT261,CR$4:CR261))</f>
        <v>#N/A</v>
      </c>
      <c r="CY261" s="304" t="str">
        <f t="shared" si="497"/>
        <v/>
      </c>
      <c r="CZ261" s="313" t="e">
        <f>IF($J261="",#N/A,SUM(CY$4:CY261))</f>
        <v>#N/A</v>
      </c>
      <c r="DA261" s="314" t="str">
        <f t="shared" si="498"/>
        <v/>
      </c>
      <c r="DB261" s="314" t="e">
        <f>IF($J261="",#N/A,SUM(DA$4:DA261))</f>
        <v>#N/A</v>
      </c>
      <c r="DC261" s="315" t="str">
        <f t="shared" si="499"/>
        <v/>
      </c>
      <c r="DD261" s="315" t="e">
        <f>IF($J261="",#N/A,SUM(DC$4:DC261))</f>
        <v>#N/A</v>
      </c>
      <c r="DE261" s="315" t="e">
        <f>IF($J261="",#N/A,SUM(DC$4:DC261,DA$4:DA261,CY$4:CY261))</f>
        <v>#N/A</v>
      </c>
      <c r="DF261" s="304" t="str">
        <f t="shared" si="500"/>
        <v/>
      </c>
      <c r="DG261" s="313" t="e">
        <f>IF($J261="",#N/A,SUM(DF$4:DF261))</f>
        <v>#N/A</v>
      </c>
      <c r="DH261" s="314" t="str">
        <f t="shared" si="501"/>
        <v/>
      </c>
      <c r="DI261" s="314" t="e">
        <f>IF($J261="",#N/A,SUM(DH$4:DH261))</f>
        <v>#N/A</v>
      </c>
      <c r="DJ261" s="315" t="str">
        <f t="shared" si="502"/>
        <v/>
      </c>
      <c r="DK261" s="315" t="e">
        <f>IF($J261="",#N/A,SUM(DJ$4:DJ261))</f>
        <v>#N/A</v>
      </c>
      <c r="DL261" s="315" t="e">
        <f>IF($J261="",#N/A,SUM(DJ$4:DJ261,DH$4:DH261,DF$4:DF261))</f>
        <v>#N/A</v>
      </c>
      <c r="DM261" s="304" t="str">
        <f t="shared" si="503"/>
        <v/>
      </c>
      <c r="DN261" s="313" t="e">
        <f>IF($J261="",#N/A,SUM(DM$4:DM261))</f>
        <v>#N/A</v>
      </c>
      <c r="DO261" s="314" t="str">
        <f t="shared" si="504"/>
        <v/>
      </c>
      <c r="DP261" s="314" t="e">
        <f>IF($J261="",#N/A,SUM(DO$4:DO261))</f>
        <v>#N/A</v>
      </c>
      <c r="DQ261" s="315" t="str">
        <f t="shared" si="505"/>
        <v/>
      </c>
      <c r="DR261" s="315" t="e">
        <f>IF($J261="",#N/A,SUM(DQ$4:DQ261))</f>
        <v>#N/A</v>
      </c>
      <c r="DS261" s="315" t="e">
        <f>IF($J261="",#N/A,SUM(DQ$4:DQ261,DO$4:DO261,DM$4:DM261))</f>
        <v>#N/A</v>
      </c>
      <c r="DT261" s="304" t="str">
        <f t="shared" si="506"/>
        <v/>
      </c>
      <c r="DU261" s="313" t="e">
        <f>IF($J261="",#N/A,SUM(DT$4:DT261))</f>
        <v>#N/A</v>
      </c>
      <c r="DV261" s="314" t="str">
        <f t="shared" si="507"/>
        <v/>
      </c>
      <c r="DW261" s="314" t="e">
        <f>IF($J261="",#N/A,SUM(DV$4:DV261))</f>
        <v>#N/A</v>
      </c>
      <c r="DX261" s="315" t="str">
        <f t="shared" si="508"/>
        <v/>
      </c>
      <c r="DY261" s="315" t="e">
        <f>IF($J261="",#N/A,SUM(DX$4:DX261))</f>
        <v>#N/A</v>
      </c>
      <c r="DZ261" s="315" t="e">
        <f>IF($J261="",#N/A,SUM(DX$4:DX261,DV$4:DV261,DT$4:DT261))</f>
        <v>#N/A</v>
      </c>
      <c r="EA261" s="304" t="str">
        <f t="shared" si="509"/>
        <v/>
      </c>
      <c r="EB261" s="313" t="e">
        <f>IF($J261="",#N/A,SUM(EA$4:EA261))</f>
        <v>#N/A</v>
      </c>
      <c r="EC261" s="314" t="str">
        <f t="shared" si="510"/>
        <v/>
      </c>
      <c r="ED261" s="314" t="e">
        <f>IF($J261="",#N/A,SUM(EC$4:EC261))</f>
        <v>#N/A</v>
      </c>
      <c r="EE261" s="315" t="str">
        <f t="shared" si="511"/>
        <v/>
      </c>
      <c r="EF261" s="315" t="e">
        <f>IF($J261="",#N/A,SUM(EE$4:EE261))</f>
        <v>#N/A</v>
      </c>
      <c r="EG261" s="315" t="e">
        <f>IF($J261="",#N/A,SUM(EE$4:EE261,EC$4:EC261,EA$4:EA261))</f>
        <v>#N/A</v>
      </c>
      <c r="EH261" s="130">
        <f t="shared" si="512"/>
        <v>48.78000000000003</v>
      </c>
      <c r="EI261" s="63">
        <f>IF(EH261="",#N/A,SUM($EH$4:EH261))</f>
        <v>1207.6379150456291</v>
      </c>
      <c r="EJ261" s="223" t="e">
        <f t="shared" si="513"/>
        <v>#N/A</v>
      </c>
      <c r="EK261" s="63" t="e">
        <f>IF($GZ261="",#N/A,SUM(EJ$4:EJ261))</f>
        <v>#N/A</v>
      </c>
      <c r="EL261" s="60">
        <f t="shared" ref="EL261:EL324" si="544">IF(J261="","",IF(D261="Y",FP261,""))</f>
        <v>2.0784333776459771</v>
      </c>
      <c r="EM261" s="60">
        <f>IF(EL261="",NA(),SUM($EL$4:EL261))</f>
        <v>38.308412634353054</v>
      </c>
      <c r="EN261" s="60" t="str">
        <f t="shared" si="514"/>
        <v/>
      </c>
      <c r="EO261" s="60" t="e">
        <f>IF(EN261="",NA(),SUM($EN$4:EN261))</f>
        <v>#N/A</v>
      </c>
      <c r="EP261" s="60" t="str">
        <f t="shared" si="515"/>
        <v/>
      </c>
      <c r="EQ261" s="60" t="e">
        <f>IF(EP261="",NA(),SUM($EP$4:EP261))</f>
        <v>#N/A</v>
      </c>
      <c r="ER261" s="60">
        <f t="shared" si="516"/>
        <v>2.0784333776459771</v>
      </c>
      <c r="ES261" s="60">
        <f>IF(ER261="",NA(),SUM($ER$4:ER261))</f>
        <v>17.843772848444608</v>
      </c>
      <c r="ET261" s="60" t="str">
        <f t="shared" si="517"/>
        <v/>
      </c>
      <c r="EU261" s="60" t="e">
        <f>IF(ET261="",NA(),SUM($ET$4:ET261))</f>
        <v>#N/A</v>
      </c>
      <c r="EV261" s="60" t="str">
        <f t="shared" si="518"/>
        <v/>
      </c>
      <c r="EW261" s="60" t="e">
        <f>IF(EV261="",NA(),SUM($EV$4:EV261))</f>
        <v>#N/A</v>
      </c>
      <c r="EX261" s="60" t="str">
        <f t="shared" si="519"/>
        <v/>
      </c>
      <c r="EY261" s="60" t="e">
        <f>IF(EX261="",NA(),SUM($EX$4:EX261))</f>
        <v>#N/A</v>
      </c>
      <c r="EZ261" s="60" t="str">
        <f t="shared" si="520"/>
        <v/>
      </c>
      <c r="FA261" s="60" t="e">
        <f>IF(EZ261="",NA(),SUM($EZ$4:EZ261))</f>
        <v>#N/A</v>
      </c>
      <c r="FB261" s="246">
        <f t="shared" ref="FB261:FB324" si="545">IF($GZ261="","",IF(AND($FV261="Dwn",$K261&lt;0),$FN261-FP261,""))</f>
        <v>0.97487814023247088</v>
      </c>
      <c r="FC261" s="246">
        <f>IF($FB261="",#N/A,SUM(FB$4:$FB261))</f>
        <v>3.4395659032087322</v>
      </c>
      <c r="FD261" s="60" t="str">
        <f t="shared" si="521"/>
        <v/>
      </c>
      <c r="FE261" s="60" t="e">
        <f>IF($FD261="",#N/A,SUM($FD$4:FD261))</f>
        <v>#N/A</v>
      </c>
      <c r="FF261" s="60" t="str">
        <f t="shared" si="522"/>
        <v/>
      </c>
      <c r="FG261" s="60" t="e">
        <f>IF($FF261="",#N/A,SUM($FF$4:FF261))</f>
        <v>#N/A</v>
      </c>
      <c r="FH261" s="60" t="str">
        <f t="shared" si="523"/>
        <v/>
      </c>
      <c r="FI261" s="60" t="e">
        <f>IF($FH261="",#N/A,SUM($FH$4:FH261))</f>
        <v>#N/A</v>
      </c>
      <c r="FJ261" s="60" t="str">
        <f t="shared" si="524"/>
        <v/>
      </c>
      <c r="FK261" s="60" t="e">
        <f>IF($FJ261="",#N/A,SUM($FJ$4:FJ261))</f>
        <v>#N/A</v>
      </c>
      <c r="FL261" s="60" t="str">
        <f t="shared" si="525"/>
        <v/>
      </c>
      <c r="FM261" s="60" t="e">
        <f>IF($FL261="",#N/A,SUM($FL$4:FL261))</f>
        <v>#N/A</v>
      </c>
      <c r="FN261" s="82">
        <f t="shared" si="526"/>
        <v>3.053311517878448</v>
      </c>
      <c r="FO261" s="82">
        <f>IF($FN261="",#N/A,SUM(FN$4:$FN261))</f>
        <v>46.712804012079886</v>
      </c>
      <c r="FP261" s="82">
        <f t="shared" ref="FP261:FP324" si="546">IF(OR($GI261="",L261=""),"",IF($GA261="Long",(($J261*$GI261)-$GH261)/(GH261*0.06),($GH261-($J261*$GI261))/(GH261*0.06)))</f>
        <v>2.0784333776459771</v>
      </c>
      <c r="FQ261" s="246">
        <f>IF($EH261="",#N/A,SUM($FP$4:FP261))</f>
        <v>48.128992340609173</v>
      </c>
      <c r="FR261" s="82">
        <f>IFERROR(FQ261/COUNTA($J$4:J261),#N/A)</f>
        <v>0.18654648194034562</v>
      </c>
      <c r="FS261" s="82">
        <f t="shared" si="448"/>
        <v>0.32997337877132743</v>
      </c>
      <c r="FT261" s="82">
        <f t="shared" si="449"/>
        <v>0.27278472990106084</v>
      </c>
      <c r="FU261" s="337">
        <f t="shared" ref="FU261:FU267" si="547">IF(AND(HB261="MOC",GZ261=""),#N/A,IFERROR(FQ261-HE261,FQ261-0))-14.53</f>
        <v>22.463188132369609</v>
      </c>
      <c r="FV261" s="57" t="str">
        <f t="shared" si="527"/>
        <v>Dwn</v>
      </c>
      <c r="FW261" s="57" t="s">
        <v>2733</v>
      </c>
      <c r="FX261" s="57" t="str">
        <f t="shared" si="528"/>
        <v/>
      </c>
      <c r="FY261" s="57" t="str">
        <f t="shared" si="529"/>
        <v/>
      </c>
      <c r="FZ261" s="57" t="str">
        <f t="shared" si="530"/>
        <v/>
      </c>
      <c r="GA261" s="57" t="str">
        <f t="shared" si="531"/>
        <v>Short</v>
      </c>
      <c r="GB261" s="57">
        <f t="shared" si="532"/>
        <v>1</v>
      </c>
      <c r="GC261" s="57" t="str">
        <f t="shared" si="533"/>
        <v/>
      </c>
      <c r="GD261" s="57" t="str">
        <f t="shared" si="534"/>
        <v/>
      </c>
      <c r="GE261" s="62">
        <f t="shared" si="451"/>
        <v>195.58</v>
      </c>
      <c r="GF261" s="62" t="s">
        <v>2780</v>
      </c>
      <c r="GG261" s="199">
        <v>2</v>
      </c>
      <c r="GH261" s="207">
        <f t="shared" si="535"/>
        <v>391.16</v>
      </c>
      <c r="GI261" s="199">
        <v>2</v>
      </c>
      <c r="GJ261" s="200">
        <v>169.94</v>
      </c>
      <c r="GK261" s="63">
        <f t="shared" si="536"/>
        <v>51.28000000000003</v>
      </c>
      <c r="GL261" s="63">
        <f t="shared" si="452"/>
        <v>71.660000000000025</v>
      </c>
      <c r="GM261" s="82" t="str">
        <f t="shared" si="537"/>
        <v/>
      </c>
      <c r="GN261" s="82">
        <f>IF($GZ261="",#N/A,SUM(GM$4:GM261))</f>
        <v>-2.645815058160407</v>
      </c>
      <c r="GO261" s="82" t="str">
        <f t="shared" si="538"/>
        <v/>
      </c>
      <c r="GP261" s="82">
        <f>IF($GZ261="",#N/A,SUM(GO$4:GO261))</f>
        <v>15.690709321361755</v>
      </c>
      <c r="GQ261" s="82">
        <f t="shared" si="539"/>
        <v>3.053311517878448</v>
      </c>
      <c r="GR261" s="82">
        <f>IF($GZ261="",#N/A,SUM(GQ$4:GQ261))</f>
        <v>33.042072794436208</v>
      </c>
      <c r="GS261" s="63" t="str">
        <f t="shared" ref="GS261:GS324" si="548">IF(AND(FV261="SW",GA261="Long"),$EJ261,"")</f>
        <v/>
      </c>
      <c r="GT261" s="63" t="e">
        <f>IF($GZ261="",#N/A,SUM(GS$4:GS261))</f>
        <v>#N/A</v>
      </c>
      <c r="GU261" s="63" t="str">
        <f t="shared" ref="GU261:GU324" si="549">IF(AND(FV261="UP",GA261="Long"),$EJ261,"")</f>
        <v/>
      </c>
      <c r="GV261" s="63" t="e">
        <f>IF($GZ261="",#N/A,SUM(GU$4:GU261))</f>
        <v>#N/A</v>
      </c>
      <c r="GW261" s="63" t="e">
        <f t="shared" ref="GW261:GW324" si="550">IF(AND(FV261="Dwn",GA261="Short"),$EJ261,"")</f>
        <v>#N/A</v>
      </c>
      <c r="GX261" s="63" t="e">
        <f>IF($GZ261="",#N/A,SUM(GW$4:GW261))</f>
        <v>#N/A</v>
      </c>
      <c r="GY261" s="63" t="e">
        <f>IF(EJ261="",#N/A,SUM($EJ$4:EJ261))</f>
        <v>#N/A</v>
      </c>
      <c r="GZ261" s="159">
        <v>159.75</v>
      </c>
      <c r="HA261" s="63">
        <f t="shared" si="540"/>
        <v>22.879999999999995</v>
      </c>
      <c r="HB261" s="62" t="s">
        <v>2538</v>
      </c>
      <c r="HC261" s="60">
        <f>IFERROR(VLOOKUP(E261,Expectancy!$P$4:$S$19,1+C261,FALSE),"")</f>
        <v>0.3117803024854584</v>
      </c>
      <c r="HD261" s="82">
        <f t="shared" si="541"/>
        <v>2.1849541534580919</v>
      </c>
      <c r="HE261" s="138">
        <f>IF(HD261="",#N/A,SUM($HD$4:HD261))</f>
        <v>11.135804208239561</v>
      </c>
      <c r="HF261" s="85">
        <f>IF(HD261="",#N/A,IF(HB261="Skip",#N/A,SUM($HG$4:HG261)))</f>
        <v>288.27156919911442</v>
      </c>
      <c r="HG261" s="63">
        <f t="shared" si="542"/>
        <v>51.28000000000003</v>
      </c>
      <c r="HH261" s="82">
        <f t="shared" si="543"/>
        <v>3.053311517878448</v>
      </c>
    </row>
    <row r="262" spans="1:216" x14ac:dyDescent="0.25">
      <c r="A262" s="57" t="s">
        <v>1609</v>
      </c>
      <c r="B262" s="58" t="s">
        <v>5231</v>
      </c>
      <c r="C262" s="386">
        <f t="shared" si="453"/>
        <v>2</v>
      </c>
      <c r="D262" s="372" t="str">
        <f>_xlfn.XLOOKUP(A262,[1]SP500!$A$2:$A$502,[1]SP500!$D$2:$D$502,"N")</f>
        <v>N</v>
      </c>
      <c r="E262" s="57" t="str">
        <f>_xlfn.XLOOKUP(A262,[1]SP500!$A$2:$A$655,[1]SP500!$B$2:$B$655)</f>
        <v>XLY</v>
      </c>
      <c r="F262" s="59">
        <v>45694</v>
      </c>
      <c r="G262" s="57" t="str">
        <f t="shared" si="454"/>
        <v>BMO</v>
      </c>
      <c r="H262" s="57" t="str">
        <f t="shared" si="455"/>
        <v>s</v>
      </c>
      <c r="I262" s="159">
        <v>31.17</v>
      </c>
      <c r="J262" s="159">
        <v>31.86</v>
      </c>
      <c r="K262" s="61">
        <f t="shared" si="456"/>
        <v>2.2136669874879618E-2</v>
      </c>
      <c r="L262" s="87">
        <f t="shared" si="457"/>
        <v>-8.9699999999999704</v>
      </c>
      <c r="M262" s="130">
        <f t="shared" si="450"/>
        <v>0</v>
      </c>
      <c r="N262" s="169" t="str">
        <f t="shared" si="458"/>
        <v/>
      </c>
      <c r="O262" s="169">
        <f>IF($J262="",#N/A,SUM($N$4:N262))</f>
        <v>463.02511614781224</v>
      </c>
      <c r="P262" s="174">
        <f t="shared" si="459"/>
        <v>-8.9699999999999704</v>
      </c>
      <c r="Q262" s="174">
        <f>IF($J262="",#N/A,SUM($P$4:P262))</f>
        <v>625.09890674734106</v>
      </c>
      <c r="R262" s="178" t="str">
        <f t="shared" si="460"/>
        <v/>
      </c>
      <c r="S262" s="178">
        <f>IF($J262="",#N/A,SUM($R$4:R262))</f>
        <v>110.54389215047578</v>
      </c>
      <c r="T262" s="290" t="str">
        <f t="shared" si="461"/>
        <v/>
      </c>
      <c r="U262" s="290">
        <f>IF($J262="",#N/A,SUM($T$4:T262))</f>
        <v>17.555678719000994</v>
      </c>
      <c r="V262" s="291">
        <f t="shared" si="462"/>
        <v>-0.36894449791466033</v>
      </c>
      <c r="W262" s="291">
        <f>IF($J262="",#N/A,SUM($V$4:V262))</f>
        <v>26.009315647905048</v>
      </c>
      <c r="X262" s="292" t="str">
        <f t="shared" si="463"/>
        <v/>
      </c>
      <c r="Y262" s="292">
        <f>IF($J262="",#N/A,SUM($X$4:X262))</f>
        <v>4.1950534757884856</v>
      </c>
      <c r="Z262" s="304" t="str">
        <f t="shared" si="464"/>
        <v/>
      </c>
      <c r="AA262" s="313" t="e">
        <f>IF($J262="",#N/A,SUM(Z$4:Z262))</f>
        <v>#N/A</v>
      </c>
      <c r="AB262" s="314" t="str">
        <f t="shared" si="465"/>
        <v/>
      </c>
      <c r="AC262" s="314" t="e">
        <f>IF($J262="",#N/A,SUM(AB$4:AB262))</f>
        <v>#N/A</v>
      </c>
      <c r="AD262" s="315" t="str">
        <f t="shared" si="466"/>
        <v/>
      </c>
      <c r="AE262" s="315" t="e">
        <f>IF($J262="",#N/A,SUM(AD$4:AD262))</f>
        <v>#N/A</v>
      </c>
      <c r="AF262" s="315" t="e">
        <f>IF($J262="",#N/A,SUM(AD$4:AD262,AB$4:AB262,Z$4:Z262))</f>
        <v>#N/A</v>
      </c>
      <c r="AG262" s="304" t="str">
        <f t="shared" si="467"/>
        <v/>
      </c>
      <c r="AH262" s="313" t="e">
        <f>IF($J262="",#N/A,SUM(AG$4:AG262))</f>
        <v>#N/A</v>
      </c>
      <c r="AI262" s="314" t="str">
        <f t="shared" si="468"/>
        <v/>
      </c>
      <c r="AJ262" s="314" t="e">
        <f>IF($J262="",#N/A,SUM(AI$4:AI262))</f>
        <v>#N/A</v>
      </c>
      <c r="AK262" s="315" t="str">
        <f t="shared" si="469"/>
        <v/>
      </c>
      <c r="AL262" s="315" t="e">
        <f>IF($J262="",#N/A,SUM(AK$4:AK262))</f>
        <v>#N/A</v>
      </c>
      <c r="AM262" s="315" t="e">
        <f>IF($J262="",#N/A,SUM(AK$4:AK262,AI$4:AI262,AG$4:AG262))</f>
        <v>#N/A</v>
      </c>
      <c r="AN262" s="304" t="str">
        <f t="shared" si="470"/>
        <v/>
      </c>
      <c r="AO262" s="313" t="e">
        <f>IF($J262="",#N/A,SUM(AN$4:AN262))</f>
        <v>#N/A</v>
      </c>
      <c r="AP262" s="314">
        <f t="shared" si="471"/>
        <v>-0.36894449791466033</v>
      </c>
      <c r="AQ262" s="314" t="e">
        <f>IF($J262="",#N/A,SUM(AP$4:AP262))</f>
        <v>#N/A</v>
      </c>
      <c r="AR262" s="315" t="str">
        <f t="shared" si="472"/>
        <v/>
      </c>
      <c r="AS262" s="315" t="e">
        <f>IF($J262="",#N/A,SUM(AR$4:AR262))</f>
        <v>#N/A</v>
      </c>
      <c r="AT262" s="315" t="e">
        <f>IF($J262="",#N/A,SUM(AR$4:AR262,AP$4:AP262,AN$4:AN262))</f>
        <v>#N/A</v>
      </c>
      <c r="AU262" s="304" t="str">
        <f t="shared" si="473"/>
        <v/>
      </c>
      <c r="AV262" s="313" t="e">
        <f>IF($J262="",#N/A,SUM(AU$4:AU262))</f>
        <v>#N/A</v>
      </c>
      <c r="AW262" s="314" t="str">
        <f t="shared" si="474"/>
        <v/>
      </c>
      <c r="AX262" s="314" t="e">
        <f>IF($J262="",#N/A,SUM(AW$4:AW262))</f>
        <v>#N/A</v>
      </c>
      <c r="AY262" s="315" t="str">
        <f t="shared" si="475"/>
        <v/>
      </c>
      <c r="AZ262" s="315" t="e">
        <f>IF($J262="",#N/A,SUM(AY$4:AY262))</f>
        <v>#N/A</v>
      </c>
      <c r="BA262" s="315" t="e">
        <f>IF($J262="",#N/A,SUM(AY$4:AY262,AW$4:AW262,AU$4:AU262))</f>
        <v>#N/A</v>
      </c>
      <c r="BB262" s="304" t="str">
        <f t="shared" si="476"/>
        <v/>
      </c>
      <c r="BC262" s="313" t="e">
        <f>IF($J262="",#N/A,SUM(BB$4:BB262))</f>
        <v>#N/A</v>
      </c>
      <c r="BD262" s="314" t="str">
        <f t="shared" si="477"/>
        <v/>
      </c>
      <c r="BE262" s="314" t="e">
        <f>IF($J262="",#N/A,SUM(BD$4:BD262))</f>
        <v>#N/A</v>
      </c>
      <c r="BF262" s="315" t="str">
        <f t="shared" si="478"/>
        <v/>
      </c>
      <c r="BG262" s="315" t="e">
        <f>IF($J262="",#N/A,SUM(BF$4:BF262))</f>
        <v>#N/A</v>
      </c>
      <c r="BH262" s="315" t="e">
        <f>IF($J262="",#N/A,SUM(BF$4:BF262,BD$4:BD262,BB$4:BB262))</f>
        <v>#N/A</v>
      </c>
      <c r="BI262" s="304" t="str">
        <f t="shared" si="479"/>
        <v/>
      </c>
      <c r="BJ262" s="313" t="e">
        <f>IF($J262="",#N/A,SUM(BI$4:BI262))</f>
        <v>#N/A</v>
      </c>
      <c r="BK262" s="314" t="str">
        <f t="shared" si="480"/>
        <v/>
      </c>
      <c r="BL262" s="314" t="e">
        <f>IF($J262="",#N/A,SUM(BK$4:BK262))</f>
        <v>#N/A</v>
      </c>
      <c r="BM262" s="315" t="str">
        <f t="shared" si="481"/>
        <v/>
      </c>
      <c r="BN262" s="315" t="e">
        <f>IF($J262="",#N/A,SUM(BM$4:BM262))</f>
        <v>#N/A</v>
      </c>
      <c r="BO262" s="315" t="e">
        <f>IF($J262="",#N/A,SUM(BM$4:BM262,BK$4:BK262,BI$4:BI262))</f>
        <v>#N/A</v>
      </c>
      <c r="BP262" s="304" t="str">
        <f t="shared" si="482"/>
        <v/>
      </c>
      <c r="BQ262" s="313" t="e">
        <f>IF($J262="",#N/A,SUM(BP$4:BP262))</f>
        <v>#N/A</v>
      </c>
      <c r="BR262" s="314" t="str">
        <f t="shared" si="483"/>
        <v/>
      </c>
      <c r="BS262" s="314" t="e">
        <f>IF($J262="",#N/A,SUM(BR$4:BR262))</f>
        <v>#N/A</v>
      </c>
      <c r="BT262" s="315" t="str">
        <f t="shared" si="484"/>
        <v/>
      </c>
      <c r="BU262" s="315" t="e">
        <f>IF($J262="",#N/A,SUM(BT$4:BT262))</f>
        <v>#N/A</v>
      </c>
      <c r="BV262" s="315" t="e">
        <f>IF($J262="",#N/A,SUM(BT$4:BT262,BR$4:BR262,BP$4:BP262))</f>
        <v>#N/A</v>
      </c>
      <c r="BW262" s="304" t="str">
        <f t="shared" si="485"/>
        <v/>
      </c>
      <c r="BX262" s="313" t="e">
        <f>IF($J262="",#N/A,SUM(BW$4:BW262))</f>
        <v>#N/A</v>
      </c>
      <c r="BY262" s="314" t="str">
        <f t="shared" si="486"/>
        <v/>
      </c>
      <c r="BZ262" s="314" t="e">
        <f>IF($J262="",#N/A,SUM(BY$4:BY262))</f>
        <v>#N/A</v>
      </c>
      <c r="CA262" s="315" t="str">
        <f t="shared" si="487"/>
        <v/>
      </c>
      <c r="CB262" s="315" t="e">
        <f>IF($J262="",#N/A,SUM(CA$4:CA262))</f>
        <v>#N/A</v>
      </c>
      <c r="CC262" s="315" t="e">
        <f>IF($J262="",#N/A,SUM(CA$4:CA262,BY$4:BY262,BW$4:BW262))</f>
        <v>#N/A</v>
      </c>
      <c r="CD262" s="304" t="str">
        <f t="shared" si="488"/>
        <v/>
      </c>
      <c r="CE262" s="313" t="e">
        <f>IF($J262="",#N/A,SUM(CD$4:CD262))</f>
        <v>#N/A</v>
      </c>
      <c r="CF262" s="314" t="str">
        <f t="shared" si="489"/>
        <v/>
      </c>
      <c r="CG262" s="314" t="e">
        <f>IF($J262="",#N/A,SUM(CF$4:CF262))</f>
        <v>#N/A</v>
      </c>
      <c r="CH262" s="315" t="str">
        <f t="shared" si="490"/>
        <v/>
      </c>
      <c r="CI262" s="315" t="e">
        <f>IF($J262="",#N/A,SUM(CH$4:CH262))</f>
        <v>#N/A</v>
      </c>
      <c r="CJ262" s="315" t="e">
        <f>IF($J262="",#N/A,SUM(CH$4:CH262,CF$4:CF262,CD$4:CD262))</f>
        <v>#N/A</v>
      </c>
      <c r="CK262" s="304" t="str">
        <f t="shared" si="491"/>
        <v/>
      </c>
      <c r="CL262" s="313" t="e">
        <f>IF($J262="",#N/A,SUM(CK$4:CK262))</f>
        <v>#N/A</v>
      </c>
      <c r="CM262" s="314" t="str">
        <f t="shared" si="492"/>
        <v/>
      </c>
      <c r="CN262" s="314" t="e">
        <f>IF($J262="",#N/A,SUM(CM$4:CM262))</f>
        <v>#N/A</v>
      </c>
      <c r="CO262" s="315" t="str">
        <f t="shared" si="493"/>
        <v/>
      </c>
      <c r="CP262" s="315" t="e">
        <f>IF($J262="",#N/A,SUM(CO$4:CO262))</f>
        <v>#N/A</v>
      </c>
      <c r="CQ262" s="315" t="e">
        <f>IF($J262="",#N/A,SUM(CO$4:CO262,CM$4:CM262,CK$4:CK262))</f>
        <v>#N/A</v>
      </c>
      <c r="CR262" s="304" t="str">
        <f t="shared" si="494"/>
        <v/>
      </c>
      <c r="CS262" s="313" t="e">
        <f>IF($J262="",#N/A,SUM(CR$4:CR262))</f>
        <v>#N/A</v>
      </c>
      <c r="CT262" s="314" t="str">
        <f t="shared" si="495"/>
        <v/>
      </c>
      <c r="CU262" s="314" t="e">
        <f>IF($J262="",#N/A,SUM(CT$4:CT262))</f>
        <v>#N/A</v>
      </c>
      <c r="CV262" s="315" t="str">
        <f t="shared" si="496"/>
        <v/>
      </c>
      <c r="CW262" s="315" t="e">
        <f>IF($J262="",#N/A,SUM(CV$4:CV262))</f>
        <v>#N/A</v>
      </c>
      <c r="CX262" s="315" t="e">
        <f>IF($J262="",#N/A,SUM(CV$4:CV262,CT$4:CT262,CR$4:CR262))</f>
        <v>#N/A</v>
      </c>
      <c r="CY262" s="304" t="str">
        <f t="shared" si="497"/>
        <v/>
      </c>
      <c r="CZ262" s="313" t="e">
        <f>IF($J262="",#N/A,SUM(CY$4:CY262))</f>
        <v>#N/A</v>
      </c>
      <c r="DA262" s="314" t="str">
        <f t="shared" si="498"/>
        <v/>
      </c>
      <c r="DB262" s="314" t="e">
        <f>IF($J262="",#N/A,SUM(DA$4:DA262))</f>
        <v>#N/A</v>
      </c>
      <c r="DC262" s="315" t="str">
        <f t="shared" si="499"/>
        <v/>
      </c>
      <c r="DD262" s="315" t="e">
        <f>IF($J262="",#N/A,SUM(DC$4:DC262))</f>
        <v>#N/A</v>
      </c>
      <c r="DE262" s="315" t="e">
        <f>IF($J262="",#N/A,SUM(DC$4:DC262,DA$4:DA262,CY$4:CY262))</f>
        <v>#N/A</v>
      </c>
      <c r="DF262" s="304" t="str">
        <f t="shared" si="500"/>
        <v/>
      </c>
      <c r="DG262" s="313" t="e">
        <f>IF($J262="",#N/A,SUM(DF$4:DF262))</f>
        <v>#N/A</v>
      </c>
      <c r="DH262" s="314" t="str">
        <f t="shared" si="501"/>
        <v/>
      </c>
      <c r="DI262" s="314" t="e">
        <f>IF($J262="",#N/A,SUM(DH$4:DH262))</f>
        <v>#N/A</v>
      </c>
      <c r="DJ262" s="315" t="str">
        <f t="shared" si="502"/>
        <v/>
      </c>
      <c r="DK262" s="315" t="e">
        <f>IF($J262="",#N/A,SUM(DJ$4:DJ262))</f>
        <v>#N/A</v>
      </c>
      <c r="DL262" s="315" t="e">
        <f>IF($J262="",#N/A,SUM(DJ$4:DJ262,DH$4:DH262,DF$4:DF262))</f>
        <v>#N/A</v>
      </c>
      <c r="DM262" s="304" t="str">
        <f t="shared" si="503"/>
        <v/>
      </c>
      <c r="DN262" s="313" t="e">
        <f>IF($J262="",#N/A,SUM(DM$4:DM262))</f>
        <v>#N/A</v>
      </c>
      <c r="DO262" s="314" t="str">
        <f t="shared" si="504"/>
        <v/>
      </c>
      <c r="DP262" s="314" t="e">
        <f>IF($J262="",#N/A,SUM(DO$4:DO262))</f>
        <v>#N/A</v>
      </c>
      <c r="DQ262" s="315" t="str">
        <f t="shared" si="505"/>
        <v/>
      </c>
      <c r="DR262" s="315" t="e">
        <f>IF($J262="",#N/A,SUM(DQ$4:DQ262))</f>
        <v>#N/A</v>
      </c>
      <c r="DS262" s="315" t="e">
        <f>IF($J262="",#N/A,SUM(DQ$4:DQ262,DO$4:DO262,DM$4:DM262))</f>
        <v>#N/A</v>
      </c>
      <c r="DT262" s="304" t="str">
        <f t="shared" si="506"/>
        <v/>
      </c>
      <c r="DU262" s="313" t="e">
        <f>IF($J262="",#N/A,SUM(DT$4:DT262))</f>
        <v>#N/A</v>
      </c>
      <c r="DV262" s="314" t="str">
        <f t="shared" si="507"/>
        <v/>
      </c>
      <c r="DW262" s="314" t="e">
        <f>IF($J262="",#N/A,SUM(DV$4:DV262))</f>
        <v>#N/A</v>
      </c>
      <c r="DX262" s="315" t="str">
        <f t="shared" si="508"/>
        <v/>
      </c>
      <c r="DY262" s="315" t="e">
        <f>IF($J262="",#N/A,SUM(DX$4:DX262))</f>
        <v>#N/A</v>
      </c>
      <c r="DZ262" s="315" t="e">
        <f>IF($J262="",#N/A,SUM(DX$4:DX262,DV$4:DV262,DT$4:DT262))</f>
        <v>#N/A</v>
      </c>
      <c r="EA262" s="304" t="str">
        <f t="shared" si="509"/>
        <v/>
      </c>
      <c r="EB262" s="313" t="e">
        <f>IF($J262="",#N/A,SUM(EA$4:EA262))</f>
        <v>#N/A</v>
      </c>
      <c r="EC262" s="314" t="str">
        <f t="shared" si="510"/>
        <v/>
      </c>
      <c r="ED262" s="314" t="e">
        <f>IF($J262="",#N/A,SUM(EC$4:EC262))</f>
        <v>#N/A</v>
      </c>
      <c r="EE262" s="315" t="str">
        <f t="shared" si="511"/>
        <v/>
      </c>
      <c r="EF262" s="315" t="e">
        <f>IF($J262="",#N/A,SUM(EE$4:EE262))</f>
        <v>#N/A</v>
      </c>
      <c r="EG262" s="315" t="e">
        <f>IF($J262="",#N/A,SUM(EE$4:EE262,EC$4:EC262,EA$4:EA262))</f>
        <v>#N/A</v>
      </c>
      <c r="EH262" s="130">
        <f t="shared" si="512"/>
        <v>-8.9699999999999704</v>
      </c>
      <c r="EI262" s="63">
        <f>IF(EH262="",#N/A,SUM($EH$4:EH262))</f>
        <v>1198.6679150456291</v>
      </c>
      <c r="EJ262" s="223" t="e">
        <f t="shared" si="513"/>
        <v>#N/A</v>
      </c>
      <c r="EK262" s="63" t="e">
        <f>IF($GZ262="",#N/A,SUM(EJ$4:EJ262))</f>
        <v>#N/A</v>
      </c>
      <c r="EL262" s="60" t="str">
        <f t="shared" si="544"/>
        <v/>
      </c>
      <c r="EM262" s="60" t="e">
        <f>IF(EL262="",NA(),SUM($EL$4:EL262))</f>
        <v>#N/A</v>
      </c>
      <c r="EN262" s="60" t="str">
        <f t="shared" si="514"/>
        <v/>
      </c>
      <c r="EO262" s="60" t="e">
        <f>IF(EN262="",NA(),SUM($EN$4:EN262))</f>
        <v>#N/A</v>
      </c>
      <c r="EP262" s="60" t="str">
        <f t="shared" si="515"/>
        <v/>
      </c>
      <c r="EQ262" s="60" t="e">
        <f>IF(EP262="",NA(),SUM($EP$4:EP262))</f>
        <v>#N/A</v>
      </c>
      <c r="ER262" s="60" t="str">
        <f t="shared" si="516"/>
        <v/>
      </c>
      <c r="ES262" s="60" t="e">
        <f>IF(ER262="",NA(),SUM($ER$4:ER262))</f>
        <v>#N/A</v>
      </c>
      <c r="ET262" s="60">
        <f t="shared" si="517"/>
        <v>-0.36894449791466033</v>
      </c>
      <c r="EU262" s="60">
        <f>IF(ET262="",NA(),SUM($ET$4:ET262))</f>
        <v>9.451635208341477</v>
      </c>
      <c r="EV262" s="60" t="str">
        <f t="shared" si="518"/>
        <v/>
      </c>
      <c r="EW262" s="60" t="e">
        <f>IF(EV262="",NA(),SUM($EV$4:EV262))</f>
        <v>#N/A</v>
      </c>
      <c r="EX262" s="60" t="str">
        <f t="shared" si="519"/>
        <v/>
      </c>
      <c r="EY262" s="60" t="e">
        <f>IF(EX262="",NA(),SUM($EX$4:EX262))</f>
        <v>#N/A</v>
      </c>
      <c r="EZ262" s="60">
        <f t="shared" si="520"/>
        <v>-0.36894449791466033</v>
      </c>
      <c r="FA262" s="60">
        <f>IF(EZ262="",NA(),SUM($EZ$4:EZ262))</f>
        <v>8.1655427994604395</v>
      </c>
      <c r="FB262" s="246" t="str">
        <f t="shared" si="545"/>
        <v/>
      </c>
      <c r="FC262" s="246" t="e">
        <f>IF($FB262="",#N/A,SUM(FB$4:$FB262))</f>
        <v>#N/A</v>
      </c>
      <c r="FD262" s="60">
        <f t="shared" si="521"/>
        <v>0.86621751684311854</v>
      </c>
      <c r="FE262" s="60">
        <f>IF($FD262="",#N/A,SUM($FD$4:FD262))</f>
        <v>4.0904642622508796</v>
      </c>
      <c r="FF262" s="60" t="str">
        <f t="shared" si="522"/>
        <v/>
      </c>
      <c r="FG262" s="60" t="e">
        <f>IF($FF262="",#N/A,SUM($FF$4:FF262))</f>
        <v>#N/A</v>
      </c>
      <c r="FH262" s="60" t="str">
        <f t="shared" si="523"/>
        <v/>
      </c>
      <c r="FI262" s="60" t="e">
        <f>IF($FH262="",#N/A,SUM($FH$4:FH262))</f>
        <v>#N/A</v>
      </c>
      <c r="FJ262" s="60" t="str">
        <f t="shared" si="524"/>
        <v/>
      </c>
      <c r="FK262" s="60" t="e">
        <f>IF($FJ262="",#N/A,SUM($FJ$4:FJ262))</f>
        <v>#N/A</v>
      </c>
      <c r="FL262" s="60" t="str">
        <f t="shared" si="525"/>
        <v/>
      </c>
      <c r="FM262" s="60" t="e">
        <f>IF($FL262="",#N/A,SUM($FL$4:FL262))</f>
        <v>#N/A</v>
      </c>
      <c r="FN262" s="82">
        <f t="shared" si="526"/>
        <v>0.49727301892845815</v>
      </c>
      <c r="FO262" s="82">
        <f>IF($FN262="",#N/A,SUM(FN$4:$FN262))</f>
        <v>47.210077031008346</v>
      </c>
      <c r="FP262" s="82">
        <f t="shared" si="546"/>
        <v>-0.36894449791466033</v>
      </c>
      <c r="FQ262" s="246">
        <f>IF($EH262="",#N/A,SUM($FP$4:FP262))</f>
        <v>47.760047842694512</v>
      </c>
      <c r="FR262" s="82">
        <f>IFERROR(FQ262/COUNTA($J$4:J262),#N/A)</f>
        <v>0.18440172912237263</v>
      </c>
      <c r="FS262" s="82">
        <f t="shared" si="448"/>
        <v>0.33096027562970803</v>
      </c>
      <c r="FT262" s="82">
        <f t="shared" si="449"/>
        <v>0.26013259644168474</v>
      </c>
      <c r="FU262" s="337">
        <f t="shared" si="547"/>
        <v>22.463188132369609</v>
      </c>
      <c r="FV262" s="57" t="str">
        <f t="shared" si="527"/>
        <v>Dwn</v>
      </c>
      <c r="FW262" s="57" t="s">
        <v>2734</v>
      </c>
      <c r="FX262" s="57" t="str">
        <f t="shared" si="528"/>
        <v/>
      </c>
      <c r="FY262" s="57">
        <f t="shared" si="529"/>
        <v>1</v>
      </c>
      <c r="FZ262" s="57" t="str">
        <f t="shared" si="530"/>
        <v/>
      </c>
      <c r="GA262" s="57" t="str">
        <f t="shared" si="531"/>
        <v>Short</v>
      </c>
      <c r="GB262" s="57" t="str">
        <f t="shared" si="532"/>
        <v/>
      </c>
      <c r="GC262" s="57" t="str">
        <f t="shared" si="533"/>
        <v/>
      </c>
      <c r="GD262" s="57" t="str">
        <f t="shared" si="534"/>
        <v/>
      </c>
      <c r="GE262" s="62">
        <f t="shared" si="451"/>
        <v>31.17</v>
      </c>
      <c r="GF262" s="62" t="s">
        <v>2780</v>
      </c>
      <c r="GG262" s="199">
        <v>13</v>
      </c>
      <c r="GH262" s="207">
        <f t="shared" si="535"/>
        <v>405.21000000000004</v>
      </c>
      <c r="GI262" s="199">
        <v>13</v>
      </c>
      <c r="GJ262" s="200">
        <v>31.86</v>
      </c>
      <c r="GK262" s="63">
        <f t="shared" si="536"/>
        <v>-8.9699999999999704</v>
      </c>
      <c r="GL262" s="63">
        <f t="shared" si="452"/>
        <v>12.090000000000032</v>
      </c>
      <c r="GM262" s="82" t="str">
        <f t="shared" si="537"/>
        <v/>
      </c>
      <c r="GN262" s="82">
        <f>IF($GZ262="",#N/A,SUM(GM$4:GM262))</f>
        <v>-2.645815058160407</v>
      </c>
      <c r="GO262" s="82" t="str">
        <f t="shared" si="538"/>
        <v/>
      </c>
      <c r="GP262" s="82">
        <f>IF($GZ262="",#N/A,SUM(GO$4:GO262))</f>
        <v>15.690709321361755</v>
      </c>
      <c r="GQ262" s="82">
        <f t="shared" si="539"/>
        <v>0.49727301892845815</v>
      </c>
      <c r="GR262" s="82">
        <f>IF($GZ262="",#N/A,SUM(GQ$4:GQ262))</f>
        <v>33.539345813364669</v>
      </c>
      <c r="GS262" s="63" t="str">
        <f t="shared" si="548"/>
        <v/>
      </c>
      <c r="GT262" s="63" t="e">
        <f>IF($GZ262="",#N/A,SUM(GS$4:GS262))</f>
        <v>#N/A</v>
      </c>
      <c r="GU262" s="63" t="str">
        <f t="shared" si="549"/>
        <v/>
      </c>
      <c r="GV262" s="63" t="e">
        <f>IF($GZ262="",#N/A,SUM(GU$4:GU262))</f>
        <v>#N/A</v>
      </c>
      <c r="GW262" s="63" t="e">
        <f t="shared" si="550"/>
        <v>#N/A</v>
      </c>
      <c r="GX262" s="63" t="e">
        <f>IF($GZ262="",#N/A,SUM(GW$4:GW262))</f>
        <v>#N/A</v>
      </c>
      <c r="GY262" s="63" t="e">
        <f>IF(EJ262="",#N/A,SUM($EJ$4:EJ262))</f>
        <v>#N/A</v>
      </c>
      <c r="GZ262" s="159">
        <v>30.24</v>
      </c>
      <c r="HA262" s="63">
        <f t="shared" si="540"/>
        <v>21.060000000000002</v>
      </c>
      <c r="HB262" s="62" t="s">
        <v>2538</v>
      </c>
      <c r="HC262" s="60">
        <f>IFERROR(VLOOKUP(E262,Expectancy!$P$4:$S$19,1+C262,FALSE),"")</f>
        <v>-9.4786290791818092E-2</v>
      </c>
      <c r="HD262" s="82">
        <f t="shared" si="541"/>
        <v>-0.36894449791466033</v>
      </c>
      <c r="HE262" s="138">
        <f>IF(HD262="",#N/A,SUM($HD$4:HD262))</f>
        <v>10.766859710324901</v>
      </c>
      <c r="HF262" s="85">
        <f>IF(HD262="",#N/A,IF(HB262="Skip",#N/A,SUM($HG$4:HG262)))</f>
        <v>279.30156919911445</v>
      </c>
      <c r="HG262" s="63">
        <f t="shared" si="542"/>
        <v>-8.9699999999999704</v>
      </c>
      <c r="HH262" s="82">
        <f t="shared" si="543"/>
        <v>0.49727301892845815</v>
      </c>
    </row>
    <row r="263" spans="1:216" x14ac:dyDescent="0.25">
      <c r="A263" s="57" t="s">
        <v>1279</v>
      </c>
      <c r="B263" s="58" t="s">
        <v>5154</v>
      </c>
      <c r="C263" s="386">
        <f t="shared" si="453"/>
        <v>1</v>
      </c>
      <c r="D263" s="372" t="str">
        <f>_xlfn.XLOOKUP(A263,[1]SP500!$A$2:$A$502,[1]SP500!$D$2:$D$502,"N")</f>
        <v>Y</v>
      </c>
      <c r="E263" s="57" t="str">
        <f>_xlfn.XLOOKUP(A263,[1]SP500!$A$2:$A$655,[1]SP500!$B$2:$B$655)</f>
        <v>XLY</v>
      </c>
      <c r="F263" s="59">
        <v>45694</v>
      </c>
      <c r="G263" s="57" t="str">
        <f t="shared" si="454"/>
        <v>AMC</v>
      </c>
      <c r="H263" s="57" t="str">
        <f t="shared" si="455"/>
        <v>s</v>
      </c>
      <c r="I263" s="159">
        <v>238.83</v>
      </c>
      <c r="J263" s="159">
        <v>232.5</v>
      </c>
      <c r="K263" s="61">
        <f t="shared" si="456"/>
        <v>-2.6504208014068636E-2</v>
      </c>
      <c r="L263" s="87">
        <f t="shared" si="457"/>
        <v>-12.660000000000025</v>
      </c>
      <c r="M263" s="130">
        <f t="shared" si="450"/>
        <v>-0.86000000000001364</v>
      </c>
      <c r="N263" s="169">
        <f t="shared" si="458"/>
        <v>-12.660000000000025</v>
      </c>
      <c r="O263" s="169">
        <f>IF($J263="",#N/A,SUM($N$4:N263))</f>
        <v>450.36511614781222</v>
      </c>
      <c r="P263" s="174" t="str">
        <f t="shared" si="459"/>
        <v/>
      </c>
      <c r="Q263" s="174">
        <f>IF($J263="",#N/A,SUM($P$4:P263))</f>
        <v>625.09890674734106</v>
      </c>
      <c r="R263" s="178" t="str">
        <f t="shared" si="460"/>
        <v/>
      </c>
      <c r="S263" s="178">
        <f>IF($J263="",#N/A,SUM($R$4:R263))</f>
        <v>110.54389215047578</v>
      </c>
      <c r="T263" s="290">
        <f t="shared" si="461"/>
        <v>-0.44173680023447726</v>
      </c>
      <c r="U263" s="290">
        <f>IF($J263="",#N/A,SUM($T$4:T263))</f>
        <v>17.113941918766518</v>
      </c>
      <c r="V263" s="291" t="str">
        <f t="shared" si="462"/>
        <v/>
      </c>
      <c r="W263" s="291">
        <f>IF($J263="",#N/A,SUM($V$4:V263))</f>
        <v>26.009315647905048</v>
      </c>
      <c r="X263" s="292" t="str">
        <f t="shared" si="463"/>
        <v/>
      </c>
      <c r="Y263" s="292">
        <f>IF($J263="",#N/A,SUM($X$4:X263))</f>
        <v>4.1950534757884856</v>
      </c>
      <c r="Z263" s="304" t="str">
        <f t="shared" si="464"/>
        <v/>
      </c>
      <c r="AA263" s="313" t="e">
        <f>IF($J263="",#N/A,SUM(Z$4:Z263))</f>
        <v>#N/A</v>
      </c>
      <c r="AB263" s="314" t="str">
        <f t="shared" si="465"/>
        <v/>
      </c>
      <c r="AC263" s="314" t="e">
        <f>IF($J263="",#N/A,SUM(AB$4:AB263))</f>
        <v>#N/A</v>
      </c>
      <c r="AD263" s="315" t="str">
        <f t="shared" si="466"/>
        <v/>
      </c>
      <c r="AE263" s="315" t="e">
        <f>IF($J263="",#N/A,SUM(AD$4:AD263))</f>
        <v>#N/A</v>
      </c>
      <c r="AF263" s="315" t="e">
        <f>IF($J263="",#N/A,SUM(AD$4:AD263,AB$4:AB263,Z$4:Z263))</f>
        <v>#N/A</v>
      </c>
      <c r="AG263" s="304" t="str">
        <f t="shared" si="467"/>
        <v/>
      </c>
      <c r="AH263" s="313" t="e">
        <f>IF($J263="",#N/A,SUM(AG$4:AG263))</f>
        <v>#N/A</v>
      </c>
      <c r="AI263" s="314" t="str">
        <f t="shared" si="468"/>
        <v/>
      </c>
      <c r="AJ263" s="314" t="e">
        <f>IF($J263="",#N/A,SUM(AI$4:AI263))</f>
        <v>#N/A</v>
      </c>
      <c r="AK263" s="315" t="str">
        <f t="shared" si="469"/>
        <v/>
      </c>
      <c r="AL263" s="315" t="e">
        <f>IF($J263="",#N/A,SUM(AK$4:AK263))</f>
        <v>#N/A</v>
      </c>
      <c r="AM263" s="315" t="e">
        <f>IF($J263="",#N/A,SUM(AK$4:AK263,AI$4:AI263,AG$4:AG263))</f>
        <v>#N/A</v>
      </c>
      <c r="AN263" s="304">
        <f t="shared" si="470"/>
        <v>-0.44173680023447726</v>
      </c>
      <c r="AO263" s="313" t="e">
        <f>IF($J263="",#N/A,SUM(AN$4:AN263))</f>
        <v>#N/A</v>
      </c>
      <c r="AP263" s="314" t="str">
        <f t="shared" si="471"/>
        <v/>
      </c>
      <c r="AQ263" s="314" t="e">
        <f>IF($J263="",#N/A,SUM(AP$4:AP263))</f>
        <v>#N/A</v>
      </c>
      <c r="AR263" s="315" t="str">
        <f t="shared" si="472"/>
        <v/>
      </c>
      <c r="AS263" s="315" t="e">
        <f>IF($J263="",#N/A,SUM(AR$4:AR263))</f>
        <v>#N/A</v>
      </c>
      <c r="AT263" s="315" t="e">
        <f>IF($J263="",#N/A,SUM(AR$4:AR263,AP$4:AP263,AN$4:AN263))</f>
        <v>#N/A</v>
      </c>
      <c r="AU263" s="304" t="str">
        <f t="shared" si="473"/>
        <v/>
      </c>
      <c r="AV263" s="313" t="e">
        <f>IF($J263="",#N/A,SUM(AU$4:AU263))</f>
        <v>#N/A</v>
      </c>
      <c r="AW263" s="314" t="str">
        <f t="shared" si="474"/>
        <v/>
      </c>
      <c r="AX263" s="314" t="e">
        <f>IF($J263="",#N/A,SUM(AW$4:AW263))</f>
        <v>#N/A</v>
      </c>
      <c r="AY263" s="315" t="str">
        <f t="shared" si="475"/>
        <v/>
      </c>
      <c r="AZ263" s="315" t="e">
        <f>IF($J263="",#N/A,SUM(AY$4:AY263))</f>
        <v>#N/A</v>
      </c>
      <c r="BA263" s="315" t="e">
        <f>IF($J263="",#N/A,SUM(AY$4:AY263,AW$4:AW263,AU$4:AU263))</f>
        <v>#N/A</v>
      </c>
      <c r="BB263" s="304" t="str">
        <f t="shared" si="476"/>
        <v/>
      </c>
      <c r="BC263" s="313" t="e">
        <f>IF($J263="",#N/A,SUM(BB$4:BB263))</f>
        <v>#N/A</v>
      </c>
      <c r="BD263" s="314" t="str">
        <f t="shared" si="477"/>
        <v/>
      </c>
      <c r="BE263" s="314" t="e">
        <f>IF($J263="",#N/A,SUM(BD$4:BD263))</f>
        <v>#N/A</v>
      </c>
      <c r="BF263" s="315" t="str">
        <f t="shared" si="478"/>
        <v/>
      </c>
      <c r="BG263" s="315" t="e">
        <f>IF($J263="",#N/A,SUM(BF$4:BF263))</f>
        <v>#N/A</v>
      </c>
      <c r="BH263" s="315" t="e">
        <f>IF($J263="",#N/A,SUM(BF$4:BF263,BD$4:BD263,BB$4:BB263))</f>
        <v>#N/A</v>
      </c>
      <c r="BI263" s="304" t="str">
        <f t="shared" si="479"/>
        <v/>
      </c>
      <c r="BJ263" s="313" t="e">
        <f>IF($J263="",#N/A,SUM(BI$4:BI263))</f>
        <v>#N/A</v>
      </c>
      <c r="BK263" s="314" t="str">
        <f t="shared" si="480"/>
        <v/>
      </c>
      <c r="BL263" s="314" t="e">
        <f>IF($J263="",#N/A,SUM(BK$4:BK263))</f>
        <v>#N/A</v>
      </c>
      <c r="BM263" s="315" t="str">
        <f t="shared" si="481"/>
        <v/>
      </c>
      <c r="BN263" s="315" t="e">
        <f>IF($J263="",#N/A,SUM(BM$4:BM263))</f>
        <v>#N/A</v>
      </c>
      <c r="BO263" s="315" t="e">
        <f>IF($J263="",#N/A,SUM(BM$4:BM263,BK$4:BK263,BI$4:BI263))</f>
        <v>#N/A</v>
      </c>
      <c r="BP263" s="304" t="str">
        <f t="shared" si="482"/>
        <v/>
      </c>
      <c r="BQ263" s="313" t="e">
        <f>IF($J263="",#N/A,SUM(BP$4:BP263))</f>
        <v>#N/A</v>
      </c>
      <c r="BR263" s="314" t="str">
        <f t="shared" si="483"/>
        <v/>
      </c>
      <c r="BS263" s="314" t="e">
        <f>IF($J263="",#N/A,SUM(BR$4:BR263))</f>
        <v>#N/A</v>
      </c>
      <c r="BT263" s="315" t="str">
        <f t="shared" si="484"/>
        <v/>
      </c>
      <c r="BU263" s="315" t="e">
        <f>IF($J263="",#N/A,SUM(BT$4:BT263))</f>
        <v>#N/A</v>
      </c>
      <c r="BV263" s="315" t="e">
        <f>IF($J263="",#N/A,SUM(BT$4:BT263,BR$4:BR263,BP$4:BP263))</f>
        <v>#N/A</v>
      </c>
      <c r="BW263" s="304" t="str">
        <f t="shared" si="485"/>
        <v/>
      </c>
      <c r="BX263" s="313" t="e">
        <f>IF($J263="",#N/A,SUM(BW$4:BW263))</f>
        <v>#N/A</v>
      </c>
      <c r="BY263" s="314" t="str">
        <f t="shared" si="486"/>
        <v/>
      </c>
      <c r="BZ263" s="314" t="e">
        <f>IF($J263="",#N/A,SUM(BY$4:BY263))</f>
        <v>#N/A</v>
      </c>
      <c r="CA263" s="315" t="str">
        <f t="shared" si="487"/>
        <v/>
      </c>
      <c r="CB263" s="315" t="e">
        <f>IF($J263="",#N/A,SUM(CA$4:CA263))</f>
        <v>#N/A</v>
      </c>
      <c r="CC263" s="315" t="e">
        <f>IF($J263="",#N/A,SUM(CA$4:CA263,BY$4:BY263,BW$4:BW263))</f>
        <v>#N/A</v>
      </c>
      <c r="CD263" s="304" t="str">
        <f t="shared" si="488"/>
        <v/>
      </c>
      <c r="CE263" s="313" t="e">
        <f>IF($J263="",#N/A,SUM(CD$4:CD263))</f>
        <v>#N/A</v>
      </c>
      <c r="CF263" s="314" t="str">
        <f t="shared" si="489"/>
        <v/>
      </c>
      <c r="CG263" s="314" t="e">
        <f>IF($J263="",#N/A,SUM(CF$4:CF263))</f>
        <v>#N/A</v>
      </c>
      <c r="CH263" s="315" t="str">
        <f t="shared" si="490"/>
        <v/>
      </c>
      <c r="CI263" s="315" t="e">
        <f>IF($J263="",#N/A,SUM(CH$4:CH263))</f>
        <v>#N/A</v>
      </c>
      <c r="CJ263" s="315" t="e">
        <f>IF($J263="",#N/A,SUM(CH$4:CH263,CF$4:CF263,CD$4:CD263))</f>
        <v>#N/A</v>
      </c>
      <c r="CK263" s="304" t="str">
        <f t="shared" si="491"/>
        <v/>
      </c>
      <c r="CL263" s="313" t="e">
        <f>IF($J263="",#N/A,SUM(CK$4:CK263))</f>
        <v>#N/A</v>
      </c>
      <c r="CM263" s="314" t="str">
        <f t="shared" si="492"/>
        <v/>
      </c>
      <c r="CN263" s="314" t="e">
        <f>IF($J263="",#N/A,SUM(CM$4:CM263))</f>
        <v>#N/A</v>
      </c>
      <c r="CO263" s="315" t="str">
        <f t="shared" si="493"/>
        <v/>
      </c>
      <c r="CP263" s="315" t="e">
        <f>IF($J263="",#N/A,SUM(CO$4:CO263))</f>
        <v>#N/A</v>
      </c>
      <c r="CQ263" s="315" t="e">
        <f>IF($J263="",#N/A,SUM(CO$4:CO263,CM$4:CM263,CK$4:CK263))</f>
        <v>#N/A</v>
      </c>
      <c r="CR263" s="304" t="str">
        <f t="shared" si="494"/>
        <v/>
      </c>
      <c r="CS263" s="313" t="e">
        <f>IF($J263="",#N/A,SUM(CR$4:CR263))</f>
        <v>#N/A</v>
      </c>
      <c r="CT263" s="314" t="str">
        <f t="shared" si="495"/>
        <v/>
      </c>
      <c r="CU263" s="314" t="e">
        <f>IF($J263="",#N/A,SUM(CT$4:CT263))</f>
        <v>#N/A</v>
      </c>
      <c r="CV263" s="315" t="str">
        <f t="shared" si="496"/>
        <v/>
      </c>
      <c r="CW263" s="315" t="e">
        <f>IF($J263="",#N/A,SUM(CV$4:CV263))</f>
        <v>#N/A</v>
      </c>
      <c r="CX263" s="315" t="e">
        <f>IF($J263="",#N/A,SUM(CV$4:CV263,CT$4:CT263,CR$4:CR263))</f>
        <v>#N/A</v>
      </c>
      <c r="CY263" s="304" t="str">
        <f t="shared" si="497"/>
        <v/>
      </c>
      <c r="CZ263" s="313" t="e">
        <f>IF($J263="",#N/A,SUM(CY$4:CY263))</f>
        <v>#N/A</v>
      </c>
      <c r="DA263" s="314" t="str">
        <f t="shared" si="498"/>
        <v/>
      </c>
      <c r="DB263" s="314" t="e">
        <f>IF($J263="",#N/A,SUM(DA$4:DA263))</f>
        <v>#N/A</v>
      </c>
      <c r="DC263" s="315" t="str">
        <f t="shared" si="499"/>
        <v/>
      </c>
      <c r="DD263" s="315" t="e">
        <f>IF($J263="",#N/A,SUM(DC$4:DC263))</f>
        <v>#N/A</v>
      </c>
      <c r="DE263" s="315" t="e">
        <f>IF($J263="",#N/A,SUM(DC$4:DC263,DA$4:DA263,CY$4:CY263))</f>
        <v>#N/A</v>
      </c>
      <c r="DF263" s="304" t="str">
        <f t="shared" si="500"/>
        <v/>
      </c>
      <c r="DG263" s="313" t="e">
        <f>IF($J263="",#N/A,SUM(DF$4:DF263))</f>
        <v>#N/A</v>
      </c>
      <c r="DH263" s="314" t="str">
        <f t="shared" si="501"/>
        <v/>
      </c>
      <c r="DI263" s="314" t="e">
        <f>IF($J263="",#N/A,SUM(DH$4:DH263))</f>
        <v>#N/A</v>
      </c>
      <c r="DJ263" s="315" t="str">
        <f t="shared" si="502"/>
        <v/>
      </c>
      <c r="DK263" s="315" t="e">
        <f>IF($J263="",#N/A,SUM(DJ$4:DJ263))</f>
        <v>#N/A</v>
      </c>
      <c r="DL263" s="315" t="e">
        <f>IF($J263="",#N/A,SUM(DJ$4:DJ263,DH$4:DH263,DF$4:DF263))</f>
        <v>#N/A</v>
      </c>
      <c r="DM263" s="304" t="str">
        <f t="shared" si="503"/>
        <v/>
      </c>
      <c r="DN263" s="313" t="e">
        <f>IF($J263="",#N/A,SUM(DM$4:DM263))</f>
        <v>#N/A</v>
      </c>
      <c r="DO263" s="314" t="str">
        <f t="shared" si="504"/>
        <v/>
      </c>
      <c r="DP263" s="314" t="e">
        <f>IF($J263="",#N/A,SUM(DO$4:DO263))</f>
        <v>#N/A</v>
      </c>
      <c r="DQ263" s="315" t="str">
        <f t="shared" si="505"/>
        <v/>
      </c>
      <c r="DR263" s="315" t="e">
        <f>IF($J263="",#N/A,SUM(DQ$4:DQ263))</f>
        <v>#N/A</v>
      </c>
      <c r="DS263" s="315" t="e">
        <f>IF($J263="",#N/A,SUM(DQ$4:DQ263,DO$4:DO263,DM$4:DM263))</f>
        <v>#N/A</v>
      </c>
      <c r="DT263" s="304" t="str">
        <f t="shared" si="506"/>
        <v/>
      </c>
      <c r="DU263" s="313" t="e">
        <f>IF($J263="",#N/A,SUM(DT$4:DT263))</f>
        <v>#N/A</v>
      </c>
      <c r="DV263" s="314" t="str">
        <f t="shared" si="507"/>
        <v/>
      </c>
      <c r="DW263" s="314" t="e">
        <f>IF($J263="",#N/A,SUM(DV$4:DV263))</f>
        <v>#N/A</v>
      </c>
      <c r="DX263" s="315" t="str">
        <f t="shared" si="508"/>
        <v/>
      </c>
      <c r="DY263" s="315" t="e">
        <f>IF($J263="",#N/A,SUM(DX$4:DX263))</f>
        <v>#N/A</v>
      </c>
      <c r="DZ263" s="315" t="e">
        <f>IF($J263="",#N/A,SUM(DX$4:DX263,DV$4:DV263,DT$4:DT263))</f>
        <v>#N/A</v>
      </c>
      <c r="EA263" s="304" t="str">
        <f t="shared" si="509"/>
        <v/>
      </c>
      <c r="EB263" s="313" t="e">
        <f>IF($J263="",#N/A,SUM(EA$4:EA263))</f>
        <v>#N/A</v>
      </c>
      <c r="EC263" s="314" t="str">
        <f t="shared" si="510"/>
        <v/>
      </c>
      <c r="ED263" s="314" t="e">
        <f>IF($J263="",#N/A,SUM(EC$4:EC263))</f>
        <v>#N/A</v>
      </c>
      <c r="EE263" s="315" t="str">
        <f t="shared" si="511"/>
        <v/>
      </c>
      <c r="EF263" s="315" t="e">
        <f>IF($J263="",#N/A,SUM(EE$4:EE263))</f>
        <v>#N/A</v>
      </c>
      <c r="EG263" s="315" t="e">
        <f>IF($J263="",#N/A,SUM(EE$4:EE263,EC$4:EC263,EA$4:EA263))</f>
        <v>#N/A</v>
      </c>
      <c r="EH263" s="130">
        <f t="shared" si="512"/>
        <v>-12.660000000000025</v>
      </c>
      <c r="EI263" s="63">
        <f>IF(EH263="",#N/A,SUM($EH$4:EH263))</f>
        <v>1186.007915045629</v>
      </c>
      <c r="EJ263" s="223" t="e">
        <f t="shared" si="513"/>
        <v>#N/A</v>
      </c>
      <c r="EK263" s="63" t="e">
        <f>IF($GZ263="",#N/A,SUM(EJ$4:EJ263))</f>
        <v>#N/A</v>
      </c>
      <c r="EL263" s="60">
        <f t="shared" si="544"/>
        <v>-0.44173680023447726</v>
      </c>
      <c r="EM263" s="60">
        <f>IF(EL263="",NA(),SUM($EL$4:EL263))</f>
        <v>37.866675834118574</v>
      </c>
      <c r="EN263" s="60">
        <f t="shared" si="514"/>
        <v>-0.44173680023447726</v>
      </c>
      <c r="EO263" s="60">
        <f>IF(EN263="",NA(),SUM($EN$4:EN263))</f>
        <v>15.157235094115794</v>
      </c>
      <c r="EP263" s="60" t="str">
        <f t="shared" si="515"/>
        <v/>
      </c>
      <c r="EQ263" s="60" t="e">
        <f>IF(EP263="",NA(),SUM($EP$4:EP263))</f>
        <v>#N/A</v>
      </c>
      <c r="ER263" s="60" t="str">
        <f t="shared" si="516"/>
        <v/>
      </c>
      <c r="ES263" s="60" t="e">
        <f>IF(ER263="",NA(),SUM($ER$4:ER263))</f>
        <v>#N/A</v>
      </c>
      <c r="ET263" s="60" t="str">
        <f t="shared" si="517"/>
        <v/>
      </c>
      <c r="EU263" s="60" t="e">
        <f>IF(ET263="",NA(),SUM($ET$4:ET263))</f>
        <v>#N/A</v>
      </c>
      <c r="EV263" s="60" t="str">
        <f t="shared" si="518"/>
        <v/>
      </c>
      <c r="EW263" s="60" t="e">
        <f>IF(EV263="",NA(),SUM($EV$4:EV263))</f>
        <v>#N/A</v>
      </c>
      <c r="EX263" s="60" t="str">
        <f t="shared" si="519"/>
        <v/>
      </c>
      <c r="EY263" s="60" t="e">
        <f>IF(EX263="",NA(),SUM($EX$4:EX263))</f>
        <v>#N/A</v>
      </c>
      <c r="EZ263" s="60" t="str">
        <f t="shared" si="520"/>
        <v/>
      </c>
      <c r="FA263" s="60" t="e">
        <f>IF(EZ263="",NA(),SUM($EZ$4:EZ263))</f>
        <v>#N/A</v>
      </c>
      <c r="FB263" s="246" t="str">
        <f t="shared" si="545"/>
        <v/>
      </c>
      <c r="FC263" s="246" t="e">
        <f>IF($FB263="",#N/A,SUM(FB$4:$FB263))</f>
        <v>#N/A</v>
      </c>
      <c r="FD263" s="60" t="str">
        <f t="shared" si="521"/>
        <v/>
      </c>
      <c r="FE263" s="60" t="e">
        <f>IF($FD263="",#N/A,SUM($FD$4:FD263))</f>
        <v>#N/A</v>
      </c>
      <c r="FF263" s="60" t="str">
        <f t="shared" si="522"/>
        <v/>
      </c>
      <c r="FG263" s="60" t="e">
        <f>IF($FF263="",#N/A,SUM($FF$4:FF263))</f>
        <v>#N/A</v>
      </c>
      <c r="FH263" s="60">
        <f t="shared" si="523"/>
        <v>-0.23377855936579672</v>
      </c>
      <c r="FI263" s="60">
        <f>IF($FH263="",#N/A,SUM($FH$4:FH263))</f>
        <v>2.0818996304687531</v>
      </c>
      <c r="FJ263" s="60" t="str">
        <f t="shared" si="524"/>
        <v/>
      </c>
      <c r="FK263" s="60" t="e">
        <f>IF($FJ263="",#N/A,SUM($FJ$4:FJ263))</f>
        <v>#N/A</v>
      </c>
      <c r="FL263" s="60" t="str">
        <f t="shared" si="525"/>
        <v/>
      </c>
      <c r="FM263" s="60" t="e">
        <f>IF($FL263="",#N/A,SUM($FL$4:FL263))</f>
        <v>#N/A</v>
      </c>
      <c r="FN263" s="82">
        <f t="shared" si="526"/>
        <v>-0.67551535960027398</v>
      </c>
      <c r="FO263" s="82">
        <f>IF($FN263="",#N/A,SUM(FN$4:$FN263))</f>
        <v>46.534561671408071</v>
      </c>
      <c r="FP263" s="82">
        <f t="shared" si="546"/>
        <v>-0.44173680023447726</v>
      </c>
      <c r="FQ263" s="246">
        <f>IF($EH263="",#N/A,SUM($FP$4:FP263))</f>
        <v>47.318311042460032</v>
      </c>
      <c r="FR263" s="82">
        <f>IFERROR(FQ263/COUNTA($J$4:J263),#N/A)</f>
        <v>0.18199350400946165</v>
      </c>
      <c r="FS263" s="82">
        <f t="shared" si="448"/>
        <v>0.2827121420797859</v>
      </c>
      <c r="FT263" s="82">
        <f t="shared" si="449"/>
        <v>0.24785582151554705</v>
      </c>
      <c r="FU263" s="337">
        <f t="shared" si="547"/>
        <v>22.493195529541936</v>
      </c>
      <c r="FV263" s="57" t="str">
        <f t="shared" si="527"/>
        <v>Up</v>
      </c>
      <c r="FW263" s="57" t="s">
        <v>2734</v>
      </c>
      <c r="FX263" s="57" t="str">
        <f t="shared" si="528"/>
        <v/>
      </c>
      <c r="FY263" s="57" t="str">
        <f t="shared" si="529"/>
        <v/>
      </c>
      <c r="FZ263" s="57" t="str">
        <f t="shared" si="530"/>
        <v/>
      </c>
      <c r="GA263" s="57" t="str">
        <f t="shared" si="531"/>
        <v>Long</v>
      </c>
      <c r="GB263" s="57" t="str">
        <f t="shared" si="532"/>
        <v/>
      </c>
      <c r="GC263" s="57">
        <f t="shared" si="533"/>
        <v>1</v>
      </c>
      <c r="GD263" s="57" t="str">
        <f t="shared" si="534"/>
        <v/>
      </c>
      <c r="GE263" s="62">
        <f t="shared" si="451"/>
        <v>238.83</v>
      </c>
      <c r="GF263" s="62" t="s">
        <v>2779</v>
      </c>
      <c r="GG263" s="199">
        <v>2</v>
      </c>
      <c r="GH263" s="207">
        <f t="shared" si="535"/>
        <v>477.66</v>
      </c>
      <c r="GI263" s="199">
        <v>2</v>
      </c>
      <c r="GJ263" s="200">
        <v>232.07</v>
      </c>
      <c r="GK263" s="63">
        <f t="shared" si="536"/>
        <v>-13.520000000000039</v>
      </c>
      <c r="GL263" s="63">
        <f t="shared" si="452"/>
        <v>-19.360000000000014</v>
      </c>
      <c r="GM263" s="82" t="str">
        <f t="shared" si="537"/>
        <v/>
      </c>
      <c r="GN263" s="82">
        <f>IF($GZ263="",#N/A,SUM(GM$4:GM263))</f>
        <v>-2.645815058160407</v>
      </c>
      <c r="GO263" s="82">
        <f t="shared" si="538"/>
        <v>-0.67551535960027398</v>
      </c>
      <c r="GP263" s="82">
        <f>IF($GZ263="",#N/A,SUM(GO$4:GO263))</f>
        <v>15.015193961761481</v>
      </c>
      <c r="GQ263" s="82" t="str">
        <f t="shared" si="539"/>
        <v/>
      </c>
      <c r="GR263" s="82">
        <f>IF($GZ263="",#N/A,SUM(GQ$4:GQ263))</f>
        <v>33.539345813364669</v>
      </c>
      <c r="GS263" s="63" t="str">
        <f t="shared" si="548"/>
        <v/>
      </c>
      <c r="GT263" s="63" t="e">
        <f>IF($GZ263="",#N/A,SUM(GS$4:GS263))</f>
        <v>#N/A</v>
      </c>
      <c r="GU263" s="63" t="e">
        <f t="shared" si="549"/>
        <v>#N/A</v>
      </c>
      <c r="GV263" s="63" t="e">
        <f>IF($GZ263="",#N/A,SUM(GU$4:GU263))</f>
        <v>#N/A</v>
      </c>
      <c r="GW263" s="63" t="str">
        <f t="shared" si="550"/>
        <v/>
      </c>
      <c r="GX263" s="63" t="e">
        <f>IF($GZ263="",#N/A,SUM(GW$4:GW263))</f>
        <v>#N/A</v>
      </c>
      <c r="GY263" s="63" t="e">
        <f>IF(EJ263="",#N/A,SUM($EJ$4:EJ263))</f>
        <v>#N/A</v>
      </c>
      <c r="GZ263" s="159">
        <v>229.15</v>
      </c>
      <c r="HA263" s="63">
        <f t="shared" si="540"/>
        <v>-6.6999999999999886</v>
      </c>
      <c r="HB263" s="62" t="s">
        <v>2538</v>
      </c>
      <c r="HC263" s="60">
        <f>IFERROR(VLOOKUP(E263,Expectancy!$P$4:$S$19,1+C263,FALSE),"")</f>
        <v>9.4642213510490861E-2</v>
      </c>
      <c r="HD263" s="82">
        <f t="shared" si="541"/>
        <v>-0.47174419740680396</v>
      </c>
      <c r="HE263" s="138">
        <f>IF(HD263="",#N/A,SUM($HD$4:HD263))</f>
        <v>10.295115512918098</v>
      </c>
      <c r="HF263" s="85">
        <f>IF(HD263="",#N/A,IF(HB263="Skip",#N/A,SUM($HG$4:HG263)))</f>
        <v>265.78156919911441</v>
      </c>
      <c r="HG263" s="63">
        <f t="shared" si="542"/>
        <v>-13.520000000000039</v>
      </c>
      <c r="HH263" s="82">
        <f t="shared" si="543"/>
        <v>-0.67551535960027398</v>
      </c>
    </row>
    <row r="264" spans="1:216" x14ac:dyDescent="0.25">
      <c r="A264" s="57" t="s">
        <v>712</v>
      </c>
      <c r="B264" s="58" t="s">
        <v>5154</v>
      </c>
      <c r="C264" s="386">
        <f t="shared" si="453"/>
        <v>1</v>
      </c>
      <c r="D264" s="372" t="str">
        <f>_xlfn.XLOOKUP(A264,[1]SP500!$A$2:$A$502,[1]SP500!$D$2:$D$502,"N")</f>
        <v>Y</v>
      </c>
      <c r="E264" s="57" t="str">
        <f>_xlfn.XLOOKUP(A264,[1]SP500!$A$2:$A$655,[1]SP500!$B$2:$B$655)</f>
        <v>IGV</v>
      </c>
      <c r="F264" s="59">
        <v>45694</v>
      </c>
      <c r="G264" s="57" t="str">
        <f t="shared" si="454"/>
        <v>AMC</v>
      </c>
      <c r="H264" s="57" t="str">
        <f t="shared" si="455"/>
        <v>s</v>
      </c>
      <c r="I264" s="159">
        <v>104.72</v>
      </c>
      <c r="J264" s="159">
        <v>109.485</v>
      </c>
      <c r="K264" s="61">
        <f t="shared" si="456"/>
        <v>4.5502291825821245E-2</v>
      </c>
      <c r="L264" s="87">
        <f t="shared" si="457"/>
        <v>19.060000000000002</v>
      </c>
      <c r="M264" s="130">
        <f t="shared" si="450"/>
        <v>0.45999999999997954</v>
      </c>
      <c r="N264" s="169">
        <f t="shared" si="458"/>
        <v>19.060000000000002</v>
      </c>
      <c r="O264" s="169">
        <f>IF($J264="",#N/A,SUM($N$4:N264))</f>
        <v>469.42511614781222</v>
      </c>
      <c r="P264" s="174" t="str">
        <f t="shared" si="459"/>
        <v/>
      </c>
      <c r="Q264" s="174">
        <f>IF($J264="",#N/A,SUM($P$4:P264))</f>
        <v>625.09890674734106</v>
      </c>
      <c r="R264" s="178" t="str">
        <f t="shared" si="460"/>
        <v/>
      </c>
      <c r="S264" s="178">
        <f>IF($J264="",#N/A,SUM($R$4:R264))</f>
        <v>110.54389215047578</v>
      </c>
      <c r="T264" s="290">
        <f t="shared" si="461"/>
        <v>0.7583715304303541</v>
      </c>
      <c r="U264" s="290">
        <f>IF($J264="",#N/A,SUM($T$4:T264))</f>
        <v>17.87231344919687</v>
      </c>
      <c r="V264" s="291" t="str">
        <f t="shared" si="462"/>
        <v/>
      </c>
      <c r="W264" s="291">
        <f>IF($J264="",#N/A,SUM($V$4:V264))</f>
        <v>26.009315647905048</v>
      </c>
      <c r="X264" s="292" t="str">
        <f t="shared" si="463"/>
        <v/>
      </c>
      <c r="Y264" s="292">
        <f>IF($J264="",#N/A,SUM($X$4:X264))</f>
        <v>4.1950534757884856</v>
      </c>
      <c r="Z264" s="304" t="str">
        <f t="shared" si="464"/>
        <v/>
      </c>
      <c r="AA264" s="313" t="e">
        <f>IF($J264="",#N/A,SUM(Z$4:Z264))</f>
        <v>#N/A</v>
      </c>
      <c r="AB264" s="314" t="str">
        <f t="shared" si="465"/>
        <v/>
      </c>
      <c r="AC264" s="314" t="e">
        <f>IF($J264="",#N/A,SUM(AB$4:AB264))</f>
        <v>#N/A</v>
      </c>
      <c r="AD264" s="315" t="str">
        <f t="shared" si="466"/>
        <v/>
      </c>
      <c r="AE264" s="315" t="e">
        <f>IF($J264="",#N/A,SUM(AD$4:AD264))</f>
        <v>#N/A</v>
      </c>
      <c r="AF264" s="315" t="e">
        <f>IF($J264="",#N/A,SUM(AD$4:AD264,AB$4:AB264,Z$4:Z264))</f>
        <v>#N/A</v>
      </c>
      <c r="AG264" s="304">
        <f t="shared" si="467"/>
        <v>0.7583715304303541</v>
      </c>
      <c r="AH264" s="313" t="e">
        <f>IF($J264="",#N/A,SUM(AG$4:AG264))</f>
        <v>#N/A</v>
      </c>
      <c r="AI264" s="314" t="str">
        <f t="shared" si="468"/>
        <v/>
      </c>
      <c r="AJ264" s="314" t="e">
        <f>IF($J264="",#N/A,SUM(AI$4:AI264))</f>
        <v>#N/A</v>
      </c>
      <c r="AK264" s="315" t="str">
        <f t="shared" si="469"/>
        <v/>
      </c>
      <c r="AL264" s="315" t="e">
        <f>IF($J264="",#N/A,SUM(AK$4:AK264))</f>
        <v>#N/A</v>
      </c>
      <c r="AM264" s="315" t="e">
        <f>IF($J264="",#N/A,SUM(AK$4:AK264,AI$4:AI264,AG$4:AG264))</f>
        <v>#N/A</v>
      </c>
      <c r="AN264" s="304" t="str">
        <f t="shared" si="470"/>
        <v/>
      </c>
      <c r="AO264" s="313" t="e">
        <f>IF($J264="",#N/A,SUM(AN$4:AN264))</f>
        <v>#N/A</v>
      </c>
      <c r="AP264" s="314" t="str">
        <f t="shared" si="471"/>
        <v/>
      </c>
      <c r="AQ264" s="314" t="e">
        <f>IF($J264="",#N/A,SUM(AP$4:AP264))</f>
        <v>#N/A</v>
      </c>
      <c r="AR264" s="315" t="str">
        <f t="shared" si="472"/>
        <v/>
      </c>
      <c r="AS264" s="315" t="e">
        <f>IF($J264="",#N/A,SUM(AR$4:AR264))</f>
        <v>#N/A</v>
      </c>
      <c r="AT264" s="315" t="e">
        <f>IF($J264="",#N/A,SUM(AR$4:AR264,AP$4:AP264,AN$4:AN264))</f>
        <v>#N/A</v>
      </c>
      <c r="AU264" s="304" t="str">
        <f t="shared" si="473"/>
        <v/>
      </c>
      <c r="AV264" s="313" t="e">
        <f>IF($J264="",#N/A,SUM(AU$4:AU264))</f>
        <v>#N/A</v>
      </c>
      <c r="AW264" s="314" t="str">
        <f t="shared" si="474"/>
        <v/>
      </c>
      <c r="AX264" s="314" t="e">
        <f>IF($J264="",#N/A,SUM(AW$4:AW264))</f>
        <v>#N/A</v>
      </c>
      <c r="AY264" s="315" t="str">
        <f t="shared" si="475"/>
        <v/>
      </c>
      <c r="AZ264" s="315" t="e">
        <f>IF($J264="",#N/A,SUM(AY$4:AY264))</f>
        <v>#N/A</v>
      </c>
      <c r="BA264" s="315" t="e">
        <f>IF($J264="",#N/A,SUM(AY$4:AY264,AW$4:AW264,AU$4:AU264))</f>
        <v>#N/A</v>
      </c>
      <c r="BB264" s="304" t="str">
        <f t="shared" si="476"/>
        <v/>
      </c>
      <c r="BC264" s="313" t="e">
        <f>IF($J264="",#N/A,SUM(BB$4:BB264))</f>
        <v>#N/A</v>
      </c>
      <c r="BD264" s="314" t="str">
        <f t="shared" si="477"/>
        <v/>
      </c>
      <c r="BE264" s="314" t="e">
        <f>IF($J264="",#N/A,SUM(BD$4:BD264))</f>
        <v>#N/A</v>
      </c>
      <c r="BF264" s="315" t="str">
        <f t="shared" si="478"/>
        <v/>
      </c>
      <c r="BG264" s="315" t="e">
        <f>IF($J264="",#N/A,SUM(BF$4:BF264))</f>
        <v>#N/A</v>
      </c>
      <c r="BH264" s="315" t="e">
        <f>IF($J264="",#N/A,SUM(BF$4:BF264,BD$4:BD264,BB$4:BB264))</f>
        <v>#N/A</v>
      </c>
      <c r="BI264" s="304" t="str">
        <f t="shared" si="479"/>
        <v/>
      </c>
      <c r="BJ264" s="313" t="e">
        <f>IF($J264="",#N/A,SUM(BI$4:BI264))</f>
        <v>#N/A</v>
      </c>
      <c r="BK264" s="314" t="str">
        <f t="shared" si="480"/>
        <v/>
      </c>
      <c r="BL264" s="314" t="e">
        <f>IF($J264="",#N/A,SUM(BK$4:BK264))</f>
        <v>#N/A</v>
      </c>
      <c r="BM264" s="315" t="str">
        <f t="shared" si="481"/>
        <v/>
      </c>
      <c r="BN264" s="315" t="e">
        <f>IF($J264="",#N/A,SUM(BM$4:BM264))</f>
        <v>#N/A</v>
      </c>
      <c r="BO264" s="315" t="e">
        <f>IF($J264="",#N/A,SUM(BM$4:BM264,BK$4:BK264,BI$4:BI264))</f>
        <v>#N/A</v>
      </c>
      <c r="BP264" s="304" t="str">
        <f t="shared" si="482"/>
        <v/>
      </c>
      <c r="BQ264" s="313" t="e">
        <f>IF($J264="",#N/A,SUM(BP$4:BP264))</f>
        <v>#N/A</v>
      </c>
      <c r="BR264" s="314" t="str">
        <f t="shared" si="483"/>
        <v/>
      </c>
      <c r="BS264" s="314" t="e">
        <f>IF($J264="",#N/A,SUM(BR$4:BR264))</f>
        <v>#N/A</v>
      </c>
      <c r="BT264" s="315" t="str">
        <f t="shared" si="484"/>
        <v/>
      </c>
      <c r="BU264" s="315" t="e">
        <f>IF($J264="",#N/A,SUM(BT$4:BT264))</f>
        <v>#N/A</v>
      </c>
      <c r="BV264" s="315" t="e">
        <f>IF($J264="",#N/A,SUM(BT$4:BT264,BR$4:BR264,BP$4:BP264))</f>
        <v>#N/A</v>
      </c>
      <c r="BW264" s="304" t="str">
        <f t="shared" si="485"/>
        <v/>
      </c>
      <c r="BX264" s="313" t="e">
        <f>IF($J264="",#N/A,SUM(BW$4:BW264))</f>
        <v>#N/A</v>
      </c>
      <c r="BY264" s="314" t="str">
        <f t="shared" si="486"/>
        <v/>
      </c>
      <c r="BZ264" s="314" t="e">
        <f>IF($J264="",#N/A,SUM(BY$4:BY264))</f>
        <v>#N/A</v>
      </c>
      <c r="CA264" s="315" t="str">
        <f t="shared" si="487"/>
        <v/>
      </c>
      <c r="CB264" s="315" t="e">
        <f>IF($J264="",#N/A,SUM(CA$4:CA264))</f>
        <v>#N/A</v>
      </c>
      <c r="CC264" s="315" t="e">
        <f>IF($J264="",#N/A,SUM(CA$4:CA264,BY$4:BY264,BW$4:BW264))</f>
        <v>#N/A</v>
      </c>
      <c r="CD264" s="304" t="str">
        <f t="shared" si="488"/>
        <v/>
      </c>
      <c r="CE264" s="313" t="e">
        <f>IF($J264="",#N/A,SUM(CD$4:CD264))</f>
        <v>#N/A</v>
      </c>
      <c r="CF264" s="314" t="str">
        <f t="shared" si="489"/>
        <v/>
      </c>
      <c r="CG264" s="314" t="e">
        <f>IF($J264="",#N/A,SUM(CF$4:CF264))</f>
        <v>#N/A</v>
      </c>
      <c r="CH264" s="315" t="str">
        <f t="shared" si="490"/>
        <v/>
      </c>
      <c r="CI264" s="315" t="e">
        <f>IF($J264="",#N/A,SUM(CH$4:CH264))</f>
        <v>#N/A</v>
      </c>
      <c r="CJ264" s="315" t="e">
        <f>IF($J264="",#N/A,SUM(CH$4:CH264,CF$4:CF264,CD$4:CD264))</f>
        <v>#N/A</v>
      </c>
      <c r="CK264" s="304" t="str">
        <f t="shared" si="491"/>
        <v/>
      </c>
      <c r="CL264" s="313" t="e">
        <f>IF($J264="",#N/A,SUM(CK$4:CK264))</f>
        <v>#N/A</v>
      </c>
      <c r="CM264" s="314" t="str">
        <f t="shared" si="492"/>
        <v/>
      </c>
      <c r="CN264" s="314" t="e">
        <f>IF($J264="",#N/A,SUM(CM$4:CM264))</f>
        <v>#N/A</v>
      </c>
      <c r="CO264" s="315" t="str">
        <f t="shared" si="493"/>
        <v/>
      </c>
      <c r="CP264" s="315" t="e">
        <f>IF($J264="",#N/A,SUM(CO$4:CO264))</f>
        <v>#N/A</v>
      </c>
      <c r="CQ264" s="315" t="e">
        <f>IF($J264="",#N/A,SUM(CO$4:CO264,CM$4:CM264,CK$4:CK264))</f>
        <v>#N/A</v>
      </c>
      <c r="CR264" s="304" t="str">
        <f t="shared" si="494"/>
        <v/>
      </c>
      <c r="CS264" s="313" t="e">
        <f>IF($J264="",#N/A,SUM(CR$4:CR264))</f>
        <v>#N/A</v>
      </c>
      <c r="CT264" s="314" t="str">
        <f t="shared" si="495"/>
        <v/>
      </c>
      <c r="CU264" s="314" t="e">
        <f>IF($J264="",#N/A,SUM(CT$4:CT264))</f>
        <v>#N/A</v>
      </c>
      <c r="CV264" s="315" t="str">
        <f t="shared" si="496"/>
        <v/>
      </c>
      <c r="CW264" s="315" t="e">
        <f>IF($J264="",#N/A,SUM(CV$4:CV264))</f>
        <v>#N/A</v>
      </c>
      <c r="CX264" s="315" t="e">
        <f>IF($J264="",#N/A,SUM(CV$4:CV264,CT$4:CT264,CR$4:CR264))</f>
        <v>#N/A</v>
      </c>
      <c r="CY264" s="304" t="str">
        <f t="shared" si="497"/>
        <v/>
      </c>
      <c r="CZ264" s="313" t="e">
        <f>IF($J264="",#N/A,SUM(CY$4:CY264))</f>
        <v>#N/A</v>
      </c>
      <c r="DA264" s="314" t="str">
        <f t="shared" si="498"/>
        <v/>
      </c>
      <c r="DB264" s="314" t="e">
        <f>IF($J264="",#N/A,SUM(DA$4:DA264))</f>
        <v>#N/A</v>
      </c>
      <c r="DC264" s="315" t="str">
        <f t="shared" si="499"/>
        <v/>
      </c>
      <c r="DD264" s="315" t="e">
        <f>IF($J264="",#N/A,SUM(DC$4:DC264))</f>
        <v>#N/A</v>
      </c>
      <c r="DE264" s="315" t="e">
        <f>IF($J264="",#N/A,SUM(DC$4:DC264,DA$4:DA264,CY$4:CY264))</f>
        <v>#N/A</v>
      </c>
      <c r="DF264" s="304" t="str">
        <f t="shared" si="500"/>
        <v/>
      </c>
      <c r="DG264" s="313" t="e">
        <f>IF($J264="",#N/A,SUM(DF$4:DF264))</f>
        <v>#N/A</v>
      </c>
      <c r="DH264" s="314" t="str">
        <f t="shared" si="501"/>
        <v/>
      </c>
      <c r="DI264" s="314" t="e">
        <f>IF($J264="",#N/A,SUM(DH$4:DH264))</f>
        <v>#N/A</v>
      </c>
      <c r="DJ264" s="315" t="str">
        <f t="shared" si="502"/>
        <v/>
      </c>
      <c r="DK264" s="315" t="e">
        <f>IF($J264="",#N/A,SUM(DJ$4:DJ264))</f>
        <v>#N/A</v>
      </c>
      <c r="DL264" s="315" t="e">
        <f>IF($J264="",#N/A,SUM(DJ$4:DJ264,DH$4:DH264,DF$4:DF264))</f>
        <v>#N/A</v>
      </c>
      <c r="DM264" s="304" t="str">
        <f t="shared" si="503"/>
        <v/>
      </c>
      <c r="DN264" s="313" t="e">
        <f>IF($J264="",#N/A,SUM(DM$4:DM264))</f>
        <v>#N/A</v>
      </c>
      <c r="DO264" s="314" t="str">
        <f t="shared" si="504"/>
        <v/>
      </c>
      <c r="DP264" s="314" t="e">
        <f>IF($J264="",#N/A,SUM(DO$4:DO264))</f>
        <v>#N/A</v>
      </c>
      <c r="DQ264" s="315" t="str">
        <f t="shared" si="505"/>
        <v/>
      </c>
      <c r="DR264" s="315" t="e">
        <f>IF($J264="",#N/A,SUM(DQ$4:DQ264))</f>
        <v>#N/A</v>
      </c>
      <c r="DS264" s="315" t="e">
        <f>IF($J264="",#N/A,SUM(DQ$4:DQ264,DO$4:DO264,DM$4:DM264))</f>
        <v>#N/A</v>
      </c>
      <c r="DT264" s="304" t="str">
        <f t="shared" si="506"/>
        <v/>
      </c>
      <c r="DU264" s="313" t="e">
        <f>IF($J264="",#N/A,SUM(DT$4:DT264))</f>
        <v>#N/A</v>
      </c>
      <c r="DV264" s="314" t="str">
        <f t="shared" si="507"/>
        <v/>
      </c>
      <c r="DW264" s="314" t="e">
        <f>IF($J264="",#N/A,SUM(DV$4:DV264))</f>
        <v>#N/A</v>
      </c>
      <c r="DX264" s="315" t="str">
        <f t="shared" si="508"/>
        <v/>
      </c>
      <c r="DY264" s="315" t="e">
        <f>IF($J264="",#N/A,SUM(DX$4:DX264))</f>
        <v>#N/A</v>
      </c>
      <c r="DZ264" s="315" t="e">
        <f>IF($J264="",#N/A,SUM(DX$4:DX264,DV$4:DV264,DT$4:DT264))</f>
        <v>#N/A</v>
      </c>
      <c r="EA264" s="304" t="str">
        <f t="shared" si="509"/>
        <v/>
      </c>
      <c r="EB264" s="313" t="e">
        <f>IF($J264="",#N/A,SUM(EA$4:EA264))</f>
        <v>#N/A</v>
      </c>
      <c r="EC264" s="314" t="str">
        <f t="shared" si="510"/>
        <v/>
      </c>
      <c r="ED264" s="314" t="e">
        <f>IF($J264="",#N/A,SUM(EC$4:EC264))</f>
        <v>#N/A</v>
      </c>
      <c r="EE264" s="315" t="str">
        <f t="shared" si="511"/>
        <v/>
      </c>
      <c r="EF264" s="315" t="e">
        <f>IF($J264="",#N/A,SUM(EE$4:EE264))</f>
        <v>#N/A</v>
      </c>
      <c r="EG264" s="315" t="e">
        <f>IF($J264="",#N/A,SUM(EE$4:EE264,EC$4:EC264,EA$4:EA264))</f>
        <v>#N/A</v>
      </c>
      <c r="EH264" s="130">
        <f t="shared" si="512"/>
        <v>19.060000000000002</v>
      </c>
      <c r="EI264" s="63">
        <f>IF(EH264="",#N/A,SUM($EH$4:EH264))</f>
        <v>1205.067915045629</v>
      </c>
      <c r="EJ264" s="223" t="e">
        <f t="shared" si="513"/>
        <v>#N/A</v>
      </c>
      <c r="EK264" s="63" t="e">
        <f>IF($GZ264="",#N/A,SUM(EJ$4:EJ264))</f>
        <v>#N/A</v>
      </c>
      <c r="EL264" s="60">
        <f t="shared" si="544"/>
        <v>0.7583715304303541</v>
      </c>
      <c r="EM264" s="60">
        <f>IF(EL264="",NA(),SUM($EL$4:EL264))</f>
        <v>38.625047364548927</v>
      </c>
      <c r="EN264" s="60">
        <f t="shared" si="514"/>
        <v>0.7583715304303541</v>
      </c>
      <c r="EO264" s="60">
        <f>IF(EN264="",NA(),SUM($EN$4:EN264))</f>
        <v>15.915606624546148</v>
      </c>
      <c r="EP264" s="60" t="str">
        <f t="shared" si="515"/>
        <v/>
      </c>
      <c r="EQ264" s="60" t="e">
        <f>IF(EP264="",NA(),SUM($EP$4:EP264))</f>
        <v>#N/A</v>
      </c>
      <c r="ER264" s="60" t="str">
        <f t="shared" si="516"/>
        <v/>
      </c>
      <c r="ES264" s="60" t="e">
        <f>IF(ER264="",NA(),SUM($ER$4:ER264))</f>
        <v>#N/A</v>
      </c>
      <c r="ET264" s="60" t="str">
        <f t="shared" si="517"/>
        <v/>
      </c>
      <c r="EU264" s="60" t="e">
        <f>IF(ET264="",NA(),SUM($ET$4:ET264))</f>
        <v>#N/A</v>
      </c>
      <c r="EV264" s="60" t="str">
        <f t="shared" si="518"/>
        <v/>
      </c>
      <c r="EW264" s="60" t="e">
        <f>IF(EV264="",NA(),SUM($EV$4:EV264))</f>
        <v>#N/A</v>
      </c>
      <c r="EX264" s="60" t="str">
        <f t="shared" si="519"/>
        <v/>
      </c>
      <c r="EY264" s="60" t="e">
        <f>IF(EX264="",NA(),SUM($EX$4:EX264))</f>
        <v>#N/A</v>
      </c>
      <c r="EZ264" s="60" t="str">
        <f t="shared" si="520"/>
        <v/>
      </c>
      <c r="FA264" s="60" t="e">
        <f>IF(EZ264="",NA(),SUM($EZ$4:EZ264))</f>
        <v>#N/A</v>
      </c>
      <c r="FB264" s="246" t="str">
        <f t="shared" si="545"/>
        <v/>
      </c>
      <c r="FC264" s="246" t="e">
        <f>IF($FB264="",#N/A,SUM(FB$4:$FB264))</f>
        <v>#N/A</v>
      </c>
      <c r="FD264" s="60" t="str">
        <f t="shared" si="521"/>
        <v/>
      </c>
      <c r="FE264" s="60" t="e">
        <f>IF($FD264="",#N/A,SUM($FD$4:FD264))</f>
        <v>#N/A</v>
      </c>
      <c r="FF264" s="60">
        <f t="shared" si="522"/>
        <v>-0.29045709192768066</v>
      </c>
      <c r="FG264" s="60">
        <f>IF($FF264="",#N/A,SUM($FF$4:FF264))</f>
        <v>-4.4711046794014662</v>
      </c>
      <c r="FH264" s="60" t="str">
        <f t="shared" si="523"/>
        <v/>
      </c>
      <c r="FI264" s="60" t="e">
        <f>IF($FH264="",#N/A,SUM($FH$4:FH264))</f>
        <v>#N/A</v>
      </c>
      <c r="FJ264" s="60" t="str">
        <f t="shared" si="524"/>
        <v/>
      </c>
      <c r="FK264" s="60" t="e">
        <f>IF($FJ264="",#N/A,SUM($FJ$4:FJ264))</f>
        <v>#N/A</v>
      </c>
      <c r="FL264" s="60" t="str">
        <f t="shared" si="525"/>
        <v/>
      </c>
      <c r="FM264" s="60" t="e">
        <f>IF($FL264="",#N/A,SUM($FL$4:FL264))</f>
        <v>#N/A</v>
      </c>
      <c r="FN264" s="82">
        <f t="shared" si="526"/>
        <v>0.46791443850267345</v>
      </c>
      <c r="FO264" s="82">
        <f>IF($FN264="",#N/A,SUM(FN$4:$FN264))</f>
        <v>47.002476109910745</v>
      </c>
      <c r="FP264" s="82">
        <f t="shared" si="546"/>
        <v>0.7583715304303541</v>
      </c>
      <c r="FQ264" s="246">
        <f>IF($EH264="",#N/A,SUM($FP$4:FP264))</f>
        <v>48.076682572890384</v>
      </c>
      <c r="FR264" s="82">
        <f>IFERROR(FQ264/COUNTA($J$4:J264),#N/A)</f>
        <v>0.18420184893827735</v>
      </c>
      <c r="FS264" s="82">
        <f t="shared" si="448"/>
        <v>0.28380156668793133</v>
      </c>
      <c r="FT264" s="82">
        <f t="shared" si="449"/>
        <v>0.20204674218204077</v>
      </c>
      <c r="FU264" s="337">
        <f t="shared" si="547"/>
        <v>22.474892753886216</v>
      </c>
      <c r="FV264" s="57" t="str">
        <f t="shared" si="527"/>
        <v>Up</v>
      </c>
      <c r="FW264" s="57" t="s">
        <v>2733</v>
      </c>
      <c r="FX264" s="57">
        <f t="shared" si="528"/>
        <v>1</v>
      </c>
      <c r="FY264" s="57" t="str">
        <f t="shared" si="529"/>
        <v/>
      </c>
      <c r="FZ264" s="57" t="str">
        <f t="shared" si="530"/>
        <v/>
      </c>
      <c r="GA264" s="57" t="str">
        <f t="shared" si="531"/>
        <v>Long</v>
      </c>
      <c r="GB264" s="57" t="str">
        <f t="shared" si="532"/>
        <v/>
      </c>
      <c r="GC264" s="57" t="str">
        <f t="shared" si="533"/>
        <v/>
      </c>
      <c r="GD264" s="57" t="str">
        <f t="shared" si="534"/>
        <v/>
      </c>
      <c r="GE264" s="62">
        <f t="shared" si="451"/>
        <v>104.72</v>
      </c>
      <c r="GF264" s="62" t="s">
        <v>2779</v>
      </c>
      <c r="GG264" s="199">
        <v>4</v>
      </c>
      <c r="GH264" s="207">
        <f t="shared" si="535"/>
        <v>418.88</v>
      </c>
      <c r="GI264" s="199">
        <v>4</v>
      </c>
      <c r="GJ264" s="200">
        <v>109.6</v>
      </c>
      <c r="GK264" s="63">
        <f t="shared" si="536"/>
        <v>19.519999999999982</v>
      </c>
      <c r="GL264" s="63">
        <f t="shared" si="452"/>
        <v>11.759999999999991</v>
      </c>
      <c r="GM264" s="82" t="str">
        <f t="shared" si="537"/>
        <v/>
      </c>
      <c r="GN264" s="82">
        <f>IF($GZ264="",#N/A,SUM(GM$4:GM264))</f>
        <v>-2.645815058160407</v>
      </c>
      <c r="GO264" s="82">
        <f t="shared" si="538"/>
        <v>0.46791443850267345</v>
      </c>
      <c r="GP264" s="82">
        <f>IF($GZ264="",#N/A,SUM(GO$4:GO264))</f>
        <v>15.483108400264154</v>
      </c>
      <c r="GQ264" s="82" t="str">
        <f t="shared" si="539"/>
        <v/>
      </c>
      <c r="GR264" s="82">
        <f>IF($GZ264="",#N/A,SUM(GQ$4:GQ264))</f>
        <v>33.539345813364669</v>
      </c>
      <c r="GS264" s="63" t="str">
        <f t="shared" si="548"/>
        <v/>
      </c>
      <c r="GT264" s="63" t="e">
        <f>IF($GZ264="",#N/A,SUM(GS$4:GS264))</f>
        <v>#N/A</v>
      </c>
      <c r="GU264" s="63" t="e">
        <f t="shared" si="549"/>
        <v>#N/A</v>
      </c>
      <c r="GV264" s="63" t="e">
        <f>IF($GZ264="",#N/A,SUM(GU$4:GU264))</f>
        <v>#N/A</v>
      </c>
      <c r="GW264" s="63" t="str">
        <f t="shared" si="550"/>
        <v/>
      </c>
      <c r="GX264" s="63" t="e">
        <f>IF($GZ264="",#N/A,SUM(GW$4:GW264))</f>
        <v>#N/A</v>
      </c>
      <c r="GY264" s="63" t="e">
        <f>IF(EJ264="",#N/A,SUM($EJ$4:EJ264))</f>
        <v>#N/A</v>
      </c>
      <c r="GZ264" s="159">
        <v>107.66</v>
      </c>
      <c r="HA264" s="63">
        <f t="shared" si="540"/>
        <v>-7.3000000000000114</v>
      </c>
      <c r="HB264" s="62" t="s">
        <v>2538</v>
      </c>
      <c r="HC264" s="60">
        <f>IFERROR(VLOOKUP(E264,Expectancy!$P$4:$S$19,1+C264,FALSE),"")</f>
        <v>1.0051961559281768</v>
      </c>
      <c r="HD264" s="82">
        <f t="shared" si="541"/>
        <v>0.77667430608607013</v>
      </c>
      <c r="HE264" s="138">
        <f>IF(HD264="",#N/A,SUM($HD$4:HD264))</f>
        <v>11.071789819004168</v>
      </c>
      <c r="HF264" s="85">
        <f>IF(HD264="",#N/A,IF(HB264="Skip",#N/A,SUM($HG$4:HG264)))</f>
        <v>285.3015691991144</v>
      </c>
      <c r="HG264" s="63">
        <f t="shared" si="542"/>
        <v>19.519999999999982</v>
      </c>
      <c r="HH264" s="82">
        <f t="shared" si="543"/>
        <v>0.46791443850267345</v>
      </c>
    </row>
    <row r="265" spans="1:216" x14ac:dyDescent="0.25">
      <c r="A265" s="57" t="s">
        <v>245</v>
      </c>
      <c r="B265" s="58" t="s">
        <v>5154</v>
      </c>
      <c r="C265" s="386">
        <f t="shared" si="453"/>
        <v>2</v>
      </c>
      <c r="D265" s="372" t="str">
        <f>_xlfn.XLOOKUP(A265,[1]SP500!$A$2:$A$502,[1]SP500!$D$2:$D$502,"N")</f>
        <v>Y</v>
      </c>
      <c r="E265" s="57" t="str">
        <f>_xlfn.XLOOKUP(A265,[1]SP500!$A$2:$A$655,[1]SP500!$B$2:$B$655)</f>
        <v>SMH</v>
      </c>
      <c r="F265" s="59">
        <v>45694</v>
      </c>
      <c r="G265" s="57" t="str">
        <f t="shared" si="454"/>
        <v>AMC</v>
      </c>
      <c r="H265" s="57" t="str">
        <f t="shared" si="455"/>
        <v>s</v>
      </c>
      <c r="I265" s="159">
        <v>53.11</v>
      </c>
      <c r="J265" s="159">
        <v>52.26</v>
      </c>
      <c r="K265" s="61">
        <f t="shared" si="456"/>
        <v>-1.6004518922990048E-2</v>
      </c>
      <c r="L265" s="87">
        <f t="shared" si="457"/>
        <v>6.8000000000000114</v>
      </c>
      <c r="M265" s="130">
        <f t="shared" si="450"/>
        <v>0</v>
      </c>
      <c r="N265" s="169" t="str">
        <f t="shared" si="458"/>
        <v/>
      </c>
      <c r="O265" s="169">
        <f>IF($J265="",#N/A,SUM($N$4:N265))</f>
        <v>469.42511614781222</v>
      </c>
      <c r="P265" s="174">
        <f t="shared" si="459"/>
        <v>6.8000000000000114</v>
      </c>
      <c r="Q265" s="174">
        <f>IF($J265="",#N/A,SUM($P$4:P265))</f>
        <v>631.89890674734102</v>
      </c>
      <c r="R265" s="178" t="str">
        <f t="shared" si="460"/>
        <v/>
      </c>
      <c r="S265" s="178">
        <f>IF($J265="",#N/A,SUM($R$4:R265))</f>
        <v>110.54389215047578</v>
      </c>
      <c r="T265" s="290" t="str">
        <f t="shared" si="461"/>
        <v/>
      </c>
      <c r="U265" s="290">
        <f>IF($J265="",#N/A,SUM($T$4:T265))</f>
        <v>17.87231344919687</v>
      </c>
      <c r="V265" s="291">
        <f t="shared" si="462"/>
        <v>0.26674198204983413</v>
      </c>
      <c r="W265" s="291">
        <f>IF($J265="",#N/A,SUM($V$4:V265))</f>
        <v>26.276057629954881</v>
      </c>
      <c r="X265" s="292" t="str">
        <f t="shared" si="463"/>
        <v/>
      </c>
      <c r="Y265" s="292">
        <f>IF($J265="",#N/A,SUM($X$4:X265))</f>
        <v>4.1950534757884856</v>
      </c>
      <c r="Z265" s="304" t="str">
        <f t="shared" si="464"/>
        <v/>
      </c>
      <c r="AA265" s="313" t="e">
        <f>IF($J265="",#N/A,SUM(Z$4:Z265))</f>
        <v>#N/A</v>
      </c>
      <c r="AB265" s="314" t="str">
        <f t="shared" si="465"/>
        <v/>
      </c>
      <c r="AC265" s="314" t="e">
        <f>IF($J265="",#N/A,SUM(AB$4:AB265))</f>
        <v>#N/A</v>
      </c>
      <c r="AD265" s="315" t="str">
        <f t="shared" si="466"/>
        <v/>
      </c>
      <c r="AE265" s="315" t="e">
        <f>IF($J265="",#N/A,SUM(AD$4:AD265))</f>
        <v>#N/A</v>
      </c>
      <c r="AF265" s="315" t="e">
        <f>IF($J265="",#N/A,SUM(AD$4:AD265,AB$4:AB265,Z$4:Z265))</f>
        <v>#N/A</v>
      </c>
      <c r="AG265" s="304" t="str">
        <f t="shared" si="467"/>
        <v/>
      </c>
      <c r="AH265" s="313" t="e">
        <f>IF($J265="",#N/A,SUM(AG$4:AG265))</f>
        <v>#N/A</v>
      </c>
      <c r="AI265" s="314" t="str">
        <f t="shared" si="468"/>
        <v/>
      </c>
      <c r="AJ265" s="314" t="e">
        <f>IF($J265="",#N/A,SUM(AI$4:AI265))</f>
        <v>#N/A</v>
      </c>
      <c r="AK265" s="315" t="str">
        <f t="shared" si="469"/>
        <v/>
      </c>
      <c r="AL265" s="315" t="e">
        <f>IF($J265="",#N/A,SUM(AK$4:AK265))</f>
        <v>#N/A</v>
      </c>
      <c r="AM265" s="315" t="e">
        <f>IF($J265="",#N/A,SUM(AK$4:AK265,AI$4:AI265,AG$4:AG265))</f>
        <v>#N/A</v>
      </c>
      <c r="AN265" s="304" t="str">
        <f t="shared" si="470"/>
        <v/>
      </c>
      <c r="AO265" s="313" t="e">
        <f>IF($J265="",#N/A,SUM(AN$4:AN265))</f>
        <v>#N/A</v>
      </c>
      <c r="AP265" s="314" t="str">
        <f t="shared" si="471"/>
        <v/>
      </c>
      <c r="AQ265" s="314" t="e">
        <f>IF($J265="",#N/A,SUM(AP$4:AP265))</f>
        <v>#N/A</v>
      </c>
      <c r="AR265" s="315" t="str">
        <f t="shared" si="472"/>
        <v/>
      </c>
      <c r="AS265" s="315" t="e">
        <f>IF($J265="",#N/A,SUM(AR$4:AR265))</f>
        <v>#N/A</v>
      </c>
      <c r="AT265" s="315" t="e">
        <f>IF($J265="",#N/A,SUM(AR$4:AR265,AP$4:AP265,AN$4:AN265))</f>
        <v>#N/A</v>
      </c>
      <c r="AU265" s="304" t="str">
        <f t="shared" si="473"/>
        <v/>
      </c>
      <c r="AV265" s="313" t="e">
        <f>IF($J265="",#N/A,SUM(AU$4:AU265))</f>
        <v>#N/A</v>
      </c>
      <c r="AW265" s="314" t="str">
        <f t="shared" si="474"/>
        <v/>
      </c>
      <c r="AX265" s="314" t="e">
        <f>IF($J265="",#N/A,SUM(AW$4:AW265))</f>
        <v>#N/A</v>
      </c>
      <c r="AY265" s="315" t="str">
        <f t="shared" si="475"/>
        <v/>
      </c>
      <c r="AZ265" s="315" t="e">
        <f>IF($J265="",#N/A,SUM(AY$4:AY265))</f>
        <v>#N/A</v>
      </c>
      <c r="BA265" s="315" t="e">
        <f>IF($J265="",#N/A,SUM(AY$4:AY265,AW$4:AW265,AU$4:AU265))</f>
        <v>#N/A</v>
      </c>
      <c r="BB265" s="304" t="str">
        <f t="shared" si="476"/>
        <v/>
      </c>
      <c r="BC265" s="313" t="e">
        <f>IF($J265="",#N/A,SUM(BB$4:BB265))</f>
        <v>#N/A</v>
      </c>
      <c r="BD265" s="314" t="str">
        <f t="shared" si="477"/>
        <v/>
      </c>
      <c r="BE265" s="314" t="e">
        <f>IF($J265="",#N/A,SUM(BD$4:BD265))</f>
        <v>#N/A</v>
      </c>
      <c r="BF265" s="315" t="str">
        <f t="shared" si="478"/>
        <v/>
      </c>
      <c r="BG265" s="315" t="e">
        <f>IF($J265="",#N/A,SUM(BF$4:BF265))</f>
        <v>#N/A</v>
      </c>
      <c r="BH265" s="315" t="e">
        <f>IF($J265="",#N/A,SUM(BF$4:BF265,BD$4:BD265,BB$4:BB265))</f>
        <v>#N/A</v>
      </c>
      <c r="BI265" s="304" t="str">
        <f t="shared" si="479"/>
        <v/>
      </c>
      <c r="BJ265" s="313" t="e">
        <f>IF($J265="",#N/A,SUM(BI$4:BI265))</f>
        <v>#N/A</v>
      </c>
      <c r="BK265" s="314" t="str">
        <f t="shared" si="480"/>
        <v/>
      </c>
      <c r="BL265" s="314" t="e">
        <f>IF($J265="",#N/A,SUM(BK$4:BK265))</f>
        <v>#N/A</v>
      </c>
      <c r="BM265" s="315" t="str">
        <f t="shared" si="481"/>
        <v/>
      </c>
      <c r="BN265" s="315" t="e">
        <f>IF($J265="",#N/A,SUM(BM$4:BM265))</f>
        <v>#N/A</v>
      </c>
      <c r="BO265" s="315" t="e">
        <f>IF($J265="",#N/A,SUM(BM$4:BM265,BK$4:BK265,BI$4:BI265))</f>
        <v>#N/A</v>
      </c>
      <c r="BP265" s="304" t="str">
        <f t="shared" si="482"/>
        <v/>
      </c>
      <c r="BQ265" s="313" t="e">
        <f>IF($J265="",#N/A,SUM(BP$4:BP265))</f>
        <v>#N/A</v>
      </c>
      <c r="BR265" s="314" t="str">
        <f t="shared" si="483"/>
        <v/>
      </c>
      <c r="BS265" s="314" t="e">
        <f>IF($J265="",#N/A,SUM(BR$4:BR265))</f>
        <v>#N/A</v>
      </c>
      <c r="BT265" s="315" t="str">
        <f t="shared" si="484"/>
        <v/>
      </c>
      <c r="BU265" s="315" t="e">
        <f>IF($J265="",#N/A,SUM(BT$4:BT265))</f>
        <v>#N/A</v>
      </c>
      <c r="BV265" s="315" t="e">
        <f>IF($J265="",#N/A,SUM(BT$4:BT265,BR$4:BR265,BP$4:BP265))</f>
        <v>#N/A</v>
      </c>
      <c r="BW265" s="304" t="str">
        <f t="shared" si="485"/>
        <v/>
      </c>
      <c r="BX265" s="313" t="e">
        <f>IF($J265="",#N/A,SUM(BW$4:BW265))</f>
        <v>#N/A</v>
      </c>
      <c r="BY265" s="314" t="str">
        <f t="shared" si="486"/>
        <v/>
      </c>
      <c r="BZ265" s="314" t="e">
        <f>IF($J265="",#N/A,SUM(BY$4:BY265))</f>
        <v>#N/A</v>
      </c>
      <c r="CA265" s="315" t="str">
        <f t="shared" si="487"/>
        <v/>
      </c>
      <c r="CB265" s="315" t="e">
        <f>IF($J265="",#N/A,SUM(CA$4:CA265))</f>
        <v>#N/A</v>
      </c>
      <c r="CC265" s="315" t="e">
        <f>IF($J265="",#N/A,SUM(CA$4:CA265,BY$4:BY265,BW$4:BW265))</f>
        <v>#N/A</v>
      </c>
      <c r="CD265" s="304" t="str">
        <f t="shared" si="488"/>
        <v/>
      </c>
      <c r="CE265" s="313" t="e">
        <f>IF($J265="",#N/A,SUM(CD$4:CD265))</f>
        <v>#N/A</v>
      </c>
      <c r="CF265" s="314" t="str">
        <f t="shared" si="489"/>
        <v/>
      </c>
      <c r="CG265" s="314" t="e">
        <f>IF($J265="",#N/A,SUM(CF$4:CF265))</f>
        <v>#N/A</v>
      </c>
      <c r="CH265" s="315" t="str">
        <f t="shared" si="490"/>
        <v/>
      </c>
      <c r="CI265" s="315" t="e">
        <f>IF($J265="",#N/A,SUM(CH$4:CH265))</f>
        <v>#N/A</v>
      </c>
      <c r="CJ265" s="315" t="e">
        <f>IF($J265="",#N/A,SUM(CH$4:CH265,CF$4:CF265,CD$4:CD265))</f>
        <v>#N/A</v>
      </c>
      <c r="CK265" s="304" t="str">
        <f t="shared" si="491"/>
        <v/>
      </c>
      <c r="CL265" s="313" t="e">
        <f>IF($J265="",#N/A,SUM(CK$4:CK265))</f>
        <v>#N/A</v>
      </c>
      <c r="CM265" s="314">
        <f t="shared" si="492"/>
        <v>0.26674198204983413</v>
      </c>
      <c r="CN265" s="314" t="e">
        <f>IF($J265="",#N/A,SUM(CM$4:CM265))</f>
        <v>#N/A</v>
      </c>
      <c r="CO265" s="315" t="str">
        <f t="shared" si="493"/>
        <v/>
      </c>
      <c r="CP265" s="315" t="e">
        <f>IF($J265="",#N/A,SUM(CO$4:CO265))</f>
        <v>#N/A</v>
      </c>
      <c r="CQ265" s="315" t="e">
        <f>IF($J265="",#N/A,SUM(CO$4:CO265,CM$4:CM265,CK$4:CK265))</f>
        <v>#N/A</v>
      </c>
      <c r="CR265" s="304" t="str">
        <f t="shared" si="494"/>
        <v/>
      </c>
      <c r="CS265" s="313" t="e">
        <f>IF($J265="",#N/A,SUM(CR$4:CR265))</f>
        <v>#N/A</v>
      </c>
      <c r="CT265" s="314" t="str">
        <f t="shared" si="495"/>
        <v/>
      </c>
      <c r="CU265" s="314" t="e">
        <f>IF($J265="",#N/A,SUM(CT$4:CT265))</f>
        <v>#N/A</v>
      </c>
      <c r="CV265" s="315" t="str">
        <f t="shared" si="496"/>
        <v/>
      </c>
      <c r="CW265" s="315" t="e">
        <f>IF($J265="",#N/A,SUM(CV$4:CV265))</f>
        <v>#N/A</v>
      </c>
      <c r="CX265" s="315" t="e">
        <f>IF($J265="",#N/A,SUM(CV$4:CV265,CT$4:CT265,CR$4:CR265))</f>
        <v>#N/A</v>
      </c>
      <c r="CY265" s="304" t="str">
        <f t="shared" si="497"/>
        <v/>
      </c>
      <c r="CZ265" s="313" t="e">
        <f>IF($J265="",#N/A,SUM(CY$4:CY265))</f>
        <v>#N/A</v>
      </c>
      <c r="DA265" s="314" t="str">
        <f t="shared" si="498"/>
        <v/>
      </c>
      <c r="DB265" s="314" t="e">
        <f>IF($J265="",#N/A,SUM(DA$4:DA265))</f>
        <v>#N/A</v>
      </c>
      <c r="DC265" s="315" t="str">
        <f t="shared" si="499"/>
        <v/>
      </c>
      <c r="DD265" s="315" t="e">
        <f>IF($J265="",#N/A,SUM(DC$4:DC265))</f>
        <v>#N/A</v>
      </c>
      <c r="DE265" s="315" t="e">
        <f>IF($J265="",#N/A,SUM(DC$4:DC265,DA$4:DA265,CY$4:CY265))</f>
        <v>#N/A</v>
      </c>
      <c r="DF265" s="304" t="str">
        <f t="shared" si="500"/>
        <v/>
      </c>
      <c r="DG265" s="313" t="e">
        <f>IF($J265="",#N/A,SUM(DF$4:DF265))</f>
        <v>#N/A</v>
      </c>
      <c r="DH265" s="314" t="str">
        <f t="shared" si="501"/>
        <v/>
      </c>
      <c r="DI265" s="314" t="e">
        <f>IF($J265="",#N/A,SUM(DH$4:DH265))</f>
        <v>#N/A</v>
      </c>
      <c r="DJ265" s="315" t="str">
        <f t="shared" si="502"/>
        <v/>
      </c>
      <c r="DK265" s="315" t="e">
        <f>IF($J265="",#N/A,SUM(DJ$4:DJ265))</f>
        <v>#N/A</v>
      </c>
      <c r="DL265" s="315" t="e">
        <f>IF($J265="",#N/A,SUM(DJ$4:DJ265,DH$4:DH265,DF$4:DF265))</f>
        <v>#N/A</v>
      </c>
      <c r="DM265" s="304" t="str">
        <f t="shared" si="503"/>
        <v/>
      </c>
      <c r="DN265" s="313" t="e">
        <f>IF($J265="",#N/A,SUM(DM$4:DM265))</f>
        <v>#N/A</v>
      </c>
      <c r="DO265" s="314" t="str">
        <f t="shared" si="504"/>
        <v/>
      </c>
      <c r="DP265" s="314" t="e">
        <f>IF($J265="",#N/A,SUM(DO$4:DO265))</f>
        <v>#N/A</v>
      </c>
      <c r="DQ265" s="315" t="str">
        <f t="shared" si="505"/>
        <v/>
      </c>
      <c r="DR265" s="315" t="e">
        <f>IF($J265="",#N/A,SUM(DQ$4:DQ265))</f>
        <v>#N/A</v>
      </c>
      <c r="DS265" s="315" t="e">
        <f>IF($J265="",#N/A,SUM(DQ$4:DQ265,DO$4:DO265,DM$4:DM265))</f>
        <v>#N/A</v>
      </c>
      <c r="DT265" s="304" t="str">
        <f t="shared" si="506"/>
        <v/>
      </c>
      <c r="DU265" s="313" t="e">
        <f>IF($J265="",#N/A,SUM(DT$4:DT265))</f>
        <v>#N/A</v>
      </c>
      <c r="DV265" s="314" t="str">
        <f t="shared" si="507"/>
        <v/>
      </c>
      <c r="DW265" s="314" t="e">
        <f>IF($J265="",#N/A,SUM(DV$4:DV265))</f>
        <v>#N/A</v>
      </c>
      <c r="DX265" s="315" t="str">
        <f t="shared" si="508"/>
        <v/>
      </c>
      <c r="DY265" s="315" t="e">
        <f>IF($J265="",#N/A,SUM(DX$4:DX265))</f>
        <v>#N/A</v>
      </c>
      <c r="DZ265" s="315" t="e">
        <f>IF($J265="",#N/A,SUM(DX$4:DX265,DV$4:DV265,DT$4:DT265))</f>
        <v>#N/A</v>
      </c>
      <c r="EA265" s="304" t="str">
        <f t="shared" si="509"/>
        <v/>
      </c>
      <c r="EB265" s="313" t="e">
        <f>IF($J265="",#N/A,SUM(EA$4:EA265))</f>
        <v>#N/A</v>
      </c>
      <c r="EC265" s="314" t="str">
        <f t="shared" si="510"/>
        <v/>
      </c>
      <c r="ED265" s="314" t="e">
        <f>IF($J265="",#N/A,SUM(EC$4:EC265))</f>
        <v>#N/A</v>
      </c>
      <c r="EE265" s="315" t="str">
        <f t="shared" si="511"/>
        <v/>
      </c>
      <c r="EF265" s="315" t="e">
        <f>IF($J265="",#N/A,SUM(EE$4:EE265))</f>
        <v>#N/A</v>
      </c>
      <c r="EG265" s="315" t="e">
        <f>IF($J265="",#N/A,SUM(EE$4:EE265,EC$4:EC265,EA$4:EA265))</f>
        <v>#N/A</v>
      </c>
      <c r="EH265" s="130">
        <f t="shared" si="512"/>
        <v>6.8000000000000114</v>
      </c>
      <c r="EI265" s="63">
        <f>IF(EH265="",#N/A,SUM($EH$4:EH265))</f>
        <v>1211.8679150456289</v>
      </c>
      <c r="EJ265" s="223" t="e">
        <f t="shared" si="513"/>
        <v>#N/A</v>
      </c>
      <c r="EK265" s="63" t="e">
        <f>IF($GZ265="",#N/A,SUM(EJ$4:EJ265))</f>
        <v>#N/A</v>
      </c>
      <c r="EL265" s="60">
        <f t="shared" si="544"/>
        <v>0.26674198204983413</v>
      </c>
      <c r="EM265" s="60">
        <f>IF(EL265="",NA(),SUM($EL$4:EL265))</f>
        <v>38.891789346598763</v>
      </c>
      <c r="EN265" s="60" t="str">
        <f t="shared" si="514"/>
        <v/>
      </c>
      <c r="EO265" s="60" t="e">
        <f>IF(EN265="",NA(),SUM($EN$4:EN265))</f>
        <v>#N/A</v>
      </c>
      <c r="EP265" s="60" t="str">
        <f t="shared" si="515"/>
        <v/>
      </c>
      <c r="EQ265" s="60" t="e">
        <f>IF(EP265="",NA(),SUM($EP$4:EP265))</f>
        <v>#N/A</v>
      </c>
      <c r="ER265" s="60">
        <f t="shared" si="516"/>
        <v>0.26674198204983413</v>
      </c>
      <c r="ES265" s="60">
        <f>IF(ER265="",NA(),SUM($ER$4:ER265))</f>
        <v>18.110514830494441</v>
      </c>
      <c r="ET265" s="60" t="str">
        <f t="shared" si="517"/>
        <v/>
      </c>
      <c r="EU265" s="60" t="e">
        <f>IF(ET265="",NA(),SUM($ET$4:ET265))</f>
        <v>#N/A</v>
      </c>
      <c r="EV265" s="60" t="str">
        <f t="shared" si="518"/>
        <v/>
      </c>
      <c r="EW265" s="60" t="e">
        <f>IF(EV265="",NA(),SUM($EV$4:EV265))</f>
        <v>#N/A</v>
      </c>
      <c r="EX265" s="60" t="str">
        <f t="shared" si="519"/>
        <v/>
      </c>
      <c r="EY265" s="60" t="e">
        <f>IF(EX265="",NA(),SUM($EX$4:EX265))</f>
        <v>#N/A</v>
      </c>
      <c r="EZ265" s="60" t="str">
        <f t="shared" si="520"/>
        <v/>
      </c>
      <c r="FA265" s="60" t="e">
        <f>IF(EZ265="",NA(),SUM($EZ$4:EZ265))</f>
        <v>#N/A</v>
      </c>
      <c r="FB265" s="246">
        <f t="shared" si="545"/>
        <v>0.11611121571580918</v>
      </c>
      <c r="FC265" s="246">
        <f>IF($FB265="",#N/A,SUM(FB$4:$FB265))</f>
        <v>3.5556771189245415</v>
      </c>
      <c r="FD265" s="60" t="str">
        <f t="shared" si="521"/>
        <v/>
      </c>
      <c r="FE265" s="60" t="e">
        <f>IF($FD265="",#N/A,SUM($FD$4:FD265))</f>
        <v>#N/A</v>
      </c>
      <c r="FF265" s="60" t="str">
        <f t="shared" si="522"/>
        <v/>
      </c>
      <c r="FG265" s="60" t="e">
        <f>IF($FF265="",#N/A,SUM($FF$4:FF265))</f>
        <v>#N/A</v>
      </c>
      <c r="FH265" s="60" t="str">
        <f t="shared" si="523"/>
        <v/>
      </c>
      <c r="FI265" s="60" t="e">
        <f>IF($FH265="",#N/A,SUM($FH$4:FH265))</f>
        <v>#N/A</v>
      </c>
      <c r="FJ265" s="60" t="str">
        <f t="shared" si="524"/>
        <v/>
      </c>
      <c r="FK265" s="60" t="e">
        <f>IF($FJ265="",#N/A,SUM($FJ$4:FJ265))</f>
        <v>#N/A</v>
      </c>
      <c r="FL265" s="60" t="str">
        <f t="shared" si="525"/>
        <v/>
      </c>
      <c r="FM265" s="60" t="e">
        <f>IF($FL265="",#N/A,SUM($FL$4:FL265))</f>
        <v>#N/A</v>
      </c>
      <c r="FN265" s="82">
        <f t="shared" si="526"/>
        <v>0.3828531977656433</v>
      </c>
      <c r="FO265" s="82">
        <f>IF($FN265="",#N/A,SUM(FN$4:$FN265))</f>
        <v>47.385329307676386</v>
      </c>
      <c r="FP265" s="82">
        <f t="shared" si="546"/>
        <v>0.26674198204983413</v>
      </c>
      <c r="FQ265" s="246">
        <f>IF($EH265="",#N/A,SUM($FP$4:FP265))</f>
        <v>48.343424554940221</v>
      </c>
      <c r="FR265" s="82">
        <f>IFERROR(FQ265/COUNTA($J$4:J265),#N/A)</f>
        <v>0.18451688761427565</v>
      </c>
      <c r="FS265" s="82">
        <f t="shared" si="448"/>
        <v>0.27242975032608441</v>
      </c>
      <c r="FT265" s="82">
        <f t="shared" si="449"/>
        <v>0.23475375000012605</v>
      </c>
      <c r="FU265" s="337">
        <f t="shared" si="547"/>
        <v>22.474892753886216</v>
      </c>
      <c r="FV265" s="57" t="str">
        <f t="shared" si="527"/>
        <v>Dwn</v>
      </c>
      <c r="FW265" s="57" t="s">
        <v>2733</v>
      </c>
      <c r="FX265" s="57" t="str">
        <f t="shared" si="528"/>
        <v/>
      </c>
      <c r="FY265" s="57" t="str">
        <f t="shared" si="529"/>
        <v/>
      </c>
      <c r="FZ265" s="57" t="str">
        <f t="shared" si="530"/>
        <v/>
      </c>
      <c r="GA265" s="57" t="str">
        <f t="shared" si="531"/>
        <v>Short</v>
      </c>
      <c r="GB265" s="57">
        <f t="shared" si="532"/>
        <v>1</v>
      </c>
      <c r="GC265" s="57" t="str">
        <f t="shared" si="533"/>
        <v/>
      </c>
      <c r="GD265" s="57" t="str">
        <f t="shared" si="534"/>
        <v/>
      </c>
      <c r="GE265" s="62">
        <f t="shared" si="451"/>
        <v>53.11</v>
      </c>
      <c r="GF265" s="62" t="s">
        <v>2780</v>
      </c>
      <c r="GG265" s="199">
        <v>8</v>
      </c>
      <c r="GH265" s="207">
        <f t="shared" si="535"/>
        <v>424.88</v>
      </c>
      <c r="GI265" s="199">
        <v>8</v>
      </c>
      <c r="GJ265" s="200">
        <v>52.26</v>
      </c>
      <c r="GK265" s="63">
        <f t="shared" si="536"/>
        <v>6.8000000000000114</v>
      </c>
      <c r="GL265" s="63">
        <f t="shared" si="452"/>
        <v>9.7599999999999909</v>
      </c>
      <c r="GM265" s="82" t="str">
        <f t="shared" si="537"/>
        <v/>
      </c>
      <c r="GN265" s="82">
        <f>IF($GZ265="",#N/A,SUM(GM$4:GM265))</f>
        <v>-2.645815058160407</v>
      </c>
      <c r="GO265" s="82" t="str">
        <f t="shared" si="538"/>
        <v/>
      </c>
      <c r="GP265" s="82">
        <f>IF($GZ265="",#N/A,SUM(GO$4:GO265))</f>
        <v>15.483108400264154</v>
      </c>
      <c r="GQ265" s="82">
        <f t="shared" si="539"/>
        <v>0.3828531977656433</v>
      </c>
      <c r="GR265" s="82">
        <f>IF($GZ265="",#N/A,SUM(GQ$4:GQ265))</f>
        <v>33.92219901113031</v>
      </c>
      <c r="GS265" s="63" t="str">
        <f t="shared" si="548"/>
        <v/>
      </c>
      <c r="GT265" s="63" t="e">
        <f>IF($GZ265="",#N/A,SUM(GS$4:GS265))</f>
        <v>#N/A</v>
      </c>
      <c r="GU265" s="63" t="str">
        <f t="shared" si="549"/>
        <v/>
      </c>
      <c r="GV265" s="63" t="e">
        <f>IF($GZ265="",#N/A,SUM(GU$4:GU265))</f>
        <v>#N/A</v>
      </c>
      <c r="GW265" s="63" t="e">
        <f t="shared" si="550"/>
        <v>#N/A</v>
      </c>
      <c r="GX265" s="63" t="e">
        <f>IF($GZ265="",#N/A,SUM(GW$4:GW265))</f>
        <v>#N/A</v>
      </c>
      <c r="GY265" s="63" t="e">
        <f>IF(EJ265="",#N/A,SUM($EJ$4:EJ265))</f>
        <v>#N/A</v>
      </c>
      <c r="GZ265" s="159">
        <v>51.89</v>
      </c>
      <c r="HA265" s="63">
        <f t="shared" si="540"/>
        <v>2.9599999999999795</v>
      </c>
      <c r="HB265" s="62" t="s">
        <v>2538</v>
      </c>
      <c r="HC265" s="60">
        <f>IFERROR(VLOOKUP(E265,Expectancy!$P$4:$S$19,1+C265,FALSE),"")</f>
        <v>0.6915396365341927</v>
      </c>
      <c r="HD265" s="82">
        <f t="shared" si="541"/>
        <v>0.26674198204983413</v>
      </c>
      <c r="HE265" s="138">
        <f>IF(HD265="",#N/A,SUM($HD$4:HD265))</f>
        <v>11.338531801054003</v>
      </c>
      <c r="HF265" s="85">
        <f>IF(HD265="",#N/A,IF(HB265="Skip",#N/A,SUM($HG$4:HG265)))</f>
        <v>292.10156919911441</v>
      </c>
      <c r="HG265" s="63">
        <f t="shared" si="542"/>
        <v>6.8000000000000114</v>
      </c>
      <c r="HH265" s="82">
        <f t="shared" si="543"/>
        <v>0.3828531977656433</v>
      </c>
    </row>
    <row r="266" spans="1:216" x14ac:dyDescent="0.25">
      <c r="A266" s="57" t="s">
        <v>378</v>
      </c>
      <c r="B266" s="58" t="s">
        <v>5154</v>
      </c>
      <c r="C266" s="386">
        <f t="shared" si="453"/>
        <v>3</v>
      </c>
      <c r="D266" s="372" t="str">
        <f>_xlfn.XLOOKUP(A266,[1]SP500!$A$2:$A$502,[1]SP500!$D$2:$D$502,"N")</f>
        <v>Y</v>
      </c>
      <c r="E266" s="57" t="str">
        <f>_xlfn.XLOOKUP(A266,[1]SP500!$A$2:$A$655,[1]SP500!$B$2:$B$655)</f>
        <v>IGV</v>
      </c>
      <c r="F266" s="59">
        <v>45694</v>
      </c>
      <c r="G266" s="57" t="str">
        <f t="shared" si="454"/>
        <v>AMC</v>
      </c>
      <c r="H266" s="57" t="str">
        <f t="shared" si="455"/>
        <v>s</v>
      </c>
      <c r="I266" s="159">
        <v>183.08</v>
      </c>
      <c r="J266" s="159">
        <v>198</v>
      </c>
      <c r="K266" s="61">
        <f t="shared" si="456"/>
        <v>8.1494428665064372E-2</v>
      </c>
      <c r="L266" s="87">
        <f t="shared" si="457"/>
        <v>44.759999999999991</v>
      </c>
      <c r="M266" s="130">
        <f t="shared" si="450"/>
        <v>0</v>
      </c>
      <c r="N266" s="169" t="str">
        <f t="shared" si="458"/>
        <v/>
      </c>
      <c r="O266" s="169">
        <f>IF($J266="",#N/A,SUM($N$4:N266))</f>
        <v>469.42511614781222</v>
      </c>
      <c r="P266" s="174" t="str">
        <f t="shared" si="459"/>
        <v/>
      </c>
      <c r="Q266" s="174">
        <f>IF($J266="",#N/A,SUM($P$4:P266))</f>
        <v>631.89890674734102</v>
      </c>
      <c r="R266" s="178">
        <f t="shared" si="460"/>
        <v>44.759999999999991</v>
      </c>
      <c r="S266" s="178">
        <f>IF($J266="",#N/A,SUM($R$4:R266))</f>
        <v>155.30389215047578</v>
      </c>
      <c r="T266" s="290" t="str">
        <f t="shared" si="461"/>
        <v/>
      </c>
      <c r="U266" s="290">
        <f>IF($J266="",#N/A,SUM($T$4:T266))</f>
        <v>17.87231344919687</v>
      </c>
      <c r="V266" s="291" t="str">
        <f t="shared" si="462"/>
        <v/>
      </c>
      <c r="W266" s="291">
        <f>IF($J266="",#N/A,SUM($V$4:V266))</f>
        <v>26.276057629954881</v>
      </c>
      <c r="X266" s="292">
        <f t="shared" si="463"/>
        <v>1.3582404777510739</v>
      </c>
      <c r="Y266" s="292">
        <f>IF($J266="",#N/A,SUM($X$4:X266))</f>
        <v>5.5532939535395593</v>
      </c>
      <c r="Z266" s="304" t="str">
        <f t="shared" si="464"/>
        <v/>
      </c>
      <c r="AA266" s="313" t="e">
        <f>IF($J266="",#N/A,SUM(Z$4:Z266))</f>
        <v>#N/A</v>
      </c>
      <c r="AB266" s="314" t="str">
        <f t="shared" si="465"/>
        <v/>
      </c>
      <c r="AC266" s="314" t="e">
        <f>IF($J266="",#N/A,SUM(AB$4:AB266))</f>
        <v>#N/A</v>
      </c>
      <c r="AD266" s="315" t="str">
        <f t="shared" si="466"/>
        <v/>
      </c>
      <c r="AE266" s="315" t="e">
        <f>IF($J266="",#N/A,SUM(AD$4:AD266))</f>
        <v>#N/A</v>
      </c>
      <c r="AF266" s="315" t="e">
        <f>IF($J266="",#N/A,SUM(AD$4:AD266,AB$4:AB266,Z$4:Z266))</f>
        <v>#N/A</v>
      </c>
      <c r="AG266" s="304" t="str">
        <f t="shared" si="467"/>
        <v/>
      </c>
      <c r="AH266" s="313" t="e">
        <f>IF($J266="",#N/A,SUM(AG$4:AG266))</f>
        <v>#N/A</v>
      </c>
      <c r="AI266" s="314" t="str">
        <f t="shared" si="468"/>
        <v/>
      </c>
      <c r="AJ266" s="314" t="e">
        <f>IF($J266="",#N/A,SUM(AI$4:AI266))</f>
        <v>#N/A</v>
      </c>
      <c r="AK266" s="315">
        <f t="shared" si="469"/>
        <v>1.3582404777510739</v>
      </c>
      <c r="AL266" s="315" t="e">
        <f>IF($J266="",#N/A,SUM(AK$4:AK266))</f>
        <v>#N/A</v>
      </c>
      <c r="AM266" s="315" t="e">
        <f>IF($J266="",#N/A,SUM(AK$4:AK266,AI$4:AI266,AG$4:AG266))</f>
        <v>#N/A</v>
      </c>
      <c r="AN266" s="304" t="str">
        <f t="shared" si="470"/>
        <v/>
      </c>
      <c r="AO266" s="313" t="e">
        <f>IF($J266="",#N/A,SUM(AN$4:AN266))</f>
        <v>#N/A</v>
      </c>
      <c r="AP266" s="314" t="str">
        <f t="shared" si="471"/>
        <v/>
      </c>
      <c r="AQ266" s="314" t="e">
        <f>IF($J266="",#N/A,SUM(AP$4:AP266))</f>
        <v>#N/A</v>
      </c>
      <c r="AR266" s="315" t="str">
        <f t="shared" si="472"/>
        <v/>
      </c>
      <c r="AS266" s="315" t="e">
        <f>IF($J266="",#N/A,SUM(AR$4:AR266))</f>
        <v>#N/A</v>
      </c>
      <c r="AT266" s="315" t="e">
        <f>IF($J266="",#N/A,SUM(AR$4:AR266,AP$4:AP266,AN$4:AN266))</f>
        <v>#N/A</v>
      </c>
      <c r="AU266" s="304" t="str">
        <f t="shared" si="473"/>
        <v/>
      </c>
      <c r="AV266" s="313" t="e">
        <f>IF($J266="",#N/A,SUM(AU$4:AU266))</f>
        <v>#N/A</v>
      </c>
      <c r="AW266" s="314" t="str">
        <f t="shared" si="474"/>
        <v/>
      </c>
      <c r="AX266" s="314" t="e">
        <f>IF($J266="",#N/A,SUM(AW$4:AW266))</f>
        <v>#N/A</v>
      </c>
      <c r="AY266" s="315" t="str">
        <f t="shared" si="475"/>
        <v/>
      </c>
      <c r="AZ266" s="315" t="e">
        <f>IF($J266="",#N/A,SUM(AY$4:AY266))</f>
        <v>#N/A</v>
      </c>
      <c r="BA266" s="315" t="e">
        <f>IF($J266="",#N/A,SUM(AY$4:AY266,AW$4:AW266,AU$4:AU266))</f>
        <v>#N/A</v>
      </c>
      <c r="BB266" s="304" t="str">
        <f t="shared" si="476"/>
        <v/>
      </c>
      <c r="BC266" s="313" t="e">
        <f>IF($J266="",#N/A,SUM(BB$4:BB266))</f>
        <v>#N/A</v>
      </c>
      <c r="BD266" s="314" t="str">
        <f t="shared" si="477"/>
        <v/>
      </c>
      <c r="BE266" s="314" t="e">
        <f>IF($J266="",#N/A,SUM(BD$4:BD266))</f>
        <v>#N/A</v>
      </c>
      <c r="BF266" s="315" t="str">
        <f t="shared" si="478"/>
        <v/>
      </c>
      <c r="BG266" s="315" t="e">
        <f>IF($J266="",#N/A,SUM(BF$4:BF266))</f>
        <v>#N/A</v>
      </c>
      <c r="BH266" s="315" t="e">
        <f>IF($J266="",#N/A,SUM(BF$4:BF266,BD$4:BD266,BB$4:BB266))</f>
        <v>#N/A</v>
      </c>
      <c r="BI266" s="304" t="str">
        <f t="shared" si="479"/>
        <v/>
      </c>
      <c r="BJ266" s="313" t="e">
        <f>IF($J266="",#N/A,SUM(BI$4:BI266))</f>
        <v>#N/A</v>
      </c>
      <c r="BK266" s="314" t="str">
        <f t="shared" si="480"/>
        <v/>
      </c>
      <c r="BL266" s="314" t="e">
        <f>IF($J266="",#N/A,SUM(BK$4:BK266))</f>
        <v>#N/A</v>
      </c>
      <c r="BM266" s="315" t="str">
        <f t="shared" si="481"/>
        <v/>
      </c>
      <c r="BN266" s="315" t="e">
        <f>IF($J266="",#N/A,SUM(BM$4:BM266))</f>
        <v>#N/A</v>
      </c>
      <c r="BO266" s="315" t="e">
        <f>IF($J266="",#N/A,SUM(BM$4:BM266,BK$4:BK266,BI$4:BI266))</f>
        <v>#N/A</v>
      </c>
      <c r="BP266" s="304" t="str">
        <f t="shared" si="482"/>
        <v/>
      </c>
      <c r="BQ266" s="313" t="e">
        <f>IF($J266="",#N/A,SUM(BP$4:BP266))</f>
        <v>#N/A</v>
      </c>
      <c r="BR266" s="314" t="str">
        <f t="shared" si="483"/>
        <v/>
      </c>
      <c r="BS266" s="314" t="e">
        <f>IF($J266="",#N/A,SUM(BR$4:BR266))</f>
        <v>#N/A</v>
      </c>
      <c r="BT266" s="315" t="str">
        <f t="shared" si="484"/>
        <v/>
      </c>
      <c r="BU266" s="315" t="e">
        <f>IF($J266="",#N/A,SUM(BT$4:BT266))</f>
        <v>#N/A</v>
      </c>
      <c r="BV266" s="315" t="e">
        <f>IF($J266="",#N/A,SUM(BT$4:BT266,BR$4:BR266,BP$4:BP266))</f>
        <v>#N/A</v>
      </c>
      <c r="BW266" s="304" t="str">
        <f t="shared" si="485"/>
        <v/>
      </c>
      <c r="BX266" s="313" t="e">
        <f>IF($J266="",#N/A,SUM(BW$4:BW266))</f>
        <v>#N/A</v>
      </c>
      <c r="BY266" s="314" t="str">
        <f t="shared" si="486"/>
        <v/>
      </c>
      <c r="BZ266" s="314" t="e">
        <f>IF($J266="",#N/A,SUM(BY$4:BY266))</f>
        <v>#N/A</v>
      </c>
      <c r="CA266" s="315" t="str">
        <f t="shared" si="487"/>
        <v/>
      </c>
      <c r="CB266" s="315" t="e">
        <f>IF($J266="",#N/A,SUM(CA$4:CA266))</f>
        <v>#N/A</v>
      </c>
      <c r="CC266" s="315" t="e">
        <f>IF($J266="",#N/A,SUM(CA$4:CA266,BY$4:BY266,BW$4:BW266))</f>
        <v>#N/A</v>
      </c>
      <c r="CD266" s="304" t="str">
        <f t="shared" si="488"/>
        <v/>
      </c>
      <c r="CE266" s="313" t="e">
        <f>IF($J266="",#N/A,SUM(CD$4:CD266))</f>
        <v>#N/A</v>
      </c>
      <c r="CF266" s="314" t="str">
        <f t="shared" si="489"/>
        <v/>
      </c>
      <c r="CG266" s="314" t="e">
        <f>IF($J266="",#N/A,SUM(CF$4:CF266))</f>
        <v>#N/A</v>
      </c>
      <c r="CH266" s="315" t="str">
        <f t="shared" si="490"/>
        <v/>
      </c>
      <c r="CI266" s="315" t="e">
        <f>IF($J266="",#N/A,SUM(CH$4:CH266))</f>
        <v>#N/A</v>
      </c>
      <c r="CJ266" s="315" t="e">
        <f>IF($J266="",#N/A,SUM(CH$4:CH266,CF$4:CF266,CD$4:CD266))</f>
        <v>#N/A</v>
      </c>
      <c r="CK266" s="304" t="str">
        <f t="shared" si="491"/>
        <v/>
      </c>
      <c r="CL266" s="313" t="e">
        <f>IF($J266="",#N/A,SUM(CK$4:CK266))</f>
        <v>#N/A</v>
      </c>
      <c r="CM266" s="314" t="str">
        <f t="shared" si="492"/>
        <v/>
      </c>
      <c r="CN266" s="314" t="e">
        <f>IF($J266="",#N/A,SUM(CM$4:CM266))</f>
        <v>#N/A</v>
      </c>
      <c r="CO266" s="315" t="str">
        <f t="shared" si="493"/>
        <v/>
      </c>
      <c r="CP266" s="315" t="e">
        <f>IF($J266="",#N/A,SUM(CO$4:CO266))</f>
        <v>#N/A</v>
      </c>
      <c r="CQ266" s="315" t="e">
        <f>IF($J266="",#N/A,SUM(CO$4:CO266,CM$4:CM266,CK$4:CK266))</f>
        <v>#N/A</v>
      </c>
      <c r="CR266" s="304" t="str">
        <f t="shared" si="494"/>
        <v/>
      </c>
      <c r="CS266" s="313" t="e">
        <f>IF($J266="",#N/A,SUM(CR$4:CR266))</f>
        <v>#N/A</v>
      </c>
      <c r="CT266" s="314" t="str">
        <f t="shared" si="495"/>
        <v/>
      </c>
      <c r="CU266" s="314" t="e">
        <f>IF($J266="",#N/A,SUM(CT$4:CT266))</f>
        <v>#N/A</v>
      </c>
      <c r="CV266" s="315" t="str">
        <f t="shared" si="496"/>
        <v/>
      </c>
      <c r="CW266" s="315" t="e">
        <f>IF($J266="",#N/A,SUM(CV$4:CV266))</f>
        <v>#N/A</v>
      </c>
      <c r="CX266" s="315" t="e">
        <f>IF($J266="",#N/A,SUM(CV$4:CV266,CT$4:CT266,CR$4:CR266))</f>
        <v>#N/A</v>
      </c>
      <c r="CY266" s="304" t="str">
        <f t="shared" si="497"/>
        <v/>
      </c>
      <c r="CZ266" s="313" t="e">
        <f>IF($J266="",#N/A,SUM(CY$4:CY266))</f>
        <v>#N/A</v>
      </c>
      <c r="DA266" s="314" t="str">
        <f t="shared" si="498"/>
        <v/>
      </c>
      <c r="DB266" s="314" t="e">
        <f>IF($J266="",#N/A,SUM(DA$4:DA266))</f>
        <v>#N/A</v>
      </c>
      <c r="DC266" s="315" t="str">
        <f t="shared" si="499"/>
        <v/>
      </c>
      <c r="DD266" s="315" t="e">
        <f>IF($J266="",#N/A,SUM(DC$4:DC266))</f>
        <v>#N/A</v>
      </c>
      <c r="DE266" s="315" t="e">
        <f>IF($J266="",#N/A,SUM(DC$4:DC266,DA$4:DA266,CY$4:CY266))</f>
        <v>#N/A</v>
      </c>
      <c r="DF266" s="304" t="str">
        <f t="shared" si="500"/>
        <v/>
      </c>
      <c r="DG266" s="313" t="e">
        <f>IF($J266="",#N/A,SUM(DF$4:DF266))</f>
        <v>#N/A</v>
      </c>
      <c r="DH266" s="314" t="str">
        <f t="shared" si="501"/>
        <v/>
      </c>
      <c r="DI266" s="314" t="e">
        <f>IF($J266="",#N/A,SUM(DH$4:DH266))</f>
        <v>#N/A</v>
      </c>
      <c r="DJ266" s="315" t="str">
        <f t="shared" si="502"/>
        <v/>
      </c>
      <c r="DK266" s="315" t="e">
        <f>IF($J266="",#N/A,SUM(DJ$4:DJ266))</f>
        <v>#N/A</v>
      </c>
      <c r="DL266" s="315" t="e">
        <f>IF($J266="",#N/A,SUM(DJ$4:DJ266,DH$4:DH266,DF$4:DF266))</f>
        <v>#N/A</v>
      </c>
      <c r="DM266" s="304" t="str">
        <f t="shared" si="503"/>
        <v/>
      </c>
      <c r="DN266" s="313" t="e">
        <f>IF($J266="",#N/A,SUM(DM$4:DM266))</f>
        <v>#N/A</v>
      </c>
      <c r="DO266" s="314" t="str">
        <f t="shared" si="504"/>
        <v/>
      </c>
      <c r="DP266" s="314" t="e">
        <f>IF($J266="",#N/A,SUM(DO$4:DO266))</f>
        <v>#N/A</v>
      </c>
      <c r="DQ266" s="315" t="str">
        <f t="shared" si="505"/>
        <v/>
      </c>
      <c r="DR266" s="315" t="e">
        <f>IF($J266="",#N/A,SUM(DQ$4:DQ266))</f>
        <v>#N/A</v>
      </c>
      <c r="DS266" s="315" t="e">
        <f>IF($J266="",#N/A,SUM(DQ$4:DQ266,DO$4:DO266,DM$4:DM266))</f>
        <v>#N/A</v>
      </c>
      <c r="DT266" s="304" t="str">
        <f t="shared" si="506"/>
        <v/>
      </c>
      <c r="DU266" s="313" t="e">
        <f>IF($J266="",#N/A,SUM(DT$4:DT266))</f>
        <v>#N/A</v>
      </c>
      <c r="DV266" s="314" t="str">
        <f t="shared" si="507"/>
        <v/>
      </c>
      <c r="DW266" s="314" t="e">
        <f>IF($J266="",#N/A,SUM(DV$4:DV266))</f>
        <v>#N/A</v>
      </c>
      <c r="DX266" s="315" t="str">
        <f t="shared" si="508"/>
        <v/>
      </c>
      <c r="DY266" s="315" t="e">
        <f>IF($J266="",#N/A,SUM(DX$4:DX266))</f>
        <v>#N/A</v>
      </c>
      <c r="DZ266" s="315" t="e">
        <f>IF($J266="",#N/A,SUM(DX$4:DX266,DV$4:DV266,DT$4:DT266))</f>
        <v>#N/A</v>
      </c>
      <c r="EA266" s="304" t="str">
        <f t="shared" si="509"/>
        <v/>
      </c>
      <c r="EB266" s="313" t="e">
        <f>IF($J266="",#N/A,SUM(EA$4:EA266))</f>
        <v>#N/A</v>
      </c>
      <c r="EC266" s="314" t="str">
        <f t="shared" si="510"/>
        <v/>
      </c>
      <c r="ED266" s="314" t="e">
        <f>IF($J266="",#N/A,SUM(EC$4:EC266))</f>
        <v>#N/A</v>
      </c>
      <c r="EE266" s="315" t="str">
        <f t="shared" si="511"/>
        <v/>
      </c>
      <c r="EF266" s="315" t="e">
        <f>IF($J266="",#N/A,SUM(EE$4:EE266))</f>
        <v>#N/A</v>
      </c>
      <c r="EG266" s="315" t="e">
        <f>IF($J266="",#N/A,SUM(EE$4:EE266,EC$4:EC266,EA$4:EA266))</f>
        <v>#N/A</v>
      </c>
      <c r="EH266" s="130">
        <f t="shared" si="512"/>
        <v>44.759999999999991</v>
      </c>
      <c r="EI266" s="63">
        <f>IF(EH266="",#N/A,SUM($EH$4:EH266))</f>
        <v>1256.6279150456289</v>
      </c>
      <c r="EJ266" s="223" t="e">
        <f t="shared" si="513"/>
        <v>#N/A</v>
      </c>
      <c r="EK266" s="63" t="e">
        <f>IF($GZ266="",#N/A,SUM(EJ$4:EJ266))</f>
        <v>#N/A</v>
      </c>
      <c r="EL266" s="60">
        <f t="shared" si="544"/>
        <v>1.3582404777510739</v>
      </c>
      <c r="EM266" s="60">
        <f>IF(EL266="",NA(),SUM($EL$4:EL266))</f>
        <v>40.250029824349838</v>
      </c>
      <c r="EN266" s="60" t="str">
        <f t="shared" si="514"/>
        <v/>
      </c>
      <c r="EO266" s="60" t="e">
        <f>IF(EN266="",NA(),SUM($EN$4:EN266))</f>
        <v>#N/A</v>
      </c>
      <c r="EP266" s="60">
        <f t="shared" si="515"/>
        <v>1.3582404777510739</v>
      </c>
      <c r="EQ266" s="60">
        <f>IF(EP266="",NA(),SUM($EP$4:EP266))</f>
        <v>6.2239083693092434</v>
      </c>
      <c r="ER266" s="60" t="str">
        <f t="shared" si="516"/>
        <v/>
      </c>
      <c r="ES266" s="60" t="e">
        <f>IF(ER266="",NA(),SUM($ER$4:ER266))</f>
        <v>#N/A</v>
      </c>
      <c r="ET266" s="60" t="str">
        <f t="shared" si="517"/>
        <v/>
      </c>
      <c r="EU266" s="60" t="e">
        <f>IF(ET266="",NA(),SUM($ET$4:ET266))</f>
        <v>#N/A</v>
      </c>
      <c r="EV266" s="60" t="str">
        <f t="shared" si="518"/>
        <v/>
      </c>
      <c r="EW266" s="60" t="e">
        <f>IF(EV266="",NA(),SUM($EV$4:EV266))</f>
        <v>#N/A</v>
      </c>
      <c r="EX266" s="60" t="str">
        <f t="shared" si="519"/>
        <v/>
      </c>
      <c r="EY266" s="60" t="e">
        <f>IF(EX266="",NA(),SUM($EX$4:EX266))</f>
        <v>#N/A</v>
      </c>
      <c r="EZ266" s="60" t="str">
        <f t="shared" si="520"/>
        <v/>
      </c>
      <c r="FA266" s="60" t="e">
        <f>IF(EZ266="",NA(),SUM($EZ$4:EZ266))</f>
        <v>#N/A</v>
      </c>
      <c r="FB266" s="246" t="str">
        <f t="shared" si="545"/>
        <v/>
      </c>
      <c r="FC266" s="246" t="e">
        <f>IF($FB266="",#N/A,SUM(FB$4:$FB266))</f>
        <v>#N/A</v>
      </c>
      <c r="FD266" s="60" t="str">
        <f t="shared" si="521"/>
        <v/>
      </c>
      <c r="FE266" s="60" t="e">
        <f>IF($FD266="",#N/A,SUM($FD$4:FD266))</f>
        <v>#N/A</v>
      </c>
      <c r="FF266" s="60" t="str">
        <f t="shared" si="522"/>
        <v/>
      </c>
      <c r="FG266" s="60" t="e">
        <f>IF($FF266="",#N/A,SUM($FF$4:FF266))</f>
        <v>#N/A</v>
      </c>
      <c r="FH266" s="60" t="str">
        <f t="shared" si="523"/>
        <v/>
      </c>
      <c r="FI266" s="60" t="e">
        <f>IF($FH266="",#N/A,SUM($FH$4:FH266))</f>
        <v>#N/A</v>
      </c>
      <c r="FJ266" s="60">
        <f t="shared" si="524"/>
        <v>0.98044570679484555</v>
      </c>
      <c r="FK266" s="60">
        <f>IF($FJ266="",#N/A,SUM($FJ$4:FJ266))</f>
        <v>-6.5849236975415497</v>
      </c>
      <c r="FL266" s="60" t="str">
        <f t="shared" si="525"/>
        <v/>
      </c>
      <c r="FM266" s="60" t="e">
        <f>IF($FL266="",#N/A,SUM($FL$4:FL266))</f>
        <v>#N/A</v>
      </c>
      <c r="FN266" s="82">
        <f t="shared" si="526"/>
        <v>2.3386861845459195</v>
      </c>
      <c r="FO266" s="82">
        <f>IF($FN266="",#N/A,SUM(FN$4:$FN266))</f>
        <v>49.724015492222307</v>
      </c>
      <c r="FP266" s="82">
        <f t="shared" si="546"/>
        <v>1.3582404777510739</v>
      </c>
      <c r="FQ266" s="246">
        <f>IF($EH266="",#N/A,SUM($FP$4:FP266))</f>
        <v>49.701665032691295</v>
      </c>
      <c r="FR266" s="82">
        <f>IFERROR(FQ266/COUNTA($J$4:J266),#N/A)</f>
        <v>0.18897971495319885</v>
      </c>
      <c r="FS266" s="82">
        <f t="shared" si="448"/>
        <v>0.32147914309827896</v>
      </c>
      <c r="FT266" s="82">
        <f t="shared" si="449"/>
        <v>0.2978649278368431</v>
      </c>
      <c r="FU266" s="337">
        <f t="shared" si="547"/>
        <v>22.474892753886216</v>
      </c>
      <c r="FV266" s="57" t="str">
        <f t="shared" si="527"/>
        <v>SW</v>
      </c>
      <c r="FW266" s="57" t="s">
        <v>2732</v>
      </c>
      <c r="FX266" s="57" t="str">
        <f t="shared" si="528"/>
        <v/>
      </c>
      <c r="FY266" s="57" t="str">
        <f t="shared" si="529"/>
        <v/>
      </c>
      <c r="FZ266" s="57">
        <f t="shared" si="530"/>
        <v>1</v>
      </c>
      <c r="GA266" s="57" t="str">
        <f t="shared" si="531"/>
        <v>Long</v>
      </c>
      <c r="GB266" s="57" t="str">
        <f t="shared" si="532"/>
        <v/>
      </c>
      <c r="GC266" s="57" t="str">
        <f t="shared" si="533"/>
        <v/>
      </c>
      <c r="GD266" s="57" t="str">
        <f t="shared" si="534"/>
        <v/>
      </c>
      <c r="GE266" s="62">
        <f t="shared" si="451"/>
        <v>183.08</v>
      </c>
      <c r="GF266" s="62" t="s">
        <v>2779</v>
      </c>
      <c r="GG266" s="199">
        <v>3</v>
      </c>
      <c r="GH266" s="207">
        <f t="shared" si="535"/>
        <v>549.24</v>
      </c>
      <c r="GI266" s="199">
        <v>3</v>
      </c>
      <c r="GJ266" s="200">
        <v>198</v>
      </c>
      <c r="GK266" s="63">
        <f t="shared" si="536"/>
        <v>44.759999999999991</v>
      </c>
      <c r="GL266" s="63">
        <f t="shared" si="452"/>
        <v>77.07000000000005</v>
      </c>
      <c r="GM266" s="82">
        <f t="shared" si="537"/>
        <v>2.3386861845459195</v>
      </c>
      <c r="GN266" s="82">
        <f>IF($GZ266="",#N/A,SUM(GM$4:GM266))</f>
        <v>-0.30712887361448749</v>
      </c>
      <c r="GO266" s="82" t="str">
        <f t="shared" si="538"/>
        <v/>
      </c>
      <c r="GP266" s="82">
        <f>IF($GZ266="",#N/A,SUM(GO$4:GO266))</f>
        <v>15.483108400264154</v>
      </c>
      <c r="GQ266" s="82" t="str">
        <f t="shared" si="539"/>
        <v/>
      </c>
      <c r="GR266" s="82">
        <f>IF($GZ266="",#N/A,SUM(GQ$4:GQ266))</f>
        <v>33.92219901113031</v>
      </c>
      <c r="GS266" s="63" t="e">
        <f t="shared" si="548"/>
        <v>#N/A</v>
      </c>
      <c r="GT266" s="63" t="e">
        <f>IF($GZ266="",#N/A,SUM(GS$4:GS266))</f>
        <v>#N/A</v>
      </c>
      <c r="GU266" s="63" t="str">
        <f t="shared" si="549"/>
        <v/>
      </c>
      <c r="GV266" s="63" t="e">
        <f>IF($GZ266="",#N/A,SUM(GU$4:GU266))</f>
        <v>#N/A</v>
      </c>
      <c r="GW266" s="63" t="str">
        <f t="shared" si="550"/>
        <v/>
      </c>
      <c r="GX266" s="63" t="e">
        <f>IF($GZ266="",#N/A,SUM(GW$4:GW266))</f>
        <v>#N/A</v>
      </c>
      <c r="GY266" s="63" t="e">
        <f>IF(EJ266="",#N/A,SUM($EJ$4:EJ266))</f>
        <v>#N/A</v>
      </c>
      <c r="GZ266" s="159">
        <v>208.77</v>
      </c>
      <c r="HA266" s="63">
        <f t="shared" si="540"/>
        <v>32.310000000000059</v>
      </c>
      <c r="HB266" s="62" t="s">
        <v>2538</v>
      </c>
      <c r="HC266" s="60">
        <f>IFERROR(VLOOKUP(E266,Expectancy!$P$4:$S$19,1+C266,FALSE),"")</f>
        <v>0.27741610538114203</v>
      </c>
      <c r="HD266" s="82">
        <f t="shared" si="541"/>
        <v>1.3582404777510739</v>
      </c>
      <c r="HE266" s="138">
        <f>IF(HD266="",#N/A,SUM($HD$4:HD266))</f>
        <v>12.696772278805078</v>
      </c>
      <c r="HF266" s="85">
        <f>IF(HD266="",#N/A,IF(HB266="Skip",#N/A,SUM($HG$4:HG266)))</f>
        <v>336.8615691991144</v>
      </c>
      <c r="HG266" s="63">
        <f t="shared" si="542"/>
        <v>44.759999999999991</v>
      </c>
      <c r="HH266" s="82">
        <f t="shared" si="543"/>
        <v>2.3386861845459195</v>
      </c>
    </row>
    <row r="267" spans="1:216" x14ac:dyDescent="0.25">
      <c r="A267" s="57" t="s">
        <v>1493</v>
      </c>
      <c r="B267" s="58" t="s">
        <v>5154</v>
      </c>
      <c r="C267" s="386">
        <f t="shared" si="453"/>
        <v>3</v>
      </c>
      <c r="D267" s="372" t="str">
        <f>_xlfn.XLOOKUP(A267,[1]SP500!$A$2:$A$502,[1]SP500!$D$2:$D$502,"N")</f>
        <v>Y</v>
      </c>
      <c r="E267" s="57" t="str">
        <f>_xlfn.XLOOKUP(A267,[1]SP500!$A$2:$A$655,[1]SP500!$B$2:$B$655)</f>
        <v>SMH</v>
      </c>
      <c r="F267" s="59">
        <v>45694</v>
      </c>
      <c r="G267" s="57" t="str">
        <f t="shared" si="454"/>
        <v>AMC</v>
      </c>
      <c r="H267" s="57" t="str">
        <f t="shared" si="455"/>
        <v>o</v>
      </c>
      <c r="I267" s="158">
        <v>660.9</v>
      </c>
      <c r="J267" s="159">
        <v>686.7</v>
      </c>
      <c r="K267" s="61">
        <f t="shared" si="456"/>
        <v>3.9037675896504871E-2</v>
      </c>
      <c r="L267" s="87">
        <f t="shared" si="457"/>
        <v>-25.800000000000068</v>
      </c>
      <c r="M267" s="130" t="e">
        <f t="shared" si="450"/>
        <v>#N/A</v>
      </c>
      <c r="N267" s="169" t="str">
        <f t="shared" si="458"/>
        <v/>
      </c>
      <c r="O267" s="169">
        <f>IF($J267="",#N/A,SUM($N$4:N267))</f>
        <v>469.42511614781222</v>
      </c>
      <c r="P267" s="174" t="str">
        <f t="shared" si="459"/>
        <v/>
      </c>
      <c r="Q267" s="174">
        <f>IF($J267="",#N/A,SUM($P$4:P267))</f>
        <v>631.89890674734102</v>
      </c>
      <c r="R267" s="178">
        <f t="shared" si="460"/>
        <v>25.800000000000068</v>
      </c>
      <c r="S267" s="178">
        <f>IF($J267="",#N/A,SUM($R$4:R267))</f>
        <v>181.10389215047584</v>
      </c>
      <c r="T267" s="290" t="str">
        <f t="shared" si="461"/>
        <v/>
      </c>
      <c r="U267" s="290">
        <f>IF($J267="",#N/A,SUM($T$4:T267))</f>
        <v>17.87231344919687</v>
      </c>
      <c r="V267" s="291" t="str">
        <f t="shared" si="462"/>
        <v/>
      </c>
      <c r="W267" s="291">
        <f>IF($J267="",#N/A,SUM($V$4:V267))</f>
        <v>26.276057629954881</v>
      </c>
      <c r="X267" s="292">
        <f t="shared" si="463"/>
        <v>0.65062793160841459</v>
      </c>
      <c r="Y267" s="292">
        <f>IF($J267="",#N/A,SUM($X$4:X267))</f>
        <v>6.2039218851479738</v>
      </c>
      <c r="Z267" s="304" t="str">
        <f t="shared" si="464"/>
        <v/>
      </c>
      <c r="AA267" s="313" t="e">
        <f>IF($J267="",#N/A,SUM(Z$4:Z267))</f>
        <v>#N/A</v>
      </c>
      <c r="AB267" s="314" t="str">
        <f t="shared" si="465"/>
        <v/>
      </c>
      <c r="AC267" s="314" t="e">
        <f>IF($J267="",#N/A,SUM(AB$4:AB267))</f>
        <v>#N/A</v>
      </c>
      <c r="AD267" s="315" t="str">
        <f t="shared" si="466"/>
        <v/>
      </c>
      <c r="AE267" s="315" t="e">
        <f>IF($J267="",#N/A,SUM(AD$4:AD267))</f>
        <v>#N/A</v>
      </c>
      <c r="AF267" s="315" t="e">
        <f>IF($J267="",#N/A,SUM(AD$4:AD267,AB$4:AB267,Z$4:Z267))</f>
        <v>#N/A</v>
      </c>
      <c r="AG267" s="304" t="str">
        <f t="shared" si="467"/>
        <v/>
      </c>
      <c r="AH267" s="313" t="e">
        <f>IF($J267="",#N/A,SUM(AG$4:AG267))</f>
        <v>#N/A</v>
      </c>
      <c r="AI267" s="314" t="str">
        <f t="shared" si="468"/>
        <v/>
      </c>
      <c r="AJ267" s="314" t="e">
        <f>IF($J267="",#N/A,SUM(AI$4:AI267))</f>
        <v>#N/A</v>
      </c>
      <c r="AK267" s="315" t="str">
        <f t="shared" si="469"/>
        <v/>
      </c>
      <c r="AL267" s="315" t="e">
        <f>IF($J267="",#N/A,SUM(AK$4:AK267))</f>
        <v>#N/A</v>
      </c>
      <c r="AM267" s="315" t="e">
        <f>IF($J267="",#N/A,SUM(AK$4:AK267,AI$4:AI267,AG$4:AG267))</f>
        <v>#N/A</v>
      </c>
      <c r="AN267" s="304" t="str">
        <f t="shared" si="470"/>
        <v/>
      </c>
      <c r="AO267" s="313" t="e">
        <f>IF($J267="",#N/A,SUM(AN$4:AN267))</f>
        <v>#N/A</v>
      </c>
      <c r="AP267" s="314" t="str">
        <f t="shared" si="471"/>
        <v/>
      </c>
      <c r="AQ267" s="314" t="e">
        <f>IF($J267="",#N/A,SUM(AP$4:AP267))</f>
        <v>#N/A</v>
      </c>
      <c r="AR267" s="315" t="str">
        <f t="shared" si="472"/>
        <v/>
      </c>
      <c r="AS267" s="315" t="e">
        <f>IF($J267="",#N/A,SUM(AR$4:AR267))</f>
        <v>#N/A</v>
      </c>
      <c r="AT267" s="315" t="e">
        <f>IF($J267="",#N/A,SUM(AR$4:AR267,AP$4:AP267,AN$4:AN267))</f>
        <v>#N/A</v>
      </c>
      <c r="AU267" s="304" t="str">
        <f t="shared" si="473"/>
        <v/>
      </c>
      <c r="AV267" s="313" t="e">
        <f>IF($J267="",#N/A,SUM(AU$4:AU267))</f>
        <v>#N/A</v>
      </c>
      <c r="AW267" s="314" t="str">
        <f t="shared" si="474"/>
        <v/>
      </c>
      <c r="AX267" s="314" t="e">
        <f>IF($J267="",#N/A,SUM(AW$4:AW267))</f>
        <v>#N/A</v>
      </c>
      <c r="AY267" s="315" t="str">
        <f t="shared" si="475"/>
        <v/>
      </c>
      <c r="AZ267" s="315" t="e">
        <f>IF($J267="",#N/A,SUM(AY$4:AY267))</f>
        <v>#N/A</v>
      </c>
      <c r="BA267" s="315" t="e">
        <f>IF($J267="",#N/A,SUM(AY$4:AY267,AW$4:AW267,AU$4:AU267))</f>
        <v>#N/A</v>
      </c>
      <c r="BB267" s="304" t="str">
        <f t="shared" si="476"/>
        <v/>
      </c>
      <c r="BC267" s="313" t="e">
        <f>IF($J267="",#N/A,SUM(BB$4:BB267))</f>
        <v>#N/A</v>
      </c>
      <c r="BD267" s="314" t="str">
        <f t="shared" si="477"/>
        <v/>
      </c>
      <c r="BE267" s="314" t="e">
        <f>IF($J267="",#N/A,SUM(BD$4:BD267))</f>
        <v>#N/A</v>
      </c>
      <c r="BF267" s="315" t="str">
        <f t="shared" si="478"/>
        <v/>
      </c>
      <c r="BG267" s="315" t="e">
        <f>IF($J267="",#N/A,SUM(BF$4:BF267))</f>
        <v>#N/A</v>
      </c>
      <c r="BH267" s="315" t="e">
        <f>IF($J267="",#N/A,SUM(BF$4:BF267,BD$4:BD267,BB$4:BB267))</f>
        <v>#N/A</v>
      </c>
      <c r="BI267" s="304" t="str">
        <f t="shared" si="479"/>
        <v/>
      </c>
      <c r="BJ267" s="313" t="e">
        <f>IF($J267="",#N/A,SUM(BI$4:BI267))</f>
        <v>#N/A</v>
      </c>
      <c r="BK267" s="314" t="str">
        <f t="shared" si="480"/>
        <v/>
      </c>
      <c r="BL267" s="314" t="e">
        <f>IF($J267="",#N/A,SUM(BK$4:BK267))</f>
        <v>#N/A</v>
      </c>
      <c r="BM267" s="315" t="str">
        <f t="shared" si="481"/>
        <v/>
      </c>
      <c r="BN267" s="315" t="e">
        <f>IF($J267="",#N/A,SUM(BM$4:BM267))</f>
        <v>#N/A</v>
      </c>
      <c r="BO267" s="315" t="e">
        <f>IF($J267="",#N/A,SUM(BM$4:BM267,BK$4:BK267,BI$4:BI267))</f>
        <v>#N/A</v>
      </c>
      <c r="BP267" s="304" t="str">
        <f t="shared" si="482"/>
        <v/>
      </c>
      <c r="BQ267" s="313" t="e">
        <f>IF($J267="",#N/A,SUM(BP$4:BP267))</f>
        <v>#N/A</v>
      </c>
      <c r="BR267" s="314" t="str">
        <f t="shared" si="483"/>
        <v/>
      </c>
      <c r="BS267" s="314" t="e">
        <f>IF($J267="",#N/A,SUM(BR$4:BR267))</f>
        <v>#N/A</v>
      </c>
      <c r="BT267" s="315" t="str">
        <f t="shared" si="484"/>
        <v/>
      </c>
      <c r="BU267" s="315" t="e">
        <f>IF($J267="",#N/A,SUM(BT$4:BT267))</f>
        <v>#N/A</v>
      </c>
      <c r="BV267" s="315" t="e">
        <f>IF($J267="",#N/A,SUM(BT$4:BT267,BR$4:BR267,BP$4:BP267))</f>
        <v>#N/A</v>
      </c>
      <c r="BW267" s="304" t="str">
        <f t="shared" si="485"/>
        <v/>
      </c>
      <c r="BX267" s="313" t="e">
        <f>IF($J267="",#N/A,SUM(BW$4:BW267))</f>
        <v>#N/A</v>
      </c>
      <c r="BY267" s="314" t="str">
        <f t="shared" si="486"/>
        <v/>
      </c>
      <c r="BZ267" s="314" t="e">
        <f>IF($J267="",#N/A,SUM(BY$4:BY267))</f>
        <v>#N/A</v>
      </c>
      <c r="CA267" s="315" t="str">
        <f t="shared" si="487"/>
        <v/>
      </c>
      <c r="CB267" s="315" t="e">
        <f>IF($J267="",#N/A,SUM(CA$4:CA267))</f>
        <v>#N/A</v>
      </c>
      <c r="CC267" s="315" t="e">
        <f>IF($J267="",#N/A,SUM(CA$4:CA267,BY$4:BY267,BW$4:BW267))</f>
        <v>#N/A</v>
      </c>
      <c r="CD267" s="304" t="str">
        <f t="shared" si="488"/>
        <v/>
      </c>
      <c r="CE267" s="313" t="e">
        <f>IF($J267="",#N/A,SUM(CD$4:CD267))</f>
        <v>#N/A</v>
      </c>
      <c r="CF267" s="314" t="str">
        <f t="shared" si="489"/>
        <v/>
      </c>
      <c r="CG267" s="314" t="e">
        <f>IF($J267="",#N/A,SUM(CF$4:CF267))</f>
        <v>#N/A</v>
      </c>
      <c r="CH267" s="315" t="str">
        <f t="shared" si="490"/>
        <v/>
      </c>
      <c r="CI267" s="315" t="e">
        <f>IF($J267="",#N/A,SUM(CH$4:CH267))</f>
        <v>#N/A</v>
      </c>
      <c r="CJ267" s="315" t="e">
        <f>IF($J267="",#N/A,SUM(CH$4:CH267,CF$4:CF267,CD$4:CD267))</f>
        <v>#N/A</v>
      </c>
      <c r="CK267" s="304" t="str">
        <f t="shared" si="491"/>
        <v/>
      </c>
      <c r="CL267" s="313" t="e">
        <f>IF($J267="",#N/A,SUM(CK$4:CK267))</f>
        <v>#N/A</v>
      </c>
      <c r="CM267" s="314" t="str">
        <f t="shared" si="492"/>
        <v/>
      </c>
      <c r="CN267" s="314" t="e">
        <f>IF($J267="",#N/A,SUM(CM$4:CM267))</f>
        <v>#N/A</v>
      </c>
      <c r="CO267" s="315">
        <f t="shared" si="493"/>
        <v>0.65062793160841459</v>
      </c>
      <c r="CP267" s="315" t="e">
        <f>IF($J267="",#N/A,SUM(CO$4:CO267))</f>
        <v>#N/A</v>
      </c>
      <c r="CQ267" s="315" t="e">
        <f>IF($J267="",#N/A,SUM(CO$4:CO267,CM$4:CM267,CK$4:CK267))</f>
        <v>#N/A</v>
      </c>
      <c r="CR267" s="304" t="str">
        <f t="shared" si="494"/>
        <v/>
      </c>
      <c r="CS267" s="313" t="e">
        <f>IF($J267="",#N/A,SUM(CR$4:CR267))</f>
        <v>#N/A</v>
      </c>
      <c r="CT267" s="314" t="str">
        <f t="shared" si="495"/>
        <v/>
      </c>
      <c r="CU267" s="314" t="e">
        <f>IF($J267="",#N/A,SUM(CT$4:CT267))</f>
        <v>#N/A</v>
      </c>
      <c r="CV267" s="315" t="str">
        <f t="shared" si="496"/>
        <v/>
      </c>
      <c r="CW267" s="315" t="e">
        <f>IF($J267="",#N/A,SUM(CV$4:CV267))</f>
        <v>#N/A</v>
      </c>
      <c r="CX267" s="315" t="e">
        <f>IF($J267="",#N/A,SUM(CV$4:CV267,CT$4:CT267,CR$4:CR267))</f>
        <v>#N/A</v>
      </c>
      <c r="CY267" s="304" t="str">
        <f t="shared" si="497"/>
        <v/>
      </c>
      <c r="CZ267" s="313" t="e">
        <f>IF($J267="",#N/A,SUM(CY$4:CY267))</f>
        <v>#N/A</v>
      </c>
      <c r="DA267" s="314" t="str">
        <f t="shared" si="498"/>
        <v/>
      </c>
      <c r="DB267" s="314" t="e">
        <f>IF($J267="",#N/A,SUM(DA$4:DA267))</f>
        <v>#N/A</v>
      </c>
      <c r="DC267" s="315" t="str">
        <f t="shared" si="499"/>
        <v/>
      </c>
      <c r="DD267" s="315" t="e">
        <f>IF($J267="",#N/A,SUM(DC$4:DC267))</f>
        <v>#N/A</v>
      </c>
      <c r="DE267" s="315" t="e">
        <f>IF($J267="",#N/A,SUM(DC$4:DC267,DA$4:DA267,CY$4:CY267))</f>
        <v>#N/A</v>
      </c>
      <c r="DF267" s="304" t="str">
        <f t="shared" si="500"/>
        <v/>
      </c>
      <c r="DG267" s="313" t="e">
        <f>IF($J267="",#N/A,SUM(DF$4:DF267))</f>
        <v>#N/A</v>
      </c>
      <c r="DH267" s="314" t="str">
        <f t="shared" si="501"/>
        <v/>
      </c>
      <c r="DI267" s="314" t="e">
        <f>IF($J267="",#N/A,SUM(DH$4:DH267))</f>
        <v>#N/A</v>
      </c>
      <c r="DJ267" s="315" t="str">
        <f t="shared" si="502"/>
        <v/>
      </c>
      <c r="DK267" s="315" t="e">
        <f>IF($J267="",#N/A,SUM(DJ$4:DJ267))</f>
        <v>#N/A</v>
      </c>
      <c r="DL267" s="315" t="e">
        <f>IF($J267="",#N/A,SUM(DJ$4:DJ267,DH$4:DH267,DF$4:DF267))</f>
        <v>#N/A</v>
      </c>
      <c r="DM267" s="304" t="str">
        <f t="shared" si="503"/>
        <v/>
      </c>
      <c r="DN267" s="313" t="e">
        <f>IF($J267="",#N/A,SUM(DM$4:DM267))</f>
        <v>#N/A</v>
      </c>
      <c r="DO267" s="314" t="str">
        <f t="shared" si="504"/>
        <v/>
      </c>
      <c r="DP267" s="314" t="e">
        <f>IF($J267="",#N/A,SUM(DO$4:DO267))</f>
        <v>#N/A</v>
      </c>
      <c r="DQ267" s="315" t="str">
        <f t="shared" si="505"/>
        <v/>
      </c>
      <c r="DR267" s="315" t="e">
        <f>IF($J267="",#N/A,SUM(DQ$4:DQ267))</f>
        <v>#N/A</v>
      </c>
      <c r="DS267" s="315" t="e">
        <f>IF($J267="",#N/A,SUM(DQ$4:DQ267,DO$4:DO267,DM$4:DM267))</f>
        <v>#N/A</v>
      </c>
      <c r="DT267" s="304" t="str">
        <f t="shared" si="506"/>
        <v/>
      </c>
      <c r="DU267" s="313" t="e">
        <f>IF($J267="",#N/A,SUM(DT$4:DT267))</f>
        <v>#N/A</v>
      </c>
      <c r="DV267" s="314" t="str">
        <f t="shared" si="507"/>
        <v/>
      </c>
      <c r="DW267" s="314" t="e">
        <f>IF($J267="",#N/A,SUM(DV$4:DV267))</f>
        <v>#N/A</v>
      </c>
      <c r="DX267" s="315" t="str">
        <f t="shared" si="508"/>
        <v/>
      </c>
      <c r="DY267" s="315" t="e">
        <f>IF($J267="",#N/A,SUM(DX$4:DX267))</f>
        <v>#N/A</v>
      </c>
      <c r="DZ267" s="315" t="e">
        <f>IF($J267="",#N/A,SUM(DX$4:DX267,DV$4:DV267,DT$4:DT267))</f>
        <v>#N/A</v>
      </c>
      <c r="EA267" s="304" t="str">
        <f t="shared" si="509"/>
        <v/>
      </c>
      <c r="EB267" s="313" t="e">
        <f>IF($J267="",#N/A,SUM(EA$4:EA267))</f>
        <v>#N/A</v>
      </c>
      <c r="EC267" s="314" t="str">
        <f t="shared" si="510"/>
        <v/>
      </c>
      <c r="ED267" s="314" t="e">
        <f>IF($J267="",#N/A,SUM(EC$4:EC267))</f>
        <v>#N/A</v>
      </c>
      <c r="EE267" s="315" t="str">
        <f t="shared" si="511"/>
        <v/>
      </c>
      <c r="EF267" s="315" t="e">
        <f>IF($J267="",#N/A,SUM(EE$4:EE267))</f>
        <v>#N/A</v>
      </c>
      <c r="EG267" s="315" t="e">
        <f>IF($J267="",#N/A,SUM(EE$4:EE267,EC$4:EC267,EA$4:EA267))</f>
        <v>#N/A</v>
      </c>
      <c r="EH267" s="130">
        <f t="shared" si="512"/>
        <v>25.800000000000068</v>
      </c>
      <c r="EI267" s="63">
        <f>IF(EH267="",#N/A,SUM($EH$4:EH267))</f>
        <v>1282.4279150456291</v>
      </c>
      <c r="EJ267" s="223" t="e">
        <f t="shared" si="513"/>
        <v>#N/A</v>
      </c>
      <c r="EK267" s="63" t="e">
        <f>IF($GZ267="",#N/A,SUM(EJ$4:EJ267))</f>
        <v>#N/A</v>
      </c>
      <c r="EL267" s="60">
        <f t="shared" si="544"/>
        <v>0.65062793160841459</v>
      </c>
      <c r="EM267" s="60">
        <f>IF(EL267="",NA(),SUM($EL$4:EL267))</f>
        <v>40.90065775595825</v>
      </c>
      <c r="EN267" s="60" t="str">
        <f t="shared" si="514"/>
        <v/>
      </c>
      <c r="EO267" s="60" t="e">
        <f>IF(EN267="",NA(),SUM($EN$4:EN267))</f>
        <v>#N/A</v>
      </c>
      <c r="EP267" s="60">
        <f t="shared" si="515"/>
        <v>0.65062793160841459</v>
      </c>
      <c r="EQ267" s="60">
        <f>IF(EP267="",NA(),SUM($EP$4:EP267))</f>
        <v>6.8745363009176579</v>
      </c>
      <c r="ER267" s="60" t="str">
        <f t="shared" si="516"/>
        <v/>
      </c>
      <c r="ES267" s="60" t="e">
        <f>IF(ER267="",NA(),SUM($ER$4:ER267))</f>
        <v>#N/A</v>
      </c>
      <c r="ET267" s="60" t="str">
        <f t="shared" si="517"/>
        <v/>
      </c>
      <c r="EU267" s="60" t="e">
        <f>IF(ET267="",NA(),SUM($ET$4:ET267))</f>
        <v>#N/A</v>
      </c>
      <c r="EV267" s="60" t="str">
        <f t="shared" si="518"/>
        <v/>
      </c>
      <c r="EW267" s="60" t="e">
        <f>IF(EV267="",NA(),SUM($EV$4:EV267))</f>
        <v>#N/A</v>
      </c>
      <c r="EX267" s="60" t="str">
        <f t="shared" si="519"/>
        <v/>
      </c>
      <c r="EY267" s="60" t="e">
        <f>IF(EX267="",NA(),SUM($EX$4:EX267))</f>
        <v>#N/A</v>
      </c>
      <c r="EZ267" s="60" t="str">
        <f t="shared" si="520"/>
        <v/>
      </c>
      <c r="FA267" s="60" t="e">
        <f>IF(EZ267="",NA(),SUM($EZ$4:EZ267))</f>
        <v>#N/A</v>
      </c>
      <c r="FB267" s="246" t="str">
        <f t="shared" si="545"/>
        <v/>
      </c>
      <c r="FC267" s="246" t="e">
        <f>IF($FB267="",#N/A,SUM(FB$4:$FB267))</f>
        <v>#N/A</v>
      </c>
      <c r="FD267" s="60" t="str">
        <f t="shared" si="521"/>
        <v/>
      </c>
      <c r="FE267" s="60" t="e">
        <f>IF($FD267="",#N/A,SUM($FD$4:FD267))</f>
        <v>#N/A</v>
      </c>
      <c r="FF267" s="60" t="str">
        <f t="shared" si="522"/>
        <v/>
      </c>
      <c r="FG267" s="60" t="e">
        <f>IF($FF267="",#N/A,SUM($FF$4:FF267))</f>
        <v>#N/A</v>
      </c>
      <c r="FH267" s="60" t="str">
        <f t="shared" si="523"/>
        <v/>
      </c>
      <c r="FI267" s="60" t="e">
        <f>IF($FH267="",#N/A,SUM($FH$4:FH267))</f>
        <v>#N/A</v>
      </c>
      <c r="FJ267" s="60">
        <f t="shared" si="524"/>
        <v>0.846068492459776</v>
      </c>
      <c r="FK267" s="60">
        <f>IF($FJ267="",#N/A,SUM($FJ$4:FJ267))</f>
        <v>-5.7388552050817738</v>
      </c>
      <c r="FL267" s="60" t="str">
        <f t="shared" si="525"/>
        <v/>
      </c>
      <c r="FM267" s="60" t="e">
        <f>IF($FL267="",#N/A,SUM($FL$4:FL267))</f>
        <v>#N/A</v>
      </c>
      <c r="FN267" s="82">
        <f t="shared" si="526"/>
        <v>1.4966964240681906</v>
      </c>
      <c r="FO267" s="82">
        <f>IF($FN267="",#N/A,SUM(FN$4:$FN267))</f>
        <v>51.220711916290497</v>
      </c>
      <c r="FP267" s="82">
        <f t="shared" si="546"/>
        <v>0.65062793160841459</v>
      </c>
      <c r="FQ267" s="246">
        <f>IF($EH267="",#N/A,SUM($FP$4:FP267))</f>
        <v>50.352292964299707</v>
      </c>
      <c r="FR267" s="82">
        <f>IFERROR(FQ267/COUNTA($J$4:J267),#N/A)</f>
        <v>0.1907283824405292</v>
      </c>
      <c r="FS267" s="82">
        <f t="shared" si="448"/>
        <v>0.30357049796293056</v>
      </c>
      <c r="FT267" s="82">
        <f t="shared" si="449"/>
        <v>0.35001632210670636</v>
      </c>
      <c r="FU267" s="337">
        <f t="shared" si="547"/>
        <v>24.582624634654863</v>
      </c>
      <c r="FV267" s="57" t="str">
        <f t="shared" si="527"/>
        <v>SW</v>
      </c>
      <c r="FW267" s="57" t="s">
        <v>2732</v>
      </c>
      <c r="FX267" s="57" t="str">
        <f t="shared" si="528"/>
        <v/>
      </c>
      <c r="FY267" s="57" t="str">
        <f t="shared" si="529"/>
        <v/>
      </c>
      <c r="FZ267" s="57">
        <f t="shared" si="530"/>
        <v>1</v>
      </c>
      <c r="GA267" s="57" t="str">
        <f t="shared" si="531"/>
        <v>Long</v>
      </c>
      <c r="GB267" s="57" t="str">
        <f t="shared" si="532"/>
        <v/>
      </c>
      <c r="GC267" s="57" t="str">
        <f t="shared" si="533"/>
        <v/>
      </c>
      <c r="GD267" s="57" t="str">
        <f t="shared" si="534"/>
        <v/>
      </c>
      <c r="GE267" s="62">
        <f t="shared" si="451"/>
        <v>660.9</v>
      </c>
      <c r="GF267" s="62" t="s">
        <v>2780</v>
      </c>
      <c r="GG267" s="199">
        <v>1</v>
      </c>
      <c r="GH267" s="207">
        <f t="shared" si="535"/>
        <v>660.9</v>
      </c>
      <c r="GI267" s="199">
        <v>1</v>
      </c>
      <c r="GJ267" s="200">
        <v>718.68</v>
      </c>
      <c r="GK267" s="63">
        <f t="shared" si="536"/>
        <v>-57.779999999999973</v>
      </c>
      <c r="GL267" s="63">
        <f t="shared" si="452"/>
        <v>-59.350000000000023</v>
      </c>
      <c r="GM267" s="82">
        <f t="shared" si="537"/>
        <v>1.4966964240681906</v>
      </c>
      <c r="GN267" s="82">
        <f>IF($GZ267="",#N/A,SUM(GM$4:GM267))</f>
        <v>1.1895675504537031</v>
      </c>
      <c r="GO267" s="82" t="str">
        <f t="shared" si="538"/>
        <v/>
      </c>
      <c r="GP267" s="82">
        <f>IF($GZ267="",#N/A,SUM(GO$4:GO267))</f>
        <v>15.483108400264154</v>
      </c>
      <c r="GQ267" s="82" t="str">
        <f t="shared" si="539"/>
        <v/>
      </c>
      <c r="GR267" s="82">
        <f>IF($GZ267="",#N/A,SUM(GQ$4:GQ267))</f>
        <v>33.92219901113031</v>
      </c>
      <c r="GS267" s="63" t="e">
        <f t="shared" si="548"/>
        <v>#N/A</v>
      </c>
      <c r="GT267" s="63" t="e">
        <f>IF($GZ267="",#N/A,SUM(GS$4:GS267))</f>
        <v>#N/A</v>
      </c>
      <c r="GU267" s="63" t="str">
        <f t="shared" si="549"/>
        <v/>
      </c>
      <c r="GV267" s="63" t="e">
        <f>IF($GZ267="",#N/A,SUM(GU$4:GU267))</f>
        <v>#N/A</v>
      </c>
      <c r="GW267" s="63" t="str">
        <f t="shared" si="550"/>
        <v/>
      </c>
      <c r="GX267" s="63" t="e">
        <f>IF($GZ267="",#N/A,SUM(GW$4:GW267))</f>
        <v>#N/A</v>
      </c>
      <c r="GY267" s="63" t="e">
        <f>IF(EJ267="",#N/A,SUM($EJ$4:EJ267))</f>
        <v>#N/A</v>
      </c>
      <c r="GZ267" s="159">
        <v>720.25</v>
      </c>
      <c r="HA267" s="63">
        <f t="shared" si="540"/>
        <v>-85.150000000000091</v>
      </c>
      <c r="HB267" s="62" t="s">
        <v>4734</v>
      </c>
      <c r="HC267" s="60">
        <f>IFERROR(VLOOKUP(E267,Expectancy!$P$4:$S$19,1+C267,FALSE),"")</f>
        <v>-0.16876070792161713</v>
      </c>
      <c r="HD267" s="82">
        <f t="shared" si="541"/>
        <v>-1.4571039491602356</v>
      </c>
      <c r="HE267" s="138">
        <f>IF(HD267="",#N/A,SUM($HD$4:HD267))</f>
        <v>11.239668329644843</v>
      </c>
      <c r="HF267" s="85">
        <f>IF(HD267="",#N/A,IF(HB267="Skip",#N/A,SUM($HG$4:HG267)))</f>
        <v>279.08156919911443</v>
      </c>
      <c r="HG267" s="63">
        <f t="shared" si="542"/>
        <v>-57.779999999999973</v>
      </c>
      <c r="HH267" s="82">
        <f t="shared" si="543"/>
        <v>1.4966964240681906</v>
      </c>
    </row>
    <row r="268" spans="1:216" x14ac:dyDescent="0.25">
      <c r="A268" s="57" t="s">
        <v>810</v>
      </c>
      <c r="B268" s="58" t="s">
        <v>5154</v>
      </c>
      <c r="C268" s="386">
        <f t="shared" si="453"/>
        <v>3</v>
      </c>
      <c r="D268" s="372" t="str">
        <f>_xlfn.XLOOKUP(A268,[1]SP500!$A$2:$A$502,[1]SP500!$D$2:$D$502,"N")</f>
        <v>Y</v>
      </c>
      <c r="E268" s="57" t="str">
        <f>_xlfn.XLOOKUP(A268,[1]SP500!$A$2:$A$655,[1]SP500!$B$2:$B$655)</f>
        <v>XLV</v>
      </c>
      <c r="F268" s="59">
        <v>45694</v>
      </c>
      <c r="G268" s="57" t="str">
        <f t="shared" si="454"/>
        <v>AMC</v>
      </c>
      <c r="H268" s="57" t="str">
        <f t="shared" si="455"/>
        <v>o</v>
      </c>
      <c r="I268" s="159">
        <v>1357.26</v>
      </c>
      <c r="J268" s="159">
        <v>1438.46</v>
      </c>
      <c r="K268" s="61">
        <f t="shared" si="456"/>
        <v>5.9826414983127803E-2</v>
      </c>
      <c r="L268" s="87">
        <f t="shared" si="457"/>
        <v>23.93056599325115</v>
      </c>
      <c r="M268" s="210" t="e">
        <f t="shared" si="450"/>
        <v>#N/A</v>
      </c>
      <c r="N268" s="168" t="str">
        <f t="shared" si="458"/>
        <v/>
      </c>
      <c r="O268" s="168">
        <f>IF($J268="",#N/A,SUM($N$4:N268))</f>
        <v>469.42511614781222</v>
      </c>
      <c r="P268" s="173" t="str">
        <f t="shared" si="459"/>
        <v/>
      </c>
      <c r="Q268" s="173">
        <f>IF($J268="",#N/A,SUM($P$4:P268))</f>
        <v>631.89890674734102</v>
      </c>
      <c r="R268" s="177">
        <f t="shared" si="460"/>
        <v>23.93056599325115</v>
      </c>
      <c r="S268" s="177">
        <f>IF($J268="",#N/A,SUM($R$4:R268))</f>
        <v>205.03445814372699</v>
      </c>
      <c r="T268" s="293" t="str">
        <f t="shared" si="461"/>
        <v/>
      </c>
      <c r="U268" s="293">
        <f>IF($J268="",#N/A,SUM($T$4:T268))</f>
        <v>17.87231344919687</v>
      </c>
      <c r="V268" s="294" t="str">
        <f t="shared" si="462"/>
        <v/>
      </c>
      <c r="W268" s="294">
        <f>IF($J268="",#N/A,SUM($V$4:V268))</f>
        <v>26.276057629954881</v>
      </c>
      <c r="X268" s="295">
        <f t="shared" si="463"/>
        <v>0.99710691638546456</v>
      </c>
      <c r="Y268" s="295">
        <f>IF($J268="",#N/A,SUM($X$4:X268))</f>
        <v>7.2010288015334387</v>
      </c>
      <c r="Z268" s="304" t="str">
        <f t="shared" si="464"/>
        <v/>
      </c>
      <c r="AA268" s="316" t="e">
        <f>IF($J268="",#N/A,SUM(Z$4:Z268))</f>
        <v>#N/A</v>
      </c>
      <c r="AB268" s="317" t="str">
        <f t="shared" si="465"/>
        <v/>
      </c>
      <c r="AC268" s="317" t="e">
        <f>IF($J268="",#N/A,SUM(AB$4:AB268))</f>
        <v>#N/A</v>
      </c>
      <c r="AD268" s="318" t="str">
        <f t="shared" si="466"/>
        <v/>
      </c>
      <c r="AE268" s="318" t="e">
        <f>IF($J268="",#N/A,SUM(AD$4:AD268))</f>
        <v>#N/A</v>
      </c>
      <c r="AF268" s="318" t="e">
        <f>IF($J268="",#N/A,SUM(AD$4:AD268,AB$4:AB268,Z$4:Z268))</f>
        <v>#N/A</v>
      </c>
      <c r="AG268" s="304" t="str">
        <f t="shared" si="467"/>
        <v/>
      </c>
      <c r="AH268" s="316" t="e">
        <f>IF($J268="",#N/A,SUM(AG$4:AG268))</f>
        <v>#N/A</v>
      </c>
      <c r="AI268" s="317" t="str">
        <f t="shared" si="468"/>
        <v/>
      </c>
      <c r="AJ268" s="317" t="e">
        <f>IF($J268="",#N/A,SUM(AI$4:AI268))</f>
        <v>#N/A</v>
      </c>
      <c r="AK268" s="318" t="str">
        <f t="shared" si="469"/>
        <v/>
      </c>
      <c r="AL268" s="318" t="e">
        <f>IF($J268="",#N/A,SUM(AK$4:AK268))</f>
        <v>#N/A</v>
      </c>
      <c r="AM268" s="318" t="e">
        <f>IF($J268="",#N/A,SUM(AK$4:AK268,AI$4:AI268,AG$4:AG268))</f>
        <v>#N/A</v>
      </c>
      <c r="AN268" s="304" t="str">
        <f t="shared" si="470"/>
        <v/>
      </c>
      <c r="AO268" s="316" t="e">
        <f>IF($J268="",#N/A,SUM(AN$4:AN268))</f>
        <v>#N/A</v>
      </c>
      <c r="AP268" s="317" t="str">
        <f t="shared" si="471"/>
        <v/>
      </c>
      <c r="AQ268" s="317" t="e">
        <f>IF($J268="",#N/A,SUM(AP$4:AP268))</f>
        <v>#N/A</v>
      </c>
      <c r="AR268" s="318" t="str">
        <f t="shared" si="472"/>
        <v/>
      </c>
      <c r="AS268" s="318" t="e">
        <f>IF($J268="",#N/A,SUM(AR$4:AR268))</f>
        <v>#N/A</v>
      </c>
      <c r="AT268" s="318" t="e">
        <f>IF($J268="",#N/A,SUM(AR$4:AR268,AP$4:AP268,AN$4:AN268))</f>
        <v>#N/A</v>
      </c>
      <c r="AU268" s="304" t="str">
        <f t="shared" si="473"/>
        <v/>
      </c>
      <c r="AV268" s="316" t="e">
        <f>IF($J268="",#N/A,SUM(AU$4:AU268))</f>
        <v>#N/A</v>
      </c>
      <c r="AW268" s="317" t="str">
        <f t="shared" si="474"/>
        <v/>
      </c>
      <c r="AX268" s="317" t="e">
        <f>IF($J268="",#N/A,SUM(AW$4:AW268))</f>
        <v>#N/A</v>
      </c>
      <c r="AY268" s="318" t="str">
        <f t="shared" si="475"/>
        <v/>
      </c>
      <c r="AZ268" s="318" t="e">
        <f>IF($J268="",#N/A,SUM(AY$4:AY268))</f>
        <v>#N/A</v>
      </c>
      <c r="BA268" s="318" t="e">
        <f>IF($J268="",#N/A,SUM(AY$4:AY268,AW$4:AW268,AU$4:AU268))</f>
        <v>#N/A</v>
      </c>
      <c r="BB268" s="304" t="str">
        <f t="shared" si="476"/>
        <v/>
      </c>
      <c r="BC268" s="316" t="e">
        <f>IF($J268="",#N/A,SUM(BB$4:BB268))</f>
        <v>#N/A</v>
      </c>
      <c r="BD268" s="317" t="str">
        <f t="shared" si="477"/>
        <v/>
      </c>
      <c r="BE268" s="317" t="e">
        <f>IF($J268="",#N/A,SUM(BD$4:BD268))</f>
        <v>#N/A</v>
      </c>
      <c r="BF268" s="318" t="str">
        <f t="shared" si="478"/>
        <v/>
      </c>
      <c r="BG268" s="318" t="e">
        <f>IF($J268="",#N/A,SUM(BF$4:BF268))</f>
        <v>#N/A</v>
      </c>
      <c r="BH268" s="318" t="e">
        <f>IF($J268="",#N/A,SUM(BF$4:BF268,BD$4:BD268,BB$4:BB268))</f>
        <v>#N/A</v>
      </c>
      <c r="BI268" s="304" t="str">
        <f t="shared" si="479"/>
        <v/>
      </c>
      <c r="BJ268" s="316" t="e">
        <f>IF($J268="",#N/A,SUM(BI$4:BI268))</f>
        <v>#N/A</v>
      </c>
      <c r="BK268" s="317" t="str">
        <f t="shared" si="480"/>
        <v/>
      </c>
      <c r="BL268" s="317" t="e">
        <f>IF($J268="",#N/A,SUM(BK$4:BK268))</f>
        <v>#N/A</v>
      </c>
      <c r="BM268" s="318" t="str">
        <f t="shared" si="481"/>
        <v/>
      </c>
      <c r="BN268" s="318" t="e">
        <f>IF($J268="",#N/A,SUM(BM$4:BM268))</f>
        <v>#N/A</v>
      </c>
      <c r="BO268" s="318" t="e">
        <f>IF($J268="",#N/A,SUM(BM$4:BM268,BK$4:BK268,BI$4:BI268))</f>
        <v>#N/A</v>
      </c>
      <c r="BP268" s="304" t="str">
        <f t="shared" si="482"/>
        <v/>
      </c>
      <c r="BQ268" s="316" t="e">
        <f>IF($J268="",#N/A,SUM(BP$4:BP268))</f>
        <v>#N/A</v>
      </c>
      <c r="BR268" s="317" t="str">
        <f t="shared" si="483"/>
        <v/>
      </c>
      <c r="BS268" s="317" t="e">
        <f>IF($J268="",#N/A,SUM(BR$4:BR268))</f>
        <v>#N/A</v>
      </c>
      <c r="BT268" s="318" t="str">
        <f t="shared" si="484"/>
        <v/>
      </c>
      <c r="BU268" s="318" t="e">
        <f>IF($J268="",#N/A,SUM(BT$4:BT268))</f>
        <v>#N/A</v>
      </c>
      <c r="BV268" s="318" t="e">
        <f>IF($J268="",#N/A,SUM(BT$4:BT268,BR$4:BR268,BP$4:BP268))</f>
        <v>#N/A</v>
      </c>
      <c r="BW268" s="304" t="str">
        <f t="shared" si="485"/>
        <v/>
      </c>
      <c r="BX268" s="316" t="e">
        <f>IF($J268="",#N/A,SUM(BW$4:BW268))</f>
        <v>#N/A</v>
      </c>
      <c r="BY268" s="317" t="str">
        <f t="shared" si="486"/>
        <v/>
      </c>
      <c r="BZ268" s="317" t="e">
        <f>IF($J268="",#N/A,SUM(BY$4:BY268))</f>
        <v>#N/A</v>
      </c>
      <c r="CA268" s="318">
        <f t="shared" si="487"/>
        <v>0.99710691638546456</v>
      </c>
      <c r="CB268" s="318" t="e">
        <f>IF($J268="",#N/A,SUM(CA$4:CA268))</f>
        <v>#N/A</v>
      </c>
      <c r="CC268" s="318" t="e">
        <f>IF($J268="",#N/A,SUM(CA$4:CA268,BY$4:BY268,BW$4:BW268))</f>
        <v>#N/A</v>
      </c>
      <c r="CD268" s="304" t="str">
        <f t="shared" si="488"/>
        <v/>
      </c>
      <c r="CE268" s="316" t="e">
        <f>IF($J268="",#N/A,SUM(CD$4:CD268))</f>
        <v>#N/A</v>
      </c>
      <c r="CF268" s="317" t="str">
        <f t="shared" si="489"/>
        <v/>
      </c>
      <c r="CG268" s="317" t="e">
        <f>IF($J268="",#N/A,SUM(CF$4:CF268))</f>
        <v>#N/A</v>
      </c>
      <c r="CH268" s="318" t="str">
        <f t="shared" si="490"/>
        <v/>
      </c>
      <c r="CI268" s="318" t="e">
        <f>IF($J268="",#N/A,SUM(CH$4:CH268))</f>
        <v>#N/A</v>
      </c>
      <c r="CJ268" s="318" t="e">
        <f>IF($J268="",#N/A,SUM(CH$4:CH268,CF$4:CF268,CD$4:CD268))</f>
        <v>#N/A</v>
      </c>
      <c r="CK268" s="304" t="str">
        <f t="shared" si="491"/>
        <v/>
      </c>
      <c r="CL268" s="316" t="e">
        <f>IF($J268="",#N/A,SUM(CK$4:CK268))</f>
        <v>#N/A</v>
      </c>
      <c r="CM268" s="317" t="str">
        <f t="shared" si="492"/>
        <v/>
      </c>
      <c r="CN268" s="317" t="e">
        <f>IF($J268="",#N/A,SUM(CM$4:CM268))</f>
        <v>#N/A</v>
      </c>
      <c r="CO268" s="318" t="str">
        <f t="shared" si="493"/>
        <v/>
      </c>
      <c r="CP268" s="318" t="e">
        <f>IF($J268="",#N/A,SUM(CO$4:CO268))</f>
        <v>#N/A</v>
      </c>
      <c r="CQ268" s="318" t="e">
        <f>IF($J268="",#N/A,SUM(CO$4:CO268,CM$4:CM268,CK$4:CK268))</f>
        <v>#N/A</v>
      </c>
      <c r="CR268" s="304" t="str">
        <f t="shared" si="494"/>
        <v/>
      </c>
      <c r="CS268" s="316" t="e">
        <f>IF($J268="",#N/A,SUM(CR$4:CR268))</f>
        <v>#N/A</v>
      </c>
      <c r="CT268" s="317" t="str">
        <f t="shared" si="495"/>
        <v/>
      </c>
      <c r="CU268" s="317" t="e">
        <f>IF($J268="",#N/A,SUM(CT$4:CT268))</f>
        <v>#N/A</v>
      </c>
      <c r="CV268" s="318" t="str">
        <f t="shared" si="496"/>
        <v/>
      </c>
      <c r="CW268" s="318" t="e">
        <f>IF($J268="",#N/A,SUM(CV$4:CV268))</f>
        <v>#N/A</v>
      </c>
      <c r="CX268" s="318" t="e">
        <f>IF($J268="",#N/A,SUM(CV$4:CV268,CT$4:CT268,CR$4:CR268))</f>
        <v>#N/A</v>
      </c>
      <c r="CY268" s="304" t="str">
        <f t="shared" si="497"/>
        <v/>
      </c>
      <c r="CZ268" s="316" t="e">
        <f>IF($J268="",#N/A,SUM(CY$4:CY268))</f>
        <v>#N/A</v>
      </c>
      <c r="DA268" s="317" t="str">
        <f t="shared" si="498"/>
        <v/>
      </c>
      <c r="DB268" s="317" t="e">
        <f>IF($J268="",#N/A,SUM(DA$4:DA268))</f>
        <v>#N/A</v>
      </c>
      <c r="DC268" s="318" t="str">
        <f t="shared" si="499"/>
        <v/>
      </c>
      <c r="DD268" s="318" t="e">
        <f>IF($J268="",#N/A,SUM(DC$4:DC268))</f>
        <v>#N/A</v>
      </c>
      <c r="DE268" s="318" t="e">
        <f>IF($J268="",#N/A,SUM(DC$4:DC268,DA$4:DA268,CY$4:CY268))</f>
        <v>#N/A</v>
      </c>
      <c r="DF268" s="304" t="str">
        <f t="shared" si="500"/>
        <v/>
      </c>
      <c r="DG268" s="316" t="e">
        <f>IF($J268="",#N/A,SUM(DF$4:DF268))</f>
        <v>#N/A</v>
      </c>
      <c r="DH268" s="317" t="str">
        <f t="shared" si="501"/>
        <v/>
      </c>
      <c r="DI268" s="317" t="e">
        <f>IF($J268="",#N/A,SUM(DH$4:DH268))</f>
        <v>#N/A</v>
      </c>
      <c r="DJ268" s="318" t="str">
        <f t="shared" si="502"/>
        <v/>
      </c>
      <c r="DK268" s="318" t="e">
        <f>IF($J268="",#N/A,SUM(DJ$4:DJ268))</f>
        <v>#N/A</v>
      </c>
      <c r="DL268" s="318" t="e">
        <f>IF($J268="",#N/A,SUM(DJ$4:DJ268,DH$4:DH268,DF$4:DF268))</f>
        <v>#N/A</v>
      </c>
      <c r="DM268" s="304" t="str">
        <f t="shared" si="503"/>
        <v/>
      </c>
      <c r="DN268" s="316" t="e">
        <f>IF($J268="",#N/A,SUM(DM$4:DM268))</f>
        <v>#N/A</v>
      </c>
      <c r="DO268" s="317" t="str">
        <f t="shared" si="504"/>
        <v/>
      </c>
      <c r="DP268" s="317" t="e">
        <f>IF($J268="",#N/A,SUM(DO$4:DO268))</f>
        <v>#N/A</v>
      </c>
      <c r="DQ268" s="318" t="str">
        <f t="shared" si="505"/>
        <v/>
      </c>
      <c r="DR268" s="318" t="e">
        <f>IF($J268="",#N/A,SUM(DQ$4:DQ268))</f>
        <v>#N/A</v>
      </c>
      <c r="DS268" s="318" t="e">
        <f>IF($J268="",#N/A,SUM(DQ$4:DQ268,DO$4:DO268,DM$4:DM268))</f>
        <v>#N/A</v>
      </c>
      <c r="DT268" s="304" t="str">
        <f t="shared" si="506"/>
        <v/>
      </c>
      <c r="DU268" s="316" t="e">
        <f>IF($J268="",#N/A,SUM(DT$4:DT268))</f>
        <v>#N/A</v>
      </c>
      <c r="DV268" s="317" t="str">
        <f t="shared" si="507"/>
        <v/>
      </c>
      <c r="DW268" s="317" t="e">
        <f>IF($J268="",#N/A,SUM(DV$4:DV268))</f>
        <v>#N/A</v>
      </c>
      <c r="DX268" s="318" t="str">
        <f t="shared" si="508"/>
        <v/>
      </c>
      <c r="DY268" s="318" t="e">
        <f>IF($J268="",#N/A,SUM(DX$4:DX268))</f>
        <v>#N/A</v>
      </c>
      <c r="DZ268" s="318" t="e">
        <f>IF($J268="",#N/A,SUM(DX$4:DX268,DV$4:DV268,DT$4:DT268))</f>
        <v>#N/A</v>
      </c>
      <c r="EA268" s="304" t="str">
        <f t="shared" si="509"/>
        <v/>
      </c>
      <c r="EB268" s="316" t="e">
        <f>IF($J268="",#N/A,SUM(EA$4:EA268))</f>
        <v>#N/A</v>
      </c>
      <c r="EC268" s="317" t="str">
        <f t="shared" si="510"/>
        <v/>
      </c>
      <c r="ED268" s="317" t="e">
        <f>IF($J268="",#N/A,SUM(EC$4:EC268))</f>
        <v>#N/A</v>
      </c>
      <c r="EE268" s="318" t="str">
        <f t="shared" si="511"/>
        <v/>
      </c>
      <c r="EF268" s="318" t="e">
        <f>IF($J268="",#N/A,SUM(EE$4:EE268))</f>
        <v>#N/A</v>
      </c>
      <c r="EG268" s="318" t="e">
        <f>IF($J268="",#N/A,SUM(EE$4:EE268,EC$4:EC268,EA$4:EA268))</f>
        <v>#N/A</v>
      </c>
      <c r="EH268" s="211">
        <f t="shared" si="512"/>
        <v>23.93056599325115</v>
      </c>
      <c r="EI268" s="63">
        <f>IF(EH268="",#N/A,SUM($EH$4:EH268))</f>
        <v>1306.3584810388802</v>
      </c>
      <c r="EJ268" s="223" t="e">
        <f t="shared" si="513"/>
        <v>#N/A</v>
      </c>
      <c r="EK268" s="63" t="e">
        <f>IF($GZ268="",#N/A,SUM(EJ$4:EJ268))</f>
        <v>#N/A</v>
      </c>
      <c r="EL268" s="60">
        <f t="shared" si="544"/>
        <v>0.99710691638546456</v>
      </c>
      <c r="EM268" s="60">
        <f>IF(EL268="",NA(),SUM($EL$4:EL268))</f>
        <v>41.897764672343712</v>
      </c>
      <c r="EN268" s="60" t="str">
        <f t="shared" si="514"/>
        <v/>
      </c>
      <c r="EO268" s="60" t="e">
        <f>IF(EN268="",NA(),SUM($EN$4:EN268))</f>
        <v>#N/A</v>
      </c>
      <c r="EP268" s="60">
        <f t="shared" si="515"/>
        <v>0.99710691638546456</v>
      </c>
      <c r="EQ268" s="60">
        <f>IF(EP268="",NA(),SUM($EP$4:EP268))</f>
        <v>7.8716432173031228</v>
      </c>
      <c r="ER268" s="60" t="str">
        <f t="shared" si="516"/>
        <v/>
      </c>
      <c r="ES268" s="60" t="e">
        <f>IF(ER268="",NA(),SUM($ER$4:ER268))</f>
        <v>#N/A</v>
      </c>
      <c r="ET268" s="60" t="str">
        <f t="shared" si="517"/>
        <v/>
      </c>
      <c r="EU268" s="60" t="e">
        <f>IF(ET268="",NA(),SUM($ET$4:ET268))</f>
        <v>#N/A</v>
      </c>
      <c r="EV268" s="60" t="str">
        <f t="shared" si="518"/>
        <v/>
      </c>
      <c r="EW268" s="60" t="e">
        <f>IF(EV268="",NA(),SUM($EV$4:EV268))</f>
        <v>#N/A</v>
      </c>
      <c r="EX268" s="60" t="str">
        <f t="shared" si="519"/>
        <v/>
      </c>
      <c r="EY268" s="60" t="e">
        <f>IF(EX268="",NA(),SUM($EX$4:EX268))</f>
        <v>#N/A</v>
      </c>
      <c r="EZ268" s="60" t="str">
        <f t="shared" si="520"/>
        <v/>
      </c>
      <c r="FA268" s="60" t="e">
        <f>IF(EZ268="",NA(),SUM($EZ$4:EZ268))</f>
        <v>#N/A</v>
      </c>
      <c r="FB268" s="246" t="str">
        <f t="shared" si="545"/>
        <v/>
      </c>
      <c r="FC268" s="246" t="e">
        <f>IF($FB268="",#N/A,SUM(FB$4:$FB268))</f>
        <v>#N/A</v>
      </c>
      <c r="FD268" s="60" t="str">
        <f t="shared" si="521"/>
        <v/>
      </c>
      <c r="FE268" s="60" t="e">
        <f>IF($FD268="",#N/A,SUM($FD$4:FD268))</f>
        <v>#N/A</v>
      </c>
      <c r="FF268" s="60" t="str">
        <f t="shared" si="522"/>
        <v/>
      </c>
      <c r="FG268" s="60" t="e">
        <f>IF($FF268="",#N/A,SUM($FF$4:FF268))</f>
        <v>#N/A</v>
      </c>
      <c r="FH268" s="60" t="str">
        <f t="shared" si="523"/>
        <v/>
      </c>
      <c r="FI268" s="60" t="e">
        <f>IF($FH268="",#N/A,SUM($FH$4:FH268))</f>
        <v>#N/A</v>
      </c>
      <c r="FJ268" s="60">
        <f t="shared" si="524"/>
        <v>-0.59507144295615433</v>
      </c>
      <c r="FK268" s="60">
        <f>IF($FJ268="",#N/A,SUM($FJ$4:FJ268))</f>
        <v>-6.3339266480379282</v>
      </c>
      <c r="FL268" s="60" t="str">
        <f t="shared" si="525"/>
        <v/>
      </c>
      <c r="FM268" s="60" t="e">
        <f>IF($FL268="",#N/A,SUM($FL$4:FL268))</f>
        <v>#N/A</v>
      </c>
      <c r="FN268" s="82">
        <f t="shared" si="526"/>
        <v>0.40203547342931029</v>
      </c>
      <c r="FO268" s="82">
        <f>IF($FN268="",#N/A,SUM(FN$4:$FN268))</f>
        <v>51.622747389719805</v>
      </c>
      <c r="FP268" s="82">
        <f t="shared" si="546"/>
        <v>0.99710691638546456</v>
      </c>
      <c r="FQ268" s="246">
        <f>IF($EH268="",#N/A,SUM($FP$4:FP268))</f>
        <v>51.349399880685169</v>
      </c>
      <c r="FR268" s="82">
        <f>IFERROR(FQ268/COUNTA($J$4:J268),#N/A)</f>
        <v>0.19377132030447233</v>
      </c>
      <c r="FS268" s="82">
        <f t="shared" si="448"/>
        <v>0.33871412232119441</v>
      </c>
      <c r="FT268" s="82">
        <f t="shared" si="449"/>
        <v>0.36986326210997789</v>
      </c>
      <c r="FU268" s="273"/>
      <c r="FV268" s="57" t="str">
        <f t="shared" si="527"/>
        <v>SW</v>
      </c>
      <c r="FW268" s="57" t="s">
        <v>2732</v>
      </c>
      <c r="FX268" s="57" t="str">
        <f t="shared" si="528"/>
        <v/>
      </c>
      <c r="FY268" s="57" t="str">
        <f t="shared" si="529"/>
        <v/>
      </c>
      <c r="FZ268" s="57">
        <f t="shared" si="530"/>
        <v>1</v>
      </c>
      <c r="GA268" s="57" t="str">
        <f t="shared" si="531"/>
        <v>Long</v>
      </c>
      <c r="GB268" s="57" t="str">
        <f t="shared" si="532"/>
        <v/>
      </c>
      <c r="GC268" s="57" t="str">
        <f t="shared" si="533"/>
        <v/>
      </c>
      <c r="GD268" s="57" t="str">
        <f t="shared" si="534"/>
        <v/>
      </c>
      <c r="GE268" s="62">
        <f t="shared" si="451"/>
        <v>1357.26</v>
      </c>
      <c r="GF268" s="62" t="s">
        <v>2779</v>
      </c>
      <c r="GG268" s="99">
        <f>400/I268</f>
        <v>0.29471140385777228</v>
      </c>
      <c r="GH268" s="207">
        <f t="shared" si="535"/>
        <v>400</v>
      </c>
      <c r="GI268" s="99">
        <f>GG268</f>
        <v>0.29471140385777228</v>
      </c>
      <c r="GJ268" s="98">
        <f>J268</f>
        <v>1438.46</v>
      </c>
      <c r="GK268" s="63">
        <f t="shared" si="536"/>
        <v>23.93056599325115</v>
      </c>
      <c r="GL268" s="63">
        <f t="shared" si="452"/>
        <v>9.6488513623034464</v>
      </c>
      <c r="GM268" s="82">
        <f t="shared" si="537"/>
        <v>0.40203547342931029</v>
      </c>
      <c r="GN268" s="82">
        <f>IF($GZ268="",#N/A,SUM(GM$4:GM268))</f>
        <v>1.5916030238830134</v>
      </c>
      <c r="GO268" s="82" t="str">
        <f t="shared" si="538"/>
        <v/>
      </c>
      <c r="GP268" s="82">
        <f>IF($GZ268="",#N/A,SUM(GO$4:GO268))</f>
        <v>15.483108400264154</v>
      </c>
      <c r="GQ268" s="82" t="str">
        <f t="shared" si="539"/>
        <v/>
      </c>
      <c r="GR268" s="82">
        <f>IF($GZ268="",#N/A,SUM(GQ$4:GQ268))</f>
        <v>33.92219901113031</v>
      </c>
      <c r="GS268" s="63" t="e">
        <f t="shared" si="548"/>
        <v>#N/A</v>
      </c>
      <c r="GT268" s="63" t="e">
        <f>IF($GZ268="",#N/A,SUM(GS$4:GS268))</f>
        <v>#N/A</v>
      </c>
      <c r="GU268" s="63" t="str">
        <f t="shared" si="549"/>
        <v/>
      </c>
      <c r="GV268" s="63" t="e">
        <f>IF($GZ268="",#N/A,SUM(GU$4:GU268))</f>
        <v>#N/A</v>
      </c>
      <c r="GW268" s="63" t="str">
        <f t="shared" si="550"/>
        <v/>
      </c>
      <c r="GX268" s="63" t="e">
        <f>IF($GZ268="",#N/A,SUM(GW$4:GW268))</f>
        <v>#N/A</v>
      </c>
      <c r="GY268" s="63" t="e">
        <f>IF(EJ268="",#N/A,SUM($EJ$4:EJ268))</f>
        <v>#N/A</v>
      </c>
      <c r="GZ268" s="159">
        <v>1390</v>
      </c>
      <c r="HA268" s="63">
        <f t="shared" si="540"/>
        <v>-14.281714630947704</v>
      </c>
      <c r="HB268" s="130" t="s">
        <v>4970</v>
      </c>
      <c r="HC268" s="60">
        <f>IFERROR(VLOOKUP(E268,Expectancy!$P$4:$S$19,1+C268,FALSE),"")</f>
        <v>-0.15084750675779673</v>
      </c>
      <c r="HD268" s="82" t="str">
        <f t="shared" si="541"/>
        <v/>
      </c>
      <c r="HE268" s="138" t="e">
        <f>IF(HD268="",#N/A,SUM($HD$4:HD268))</f>
        <v>#N/A</v>
      </c>
      <c r="HF268" s="85" t="e">
        <f>IF(HD268="",#N/A,IF(HB268="Skip",#N/A,SUM($HG$4:HG268)))</f>
        <v>#N/A</v>
      </c>
      <c r="HG268" s="205" t="str">
        <f t="shared" si="542"/>
        <v/>
      </c>
      <c r="HH268" s="82">
        <f t="shared" si="543"/>
        <v>0.40203547342931029</v>
      </c>
    </row>
    <row r="269" spans="1:216" x14ac:dyDescent="0.25">
      <c r="A269" s="57" t="s">
        <v>658</v>
      </c>
      <c r="B269" s="58" t="s">
        <v>5154</v>
      </c>
      <c r="C269" s="386">
        <f t="shared" si="453"/>
        <v>3</v>
      </c>
      <c r="D269" s="372" t="str">
        <f>_xlfn.XLOOKUP(A269,[1]SP500!$A$2:$A$502,[1]SP500!$D$2:$D$502,"N")</f>
        <v>Y</v>
      </c>
      <c r="E269" s="57" t="str">
        <f>_xlfn.XLOOKUP(A269,[1]SP500!$A$2:$A$655,[1]SP500!$B$2:$B$655)</f>
        <v>XLY</v>
      </c>
      <c r="F269" s="59">
        <v>45694</v>
      </c>
      <c r="G269" s="57" t="str">
        <f t="shared" si="454"/>
        <v>AMC</v>
      </c>
      <c r="H269" s="57" t="str">
        <f t="shared" si="455"/>
        <v>o</v>
      </c>
      <c r="I269" s="159">
        <v>172.57</v>
      </c>
      <c r="J269" s="159">
        <v>194.72</v>
      </c>
      <c r="K269" s="61">
        <f t="shared" si="456"/>
        <v>0.1283537115373472</v>
      </c>
      <c r="L269" s="87">
        <f t="shared" si="457"/>
        <v>-44.300000000000011</v>
      </c>
      <c r="M269" s="130">
        <f t="shared" si="450"/>
        <v>0</v>
      </c>
      <c r="N269" s="169" t="str">
        <f t="shared" si="458"/>
        <v/>
      </c>
      <c r="O269" s="169">
        <f>IF($J269="",#N/A,SUM($N$4:N269))</f>
        <v>469.42511614781222</v>
      </c>
      <c r="P269" s="174" t="str">
        <f t="shared" si="459"/>
        <v/>
      </c>
      <c r="Q269" s="174">
        <f>IF($J269="",#N/A,SUM($P$4:P269))</f>
        <v>631.89890674734102</v>
      </c>
      <c r="R269" s="178">
        <f t="shared" si="460"/>
        <v>44.300000000000011</v>
      </c>
      <c r="S269" s="178">
        <f>IF($J269="",#N/A,SUM($R$4:R269))</f>
        <v>249.33445814372701</v>
      </c>
      <c r="T269" s="290" t="str">
        <f t="shared" si="461"/>
        <v/>
      </c>
      <c r="U269" s="290">
        <f>IF($J269="",#N/A,SUM($T$4:T269))</f>
        <v>17.87231344919687</v>
      </c>
      <c r="V269" s="291" t="str">
        <f t="shared" si="462"/>
        <v/>
      </c>
      <c r="W269" s="291">
        <f>IF($J269="",#N/A,SUM($V$4:V269))</f>
        <v>26.276057629954881</v>
      </c>
      <c r="X269" s="292">
        <f t="shared" si="463"/>
        <v>2.1392285256224537</v>
      </c>
      <c r="Y269" s="292">
        <f>IF($J269="",#N/A,SUM($X$4:X269))</f>
        <v>9.3402573271558929</v>
      </c>
      <c r="Z269" s="304" t="str">
        <f t="shared" si="464"/>
        <v/>
      </c>
      <c r="AA269" s="313" t="e">
        <f>IF($J269="",#N/A,SUM(Z$4:Z269))</f>
        <v>#N/A</v>
      </c>
      <c r="AB269" s="314" t="str">
        <f t="shared" si="465"/>
        <v/>
      </c>
      <c r="AC269" s="314" t="e">
        <f>IF($J269="",#N/A,SUM(AB$4:AB269))</f>
        <v>#N/A</v>
      </c>
      <c r="AD269" s="315" t="str">
        <f t="shared" si="466"/>
        <v/>
      </c>
      <c r="AE269" s="315" t="e">
        <f>IF($J269="",#N/A,SUM(AD$4:AD269))</f>
        <v>#N/A</v>
      </c>
      <c r="AF269" s="315" t="e">
        <f>IF($J269="",#N/A,SUM(AD$4:AD269,AB$4:AB269,Z$4:Z269))</f>
        <v>#N/A</v>
      </c>
      <c r="AG269" s="304" t="str">
        <f t="shared" si="467"/>
        <v/>
      </c>
      <c r="AH269" s="313" t="e">
        <f>IF($J269="",#N/A,SUM(AG$4:AG269))</f>
        <v>#N/A</v>
      </c>
      <c r="AI269" s="314" t="str">
        <f t="shared" si="468"/>
        <v/>
      </c>
      <c r="AJ269" s="314" t="e">
        <f>IF($J269="",#N/A,SUM(AI$4:AI269))</f>
        <v>#N/A</v>
      </c>
      <c r="AK269" s="315" t="str">
        <f t="shared" si="469"/>
        <v/>
      </c>
      <c r="AL269" s="315" t="e">
        <f>IF($J269="",#N/A,SUM(AK$4:AK269))</f>
        <v>#N/A</v>
      </c>
      <c r="AM269" s="315" t="e">
        <f>IF($J269="",#N/A,SUM(AK$4:AK269,AI$4:AI269,AG$4:AG269))</f>
        <v>#N/A</v>
      </c>
      <c r="AN269" s="304" t="str">
        <f t="shared" si="470"/>
        <v/>
      </c>
      <c r="AO269" s="313" t="e">
        <f>IF($J269="",#N/A,SUM(AN$4:AN269))</f>
        <v>#N/A</v>
      </c>
      <c r="AP269" s="314" t="str">
        <f t="shared" si="471"/>
        <v/>
      </c>
      <c r="AQ269" s="314" t="e">
        <f>IF($J269="",#N/A,SUM(AP$4:AP269))</f>
        <v>#N/A</v>
      </c>
      <c r="AR269" s="315">
        <f t="shared" si="472"/>
        <v>2.1392285256224537</v>
      </c>
      <c r="AS269" s="315" t="e">
        <f>IF($J269="",#N/A,SUM(AR$4:AR269))</f>
        <v>#N/A</v>
      </c>
      <c r="AT269" s="315" t="e">
        <f>IF($J269="",#N/A,SUM(AR$4:AR269,AP$4:AP269,AN$4:AN269))</f>
        <v>#N/A</v>
      </c>
      <c r="AU269" s="304" t="str">
        <f t="shared" si="473"/>
        <v/>
      </c>
      <c r="AV269" s="313" t="e">
        <f>IF($J269="",#N/A,SUM(AU$4:AU269))</f>
        <v>#N/A</v>
      </c>
      <c r="AW269" s="314" t="str">
        <f t="shared" si="474"/>
        <v/>
      </c>
      <c r="AX269" s="314" t="e">
        <f>IF($J269="",#N/A,SUM(AW$4:AW269))</f>
        <v>#N/A</v>
      </c>
      <c r="AY269" s="315" t="str">
        <f t="shared" si="475"/>
        <v/>
      </c>
      <c r="AZ269" s="315" t="e">
        <f>IF($J269="",#N/A,SUM(AY$4:AY269))</f>
        <v>#N/A</v>
      </c>
      <c r="BA269" s="315" t="e">
        <f>IF($J269="",#N/A,SUM(AY$4:AY269,AW$4:AW269,AU$4:AU269))</f>
        <v>#N/A</v>
      </c>
      <c r="BB269" s="304" t="str">
        <f t="shared" si="476"/>
        <v/>
      </c>
      <c r="BC269" s="313" t="e">
        <f>IF($J269="",#N/A,SUM(BB$4:BB269))</f>
        <v>#N/A</v>
      </c>
      <c r="BD269" s="314" t="str">
        <f t="shared" si="477"/>
        <v/>
      </c>
      <c r="BE269" s="314" t="e">
        <f>IF($J269="",#N/A,SUM(BD$4:BD269))</f>
        <v>#N/A</v>
      </c>
      <c r="BF269" s="315" t="str">
        <f t="shared" si="478"/>
        <v/>
      </c>
      <c r="BG269" s="315" t="e">
        <f>IF($J269="",#N/A,SUM(BF$4:BF269))</f>
        <v>#N/A</v>
      </c>
      <c r="BH269" s="315" t="e">
        <f>IF($J269="",#N/A,SUM(BF$4:BF269,BD$4:BD269,BB$4:BB269))</f>
        <v>#N/A</v>
      </c>
      <c r="BI269" s="304" t="str">
        <f t="shared" si="479"/>
        <v/>
      </c>
      <c r="BJ269" s="313" t="e">
        <f>IF($J269="",#N/A,SUM(BI$4:BI269))</f>
        <v>#N/A</v>
      </c>
      <c r="BK269" s="314" t="str">
        <f t="shared" si="480"/>
        <v/>
      </c>
      <c r="BL269" s="314" t="e">
        <f>IF($J269="",#N/A,SUM(BK$4:BK269))</f>
        <v>#N/A</v>
      </c>
      <c r="BM269" s="315" t="str">
        <f t="shared" si="481"/>
        <v/>
      </c>
      <c r="BN269" s="315" t="e">
        <f>IF($J269="",#N/A,SUM(BM$4:BM269))</f>
        <v>#N/A</v>
      </c>
      <c r="BO269" s="315" t="e">
        <f>IF($J269="",#N/A,SUM(BM$4:BM269,BK$4:BK269,BI$4:BI269))</f>
        <v>#N/A</v>
      </c>
      <c r="BP269" s="304" t="str">
        <f t="shared" si="482"/>
        <v/>
      </c>
      <c r="BQ269" s="313" t="e">
        <f>IF($J269="",#N/A,SUM(BP$4:BP269))</f>
        <v>#N/A</v>
      </c>
      <c r="BR269" s="314" t="str">
        <f t="shared" si="483"/>
        <v/>
      </c>
      <c r="BS269" s="314" t="e">
        <f>IF($J269="",#N/A,SUM(BR$4:BR269))</f>
        <v>#N/A</v>
      </c>
      <c r="BT269" s="315" t="str">
        <f t="shared" si="484"/>
        <v/>
      </c>
      <c r="BU269" s="315" t="e">
        <f>IF($J269="",#N/A,SUM(BT$4:BT269))</f>
        <v>#N/A</v>
      </c>
      <c r="BV269" s="315" t="e">
        <f>IF($J269="",#N/A,SUM(BT$4:BT269,BR$4:BR269,BP$4:BP269))</f>
        <v>#N/A</v>
      </c>
      <c r="BW269" s="304" t="str">
        <f t="shared" si="485"/>
        <v/>
      </c>
      <c r="BX269" s="313" t="e">
        <f>IF($J269="",#N/A,SUM(BW$4:BW269))</f>
        <v>#N/A</v>
      </c>
      <c r="BY269" s="314" t="str">
        <f t="shared" si="486"/>
        <v/>
      </c>
      <c r="BZ269" s="314" t="e">
        <f>IF($J269="",#N/A,SUM(BY$4:BY269))</f>
        <v>#N/A</v>
      </c>
      <c r="CA269" s="315" t="str">
        <f t="shared" si="487"/>
        <v/>
      </c>
      <c r="CB269" s="315" t="e">
        <f>IF($J269="",#N/A,SUM(CA$4:CA269))</f>
        <v>#N/A</v>
      </c>
      <c r="CC269" s="315" t="e">
        <f>IF($J269="",#N/A,SUM(CA$4:CA269,BY$4:BY269,BW$4:BW269))</f>
        <v>#N/A</v>
      </c>
      <c r="CD269" s="304" t="str">
        <f t="shared" si="488"/>
        <v/>
      </c>
      <c r="CE269" s="313" t="e">
        <f>IF($J269="",#N/A,SUM(CD$4:CD269))</f>
        <v>#N/A</v>
      </c>
      <c r="CF269" s="314" t="str">
        <f t="shared" si="489"/>
        <v/>
      </c>
      <c r="CG269" s="314" t="e">
        <f>IF($J269="",#N/A,SUM(CF$4:CF269))</f>
        <v>#N/A</v>
      </c>
      <c r="CH269" s="315" t="str">
        <f t="shared" si="490"/>
        <v/>
      </c>
      <c r="CI269" s="315" t="e">
        <f>IF($J269="",#N/A,SUM(CH$4:CH269))</f>
        <v>#N/A</v>
      </c>
      <c r="CJ269" s="315" t="e">
        <f>IF($J269="",#N/A,SUM(CH$4:CH269,CF$4:CF269,CD$4:CD269))</f>
        <v>#N/A</v>
      </c>
      <c r="CK269" s="304" t="str">
        <f t="shared" si="491"/>
        <v/>
      </c>
      <c r="CL269" s="313" t="e">
        <f>IF($J269="",#N/A,SUM(CK$4:CK269))</f>
        <v>#N/A</v>
      </c>
      <c r="CM269" s="314" t="str">
        <f t="shared" si="492"/>
        <v/>
      </c>
      <c r="CN269" s="314" t="e">
        <f>IF($J269="",#N/A,SUM(CM$4:CM269))</f>
        <v>#N/A</v>
      </c>
      <c r="CO269" s="315" t="str">
        <f t="shared" si="493"/>
        <v/>
      </c>
      <c r="CP269" s="315" t="e">
        <f>IF($J269="",#N/A,SUM(CO$4:CO269))</f>
        <v>#N/A</v>
      </c>
      <c r="CQ269" s="315" t="e">
        <f>IF($J269="",#N/A,SUM(CO$4:CO269,CM$4:CM269,CK$4:CK269))</f>
        <v>#N/A</v>
      </c>
      <c r="CR269" s="304" t="str">
        <f t="shared" si="494"/>
        <v/>
      </c>
      <c r="CS269" s="313" t="e">
        <f>IF($J269="",#N/A,SUM(CR$4:CR269))</f>
        <v>#N/A</v>
      </c>
      <c r="CT269" s="314" t="str">
        <f t="shared" si="495"/>
        <v/>
      </c>
      <c r="CU269" s="314" t="e">
        <f>IF($J269="",#N/A,SUM(CT$4:CT269))</f>
        <v>#N/A</v>
      </c>
      <c r="CV269" s="315" t="str">
        <f t="shared" si="496"/>
        <v/>
      </c>
      <c r="CW269" s="315" t="e">
        <f>IF($J269="",#N/A,SUM(CV$4:CV269))</f>
        <v>#N/A</v>
      </c>
      <c r="CX269" s="315" t="e">
        <f>IF($J269="",#N/A,SUM(CV$4:CV269,CT$4:CT269,CR$4:CR269))</f>
        <v>#N/A</v>
      </c>
      <c r="CY269" s="304" t="str">
        <f t="shared" si="497"/>
        <v/>
      </c>
      <c r="CZ269" s="313" t="e">
        <f>IF($J269="",#N/A,SUM(CY$4:CY269))</f>
        <v>#N/A</v>
      </c>
      <c r="DA269" s="314" t="str">
        <f t="shared" si="498"/>
        <v/>
      </c>
      <c r="DB269" s="314" t="e">
        <f>IF($J269="",#N/A,SUM(DA$4:DA269))</f>
        <v>#N/A</v>
      </c>
      <c r="DC269" s="315" t="str">
        <f t="shared" si="499"/>
        <v/>
      </c>
      <c r="DD269" s="315" t="e">
        <f>IF($J269="",#N/A,SUM(DC$4:DC269))</f>
        <v>#N/A</v>
      </c>
      <c r="DE269" s="315" t="e">
        <f>IF($J269="",#N/A,SUM(DC$4:DC269,DA$4:DA269,CY$4:CY269))</f>
        <v>#N/A</v>
      </c>
      <c r="DF269" s="304" t="str">
        <f t="shared" si="500"/>
        <v/>
      </c>
      <c r="DG269" s="313" t="e">
        <f>IF($J269="",#N/A,SUM(DF$4:DF269))</f>
        <v>#N/A</v>
      </c>
      <c r="DH269" s="314" t="str">
        <f t="shared" si="501"/>
        <v/>
      </c>
      <c r="DI269" s="314" t="e">
        <f>IF($J269="",#N/A,SUM(DH$4:DH269))</f>
        <v>#N/A</v>
      </c>
      <c r="DJ269" s="315" t="str">
        <f t="shared" si="502"/>
        <v/>
      </c>
      <c r="DK269" s="315" t="e">
        <f>IF($J269="",#N/A,SUM(DJ$4:DJ269))</f>
        <v>#N/A</v>
      </c>
      <c r="DL269" s="315" t="e">
        <f>IF($J269="",#N/A,SUM(DJ$4:DJ269,DH$4:DH269,DF$4:DF269))</f>
        <v>#N/A</v>
      </c>
      <c r="DM269" s="304" t="str">
        <f t="shared" si="503"/>
        <v/>
      </c>
      <c r="DN269" s="313" t="e">
        <f>IF($J269="",#N/A,SUM(DM$4:DM269))</f>
        <v>#N/A</v>
      </c>
      <c r="DO269" s="314" t="str">
        <f t="shared" si="504"/>
        <v/>
      </c>
      <c r="DP269" s="314" t="e">
        <f>IF($J269="",#N/A,SUM(DO$4:DO269))</f>
        <v>#N/A</v>
      </c>
      <c r="DQ269" s="315" t="str">
        <f t="shared" si="505"/>
        <v/>
      </c>
      <c r="DR269" s="315" t="e">
        <f>IF($J269="",#N/A,SUM(DQ$4:DQ269))</f>
        <v>#N/A</v>
      </c>
      <c r="DS269" s="315" t="e">
        <f>IF($J269="",#N/A,SUM(DQ$4:DQ269,DO$4:DO269,DM$4:DM269))</f>
        <v>#N/A</v>
      </c>
      <c r="DT269" s="304" t="str">
        <f t="shared" si="506"/>
        <v/>
      </c>
      <c r="DU269" s="313" t="e">
        <f>IF($J269="",#N/A,SUM(DT$4:DT269))</f>
        <v>#N/A</v>
      </c>
      <c r="DV269" s="314" t="str">
        <f t="shared" si="507"/>
        <v/>
      </c>
      <c r="DW269" s="314" t="e">
        <f>IF($J269="",#N/A,SUM(DV$4:DV269))</f>
        <v>#N/A</v>
      </c>
      <c r="DX269" s="315" t="str">
        <f t="shared" si="508"/>
        <v/>
      </c>
      <c r="DY269" s="315" t="e">
        <f>IF($J269="",#N/A,SUM(DX$4:DX269))</f>
        <v>#N/A</v>
      </c>
      <c r="DZ269" s="315" t="e">
        <f>IF($J269="",#N/A,SUM(DX$4:DX269,DV$4:DV269,DT$4:DT269))</f>
        <v>#N/A</v>
      </c>
      <c r="EA269" s="304" t="str">
        <f t="shared" si="509"/>
        <v/>
      </c>
      <c r="EB269" s="313" t="e">
        <f>IF($J269="",#N/A,SUM(EA$4:EA269))</f>
        <v>#N/A</v>
      </c>
      <c r="EC269" s="314" t="str">
        <f t="shared" si="510"/>
        <v/>
      </c>
      <c r="ED269" s="314" t="e">
        <f>IF($J269="",#N/A,SUM(EC$4:EC269))</f>
        <v>#N/A</v>
      </c>
      <c r="EE269" s="315" t="str">
        <f t="shared" si="511"/>
        <v/>
      </c>
      <c r="EF269" s="315" t="e">
        <f>IF($J269="",#N/A,SUM(EE$4:EE269))</f>
        <v>#N/A</v>
      </c>
      <c r="EG269" s="315" t="e">
        <f>IF($J269="",#N/A,SUM(EE$4:EE269,EC$4:EC269,EA$4:EA269))</f>
        <v>#N/A</v>
      </c>
      <c r="EH269" s="130">
        <f t="shared" si="512"/>
        <v>44.300000000000011</v>
      </c>
      <c r="EI269" s="63">
        <f>IF(EH269="",#N/A,SUM($EH$4:EH269))</f>
        <v>1350.6584810388802</v>
      </c>
      <c r="EJ269" s="223" t="e">
        <f t="shared" si="513"/>
        <v>#N/A</v>
      </c>
      <c r="EK269" s="63" t="e">
        <f>IF($GZ269="",#N/A,SUM(EJ$4:EJ269))</f>
        <v>#N/A</v>
      </c>
      <c r="EL269" s="60">
        <f t="shared" si="544"/>
        <v>2.1392285256224537</v>
      </c>
      <c r="EM269" s="60">
        <f>IF(EL269="",NA(),SUM($EL$4:EL269))</f>
        <v>44.036993197966169</v>
      </c>
      <c r="EN269" s="60" t="str">
        <f t="shared" si="514"/>
        <v/>
      </c>
      <c r="EO269" s="60" t="e">
        <f>IF(EN269="",NA(),SUM($EN$4:EN269))</f>
        <v>#N/A</v>
      </c>
      <c r="EP269" s="60">
        <f t="shared" si="515"/>
        <v>2.1392285256224537</v>
      </c>
      <c r="EQ269" s="60">
        <f>IF(EP269="",NA(),SUM($EP$4:EP269))</f>
        <v>10.010871742925577</v>
      </c>
      <c r="ER269" s="60" t="str">
        <f t="shared" si="516"/>
        <v/>
      </c>
      <c r="ES269" s="60" t="e">
        <f>IF(ER269="",NA(),SUM($ER$4:ER269))</f>
        <v>#N/A</v>
      </c>
      <c r="ET269" s="60" t="str">
        <f t="shared" si="517"/>
        <v/>
      </c>
      <c r="EU269" s="60" t="e">
        <f>IF(ET269="",NA(),SUM($ET$4:ET269))</f>
        <v>#N/A</v>
      </c>
      <c r="EV269" s="60" t="str">
        <f t="shared" si="518"/>
        <v/>
      </c>
      <c r="EW269" s="60" t="e">
        <f>IF(EV269="",NA(),SUM($EV$4:EV269))</f>
        <v>#N/A</v>
      </c>
      <c r="EX269" s="60" t="str">
        <f t="shared" si="519"/>
        <v/>
      </c>
      <c r="EY269" s="60" t="e">
        <f>IF(EX269="",NA(),SUM($EX$4:EX269))</f>
        <v>#N/A</v>
      </c>
      <c r="EZ269" s="60" t="str">
        <f t="shared" si="520"/>
        <v/>
      </c>
      <c r="FA269" s="60" t="e">
        <f>IF(EZ269="",NA(),SUM($EZ$4:EZ269))</f>
        <v>#N/A</v>
      </c>
      <c r="FB269" s="246" t="str">
        <f t="shared" si="545"/>
        <v/>
      </c>
      <c r="FC269" s="246" t="e">
        <f>IF($FB269="",#N/A,SUM(FB$4:$FB269))</f>
        <v>#N/A</v>
      </c>
      <c r="FD269" s="60" t="str">
        <f t="shared" si="521"/>
        <v/>
      </c>
      <c r="FE269" s="60" t="e">
        <f>IF($FD269="",#N/A,SUM($FD$4:FD269))</f>
        <v>#N/A</v>
      </c>
      <c r="FF269" s="60" t="str">
        <f t="shared" si="522"/>
        <v/>
      </c>
      <c r="FG269" s="60" t="e">
        <f>IF($FF269="",#N/A,SUM($FF$4:FF269))</f>
        <v>#N/A</v>
      </c>
      <c r="FH269" s="60" t="str">
        <f t="shared" si="523"/>
        <v/>
      </c>
      <c r="FI269" s="60" t="e">
        <f>IF($FH269="",#N/A,SUM($FH$4:FH269))</f>
        <v>#N/A</v>
      </c>
      <c r="FJ269" s="60">
        <f t="shared" si="524"/>
        <v>0.73883061945877104</v>
      </c>
      <c r="FK269" s="60">
        <f>IF($FJ269="",#N/A,SUM($FJ$4:FJ269))</f>
        <v>-5.5950960285791567</v>
      </c>
      <c r="FL269" s="60" t="str">
        <f t="shared" si="525"/>
        <v/>
      </c>
      <c r="FM269" s="60" t="e">
        <f>IF($FL269="",#N/A,SUM($FL$4:FL269))</f>
        <v>#N/A</v>
      </c>
      <c r="FN269" s="82">
        <f t="shared" si="526"/>
        <v>2.8780591450812247</v>
      </c>
      <c r="FO269" s="82">
        <f>IF($FN269="",#N/A,SUM(FN$4:$FN269))</f>
        <v>54.500806534801029</v>
      </c>
      <c r="FP269" s="82">
        <f t="shared" si="546"/>
        <v>2.1392285256224537</v>
      </c>
      <c r="FQ269" s="246">
        <f>IF($EH269="",#N/A,SUM($FP$4:FP269))</f>
        <v>53.488628406307626</v>
      </c>
      <c r="FR269" s="82">
        <f>IFERROR(FQ269/COUNTA($J$4:J269),#N/A)</f>
        <v>0.20108506919664521</v>
      </c>
      <c r="FS269" s="82">
        <f t="shared" si="448"/>
        <v>0.39078083706388467</v>
      </c>
      <c r="FT269" s="82">
        <f t="shared" si="449"/>
        <v>0.46187594708404817</v>
      </c>
      <c r="FU269" s="337">
        <f t="shared" ref="FU269:FU300" si="551">IF(AND(HB269="MOC",GZ269=""),#N/A,IFERROR(FQ269-HE269,FQ269-0))-14.53</f>
        <v>29.858188602285239</v>
      </c>
      <c r="FV269" s="57" t="str">
        <f t="shared" si="527"/>
        <v>SW</v>
      </c>
      <c r="FW269" s="57" t="s">
        <v>2732</v>
      </c>
      <c r="FX269" s="57" t="str">
        <f t="shared" si="528"/>
        <v/>
      </c>
      <c r="FY269" s="57" t="str">
        <f t="shared" si="529"/>
        <v/>
      </c>
      <c r="FZ269" s="57">
        <f t="shared" si="530"/>
        <v>1</v>
      </c>
      <c r="GA269" s="57" t="str">
        <f t="shared" si="531"/>
        <v>Long</v>
      </c>
      <c r="GB269" s="57" t="str">
        <f t="shared" si="532"/>
        <v/>
      </c>
      <c r="GC269" s="57" t="str">
        <f t="shared" si="533"/>
        <v/>
      </c>
      <c r="GD269" s="57" t="str">
        <f t="shared" si="534"/>
        <v/>
      </c>
      <c r="GE269" s="62">
        <f t="shared" si="451"/>
        <v>172.57</v>
      </c>
      <c r="GF269" s="62" t="s">
        <v>2780</v>
      </c>
      <c r="GG269" s="199">
        <v>2</v>
      </c>
      <c r="GH269" s="207">
        <f t="shared" si="535"/>
        <v>345.14</v>
      </c>
      <c r="GI269" s="199">
        <v>2</v>
      </c>
      <c r="GJ269" s="200">
        <v>194.72</v>
      </c>
      <c r="GK269" s="63">
        <f t="shared" si="536"/>
        <v>-44.300000000000011</v>
      </c>
      <c r="GL269" s="63">
        <f t="shared" si="452"/>
        <v>-59.600000000000023</v>
      </c>
      <c r="GM269" s="82">
        <f t="shared" si="537"/>
        <v>2.8780591450812247</v>
      </c>
      <c r="GN269" s="82">
        <f>IF($GZ269="",#N/A,SUM(GM$4:GM269))</f>
        <v>4.4696621689642377</v>
      </c>
      <c r="GO269" s="82" t="str">
        <f t="shared" si="538"/>
        <v/>
      </c>
      <c r="GP269" s="82">
        <f>IF($GZ269="",#N/A,SUM(GO$4:GO269))</f>
        <v>15.483108400264154</v>
      </c>
      <c r="GQ269" s="82" t="str">
        <f t="shared" si="539"/>
        <v/>
      </c>
      <c r="GR269" s="82">
        <f>IF($GZ269="",#N/A,SUM(GQ$4:GQ269))</f>
        <v>33.92219901113031</v>
      </c>
      <c r="GS269" s="63" t="e">
        <f t="shared" si="548"/>
        <v>#N/A</v>
      </c>
      <c r="GT269" s="63" t="e">
        <f>IF($GZ269="",#N/A,SUM(GS$4:GS269))</f>
        <v>#N/A</v>
      </c>
      <c r="GU269" s="63" t="str">
        <f t="shared" si="549"/>
        <v/>
      </c>
      <c r="GV269" s="63" t="e">
        <f>IF($GZ269="",#N/A,SUM(GU$4:GU269))</f>
        <v>#N/A</v>
      </c>
      <c r="GW269" s="63" t="str">
        <f t="shared" si="550"/>
        <v/>
      </c>
      <c r="GX269" s="63" t="e">
        <f>IF($GZ269="",#N/A,SUM(GW$4:GW269))</f>
        <v>#N/A</v>
      </c>
      <c r="GY269" s="63" t="e">
        <f>IF(EJ269="",#N/A,SUM($EJ$4:EJ269))</f>
        <v>#N/A</v>
      </c>
      <c r="GZ269" s="159">
        <v>202.37</v>
      </c>
      <c r="HA269" s="63">
        <f t="shared" si="540"/>
        <v>-103.90000000000003</v>
      </c>
      <c r="HB269" s="62" t="s">
        <v>2538</v>
      </c>
      <c r="HC269" s="60">
        <f>IFERROR(VLOOKUP(E269,Expectancy!$P$4:$S$19,1+C269,FALSE),"")</f>
        <v>0.48685636958953199</v>
      </c>
      <c r="HD269" s="82">
        <f t="shared" si="541"/>
        <v>-2.1392285256224537</v>
      </c>
      <c r="HE269" s="138">
        <f>IF(HD269="",#N/A,SUM($HD$4:HD269))</f>
        <v>9.1004398040223897</v>
      </c>
      <c r="HF269" s="85">
        <f>IF(HD269="",#N/A,IF(HB269="Skip",#N/A,SUM($HG$4:HG269)))</f>
        <v>234.78156919911441</v>
      </c>
      <c r="HG269" s="63">
        <f t="shared" si="542"/>
        <v>-44.300000000000011</v>
      </c>
      <c r="HH269" s="82">
        <f t="shared" si="543"/>
        <v>2.8780591450812247</v>
      </c>
    </row>
    <row r="270" spans="1:216" x14ac:dyDescent="0.25">
      <c r="A270" s="57" t="s">
        <v>1539</v>
      </c>
      <c r="B270" s="58" t="s">
        <v>5154</v>
      </c>
      <c r="C270" s="386">
        <f t="shared" si="453"/>
        <v>3</v>
      </c>
      <c r="D270" s="372" t="str">
        <f>_xlfn.XLOOKUP(A270,[1]SP500!$A$2:$A$502,[1]SP500!$D$2:$D$502,"N")</f>
        <v>Y</v>
      </c>
      <c r="E270" s="57" t="str">
        <f>_xlfn.XLOOKUP(A270,[1]SP500!$A$2:$A$655,[1]SP500!$B$2:$B$655)</f>
        <v>INS</v>
      </c>
      <c r="F270" s="59">
        <v>45694</v>
      </c>
      <c r="G270" s="57" t="str">
        <f t="shared" si="454"/>
        <v>AMC</v>
      </c>
      <c r="H270" s="57" t="str">
        <f t="shared" si="455"/>
        <v>o</v>
      </c>
      <c r="I270" s="158">
        <v>80</v>
      </c>
      <c r="J270" s="159">
        <v>82.91</v>
      </c>
      <c r="K270" s="61">
        <f t="shared" si="456"/>
        <v>3.6374999999999956E-2</v>
      </c>
      <c r="L270" s="87">
        <f t="shared" si="457"/>
        <v>-14.549999999999955</v>
      </c>
      <c r="M270" s="130">
        <f t="shared" si="450"/>
        <v>0</v>
      </c>
      <c r="N270" s="169" t="str">
        <f t="shared" si="458"/>
        <v/>
      </c>
      <c r="O270" s="169">
        <f>IF($J270="",#N/A,SUM($N$4:N270))</f>
        <v>469.42511614781222</v>
      </c>
      <c r="P270" s="174" t="str">
        <f t="shared" si="459"/>
        <v/>
      </c>
      <c r="Q270" s="174">
        <f>IF($J270="",#N/A,SUM($P$4:P270))</f>
        <v>631.89890674734102</v>
      </c>
      <c r="R270" s="178">
        <f t="shared" si="460"/>
        <v>14.549999999999955</v>
      </c>
      <c r="S270" s="178">
        <f>IF($J270="",#N/A,SUM($R$4:R270))</f>
        <v>263.88445814372699</v>
      </c>
      <c r="T270" s="290" t="str">
        <f t="shared" si="461"/>
        <v/>
      </c>
      <c r="U270" s="290">
        <f>IF($J270="",#N/A,SUM($T$4:T270))</f>
        <v>17.87231344919687</v>
      </c>
      <c r="V270" s="291" t="str">
        <f t="shared" si="462"/>
        <v/>
      </c>
      <c r="W270" s="291">
        <f>IF($J270="",#N/A,SUM($V$4:V270))</f>
        <v>26.276057629954881</v>
      </c>
      <c r="X270" s="292">
        <f t="shared" si="463"/>
        <v>0.60624999999999807</v>
      </c>
      <c r="Y270" s="292">
        <f>IF($J270="",#N/A,SUM($X$4:X270))</f>
        <v>9.9465073271558904</v>
      </c>
      <c r="Z270" s="304" t="str">
        <f t="shared" si="464"/>
        <v/>
      </c>
      <c r="AA270" s="313" t="e">
        <f>IF($J270="",#N/A,SUM(Z$4:Z270))</f>
        <v>#N/A</v>
      </c>
      <c r="AB270" s="314" t="str">
        <f t="shared" si="465"/>
        <v/>
      </c>
      <c r="AC270" s="314" t="e">
        <f>IF($J270="",#N/A,SUM(AB$4:AB270))</f>
        <v>#N/A</v>
      </c>
      <c r="AD270" s="315" t="str">
        <f t="shared" si="466"/>
        <v/>
      </c>
      <c r="AE270" s="315" t="e">
        <f>IF($J270="",#N/A,SUM(AD$4:AD270))</f>
        <v>#N/A</v>
      </c>
      <c r="AF270" s="315" t="e">
        <f>IF($J270="",#N/A,SUM(AD$4:AD270,AB$4:AB270,Z$4:Z270))</f>
        <v>#N/A</v>
      </c>
      <c r="AG270" s="304" t="str">
        <f t="shared" si="467"/>
        <v/>
      </c>
      <c r="AH270" s="313" t="e">
        <f>IF($J270="",#N/A,SUM(AG$4:AG270))</f>
        <v>#N/A</v>
      </c>
      <c r="AI270" s="314" t="str">
        <f t="shared" si="468"/>
        <v/>
      </c>
      <c r="AJ270" s="314" t="e">
        <f>IF($J270="",#N/A,SUM(AI$4:AI270))</f>
        <v>#N/A</v>
      </c>
      <c r="AK270" s="315" t="str">
        <f t="shared" si="469"/>
        <v/>
      </c>
      <c r="AL270" s="315" t="e">
        <f>IF($J270="",#N/A,SUM(AK$4:AK270))</f>
        <v>#N/A</v>
      </c>
      <c r="AM270" s="315" t="e">
        <f>IF($J270="",#N/A,SUM(AK$4:AK270,AI$4:AI270,AG$4:AG270))</f>
        <v>#N/A</v>
      </c>
      <c r="AN270" s="304" t="str">
        <f t="shared" si="470"/>
        <v/>
      </c>
      <c r="AO270" s="313" t="e">
        <f>IF($J270="",#N/A,SUM(AN$4:AN270))</f>
        <v>#N/A</v>
      </c>
      <c r="AP270" s="314" t="str">
        <f t="shared" si="471"/>
        <v/>
      </c>
      <c r="AQ270" s="314" t="e">
        <f>IF($J270="",#N/A,SUM(AP$4:AP270))</f>
        <v>#N/A</v>
      </c>
      <c r="AR270" s="315" t="str">
        <f t="shared" si="472"/>
        <v/>
      </c>
      <c r="AS270" s="315" t="e">
        <f>IF($J270="",#N/A,SUM(AR$4:AR270))</f>
        <v>#N/A</v>
      </c>
      <c r="AT270" s="315" t="e">
        <f>IF($J270="",#N/A,SUM(AR$4:AR270,AP$4:AP270,AN$4:AN270))</f>
        <v>#N/A</v>
      </c>
      <c r="AU270" s="304" t="str">
        <f t="shared" si="473"/>
        <v/>
      </c>
      <c r="AV270" s="313" t="e">
        <f>IF($J270="",#N/A,SUM(AU$4:AU270))</f>
        <v>#N/A</v>
      </c>
      <c r="AW270" s="314" t="str">
        <f t="shared" si="474"/>
        <v/>
      </c>
      <c r="AX270" s="314" t="e">
        <f>IF($J270="",#N/A,SUM(AW$4:AW270))</f>
        <v>#N/A</v>
      </c>
      <c r="AY270" s="315" t="str">
        <f t="shared" si="475"/>
        <v/>
      </c>
      <c r="AZ270" s="315" t="e">
        <f>IF($J270="",#N/A,SUM(AY$4:AY270))</f>
        <v>#N/A</v>
      </c>
      <c r="BA270" s="315" t="e">
        <f>IF($J270="",#N/A,SUM(AY$4:AY270,AW$4:AW270,AU$4:AU270))</f>
        <v>#N/A</v>
      </c>
      <c r="BB270" s="304" t="str">
        <f t="shared" si="476"/>
        <v/>
      </c>
      <c r="BC270" s="313" t="e">
        <f>IF($J270="",#N/A,SUM(BB$4:BB270))</f>
        <v>#N/A</v>
      </c>
      <c r="BD270" s="314" t="str">
        <f t="shared" si="477"/>
        <v/>
      </c>
      <c r="BE270" s="314" t="e">
        <f>IF($J270="",#N/A,SUM(BD$4:BD270))</f>
        <v>#N/A</v>
      </c>
      <c r="BF270" s="315" t="str">
        <f t="shared" si="478"/>
        <v/>
      </c>
      <c r="BG270" s="315" t="e">
        <f>IF($J270="",#N/A,SUM(BF$4:BF270))</f>
        <v>#N/A</v>
      </c>
      <c r="BH270" s="315" t="e">
        <f>IF($J270="",#N/A,SUM(BF$4:BF270,BD$4:BD270,BB$4:BB270))</f>
        <v>#N/A</v>
      </c>
      <c r="BI270" s="304" t="str">
        <f t="shared" si="479"/>
        <v/>
      </c>
      <c r="BJ270" s="313" t="e">
        <f>IF($J270="",#N/A,SUM(BI$4:BI270))</f>
        <v>#N/A</v>
      </c>
      <c r="BK270" s="314" t="str">
        <f t="shared" si="480"/>
        <v/>
      </c>
      <c r="BL270" s="314" t="e">
        <f>IF($J270="",#N/A,SUM(BK$4:BK270))</f>
        <v>#N/A</v>
      </c>
      <c r="BM270" s="315" t="str">
        <f t="shared" si="481"/>
        <v/>
      </c>
      <c r="BN270" s="315" t="e">
        <f>IF($J270="",#N/A,SUM(BM$4:BM270))</f>
        <v>#N/A</v>
      </c>
      <c r="BO270" s="315" t="e">
        <f>IF($J270="",#N/A,SUM(BM$4:BM270,BK$4:BK270,BI$4:BI270))</f>
        <v>#N/A</v>
      </c>
      <c r="BP270" s="304" t="str">
        <f t="shared" si="482"/>
        <v/>
      </c>
      <c r="BQ270" s="313" t="e">
        <f>IF($J270="",#N/A,SUM(BP$4:BP270))</f>
        <v>#N/A</v>
      </c>
      <c r="BR270" s="314" t="str">
        <f t="shared" si="483"/>
        <v/>
      </c>
      <c r="BS270" s="314" t="e">
        <f>IF($J270="",#N/A,SUM(BR$4:BR270))</f>
        <v>#N/A</v>
      </c>
      <c r="BT270" s="315" t="str">
        <f t="shared" si="484"/>
        <v/>
      </c>
      <c r="BU270" s="315" t="e">
        <f>IF($J270="",#N/A,SUM(BT$4:BT270))</f>
        <v>#N/A</v>
      </c>
      <c r="BV270" s="315" t="e">
        <f>IF($J270="",#N/A,SUM(BT$4:BT270,BR$4:BR270,BP$4:BP270))</f>
        <v>#N/A</v>
      </c>
      <c r="BW270" s="304" t="str">
        <f t="shared" si="485"/>
        <v/>
      </c>
      <c r="BX270" s="313" t="e">
        <f>IF($J270="",#N/A,SUM(BW$4:BW270))</f>
        <v>#N/A</v>
      </c>
      <c r="BY270" s="314" t="str">
        <f t="shared" si="486"/>
        <v/>
      </c>
      <c r="BZ270" s="314" t="e">
        <f>IF($J270="",#N/A,SUM(BY$4:BY270))</f>
        <v>#N/A</v>
      </c>
      <c r="CA270" s="315" t="str">
        <f t="shared" si="487"/>
        <v/>
      </c>
      <c r="CB270" s="315" t="e">
        <f>IF($J270="",#N/A,SUM(CA$4:CA270))</f>
        <v>#N/A</v>
      </c>
      <c r="CC270" s="315" t="e">
        <f>IF($J270="",#N/A,SUM(CA$4:CA270,BY$4:BY270,BW$4:BW270))</f>
        <v>#N/A</v>
      </c>
      <c r="CD270" s="304" t="str">
        <f t="shared" si="488"/>
        <v/>
      </c>
      <c r="CE270" s="313" t="e">
        <f>IF($J270="",#N/A,SUM(CD$4:CD270))</f>
        <v>#N/A</v>
      </c>
      <c r="CF270" s="314" t="str">
        <f t="shared" si="489"/>
        <v/>
      </c>
      <c r="CG270" s="314" t="e">
        <f>IF($J270="",#N/A,SUM(CF$4:CF270))</f>
        <v>#N/A</v>
      </c>
      <c r="CH270" s="315" t="str">
        <f t="shared" si="490"/>
        <v/>
      </c>
      <c r="CI270" s="315" t="e">
        <f>IF($J270="",#N/A,SUM(CH$4:CH270))</f>
        <v>#N/A</v>
      </c>
      <c r="CJ270" s="315" t="e">
        <f>IF($J270="",#N/A,SUM(CH$4:CH270,CF$4:CF270,CD$4:CD270))</f>
        <v>#N/A</v>
      </c>
      <c r="CK270" s="304" t="str">
        <f t="shared" si="491"/>
        <v/>
      </c>
      <c r="CL270" s="313" t="e">
        <f>IF($J270="",#N/A,SUM(CK$4:CK270))</f>
        <v>#N/A</v>
      </c>
      <c r="CM270" s="314" t="str">
        <f t="shared" si="492"/>
        <v/>
      </c>
      <c r="CN270" s="314" t="e">
        <f>IF($J270="",#N/A,SUM(CM$4:CM270))</f>
        <v>#N/A</v>
      </c>
      <c r="CO270" s="315" t="str">
        <f t="shared" si="493"/>
        <v/>
      </c>
      <c r="CP270" s="315" t="e">
        <f>IF($J270="",#N/A,SUM(CO$4:CO270))</f>
        <v>#N/A</v>
      </c>
      <c r="CQ270" s="315" t="e">
        <f>IF($J270="",#N/A,SUM(CO$4:CO270,CM$4:CM270,CK$4:CK270))</f>
        <v>#N/A</v>
      </c>
      <c r="CR270" s="304" t="str">
        <f t="shared" si="494"/>
        <v/>
      </c>
      <c r="CS270" s="313" t="e">
        <f>IF($J270="",#N/A,SUM(CR$4:CR270))</f>
        <v>#N/A</v>
      </c>
      <c r="CT270" s="314" t="str">
        <f t="shared" si="495"/>
        <v/>
      </c>
      <c r="CU270" s="314" t="e">
        <f>IF($J270="",#N/A,SUM(CT$4:CT270))</f>
        <v>#N/A</v>
      </c>
      <c r="CV270" s="315" t="str">
        <f t="shared" si="496"/>
        <v/>
      </c>
      <c r="CW270" s="315" t="e">
        <f>IF($J270="",#N/A,SUM(CV$4:CV270))</f>
        <v>#N/A</v>
      </c>
      <c r="CX270" s="315" t="e">
        <f>IF($J270="",#N/A,SUM(CV$4:CV270,CT$4:CT270,CR$4:CR270))</f>
        <v>#N/A</v>
      </c>
      <c r="CY270" s="304" t="str">
        <f t="shared" si="497"/>
        <v/>
      </c>
      <c r="CZ270" s="313" t="e">
        <f>IF($J270="",#N/A,SUM(CY$4:CY270))</f>
        <v>#N/A</v>
      </c>
      <c r="DA270" s="314" t="str">
        <f t="shared" si="498"/>
        <v/>
      </c>
      <c r="DB270" s="314" t="e">
        <f>IF($J270="",#N/A,SUM(DA$4:DA270))</f>
        <v>#N/A</v>
      </c>
      <c r="DC270" s="315" t="str">
        <f t="shared" si="499"/>
        <v/>
      </c>
      <c r="DD270" s="315" t="e">
        <f>IF($J270="",#N/A,SUM(DC$4:DC270))</f>
        <v>#N/A</v>
      </c>
      <c r="DE270" s="315" t="e">
        <f>IF($J270="",#N/A,SUM(DC$4:DC270,DA$4:DA270,CY$4:CY270))</f>
        <v>#N/A</v>
      </c>
      <c r="DF270" s="304" t="str">
        <f t="shared" si="500"/>
        <v/>
      </c>
      <c r="DG270" s="313" t="e">
        <f>IF($J270="",#N/A,SUM(DF$4:DF270))</f>
        <v>#N/A</v>
      </c>
      <c r="DH270" s="314" t="str">
        <f t="shared" si="501"/>
        <v/>
      </c>
      <c r="DI270" s="314" t="e">
        <f>IF($J270="",#N/A,SUM(DH$4:DH270))</f>
        <v>#N/A</v>
      </c>
      <c r="DJ270" s="315" t="str">
        <f t="shared" si="502"/>
        <v/>
      </c>
      <c r="DK270" s="315" t="e">
        <f>IF($J270="",#N/A,SUM(DJ$4:DJ270))</f>
        <v>#N/A</v>
      </c>
      <c r="DL270" s="315" t="e">
        <f>IF($J270="",#N/A,SUM(DJ$4:DJ270,DH$4:DH270,DF$4:DF270))</f>
        <v>#N/A</v>
      </c>
      <c r="DM270" s="304" t="str">
        <f t="shared" si="503"/>
        <v/>
      </c>
      <c r="DN270" s="313" t="e">
        <f>IF($J270="",#N/A,SUM(DM$4:DM270))</f>
        <v>#N/A</v>
      </c>
      <c r="DO270" s="314" t="str">
        <f t="shared" si="504"/>
        <v/>
      </c>
      <c r="DP270" s="314" t="e">
        <f>IF($J270="",#N/A,SUM(DO$4:DO270))</f>
        <v>#N/A</v>
      </c>
      <c r="DQ270" s="315">
        <f t="shared" si="505"/>
        <v>0.60624999999999807</v>
      </c>
      <c r="DR270" s="315" t="e">
        <f>IF($J270="",#N/A,SUM(DQ$4:DQ270))</f>
        <v>#N/A</v>
      </c>
      <c r="DS270" s="315" t="e">
        <f>IF($J270="",#N/A,SUM(DQ$4:DQ270,DO$4:DO270,DM$4:DM270))</f>
        <v>#N/A</v>
      </c>
      <c r="DT270" s="304" t="str">
        <f t="shared" si="506"/>
        <v/>
      </c>
      <c r="DU270" s="313" t="e">
        <f>IF($J270="",#N/A,SUM(DT$4:DT270))</f>
        <v>#N/A</v>
      </c>
      <c r="DV270" s="314" t="str">
        <f t="shared" si="507"/>
        <v/>
      </c>
      <c r="DW270" s="314" t="e">
        <f>IF($J270="",#N/A,SUM(DV$4:DV270))</f>
        <v>#N/A</v>
      </c>
      <c r="DX270" s="315" t="str">
        <f t="shared" si="508"/>
        <v/>
      </c>
      <c r="DY270" s="315" t="e">
        <f>IF($J270="",#N/A,SUM(DX$4:DX270))</f>
        <v>#N/A</v>
      </c>
      <c r="DZ270" s="315" t="e">
        <f>IF($J270="",#N/A,SUM(DX$4:DX270,DV$4:DV270,DT$4:DT270))</f>
        <v>#N/A</v>
      </c>
      <c r="EA270" s="304" t="str">
        <f t="shared" si="509"/>
        <v/>
      </c>
      <c r="EB270" s="313" t="e">
        <f>IF($J270="",#N/A,SUM(EA$4:EA270))</f>
        <v>#N/A</v>
      </c>
      <c r="EC270" s="314" t="str">
        <f t="shared" si="510"/>
        <v/>
      </c>
      <c r="ED270" s="314" t="e">
        <f>IF($J270="",#N/A,SUM(EC$4:EC270))</f>
        <v>#N/A</v>
      </c>
      <c r="EE270" s="315" t="str">
        <f t="shared" si="511"/>
        <v/>
      </c>
      <c r="EF270" s="315" t="e">
        <f>IF($J270="",#N/A,SUM(EE$4:EE270))</f>
        <v>#N/A</v>
      </c>
      <c r="EG270" s="315" t="e">
        <f>IF($J270="",#N/A,SUM(EE$4:EE270,EC$4:EC270,EA$4:EA270))</f>
        <v>#N/A</v>
      </c>
      <c r="EH270" s="130">
        <f t="shared" si="512"/>
        <v>14.549999999999955</v>
      </c>
      <c r="EI270" s="63">
        <f>IF(EH270="",#N/A,SUM($EH$4:EH270))</f>
        <v>1365.2084810388801</v>
      </c>
      <c r="EJ270" s="223" t="e">
        <f t="shared" si="513"/>
        <v>#N/A</v>
      </c>
      <c r="EK270" s="63" t="e">
        <f>IF($GZ270="",#N/A,SUM(EJ$4:EJ270))</f>
        <v>#N/A</v>
      </c>
      <c r="EL270" s="60">
        <f t="shared" si="544"/>
        <v>0.60624999999999807</v>
      </c>
      <c r="EM270" s="60">
        <f>IF(EL270="",NA(),SUM($EL$4:EL270))</f>
        <v>44.643243197966164</v>
      </c>
      <c r="EN270" s="60" t="str">
        <f t="shared" si="514"/>
        <v/>
      </c>
      <c r="EO270" s="60" t="e">
        <f>IF(EN270="",NA(),SUM($EN$4:EN270))</f>
        <v>#N/A</v>
      </c>
      <c r="EP270" s="60">
        <f t="shared" si="515"/>
        <v>0.60624999999999807</v>
      </c>
      <c r="EQ270" s="60">
        <f>IF(EP270="",NA(),SUM($EP$4:EP270))</f>
        <v>10.617121742925574</v>
      </c>
      <c r="ER270" s="60" t="str">
        <f t="shared" si="516"/>
        <v/>
      </c>
      <c r="ES270" s="60" t="e">
        <f>IF(ER270="",NA(),SUM($ER$4:ER270))</f>
        <v>#N/A</v>
      </c>
      <c r="ET270" s="60" t="str">
        <f t="shared" si="517"/>
        <v/>
      </c>
      <c r="EU270" s="60" t="e">
        <f>IF(ET270="",NA(),SUM($ET$4:ET270))</f>
        <v>#N/A</v>
      </c>
      <c r="EV270" s="60" t="str">
        <f t="shared" si="518"/>
        <v/>
      </c>
      <c r="EW270" s="60" t="e">
        <f>IF(EV270="",NA(),SUM($EV$4:EV270))</f>
        <v>#N/A</v>
      </c>
      <c r="EX270" s="60" t="str">
        <f t="shared" si="519"/>
        <v/>
      </c>
      <c r="EY270" s="60" t="e">
        <f>IF(EX270="",NA(),SUM($EX$4:EX270))</f>
        <v>#N/A</v>
      </c>
      <c r="EZ270" s="60" t="str">
        <f t="shared" si="520"/>
        <v/>
      </c>
      <c r="FA270" s="60" t="e">
        <f>IF(EZ270="",NA(),SUM($EZ$4:EZ270))</f>
        <v>#N/A</v>
      </c>
      <c r="FB270" s="246" t="str">
        <f t="shared" si="545"/>
        <v/>
      </c>
      <c r="FC270" s="246" t="e">
        <f>IF($FB270="",#N/A,SUM(FB$4:$FB270))</f>
        <v>#N/A</v>
      </c>
      <c r="FD270" s="60" t="str">
        <f t="shared" si="521"/>
        <v/>
      </c>
      <c r="FE270" s="60" t="e">
        <f>IF($FD270="",#N/A,SUM($FD$4:FD270))</f>
        <v>#N/A</v>
      </c>
      <c r="FF270" s="60" t="str">
        <f t="shared" si="522"/>
        <v/>
      </c>
      <c r="FG270" s="60" t="e">
        <f>IF($FF270="",#N/A,SUM($FF$4:FF270))</f>
        <v>#N/A</v>
      </c>
      <c r="FH270" s="60" t="str">
        <f t="shared" si="523"/>
        <v/>
      </c>
      <c r="FI270" s="60" t="e">
        <f>IF($FH270="",#N/A,SUM($FH$4:FH270))</f>
        <v>#N/A</v>
      </c>
      <c r="FJ270" s="60">
        <f t="shared" si="524"/>
        <v>-0.12083333333333235</v>
      </c>
      <c r="FK270" s="60">
        <f>IF($FJ270="",#N/A,SUM($FJ$4:FJ270))</f>
        <v>-5.7159293619124893</v>
      </c>
      <c r="FL270" s="60" t="str">
        <f t="shared" si="525"/>
        <v/>
      </c>
      <c r="FM270" s="60" t="e">
        <f>IF($FL270="",#N/A,SUM($FL$4:FL270))</f>
        <v>#N/A</v>
      </c>
      <c r="FN270" s="82">
        <f t="shared" si="526"/>
        <v>0.48541666666666572</v>
      </c>
      <c r="FO270" s="82">
        <f>IF($FN270="",#N/A,SUM(FN$4:$FN270))</f>
        <v>54.986223201467695</v>
      </c>
      <c r="FP270" s="82">
        <f t="shared" si="546"/>
        <v>0.60624999999999807</v>
      </c>
      <c r="FQ270" s="246">
        <f>IF($EH270="",#N/A,SUM($FP$4:FP270))</f>
        <v>54.094878406307622</v>
      </c>
      <c r="FR270" s="82">
        <f>IFERROR(FQ270/COUNTA($J$4:J270),#N/A)</f>
        <v>0.20260254084759408</v>
      </c>
      <c r="FS270" s="82">
        <f t="shared" si="448"/>
        <v>0.40588840766692313</v>
      </c>
      <c r="FT270" s="82">
        <f t="shared" si="449"/>
        <v>0.51743800671570284</v>
      </c>
      <c r="FU270" s="337">
        <f t="shared" si="551"/>
        <v>31.07068860228523</v>
      </c>
      <c r="FV270" s="57" t="str">
        <f t="shared" si="527"/>
        <v>SW</v>
      </c>
      <c r="FW270" s="57" t="s">
        <v>2732</v>
      </c>
      <c r="FX270" s="57" t="str">
        <f t="shared" si="528"/>
        <v/>
      </c>
      <c r="FY270" s="57" t="str">
        <f t="shared" si="529"/>
        <v/>
      </c>
      <c r="FZ270" s="57">
        <f t="shared" si="530"/>
        <v>1</v>
      </c>
      <c r="GA270" s="57" t="str">
        <f t="shared" si="531"/>
        <v>Long</v>
      </c>
      <c r="GB270" s="57" t="str">
        <f t="shared" si="532"/>
        <v/>
      </c>
      <c r="GC270" s="57" t="str">
        <f t="shared" si="533"/>
        <v/>
      </c>
      <c r="GD270" s="57" t="str">
        <f t="shared" si="534"/>
        <v/>
      </c>
      <c r="GE270" s="62">
        <f t="shared" si="451"/>
        <v>80</v>
      </c>
      <c r="GF270" s="62" t="s">
        <v>2780</v>
      </c>
      <c r="GG270" s="199">
        <f>400/I270</f>
        <v>5</v>
      </c>
      <c r="GH270" s="207">
        <f t="shared" si="535"/>
        <v>400</v>
      </c>
      <c r="GI270" s="199">
        <v>5</v>
      </c>
      <c r="GJ270" s="200">
        <v>82.91</v>
      </c>
      <c r="GK270" s="63">
        <f t="shared" si="536"/>
        <v>-14.549999999999955</v>
      </c>
      <c r="GL270" s="63">
        <f t="shared" si="452"/>
        <v>-11.649999999999977</v>
      </c>
      <c r="GM270" s="82">
        <f t="shared" si="537"/>
        <v>0.48541666666666572</v>
      </c>
      <c r="GN270" s="82">
        <f>IF($GZ270="",#N/A,SUM(GM$4:GM270))</f>
        <v>4.9550788356309035</v>
      </c>
      <c r="GO270" s="82" t="str">
        <f t="shared" si="538"/>
        <v/>
      </c>
      <c r="GP270" s="82">
        <f>IF($GZ270="",#N/A,SUM(GO$4:GO270))</f>
        <v>15.483108400264154</v>
      </c>
      <c r="GQ270" s="82" t="str">
        <f t="shared" si="539"/>
        <v/>
      </c>
      <c r="GR270" s="82">
        <f>IF($GZ270="",#N/A,SUM(GQ$4:GQ270))</f>
        <v>33.92219901113031</v>
      </c>
      <c r="GS270" s="63" t="e">
        <f t="shared" si="548"/>
        <v>#N/A</v>
      </c>
      <c r="GT270" s="63" t="e">
        <f>IF($GZ270="",#N/A,SUM(GS$4:GS270))</f>
        <v>#N/A</v>
      </c>
      <c r="GU270" s="63" t="str">
        <f t="shared" si="549"/>
        <v/>
      </c>
      <c r="GV270" s="63" t="e">
        <f>IF($GZ270="",#N/A,SUM(GU$4:GU270))</f>
        <v>#N/A</v>
      </c>
      <c r="GW270" s="63" t="str">
        <f t="shared" si="550"/>
        <v/>
      </c>
      <c r="GX270" s="63" t="e">
        <f>IF($GZ270="",#N/A,SUM(GW$4:GW270))</f>
        <v>#N/A</v>
      </c>
      <c r="GY270" s="63" t="e">
        <f>IF(EJ270="",#N/A,SUM($EJ$4:EJ270))</f>
        <v>#N/A</v>
      </c>
      <c r="GZ270" s="159">
        <v>82.33</v>
      </c>
      <c r="HA270" s="63">
        <f t="shared" si="540"/>
        <v>-26.199999999999932</v>
      </c>
      <c r="HB270" s="62" t="s">
        <v>2538</v>
      </c>
      <c r="HC270" s="60">
        <f>IFERROR(VLOOKUP(E270,Expectancy!$P$4:$S$19,1+C270,FALSE),"")</f>
        <v>-3.1543782927977014E-2</v>
      </c>
      <c r="HD270" s="82">
        <f t="shared" si="541"/>
        <v>-0.60624999999999807</v>
      </c>
      <c r="HE270" s="138">
        <f>IF(HD270="",#N/A,SUM($HD$4:HD270))</f>
        <v>8.4941898040223922</v>
      </c>
      <c r="HF270" s="85">
        <f>IF(HD270="",#N/A,IF(HB270="Skip",#N/A,SUM($HG$4:HG270)))</f>
        <v>220.23156919911446</v>
      </c>
      <c r="HG270" s="63">
        <f t="shared" si="542"/>
        <v>-14.549999999999955</v>
      </c>
      <c r="HH270" s="82">
        <f t="shared" si="543"/>
        <v>0.48541666666666572</v>
      </c>
    </row>
    <row r="271" spans="1:216" x14ac:dyDescent="0.25">
      <c r="A271" s="57" t="s">
        <v>1553</v>
      </c>
      <c r="B271" s="58" t="s">
        <v>5154</v>
      </c>
      <c r="C271" s="386">
        <f t="shared" si="453"/>
        <v>1</v>
      </c>
      <c r="D271" s="372" t="str">
        <f>_xlfn.XLOOKUP(A271,[1]SP500!$A$2:$A$502,[1]SP500!$D$2:$D$502,"N")</f>
        <v>Y</v>
      </c>
      <c r="E271" s="57" t="str">
        <f>_xlfn.XLOOKUP(A271,[1]SP500!$A$2:$A$655,[1]SP500!$B$2:$B$655)</f>
        <v>XLK</v>
      </c>
      <c r="F271" s="59">
        <v>45694</v>
      </c>
      <c r="G271" s="57" t="str">
        <f t="shared" si="454"/>
        <v>AMC</v>
      </c>
      <c r="H271" s="57" t="str">
        <f t="shared" si="455"/>
        <v>s</v>
      </c>
      <c r="I271" s="159">
        <v>220.18</v>
      </c>
      <c r="J271" s="159">
        <v>217.66</v>
      </c>
      <c r="K271" s="61">
        <f t="shared" si="456"/>
        <v>-1.1445181215369289E-2</v>
      </c>
      <c r="L271" s="87">
        <f t="shared" si="457"/>
        <v>-5.0400000000000205</v>
      </c>
      <c r="M271" s="130">
        <f t="shared" si="450"/>
        <v>0</v>
      </c>
      <c r="N271" s="169">
        <f t="shared" si="458"/>
        <v>-5.0400000000000205</v>
      </c>
      <c r="O271" s="169">
        <f>IF($J271="",#N/A,SUM($N$4:N271))</f>
        <v>464.3851161478122</v>
      </c>
      <c r="P271" s="174" t="str">
        <f t="shared" si="459"/>
        <v/>
      </c>
      <c r="Q271" s="174">
        <f>IF($J271="",#N/A,SUM($P$4:P271))</f>
        <v>631.89890674734102</v>
      </c>
      <c r="R271" s="178" t="str">
        <f t="shared" si="460"/>
        <v/>
      </c>
      <c r="S271" s="178">
        <f>IF($J271="",#N/A,SUM($R$4:R271))</f>
        <v>263.88445814372699</v>
      </c>
      <c r="T271" s="290">
        <f t="shared" si="461"/>
        <v>-0.19075302025615481</v>
      </c>
      <c r="U271" s="290">
        <f>IF($J271="",#N/A,SUM($T$4:T271))</f>
        <v>17.681560428940717</v>
      </c>
      <c r="V271" s="291" t="str">
        <f t="shared" si="462"/>
        <v/>
      </c>
      <c r="W271" s="291">
        <f>IF($J271="",#N/A,SUM($V$4:V271))</f>
        <v>26.276057629954881</v>
      </c>
      <c r="X271" s="292" t="str">
        <f t="shared" si="463"/>
        <v/>
      </c>
      <c r="Y271" s="292">
        <f>IF($J271="",#N/A,SUM($X$4:X271))</f>
        <v>9.9465073271558904</v>
      </c>
      <c r="Z271" s="304">
        <f t="shared" si="464"/>
        <v>-0.19075302025615481</v>
      </c>
      <c r="AA271" s="313" t="e">
        <f>IF($J271="",#N/A,SUM(Z$4:Z271))</f>
        <v>#N/A</v>
      </c>
      <c r="AB271" s="314" t="str">
        <f t="shared" si="465"/>
        <v/>
      </c>
      <c r="AC271" s="314" t="e">
        <f>IF($J271="",#N/A,SUM(AB$4:AB271))</f>
        <v>#N/A</v>
      </c>
      <c r="AD271" s="315" t="str">
        <f t="shared" si="466"/>
        <v/>
      </c>
      <c r="AE271" s="315" t="e">
        <f>IF($J271="",#N/A,SUM(AD$4:AD271))</f>
        <v>#N/A</v>
      </c>
      <c r="AF271" s="315" t="e">
        <f>IF($J271="",#N/A,SUM(AD$4:AD271,AB$4:AB271,Z$4:Z271))</f>
        <v>#N/A</v>
      </c>
      <c r="AG271" s="304" t="str">
        <f t="shared" si="467"/>
        <v/>
      </c>
      <c r="AH271" s="313" t="e">
        <f>IF($J271="",#N/A,SUM(AG$4:AG271))</f>
        <v>#N/A</v>
      </c>
      <c r="AI271" s="314" t="str">
        <f t="shared" si="468"/>
        <v/>
      </c>
      <c r="AJ271" s="314" t="e">
        <f>IF($J271="",#N/A,SUM(AI$4:AI271))</f>
        <v>#N/A</v>
      </c>
      <c r="AK271" s="315" t="str">
        <f t="shared" si="469"/>
        <v/>
      </c>
      <c r="AL271" s="315" t="e">
        <f>IF($J271="",#N/A,SUM(AK$4:AK271))</f>
        <v>#N/A</v>
      </c>
      <c r="AM271" s="315" t="e">
        <f>IF($J271="",#N/A,SUM(AK$4:AK271,AI$4:AI271,AG$4:AG271))</f>
        <v>#N/A</v>
      </c>
      <c r="AN271" s="304" t="str">
        <f t="shared" si="470"/>
        <v/>
      </c>
      <c r="AO271" s="313" t="e">
        <f>IF($J271="",#N/A,SUM(AN$4:AN271))</f>
        <v>#N/A</v>
      </c>
      <c r="AP271" s="314" t="str">
        <f t="shared" si="471"/>
        <v/>
      </c>
      <c r="AQ271" s="314" t="e">
        <f>IF($J271="",#N/A,SUM(AP$4:AP271))</f>
        <v>#N/A</v>
      </c>
      <c r="AR271" s="315" t="str">
        <f t="shared" si="472"/>
        <v/>
      </c>
      <c r="AS271" s="315" t="e">
        <f>IF($J271="",#N/A,SUM(AR$4:AR271))</f>
        <v>#N/A</v>
      </c>
      <c r="AT271" s="315" t="e">
        <f>IF($J271="",#N/A,SUM(AR$4:AR271,AP$4:AP271,AN$4:AN271))</f>
        <v>#N/A</v>
      </c>
      <c r="AU271" s="304" t="str">
        <f t="shared" si="473"/>
        <v/>
      </c>
      <c r="AV271" s="313" t="e">
        <f>IF($J271="",#N/A,SUM(AU$4:AU271))</f>
        <v>#N/A</v>
      </c>
      <c r="AW271" s="314" t="str">
        <f t="shared" si="474"/>
        <v/>
      </c>
      <c r="AX271" s="314" t="e">
        <f>IF($J271="",#N/A,SUM(AW$4:AW271))</f>
        <v>#N/A</v>
      </c>
      <c r="AY271" s="315" t="str">
        <f t="shared" si="475"/>
        <v/>
      </c>
      <c r="AZ271" s="315" t="e">
        <f>IF($J271="",#N/A,SUM(AY$4:AY271))</f>
        <v>#N/A</v>
      </c>
      <c r="BA271" s="315" t="e">
        <f>IF($J271="",#N/A,SUM(AY$4:AY271,AW$4:AW271,AU$4:AU271))</f>
        <v>#N/A</v>
      </c>
      <c r="BB271" s="304" t="str">
        <f t="shared" si="476"/>
        <v/>
      </c>
      <c r="BC271" s="313" t="e">
        <f>IF($J271="",#N/A,SUM(BB$4:BB271))</f>
        <v>#N/A</v>
      </c>
      <c r="BD271" s="314" t="str">
        <f t="shared" si="477"/>
        <v/>
      </c>
      <c r="BE271" s="314" t="e">
        <f>IF($J271="",#N/A,SUM(BD$4:BD271))</f>
        <v>#N/A</v>
      </c>
      <c r="BF271" s="315" t="str">
        <f t="shared" si="478"/>
        <v/>
      </c>
      <c r="BG271" s="315" t="e">
        <f>IF($J271="",#N/A,SUM(BF$4:BF271))</f>
        <v>#N/A</v>
      </c>
      <c r="BH271" s="315" t="e">
        <f>IF($J271="",#N/A,SUM(BF$4:BF271,BD$4:BD271,BB$4:BB271))</f>
        <v>#N/A</v>
      </c>
      <c r="BI271" s="304" t="str">
        <f t="shared" si="479"/>
        <v/>
      </c>
      <c r="BJ271" s="313" t="e">
        <f>IF($J271="",#N/A,SUM(BI$4:BI271))</f>
        <v>#N/A</v>
      </c>
      <c r="BK271" s="314" t="str">
        <f t="shared" si="480"/>
        <v/>
      </c>
      <c r="BL271" s="314" t="e">
        <f>IF($J271="",#N/A,SUM(BK$4:BK271))</f>
        <v>#N/A</v>
      </c>
      <c r="BM271" s="315" t="str">
        <f t="shared" si="481"/>
        <v/>
      </c>
      <c r="BN271" s="315" t="e">
        <f>IF($J271="",#N/A,SUM(BM$4:BM271))</f>
        <v>#N/A</v>
      </c>
      <c r="BO271" s="315" t="e">
        <f>IF($J271="",#N/A,SUM(BM$4:BM271,BK$4:BK271,BI$4:BI271))</f>
        <v>#N/A</v>
      </c>
      <c r="BP271" s="304" t="str">
        <f t="shared" si="482"/>
        <v/>
      </c>
      <c r="BQ271" s="313" t="e">
        <f>IF($J271="",#N/A,SUM(BP$4:BP271))</f>
        <v>#N/A</v>
      </c>
      <c r="BR271" s="314" t="str">
        <f t="shared" si="483"/>
        <v/>
      </c>
      <c r="BS271" s="314" t="e">
        <f>IF($J271="",#N/A,SUM(BR$4:BR271))</f>
        <v>#N/A</v>
      </c>
      <c r="BT271" s="315" t="str">
        <f t="shared" si="484"/>
        <v/>
      </c>
      <c r="BU271" s="315" t="e">
        <f>IF($J271="",#N/A,SUM(BT$4:BT271))</f>
        <v>#N/A</v>
      </c>
      <c r="BV271" s="315" t="e">
        <f>IF($J271="",#N/A,SUM(BT$4:BT271,BR$4:BR271,BP$4:BP271))</f>
        <v>#N/A</v>
      </c>
      <c r="BW271" s="304" t="str">
        <f t="shared" si="485"/>
        <v/>
      </c>
      <c r="BX271" s="313" t="e">
        <f>IF($J271="",#N/A,SUM(BW$4:BW271))</f>
        <v>#N/A</v>
      </c>
      <c r="BY271" s="314" t="str">
        <f t="shared" si="486"/>
        <v/>
      </c>
      <c r="BZ271" s="314" t="e">
        <f>IF($J271="",#N/A,SUM(BY$4:BY271))</f>
        <v>#N/A</v>
      </c>
      <c r="CA271" s="315" t="str">
        <f t="shared" si="487"/>
        <v/>
      </c>
      <c r="CB271" s="315" t="e">
        <f>IF($J271="",#N/A,SUM(CA$4:CA271))</f>
        <v>#N/A</v>
      </c>
      <c r="CC271" s="315" t="e">
        <f>IF($J271="",#N/A,SUM(CA$4:CA271,BY$4:BY271,BW$4:BW271))</f>
        <v>#N/A</v>
      </c>
      <c r="CD271" s="304" t="str">
        <f t="shared" si="488"/>
        <v/>
      </c>
      <c r="CE271" s="313" t="e">
        <f>IF($J271="",#N/A,SUM(CD$4:CD271))</f>
        <v>#N/A</v>
      </c>
      <c r="CF271" s="314" t="str">
        <f t="shared" si="489"/>
        <v/>
      </c>
      <c r="CG271" s="314" t="e">
        <f>IF($J271="",#N/A,SUM(CF$4:CF271))</f>
        <v>#N/A</v>
      </c>
      <c r="CH271" s="315" t="str">
        <f t="shared" si="490"/>
        <v/>
      </c>
      <c r="CI271" s="315" t="e">
        <f>IF($J271="",#N/A,SUM(CH$4:CH271))</f>
        <v>#N/A</v>
      </c>
      <c r="CJ271" s="315" t="e">
        <f>IF($J271="",#N/A,SUM(CH$4:CH271,CF$4:CF271,CD$4:CD271))</f>
        <v>#N/A</v>
      </c>
      <c r="CK271" s="304" t="str">
        <f t="shared" si="491"/>
        <v/>
      </c>
      <c r="CL271" s="313" t="e">
        <f>IF($J271="",#N/A,SUM(CK$4:CK271))</f>
        <v>#N/A</v>
      </c>
      <c r="CM271" s="314" t="str">
        <f t="shared" si="492"/>
        <v/>
      </c>
      <c r="CN271" s="314" t="e">
        <f>IF($J271="",#N/A,SUM(CM$4:CM271))</f>
        <v>#N/A</v>
      </c>
      <c r="CO271" s="315" t="str">
        <f t="shared" si="493"/>
        <v/>
      </c>
      <c r="CP271" s="315" t="e">
        <f>IF($J271="",#N/A,SUM(CO$4:CO271))</f>
        <v>#N/A</v>
      </c>
      <c r="CQ271" s="315" t="e">
        <f>IF($J271="",#N/A,SUM(CO$4:CO271,CM$4:CM271,CK$4:CK271))</f>
        <v>#N/A</v>
      </c>
      <c r="CR271" s="304" t="str">
        <f t="shared" si="494"/>
        <v/>
      </c>
      <c r="CS271" s="313" t="e">
        <f>IF($J271="",#N/A,SUM(CR$4:CR271))</f>
        <v>#N/A</v>
      </c>
      <c r="CT271" s="314" t="str">
        <f t="shared" si="495"/>
        <v/>
      </c>
      <c r="CU271" s="314" t="e">
        <f>IF($J271="",#N/A,SUM(CT$4:CT271))</f>
        <v>#N/A</v>
      </c>
      <c r="CV271" s="315" t="str">
        <f t="shared" si="496"/>
        <v/>
      </c>
      <c r="CW271" s="315" t="e">
        <f>IF($J271="",#N/A,SUM(CV$4:CV271))</f>
        <v>#N/A</v>
      </c>
      <c r="CX271" s="315" t="e">
        <f>IF($J271="",#N/A,SUM(CV$4:CV271,CT$4:CT271,CR$4:CR271))</f>
        <v>#N/A</v>
      </c>
      <c r="CY271" s="304" t="str">
        <f t="shared" si="497"/>
        <v/>
      </c>
      <c r="CZ271" s="313" t="e">
        <f>IF($J271="",#N/A,SUM(CY$4:CY271))</f>
        <v>#N/A</v>
      </c>
      <c r="DA271" s="314" t="str">
        <f t="shared" si="498"/>
        <v/>
      </c>
      <c r="DB271" s="314" t="e">
        <f>IF($J271="",#N/A,SUM(DA$4:DA271))</f>
        <v>#N/A</v>
      </c>
      <c r="DC271" s="315" t="str">
        <f t="shared" si="499"/>
        <v/>
      </c>
      <c r="DD271" s="315" t="e">
        <f>IF($J271="",#N/A,SUM(DC$4:DC271))</f>
        <v>#N/A</v>
      </c>
      <c r="DE271" s="315" t="e">
        <f>IF($J271="",#N/A,SUM(DC$4:DC271,DA$4:DA271,CY$4:CY271))</f>
        <v>#N/A</v>
      </c>
      <c r="DF271" s="304" t="str">
        <f t="shared" si="500"/>
        <v/>
      </c>
      <c r="DG271" s="313" t="e">
        <f>IF($J271="",#N/A,SUM(DF$4:DF271))</f>
        <v>#N/A</v>
      </c>
      <c r="DH271" s="314" t="str">
        <f t="shared" si="501"/>
        <v/>
      </c>
      <c r="DI271" s="314" t="e">
        <f>IF($J271="",#N/A,SUM(DH$4:DH271))</f>
        <v>#N/A</v>
      </c>
      <c r="DJ271" s="315" t="str">
        <f t="shared" si="502"/>
        <v/>
      </c>
      <c r="DK271" s="315" t="e">
        <f>IF($J271="",#N/A,SUM(DJ$4:DJ271))</f>
        <v>#N/A</v>
      </c>
      <c r="DL271" s="315" t="e">
        <f>IF($J271="",#N/A,SUM(DJ$4:DJ271,DH$4:DH271,DF$4:DF271))</f>
        <v>#N/A</v>
      </c>
      <c r="DM271" s="304" t="str">
        <f t="shared" si="503"/>
        <v/>
      </c>
      <c r="DN271" s="313" t="e">
        <f>IF($J271="",#N/A,SUM(DM$4:DM271))</f>
        <v>#N/A</v>
      </c>
      <c r="DO271" s="314" t="str">
        <f t="shared" si="504"/>
        <v/>
      </c>
      <c r="DP271" s="314" t="e">
        <f>IF($J271="",#N/A,SUM(DO$4:DO271))</f>
        <v>#N/A</v>
      </c>
      <c r="DQ271" s="315" t="str">
        <f t="shared" si="505"/>
        <v/>
      </c>
      <c r="DR271" s="315" t="e">
        <f>IF($J271="",#N/A,SUM(DQ$4:DQ271))</f>
        <v>#N/A</v>
      </c>
      <c r="DS271" s="315" t="e">
        <f>IF($J271="",#N/A,SUM(DQ$4:DQ271,DO$4:DO271,DM$4:DM271))</f>
        <v>#N/A</v>
      </c>
      <c r="DT271" s="304" t="str">
        <f t="shared" si="506"/>
        <v/>
      </c>
      <c r="DU271" s="313" t="e">
        <f>IF($J271="",#N/A,SUM(DT$4:DT271))</f>
        <v>#N/A</v>
      </c>
      <c r="DV271" s="314" t="str">
        <f t="shared" si="507"/>
        <v/>
      </c>
      <c r="DW271" s="314" t="e">
        <f>IF($J271="",#N/A,SUM(DV$4:DV271))</f>
        <v>#N/A</v>
      </c>
      <c r="DX271" s="315" t="str">
        <f t="shared" si="508"/>
        <v/>
      </c>
      <c r="DY271" s="315" t="e">
        <f>IF($J271="",#N/A,SUM(DX$4:DX271))</f>
        <v>#N/A</v>
      </c>
      <c r="DZ271" s="315" t="e">
        <f>IF($J271="",#N/A,SUM(DX$4:DX271,DV$4:DV271,DT$4:DT271))</f>
        <v>#N/A</v>
      </c>
      <c r="EA271" s="304" t="str">
        <f t="shared" si="509"/>
        <v/>
      </c>
      <c r="EB271" s="313" t="e">
        <f>IF($J271="",#N/A,SUM(EA$4:EA271))</f>
        <v>#N/A</v>
      </c>
      <c r="EC271" s="314" t="str">
        <f t="shared" si="510"/>
        <v/>
      </c>
      <c r="ED271" s="314" t="e">
        <f>IF($J271="",#N/A,SUM(EC$4:EC271))</f>
        <v>#N/A</v>
      </c>
      <c r="EE271" s="315" t="str">
        <f t="shared" si="511"/>
        <v/>
      </c>
      <c r="EF271" s="315" t="e">
        <f>IF($J271="",#N/A,SUM(EE$4:EE271))</f>
        <v>#N/A</v>
      </c>
      <c r="EG271" s="315" t="e">
        <f>IF($J271="",#N/A,SUM(EE$4:EE271,EC$4:EC271,EA$4:EA271))</f>
        <v>#N/A</v>
      </c>
      <c r="EH271" s="130">
        <f t="shared" si="512"/>
        <v>-5.0400000000000205</v>
      </c>
      <c r="EI271" s="63">
        <f>IF(EH271="",#N/A,SUM($EH$4:EH271))</f>
        <v>1360.1684810388801</v>
      </c>
      <c r="EJ271" s="223" t="e">
        <f t="shared" si="513"/>
        <v>#N/A</v>
      </c>
      <c r="EK271" s="63" t="e">
        <f>IF($GZ271="",#N/A,SUM(EJ$4:EJ271))</f>
        <v>#N/A</v>
      </c>
      <c r="EL271" s="60">
        <f t="shared" si="544"/>
        <v>-0.19075302025615481</v>
      </c>
      <c r="EM271" s="60">
        <f>IF(EL271="",NA(),SUM($EL$4:EL271))</f>
        <v>44.452490177710011</v>
      </c>
      <c r="EN271" s="60">
        <f t="shared" si="514"/>
        <v>-0.19075302025615481</v>
      </c>
      <c r="EO271" s="60">
        <f>IF(EN271="",NA(),SUM($EN$4:EN271))</f>
        <v>15.724853604289994</v>
      </c>
      <c r="EP271" s="60" t="str">
        <f t="shared" si="515"/>
        <v/>
      </c>
      <c r="EQ271" s="60" t="e">
        <f>IF(EP271="",NA(),SUM($EP$4:EP271))</f>
        <v>#N/A</v>
      </c>
      <c r="ER271" s="60" t="str">
        <f t="shared" si="516"/>
        <v/>
      </c>
      <c r="ES271" s="60" t="e">
        <f>IF(ER271="",NA(),SUM($ER$4:ER271))</f>
        <v>#N/A</v>
      </c>
      <c r="ET271" s="60" t="str">
        <f t="shared" si="517"/>
        <v/>
      </c>
      <c r="EU271" s="60" t="e">
        <f>IF(ET271="",NA(),SUM($ET$4:ET271))</f>
        <v>#N/A</v>
      </c>
      <c r="EV271" s="60" t="str">
        <f t="shared" si="518"/>
        <v/>
      </c>
      <c r="EW271" s="60" t="e">
        <f>IF(EV271="",NA(),SUM($EV$4:EV271))</f>
        <v>#N/A</v>
      </c>
      <c r="EX271" s="60" t="str">
        <f t="shared" si="519"/>
        <v/>
      </c>
      <c r="EY271" s="60" t="e">
        <f>IF(EX271="",NA(),SUM($EX$4:EX271))</f>
        <v>#N/A</v>
      </c>
      <c r="EZ271" s="60" t="str">
        <f t="shared" si="520"/>
        <v/>
      </c>
      <c r="FA271" s="60" t="e">
        <f>IF(EZ271="",NA(),SUM($EZ$4:EZ271))</f>
        <v>#N/A</v>
      </c>
      <c r="FB271" s="246" t="str">
        <f t="shared" si="545"/>
        <v/>
      </c>
      <c r="FC271" s="246" t="e">
        <f>IF($FB271="",#N/A,SUM(FB$4:$FB271))</f>
        <v>#N/A</v>
      </c>
      <c r="FD271" s="60" t="str">
        <f t="shared" si="521"/>
        <v/>
      </c>
      <c r="FE271" s="60" t="e">
        <f>IF($FD271="",#N/A,SUM($FD$4:FD271))</f>
        <v>#N/A</v>
      </c>
      <c r="FF271" s="60" t="str">
        <f t="shared" si="522"/>
        <v/>
      </c>
      <c r="FG271" s="60" t="e">
        <f>IF($FF271="",#N/A,SUM($FF$4:FF271))</f>
        <v>#N/A</v>
      </c>
      <c r="FH271" s="60">
        <f t="shared" si="523"/>
        <v>0.28234474823629074</v>
      </c>
      <c r="FI271" s="60">
        <f>IF($FH271="",#N/A,SUM($FH$4:FH271))</f>
        <v>2.364244378705044</v>
      </c>
      <c r="FJ271" s="60" t="str">
        <f t="shared" si="524"/>
        <v/>
      </c>
      <c r="FK271" s="60" t="e">
        <f>IF($FJ271="",#N/A,SUM($FJ$4:FJ271))</f>
        <v>#N/A</v>
      </c>
      <c r="FL271" s="60" t="str">
        <f t="shared" si="525"/>
        <v/>
      </c>
      <c r="FM271" s="60" t="e">
        <f>IF($FL271="",#N/A,SUM($FL$4:FL271))</f>
        <v>#N/A</v>
      </c>
      <c r="FN271" s="82">
        <f t="shared" si="526"/>
        <v>9.1591727980135915E-2</v>
      </c>
      <c r="FO271" s="82">
        <f>IF($FN271="",#N/A,SUM(FN$4:$FN271))</f>
        <v>55.077814929447833</v>
      </c>
      <c r="FP271" s="82">
        <f t="shared" si="546"/>
        <v>-0.19075302025615481</v>
      </c>
      <c r="FQ271" s="246">
        <f>IF($EH271="",#N/A,SUM($FP$4:FP271))</f>
        <v>53.904125386051469</v>
      </c>
      <c r="FR271" s="82">
        <f>IFERROR(FQ271/COUNTA($J$4:J271),#N/A)</f>
        <v>0.20113479621660996</v>
      </c>
      <c r="FS271" s="82">
        <f t="shared" si="448"/>
        <v>0.40889687667356484</v>
      </c>
      <c r="FT271" s="82">
        <f t="shared" si="449"/>
        <v>0.51024741793312134</v>
      </c>
      <c r="FU271" s="337">
        <f t="shared" si="551"/>
        <v>31.07068860228523</v>
      </c>
      <c r="FV271" s="57" t="str">
        <f t="shared" si="527"/>
        <v>Up</v>
      </c>
      <c r="FW271" s="57" t="s">
        <v>2734</v>
      </c>
      <c r="FX271" s="57" t="str">
        <f t="shared" si="528"/>
        <v/>
      </c>
      <c r="FY271" s="57" t="str">
        <f t="shared" si="529"/>
        <v/>
      </c>
      <c r="FZ271" s="57" t="str">
        <f t="shared" si="530"/>
        <v/>
      </c>
      <c r="GA271" s="57" t="str">
        <f t="shared" si="531"/>
        <v>Long</v>
      </c>
      <c r="GB271" s="57" t="str">
        <f t="shared" si="532"/>
        <v/>
      </c>
      <c r="GC271" s="57">
        <f t="shared" si="533"/>
        <v>1</v>
      </c>
      <c r="GD271" s="57" t="str">
        <f t="shared" si="534"/>
        <v/>
      </c>
      <c r="GE271" s="62">
        <f t="shared" si="451"/>
        <v>220.18</v>
      </c>
      <c r="GF271" s="62" t="s">
        <v>2779</v>
      </c>
      <c r="GG271" s="199">
        <v>2</v>
      </c>
      <c r="GH271" s="207">
        <f t="shared" si="535"/>
        <v>440.36</v>
      </c>
      <c r="GI271" s="199">
        <v>2</v>
      </c>
      <c r="GJ271" s="200">
        <v>217.66</v>
      </c>
      <c r="GK271" s="63">
        <f t="shared" si="536"/>
        <v>-5.0400000000000205</v>
      </c>
      <c r="GL271" s="63">
        <f t="shared" si="452"/>
        <v>2.4199999999999591</v>
      </c>
      <c r="GM271" s="82" t="str">
        <f t="shared" si="537"/>
        <v/>
      </c>
      <c r="GN271" s="82">
        <f>IF($GZ271="",#N/A,SUM(GM$4:GM271))</f>
        <v>4.9550788356309035</v>
      </c>
      <c r="GO271" s="82">
        <f t="shared" si="538"/>
        <v>9.1591727980135915E-2</v>
      </c>
      <c r="GP271" s="82">
        <f>IF($GZ271="",#N/A,SUM(GO$4:GO271))</f>
        <v>15.57470012824429</v>
      </c>
      <c r="GQ271" s="82" t="str">
        <f t="shared" si="539"/>
        <v/>
      </c>
      <c r="GR271" s="82">
        <f>IF($GZ271="",#N/A,SUM(GQ$4:GQ271))</f>
        <v>33.92219901113031</v>
      </c>
      <c r="GS271" s="63" t="str">
        <f t="shared" si="548"/>
        <v/>
      </c>
      <c r="GT271" s="63" t="e">
        <f>IF($GZ271="",#N/A,SUM(GS$4:GS271))</f>
        <v>#N/A</v>
      </c>
      <c r="GU271" s="63" t="e">
        <f t="shared" si="549"/>
        <v>#N/A</v>
      </c>
      <c r="GV271" s="63" t="e">
        <f>IF($GZ271="",#N/A,SUM(GU$4:GU271))</f>
        <v>#N/A</v>
      </c>
      <c r="GW271" s="63" t="str">
        <f t="shared" si="550"/>
        <v/>
      </c>
      <c r="GX271" s="63" t="e">
        <f>IF($GZ271="",#N/A,SUM(GW$4:GW271))</f>
        <v>#N/A</v>
      </c>
      <c r="GY271" s="63" t="e">
        <f>IF(EJ271="",#N/A,SUM($EJ$4:EJ271))</f>
        <v>#N/A</v>
      </c>
      <c r="GZ271" s="159">
        <v>221.39</v>
      </c>
      <c r="HA271" s="63">
        <f t="shared" si="540"/>
        <v>7.4599999999999795</v>
      </c>
      <c r="HB271" s="62" t="s">
        <v>2538</v>
      </c>
      <c r="HC271" s="60">
        <f>IFERROR(VLOOKUP(E271,Expectancy!$P$4:$S$19,1+C271,FALSE),"")</f>
        <v>0.35290544702120547</v>
      </c>
      <c r="HD271" s="82">
        <f t="shared" si="541"/>
        <v>-0.19075302025615481</v>
      </c>
      <c r="HE271" s="138">
        <f>IF(HD271="",#N/A,SUM($HD$4:HD271))</f>
        <v>8.3034367837662373</v>
      </c>
      <c r="HF271" s="85">
        <f>IF(HD271="",#N/A,IF(HB271="Skip",#N/A,SUM($HG$4:HG271)))</f>
        <v>215.19156919911444</v>
      </c>
      <c r="HG271" s="63">
        <f t="shared" si="542"/>
        <v>-5.0400000000000205</v>
      </c>
      <c r="HH271" s="82">
        <f t="shared" si="543"/>
        <v>9.1591727980135915E-2</v>
      </c>
    </row>
    <row r="272" spans="1:216" x14ac:dyDescent="0.25">
      <c r="A272" s="57" t="s">
        <v>1604</v>
      </c>
      <c r="B272" s="58" t="s">
        <v>5154</v>
      </c>
      <c r="C272" s="386">
        <f t="shared" si="453"/>
        <v>2</v>
      </c>
      <c r="D272" s="372" t="str">
        <f>_xlfn.XLOOKUP(A272,[1]SP500!$A$2:$A$502,[1]SP500!$D$2:$D$502,"N")</f>
        <v>Y</v>
      </c>
      <c r="E272" s="57" t="str">
        <f>_xlfn.XLOOKUP(A272,[1]SP500!$A$2:$A$655,[1]SP500!$B$2:$B$655)</f>
        <v>XLY</v>
      </c>
      <c r="F272" s="59">
        <v>45694</v>
      </c>
      <c r="G272" s="57" t="str">
        <f t="shared" si="454"/>
        <v>AMC</v>
      </c>
      <c r="H272" s="57" t="str">
        <f t="shared" si="455"/>
        <v>s</v>
      </c>
      <c r="I272" s="159">
        <v>121.97</v>
      </c>
      <c r="J272" s="159">
        <v>125</v>
      </c>
      <c r="K272" s="61">
        <f t="shared" si="456"/>
        <v>2.4842174305157016E-2</v>
      </c>
      <c r="L272" s="87">
        <f t="shared" si="457"/>
        <v>-12.120000000000005</v>
      </c>
      <c r="M272" s="130">
        <f t="shared" si="450"/>
        <v>0</v>
      </c>
      <c r="N272" s="169" t="str">
        <f t="shared" si="458"/>
        <v/>
      </c>
      <c r="O272" s="169">
        <f>IF($J272="",#N/A,SUM($N$4:N272))</f>
        <v>464.3851161478122</v>
      </c>
      <c r="P272" s="174">
        <f t="shared" si="459"/>
        <v>-12.120000000000005</v>
      </c>
      <c r="Q272" s="174">
        <f>IF($J272="",#N/A,SUM($P$4:P272))</f>
        <v>619.77890674734101</v>
      </c>
      <c r="R272" s="178" t="str">
        <f t="shared" si="460"/>
        <v/>
      </c>
      <c r="S272" s="178">
        <f>IF($J272="",#N/A,SUM($R$4:R272))</f>
        <v>263.88445814372699</v>
      </c>
      <c r="T272" s="290" t="str">
        <f t="shared" si="461"/>
        <v/>
      </c>
      <c r="U272" s="290">
        <f>IF($J272="",#N/A,SUM($T$4:T272))</f>
        <v>17.681560428940717</v>
      </c>
      <c r="V272" s="291">
        <f t="shared" si="462"/>
        <v>-0.41403623841928361</v>
      </c>
      <c r="W272" s="291">
        <f>IF($J272="",#N/A,SUM($V$4:V272))</f>
        <v>25.862021391535599</v>
      </c>
      <c r="X272" s="292" t="str">
        <f t="shared" si="463"/>
        <v/>
      </c>
      <c r="Y272" s="292">
        <f>IF($J272="",#N/A,SUM($X$4:X272))</f>
        <v>9.9465073271558904</v>
      </c>
      <c r="Z272" s="304" t="str">
        <f t="shared" si="464"/>
        <v/>
      </c>
      <c r="AA272" s="313" t="e">
        <f>IF($J272="",#N/A,SUM(Z$4:Z272))</f>
        <v>#N/A</v>
      </c>
      <c r="AB272" s="314" t="str">
        <f t="shared" si="465"/>
        <v/>
      </c>
      <c r="AC272" s="314" t="e">
        <f>IF($J272="",#N/A,SUM(AB$4:AB272))</f>
        <v>#N/A</v>
      </c>
      <c r="AD272" s="315" t="str">
        <f t="shared" si="466"/>
        <v/>
      </c>
      <c r="AE272" s="315" t="e">
        <f>IF($J272="",#N/A,SUM(AD$4:AD272))</f>
        <v>#N/A</v>
      </c>
      <c r="AF272" s="315" t="e">
        <f>IF($J272="",#N/A,SUM(AD$4:AD272,AB$4:AB272,Z$4:Z272))</f>
        <v>#N/A</v>
      </c>
      <c r="AG272" s="304" t="str">
        <f t="shared" si="467"/>
        <v/>
      </c>
      <c r="AH272" s="313" t="e">
        <f>IF($J272="",#N/A,SUM(AG$4:AG272))</f>
        <v>#N/A</v>
      </c>
      <c r="AI272" s="314" t="str">
        <f t="shared" si="468"/>
        <v/>
      </c>
      <c r="AJ272" s="314" t="e">
        <f>IF($J272="",#N/A,SUM(AI$4:AI272))</f>
        <v>#N/A</v>
      </c>
      <c r="AK272" s="315" t="str">
        <f t="shared" si="469"/>
        <v/>
      </c>
      <c r="AL272" s="315" t="e">
        <f>IF($J272="",#N/A,SUM(AK$4:AK272))</f>
        <v>#N/A</v>
      </c>
      <c r="AM272" s="315" t="e">
        <f>IF($J272="",#N/A,SUM(AK$4:AK272,AI$4:AI272,AG$4:AG272))</f>
        <v>#N/A</v>
      </c>
      <c r="AN272" s="304" t="str">
        <f t="shared" si="470"/>
        <v/>
      </c>
      <c r="AO272" s="313" t="e">
        <f>IF($J272="",#N/A,SUM(AN$4:AN272))</f>
        <v>#N/A</v>
      </c>
      <c r="AP272" s="314">
        <f t="shared" si="471"/>
        <v>-0.41403623841928361</v>
      </c>
      <c r="AQ272" s="314" t="e">
        <f>IF($J272="",#N/A,SUM(AP$4:AP272))</f>
        <v>#N/A</v>
      </c>
      <c r="AR272" s="315" t="str">
        <f t="shared" si="472"/>
        <v/>
      </c>
      <c r="AS272" s="315" t="e">
        <f>IF($J272="",#N/A,SUM(AR$4:AR272))</f>
        <v>#N/A</v>
      </c>
      <c r="AT272" s="315" t="e">
        <f>IF($J272="",#N/A,SUM(AR$4:AR272,AP$4:AP272,AN$4:AN272))</f>
        <v>#N/A</v>
      </c>
      <c r="AU272" s="304" t="str">
        <f t="shared" si="473"/>
        <v/>
      </c>
      <c r="AV272" s="313" t="e">
        <f>IF($J272="",#N/A,SUM(AU$4:AU272))</f>
        <v>#N/A</v>
      </c>
      <c r="AW272" s="314" t="str">
        <f t="shared" si="474"/>
        <v/>
      </c>
      <c r="AX272" s="314" t="e">
        <f>IF($J272="",#N/A,SUM(AW$4:AW272))</f>
        <v>#N/A</v>
      </c>
      <c r="AY272" s="315" t="str">
        <f t="shared" si="475"/>
        <v/>
      </c>
      <c r="AZ272" s="315" t="e">
        <f>IF($J272="",#N/A,SUM(AY$4:AY272))</f>
        <v>#N/A</v>
      </c>
      <c r="BA272" s="315" t="e">
        <f>IF($J272="",#N/A,SUM(AY$4:AY272,AW$4:AW272,AU$4:AU272))</f>
        <v>#N/A</v>
      </c>
      <c r="BB272" s="304" t="str">
        <f t="shared" si="476"/>
        <v/>
      </c>
      <c r="BC272" s="313" t="e">
        <f>IF($J272="",#N/A,SUM(BB$4:BB272))</f>
        <v>#N/A</v>
      </c>
      <c r="BD272" s="314" t="str">
        <f t="shared" si="477"/>
        <v/>
      </c>
      <c r="BE272" s="314" t="e">
        <f>IF($J272="",#N/A,SUM(BD$4:BD272))</f>
        <v>#N/A</v>
      </c>
      <c r="BF272" s="315" t="str">
        <f t="shared" si="478"/>
        <v/>
      </c>
      <c r="BG272" s="315" t="e">
        <f>IF($J272="",#N/A,SUM(BF$4:BF272))</f>
        <v>#N/A</v>
      </c>
      <c r="BH272" s="315" t="e">
        <f>IF($J272="",#N/A,SUM(BF$4:BF272,BD$4:BD272,BB$4:BB272))</f>
        <v>#N/A</v>
      </c>
      <c r="BI272" s="304" t="str">
        <f t="shared" si="479"/>
        <v/>
      </c>
      <c r="BJ272" s="313" t="e">
        <f>IF($J272="",#N/A,SUM(BI$4:BI272))</f>
        <v>#N/A</v>
      </c>
      <c r="BK272" s="314" t="str">
        <f t="shared" si="480"/>
        <v/>
      </c>
      <c r="BL272" s="314" t="e">
        <f>IF($J272="",#N/A,SUM(BK$4:BK272))</f>
        <v>#N/A</v>
      </c>
      <c r="BM272" s="315" t="str">
        <f t="shared" si="481"/>
        <v/>
      </c>
      <c r="BN272" s="315" t="e">
        <f>IF($J272="",#N/A,SUM(BM$4:BM272))</f>
        <v>#N/A</v>
      </c>
      <c r="BO272" s="315" t="e">
        <f>IF($J272="",#N/A,SUM(BM$4:BM272,BK$4:BK272,BI$4:BI272))</f>
        <v>#N/A</v>
      </c>
      <c r="BP272" s="304" t="str">
        <f t="shared" si="482"/>
        <v/>
      </c>
      <c r="BQ272" s="313" t="e">
        <f>IF($J272="",#N/A,SUM(BP$4:BP272))</f>
        <v>#N/A</v>
      </c>
      <c r="BR272" s="314" t="str">
        <f t="shared" si="483"/>
        <v/>
      </c>
      <c r="BS272" s="314" t="e">
        <f>IF($J272="",#N/A,SUM(BR$4:BR272))</f>
        <v>#N/A</v>
      </c>
      <c r="BT272" s="315" t="str">
        <f t="shared" si="484"/>
        <v/>
      </c>
      <c r="BU272" s="315" t="e">
        <f>IF($J272="",#N/A,SUM(BT$4:BT272))</f>
        <v>#N/A</v>
      </c>
      <c r="BV272" s="315" t="e">
        <f>IF($J272="",#N/A,SUM(BT$4:BT272,BR$4:BR272,BP$4:BP272))</f>
        <v>#N/A</v>
      </c>
      <c r="BW272" s="304" t="str">
        <f t="shared" si="485"/>
        <v/>
      </c>
      <c r="BX272" s="313" t="e">
        <f>IF($J272="",#N/A,SUM(BW$4:BW272))</f>
        <v>#N/A</v>
      </c>
      <c r="BY272" s="314" t="str">
        <f t="shared" si="486"/>
        <v/>
      </c>
      <c r="BZ272" s="314" t="e">
        <f>IF($J272="",#N/A,SUM(BY$4:BY272))</f>
        <v>#N/A</v>
      </c>
      <c r="CA272" s="315" t="str">
        <f t="shared" si="487"/>
        <v/>
      </c>
      <c r="CB272" s="315" t="e">
        <f>IF($J272="",#N/A,SUM(CA$4:CA272))</f>
        <v>#N/A</v>
      </c>
      <c r="CC272" s="315" t="e">
        <f>IF($J272="",#N/A,SUM(CA$4:CA272,BY$4:BY272,BW$4:BW272))</f>
        <v>#N/A</v>
      </c>
      <c r="CD272" s="304" t="str">
        <f t="shared" si="488"/>
        <v/>
      </c>
      <c r="CE272" s="313" t="e">
        <f>IF($J272="",#N/A,SUM(CD$4:CD272))</f>
        <v>#N/A</v>
      </c>
      <c r="CF272" s="314" t="str">
        <f t="shared" si="489"/>
        <v/>
      </c>
      <c r="CG272" s="314" t="e">
        <f>IF($J272="",#N/A,SUM(CF$4:CF272))</f>
        <v>#N/A</v>
      </c>
      <c r="CH272" s="315" t="str">
        <f t="shared" si="490"/>
        <v/>
      </c>
      <c r="CI272" s="315" t="e">
        <f>IF($J272="",#N/A,SUM(CH$4:CH272))</f>
        <v>#N/A</v>
      </c>
      <c r="CJ272" s="315" t="e">
        <f>IF($J272="",#N/A,SUM(CH$4:CH272,CF$4:CF272,CD$4:CD272))</f>
        <v>#N/A</v>
      </c>
      <c r="CK272" s="304" t="str">
        <f t="shared" si="491"/>
        <v/>
      </c>
      <c r="CL272" s="313" t="e">
        <f>IF($J272="",#N/A,SUM(CK$4:CK272))</f>
        <v>#N/A</v>
      </c>
      <c r="CM272" s="314" t="str">
        <f t="shared" si="492"/>
        <v/>
      </c>
      <c r="CN272" s="314" t="e">
        <f>IF($J272="",#N/A,SUM(CM$4:CM272))</f>
        <v>#N/A</v>
      </c>
      <c r="CO272" s="315" t="str">
        <f t="shared" si="493"/>
        <v/>
      </c>
      <c r="CP272" s="315" t="e">
        <f>IF($J272="",#N/A,SUM(CO$4:CO272))</f>
        <v>#N/A</v>
      </c>
      <c r="CQ272" s="315" t="e">
        <f>IF($J272="",#N/A,SUM(CO$4:CO272,CM$4:CM272,CK$4:CK272))</f>
        <v>#N/A</v>
      </c>
      <c r="CR272" s="304" t="str">
        <f t="shared" si="494"/>
        <v/>
      </c>
      <c r="CS272" s="313" t="e">
        <f>IF($J272="",#N/A,SUM(CR$4:CR272))</f>
        <v>#N/A</v>
      </c>
      <c r="CT272" s="314" t="str">
        <f t="shared" si="495"/>
        <v/>
      </c>
      <c r="CU272" s="314" t="e">
        <f>IF($J272="",#N/A,SUM(CT$4:CT272))</f>
        <v>#N/A</v>
      </c>
      <c r="CV272" s="315" t="str">
        <f t="shared" si="496"/>
        <v/>
      </c>
      <c r="CW272" s="315" t="e">
        <f>IF($J272="",#N/A,SUM(CV$4:CV272))</f>
        <v>#N/A</v>
      </c>
      <c r="CX272" s="315" t="e">
        <f>IF($J272="",#N/A,SUM(CV$4:CV272,CT$4:CT272,CR$4:CR272))</f>
        <v>#N/A</v>
      </c>
      <c r="CY272" s="304" t="str">
        <f t="shared" si="497"/>
        <v/>
      </c>
      <c r="CZ272" s="313" t="e">
        <f>IF($J272="",#N/A,SUM(CY$4:CY272))</f>
        <v>#N/A</v>
      </c>
      <c r="DA272" s="314" t="str">
        <f t="shared" si="498"/>
        <v/>
      </c>
      <c r="DB272" s="314" t="e">
        <f>IF($J272="",#N/A,SUM(DA$4:DA272))</f>
        <v>#N/A</v>
      </c>
      <c r="DC272" s="315" t="str">
        <f t="shared" si="499"/>
        <v/>
      </c>
      <c r="DD272" s="315" t="e">
        <f>IF($J272="",#N/A,SUM(DC$4:DC272))</f>
        <v>#N/A</v>
      </c>
      <c r="DE272" s="315" t="e">
        <f>IF($J272="",#N/A,SUM(DC$4:DC272,DA$4:DA272,CY$4:CY272))</f>
        <v>#N/A</v>
      </c>
      <c r="DF272" s="304" t="str">
        <f t="shared" si="500"/>
        <v/>
      </c>
      <c r="DG272" s="313" t="e">
        <f>IF($J272="",#N/A,SUM(DF$4:DF272))</f>
        <v>#N/A</v>
      </c>
      <c r="DH272" s="314" t="str">
        <f t="shared" si="501"/>
        <v/>
      </c>
      <c r="DI272" s="314" t="e">
        <f>IF($J272="",#N/A,SUM(DH$4:DH272))</f>
        <v>#N/A</v>
      </c>
      <c r="DJ272" s="315" t="str">
        <f t="shared" si="502"/>
        <v/>
      </c>
      <c r="DK272" s="315" t="e">
        <f>IF($J272="",#N/A,SUM(DJ$4:DJ272))</f>
        <v>#N/A</v>
      </c>
      <c r="DL272" s="315" t="e">
        <f>IF($J272="",#N/A,SUM(DJ$4:DJ272,DH$4:DH272,DF$4:DF272))</f>
        <v>#N/A</v>
      </c>
      <c r="DM272" s="304" t="str">
        <f t="shared" si="503"/>
        <v/>
      </c>
      <c r="DN272" s="313" t="e">
        <f>IF($J272="",#N/A,SUM(DM$4:DM272))</f>
        <v>#N/A</v>
      </c>
      <c r="DO272" s="314" t="str">
        <f t="shared" si="504"/>
        <v/>
      </c>
      <c r="DP272" s="314" t="e">
        <f>IF($J272="",#N/A,SUM(DO$4:DO272))</f>
        <v>#N/A</v>
      </c>
      <c r="DQ272" s="315" t="str">
        <f t="shared" si="505"/>
        <v/>
      </c>
      <c r="DR272" s="315" t="e">
        <f>IF($J272="",#N/A,SUM(DQ$4:DQ272))</f>
        <v>#N/A</v>
      </c>
      <c r="DS272" s="315" t="e">
        <f>IF($J272="",#N/A,SUM(DQ$4:DQ272,DO$4:DO272,DM$4:DM272))</f>
        <v>#N/A</v>
      </c>
      <c r="DT272" s="304" t="str">
        <f t="shared" si="506"/>
        <v/>
      </c>
      <c r="DU272" s="313" t="e">
        <f>IF($J272="",#N/A,SUM(DT$4:DT272))</f>
        <v>#N/A</v>
      </c>
      <c r="DV272" s="314" t="str">
        <f t="shared" si="507"/>
        <v/>
      </c>
      <c r="DW272" s="314" t="e">
        <f>IF($J272="",#N/A,SUM(DV$4:DV272))</f>
        <v>#N/A</v>
      </c>
      <c r="DX272" s="315" t="str">
        <f t="shared" si="508"/>
        <v/>
      </c>
      <c r="DY272" s="315" t="e">
        <f>IF($J272="",#N/A,SUM(DX$4:DX272))</f>
        <v>#N/A</v>
      </c>
      <c r="DZ272" s="315" t="e">
        <f>IF($J272="",#N/A,SUM(DX$4:DX272,DV$4:DV272,DT$4:DT272))</f>
        <v>#N/A</v>
      </c>
      <c r="EA272" s="304" t="str">
        <f t="shared" si="509"/>
        <v/>
      </c>
      <c r="EB272" s="313" t="e">
        <f>IF($J272="",#N/A,SUM(EA$4:EA272))</f>
        <v>#N/A</v>
      </c>
      <c r="EC272" s="314" t="str">
        <f t="shared" si="510"/>
        <v/>
      </c>
      <c r="ED272" s="314" t="e">
        <f>IF($J272="",#N/A,SUM(EC$4:EC272))</f>
        <v>#N/A</v>
      </c>
      <c r="EE272" s="315" t="str">
        <f t="shared" si="511"/>
        <v/>
      </c>
      <c r="EF272" s="315" t="e">
        <f>IF($J272="",#N/A,SUM(EE$4:EE272))</f>
        <v>#N/A</v>
      </c>
      <c r="EG272" s="315" t="e">
        <f>IF($J272="",#N/A,SUM(EE$4:EE272,EC$4:EC272,EA$4:EA272))</f>
        <v>#N/A</v>
      </c>
      <c r="EH272" s="130">
        <f t="shared" si="512"/>
        <v>-12.120000000000005</v>
      </c>
      <c r="EI272" s="63">
        <f>IF(EH272="",#N/A,SUM($EH$4:EH272))</f>
        <v>1348.0484810388803</v>
      </c>
      <c r="EJ272" s="223" t="e">
        <f t="shared" si="513"/>
        <v>#N/A</v>
      </c>
      <c r="EK272" s="63" t="e">
        <f>IF($GZ272="",#N/A,SUM(EJ$4:EJ272))</f>
        <v>#N/A</v>
      </c>
      <c r="EL272" s="60">
        <f t="shared" si="544"/>
        <v>-0.41403623841928361</v>
      </c>
      <c r="EM272" s="60">
        <f>IF(EL272="",NA(),SUM($EL$4:EL272))</f>
        <v>44.038453939290726</v>
      </c>
      <c r="EN272" s="60" t="str">
        <f t="shared" si="514"/>
        <v/>
      </c>
      <c r="EO272" s="60" t="e">
        <f>IF(EN272="",NA(),SUM($EN$4:EN272))</f>
        <v>#N/A</v>
      </c>
      <c r="EP272" s="60" t="str">
        <f t="shared" si="515"/>
        <v/>
      </c>
      <c r="EQ272" s="60" t="e">
        <f>IF(EP272="",NA(),SUM($EP$4:EP272))</f>
        <v>#N/A</v>
      </c>
      <c r="ER272" s="60">
        <f t="shared" si="516"/>
        <v>-0.41403623841928361</v>
      </c>
      <c r="ES272" s="60">
        <f>IF(ER272="",NA(),SUM($ER$4:ER272))</f>
        <v>17.696478592075159</v>
      </c>
      <c r="ET272" s="60" t="str">
        <f t="shared" si="517"/>
        <v/>
      </c>
      <c r="EU272" s="60" t="e">
        <f>IF(ET272="",NA(),SUM($ET$4:ET272))</f>
        <v>#N/A</v>
      </c>
      <c r="EV272" s="60" t="str">
        <f t="shared" si="518"/>
        <v/>
      </c>
      <c r="EW272" s="60" t="e">
        <f>IF(EV272="",NA(),SUM($EV$4:EV272))</f>
        <v>#N/A</v>
      </c>
      <c r="EX272" s="60" t="str">
        <f t="shared" si="519"/>
        <v/>
      </c>
      <c r="EY272" s="60" t="e">
        <f>IF(EX272="",NA(),SUM($EX$4:EX272))</f>
        <v>#N/A</v>
      </c>
      <c r="EZ272" s="60" t="str">
        <f t="shared" si="520"/>
        <v/>
      </c>
      <c r="FA272" s="60" t="e">
        <f>IF(EZ272="",NA(),SUM($EZ$4:EZ272))</f>
        <v>#N/A</v>
      </c>
      <c r="FB272" s="246" t="str">
        <f t="shared" si="545"/>
        <v/>
      </c>
      <c r="FC272" s="246" t="e">
        <f>IF($FB272="",#N/A,SUM(FB$4:$FB272))</f>
        <v>#N/A</v>
      </c>
      <c r="FD272" s="60">
        <f t="shared" si="521"/>
        <v>0.63813506053401137</v>
      </c>
      <c r="FE272" s="60">
        <f>IF($FD272="",#N/A,SUM($FD$4:FD272))</f>
        <v>4.7285993227848913</v>
      </c>
      <c r="FF272" s="60" t="str">
        <f t="shared" si="522"/>
        <v/>
      </c>
      <c r="FG272" s="60" t="e">
        <f>IF($FF272="",#N/A,SUM($FF$4:FF272))</f>
        <v>#N/A</v>
      </c>
      <c r="FH272" s="60" t="str">
        <f t="shared" si="523"/>
        <v/>
      </c>
      <c r="FI272" s="60" t="e">
        <f>IF($FH272="",#N/A,SUM($FH$4:FH272))</f>
        <v>#N/A</v>
      </c>
      <c r="FJ272" s="60" t="str">
        <f t="shared" si="524"/>
        <v/>
      </c>
      <c r="FK272" s="60" t="e">
        <f>IF($FJ272="",#N/A,SUM($FJ$4:FJ272))</f>
        <v>#N/A</v>
      </c>
      <c r="FL272" s="60" t="str">
        <f t="shared" si="525"/>
        <v/>
      </c>
      <c r="FM272" s="60" t="e">
        <f>IF($FL272="",#N/A,SUM($FL$4:FL272))</f>
        <v>#N/A</v>
      </c>
      <c r="FN272" s="82">
        <f t="shared" si="526"/>
        <v>0.22409882211472773</v>
      </c>
      <c r="FO272" s="82">
        <f>IF($FN272="",#N/A,SUM(FN$4:$FN272))</f>
        <v>55.301913751562559</v>
      </c>
      <c r="FP272" s="82">
        <f t="shared" si="546"/>
        <v>-0.41403623841928361</v>
      </c>
      <c r="FQ272" s="246">
        <f>IF($EH272="",#N/A,SUM($FP$4:FP272))</f>
        <v>53.490089147632183</v>
      </c>
      <c r="FR272" s="82">
        <f>IFERROR(FQ272/COUNTA($J$4:J272),#N/A)</f>
        <v>0.19884791504695978</v>
      </c>
      <c r="FS272" s="82">
        <f t="shared" si="448"/>
        <v>0.39717936970045742</v>
      </c>
      <c r="FT272" s="82">
        <f t="shared" si="449"/>
        <v>0.48709644734202667</v>
      </c>
      <c r="FU272" s="338">
        <f t="shared" si="551"/>
        <v>31.07068860228523</v>
      </c>
      <c r="FV272" s="57" t="str">
        <f t="shared" si="527"/>
        <v>Dwn</v>
      </c>
      <c r="FW272" s="57" t="s">
        <v>2734</v>
      </c>
      <c r="FX272" s="57" t="str">
        <f t="shared" si="528"/>
        <v/>
      </c>
      <c r="FY272" s="57">
        <f t="shared" si="529"/>
        <v>1</v>
      </c>
      <c r="FZ272" s="57" t="str">
        <f t="shared" si="530"/>
        <v/>
      </c>
      <c r="GA272" s="57" t="str">
        <f t="shared" si="531"/>
        <v>Short</v>
      </c>
      <c r="GB272" s="57" t="str">
        <f t="shared" si="532"/>
        <v/>
      </c>
      <c r="GC272" s="57" t="str">
        <f t="shared" si="533"/>
        <v/>
      </c>
      <c r="GD272" s="57" t="str">
        <f t="shared" si="534"/>
        <v/>
      </c>
      <c r="GE272" s="62">
        <f t="shared" si="451"/>
        <v>121.97</v>
      </c>
      <c r="GF272" s="62" t="s">
        <v>2780</v>
      </c>
      <c r="GG272" s="199">
        <v>4</v>
      </c>
      <c r="GH272" s="207">
        <f t="shared" si="535"/>
        <v>487.88</v>
      </c>
      <c r="GI272" s="199">
        <v>4</v>
      </c>
      <c r="GJ272" s="200">
        <v>125</v>
      </c>
      <c r="GK272" s="63">
        <f t="shared" si="536"/>
        <v>-12.120000000000005</v>
      </c>
      <c r="GL272" s="63">
        <f t="shared" si="452"/>
        <v>6.5600000000000023</v>
      </c>
      <c r="GM272" s="82" t="str">
        <f t="shared" si="537"/>
        <v/>
      </c>
      <c r="GN272" s="82">
        <f>IF($GZ272="",#N/A,SUM(GM$4:GM272))</f>
        <v>4.9550788356309035</v>
      </c>
      <c r="GO272" s="82" t="str">
        <f t="shared" si="538"/>
        <v/>
      </c>
      <c r="GP272" s="82">
        <f>IF($GZ272="",#N/A,SUM(GO$4:GO272))</f>
        <v>15.57470012824429</v>
      </c>
      <c r="GQ272" s="82">
        <f t="shared" si="539"/>
        <v>0.22409882211472773</v>
      </c>
      <c r="GR272" s="82">
        <f>IF($GZ272="",#N/A,SUM(GQ$4:GQ272))</f>
        <v>34.146297833245036</v>
      </c>
      <c r="GS272" s="63" t="str">
        <f t="shared" si="548"/>
        <v/>
      </c>
      <c r="GT272" s="63" t="e">
        <f>IF($GZ272="",#N/A,SUM(GS$4:GS272))</f>
        <v>#N/A</v>
      </c>
      <c r="GU272" s="63" t="str">
        <f t="shared" si="549"/>
        <v/>
      </c>
      <c r="GV272" s="63" t="e">
        <f>IF($GZ272="",#N/A,SUM(GU$4:GU272))</f>
        <v>#N/A</v>
      </c>
      <c r="GW272" s="63" t="e">
        <f t="shared" si="550"/>
        <v>#N/A</v>
      </c>
      <c r="GX272" s="63" t="e">
        <f>IF($GZ272="",#N/A,SUM(GW$4:GW272))</f>
        <v>#N/A</v>
      </c>
      <c r="GY272" s="63" t="e">
        <f>IF(EJ272="",#N/A,SUM($EJ$4:EJ272))</f>
        <v>#N/A</v>
      </c>
      <c r="GZ272" s="159">
        <v>120.33</v>
      </c>
      <c r="HA272" s="63">
        <f t="shared" si="540"/>
        <v>18.680000000000007</v>
      </c>
      <c r="HB272" s="62" t="s">
        <v>2538</v>
      </c>
      <c r="HC272" s="60">
        <f>IFERROR(VLOOKUP(E272,Expectancy!$P$4:$S$19,1+C272,FALSE),"")</f>
        <v>-9.4786290791818092E-2</v>
      </c>
      <c r="HD272" s="82">
        <f t="shared" si="541"/>
        <v>-0.41403623841928361</v>
      </c>
      <c r="HE272" s="138">
        <f>IF(HD272="",#N/A,SUM($HD$4:HD272))</f>
        <v>7.8894005453469536</v>
      </c>
      <c r="HF272" s="85">
        <f>IF(HD272="",#N/A,IF(HB272="Skip",#N/A,SUM($HG$4:HG272)))</f>
        <v>203.07156919911444</v>
      </c>
      <c r="HG272" s="63">
        <f t="shared" si="542"/>
        <v>-12.120000000000005</v>
      </c>
      <c r="HH272" s="82">
        <f t="shared" si="543"/>
        <v>0.22409882211472773</v>
      </c>
    </row>
    <row r="273" spans="1:216" x14ac:dyDescent="0.25">
      <c r="A273" s="57" t="s">
        <v>1498</v>
      </c>
      <c r="B273" s="58" t="s">
        <v>5235</v>
      </c>
      <c r="C273" s="386">
        <f t="shared" si="453"/>
        <v>1</v>
      </c>
      <c r="D273" s="372" t="str">
        <f>_xlfn.XLOOKUP(A273,[1]SP500!$A$2:$A$502,[1]SP500!$D$2:$D$502,"N")</f>
        <v>Y</v>
      </c>
      <c r="E273" s="57" t="str">
        <f>_xlfn.XLOOKUP(A273,[1]SP500!$A$2:$A$655,[1]SP500!$B$2:$B$655)</f>
        <v>XLI</v>
      </c>
      <c r="F273" s="59">
        <v>45695</v>
      </c>
      <c r="G273" s="57" t="str">
        <f t="shared" si="454"/>
        <v>BMO</v>
      </c>
      <c r="H273" s="57" t="str">
        <f t="shared" si="455"/>
        <v>s</v>
      </c>
      <c r="I273" s="159">
        <v>79.84</v>
      </c>
      <c r="J273" s="158">
        <v>80</v>
      </c>
      <c r="K273" s="61">
        <f t="shared" si="456"/>
        <v>2.0040080160320215E-3</v>
      </c>
      <c r="L273" s="87">
        <f t="shared" si="457"/>
        <v>1.6016032064127899</v>
      </c>
      <c r="M273" s="130">
        <f t="shared" si="450"/>
        <v>1.7034068136272822</v>
      </c>
      <c r="N273" s="169">
        <f t="shared" si="458"/>
        <v>1.6016032064127899</v>
      </c>
      <c r="O273" s="169">
        <f>IF($J273="",#N/A,SUM($N$4:N273))</f>
        <v>465.98671935422499</v>
      </c>
      <c r="P273" s="174" t="str">
        <f t="shared" si="459"/>
        <v/>
      </c>
      <c r="Q273" s="174">
        <f>IF($J273="",#N/A,SUM($P$4:P273))</f>
        <v>619.77890674734101</v>
      </c>
      <c r="R273" s="178" t="str">
        <f t="shared" si="460"/>
        <v/>
      </c>
      <c r="S273" s="178">
        <f>IF($J273="",#N/A,SUM($R$4:R273))</f>
        <v>263.88445814372699</v>
      </c>
      <c r="T273" s="290">
        <f t="shared" si="461"/>
        <v>6.6867201336539311E-2</v>
      </c>
      <c r="U273" s="290">
        <f>IF($J273="",#N/A,SUM($T$4:T273))</f>
        <v>17.748427630277256</v>
      </c>
      <c r="V273" s="291" t="str">
        <f t="shared" si="462"/>
        <v/>
      </c>
      <c r="W273" s="291">
        <f>IF($J273="",#N/A,SUM($V$4:V273))</f>
        <v>25.862021391535599</v>
      </c>
      <c r="X273" s="292" t="str">
        <f t="shared" si="463"/>
        <v/>
      </c>
      <c r="Y273" s="292">
        <f>IF($J273="",#N/A,SUM($X$4:X273))</f>
        <v>9.9465073271558904</v>
      </c>
      <c r="Z273" s="304" t="str">
        <f t="shared" si="464"/>
        <v/>
      </c>
      <c r="AA273" s="313" t="e">
        <f>IF($J273="",#N/A,SUM(Z$4:Z273))</f>
        <v>#N/A</v>
      </c>
      <c r="AB273" s="314" t="str">
        <f t="shared" si="465"/>
        <v/>
      </c>
      <c r="AC273" s="314" t="e">
        <f>IF($J273="",#N/A,SUM(AB$4:AB273))</f>
        <v>#N/A</v>
      </c>
      <c r="AD273" s="315" t="str">
        <f t="shared" si="466"/>
        <v/>
      </c>
      <c r="AE273" s="315" t="e">
        <f>IF($J273="",#N/A,SUM(AD$4:AD273))</f>
        <v>#N/A</v>
      </c>
      <c r="AF273" s="315" t="e">
        <f>IF($J273="",#N/A,SUM(AD$4:AD273,AB$4:AB273,Z$4:Z273))</f>
        <v>#N/A</v>
      </c>
      <c r="AG273" s="304" t="str">
        <f t="shared" si="467"/>
        <v/>
      </c>
      <c r="AH273" s="313" t="e">
        <f>IF($J273="",#N/A,SUM(AG$4:AG273))</f>
        <v>#N/A</v>
      </c>
      <c r="AI273" s="314" t="str">
        <f t="shared" si="468"/>
        <v/>
      </c>
      <c r="AJ273" s="314" t="e">
        <f>IF($J273="",#N/A,SUM(AI$4:AI273))</f>
        <v>#N/A</v>
      </c>
      <c r="AK273" s="315" t="str">
        <f t="shared" si="469"/>
        <v/>
      </c>
      <c r="AL273" s="315" t="e">
        <f>IF($J273="",#N/A,SUM(AK$4:AK273))</f>
        <v>#N/A</v>
      </c>
      <c r="AM273" s="315" t="e">
        <f>IF($J273="",#N/A,SUM(AK$4:AK273,AI$4:AI273,AG$4:AG273))</f>
        <v>#N/A</v>
      </c>
      <c r="AN273" s="304" t="str">
        <f t="shared" si="470"/>
        <v/>
      </c>
      <c r="AO273" s="313" t="e">
        <f>IF($J273="",#N/A,SUM(AN$4:AN273))</f>
        <v>#N/A</v>
      </c>
      <c r="AP273" s="314" t="str">
        <f t="shared" si="471"/>
        <v/>
      </c>
      <c r="AQ273" s="314" t="e">
        <f>IF($J273="",#N/A,SUM(AP$4:AP273))</f>
        <v>#N/A</v>
      </c>
      <c r="AR273" s="315" t="str">
        <f t="shared" si="472"/>
        <v/>
      </c>
      <c r="AS273" s="315" t="e">
        <f>IF($J273="",#N/A,SUM(AR$4:AR273))</f>
        <v>#N/A</v>
      </c>
      <c r="AT273" s="315" t="e">
        <f>IF($J273="",#N/A,SUM(AR$4:AR273,AP$4:AP273,AN$4:AN273))</f>
        <v>#N/A</v>
      </c>
      <c r="AU273" s="304" t="str">
        <f t="shared" si="473"/>
        <v/>
      </c>
      <c r="AV273" s="313" t="e">
        <f>IF($J273="",#N/A,SUM(AU$4:AU273))</f>
        <v>#N/A</v>
      </c>
      <c r="AW273" s="314" t="str">
        <f t="shared" si="474"/>
        <v/>
      </c>
      <c r="AX273" s="314" t="e">
        <f>IF($J273="",#N/A,SUM(AW$4:AW273))</f>
        <v>#N/A</v>
      </c>
      <c r="AY273" s="315" t="str">
        <f t="shared" si="475"/>
        <v/>
      </c>
      <c r="AZ273" s="315" t="e">
        <f>IF($J273="",#N/A,SUM(AY$4:AY273))</f>
        <v>#N/A</v>
      </c>
      <c r="BA273" s="315" t="e">
        <f>IF($J273="",#N/A,SUM(AY$4:AY273,AW$4:AW273,AU$4:AU273))</f>
        <v>#N/A</v>
      </c>
      <c r="BB273" s="304" t="str">
        <f t="shared" si="476"/>
        <v/>
      </c>
      <c r="BC273" s="313" t="e">
        <f>IF($J273="",#N/A,SUM(BB$4:BB273))</f>
        <v>#N/A</v>
      </c>
      <c r="BD273" s="314" t="str">
        <f t="shared" si="477"/>
        <v/>
      </c>
      <c r="BE273" s="314" t="e">
        <f>IF($J273="",#N/A,SUM(BD$4:BD273))</f>
        <v>#N/A</v>
      </c>
      <c r="BF273" s="315" t="str">
        <f t="shared" si="478"/>
        <v/>
      </c>
      <c r="BG273" s="315" t="e">
        <f>IF($J273="",#N/A,SUM(BF$4:BF273))</f>
        <v>#N/A</v>
      </c>
      <c r="BH273" s="315" t="e">
        <f>IF($J273="",#N/A,SUM(BF$4:BF273,BD$4:BD273,BB$4:BB273))</f>
        <v>#N/A</v>
      </c>
      <c r="BI273" s="304" t="str">
        <f t="shared" si="479"/>
        <v/>
      </c>
      <c r="BJ273" s="313" t="e">
        <f>IF($J273="",#N/A,SUM(BI$4:BI273))</f>
        <v>#N/A</v>
      </c>
      <c r="BK273" s="314" t="str">
        <f t="shared" si="480"/>
        <v/>
      </c>
      <c r="BL273" s="314" t="e">
        <f>IF($J273="",#N/A,SUM(BK$4:BK273))</f>
        <v>#N/A</v>
      </c>
      <c r="BM273" s="315" t="str">
        <f t="shared" si="481"/>
        <v/>
      </c>
      <c r="BN273" s="315" t="e">
        <f>IF($J273="",#N/A,SUM(BM$4:BM273))</f>
        <v>#N/A</v>
      </c>
      <c r="BO273" s="315" t="e">
        <f>IF($J273="",#N/A,SUM(BM$4:BM273,BK$4:BK273,BI$4:BI273))</f>
        <v>#N/A</v>
      </c>
      <c r="BP273" s="304">
        <f t="shared" si="482"/>
        <v>6.6867201336539311E-2</v>
      </c>
      <c r="BQ273" s="313" t="e">
        <f>IF($J273="",#N/A,SUM(BP$4:BP273))</f>
        <v>#N/A</v>
      </c>
      <c r="BR273" s="314" t="str">
        <f t="shared" si="483"/>
        <v/>
      </c>
      <c r="BS273" s="314" t="e">
        <f>IF($J273="",#N/A,SUM(BR$4:BR273))</f>
        <v>#N/A</v>
      </c>
      <c r="BT273" s="315" t="str">
        <f t="shared" si="484"/>
        <v/>
      </c>
      <c r="BU273" s="315" t="e">
        <f>IF($J273="",#N/A,SUM(BT$4:BT273))</f>
        <v>#N/A</v>
      </c>
      <c r="BV273" s="315" t="e">
        <f>IF($J273="",#N/A,SUM(BT$4:BT273,BR$4:BR273,BP$4:BP273))</f>
        <v>#N/A</v>
      </c>
      <c r="BW273" s="304" t="str">
        <f t="shared" si="485"/>
        <v/>
      </c>
      <c r="BX273" s="313" t="e">
        <f>IF($J273="",#N/A,SUM(BW$4:BW273))</f>
        <v>#N/A</v>
      </c>
      <c r="BY273" s="314" t="str">
        <f t="shared" si="486"/>
        <v/>
      </c>
      <c r="BZ273" s="314" t="e">
        <f>IF($J273="",#N/A,SUM(BY$4:BY273))</f>
        <v>#N/A</v>
      </c>
      <c r="CA273" s="315" t="str">
        <f t="shared" si="487"/>
        <v/>
      </c>
      <c r="CB273" s="315" t="e">
        <f>IF($J273="",#N/A,SUM(CA$4:CA273))</f>
        <v>#N/A</v>
      </c>
      <c r="CC273" s="315" t="e">
        <f>IF($J273="",#N/A,SUM(CA$4:CA273,BY$4:BY273,BW$4:BW273))</f>
        <v>#N/A</v>
      </c>
      <c r="CD273" s="304" t="str">
        <f t="shared" si="488"/>
        <v/>
      </c>
      <c r="CE273" s="313" t="e">
        <f>IF($J273="",#N/A,SUM(CD$4:CD273))</f>
        <v>#N/A</v>
      </c>
      <c r="CF273" s="314" t="str">
        <f t="shared" si="489"/>
        <v/>
      </c>
      <c r="CG273" s="314" t="e">
        <f>IF($J273="",#N/A,SUM(CF$4:CF273))</f>
        <v>#N/A</v>
      </c>
      <c r="CH273" s="315" t="str">
        <f t="shared" si="490"/>
        <v/>
      </c>
      <c r="CI273" s="315" t="e">
        <f>IF($J273="",#N/A,SUM(CH$4:CH273))</f>
        <v>#N/A</v>
      </c>
      <c r="CJ273" s="315" t="e">
        <f>IF($J273="",#N/A,SUM(CH$4:CH273,CF$4:CF273,CD$4:CD273))</f>
        <v>#N/A</v>
      </c>
      <c r="CK273" s="304" t="str">
        <f t="shared" si="491"/>
        <v/>
      </c>
      <c r="CL273" s="313" t="e">
        <f>IF($J273="",#N/A,SUM(CK$4:CK273))</f>
        <v>#N/A</v>
      </c>
      <c r="CM273" s="314" t="str">
        <f t="shared" si="492"/>
        <v/>
      </c>
      <c r="CN273" s="314" t="e">
        <f>IF($J273="",#N/A,SUM(CM$4:CM273))</f>
        <v>#N/A</v>
      </c>
      <c r="CO273" s="315" t="str">
        <f t="shared" si="493"/>
        <v/>
      </c>
      <c r="CP273" s="315" t="e">
        <f>IF($J273="",#N/A,SUM(CO$4:CO273))</f>
        <v>#N/A</v>
      </c>
      <c r="CQ273" s="315" t="e">
        <f>IF($J273="",#N/A,SUM(CO$4:CO273,CM$4:CM273,CK$4:CK273))</f>
        <v>#N/A</v>
      </c>
      <c r="CR273" s="304" t="str">
        <f t="shared" si="494"/>
        <v/>
      </c>
      <c r="CS273" s="313" t="e">
        <f>IF($J273="",#N/A,SUM(CR$4:CR273))</f>
        <v>#N/A</v>
      </c>
      <c r="CT273" s="314" t="str">
        <f t="shared" si="495"/>
        <v/>
      </c>
      <c r="CU273" s="314" t="e">
        <f>IF($J273="",#N/A,SUM(CT$4:CT273))</f>
        <v>#N/A</v>
      </c>
      <c r="CV273" s="315" t="str">
        <f t="shared" si="496"/>
        <v/>
      </c>
      <c r="CW273" s="315" t="e">
        <f>IF($J273="",#N/A,SUM(CV$4:CV273))</f>
        <v>#N/A</v>
      </c>
      <c r="CX273" s="315" t="e">
        <f>IF($J273="",#N/A,SUM(CV$4:CV273,CT$4:CT273,CR$4:CR273))</f>
        <v>#N/A</v>
      </c>
      <c r="CY273" s="304" t="str">
        <f t="shared" si="497"/>
        <v/>
      </c>
      <c r="CZ273" s="313" t="e">
        <f>IF($J273="",#N/A,SUM(CY$4:CY273))</f>
        <v>#N/A</v>
      </c>
      <c r="DA273" s="314" t="str">
        <f t="shared" si="498"/>
        <v/>
      </c>
      <c r="DB273" s="314" t="e">
        <f>IF($J273="",#N/A,SUM(DA$4:DA273))</f>
        <v>#N/A</v>
      </c>
      <c r="DC273" s="315" t="str">
        <f t="shared" si="499"/>
        <v/>
      </c>
      <c r="DD273" s="315" t="e">
        <f>IF($J273="",#N/A,SUM(DC$4:DC273))</f>
        <v>#N/A</v>
      </c>
      <c r="DE273" s="315" t="e">
        <f>IF($J273="",#N/A,SUM(DC$4:DC273,DA$4:DA273,CY$4:CY273))</f>
        <v>#N/A</v>
      </c>
      <c r="DF273" s="304" t="str">
        <f t="shared" si="500"/>
        <v/>
      </c>
      <c r="DG273" s="313" t="e">
        <f>IF($J273="",#N/A,SUM(DF$4:DF273))</f>
        <v>#N/A</v>
      </c>
      <c r="DH273" s="314" t="str">
        <f t="shared" si="501"/>
        <v/>
      </c>
      <c r="DI273" s="314" t="e">
        <f>IF($J273="",#N/A,SUM(DH$4:DH273))</f>
        <v>#N/A</v>
      </c>
      <c r="DJ273" s="315" t="str">
        <f t="shared" si="502"/>
        <v/>
      </c>
      <c r="DK273" s="315" t="e">
        <f>IF($J273="",#N/A,SUM(DJ$4:DJ273))</f>
        <v>#N/A</v>
      </c>
      <c r="DL273" s="315" t="e">
        <f>IF($J273="",#N/A,SUM(DJ$4:DJ273,DH$4:DH273,DF$4:DF273))</f>
        <v>#N/A</v>
      </c>
      <c r="DM273" s="304" t="str">
        <f t="shared" si="503"/>
        <v/>
      </c>
      <c r="DN273" s="313" t="e">
        <f>IF($J273="",#N/A,SUM(DM$4:DM273))</f>
        <v>#N/A</v>
      </c>
      <c r="DO273" s="314" t="str">
        <f t="shared" si="504"/>
        <v/>
      </c>
      <c r="DP273" s="314" t="e">
        <f>IF($J273="",#N/A,SUM(DO$4:DO273))</f>
        <v>#N/A</v>
      </c>
      <c r="DQ273" s="315" t="str">
        <f t="shared" si="505"/>
        <v/>
      </c>
      <c r="DR273" s="315" t="e">
        <f>IF($J273="",#N/A,SUM(DQ$4:DQ273))</f>
        <v>#N/A</v>
      </c>
      <c r="DS273" s="315" t="e">
        <f>IF($J273="",#N/A,SUM(DQ$4:DQ273,DO$4:DO273,DM$4:DM273))</f>
        <v>#N/A</v>
      </c>
      <c r="DT273" s="304" t="str">
        <f t="shared" si="506"/>
        <v/>
      </c>
      <c r="DU273" s="313" t="e">
        <f>IF($J273="",#N/A,SUM(DT$4:DT273))</f>
        <v>#N/A</v>
      </c>
      <c r="DV273" s="314" t="str">
        <f t="shared" si="507"/>
        <v/>
      </c>
      <c r="DW273" s="314" t="e">
        <f>IF($J273="",#N/A,SUM(DV$4:DV273))</f>
        <v>#N/A</v>
      </c>
      <c r="DX273" s="315" t="str">
        <f t="shared" si="508"/>
        <v/>
      </c>
      <c r="DY273" s="315" t="e">
        <f>IF($J273="",#N/A,SUM(DX$4:DX273))</f>
        <v>#N/A</v>
      </c>
      <c r="DZ273" s="315" t="e">
        <f>IF($J273="",#N/A,SUM(DX$4:DX273,DV$4:DV273,DT$4:DT273))</f>
        <v>#N/A</v>
      </c>
      <c r="EA273" s="304" t="str">
        <f t="shared" si="509"/>
        <v/>
      </c>
      <c r="EB273" s="313" t="e">
        <f>IF($J273="",#N/A,SUM(EA$4:EA273))</f>
        <v>#N/A</v>
      </c>
      <c r="EC273" s="314" t="str">
        <f t="shared" si="510"/>
        <v/>
      </c>
      <c r="ED273" s="314" t="e">
        <f>IF($J273="",#N/A,SUM(EC$4:EC273))</f>
        <v>#N/A</v>
      </c>
      <c r="EE273" s="315" t="str">
        <f t="shared" si="511"/>
        <v/>
      </c>
      <c r="EF273" s="315" t="e">
        <f>IF($J273="",#N/A,SUM(EE$4:EE273))</f>
        <v>#N/A</v>
      </c>
      <c r="EG273" s="315" t="e">
        <f>IF($J273="",#N/A,SUM(EE$4:EE273,EC$4:EC273,EA$4:EA273))</f>
        <v>#N/A</v>
      </c>
      <c r="EH273" s="130">
        <f t="shared" si="512"/>
        <v>1.6016032064127899</v>
      </c>
      <c r="EI273" s="63">
        <f>IF(EH273="",#N/A,SUM($EH$4:EH273))</f>
        <v>1349.6500842452931</v>
      </c>
      <c r="EJ273" s="223" t="e">
        <f t="shared" si="513"/>
        <v>#N/A</v>
      </c>
      <c r="EK273" s="63" t="e">
        <f>IF($GZ273="",#N/A,SUM(EJ$4:EJ273))</f>
        <v>#N/A</v>
      </c>
      <c r="EL273" s="60">
        <f t="shared" si="544"/>
        <v>6.6867201336539311E-2</v>
      </c>
      <c r="EM273" s="60">
        <f>IF(EL273="",NA(),SUM($EL$4:EL273))</f>
        <v>44.105321140627268</v>
      </c>
      <c r="EN273" s="60">
        <f t="shared" si="514"/>
        <v>6.6867201336539311E-2</v>
      </c>
      <c r="EO273" s="60">
        <f>IF(EN273="",NA(),SUM($EN$4:EN273))</f>
        <v>15.791720805626532</v>
      </c>
      <c r="EP273" s="60" t="str">
        <f t="shared" si="515"/>
        <v/>
      </c>
      <c r="EQ273" s="60" t="e">
        <f>IF(EP273="",NA(),SUM($EP$4:EP273))</f>
        <v>#N/A</v>
      </c>
      <c r="ER273" s="60" t="str">
        <f t="shared" si="516"/>
        <v/>
      </c>
      <c r="ES273" s="60" t="e">
        <f>IF(ER273="",NA(),SUM($ER$4:ER273))</f>
        <v>#N/A</v>
      </c>
      <c r="ET273" s="60" t="str">
        <f t="shared" si="517"/>
        <v/>
      </c>
      <c r="EU273" s="60" t="e">
        <f>IF(ET273="",NA(),SUM($ET$4:ET273))</f>
        <v>#N/A</v>
      </c>
      <c r="EV273" s="60" t="str">
        <f t="shared" si="518"/>
        <v/>
      </c>
      <c r="EW273" s="60" t="e">
        <f>IF(EV273="",NA(),SUM($EV$4:EV273))</f>
        <v>#N/A</v>
      </c>
      <c r="EX273" s="60" t="str">
        <f t="shared" si="519"/>
        <v/>
      </c>
      <c r="EY273" s="60" t="e">
        <f>IF(EX273="",NA(),SUM($EX$4:EX273))</f>
        <v>#N/A</v>
      </c>
      <c r="EZ273" s="60" t="str">
        <f t="shared" si="520"/>
        <v/>
      </c>
      <c r="FA273" s="60" t="e">
        <f>IF(EZ273="",NA(),SUM($EZ$4:EZ273))</f>
        <v>#N/A</v>
      </c>
      <c r="FB273" s="246" t="str">
        <f t="shared" si="545"/>
        <v/>
      </c>
      <c r="FC273" s="246" t="e">
        <f>IF($FB273="",#N/A,SUM(FB$4:$FB273))</f>
        <v>#N/A</v>
      </c>
      <c r="FD273" s="60" t="str">
        <f t="shared" si="521"/>
        <v/>
      </c>
      <c r="FE273" s="60" t="e">
        <f>IF($FD273="",#N/A,SUM($FD$4:FD273))</f>
        <v>#N/A</v>
      </c>
      <c r="FF273" s="60">
        <f t="shared" si="522"/>
        <v>-0.19034394774853683</v>
      </c>
      <c r="FG273" s="60">
        <f>IF($FF273="",#N/A,SUM($FF$4:FF273))</f>
        <v>-4.6614486271500031</v>
      </c>
      <c r="FH273" s="60" t="str">
        <f t="shared" si="523"/>
        <v/>
      </c>
      <c r="FI273" s="60" t="e">
        <f>IF($FH273="",#N/A,SUM($FH$4:FH273))</f>
        <v>#N/A</v>
      </c>
      <c r="FJ273" s="60" t="str">
        <f t="shared" si="524"/>
        <v/>
      </c>
      <c r="FK273" s="60" t="e">
        <f>IF($FJ273="",#N/A,SUM($FJ$4:FJ273))</f>
        <v>#N/A</v>
      </c>
      <c r="FL273" s="60" t="str">
        <f t="shared" si="525"/>
        <v/>
      </c>
      <c r="FM273" s="60" t="e">
        <f>IF($FL273="",#N/A,SUM($FL$4:FL273))</f>
        <v>#N/A</v>
      </c>
      <c r="FN273" s="82">
        <f t="shared" si="526"/>
        <v>-0.12347674641199752</v>
      </c>
      <c r="FO273" s="82">
        <f>IF($FN273="",#N/A,SUM(FN$4:$FN273))</f>
        <v>55.178437005150563</v>
      </c>
      <c r="FP273" s="82">
        <f t="shared" si="546"/>
        <v>6.6867201336539311E-2</v>
      </c>
      <c r="FQ273" s="246">
        <f>IF($EH273="",#N/A,SUM($FP$4:FP273))</f>
        <v>53.556956348968725</v>
      </c>
      <c r="FR273" s="82">
        <f>IFERROR(FQ273/COUNTA($J$4:J273),#N/A)</f>
        <v>0.19835909758877307</v>
      </c>
      <c r="FS273" s="82">
        <f t="shared" si="448"/>
        <v>0.38120069641117099</v>
      </c>
      <c r="FT273" s="82">
        <f t="shared" si="449"/>
        <v>0.45177748460183781</v>
      </c>
      <c r="FU273" s="338">
        <f t="shared" si="551"/>
        <v>30.999571083346218</v>
      </c>
      <c r="FV273" s="57" t="str">
        <f t="shared" si="527"/>
        <v>Up</v>
      </c>
      <c r="FW273" s="57" t="s">
        <v>2733</v>
      </c>
      <c r="FX273" s="57">
        <f t="shared" si="528"/>
        <v>1</v>
      </c>
      <c r="FY273" s="57" t="str">
        <f t="shared" si="529"/>
        <v/>
      </c>
      <c r="FZ273" s="57" t="str">
        <f t="shared" si="530"/>
        <v/>
      </c>
      <c r="GA273" s="57" t="str">
        <f t="shared" si="531"/>
        <v>Long</v>
      </c>
      <c r="GB273" s="57" t="str">
        <f t="shared" si="532"/>
        <v/>
      </c>
      <c r="GC273" s="57" t="str">
        <f t="shared" si="533"/>
        <v/>
      </c>
      <c r="GD273" s="57" t="str">
        <f t="shared" si="534"/>
        <v/>
      </c>
      <c r="GE273" s="62">
        <f t="shared" si="451"/>
        <v>79.84</v>
      </c>
      <c r="GF273" s="62" t="s">
        <v>2779</v>
      </c>
      <c r="GG273" s="199">
        <v>5</v>
      </c>
      <c r="GH273" s="207">
        <f t="shared" si="535"/>
        <v>399.20000000000005</v>
      </c>
      <c r="GI273" s="199">
        <v>5.0100200400801604</v>
      </c>
      <c r="GJ273" s="200">
        <v>80.34</v>
      </c>
      <c r="GK273" s="63">
        <f t="shared" si="536"/>
        <v>3.305010020040072</v>
      </c>
      <c r="GL273" s="63">
        <f t="shared" si="452"/>
        <v>-2.9575150300601649</v>
      </c>
      <c r="GM273" s="82" t="str">
        <f t="shared" si="537"/>
        <v/>
      </c>
      <c r="GN273" s="82">
        <f>IF($GZ273="",#N/A,SUM(GM$4:GM273))</f>
        <v>4.9550788356309035</v>
      </c>
      <c r="GO273" s="82">
        <f t="shared" si="538"/>
        <v>-0.12347674641199752</v>
      </c>
      <c r="GP273" s="82">
        <f>IF($GZ273="",#N/A,SUM(GO$4:GO273))</f>
        <v>15.451223381832293</v>
      </c>
      <c r="GQ273" s="82" t="str">
        <f t="shared" si="539"/>
        <v/>
      </c>
      <c r="GR273" s="82">
        <f>IF($GZ273="",#N/A,SUM(GQ$4:GQ273))</f>
        <v>34.146297833245036</v>
      </c>
      <c r="GS273" s="63" t="str">
        <f t="shared" si="548"/>
        <v/>
      </c>
      <c r="GT273" s="63" t="e">
        <f>IF($GZ273="",#N/A,SUM(GS$4:GS273))</f>
        <v>#N/A</v>
      </c>
      <c r="GU273" s="63" t="e">
        <f t="shared" si="549"/>
        <v>#N/A</v>
      </c>
      <c r="GV273" s="63" t="e">
        <f>IF($GZ273="",#N/A,SUM(GU$4:GU273))</f>
        <v>#N/A</v>
      </c>
      <c r="GW273" s="63" t="str">
        <f t="shared" si="550"/>
        <v/>
      </c>
      <c r="GX273" s="63" t="e">
        <f>IF($GZ273="",#N/A,SUM(GW$4:GW273))</f>
        <v>#N/A</v>
      </c>
      <c r="GY273" s="63" t="e">
        <f>IF(EJ273="",#N/A,SUM($EJ$4:EJ273))</f>
        <v>#N/A</v>
      </c>
      <c r="GZ273" s="159">
        <v>79.09</v>
      </c>
      <c r="HA273" s="63">
        <f t="shared" si="540"/>
        <v>-4.5591182364729548</v>
      </c>
      <c r="HB273" s="62" t="s">
        <v>2538</v>
      </c>
      <c r="HC273" s="60">
        <f>IFERROR(VLOOKUP(E273,Expectancy!$P$4:$S$19,1+C273,FALSE),"")</f>
        <v>-4.1762476788754908E-2</v>
      </c>
      <c r="HD273" s="82">
        <f t="shared" si="541"/>
        <v>0.13798472027555411</v>
      </c>
      <c r="HE273" s="138">
        <f>IF(HD273="",#N/A,SUM($HD$4:HD273))</f>
        <v>8.0273852656225078</v>
      </c>
      <c r="HF273" s="85">
        <f>IF(HD273="",#N/A,IF(HB273="Skip",#N/A,SUM($HG$4:HG273)))</f>
        <v>206.37657921915451</v>
      </c>
      <c r="HG273" s="63">
        <f t="shared" si="542"/>
        <v>3.305010020040072</v>
      </c>
      <c r="HH273" s="82">
        <f t="shared" si="543"/>
        <v>-0.12347674641199752</v>
      </c>
    </row>
    <row r="274" spans="1:216" x14ac:dyDescent="0.25">
      <c r="A274" s="72" t="s">
        <v>1304</v>
      </c>
      <c r="B274" s="73" t="s">
        <v>5230</v>
      </c>
      <c r="C274" s="386">
        <f t="shared" si="453"/>
        <v>3</v>
      </c>
      <c r="D274" s="374" t="str">
        <f>_xlfn.XLOOKUP(A274,[1]SP500!$A$2:$A$502,[1]SP500!$D$2:$D$502,"N")</f>
        <v>Y</v>
      </c>
      <c r="E274" s="72" t="str">
        <f>_xlfn.XLOOKUP(A274,[1]SP500!$A$2:$A$655,[1]SP500!$B$2:$B$655)</f>
        <v>XLY</v>
      </c>
      <c r="F274" s="74">
        <v>45698</v>
      </c>
      <c r="G274" s="72" t="str">
        <f t="shared" si="454"/>
        <v>BMO</v>
      </c>
      <c r="H274" s="57" t="str">
        <f t="shared" si="455"/>
        <v>s</v>
      </c>
      <c r="I274" s="161">
        <v>294.3</v>
      </c>
      <c r="J274" s="161">
        <v>302.27</v>
      </c>
      <c r="K274" s="75">
        <f t="shared" si="456"/>
        <v>2.7081209650016889E-2</v>
      </c>
      <c r="L274" s="88">
        <f t="shared" si="457"/>
        <v>39.849999999999909</v>
      </c>
      <c r="M274" s="78">
        <f t="shared" si="450"/>
        <v>0</v>
      </c>
      <c r="N274" s="166" t="str">
        <f t="shared" si="458"/>
        <v/>
      </c>
      <c r="O274" s="166">
        <f>IF($J274="",#N/A,SUM($N$4:N274))</f>
        <v>465.98671935422499</v>
      </c>
      <c r="P274" s="171" t="str">
        <f t="shared" si="459"/>
        <v/>
      </c>
      <c r="Q274" s="171">
        <f>IF($J274="",#N/A,SUM($P$4:P274))</f>
        <v>619.77890674734101</v>
      </c>
      <c r="R274" s="175">
        <f t="shared" si="460"/>
        <v>39.849999999999909</v>
      </c>
      <c r="S274" s="175">
        <f>IF($J274="",#N/A,SUM($R$4:R274))</f>
        <v>303.7344581437269</v>
      </c>
      <c r="T274" s="299" t="str">
        <f t="shared" si="461"/>
        <v/>
      </c>
      <c r="U274" s="299">
        <f>IF($J274="",#N/A,SUM($T$4:T274))</f>
        <v>17.748427630277256</v>
      </c>
      <c r="V274" s="300" t="str">
        <f t="shared" si="462"/>
        <v/>
      </c>
      <c r="W274" s="300">
        <f>IF($J274="",#N/A,SUM($V$4:V274))</f>
        <v>25.862021391535599</v>
      </c>
      <c r="X274" s="301">
        <f t="shared" si="463"/>
        <v>0.45135349416694881</v>
      </c>
      <c r="Y274" s="301">
        <f>IF($J274="",#N/A,SUM($X$4:X274))</f>
        <v>10.397860821322839</v>
      </c>
      <c r="Z274" s="310" t="str">
        <f t="shared" si="464"/>
        <v/>
      </c>
      <c r="AA274" s="322" t="e">
        <f>IF($J274="",#N/A,SUM(Z$4:Z274))</f>
        <v>#N/A</v>
      </c>
      <c r="AB274" s="323" t="str">
        <f t="shared" si="465"/>
        <v/>
      </c>
      <c r="AC274" s="323" t="e">
        <f>IF($J274="",#N/A,SUM(AB$4:AB274))</f>
        <v>#N/A</v>
      </c>
      <c r="AD274" s="324" t="str">
        <f t="shared" si="466"/>
        <v/>
      </c>
      <c r="AE274" s="324" t="e">
        <f>IF($J274="",#N/A,SUM(AD$4:AD274))</f>
        <v>#N/A</v>
      </c>
      <c r="AF274" s="324" t="e">
        <f>IF($J274="",#N/A,SUM(AD$4:AD274,AB$4:AB274,Z$4:Z274))</f>
        <v>#N/A</v>
      </c>
      <c r="AG274" s="310" t="str">
        <f t="shared" si="467"/>
        <v/>
      </c>
      <c r="AH274" s="322" t="e">
        <f>IF($J274="",#N/A,SUM(AG$4:AG274))</f>
        <v>#N/A</v>
      </c>
      <c r="AI274" s="323" t="str">
        <f t="shared" si="468"/>
        <v/>
      </c>
      <c r="AJ274" s="323" t="e">
        <f>IF($J274="",#N/A,SUM(AI$4:AI274))</f>
        <v>#N/A</v>
      </c>
      <c r="AK274" s="324" t="str">
        <f t="shared" si="469"/>
        <v/>
      </c>
      <c r="AL274" s="324" t="e">
        <f>IF($J274="",#N/A,SUM(AK$4:AK274))</f>
        <v>#N/A</v>
      </c>
      <c r="AM274" s="324" t="e">
        <f>IF($J274="",#N/A,SUM(AK$4:AK274,AI$4:AI274,AG$4:AG274))</f>
        <v>#N/A</v>
      </c>
      <c r="AN274" s="310" t="str">
        <f t="shared" si="470"/>
        <v/>
      </c>
      <c r="AO274" s="322" t="e">
        <f>IF($J274="",#N/A,SUM(AN$4:AN274))</f>
        <v>#N/A</v>
      </c>
      <c r="AP274" s="323" t="str">
        <f t="shared" si="471"/>
        <v/>
      </c>
      <c r="AQ274" s="323" t="e">
        <f>IF($J274="",#N/A,SUM(AP$4:AP274))</f>
        <v>#N/A</v>
      </c>
      <c r="AR274" s="324">
        <f t="shared" si="472"/>
        <v>0.45135349416694881</v>
      </c>
      <c r="AS274" s="324" t="e">
        <f>IF($J274="",#N/A,SUM(AR$4:AR274))</f>
        <v>#N/A</v>
      </c>
      <c r="AT274" s="324" t="e">
        <f>IF($J274="",#N/A,SUM(AR$4:AR274,AP$4:AP274,AN$4:AN274))</f>
        <v>#N/A</v>
      </c>
      <c r="AU274" s="310" t="str">
        <f t="shared" si="473"/>
        <v/>
      </c>
      <c r="AV274" s="322" t="e">
        <f>IF($J274="",#N/A,SUM(AU$4:AU274))</f>
        <v>#N/A</v>
      </c>
      <c r="AW274" s="323" t="str">
        <f t="shared" si="474"/>
        <v/>
      </c>
      <c r="AX274" s="323" t="e">
        <f>IF($J274="",#N/A,SUM(AW$4:AW274))</f>
        <v>#N/A</v>
      </c>
      <c r="AY274" s="324" t="str">
        <f t="shared" si="475"/>
        <v/>
      </c>
      <c r="AZ274" s="324" t="e">
        <f>IF($J274="",#N/A,SUM(AY$4:AY274))</f>
        <v>#N/A</v>
      </c>
      <c r="BA274" s="324" t="e">
        <f>IF($J274="",#N/A,SUM(AY$4:AY274,AW$4:AW274,AU$4:AU274))</f>
        <v>#N/A</v>
      </c>
      <c r="BB274" s="310" t="str">
        <f t="shared" si="476"/>
        <v/>
      </c>
      <c r="BC274" s="322" t="e">
        <f>IF($J274="",#N/A,SUM(BB$4:BB274))</f>
        <v>#N/A</v>
      </c>
      <c r="BD274" s="323" t="str">
        <f t="shared" si="477"/>
        <v/>
      </c>
      <c r="BE274" s="323" t="e">
        <f>IF($J274="",#N/A,SUM(BD$4:BD274))</f>
        <v>#N/A</v>
      </c>
      <c r="BF274" s="324" t="str">
        <f t="shared" si="478"/>
        <v/>
      </c>
      <c r="BG274" s="324" t="e">
        <f>IF($J274="",#N/A,SUM(BF$4:BF274))</f>
        <v>#N/A</v>
      </c>
      <c r="BH274" s="324" t="e">
        <f>IF($J274="",#N/A,SUM(BF$4:BF274,BD$4:BD274,BB$4:BB274))</f>
        <v>#N/A</v>
      </c>
      <c r="BI274" s="310" t="str">
        <f t="shared" si="479"/>
        <v/>
      </c>
      <c r="BJ274" s="322" t="e">
        <f>IF($J274="",#N/A,SUM(BI$4:BI274))</f>
        <v>#N/A</v>
      </c>
      <c r="BK274" s="323" t="str">
        <f t="shared" si="480"/>
        <v/>
      </c>
      <c r="BL274" s="323" t="e">
        <f>IF($J274="",#N/A,SUM(BK$4:BK274))</f>
        <v>#N/A</v>
      </c>
      <c r="BM274" s="324" t="str">
        <f t="shared" si="481"/>
        <v/>
      </c>
      <c r="BN274" s="324" t="e">
        <f>IF($J274="",#N/A,SUM(BM$4:BM274))</f>
        <v>#N/A</v>
      </c>
      <c r="BO274" s="324" t="e">
        <f>IF($J274="",#N/A,SUM(BM$4:BM274,BK$4:BK274,BI$4:BI274))</f>
        <v>#N/A</v>
      </c>
      <c r="BP274" s="310" t="str">
        <f t="shared" si="482"/>
        <v/>
      </c>
      <c r="BQ274" s="322" t="e">
        <f>IF($J274="",#N/A,SUM(BP$4:BP274))</f>
        <v>#N/A</v>
      </c>
      <c r="BR274" s="323" t="str">
        <f t="shared" si="483"/>
        <v/>
      </c>
      <c r="BS274" s="323" t="e">
        <f>IF($J274="",#N/A,SUM(BR$4:BR274))</f>
        <v>#N/A</v>
      </c>
      <c r="BT274" s="324" t="str">
        <f t="shared" si="484"/>
        <v/>
      </c>
      <c r="BU274" s="324" t="e">
        <f>IF($J274="",#N/A,SUM(BT$4:BT274))</f>
        <v>#N/A</v>
      </c>
      <c r="BV274" s="324" t="e">
        <f>IF($J274="",#N/A,SUM(BT$4:BT274,BR$4:BR274,BP$4:BP274))</f>
        <v>#N/A</v>
      </c>
      <c r="BW274" s="310" t="str">
        <f t="shared" si="485"/>
        <v/>
      </c>
      <c r="BX274" s="322" t="e">
        <f>IF($J274="",#N/A,SUM(BW$4:BW274))</f>
        <v>#N/A</v>
      </c>
      <c r="BY274" s="323" t="str">
        <f t="shared" si="486"/>
        <v/>
      </c>
      <c r="BZ274" s="323" t="e">
        <f>IF($J274="",#N/A,SUM(BY$4:BY274))</f>
        <v>#N/A</v>
      </c>
      <c r="CA274" s="324" t="str">
        <f t="shared" si="487"/>
        <v/>
      </c>
      <c r="CB274" s="324" t="e">
        <f>IF($J274="",#N/A,SUM(CA$4:CA274))</f>
        <v>#N/A</v>
      </c>
      <c r="CC274" s="324" t="e">
        <f>IF($J274="",#N/A,SUM(CA$4:CA274,BY$4:BY274,BW$4:BW274))</f>
        <v>#N/A</v>
      </c>
      <c r="CD274" s="310" t="str">
        <f t="shared" si="488"/>
        <v/>
      </c>
      <c r="CE274" s="322" t="e">
        <f>IF($J274="",#N/A,SUM(CD$4:CD274))</f>
        <v>#N/A</v>
      </c>
      <c r="CF274" s="323" t="str">
        <f t="shared" si="489"/>
        <v/>
      </c>
      <c r="CG274" s="323" t="e">
        <f>IF($J274="",#N/A,SUM(CF$4:CF274))</f>
        <v>#N/A</v>
      </c>
      <c r="CH274" s="324" t="str">
        <f t="shared" si="490"/>
        <v/>
      </c>
      <c r="CI274" s="324" t="e">
        <f>IF($J274="",#N/A,SUM(CH$4:CH274))</f>
        <v>#N/A</v>
      </c>
      <c r="CJ274" s="324" t="e">
        <f>IF($J274="",#N/A,SUM(CH$4:CH274,CF$4:CF274,CD$4:CD274))</f>
        <v>#N/A</v>
      </c>
      <c r="CK274" s="310" t="str">
        <f t="shared" si="491"/>
        <v/>
      </c>
      <c r="CL274" s="322" t="e">
        <f>IF($J274="",#N/A,SUM(CK$4:CK274))</f>
        <v>#N/A</v>
      </c>
      <c r="CM274" s="323" t="str">
        <f t="shared" si="492"/>
        <v/>
      </c>
      <c r="CN274" s="323" t="e">
        <f>IF($J274="",#N/A,SUM(CM$4:CM274))</f>
        <v>#N/A</v>
      </c>
      <c r="CO274" s="324" t="str">
        <f t="shared" si="493"/>
        <v/>
      </c>
      <c r="CP274" s="324" t="e">
        <f>IF($J274="",#N/A,SUM(CO$4:CO274))</f>
        <v>#N/A</v>
      </c>
      <c r="CQ274" s="324" t="e">
        <f>IF($J274="",#N/A,SUM(CO$4:CO274,CM$4:CM274,CK$4:CK274))</f>
        <v>#N/A</v>
      </c>
      <c r="CR274" s="310" t="str">
        <f t="shared" si="494"/>
        <v/>
      </c>
      <c r="CS274" s="322" t="e">
        <f>IF($J274="",#N/A,SUM(CR$4:CR274))</f>
        <v>#N/A</v>
      </c>
      <c r="CT274" s="323" t="str">
        <f t="shared" si="495"/>
        <v/>
      </c>
      <c r="CU274" s="323" t="e">
        <f>IF($J274="",#N/A,SUM(CT$4:CT274))</f>
        <v>#N/A</v>
      </c>
      <c r="CV274" s="324" t="str">
        <f t="shared" si="496"/>
        <v/>
      </c>
      <c r="CW274" s="324" t="e">
        <f>IF($J274="",#N/A,SUM(CV$4:CV274))</f>
        <v>#N/A</v>
      </c>
      <c r="CX274" s="324" t="e">
        <f>IF($J274="",#N/A,SUM(CV$4:CV274,CT$4:CT274,CR$4:CR274))</f>
        <v>#N/A</v>
      </c>
      <c r="CY274" s="310" t="str">
        <f t="shared" si="497"/>
        <v/>
      </c>
      <c r="CZ274" s="322" t="e">
        <f>IF($J274="",#N/A,SUM(CY$4:CY274))</f>
        <v>#N/A</v>
      </c>
      <c r="DA274" s="323" t="str">
        <f t="shared" si="498"/>
        <v/>
      </c>
      <c r="DB274" s="323" t="e">
        <f>IF($J274="",#N/A,SUM(DA$4:DA274))</f>
        <v>#N/A</v>
      </c>
      <c r="DC274" s="324" t="str">
        <f t="shared" si="499"/>
        <v/>
      </c>
      <c r="DD274" s="324" t="e">
        <f>IF($J274="",#N/A,SUM(DC$4:DC274))</f>
        <v>#N/A</v>
      </c>
      <c r="DE274" s="324" t="e">
        <f>IF($J274="",#N/A,SUM(DC$4:DC274,DA$4:DA274,CY$4:CY274))</f>
        <v>#N/A</v>
      </c>
      <c r="DF274" s="310" t="str">
        <f t="shared" si="500"/>
        <v/>
      </c>
      <c r="DG274" s="322" t="e">
        <f>IF($J274="",#N/A,SUM(DF$4:DF274))</f>
        <v>#N/A</v>
      </c>
      <c r="DH274" s="323" t="str">
        <f t="shared" si="501"/>
        <v/>
      </c>
      <c r="DI274" s="323" t="e">
        <f>IF($J274="",#N/A,SUM(DH$4:DH274))</f>
        <v>#N/A</v>
      </c>
      <c r="DJ274" s="324" t="str">
        <f t="shared" si="502"/>
        <v/>
      </c>
      <c r="DK274" s="324" t="e">
        <f>IF($J274="",#N/A,SUM(DJ$4:DJ274))</f>
        <v>#N/A</v>
      </c>
      <c r="DL274" s="324" t="e">
        <f>IF($J274="",#N/A,SUM(DJ$4:DJ274,DH$4:DH274,DF$4:DF274))</f>
        <v>#N/A</v>
      </c>
      <c r="DM274" s="310" t="str">
        <f t="shared" si="503"/>
        <v/>
      </c>
      <c r="DN274" s="322" t="e">
        <f>IF($J274="",#N/A,SUM(DM$4:DM274))</f>
        <v>#N/A</v>
      </c>
      <c r="DO274" s="323" t="str">
        <f t="shared" si="504"/>
        <v/>
      </c>
      <c r="DP274" s="323" t="e">
        <f>IF($J274="",#N/A,SUM(DO$4:DO274))</f>
        <v>#N/A</v>
      </c>
      <c r="DQ274" s="324" t="str">
        <f t="shared" si="505"/>
        <v/>
      </c>
      <c r="DR274" s="324" t="e">
        <f>IF($J274="",#N/A,SUM(DQ$4:DQ274))</f>
        <v>#N/A</v>
      </c>
      <c r="DS274" s="324" t="e">
        <f>IF($J274="",#N/A,SUM(DQ$4:DQ274,DO$4:DO274,DM$4:DM274))</f>
        <v>#N/A</v>
      </c>
      <c r="DT274" s="310" t="str">
        <f t="shared" si="506"/>
        <v/>
      </c>
      <c r="DU274" s="322" t="e">
        <f>IF($J274="",#N/A,SUM(DT$4:DT274))</f>
        <v>#N/A</v>
      </c>
      <c r="DV274" s="323" t="str">
        <f t="shared" si="507"/>
        <v/>
      </c>
      <c r="DW274" s="323" t="e">
        <f>IF($J274="",#N/A,SUM(DV$4:DV274))</f>
        <v>#N/A</v>
      </c>
      <c r="DX274" s="324" t="str">
        <f t="shared" si="508"/>
        <v/>
      </c>
      <c r="DY274" s="324" t="e">
        <f>IF($J274="",#N/A,SUM(DX$4:DX274))</f>
        <v>#N/A</v>
      </c>
      <c r="DZ274" s="324" t="e">
        <f>IF($J274="",#N/A,SUM(DX$4:DX274,DV$4:DV274,DT$4:DT274))</f>
        <v>#N/A</v>
      </c>
      <c r="EA274" s="310" t="str">
        <f t="shared" si="509"/>
        <v/>
      </c>
      <c r="EB274" s="322" t="e">
        <f>IF($J274="",#N/A,SUM(EA$4:EA274))</f>
        <v>#N/A</v>
      </c>
      <c r="EC274" s="323" t="str">
        <f t="shared" si="510"/>
        <v/>
      </c>
      <c r="ED274" s="323" t="e">
        <f>IF($J274="",#N/A,SUM(EC$4:EC274))</f>
        <v>#N/A</v>
      </c>
      <c r="EE274" s="324" t="str">
        <f t="shared" si="511"/>
        <v/>
      </c>
      <c r="EF274" s="324" t="e">
        <f>IF($J274="",#N/A,SUM(EE$4:EE274))</f>
        <v>#N/A</v>
      </c>
      <c r="EG274" s="324" t="e">
        <f>IF($J274="",#N/A,SUM(EE$4:EE274,EC$4:EC274,EA$4:EA274))</f>
        <v>#N/A</v>
      </c>
      <c r="EH274" s="78">
        <f t="shared" si="512"/>
        <v>39.849999999999909</v>
      </c>
      <c r="EI274" s="77">
        <f>IF(EH274="",#N/A,SUM($EH$4:EH274))</f>
        <v>1389.500084245293</v>
      </c>
      <c r="EJ274" s="212" t="e">
        <f t="shared" si="513"/>
        <v>#N/A</v>
      </c>
      <c r="EK274" s="77" t="e">
        <f>IF($GZ274="",#N/A,SUM(EJ$4:EJ274))</f>
        <v>#N/A</v>
      </c>
      <c r="EL274" s="60">
        <f t="shared" si="544"/>
        <v>0.45135349416694881</v>
      </c>
      <c r="EM274" s="60">
        <f>IF(EL274="",NA(),SUM($EL$4:EL274))</f>
        <v>44.55667463479422</v>
      </c>
      <c r="EN274" s="60" t="str">
        <f t="shared" si="514"/>
        <v/>
      </c>
      <c r="EO274" s="60" t="e">
        <f>IF(EN274="",NA(),SUM($EN$4:EN274))</f>
        <v>#N/A</v>
      </c>
      <c r="EP274" s="60">
        <f t="shared" si="515"/>
        <v>0.45135349416694881</v>
      </c>
      <c r="EQ274" s="60">
        <f>IF(EP274="",NA(),SUM($EP$4:EP274))</f>
        <v>11.068475237092523</v>
      </c>
      <c r="ER274" s="60" t="str">
        <f t="shared" si="516"/>
        <v/>
      </c>
      <c r="ES274" s="60" t="e">
        <f>IF(ER274="",NA(),SUM($ER$4:ER274))</f>
        <v>#N/A</v>
      </c>
      <c r="ET274" s="60" t="str">
        <f t="shared" si="517"/>
        <v/>
      </c>
      <c r="EU274" s="60" t="e">
        <f>IF(ET274="",NA(),SUM($ET$4:ET274))</f>
        <v>#N/A</v>
      </c>
      <c r="EV274" s="60" t="str">
        <f t="shared" si="518"/>
        <v/>
      </c>
      <c r="EW274" s="60" t="e">
        <f>IF(EV274="",NA(),SUM($EV$4:EV274))</f>
        <v>#N/A</v>
      </c>
      <c r="EX274" s="60" t="str">
        <f t="shared" si="519"/>
        <v/>
      </c>
      <c r="EY274" s="60" t="e">
        <f>IF(EX274="",NA(),SUM($EX$4:EX274))</f>
        <v>#N/A</v>
      </c>
      <c r="EZ274" s="60" t="str">
        <f t="shared" si="520"/>
        <v/>
      </c>
      <c r="FA274" s="60" t="e">
        <f>IF(EZ274="",NA(),SUM($EZ$4:EZ274))</f>
        <v>#N/A</v>
      </c>
      <c r="FB274" s="272" t="str">
        <f t="shared" si="545"/>
        <v/>
      </c>
      <c r="FC274" s="272" t="e">
        <f>IF($FB274="",#N/A,SUM(FB$4:$FB274))</f>
        <v>#N/A</v>
      </c>
      <c r="FD274" s="255" t="str">
        <f t="shared" si="521"/>
        <v/>
      </c>
      <c r="FE274" s="255" t="e">
        <f>IF($FD274="",#N/A,SUM($FD$4:FD274))</f>
        <v>#N/A</v>
      </c>
      <c r="FF274" s="255" t="str">
        <f t="shared" si="522"/>
        <v/>
      </c>
      <c r="FG274" s="255" t="e">
        <f>IF($FF274="",#N/A,SUM($FF$4:FF274))</f>
        <v>#N/A</v>
      </c>
      <c r="FH274" s="255" t="str">
        <f t="shared" si="523"/>
        <v/>
      </c>
      <c r="FI274" s="255" t="e">
        <f>IF($FH274="",#N/A,SUM($FH$4:FH274))</f>
        <v>#N/A</v>
      </c>
      <c r="FJ274" s="255">
        <f t="shared" si="524"/>
        <v>0.34828406388039679</v>
      </c>
      <c r="FK274" s="255">
        <f>IF($FJ274="",#N/A,SUM($FJ$4:FJ274))</f>
        <v>-5.3676452980320928</v>
      </c>
      <c r="FL274" s="255" t="str">
        <f t="shared" si="525"/>
        <v/>
      </c>
      <c r="FM274" s="255" t="e">
        <f>IF($FL274="",#N/A,SUM($FL$4:FL274))</f>
        <v>#N/A</v>
      </c>
      <c r="FN274" s="81">
        <f t="shared" si="526"/>
        <v>0.7996375580473456</v>
      </c>
      <c r="FO274" s="81">
        <f>IF($FN274="",#N/A,SUM(FN$4:$FN274))</f>
        <v>55.978074563197907</v>
      </c>
      <c r="FP274" s="81">
        <f t="shared" si="546"/>
        <v>0.45135349416694881</v>
      </c>
      <c r="FQ274" s="272">
        <f>IF($EH274="",#N/A,SUM($FP$4:FP274))</f>
        <v>54.008309843135677</v>
      </c>
      <c r="FR274" s="81">
        <f>IFERROR(FQ274/COUNTA($J$4:J274),#N/A)</f>
        <v>0.19929265624773312</v>
      </c>
      <c r="FS274" s="81">
        <f t="shared" si="448"/>
        <v>0.3915335220659506</v>
      </c>
      <c r="FT274" s="81">
        <f t="shared" si="449"/>
        <v>0.51245772085974406</v>
      </c>
      <c r="FU274" s="337">
        <f t="shared" si="551"/>
        <v>30.999571083346218</v>
      </c>
      <c r="FV274" s="72" t="str">
        <f t="shared" si="527"/>
        <v>SW</v>
      </c>
      <c r="FW274" s="72" t="s">
        <v>2732</v>
      </c>
      <c r="FX274" s="72" t="str">
        <f t="shared" si="528"/>
        <v/>
      </c>
      <c r="FY274" s="72" t="str">
        <f t="shared" si="529"/>
        <v/>
      </c>
      <c r="FZ274" s="72">
        <f t="shared" si="530"/>
        <v>1</v>
      </c>
      <c r="GA274" s="72" t="str">
        <f t="shared" si="531"/>
        <v>Long</v>
      </c>
      <c r="GB274" s="72" t="str">
        <f t="shared" si="532"/>
        <v/>
      </c>
      <c r="GC274" s="72" t="str">
        <f t="shared" si="533"/>
        <v/>
      </c>
      <c r="GD274" s="72" t="str">
        <f t="shared" si="534"/>
        <v/>
      </c>
      <c r="GE274" s="76">
        <f t="shared" si="451"/>
        <v>294.3</v>
      </c>
      <c r="GF274" s="76" t="s">
        <v>2779</v>
      </c>
      <c r="GG274" s="203">
        <v>5</v>
      </c>
      <c r="GH274" s="209">
        <f t="shared" si="535"/>
        <v>1471.5</v>
      </c>
      <c r="GI274" s="203">
        <v>5</v>
      </c>
      <c r="GJ274" s="204">
        <v>302.27</v>
      </c>
      <c r="GK274" s="77">
        <f t="shared" si="536"/>
        <v>39.849999999999909</v>
      </c>
      <c r="GL274" s="77">
        <f t="shared" si="452"/>
        <v>70.600000000000136</v>
      </c>
      <c r="GM274" s="81">
        <f t="shared" si="537"/>
        <v>0.7996375580473456</v>
      </c>
      <c r="GN274" s="82">
        <f>IF($GZ274="",#N/A,SUM(GM$4:GM274))</f>
        <v>5.7547163936782493</v>
      </c>
      <c r="GO274" s="81" t="str">
        <f t="shared" si="538"/>
        <v/>
      </c>
      <c r="GP274" s="82">
        <f>IF($GZ274="",#N/A,SUM(GO$4:GO274))</f>
        <v>15.451223381832293</v>
      </c>
      <c r="GQ274" s="81" t="str">
        <f t="shared" si="539"/>
        <v/>
      </c>
      <c r="GR274" s="82">
        <f>IF($GZ274="",#N/A,SUM(GQ$4:GQ274))</f>
        <v>34.146297833245036</v>
      </c>
      <c r="GS274" s="77" t="e">
        <f t="shared" si="548"/>
        <v>#N/A</v>
      </c>
      <c r="GT274" s="77" t="e">
        <f>IF($GZ274="",#N/A,SUM(GS$4:GS274))</f>
        <v>#N/A</v>
      </c>
      <c r="GU274" s="77" t="str">
        <f t="shared" si="549"/>
        <v/>
      </c>
      <c r="GV274" s="77" t="e">
        <f>IF($GZ274="",#N/A,SUM(GU$4:GU274))</f>
        <v>#N/A</v>
      </c>
      <c r="GW274" s="77" t="str">
        <f t="shared" si="550"/>
        <v/>
      </c>
      <c r="GX274" s="77" t="e">
        <f>IF($GZ274="",#N/A,SUM(GW$4:GW274))</f>
        <v>#N/A</v>
      </c>
      <c r="GY274" s="77" t="e">
        <f>IF(EJ274="",#N/A,SUM($EJ$4:EJ274))</f>
        <v>#N/A</v>
      </c>
      <c r="GZ274" s="161">
        <v>308.42</v>
      </c>
      <c r="HA274" s="77">
        <f t="shared" si="540"/>
        <v>30.750000000000227</v>
      </c>
      <c r="HB274" s="76" t="s">
        <v>2538</v>
      </c>
      <c r="HC274" s="255">
        <f>IFERROR(VLOOKUP(E274,Expectancy!$P$4:$S$19,1+C274,FALSE),"")</f>
        <v>0.48685636958953199</v>
      </c>
      <c r="HD274" s="81">
        <f t="shared" si="541"/>
        <v>0.45135349416694881</v>
      </c>
      <c r="HE274" s="136">
        <f>IF(HD274="",#N/A,SUM($HD$4:HD274))</f>
        <v>8.4787387597894561</v>
      </c>
      <c r="HF274" s="84">
        <f>IF(HD274="",#N/A,IF(HB274="Skip",#N/A,SUM($HG$4:HG274)))</f>
        <v>246.22657921915442</v>
      </c>
      <c r="HG274" s="77">
        <f t="shared" si="542"/>
        <v>39.849999999999909</v>
      </c>
      <c r="HH274" s="82">
        <f t="shared" si="543"/>
        <v>0.7996375580473456</v>
      </c>
    </row>
    <row r="275" spans="1:216" x14ac:dyDescent="0.25">
      <c r="A275" s="57" t="s">
        <v>1485</v>
      </c>
      <c r="B275" s="58" t="s">
        <v>5230</v>
      </c>
      <c r="C275" s="386">
        <f t="shared" si="453"/>
        <v>2</v>
      </c>
      <c r="D275" s="372" t="str">
        <f>_xlfn.XLOOKUP(A275,[1]SP500!$A$2:$A$502,[1]SP500!$D$2:$D$502,"N")</f>
        <v>Y</v>
      </c>
      <c r="E275" s="57" t="str">
        <f>_xlfn.XLOOKUP(A275,[1]SP500!$A$2:$A$655,[1]SP500!$B$2:$B$655)</f>
        <v>SMH</v>
      </c>
      <c r="F275" s="59">
        <v>45698</v>
      </c>
      <c r="G275" s="57" t="str">
        <f t="shared" si="454"/>
        <v>BMO</v>
      </c>
      <c r="H275" s="57" t="str">
        <f t="shared" si="455"/>
        <v>s</v>
      </c>
      <c r="I275" s="159">
        <v>51.25</v>
      </c>
      <c r="J275" s="159">
        <v>50.94</v>
      </c>
      <c r="K275" s="61">
        <f t="shared" si="456"/>
        <v>-6.0487804878049225E-3</v>
      </c>
      <c r="L275" s="87">
        <f t="shared" si="457"/>
        <v>9.3000000000001819</v>
      </c>
      <c r="M275" s="130">
        <f t="shared" si="450"/>
        <v>-1.8000000000001819</v>
      </c>
      <c r="N275" s="169" t="str">
        <f t="shared" si="458"/>
        <v/>
      </c>
      <c r="O275" s="169">
        <f>IF($J275="",#N/A,SUM($N$4:N275))</f>
        <v>465.98671935422499</v>
      </c>
      <c r="P275" s="174">
        <f t="shared" si="459"/>
        <v>9.3000000000001819</v>
      </c>
      <c r="Q275" s="174">
        <f>IF($J275="",#N/A,SUM($P$4:P275))</f>
        <v>629.07890674734119</v>
      </c>
      <c r="R275" s="178" t="str">
        <f t="shared" si="460"/>
        <v/>
      </c>
      <c r="S275" s="178">
        <f>IF($J275="",#N/A,SUM($R$4:R275))</f>
        <v>303.7344581437269</v>
      </c>
      <c r="T275" s="290" t="str">
        <f t="shared" si="461"/>
        <v/>
      </c>
      <c r="U275" s="290">
        <f>IF($J275="",#N/A,SUM($T$4:T275))</f>
        <v>17.748427630277256</v>
      </c>
      <c r="V275" s="291">
        <f t="shared" si="462"/>
        <v>0.10081300813008327</v>
      </c>
      <c r="W275" s="291">
        <f>IF($J275="",#N/A,SUM($V$4:V275))</f>
        <v>25.962834399665681</v>
      </c>
      <c r="X275" s="292" t="str">
        <f t="shared" si="463"/>
        <v/>
      </c>
      <c r="Y275" s="292">
        <f>IF($J275="",#N/A,SUM($X$4:X275))</f>
        <v>10.397860821322839</v>
      </c>
      <c r="Z275" s="304" t="str">
        <f t="shared" si="464"/>
        <v/>
      </c>
      <c r="AA275" s="313" t="e">
        <f>IF($J275="",#N/A,SUM(Z$4:Z275))</f>
        <v>#N/A</v>
      </c>
      <c r="AB275" s="314" t="str">
        <f t="shared" si="465"/>
        <v/>
      </c>
      <c r="AC275" s="314" t="e">
        <f>IF($J275="",#N/A,SUM(AB$4:AB275))</f>
        <v>#N/A</v>
      </c>
      <c r="AD275" s="315" t="str">
        <f t="shared" si="466"/>
        <v/>
      </c>
      <c r="AE275" s="315" t="e">
        <f>IF($J275="",#N/A,SUM(AD$4:AD275))</f>
        <v>#N/A</v>
      </c>
      <c r="AF275" s="315" t="e">
        <f>IF($J275="",#N/A,SUM(AD$4:AD275,AB$4:AB275,Z$4:Z275))</f>
        <v>#N/A</v>
      </c>
      <c r="AG275" s="304" t="str">
        <f t="shared" si="467"/>
        <v/>
      </c>
      <c r="AH275" s="313" t="e">
        <f>IF($J275="",#N/A,SUM(AG$4:AG275))</f>
        <v>#N/A</v>
      </c>
      <c r="AI275" s="314" t="str">
        <f t="shared" si="468"/>
        <v/>
      </c>
      <c r="AJ275" s="314" t="e">
        <f>IF($J275="",#N/A,SUM(AI$4:AI275))</f>
        <v>#N/A</v>
      </c>
      <c r="AK275" s="315" t="str">
        <f t="shared" si="469"/>
        <v/>
      </c>
      <c r="AL275" s="315" t="e">
        <f>IF($J275="",#N/A,SUM(AK$4:AK275))</f>
        <v>#N/A</v>
      </c>
      <c r="AM275" s="315" t="e">
        <f>IF($J275="",#N/A,SUM(AK$4:AK275,AI$4:AI275,AG$4:AG275))</f>
        <v>#N/A</v>
      </c>
      <c r="AN275" s="304" t="str">
        <f t="shared" si="470"/>
        <v/>
      </c>
      <c r="AO275" s="313" t="e">
        <f>IF($J275="",#N/A,SUM(AN$4:AN275))</f>
        <v>#N/A</v>
      </c>
      <c r="AP275" s="314" t="str">
        <f t="shared" si="471"/>
        <v/>
      </c>
      <c r="AQ275" s="314" t="e">
        <f>IF($J275="",#N/A,SUM(AP$4:AP275))</f>
        <v>#N/A</v>
      </c>
      <c r="AR275" s="315" t="str">
        <f t="shared" si="472"/>
        <v/>
      </c>
      <c r="AS275" s="315" t="e">
        <f>IF($J275="",#N/A,SUM(AR$4:AR275))</f>
        <v>#N/A</v>
      </c>
      <c r="AT275" s="315" t="e">
        <f>IF($J275="",#N/A,SUM(AR$4:AR275,AP$4:AP275,AN$4:AN275))</f>
        <v>#N/A</v>
      </c>
      <c r="AU275" s="304" t="str">
        <f t="shared" si="473"/>
        <v/>
      </c>
      <c r="AV275" s="313" t="e">
        <f>IF($J275="",#N/A,SUM(AU$4:AU275))</f>
        <v>#N/A</v>
      </c>
      <c r="AW275" s="314" t="str">
        <f t="shared" si="474"/>
        <v/>
      </c>
      <c r="AX275" s="314" t="e">
        <f>IF($J275="",#N/A,SUM(AW$4:AW275))</f>
        <v>#N/A</v>
      </c>
      <c r="AY275" s="315" t="str">
        <f t="shared" si="475"/>
        <v/>
      </c>
      <c r="AZ275" s="315" t="e">
        <f>IF($J275="",#N/A,SUM(AY$4:AY275))</f>
        <v>#N/A</v>
      </c>
      <c r="BA275" s="315" t="e">
        <f>IF($J275="",#N/A,SUM(AY$4:AY275,AW$4:AW275,AU$4:AU275))</f>
        <v>#N/A</v>
      </c>
      <c r="BB275" s="304" t="str">
        <f t="shared" si="476"/>
        <v/>
      </c>
      <c r="BC275" s="313" t="e">
        <f>IF($J275="",#N/A,SUM(BB$4:BB275))</f>
        <v>#N/A</v>
      </c>
      <c r="BD275" s="314" t="str">
        <f t="shared" si="477"/>
        <v/>
      </c>
      <c r="BE275" s="314" t="e">
        <f>IF($J275="",#N/A,SUM(BD$4:BD275))</f>
        <v>#N/A</v>
      </c>
      <c r="BF275" s="315" t="str">
        <f t="shared" si="478"/>
        <v/>
      </c>
      <c r="BG275" s="315" t="e">
        <f>IF($J275="",#N/A,SUM(BF$4:BF275))</f>
        <v>#N/A</v>
      </c>
      <c r="BH275" s="315" t="e">
        <f>IF($J275="",#N/A,SUM(BF$4:BF275,BD$4:BD275,BB$4:BB275))</f>
        <v>#N/A</v>
      </c>
      <c r="BI275" s="304" t="str">
        <f t="shared" si="479"/>
        <v/>
      </c>
      <c r="BJ275" s="313" t="e">
        <f>IF($J275="",#N/A,SUM(BI$4:BI275))</f>
        <v>#N/A</v>
      </c>
      <c r="BK275" s="314" t="str">
        <f t="shared" si="480"/>
        <v/>
      </c>
      <c r="BL275" s="314" t="e">
        <f>IF($J275="",#N/A,SUM(BK$4:BK275))</f>
        <v>#N/A</v>
      </c>
      <c r="BM275" s="315" t="str">
        <f t="shared" si="481"/>
        <v/>
      </c>
      <c r="BN275" s="315" t="e">
        <f>IF($J275="",#N/A,SUM(BM$4:BM275))</f>
        <v>#N/A</v>
      </c>
      <c r="BO275" s="315" t="e">
        <f>IF($J275="",#N/A,SUM(BM$4:BM275,BK$4:BK275,BI$4:BI275))</f>
        <v>#N/A</v>
      </c>
      <c r="BP275" s="304" t="str">
        <f t="shared" si="482"/>
        <v/>
      </c>
      <c r="BQ275" s="313" t="e">
        <f>IF($J275="",#N/A,SUM(BP$4:BP275))</f>
        <v>#N/A</v>
      </c>
      <c r="BR275" s="314" t="str">
        <f t="shared" si="483"/>
        <v/>
      </c>
      <c r="BS275" s="314" t="e">
        <f>IF($J275="",#N/A,SUM(BR$4:BR275))</f>
        <v>#N/A</v>
      </c>
      <c r="BT275" s="315" t="str">
        <f t="shared" si="484"/>
        <v/>
      </c>
      <c r="BU275" s="315" t="e">
        <f>IF($J275="",#N/A,SUM(BT$4:BT275))</f>
        <v>#N/A</v>
      </c>
      <c r="BV275" s="315" t="e">
        <f>IF($J275="",#N/A,SUM(BT$4:BT275,BR$4:BR275,BP$4:BP275))</f>
        <v>#N/A</v>
      </c>
      <c r="BW275" s="304" t="str">
        <f t="shared" si="485"/>
        <v/>
      </c>
      <c r="BX275" s="313" t="e">
        <f>IF($J275="",#N/A,SUM(BW$4:BW275))</f>
        <v>#N/A</v>
      </c>
      <c r="BY275" s="314" t="str">
        <f t="shared" si="486"/>
        <v/>
      </c>
      <c r="BZ275" s="314" t="e">
        <f>IF($J275="",#N/A,SUM(BY$4:BY275))</f>
        <v>#N/A</v>
      </c>
      <c r="CA275" s="315" t="str">
        <f t="shared" si="487"/>
        <v/>
      </c>
      <c r="CB275" s="315" t="e">
        <f>IF($J275="",#N/A,SUM(CA$4:CA275))</f>
        <v>#N/A</v>
      </c>
      <c r="CC275" s="315" t="e">
        <f>IF($J275="",#N/A,SUM(CA$4:CA275,BY$4:BY275,BW$4:BW275))</f>
        <v>#N/A</v>
      </c>
      <c r="CD275" s="304" t="str">
        <f t="shared" si="488"/>
        <v/>
      </c>
      <c r="CE275" s="313" t="e">
        <f>IF($J275="",#N/A,SUM(CD$4:CD275))</f>
        <v>#N/A</v>
      </c>
      <c r="CF275" s="314" t="str">
        <f t="shared" si="489"/>
        <v/>
      </c>
      <c r="CG275" s="314" t="e">
        <f>IF($J275="",#N/A,SUM(CF$4:CF275))</f>
        <v>#N/A</v>
      </c>
      <c r="CH275" s="315" t="str">
        <f t="shared" si="490"/>
        <v/>
      </c>
      <c r="CI275" s="315" t="e">
        <f>IF($J275="",#N/A,SUM(CH$4:CH275))</f>
        <v>#N/A</v>
      </c>
      <c r="CJ275" s="315" t="e">
        <f>IF($J275="",#N/A,SUM(CH$4:CH275,CF$4:CF275,CD$4:CD275))</f>
        <v>#N/A</v>
      </c>
      <c r="CK275" s="304" t="str">
        <f t="shared" si="491"/>
        <v/>
      </c>
      <c r="CL275" s="313" t="e">
        <f>IF($J275="",#N/A,SUM(CK$4:CK275))</f>
        <v>#N/A</v>
      </c>
      <c r="CM275" s="314">
        <f t="shared" si="492"/>
        <v>0.10081300813008327</v>
      </c>
      <c r="CN275" s="314" t="e">
        <f>IF($J275="",#N/A,SUM(CM$4:CM275))</f>
        <v>#N/A</v>
      </c>
      <c r="CO275" s="315" t="str">
        <f t="shared" si="493"/>
        <v/>
      </c>
      <c r="CP275" s="315" t="e">
        <f>IF($J275="",#N/A,SUM(CO$4:CO275))</f>
        <v>#N/A</v>
      </c>
      <c r="CQ275" s="315" t="e">
        <f>IF($J275="",#N/A,SUM(CO$4:CO275,CM$4:CM275,CK$4:CK275))</f>
        <v>#N/A</v>
      </c>
      <c r="CR275" s="304" t="str">
        <f t="shared" si="494"/>
        <v/>
      </c>
      <c r="CS275" s="313" t="e">
        <f>IF($J275="",#N/A,SUM(CR$4:CR275))</f>
        <v>#N/A</v>
      </c>
      <c r="CT275" s="314" t="str">
        <f t="shared" si="495"/>
        <v/>
      </c>
      <c r="CU275" s="314" t="e">
        <f>IF($J275="",#N/A,SUM(CT$4:CT275))</f>
        <v>#N/A</v>
      </c>
      <c r="CV275" s="315" t="str">
        <f t="shared" si="496"/>
        <v/>
      </c>
      <c r="CW275" s="315" t="e">
        <f>IF($J275="",#N/A,SUM(CV$4:CV275))</f>
        <v>#N/A</v>
      </c>
      <c r="CX275" s="315" t="e">
        <f>IF($J275="",#N/A,SUM(CV$4:CV275,CT$4:CT275,CR$4:CR275))</f>
        <v>#N/A</v>
      </c>
      <c r="CY275" s="304" t="str">
        <f t="shared" si="497"/>
        <v/>
      </c>
      <c r="CZ275" s="313" t="e">
        <f>IF($J275="",#N/A,SUM(CY$4:CY275))</f>
        <v>#N/A</v>
      </c>
      <c r="DA275" s="314" t="str">
        <f t="shared" si="498"/>
        <v/>
      </c>
      <c r="DB275" s="314" t="e">
        <f>IF($J275="",#N/A,SUM(DA$4:DA275))</f>
        <v>#N/A</v>
      </c>
      <c r="DC275" s="315" t="str">
        <f t="shared" si="499"/>
        <v/>
      </c>
      <c r="DD275" s="315" t="e">
        <f>IF($J275="",#N/A,SUM(DC$4:DC275))</f>
        <v>#N/A</v>
      </c>
      <c r="DE275" s="315" t="e">
        <f>IF($J275="",#N/A,SUM(DC$4:DC275,DA$4:DA275,CY$4:CY275))</f>
        <v>#N/A</v>
      </c>
      <c r="DF275" s="304" t="str">
        <f t="shared" si="500"/>
        <v/>
      </c>
      <c r="DG275" s="313" t="e">
        <f>IF($J275="",#N/A,SUM(DF$4:DF275))</f>
        <v>#N/A</v>
      </c>
      <c r="DH275" s="314" t="str">
        <f t="shared" si="501"/>
        <v/>
      </c>
      <c r="DI275" s="314" t="e">
        <f>IF($J275="",#N/A,SUM(DH$4:DH275))</f>
        <v>#N/A</v>
      </c>
      <c r="DJ275" s="315" t="str">
        <f t="shared" si="502"/>
        <v/>
      </c>
      <c r="DK275" s="315" t="e">
        <f>IF($J275="",#N/A,SUM(DJ$4:DJ275))</f>
        <v>#N/A</v>
      </c>
      <c r="DL275" s="315" t="e">
        <f>IF($J275="",#N/A,SUM(DJ$4:DJ275,DH$4:DH275,DF$4:DF275))</f>
        <v>#N/A</v>
      </c>
      <c r="DM275" s="304" t="str">
        <f t="shared" si="503"/>
        <v/>
      </c>
      <c r="DN275" s="313" t="e">
        <f>IF($J275="",#N/A,SUM(DM$4:DM275))</f>
        <v>#N/A</v>
      </c>
      <c r="DO275" s="314" t="str">
        <f t="shared" si="504"/>
        <v/>
      </c>
      <c r="DP275" s="314" t="e">
        <f>IF($J275="",#N/A,SUM(DO$4:DO275))</f>
        <v>#N/A</v>
      </c>
      <c r="DQ275" s="315" t="str">
        <f t="shared" si="505"/>
        <v/>
      </c>
      <c r="DR275" s="315" t="e">
        <f>IF($J275="",#N/A,SUM(DQ$4:DQ275))</f>
        <v>#N/A</v>
      </c>
      <c r="DS275" s="315" t="e">
        <f>IF($J275="",#N/A,SUM(DQ$4:DQ275,DO$4:DO275,DM$4:DM275))</f>
        <v>#N/A</v>
      </c>
      <c r="DT275" s="304" t="str">
        <f t="shared" si="506"/>
        <v/>
      </c>
      <c r="DU275" s="313" t="e">
        <f>IF($J275="",#N/A,SUM(DT$4:DT275))</f>
        <v>#N/A</v>
      </c>
      <c r="DV275" s="314" t="str">
        <f t="shared" si="507"/>
        <v/>
      </c>
      <c r="DW275" s="314" t="e">
        <f>IF($J275="",#N/A,SUM(DV$4:DV275))</f>
        <v>#N/A</v>
      </c>
      <c r="DX275" s="315" t="str">
        <f t="shared" si="508"/>
        <v/>
      </c>
      <c r="DY275" s="315" t="e">
        <f>IF($J275="",#N/A,SUM(DX$4:DX275))</f>
        <v>#N/A</v>
      </c>
      <c r="DZ275" s="315" t="e">
        <f>IF($J275="",#N/A,SUM(DX$4:DX275,DV$4:DV275,DT$4:DT275))</f>
        <v>#N/A</v>
      </c>
      <c r="EA275" s="304" t="str">
        <f t="shared" si="509"/>
        <v/>
      </c>
      <c r="EB275" s="313" t="e">
        <f>IF($J275="",#N/A,SUM(EA$4:EA275))</f>
        <v>#N/A</v>
      </c>
      <c r="EC275" s="314" t="str">
        <f t="shared" si="510"/>
        <v/>
      </c>
      <c r="ED275" s="314" t="e">
        <f>IF($J275="",#N/A,SUM(EC$4:EC275))</f>
        <v>#N/A</v>
      </c>
      <c r="EE275" s="315" t="str">
        <f t="shared" si="511"/>
        <v/>
      </c>
      <c r="EF275" s="315" t="e">
        <f>IF($J275="",#N/A,SUM(EE$4:EE275))</f>
        <v>#N/A</v>
      </c>
      <c r="EG275" s="315" t="e">
        <f>IF($J275="",#N/A,SUM(EE$4:EE275,EC$4:EC275,EA$4:EA275))</f>
        <v>#N/A</v>
      </c>
      <c r="EH275" s="130">
        <f t="shared" si="512"/>
        <v>9.3000000000001819</v>
      </c>
      <c r="EI275" s="63">
        <f>IF(EH275="",#N/A,SUM($EH$4:EH275))</f>
        <v>1398.8000842452932</v>
      </c>
      <c r="EJ275" s="223" t="e">
        <f t="shared" si="513"/>
        <v>#N/A</v>
      </c>
      <c r="EK275" s="63" t="e">
        <f>IF($GZ275="",#N/A,SUM(EJ$4:EJ275))</f>
        <v>#N/A</v>
      </c>
      <c r="EL275" s="60">
        <f t="shared" si="544"/>
        <v>0.10081300813008327</v>
      </c>
      <c r="EM275" s="60">
        <f>IF(EL275="",NA(),SUM($EL$4:EL275))</f>
        <v>44.657487642924302</v>
      </c>
      <c r="EN275" s="60" t="str">
        <f t="shared" si="514"/>
        <v/>
      </c>
      <c r="EO275" s="60" t="e">
        <f>IF(EN275="",NA(),SUM($EN$4:EN275))</f>
        <v>#N/A</v>
      </c>
      <c r="EP275" s="60" t="str">
        <f t="shared" si="515"/>
        <v/>
      </c>
      <c r="EQ275" s="60" t="e">
        <f>IF(EP275="",NA(),SUM($EP$4:EP275))</f>
        <v>#N/A</v>
      </c>
      <c r="ER275" s="60">
        <f t="shared" si="516"/>
        <v>0.10081300813008327</v>
      </c>
      <c r="ES275" s="60">
        <f>IF(ER275="",NA(),SUM($ER$4:ER275))</f>
        <v>17.797291600205241</v>
      </c>
      <c r="ET275" s="60" t="str">
        <f t="shared" si="517"/>
        <v/>
      </c>
      <c r="EU275" s="60" t="e">
        <f>IF(ET275="",NA(),SUM($ET$4:ET275))</f>
        <v>#N/A</v>
      </c>
      <c r="EV275" s="60" t="str">
        <f t="shared" si="518"/>
        <v/>
      </c>
      <c r="EW275" s="60" t="e">
        <f>IF(EV275="",NA(),SUM($EV$4:EV275))</f>
        <v>#N/A</v>
      </c>
      <c r="EX275" s="60" t="str">
        <f t="shared" si="519"/>
        <v/>
      </c>
      <c r="EY275" s="60" t="e">
        <f>IF(EX275="",NA(),SUM($EX$4:EX275))</f>
        <v>#N/A</v>
      </c>
      <c r="EZ275" s="60" t="str">
        <f t="shared" si="520"/>
        <v/>
      </c>
      <c r="FA275" s="60" t="e">
        <f>IF(EZ275="",NA(),SUM($EZ$4:EZ275))</f>
        <v>#N/A</v>
      </c>
      <c r="FB275" s="246">
        <f t="shared" si="545"/>
        <v>1.2682926829268268</v>
      </c>
      <c r="FC275" s="246">
        <f>IF($FB275="",#N/A,SUM(FB$4:$FB275))</f>
        <v>4.8239698018513684</v>
      </c>
      <c r="FD275" s="60" t="str">
        <f t="shared" si="521"/>
        <v/>
      </c>
      <c r="FE275" s="60" t="e">
        <f>IF($FD275="",#N/A,SUM($FD$4:FD275))</f>
        <v>#N/A</v>
      </c>
      <c r="FF275" s="60" t="str">
        <f t="shared" si="522"/>
        <v/>
      </c>
      <c r="FG275" s="60" t="e">
        <f>IF($FF275="",#N/A,SUM($FF$4:FF275))</f>
        <v>#N/A</v>
      </c>
      <c r="FH275" s="60" t="str">
        <f t="shared" si="523"/>
        <v/>
      </c>
      <c r="FI275" s="60" t="e">
        <f>IF($FH275="",#N/A,SUM($FH$4:FH275))</f>
        <v>#N/A</v>
      </c>
      <c r="FJ275" s="60" t="str">
        <f t="shared" si="524"/>
        <v/>
      </c>
      <c r="FK275" s="60" t="e">
        <f>IF($FJ275="",#N/A,SUM($FJ$4:FJ275))</f>
        <v>#N/A</v>
      </c>
      <c r="FL275" s="60" t="str">
        <f t="shared" si="525"/>
        <v/>
      </c>
      <c r="FM275" s="60" t="e">
        <f>IF($FL275="",#N/A,SUM($FL$4:FL275))</f>
        <v>#N/A</v>
      </c>
      <c r="FN275" s="82">
        <f t="shared" si="526"/>
        <v>1.3691056910569102</v>
      </c>
      <c r="FO275" s="82">
        <f>IF($FN275="",#N/A,SUM(FN$4:$FN275))</f>
        <v>57.347180254254816</v>
      </c>
      <c r="FP275" s="82">
        <f t="shared" si="546"/>
        <v>0.10081300813008327</v>
      </c>
      <c r="FQ275" s="246">
        <f>IF($EH275="",#N/A,SUM($FP$4:FP275))</f>
        <v>54.109122851265759</v>
      </c>
      <c r="FR275" s="82">
        <f>IFERROR(FQ275/COUNTA($J$4:J275),#N/A)</f>
        <v>0.19893059871788882</v>
      </c>
      <c r="FS275" s="82">
        <f t="shared" si="448"/>
        <v>0.39119731013923809</v>
      </c>
      <c r="FT275" s="82">
        <f t="shared" si="449"/>
        <v>0.4754076866678133</v>
      </c>
      <c r="FU275" s="338">
        <f t="shared" si="551"/>
        <v>31.019083278468173</v>
      </c>
      <c r="FV275" s="57" t="str">
        <f t="shared" si="527"/>
        <v>Dwn</v>
      </c>
      <c r="FW275" s="57" t="s">
        <v>2733</v>
      </c>
      <c r="FX275" s="57" t="str">
        <f t="shared" si="528"/>
        <v/>
      </c>
      <c r="FY275" s="57" t="str">
        <f t="shared" si="529"/>
        <v/>
      </c>
      <c r="FZ275" s="57" t="str">
        <f t="shared" si="530"/>
        <v/>
      </c>
      <c r="GA275" s="57" t="str">
        <f t="shared" si="531"/>
        <v>Short</v>
      </c>
      <c r="GB275" s="57">
        <f t="shared" si="532"/>
        <v>1</v>
      </c>
      <c r="GC275" s="57" t="str">
        <f t="shared" si="533"/>
        <v/>
      </c>
      <c r="GD275" s="57" t="str">
        <f t="shared" si="534"/>
        <v/>
      </c>
      <c r="GE275" s="62">
        <f t="shared" si="451"/>
        <v>51.25</v>
      </c>
      <c r="GF275" s="62" t="s">
        <v>2780</v>
      </c>
      <c r="GG275" s="199">
        <v>30</v>
      </c>
      <c r="GH275" s="207">
        <f t="shared" si="535"/>
        <v>1537.5</v>
      </c>
      <c r="GI275" s="199">
        <v>30</v>
      </c>
      <c r="GJ275" s="200">
        <v>51</v>
      </c>
      <c r="GK275" s="63">
        <f t="shared" si="536"/>
        <v>7.5</v>
      </c>
      <c r="GL275" s="63">
        <f t="shared" si="452"/>
        <v>126.29999999999995</v>
      </c>
      <c r="GM275" s="82" t="str">
        <f t="shared" si="537"/>
        <v/>
      </c>
      <c r="GN275" s="82">
        <f>IF($GZ275="",#N/A,SUM(GM$4:GM275))</f>
        <v>5.7547163936782493</v>
      </c>
      <c r="GO275" s="82" t="str">
        <f t="shared" si="538"/>
        <v/>
      </c>
      <c r="GP275" s="82">
        <f>IF($GZ275="",#N/A,SUM(GO$4:GO275))</f>
        <v>15.451223381832293</v>
      </c>
      <c r="GQ275" s="82">
        <f t="shared" si="539"/>
        <v>1.3691056910569102</v>
      </c>
      <c r="GR275" s="82">
        <f>IF($GZ275="",#N/A,SUM(GQ$4:GQ275))</f>
        <v>35.515403524301945</v>
      </c>
      <c r="GS275" s="63" t="str">
        <f t="shared" si="548"/>
        <v/>
      </c>
      <c r="GT275" s="63" t="e">
        <f>IF($GZ275="",#N/A,SUM(GS$4:GS275))</f>
        <v>#N/A</v>
      </c>
      <c r="GU275" s="63" t="str">
        <f t="shared" si="549"/>
        <v/>
      </c>
      <c r="GV275" s="63" t="e">
        <f>IF($GZ275="",#N/A,SUM(GU$4:GU275))</f>
        <v>#N/A</v>
      </c>
      <c r="GW275" s="63" t="e">
        <f t="shared" si="550"/>
        <v>#N/A</v>
      </c>
      <c r="GX275" s="63" t="e">
        <f>IF($GZ275="",#N/A,SUM(GW$4:GW275))</f>
        <v>#N/A</v>
      </c>
      <c r="GY275" s="63" t="e">
        <f>IF(EJ275="",#N/A,SUM($EJ$4:EJ275))</f>
        <v>#N/A</v>
      </c>
      <c r="GZ275" s="159">
        <v>47.04</v>
      </c>
      <c r="HA275" s="63">
        <f t="shared" si="540"/>
        <v>116.99999999999977</v>
      </c>
      <c r="HB275" s="62" t="s">
        <v>2538</v>
      </c>
      <c r="HC275" s="60">
        <f>IFERROR(VLOOKUP(E275,Expectancy!$P$4:$S$19,1+C275,FALSE),"")</f>
        <v>0.6915396365341927</v>
      </c>
      <c r="HD275" s="82">
        <f t="shared" si="541"/>
        <v>8.1300813008130079E-2</v>
      </c>
      <c r="HE275" s="138">
        <f>IF(HD275="",#N/A,SUM($HD$4:HD275))</f>
        <v>8.5600395727975869</v>
      </c>
      <c r="HF275" s="85">
        <f>IF(HD275="",#N/A,IF(HB275="Skip",#N/A,SUM($HG$4:HG275)))</f>
        <v>253.72657921915442</v>
      </c>
      <c r="HG275" s="63">
        <f t="shared" si="542"/>
        <v>7.5</v>
      </c>
      <c r="HH275" s="82">
        <f t="shared" si="543"/>
        <v>1.3691056910569102</v>
      </c>
    </row>
    <row r="276" spans="1:216" x14ac:dyDescent="0.25">
      <c r="A276" s="465" t="s">
        <v>38</v>
      </c>
      <c r="B276" s="466" t="s">
        <v>5230</v>
      </c>
      <c r="C276" s="467">
        <f t="shared" si="453"/>
        <v>1</v>
      </c>
      <c r="D276" s="468" t="str">
        <f>_xlfn.XLOOKUP(A276,[1]SP500!$A$2:$A$502,[1]SP500!$D$2:$D$502,"N")</f>
        <v>Y</v>
      </c>
      <c r="E276" s="465" t="str">
        <f>_xlfn.XLOOKUP(A276,[1]SP500!$A$2:$A$655,[1]SP500!$B$2:$B$655)</f>
        <v>INS</v>
      </c>
      <c r="F276" s="59">
        <v>45698</v>
      </c>
      <c r="G276" s="57" t="str">
        <f t="shared" si="454"/>
        <v>BMO</v>
      </c>
      <c r="H276" s="57" t="str">
        <f t="shared" si="455"/>
        <v>s</v>
      </c>
      <c r="I276" s="159">
        <v>86.77</v>
      </c>
      <c r="J276" s="159">
        <v>85.89</v>
      </c>
      <c r="K276" s="61">
        <f t="shared" si="456"/>
        <v>-1.0141754062463933E-2</v>
      </c>
      <c r="L276" s="87">
        <f t="shared" si="457"/>
        <v>-14.959999999999809</v>
      </c>
      <c r="M276" s="130">
        <f t="shared" si="450"/>
        <v>0</v>
      </c>
      <c r="N276" s="169">
        <f t="shared" si="458"/>
        <v>-14.959999999999809</v>
      </c>
      <c r="O276" s="169">
        <f>IF($J276="",#N/A,SUM($N$4:N276))</f>
        <v>451.02671935422518</v>
      </c>
      <c r="P276" s="174" t="str">
        <f t="shared" si="459"/>
        <v/>
      </c>
      <c r="Q276" s="174">
        <f>IF($J276="",#N/A,SUM($P$4:P276))</f>
        <v>629.07890674734119</v>
      </c>
      <c r="R276" s="178" t="str">
        <f t="shared" si="460"/>
        <v/>
      </c>
      <c r="S276" s="178">
        <f>IF($J276="",#N/A,SUM($R$4:R276))</f>
        <v>303.7344581437269</v>
      </c>
      <c r="T276" s="290">
        <f t="shared" si="461"/>
        <v>-0.1690292343743976</v>
      </c>
      <c r="U276" s="290">
        <f>IF($J276="",#N/A,SUM($T$4:T276))</f>
        <v>17.579398395902857</v>
      </c>
      <c r="V276" s="291" t="str">
        <f t="shared" si="462"/>
        <v/>
      </c>
      <c r="W276" s="291">
        <f>IF($J276="",#N/A,SUM($V$4:V276))</f>
        <v>25.962834399665681</v>
      </c>
      <c r="X276" s="292" t="str">
        <f t="shared" si="463"/>
        <v/>
      </c>
      <c r="Y276" s="292">
        <f>IF($J276="",#N/A,SUM($X$4:X276))</f>
        <v>10.397860821322839</v>
      </c>
      <c r="Z276" s="304" t="str">
        <f t="shared" si="464"/>
        <v/>
      </c>
      <c r="AA276" s="313" t="e">
        <f>IF($J276="",#N/A,SUM(Z$4:Z276))</f>
        <v>#N/A</v>
      </c>
      <c r="AB276" s="314" t="str">
        <f t="shared" si="465"/>
        <v/>
      </c>
      <c r="AC276" s="314" t="e">
        <f>IF($J276="",#N/A,SUM(AB$4:AB276))</f>
        <v>#N/A</v>
      </c>
      <c r="AD276" s="315" t="str">
        <f t="shared" si="466"/>
        <v/>
      </c>
      <c r="AE276" s="315" t="e">
        <f>IF($J276="",#N/A,SUM(AD$4:AD276))</f>
        <v>#N/A</v>
      </c>
      <c r="AF276" s="315" t="e">
        <f>IF($J276="",#N/A,SUM(AD$4:AD276,AB$4:AB276,Z$4:Z276))</f>
        <v>#N/A</v>
      </c>
      <c r="AG276" s="304" t="str">
        <f t="shared" si="467"/>
        <v/>
      </c>
      <c r="AH276" s="313" t="e">
        <f>IF($J276="",#N/A,SUM(AG$4:AG276))</f>
        <v>#N/A</v>
      </c>
      <c r="AI276" s="314" t="str">
        <f t="shared" si="468"/>
        <v/>
      </c>
      <c r="AJ276" s="314" t="e">
        <f>IF($J276="",#N/A,SUM(AI$4:AI276))</f>
        <v>#N/A</v>
      </c>
      <c r="AK276" s="315" t="str">
        <f t="shared" si="469"/>
        <v/>
      </c>
      <c r="AL276" s="315" t="e">
        <f>IF($J276="",#N/A,SUM(AK$4:AK276))</f>
        <v>#N/A</v>
      </c>
      <c r="AM276" s="315" t="e">
        <f>IF($J276="",#N/A,SUM(AK$4:AK276,AI$4:AI276,AG$4:AG276))</f>
        <v>#N/A</v>
      </c>
      <c r="AN276" s="304" t="str">
        <f t="shared" si="470"/>
        <v/>
      </c>
      <c r="AO276" s="313" t="e">
        <f>IF($J276="",#N/A,SUM(AN$4:AN276))</f>
        <v>#N/A</v>
      </c>
      <c r="AP276" s="314" t="str">
        <f t="shared" si="471"/>
        <v/>
      </c>
      <c r="AQ276" s="314" t="e">
        <f>IF($J276="",#N/A,SUM(AP$4:AP276))</f>
        <v>#N/A</v>
      </c>
      <c r="AR276" s="315" t="str">
        <f t="shared" si="472"/>
        <v/>
      </c>
      <c r="AS276" s="315" t="e">
        <f>IF($J276="",#N/A,SUM(AR$4:AR276))</f>
        <v>#N/A</v>
      </c>
      <c r="AT276" s="315" t="e">
        <f>IF($J276="",#N/A,SUM(AR$4:AR276,AP$4:AP276,AN$4:AN276))</f>
        <v>#N/A</v>
      </c>
      <c r="AU276" s="304" t="str">
        <f t="shared" si="473"/>
        <v/>
      </c>
      <c r="AV276" s="313" t="e">
        <f>IF($J276="",#N/A,SUM(AU$4:AU276))</f>
        <v>#N/A</v>
      </c>
      <c r="AW276" s="314" t="str">
        <f t="shared" si="474"/>
        <v/>
      </c>
      <c r="AX276" s="314" t="e">
        <f>IF($J276="",#N/A,SUM(AW$4:AW276))</f>
        <v>#N/A</v>
      </c>
      <c r="AY276" s="315" t="str">
        <f t="shared" si="475"/>
        <v/>
      </c>
      <c r="AZ276" s="315" t="e">
        <f>IF($J276="",#N/A,SUM(AY$4:AY276))</f>
        <v>#N/A</v>
      </c>
      <c r="BA276" s="315" t="e">
        <f>IF($J276="",#N/A,SUM(AY$4:AY276,AW$4:AW276,AU$4:AU276))</f>
        <v>#N/A</v>
      </c>
      <c r="BB276" s="304" t="str">
        <f t="shared" si="476"/>
        <v/>
      </c>
      <c r="BC276" s="313" t="e">
        <f>IF($J276="",#N/A,SUM(BB$4:BB276))</f>
        <v>#N/A</v>
      </c>
      <c r="BD276" s="314" t="str">
        <f t="shared" si="477"/>
        <v/>
      </c>
      <c r="BE276" s="314" t="e">
        <f>IF($J276="",#N/A,SUM(BD$4:BD276))</f>
        <v>#N/A</v>
      </c>
      <c r="BF276" s="315" t="str">
        <f t="shared" si="478"/>
        <v/>
      </c>
      <c r="BG276" s="315" t="e">
        <f>IF($J276="",#N/A,SUM(BF$4:BF276))</f>
        <v>#N/A</v>
      </c>
      <c r="BH276" s="315" t="e">
        <f>IF($J276="",#N/A,SUM(BF$4:BF276,BD$4:BD276,BB$4:BB276))</f>
        <v>#N/A</v>
      </c>
      <c r="BI276" s="304" t="str">
        <f t="shared" si="479"/>
        <v/>
      </c>
      <c r="BJ276" s="313" t="e">
        <f>IF($J276="",#N/A,SUM(BI$4:BI276))</f>
        <v>#N/A</v>
      </c>
      <c r="BK276" s="314" t="str">
        <f t="shared" si="480"/>
        <v/>
      </c>
      <c r="BL276" s="314" t="e">
        <f>IF($J276="",#N/A,SUM(BK$4:BK276))</f>
        <v>#N/A</v>
      </c>
      <c r="BM276" s="315" t="str">
        <f t="shared" si="481"/>
        <v/>
      </c>
      <c r="BN276" s="315" t="e">
        <f>IF($J276="",#N/A,SUM(BM$4:BM276))</f>
        <v>#N/A</v>
      </c>
      <c r="BO276" s="315" t="e">
        <f>IF($J276="",#N/A,SUM(BM$4:BM276,BK$4:BK276,BI$4:BI276))</f>
        <v>#N/A</v>
      </c>
      <c r="BP276" s="304" t="str">
        <f t="shared" si="482"/>
        <v/>
      </c>
      <c r="BQ276" s="313" t="e">
        <f>IF($J276="",#N/A,SUM(BP$4:BP276))</f>
        <v>#N/A</v>
      </c>
      <c r="BR276" s="314" t="str">
        <f t="shared" si="483"/>
        <v/>
      </c>
      <c r="BS276" s="314" t="e">
        <f>IF($J276="",#N/A,SUM(BR$4:BR276))</f>
        <v>#N/A</v>
      </c>
      <c r="BT276" s="315" t="str">
        <f t="shared" si="484"/>
        <v/>
      </c>
      <c r="BU276" s="315" t="e">
        <f>IF($J276="",#N/A,SUM(BT$4:BT276))</f>
        <v>#N/A</v>
      </c>
      <c r="BV276" s="315" t="e">
        <f>IF($J276="",#N/A,SUM(BT$4:BT276,BR$4:BR276,BP$4:BP276))</f>
        <v>#N/A</v>
      </c>
      <c r="BW276" s="304" t="str">
        <f t="shared" si="485"/>
        <v/>
      </c>
      <c r="BX276" s="313" t="e">
        <f>IF($J276="",#N/A,SUM(BW$4:BW276))</f>
        <v>#N/A</v>
      </c>
      <c r="BY276" s="314" t="str">
        <f t="shared" si="486"/>
        <v/>
      </c>
      <c r="BZ276" s="314" t="e">
        <f>IF($J276="",#N/A,SUM(BY$4:BY276))</f>
        <v>#N/A</v>
      </c>
      <c r="CA276" s="315" t="str">
        <f t="shared" si="487"/>
        <v/>
      </c>
      <c r="CB276" s="315" t="e">
        <f>IF($J276="",#N/A,SUM(CA$4:CA276))</f>
        <v>#N/A</v>
      </c>
      <c r="CC276" s="315" t="e">
        <f>IF($J276="",#N/A,SUM(CA$4:CA276,BY$4:BY276,BW$4:BW276))</f>
        <v>#N/A</v>
      </c>
      <c r="CD276" s="304" t="str">
        <f t="shared" si="488"/>
        <v/>
      </c>
      <c r="CE276" s="313" t="e">
        <f>IF($J276="",#N/A,SUM(CD$4:CD276))</f>
        <v>#N/A</v>
      </c>
      <c r="CF276" s="314" t="str">
        <f t="shared" si="489"/>
        <v/>
      </c>
      <c r="CG276" s="314" t="e">
        <f>IF($J276="",#N/A,SUM(CF$4:CF276))</f>
        <v>#N/A</v>
      </c>
      <c r="CH276" s="315" t="str">
        <f t="shared" si="490"/>
        <v/>
      </c>
      <c r="CI276" s="315" t="e">
        <f>IF($J276="",#N/A,SUM(CH$4:CH276))</f>
        <v>#N/A</v>
      </c>
      <c r="CJ276" s="315" t="e">
        <f>IF($J276="",#N/A,SUM(CH$4:CH276,CF$4:CF276,CD$4:CD276))</f>
        <v>#N/A</v>
      </c>
      <c r="CK276" s="304" t="str">
        <f t="shared" si="491"/>
        <v/>
      </c>
      <c r="CL276" s="313" t="e">
        <f>IF($J276="",#N/A,SUM(CK$4:CK276))</f>
        <v>#N/A</v>
      </c>
      <c r="CM276" s="314" t="str">
        <f t="shared" si="492"/>
        <v/>
      </c>
      <c r="CN276" s="314" t="e">
        <f>IF($J276="",#N/A,SUM(CM$4:CM276))</f>
        <v>#N/A</v>
      </c>
      <c r="CO276" s="315" t="str">
        <f t="shared" si="493"/>
        <v/>
      </c>
      <c r="CP276" s="315" t="e">
        <f>IF($J276="",#N/A,SUM(CO$4:CO276))</f>
        <v>#N/A</v>
      </c>
      <c r="CQ276" s="315" t="e">
        <f>IF($J276="",#N/A,SUM(CO$4:CO276,CM$4:CM276,CK$4:CK276))</f>
        <v>#N/A</v>
      </c>
      <c r="CR276" s="304" t="str">
        <f t="shared" si="494"/>
        <v/>
      </c>
      <c r="CS276" s="313" t="e">
        <f>IF($J276="",#N/A,SUM(CR$4:CR276))</f>
        <v>#N/A</v>
      </c>
      <c r="CT276" s="314" t="str">
        <f t="shared" si="495"/>
        <v/>
      </c>
      <c r="CU276" s="314" t="e">
        <f>IF($J276="",#N/A,SUM(CT$4:CT276))</f>
        <v>#N/A</v>
      </c>
      <c r="CV276" s="315" t="str">
        <f t="shared" si="496"/>
        <v/>
      </c>
      <c r="CW276" s="315" t="e">
        <f>IF($J276="",#N/A,SUM(CV$4:CV276))</f>
        <v>#N/A</v>
      </c>
      <c r="CX276" s="315" t="e">
        <f>IF($J276="",#N/A,SUM(CV$4:CV276,CT$4:CT276,CR$4:CR276))</f>
        <v>#N/A</v>
      </c>
      <c r="CY276" s="304" t="str">
        <f t="shared" si="497"/>
        <v/>
      </c>
      <c r="CZ276" s="313" t="e">
        <f>IF($J276="",#N/A,SUM(CY$4:CY276))</f>
        <v>#N/A</v>
      </c>
      <c r="DA276" s="314" t="str">
        <f t="shared" si="498"/>
        <v/>
      </c>
      <c r="DB276" s="314" t="e">
        <f>IF($J276="",#N/A,SUM(DA$4:DA276))</f>
        <v>#N/A</v>
      </c>
      <c r="DC276" s="315" t="str">
        <f t="shared" si="499"/>
        <v/>
      </c>
      <c r="DD276" s="315" t="e">
        <f>IF($J276="",#N/A,SUM(DC$4:DC276))</f>
        <v>#N/A</v>
      </c>
      <c r="DE276" s="315" t="e">
        <f>IF($J276="",#N/A,SUM(DC$4:DC276,DA$4:DA276,CY$4:CY276))</f>
        <v>#N/A</v>
      </c>
      <c r="DF276" s="304" t="str">
        <f t="shared" si="500"/>
        <v/>
      </c>
      <c r="DG276" s="313" t="e">
        <f>IF($J276="",#N/A,SUM(DF$4:DF276))</f>
        <v>#N/A</v>
      </c>
      <c r="DH276" s="314" t="str">
        <f t="shared" si="501"/>
        <v/>
      </c>
      <c r="DI276" s="314" t="e">
        <f>IF($J276="",#N/A,SUM(DH$4:DH276))</f>
        <v>#N/A</v>
      </c>
      <c r="DJ276" s="315" t="str">
        <f t="shared" si="502"/>
        <v/>
      </c>
      <c r="DK276" s="315" t="e">
        <f>IF($J276="",#N/A,SUM(DJ$4:DJ276))</f>
        <v>#N/A</v>
      </c>
      <c r="DL276" s="315" t="e">
        <f>IF($J276="",#N/A,SUM(DJ$4:DJ276,DH$4:DH276,DF$4:DF276))</f>
        <v>#N/A</v>
      </c>
      <c r="DM276" s="304">
        <f t="shared" si="503"/>
        <v>-0.1690292343743976</v>
      </c>
      <c r="DN276" s="313" t="e">
        <f>IF($J276="",#N/A,SUM(DM$4:DM276))</f>
        <v>#N/A</v>
      </c>
      <c r="DO276" s="314" t="str">
        <f t="shared" si="504"/>
        <v/>
      </c>
      <c r="DP276" s="314" t="e">
        <f>IF($J276="",#N/A,SUM(DO$4:DO276))</f>
        <v>#N/A</v>
      </c>
      <c r="DQ276" s="315" t="str">
        <f t="shared" si="505"/>
        <v/>
      </c>
      <c r="DR276" s="315" t="e">
        <f>IF($J276="",#N/A,SUM(DQ$4:DQ276))</f>
        <v>#N/A</v>
      </c>
      <c r="DS276" s="315" t="e">
        <f>IF($J276="",#N/A,SUM(DQ$4:DQ276,DO$4:DO276,DM$4:DM276))</f>
        <v>#N/A</v>
      </c>
      <c r="DT276" s="304" t="str">
        <f t="shared" si="506"/>
        <v/>
      </c>
      <c r="DU276" s="313" t="e">
        <f>IF($J276="",#N/A,SUM(DT$4:DT276))</f>
        <v>#N/A</v>
      </c>
      <c r="DV276" s="314" t="str">
        <f t="shared" si="507"/>
        <v/>
      </c>
      <c r="DW276" s="314" t="e">
        <f>IF($J276="",#N/A,SUM(DV$4:DV276))</f>
        <v>#N/A</v>
      </c>
      <c r="DX276" s="315" t="str">
        <f t="shared" si="508"/>
        <v/>
      </c>
      <c r="DY276" s="315" t="e">
        <f>IF($J276="",#N/A,SUM(DX$4:DX276))</f>
        <v>#N/A</v>
      </c>
      <c r="DZ276" s="315" t="e">
        <f>IF($J276="",#N/A,SUM(DX$4:DX276,DV$4:DV276,DT$4:DT276))</f>
        <v>#N/A</v>
      </c>
      <c r="EA276" s="304" t="str">
        <f t="shared" si="509"/>
        <v/>
      </c>
      <c r="EB276" s="313" t="e">
        <f>IF($J276="",#N/A,SUM(EA$4:EA276))</f>
        <v>#N/A</v>
      </c>
      <c r="EC276" s="314" t="str">
        <f t="shared" si="510"/>
        <v/>
      </c>
      <c r="ED276" s="314" t="e">
        <f>IF($J276="",#N/A,SUM(EC$4:EC276))</f>
        <v>#N/A</v>
      </c>
      <c r="EE276" s="315" t="str">
        <f t="shared" si="511"/>
        <v/>
      </c>
      <c r="EF276" s="315" t="e">
        <f>IF($J276="",#N/A,SUM(EE$4:EE276))</f>
        <v>#N/A</v>
      </c>
      <c r="EG276" s="315" t="e">
        <f>IF($J276="",#N/A,SUM(EE$4:EE276,EC$4:EC276,EA$4:EA276))</f>
        <v>#N/A</v>
      </c>
      <c r="EH276" s="130">
        <f t="shared" si="512"/>
        <v>-14.959999999999809</v>
      </c>
      <c r="EI276" s="63">
        <f>IF(EH276="",#N/A,SUM($EH$4:EH276))</f>
        <v>1383.8400842452934</v>
      </c>
      <c r="EJ276" s="223" t="e">
        <f t="shared" si="513"/>
        <v>#N/A</v>
      </c>
      <c r="EK276" s="63" t="e">
        <f>IF($GZ276="",#N/A,SUM(EJ$4:EJ276))</f>
        <v>#N/A</v>
      </c>
      <c r="EL276" s="60">
        <f t="shared" si="544"/>
        <v>-0.1690292343743976</v>
      </c>
      <c r="EM276" s="60">
        <f>IF(EL276="",NA(),SUM($EL$4:EL276))</f>
        <v>44.488458408549903</v>
      </c>
      <c r="EN276" s="60">
        <f t="shared" si="514"/>
        <v>-0.1690292343743976</v>
      </c>
      <c r="EO276" s="60">
        <f>IF(EN276="",NA(),SUM($EN$4:EN276))</f>
        <v>15.622691571252135</v>
      </c>
      <c r="EP276" s="60" t="str">
        <f t="shared" si="515"/>
        <v/>
      </c>
      <c r="EQ276" s="60" t="e">
        <f>IF(EP276="",NA(),SUM($EP$4:EP276))</f>
        <v>#N/A</v>
      </c>
      <c r="ER276" s="60" t="str">
        <f t="shared" si="516"/>
        <v/>
      </c>
      <c r="ES276" s="60" t="e">
        <f>IF(ER276="",NA(),SUM($ER$4:ER276))</f>
        <v>#N/A</v>
      </c>
      <c r="ET276" s="60" t="str">
        <f t="shared" si="517"/>
        <v/>
      </c>
      <c r="EU276" s="60" t="e">
        <f>IF(ET276="",NA(),SUM($ET$4:ET276))</f>
        <v>#N/A</v>
      </c>
      <c r="EV276" s="60" t="str">
        <f t="shared" si="518"/>
        <v/>
      </c>
      <c r="EW276" s="60" t="e">
        <f>IF(EV276="",NA(),SUM($EV$4:EV276))</f>
        <v>#N/A</v>
      </c>
      <c r="EX276" s="60" t="str">
        <f t="shared" si="519"/>
        <v/>
      </c>
      <c r="EY276" s="60" t="e">
        <f>IF(EX276="",NA(),SUM($EX$4:EX276))</f>
        <v>#N/A</v>
      </c>
      <c r="EZ276" s="60" t="str">
        <f t="shared" si="520"/>
        <v/>
      </c>
      <c r="FA276" s="60" t="e">
        <f>IF(EZ276="",NA(),SUM($EZ$4:EZ276))</f>
        <v>#N/A</v>
      </c>
      <c r="FB276" s="246" t="str">
        <f t="shared" si="545"/>
        <v/>
      </c>
      <c r="FC276" s="246" t="e">
        <f>IF($FB276="",#N/A,SUM(FB$4:$FB276))</f>
        <v>#N/A</v>
      </c>
      <c r="FD276" s="60" t="str">
        <f t="shared" si="521"/>
        <v/>
      </c>
      <c r="FE276" s="60" t="e">
        <f>IF($FD276="",#N/A,SUM($FD$4:FD276))</f>
        <v>#N/A</v>
      </c>
      <c r="FF276" s="60" t="str">
        <f t="shared" si="522"/>
        <v/>
      </c>
      <c r="FG276" s="60" t="e">
        <f>IF($FF276="",#N/A,SUM($FF$4:FF276))</f>
        <v>#N/A</v>
      </c>
      <c r="FH276" s="60">
        <f t="shared" si="523"/>
        <v>9.6039337712716666E-3</v>
      </c>
      <c r="FI276" s="60">
        <f>IF($FH276="",#N/A,SUM($FH$4:FH276))</f>
        <v>2.3738483124763157</v>
      </c>
      <c r="FJ276" s="60" t="str">
        <f t="shared" si="524"/>
        <v/>
      </c>
      <c r="FK276" s="60" t="e">
        <f>IF($FJ276="",#N/A,SUM($FJ$4:FJ276))</f>
        <v>#N/A</v>
      </c>
      <c r="FL276" s="60" t="str">
        <f t="shared" si="525"/>
        <v/>
      </c>
      <c r="FM276" s="60" t="e">
        <f>IF($FL276="",#N/A,SUM($FL$4:FL276))</f>
        <v>#N/A</v>
      </c>
      <c r="FN276" s="82">
        <f t="shared" si="526"/>
        <v>-0.15942530060312593</v>
      </c>
      <c r="FO276" s="82">
        <f>IF($FN276="",#N/A,SUM(FN$4:$FN276))</f>
        <v>57.187754953651691</v>
      </c>
      <c r="FP276" s="82">
        <f t="shared" si="546"/>
        <v>-0.1690292343743976</v>
      </c>
      <c r="FQ276" s="246">
        <f>IF($EH276="",#N/A,SUM($FP$4:FP276))</f>
        <v>53.94009361689136</v>
      </c>
      <c r="FR276" s="82">
        <f>IFERROR(FQ276/COUNTA($J$4:J276),#N/A)</f>
        <v>0.19758276050143356</v>
      </c>
      <c r="FS276" s="82">
        <f t="shared" si="448"/>
        <v>0.39681321776313683</v>
      </c>
      <c r="FT276" s="82">
        <f t="shared" si="449"/>
        <v>0.47300784195280188</v>
      </c>
      <c r="FU276" s="338">
        <f t="shared" si="551"/>
        <v>31.019083278468173</v>
      </c>
      <c r="FV276" s="57" t="str">
        <f t="shared" si="527"/>
        <v>Up</v>
      </c>
      <c r="FW276" s="57" t="s">
        <v>2734</v>
      </c>
      <c r="FX276" s="57" t="str">
        <f t="shared" si="528"/>
        <v/>
      </c>
      <c r="FY276" s="57" t="str">
        <f t="shared" si="529"/>
        <v/>
      </c>
      <c r="FZ276" s="57" t="str">
        <f t="shared" si="530"/>
        <v/>
      </c>
      <c r="GA276" s="57" t="str">
        <f t="shared" si="531"/>
        <v>Long</v>
      </c>
      <c r="GB276" s="57" t="str">
        <f t="shared" si="532"/>
        <v/>
      </c>
      <c r="GC276" s="57">
        <f t="shared" si="533"/>
        <v>1</v>
      </c>
      <c r="GD276" s="57" t="str">
        <f t="shared" si="534"/>
        <v/>
      </c>
      <c r="GE276" s="62">
        <f t="shared" si="451"/>
        <v>86.77</v>
      </c>
      <c r="GF276" s="62" t="s">
        <v>2779</v>
      </c>
      <c r="GG276" s="199">
        <v>17</v>
      </c>
      <c r="GH276" s="207">
        <f t="shared" si="535"/>
        <v>1475.09</v>
      </c>
      <c r="GI276" s="199">
        <v>17</v>
      </c>
      <c r="GJ276" s="200">
        <v>85.89</v>
      </c>
      <c r="GK276" s="63">
        <f t="shared" si="536"/>
        <v>-14.959999999999809</v>
      </c>
      <c r="GL276" s="63">
        <f t="shared" si="452"/>
        <v>-14.1099999999999</v>
      </c>
      <c r="GM276" s="82" t="str">
        <f t="shared" si="537"/>
        <v/>
      </c>
      <c r="GN276" s="82">
        <f>IF($GZ276="",#N/A,SUM(GM$4:GM276))</f>
        <v>5.7547163936782493</v>
      </c>
      <c r="GO276" s="82">
        <f t="shared" si="538"/>
        <v>-0.15942530060312593</v>
      </c>
      <c r="GP276" s="82">
        <f>IF($GZ276="",#N/A,SUM(GO$4:GO276))</f>
        <v>15.291798081229167</v>
      </c>
      <c r="GQ276" s="82" t="str">
        <f t="shared" si="539"/>
        <v/>
      </c>
      <c r="GR276" s="82">
        <f>IF($GZ276="",#N/A,SUM(GQ$4:GQ276))</f>
        <v>35.515403524301945</v>
      </c>
      <c r="GS276" s="63" t="str">
        <f t="shared" si="548"/>
        <v/>
      </c>
      <c r="GT276" s="63" t="e">
        <f>IF($GZ276="",#N/A,SUM(GS$4:GS276))</f>
        <v>#N/A</v>
      </c>
      <c r="GU276" s="63" t="e">
        <f t="shared" si="549"/>
        <v>#N/A</v>
      </c>
      <c r="GV276" s="63" t="e">
        <f>IF($GZ276="",#N/A,SUM(GU$4:GU276))</f>
        <v>#N/A</v>
      </c>
      <c r="GW276" s="63" t="str">
        <f t="shared" si="550"/>
        <v/>
      </c>
      <c r="GX276" s="63" t="e">
        <f>IF($GZ276="",#N/A,SUM(GW$4:GW276))</f>
        <v>#N/A</v>
      </c>
      <c r="GY276" s="63" t="e">
        <f>IF(EJ276="",#N/A,SUM($EJ$4:EJ276))</f>
        <v>#N/A</v>
      </c>
      <c r="GZ276" s="159">
        <v>85.94</v>
      </c>
      <c r="HA276" s="63">
        <f t="shared" si="540"/>
        <v>0.84999999999990905</v>
      </c>
      <c r="HB276" s="62" t="s">
        <v>2538</v>
      </c>
      <c r="HC276" s="60">
        <f>IFERROR(VLOOKUP(E276,Expectancy!$P$4:$S$19,1+C276,FALSE),"")</f>
        <v>-1.4093989360216316E-2</v>
      </c>
      <c r="HD276" s="82">
        <f t="shared" si="541"/>
        <v>-0.1690292343743976</v>
      </c>
      <c r="HE276" s="138">
        <f>IF(HD276="",#N/A,SUM($HD$4:HD276))</f>
        <v>8.3910103384231896</v>
      </c>
      <c r="HF276" s="85">
        <f>IF(HD276="",#N/A,IF(HB276="Skip",#N/A,SUM($HG$4:HG276)))</f>
        <v>238.76657921915461</v>
      </c>
      <c r="HG276" s="63">
        <f t="shared" si="542"/>
        <v>-14.959999999999809</v>
      </c>
      <c r="HH276" s="82">
        <f t="shared" si="543"/>
        <v>-0.15942530060312593</v>
      </c>
    </row>
    <row r="277" spans="1:216" x14ac:dyDescent="0.25">
      <c r="A277" s="472" t="s">
        <v>1574</v>
      </c>
      <c r="B277" s="466" t="s">
        <v>5230</v>
      </c>
      <c r="C277" s="467">
        <f t="shared" si="453"/>
        <v>3</v>
      </c>
      <c r="D277" s="468" t="str">
        <f>_xlfn.XLOOKUP(A277,[1]SP500!$A$2:$A$502,[1]SP500!$D$2:$D$502,"N")</f>
        <v>Y</v>
      </c>
      <c r="E277" s="465" t="str">
        <f>_xlfn.XLOOKUP(A277,[1]SP500!$A$2:$A$655,[1]SP500!$B$2:$B$655)</f>
        <v>XLV</v>
      </c>
      <c r="F277" s="59">
        <v>45698</v>
      </c>
      <c r="G277" s="57" t="str">
        <f t="shared" si="454"/>
        <v>BMO</v>
      </c>
      <c r="H277" s="57" t="str">
        <f t="shared" si="455"/>
        <v>s</v>
      </c>
      <c r="I277" s="159">
        <v>74.13</v>
      </c>
      <c r="J277" s="159">
        <v>73.010000000000005</v>
      </c>
      <c r="K277" s="61">
        <f t="shared" si="456"/>
        <v>-1.5108593012275602E-2</v>
      </c>
      <c r="L277" s="87">
        <f t="shared" si="457"/>
        <v>-22.399999999999864</v>
      </c>
      <c r="M277" s="130">
        <f t="shared" si="450"/>
        <v>0</v>
      </c>
      <c r="N277" s="169" t="str">
        <f t="shared" si="458"/>
        <v/>
      </c>
      <c r="O277" s="169">
        <f>IF($J277="",#N/A,SUM($N$4:N277))</f>
        <v>451.02671935422518</v>
      </c>
      <c r="P277" s="174" t="str">
        <f t="shared" si="459"/>
        <v/>
      </c>
      <c r="Q277" s="174">
        <f>IF($J277="",#N/A,SUM($P$4:P277))</f>
        <v>629.07890674734119</v>
      </c>
      <c r="R277" s="178">
        <f t="shared" si="460"/>
        <v>-22.399999999999864</v>
      </c>
      <c r="S277" s="178">
        <f>IF($J277="",#N/A,SUM($R$4:R277))</f>
        <v>281.33445814372703</v>
      </c>
      <c r="T277" s="290" t="str">
        <f t="shared" si="461"/>
        <v/>
      </c>
      <c r="U277" s="290">
        <f>IF($J277="",#N/A,SUM($T$4:T277))</f>
        <v>17.579398395902857</v>
      </c>
      <c r="V277" s="291" t="str">
        <f t="shared" si="462"/>
        <v/>
      </c>
      <c r="W277" s="291">
        <f>IF($J277="",#N/A,SUM($V$4:V277))</f>
        <v>25.962834399665681</v>
      </c>
      <c r="X277" s="292">
        <f t="shared" si="463"/>
        <v>-0.25180988353792738</v>
      </c>
      <c r="Y277" s="292">
        <f>IF($J277="",#N/A,SUM($X$4:X277))</f>
        <v>10.146050937784912</v>
      </c>
      <c r="Z277" s="304" t="str">
        <f t="shared" si="464"/>
        <v/>
      </c>
      <c r="AA277" s="313" t="e">
        <f>IF($J277="",#N/A,SUM(Z$4:Z277))</f>
        <v>#N/A</v>
      </c>
      <c r="AB277" s="314" t="str">
        <f t="shared" si="465"/>
        <v/>
      </c>
      <c r="AC277" s="314" t="e">
        <f>IF($J277="",#N/A,SUM(AB$4:AB277))</f>
        <v>#N/A</v>
      </c>
      <c r="AD277" s="315" t="str">
        <f t="shared" si="466"/>
        <v/>
      </c>
      <c r="AE277" s="315" t="e">
        <f>IF($J277="",#N/A,SUM(AD$4:AD277))</f>
        <v>#N/A</v>
      </c>
      <c r="AF277" s="315" t="e">
        <f>IF($J277="",#N/A,SUM(AD$4:AD277,AB$4:AB277,Z$4:Z277))</f>
        <v>#N/A</v>
      </c>
      <c r="AG277" s="304" t="str">
        <f t="shared" si="467"/>
        <v/>
      </c>
      <c r="AH277" s="313" t="e">
        <f>IF($J277="",#N/A,SUM(AG$4:AG277))</f>
        <v>#N/A</v>
      </c>
      <c r="AI277" s="314" t="str">
        <f t="shared" si="468"/>
        <v/>
      </c>
      <c r="AJ277" s="314" t="e">
        <f>IF($J277="",#N/A,SUM(AI$4:AI277))</f>
        <v>#N/A</v>
      </c>
      <c r="AK277" s="315" t="str">
        <f t="shared" si="469"/>
        <v/>
      </c>
      <c r="AL277" s="315" t="e">
        <f>IF($J277="",#N/A,SUM(AK$4:AK277))</f>
        <v>#N/A</v>
      </c>
      <c r="AM277" s="315" t="e">
        <f>IF($J277="",#N/A,SUM(AK$4:AK277,AI$4:AI277,AG$4:AG277))</f>
        <v>#N/A</v>
      </c>
      <c r="AN277" s="304" t="str">
        <f t="shared" si="470"/>
        <v/>
      </c>
      <c r="AO277" s="313" t="e">
        <f>IF($J277="",#N/A,SUM(AN$4:AN277))</f>
        <v>#N/A</v>
      </c>
      <c r="AP277" s="314" t="str">
        <f t="shared" si="471"/>
        <v/>
      </c>
      <c r="AQ277" s="314" t="e">
        <f>IF($J277="",#N/A,SUM(AP$4:AP277))</f>
        <v>#N/A</v>
      </c>
      <c r="AR277" s="315" t="str">
        <f t="shared" si="472"/>
        <v/>
      </c>
      <c r="AS277" s="315" t="e">
        <f>IF($J277="",#N/A,SUM(AR$4:AR277))</f>
        <v>#N/A</v>
      </c>
      <c r="AT277" s="315" t="e">
        <f>IF($J277="",#N/A,SUM(AR$4:AR277,AP$4:AP277,AN$4:AN277))</f>
        <v>#N/A</v>
      </c>
      <c r="AU277" s="304" t="str">
        <f t="shared" si="473"/>
        <v/>
      </c>
      <c r="AV277" s="313" t="e">
        <f>IF($J277="",#N/A,SUM(AU$4:AU277))</f>
        <v>#N/A</v>
      </c>
      <c r="AW277" s="314" t="str">
        <f t="shared" si="474"/>
        <v/>
      </c>
      <c r="AX277" s="314" t="e">
        <f>IF($J277="",#N/A,SUM(AW$4:AW277))</f>
        <v>#N/A</v>
      </c>
      <c r="AY277" s="315" t="str">
        <f t="shared" si="475"/>
        <v/>
      </c>
      <c r="AZ277" s="315" t="e">
        <f>IF($J277="",#N/A,SUM(AY$4:AY277))</f>
        <v>#N/A</v>
      </c>
      <c r="BA277" s="315" t="e">
        <f>IF($J277="",#N/A,SUM(AY$4:AY277,AW$4:AW277,AU$4:AU277))</f>
        <v>#N/A</v>
      </c>
      <c r="BB277" s="304" t="str">
        <f t="shared" si="476"/>
        <v/>
      </c>
      <c r="BC277" s="313" t="e">
        <f>IF($J277="",#N/A,SUM(BB$4:BB277))</f>
        <v>#N/A</v>
      </c>
      <c r="BD277" s="314" t="str">
        <f t="shared" si="477"/>
        <v/>
      </c>
      <c r="BE277" s="314" t="e">
        <f>IF($J277="",#N/A,SUM(BD$4:BD277))</f>
        <v>#N/A</v>
      </c>
      <c r="BF277" s="315" t="str">
        <f t="shared" si="478"/>
        <v/>
      </c>
      <c r="BG277" s="315" t="e">
        <f>IF($J277="",#N/A,SUM(BF$4:BF277))</f>
        <v>#N/A</v>
      </c>
      <c r="BH277" s="315" t="e">
        <f>IF($J277="",#N/A,SUM(BF$4:BF277,BD$4:BD277,BB$4:BB277))</f>
        <v>#N/A</v>
      </c>
      <c r="BI277" s="304" t="str">
        <f t="shared" si="479"/>
        <v/>
      </c>
      <c r="BJ277" s="313" t="e">
        <f>IF($J277="",#N/A,SUM(BI$4:BI277))</f>
        <v>#N/A</v>
      </c>
      <c r="BK277" s="314" t="str">
        <f t="shared" si="480"/>
        <v/>
      </c>
      <c r="BL277" s="314" t="e">
        <f>IF($J277="",#N/A,SUM(BK$4:BK277))</f>
        <v>#N/A</v>
      </c>
      <c r="BM277" s="315" t="str">
        <f t="shared" si="481"/>
        <v/>
      </c>
      <c r="BN277" s="315" t="e">
        <f>IF($J277="",#N/A,SUM(BM$4:BM277))</f>
        <v>#N/A</v>
      </c>
      <c r="BO277" s="315" t="e">
        <f>IF($J277="",#N/A,SUM(BM$4:BM277,BK$4:BK277,BI$4:BI277))</f>
        <v>#N/A</v>
      </c>
      <c r="BP277" s="304" t="str">
        <f t="shared" si="482"/>
        <v/>
      </c>
      <c r="BQ277" s="313" t="e">
        <f>IF($J277="",#N/A,SUM(BP$4:BP277))</f>
        <v>#N/A</v>
      </c>
      <c r="BR277" s="314" t="str">
        <f t="shared" si="483"/>
        <v/>
      </c>
      <c r="BS277" s="314" t="e">
        <f>IF($J277="",#N/A,SUM(BR$4:BR277))</f>
        <v>#N/A</v>
      </c>
      <c r="BT277" s="315" t="str">
        <f t="shared" si="484"/>
        <v/>
      </c>
      <c r="BU277" s="315" t="e">
        <f>IF($J277="",#N/A,SUM(BT$4:BT277))</f>
        <v>#N/A</v>
      </c>
      <c r="BV277" s="315" t="e">
        <f>IF($J277="",#N/A,SUM(BT$4:BT277,BR$4:BR277,BP$4:BP277))</f>
        <v>#N/A</v>
      </c>
      <c r="BW277" s="304" t="str">
        <f t="shared" si="485"/>
        <v/>
      </c>
      <c r="BX277" s="313" t="e">
        <f>IF($J277="",#N/A,SUM(BW$4:BW277))</f>
        <v>#N/A</v>
      </c>
      <c r="BY277" s="314" t="str">
        <f t="shared" si="486"/>
        <v/>
      </c>
      <c r="BZ277" s="314" t="e">
        <f>IF($J277="",#N/A,SUM(BY$4:BY277))</f>
        <v>#N/A</v>
      </c>
      <c r="CA277" s="315">
        <f t="shared" si="487"/>
        <v>-0.25180988353792738</v>
      </c>
      <c r="CB277" s="315" t="e">
        <f>IF($J277="",#N/A,SUM(CA$4:CA277))</f>
        <v>#N/A</v>
      </c>
      <c r="CC277" s="315" t="e">
        <f>IF($J277="",#N/A,SUM(CA$4:CA277,BY$4:BY277,BW$4:BW277))</f>
        <v>#N/A</v>
      </c>
      <c r="CD277" s="304" t="str">
        <f t="shared" si="488"/>
        <v/>
      </c>
      <c r="CE277" s="313" t="e">
        <f>IF($J277="",#N/A,SUM(CD$4:CD277))</f>
        <v>#N/A</v>
      </c>
      <c r="CF277" s="314" t="str">
        <f t="shared" si="489"/>
        <v/>
      </c>
      <c r="CG277" s="314" t="e">
        <f>IF($J277="",#N/A,SUM(CF$4:CF277))</f>
        <v>#N/A</v>
      </c>
      <c r="CH277" s="315" t="str">
        <f t="shared" si="490"/>
        <v/>
      </c>
      <c r="CI277" s="315" t="e">
        <f>IF($J277="",#N/A,SUM(CH$4:CH277))</f>
        <v>#N/A</v>
      </c>
      <c r="CJ277" s="315" t="e">
        <f>IF($J277="",#N/A,SUM(CH$4:CH277,CF$4:CF277,CD$4:CD277))</f>
        <v>#N/A</v>
      </c>
      <c r="CK277" s="304" t="str">
        <f t="shared" si="491"/>
        <v/>
      </c>
      <c r="CL277" s="313" t="e">
        <f>IF($J277="",#N/A,SUM(CK$4:CK277))</f>
        <v>#N/A</v>
      </c>
      <c r="CM277" s="314" t="str">
        <f t="shared" si="492"/>
        <v/>
      </c>
      <c r="CN277" s="314" t="e">
        <f>IF($J277="",#N/A,SUM(CM$4:CM277))</f>
        <v>#N/A</v>
      </c>
      <c r="CO277" s="315" t="str">
        <f t="shared" si="493"/>
        <v/>
      </c>
      <c r="CP277" s="315" t="e">
        <f>IF($J277="",#N/A,SUM(CO$4:CO277))</f>
        <v>#N/A</v>
      </c>
      <c r="CQ277" s="315" t="e">
        <f>IF($J277="",#N/A,SUM(CO$4:CO277,CM$4:CM277,CK$4:CK277))</f>
        <v>#N/A</v>
      </c>
      <c r="CR277" s="304" t="str">
        <f t="shared" si="494"/>
        <v/>
      </c>
      <c r="CS277" s="313" t="e">
        <f>IF($J277="",#N/A,SUM(CR$4:CR277))</f>
        <v>#N/A</v>
      </c>
      <c r="CT277" s="314" t="str">
        <f t="shared" si="495"/>
        <v/>
      </c>
      <c r="CU277" s="314" t="e">
        <f>IF($J277="",#N/A,SUM(CT$4:CT277))</f>
        <v>#N/A</v>
      </c>
      <c r="CV277" s="315" t="str">
        <f t="shared" si="496"/>
        <v/>
      </c>
      <c r="CW277" s="315" t="e">
        <f>IF($J277="",#N/A,SUM(CV$4:CV277))</f>
        <v>#N/A</v>
      </c>
      <c r="CX277" s="315" t="e">
        <f>IF($J277="",#N/A,SUM(CV$4:CV277,CT$4:CT277,CR$4:CR277))</f>
        <v>#N/A</v>
      </c>
      <c r="CY277" s="304" t="str">
        <f t="shared" si="497"/>
        <v/>
      </c>
      <c r="CZ277" s="313" t="e">
        <f>IF($J277="",#N/A,SUM(CY$4:CY277))</f>
        <v>#N/A</v>
      </c>
      <c r="DA277" s="314" t="str">
        <f t="shared" si="498"/>
        <v/>
      </c>
      <c r="DB277" s="314" t="e">
        <f>IF($J277="",#N/A,SUM(DA$4:DA277))</f>
        <v>#N/A</v>
      </c>
      <c r="DC277" s="315" t="str">
        <f t="shared" si="499"/>
        <v/>
      </c>
      <c r="DD277" s="315" t="e">
        <f>IF($J277="",#N/A,SUM(DC$4:DC277))</f>
        <v>#N/A</v>
      </c>
      <c r="DE277" s="315" t="e">
        <f>IF($J277="",#N/A,SUM(DC$4:DC277,DA$4:DA277,CY$4:CY277))</f>
        <v>#N/A</v>
      </c>
      <c r="DF277" s="304" t="str">
        <f t="shared" si="500"/>
        <v/>
      </c>
      <c r="DG277" s="313" t="e">
        <f>IF($J277="",#N/A,SUM(DF$4:DF277))</f>
        <v>#N/A</v>
      </c>
      <c r="DH277" s="314" t="str">
        <f t="shared" si="501"/>
        <v/>
      </c>
      <c r="DI277" s="314" t="e">
        <f>IF($J277="",#N/A,SUM(DH$4:DH277))</f>
        <v>#N/A</v>
      </c>
      <c r="DJ277" s="315" t="str">
        <f t="shared" si="502"/>
        <v/>
      </c>
      <c r="DK277" s="315" t="e">
        <f>IF($J277="",#N/A,SUM(DJ$4:DJ277))</f>
        <v>#N/A</v>
      </c>
      <c r="DL277" s="315" t="e">
        <f>IF($J277="",#N/A,SUM(DJ$4:DJ277,DH$4:DH277,DF$4:DF277))</f>
        <v>#N/A</v>
      </c>
      <c r="DM277" s="304" t="str">
        <f t="shared" si="503"/>
        <v/>
      </c>
      <c r="DN277" s="313" t="e">
        <f>IF($J277="",#N/A,SUM(DM$4:DM277))</f>
        <v>#N/A</v>
      </c>
      <c r="DO277" s="314" t="str">
        <f t="shared" si="504"/>
        <v/>
      </c>
      <c r="DP277" s="314" t="e">
        <f>IF($J277="",#N/A,SUM(DO$4:DO277))</f>
        <v>#N/A</v>
      </c>
      <c r="DQ277" s="315" t="str">
        <f t="shared" si="505"/>
        <v/>
      </c>
      <c r="DR277" s="315" t="e">
        <f>IF($J277="",#N/A,SUM(DQ$4:DQ277))</f>
        <v>#N/A</v>
      </c>
      <c r="DS277" s="315" t="e">
        <f>IF($J277="",#N/A,SUM(DQ$4:DQ277,DO$4:DO277,DM$4:DM277))</f>
        <v>#N/A</v>
      </c>
      <c r="DT277" s="304" t="str">
        <f t="shared" si="506"/>
        <v/>
      </c>
      <c r="DU277" s="313" t="e">
        <f>IF($J277="",#N/A,SUM(DT$4:DT277))</f>
        <v>#N/A</v>
      </c>
      <c r="DV277" s="314" t="str">
        <f t="shared" si="507"/>
        <v/>
      </c>
      <c r="DW277" s="314" t="e">
        <f>IF($J277="",#N/A,SUM(DV$4:DV277))</f>
        <v>#N/A</v>
      </c>
      <c r="DX277" s="315" t="str">
        <f t="shared" si="508"/>
        <v/>
      </c>
      <c r="DY277" s="315" t="e">
        <f>IF($J277="",#N/A,SUM(DX$4:DX277))</f>
        <v>#N/A</v>
      </c>
      <c r="DZ277" s="315" t="e">
        <f>IF($J277="",#N/A,SUM(DX$4:DX277,DV$4:DV277,DT$4:DT277))</f>
        <v>#N/A</v>
      </c>
      <c r="EA277" s="304" t="str">
        <f t="shared" si="509"/>
        <v/>
      </c>
      <c r="EB277" s="313" t="e">
        <f>IF($J277="",#N/A,SUM(EA$4:EA277))</f>
        <v>#N/A</v>
      </c>
      <c r="EC277" s="314" t="str">
        <f t="shared" si="510"/>
        <v/>
      </c>
      <c r="ED277" s="314" t="e">
        <f>IF($J277="",#N/A,SUM(EC$4:EC277))</f>
        <v>#N/A</v>
      </c>
      <c r="EE277" s="315" t="str">
        <f t="shared" si="511"/>
        <v/>
      </c>
      <c r="EF277" s="315" t="e">
        <f>IF($J277="",#N/A,SUM(EE$4:EE277))</f>
        <v>#N/A</v>
      </c>
      <c r="EG277" s="315" t="e">
        <f>IF($J277="",#N/A,SUM(EE$4:EE277,EC$4:EC277,EA$4:EA277))</f>
        <v>#N/A</v>
      </c>
      <c r="EH277" s="130">
        <f t="shared" si="512"/>
        <v>-22.399999999999864</v>
      </c>
      <c r="EI277" s="63">
        <f>IF(EH277="",#N/A,SUM($EH$4:EH277))</f>
        <v>1361.4400842452935</v>
      </c>
      <c r="EJ277" s="223" t="e">
        <f t="shared" si="513"/>
        <v>#N/A</v>
      </c>
      <c r="EK277" s="63" t="e">
        <f>IF($GZ277="",#N/A,SUM(EJ$4:EJ277))</f>
        <v>#N/A</v>
      </c>
      <c r="EL277" s="60">
        <f t="shared" si="544"/>
        <v>-0.25180988353792738</v>
      </c>
      <c r="EM277" s="60">
        <f>IF(EL277="",NA(),SUM($EL$4:EL277))</f>
        <v>44.236648525011972</v>
      </c>
      <c r="EN277" s="60" t="str">
        <f t="shared" si="514"/>
        <v/>
      </c>
      <c r="EO277" s="60" t="e">
        <f>IF(EN277="",NA(),SUM($EN$4:EN277))</f>
        <v>#N/A</v>
      </c>
      <c r="EP277" s="60">
        <f t="shared" si="515"/>
        <v>-0.25180988353792738</v>
      </c>
      <c r="EQ277" s="60">
        <f>IF(EP277="",NA(),SUM($EP$4:EP277))</f>
        <v>10.816665353554596</v>
      </c>
      <c r="ER277" s="60" t="str">
        <f t="shared" si="516"/>
        <v/>
      </c>
      <c r="ES277" s="60" t="e">
        <f>IF(ER277="",NA(),SUM($ER$4:ER277))</f>
        <v>#N/A</v>
      </c>
      <c r="ET277" s="60" t="str">
        <f t="shared" si="517"/>
        <v/>
      </c>
      <c r="EU277" s="60" t="e">
        <f>IF(ET277="",NA(),SUM($ET$4:ET277))</f>
        <v>#N/A</v>
      </c>
      <c r="EV277" s="60" t="str">
        <f t="shared" si="518"/>
        <v/>
      </c>
      <c r="EW277" s="60" t="e">
        <f>IF(EV277="",NA(),SUM($EV$4:EV277))</f>
        <v>#N/A</v>
      </c>
      <c r="EX277" s="60" t="str">
        <f t="shared" si="519"/>
        <v/>
      </c>
      <c r="EY277" s="60" t="e">
        <f>IF(EX277="",NA(),SUM($EX$4:EX277))</f>
        <v>#N/A</v>
      </c>
      <c r="EZ277" s="60" t="str">
        <f t="shared" si="520"/>
        <v/>
      </c>
      <c r="FA277" s="60" t="e">
        <f>IF(EZ277="",NA(),SUM($EZ$4:EZ277))</f>
        <v>#N/A</v>
      </c>
      <c r="FB277" s="246" t="str">
        <f t="shared" si="545"/>
        <v/>
      </c>
      <c r="FC277" s="246" t="e">
        <f>IF($FB277="",#N/A,SUM(FB$4:$FB277))</f>
        <v>#N/A</v>
      </c>
      <c r="FD277" s="60" t="str">
        <f t="shared" si="521"/>
        <v/>
      </c>
      <c r="FE277" s="60" t="e">
        <f>IF($FD277="",#N/A,SUM($FD$4:FD277))</f>
        <v>#N/A</v>
      </c>
      <c r="FF277" s="60" t="str">
        <f t="shared" si="522"/>
        <v/>
      </c>
      <c r="FG277" s="60" t="e">
        <f>IF($FF277="",#N/A,SUM($FF$4:FF277))</f>
        <v>#N/A</v>
      </c>
      <c r="FH277" s="60" t="str">
        <f t="shared" si="523"/>
        <v/>
      </c>
      <c r="FI277" s="60" t="e">
        <f>IF($FH277="",#N/A,SUM($FH$4:FH277))</f>
        <v>#N/A</v>
      </c>
      <c r="FJ277" s="60" t="str">
        <f t="shared" si="524"/>
        <v/>
      </c>
      <c r="FK277" s="60" t="e">
        <f>IF($FJ277="",#N/A,SUM($FJ$4:FJ277))</f>
        <v>#N/A</v>
      </c>
      <c r="FL277" s="60">
        <f t="shared" si="525"/>
        <v>-1.0589504923782549</v>
      </c>
      <c r="FM277" s="60">
        <f>IF($FL277="",#N/A,SUM($FL$4:FL277))</f>
        <v>-0.33444962199075268</v>
      </c>
      <c r="FN277" s="82">
        <f t="shared" si="526"/>
        <v>-1.3107603759161823</v>
      </c>
      <c r="FO277" s="82">
        <f>IF($FN277="",#N/A,SUM(FN$4:$FN277))</f>
        <v>55.876994577735509</v>
      </c>
      <c r="FP277" s="82">
        <f t="shared" si="546"/>
        <v>-0.25180988353792738</v>
      </c>
      <c r="FQ277" s="246">
        <f>IF($EH277="",#N/A,SUM($FP$4:FP277))</f>
        <v>53.68828373335343</v>
      </c>
      <c r="FR277" s="82">
        <f>IFERROR(FQ277/COUNTA($J$4:J277),#N/A)</f>
        <v>0.19594264136260375</v>
      </c>
      <c r="FS277" s="82">
        <f t="shared" si="448"/>
        <v>0.4040732539316137</v>
      </c>
      <c r="FT277" s="82">
        <f t="shared" si="449"/>
        <v>0.50092777413475231</v>
      </c>
      <c r="FU277" s="338">
        <f t="shared" si="551"/>
        <v>31.019083278468166</v>
      </c>
      <c r="FV277" s="57" t="str">
        <f t="shared" si="527"/>
        <v>SW</v>
      </c>
      <c r="FW277" s="57" t="s">
        <v>2732</v>
      </c>
      <c r="FX277" s="57" t="str">
        <f t="shared" si="528"/>
        <v/>
      </c>
      <c r="FY277" s="57" t="str">
        <f t="shared" si="529"/>
        <v/>
      </c>
      <c r="FZ277" s="57" t="str">
        <f t="shared" si="530"/>
        <v/>
      </c>
      <c r="GA277" s="57" t="str">
        <f t="shared" si="531"/>
        <v>Long</v>
      </c>
      <c r="GB277" s="57" t="str">
        <f t="shared" si="532"/>
        <v/>
      </c>
      <c r="GC277" s="57" t="str">
        <f t="shared" si="533"/>
        <v/>
      </c>
      <c r="GD277" s="57">
        <f t="shared" si="534"/>
        <v>1</v>
      </c>
      <c r="GE277" s="62">
        <f t="shared" si="451"/>
        <v>74.13</v>
      </c>
      <c r="GF277" s="62" t="s">
        <v>2779</v>
      </c>
      <c r="GG277" s="199">
        <v>20</v>
      </c>
      <c r="GH277" s="207">
        <f t="shared" si="535"/>
        <v>1482.6</v>
      </c>
      <c r="GI277" s="199">
        <v>20</v>
      </c>
      <c r="GJ277" s="200">
        <v>73.010000000000005</v>
      </c>
      <c r="GK277" s="63">
        <f t="shared" si="536"/>
        <v>-22.399999999999864</v>
      </c>
      <c r="GL277" s="63">
        <f t="shared" si="452"/>
        <v>-116.59999999999991</v>
      </c>
      <c r="GM277" s="82">
        <f t="shared" si="537"/>
        <v>-1.3107603759161823</v>
      </c>
      <c r="GN277" s="82">
        <f>IF($GZ277="",#N/A,SUM(GM$4:GM277))</f>
        <v>4.4439560177620674</v>
      </c>
      <c r="GO277" s="82" t="str">
        <f t="shared" si="538"/>
        <v/>
      </c>
      <c r="GP277" s="82">
        <f>IF($GZ277="",#N/A,SUM(GO$4:GO277))</f>
        <v>15.291798081229167</v>
      </c>
      <c r="GQ277" s="82" t="str">
        <f t="shared" si="539"/>
        <v/>
      </c>
      <c r="GR277" s="82">
        <f>IF($GZ277="",#N/A,SUM(GQ$4:GQ277))</f>
        <v>35.515403524301945</v>
      </c>
      <c r="GS277" s="63" t="e">
        <f t="shared" si="548"/>
        <v>#N/A</v>
      </c>
      <c r="GT277" s="63" t="e">
        <f>IF($GZ277="",#N/A,SUM(GS$4:GS277))</f>
        <v>#N/A</v>
      </c>
      <c r="GU277" s="63" t="str">
        <f t="shared" si="549"/>
        <v/>
      </c>
      <c r="GV277" s="63" t="e">
        <f>IF($GZ277="",#N/A,SUM(GU$4:GU277))</f>
        <v>#N/A</v>
      </c>
      <c r="GW277" s="63" t="str">
        <f t="shared" si="550"/>
        <v/>
      </c>
      <c r="GX277" s="63" t="e">
        <f>IF($GZ277="",#N/A,SUM(GW$4:GW277))</f>
        <v>#N/A</v>
      </c>
      <c r="GY277" s="63" t="e">
        <f>IF(EJ277="",#N/A,SUM($EJ$4:EJ277))</f>
        <v>#N/A</v>
      </c>
      <c r="GZ277" s="158">
        <v>68.3</v>
      </c>
      <c r="HA277" s="63">
        <f t="shared" si="540"/>
        <v>-94.200000000000045</v>
      </c>
      <c r="HB277" s="62" t="s">
        <v>2538</v>
      </c>
      <c r="HC277" s="60">
        <f>IFERROR(VLOOKUP(E277,Expectancy!$P$4:$S$19,1+C277,FALSE),"")</f>
        <v>-0.15084750675779673</v>
      </c>
      <c r="HD277" s="82">
        <f t="shared" si="541"/>
        <v>-0.25180988353792738</v>
      </c>
      <c r="HE277" s="138">
        <f>IF(HD277="",#N/A,SUM($HD$4:HD277))</f>
        <v>8.1392004548852626</v>
      </c>
      <c r="HF277" s="85">
        <f>IF(HD277="",#N/A,IF(HB277="Skip",#N/A,SUM($HG$4:HG277)))</f>
        <v>216.36657921915474</v>
      </c>
      <c r="HG277" s="63">
        <f t="shared" si="542"/>
        <v>-22.399999999999864</v>
      </c>
      <c r="HH277" s="82">
        <f t="shared" si="543"/>
        <v>-1.3107603759161823</v>
      </c>
    </row>
    <row r="278" spans="1:216" x14ac:dyDescent="0.25">
      <c r="A278" s="57" t="s">
        <v>1453</v>
      </c>
      <c r="B278" s="58" t="s">
        <v>5171</v>
      </c>
      <c r="C278" s="386">
        <f t="shared" si="453"/>
        <v>2</v>
      </c>
      <c r="D278" s="372" t="str">
        <f>_xlfn.XLOOKUP(A278,[1]SP500!$A$2:$A$502,[1]SP500!$D$2:$D$502,"N")</f>
        <v>Y</v>
      </c>
      <c r="E278" s="57" t="str">
        <f>_xlfn.XLOOKUP(A278,[1]SP500!$A$2:$A$655,[1]SP500!$B$2:$B$655)</f>
        <v>INS</v>
      </c>
      <c r="F278" s="59">
        <v>45698</v>
      </c>
      <c r="G278" s="57" t="str">
        <f t="shared" si="454"/>
        <v>AMC</v>
      </c>
      <c r="H278" s="57" t="str">
        <f t="shared" si="455"/>
        <v>s</v>
      </c>
      <c r="I278" s="159">
        <v>91.46</v>
      </c>
      <c r="J278" s="158">
        <v>89.5</v>
      </c>
      <c r="K278" s="61">
        <f t="shared" si="456"/>
        <v>-2.1430133391646556E-2</v>
      </c>
      <c r="L278" s="87">
        <f t="shared" si="457"/>
        <v>31.3599999999999</v>
      </c>
      <c r="M278" s="130">
        <f t="shared" si="450"/>
        <v>0</v>
      </c>
      <c r="N278" s="169" t="str">
        <f t="shared" si="458"/>
        <v/>
      </c>
      <c r="O278" s="169">
        <f>IF($J278="",#N/A,SUM($N$4:N278))</f>
        <v>451.02671935422518</v>
      </c>
      <c r="P278" s="174">
        <f t="shared" si="459"/>
        <v>31.3599999999999</v>
      </c>
      <c r="Q278" s="174">
        <f>IF($J278="",#N/A,SUM($P$4:P278))</f>
        <v>660.43890674734109</v>
      </c>
      <c r="R278" s="178" t="str">
        <f t="shared" si="460"/>
        <v/>
      </c>
      <c r="S278" s="178">
        <f>IF($J278="",#N/A,SUM($R$4:R278))</f>
        <v>281.33445814372703</v>
      </c>
      <c r="T278" s="290" t="str">
        <f t="shared" si="461"/>
        <v/>
      </c>
      <c r="U278" s="290">
        <f>IF($J278="",#N/A,SUM($T$4:T278))</f>
        <v>17.579398395902857</v>
      </c>
      <c r="V278" s="291">
        <f t="shared" si="462"/>
        <v>0.35716888986077588</v>
      </c>
      <c r="W278" s="291">
        <f>IF($J278="",#N/A,SUM($V$4:V278))</f>
        <v>26.320003289526458</v>
      </c>
      <c r="X278" s="292" t="str">
        <f t="shared" si="463"/>
        <v/>
      </c>
      <c r="Y278" s="292">
        <f>IF($J278="",#N/A,SUM($X$4:X278))</f>
        <v>10.146050937784912</v>
      </c>
      <c r="Z278" s="304" t="str">
        <f t="shared" si="464"/>
        <v/>
      </c>
      <c r="AA278" s="313" t="e">
        <f>IF($J278="",#N/A,SUM(Z$4:Z278))</f>
        <v>#N/A</v>
      </c>
      <c r="AB278" s="314" t="str">
        <f t="shared" si="465"/>
        <v/>
      </c>
      <c r="AC278" s="314" t="e">
        <f>IF($J278="",#N/A,SUM(AB$4:AB278))</f>
        <v>#N/A</v>
      </c>
      <c r="AD278" s="315" t="str">
        <f t="shared" si="466"/>
        <v/>
      </c>
      <c r="AE278" s="315" t="e">
        <f>IF($J278="",#N/A,SUM(AD$4:AD278))</f>
        <v>#N/A</v>
      </c>
      <c r="AF278" s="315" t="e">
        <f>IF($J278="",#N/A,SUM(AD$4:AD278,AB$4:AB278,Z$4:Z278))</f>
        <v>#N/A</v>
      </c>
      <c r="AG278" s="304" t="str">
        <f t="shared" si="467"/>
        <v/>
      </c>
      <c r="AH278" s="313" t="e">
        <f>IF($J278="",#N/A,SUM(AG$4:AG278))</f>
        <v>#N/A</v>
      </c>
      <c r="AI278" s="314" t="str">
        <f t="shared" si="468"/>
        <v/>
      </c>
      <c r="AJ278" s="314" t="e">
        <f>IF($J278="",#N/A,SUM(AI$4:AI278))</f>
        <v>#N/A</v>
      </c>
      <c r="AK278" s="315" t="str">
        <f t="shared" si="469"/>
        <v/>
      </c>
      <c r="AL278" s="315" t="e">
        <f>IF($J278="",#N/A,SUM(AK$4:AK278))</f>
        <v>#N/A</v>
      </c>
      <c r="AM278" s="315" t="e">
        <f>IF($J278="",#N/A,SUM(AK$4:AK278,AI$4:AI278,AG$4:AG278))</f>
        <v>#N/A</v>
      </c>
      <c r="AN278" s="304" t="str">
        <f t="shared" si="470"/>
        <v/>
      </c>
      <c r="AO278" s="313" t="e">
        <f>IF($J278="",#N/A,SUM(AN$4:AN278))</f>
        <v>#N/A</v>
      </c>
      <c r="AP278" s="314" t="str">
        <f t="shared" si="471"/>
        <v/>
      </c>
      <c r="AQ278" s="314" t="e">
        <f>IF($J278="",#N/A,SUM(AP$4:AP278))</f>
        <v>#N/A</v>
      </c>
      <c r="AR278" s="315" t="str">
        <f t="shared" si="472"/>
        <v/>
      </c>
      <c r="AS278" s="315" t="e">
        <f>IF($J278="",#N/A,SUM(AR$4:AR278))</f>
        <v>#N/A</v>
      </c>
      <c r="AT278" s="315" t="e">
        <f>IF($J278="",#N/A,SUM(AR$4:AR278,AP$4:AP278,AN$4:AN278))</f>
        <v>#N/A</v>
      </c>
      <c r="AU278" s="304" t="str">
        <f t="shared" si="473"/>
        <v/>
      </c>
      <c r="AV278" s="313" t="e">
        <f>IF($J278="",#N/A,SUM(AU$4:AU278))</f>
        <v>#N/A</v>
      </c>
      <c r="AW278" s="314" t="str">
        <f t="shared" si="474"/>
        <v/>
      </c>
      <c r="AX278" s="314" t="e">
        <f>IF($J278="",#N/A,SUM(AW$4:AW278))</f>
        <v>#N/A</v>
      </c>
      <c r="AY278" s="315" t="str">
        <f t="shared" si="475"/>
        <v/>
      </c>
      <c r="AZ278" s="315" t="e">
        <f>IF($J278="",#N/A,SUM(AY$4:AY278))</f>
        <v>#N/A</v>
      </c>
      <c r="BA278" s="315" t="e">
        <f>IF($J278="",#N/A,SUM(AY$4:AY278,AW$4:AW278,AU$4:AU278))</f>
        <v>#N/A</v>
      </c>
      <c r="BB278" s="304" t="str">
        <f t="shared" si="476"/>
        <v/>
      </c>
      <c r="BC278" s="313" t="e">
        <f>IF($J278="",#N/A,SUM(BB$4:BB278))</f>
        <v>#N/A</v>
      </c>
      <c r="BD278" s="314" t="str">
        <f t="shared" si="477"/>
        <v/>
      </c>
      <c r="BE278" s="314" t="e">
        <f>IF($J278="",#N/A,SUM(BD$4:BD278))</f>
        <v>#N/A</v>
      </c>
      <c r="BF278" s="315" t="str">
        <f t="shared" si="478"/>
        <v/>
      </c>
      <c r="BG278" s="315" t="e">
        <f>IF($J278="",#N/A,SUM(BF$4:BF278))</f>
        <v>#N/A</v>
      </c>
      <c r="BH278" s="315" t="e">
        <f>IF($J278="",#N/A,SUM(BF$4:BF278,BD$4:BD278,BB$4:BB278))</f>
        <v>#N/A</v>
      </c>
      <c r="BI278" s="304" t="str">
        <f t="shared" si="479"/>
        <v/>
      </c>
      <c r="BJ278" s="313" t="e">
        <f>IF($J278="",#N/A,SUM(BI$4:BI278))</f>
        <v>#N/A</v>
      </c>
      <c r="BK278" s="314" t="str">
        <f t="shared" si="480"/>
        <v/>
      </c>
      <c r="BL278" s="314" t="e">
        <f>IF($J278="",#N/A,SUM(BK$4:BK278))</f>
        <v>#N/A</v>
      </c>
      <c r="BM278" s="315" t="str">
        <f t="shared" si="481"/>
        <v/>
      </c>
      <c r="BN278" s="315" t="e">
        <f>IF($J278="",#N/A,SUM(BM$4:BM278))</f>
        <v>#N/A</v>
      </c>
      <c r="BO278" s="315" t="e">
        <f>IF($J278="",#N/A,SUM(BM$4:BM278,BK$4:BK278,BI$4:BI278))</f>
        <v>#N/A</v>
      </c>
      <c r="BP278" s="304" t="str">
        <f t="shared" si="482"/>
        <v/>
      </c>
      <c r="BQ278" s="313" t="e">
        <f>IF($J278="",#N/A,SUM(BP$4:BP278))</f>
        <v>#N/A</v>
      </c>
      <c r="BR278" s="314" t="str">
        <f t="shared" si="483"/>
        <v/>
      </c>
      <c r="BS278" s="314" t="e">
        <f>IF($J278="",#N/A,SUM(BR$4:BR278))</f>
        <v>#N/A</v>
      </c>
      <c r="BT278" s="315" t="str">
        <f t="shared" si="484"/>
        <v/>
      </c>
      <c r="BU278" s="315" t="e">
        <f>IF($J278="",#N/A,SUM(BT$4:BT278))</f>
        <v>#N/A</v>
      </c>
      <c r="BV278" s="315" t="e">
        <f>IF($J278="",#N/A,SUM(BT$4:BT278,BR$4:BR278,BP$4:BP278))</f>
        <v>#N/A</v>
      </c>
      <c r="BW278" s="304" t="str">
        <f t="shared" si="485"/>
        <v/>
      </c>
      <c r="BX278" s="313" t="e">
        <f>IF($J278="",#N/A,SUM(BW$4:BW278))</f>
        <v>#N/A</v>
      </c>
      <c r="BY278" s="314" t="str">
        <f t="shared" si="486"/>
        <v/>
      </c>
      <c r="BZ278" s="314" t="e">
        <f>IF($J278="",#N/A,SUM(BY$4:BY278))</f>
        <v>#N/A</v>
      </c>
      <c r="CA278" s="315" t="str">
        <f t="shared" si="487"/>
        <v/>
      </c>
      <c r="CB278" s="315" t="e">
        <f>IF($J278="",#N/A,SUM(CA$4:CA278))</f>
        <v>#N/A</v>
      </c>
      <c r="CC278" s="315" t="e">
        <f>IF($J278="",#N/A,SUM(CA$4:CA278,BY$4:BY278,BW$4:BW278))</f>
        <v>#N/A</v>
      </c>
      <c r="CD278" s="304" t="str">
        <f t="shared" si="488"/>
        <v/>
      </c>
      <c r="CE278" s="313" t="e">
        <f>IF($J278="",#N/A,SUM(CD$4:CD278))</f>
        <v>#N/A</v>
      </c>
      <c r="CF278" s="314" t="str">
        <f t="shared" si="489"/>
        <v/>
      </c>
      <c r="CG278" s="314" t="e">
        <f>IF($J278="",#N/A,SUM(CF$4:CF278))</f>
        <v>#N/A</v>
      </c>
      <c r="CH278" s="315" t="str">
        <f t="shared" si="490"/>
        <v/>
      </c>
      <c r="CI278" s="315" t="e">
        <f>IF($J278="",#N/A,SUM(CH$4:CH278))</f>
        <v>#N/A</v>
      </c>
      <c r="CJ278" s="315" t="e">
        <f>IF($J278="",#N/A,SUM(CH$4:CH278,CF$4:CF278,CD$4:CD278))</f>
        <v>#N/A</v>
      </c>
      <c r="CK278" s="304" t="str">
        <f t="shared" si="491"/>
        <v/>
      </c>
      <c r="CL278" s="313" t="e">
        <f>IF($J278="",#N/A,SUM(CK$4:CK278))</f>
        <v>#N/A</v>
      </c>
      <c r="CM278" s="314" t="str">
        <f t="shared" si="492"/>
        <v/>
      </c>
      <c r="CN278" s="314" t="e">
        <f>IF($J278="",#N/A,SUM(CM$4:CM278))</f>
        <v>#N/A</v>
      </c>
      <c r="CO278" s="315" t="str">
        <f t="shared" si="493"/>
        <v/>
      </c>
      <c r="CP278" s="315" t="e">
        <f>IF($J278="",#N/A,SUM(CO$4:CO278))</f>
        <v>#N/A</v>
      </c>
      <c r="CQ278" s="315" t="e">
        <f>IF($J278="",#N/A,SUM(CO$4:CO278,CM$4:CM278,CK$4:CK278))</f>
        <v>#N/A</v>
      </c>
      <c r="CR278" s="304" t="str">
        <f t="shared" si="494"/>
        <v/>
      </c>
      <c r="CS278" s="313" t="e">
        <f>IF($J278="",#N/A,SUM(CR$4:CR278))</f>
        <v>#N/A</v>
      </c>
      <c r="CT278" s="314" t="str">
        <f t="shared" si="495"/>
        <v/>
      </c>
      <c r="CU278" s="314" t="e">
        <f>IF($J278="",#N/A,SUM(CT$4:CT278))</f>
        <v>#N/A</v>
      </c>
      <c r="CV278" s="315" t="str">
        <f t="shared" si="496"/>
        <v/>
      </c>
      <c r="CW278" s="315" t="e">
        <f>IF($J278="",#N/A,SUM(CV$4:CV278))</f>
        <v>#N/A</v>
      </c>
      <c r="CX278" s="315" t="e">
        <f>IF($J278="",#N/A,SUM(CV$4:CV278,CT$4:CT278,CR$4:CR278))</f>
        <v>#N/A</v>
      </c>
      <c r="CY278" s="304" t="str">
        <f t="shared" si="497"/>
        <v/>
      </c>
      <c r="CZ278" s="313" t="e">
        <f>IF($J278="",#N/A,SUM(CY$4:CY278))</f>
        <v>#N/A</v>
      </c>
      <c r="DA278" s="314" t="str">
        <f t="shared" si="498"/>
        <v/>
      </c>
      <c r="DB278" s="314" t="e">
        <f>IF($J278="",#N/A,SUM(DA$4:DA278))</f>
        <v>#N/A</v>
      </c>
      <c r="DC278" s="315" t="str">
        <f t="shared" si="499"/>
        <v/>
      </c>
      <c r="DD278" s="315" t="e">
        <f>IF($J278="",#N/A,SUM(DC$4:DC278))</f>
        <v>#N/A</v>
      </c>
      <c r="DE278" s="315" t="e">
        <f>IF($J278="",#N/A,SUM(DC$4:DC278,DA$4:DA278,CY$4:CY278))</f>
        <v>#N/A</v>
      </c>
      <c r="DF278" s="304" t="str">
        <f t="shared" si="500"/>
        <v/>
      </c>
      <c r="DG278" s="313" t="e">
        <f>IF($J278="",#N/A,SUM(DF$4:DF278))</f>
        <v>#N/A</v>
      </c>
      <c r="DH278" s="314" t="str">
        <f t="shared" si="501"/>
        <v/>
      </c>
      <c r="DI278" s="314" t="e">
        <f>IF($J278="",#N/A,SUM(DH$4:DH278))</f>
        <v>#N/A</v>
      </c>
      <c r="DJ278" s="315" t="str">
        <f t="shared" si="502"/>
        <v/>
      </c>
      <c r="DK278" s="315" t="e">
        <f>IF($J278="",#N/A,SUM(DJ$4:DJ278))</f>
        <v>#N/A</v>
      </c>
      <c r="DL278" s="315" t="e">
        <f>IF($J278="",#N/A,SUM(DJ$4:DJ278,DH$4:DH278,DF$4:DF278))</f>
        <v>#N/A</v>
      </c>
      <c r="DM278" s="304" t="str">
        <f t="shared" si="503"/>
        <v/>
      </c>
      <c r="DN278" s="313" t="e">
        <f>IF($J278="",#N/A,SUM(DM$4:DM278))</f>
        <v>#N/A</v>
      </c>
      <c r="DO278" s="314">
        <f t="shared" si="504"/>
        <v>0.35716888986077588</v>
      </c>
      <c r="DP278" s="314" t="e">
        <f>IF($J278="",#N/A,SUM(DO$4:DO278))</f>
        <v>#N/A</v>
      </c>
      <c r="DQ278" s="315" t="str">
        <f t="shared" si="505"/>
        <v/>
      </c>
      <c r="DR278" s="315" t="e">
        <f>IF($J278="",#N/A,SUM(DQ$4:DQ278))</f>
        <v>#N/A</v>
      </c>
      <c r="DS278" s="315" t="e">
        <f>IF($J278="",#N/A,SUM(DQ$4:DQ278,DO$4:DO278,DM$4:DM278))</f>
        <v>#N/A</v>
      </c>
      <c r="DT278" s="304" t="str">
        <f t="shared" si="506"/>
        <v/>
      </c>
      <c r="DU278" s="313" t="e">
        <f>IF($J278="",#N/A,SUM(DT$4:DT278))</f>
        <v>#N/A</v>
      </c>
      <c r="DV278" s="314" t="str">
        <f t="shared" si="507"/>
        <v/>
      </c>
      <c r="DW278" s="314" t="e">
        <f>IF($J278="",#N/A,SUM(DV$4:DV278))</f>
        <v>#N/A</v>
      </c>
      <c r="DX278" s="315" t="str">
        <f t="shared" si="508"/>
        <v/>
      </c>
      <c r="DY278" s="315" t="e">
        <f>IF($J278="",#N/A,SUM(DX$4:DX278))</f>
        <v>#N/A</v>
      </c>
      <c r="DZ278" s="315" t="e">
        <f>IF($J278="",#N/A,SUM(DX$4:DX278,DV$4:DV278,DT$4:DT278))</f>
        <v>#N/A</v>
      </c>
      <c r="EA278" s="304" t="str">
        <f t="shared" si="509"/>
        <v/>
      </c>
      <c r="EB278" s="313" t="e">
        <f>IF($J278="",#N/A,SUM(EA$4:EA278))</f>
        <v>#N/A</v>
      </c>
      <c r="EC278" s="314" t="str">
        <f t="shared" si="510"/>
        <v/>
      </c>
      <c r="ED278" s="314" t="e">
        <f>IF($J278="",#N/A,SUM(EC$4:EC278))</f>
        <v>#N/A</v>
      </c>
      <c r="EE278" s="315" t="str">
        <f t="shared" si="511"/>
        <v/>
      </c>
      <c r="EF278" s="315" t="e">
        <f>IF($J278="",#N/A,SUM(EE$4:EE278))</f>
        <v>#N/A</v>
      </c>
      <c r="EG278" s="315" t="e">
        <f>IF($J278="",#N/A,SUM(EE$4:EE278,EC$4:EC278,EA$4:EA278))</f>
        <v>#N/A</v>
      </c>
      <c r="EH278" s="130">
        <f t="shared" si="512"/>
        <v>31.3599999999999</v>
      </c>
      <c r="EI278" s="63">
        <f>IF(EH278="",#N/A,SUM($EH$4:EH278))</f>
        <v>1392.8000842452934</v>
      </c>
      <c r="EJ278" s="223" t="e">
        <f t="shared" si="513"/>
        <v>#N/A</v>
      </c>
      <c r="EK278" s="63" t="e">
        <f>IF($GZ278="",#N/A,SUM(EJ$4:EJ278))</f>
        <v>#N/A</v>
      </c>
      <c r="EL278" s="60">
        <f t="shared" si="544"/>
        <v>0.35716888986077588</v>
      </c>
      <c r="EM278" s="60">
        <f>IF(EL278="",NA(),SUM($EL$4:EL278))</f>
        <v>44.593817414872746</v>
      </c>
      <c r="EN278" s="60" t="str">
        <f t="shared" si="514"/>
        <v/>
      </c>
      <c r="EO278" s="60" t="e">
        <f>IF(EN278="",NA(),SUM($EN$4:EN278))</f>
        <v>#N/A</v>
      </c>
      <c r="EP278" s="60" t="str">
        <f t="shared" si="515"/>
        <v/>
      </c>
      <c r="EQ278" s="60" t="e">
        <f>IF(EP278="",NA(),SUM($EP$4:EP278))</f>
        <v>#N/A</v>
      </c>
      <c r="ER278" s="60">
        <f t="shared" si="516"/>
        <v>0.35716888986077588</v>
      </c>
      <c r="ES278" s="60">
        <f>IF(ER278="",NA(),SUM($ER$4:ER278))</f>
        <v>18.154460490066018</v>
      </c>
      <c r="ET278" s="60" t="str">
        <f t="shared" si="517"/>
        <v/>
      </c>
      <c r="EU278" s="60" t="e">
        <f>IF(ET278="",NA(),SUM($ET$4:ET278))</f>
        <v>#N/A</v>
      </c>
      <c r="EV278" s="60" t="str">
        <f t="shared" si="518"/>
        <v/>
      </c>
      <c r="EW278" s="60" t="e">
        <f>IF(EV278="",NA(),SUM($EV$4:EV278))</f>
        <v>#N/A</v>
      </c>
      <c r="EX278" s="60" t="str">
        <f t="shared" si="519"/>
        <v/>
      </c>
      <c r="EY278" s="60" t="e">
        <f>IF(EX278="",NA(),SUM($EX$4:EX278))</f>
        <v>#N/A</v>
      </c>
      <c r="EZ278" s="60" t="str">
        <f t="shared" si="520"/>
        <v/>
      </c>
      <c r="FA278" s="60" t="e">
        <f>IF(EZ278="",NA(),SUM($EZ$4:EZ278))</f>
        <v>#N/A</v>
      </c>
      <c r="FB278" s="246">
        <f t="shared" si="545"/>
        <v>-1.822290254391612E-2</v>
      </c>
      <c r="FC278" s="246">
        <f>IF($FB278="",#N/A,SUM(FB$4:$FB278))</f>
        <v>4.8057468993074526</v>
      </c>
      <c r="FD278" s="60" t="str">
        <f t="shared" si="521"/>
        <v/>
      </c>
      <c r="FE278" s="60" t="e">
        <f>IF($FD278="",#N/A,SUM($FD$4:FD278))</f>
        <v>#N/A</v>
      </c>
      <c r="FF278" s="60" t="str">
        <f t="shared" si="522"/>
        <v/>
      </c>
      <c r="FG278" s="60" t="e">
        <f>IF($FF278="",#N/A,SUM($FF$4:FF278))</f>
        <v>#N/A</v>
      </c>
      <c r="FH278" s="60" t="str">
        <f t="shared" si="523"/>
        <v/>
      </c>
      <c r="FI278" s="60" t="e">
        <f>IF($FH278="",#N/A,SUM($FH$4:FH278))</f>
        <v>#N/A</v>
      </c>
      <c r="FJ278" s="60" t="str">
        <f t="shared" si="524"/>
        <v/>
      </c>
      <c r="FK278" s="60" t="e">
        <f>IF($FJ278="",#N/A,SUM($FJ$4:FJ278))</f>
        <v>#N/A</v>
      </c>
      <c r="FL278" s="60" t="str">
        <f t="shared" si="525"/>
        <v/>
      </c>
      <c r="FM278" s="60" t="e">
        <f>IF($FL278="",#N/A,SUM($FL$4:FL278))</f>
        <v>#N/A</v>
      </c>
      <c r="FN278" s="82">
        <f t="shared" si="526"/>
        <v>0.33894598731685976</v>
      </c>
      <c r="FO278" s="82">
        <f>IF($FN278="",#N/A,SUM(FN$4:$FN278))</f>
        <v>56.215940565052371</v>
      </c>
      <c r="FP278" s="82">
        <f t="shared" si="546"/>
        <v>0.35716888986077588</v>
      </c>
      <c r="FQ278" s="246">
        <f>IF($EH278="",#N/A,SUM($FP$4:FP278))</f>
        <v>54.045452623214203</v>
      </c>
      <c r="FR278" s="82">
        <f>IFERROR(FQ278/COUNTA($J$4:J278),#N/A)</f>
        <v>0.19652891862986982</v>
      </c>
      <c r="FS278" s="82">
        <f t="shared" si="448"/>
        <v>0.41026567397852348</v>
      </c>
      <c r="FT278" s="82">
        <f t="shared" si="449"/>
        <v>0.54138850971378671</v>
      </c>
      <c r="FU278" s="338">
        <f t="shared" si="551"/>
        <v>31.019083278468159</v>
      </c>
      <c r="FV278" s="57" t="str">
        <f t="shared" si="527"/>
        <v>Dwn</v>
      </c>
      <c r="FW278" s="57" t="s">
        <v>2733</v>
      </c>
      <c r="FX278" s="57" t="str">
        <f t="shared" si="528"/>
        <v/>
      </c>
      <c r="FY278" s="57" t="str">
        <f t="shared" si="529"/>
        <v/>
      </c>
      <c r="FZ278" s="57" t="str">
        <f t="shared" si="530"/>
        <v/>
      </c>
      <c r="GA278" s="57" t="str">
        <f t="shared" si="531"/>
        <v>Short</v>
      </c>
      <c r="GB278" s="57">
        <f t="shared" si="532"/>
        <v>1</v>
      </c>
      <c r="GC278" s="57" t="str">
        <f t="shared" si="533"/>
        <v/>
      </c>
      <c r="GD278" s="57" t="str">
        <f t="shared" si="534"/>
        <v/>
      </c>
      <c r="GE278" s="62">
        <f t="shared" si="451"/>
        <v>91.46</v>
      </c>
      <c r="GF278" s="62" t="s">
        <v>2780</v>
      </c>
      <c r="GG278" s="199">
        <v>16</v>
      </c>
      <c r="GH278" s="207">
        <f t="shared" si="535"/>
        <v>1463.36</v>
      </c>
      <c r="GI278" s="199">
        <v>16</v>
      </c>
      <c r="GJ278" s="200">
        <v>89.5</v>
      </c>
      <c r="GK278" s="63">
        <f t="shared" si="536"/>
        <v>31.3599999999999</v>
      </c>
      <c r="GL278" s="63">
        <f t="shared" si="452"/>
        <v>29.759999999999991</v>
      </c>
      <c r="GM278" s="82" t="str">
        <f t="shared" si="537"/>
        <v/>
      </c>
      <c r="GN278" s="82">
        <f>IF($GZ278="",#N/A,SUM(GM$4:GM278))</f>
        <v>4.4439560177620674</v>
      </c>
      <c r="GO278" s="82" t="str">
        <f t="shared" si="538"/>
        <v/>
      </c>
      <c r="GP278" s="82">
        <f>IF($GZ278="",#N/A,SUM(GO$4:GO278))</f>
        <v>15.291798081229167</v>
      </c>
      <c r="GQ278" s="82">
        <f t="shared" si="539"/>
        <v>0.33894598731685976</v>
      </c>
      <c r="GR278" s="82">
        <f>IF($GZ278="",#N/A,SUM(GQ$4:GQ278))</f>
        <v>35.854349511618807</v>
      </c>
      <c r="GS278" s="63" t="str">
        <f t="shared" si="548"/>
        <v/>
      </c>
      <c r="GT278" s="63" t="e">
        <f>IF($GZ278="",#N/A,SUM(GS$4:GS278))</f>
        <v>#N/A</v>
      </c>
      <c r="GU278" s="63" t="str">
        <f t="shared" si="549"/>
        <v/>
      </c>
      <c r="GV278" s="63" t="e">
        <f>IF($GZ278="",#N/A,SUM(GU$4:GU278))</f>
        <v>#N/A</v>
      </c>
      <c r="GW278" s="63" t="e">
        <f t="shared" si="550"/>
        <v>#N/A</v>
      </c>
      <c r="GX278" s="63" t="e">
        <f>IF($GZ278="",#N/A,SUM(GW$4:GW278))</f>
        <v>#N/A</v>
      </c>
      <c r="GY278" s="63" t="e">
        <f>IF(EJ278="",#N/A,SUM($EJ$4:EJ278))</f>
        <v>#N/A</v>
      </c>
      <c r="GZ278" s="158">
        <v>89.6</v>
      </c>
      <c r="HA278" s="63">
        <f t="shared" si="540"/>
        <v>-1.5999999999999091</v>
      </c>
      <c r="HB278" s="62" t="s">
        <v>2538</v>
      </c>
      <c r="HC278" s="60">
        <f>IFERROR(VLOOKUP(E278,Expectancy!$P$4:$S$19,1+C278,FALSE),"")</f>
        <v>-3.5298920172653458E-2</v>
      </c>
      <c r="HD278" s="82">
        <f t="shared" si="541"/>
        <v>0.35716888986077588</v>
      </c>
      <c r="HE278" s="138">
        <f>IF(HD278="",#N/A,SUM($HD$4:HD278))</f>
        <v>8.4963693447460393</v>
      </c>
      <c r="HF278" s="85">
        <f>IF(HD278="",#N/A,IF(HB278="Skip",#N/A,SUM($HG$4:HG278)))</f>
        <v>247.72657921915464</v>
      </c>
      <c r="HG278" s="63">
        <f t="shared" si="542"/>
        <v>31.3599999999999</v>
      </c>
      <c r="HH278" s="82">
        <f t="shared" si="543"/>
        <v>0.33894598731685976</v>
      </c>
    </row>
    <row r="279" spans="1:216" x14ac:dyDescent="0.25">
      <c r="A279" s="57" t="s">
        <v>1509</v>
      </c>
      <c r="B279" s="58" t="s">
        <v>5171</v>
      </c>
      <c r="C279" s="386">
        <f t="shared" si="453"/>
        <v>2</v>
      </c>
      <c r="D279" s="372" t="str">
        <f>_xlfn.XLOOKUP(A279,[1]SP500!$A$2:$A$502,[1]SP500!$D$2:$D$502,"N")</f>
        <v>Y</v>
      </c>
      <c r="E279" s="57" t="str">
        <f>_xlfn.XLOOKUP(A279,[1]SP500!$A$2:$A$655,[1]SP500!$B$2:$B$655)</f>
        <v>INS</v>
      </c>
      <c r="F279" s="59">
        <v>45698</v>
      </c>
      <c r="G279" s="57" t="str">
        <f t="shared" si="454"/>
        <v>AMC</v>
      </c>
      <c r="H279" s="57" t="str">
        <f t="shared" si="455"/>
        <v>s</v>
      </c>
      <c r="I279" s="159">
        <v>135.62</v>
      </c>
      <c r="J279" s="159">
        <v>141.51</v>
      </c>
      <c r="K279" s="61">
        <f t="shared" si="456"/>
        <v>4.3430172540923066E-2</v>
      </c>
      <c r="L279" s="87">
        <f t="shared" si="457"/>
        <v>-64.789999999999736</v>
      </c>
      <c r="M279" s="130">
        <f t="shared" si="450"/>
        <v>16.059999999999718</v>
      </c>
      <c r="N279" s="169" t="str">
        <f t="shared" si="458"/>
        <v/>
      </c>
      <c r="O279" s="169">
        <f>IF($J279="",#N/A,SUM($N$4:N279))</f>
        <v>451.02671935422518</v>
      </c>
      <c r="P279" s="174">
        <f t="shared" si="459"/>
        <v>-64.789999999999736</v>
      </c>
      <c r="Q279" s="174">
        <f>IF($J279="",#N/A,SUM($P$4:P279))</f>
        <v>595.64890674734136</v>
      </c>
      <c r="R279" s="178" t="str">
        <f t="shared" si="460"/>
        <v/>
      </c>
      <c r="S279" s="178">
        <f>IF($J279="",#N/A,SUM($R$4:R279))</f>
        <v>281.33445814372703</v>
      </c>
      <c r="T279" s="290" t="str">
        <f t="shared" si="461"/>
        <v/>
      </c>
      <c r="U279" s="290">
        <f>IF($J279="",#N/A,SUM($T$4:T279))</f>
        <v>17.579398395902857</v>
      </c>
      <c r="V279" s="291">
        <f t="shared" si="462"/>
        <v>-0.72383620901538315</v>
      </c>
      <c r="W279" s="291">
        <f>IF($J279="",#N/A,SUM($V$4:V279))</f>
        <v>25.596167080511073</v>
      </c>
      <c r="X279" s="292" t="str">
        <f t="shared" si="463"/>
        <v/>
      </c>
      <c r="Y279" s="292">
        <f>IF($J279="",#N/A,SUM($X$4:X279))</f>
        <v>10.146050937784912</v>
      </c>
      <c r="Z279" s="304" t="str">
        <f t="shared" si="464"/>
        <v/>
      </c>
      <c r="AA279" s="313" t="e">
        <f>IF($J279="",#N/A,SUM(Z$4:Z279))</f>
        <v>#N/A</v>
      </c>
      <c r="AB279" s="314" t="str">
        <f t="shared" si="465"/>
        <v/>
      </c>
      <c r="AC279" s="314" t="e">
        <f>IF($J279="",#N/A,SUM(AB$4:AB279))</f>
        <v>#N/A</v>
      </c>
      <c r="AD279" s="315" t="str">
        <f t="shared" si="466"/>
        <v/>
      </c>
      <c r="AE279" s="315" t="e">
        <f>IF($J279="",#N/A,SUM(AD$4:AD279))</f>
        <v>#N/A</v>
      </c>
      <c r="AF279" s="315" t="e">
        <f>IF($J279="",#N/A,SUM(AD$4:AD279,AB$4:AB279,Z$4:Z279))</f>
        <v>#N/A</v>
      </c>
      <c r="AG279" s="304" t="str">
        <f t="shared" si="467"/>
        <v/>
      </c>
      <c r="AH279" s="313" t="e">
        <f>IF($J279="",#N/A,SUM(AG$4:AG279))</f>
        <v>#N/A</v>
      </c>
      <c r="AI279" s="314" t="str">
        <f t="shared" si="468"/>
        <v/>
      </c>
      <c r="AJ279" s="314" t="e">
        <f>IF($J279="",#N/A,SUM(AI$4:AI279))</f>
        <v>#N/A</v>
      </c>
      <c r="AK279" s="315" t="str">
        <f t="shared" si="469"/>
        <v/>
      </c>
      <c r="AL279" s="315" t="e">
        <f>IF($J279="",#N/A,SUM(AK$4:AK279))</f>
        <v>#N/A</v>
      </c>
      <c r="AM279" s="315" t="e">
        <f>IF($J279="",#N/A,SUM(AK$4:AK279,AI$4:AI279,AG$4:AG279))</f>
        <v>#N/A</v>
      </c>
      <c r="AN279" s="304" t="str">
        <f t="shared" si="470"/>
        <v/>
      </c>
      <c r="AO279" s="313" t="e">
        <f>IF($J279="",#N/A,SUM(AN$4:AN279))</f>
        <v>#N/A</v>
      </c>
      <c r="AP279" s="314" t="str">
        <f t="shared" si="471"/>
        <v/>
      </c>
      <c r="AQ279" s="314" t="e">
        <f>IF($J279="",#N/A,SUM(AP$4:AP279))</f>
        <v>#N/A</v>
      </c>
      <c r="AR279" s="315" t="str">
        <f t="shared" si="472"/>
        <v/>
      </c>
      <c r="AS279" s="315" t="e">
        <f>IF($J279="",#N/A,SUM(AR$4:AR279))</f>
        <v>#N/A</v>
      </c>
      <c r="AT279" s="315" t="e">
        <f>IF($J279="",#N/A,SUM(AR$4:AR279,AP$4:AP279,AN$4:AN279))</f>
        <v>#N/A</v>
      </c>
      <c r="AU279" s="304" t="str">
        <f t="shared" si="473"/>
        <v/>
      </c>
      <c r="AV279" s="313" t="e">
        <f>IF($J279="",#N/A,SUM(AU$4:AU279))</f>
        <v>#N/A</v>
      </c>
      <c r="AW279" s="314" t="str">
        <f t="shared" si="474"/>
        <v/>
      </c>
      <c r="AX279" s="314" t="e">
        <f>IF($J279="",#N/A,SUM(AW$4:AW279))</f>
        <v>#N/A</v>
      </c>
      <c r="AY279" s="315" t="str">
        <f t="shared" si="475"/>
        <v/>
      </c>
      <c r="AZ279" s="315" t="e">
        <f>IF($J279="",#N/A,SUM(AY$4:AY279))</f>
        <v>#N/A</v>
      </c>
      <c r="BA279" s="315" t="e">
        <f>IF($J279="",#N/A,SUM(AY$4:AY279,AW$4:AW279,AU$4:AU279))</f>
        <v>#N/A</v>
      </c>
      <c r="BB279" s="304" t="str">
        <f t="shared" si="476"/>
        <v/>
      </c>
      <c r="BC279" s="313" t="e">
        <f>IF($J279="",#N/A,SUM(BB$4:BB279))</f>
        <v>#N/A</v>
      </c>
      <c r="BD279" s="314" t="str">
        <f t="shared" si="477"/>
        <v/>
      </c>
      <c r="BE279" s="314" t="e">
        <f>IF($J279="",#N/A,SUM(BD$4:BD279))</f>
        <v>#N/A</v>
      </c>
      <c r="BF279" s="315" t="str">
        <f t="shared" si="478"/>
        <v/>
      </c>
      <c r="BG279" s="315" t="e">
        <f>IF($J279="",#N/A,SUM(BF$4:BF279))</f>
        <v>#N/A</v>
      </c>
      <c r="BH279" s="315" t="e">
        <f>IF($J279="",#N/A,SUM(BF$4:BF279,BD$4:BD279,BB$4:BB279))</f>
        <v>#N/A</v>
      </c>
      <c r="BI279" s="304" t="str">
        <f t="shared" si="479"/>
        <v/>
      </c>
      <c r="BJ279" s="313" t="e">
        <f>IF($J279="",#N/A,SUM(BI$4:BI279))</f>
        <v>#N/A</v>
      </c>
      <c r="BK279" s="314" t="str">
        <f t="shared" si="480"/>
        <v/>
      </c>
      <c r="BL279" s="314" t="e">
        <f>IF($J279="",#N/A,SUM(BK$4:BK279))</f>
        <v>#N/A</v>
      </c>
      <c r="BM279" s="315" t="str">
        <f t="shared" si="481"/>
        <v/>
      </c>
      <c r="BN279" s="315" t="e">
        <f>IF($J279="",#N/A,SUM(BM$4:BM279))</f>
        <v>#N/A</v>
      </c>
      <c r="BO279" s="315" t="e">
        <f>IF($J279="",#N/A,SUM(BM$4:BM279,BK$4:BK279,BI$4:BI279))</f>
        <v>#N/A</v>
      </c>
      <c r="BP279" s="304" t="str">
        <f t="shared" si="482"/>
        <v/>
      </c>
      <c r="BQ279" s="313" t="e">
        <f>IF($J279="",#N/A,SUM(BP$4:BP279))</f>
        <v>#N/A</v>
      </c>
      <c r="BR279" s="314" t="str">
        <f t="shared" si="483"/>
        <v/>
      </c>
      <c r="BS279" s="314" t="e">
        <f>IF($J279="",#N/A,SUM(BR$4:BR279))</f>
        <v>#N/A</v>
      </c>
      <c r="BT279" s="315" t="str">
        <f t="shared" si="484"/>
        <v/>
      </c>
      <c r="BU279" s="315" t="e">
        <f>IF($J279="",#N/A,SUM(BT$4:BT279))</f>
        <v>#N/A</v>
      </c>
      <c r="BV279" s="315" t="e">
        <f>IF($J279="",#N/A,SUM(BT$4:BT279,BR$4:BR279,BP$4:BP279))</f>
        <v>#N/A</v>
      </c>
      <c r="BW279" s="304" t="str">
        <f t="shared" si="485"/>
        <v/>
      </c>
      <c r="BX279" s="313" t="e">
        <f>IF($J279="",#N/A,SUM(BW$4:BW279))</f>
        <v>#N/A</v>
      </c>
      <c r="BY279" s="314" t="str">
        <f t="shared" si="486"/>
        <v/>
      </c>
      <c r="BZ279" s="314" t="e">
        <f>IF($J279="",#N/A,SUM(BY$4:BY279))</f>
        <v>#N/A</v>
      </c>
      <c r="CA279" s="315" t="str">
        <f t="shared" si="487"/>
        <v/>
      </c>
      <c r="CB279" s="315" t="e">
        <f>IF($J279="",#N/A,SUM(CA$4:CA279))</f>
        <v>#N/A</v>
      </c>
      <c r="CC279" s="315" t="e">
        <f>IF($J279="",#N/A,SUM(CA$4:CA279,BY$4:BY279,BW$4:BW279))</f>
        <v>#N/A</v>
      </c>
      <c r="CD279" s="304" t="str">
        <f t="shared" si="488"/>
        <v/>
      </c>
      <c r="CE279" s="313" t="e">
        <f>IF($J279="",#N/A,SUM(CD$4:CD279))</f>
        <v>#N/A</v>
      </c>
      <c r="CF279" s="314" t="str">
        <f t="shared" si="489"/>
        <v/>
      </c>
      <c r="CG279" s="314" t="e">
        <f>IF($J279="",#N/A,SUM(CF$4:CF279))</f>
        <v>#N/A</v>
      </c>
      <c r="CH279" s="315" t="str">
        <f t="shared" si="490"/>
        <v/>
      </c>
      <c r="CI279" s="315" t="e">
        <f>IF($J279="",#N/A,SUM(CH$4:CH279))</f>
        <v>#N/A</v>
      </c>
      <c r="CJ279" s="315" t="e">
        <f>IF($J279="",#N/A,SUM(CH$4:CH279,CF$4:CF279,CD$4:CD279))</f>
        <v>#N/A</v>
      </c>
      <c r="CK279" s="304" t="str">
        <f t="shared" si="491"/>
        <v/>
      </c>
      <c r="CL279" s="313" t="e">
        <f>IF($J279="",#N/A,SUM(CK$4:CK279))</f>
        <v>#N/A</v>
      </c>
      <c r="CM279" s="314" t="str">
        <f t="shared" si="492"/>
        <v/>
      </c>
      <c r="CN279" s="314" t="e">
        <f>IF($J279="",#N/A,SUM(CM$4:CM279))</f>
        <v>#N/A</v>
      </c>
      <c r="CO279" s="315" t="str">
        <f t="shared" si="493"/>
        <v/>
      </c>
      <c r="CP279" s="315" t="e">
        <f>IF($J279="",#N/A,SUM(CO$4:CO279))</f>
        <v>#N/A</v>
      </c>
      <c r="CQ279" s="315" t="e">
        <f>IF($J279="",#N/A,SUM(CO$4:CO279,CM$4:CM279,CK$4:CK279))</f>
        <v>#N/A</v>
      </c>
      <c r="CR279" s="304" t="str">
        <f t="shared" si="494"/>
        <v/>
      </c>
      <c r="CS279" s="313" t="e">
        <f>IF($J279="",#N/A,SUM(CR$4:CR279))</f>
        <v>#N/A</v>
      </c>
      <c r="CT279" s="314" t="str">
        <f t="shared" si="495"/>
        <v/>
      </c>
      <c r="CU279" s="314" t="e">
        <f>IF($J279="",#N/A,SUM(CT$4:CT279))</f>
        <v>#N/A</v>
      </c>
      <c r="CV279" s="315" t="str">
        <f t="shared" si="496"/>
        <v/>
      </c>
      <c r="CW279" s="315" t="e">
        <f>IF($J279="",#N/A,SUM(CV$4:CV279))</f>
        <v>#N/A</v>
      </c>
      <c r="CX279" s="315" t="e">
        <f>IF($J279="",#N/A,SUM(CV$4:CV279,CT$4:CT279,CR$4:CR279))</f>
        <v>#N/A</v>
      </c>
      <c r="CY279" s="304" t="str">
        <f t="shared" si="497"/>
        <v/>
      </c>
      <c r="CZ279" s="313" t="e">
        <f>IF($J279="",#N/A,SUM(CY$4:CY279))</f>
        <v>#N/A</v>
      </c>
      <c r="DA279" s="314" t="str">
        <f t="shared" si="498"/>
        <v/>
      </c>
      <c r="DB279" s="314" t="e">
        <f>IF($J279="",#N/A,SUM(DA$4:DA279))</f>
        <v>#N/A</v>
      </c>
      <c r="DC279" s="315" t="str">
        <f t="shared" si="499"/>
        <v/>
      </c>
      <c r="DD279" s="315" t="e">
        <f>IF($J279="",#N/A,SUM(DC$4:DC279))</f>
        <v>#N/A</v>
      </c>
      <c r="DE279" s="315" t="e">
        <f>IF($J279="",#N/A,SUM(DC$4:DC279,DA$4:DA279,CY$4:CY279))</f>
        <v>#N/A</v>
      </c>
      <c r="DF279" s="304" t="str">
        <f t="shared" si="500"/>
        <v/>
      </c>
      <c r="DG279" s="313" t="e">
        <f>IF($J279="",#N/A,SUM(DF$4:DF279))</f>
        <v>#N/A</v>
      </c>
      <c r="DH279" s="314" t="str">
        <f t="shared" si="501"/>
        <v/>
      </c>
      <c r="DI279" s="314" t="e">
        <f>IF($J279="",#N/A,SUM(DH$4:DH279))</f>
        <v>#N/A</v>
      </c>
      <c r="DJ279" s="315" t="str">
        <f t="shared" si="502"/>
        <v/>
      </c>
      <c r="DK279" s="315" t="e">
        <f>IF($J279="",#N/A,SUM(DJ$4:DJ279))</f>
        <v>#N/A</v>
      </c>
      <c r="DL279" s="315" t="e">
        <f>IF($J279="",#N/A,SUM(DJ$4:DJ279,DH$4:DH279,DF$4:DF279))</f>
        <v>#N/A</v>
      </c>
      <c r="DM279" s="304" t="str">
        <f t="shared" si="503"/>
        <v/>
      </c>
      <c r="DN279" s="313" t="e">
        <f>IF($J279="",#N/A,SUM(DM$4:DM279))</f>
        <v>#N/A</v>
      </c>
      <c r="DO279" s="314">
        <f t="shared" si="504"/>
        <v>-0.72383620901538315</v>
      </c>
      <c r="DP279" s="314" t="e">
        <f>IF($J279="",#N/A,SUM(DO$4:DO279))</f>
        <v>#N/A</v>
      </c>
      <c r="DQ279" s="315" t="str">
        <f t="shared" si="505"/>
        <v/>
      </c>
      <c r="DR279" s="315" t="e">
        <f>IF($J279="",#N/A,SUM(DQ$4:DQ279))</f>
        <v>#N/A</v>
      </c>
      <c r="DS279" s="315" t="e">
        <f>IF($J279="",#N/A,SUM(DQ$4:DQ279,DO$4:DO279,DM$4:DM279))</f>
        <v>#N/A</v>
      </c>
      <c r="DT279" s="304" t="str">
        <f t="shared" si="506"/>
        <v/>
      </c>
      <c r="DU279" s="313" t="e">
        <f>IF($J279="",#N/A,SUM(DT$4:DT279))</f>
        <v>#N/A</v>
      </c>
      <c r="DV279" s="314" t="str">
        <f t="shared" si="507"/>
        <v/>
      </c>
      <c r="DW279" s="314" t="e">
        <f>IF($J279="",#N/A,SUM(DV$4:DV279))</f>
        <v>#N/A</v>
      </c>
      <c r="DX279" s="315" t="str">
        <f t="shared" si="508"/>
        <v/>
      </c>
      <c r="DY279" s="315" t="e">
        <f>IF($J279="",#N/A,SUM(DX$4:DX279))</f>
        <v>#N/A</v>
      </c>
      <c r="DZ279" s="315" t="e">
        <f>IF($J279="",#N/A,SUM(DX$4:DX279,DV$4:DV279,DT$4:DT279))</f>
        <v>#N/A</v>
      </c>
      <c r="EA279" s="304" t="str">
        <f t="shared" si="509"/>
        <v/>
      </c>
      <c r="EB279" s="313" t="e">
        <f>IF($J279="",#N/A,SUM(EA$4:EA279))</f>
        <v>#N/A</v>
      </c>
      <c r="EC279" s="314" t="str">
        <f t="shared" si="510"/>
        <v/>
      </c>
      <c r="ED279" s="314" t="e">
        <f>IF($J279="",#N/A,SUM(EC$4:EC279))</f>
        <v>#N/A</v>
      </c>
      <c r="EE279" s="315" t="str">
        <f t="shared" si="511"/>
        <v/>
      </c>
      <c r="EF279" s="315" t="e">
        <f>IF($J279="",#N/A,SUM(EE$4:EE279))</f>
        <v>#N/A</v>
      </c>
      <c r="EG279" s="315" t="e">
        <f>IF($J279="",#N/A,SUM(EE$4:EE279,EC$4:EC279,EA$4:EA279))</f>
        <v>#N/A</v>
      </c>
      <c r="EH279" s="130">
        <f t="shared" si="512"/>
        <v>-64.789999999999736</v>
      </c>
      <c r="EI279" s="63">
        <f>IF(EH279="",#N/A,SUM($EH$4:EH279))</f>
        <v>1328.0100842452937</v>
      </c>
      <c r="EJ279" s="223" t="e">
        <f t="shared" si="513"/>
        <v>#N/A</v>
      </c>
      <c r="EK279" s="63" t="e">
        <f>IF($GZ279="",#N/A,SUM(EJ$4:EJ279))</f>
        <v>#N/A</v>
      </c>
      <c r="EL279" s="60">
        <f t="shared" si="544"/>
        <v>-0.72383620901538315</v>
      </c>
      <c r="EM279" s="60">
        <f>IF(EL279="",NA(),SUM($EL$4:EL279))</f>
        <v>43.869981205857364</v>
      </c>
      <c r="EN279" s="60" t="str">
        <f t="shared" si="514"/>
        <v/>
      </c>
      <c r="EO279" s="60" t="e">
        <f>IF(EN279="",NA(),SUM($EN$4:EN279))</f>
        <v>#N/A</v>
      </c>
      <c r="EP279" s="60" t="str">
        <f t="shared" si="515"/>
        <v/>
      </c>
      <c r="EQ279" s="60" t="e">
        <f>IF(EP279="",NA(),SUM($EP$4:EP279))</f>
        <v>#N/A</v>
      </c>
      <c r="ER279" s="60">
        <f t="shared" si="516"/>
        <v>-0.72383620901538315</v>
      </c>
      <c r="ES279" s="60">
        <f>IF(ER279="",NA(),SUM($ER$4:ER279))</f>
        <v>17.430624281050633</v>
      </c>
      <c r="ET279" s="60" t="str">
        <f t="shared" si="517"/>
        <v/>
      </c>
      <c r="EU279" s="60" t="e">
        <f>IF(ET279="",NA(),SUM($ET$4:ET279))</f>
        <v>#N/A</v>
      </c>
      <c r="EV279" s="60" t="str">
        <f t="shared" si="518"/>
        <v/>
      </c>
      <c r="EW279" s="60" t="e">
        <f>IF(EV279="",NA(),SUM($EV$4:EV279))</f>
        <v>#N/A</v>
      </c>
      <c r="EX279" s="60" t="str">
        <f t="shared" si="519"/>
        <v/>
      </c>
      <c r="EY279" s="60" t="e">
        <f>IF(EX279="",NA(),SUM($EX$4:EX279))</f>
        <v>#N/A</v>
      </c>
      <c r="EZ279" s="60" t="str">
        <f t="shared" si="520"/>
        <v/>
      </c>
      <c r="FA279" s="60" t="e">
        <f>IF(EZ279="",NA(),SUM($EZ$4:EZ279))</f>
        <v>#N/A</v>
      </c>
      <c r="FB279" s="246" t="str">
        <f t="shared" si="545"/>
        <v/>
      </c>
      <c r="FC279" s="246" t="e">
        <f>IF($FB279="",#N/A,SUM(FB$4:$FB279))</f>
        <v>#N/A</v>
      </c>
      <c r="FD279" s="60">
        <f t="shared" si="521"/>
        <v>0.2556161824706274</v>
      </c>
      <c r="FE279" s="60">
        <f>IF($FD279="",#N/A,SUM($FD$4:FD279))</f>
        <v>4.984215505255519</v>
      </c>
      <c r="FF279" s="60" t="str">
        <f t="shared" si="522"/>
        <v/>
      </c>
      <c r="FG279" s="60" t="e">
        <f>IF($FF279="",#N/A,SUM($FF$4:FF279))</f>
        <v>#N/A</v>
      </c>
      <c r="FH279" s="60" t="str">
        <f t="shared" si="523"/>
        <v/>
      </c>
      <c r="FI279" s="60" t="e">
        <f>IF($FH279="",#N/A,SUM($FH$4:FH279))</f>
        <v>#N/A</v>
      </c>
      <c r="FJ279" s="60" t="str">
        <f t="shared" si="524"/>
        <v/>
      </c>
      <c r="FK279" s="60" t="e">
        <f>IF($FJ279="",#N/A,SUM($FJ$4:FJ279))</f>
        <v>#N/A</v>
      </c>
      <c r="FL279" s="60" t="str">
        <f t="shared" si="525"/>
        <v/>
      </c>
      <c r="FM279" s="60" t="e">
        <f>IF($FL279="",#N/A,SUM($FL$4:FL279))</f>
        <v>#N/A</v>
      </c>
      <c r="FN279" s="82">
        <f t="shared" si="526"/>
        <v>-0.46822002654475575</v>
      </c>
      <c r="FO279" s="82">
        <f>IF($FN279="",#N/A,SUM(FN$4:$FN279))</f>
        <v>55.747720538507615</v>
      </c>
      <c r="FP279" s="82">
        <f t="shared" si="546"/>
        <v>-0.72383620901538315</v>
      </c>
      <c r="FQ279" s="246">
        <f>IF($EH279="",#N/A,SUM($FP$4:FP279))</f>
        <v>53.321616414198822</v>
      </c>
      <c r="FR279" s="82">
        <f>IFERROR(FQ279/COUNTA($J$4:J279),#N/A)</f>
        <v>0.19319426237028559</v>
      </c>
      <c r="FS279" s="82">
        <f t="shared" si="448"/>
        <v>0.37381092782019393</v>
      </c>
      <c r="FT279" s="82">
        <f t="shared" si="449"/>
        <v>0.50446140907374715</v>
      </c>
      <c r="FU279" s="338">
        <f t="shared" si="551"/>
        <v>30.839660381157053</v>
      </c>
      <c r="FV279" s="57" t="str">
        <f t="shared" si="527"/>
        <v>Dwn</v>
      </c>
      <c r="FW279" s="57" t="s">
        <v>2734</v>
      </c>
      <c r="FX279" s="57" t="str">
        <f t="shared" si="528"/>
        <v/>
      </c>
      <c r="FY279" s="57">
        <f t="shared" si="529"/>
        <v>1</v>
      </c>
      <c r="FZ279" s="57" t="str">
        <f t="shared" si="530"/>
        <v/>
      </c>
      <c r="GA279" s="57" t="str">
        <f t="shared" si="531"/>
        <v>Short</v>
      </c>
      <c r="GB279" s="57" t="str">
        <f t="shared" si="532"/>
        <v/>
      </c>
      <c r="GC279" s="57" t="str">
        <f t="shared" si="533"/>
        <v/>
      </c>
      <c r="GD279" s="57" t="str">
        <f t="shared" si="534"/>
        <v/>
      </c>
      <c r="GE279" s="62">
        <f t="shared" si="451"/>
        <v>135.62</v>
      </c>
      <c r="GF279" s="62" t="s">
        <v>2780</v>
      </c>
      <c r="GG279" s="199">
        <v>11</v>
      </c>
      <c r="GH279" s="207">
        <f t="shared" si="535"/>
        <v>1491.8200000000002</v>
      </c>
      <c r="GI279" s="199">
        <v>11</v>
      </c>
      <c r="GJ279" s="200">
        <v>140.05000000000001</v>
      </c>
      <c r="GK279" s="63">
        <f t="shared" si="536"/>
        <v>-48.730000000000018</v>
      </c>
      <c r="GL279" s="63">
        <f t="shared" si="452"/>
        <v>-41.909999999999854</v>
      </c>
      <c r="GM279" s="82" t="str">
        <f t="shared" si="537"/>
        <v/>
      </c>
      <c r="GN279" s="82">
        <f>IF($GZ279="",#N/A,SUM(GM$4:GM279))</f>
        <v>4.4439560177620674</v>
      </c>
      <c r="GO279" s="82" t="str">
        <f t="shared" si="538"/>
        <v/>
      </c>
      <c r="GP279" s="82">
        <f>IF($GZ279="",#N/A,SUM(GO$4:GO279))</f>
        <v>15.291798081229167</v>
      </c>
      <c r="GQ279" s="82">
        <f t="shared" si="539"/>
        <v>-0.46822002654475575</v>
      </c>
      <c r="GR279" s="82">
        <f>IF($GZ279="",#N/A,SUM(GQ$4:GQ279))</f>
        <v>35.386129485074051</v>
      </c>
      <c r="GS279" s="63" t="str">
        <f t="shared" si="548"/>
        <v/>
      </c>
      <c r="GT279" s="63" t="e">
        <f>IF($GZ279="",#N/A,SUM(GS$4:GS279))</f>
        <v>#N/A</v>
      </c>
      <c r="GU279" s="63" t="str">
        <f t="shared" si="549"/>
        <v/>
      </c>
      <c r="GV279" s="63" t="e">
        <f>IF($GZ279="",#N/A,SUM(GU$4:GU279))</f>
        <v>#N/A</v>
      </c>
      <c r="GW279" s="63" t="e">
        <f t="shared" si="550"/>
        <v>#N/A</v>
      </c>
      <c r="GX279" s="63" t="e">
        <f>IF($GZ279="",#N/A,SUM(GW$4:GW279))</f>
        <v>#N/A</v>
      </c>
      <c r="GY279" s="63" t="e">
        <f>IF(EJ279="",#N/A,SUM($EJ$4:EJ279))</f>
        <v>#N/A</v>
      </c>
      <c r="GZ279" s="158">
        <v>139.43</v>
      </c>
      <c r="HA279" s="63">
        <f t="shared" si="540"/>
        <v>22.879999999999882</v>
      </c>
      <c r="HB279" s="62" t="s">
        <v>2538</v>
      </c>
      <c r="HC279" s="60">
        <f>IFERROR(VLOOKUP(E279,Expectancy!$P$4:$S$19,1+C279,FALSE),"")</f>
        <v>-3.5298920172653458E-2</v>
      </c>
      <c r="HD279" s="82">
        <f t="shared" si="541"/>
        <v>-0.54441331170427187</v>
      </c>
      <c r="HE279" s="138">
        <f>IF(HD279="",#N/A,SUM($HD$4:HD279))</f>
        <v>7.9519560330417676</v>
      </c>
      <c r="HF279" s="85">
        <f>IF(HD279="",#N/A,IF(HB279="Skip",#N/A,SUM($HG$4:HG279)))</f>
        <v>198.99657921915463</v>
      </c>
      <c r="HG279" s="63">
        <f t="shared" si="542"/>
        <v>-48.730000000000018</v>
      </c>
      <c r="HH279" s="82">
        <f t="shared" si="543"/>
        <v>-0.46822002654475575</v>
      </c>
    </row>
    <row r="280" spans="1:216" x14ac:dyDescent="0.25">
      <c r="A280" s="57" t="s">
        <v>1294</v>
      </c>
      <c r="B280" s="58" t="s">
        <v>5236</v>
      </c>
      <c r="C280" s="386">
        <f t="shared" si="453"/>
        <v>3</v>
      </c>
      <c r="D280" s="372" t="str">
        <f>_xlfn.XLOOKUP(A280,[1]SP500!$A$2:$A$502,[1]SP500!$D$2:$D$502,"N")</f>
        <v>Y</v>
      </c>
      <c r="E280" s="57" t="str">
        <f>_xlfn.XLOOKUP(A280,[1]SP500!$A$2:$A$655,[1]SP500!$B$2:$B$655)</f>
        <v>XLP</v>
      </c>
      <c r="F280" s="59">
        <v>45699</v>
      </c>
      <c r="G280" s="57" t="str">
        <f t="shared" si="454"/>
        <v>BMO</v>
      </c>
      <c r="H280" s="57" t="str">
        <f t="shared" si="455"/>
        <v>s</v>
      </c>
      <c r="I280" s="159">
        <v>64.55</v>
      </c>
      <c r="J280" s="158">
        <v>67.5</v>
      </c>
      <c r="K280" s="61">
        <f t="shared" si="456"/>
        <v>4.5701006971340094E-2</v>
      </c>
      <c r="L280" s="87">
        <f t="shared" si="457"/>
        <v>67.850000000000136</v>
      </c>
      <c r="M280" s="130">
        <f t="shared" si="450"/>
        <v>-0.23000000000001819</v>
      </c>
      <c r="N280" s="169" t="str">
        <f t="shared" si="458"/>
        <v/>
      </c>
      <c r="O280" s="169">
        <f>IF($J280="",#N/A,SUM($N$4:N280))</f>
        <v>451.02671935422518</v>
      </c>
      <c r="P280" s="174" t="str">
        <f t="shared" si="459"/>
        <v/>
      </c>
      <c r="Q280" s="174">
        <f>IF($J280="",#N/A,SUM($P$4:P280))</f>
        <v>595.64890674734136</v>
      </c>
      <c r="R280" s="178">
        <f t="shared" si="460"/>
        <v>67.850000000000136</v>
      </c>
      <c r="S280" s="178">
        <f>IF($J280="",#N/A,SUM($R$4:R280))</f>
        <v>349.18445814372717</v>
      </c>
      <c r="T280" s="290" t="str">
        <f t="shared" si="461"/>
        <v/>
      </c>
      <c r="U280" s="290">
        <f>IF($J280="",#N/A,SUM($T$4:T280))</f>
        <v>17.579398395902857</v>
      </c>
      <c r="V280" s="291" t="str">
        <f t="shared" si="462"/>
        <v/>
      </c>
      <c r="W280" s="291">
        <f>IF($J280="",#N/A,SUM($V$4:V280))</f>
        <v>25.596167080511073</v>
      </c>
      <c r="X280" s="292">
        <f t="shared" si="463"/>
        <v>0.76168344952233569</v>
      </c>
      <c r="Y280" s="292">
        <f>IF($J280="",#N/A,SUM($X$4:X280))</f>
        <v>10.907734387307247</v>
      </c>
      <c r="Z280" s="304" t="str">
        <f t="shared" si="464"/>
        <v/>
      </c>
      <c r="AA280" s="313" t="e">
        <f>IF($J280="",#N/A,SUM(Z$4:Z280))</f>
        <v>#N/A</v>
      </c>
      <c r="AB280" s="314" t="str">
        <f t="shared" si="465"/>
        <v/>
      </c>
      <c r="AC280" s="314" t="e">
        <f>IF($J280="",#N/A,SUM(AB$4:AB280))</f>
        <v>#N/A</v>
      </c>
      <c r="AD280" s="315" t="str">
        <f t="shared" si="466"/>
        <v/>
      </c>
      <c r="AE280" s="315" t="e">
        <f>IF($J280="",#N/A,SUM(AD$4:AD280))</f>
        <v>#N/A</v>
      </c>
      <c r="AF280" s="315" t="e">
        <f>IF($J280="",#N/A,SUM(AD$4:AD280,AB$4:AB280,Z$4:Z280))</f>
        <v>#N/A</v>
      </c>
      <c r="AG280" s="304" t="str">
        <f t="shared" si="467"/>
        <v/>
      </c>
      <c r="AH280" s="313" t="e">
        <f>IF($J280="",#N/A,SUM(AG$4:AG280))</f>
        <v>#N/A</v>
      </c>
      <c r="AI280" s="314" t="str">
        <f t="shared" si="468"/>
        <v/>
      </c>
      <c r="AJ280" s="314" t="e">
        <f>IF($J280="",#N/A,SUM(AI$4:AI280))</f>
        <v>#N/A</v>
      </c>
      <c r="AK280" s="315" t="str">
        <f t="shared" si="469"/>
        <v/>
      </c>
      <c r="AL280" s="315" t="e">
        <f>IF($J280="",#N/A,SUM(AK$4:AK280))</f>
        <v>#N/A</v>
      </c>
      <c r="AM280" s="315" t="e">
        <f>IF($J280="",#N/A,SUM(AK$4:AK280,AI$4:AI280,AG$4:AG280))</f>
        <v>#N/A</v>
      </c>
      <c r="AN280" s="304" t="str">
        <f t="shared" si="470"/>
        <v/>
      </c>
      <c r="AO280" s="313" t="e">
        <f>IF($J280="",#N/A,SUM(AN$4:AN280))</f>
        <v>#N/A</v>
      </c>
      <c r="AP280" s="314" t="str">
        <f t="shared" si="471"/>
        <v/>
      </c>
      <c r="AQ280" s="314" t="e">
        <f>IF($J280="",#N/A,SUM(AP$4:AP280))</f>
        <v>#N/A</v>
      </c>
      <c r="AR280" s="315" t="str">
        <f t="shared" si="472"/>
        <v/>
      </c>
      <c r="AS280" s="315" t="e">
        <f>IF($J280="",#N/A,SUM(AR$4:AR280))</f>
        <v>#N/A</v>
      </c>
      <c r="AT280" s="315" t="e">
        <f>IF($J280="",#N/A,SUM(AR$4:AR280,AP$4:AP280,AN$4:AN280))</f>
        <v>#N/A</v>
      </c>
      <c r="AU280" s="304" t="str">
        <f t="shared" si="473"/>
        <v/>
      </c>
      <c r="AV280" s="313" t="e">
        <f>IF($J280="",#N/A,SUM(AU$4:AU280))</f>
        <v>#N/A</v>
      </c>
      <c r="AW280" s="314" t="str">
        <f t="shared" si="474"/>
        <v/>
      </c>
      <c r="AX280" s="314" t="e">
        <f>IF($J280="",#N/A,SUM(AW$4:AW280))</f>
        <v>#N/A</v>
      </c>
      <c r="AY280" s="315">
        <f t="shared" si="475"/>
        <v>0.76168344952233569</v>
      </c>
      <c r="AZ280" s="315" t="e">
        <f>IF($J280="",#N/A,SUM(AY$4:AY280))</f>
        <v>#N/A</v>
      </c>
      <c r="BA280" s="315" t="e">
        <f>IF($J280="",#N/A,SUM(AY$4:AY280,AW$4:AW280,AU$4:AU280))</f>
        <v>#N/A</v>
      </c>
      <c r="BB280" s="304" t="str">
        <f t="shared" si="476"/>
        <v/>
      </c>
      <c r="BC280" s="313" t="e">
        <f>IF($J280="",#N/A,SUM(BB$4:BB280))</f>
        <v>#N/A</v>
      </c>
      <c r="BD280" s="314" t="str">
        <f t="shared" si="477"/>
        <v/>
      </c>
      <c r="BE280" s="314" t="e">
        <f>IF($J280="",#N/A,SUM(BD$4:BD280))</f>
        <v>#N/A</v>
      </c>
      <c r="BF280" s="315" t="str">
        <f t="shared" si="478"/>
        <v/>
      </c>
      <c r="BG280" s="315" t="e">
        <f>IF($J280="",#N/A,SUM(BF$4:BF280))</f>
        <v>#N/A</v>
      </c>
      <c r="BH280" s="315" t="e">
        <f>IF($J280="",#N/A,SUM(BF$4:BF280,BD$4:BD280,BB$4:BB280))</f>
        <v>#N/A</v>
      </c>
      <c r="BI280" s="304" t="str">
        <f t="shared" si="479"/>
        <v/>
      </c>
      <c r="BJ280" s="313" t="e">
        <f>IF($J280="",#N/A,SUM(BI$4:BI280))</f>
        <v>#N/A</v>
      </c>
      <c r="BK280" s="314" t="str">
        <f t="shared" si="480"/>
        <v/>
      </c>
      <c r="BL280" s="314" t="e">
        <f>IF($J280="",#N/A,SUM(BK$4:BK280))</f>
        <v>#N/A</v>
      </c>
      <c r="BM280" s="315" t="str">
        <f t="shared" si="481"/>
        <v/>
      </c>
      <c r="BN280" s="315" t="e">
        <f>IF($J280="",#N/A,SUM(BM$4:BM280))</f>
        <v>#N/A</v>
      </c>
      <c r="BO280" s="315" t="e">
        <f>IF($J280="",#N/A,SUM(BM$4:BM280,BK$4:BK280,BI$4:BI280))</f>
        <v>#N/A</v>
      </c>
      <c r="BP280" s="304" t="str">
        <f t="shared" si="482"/>
        <v/>
      </c>
      <c r="BQ280" s="313" t="e">
        <f>IF($J280="",#N/A,SUM(BP$4:BP280))</f>
        <v>#N/A</v>
      </c>
      <c r="BR280" s="314" t="str">
        <f t="shared" si="483"/>
        <v/>
      </c>
      <c r="BS280" s="314" t="e">
        <f>IF($J280="",#N/A,SUM(BR$4:BR280))</f>
        <v>#N/A</v>
      </c>
      <c r="BT280" s="315" t="str">
        <f t="shared" si="484"/>
        <v/>
      </c>
      <c r="BU280" s="315" t="e">
        <f>IF($J280="",#N/A,SUM(BT$4:BT280))</f>
        <v>#N/A</v>
      </c>
      <c r="BV280" s="315" t="e">
        <f>IF($J280="",#N/A,SUM(BT$4:BT280,BR$4:BR280,BP$4:BP280))</f>
        <v>#N/A</v>
      </c>
      <c r="BW280" s="304" t="str">
        <f t="shared" si="485"/>
        <v/>
      </c>
      <c r="BX280" s="313" t="e">
        <f>IF($J280="",#N/A,SUM(BW$4:BW280))</f>
        <v>#N/A</v>
      </c>
      <c r="BY280" s="314" t="str">
        <f t="shared" si="486"/>
        <v/>
      </c>
      <c r="BZ280" s="314" t="e">
        <f>IF($J280="",#N/A,SUM(BY$4:BY280))</f>
        <v>#N/A</v>
      </c>
      <c r="CA280" s="315" t="str">
        <f t="shared" si="487"/>
        <v/>
      </c>
      <c r="CB280" s="315" t="e">
        <f>IF($J280="",#N/A,SUM(CA$4:CA280))</f>
        <v>#N/A</v>
      </c>
      <c r="CC280" s="315" t="e">
        <f>IF($J280="",#N/A,SUM(CA$4:CA280,BY$4:BY280,BW$4:BW280))</f>
        <v>#N/A</v>
      </c>
      <c r="CD280" s="304" t="str">
        <f t="shared" si="488"/>
        <v/>
      </c>
      <c r="CE280" s="313" t="e">
        <f>IF($J280="",#N/A,SUM(CD$4:CD280))</f>
        <v>#N/A</v>
      </c>
      <c r="CF280" s="314" t="str">
        <f t="shared" si="489"/>
        <v/>
      </c>
      <c r="CG280" s="314" t="e">
        <f>IF($J280="",#N/A,SUM(CF$4:CF280))</f>
        <v>#N/A</v>
      </c>
      <c r="CH280" s="315" t="str">
        <f t="shared" si="490"/>
        <v/>
      </c>
      <c r="CI280" s="315" t="e">
        <f>IF($J280="",#N/A,SUM(CH$4:CH280))</f>
        <v>#N/A</v>
      </c>
      <c r="CJ280" s="315" t="e">
        <f>IF($J280="",#N/A,SUM(CH$4:CH280,CF$4:CF280,CD$4:CD280))</f>
        <v>#N/A</v>
      </c>
      <c r="CK280" s="304" t="str">
        <f t="shared" si="491"/>
        <v/>
      </c>
      <c r="CL280" s="313" t="e">
        <f>IF($J280="",#N/A,SUM(CK$4:CK280))</f>
        <v>#N/A</v>
      </c>
      <c r="CM280" s="314" t="str">
        <f t="shared" si="492"/>
        <v/>
      </c>
      <c r="CN280" s="314" t="e">
        <f>IF($J280="",#N/A,SUM(CM$4:CM280))</f>
        <v>#N/A</v>
      </c>
      <c r="CO280" s="315" t="str">
        <f t="shared" si="493"/>
        <v/>
      </c>
      <c r="CP280" s="315" t="e">
        <f>IF($J280="",#N/A,SUM(CO$4:CO280))</f>
        <v>#N/A</v>
      </c>
      <c r="CQ280" s="315" t="e">
        <f>IF($J280="",#N/A,SUM(CO$4:CO280,CM$4:CM280,CK$4:CK280))</f>
        <v>#N/A</v>
      </c>
      <c r="CR280" s="304" t="str">
        <f t="shared" si="494"/>
        <v/>
      </c>
      <c r="CS280" s="313" t="e">
        <f>IF($J280="",#N/A,SUM(CR$4:CR280))</f>
        <v>#N/A</v>
      </c>
      <c r="CT280" s="314" t="str">
        <f t="shared" si="495"/>
        <v/>
      </c>
      <c r="CU280" s="314" t="e">
        <f>IF($J280="",#N/A,SUM(CT$4:CT280))</f>
        <v>#N/A</v>
      </c>
      <c r="CV280" s="315" t="str">
        <f t="shared" si="496"/>
        <v/>
      </c>
      <c r="CW280" s="315" t="e">
        <f>IF($J280="",#N/A,SUM(CV$4:CV280))</f>
        <v>#N/A</v>
      </c>
      <c r="CX280" s="315" t="e">
        <f>IF($J280="",#N/A,SUM(CV$4:CV280,CT$4:CT280,CR$4:CR280))</f>
        <v>#N/A</v>
      </c>
      <c r="CY280" s="304" t="str">
        <f t="shared" si="497"/>
        <v/>
      </c>
      <c r="CZ280" s="313" t="e">
        <f>IF($J280="",#N/A,SUM(CY$4:CY280))</f>
        <v>#N/A</v>
      </c>
      <c r="DA280" s="314" t="str">
        <f t="shared" si="498"/>
        <v/>
      </c>
      <c r="DB280" s="314" t="e">
        <f>IF($J280="",#N/A,SUM(DA$4:DA280))</f>
        <v>#N/A</v>
      </c>
      <c r="DC280" s="315" t="str">
        <f t="shared" si="499"/>
        <v/>
      </c>
      <c r="DD280" s="315" t="e">
        <f>IF($J280="",#N/A,SUM(DC$4:DC280))</f>
        <v>#N/A</v>
      </c>
      <c r="DE280" s="315" t="e">
        <f>IF($J280="",#N/A,SUM(DC$4:DC280,DA$4:DA280,CY$4:CY280))</f>
        <v>#N/A</v>
      </c>
      <c r="DF280" s="304" t="str">
        <f t="shared" si="500"/>
        <v/>
      </c>
      <c r="DG280" s="313" t="e">
        <f>IF($J280="",#N/A,SUM(DF$4:DF280))</f>
        <v>#N/A</v>
      </c>
      <c r="DH280" s="314" t="str">
        <f t="shared" si="501"/>
        <v/>
      </c>
      <c r="DI280" s="314" t="e">
        <f>IF($J280="",#N/A,SUM(DH$4:DH280))</f>
        <v>#N/A</v>
      </c>
      <c r="DJ280" s="315" t="str">
        <f t="shared" si="502"/>
        <v/>
      </c>
      <c r="DK280" s="315" t="e">
        <f>IF($J280="",#N/A,SUM(DJ$4:DJ280))</f>
        <v>#N/A</v>
      </c>
      <c r="DL280" s="315" t="e">
        <f>IF($J280="",#N/A,SUM(DJ$4:DJ280,DH$4:DH280,DF$4:DF280))</f>
        <v>#N/A</v>
      </c>
      <c r="DM280" s="304" t="str">
        <f t="shared" si="503"/>
        <v/>
      </c>
      <c r="DN280" s="313" t="e">
        <f>IF($J280="",#N/A,SUM(DM$4:DM280))</f>
        <v>#N/A</v>
      </c>
      <c r="DO280" s="314" t="str">
        <f t="shared" si="504"/>
        <v/>
      </c>
      <c r="DP280" s="314" t="e">
        <f>IF($J280="",#N/A,SUM(DO$4:DO280))</f>
        <v>#N/A</v>
      </c>
      <c r="DQ280" s="315" t="str">
        <f t="shared" si="505"/>
        <v/>
      </c>
      <c r="DR280" s="315" t="e">
        <f>IF($J280="",#N/A,SUM(DQ$4:DQ280))</f>
        <v>#N/A</v>
      </c>
      <c r="DS280" s="315" t="e">
        <f>IF($J280="",#N/A,SUM(DQ$4:DQ280,DO$4:DO280,DM$4:DM280))</f>
        <v>#N/A</v>
      </c>
      <c r="DT280" s="304" t="str">
        <f t="shared" si="506"/>
        <v/>
      </c>
      <c r="DU280" s="313" t="e">
        <f>IF($J280="",#N/A,SUM(DT$4:DT280))</f>
        <v>#N/A</v>
      </c>
      <c r="DV280" s="314" t="str">
        <f t="shared" si="507"/>
        <v/>
      </c>
      <c r="DW280" s="314" t="e">
        <f>IF($J280="",#N/A,SUM(DV$4:DV280))</f>
        <v>#N/A</v>
      </c>
      <c r="DX280" s="315" t="str">
        <f t="shared" si="508"/>
        <v/>
      </c>
      <c r="DY280" s="315" t="e">
        <f>IF($J280="",#N/A,SUM(DX$4:DX280))</f>
        <v>#N/A</v>
      </c>
      <c r="DZ280" s="315" t="e">
        <f>IF($J280="",#N/A,SUM(DX$4:DX280,DV$4:DV280,DT$4:DT280))</f>
        <v>#N/A</v>
      </c>
      <c r="EA280" s="304" t="str">
        <f t="shared" si="509"/>
        <v/>
      </c>
      <c r="EB280" s="313" t="e">
        <f>IF($J280="",#N/A,SUM(EA$4:EA280))</f>
        <v>#N/A</v>
      </c>
      <c r="EC280" s="314" t="str">
        <f t="shared" si="510"/>
        <v/>
      </c>
      <c r="ED280" s="314" t="e">
        <f>IF($J280="",#N/A,SUM(EC$4:EC280))</f>
        <v>#N/A</v>
      </c>
      <c r="EE280" s="315" t="str">
        <f t="shared" si="511"/>
        <v/>
      </c>
      <c r="EF280" s="315" t="e">
        <f>IF($J280="",#N/A,SUM(EE$4:EE280))</f>
        <v>#N/A</v>
      </c>
      <c r="EG280" s="315" t="e">
        <f>IF($J280="",#N/A,SUM(EE$4:EE280,EC$4:EC280,EA$4:EA280))</f>
        <v>#N/A</v>
      </c>
      <c r="EH280" s="130">
        <f t="shared" si="512"/>
        <v>67.850000000000136</v>
      </c>
      <c r="EI280" s="63">
        <f>IF(EH280="",#N/A,SUM($EH$4:EH280))</f>
        <v>1395.8600842452938</v>
      </c>
      <c r="EJ280" s="223" t="e">
        <f t="shared" si="513"/>
        <v>#N/A</v>
      </c>
      <c r="EK280" s="63" t="e">
        <f>IF($GZ280="",#N/A,SUM(EJ$4:EJ280))</f>
        <v>#N/A</v>
      </c>
      <c r="EL280" s="60">
        <f t="shared" si="544"/>
        <v>0.76168344952233569</v>
      </c>
      <c r="EM280" s="60">
        <f>IF(EL280="",NA(),SUM($EL$4:EL280))</f>
        <v>44.631664655379701</v>
      </c>
      <c r="EN280" s="60" t="str">
        <f t="shared" si="514"/>
        <v/>
      </c>
      <c r="EO280" s="60" t="e">
        <f>IF(EN280="",NA(),SUM($EN$4:EN280))</f>
        <v>#N/A</v>
      </c>
      <c r="EP280" s="60">
        <f t="shared" si="515"/>
        <v>0.76168344952233569</v>
      </c>
      <c r="EQ280" s="60">
        <f>IF(EP280="",NA(),SUM($EP$4:EP280))</f>
        <v>11.578348803076931</v>
      </c>
      <c r="ER280" s="60" t="str">
        <f t="shared" si="516"/>
        <v/>
      </c>
      <c r="ES280" s="60" t="e">
        <f>IF(ER280="",NA(),SUM($ER$4:ER280))</f>
        <v>#N/A</v>
      </c>
      <c r="ET280" s="60" t="str">
        <f t="shared" si="517"/>
        <v/>
      </c>
      <c r="EU280" s="60" t="e">
        <f>IF(ET280="",NA(),SUM($ET$4:ET280))</f>
        <v>#N/A</v>
      </c>
      <c r="EV280" s="60" t="str">
        <f t="shared" si="518"/>
        <v/>
      </c>
      <c r="EW280" s="60" t="e">
        <f>IF(EV280="",NA(),SUM($EV$4:EV280))</f>
        <v>#N/A</v>
      </c>
      <c r="EX280" s="60" t="str">
        <f t="shared" si="519"/>
        <v/>
      </c>
      <c r="EY280" s="60" t="e">
        <f>IF(EX280="",NA(),SUM($EX$4:EX280))</f>
        <v>#N/A</v>
      </c>
      <c r="EZ280" s="60" t="str">
        <f t="shared" si="520"/>
        <v/>
      </c>
      <c r="FA280" s="60" t="e">
        <f>IF(EZ280="",NA(),SUM($EZ$4:EZ280))</f>
        <v>#N/A</v>
      </c>
      <c r="FB280" s="246" t="str">
        <f t="shared" si="545"/>
        <v/>
      </c>
      <c r="FC280" s="246" t="e">
        <f>IF($FB280="",#N/A,SUM(FB$4:$FB280))</f>
        <v>#N/A</v>
      </c>
      <c r="FD280" s="60" t="str">
        <f t="shared" si="521"/>
        <v/>
      </c>
      <c r="FE280" s="60" t="e">
        <f>IF($FD280="",#N/A,SUM($FD$4:FD280))</f>
        <v>#N/A</v>
      </c>
      <c r="FF280" s="60" t="str">
        <f t="shared" si="522"/>
        <v/>
      </c>
      <c r="FG280" s="60" t="e">
        <f>IF($FF280="",#N/A,SUM($FF$4:FF280))</f>
        <v>#N/A</v>
      </c>
      <c r="FH280" s="60" t="str">
        <f t="shared" si="523"/>
        <v/>
      </c>
      <c r="FI280" s="60" t="e">
        <f>IF($FH280="",#N/A,SUM($FH$4:FH280))</f>
        <v>#N/A</v>
      </c>
      <c r="FJ280" s="60">
        <f t="shared" si="524"/>
        <v>2.5819777949909084E-2</v>
      </c>
      <c r="FK280" s="60">
        <f>IF($FJ280="",#N/A,SUM($FJ$4:FJ280))</f>
        <v>-5.3418255200821836</v>
      </c>
      <c r="FL280" s="60" t="str">
        <f t="shared" si="525"/>
        <v/>
      </c>
      <c r="FM280" s="60" t="e">
        <f>IF($FL280="",#N/A,SUM($FL$4:FL280))</f>
        <v>#N/A</v>
      </c>
      <c r="FN280" s="82">
        <f t="shared" si="526"/>
        <v>0.78750322747224477</v>
      </c>
      <c r="FO280" s="82">
        <f>IF($FN280="",#N/A,SUM(FN$4:$FN280))</f>
        <v>56.535223765979858</v>
      </c>
      <c r="FP280" s="82">
        <f t="shared" si="546"/>
        <v>0.76168344952233569</v>
      </c>
      <c r="FQ280" s="246">
        <f>IF($EH280="",#N/A,SUM($FP$4:FP280))</f>
        <v>54.083299863721159</v>
      </c>
      <c r="FR280" s="82">
        <f>IFERROR(FQ280/COUNTA($J$4:J280),#N/A)</f>
        <v>0.19524656990513053</v>
      </c>
      <c r="FS280" s="82">
        <f t="shared" si="448"/>
        <v>0.37169602079780473</v>
      </c>
      <c r="FT280" s="82">
        <f t="shared" si="449"/>
        <v>0.55335053868620487</v>
      </c>
      <c r="FU280" s="338">
        <f t="shared" si="551"/>
        <v>30.842242358952049</v>
      </c>
      <c r="FV280" s="57" t="str">
        <f t="shared" si="527"/>
        <v>SW</v>
      </c>
      <c r="FW280" s="57" t="s">
        <v>2732</v>
      </c>
      <c r="FX280" s="57" t="str">
        <f t="shared" si="528"/>
        <v/>
      </c>
      <c r="FY280" s="57" t="str">
        <f t="shared" si="529"/>
        <v/>
      </c>
      <c r="FZ280" s="57">
        <f t="shared" si="530"/>
        <v>1</v>
      </c>
      <c r="GA280" s="57" t="str">
        <f t="shared" si="531"/>
        <v>Long</v>
      </c>
      <c r="GB280" s="57" t="str">
        <f t="shared" si="532"/>
        <v/>
      </c>
      <c r="GC280" s="57" t="str">
        <f t="shared" si="533"/>
        <v/>
      </c>
      <c r="GD280" s="57" t="str">
        <f t="shared" si="534"/>
        <v/>
      </c>
      <c r="GE280" s="62">
        <f t="shared" si="451"/>
        <v>64.55</v>
      </c>
      <c r="GF280" s="62" t="s">
        <v>2779</v>
      </c>
      <c r="GG280" s="199">
        <v>23</v>
      </c>
      <c r="GH280" s="207">
        <f t="shared" si="535"/>
        <v>1484.6499999999999</v>
      </c>
      <c r="GI280" s="199">
        <v>23</v>
      </c>
      <c r="GJ280" s="200">
        <v>67.489999999999995</v>
      </c>
      <c r="GK280" s="63">
        <f t="shared" si="536"/>
        <v>67.620000000000118</v>
      </c>
      <c r="GL280" s="63">
        <f t="shared" si="452"/>
        <v>70.150000000000091</v>
      </c>
      <c r="GM280" s="82">
        <f t="shared" si="537"/>
        <v>0.78750322747224477</v>
      </c>
      <c r="GN280" s="82">
        <f>IF($GZ280="",#N/A,SUM(GM$4:GM280))</f>
        <v>5.231459245234312</v>
      </c>
      <c r="GO280" s="82" t="str">
        <f t="shared" si="538"/>
        <v/>
      </c>
      <c r="GP280" s="82">
        <f>IF($GZ280="",#N/A,SUM(GO$4:GO280))</f>
        <v>15.291798081229167</v>
      </c>
      <c r="GQ280" s="82" t="str">
        <f t="shared" si="539"/>
        <v/>
      </c>
      <c r="GR280" s="82">
        <f>IF($GZ280="",#N/A,SUM(GQ$4:GQ280))</f>
        <v>35.386129485074051</v>
      </c>
      <c r="GS280" s="63" t="e">
        <f t="shared" si="548"/>
        <v>#N/A</v>
      </c>
      <c r="GT280" s="63" t="e">
        <f>IF($GZ280="",#N/A,SUM(GS$4:GS280))</f>
        <v>#N/A</v>
      </c>
      <c r="GU280" s="63" t="str">
        <f t="shared" si="549"/>
        <v/>
      </c>
      <c r="GV280" s="63" t="e">
        <f>IF($GZ280="",#N/A,SUM(GU$4:GU280))</f>
        <v>#N/A</v>
      </c>
      <c r="GW280" s="63" t="str">
        <f t="shared" si="550"/>
        <v/>
      </c>
      <c r="GX280" s="63" t="e">
        <f>IF($GZ280="",#N/A,SUM(GW$4:GW280))</f>
        <v>#N/A</v>
      </c>
      <c r="GY280" s="63" t="e">
        <f>IF(EJ280="",#N/A,SUM($EJ$4:EJ280))</f>
        <v>#N/A</v>
      </c>
      <c r="GZ280" s="158">
        <v>67.599999999999994</v>
      </c>
      <c r="HA280" s="63">
        <f t="shared" si="540"/>
        <v>2.2999999999999545</v>
      </c>
      <c r="HB280" s="62" t="s">
        <v>2538</v>
      </c>
      <c r="HC280" s="60">
        <f>IFERROR(VLOOKUP(E280,Expectancy!$P$4:$S$19,1+C280,FALSE),"")</f>
        <v>0.40561946259505821</v>
      </c>
      <c r="HD280" s="82">
        <f t="shared" si="541"/>
        <v>0.75910147172734455</v>
      </c>
      <c r="HE280" s="138">
        <f>IF(HD280="",#N/A,SUM($HD$4:HD280))</f>
        <v>8.7110575047691121</v>
      </c>
      <c r="HF280" s="85">
        <f>IF(HD280="",#N/A,IF(HB280="Skip",#N/A,SUM($HG$4:HG280)))</f>
        <v>266.61657921915474</v>
      </c>
      <c r="HG280" s="63">
        <f t="shared" si="542"/>
        <v>67.620000000000118</v>
      </c>
      <c r="HH280" s="82">
        <f t="shared" si="543"/>
        <v>0.78750322747224477</v>
      </c>
    </row>
    <row r="281" spans="1:216" x14ac:dyDescent="0.25">
      <c r="A281" s="57" t="s">
        <v>1323</v>
      </c>
      <c r="B281" s="58" t="s">
        <v>5236</v>
      </c>
      <c r="C281" s="386">
        <f t="shared" si="453"/>
        <v>3</v>
      </c>
      <c r="D281" s="372" t="str">
        <f>_xlfn.XLOOKUP(A281,[1]SP500!$A$2:$A$502,[1]SP500!$D$2:$D$502,"N")</f>
        <v>Y</v>
      </c>
      <c r="E281" s="57" t="str">
        <f>_xlfn.XLOOKUP(A281,[1]SP500!$A$2:$A$655,[1]SP500!$B$2:$B$655)</f>
        <v>XLF</v>
      </c>
      <c r="F281" s="59">
        <v>45699</v>
      </c>
      <c r="G281" s="57" t="str">
        <f t="shared" si="454"/>
        <v>BMO</v>
      </c>
      <c r="H281" s="57" t="str">
        <f t="shared" si="455"/>
        <v>s</v>
      </c>
      <c r="I281" s="159">
        <v>515.29999999999995</v>
      </c>
      <c r="J281" s="158">
        <v>540</v>
      </c>
      <c r="K281" s="61">
        <f t="shared" si="456"/>
        <v>4.7933242771201333E-2</v>
      </c>
      <c r="L281" s="87">
        <f t="shared" si="457"/>
        <v>74.100000000000136</v>
      </c>
      <c r="M281" s="130">
        <f t="shared" si="450"/>
        <v>0</v>
      </c>
      <c r="N281" s="169" t="str">
        <f t="shared" si="458"/>
        <v/>
      </c>
      <c r="O281" s="169">
        <f>IF($J281="",#N/A,SUM($N$4:N281))</f>
        <v>451.02671935422518</v>
      </c>
      <c r="P281" s="174" t="str">
        <f t="shared" si="459"/>
        <v/>
      </c>
      <c r="Q281" s="174">
        <f>IF($J281="",#N/A,SUM($P$4:P281))</f>
        <v>595.64890674734136</v>
      </c>
      <c r="R281" s="178">
        <f t="shared" si="460"/>
        <v>74.100000000000136</v>
      </c>
      <c r="S281" s="178">
        <f>IF($J281="",#N/A,SUM($R$4:R281))</f>
        <v>423.28445814372731</v>
      </c>
      <c r="T281" s="290" t="str">
        <f t="shared" si="461"/>
        <v/>
      </c>
      <c r="U281" s="290">
        <f>IF($J281="",#N/A,SUM($T$4:T281))</f>
        <v>17.579398395902857</v>
      </c>
      <c r="V281" s="291" t="str">
        <f t="shared" si="462"/>
        <v/>
      </c>
      <c r="W281" s="291">
        <f>IF($J281="",#N/A,SUM($V$4:V281))</f>
        <v>25.596167080511073</v>
      </c>
      <c r="X281" s="292">
        <f t="shared" si="463"/>
        <v>0.7988873795200222</v>
      </c>
      <c r="Y281" s="292">
        <f>IF($J281="",#N/A,SUM($X$4:X281))</f>
        <v>11.706621766827269</v>
      </c>
      <c r="Z281" s="304" t="str">
        <f t="shared" si="464"/>
        <v/>
      </c>
      <c r="AA281" s="313" t="e">
        <f>IF($J281="",#N/A,SUM(Z$4:Z281))</f>
        <v>#N/A</v>
      </c>
      <c r="AB281" s="314" t="str">
        <f t="shared" si="465"/>
        <v/>
      </c>
      <c r="AC281" s="314" t="e">
        <f>IF($J281="",#N/A,SUM(AB$4:AB281))</f>
        <v>#N/A</v>
      </c>
      <c r="AD281" s="315" t="str">
        <f t="shared" si="466"/>
        <v/>
      </c>
      <c r="AE281" s="315" t="e">
        <f>IF($J281="",#N/A,SUM(AD$4:AD281))</f>
        <v>#N/A</v>
      </c>
      <c r="AF281" s="315" t="e">
        <f>IF($J281="",#N/A,SUM(AD$4:AD281,AB$4:AB281,Z$4:Z281))</f>
        <v>#N/A</v>
      </c>
      <c r="AG281" s="304" t="str">
        <f t="shared" si="467"/>
        <v/>
      </c>
      <c r="AH281" s="313" t="e">
        <f>IF($J281="",#N/A,SUM(AG$4:AG281))</f>
        <v>#N/A</v>
      </c>
      <c r="AI281" s="314" t="str">
        <f t="shared" si="468"/>
        <v/>
      </c>
      <c r="AJ281" s="314" t="e">
        <f>IF($J281="",#N/A,SUM(AI$4:AI281))</f>
        <v>#N/A</v>
      </c>
      <c r="AK281" s="315" t="str">
        <f t="shared" si="469"/>
        <v/>
      </c>
      <c r="AL281" s="315" t="e">
        <f>IF($J281="",#N/A,SUM(AK$4:AK281))</f>
        <v>#N/A</v>
      </c>
      <c r="AM281" s="315" t="e">
        <f>IF($J281="",#N/A,SUM(AK$4:AK281,AI$4:AI281,AG$4:AG281))</f>
        <v>#N/A</v>
      </c>
      <c r="AN281" s="304" t="str">
        <f t="shared" si="470"/>
        <v/>
      </c>
      <c r="AO281" s="313" t="e">
        <f>IF($J281="",#N/A,SUM(AN$4:AN281))</f>
        <v>#N/A</v>
      </c>
      <c r="AP281" s="314" t="str">
        <f t="shared" si="471"/>
        <v/>
      </c>
      <c r="AQ281" s="314" t="e">
        <f>IF($J281="",#N/A,SUM(AP$4:AP281))</f>
        <v>#N/A</v>
      </c>
      <c r="AR281" s="315" t="str">
        <f t="shared" si="472"/>
        <v/>
      </c>
      <c r="AS281" s="315" t="e">
        <f>IF($J281="",#N/A,SUM(AR$4:AR281))</f>
        <v>#N/A</v>
      </c>
      <c r="AT281" s="315" t="e">
        <f>IF($J281="",#N/A,SUM(AR$4:AR281,AP$4:AP281,AN$4:AN281))</f>
        <v>#N/A</v>
      </c>
      <c r="AU281" s="304" t="str">
        <f t="shared" si="473"/>
        <v/>
      </c>
      <c r="AV281" s="313" t="e">
        <f>IF($J281="",#N/A,SUM(AU$4:AU281))</f>
        <v>#N/A</v>
      </c>
      <c r="AW281" s="314" t="str">
        <f t="shared" si="474"/>
        <v/>
      </c>
      <c r="AX281" s="314" t="e">
        <f>IF($J281="",#N/A,SUM(AW$4:AW281))</f>
        <v>#N/A</v>
      </c>
      <c r="AY281" s="315" t="str">
        <f t="shared" si="475"/>
        <v/>
      </c>
      <c r="AZ281" s="315" t="e">
        <f>IF($J281="",#N/A,SUM(AY$4:AY281))</f>
        <v>#N/A</v>
      </c>
      <c r="BA281" s="315" t="e">
        <f>IF($J281="",#N/A,SUM(AY$4:AY281,AW$4:AW281,AU$4:AU281))</f>
        <v>#N/A</v>
      </c>
      <c r="BB281" s="304" t="str">
        <f t="shared" si="476"/>
        <v/>
      </c>
      <c r="BC281" s="313" t="e">
        <f>IF($J281="",#N/A,SUM(BB$4:BB281))</f>
        <v>#N/A</v>
      </c>
      <c r="BD281" s="314" t="str">
        <f t="shared" si="477"/>
        <v/>
      </c>
      <c r="BE281" s="314" t="e">
        <f>IF($J281="",#N/A,SUM(BD$4:BD281))</f>
        <v>#N/A</v>
      </c>
      <c r="BF281" s="315" t="str">
        <f t="shared" si="478"/>
        <v/>
      </c>
      <c r="BG281" s="315" t="e">
        <f>IF($J281="",#N/A,SUM(BF$4:BF281))</f>
        <v>#N/A</v>
      </c>
      <c r="BH281" s="315" t="e">
        <f>IF($J281="",#N/A,SUM(BF$4:BF281,BD$4:BD281,BB$4:BB281))</f>
        <v>#N/A</v>
      </c>
      <c r="BI281" s="304" t="str">
        <f t="shared" si="479"/>
        <v/>
      </c>
      <c r="BJ281" s="313" t="e">
        <f>IF($J281="",#N/A,SUM(BI$4:BI281))</f>
        <v>#N/A</v>
      </c>
      <c r="BK281" s="314" t="str">
        <f t="shared" si="480"/>
        <v/>
      </c>
      <c r="BL281" s="314" t="e">
        <f>IF($J281="",#N/A,SUM(BK$4:BK281))</f>
        <v>#N/A</v>
      </c>
      <c r="BM281" s="315">
        <f t="shared" si="481"/>
        <v>0.7988873795200222</v>
      </c>
      <c r="BN281" s="315" t="e">
        <f>IF($J281="",#N/A,SUM(BM$4:BM281))</f>
        <v>#N/A</v>
      </c>
      <c r="BO281" s="315" t="e">
        <f>IF($J281="",#N/A,SUM(BM$4:BM281,BK$4:BK281,BI$4:BI281))</f>
        <v>#N/A</v>
      </c>
      <c r="BP281" s="304" t="str">
        <f t="shared" si="482"/>
        <v/>
      </c>
      <c r="BQ281" s="313" t="e">
        <f>IF($J281="",#N/A,SUM(BP$4:BP281))</f>
        <v>#N/A</v>
      </c>
      <c r="BR281" s="314" t="str">
        <f t="shared" si="483"/>
        <v/>
      </c>
      <c r="BS281" s="314" t="e">
        <f>IF($J281="",#N/A,SUM(BR$4:BR281))</f>
        <v>#N/A</v>
      </c>
      <c r="BT281" s="315" t="str">
        <f t="shared" si="484"/>
        <v/>
      </c>
      <c r="BU281" s="315" t="e">
        <f>IF($J281="",#N/A,SUM(BT$4:BT281))</f>
        <v>#N/A</v>
      </c>
      <c r="BV281" s="315" t="e">
        <f>IF($J281="",#N/A,SUM(BT$4:BT281,BR$4:BR281,BP$4:BP281))</f>
        <v>#N/A</v>
      </c>
      <c r="BW281" s="304" t="str">
        <f t="shared" si="485"/>
        <v/>
      </c>
      <c r="BX281" s="313" t="e">
        <f>IF($J281="",#N/A,SUM(BW$4:BW281))</f>
        <v>#N/A</v>
      </c>
      <c r="BY281" s="314" t="str">
        <f t="shared" si="486"/>
        <v/>
      </c>
      <c r="BZ281" s="314" t="e">
        <f>IF($J281="",#N/A,SUM(BY$4:BY281))</f>
        <v>#N/A</v>
      </c>
      <c r="CA281" s="315" t="str">
        <f t="shared" si="487"/>
        <v/>
      </c>
      <c r="CB281" s="315" t="e">
        <f>IF($J281="",#N/A,SUM(CA$4:CA281))</f>
        <v>#N/A</v>
      </c>
      <c r="CC281" s="315" t="e">
        <f>IF($J281="",#N/A,SUM(CA$4:CA281,BY$4:BY281,BW$4:BW281))</f>
        <v>#N/A</v>
      </c>
      <c r="CD281" s="304" t="str">
        <f t="shared" si="488"/>
        <v/>
      </c>
      <c r="CE281" s="313" t="e">
        <f>IF($J281="",#N/A,SUM(CD$4:CD281))</f>
        <v>#N/A</v>
      </c>
      <c r="CF281" s="314" t="str">
        <f t="shared" si="489"/>
        <v/>
      </c>
      <c r="CG281" s="314" t="e">
        <f>IF($J281="",#N/A,SUM(CF$4:CF281))</f>
        <v>#N/A</v>
      </c>
      <c r="CH281" s="315" t="str">
        <f t="shared" si="490"/>
        <v/>
      </c>
      <c r="CI281" s="315" t="e">
        <f>IF($J281="",#N/A,SUM(CH$4:CH281))</f>
        <v>#N/A</v>
      </c>
      <c r="CJ281" s="315" t="e">
        <f>IF($J281="",#N/A,SUM(CH$4:CH281,CF$4:CF281,CD$4:CD281))</f>
        <v>#N/A</v>
      </c>
      <c r="CK281" s="304" t="str">
        <f t="shared" si="491"/>
        <v/>
      </c>
      <c r="CL281" s="313" t="e">
        <f>IF($J281="",#N/A,SUM(CK$4:CK281))</f>
        <v>#N/A</v>
      </c>
      <c r="CM281" s="314" t="str">
        <f t="shared" si="492"/>
        <v/>
      </c>
      <c r="CN281" s="314" t="e">
        <f>IF($J281="",#N/A,SUM(CM$4:CM281))</f>
        <v>#N/A</v>
      </c>
      <c r="CO281" s="315" t="str">
        <f t="shared" si="493"/>
        <v/>
      </c>
      <c r="CP281" s="315" t="e">
        <f>IF($J281="",#N/A,SUM(CO$4:CO281))</f>
        <v>#N/A</v>
      </c>
      <c r="CQ281" s="315" t="e">
        <f>IF($J281="",#N/A,SUM(CO$4:CO281,CM$4:CM281,CK$4:CK281))</f>
        <v>#N/A</v>
      </c>
      <c r="CR281" s="304" t="str">
        <f t="shared" si="494"/>
        <v/>
      </c>
      <c r="CS281" s="313" t="e">
        <f>IF($J281="",#N/A,SUM(CR$4:CR281))</f>
        <v>#N/A</v>
      </c>
      <c r="CT281" s="314" t="str">
        <f t="shared" si="495"/>
        <v/>
      </c>
      <c r="CU281" s="314" t="e">
        <f>IF($J281="",#N/A,SUM(CT$4:CT281))</f>
        <v>#N/A</v>
      </c>
      <c r="CV281" s="315" t="str">
        <f t="shared" si="496"/>
        <v/>
      </c>
      <c r="CW281" s="315" t="e">
        <f>IF($J281="",#N/A,SUM(CV$4:CV281))</f>
        <v>#N/A</v>
      </c>
      <c r="CX281" s="315" t="e">
        <f>IF($J281="",#N/A,SUM(CV$4:CV281,CT$4:CT281,CR$4:CR281))</f>
        <v>#N/A</v>
      </c>
      <c r="CY281" s="304" t="str">
        <f t="shared" si="497"/>
        <v/>
      </c>
      <c r="CZ281" s="313" t="e">
        <f>IF($J281="",#N/A,SUM(CY$4:CY281))</f>
        <v>#N/A</v>
      </c>
      <c r="DA281" s="314" t="str">
        <f t="shared" si="498"/>
        <v/>
      </c>
      <c r="DB281" s="314" t="e">
        <f>IF($J281="",#N/A,SUM(DA$4:DA281))</f>
        <v>#N/A</v>
      </c>
      <c r="DC281" s="315" t="str">
        <f t="shared" si="499"/>
        <v/>
      </c>
      <c r="DD281" s="315" t="e">
        <f>IF($J281="",#N/A,SUM(DC$4:DC281))</f>
        <v>#N/A</v>
      </c>
      <c r="DE281" s="315" t="e">
        <f>IF($J281="",#N/A,SUM(DC$4:DC281,DA$4:DA281,CY$4:CY281))</f>
        <v>#N/A</v>
      </c>
      <c r="DF281" s="304" t="str">
        <f t="shared" si="500"/>
        <v/>
      </c>
      <c r="DG281" s="313" t="e">
        <f>IF($J281="",#N/A,SUM(DF$4:DF281))</f>
        <v>#N/A</v>
      </c>
      <c r="DH281" s="314" t="str">
        <f t="shared" si="501"/>
        <v/>
      </c>
      <c r="DI281" s="314" t="e">
        <f>IF($J281="",#N/A,SUM(DH$4:DH281))</f>
        <v>#N/A</v>
      </c>
      <c r="DJ281" s="315" t="str">
        <f t="shared" si="502"/>
        <v/>
      </c>
      <c r="DK281" s="315" t="e">
        <f>IF($J281="",#N/A,SUM(DJ$4:DJ281))</f>
        <v>#N/A</v>
      </c>
      <c r="DL281" s="315" t="e">
        <f>IF($J281="",#N/A,SUM(DJ$4:DJ281,DH$4:DH281,DF$4:DF281))</f>
        <v>#N/A</v>
      </c>
      <c r="DM281" s="304" t="str">
        <f t="shared" si="503"/>
        <v/>
      </c>
      <c r="DN281" s="313" t="e">
        <f>IF($J281="",#N/A,SUM(DM$4:DM281))</f>
        <v>#N/A</v>
      </c>
      <c r="DO281" s="314" t="str">
        <f t="shared" si="504"/>
        <v/>
      </c>
      <c r="DP281" s="314" t="e">
        <f>IF($J281="",#N/A,SUM(DO$4:DO281))</f>
        <v>#N/A</v>
      </c>
      <c r="DQ281" s="315" t="str">
        <f t="shared" si="505"/>
        <v/>
      </c>
      <c r="DR281" s="315" t="e">
        <f>IF($J281="",#N/A,SUM(DQ$4:DQ281))</f>
        <v>#N/A</v>
      </c>
      <c r="DS281" s="315" t="e">
        <f>IF($J281="",#N/A,SUM(DQ$4:DQ281,DO$4:DO281,DM$4:DM281))</f>
        <v>#N/A</v>
      </c>
      <c r="DT281" s="304" t="str">
        <f t="shared" si="506"/>
        <v/>
      </c>
      <c r="DU281" s="313" t="e">
        <f>IF($J281="",#N/A,SUM(DT$4:DT281))</f>
        <v>#N/A</v>
      </c>
      <c r="DV281" s="314" t="str">
        <f t="shared" si="507"/>
        <v/>
      </c>
      <c r="DW281" s="314" t="e">
        <f>IF($J281="",#N/A,SUM(DV$4:DV281))</f>
        <v>#N/A</v>
      </c>
      <c r="DX281" s="315" t="str">
        <f t="shared" si="508"/>
        <v/>
      </c>
      <c r="DY281" s="315" t="e">
        <f>IF($J281="",#N/A,SUM(DX$4:DX281))</f>
        <v>#N/A</v>
      </c>
      <c r="DZ281" s="315" t="e">
        <f>IF($J281="",#N/A,SUM(DX$4:DX281,DV$4:DV281,DT$4:DT281))</f>
        <v>#N/A</v>
      </c>
      <c r="EA281" s="304" t="str">
        <f t="shared" si="509"/>
        <v/>
      </c>
      <c r="EB281" s="313" t="e">
        <f>IF($J281="",#N/A,SUM(EA$4:EA281))</f>
        <v>#N/A</v>
      </c>
      <c r="EC281" s="314" t="str">
        <f t="shared" si="510"/>
        <v/>
      </c>
      <c r="ED281" s="314" t="e">
        <f>IF($J281="",#N/A,SUM(EC$4:EC281))</f>
        <v>#N/A</v>
      </c>
      <c r="EE281" s="315" t="str">
        <f t="shared" si="511"/>
        <v/>
      </c>
      <c r="EF281" s="315" t="e">
        <f>IF($J281="",#N/A,SUM(EE$4:EE281))</f>
        <v>#N/A</v>
      </c>
      <c r="EG281" s="315" t="e">
        <f>IF($J281="",#N/A,SUM(EE$4:EE281,EC$4:EC281,EA$4:EA281))</f>
        <v>#N/A</v>
      </c>
      <c r="EH281" s="130">
        <f t="shared" si="512"/>
        <v>74.100000000000136</v>
      </c>
      <c r="EI281" s="63">
        <f>IF(EH281="",#N/A,SUM($EH$4:EH281))</f>
        <v>1469.960084245294</v>
      </c>
      <c r="EJ281" s="223" t="e">
        <f t="shared" si="513"/>
        <v>#N/A</v>
      </c>
      <c r="EK281" s="63" t="e">
        <f>IF($GZ281="",#N/A,SUM(EJ$4:EJ281))</f>
        <v>#N/A</v>
      </c>
      <c r="EL281" s="60">
        <f t="shared" si="544"/>
        <v>0.7988873795200222</v>
      </c>
      <c r="EM281" s="60">
        <f>IF(EL281="",NA(),SUM($EL$4:EL281))</f>
        <v>45.430552034899726</v>
      </c>
      <c r="EN281" s="60" t="str">
        <f t="shared" si="514"/>
        <v/>
      </c>
      <c r="EO281" s="60" t="e">
        <f>IF(EN281="",NA(),SUM($EN$4:EN281))</f>
        <v>#N/A</v>
      </c>
      <c r="EP281" s="60">
        <f t="shared" si="515"/>
        <v>0.7988873795200222</v>
      </c>
      <c r="EQ281" s="60">
        <f>IF(EP281="",NA(),SUM($EP$4:EP281))</f>
        <v>12.377236182596953</v>
      </c>
      <c r="ER281" s="60" t="str">
        <f t="shared" si="516"/>
        <v/>
      </c>
      <c r="ES281" s="60" t="e">
        <f>IF(ER281="",NA(),SUM($ER$4:ER281))</f>
        <v>#N/A</v>
      </c>
      <c r="ET281" s="60" t="str">
        <f t="shared" si="517"/>
        <v/>
      </c>
      <c r="EU281" s="60" t="e">
        <f>IF(ET281="",NA(),SUM($ET$4:ET281))</f>
        <v>#N/A</v>
      </c>
      <c r="EV281" s="60" t="str">
        <f t="shared" si="518"/>
        <v/>
      </c>
      <c r="EW281" s="60" t="e">
        <f>IF(EV281="",NA(),SUM($EV$4:EV281))</f>
        <v>#N/A</v>
      </c>
      <c r="EX281" s="60" t="str">
        <f t="shared" si="519"/>
        <v/>
      </c>
      <c r="EY281" s="60" t="e">
        <f>IF(EX281="",NA(),SUM($EX$4:EX281))</f>
        <v>#N/A</v>
      </c>
      <c r="EZ281" s="60" t="str">
        <f t="shared" si="520"/>
        <v/>
      </c>
      <c r="FA281" s="60" t="e">
        <f>IF(EZ281="",NA(),SUM($EZ$4:EZ281))</f>
        <v>#N/A</v>
      </c>
      <c r="FB281" s="246" t="str">
        <f t="shared" si="545"/>
        <v/>
      </c>
      <c r="FC281" s="246" t="e">
        <f>IF($FB281="",#N/A,SUM(FB$4:$FB281))</f>
        <v>#N/A</v>
      </c>
      <c r="FD281" s="60" t="str">
        <f t="shared" si="521"/>
        <v/>
      </c>
      <c r="FE281" s="60" t="e">
        <f>IF($FD281="",#N/A,SUM($FD$4:FD281))</f>
        <v>#N/A</v>
      </c>
      <c r="FF281" s="60" t="str">
        <f t="shared" si="522"/>
        <v/>
      </c>
      <c r="FG281" s="60" t="e">
        <f>IF($FF281="",#N/A,SUM($FF$4:FF281))</f>
        <v>#N/A</v>
      </c>
      <c r="FH281" s="60" t="str">
        <f t="shared" si="523"/>
        <v/>
      </c>
      <c r="FI281" s="60" t="e">
        <f>IF($FH281="",#N/A,SUM($FH$4:FH281))</f>
        <v>#N/A</v>
      </c>
      <c r="FJ281" s="60">
        <f t="shared" si="524"/>
        <v>1.6495245488064914E-2</v>
      </c>
      <c r="FK281" s="60">
        <f>IF($FJ281="",#N/A,SUM($FJ$4:FJ281))</f>
        <v>-5.3253302745941191</v>
      </c>
      <c r="FL281" s="60" t="str">
        <f t="shared" si="525"/>
        <v/>
      </c>
      <c r="FM281" s="60" t="e">
        <f>IF($FL281="",#N/A,SUM($FL$4:FL281))</f>
        <v>#N/A</v>
      </c>
      <c r="FN281" s="82">
        <f t="shared" si="526"/>
        <v>0.81538262500808711</v>
      </c>
      <c r="FO281" s="82">
        <f>IF($FN281="",#N/A,SUM(FN$4:$FN281))</f>
        <v>57.350606390987942</v>
      </c>
      <c r="FP281" s="82">
        <f t="shared" si="546"/>
        <v>0.7988873795200222</v>
      </c>
      <c r="FQ281" s="246">
        <f>IF($EH281="",#N/A,SUM($FP$4:FP281))</f>
        <v>54.882187243241184</v>
      </c>
      <c r="FR281" s="82">
        <f>IFERROR(FQ281/COUNTA($J$4:J281),#N/A)</f>
        <v>0.19741793972388916</v>
      </c>
      <c r="FS281" s="82">
        <f t="shared" si="448"/>
        <v>0.35621314148894867</v>
      </c>
      <c r="FT281" s="82">
        <f t="shared" si="449"/>
        <v>0.45475274959336187</v>
      </c>
      <c r="FU281" s="338">
        <f t="shared" si="551"/>
        <v>30.842242358952049</v>
      </c>
      <c r="FV281" s="57" t="str">
        <f t="shared" si="527"/>
        <v>SW</v>
      </c>
      <c r="FW281" s="57" t="s">
        <v>2732</v>
      </c>
      <c r="FX281" s="57" t="str">
        <f t="shared" si="528"/>
        <v/>
      </c>
      <c r="FY281" s="57" t="str">
        <f t="shared" si="529"/>
        <v/>
      </c>
      <c r="FZ281" s="57">
        <f t="shared" si="530"/>
        <v>1</v>
      </c>
      <c r="GA281" s="57" t="str">
        <f t="shared" si="531"/>
        <v>Long</v>
      </c>
      <c r="GB281" s="57" t="str">
        <f t="shared" si="532"/>
        <v/>
      </c>
      <c r="GC281" s="57" t="str">
        <f t="shared" si="533"/>
        <v/>
      </c>
      <c r="GD281" s="57" t="str">
        <f t="shared" si="534"/>
        <v/>
      </c>
      <c r="GE281" s="62">
        <f t="shared" si="451"/>
        <v>515.29999999999995</v>
      </c>
      <c r="GF281" s="62" t="s">
        <v>2779</v>
      </c>
      <c r="GG281" s="199">
        <v>3</v>
      </c>
      <c r="GH281" s="207">
        <f t="shared" si="535"/>
        <v>1545.8999999999999</v>
      </c>
      <c r="GI281" s="199">
        <v>3</v>
      </c>
      <c r="GJ281" s="200">
        <v>540</v>
      </c>
      <c r="GK281" s="63">
        <f t="shared" si="536"/>
        <v>74.100000000000136</v>
      </c>
      <c r="GL281" s="63">
        <f t="shared" si="452"/>
        <v>75.630000000000109</v>
      </c>
      <c r="GM281" s="82">
        <f t="shared" si="537"/>
        <v>0.81538262500808711</v>
      </c>
      <c r="GN281" s="82">
        <f>IF($GZ281="",#N/A,SUM(GM$4:GM281))</f>
        <v>6.0468418702423996</v>
      </c>
      <c r="GO281" s="82" t="str">
        <f t="shared" si="538"/>
        <v/>
      </c>
      <c r="GP281" s="82">
        <f>IF($GZ281="",#N/A,SUM(GO$4:GO281))</f>
        <v>15.291798081229167</v>
      </c>
      <c r="GQ281" s="82" t="str">
        <f t="shared" si="539"/>
        <v/>
      </c>
      <c r="GR281" s="82">
        <f>IF($GZ281="",#N/A,SUM(GQ$4:GQ281))</f>
        <v>35.386129485074051</v>
      </c>
      <c r="GS281" s="63" t="e">
        <f t="shared" si="548"/>
        <v>#N/A</v>
      </c>
      <c r="GT281" s="63" t="e">
        <f>IF($GZ281="",#N/A,SUM(GS$4:GS281))</f>
        <v>#N/A</v>
      </c>
      <c r="GU281" s="63" t="str">
        <f t="shared" si="549"/>
        <v/>
      </c>
      <c r="GV281" s="63" t="e">
        <f>IF($GZ281="",#N/A,SUM(GU$4:GU281))</f>
        <v>#N/A</v>
      </c>
      <c r="GW281" s="63" t="str">
        <f t="shared" si="550"/>
        <v/>
      </c>
      <c r="GX281" s="63" t="e">
        <f>IF($GZ281="",#N/A,SUM(GW$4:GW281))</f>
        <v>#N/A</v>
      </c>
      <c r="GY281" s="63" t="e">
        <f>IF(EJ281="",#N/A,SUM($EJ$4:EJ281))</f>
        <v>#N/A</v>
      </c>
      <c r="GZ281" s="158">
        <v>540.51</v>
      </c>
      <c r="HA281" s="63">
        <f t="shared" si="540"/>
        <v>1.5299999999999727</v>
      </c>
      <c r="HB281" s="62" t="s">
        <v>2538</v>
      </c>
      <c r="HC281" s="60">
        <f>IFERROR(VLOOKUP(E281,Expectancy!$P$4:$S$19,1+C281,FALSE),"")</f>
        <v>9.9793136114217987E-2</v>
      </c>
      <c r="HD281" s="82">
        <f t="shared" si="541"/>
        <v>0.7988873795200222</v>
      </c>
      <c r="HE281" s="138">
        <f>IF(HD281="",#N/A,SUM($HD$4:HD281))</f>
        <v>9.5099448842891334</v>
      </c>
      <c r="HF281" s="85">
        <f>IF(HD281="",#N/A,IF(HB281="Skip",#N/A,SUM($HG$4:HG281)))</f>
        <v>340.71657921915488</v>
      </c>
      <c r="HG281" s="63">
        <f t="shared" si="542"/>
        <v>74.100000000000136</v>
      </c>
      <c r="HH281" s="82">
        <f t="shared" si="543"/>
        <v>0.81538262500808711</v>
      </c>
    </row>
    <row r="282" spans="1:216" x14ac:dyDescent="0.25">
      <c r="A282" s="57" t="s">
        <v>48</v>
      </c>
      <c r="B282" s="58" t="s">
        <v>5236</v>
      </c>
      <c r="C282" s="386">
        <f t="shared" si="453"/>
        <v>1</v>
      </c>
      <c r="D282" s="372" t="str">
        <f>_xlfn.XLOOKUP(A282,[1]SP500!$A$2:$A$502,[1]SP500!$D$2:$D$502,"N")</f>
        <v>Y</v>
      </c>
      <c r="E282" s="57" t="str">
        <f>_xlfn.XLOOKUP(A282,[1]SP500!$A$2:$A$655,[1]SP500!$B$2:$B$655)</f>
        <v>XLY</v>
      </c>
      <c r="F282" s="59">
        <v>45699</v>
      </c>
      <c r="G282" s="57" t="str">
        <f t="shared" si="454"/>
        <v>BMO</v>
      </c>
      <c r="H282" s="57" t="str">
        <f t="shared" si="455"/>
        <v>s</v>
      </c>
      <c r="I282" s="159">
        <v>304.45</v>
      </c>
      <c r="J282" s="159">
        <v>291.32</v>
      </c>
      <c r="K282" s="61">
        <f t="shared" si="456"/>
        <v>-4.3126950238134329E-2</v>
      </c>
      <c r="L282" s="87">
        <f t="shared" si="457"/>
        <v>-65.650000000000091</v>
      </c>
      <c r="M282" s="130">
        <f t="shared" si="450"/>
        <v>0</v>
      </c>
      <c r="N282" s="169">
        <f t="shared" si="458"/>
        <v>-65.650000000000091</v>
      </c>
      <c r="O282" s="169">
        <f>IF($J282="",#N/A,SUM($N$4:N282))</f>
        <v>385.37671935422509</v>
      </c>
      <c r="P282" s="174" t="str">
        <f t="shared" si="459"/>
        <v/>
      </c>
      <c r="Q282" s="174">
        <f>IF($J282="",#N/A,SUM($P$4:P282))</f>
        <v>595.64890674734136</v>
      </c>
      <c r="R282" s="178" t="str">
        <f t="shared" si="460"/>
        <v/>
      </c>
      <c r="S282" s="178">
        <f>IF($J282="",#N/A,SUM($R$4:R282))</f>
        <v>423.28445814372731</v>
      </c>
      <c r="T282" s="290">
        <f t="shared" si="461"/>
        <v>-0.71878250396890675</v>
      </c>
      <c r="U282" s="290">
        <f>IF($J282="",#N/A,SUM($T$4:T282))</f>
        <v>16.86061589193395</v>
      </c>
      <c r="V282" s="291" t="str">
        <f t="shared" si="462"/>
        <v/>
      </c>
      <c r="W282" s="291">
        <f>IF($J282="",#N/A,SUM($V$4:V282))</f>
        <v>25.596167080511073</v>
      </c>
      <c r="X282" s="292" t="str">
        <f t="shared" si="463"/>
        <v/>
      </c>
      <c r="Y282" s="292">
        <f>IF($J282="",#N/A,SUM($X$4:X282))</f>
        <v>11.706621766827269</v>
      </c>
      <c r="Z282" s="304" t="str">
        <f t="shared" si="464"/>
        <v/>
      </c>
      <c r="AA282" s="313" t="e">
        <f>IF($J282="",#N/A,SUM(Z$4:Z282))</f>
        <v>#N/A</v>
      </c>
      <c r="AB282" s="314" t="str">
        <f t="shared" si="465"/>
        <v/>
      </c>
      <c r="AC282" s="314" t="e">
        <f>IF($J282="",#N/A,SUM(AB$4:AB282))</f>
        <v>#N/A</v>
      </c>
      <c r="AD282" s="315" t="str">
        <f t="shared" si="466"/>
        <v/>
      </c>
      <c r="AE282" s="315" t="e">
        <f>IF($J282="",#N/A,SUM(AD$4:AD282))</f>
        <v>#N/A</v>
      </c>
      <c r="AF282" s="315" t="e">
        <f>IF($J282="",#N/A,SUM(AD$4:AD282,AB$4:AB282,Z$4:Z282))</f>
        <v>#N/A</v>
      </c>
      <c r="AG282" s="304" t="str">
        <f t="shared" si="467"/>
        <v/>
      </c>
      <c r="AH282" s="313" t="e">
        <f>IF($J282="",#N/A,SUM(AG$4:AG282))</f>
        <v>#N/A</v>
      </c>
      <c r="AI282" s="314" t="str">
        <f t="shared" si="468"/>
        <v/>
      </c>
      <c r="AJ282" s="314" t="e">
        <f>IF($J282="",#N/A,SUM(AI$4:AI282))</f>
        <v>#N/A</v>
      </c>
      <c r="AK282" s="315" t="str">
        <f t="shared" si="469"/>
        <v/>
      </c>
      <c r="AL282" s="315" t="e">
        <f>IF($J282="",#N/A,SUM(AK$4:AK282))</f>
        <v>#N/A</v>
      </c>
      <c r="AM282" s="315" t="e">
        <f>IF($J282="",#N/A,SUM(AK$4:AK282,AI$4:AI282,AG$4:AG282))</f>
        <v>#N/A</v>
      </c>
      <c r="AN282" s="304">
        <f t="shared" si="470"/>
        <v>-0.71878250396890675</v>
      </c>
      <c r="AO282" s="313" t="e">
        <f>IF($J282="",#N/A,SUM(AN$4:AN282))</f>
        <v>#N/A</v>
      </c>
      <c r="AP282" s="314" t="str">
        <f t="shared" si="471"/>
        <v/>
      </c>
      <c r="AQ282" s="314" t="e">
        <f>IF($J282="",#N/A,SUM(AP$4:AP282))</f>
        <v>#N/A</v>
      </c>
      <c r="AR282" s="315" t="str">
        <f t="shared" si="472"/>
        <v/>
      </c>
      <c r="AS282" s="315" t="e">
        <f>IF($J282="",#N/A,SUM(AR$4:AR282))</f>
        <v>#N/A</v>
      </c>
      <c r="AT282" s="315" t="e">
        <f>IF($J282="",#N/A,SUM(AR$4:AR282,AP$4:AP282,AN$4:AN282))</f>
        <v>#N/A</v>
      </c>
      <c r="AU282" s="304" t="str">
        <f t="shared" si="473"/>
        <v/>
      </c>
      <c r="AV282" s="313" t="e">
        <f>IF($J282="",#N/A,SUM(AU$4:AU282))</f>
        <v>#N/A</v>
      </c>
      <c r="AW282" s="314" t="str">
        <f t="shared" si="474"/>
        <v/>
      </c>
      <c r="AX282" s="314" t="e">
        <f>IF($J282="",#N/A,SUM(AW$4:AW282))</f>
        <v>#N/A</v>
      </c>
      <c r="AY282" s="315" t="str">
        <f t="shared" si="475"/>
        <v/>
      </c>
      <c r="AZ282" s="315" t="e">
        <f>IF($J282="",#N/A,SUM(AY$4:AY282))</f>
        <v>#N/A</v>
      </c>
      <c r="BA282" s="315" t="e">
        <f>IF($J282="",#N/A,SUM(AY$4:AY282,AW$4:AW282,AU$4:AU282))</f>
        <v>#N/A</v>
      </c>
      <c r="BB282" s="304" t="str">
        <f t="shared" si="476"/>
        <v/>
      </c>
      <c r="BC282" s="313" t="e">
        <f>IF($J282="",#N/A,SUM(BB$4:BB282))</f>
        <v>#N/A</v>
      </c>
      <c r="BD282" s="314" t="str">
        <f t="shared" si="477"/>
        <v/>
      </c>
      <c r="BE282" s="314" t="e">
        <f>IF($J282="",#N/A,SUM(BD$4:BD282))</f>
        <v>#N/A</v>
      </c>
      <c r="BF282" s="315" t="str">
        <f t="shared" si="478"/>
        <v/>
      </c>
      <c r="BG282" s="315" t="e">
        <f>IF($J282="",#N/A,SUM(BF$4:BF282))</f>
        <v>#N/A</v>
      </c>
      <c r="BH282" s="315" t="e">
        <f>IF($J282="",#N/A,SUM(BF$4:BF282,BD$4:BD282,BB$4:BB282))</f>
        <v>#N/A</v>
      </c>
      <c r="BI282" s="304" t="str">
        <f t="shared" si="479"/>
        <v/>
      </c>
      <c r="BJ282" s="313" t="e">
        <f>IF($J282="",#N/A,SUM(BI$4:BI282))</f>
        <v>#N/A</v>
      </c>
      <c r="BK282" s="314" t="str">
        <f t="shared" si="480"/>
        <v/>
      </c>
      <c r="BL282" s="314" t="e">
        <f>IF($J282="",#N/A,SUM(BK$4:BK282))</f>
        <v>#N/A</v>
      </c>
      <c r="BM282" s="315" t="str">
        <f t="shared" si="481"/>
        <v/>
      </c>
      <c r="BN282" s="315" t="e">
        <f>IF($J282="",#N/A,SUM(BM$4:BM282))</f>
        <v>#N/A</v>
      </c>
      <c r="BO282" s="315" t="e">
        <f>IF($J282="",#N/A,SUM(BM$4:BM282,BK$4:BK282,BI$4:BI282))</f>
        <v>#N/A</v>
      </c>
      <c r="BP282" s="304" t="str">
        <f t="shared" si="482"/>
        <v/>
      </c>
      <c r="BQ282" s="313" t="e">
        <f>IF($J282="",#N/A,SUM(BP$4:BP282))</f>
        <v>#N/A</v>
      </c>
      <c r="BR282" s="314" t="str">
        <f t="shared" si="483"/>
        <v/>
      </c>
      <c r="BS282" s="314" t="e">
        <f>IF($J282="",#N/A,SUM(BR$4:BR282))</f>
        <v>#N/A</v>
      </c>
      <c r="BT282" s="315" t="str">
        <f t="shared" si="484"/>
        <v/>
      </c>
      <c r="BU282" s="315" t="e">
        <f>IF($J282="",#N/A,SUM(BT$4:BT282))</f>
        <v>#N/A</v>
      </c>
      <c r="BV282" s="315" t="e">
        <f>IF($J282="",#N/A,SUM(BT$4:BT282,BR$4:BR282,BP$4:BP282))</f>
        <v>#N/A</v>
      </c>
      <c r="BW282" s="304" t="str">
        <f t="shared" si="485"/>
        <v/>
      </c>
      <c r="BX282" s="313" t="e">
        <f>IF($J282="",#N/A,SUM(BW$4:BW282))</f>
        <v>#N/A</v>
      </c>
      <c r="BY282" s="314" t="str">
        <f t="shared" si="486"/>
        <v/>
      </c>
      <c r="BZ282" s="314" t="e">
        <f>IF($J282="",#N/A,SUM(BY$4:BY282))</f>
        <v>#N/A</v>
      </c>
      <c r="CA282" s="315" t="str">
        <f t="shared" si="487"/>
        <v/>
      </c>
      <c r="CB282" s="315" t="e">
        <f>IF($J282="",#N/A,SUM(CA$4:CA282))</f>
        <v>#N/A</v>
      </c>
      <c r="CC282" s="315" t="e">
        <f>IF($J282="",#N/A,SUM(CA$4:CA282,BY$4:BY282,BW$4:BW282))</f>
        <v>#N/A</v>
      </c>
      <c r="CD282" s="304" t="str">
        <f t="shared" si="488"/>
        <v/>
      </c>
      <c r="CE282" s="313" t="e">
        <f>IF($J282="",#N/A,SUM(CD$4:CD282))</f>
        <v>#N/A</v>
      </c>
      <c r="CF282" s="314" t="str">
        <f t="shared" si="489"/>
        <v/>
      </c>
      <c r="CG282" s="314" t="e">
        <f>IF($J282="",#N/A,SUM(CF$4:CF282))</f>
        <v>#N/A</v>
      </c>
      <c r="CH282" s="315" t="str">
        <f t="shared" si="490"/>
        <v/>
      </c>
      <c r="CI282" s="315" t="e">
        <f>IF($J282="",#N/A,SUM(CH$4:CH282))</f>
        <v>#N/A</v>
      </c>
      <c r="CJ282" s="315" t="e">
        <f>IF($J282="",#N/A,SUM(CH$4:CH282,CF$4:CF282,CD$4:CD282))</f>
        <v>#N/A</v>
      </c>
      <c r="CK282" s="304" t="str">
        <f t="shared" si="491"/>
        <v/>
      </c>
      <c r="CL282" s="313" t="e">
        <f>IF($J282="",#N/A,SUM(CK$4:CK282))</f>
        <v>#N/A</v>
      </c>
      <c r="CM282" s="314" t="str">
        <f t="shared" si="492"/>
        <v/>
      </c>
      <c r="CN282" s="314" t="e">
        <f>IF($J282="",#N/A,SUM(CM$4:CM282))</f>
        <v>#N/A</v>
      </c>
      <c r="CO282" s="315" t="str">
        <f t="shared" si="493"/>
        <v/>
      </c>
      <c r="CP282" s="315" t="e">
        <f>IF($J282="",#N/A,SUM(CO$4:CO282))</f>
        <v>#N/A</v>
      </c>
      <c r="CQ282" s="315" t="e">
        <f>IF($J282="",#N/A,SUM(CO$4:CO282,CM$4:CM282,CK$4:CK282))</f>
        <v>#N/A</v>
      </c>
      <c r="CR282" s="304" t="str">
        <f t="shared" si="494"/>
        <v/>
      </c>
      <c r="CS282" s="313" t="e">
        <f>IF($J282="",#N/A,SUM(CR$4:CR282))</f>
        <v>#N/A</v>
      </c>
      <c r="CT282" s="314" t="str">
        <f t="shared" si="495"/>
        <v/>
      </c>
      <c r="CU282" s="314" t="e">
        <f>IF($J282="",#N/A,SUM(CT$4:CT282))</f>
        <v>#N/A</v>
      </c>
      <c r="CV282" s="315" t="str">
        <f t="shared" si="496"/>
        <v/>
      </c>
      <c r="CW282" s="315" t="e">
        <f>IF($J282="",#N/A,SUM(CV$4:CV282))</f>
        <v>#N/A</v>
      </c>
      <c r="CX282" s="315" t="e">
        <f>IF($J282="",#N/A,SUM(CV$4:CV282,CT$4:CT282,CR$4:CR282))</f>
        <v>#N/A</v>
      </c>
      <c r="CY282" s="304" t="str">
        <f t="shared" si="497"/>
        <v/>
      </c>
      <c r="CZ282" s="313" t="e">
        <f>IF($J282="",#N/A,SUM(CY$4:CY282))</f>
        <v>#N/A</v>
      </c>
      <c r="DA282" s="314" t="str">
        <f t="shared" si="498"/>
        <v/>
      </c>
      <c r="DB282" s="314" t="e">
        <f>IF($J282="",#N/A,SUM(DA$4:DA282))</f>
        <v>#N/A</v>
      </c>
      <c r="DC282" s="315" t="str">
        <f t="shared" si="499"/>
        <v/>
      </c>
      <c r="DD282" s="315" t="e">
        <f>IF($J282="",#N/A,SUM(DC$4:DC282))</f>
        <v>#N/A</v>
      </c>
      <c r="DE282" s="315" t="e">
        <f>IF($J282="",#N/A,SUM(DC$4:DC282,DA$4:DA282,CY$4:CY282))</f>
        <v>#N/A</v>
      </c>
      <c r="DF282" s="304" t="str">
        <f t="shared" si="500"/>
        <v/>
      </c>
      <c r="DG282" s="313" t="e">
        <f>IF($J282="",#N/A,SUM(DF$4:DF282))</f>
        <v>#N/A</v>
      </c>
      <c r="DH282" s="314" t="str">
        <f t="shared" si="501"/>
        <v/>
      </c>
      <c r="DI282" s="314" t="e">
        <f>IF($J282="",#N/A,SUM(DH$4:DH282))</f>
        <v>#N/A</v>
      </c>
      <c r="DJ282" s="315" t="str">
        <f t="shared" si="502"/>
        <v/>
      </c>
      <c r="DK282" s="315" t="e">
        <f>IF($J282="",#N/A,SUM(DJ$4:DJ282))</f>
        <v>#N/A</v>
      </c>
      <c r="DL282" s="315" t="e">
        <f>IF($J282="",#N/A,SUM(DJ$4:DJ282,DH$4:DH282,DF$4:DF282))</f>
        <v>#N/A</v>
      </c>
      <c r="DM282" s="304" t="str">
        <f t="shared" si="503"/>
        <v/>
      </c>
      <c r="DN282" s="313" t="e">
        <f>IF($J282="",#N/A,SUM(DM$4:DM282))</f>
        <v>#N/A</v>
      </c>
      <c r="DO282" s="314" t="str">
        <f t="shared" si="504"/>
        <v/>
      </c>
      <c r="DP282" s="314" t="e">
        <f>IF($J282="",#N/A,SUM(DO$4:DO282))</f>
        <v>#N/A</v>
      </c>
      <c r="DQ282" s="315" t="str">
        <f t="shared" si="505"/>
        <v/>
      </c>
      <c r="DR282" s="315" t="e">
        <f>IF($J282="",#N/A,SUM(DQ$4:DQ282))</f>
        <v>#N/A</v>
      </c>
      <c r="DS282" s="315" t="e">
        <f>IF($J282="",#N/A,SUM(DQ$4:DQ282,DO$4:DO282,DM$4:DM282))</f>
        <v>#N/A</v>
      </c>
      <c r="DT282" s="304" t="str">
        <f t="shared" si="506"/>
        <v/>
      </c>
      <c r="DU282" s="313" t="e">
        <f>IF($J282="",#N/A,SUM(DT$4:DT282))</f>
        <v>#N/A</v>
      </c>
      <c r="DV282" s="314" t="str">
        <f t="shared" si="507"/>
        <v/>
      </c>
      <c r="DW282" s="314" t="e">
        <f>IF($J282="",#N/A,SUM(DV$4:DV282))</f>
        <v>#N/A</v>
      </c>
      <c r="DX282" s="315" t="str">
        <f t="shared" si="508"/>
        <v/>
      </c>
      <c r="DY282" s="315" t="e">
        <f>IF($J282="",#N/A,SUM(DX$4:DX282))</f>
        <v>#N/A</v>
      </c>
      <c r="DZ282" s="315" t="e">
        <f>IF($J282="",#N/A,SUM(DX$4:DX282,DV$4:DV282,DT$4:DT282))</f>
        <v>#N/A</v>
      </c>
      <c r="EA282" s="304" t="str">
        <f t="shared" si="509"/>
        <v/>
      </c>
      <c r="EB282" s="313" t="e">
        <f>IF($J282="",#N/A,SUM(EA$4:EA282))</f>
        <v>#N/A</v>
      </c>
      <c r="EC282" s="314" t="str">
        <f t="shared" si="510"/>
        <v/>
      </c>
      <c r="ED282" s="314" t="e">
        <f>IF($J282="",#N/A,SUM(EC$4:EC282))</f>
        <v>#N/A</v>
      </c>
      <c r="EE282" s="315" t="str">
        <f t="shared" si="511"/>
        <v/>
      </c>
      <c r="EF282" s="315" t="e">
        <f>IF($J282="",#N/A,SUM(EE$4:EE282))</f>
        <v>#N/A</v>
      </c>
      <c r="EG282" s="315" t="e">
        <f>IF($J282="",#N/A,SUM(EE$4:EE282,EC$4:EC282,EA$4:EA282))</f>
        <v>#N/A</v>
      </c>
      <c r="EH282" s="130">
        <f t="shared" si="512"/>
        <v>-65.650000000000091</v>
      </c>
      <c r="EI282" s="63">
        <f>IF(EH282="",#N/A,SUM($EH$4:EH282))</f>
        <v>1404.3100842452939</v>
      </c>
      <c r="EJ282" s="223" t="e">
        <f t="shared" si="513"/>
        <v>#N/A</v>
      </c>
      <c r="EK282" s="63" t="e">
        <f>IF($GZ282="",#N/A,SUM(EJ$4:EJ282))</f>
        <v>#N/A</v>
      </c>
      <c r="EL282" s="60">
        <f t="shared" si="544"/>
        <v>-0.71878250396890675</v>
      </c>
      <c r="EM282" s="60">
        <f>IF(EL282="",NA(),SUM($EL$4:EL282))</f>
        <v>44.711769530930816</v>
      </c>
      <c r="EN282" s="60">
        <f t="shared" si="514"/>
        <v>-0.71878250396890675</v>
      </c>
      <c r="EO282" s="60">
        <f>IF(EN282="",NA(),SUM($EN$4:EN282))</f>
        <v>14.903909067283228</v>
      </c>
      <c r="EP282" s="60" t="str">
        <f t="shared" si="515"/>
        <v/>
      </c>
      <c r="EQ282" s="60" t="e">
        <f>IF(EP282="",NA(),SUM($EP$4:EP282))</f>
        <v>#N/A</v>
      </c>
      <c r="ER282" s="60" t="str">
        <f t="shared" si="516"/>
        <v/>
      </c>
      <c r="ES282" s="60" t="e">
        <f>IF(ER282="",NA(),SUM($ER$4:ER282))</f>
        <v>#N/A</v>
      </c>
      <c r="ET282" s="60" t="str">
        <f t="shared" si="517"/>
        <v/>
      </c>
      <c r="EU282" s="60" t="e">
        <f>IF(ET282="",NA(),SUM($ET$4:ET282))</f>
        <v>#N/A</v>
      </c>
      <c r="EV282" s="60" t="str">
        <f t="shared" si="518"/>
        <v/>
      </c>
      <c r="EW282" s="60" t="e">
        <f>IF(EV282="",NA(),SUM($EV$4:EV282))</f>
        <v>#N/A</v>
      </c>
      <c r="EX282" s="60" t="str">
        <f t="shared" si="519"/>
        <v/>
      </c>
      <c r="EY282" s="60" t="e">
        <f>IF(EX282="",NA(),SUM($EX$4:EX282))</f>
        <v>#N/A</v>
      </c>
      <c r="EZ282" s="60" t="str">
        <f t="shared" si="520"/>
        <v/>
      </c>
      <c r="FA282" s="60" t="e">
        <f>IF(EZ282="",NA(),SUM($EZ$4:EZ282))</f>
        <v>#N/A</v>
      </c>
      <c r="FB282" s="246" t="str">
        <f t="shared" si="545"/>
        <v/>
      </c>
      <c r="FC282" s="246" t="e">
        <f>IF($FB282="",#N/A,SUM(FB$4:$FB282))</f>
        <v>#N/A</v>
      </c>
      <c r="FD282" s="60" t="str">
        <f t="shared" si="521"/>
        <v/>
      </c>
      <c r="FE282" s="60" t="e">
        <f>IF($FD282="",#N/A,SUM($FD$4:FD282))</f>
        <v>#N/A</v>
      </c>
      <c r="FF282" s="60" t="str">
        <f t="shared" si="522"/>
        <v/>
      </c>
      <c r="FG282" s="60" t="e">
        <f>IF($FF282="",#N/A,SUM($FF$4:FF282))</f>
        <v>#N/A</v>
      </c>
      <c r="FH282" s="60">
        <f t="shared" si="523"/>
        <v>-0.18174850823889976</v>
      </c>
      <c r="FI282" s="60">
        <f>IF($FH282="",#N/A,SUM($FH$4:FH282))</f>
        <v>2.192099804237416</v>
      </c>
      <c r="FJ282" s="60" t="str">
        <f t="shared" si="524"/>
        <v/>
      </c>
      <c r="FK282" s="60" t="e">
        <f>IF($FJ282="",#N/A,SUM($FJ$4:FJ282))</f>
        <v>#N/A</v>
      </c>
      <c r="FL282" s="60" t="str">
        <f t="shared" si="525"/>
        <v/>
      </c>
      <c r="FM282" s="60" t="e">
        <f>IF($FL282="",#N/A,SUM($FL$4:FL282))</f>
        <v>#N/A</v>
      </c>
      <c r="FN282" s="82">
        <f t="shared" si="526"/>
        <v>-0.90053101220780651</v>
      </c>
      <c r="FO282" s="82">
        <f>IF($FN282="",#N/A,SUM(FN$4:$FN282))</f>
        <v>56.450075378780134</v>
      </c>
      <c r="FP282" s="82">
        <f t="shared" si="546"/>
        <v>-0.71878250396890675</v>
      </c>
      <c r="FQ282" s="246">
        <f>IF($EH282="",#N/A,SUM($FP$4:FP282))</f>
        <v>54.163404739272274</v>
      </c>
      <c r="FR282" s="82">
        <f>IFERROR(FQ282/COUNTA($J$4:J282),#N/A)</f>
        <v>0.19413406716585044</v>
      </c>
      <c r="FS282" s="82">
        <f t="shared" si="448"/>
        <v>0.35893861915961667</v>
      </c>
      <c r="FT282" s="82">
        <f t="shared" si="449"/>
        <v>0.32827721918025476</v>
      </c>
      <c r="FU282" s="338">
        <f t="shared" si="551"/>
        <v>30.842242358952049</v>
      </c>
      <c r="FV282" s="57" t="str">
        <f t="shared" si="527"/>
        <v>Up</v>
      </c>
      <c r="FW282" s="57" t="s">
        <v>2734</v>
      </c>
      <c r="FX282" s="57" t="str">
        <f t="shared" si="528"/>
        <v/>
      </c>
      <c r="FY282" s="57" t="str">
        <f t="shared" si="529"/>
        <v/>
      </c>
      <c r="FZ282" s="57" t="str">
        <f t="shared" si="530"/>
        <v/>
      </c>
      <c r="GA282" s="57" t="str">
        <f t="shared" si="531"/>
        <v>Long</v>
      </c>
      <c r="GB282" s="57" t="str">
        <f t="shared" si="532"/>
        <v/>
      </c>
      <c r="GC282" s="57">
        <f t="shared" si="533"/>
        <v>1</v>
      </c>
      <c r="GD282" s="57" t="str">
        <f t="shared" si="534"/>
        <v/>
      </c>
      <c r="GE282" s="62">
        <f t="shared" si="451"/>
        <v>304.45</v>
      </c>
      <c r="GF282" s="62" t="s">
        <v>2779</v>
      </c>
      <c r="GG282" s="199">
        <v>5</v>
      </c>
      <c r="GH282" s="207">
        <f t="shared" si="535"/>
        <v>1522.25</v>
      </c>
      <c r="GI282" s="199">
        <v>5</v>
      </c>
      <c r="GJ282" s="200">
        <v>291.32</v>
      </c>
      <c r="GK282" s="63">
        <f t="shared" si="536"/>
        <v>-65.650000000000091</v>
      </c>
      <c r="GL282" s="63">
        <f t="shared" si="452"/>
        <v>-82.25</v>
      </c>
      <c r="GM282" s="82" t="str">
        <f t="shared" si="537"/>
        <v/>
      </c>
      <c r="GN282" s="82">
        <f>IF($GZ282="",#N/A,SUM(GM$4:GM282))</f>
        <v>6.0468418702423996</v>
      </c>
      <c r="GO282" s="82">
        <f t="shared" si="538"/>
        <v>-0.90053101220780651</v>
      </c>
      <c r="GP282" s="82">
        <f>IF($GZ282="",#N/A,SUM(GO$4:GO282))</f>
        <v>14.39126706902136</v>
      </c>
      <c r="GQ282" s="82" t="str">
        <f t="shared" si="539"/>
        <v/>
      </c>
      <c r="GR282" s="82">
        <f>IF($GZ282="",#N/A,SUM(GQ$4:GQ282))</f>
        <v>35.386129485074051</v>
      </c>
      <c r="GS282" s="63" t="str">
        <f t="shared" si="548"/>
        <v/>
      </c>
      <c r="GT282" s="63" t="e">
        <f>IF($GZ282="",#N/A,SUM(GS$4:GS282))</f>
        <v>#N/A</v>
      </c>
      <c r="GU282" s="63" t="e">
        <f t="shared" si="549"/>
        <v>#N/A</v>
      </c>
      <c r="GV282" s="63" t="e">
        <f>IF($GZ282="",#N/A,SUM(GU$4:GU282))</f>
        <v>#N/A</v>
      </c>
      <c r="GW282" s="63" t="str">
        <f t="shared" si="550"/>
        <v/>
      </c>
      <c r="GX282" s="63" t="e">
        <f>IF($GZ282="",#N/A,SUM(GW$4:GW282))</f>
        <v>#N/A</v>
      </c>
      <c r="GY282" s="63" t="e">
        <f>IF(EJ282="",#N/A,SUM($EJ$4:EJ282))</f>
        <v>#N/A</v>
      </c>
      <c r="GZ282" s="158">
        <v>288</v>
      </c>
      <c r="HA282" s="63">
        <f t="shared" si="540"/>
        <v>-16.599999999999909</v>
      </c>
      <c r="HB282" s="62" t="s">
        <v>2538</v>
      </c>
      <c r="HC282" s="60">
        <f>IFERROR(VLOOKUP(E282,Expectancy!$P$4:$S$19,1+C282,FALSE),"")</f>
        <v>9.4642213510490861E-2</v>
      </c>
      <c r="HD282" s="82">
        <f t="shared" si="541"/>
        <v>-0.71878250396890675</v>
      </c>
      <c r="HE282" s="138">
        <f>IF(HD282="",#N/A,SUM($HD$4:HD282))</f>
        <v>8.7911623803202268</v>
      </c>
      <c r="HF282" s="85">
        <f>IF(HD282="",#N/A,IF(HB282="Skip",#N/A,SUM($HG$4:HG282)))</f>
        <v>275.06657921915479</v>
      </c>
      <c r="HG282" s="63">
        <f t="shared" si="542"/>
        <v>-65.650000000000091</v>
      </c>
      <c r="HH282" s="82">
        <f t="shared" si="543"/>
        <v>-0.90053101220780651</v>
      </c>
    </row>
    <row r="283" spans="1:216" x14ac:dyDescent="0.25">
      <c r="A283" s="57" t="s">
        <v>1386</v>
      </c>
      <c r="B283" s="58" t="s">
        <v>5236</v>
      </c>
      <c r="C283" s="386">
        <f t="shared" si="453"/>
        <v>3</v>
      </c>
      <c r="D283" s="372" t="str">
        <f>_xlfn.XLOOKUP(A283,[1]SP500!$A$2:$A$502,[1]SP500!$D$2:$D$502,"N")</f>
        <v>Y</v>
      </c>
      <c r="E283" s="57" t="str">
        <f>_xlfn.XLOOKUP(A283,[1]SP500!$A$2:$A$655,[1]SP500!$B$2:$B$655)</f>
        <v>XLB</v>
      </c>
      <c r="F283" s="59">
        <v>45699</v>
      </c>
      <c r="G283" s="57" t="str">
        <f t="shared" si="454"/>
        <v>BMO</v>
      </c>
      <c r="H283" s="57" t="str">
        <f t="shared" si="455"/>
        <v>s</v>
      </c>
      <c r="I283" s="159">
        <v>245.94</v>
      </c>
      <c r="J283" s="159">
        <v>267.49</v>
      </c>
      <c r="K283" s="61">
        <f t="shared" si="456"/>
        <v>8.762299747905998E-2</v>
      </c>
      <c r="L283" s="87">
        <f t="shared" si="457"/>
        <v>129.30000000000018</v>
      </c>
      <c r="M283" s="130">
        <f t="shared" si="450"/>
        <v>0.42000000000007276</v>
      </c>
      <c r="N283" s="168" t="str">
        <f t="shared" si="458"/>
        <v/>
      </c>
      <c r="O283" s="168">
        <f>IF($J283="",#N/A,SUM($N$4:N283))</f>
        <v>385.37671935422509</v>
      </c>
      <c r="P283" s="173" t="str">
        <f t="shared" si="459"/>
        <v/>
      </c>
      <c r="Q283" s="173">
        <f>IF($J283="",#N/A,SUM($P$4:P283))</f>
        <v>595.64890674734136</v>
      </c>
      <c r="R283" s="177">
        <f t="shared" si="460"/>
        <v>129.30000000000018</v>
      </c>
      <c r="S283" s="177">
        <f>IF($J283="",#N/A,SUM($R$4:R283))</f>
        <v>552.58445814372749</v>
      </c>
      <c r="T283" s="293" t="str">
        <f t="shared" si="461"/>
        <v/>
      </c>
      <c r="U283" s="293">
        <f>IF($J283="",#N/A,SUM($T$4:T283))</f>
        <v>16.86061589193395</v>
      </c>
      <c r="V283" s="294" t="str">
        <f t="shared" si="462"/>
        <v/>
      </c>
      <c r="W283" s="294">
        <f>IF($J283="",#N/A,SUM($V$4:V283))</f>
        <v>25.596167080511073</v>
      </c>
      <c r="X283" s="295">
        <f t="shared" si="463"/>
        <v>1.4603832913176678</v>
      </c>
      <c r="Y283" s="295">
        <f>IF($J283="",#N/A,SUM($X$4:X283))</f>
        <v>13.167005058144936</v>
      </c>
      <c r="Z283" s="304" t="str">
        <f t="shared" si="464"/>
        <v/>
      </c>
      <c r="AA283" s="316" t="e">
        <f>IF($J283="",#N/A,SUM(Z$4:Z283))</f>
        <v>#N/A</v>
      </c>
      <c r="AB283" s="317" t="str">
        <f t="shared" si="465"/>
        <v/>
      </c>
      <c r="AC283" s="317" t="e">
        <f>IF($J283="",#N/A,SUM(AB$4:AB283))</f>
        <v>#N/A</v>
      </c>
      <c r="AD283" s="318" t="str">
        <f t="shared" si="466"/>
        <v/>
      </c>
      <c r="AE283" s="318" t="e">
        <f>IF($J283="",#N/A,SUM(AD$4:AD283))</f>
        <v>#N/A</v>
      </c>
      <c r="AF283" s="318" t="e">
        <f>IF($J283="",#N/A,SUM(AD$4:AD283,AB$4:AB283,Z$4:Z283))</f>
        <v>#N/A</v>
      </c>
      <c r="AG283" s="304" t="str">
        <f t="shared" si="467"/>
        <v/>
      </c>
      <c r="AH283" s="316" t="e">
        <f>IF($J283="",#N/A,SUM(AG$4:AG283))</f>
        <v>#N/A</v>
      </c>
      <c r="AI283" s="317" t="str">
        <f t="shared" si="468"/>
        <v/>
      </c>
      <c r="AJ283" s="317" t="e">
        <f>IF($J283="",#N/A,SUM(AI$4:AI283))</f>
        <v>#N/A</v>
      </c>
      <c r="AK283" s="318" t="str">
        <f t="shared" si="469"/>
        <v/>
      </c>
      <c r="AL283" s="318" t="e">
        <f>IF($J283="",#N/A,SUM(AK$4:AK283))</f>
        <v>#N/A</v>
      </c>
      <c r="AM283" s="318" t="e">
        <f>IF($J283="",#N/A,SUM(AK$4:AK283,AI$4:AI283,AG$4:AG283))</f>
        <v>#N/A</v>
      </c>
      <c r="AN283" s="304" t="str">
        <f t="shared" si="470"/>
        <v/>
      </c>
      <c r="AO283" s="316" t="e">
        <f>IF($J283="",#N/A,SUM(AN$4:AN283))</f>
        <v>#N/A</v>
      </c>
      <c r="AP283" s="317" t="str">
        <f t="shared" si="471"/>
        <v/>
      </c>
      <c r="AQ283" s="317" t="e">
        <f>IF($J283="",#N/A,SUM(AP$4:AP283))</f>
        <v>#N/A</v>
      </c>
      <c r="AR283" s="318" t="str">
        <f t="shared" si="472"/>
        <v/>
      </c>
      <c r="AS283" s="318" t="e">
        <f>IF($J283="",#N/A,SUM(AR$4:AR283))</f>
        <v>#N/A</v>
      </c>
      <c r="AT283" s="318" t="e">
        <f>IF($J283="",#N/A,SUM(AR$4:AR283,AP$4:AP283,AN$4:AN283))</f>
        <v>#N/A</v>
      </c>
      <c r="AU283" s="304" t="str">
        <f t="shared" si="473"/>
        <v/>
      </c>
      <c r="AV283" s="316" t="e">
        <f>IF($J283="",#N/A,SUM(AU$4:AU283))</f>
        <v>#N/A</v>
      </c>
      <c r="AW283" s="317" t="str">
        <f t="shared" si="474"/>
        <v/>
      </c>
      <c r="AX283" s="317" t="e">
        <f>IF($J283="",#N/A,SUM(AW$4:AW283))</f>
        <v>#N/A</v>
      </c>
      <c r="AY283" s="318" t="str">
        <f t="shared" si="475"/>
        <v/>
      </c>
      <c r="AZ283" s="318" t="e">
        <f>IF($J283="",#N/A,SUM(AY$4:AY283))</f>
        <v>#N/A</v>
      </c>
      <c r="BA283" s="318" t="e">
        <f>IF($J283="",#N/A,SUM(AY$4:AY283,AW$4:AW283,AU$4:AU283))</f>
        <v>#N/A</v>
      </c>
      <c r="BB283" s="304" t="str">
        <f t="shared" si="476"/>
        <v/>
      </c>
      <c r="BC283" s="316" t="e">
        <f>IF($J283="",#N/A,SUM(BB$4:BB283))</f>
        <v>#N/A</v>
      </c>
      <c r="BD283" s="317" t="str">
        <f t="shared" si="477"/>
        <v/>
      </c>
      <c r="BE283" s="317" t="e">
        <f>IF($J283="",#N/A,SUM(BD$4:BD283))</f>
        <v>#N/A</v>
      </c>
      <c r="BF283" s="318" t="str">
        <f t="shared" si="478"/>
        <v/>
      </c>
      <c r="BG283" s="318" t="e">
        <f>IF($J283="",#N/A,SUM(BF$4:BF283))</f>
        <v>#N/A</v>
      </c>
      <c r="BH283" s="318" t="e">
        <f>IF($J283="",#N/A,SUM(BF$4:BF283,BD$4:BD283,BB$4:BB283))</f>
        <v>#N/A</v>
      </c>
      <c r="BI283" s="304" t="str">
        <f t="shared" si="479"/>
        <v/>
      </c>
      <c r="BJ283" s="316" t="e">
        <f>IF($J283="",#N/A,SUM(BI$4:BI283))</f>
        <v>#N/A</v>
      </c>
      <c r="BK283" s="317" t="str">
        <f t="shared" si="480"/>
        <v/>
      </c>
      <c r="BL283" s="317" t="e">
        <f>IF($J283="",#N/A,SUM(BK$4:BK283))</f>
        <v>#N/A</v>
      </c>
      <c r="BM283" s="318" t="str">
        <f t="shared" si="481"/>
        <v/>
      </c>
      <c r="BN283" s="318" t="e">
        <f>IF($J283="",#N/A,SUM(BM$4:BM283))</f>
        <v>#N/A</v>
      </c>
      <c r="BO283" s="318" t="e">
        <f>IF($J283="",#N/A,SUM(BM$4:BM283,BK$4:BK283,BI$4:BI283))</f>
        <v>#N/A</v>
      </c>
      <c r="BP283" s="304" t="str">
        <f t="shared" si="482"/>
        <v/>
      </c>
      <c r="BQ283" s="316" t="e">
        <f>IF($J283="",#N/A,SUM(BP$4:BP283))</f>
        <v>#N/A</v>
      </c>
      <c r="BR283" s="317" t="str">
        <f t="shared" si="483"/>
        <v/>
      </c>
      <c r="BS283" s="317" t="e">
        <f>IF($J283="",#N/A,SUM(BR$4:BR283))</f>
        <v>#N/A</v>
      </c>
      <c r="BT283" s="318" t="str">
        <f t="shared" si="484"/>
        <v/>
      </c>
      <c r="BU283" s="318" t="e">
        <f>IF($J283="",#N/A,SUM(BT$4:BT283))</f>
        <v>#N/A</v>
      </c>
      <c r="BV283" s="318" t="e">
        <f>IF($J283="",#N/A,SUM(BT$4:BT283,BR$4:BR283,BP$4:BP283))</f>
        <v>#N/A</v>
      </c>
      <c r="BW283" s="304" t="str">
        <f t="shared" si="485"/>
        <v/>
      </c>
      <c r="BX283" s="316" t="e">
        <f>IF($J283="",#N/A,SUM(BW$4:BW283))</f>
        <v>#N/A</v>
      </c>
      <c r="BY283" s="317" t="str">
        <f t="shared" si="486"/>
        <v/>
      </c>
      <c r="BZ283" s="317" t="e">
        <f>IF($J283="",#N/A,SUM(BY$4:BY283))</f>
        <v>#N/A</v>
      </c>
      <c r="CA283" s="318" t="str">
        <f t="shared" si="487"/>
        <v/>
      </c>
      <c r="CB283" s="318" t="e">
        <f>IF($J283="",#N/A,SUM(CA$4:CA283))</f>
        <v>#N/A</v>
      </c>
      <c r="CC283" s="318" t="e">
        <f>IF($J283="",#N/A,SUM(CA$4:CA283,BY$4:BY283,BW$4:BW283))</f>
        <v>#N/A</v>
      </c>
      <c r="CD283" s="304" t="str">
        <f t="shared" si="488"/>
        <v/>
      </c>
      <c r="CE283" s="316" t="e">
        <f>IF($J283="",#N/A,SUM(CD$4:CD283))</f>
        <v>#N/A</v>
      </c>
      <c r="CF283" s="317" t="str">
        <f t="shared" si="489"/>
        <v/>
      </c>
      <c r="CG283" s="317" t="e">
        <f>IF($J283="",#N/A,SUM(CF$4:CF283))</f>
        <v>#N/A</v>
      </c>
      <c r="CH283" s="318">
        <f t="shared" si="490"/>
        <v>1.4603832913176678</v>
      </c>
      <c r="CI283" s="318" t="e">
        <f>IF($J283="",#N/A,SUM(CH$4:CH283))</f>
        <v>#N/A</v>
      </c>
      <c r="CJ283" s="318" t="e">
        <f>IF($J283="",#N/A,SUM(CH$4:CH283,CF$4:CF283,CD$4:CD283))</f>
        <v>#N/A</v>
      </c>
      <c r="CK283" s="304" t="str">
        <f t="shared" si="491"/>
        <v/>
      </c>
      <c r="CL283" s="316" t="e">
        <f>IF($J283="",#N/A,SUM(CK$4:CK283))</f>
        <v>#N/A</v>
      </c>
      <c r="CM283" s="317" t="str">
        <f t="shared" si="492"/>
        <v/>
      </c>
      <c r="CN283" s="317" t="e">
        <f>IF($J283="",#N/A,SUM(CM$4:CM283))</f>
        <v>#N/A</v>
      </c>
      <c r="CO283" s="318" t="str">
        <f t="shared" si="493"/>
        <v/>
      </c>
      <c r="CP283" s="318" t="e">
        <f>IF($J283="",#N/A,SUM(CO$4:CO283))</f>
        <v>#N/A</v>
      </c>
      <c r="CQ283" s="318" t="e">
        <f>IF($J283="",#N/A,SUM(CO$4:CO283,CM$4:CM283,CK$4:CK283))</f>
        <v>#N/A</v>
      </c>
      <c r="CR283" s="304" t="str">
        <f t="shared" si="494"/>
        <v/>
      </c>
      <c r="CS283" s="316" t="e">
        <f>IF($J283="",#N/A,SUM(CR$4:CR283))</f>
        <v>#N/A</v>
      </c>
      <c r="CT283" s="317" t="str">
        <f t="shared" si="495"/>
        <v/>
      </c>
      <c r="CU283" s="317" t="e">
        <f>IF($J283="",#N/A,SUM(CT$4:CT283))</f>
        <v>#N/A</v>
      </c>
      <c r="CV283" s="318" t="str">
        <f t="shared" si="496"/>
        <v/>
      </c>
      <c r="CW283" s="318" t="e">
        <f>IF($J283="",#N/A,SUM(CV$4:CV283))</f>
        <v>#N/A</v>
      </c>
      <c r="CX283" s="318" t="e">
        <f>IF($J283="",#N/A,SUM(CV$4:CV283,CT$4:CT283,CR$4:CR283))</f>
        <v>#N/A</v>
      </c>
      <c r="CY283" s="304" t="str">
        <f t="shared" si="497"/>
        <v/>
      </c>
      <c r="CZ283" s="316" t="e">
        <f>IF($J283="",#N/A,SUM(CY$4:CY283))</f>
        <v>#N/A</v>
      </c>
      <c r="DA283" s="317" t="str">
        <f t="shared" si="498"/>
        <v/>
      </c>
      <c r="DB283" s="317" t="e">
        <f>IF($J283="",#N/A,SUM(DA$4:DA283))</f>
        <v>#N/A</v>
      </c>
      <c r="DC283" s="318" t="str">
        <f t="shared" si="499"/>
        <v/>
      </c>
      <c r="DD283" s="318" t="e">
        <f>IF($J283="",#N/A,SUM(DC$4:DC283))</f>
        <v>#N/A</v>
      </c>
      <c r="DE283" s="318" t="e">
        <f>IF($J283="",#N/A,SUM(DC$4:DC283,DA$4:DA283,CY$4:CY283))</f>
        <v>#N/A</v>
      </c>
      <c r="DF283" s="304" t="str">
        <f t="shared" si="500"/>
        <v/>
      </c>
      <c r="DG283" s="316" t="e">
        <f>IF($J283="",#N/A,SUM(DF$4:DF283))</f>
        <v>#N/A</v>
      </c>
      <c r="DH283" s="317" t="str">
        <f t="shared" si="501"/>
        <v/>
      </c>
      <c r="DI283" s="317" t="e">
        <f>IF($J283="",#N/A,SUM(DH$4:DH283))</f>
        <v>#N/A</v>
      </c>
      <c r="DJ283" s="318" t="str">
        <f t="shared" si="502"/>
        <v/>
      </c>
      <c r="DK283" s="318" t="e">
        <f>IF($J283="",#N/A,SUM(DJ$4:DJ283))</f>
        <v>#N/A</v>
      </c>
      <c r="DL283" s="318" t="e">
        <f>IF($J283="",#N/A,SUM(DJ$4:DJ283,DH$4:DH283,DF$4:DF283))</f>
        <v>#N/A</v>
      </c>
      <c r="DM283" s="304" t="str">
        <f t="shared" si="503"/>
        <v/>
      </c>
      <c r="DN283" s="316" t="e">
        <f>IF($J283="",#N/A,SUM(DM$4:DM283))</f>
        <v>#N/A</v>
      </c>
      <c r="DO283" s="317" t="str">
        <f t="shared" si="504"/>
        <v/>
      </c>
      <c r="DP283" s="317" t="e">
        <f>IF($J283="",#N/A,SUM(DO$4:DO283))</f>
        <v>#N/A</v>
      </c>
      <c r="DQ283" s="318" t="str">
        <f t="shared" si="505"/>
        <v/>
      </c>
      <c r="DR283" s="318" t="e">
        <f>IF($J283="",#N/A,SUM(DQ$4:DQ283))</f>
        <v>#N/A</v>
      </c>
      <c r="DS283" s="318" t="e">
        <f>IF($J283="",#N/A,SUM(DQ$4:DQ283,DO$4:DO283,DM$4:DM283))</f>
        <v>#N/A</v>
      </c>
      <c r="DT283" s="304" t="str">
        <f t="shared" si="506"/>
        <v/>
      </c>
      <c r="DU283" s="316" t="e">
        <f>IF($J283="",#N/A,SUM(DT$4:DT283))</f>
        <v>#N/A</v>
      </c>
      <c r="DV283" s="317" t="str">
        <f t="shared" si="507"/>
        <v/>
      </c>
      <c r="DW283" s="317" t="e">
        <f>IF($J283="",#N/A,SUM(DV$4:DV283))</f>
        <v>#N/A</v>
      </c>
      <c r="DX283" s="318" t="str">
        <f t="shared" si="508"/>
        <v/>
      </c>
      <c r="DY283" s="318" t="e">
        <f>IF($J283="",#N/A,SUM(DX$4:DX283))</f>
        <v>#N/A</v>
      </c>
      <c r="DZ283" s="318" t="e">
        <f>IF($J283="",#N/A,SUM(DX$4:DX283,DV$4:DV283,DT$4:DT283))</f>
        <v>#N/A</v>
      </c>
      <c r="EA283" s="304" t="str">
        <f t="shared" si="509"/>
        <v/>
      </c>
      <c r="EB283" s="316" t="e">
        <f>IF($J283="",#N/A,SUM(EA$4:EA283))</f>
        <v>#N/A</v>
      </c>
      <c r="EC283" s="317" t="str">
        <f t="shared" si="510"/>
        <v/>
      </c>
      <c r="ED283" s="317" t="e">
        <f>IF($J283="",#N/A,SUM(EC$4:EC283))</f>
        <v>#N/A</v>
      </c>
      <c r="EE283" s="318" t="str">
        <f t="shared" si="511"/>
        <v/>
      </c>
      <c r="EF283" s="318" t="e">
        <f>IF($J283="",#N/A,SUM(EE$4:EE283))</f>
        <v>#N/A</v>
      </c>
      <c r="EG283" s="318" t="e">
        <f>IF($J283="",#N/A,SUM(EE$4:EE283,EC$4:EC283,EA$4:EA283))</f>
        <v>#N/A</v>
      </c>
      <c r="EH283" s="211">
        <f t="shared" si="512"/>
        <v>129.30000000000018</v>
      </c>
      <c r="EI283" s="63">
        <f>IF(EH283="",#N/A,SUM($EH$4:EH283))</f>
        <v>1533.610084245294</v>
      </c>
      <c r="EJ283" s="223" t="e">
        <f t="shared" si="513"/>
        <v>#N/A</v>
      </c>
      <c r="EK283" s="63" t="e">
        <f>IF($GZ283="",#N/A,SUM(EJ$4:EJ283))</f>
        <v>#N/A</v>
      </c>
      <c r="EL283" s="60">
        <f t="shared" si="544"/>
        <v>1.4603832913176678</v>
      </c>
      <c r="EM283" s="60">
        <f>IF(EL283="",NA(),SUM($EL$4:EL283))</f>
        <v>46.172152822248485</v>
      </c>
      <c r="EN283" s="60" t="str">
        <f t="shared" si="514"/>
        <v/>
      </c>
      <c r="EO283" s="60" t="e">
        <f>IF(EN283="",NA(),SUM($EN$4:EN283))</f>
        <v>#N/A</v>
      </c>
      <c r="EP283" s="60">
        <f t="shared" si="515"/>
        <v>1.4603832913176678</v>
      </c>
      <c r="EQ283" s="60">
        <f>IF(EP283="",NA(),SUM($EP$4:EP283))</f>
        <v>13.83761947391462</v>
      </c>
      <c r="ER283" s="60" t="str">
        <f t="shared" si="516"/>
        <v/>
      </c>
      <c r="ES283" s="60" t="e">
        <f>IF(ER283="",NA(),SUM($ER$4:ER283))</f>
        <v>#N/A</v>
      </c>
      <c r="ET283" s="60" t="str">
        <f t="shared" si="517"/>
        <v/>
      </c>
      <c r="EU283" s="60" t="e">
        <f>IF(ET283="",NA(),SUM($ET$4:ET283))</f>
        <v>#N/A</v>
      </c>
      <c r="EV283" s="60" t="str">
        <f t="shared" si="518"/>
        <v/>
      </c>
      <c r="EW283" s="60" t="e">
        <f>IF(EV283="",NA(),SUM($EV$4:EV283))</f>
        <v>#N/A</v>
      </c>
      <c r="EX283" s="60" t="str">
        <f t="shared" si="519"/>
        <v/>
      </c>
      <c r="EY283" s="60" t="e">
        <f>IF(EX283="",NA(),SUM($EX$4:EX283))</f>
        <v>#N/A</v>
      </c>
      <c r="EZ283" s="60" t="str">
        <f t="shared" si="520"/>
        <v/>
      </c>
      <c r="FA283" s="60" t="e">
        <f>IF(EZ283="",NA(),SUM($EZ$4:EZ283))</f>
        <v>#N/A</v>
      </c>
      <c r="FB283" s="246" t="str">
        <f t="shared" si="545"/>
        <v/>
      </c>
      <c r="FC283" s="246" t="e">
        <f>IF($FB283="",#N/A,SUM(FB$4:$FB283))</f>
        <v>#N/A</v>
      </c>
      <c r="FD283" s="60" t="str">
        <f t="shared" si="521"/>
        <v/>
      </c>
      <c r="FE283" s="60" t="e">
        <f>IF($FD283="",#N/A,SUM($FD$4:FD283))</f>
        <v>#N/A</v>
      </c>
      <c r="FF283" s="60" t="str">
        <f t="shared" si="522"/>
        <v/>
      </c>
      <c r="FG283" s="60" t="e">
        <f>IF($FF283="",#N/A,SUM($FF$4:FF283))</f>
        <v>#N/A</v>
      </c>
      <c r="FH283" s="60" t="str">
        <f t="shared" si="523"/>
        <v/>
      </c>
      <c r="FI283" s="60" t="e">
        <f>IF($FH283="",#N/A,SUM($FH$4:FH283))</f>
        <v>#N/A</v>
      </c>
      <c r="FJ283" s="60">
        <f t="shared" si="524"/>
        <v>-0.42422271014610557</v>
      </c>
      <c r="FK283" s="60">
        <f>IF($FJ283="",#N/A,SUM($FJ$4:FJ283))</f>
        <v>-5.7495529847402249</v>
      </c>
      <c r="FL283" s="60" t="str">
        <f t="shared" si="525"/>
        <v/>
      </c>
      <c r="FM283" s="60" t="e">
        <f>IF($FL283="",#N/A,SUM($FL$4:FL283))</f>
        <v>#N/A</v>
      </c>
      <c r="FN283" s="82">
        <f t="shared" si="526"/>
        <v>1.0361605811715622</v>
      </c>
      <c r="FO283" s="82">
        <f>IF($FN283="",#N/A,SUM(FN$4:$FN283))</f>
        <v>57.486235959951699</v>
      </c>
      <c r="FP283" s="82">
        <f t="shared" si="546"/>
        <v>1.4603832913176678</v>
      </c>
      <c r="FQ283" s="246">
        <f>IF($EH283="",#N/A,SUM($FP$4:FP283))</f>
        <v>55.623788030589942</v>
      </c>
      <c r="FR283" s="82">
        <f>IFERROR(FQ283/COUNTA($J$4:J283),#N/A)</f>
        <v>0.19865638582353551</v>
      </c>
      <c r="FS283" s="82">
        <f t="shared" si="448"/>
        <v>0.29424795394937531</v>
      </c>
      <c r="FT283" s="82">
        <f t="shared" si="449"/>
        <v>0.34610716374847217</v>
      </c>
      <c r="FU283" s="338">
        <f t="shared" si="551"/>
        <v>30.83749865452549</v>
      </c>
      <c r="FV283" s="57" t="str">
        <f t="shared" si="527"/>
        <v>SW</v>
      </c>
      <c r="FW283" s="57" t="s">
        <v>2732</v>
      </c>
      <c r="FX283" s="57" t="str">
        <f t="shared" si="528"/>
        <v/>
      </c>
      <c r="FY283" s="57" t="str">
        <f t="shared" si="529"/>
        <v/>
      </c>
      <c r="FZ283" s="57">
        <f t="shared" si="530"/>
        <v>1</v>
      </c>
      <c r="GA283" s="57" t="str">
        <f t="shared" si="531"/>
        <v>Long</v>
      </c>
      <c r="GB283" s="57" t="str">
        <f t="shared" si="532"/>
        <v/>
      </c>
      <c r="GC283" s="57" t="str">
        <f t="shared" si="533"/>
        <v/>
      </c>
      <c r="GD283" s="57" t="str">
        <f t="shared" si="534"/>
        <v/>
      </c>
      <c r="GE283" s="62">
        <f t="shared" si="451"/>
        <v>245.94</v>
      </c>
      <c r="GF283" s="97" t="s">
        <v>2779</v>
      </c>
      <c r="GG283" s="199">
        <v>6</v>
      </c>
      <c r="GH283" s="207">
        <f t="shared" si="535"/>
        <v>1475.6399999999999</v>
      </c>
      <c r="GI283" s="199">
        <v>6</v>
      </c>
      <c r="GJ283" s="200">
        <v>267.56</v>
      </c>
      <c r="GK283" s="63">
        <f t="shared" si="536"/>
        <v>129.72000000000025</v>
      </c>
      <c r="GL283" s="63">
        <f t="shared" si="452"/>
        <v>91.740000000000236</v>
      </c>
      <c r="GM283" s="82">
        <f t="shared" si="537"/>
        <v>1.0361605811715622</v>
      </c>
      <c r="GN283" s="82">
        <f>IF($GZ283="",#N/A,SUM(GM$4:GM283))</f>
        <v>7.0830024514139618</v>
      </c>
      <c r="GO283" s="82" t="str">
        <f t="shared" si="538"/>
        <v/>
      </c>
      <c r="GP283" s="82">
        <f>IF($GZ283="",#N/A,SUM(GO$4:GO283))</f>
        <v>14.39126706902136</v>
      </c>
      <c r="GQ283" s="82" t="str">
        <f t="shared" si="539"/>
        <v/>
      </c>
      <c r="GR283" s="82">
        <f>IF($GZ283="",#N/A,SUM(GQ$4:GQ283))</f>
        <v>35.386129485074051</v>
      </c>
      <c r="GS283" s="63" t="e">
        <f t="shared" si="548"/>
        <v>#N/A</v>
      </c>
      <c r="GT283" s="63" t="e">
        <f>IF($GZ283="",#N/A,SUM(GS$4:GS283))</f>
        <v>#N/A</v>
      </c>
      <c r="GU283" s="63" t="str">
        <f t="shared" si="549"/>
        <v/>
      </c>
      <c r="GV283" s="63" t="e">
        <f>IF($GZ283="",#N/A,SUM(GU$4:GU283))</f>
        <v>#N/A</v>
      </c>
      <c r="GW283" s="63" t="str">
        <f t="shared" si="550"/>
        <v/>
      </c>
      <c r="GX283" s="63" t="e">
        <f>IF($GZ283="",#N/A,SUM(GW$4:GW283))</f>
        <v>#N/A</v>
      </c>
      <c r="GY283" s="63" t="e">
        <f>IF(EJ283="",#N/A,SUM($EJ$4:EJ283))</f>
        <v>#N/A</v>
      </c>
      <c r="GZ283" s="158">
        <v>261.23</v>
      </c>
      <c r="HA283" s="63">
        <f t="shared" si="540"/>
        <v>-37.559999999999945</v>
      </c>
      <c r="HB283" s="155" t="s">
        <v>2538</v>
      </c>
      <c r="HC283" s="60">
        <f>IFERROR(VLOOKUP(E283,Expectancy!$P$4:$S$19,1+C283,FALSE),"")</f>
        <v>-0.22212962098938482</v>
      </c>
      <c r="HD283" s="82">
        <f t="shared" si="541"/>
        <v>1.4651269957442223</v>
      </c>
      <c r="HE283" s="138">
        <f>IF(HD283="",#N/A,SUM($HD$4:HD283))</f>
        <v>10.25628937606445</v>
      </c>
      <c r="HF283" s="85">
        <f>IF(HD283="",#N/A,IF(HB283="Skip",#N/A,SUM($HG$4:HG283)))</f>
        <v>404.78657921915504</v>
      </c>
      <c r="HG283" s="205">
        <f t="shared" si="542"/>
        <v>129.72000000000025</v>
      </c>
      <c r="HH283" s="82">
        <f t="shared" si="543"/>
        <v>1.0361605811715622</v>
      </c>
    </row>
    <row r="284" spans="1:216" x14ac:dyDescent="0.25">
      <c r="A284" s="57" t="s">
        <v>1388</v>
      </c>
      <c r="B284" s="58" t="s">
        <v>5236</v>
      </c>
      <c r="C284" s="386">
        <f t="shared" si="453"/>
        <v>2</v>
      </c>
      <c r="D284" s="372" t="str">
        <f>_xlfn.XLOOKUP(A284,[1]SP500!$A$2:$A$502,[1]SP500!$D$2:$D$502,"N")</f>
        <v>Y</v>
      </c>
      <c r="E284" s="57" t="str">
        <f>_xlfn.XLOOKUP(A284,[1]SP500!$A$2:$A$655,[1]SP500!$B$2:$B$655)</f>
        <v>XHB</v>
      </c>
      <c r="F284" s="59">
        <v>45699</v>
      </c>
      <c r="G284" s="57" t="str">
        <f t="shared" si="454"/>
        <v>BMO</v>
      </c>
      <c r="H284" s="57" t="str">
        <f t="shared" si="455"/>
        <v>s</v>
      </c>
      <c r="I284" s="159">
        <v>66.23</v>
      </c>
      <c r="J284" s="158">
        <v>64.5</v>
      </c>
      <c r="K284" s="61">
        <f t="shared" si="456"/>
        <v>-2.6121093160199366E-2</v>
      </c>
      <c r="L284" s="87">
        <f t="shared" si="457"/>
        <v>39.790000000000191</v>
      </c>
      <c r="M284" s="130">
        <f t="shared" si="450"/>
        <v>-4.6000000000001364</v>
      </c>
      <c r="N284" s="169" t="str">
        <f t="shared" si="458"/>
        <v/>
      </c>
      <c r="O284" s="169">
        <f>IF($J284="",#N/A,SUM($N$4:N284))</f>
        <v>385.37671935422509</v>
      </c>
      <c r="P284" s="174">
        <f t="shared" si="459"/>
        <v>39.790000000000191</v>
      </c>
      <c r="Q284" s="174">
        <f>IF($J284="",#N/A,SUM($P$4:P284))</f>
        <v>635.43890674734155</v>
      </c>
      <c r="R284" s="178" t="str">
        <f t="shared" si="460"/>
        <v/>
      </c>
      <c r="S284" s="178">
        <f>IF($J284="",#N/A,SUM($R$4:R284))</f>
        <v>552.58445814372749</v>
      </c>
      <c r="T284" s="290" t="str">
        <f t="shared" si="461"/>
        <v/>
      </c>
      <c r="U284" s="290">
        <f>IF($J284="",#N/A,SUM($T$4:T284))</f>
        <v>16.86061589193395</v>
      </c>
      <c r="V284" s="291">
        <f t="shared" si="462"/>
        <v>0.43535155266999048</v>
      </c>
      <c r="W284" s="291">
        <f>IF($J284="",#N/A,SUM($V$4:V284))</f>
        <v>26.031518633181065</v>
      </c>
      <c r="X284" s="292" t="str">
        <f t="shared" si="463"/>
        <v/>
      </c>
      <c r="Y284" s="292">
        <f>IF($J284="",#N/A,SUM($X$4:X284))</f>
        <v>13.167005058144936</v>
      </c>
      <c r="Z284" s="304" t="str">
        <f t="shared" si="464"/>
        <v/>
      </c>
      <c r="AA284" s="313" t="e">
        <f>IF($J284="",#N/A,SUM(Z$4:Z284))</f>
        <v>#N/A</v>
      </c>
      <c r="AB284" s="314" t="str">
        <f t="shared" si="465"/>
        <v/>
      </c>
      <c r="AC284" s="314" t="e">
        <f>IF($J284="",#N/A,SUM(AB$4:AB284))</f>
        <v>#N/A</v>
      </c>
      <c r="AD284" s="315" t="str">
        <f t="shared" si="466"/>
        <v/>
      </c>
      <c r="AE284" s="315" t="e">
        <f>IF($J284="",#N/A,SUM(AD$4:AD284))</f>
        <v>#N/A</v>
      </c>
      <c r="AF284" s="315" t="e">
        <f>IF($J284="",#N/A,SUM(AD$4:AD284,AB$4:AB284,Z$4:Z284))</f>
        <v>#N/A</v>
      </c>
      <c r="AG284" s="304" t="str">
        <f t="shared" si="467"/>
        <v/>
      </c>
      <c r="AH284" s="313" t="e">
        <f>IF($J284="",#N/A,SUM(AG$4:AG284))</f>
        <v>#N/A</v>
      </c>
      <c r="AI284" s="314" t="str">
        <f t="shared" si="468"/>
        <v/>
      </c>
      <c r="AJ284" s="314" t="e">
        <f>IF($J284="",#N/A,SUM(AI$4:AI284))</f>
        <v>#N/A</v>
      </c>
      <c r="AK284" s="315" t="str">
        <f t="shared" si="469"/>
        <v/>
      </c>
      <c r="AL284" s="315" t="e">
        <f>IF($J284="",#N/A,SUM(AK$4:AK284))</f>
        <v>#N/A</v>
      </c>
      <c r="AM284" s="315" t="e">
        <f>IF($J284="",#N/A,SUM(AK$4:AK284,AI$4:AI284,AG$4:AG284))</f>
        <v>#N/A</v>
      </c>
      <c r="AN284" s="304" t="str">
        <f t="shared" si="470"/>
        <v/>
      </c>
      <c r="AO284" s="313" t="e">
        <f>IF($J284="",#N/A,SUM(AN$4:AN284))</f>
        <v>#N/A</v>
      </c>
      <c r="AP284" s="314" t="str">
        <f t="shared" si="471"/>
        <v/>
      </c>
      <c r="AQ284" s="314" t="e">
        <f>IF($J284="",#N/A,SUM(AP$4:AP284))</f>
        <v>#N/A</v>
      </c>
      <c r="AR284" s="315" t="str">
        <f t="shared" si="472"/>
        <v/>
      </c>
      <c r="AS284" s="315" t="e">
        <f>IF($J284="",#N/A,SUM(AR$4:AR284))</f>
        <v>#N/A</v>
      </c>
      <c r="AT284" s="315" t="e">
        <f>IF($J284="",#N/A,SUM(AR$4:AR284,AP$4:AP284,AN$4:AN284))</f>
        <v>#N/A</v>
      </c>
      <c r="AU284" s="304" t="str">
        <f t="shared" si="473"/>
        <v/>
      </c>
      <c r="AV284" s="313" t="e">
        <f>IF($J284="",#N/A,SUM(AU$4:AU284))</f>
        <v>#N/A</v>
      </c>
      <c r="AW284" s="314" t="str">
        <f t="shared" si="474"/>
        <v/>
      </c>
      <c r="AX284" s="314" t="e">
        <f>IF($J284="",#N/A,SUM(AW$4:AW284))</f>
        <v>#N/A</v>
      </c>
      <c r="AY284" s="315" t="str">
        <f t="shared" si="475"/>
        <v/>
      </c>
      <c r="AZ284" s="315" t="e">
        <f>IF($J284="",#N/A,SUM(AY$4:AY284))</f>
        <v>#N/A</v>
      </c>
      <c r="BA284" s="315" t="e">
        <f>IF($J284="",#N/A,SUM(AY$4:AY284,AW$4:AW284,AU$4:AU284))</f>
        <v>#N/A</v>
      </c>
      <c r="BB284" s="304" t="str">
        <f t="shared" si="476"/>
        <v/>
      </c>
      <c r="BC284" s="313" t="e">
        <f>IF($J284="",#N/A,SUM(BB$4:BB284))</f>
        <v>#N/A</v>
      </c>
      <c r="BD284" s="314" t="str">
        <f t="shared" si="477"/>
        <v/>
      </c>
      <c r="BE284" s="314" t="e">
        <f>IF($J284="",#N/A,SUM(BD$4:BD284))</f>
        <v>#N/A</v>
      </c>
      <c r="BF284" s="315" t="str">
        <f t="shared" si="478"/>
        <v/>
      </c>
      <c r="BG284" s="315" t="e">
        <f>IF($J284="",#N/A,SUM(BF$4:BF284))</f>
        <v>#N/A</v>
      </c>
      <c r="BH284" s="315" t="e">
        <f>IF($J284="",#N/A,SUM(BF$4:BF284,BD$4:BD284,BB$4:BB284))</f>
        <v>#N/A</v>
      </c>
      <c r="BI284" s="304" t="str">
        <f t="shared" si="479"/>
        <v/>
      </c>
      <c r="BJ284" s="313" t="e">
        <f>IF($J284="",#N/A,SUM(BI$4:BI284))</f>
        <v>#N/A</v>
      </c>
      <c r="BK284" s="314" t="str">
        <f t="shared" si="480"/>
        <v/>
      </c>
      <c r="BL284" s="314" t="e">
        <f>IF($J284="",#N/A,SUM(BK$4:BK284))</f>
        <v>#N/A</v>
      </c>
      <c r="BM284" s="315" t="str">
        <f t="shared" si="481"/>
        <v/>
      </c>
      <c r="BN284" s="315" t="e">
        <f>IF($J284="",#N/A,SUM(BM$4:BM284))</f>
        <v>#N/A</v>
      </c>
      <c r="BO284" s="315" t="e">
        <f>IF($J284="",#N/A,SUM(BM$4:BM284,BK$4:BK284,BI$4:BI284))</f>
        <v>#N/A</v>
      </c>
      <c r="BP284" s="304" t="str">
        <f t="shared" si="482"/>
        <v/>
      </c>
      <c r="BQ284" s="313" t="e">
        <f>IF($J284="",#N/A,SUM(BP$4:BP284))</f>
        <v>#N/A</v>
      </c>
      <c r="BR284" s="314" t="str">
        <f t="shared" si="483"/>
        <v/>
      </c>
      <c r="BS284" s="314" t="e">
        <f>IF($J284="",#N/A,SUM(BR$4:BR284))</f>
        <v>#N/A</v>
      </c>
      <c r="BT284" s="315" t="str">
        <f t="shared" si="484"/>
        <v/>
      </c>
      <c r="BU284" s="315" t="e">
        <f>IF($J284="",#N/A,SUM(BT$4:BT284))</f>
        <v>#N/A</v>
      </c>
      <c r="BV284" s="315" t="e">
        <f>IF($J284="",#N/A,SUM(BT$4:BT284,BR$4:BR284,BP$4:BP284))</f>
        <v>#N/A</v>
      </c>
      <c r="BW284" s="304" t="str">
        <f t="shared" si="485"/>
        <v/>
      </c>
      <c r="BX284" s="313" t="e">
        <f>IF($J284="",#N/A,SUM(BW$4:BW284))</f>
        <v>#N/A</v>
      </c>
      <c r="BY284" s="314" t="str">
        <f t="shared" si="486"/>
        <v/>
      </c>
      <c r="BZ284" s="314" t="e">
        <f>IF($J284="",#N/A,SUM(BY$4:BY284))</f>
        <v>#N/A</v>
      </c>
      <c r="CA284" s="315" t="str">
        <f t="shared" si="487"/>
        <v/>
      </c>
      <c r="CB284" s="315" t="e">
        <f>IF($J284="",#N/A,SUM(CA$4:CA284))</f>
        <v>#N/A</v>
      </c>
      <c r="CC284" s="315" t="e">
        <f>IF($J284="",#N/A,SUM(CA$4:CA284,BY$4:BY284,BW$4:BW284))</f>
        <v>#N/A</v>
      </c>
      <c r="CD284" s="304" t="str">
        <f t="shared" si="488"/>
        <v/>
      </c>
      <c r="CE284" s="313" t="e">
        <f>IF($J284="",#N/A,SUM(CD$4:CD284))</f>
        <v>#N/A</v>
      </c>
      <c r="CF284" s="314" t="str">
        <f t="shared" si="489"/>
        <v/>
      </c>
      <c r="CG284" s="314" t="e">
        <f>IF($J284="",#N/A,SUM(CF$4:CF284))</f>
        <v>#N/A</v>
      </c>
      <c r="CH284" s="315" t="str">
        <f t="shared" si="490"/>
        <v/>
      </c>
      <c r="CI284" s="315" t="e">
        <f>IF($J284="",#N/A,SUM(CH$4:CH284))</f>
        <v>#N/A</v>
      </c>
      <c r="CJ284" s="315" t="e">
        <f>IF($J284="",#N/A,SUM(CH$4:CH284,CF$4:CF284,CD$4:CD284))</f>
        <v>#N/A</v>
      </c>
      <c r="CK284" s="304" t="str">
        <f t="shared" si="491"/>
        <v/>
      </c>
      <c r="CL284" s="313" t="e">
        <f>IF($J284="",#N/A,SUM(CK$4:CK284))</f>
        <v>#N/A</v>
      </c>
      <c r="CM284" s="314" t="str">
        <f t="shared" si="492"/>
        <v/>
      </c>
      <c r="CN284" s="314" t="e">
        <f>IF($J284="",#N/A,SUM(CM$4:CM284))</f>
        <v>#N/A</v>
      </c>
      <c r="CO284" s="315" t="str">
        <f t="shared" si="493"/>
        <v/>
      </c>
      <c r="CP284" s="315" t="e">
        <f>IF($J284="",#N/A,SUM(CO$4:CO284))</f>
        <v>#N/A</v>
      </c>
      <c r="CQ284" s="315" t="e">
        <f>IF($J284="",#N/A,SUM(CO$4:CO284,CM$4:CM284,CK$4:CK284))</f>
        <v>#N/A</v>
      </c>
      <c r="CR284" s="304" t="str">
        <f t="shared" si="494"/>
        <v/>
      </c>
      <c r="CS284" s="313" t="e">
        <f>IF($J284="",#N/A,SUM(CR$4:CR284))</f>
        <v>#N/A</v>
      </c>
      <c r="CT284" s="314" t="str">
        <f t="shared" si="495"/>
        <v/>
      </c>
      <c r="CU284" s="314" t="e">
        <f>IF($J284="",#N/A,SUM(CT$4:CT284))</f>
        <v>#N/A</v>
      </c>
      <c r="CV284" s="315" t="str">
        <f t="shared" si="496"/>
        <v/>
      </c>
      <c r="CW284" s="315" t="e">
        <f>IF($J284="",#N/A,SUM(CV$4:CV284))</f>
        <v>#N/A</v>
      </c>
      <c r="CX284" s="315" t="e">
        <f>IF($J284="",#N/A,SUM(CV$4:CV284,CT$4:CT284,CR$4:CR284))</f>
        <v>#N/A</v>
      </c>
      <c r="CY284" s="304" t="str">
        <f t="shared" si="497"/>
        <v/>
      </c>
      <c r="CZ284" s="313" t="e">
        <f>IF($J284="",#N/A,SUM(CY$4:CY284))</f>
        <v>#N/A</v>
      </c>
      <c r="DA284" s="314" t="str">
        <f t="shared" si="498"/>
        <v/>
      </c>
      <c r="DB284" s="314" t="e">
        <f>IF($J284="",#N/A,SUM(DA$4:DA284))</f>
        <v>#N/A</v>
      </c>
      <c r="DC284" s="315" t="str">
        <f t="shared" si="499"/>
        <v/>
      </c>
      <c r="DD284" s="315" t="e">
        <f>IF($J284="",#N/A,SUM(DC$4:DC284))</f>
        <v>#N/A</v>
      </c>
      <c r="DE284" s="315" t="e">
        <f>IF($J284="",#N/A,SUM(DC$4:DC284,DA$4:DA284,CY$4:CY284))</f>
        <v>#N/A</v>
      </c>
      <c r="DF284" s="304" t="str">
        <f t="shared" si="500"/>
        <v/>
      </c>
      <c r="DG284" s="313" t="e">
        <f>IF($J284="",#N/A,SUM(DF$4:DF284))</f>
        <v>#N/A</v>
      </c>
      <c r="DH284" s="314" t="str">
        <f t="shared" si="501"/>
        <v/>
      </c>
      <c r="DI284" s="314" t="e">
        <f>IF($J284="",#N/A,SUM(DH$4:DH284))</f>
        <v>#N/A</v>
      </c>
      <c r="DJ284" s="315" t="str">
        <f t="shared" si="502"/>
        <v/>
      </c>
      <c r="DK284" s="315" t="e">
        <f>IF($J284="",#N/A,SUM(DJ$4:DJ284))</f>
        <v>#N/A</v>
      </c>
      <c r="DL284" s="315" t="e">
        <f>IF($J284="",#N/A,SUM(DJ$4:DJ284,DH$4:DH284,DF$4:DF284))</f>
        <v>#N/A</v>
      </c>
      <c r="DM284" s="304" t="str">
        <f t="shared" si="503"/>
        <v/>
      </c>
      <c r="DN284" s="313" t="e">
        <f>IF($J284="",#N/A,SUM(DM$4:DM284))</f>
        <v>#N/A</v>
      </c>
      <c r="DO284" s="314" t="str">
        <f t="shared" si="504"/>
        <v/>
      </c>
      <c r="DP284" s="314" t="e">
        <f>IF($J284="",#N/A,SUM(DO$4:DO284))</f>
        <v>#N/A</v>
      </c>
      <c r="DQ284" s="315" t="str">
        <f t="shared" si="505"/>
        <v/>
      </c>
      <c r="DR284" s="315" t="e">
        <f>IF($J284="",#N/A,SUM(DQ$4:DQ284))</f>
        <v>#N/A</v>
      </c>
      <c r="DS284" s="315" t="e">
        <f>IF($J284="",#N/A,SUM(DQ$4:DQ284,DO$4:DO284,DM$4:DM284))</f>
        <v>#N/A</v>
      </c>
      <c r="DT284" s="304" t="str">
        <f t="shared" si="506"/>
        <v/>
      </c>
      <c r="DU284" s="313" t="e">
        <f>IF($J284="",#N/A,SUM(DT$4:DT284))</f>
        <v>#N/A</v>
      </c>
      <c r="DV284" s="314" t="str">
        <f t="shared" si="507"/>
        <v/>
      </c>
      <c r="DW284" s="314" t="e">
        <f>IF($J284="",#N/A,SUM(DV$4:DV284))</f>
        <v>#N/A</v>
      </c>
      <c r="DX284" s="315" t="str">
        <f t="shared" si="508"/>
        <v/>
      </c>
      <c r="DY284" s="315" t="e">
        <f>IF($J284="",#N/A,SUM(DX$4:DX284))</f>
        <v>#N/A</v>
      </c>
      <c r="DZ284" s="315" t="e">
        <f>IF($J284="",#N/A,SUM(DX$4:DX284,DV$4:DV284,DT$4:DT284))</f>
        <v>#N/A</v>
      </c>
      <c r="EA284" s="304" t="str">
        <f t="shared" si="509"/>
        <v/>
      </c>
      <c r="EB284" s="313" t="e">
        <f>IF($J284="",#N/A,SUM(EA$4:EA284))</f>
        <v>#N/A</v>
      </c>
      <c r="EC284" s="314">
        <f t="shared" si="510"/>
        <v>0.43535155266999048</v>
      </c>
      <c r="ED284" s="314" t="e">
        <f>IF($J284="",#N/A,SUM(EC$4:EC284))</f>
        <v>#N/A</v>
      </c>
      <c r="EE284" s="315" t="str">
        <f t="shared" si="511"/>
        <v/>
      </c>
      <c r="EF284" s="315" t="e">
        <f>IF($J284="",#N/A,SUM(EE$4:EE284))</f>
        <v>#N/A</v>
      </c>
      <c r="EG284" s="315" t="e">
        <f>IF($J284="",#N/A,SUM(EE$4:EE284,EC$4:EC284,EA$4:EA284))</f>
        <v>#N/A</v>
      </c>
      <c r="EH284" s="130">
        <f t="shared" si="512"/>
        <v>39.790000000000191</v>
      </c>
      <c r="EI284" s="63">
        <f>IF(EH284="",#N/A,SUM($EH$4:EH284))</f>
        <v>1573.4000842452942</v>
      </c>
      <c r="EJ284" s="223" t="e">
        <f t="shared" si="513"/>
        <v>#N/A</v>
      </c>
      <c r="EK284" s="63" t="e">
        <f>IF($GZ284="",#N/A,SUM(EJ$4:EJ284))</f>
        <v>#N/A</v>
      </c>
      <c r="EL284" s="60">
        <f t="shared" si="544"/>
        <v>0.43535155266999048</v>
      </c>
      <c r="EM284" s="60">
        <f>IF(EL284="",NA(),SUM($EL$4:EL284))</f>
        <v>46.607504374918477</v>
      </c>
      <c r="EN284" s="60" t="str">
        <f t="shared" si="514"/>
        <v/>
      </c>
      <c r="EO284" s="60" t="e">
        <f>IF(EN284="",NA(),SUM($EN$4:EN284))</f>
        <v>#N/A</v>
      </c>
      <c r="EP284" s="60" t="str">
        <f t="shared" si="515"/>
        <v/>
      </c>
      <c r="EQ284" s="60" t="e">
        <f>IF(EP284="",NA(),SUM($EP$4:EP284))</f>
        <v>#N/A</v>
      </c>
      <c r="ER284" s="60">
        <f t="shared" si="516"/>
        <v>0.43535155266999048</v>
      </c>
      <c r="ES284" s="60">
        <f>IF(ER284="",NA(),SUM($ER$4:ER284))</f>
        <v>17.865975833720626</v>
      </c>
      <c r="ET284" s="60" t="str">
        <f t="shared" si="517"/>
        <v/>
      </c>
      <c r="EU284" s="60" t="e">
        <f>IF(ET284="",NA(),SUM($ET$4:ET284))</f>
        <v>#N/A</v>
      </c>
      <c r="EV284" s="60" t="str">
        <f t="shared" si="518"/>
        <v/>
      </c>
      <c r="EW284" s="60" t="e">
        <f>IF(EV284="",NA(),SUM($EV$4:EV284))</f>
        <v>#N/A</v>
      </c>
      <c r="EX284" s="60" t="str">
        <f t="shared" si="519"/>
        <v/>
      </c>
      <c r="EY284" s="60" t="e">
        <f>IF(EX284="",NA(),SUM($EX$4:EX284))</f>
        <v>#N/A</v>
      </c>
      <c r="EZ284" s="60" t="str">
        <f t="shared" si="520"/>
        <v/>
      </c>
      <c r="FA284" s="60" t="e">
        <f>IF(EZ284="",NA(),SUM($EZ$4:EZ284))</f>
        <v>#N/A</v>
      </c>
      <c r="FB284" s="246">
        <f t="shared" si="545"/>
        <v>-0.16608787558508048</v>
      </c>
      <c r="FC284" s="246">
        <f>IF($FB284="",#N/A,SUM(FB$4:$FB284))</f>
        <v>4.6396590237223725</v>
      </c>
      <c r="FD284" s="60" t="str">
        <f t="shared" si="521"/>
        <v/>
      </c>
      <c r="FE284" s="60" t="e">
        <f>IF($FD284="",#N/A,SUM($FD$4:FD284))</f>
        <v>#N/A</v>
      </c>
      <c r="FF284" s="60" t="str">
        <f t="shared" si="522"/>
        <v/>
      </c>
      <c r="FG284" s="60" t="e">
        <f>IF($FF284="",#N/A,SUM($FF$4:FF284))</f>
        <v>#N/A</v>
      </c>
      <c r="FH284" s="60" t="str">
        <f t="shared" si="523"/>
        <v/>
      </c>
      <c r="FI284" s="60" t="e">
        <f>IF($FH284="",#N/A,SUM($FH$4:FH284))</f>
        <v>#N/A</v>
      </c>
      <c r="FJ284" s="60" t="str">
        <f t="shared" si="524"/>
        <v/>
      </c>
      <c r="FK284" s="60" t="e">
        <f>IF($FJ284="",#N/A,SUM($FJ$4:FJ284))</f>
        <v>#N/A</v>
      </c>
      <c r="FL284" s="60" t="str">
        <f t="shared" si="525"/>
        <v/>
      </c>
      <c r="FM284" s="60" t="e">
        <f>IF($FL284="",#N/A,SUM($FL$4:FL284))</f>
        <v>#N/A</v>
      </c>
      <c r="FN284" s="82">
        <f t="shared" si="526"/>
        <v>0.26926367708491</v>
      </c>
      <c r="FO284" s="82">
        <f>IF($FN284="",#N/A,SUM(FN$4:$FN284))</f>
        <v>57.755499637036607</v>
      </c>
      <c r="FP284" s="82">
        <f t="shared" si="546"/>
        <v>0.43535155266999048</v>
      </c>
      <c r="FQ284" s="246">
        <f>IF($EH284="",#N/A,SUM($FP$4:FP284))</f>
        <v>56.059139583259935</v>
      </c>
      <c r="FR284" s="82">
        <f>IFERROR(FQ284/COUNTA($J$4:J284),#N/A)</f>
        <v>0.19949871737814923</v>
      </c>
      <c r="FS284" s="82">
        <f t="shared" si="448"/>
        <v>0.30013815988969583</v>
      </c>
      <c r="FT284" s="82">
        <f t="shared" si="449"/>
        <v>0.40034322481186962</v>
      </c>
      <c r="FU284" s="338">
        <f t="shared" si="551"/>
        <v>30.887828313793705</v>
      </c>
      <c r="FV284" s="57" t="str">
        <f t="shared" si="527"/>
        <v>Dwn</v>
      </c>
      <c r="FW284" s="57" t="s">
        <v>2733</v>
      </c>
      <c r="FX284" s="57" t="str">
        <f t="shared" si="528"/>
        <v/>
      </c>
      <c r="FY284" s="57" t="str">
        <f t="shared" si="529"/>
        <v/>
      </c>
      <c r="FZ284" s="57" t="str">
        <f t="shared" si="530"/>
        <v/>
      </c>
      <c r="GA284" s="57" t="str">
        <f t="shared" si="531"/>
        <v>Short</v>
      </c>
      <c r="GB284" s="57">
        <f t="shared" si="532"/>
        <v>1</v>
      </c>
      <c r="GC284" s="57" t="str">
        <f t="shared" si="533"/>
        <v/>
      </c>
      <c r="GD284" s="57" t="str">
        <f t="shared" si="534"/>
        <v/>
      </c>
      <c r="GE284" s="62">
        <f t="shared" si="451"/>
        <v>66.23</v>
      </c>
      <c r="GF284" s="62" t="s">
        <v>2780</v>
      </c>
      <c r="GG284" s="199">
        <v>23</v>
      </c>
      <c r="GH284" s="207">
        <f t="shared" si="535"/>
        <v>1523.2900000000002</v>
      </c>
      <c r="GI284" s="199">
        <v>23</v>
      </c>
      <c r="GJ284" s="200">
        <v>64.7</v>
      </c>
      <c r="GK284" s="63">
        <f t="shared" si="536"/>
        <v>35.190000000000055</v>
      </c>
      <c r="GL284" s="63">
        <f t="shared" si="452"/>
        <v>24.610000000000355</v>
      </c>
      <c r="GM284" s="82" t="str">
        <f t="shared" si="537"/>
        <v/>
      </c>
      <c r="GN284" s="82">
        <f>IF($GZ284="",#N/A,SUM(GM$4:GM284))</f>
        <v>7.0830024514139618</v>
      </c>
      <c r="GO284" s="82" t="str">
        <f t="shared" si="538"/>
        <v/>
      </c>
      <c r="GP284" s="82">
        <f>IF($GZ284="",#N/A,SUM(GO$4:GO284))</f>
        <v>14.39126706902136</v>
      </c>
      <c r="GQ284" s="82">
        <f t="shared" si="539"/>
        <v>0.26926367708491</v>
      </c>
      <c r="GR284" s="82">
        <f>IF($GZ284="",#N/A,SUM(GQ$4:GQ284))</f>
        <v>35.655393162158958</v>
      </c>
      <c r="GS284" s="63" t="str">
        <f t="shared" si="548"/>
        <v/>
      </c>
      <c r="GT284" s="63" t="e">
        <f>IF($GZ284="",#N/A,SUM(GS$4:GS284))</f>
        <v>#N/A</v>
      </c>
      <c r="GU284" s="63" t="str">
        <f t="shared" si="549"/>
        <v/>
      </c>
      <c r="GV284" s="63" t="e">
        <f>IF($GZ284="",#N/A,SUM(GU$4:GU284))</f>
        <v>#N/A</v>
      </c>
      <c r="GW284" s="63" t="e">
        <f t="shared" si="550"/>
        <v>#N/A</v>
      </c>
      <c r="GX284" s="63" t="e">
        <f>IF($GZ284="",#N/A,SUM(GW$4:GW284))</f>
        <v>#N/A</v>
      </c>
      <c r="GY284" s="63" t="e">
        <f>IF(EJ284="",#N/A,SUM($EJ$4:EJ284))</f>
        <v>#N/A</v>
      </c>
      <c r="GZ284" s="158">
        <v>65.16</v>
      </c>
      <c r="HA284" s="63">
        <f t="shared" si="540"/>
        <v>-15.179999999999836</v>
      </c>
      <c r="HB284" s="62" t="s">
        <v>2538</v>
      </c>
      <c r="HC284" s="60">
        <f>IFERROR(VLOOKUP(E284,Expectancy!$P$4:$S$19,1+C284,FALSE),"")</f>
        <v>0.17536249656639069</v>
      </c>
      <c r="HD284" s="82">
        <f t="shared" si="541"/>
        <v>0.38502189340178222</v>
      </c>
      <c r="HE284" s="138">
        <f>IF(HD284="",#N/A,SUM($HD$4:HD284))</f>
        <v>10.641311269466232</v>
      </c>
      <c r="HF284" s="85">
        <f>IF(HD284="",#N/A,IF(HB284="Skip",#N/A,SUM($HG$4:HG284)))</f>
        <v>439.9765792191551</v>
      </c>
      <c r="HG284" s="63">
        <f t="shared" si="542"/>
        <v>35.190000000000055</v>
      </c>
      <c r="HH284" s="82">
        <f t="shared" si="543"/>
        <v>0.26926367708491</v>
      </c>
    </row>
    <row r="285" spans="1:216" x14ac:dyDescent="0.25">
      <c r="A285" s="57" t="s">
        <v>47</v>
      </c>
      <c r="B285" s="58" t="s">
        <v>5236</v>
      </c>
      <c r="C285" s="386">
        <f t="shared" si="453"/>
        <v>3</v>
      </c>
      <c r="D285" s="372" t="str">
        <f>_xlfn.XLOOKUP(A285,[1]SP500!$A$2:$A$502,[1]SP500!$D$2:$D$502,"N")</f>
        <v>Y</v>
      </c>
      <c r="E285" s="57" t="str">
        <f>_xlfn.XLOOKUP(A285,[1]SP500!$A$2:$A$655,[1]SP500!$B$2:$B$655)</f>
        <v>XLF</v>
      </c>
      <c r="F285" s="59">
        <v>45699</v>
      </c>
      <c r="G285" s="57" t="str">
        <f t="shared" si="454"/>
        <v>BMO</v>
      </c>
      <c r="H285" s="57" t="str">
        <f t="shared" si="455"/>
        <v>s</v>
      </c>
      <c r="I285" s="159">
        <v>82.66</v>
      </c>
      <c r="J285" s="158">
        <v>72</v>
      </c>
      <c r="K285" s="61">
        <f t="shared" si="456"/>
        <v>-0.12896201306556976</v>
      </c>
      <c r="L285" s="87">
        <f t="shared" si="457"/>
        <v>-191.87999999999988</v>
      </c>
      <c r="M285" s="130">
        <f t="shared" si="450"/>
        <v>-13.8599999999999</v>
      </c>
      <c r="N285" s="169" t="str">
        <f t="shared" si="458"/>
        <v/>
      </c>
      <c r="O285" s="169">
        <f>IF($J285="",#N/A,SUM($N$4:N285))</f>
        <v>385.37671935422509</v>
      </c>
      <c r="P285" s="174" t="str">
        <f t="shared" si="459"/>
        <v/>
      </c>
      <c r="Q285" s="174">
        <f>IF($J285="",#N/A,SUM($P$4:P285))</f>
        <v>635.43890674734155</v>
      </c>
      <c r="R285" s="178">
        <f t="shared" si="460"/>
        <v>-191.87999999999988</v>
      </c>
      <c r="S285" s="178">
        <f>IF($J285="",#N/A,SUM($R$4:R285))</f>
        <v>360.70445814372761</v>
      </c>
      <c r="T285" s="290" t="str">
        <f t="shared" si="461"/>
        <v/>
      </c>
      <c r="U285" s="290">
        <f>IF($J285="",#N/A,SUM($T$4:T285))</f>
        <v>16.86061589193395</v>
      </c>
      <c r="V285" s="291" t="str">
        <f t="shared" si="462"/>
        <v/>
      </c>
      <c r="W285" s="291">
        <f>IF($J285="",#N/A,SUM($V$4:V285))</f>
        <v>26.031518633181065</v>
      </c>
      <c r="X285" s="292">
        <f t="shared" si="463"/>
        <v>-2.1493668844261622</v>
      </c>
      <c r="Y285" s="292">
        <f>IF($J285="",#N/A,SUM($X$4:X285))</f>
        <v>11.017638173718773</v>
      </c>
      <c r="Z285" s="304" t="str">
        <f t="shared" si="464"/>
        <v/>
      </c>
      <c r="AA285" s="313" t="e">
        <f>IF($J285="",#N/A,SUM(Z$4:Z285))</f>
        <v>#N/A</v>
      </c>
      <c r="AB285" s="314" t="str">
        <f t="shared" si="465"/>
        <v/>
      </c>
      <c r="AC285" s="314" t="e">
        <f>IF($J285="",#N/A,SUM(AB$4:AB285))</f>
        <v>#N/A</v>
      </c>
      <c r="AD285" s="315" t="str">
        <f t="shared" si="466"/>
        <v/>
      </c>
      <c r="AE285" s="315" t="e">
        <f>IF($J285="",#N/A,SUM(AD$4:AD285))</f>
        <v>#N/A</v>
      </c>
      <c r="AF285" s="315" t="e">
        <f>IF($J285="",#N/A,SUM(AD$4:AD285,AB$4:AB285,Z$4:Z285))</f>
        <v>#N/A</v>
      </c>
      <c r="AG285" s="304" t="str">
        <f t="shared" si="467"/>
        <v/>
      </c>
      <c r="AH285" s="313" t="e">
        <f>IF($J285="",#N/A,SUM(AG$4:AG285))</f>
        <v>#N/A</v>
      </c>
      <c r="AI285" s="314" t="str">
        <f t="shared" si="468"/>
        <v/>
      </c>
      <c r="AJ285" s="314" t="e">
        <f>IF($J285="",#N/A,SUM(AI$4:AI285))</f>
        <v>#N/A</v>
      </c>
      <c r="AK285" s="315" t="str">
        <f t="shared" si="469"/>
        <v/>
      </c>
      <c r="AL285" s="315" t="e">
        <f>IF($J285="",#N/A,SUM(AK$4:AK285))</f>
        <v>#N/A</v>
      </c>
      <c r="AM285" s="315" t="e">
        <f>IF($J285="",#N/A,SUM(AK$4:AK285,AI$4:AI285,AG$4:AG285))</f>
        <v>#N/A</v>
      </c>
      <c r="AN285" s="304" t="str">
        <f t="shared" si="470"/>
        <v/>
      </c>
      <c r="AO285" s="313" t="e">
        <f>IF($J285="",#N/A,SUM(AN$4:AN285))</f>
        <v>#N/A</v>
      </c>
      <c r="AP285" s="314" t="str">
        <f t="shared" si="471"/>
        <v/>
      </c>
      <c r="AQ285" s="314" t="e">
        <f>IF($J285="",#N/A,SUM(AP$4:AP285))</f>
        <v>#N/A</v>
      </c>
      <c r="AR285" s="315" t="str">
        <f t="shared" si="472"/>
        <v/>
      </c>
      <c r="AS285" s="315" t="e">
        <f>IF($J285="",#N/A,SUM(AR$4:AR285))</f>
        <v>#N/A</v>
      </c>
      <c r="AT285" s="315" t="e">
        <f>IF($J285="",#N/A,SUM(AR$4:AR285,AP$4:AP285,AN$4:AN285))</f>
        <v>#N/A</v>
      </c>
      <c r="AU285" s="304" t="str">
        <f t="shared" si="473"/>
        <v/>
      </c>
      <c r="AV285" s="313" t="e">
        <f>IF($J285="",#N/A,SUM(AU$4:AU285))</f>
        <v>#N/A</v>
      </c>
      <c r="AW285" s="314" t="str">
        <f t="shared" si="474"/>
        <v/>
      </c>
      <c r="AX285" s="314" t="e">
        <f>IF($J285="",#N/A,SUM(AW$4:AW285))</f>
        <v>#N/A</v>
      </c>
      <c r="AY285" s="315" t="str">
        <f t="shared" si="475"/>
        <v/>
      </c>
      <c r="AZ285" s="315" t="e">
        <f>IF($J285="",#N/A,SUM(AY$4:AY285))</f>
        <v>#N/A</v>
      </c>
      <c r="BA285" s="315" t="e">
        <f>IF($J285="",#N/A,SUM(AY$4:AY285,AW$4:AW285,AU$4:AU285))</f>
        <v>#N/A</v>
      </c>
      <c r="BB285" s="304" t="str">
        <f t="shared" si="476"/>
        <v/>
      </c>
      <c r="BC285" s="313" t="e">
        <f>IF($J285="",#N/A,SUM(BB$4:BB285))</f>
        <v>#N/A</v>
      </c>
      <c r="BD285" s="314" t="str">
        <f t="shared" si="477"/>
        <v/>
      </c>
      <c r="BE285" s="314" t="e">
        <f>IF($J285="",#N/A,SUM(BD$4:BD285))</f>
        <v>#N/A</v>
      </c>
      <c r="BF285" s="315" t="str">
        <f t="shared" si="478"/>
        <v/>
      </c>
      <c r="BG285" s="315" t="e">
        <f>IF($J285="",#N/A,SUM(BF$4:BF285))</f>
        <v>#N/A</v>
      </c>
      <c r="BH285" s="315" t="e">
        <f>IF($J285="",#N/A,SUM(BF$4:BF285,BD$4:BD285,BB$4:BB285))</f>
        <v>#N/A</v>
      </c>
      <c r="BI285" s="304" t="str">
        <f t="shared" si="479"/>
        <v/>
      </c>
      <c r="BJ285" s="313" t="e">
        <f>IF($J285="",#N/A,SUM(BI$4:BI285))</f>
        <v>#N/A</v>
      </c>
      <c r="BK285" s="314" t="str">
        <f t="shared" si="480"/>
        <v/>
      </c>
      <c r="BL285" s="314" t="e">
        <f>IF($J285="",#N/A,SUM(BK$4:BK285))</f>
        <v>#N/A</v>
      </c>
      <c r="BM285" s="315">
        <f t="shared" si="481"/>
        <v>-2.1493668844261622</v>
      </c>
      <c r="BN285" s="315" t="e">
        <f>IF($J285="",#N/A,SUM(BM$4:BM285))</f>
        <v>#N/A</v>
      </c>
      <c r="BO285" s="315" t="e">
        <f>IF($J285="",#N/A,SUM(BM$4:BM285,BK$4:BK285,BI$4:BI285))</f>
        <v>#N/A</v>
      </c>
      <c r="BP285" s="304" t="str">
        <f t="shared" si="482"/>
        <v/>
      </c>
      <c r="BQ285" s="313" t="e">
        <f>IF($J285="",#N/A,SUM(BP$4:BP285))</f>
        <v>#N/A</v>
      </c>
      <c r="BR285" s="314" t="str">
        <f t="shared" si="483"/>
        <v/>
      </c>
      <c r="BS285" s="314" t="e">
        <f>IF($J285="",#N/A,SUM(BR$4:BR285))</f>
        <v>#N/A</v>
      </c>
      <c r="BT285" s="315" t="str">
        <f t="shared" si="484"/>
        <v/>
      </c>
      <c r="BU285" s="315" t="e">
        <f>IF($J285="",#N/A,SUM(BT$4:BT285))</f>
        <v>#N/A</v>
      </c>
      <c r="BV285" s="315" t="e">
        <f>IF($J285="",#N/A,SUM(BT$4:BT285,BR$4:BR285,BP$4:BP285))</f>
        <v>#N/A</v>
      </c>
      <c r="BW285" s="304" t="str">
        <f t="shared" si="485"/>
        <v/>
      </c>
      <c r="BX285" s="313" t="e">
        <f>IF($J285="",#N/A,SUM(BW$4:BW285))</f>
        <v>#N/A</v>
      </c>
      <c r="BY285" s="314" t="str">
        <f t="shared" si="486"/>
        <v/>
      </c>
      <c r="BZ285" s="314" t="e">
        <f>IF($J285="",#N/A,SUM(BY$4:BY285))</f>
        <v>#N/A</v>
      </c>
      <c r="CA285" s="315" t="str">
        <f t="shared" si="487"/>
        <v/>
      </c>
      <c r="CB285" s="315" t="e">
        <f>IF($J285="",#N/A,SUM(CA$4:CA285))</f>
        <v>#N/A</v>
      </c>
      <c r="CC285" s="315" t="e">
        <f>IF($J285="",#N/A,SUM(CA$4:CA285,BY$4:BY285,BW$4:BW285))</f>
        <v>#N/A</v>
      </c>
      <c r="CD285" s="304" t="str">
        <f t="shared" si="488"/>
        <v/>
      </c>
      <c r="CE285" s="313" t="e">
        <f>IF($J285="",#N/A,SUM(CD$4:CD285))</f>
        <v>#N/A</v>
      </c>
      <c r="CF285" s="314" t="str">
        <f t="shared" si="489"/>
        <v/>
      </c>
      <c r="CG285" s="314" t="e">
        <f>IF($J285="",#N/A,SUM(CF$4:CF285))</f>
        <v>#N/A</v>
      </c>
      <c r="CH285" s="315" t="str">
        <f t="shared" si="490"/>
        <v/>
      </c>
      <c r="CI285" s="315" t="e">
        <f>IF($J285="",#N/A,SUM(CH$4:CH285))</f>
        <v>#N/A</v>
      </c>
      <c r="CJ285" s="315" t="e">
        <f>IF($J285="",#N/A,SUM(CH$4:CH285,CF$4:CF285,CD$4:CD285))</f>
        <v>#N/A</v>
      </c>
      <c r="CK285" s="304" t="str">
        <f t="shared" si="491"/>
        <v/>
      </c>
      <c r="CL285" s="313" t="e">
        <f>IF($J285="",#N/A,SUM(CK$4:CK285))</f>
        <v>#N/A</v>
      </c>
      <c r="CM285" s="314" t="str">
        <f t="shared" si="492"/>
        <v/>
      </c>
      <c r="CN285" s="314" t="e">
        <f>IF($J285="",#N/A,SUM(CM$4:CM285))</f>
        <v>#N/A</v>
      </c>
      <c r="CO285" s="315" t="str">
        <f t="shared" si="493"/>
        <v/>
      </c>
      <c r="CP285" s="315" t="e">
        <f>IF($J285="",#N/A,SUM(CO$4:CO285))</f>
        <v>#N/A</v>
      </c>
      <c r="CQ285" s="315" t="e">
        <f>IF($J285="",#N/A,SUM(CO$4:CO285,CM$4:CM285,CK$4:CK285))</f>
        <v>#N/A</v>
      </c>
      <c r="CR285" s="304" t="str">
        <f t="shared" si="494"/>
        <v/>
      </c>
      <c r="CS285" s="313" t="e">
        <f>IF($J285="",#N/A,SUM(CR$4:CR285))</f>
        <v>#N/A</v>
      </c>
      <c r="CT285" s="314" t="str">
        <f t="shared" si="495"/>
        <v/>
      </c>
      <c r="CU285" s="314" t="e">
        <f>IF($J285="",#N/A,SUM(CT$4:CT285))</f>
        <v>#N/A</v>
      </c>
      <c r="CV285" s="315" t="str">
        <f t="shared" si="496"/>
        <v/>
      </c>
      <c r="CW285" s="315" t="e">
        <f>IF($J285="",#N/A,SUM(CV$4:CV285))</f>
        <v>#N/A</v>
      </c>
      <c r="CX285" s="315" t="e">
        <f>IF($J285="",#N/A,SUM(CV$4:CV285,CT$4:CT285,CR$4:CR285))</f>
        <v>#N/A</v>
      </c>
      <c r="CY285" s="304" t="str">
        <f t="shared" si="497"/>
        <v/>
      </c>
      <c r="CZ285" s="313" t="e">
        <f>IF($J285="",#N/A,SUM(CY$4:CY285))</f>
        <v>#N/A</v>
      </c>
      <c r="DA285" s="314" t="str">
        <f t="shared" si="498"/>
        <v/>
      </c>
      <c r="DB285" s="314" t="e">
        <f>IF($J285="",#N/A,SUM(DA$4:DA285))</f>
        <v>#N/A</v>
      </c>
      <c r="DC285" s="315" t="str">
        <f t="shared" si="499"/>
        <v/>
      </c>
      <c r="DD285" s="315" t="e">
        <f>IF($J285="",#N/A,SUM(DC$4:DC285))</f>
        <v>#N/A</v>
      </c>
      <c r="DE285" s="315" t="e">
        <f>IF($J285="",#N/A,SUM(DC$4:DC285,DA$4:DA285,CY$4:CY285))</f>
        <v>#N/A</v>
      </c>
      <c r="DF285" s="304" t="str">
        <f t="shared" si="500"/>
        <v/>
      </c>
      <c r="DG285" s="313" t="e">
        <f>IF($J285="",#N/A,SUM(DF$4:DF285))</f>
        <v>#N/A</v>
      </c>
      <c r="DH285" s="314" t="str">
        <f t="shared" si="501"/>
        <v/>
      </c>
      <c r="DI285" s="314" t="e">
        <f>IF($J285="",#N/A,SUM(DH$4:DH285))</f>
        <v>#N/A</v>
      </c>
      <c r="DJ285" s="315" t="str">
        <f t="shared" si="502"/>
        <v/>
      </c>
      <c r="DK285" s="315" t="e">
        <f>IF($J285="",#N/A,SUM(DJ$4:DJ285))</f>
        <v>#N/A</v>
      </c>
      <c r="DL285" s="315" t="e">
        <f>IF($J285="",#N/A,SUM(DJ$4:DJ285,DH$4:DH285,DF$4:DF285))</f>
        <v>#N/A</v>
      </c>
      <c r="DM285" s="304" t="str">
        <f t="shared" si="503"/>
        <v/>
      </c>
      <c r="DN285" s="313" t="e">
        <f>IF($J285="",#N/A,SUM(DM$4:DM285))</f>
        <v>#N/A</v>
      </c>
      <c r="DO285" s="314" t="str">
        <f t="shared" si="504"/>
        <v/>
      </c>
      <c r="DP285" s="314" t="e">
        <f>IF($J285="",#N/A,SUM(DO$4:DO285))</f>
        <v>#N/A</v>
      </c>
      <c r="DQ285" s="315" t="str">
        <f t="shared" si="505"/>
        <v/>
      </c>
      <c r="DR285" s="315" t="e">
        <f>IF($J285="",#N/A,SUM(DQ$4:DQ285))</f>
        <v>#N/A</v>
      </c>
      <c r="DS285" s="315" t="e">
        <f>IF($J285="",#N/A,SUM(DQ$4:DQ285,DO$4:DO285,DM$4:DM285))</f>
        <v>#N/A</v>
      </c>
      <c r="DT285" s="304" t="str">
        <f t="shared" si="506"/>
        <v/>
      </c>
      <c r="DU285" s="313" t="e">
        <f>IF($J285="",#N/A,SUM(DT$4:DT285))</f>
        <v>#N/A</v>
      </c>
      <c r="DV285" s="314" t="str">
        <f t="shared" si="507"/>
        <v/>
      </c>
      <c r="DW285" s="314" t="e">
        <f>IF($J285="",#N/A,SUM(DV$4:DV285))</f>
        <v>#N/A</v>
      </c>
      <c r="DX285" s="315" t="str">
        <f t="shared" si="508"/>
        <v/>
      </c>
      <c r="DY285" s="315" t="e">
        <f>IF($J285="",#N/A,SUM(DX$4:DX285))</f>
        <v>#N/A</v>
      </c>
      <c r="DZ285" s="315" t="e">
        <f>IF($J285="",#N/A,SUM(DX$4:DX285,DV$4:DV285,DT$4:DT285))</f>
        <v>#N/A</v>
      </c>
      <c r="EA285" s="304" t="str">
        <f t="shared" si="509"/>
        <v/>
      </c>
      <c r="EB285" s="313" t="e">
        <f>IF($J285="",#N/A,SUM(EA$4:EA285))</f>
        <v>#N/A</v>
      </c>
      <c r="EC285" s="314" t="str">
        <f t="shared" si="510"/>
        <v/>
      </c>
      <c r="ED285" s="314" t="e">
        <f>IF($J285="",#N/A,SUM(EC$4:EC285))</f>
        <v>#N/A</v>
      </c>
      <c r="EE285" s="315" t="str">
        <f t="shared" si="511"/>
        <v/>
      </c>
      <c r="EF285" s="315" t="e">
        <f>IF($J285="",#N/A,SUM(EE$4:EE285))</f>
        <v>#N/A</v>
      </c>
      <c r="EG285" s="315" t="e">
        <f>IF($J285="",#N/A,SUM(EE$4:EE285,EC$4:EC285,EA$4:EA285))</f>
        <v>#N/A</v>
      </c>
      <c r="EH285" s="130">
        <f t="shared" si="512"/>
        <v>-191.87999999999988</v>
      </c>
      <c r="EI285" s="63">
        <f>IF(EH285="",#N/A,SUM($EH$4:EH285))</f>
        <v>1381.5200842452944</v>
      </c>
      <c r="EJ285" s="223" t="e">
        <f t="shared" si="513"/>
        <v>#N/A</v>
      </c>
      <c r="EK285" s="63" t="e">
        <f>IF($GZ285="",#N/A,SUM(EJ$4:EJ285))</f>
        <v>#N/A</v>
      </c>
      <c r="EL285" s="60">
        <f t="shared" si="544"/>
        <v>-2.1493668844261622</v>
      </c>
      <c r="EM285" s="60">
        <f>IF(EL285="",NA(),SUM($EL$4:EL285))</f>
        <v>44.458137490492312</v>
      </c>
      <c r="EN285" s="60" t="str">
        <f t="shared" si="514"/>
        <v/>
      </c>
      <c r="EO285" s="60" t="e">
        <f>IF(EN285="",NA(),SUM($EN$4:EN285))</f>
        <v>#N/A</v>
      </c>
      <c r="EP285" s="60">
        <f t="shared" si="515"/>
        <v>-2.1493668844261622</v>
      </c>
      <c r="EQ285" s="60">
        <f>IF(EP285="",NA(),SUM($EP$4:EP285))</f>
        <v>11.688252589488457</v>
      </c>
      <c r="ER285" s="60" t="str">
        <f t="shared" si="516"/>
        <v/>
      </c>
      <c r="ES285" s="60" t="e">
        <f>IF(ER285="",NA(),SUM($ER$4:ER285))</f>
        <v>#N/A</v>
      </c>
      <c r="ET285" s="60" t="str">
        <f t="shared" si="517"/>
        <v/>
      </c>
      <c r="EU285" s="60" t="e">
        <f>IF(ET285="",NA(),SUM($ET$4:ET285))</f>
        <v>#N/A</v>
      </c>
      <c r="EV285" s="60" t="str">
        <f t="shared" si="518"/>
        <v/>
      </c>
      <c r="EW285" s="60" t="e">
        <f>IF(EV285="",NA(),SUM($EV$4:EV285))</f>
        <v>#N/A</v>
      </c>
      <c r="EX285" s="60" t="str">
        <f t="shared" si="519"/>
        <v/>
      </c>
      <c r="EY285" s="60" t="e">
        <f>IF(EX285="",NA(),SUM($EX$4:EX285))</f>
        <v>#N/A</v>
      </c>
      <c r="EZ285" s="60" t="str">
        <f t="shared" si="520"/>
        <v/>
      </c>
      <c r="FA285" s="60" t="e">
        <f>IF(EZ285="",NA(),SUM($EZ$4:EZ285))</f>
        <v>#N/A</v>
      </c>
      <c r="FB285" s="246" t="str">
        <f t="shared" si="545"/>
        <v/>
      </c>
      <c r="FC285" s="246" t="e">
        <f>IF($FB285="",#N/A,SUM(FB$4:$FB285))</f>
        <v>#N/A</v>
      </c>
      <c r="FD285" s="60" t="str">
        <f t="shared" si="521"/>
        <v/>
      </c>
      <c r="FE285" s="60" t="e">
        <f>IF($FD285="",#N/A,SUM($FD$4:FD285))</f>
        <v>#N/A</v>
      </c>
      <c r="FF285" s="60" t="str">
        <f t="shared" si="522"/>
        <v/>
      </c>
      <c r="FG285" s="60" t="e">
        <f>IF($FF285="",#N/A,SUM($FF$4:FF285))</f>
        <v>#N/A</v>
      </c>
      <c r="FH285" s="60" t="str">
        <f t="shared" si="523"/>
        <v/>
      </c>
      <c r="FI285" s="60" t="e">
        <f>IF($FH285="",#N/A,SUM($FH$4:FH285))</f>
        <v>#N/A</v>
      </c>
      <c r="FJ285" s="60" t="str">
        <f t="shared" si="524"/>
        <v/>
      </c>
      <c r="FK285" s="60" t="e">
        <f>IF($FJ285="",#N/A,SUM($FJ$4:FJ285))</f>
        <v>#N/A</v>
      </c>
      <c r="FL285" s="60">
        <f t="shared" si="525"/>
        <v>0.23388982982498452</v>
      </c>
      <c r="FM285" s="60">
        <f>IF($FL285="",#N/A,SUM($FL$4:FL285))</f>
        <v>-0.10055979216576816</v>
      </c>
      <c r="FN285" s="82">
        <f t="shared" si="526"/>
        <v>-1.9154770546011777</v>
      </c>
      <c r="FO285" s="82">
        <f>IF($FN285="",#N/A,SUM(FN$4:$FN285))</f>
        <v>55.840022582435431</v>
      </c>
      <c r="FP285" s="82">
        <f t="shared" si="546"/>
        <v>-2.1493668844261622</v>
      </c>
      <c r="FQ285" s="246">
        <f>IF($EH285="",#N/A,SUM($FP$4:FP285))</f>
        <v>53.90977269883377</v>
      </c>
      <c r="FR285" s="82">
        <f>IFERROR(FQ285/COUNTA($J$4:J285),#N/A)</f>
        <v>0.19116940673345309</v>
      </c>
      <c r="FS285" s="82">
        <f t="shared" si="448"/>
        <v>0.25517082022117049</v>
      </c>
      <c r="FT285" s="82">
        <f t="shared" si="449"/>
        <v>0.23123121432898386</v>
      </c>
      <c r="FU285" s="338">
        <f t="shared" si="551"/>
        <v>31.043082769798218</v>
      </c>
      <c r="FV285" s="57" t="str">
        <f t="shared" si="527"/>
        <v>SW</v>
      </c>
      <c r="FW285" s="57" t="s">
        <v>2732</v>
      </c>
      <c r="FX285" s="57" t="str">
        <f t="shared" si="528"/>
        <v/>
      </c>
      <c r="FY285" s="57" t="str">
        <f t="shared" si="529"/>
        <v/>
      </c>
      <c r="FZ285" s="57" t="str">
        <f t="shared" si="530"/>
        <v/>
      </c>
      <c r="GA285" s="57" t="str">
        <f t="shared" si="531"/>
        <v>Long</v>
      </c>
      <c r="GB285" s="57" t="str">
        <f t="shared" si="532"/>
        <v/>
      </c>
      <c r="GC285" s="57" t="str">
        <f t="shared" si="533"/>
        <v/>
      </c>
      <c r="GD285" s="57">
        <f t="shared" si="534"/>
        <v>1</v>
      </c>
      <c r="GE285" s="62">
        <f t="shared" si="451"/>
        <v>82.66</v>
      </c>
      <c r="GF285" s="62" t="s">
        <v>2779</v>
      </c>
      <c r="GG285" s="199">
        <v>18</v>
      </c>
      <c r="GH285" s="207">
        <f t="shared" si="535"/>
        <v>1487.8799999999999</v>
      </c>
      <c r="GI285" s="199">
        <v>18</v>
      </c>
      <c r="GJ285" s="200">
        <v>71.23</v>
      </c>
      <c r="GK285" s="63">
        <f t="shared" si="536"/>
        <v>-205.73999999999978</v>
      </c>
      <c r="GL285" s="63">
        <f t="shared" si="452"/>
        <v>-171</v>
      </c>
      <c r="GM285" s="82">
        <f t="shared" si="537"/>
        <v>-1.9154770546011777</v>
      </c>
      <c r="GN285" s="82">
        <f>IF($GZ285="",#N/A,SUM(GM$4:GM285))</f>
        <v>5.1675253968127839</v>
      </c>
      <c r="GO285" s="82" t="str">
        <f t="shared" si="538"/>
        <v/>
      </c>
      <c r="GP285" s="82">
        <f>IF($GZ285="",#N/A,SUM(GO$4:GO285))</f>
        <v>14.39126706902136</v>
      </c>
      <c r="GQ285" s="82" t="str">
        <f t="shared" si="539"/>
        <v/>
      </c>
      <c r="GR285" s="82">
        <f>IF($GZ285="",#N/A,SUM(GQ$4:GQ285))</f>
        <v>35.655393162158958</v>
      </c>
      <c r="GS285" s="63" t="e">
        <f t="shared" si="548"/>
        <v>#N/A</v>
      </c>
      <c r="GT285" s="63" t="e">
        <f>IF($GZ285="",#N/A,SUM(GS$4:GS285))</f>
        <v>#N/A</v>
      </c>
      <c r="GU285" s="63" t="str">
        <f t="shared" si="549"/>
        <v/>
      </c>
      <c r="GV285" s="63" t="e">
        <f>IF($GZ285="",#N/A,SUM(GU$4:GU285))</f>
        <v>#N/A</v>
      </c>
      <c r="GW285" s="63" t="str">
        <f t="shared" si="550"/>
        <v/>
      </c>
      <c r="GX285" s="63" t="e">
        <f>IF($GZ285="",#N/A,SUM(GW$4:GW285))</f>
        <v>#N/A</v>
      </c>
      <c r="GY285" s="63" t="e">
        <f>IF(EJ285="",#N/A,SUM($EJ$4:EJ285))</f>
        <v>#N/A</v>
      </c>
      <c r="GZ285" s="158">
        <v>73.16</v>
      </c>
      <c r="HA285" s="63">
        <f t="shared" si="540"/>
        <v>20.879999999999882</v>
      </c>
      <c r="HB285" s="62" t="s">
        <v>2538</v>
      </c>
      <c r="HC285" s="60">
        <f>IFERROR(VLOOKUP(E285,Expectancy!$P$4:$S$19,1+C285,FALSE),"")</f>
        <v>9.9793136114217987E-2</v>
      </c>
      <c r="HD285" s="82">
        <f t="shared" si="541"/>
        <v>-2.3046213404306779</v>
      </c>
      <c r="HE285" s="138">
        <f>IF(HD285="",#N/A,SUM($HD$4:HD285))</f>
        <v>8.3366899290355541</v>
      </c>
      <c r="HF285" s="85">
        <f>IF(HD285="",#N/A,IF(HB285="Skip",#N/A,SUM($HG$4:HG285)))</f>
        <v>234.23657921915532</v>
      </c>
      <c r="HG285" s="63">
        <f t="shared" si="542"/>
        <v>-205.73999999999978</v>
      </c>
      <c r="HH285" s="82">
        <f t="shared" si="543"/>
        <v>-1.9154770546011777</v>
      </c>
    </row>
    <row r="286" spans="1:216" x14ac:dyDescent="0.25">
      <c r="A286" s="465" t="s">
        <v>1459</v>
      </c>
      <c r="B286" s="466" t="s">
        <v>5236</v>
      </c>
      <c r="C286" s="467">
        <f t="shared" si="453"/>
        <v>2</v>
      </c>
      <c r="D286" s="468" t="str">
        <f>_xlfn.XLOOKUP(A286,[1]SP500!$A$2:$A$502,[1]SP500!$D$2:$D$502,"N")</f>
        <v>Y</v>
      </c>
      <c r="E286" s="465" t="str">
        <f>_xlfn.XLOOKUP(A286,[1]SP500!$A$2:$A$655,[1]SP500!$B$2:$B$655)</f>
        <v>H-INS</v>
      </c>
      <c r="F286" s="59">
        <v>45699</v>
      </c>
      <c r="G286" s="57" t="str">
        <f t="shared" si="454"/>
        <v>BMO</v>
      </c>
      <c r="H286" s="57" t="str">
        <f t="shared" si="455"/>
        <v>s</v>
      </c>
      <c r="I286" s="158">
        <v>266.8</v>
      </c>
      <c r="J286" s="159">
        <v>273.63</v>
      </c>
      <c r="K286" s="61">
        <f t="shared" si="456"/>
        <v>2.5599700149924978E-2</v>
      </c>
      <c r="L286" s="87">
        <f t="shared" si="457"/>
        <v>-40.979999999999791</v>
      </c>
      <c r="M286" s="130">
        <f t="shared" si="450"/>
        <v>8.8199999999999363</v>
      </c>
      <c r="N286" s="169" t="str">
        <f t="shared" si="458"/>
        <v/>
      </c>
      <c r="O286" s="169">
        <f>IF($J286="",#N/A,SUM($N$4:N286))</f>
        <v>385.37671935422509</v>
      </c>
      <c r="P286" s="174">
        <f t="shared" si="459"/>
        <v>-40.979999999999791</v>
      </c>
      <c r="Q286" s="174">
        <f>IF($J286="",#N/A,SUM($P$4:P286))</f>
        <v>594.45890674734176</v>
      </c>
      <c r="R286" s="178" t="str">
        <f t="shared" si="460"/>
        <v/>
      </c>
      <c r="S286" s="178">
        <f>IF($J286="",#N/A,SUM($R$4:R286))</f>
        <v>360.70445814372761</v>
      </c>
      <c r="T286" s="290" t="str">
        <f t="shared" si="461"/>
        <v/>
      </c>
      <c r="U286" s="290">
        <f>IF($J286="",#N/A,SUM($T$4:T286))</f>
        <v>16.86061589193395</v>
      </c>
      <c r="V286" s="291">
        <f t="shared" si="462"/>
        <v>-0.42666166916541509</v>
      </c>
      <c r="W286" s="291">
        <f>IF($J286="",#N/A,SUM($V$4:V286))</f>
        <v>25.604856964015649</v>
      </c>
      <c r="X286" s="292" t="str">
        <f t="shared" si="463"/>
        <v/>
      </c>
      <c r="Y286" s="292">
        <f>IF($J286="",#N/A,SUM($X$4:X286))</f>
        <v>11.017638173718773</v>
      </c>
      <c r="Z286" s="304" t="str">
        <f t="shared" si="464"/>
        <v/>
      </c>
      <c r="AA286" s="313" t="e">
        <f>IF($J286="",#N/A,SUM(Z$4:Z286))</f>
        <v>#N/A</v>
      </c>
      <c r="AB286" s="314" t="str">
        <f t="shared" si="465"/>
        <v/>
      </c>
      <c r="AC286" s="314" t="e">
        <f>IF($J286="",#N/A,SUM(AB$4:AB286))</f>
        <v>#N/A</v>
      </c>
      <c r="AD286" s="315" t="str">
        <f t="shared" si="466"/>
        <v/>
      </c>
      <c r="AE286" s="315" t="e">
        <f>IF($J286="",#N/A,SUM(AD$4:AD286))</f>
        <v>#N/A</v>
      </c>
      <c r="AF286" s="315" t="e">
        <f>IF($J286="",#N/A,SUM(AD$4:AD286,AB$4:AB286,Z$4:Z286))</f>
        <v>#N/A</v>
      </c>
      <c r="AG286" s="304" t="str">
        <f t="shared" si="467"/>
        <v/>
      </c>
      <c r="AH286" s="313" t="e">
        <f>IF($J286="",#N/A,SUM(AG$4:AG286))</f>
        <v>#N/A</v>
      </c>
      <c r="AI286" s="314" t="str">
        <f t="shared" si="468"/>
        <v/>
      </c>
      <c r="AJ286" s="314" t="e">
        <f>IF($J286="",#N/A,SUM(AI$4:AI286))</f>
        <v>#N/A</v>
      </c>
      <c r="AK286" s="315" t="str">
        <f t="shared" si="469"/>
        <v/>
      </c>
      <c r="AL286" s="315" t="e">
        <f>IF($J286="",#N/A,SUM(AK$4:AK286))</f>
        <v>#N/A</v>
      </c>
      <c r="AM286" s="315" t="e">
        <f>IF($J286="",#N/A,SUM(AK$4:AK286,AI$4:AI286,AG$4:AG286))</f>
        <v>#N/A</v>
      </c>
      <c r="AN286" s="304" t="str">
        <f t="shared" si="470"/>
        <v/>
      </c>
      <c r="AO286" s="313" t="e">
        <f>IF($J286="",#N/A,SUM(AN$4:AN286))</f>
        <v>#N/A</v>
      </c>
      <c r="AP286" s="314" t="str">
        <f t="shared" si="471"/>
        <v/>
      </c>
      <c r="AQ286" s="314" t="e">
        <f>IF($J286="",#N/A,SUM(AP$4:AP286))</f>
        <v>#N/A</v>
      </c>
      <c r="AR286" s="315" t="str">
        <f t="shared" si="472"/>
        <v/>
      </c>
      <c r="AS286" s="315" t="e">
        <f>IF($J286="",#N/A,SUM(AR$4:AR286))</f>
        <v>#N/A</v>
      </c>
      <c r="AT286" s="315" t="e">
        <f>IF($J286="",#N/A,SUM(AR$4:AR286,AP$4:AP286,AN$4:AN286))</f>
        <v>#N/A</v>
      </c>
      <c r="AU286" s="304" t="str">
        <f t="shared" si="473"/>
        <v/>
      </c>
      <c r="AV286" s="313" t="e">
        <f>IF($J286="",#N/A,SUM(AU$4:AU286))</f>
        <v>#N/A</v>
      </c>
      <c r="AW286" s="314" t="str">
        <f t="shared" si="474"/>
        <v/>
      </c>
      <c r="AX286" s="314" t="e">
        <f>IF($J286="",#N/A,SUM(AW$4:AW286))</f>
        <v>#N/A</v>
      </c>
      <c r="AY286" s="315" t="str">
        <f t="shared" si="475"/>
        <v/>
      </c>
      <c r="AZ286" s="315" t="e">
        <f>IF($J286="",#N/A,SUM(AY$4:AY286))</f>
        <v>#N/A</v>
      </c>
      <c r="BA286" s="315" t="e">
        <f>IF($J286="",#N/A,SUM(AY$4:AY286,AW$4:AW286,AU$4:AU286))</f>
        <v>#N/A</v>
      </c>
      <c r="BB286" s="304" t="str">
        <f t="shared" si="476"/>
        <v/>
      </c>
      <c r="BC286" s="313" t="e">
        <f>IF($J286="",#N/A,SUM(BB$4:BB286))</f>
        <v>#N/A</v>
      </c>
      <c r="BD286" s="314" t="str">
        <f t="shared" si="477"/>
        <v/>
      </c>
      <c r="BE286" s="314" t="e">
        <f>IF($J286="",#N/A,SUM(BD$4:BD286))</f>
        <v>#N/A</v>
      </c>
      <c r="BF286" s="315" t="str">
        <f t="shared" si="478"/>
        <v/>
      </c>
      <c r="BG286" s="315" t="e">
        <f>IF($J286="",#N/A,SUM(BF$4:BF286))</f>
        <v>#N/A</v>
      </c>
      <c r="BH286" s="315" t="e">
        <f>IF($J286="",#N/A,SUM(BF$4:BF286,BD$4:BD286,BB$4:BB286))</f>
        <v>#N/A</v>
      </c>
      <c r="BI286" s="304" t="str">
        <f t="shared" si="479"/>
        <v/>
      </c>
      <c r="BJ286" s="313" t="e">
        <f>IF($J286="",#N/A,SUM(BI$4:BI286))</f>
        <v>#N/A</v>
      </c>
      <c r="BK286" s="314" t="str">
        <f t="shared" si="480"/>
        <v/>
      </c>
      <c r="BL286" s="314" t="e">
        <f>IF($J286="",#N/A,SUM(BK$4:BK286))</f>
        <v>#N/A</v>
      </c>
      <c r="BM286" s="315" t="str">
        <f t="shared" si="481"/>
        <v/>
      </c>
      <c r="BN286" s="315" t="e">
        <f>IF($J286="",#N/A,SUM(BM$4:BM286))</f>
        <v>#N/A</v>
      </c>
      <c r="BO286" s="315" t="e">
        <f>IF($J286="",#N/A,SUM(BM$4:BM286,BK$4:BK286,BI$4:BI286))</f>
        <v>#N/A</v>
      </c>
      <c r="BP286" s="304" t="str">
        <f t="shared" si="482"/>
        <v/>
      </c>
      <c r="BQ286" s="313" t="e">
        <f>IF($J286="",#N/A,SUM(BP$4:BP286))</f>
        <v>#N/A</v>
      </c>
      <c r="BR286" s="314" t="str">
        <f t="shared" si="483"/>
        <v/>
      </c>
      <c r="BS286" s="314" t="e">
        <f>IF($J286="",#N/A,SUM(BR$4:BR286))</f>
        <v>#N/A</v>
      </c>
      <c r="BT286" s="315" t="str">
        <f t="shared" si="484"/>
        <v/>
      </c>
      <c r="BU286" s="315" t="e">
        <f>IF($J286="",#N/A,SUM(BT$4:BT286))</f>
        <v>#N/A</v>
      </c>
      <c r="BV286" s="315" t="e">
        <f>IF($J286="",#N/A,SUM(BT$4:BT286,BR$4:BR286,BP$4:BP286))</f>
        <v>#N/A</v>
      </c>
      <c r="BW286" s="304" t="str">
        <f t="shared" si="485"/>
        <v/>
      </c>
      <c r="BX286" s="313" t="e">
        <f>IF($J286="",#N/A,SUM(BW$4:BW286))</f>
        <v>#N/A</v>
      </c>
      <c r="BY286" s="314" t="str">
        <f t="shared" si="486"/>
        <v/>
      </c>
      <c r="BZ286" s="314" t="e">
        <f>IF($J286="",#N/A,SUM(BY$4:BY286))</f>
        <v>#N/A</v>
      </c>
      <c r="CA286" s="315" t="str">
        <f t="shared" si="487"/>
        <v/>
      </c>
      <c r="CB286" s="315" t="e">
        <f>IF($J286="",#N/A,SUM(CA$4:CA286))</f>
        <v>#N/A</v>
      </c>
      <c r="CC286" s="315" t="e">
        <f>IF($J286="",#N/A,SUM(CA$4:CA286,BY$4:BY286,BW$4:BW286))</f>
        <v>#N/A</v>
      </c>
      <c r="CD286" s="304" t="str">
        <f t="shared" si="488"/>
        <v/>
      </c>
      <c r="CE286" s="313" t="e">
        <f>IF($J286="",#N/A,SUM(CD$4:CD286))</f>
        <v>#N/A</v>
      </c>
      <c r="CF286" s="314" t="str">
        <f t="shared" si="489"/>
        <v/>
      </c>
      <c r="CG286" s="314" t="e">
        <f>IF($J286="",#N/A,SUM(CF$4:CF286))</f>
        <v>#N/A</v>
      </c>
      <c r="CH286" s="315" t="str">
        <f t="shared" si="490"/>
        <v/>
      </c>
      <c r="CI286" s="315" t="e">
        <f>IF($J286="",#N/A,SUM(CH$4:CH286))</f>
        <v>#N/A</v>
      </c>
      <c r="CJ286" s="315" t="e">
        <f>IF($J286="",#N/A,SUM(CH$4:CH286,CF$4:CF286,CD$4:CD286))</f>
        <v>#N/A</v>
      </c>
      <c r="CK286" s="304" t="str">
        <f t="shared" si="491"/>
        <v/>
      </c>
      <c r="CL286" s="313" t="e">
        <f>IF($J286="",#N/A,SUM(CK$4:CK286))</f>
        <v>#N/A</v>
      </c>
      <c r="CM286" s="314" t="str">
        <f t="shared" si="492"/>
        <v/>
      </c>
      <c r="CN286" s="314" t="e">
        <f>IF($J286="",#N/A,SUM(CM$4:CM286))</f>
        <v>#N/A</v>
      </c>
      <c r="CO286" s="315" t="str">
        <f t="shared" si="493"/>
        <v/>
      </c>
      <c r="CP286" s="315" t="e">
        <f>IF($J286="",#N/A,SUM(CO$4:CO286))</f>
        <v>#N/A</v>
      </c>
      <c r="CQ286" s="315" t="e">
        <f>IF($J286="",#N/A,SUM(CO$4:CO286,CM$4:CM286,CK$4:CK286))</f>
        <v>#N/A</v>
      </c>
      <c r="CR286" s="304" t="str">
        <f t="shared" si="494"/>
        <v/>
      </c>
      <c r="CS286" s="313" t="e">
        <f>IF($J286="",#N/A,SUM(CR$4:CR286))</f>
        <v>#N/A</v>
      </c>
      <c r="CT286" s="314" t="str">
        <f t="shared" si="495"/>
        <v/>
      </c>
      <c r="CU286" s="314" t="e">
        <f>IF($J286="",#N/A,SUM(CT$4:CT286))</f>
        <v>#N/A</v>
      </c>
      <c r="CV286" s="315" t="str">
        <f t="shared" si="496"/>
        <v/>
      </c>
      <c r="CW286" s="315" t="e">
        <f>IF($J286="",#N/A,SUM(CV$4:CV286))</f>
        <v>#N/A</v>
      </c>
      <c r="CX286" s="315" t="e">
        <f>IF($J286="",#N/A,SUM(CV$4:CV286,CT$4:CT286,CR$4:CR286))</f>
        <v>#N/A</v>
      </c>
      <c r="CY286" s="304" t="str">
        <f t="shared" si="497"/>
        <v/>
      </c>
      <c r="CZ286" s="313" t="e">
        <f>IF($J286="",#N/A,SUM(CY$4:CY286))</f>
        <v>#N/A</v>
      </c>
      <c r="DA286" s="314" t="str">
        <f t="shared" si="498"/>
        <v/>
      </c>
      <c r="DB286" s="314" t="e">
        <f>IF($J286="",#N/A,SUM(DA$4:DA286))</f>
        <v>#N/A</v>
      </c>
      <c r="DC286" s="315" t="str">
        <f t="shared" si="499"/>
        <v/>
      </c>
      <c r="DD286" s="315" t="e">
        <f>IF($J286="",#N/A,SUM(DC$4:DC286))</f>
        <v>#N/A</v>
      </c>
      <c r="DE286" s="315" t="e">
        <f>IF($J286="",#N/A,SUM(DC$4:DC286,DA$4:DA286,CY$4:CY286))</f>
        <v>#N/A</v>
      </c>
      <c r="DF286" s="304" t="str">
        <f t="shared" si="500"/>
        <v/>
      </c>
      <c r="DG286" s="313" t="e">
        <f>IF($J286="",#N/A,SUM(DF$4:DF286))</f>
        <v>#N/A</v>
      </c>
      <c r="DH286" s="314" t="str">
        <f t="shared" si="501"/>
        <v/>
      </c>
      <c r="DI286" s="314" t="e">
        <f>IF($J286="",#N/A,SUM(DH$4:DH286))</f>
        <v>#N/A</v>
      </c>
      <c r="DJ286" s="315" t="str">
        <f t="shared" si="502"/>
        <v/>
      </c>
      <c r="DK286" s="315" t="e">
        <f>IF($J286="",#N/A,SUM(DJ$4:DJ286))</f>
        <v>#N/A</v>
      </c>
      <c r="DL286" s="315" t="e">
        <f>IF($J286="",#N/A,SUM(DJ$4:DJ286,DH$4:DH286,DF$4:DF286))</f>
        <v>#N/A</v>
      </c>
      <c r="DM286" s="304" t="str">
        <f t="shared" si="503"/>
        <v/>
      </c>
      <c r="DN286" s="313" t="e">
        <f>IF($J286="",#N/A,SUM(DM$4:DM286))</f>
        <v>#N/A</v>
      </c>
      <c r="DO286" s="314" t="str">
        <f t="shared" si="504"/>
        <v/>
      </c>
      <c r="DP286" s="314" t="e">
        <f>IF($J286="",#N/A,SUM(DO$4:DO286))</f>
        <v>#N/A</v>
      </c>
      <c r="DQ286" s="315" t="str">
        <f t="shared" si="505"/>
        <v/>
      </c>
      <c r="DR286" s="315" t="e">
        <f>IF($J286="",#N/A,SUM(DQ$4:DQ286))</f>
        <v>#N/A</v>
      </c>
      <c r="DS286" s="315" t="e">
        <f>IF($J286="",#N/A,SUM(DQ$4:DQ286,DO$4:DO286,DM$4:DM286))</f>
        <v>#N/A</v>
      </c>
      <c r="DT286" s="304" t="str">
        <f t="shared" si="506"/>
        <v/>
      </c>
      <c r="DU286" s="313" t="e">
        <f>IF($J286="",#N/A,SUM(DT$4:DT286))</f>
        <v>#N/A</v>
      </c>
      <c r="DV286" s="314">
        <f t="shared" si="507"/>
        <v>-0.42666166916541509</v>
      </c>
      <c r="DW286" s="314" t="e">
        <f>IF($J286="",#N/A,SUM(DV$4:DV286))</f>
        <v>#N/A</v>
      </c>
      <c r="DX286" s="315" t="str">
        <f t="shared" si="508"/>
        <v/>
      </c>
      <c r="DY286" s="315" t="e">
        <f>IF($J286="",#N/A,SUM(DX$4:DX286))</f>
        <v>#N/A</v>
      </c>
      <c r="DZ286" s="315" t="e">
        <f>IF($J286="",#N/A,SUM(DX$4:DX286,DV$4:DV286,DT$4:DT286))</f>
        <v>#N/A</v>
      </c>
      <c r="EA286" s="304" t="str">
        <f t="shared" si="509"/>
        <v/>
      </c>
      <c r="EB286" s="313" t="e">
        <f>IF($J286="",#N/A,SUM(EA$4:EA286))</f>
        <v>#N/A</v>
      </c>
      <c r="EC286" s="314" t="str">
        <f t="shared" si="510"/>
        <v/>
      </c>
      <c r="ED286" s="314" t="e">
        <f>IF($J286="",#N/A,SUM(EC$4:EC286))</f>
        <v>#N/A</v>
      </c>
      <c r="EE286" s="315" t="str">
        <f t="shared" si="511"/>
        <v/>
      </c>
      <c r="EF286" s="315" t="e">
        <f>IF($J286="",#N/A,SUM(EE$4:EE286))</f>
        <v>#N/A</v>
      </c>
      <c r="EG286" s="315" t="e">
        <f>IF($J286="",#N/A,SUM(EE$4:EE286,EC$4:EC286,EA$4:EA286))</f>
        <v>#N/A</v>
      </c>
      <c r="EH286" s="130">
        <f t="shared" si="512"/>
        <v>-40.979999999999791</v>
      </c>
      <c r="EI286" s="63">
        <f>IF(EH286="",#N/A,SUM($EH$4:EH286))</f>
        <v>1340.5400842452946</v>
      </c>
      <c r="EJ286" s="223" t="e">
        <f t="shared" si="513"/>
        <v>#N/A</v>
      </c>
      <c r="EK286" s="63" t="e">
        <f>IF($GZ286="",#N/A,SUM(EJ$4:EJ286))</f>
        <v>#N/A</v>
      </c>
      <c r="EL286" s="60">
        <f t="shared" si="544"/>
        <v>-0.42666166916541509</v>
      </c>
      <c r="EM286" s="60">
        <f>IF(EL286="",NA(),SUM($EL$4:EL286))</f>
        <v>44.0314758213269</v>
      </c>
      <c r="EN286" s="60" t="str">
        <f t="shared" si="514"/>
        <v/>
      </c>
      <c r="EO286" s="60" t="e">
        <f>IF(EN286="",NA(),SUM($EN$4:EN286))</f>
        <v>#N/A</v>
      </c>
      <c r="EP286" s="60" t="str">
        <f t="shared" si="515"/>
        <v/>
      </c>
      <c r="EQ286" s="60" t="e">
        <f>IF(EP286="",NA(),SUM($EP$4:EP286))</f>
        <v>#N/A</v>
      </c>
      <c r="ER286" s="60">
        <f t="shared" si="516"/>
        <v>-0.42666166916541509</v>
      </c>
      <c r="ES286" s="60">
        <f>IF(ER286="",NA(),SUM($ER$4:ER286))</f>
        <v>17.43931416455521</v>
      </c>
      <c r="ET286" s="60" t="str">
        <f t="shared" si="517"/>
        <v/>
      </c>
      <c r="EU286" s="60" t="e">
        <f>IF(ET286="",NA(),SUM($ET$4:ET286))</f>
        <v>#N/A</v>
      </c>
      <c r="EV286" s="60" t="str">
        <f t="shared" si="518"/>
        <v/>
      </c>
      <c r="EW286" s="60" t="e">
        <f>IF(EV286="",NA(),SUM($EV$4:EV286))</f>
        <v>#N/A</v>
      </c>
      <c r="EX286" s="60" t="str">
        <f t="shared" si="519"/>
        <v/>
      </c>
      <c r="EY286" s="60" t="e">
        <f>IF(EX286="",NA(),SUM($EX$4:EX286))</f>
        <v>#N/A</v>
      </c>
      <c r="EZ286" s="60" t="str">
        <f t="shared" si="520"/>
        <v/>
      </c>
      <c r="FA286" s="60" t="e">
        <f>IF(EZ286="",NA(),SUM($EZ$4:EZ286))</f>
        <v>#N/A</v>
      </c>
      <c r="FB286" s="246" t="str">
        <f t="shared" si="545"/>
        <v/>
      </c>
      <c r="FC286" s="246" t="e">
        <f>IF($FB286="",#N/A,SUM(FB$4:$FB286))</f>
        <v>#N/A</v>
      </c>
      <c r="FD286" s="60">
        <f t="shared" si="521"/>
        <v>1.0176161919040481</v>
      </c>
      <c r="FE286" s="60">
        <f>IF($FD286="",#N/A,SUM($FD$4:FD286))</f>
        <v>6.0018316971595667</v>
      </c>
      <c r="FF286" s="60" t="str">
        <f t="shared" si="522"/>
        <v/>
      </c>
      <c r="FG286" s="60" t="e">
        <f>IF($FF286="",#N/A,SUM($FF$4:FF286))</f>
        <v>#N/A</v>
      </c>
      <c r="FH286" s="60" t="str">
        <f t="shared" si="523"/>
        <v/>
      </c>
      <c r="FI286" s="60" t="e">
        <f>IF($FH286="",#N/A,SUM($FH$4:FH286))</f>
        <v>#N/A</v>
      </c>
      <c r="FJ286" s="60" t="str">
        <f t="shared" si="524"/>
        <v/>
      </c>
      <c r="FK286" s="60" t="e">
        <f>IF($FJ286="",#N/A,SUM($FJ$4:FJ286))</f>
        <v>#N/A</v>
      </c>
      <c r="FL286" s="60" t="str">
        <f t="shared" si="525"/>
        <v/>
      </c>
      <c r="FM286" s="60" t="e">
        <f>IF($FL286="",#N/A,SUM($FL$4:FL286))</f>
        <v>#N/A</v>
      </c>
      <c r="FN286" s="82">
        <f t="shared" si="526"/>
        <v>0.59095452273863291</v>
      </c>
      <c r="FO286" s="82">
        <f>IF($FN286="",#N/A,SUM(FN$4:$FN286))</f>
        <v>56.430977105174065</v>
      </c>
      <c r="FP286" s="82">
        <f t="shared" si="546"/>
        <v>-0.42666166916541509</v>
      </c>
      <c r="FQ286" s="246">
        <f>IF($EH286="",#N/A,SUM($FP$4:FP286))</f>
        <v>53.483111029668358</v>
      </c>
      <c r="FR286" s="82">
        <f>IFERROR(FQ286/COUNTA($J$4:J286),#N/A)</f>
        <v>0.18898625805536523</v>
      </c>
      <c r="FS286" s="82">
        <f t="shared" si="448"/>
        <v>0.2434747387317141</v>
      </c>
      <c r="FT286" s="82">
        <f t="shared" si="449"/>
        <v>0.22892252747895384</v>
      </c>
      <c r="FU286" s="338">
        <f t="shared" si="551"/>
        <v>30.951253684340948</v>
      </c>
      <c r="FV286" s="57" t="str">
        <f t="shared" si="527"/>
        <v>Dwn</v>
      </c>
      <c r="FW286" s="57" t="s">
        <v>2734</v>
      </c>
      <c r="FX286" s="57" t="str">
        <f t="shared" si="528"/>
        <v/>
      </c>
      <c r="FY286" s="57">
        <f t="shared" si="529"/>
        <v>1</v>
      </c>
      <c r="FZ286" s="57" t="str">
        <f t="shared" si="530"/>
        <v/>
      </c>
      <c r="GA286" s="57" t="str">
        <f t="shared" si="531"/>
        <v>Short</v>
      </c>
      <c r="GB286" s="57" t="str">
        <f t="shared" si="532"/>
        <v/>
      </c>
      <c r="GC286" s="57" t="str">
        <f t="shared" si="533"/>
        <v/>
      </c>
      <c r="GD286" s="57" t="str">
        <f t="shared" si="534"/>
        <v/>
      </c>
      <c r="GE286" s="62">
        <f t="shared" si="451"/>
        <v>266.8</v>
      </c>
      <c r="GF286" s="62" t="s">
        <v>2780</v>
      </c>
      <c r="GG286" s="199">
        <v>6</v>
      </c>
      <c r="GH286" s="207">
        <f t="shared" si="535"/>
        <v>1600.8000000000002</v>
      </c>
      <c r="GI286" s="199">
        <v>6</v>
      </c>
      <c r="GJ286" s="200">
        <v>272.16000000000003</v>
      </c>
      <c r="GK286" s="63">
        <f t="shared" si="536"/>
        <v>-32.159999999999854</v>
      </c>
      <c r="GL286" s="63">
        <f t="shared" si="452"/>
        <v>56.760000000000218</v>
      </c>
      <c r="GM286" s="82" t="str">
        <f t="shared" si="537"/>
        <v/>
      </c>
      <c r="GN286" s="82">
        <f>IF($GZ286="",#N/A,SUM(GM$4:GM286))</f>
        <v>5.1675253968127839</v>
      </c>
      <c r="GO286" s="82" t="str">
        <f t="shared" si="538"/>
        <v/>
      </c>
      <c r="GP286" s="82">
        <f>IF($GZ286="",#N/A,SUM(GO$4:GO286))</f>
        <v>14.39126706902136</v>
      </c>
      <c r="GQ286" s="82">
        <f t="shared" si="539"/>
        <v>0.59095452273863291</v>
      </c>
      <c r="GR286" s="82">
        <f>IF($GZ286="",#N/A,SUM(GQ$4:GQ286))</f>
        <v>36.246347684897593</v>
      </c>
      <c r="GS286" s="63" t="str">
        <f t="shared" si="548"/>
        <v/>
      </c>
      <c r="GT286" s="63" t="e">
        <f>IF($GZ286="",#N/A,SUM(GS$4:GS286))</f>
        <v>#N/A</v>
      </c>
      <c r="GU286" s="63" t="str">
        <f t="shared" si="549"/>
        <v/>
      </c>
      <c r="GV286" s="63" t="e">
        <f>IF($GZ286="",#N/A,SUM(GU$4:GU286))</f>
        <v>#N/A</v>
      </c>
      <c r="GW286" s="63" t="e">
        <f t="shared" si="550"/>
        <v>#N/A</v>
      </c>
      <c r="GX286" s="63" t="e">
        <f>IF($GZ286="",#N/A,SUM(GW$4:GW286))</f>
        <v>#N/A</v>
      </c>
      <c r="GY286" s="63" t="e">
        <f>IF(EJ286="",#N/A,SUM($EJ$4:EJ286))</f>
        <v>#N/A</v>
      </c>
      <c r="GZ286" s="158">
        <v>257.33999999999997</v>
      </c>
      <c r="HA286" s="63">
        <f t="shared" si="540"/>
        <v>97.740000000000009</v>
      </c>
      <c r="HB286" s="62" t="s">
        <v>2538</v>
      </c>
      <c r="HC286" s="60">
        <f>IFERROR(VLOOKUP(E286,Expectancy!$P$4:$S$19,1+C286,FALSE),"")</f>
        <v>0.50993626802888359</v>
      </c>
      <c r="HD286" s="82">
        <f t="shared" si="541"/>
        <v>-0.33483258370814439</v>
      </c>
      <c r="HE286" s="138">
        <f>IF(HD286="",#N/A,SUM($HD$4:HD286))</f>
        <v>8.0018573453274104</v>
      </c>
      <c r="HF286" s="85">
        <f>IF(HD286="",#N/A,IF(HB286="Skip",#N/A,SUM($HG$4:HG286)))</f>
        <v>202.07657921915546</v>
      </c>
      <c r="HG286" s="63">
        <f t="shared" si="542"/>
        <v>-32.159999999999854</v>
      </c>
      <c r="HH286" s="82">
        <f t="shared" si="543"/>
        <v>0.59095452273863291</v>
      </c>
    </row>
    <row r="287" spans="1:216" x14ac:dyDescent="0.25">
      <c r="A287" s="465" t="s">
        <v>167</v>
      </c>
      <c r="B287" s="466" t="s">
        <v>5236</v>
      </c>
      <c r="C287" s="467">
        <f t="shared" si="453"/>
        <v>2</v>
      </c>
      <c r="D287" s="468" t="str">
        <f>_xlfn.XLOOKUP(A287,[1]SP500!$A$2:$A$502,[1]SP500!$D$2:$D$502,"N")</f>
        <v>Y</v>
      </c>
      <c r="E287" s="465" t="str">
        <f>_xlfn.XLOOKUP(A287,[1]SP500!$A$2:$A$655,[1]SP500!$B$2:$B$655)</f>
        <v>XLB</v>
      </c>
      <c r="F287" s="59">
        <v>45699</v>
      </c>
      <c r="G287" s="57" t="str">
        <f t="shared" si="454"/>
        <v>BMO</v>
      </c>
      <c r="H287" s="57" t="str">
        <f t="shared" si="455"/>
        <v>s</v>
      </c>
      <c r="I287" s="159">
        <v>76.260000000000005</v>
      </c>
      <c r="J287" s="159">
        <v>79.760000000000005</v>
      </c>
      <c r="K287" s="61">
        <f t="shared" si="456"/>
        <v>4.5895620246525042E-2</v>
      </c>
      <c r="L287" s="87">
        <f t="shared" si="457"/>
        <v>-70</v>
      </c>
      <c r="M287" s="130">
        <f t="shared" si="450"/>
        <v>-0.39999999999986358</v>
      </c>
      <c r="N287" s="169" t="str">
        <f t="shared" si="458"/>
        <v/>
      </c>
      <c r="O287" s="169">
        <f>IF($J287="",#N/A,SUM($N$4:N287))</f>
        <v>385.37671935422509</v>
      </c>
      <c r="P287" s="174">
        <f t="shared" si="459"/>
        <v>-70</v>
      </c>
      <c r="Q287" s="174">
        <f>IF($J287="",#N/A,SUM($P$4:P287))</f>
        <v>524.45890674734176</v>
      </c>
      <c r="R287" s="178" t="str">
        <f t="shared" si="460"/>
        <v/>
      </c>
      <c r="S287" s="178">
        <f>IF($J287="",#N/A,SUM($R$4:R287))</f>
        <v>360.70445814372761</v>
      </c>
      <c r="T287" s="290" t="str">
        <f t="shared" si="461"/>
        <v/>
      </c>
      <c r="U287" s="290">
        <f>IF($J287="",#N/A,SUM($T$4:T287))</f>
        <v>16.86061589193395</v>
      </c>
      <c r="V287" s="291">
        <f t="shared" si="462"/>
        <v>-0.76492700410875081</v>
      </c>
      <c r="W287" s="291">
        <f>IF($J287="",#N/A,SUM($V$4:V287))</f>
        <v>24.839929959906897</v>
      </c>
      <c r="X287" s="292" t="str">
        <f t="shared" si="463"/>
        <v/>
      </c>
      <c r="Y287" s="292">
        <f>IF($J287="",#N/A,SUM($X$4:X287))</f>
        <v>11.017638173718773</v>
      </c>
      <c r="Z287" s="304" t="str">
        <f t="shared" si="464"/>
        <v/>
      </c>
      <c r="AA287" s="313" t="e">
        <f>IF($J287="",#N/A,SUM(Z$4:Z287))</f>
        <v>#N/A</v>
      </c>
      <c r="AB287" s="314" t="str">
        <f t="shared" si="465"/>
        <v/>
      </c>
      <c r="AC287" s="314" t="e">
        <f>IF($J287="",#N/A,SUM(AB$4:AB287))</f>
        <v>#N/A</v>
      </c>
      <c r="AD287" s="315" t="str">
        <f t="shared" si="466"/>
        <v/>
      </c>
      <c r="AE287" s="315" t="e">
        <f>IF($J287="",#N/A,SUM(AD$4:AD287))</f>
        <v>#N/A</v>
      </c>
      <c r="AF287" s="315" t="e">
        <f>IF($J287="",#N/A,SUM(AD$4:AD287,AB$4:AB287,Z$4:Z287))</f>
        <v>#N/A</v>
      </c>
      <c r="AG287" s="304" t="str">
        <f t="shared" si="467"/>
        <v/>
      </c>
      <c r="AH287" s="313" t="e">
        <f>IF($J287="",#N/A,SUM(AG$4:AG287))</f>
        <v>#N/A</v>
      </c>
      <c r="AI287" s="314" t="str">
        <f t="shared" si="468"/>
        <v/>
      </c>
      <c r="AJ287" s="314" t="e">
        <f>IF($J287="",#N/A,SUM(AI$4:AI287))</f>
        <v>#N/A</v>
      </c>
      <c r="AK287" s="315" t="str">
        <f t="shared" si="469"/>
        <v/>
      </c>
      <c r="AL287" s="315" t="e">
        <f>IF($J287="",#N/A,SUM(AK$4:AK287))</f>
        <v>#N/A</v>
      </c>
      <c r="AM287" s="315" t="e">
        <f>IF($J287="",#N/A,SUM(AK$4:AK287,AI$4:AI287,AG$4:AG287))</f>
        <v>#N/A</v>
      </c>
      <c r="AN287" s="304" t="str">
        <f t="shared" si="470"/>
        <v/>
      </c>
      <c r="AO287" s="313" t="e">
        <f>IF($J287="",#N/A,SUM(AN$4:AN287))</f>
        <v>#N/A</v>
      </c>
      <c r="AP287" s="314" t="str">
        <f t="shared" si="471"/>
        <v/>
      </c>
      <c r="AQ287" s="314" t="e">
        <f>IF($J287="",#N/A,SUM(AP$4:AP287))</f>
        <v>#N/A</v>
      </c>
      <c r="AR287" s="315" t="str">
        <f t="shared" si="472"/>
        <v/>
      </c>
      <c r="AS287" s="315" t="e">
        <f>IF($J287="",#N/A,SUM(AR$4:AR287))</f>
        <v>#N/A</v>
      </c>
      <c r="AT287" s="315" t="e">
        <f>IF($J287="",#N/A,SUM(AR$4:AR287,AP$4:AP287,AN$4:AN287))</f>
        <v>#N/A</v>
      </c>
      <c r="AU287" s="304" t="str">
        <f t="shared" si="473"/>
        <v/>
      </c>
      <c r="AV287" s="313" t="e">
        <f>IF($J287="",#N/A,SUM(AU$4:AU287))</f>
        <v>#N/A</v>
      </c>
      <c r="AW287" s="314" t="str">
        <f t="shared" si="474"/>
        <v/>
      </c>
      <c r="AX287" s="314" t="e">
        <f>IF($J287="",#N/A,SUM(AW$4:AW287))</f>
        <v>#N/A</v>
      </c>
      <c r="AY287" s="315" t="str">
        <f t="shared" si="475"/>
        <v/>
      </c>
      <c r="AZ287" s="315" t="e">
        <f>IF($J287="",#N/A,SUM(AY$4:AY287))</f>
        <v>#N/A</v>
      </c>
      <c r="BA287" s="315" t="e">
        <f>IF($J287="",#N/A,SUM(AY$4:AY287,AW$4:AW287,AU$4:AU287))</f>
        <v>#N/A</v>
      </c>
      <c r="BB287" s="304" t="str">
        <f t="shared" si="476"/>
        <v/>
      </c>
      <c r="BC287" s="313" t="e">
        <f>IF($J287="",#N/A,SUM(BB$4:BB287))</f>
        <v>#N/A</v>
      </c>
      <c r="BD287" s="314" t="str">
        <f t="shared" si="477"/>
        <v/>
      </c>
      <c r="BE287" s="314" t="e">
        <f>IF($J287="",#N/A,SUM(BD$4:BD287))</f>
        <v>#N/A</v>
      </c>
      <c r="BF287" s="315" t="str">
        <f t="shared" si="478"/>
        <v/>
      </c>
      <c r="BG287" s="315" t="e">
        <f>IF($J287="",#N/A,SUM(BF$4:BF287))</f>
        <v>#N/A</v>
      </c>
      <c r="BH287" s="315" t="e">
        <f>IF($J287="",#N/A,SUM(BF$4:BF287,BD$4:BD287,BB$4:BB287))</f>
        <v>#N/A</v>
      </c>
      <c r="BI287" s="304" t="str">
        <f t="shared" si="479"/>
        <v/>
      </c>
      <c r="BJ287" s="313" t="e">
        <f>IF($J287="",#N/A,SUM(BI$4:BI287))</f>
        <v>#N/A</v>
      </c>
      <c r="BK287" s="314" t="str">
        <f t="shared" si="480"/>
        <v/>
      </c>
      <c r="BL287" s="314" t="e">
        <f>IF($J287="",#N/A,SUM(BK$4:BK287))</f>
        <v>#N/A</v>
      </c>
      <c r="BM287" s="315" t="str">
        <f t="shared" si="481"/>
        <v/>
      </c>
      <c r="BN287" s="315" t="e">
        <f>IF($J287="",#N/A,SUM(BM$4:BM287))</f>
        <v>#N/A</v>
      </c>
      <c r="BO287" s="315" t="e">
        <f>IF($J287="",#N/A,SUM(BM$4:BM287,BK$4:BK287,BI$4:BI287))</f>
        <v>#N/A</v>
      </c>
      <c r="BP287" s="304" t="str">
        <f t="shared" si="482"/>
        <v/>
      </c>
      <c r="BQ287" s="313" t="e">
        <f>IF($J287="",#N/A,SUM(BP$4:BP287))</f>
        <v>#N/A</v>
      </c>
      <c r="BR287" s="314" t="str">
        <f t="shared" si="483"/>
        <v/>
      </c>
      <c r="BS287" s="314" t="e">
        <f>IF($J287="",#N/A,SUM(BR$4:BR287))</f>
        <v>#N/A</v>
      </c>
      <c r="BT287" s="315" t="str">
        <f t="shared" si="484"/>
        <v/>
      </c>
      <c r="BU287" s="315" t="e">
        <f>IF($J287="",#N/A,SUM(BT$4:BT287))</f>
        <v>#N/A</v>
      </c>
      <c r="BV287" s="315" t="e">
        <f>IF($J287="",#N/A,SUM(BT$4:BT287,BR$4:BR287,BP$4:BP287))</f>
        <v>#N/A</v>
      </c>
      <c r="BW287" s="304" t="str">
        <f t="shared" si="485"/>
        <v/>
      </c>
      <c r="BX287" s="313" t="e">
        <f>IF($J287="",#N/A,SUM(BW$4:BW287))</f>
        <v>#N/A</v>
      </c>
      <c r="BY287" s="314" t="str">
        <f t="shared" si="486"/>
        <v/>
      </c>
      <c r="BZ287" s="314" t="e">
        <f>IF($J287="",#N/A,SUM(BY$4:BY287))</f>
        <v>#N/A</v>
      </c>
      <c r="CA287" s="315" t="str">
        <f t="shared" si="487"/>
        <v/>
      </c>
      <c r="CB287" s="315" t="e">
        <f>IF($J287="",#N/A,SUM(CA$4:CA287))</f>
        <v>#N/A</v>
      </c>
      <c r="CC287" s="315" t="e">
        <f>IF($J287="",#N/A,SUM(CA$4:CA287,BY$4:BY287,BW$4:BW287))</f>
        <v>#N/A</v>
      </c>
      <c r="CD287" s="304" t="str">
        <f t="shared" si="488"/>
        <v/>
      </c>
      <c r="CE287" s="313" t="e">
        <f>IF($J287="",#N/A,SUM(CD$4:CD287))</f>
        <v>#N/A</v>
      </c>
      <c r="CF287" s="314">
        <f t="shared" si="489"/>
        <v>-0.76492700410875081</v>
      </c>
      <c r="CG287" s="314" t="e">
        <f>IF($J287="",#N/A,SUM(CF$4:CF287))</f>
        <v>#N/A</v>
      </c>
      <c r="CH287" s="315" t="str">
        <f t="shared" si="490"/>
        <v/>
      </c>
      <c r="CI287" s="315" t="e">
        <f>IF($J287="",#N/A,SUM(CH$4:CH287))</f>
        <v>#N/A</v>
      </c>
      <c r="CJ287" s="315" t="e">
        <f>IF($J287="",#N/A,SUM(CH$4:CH287,CF$4:CF287,CD$4:CD287))</f>
        <v>#N/A</v>
      </c>
      <c r="CK287" s="304" t="str">
        <f t="shared" si="491"/>
        <v/>
      </c>
      <c r="CL287" s="313" t="e">
        <f>IF($J287="",#N/A,SUM(CK$4:CK287))</f>
        <v>#N/A</v>
      </c>
      <c r="CM287" s="314" t="str">
        <f t="shared" si="492"/>
        <v/>
      </c>
      <c r="CN287" s="314" t="e">
        <f>IF($J287="",#N/A,SUM(CM$4:CM287))</f>
        <v>#N/A</v>
      </c>
      <c r="CO287" s="315" t="str">
        <f t="shared" si="493"/>
        <v/>
      </c>
      <c r="CP287" s="315" t="e">
        <f>IF($J287="",#N/A,SUM(CO$4:CO287))</f>
        <v>#N/A</v>
      </c>
      <c r="CQ287" s="315" t="e">
        <f>IF($J287="",#N/A,SUM(CO$4:CO287,CM$4:CM287,CK$4:CK287))</f>
        <v>#N/A</v>
      </c>
      <c r="CR287" s="304" t="str">
        <f t="shared" si="494"/>
        <v/>
      </c>
      <c r="CS287" s="313" t="e">
        <f>IF($J287="",#N/A,SUM(CR$4:CR287))</f>
        <v>#N/A</v>
      </c>
      <c r="CT287" s="314" t="str">
        <f t="shared" si="495"/>
        <v/>
      </c>
      <c r="CU287" s="314" t="e">
        <f>IF($J287="",#N/A,SUM(CT$4:CT287))</f>
        <v>#N/A</v>
      </c>
      <c r="CV287" s="315" t="str">
        <f t="shared" si="496"/>
        <v/>
      </c>
      <c r="CW287" s="315" t="e">
        <f>IF($J287="",#N/A,SUM(CV$4:CV287))</f>
        <v>#N/A</v>
      </c>
      <c r="CX287" s="315" t="e">
        <f>IF($J287="",#N/A,SUM(CV$4:CV287,CT$4:CT287,CR$4:CR287))</f>
        <v>#N/A</v>
      </c>
      <c r="CY287" s="304" t="str">
        <f t="shared" si="497"/>
        <v/>
      </c>
      <c r="CZ287" s="313" t="e">
        <f>IF($J287="",#N/A,SUM(CY$4:CY287))</f>
        <v>#N/A</v>
      </c>
      <c r="DA287" s="314" t="str">
        <f t="shared" si="498"/>
        <v/>
      </c>
      <c r="DB287" s="314" t="e">
        <f>IF($J287="",#N/A,SUM(DA$4:DA287))</f>
        <v>#N/A</v>
      </c>
      <c r="DC287" s="315" t="str">
        <f t="shared" si="499"/>
        <v/>
      </c>
      <c r="DD287" s="315" t="e">
        <f>IF($J287="",#N/A,SUM(DC$4:DC287))</f>
        <v>#N/A</v>
      </c>
      <c r="DE287" s="315" t="e">
        <f>IF($J287="",#N/A,SUM(DC$4:DC287,DA$4:DA287,CY$4:CY287))</f>
        <v>#N/A</v>
      </c>
      <c r="DF287" s="304" t="str">
        <f t="shared" si="500"/>
        <v/>
      </c>
      <c r="DG287" s="313" t="e">
        <f>IF($J287="",#N/A,SUM(DF$4:DF287))</f>
        <v>#N/A</v>
      </c>
      <c r="DH287" s="314" t="str">
        <f t="shared" si="501"/>
        <v/>
      </c>
      <c r="DI287" s="314" t="e">
        <f>IF($J287="",#N/A,SUM(DH$4:DH287))</f>
        <v>#N/A</v>
      </c>
      <c r="DJ287" s="315" t="str">
        <f t="shared" si="502"/>
        <v/>
      </c>
      <c r="DK287" s="315" t="e">
        <f>IF($J287="",#N/A,SUM(DJ$4:DJ287))</f>
        <v>#N/A</v>
      </c>
      <c r="DL287" s="315" t="e">
        <f>IF($J287="",#N/A,SUM(DJ$4:DJ287,DH$4:DH287,DF$4:DF287))</f>
        <v>#N/A</v>
      </c>
      <c r="DM287" s="304" t="str">
        <f t="shared" si="503"/>
        <v/>
      </c>
      <c r="DN287" s="313" t="e">
        <f>IF($J287="",#N/A,SUM(DM$4:DM287))</f>
        <v>#N/A</v>
      </c>
      <c r="DO287" s="314" t="str">
        <f t="shared" si="504"/>
        <v/>
      </c>
      <c r="DP287" s="314" t="e">
        <f>IF($J287="",#N/A,SUM(DO$4:DO287))</f>
        <v>#N/A</v>
      </c>
      <c r="DQ287" s="315" t="str">
        <f t="shared" si="505"/>
        <v/>
      </c>
      <c r="DR287" s="315" t="e">
        <f>IF($J287="",#N/A,SUM(DQ$4:DQ287))</f>
        <v>#N/A</v>
      </c>
      <c r="DS287" s="315" t="e">
        <f>IF($J287="",#N/A,SUM(DQ$4:DQ287,DO$4:DO287,DM$4:DM287))</f>
        <v>#N/A</v>
      </c>
      <c r="DT287" s="304" t="str">
        <f t="shared" si="506"/>
        <v/>
      </c>
      <c r="DU287" s="313" t="e">
        <f>IF($J287="",#N/A,SUM(DT$4:DT287))</f>
        <v>#N/A</v>
      </c>
      <c r="DV287" s="314" t="str">
        <f t="shared" si="507"/>
        <v/>
      </c>
      <c r="DW287" s="314" t="e">
        <f>IF($J287="",#N/A,SUM(DV$4:DV287))</f>
        <v>#N/A</v>
      </c>
      <c r="DX287" s="315" t="str">
        <f t="shared" si="508"/>
        <v/>
      </c>
      <c r="DY287" s="315" t="e">
        <f>IF($J287="",#N/A,SUM(DX$4:DX287))</f>
        <v>#N/A</v>
      </c>
      <c r="DZ287" s="315" t="e">
        <f>IF($J287="",#N/A,SUM(DX$4:DX287,DV$4:DV287,DT$4:DT287))</f>
        <v>#N/A</v>
      </c>
      <c r="EA287" s="304" t="str">
        <f t="shared" si="509"/>
        <v/>
      </c>
      <c r="EB287" s="313" t="e">
        <f>IF($J287="",#N/A,SUM(EA$4:EA287))</f>
        <v>#N/A</v>
      </c>
      <c r="EC287" s="314" t="str">
        <f t="shared" si="510"/>
        <v/>
      </c>
      <c r="ED287" s="314" t="e">
        <f>IF($J287="",#N/A,SUM(EC$4:EC287))</f>
        <v>#N/A</v>
      </c>
      <c r="EE287" s="315" t="str">
        <f t="shared" si="511"/>
        <v/>
      </c>
      <c r="EF287" s="315" t="e">
        <f>IF($J287="",#N/A,SUM(EE$4:EE287))</f>
        <v>#N/A</v>
      </c>
      <c r="EG287" s="315" t="e">
        <f>IF($J287="",#N/A,SUM(EE$4:EE287,EC$4:EC287,EA$4:EA287))</f>
        <v>#N/A</v>
      </c>
      <c r="EH287" s="130">
        <f t="shared" si="512"/>
        <v>-70</v>
      </c>
      <c r="EI287" s="63">
        <f>IF(EH287="",#N/A,SUM($EH$4:EH287))</f>
        <v>1270.5400842452946</v>
      </c>
      <c r="EJ287" s="223" t="e">
        <f t="shared" si="513"/>
        <v>#N/A</v>
      </c>
      <c r="EK287" s="63" t="e">
        <f>IF($GZ287="",#N/A,SUM(EJ$4:EJ287))</f>
        <v>#N/A</v>
      </c>
      <c r="EL287" s="60">
        <f t="shared" si="544"/>
        <v>-0.76492700410875081</v>
      </c>
      <c r="EM287" s="60">
        <f>IF(EL287="",NA(),SUM($EL$4:EL287))</f>
        <v>43.266548817218151</v>
      </c>
      <c r="EN287" s="60" t="str">
        <f t="shared" si="514"/>
        <v/>
      </c>
      <c r="EO287" s="60" t="e">
        <f>IF(EN287="",NA(),SUM($EN$4:EN287))</f>
        <v>#N/A</v>
      </c>
      <c r="EP287" s="60" t="str">
        <f t="shared" si="515"/>
        <v/>
      </c>
      <c r="EQ287" s="60" t="e">
        <f>IF(EP287="",NA(),SUM($EP$4:EP287))</f>
        <v>#N/A</v>
      </c>
      <c r="ER287" s="60">
        <f t="shared" si="516"/>
        <v>-0.76492700410875081</v>
      </c>
      <c r="ES287" s="60">
        <f>IF(ER287="",NA(),SUM($ER$4:ER287))</f>
        <v>16.674387160446457</v>
      </c>
      <c r="ET287" s="60" t="str">
        <f t="shared" si="517"/>
        <v/>
      </c>
      <c r="EU287" s="60" t="e">
        <f>IF(ET287="",NA(),SUM($ET$4:ET287))</f>
        <v>#N/A</v>
      </c>
      <c r="EV287" s="60" t="str">
        <f t="shared" si="518"/>
        <v/>
      </c>
      <c r="EW287" s="60" t="e">
        <f>IF(EV287="",NA(),SUM($EV$4:EV287))</f>
        <v>#N/A</v>
      </c>
      <c r="EX287" s="60" t="str">
        <f t="shared" si="519"/>
        <v/>
      </c>
      <c r="EY287" s="60" t="e">
        <f>IF(EX287="",NA(),SUM($EX$4:EX287))</f>
        <v>#N/A</v>
      </c>
      <c r="EZ287" s="60" t="str">
        <f t="shared" si="520"/>
        <v/>
      </c>
      <c r="FA287" s="60" t="e">
        <f>IF(EZ287="",NA(),SUM($EZ$4:EZ287))</f>
        <v>#N/A</v>
      </c>
      <c r="FB287" s="246" t="str">
        <f t="shared" si="545"/>
        <v/>
      </c>
      <c r="FC287" s="246" t="e">
        <f>IF($FB287="",#N/A,SUM(FB$4:$FB287))</f>
        <v>#N/A</v>
      </c>
      <c r="FD287" s="60">
        <f t="shared" si="521"/>
        <v>-0.37590698487630125</v>
      </c>
      <c r="FE287" s="60">
        <f>IF($FD287="",#N/A,SUM($FD$4:FD287))</f>
        <v>5.6259247122832656</v>
      </c>
      <c r="FF287" s="60" t="str">
        <f t="shared" si="522"/>
        <v/>
      </c>
      <c r="FG287" s="60" t="e">
        <f>IF($FF287="",#N/A,SUM($FF$4:FF287))</f>
        <v>#N/A</v>
      </c>
      <c r="FH287" s="60" t="str">
        <f t="shared" si="523"/>
        <v/>
      </c>
      <c r="FI287" s="60" t="e">
        <f>IF($FH287="",#N/A,SUM($FH$4:FH287))</f>
        <v>#N/A</v>
      </c>
      <c r="FJ287" s="60" t="str">
        <f t="shared" si="524"/>
        <v/>
      </c>
      <c r="FK287" s="60" t="e">
        <f>IF($FJ287="",#N/A,SUM($FJ$4:FJ287))</f>
        <v>#N/A</v>
      </c>
      <c r="FL287" s="60" t="str">
        <f t="shared" si="525"/>
        <v/>
      </c>
      <c r="FM287" s="60" t="e">
        <f>IF($FL287="",#N/A,SUM($FL$4:FL287))</f>
        <v>#N/A</v>
      </c>
      <c r="FN287" s="82">
        <f t="shared" si="526"/>
        <v>-1.1408339889850521</v>
      </c>
      <c r="FO287" s="82">
        <f>IF($FN287="",#N/A,SUM(FN$4:$FN287))</f>
        <v>55.290143116189014</v>
      </c>
      <c r="FP287" s="82">
        <f t="shared" si="546"/>
        <v>-0.76492700410875081</v>
      </c>
      <c r="FQ287" s="246">
        <f>IF($EH287="",#N/A,SUM($FP$4:FP287))</f>
        <v>52.718184025559609</v>
      </c>
      <c r="FR287" s="82">
        <f>IFERROR(FQ287/COUNTA($J$4:J287),#N/A)</f>
        <v>0.18562740854070284</v>
      </c>
      <c r="FS287" s="82">
        <f t="shared" si="448"/>
        <v>0.22922902187814428</v>
      </c>
      <c r="FT287" s="82">
        <f t="shared" si="449"/>
        <v>0.21599491932398307</v>
      </c>
      <c r="FU287" s="338">
        <f t="shared" si="551"/>
        <v>30.955624695792999</v>
      </c>
      <c r="FV287" s="57" t="str">
        <f t="shared" si="527"/>
        <v>Dwn</v>
      </c>
      <c r="FW287" s="57" t="s">
        <v>2734</v>
      </c>
      <c r="FX287" s="57" t="str">
        <f t="shared" si="528"/>
        <v/>
      </c>
      <c r="FY287" s="57">
        <f t="shared" si="529"/>
        <v>1</v>
      </c>
      <c r="FZ287" s="57" t="str">
        <f t="shared" si="530"/>
        <v/>
      </c>
      <c r="GA287" s="57" t="str">
        <f t="shared" si="531"/>
        <v>Short</v>
      </c>
      <c r="GB287" s="57" t="str">
        <f t="shared" si="532"/>
        <v/>
      </c>
      <c r="GC287" s="57" t="str">
        <f t="shared" si="533"/>
        <v/>
      </c>
      <c r="GD287" s="57" t="str">
        <f t="shared" si="534"/>
        <v/>
      </c>
      <c r="GE287" s="62">
        <f t="shared" si="451"/>
        <v>76.260000000000005</v>
      </c>
      <c r="GF287" s="62" t="s">
        <v>2780</v>
      </c>
      <c r="GG287" s="199">
        <v>20</v>
      </c>
      <c r="GH287" s="207">
        <f t="shared" si="535"/>
        <v>1525.2</v>
      </c>
      <c r="GI287" s="199">
        <v>20</v>
      </c>
      <c r="GJ287" s="200">
        <v>79.78</v>
      </c>
      <c r="GK287" s="63">
        <f t="shared" si="536"/>
        <v>-70.399999999999864</v>
      </c>
      <c r="GL287" s="63">
        <f t="shared" si="452"/>
        <v>-104.40000000000009</v>
      </c>
      <c r="GM287" s="82" t="str">
        <f t="shared" si="537"/>
        <v/>
      </c>
      <c r="GN287" s="82">
        <f>IF($GZ287="",#N/A,SUM(GM$4:GM287))</f>
        <v>5.1675253968127839</v>
      </c>
      <c r="GO287" s="82" t="str">
        <f t="shared" si="538"/>
        <v/>
      </c>
      <c r="GP287" s="82">
        <f>IF($GZ287="",#N/A,SUM(GO$4:GO287))</f>
        <v>14.39126706902136</v>
      </c>
      <c r="GQ287" s="82">
        <f t="shared" si="539"/>
        <v>-1.1408339889850521</v>
      </c>
      <c r="GR287" s="82">
        <f>IF($GZ287="",#N/A,SUM(GQ$4:GQ287))</f>
        <v>35.105513695912542</v>
      </c>
      <c r="GS287" s="63" t="str">
        <f t="shared" si="548"/>
        <v/>
      </c>
      <c r="GT287" s="63" t="e">
        <f>IF($GZ287="",#N/A,SUM(GS$4:GS287))</f>
        <v>#N/A</v>
      </c>
      <c r="GU287" s="63" t="str">
        <f t="shared" si="549"/>
        <v/>
      </c>
      <c r="GV287" s="63" t="e">
        <f>IF($GZ287="",#N/A,SUM(GU$4:GU287))</f>
        <v>#N/A</v>
      </c>
      <c r="GW287" s="63" t="e">
        <f t="shared" si="550"/>
        <v>#N/A</v>
      </c>
      <c r="GX287" s="63" t="e">
        <f>IF($GZ287="",#N/A,SUM(GW$4:GW287))</f>
        <v>#N/A</v>
      </c>
      <c r="GY287" s="63" t="e">
        <f>IF(EJ287="",#N/A,SUM($EJ$4:EJ287))</f>
        <v>#N/A</v>
      </c>
      <c r="GZ287" s="158">
        <v>81.48</v>
      </c>
      <c r="HA287" s="63">
        <f t="shared" si="540"/>
        <v>-34.400000000000091</v>
      </c>
      <c r="HB287" s="62" t="s">
        <v>2538</v>
      </c>
      <c r="HC287" s="60">
        <f>IFERROR(VLOOKUP(E287,Expectancy!$P$4:$S$19,1+C287,FALSE),"")</f>
        <v>0.73529829292760662</v>
      </c>
      <c r="HD287" s="82">
        <f t="shared" si="541"/>
        <v>-0.76929801556079924</v>
      </c>
      <c r="HE287" s="138">
        <f>IF(HD287="",#N/A,SUM($HD$4:HD287))</f>
        <v>7.2325593297666115</v>
      </c>
      <c r="HF287" s="85">
        <f>IF(HD287="",#N/A,IF(HB287="Skip",#N/A,SUM($HG$4:HG287)))</f>
        <v>131.6765792191556</v>
      </c>
      <c r="HG287" s="63">
        <f t="shared" si="542"/>
        <v>-70.399999999999864</v>
      </c>
      <c r="HH287" s="82">
        <f t="shared" si="543"/>
        <v>-1.1408339889850521</v>
      </c>
    </row>
    <row r="288" spans="1:216" x14ac:dyDescent="0.25">
      <c r="A288" s="57" t="s">
        <v>1523</v>
      </c>
      <c r="B288" s="58" t="s">
        <v>5236</v>
      </c>
      <c r="C288" s="386">
        <f t="shared" si="453"/>
        <v>2</v>
      </c>
      <c r="D288" s="372" t="str">
        <f>_xlfn.XLOOKUP(A288,[1]SP500!$A$2:$A$502,[1]SP500!$D$2:$D$502,"N")</f>
        <v>Y</v>
      </c>
      <c r="E288" s="57" t="str">
        <f>_xlfn.XLOOKUP(A288,[1]SP500!$A$2:$A$655,[1]SP500!$B$2:$B$655)</f>
        <v>XLI</v>
      </c>
      <c r="F288" s="59">
        <v>45699</v>
      </c>
      <c r="G288" s="57" t="str">
        <f t="shared" si="454"/>
        <v>BMO</v>
      </c>
      <c r="H288" s="57" t="str">
        <f t="shared" si="455"/>
        <v>s</v>
      </c>
      <c r="I288" s="159">
        <v>142.77000000000001</v>
      </c>
      <c r="J288" s="159">
        <v>147.51</v>
      </c>
      <c r="K288" s="61">
        <f t="shared" si="456"/>
        <v>3.320025215381369E-2</v>
      </c>
      <c r="L288" s="87">
        <f t="shared" si="457"/>
        <v>-47.399999999999864</v>
      </c>
      <c r="M288" s="130">
        <f t="shared" si="450"/>
        <v>8.8999999999998636</v>
      </c>
      <c r="N288" s="169" t="str">
        <f t="shared" si="458"/>
        <v/>
      </c>
      <c r="O288" s="169">
        <f>IF($J288="",#N/A,SUM($N$4:N288))</f>
        <v>385.37671935422509</v>
      </c>
      <c r="P288" s="174">
        <f t="shared" si="459"/>
        <v>-47.399999999999864</v>
      </c>
      <c r="Q288" s="174">
        <f>IF($J288="",#N/A,SUM($P$4:P288))</f>
        <v>477.05890674734189</v>
      </c>
      <c r="R288" s="178" t="str">
        <f t="shared" si="460"/>
        <v/>
      </c>
      <c r="S288" s="178">
        <f>IF($J288="",#N/A,SUM($R$4:R288))</f>
        <v>360.70445814372761</v>
      </c>
      <c r="T288" s="290" t="str">
        <f t="shared" si="461"/>
        <v/>
      </c>
      <c r="U288" s="290">
        <f>IF($J288="",#N/A,SUM($T$4:T288))</f>
        <v>16.86061589193395</v>
      </c>
      <c r="V288" s="291">
        <f t="shared" si="462"/>
        <v>-0.55333753589689549</v>
      </c>
      <c r="W288" s="291">
        <f>IF($J288="",#N/A,SUM($V$4:V288))</f>
        <v>24.286592424010003</v>
      </c>
      <c r="X288" s="292" t="str">
        <f t="shared" si="463"/>
        <v/>
      </c>
      <c r="Y288" s="292">
        <f>IF($J288="",#N/A,SUM($X$4:X288))</f>
        <v>11.017638173718773</v>
      </c>
      <c r="Z288" s="304" t="str">
        <f t="shared" si="464"/>
        <v/>
      </c>
      <c r="AA288" s="313" t="e">
        <f>IF($J288="",#N/A,SUM(Z$4:Z288))</f>
        <v>#N/A</v>
      </c>
      <c r="AB288" s="314" t="str">
        <f t="shared" si="465"/>
        <v/>
      </c>
      <c r="AC288" s="314" t="e">
        <f>IF($J288="",#N/A,SUM(AB$4:AB288))</f>
        <v>#N/A</v>
      </c>
      <c r="AD288" s="315" t="str">
        <f t="shared" si="466"/>
        <v/>
      </c>
      <c r="AE288" s="315" t="e">
        <f>IF($J288="",#N/A,SUM(AD$4:AD288))</f>
        <v>#N/A</v>
      </c>
      <c r="AF288" s="315" t="e">
        <f>IF($J288="",#N/A,SUM(AD$4:AD288,AB$4:AB288,Z$4:Z288))</f>
        <v>#N/A</v>
      </c>
      <c r="AG288" s="304" t="str">
        <f t="shared" si="467"/>
        <v/>
      </c>
      <c r="AH288" s="313" t="e">
        <f>IF($J288="",#N/A,SUM(AG$4:AG288))</f>
        <v>#N/A</v>
      </c>
      <c r="AI288" s="314" t="str">
        <f t="shared" si="468"/>
        <v/>
      </c>
      <c r="AJ288" s="314" t="e">
        <f>IF($J288="",#N/A,SUM(AI$4:AI288))</f>
        <v>#N/A</v>
      </c>
      <c r="AK288" s="315" t="str">
        <f t="shared" si="469"/>
        <v/>
      </c>
      <c r="AL288" s="315" t="e">
        <f>IF($J288="",#N/A,SUM(AK$4:AK288))</f>
        <v>#N/A</v>
      </c>
      <c r="AM288" s="315" t="e">
        <f>IF($J288="",#N/A,SUM(AK$4:AK288,AI$4:AI288,AG$4:AG288))</f>
        <v>#N/A</v>
      </c>
      <c r="AN288" s="304" t="str">
        <f t="shared" si="470"/>
        <v/>
      </c>
      <c r="AO288" s="313" t="e">
        <f>IF($J288="",#N/A,SUM(AN$4:AN288))</f>
        <v>#N/A</v>
      </c>
      <c r="AP288" s="314" t="str">
        <f t="shared" si="471"/>
        <v/>
      </c>
      <c r="AQ288" s="314" t="e">
        <f>IF($J288="",#N/A,SUM(AP$4:AP288))</f>
        <v>#N/A</v>
      </c>
      <c r="AR288" s="315" t="str">
        <f t="shared" si="472"/>
        <v/>
      </c>
      <c r="AS288" s="315" t="e">
        <f>IF($J288="",#N/A,SUM(AR$4:AR288))</f>
        <v>#N/A</v>
      </c>
      <c r="AT288" s="315" t="e">
        <f>IF($J288="",#N/A,SUM(AR$4:AR288,AP$4:AP288,AN$4:AN288))</f>
        <v>#N/A</v>
      </c>
      <c r="AU288" s="304" t="str">
        <f t="shared" si="473"/>
        <v/>
      </c>
      <c r="AV288" s="313" t="e">
        <f>IF($J288="",#N/A,SUM(AU$4:AU288))</f>
        <v>#N/A</v>
      </c>
      <c r="AW288" s="314" t="str">
        <f t="shared" si="474"/>
        <v/>
      </c>
      <c r="AX288" s="314" t="e">
        <f>IF($J288="",#N/A,SUM(AW$4:AW288))</f>
        <v>#N/A</v>
      </c>
      <c r="AY288" s="315" t="str">
        <f t="shared" si="475"/>
        <v/>
      </c>
      <c r="AZ288" s="315" t="e">
        <f>IF($J288="",#N/A,SUM(AY$4:AY288))</f>
        <v>#N/A</v>
      </c>
      <c r="BA288" s="315" t="e">
        <f>IF($J288="",#N/A,SUM(AY$4:AY288,AW$4:AW288,AU$4:AU288))</f>
        <v>#N/A</v>
      </c>
      <c r="BB288" s="304" t="str">
        <f t="shared" si="476"/>
        <v/>
      </c>
      <c r="BC288" s="313" t="e">
        <f>IF($J288="",#N/A,SUM(BB$4:BB288))</f>
        <v>#N/A</v>
      </c>
      <c r="BD288" s="314" t="str">
        <f t="shared" si="477"/>
        <v/>
      </c>
      <c r="BE288" s="314" t="e">
        <f>IF($J288="",#N/A,SUM(BD$4:BD288))</f>
        <v>#N/A</v>
      </c>
      <c r="BF288" s="315" t="str">
        <f t="shared" si="478"/>
        <v/>
      </c>
      <c r="BG288" s="315" t="e">
        <f>IF($J288="",#N/A,SUM(BF$4:BF288))</f>
        <v>#N/A</v>
      </c>
      <c r="BH288" s="315" t="e">
        <f>IF($J288="",#N/A,SUM(BF$4:BF288,BD$4:BD288,BB$4:BB288))</f>
        <v>#N/A</v>
      </c>
      <c r="BI288" s="304" t="str">
        <f t="shared" si="479"/>
        <v/>
      </c>
      <c r="BJ288" s="313" t="e">
        <f>IF($J288="",#N/A,SUM(BI$4:BI288))</f>
        <v>#N/A</v>
      </c>
      <c r="BK288" s="314" t="str">
        <f t="shared" si="480"/>
        <v/>
      </c>
      <c r="BL288" s="314" t="e">
        <f>IF($J288="",#N/A,SUM(BK$4:BK288))</f>
        <v>#N/A</v>
      </c>
      <c r="BM288" s="315" t="str">
        <f t="shared" si="481"/>
        <v/>
      </c>
      <c r="BN288" s="315" t="e">
        <f>IF($J288="",#N/A,SUM(BM$4:BM288))</f>
        <v>#N/A</v>
      </c>
      <c r="BO288" s="315" t="e">
        <f>IF($J288="",#N/A,SUM(BM$4:BM288,BK$4:BK288,BI$4:BI288))</f>
        <v>#N/A</v>
      </c>
      <c r="BP288" s="304" t="str">
        <f t="shared" si="482"/>
        <v/>
      </c>
      <c r="BQ288" s="313" t="e">
        <f>IF($J288="",#N/A,SUM(BP$4:BP288))</f>
        <v>#N/A</v>
      </c>
      <c r="BR288" s="314">
        <f t="shared" si="483"/>
        <v>-0.55333753589689549</v>
      </c>
      <c r="BS288" s="314" t="e">
        <f>IF($J288="",#N/A,SUM(BR$4:BR288))</f>
        <v>#N/A</v>
      </c>
      <c r="BT288" s="315" t="str">
        <f t="shared" si="484"/>
        <v/>
      </c>
      <c r="BU288" s="315" t="e">
        <f>IF($J288="",#N/A,SUM(BT$4:BT288))</f>
        <v>#N/A</v>
      </c>
      <c r="BV288" s="315" t="e">
        <f>IF($J288="",#N/A,SUM(BT$4:BT288,BR$4:BR288,BP$4:BP288))</f>
        <v>#N/A</v>
      </c>
      <c r="BW288" s="304" t="str">
        <f t="shared" si="485"/>
        <v/>
      </c>
      <c r="BX288" s="313" t="e">
        <f>IF($J288="",#N/A,SUM(BW$4:BW288))</f>
        <v>#N/A</v>
      </c>
      <c r="BY288" s="314" t="str">
        <f t="shared" si="486"/>
        <v/>
      </c>
      <c r="BZ288" s="314" t="e">
        <f>IF($J288="",#N/A,SUM(BY$4:BY288))</f>
        <v>#N/A</v>
      </c>
      <c r="CA288" s="315" t="str">
        <f t="shared" si="487"/>
        <v/>
      </c>
      <c r="CB288" s="315" t="e">
        <f>IF($J288="",#N/A,SUM(CA$4:CA288))</f>
        <v>#N/A</v>
      </c>
      <c r="CC288" s="315" t="e">
        <f>IF($J288="",#N/A,SUM(CA$4:CA288,BY$4:BY288,BW$4:BW288))</f>
        <v>#N/A</v>
      </c>
      <c r="CD288" s="304" t="str">
        <f t="shared" si="488"/>
        <v/>
      </c>
      <c r="CE288" s="313" t="e">
        <f>IF($J288="",#N/A,SUM(CD$4:CD288))</f>
        <v>#N/A</v>
      </c>
      <c r="CF288" s="314" t="str">
        <f t="shared" si="489"/>
        <v/>
      </c>
      <c r="CG288" s="314" t="e">
        <f>IF($J288="",#N/A,SUM(CF$4:CF288))</f>
        <v>#N/A</v>
      </c>
      <c r="CH288" s="315" t="str">
        <f t="shared" si="490"/>
        <v/>
      </c>
      <c r="CI288" s="315" t="e">
        <f>IF($J288="",#N/A,SUM(CH$4:CH288))</f>
        <v>#N/A</v>
      </c>
      <c r="CJ288" s="315" t="e">
        <f>IF($J288="",#N/A,SUM(CH$4:CH288,CF$4:CF288,CD$4:CD288))</f>
        <v>#N/A</v>
      </c>
      <c r="CK288" s="304" t="str">
        <f t="shared" si="491"/>
        <v/>
      </c>
      <c r="CL288" s="313" t="e">
        <f>IF($J288="",#N/A,SUM(CK$4:CK288))</f>
        <v>#N/A</v>
      </c>
      <c r="CM288" s="314" t="str">
        <f t="shared" si="492"/>
        <v/>
      </c>
      <c r="CN288" s="314" t="e">
        <f>IF($J288="",#N/A,SUM(CM$4:CM288))</f>
        <v>#N/A</v>
      </c>
      <c r="CO288" s="315" t="str">
        <f t="shared" si="493"/>
        <v/>
      </c>
      <c r="CP288" s="315" t="e">
        <f>IF($J288="",#N/A,SUM(CO$4:CO288))</f>
        <v>#N/A</v>
      </c>
      <c r="CQ288" s="315" t="e">
        <f>IF($J288="",#N/A,SUM(CO$4:CO288,CM$4:CM288,CK$4:CK288))</f>
        <v>#N/A</v>
      </c>
      <c r="CR288" s="304" t="str">
        <f t="shared" si="494"/>
        <v/>
      </c>
      <c r="CS288" s="313" t="e">
        <f>IF($J288="",#N/A,SUM(CR$4:CR288))</f>
        <v>#N/A</v>
      </c>
      <c r="CT288" s="314" t="str">
        <f t="shared" si="495"/>
        <v/>
      </c>
      <c r="CU288" s="314" t="e">
        <f>IF($J288="",#N/A,SUM(CT$4:CT288))</f>
        <v>#N/A</v>
      </c>
      <c r="CV288" s="315" t="str">
        <f t="shared" si="496"/>
        <v/>
      </c>
      <c r="CW288" s="315" t="e">
        <f>IF($J288="",#N/A,SUM(CV$4:CV288))</f>
        <v>#N/A</v>
      </c>
      <c r="CX288" s="315" t="e">
        <f>IF($J288="",#N/A,SUM(CV$4:CV288,CT$4:CT288,CR$4:CR288))</f>
        <v>#N/A</v>
      </c>
      <c r="CY288" s="304" t="str">
        <f t="shared" si="497"/>
        <v/>
      </c>
      <c r="CZ288" s="313" t="e">
        <f>IF($J288="",#N/A,SUM(CY$4:CY288))</f>
        <v>#N/A</v>
      </c>
      <c r="DA288" s="314" t="str">
        <f t="shared" si="498"/>
        <v/>
      </c>
      <c r="DB288" s="314" t="e">
        <f>IF($J288="",#N/A,SUM(DA$4:DA288))</f>
        <v>#N/A</v>
      </c>
      <c r="DC288" s="315" t="str">
        <f t="shared" si="499"/>
        <v/>
      </c>
      <c r="DD288" s="315" t="e">
        <f>IF($J288="",#N/A,SUM(DC$4:DC288))</f>
        <v>#N/A</v>
      </c>
      <c r="DE288" s="315" t="e">
        <f>IF($J288="",#N/A,SUM(DC$4:DC288,DA$4:DA288,CY$4:CY288))</f>
        <v>#N/A</v>
      </c>
      <c r="DF288" s="304" t="str">
        <f t="shared" si="500"/>
        <v/>
      </c>
      <c r="DG288" s="313" t="e">
        <f>IF($J288="",#N/A,SUM(DF$4:DF288))</f>
        <v>#N/A</v>
      </c>
      <c r="DH288" s="314" t="str">
        <f t="shared" si="501"/>
        <v/>
      </c>
      <c r="DI288" s="314" t="e">
        <f>IF($J288="",#N/A,SUM(DH$4:DH288))</f>
        <v>#N/A</v>
      </c>
      <c r="DJ288" s="315" t="str">
        <f t="shared" si="502"/>
        <v/>
      </c>
      <c r="DK288" s="315" t="e">
        <f>IF($J288="",#N/A,SUM(DJ$4:DJ288))</f>
        <v>#N/A</v>
      </c>
      <c r="DL288" s="315" t="e">
        <f>IF($J288="",#N/A,SUM(DJ$4:DJ288,DH$4:DH288,DF$4:DF288))</f>
        <v>#N/A</v>
      </c>
      <c r="DM288" s="304" t="str">
        <f t="shared" si="503"/>
        <v/>
      </c>
      <c r="DN288" s="313" t="e">
        <f>IF($J288="",#N/A,SUM(DM$4:DM288))</f>
        <v>#N/A</v>
      </c>
      <c r="DO288" s="314" t="str">
        <f t="shared" si="504"/>
        <v/>
      </c>
      <c r="DP288" s="314" t="e">
        <f>IF($J288="",#N/A,SUM(DO$4:DO288))</f>
        <v>#N/A</v>
      </c>
      <c r="DQ288" s="315" t="str">
        <f t="shared" si="505"/>
        <v/>
      </c>
      <c r="DR288" s="315" t="e">
        <f>IF($J288="",#N/A,SUM(DQ$4:DQ288))</f>
        <v>#N/A</v>
      </c>
      <c r="DS288" s="315" t="e">
        <f>IF($J288="",#N/A,SUM(DQ$4:DQ288,DO$4:DO288,DM$4:DM288))</f>
        <v>#N/A</v>
      </c>
      <c r="DT288" s="304" t="str">
        <f t="shared" si="506"/>
        <v/>
      </c>
      <c r="DU288" s="313" t="e">
        <f>IF($J288="",#N/A,SUM(DT$4:DT288))</f>
        <v>#N/A</v>
      </c>
      <c r="DV288" s="314" t="str">
        <f t="shared" si="507"/>
        <v/>
      </c>
      <c r="DW288" s="314" t="e">
        <f>IF($J288="",#N/A,SUM(DV$4:DV288))</f>
        <v>#N/A</v>
      </c>
      <c r="DX288" s="315" t="str">
        <f t="shared" si="508"/>
        <v/>
      </c>
      <c r="DY288" s="315" t="e">
        <f>IF($J288="",#N/A,SUM(DX$4:DX288))</f>
        <v>#N/A</v>
      </c>
      <c r="DZ288" s="315" t="e">
        <f>IF($J288="",#N/A,SUM(DX$4:DX288,DV$4:DV288,DT$4:DT288))</f>
        <v>#N/A</v>
      </c>
      <c r="EA288" s="304" t="str">
        <f t="shared" si="509"/>
        <v/>
      </c>
      <c r="EB288" s="313" t="e">
        <f>IF($J288="",#N/A,SUM(EA$4:EA288))</f>
        <v>#N/A</v>
      </c>
      <c r="EC288" s="314" t="str">
        <f t="shared" si="510"/>
        <v/>
      </c>
      <c r="ED288" s="314" t="e">
        <f>IF($J288="",#N/A,SUM(EC$4:EC288))</f>
        <v>#N/A</v>
      </c>
      <c r="EE288" s="315" t="str">
        <f t="shared" si="511"/>
        <v/>
      </c>
      <c r="EF288" s="315" t="e">
        <f>IF($J288="",#N/A,SUM(EE$4:EE288))</f>
        <v>#N/A</v>
      </c>
      <c r="EG288" s="315" t="e">
        <f>IF($J288="",#N/A,SUM(EE$4:EE288,EC$4:EC288,EA$4:EA288))</f>
        <v>#N/A</v>
      </c>
      <c r="EH288" s="130">
        <f t="shared" si="512"/>
        <v>-47.399999999999864</v>
      </c>
      <c r="EI288" s="63">
        <f>IF(EH288="",#N/A,SUM($EH$4:EH288))</f>
        <v>1223.1400842452947</v>
      </c>
      <c r="EJ288" s="223" t="e">
        <f t="shared" si="513"/>
        <v>#N/A</v>
      </c>
      <c r="EK288" s="63" t="e">
        <f>IF($GZ288="",#N/A,SUM(EJ$4:EJ288))</f>
        <v>#N/A</v>
      </c>
      <c r="EL288" s="60">
        <f t="shared" si="544"/>
        <v>-0.55333753589689549</v>
      </c>
      <c r="EM288" s="60">
        <f>IF(EL288="",NA(),SUM($EL$4:EL288))</f>
        <v>42.713211281321257</v>
      </c>
      <c r="EN288" s="60" t="str">
        <f t="shared" si="514"/>
        <v/>
      </c>
      <c r="EO288" s="60" t="e">
        <f>IF(EN288="",NA(),SUM($EN$4:EN288))</f>
        <v>#N/A</v>
      </c>
      <c r="EP288" s="60" t="str">
        <f t="shared" si="515"/>
        <v/>
      </c>
      <c r="EQ288" s="60" t="e">
        <f>IF(EP288="",NA(),SUM($EP$4:EP288))</f>
        <v>#N/A</v>
      </c>
      <c r="ER288" s="60">
        <f t="shared" si="516"/>
        <v>-0.55333753589689549</v>
      </c>
      <c r="ES288" s="60">
        <f>IF(ER288="",NA(),SUM($ER$4:ER288))</f>
        <v>16.121049624549563</v>
      </c>
      <c r="ET288" s="60" t="str">
        <f t="shared" si="517"/>
        <v/>
      </c>
      <c r="EU288" s="60" t="e">
        <f>IF(ET288="",NA(),SUM($ET$4:ET288))</f>
        <v>#N/A</v>
      </c>
      <c r="EV288" s="60" t="str">
        <f t="shared" si="518"/>
        <v/>
      </c>
      <c r="EW288" s="60" t="e">
        <f>IF(EV288="",NA(),SUM($EV$4:EV288))</f>
        <v>#N/A</v>
      </c>
      <c r="EX288" s="60" t="str">
        <f t="shared" si="519"/>
        <v/>
      </c>
      <c r="EY288" s="60" t="e">
        <f>IF(EX288="",NA(),SUM($EX$4:EX288))</f>
        <v>#N/A</v>
      </c>
      <c r="EZ288" s="60" t="str">
        <f t="shared" si="520"/>
        <v/>
      </c>
      <c r="FA288" s="60" t="e">
        <f>IF(EZ288="",NA(),SUM($EZ$4:EZ288))</f>
        <v>#N/A</v>
      </c>
      <c r="FB288" s="246" t="str">
        <f t="shared" si="545"/>
        <v/>
      </c>
      <c r="FC288" s="246" t="e">
        <f>IF($FB288="",#N/A,SUM(FB$4:$FB288))</f>
        <v>#N/A</v>
      </c>
      <c r="FD288" s="60">
        <f t="shared" si="521"/>
        <v>1.156872358805537</v>
      </c>
      <c r="FE288" s="60">
        <f>IF($FD288="",#N/A,SUM($FD$4:FD288))</f>
        <v>6.7827970710888028</v>
      </c>
      <c r="FF288" s="60" t="str">
        <f t="shared" si="522"/>
        <v/>
      </c>
      <c r="FG288" s="60" t="e">
        <f>IF($FF288="",#N/A,SUM($FF$4:FF288))</f>
        <v>#N/A</v>
      </c>
      <c r="FH288" s="60" t="str">
        <f t="shared" si="523"/>
        <v/>
      </c>
      <c r="FI288" s="60" t="e">
        <f>IF($FH288="",#N/A,SUM($FH$4:FH288))</f>
        <v>#N/A</v>
      </c>
      <c r="FJ288" s="60" t="str">
        <f t="shared" si="524"/>
        <v/>
      </c>
      <c r="FK288" s="60" t="e">
        <f>IF($FJ288="",#N/A,SUM($FJ$4:FJ288))</f>
        <v>#N/A</v>
      </c>
      <c r="FL288" s="60" t="str">
        <f t="shared" si="525"/>
        <v/>
      </c>
      <c r="FM288" s="60" t="e">
        <f>IF($FL288="",#N/A,SUM($FL$4:FL288))</f>
        <v>#N/A</v>
      </c>
      <c r="FN288" s="82">
        <f t="shared" si="526"/>
        <v>0.60353482290864147</v>
      </c>
      <c r="FO288" s="82">
        <f>IF($FN288="",#N/A,SUM(FN$4:$FN288))</f>
        <v>55.893677939097657</v>
      </c>
      <c r="FP288" s="82">
        <f t="shared" si="546"/>
        <v>-0.55333753589689549</v>
      </c>
      <c r="FQ288" s="246">
        <f>IF($EH288="",#N/A,SUM($FP$4:FP288))</f>
        <v>52.164846489662715</v>
      </c>
      <c r="FR288" s="82">
        <f>IFERROR(FQ288/COUNTA($J$4:J288),#N/A)</f>
        <v>0.18303454908653585</v>
      </c>
      <c r="FS288" s="82">
        <f t="shared" si="448"/>
        <v>0.22085861970182719</v>
      </c>
      <c r="FT288" s="82">
        <f t="shared" si="449"/>
        <v>0.16352655667089322</v>
      </c>
      <c r="FU288" s="338">
        <f t="shared" si="551"/>
        <v>30.851727985466368</v>
      </c>
      <c r="FV288" s="57" t="str">
        <f t="shared" si="527"/>
        <v>Dwn</v>
      </c>
      <c r="FW288" s="57" t="s">
        <v>2734</v>
      </c>
      <c r="FX288" s="57" t="str">
        <f t="shared" si="528"/>
        <v/>
      </c>
      <c r="FY288" s="57">
        <f t="shared" si="529"/>
        <v>1</v>
      </c>
      <c r="FZ288" s="57" t="str">
        <f t="shared" si="530"/>
        <v/>
      </c>
      <c r="GA288" s="57" t="str">
        <f t="shared" si="531"/>
        <v>Short</v>
      </c>
      <c r="GB288" s="57" t="str">
        <f t="shared" si="532"/>
        <v/>
      </c>
      <c r="GC288" s="57" t="str">
        <f t="shared" si="533"/>
        <v/>
      </c>
      <c r="GD288" s="57" t="str">
        <f t="shared" si="534"/>
        <v/>
      </c>
      <c r="GE288" s="62">
        <f t="shared" si="451"/>
        <v>142.77000000000001</v>
      </c>
      <c r="GF288" s="62" t="s">
        <v>2780</v>
      </c>
      <c r="GG288" s="199">
        <v>10</v>
      </c>
      <c r="GH288" s="207">
        <f t="shared" si="535"/>
        <v>1427.7</v>
      </c>
      <c r="GI288" s="199">
        <v>10</v>
      </c>
      <c r="GJ288" s="200">
        <v>146.62</v>
      </c>
      <c r="GK288" s="63">
        <f t="shared" si="536"/>
        <v>-38.5</v>
      </c>
      <c r="GL288" s="63">
        <f t="shared" si="452"/>
        <v>51.700000000000045</v>
      </c>
      <c r="GM288" s="82" t="str">
        <f t="shared" si="537"/>
        <v/>
      </c>
      <c r="GN288" s="82">
        <f>IF($GZ288="",#N/A,SUM(GM$4:GM288))</f>
        <v>5.1675253968127839</v>
      </c>
      <c r="GO288" s="82" t="str">
        <f t="shared" si="538"/>
        <v/>
      </c>
      <c r="GP288" s="82">
        <f>IF($GZ288="",#N/A,SUM(GO$4:GO288))</f>
        <v>14.39126706902136</v>
      </c>
      <c r="GQ288" s="82">
        <f t="shared" si="539"/>
        <v>0.60353482290864147</v>
      </c>
      <c r="GR288" s="82">
        <f>IF($GZ288="",#N/A,SUM(GQ$4:GQ288))</f>
        <v>35.709048518821184</v>
      </c>
      <c r="GS288" s="63" t="str">
        <f t="shared" si="548"/>
        <v/>
      </c>
      <c r="GT288" s="63" t="e">
        <f>IF($GZ288="",#N/A,SUM(GS$4:GS288))</f>
        <v>#N/A</v>
      </c>
      <c r="GU288" s="63" t="str">
        <f t="shared" si="549"/>
        <v/>
      </c>
      <c r="GV288" s="63" t="e">
        <f>IF($GZ288="",#N/A,SUM(GU$4:GU288))</f>
        <v>#N/A</v>
      </c>
      <c r="GW288" s="63" t="e">
        <f t="shared" si="550"/>
        <v>#N/A</v>
      </c>
      <c r="GX288" s="63" t="e">
        <f>IF($GZ288="",#N/A,SUM(GW$4:GW288))</f>
        <v>#N/A</v>
      </c>
      <c r="GY288" s="63" t="e">
        <f>IF(EJ288="",#N/A,SUM($EJ$4:EJ288))</f>
        <v>#N/A</v>
      </c>
      <c r="GZ288" s="158">
        <v>137.6</v>
      </c>
      <c r="HA288" s="63">
        <f t="shared" si="540"/>
        <v>99.099999999999909</v>
      </c>
      <c r="HB288" s="62" t="s">
        <v>2538</v>
      </c>
      <c r="HC288" s="60">
        <f>IFERROR(VLOOKUP(E288,Expectancy!$P$4:$S$19,1+C288,FALSE),"")</f>
        <v>0.3117803024854584</v>
      </c>
      <c r="HD288" s="82">
        <f t="shared" si="541"/>
        <v>-0.44944082557026449</v>
      </c>
      <c r="HE288" s="138">
        <f>IF(HD288="",#N/A,SUM($HD$4:HD288))</f>
        <v>6.7831185041963469</v>
      </c>
      <c r="HF288" s="85">
        <f>IF(HD288="",#N/A,IF(HB288="Skip",#N/A,SUM($HG$4:HG288)))</f>
        <v>93.176579219155599</v>
      </c>
      <c r="HG288" s="63">
        <f t="shared" si="542"/>
        <v>-38.5</v>
      </c>
      <c r="HH288" s="82">
        <f t="shared" si="543"/>
        <v>0.60353482290864147</v>
      </c>
    </row>
    <row r="289" spans="1:216" x14ac:dyDescent="0.25">
      <c r="A289" s="57" t="s">
        <v>1561</v>
      </c>
      <c r="B289" s="58" t="s">
        <v>5236</v>
      </c>
      <c r="C289" s="386">
        <f t="shared" si="453"/>
        <v>3</v>
      </c>
      <c r="D289" s="372" t="str">
        <f>_xlfn.XLOOKUP(A289,[1]SP500!$A$2:$A$502,[1]SP500!$D$2:$D$502,"N")</f>
        <v>Y</v>
      </c>
      <c r="E289" s="57" t="str">
        <f>_xlfn.XLOOKUP(A289,[1]SP500!$A$2:$A$655,[1]SP500!$B$2:$B$655)</f>
        <v>XHB</v>
      </c>
      <c r="F289" s="59">
        <v>45699</v>
      </c>
      <c r="G289" s="57" t="str">
        <f t="shared" si="454"/>
        <v>BMO</v>
      </c>
      <c r="H289" s="57" t="str">
        <f t="shared" si="455"/>
        <v>s</v>
      </c>
      <c r="I289" s="159">
        <v>77.58</v>
      </c>
      <c r="J289" s="159">
        <v>78.040000000000006</v>
      </c>
      <c r="K289" s="61">
        <f t="shared" si="456"/>
        <v>5.9293632379480276E-3</v>
      </c>
      <c r="L289" s="87">
        <f t="shared" si="457"/>
        <v>8.7400000000002365</v>
      </c>
      <c r="M289" s="130">
        <f t="shared" si="450"/>
        <v>5.319999999999709</v>
      </c>
      <c r="N289" s="168" t="str">
        <f t="shared" si="458"/>
        <v/>
      </c>
      <c r="O289" s="168">
        <f>IF($J289="",#N/A,SUM($N$4:N289))</f>
        <v>385.37671935422509</v>
      </c>
      <c r="P289" s="173" t="str">
        <f t="shared" si="459"/>
        <v/>
      </c>
      <c r="Q289" s="173">
        <f>IF($J289="",#N/A,SUM($P$4:P289))</f>
        <v>477.05890674734189</v>
      </c>
      <c r="R289" s="177">
        <f t="shared" si="460"/>
        <v>8.7400000000002365</v>
      </c>
      <c r="S289" s="177">
        <f>IF($J289="",#N/A,SUM($R$4:R289))</f>
        <v>369.44445814372784</v>
      </c>
      <c r="T289" s="293" t="str">
        <f t="shared" si="461"/>
        <v/>
      </c>
      <c r="U289" s="293">
        <f>IF($J289="",#N/A,SUM($T$4:T289))</f>
        <v>16.86061589193395</v>
      </c>
      <c r="V289" s="294" t="str">
        <f t="shared" si="462"/>
        <v/>
      </c>
      <c r="W289" s="294">
        <f>IF($J289="",#N/A,SUM($V$4:V289))</f>
        <v>24.286592424010003</v>
      </c>
      <c r="X289" s="295">
        <f t="shared" si="463"/>
        <v>9.8822720632468095E-2</v>
      </c>
      <c r="Y289" s="295">
        <f>IF($J289="",#N/A,SUM($X$4:X289))</f>
        <v>11.11646089435124</v>
      </c>
      <c r="Z289" s="304" t="str">
        <f t="shared" si="464"/>
        <v/>
      </c>
      <c r="AA289" s="316" t="e">
        <f>IF($J289="",#N/A,SUM(Z$4:Z289))</f>
        <v>#N/A</v>
      </c>
      <c r="AB289" s="317" t="str">
        <f t="shared" si="465"/>
        <v/>
      </c>
      <c r="AC289" s="317" t="e">
        <f>IF($J289="",#N/A,SUM(AB$4:AB289))</f>
        <v>#N/A</v>
      </c>
      <c r="AD289" s="318" t="str">
        <f t="shared" si="466"/>
        <v/>
      </c>
      <c r="AE289" s="318" t="e">
        <f>IF($J289="",#N/A,SUM(AD$4:AD289))</f>
        <v>#N/A</v>
      </c>
      <c r="AF289" s="318" t="e">
        <f>IF($J289="",#N/A,SUM(AD$4:AD289,AB$4:AB289,Z$4:Z289))</f>
        <v>#N/A</v>
      </c>
      <c r="AG289" s="304" t="str">
        <f t="shared" si="467"/>
        <v/>
      </c>
      <c r="AH289" s="316" t="e">
        <f>IF($J289="",#N/A,SUM(AG$4:AG289))</f>
        <v>#N/A</v>
      </c>
      <c r="AI289" s="317" t="str">
        <f t="shared" si="468"/>
        <v/>
      </c>
      <c r="AJ289" s="317" t="e">
        <f>IF($J289="",#N/A,SUM(AI$4:AI289))</f>
        <v>#N/A</v>
      </c>
      <c r="AK289" s="318" t="str">
        <f t="shared" si="469"/>
        <v/>
      </c>
      <c r="AL289" s="318" t="e">
        <f>IF($J289="",#N/A,SUM(AK$4:AK289))</f>
        <v>#N/A</v>
      </c>
      <c r="AM289" s="318" t="e">
        <f>IF($J289="",#N/A,SUM(AK$4:AK289,AI$4:AI289,AG$4:AG289))</f>
        <v>#N/A</v>
      </c>
      <c r="AN289" s="304" t="str">
        <f t="shared" si="470"/>
        <v/>
      </c>
      <c r="AO289" s="316" t="e">
        <f>IF($J289="",#N/A,SUM(AN$4:AN289))</f>
        <v>#N/A</v>
      </c>
      <c r="AP289" s="317" t="str">
        <f t="shared" si="471"/>
        <v/>
      </c>
      <c r="AQ289" s="317" t="e">
        <f>IF($J289="",#N/A,SUM(AP$4:AP289))</f>
        <v>#N/A</v>
      </c>
      <c r="AR289" s="318" t="str">
        <f t="shared" si="472"/>
        <v/>
      </c>
      <c r="AS289" s="318" t="e">
        <f>IF($J289="",#N/A,SUM(AR$4:AR289))</f>
        <v>#N/A</v>
      </c>
      <c r="AT289" s="318" t="e">
        <f>IF($J289="",#N/A,SUM(AR$4:AR289,AP$4:AP289,AN$4:AN289))</f>
        <v>#N/A</v>
      </c>
      <c r="AU289" s="304" t="str">
        <f t="shared" si="473"/>
        <v/>
      </c>
      <c r="AV289" s="316" t="e">
        <f>IF($J289="",#N/A,SUM(AU$4:AU289))</f>
        <v>#N/A</v>
      </c>
      <c r="AW289" s="317" t="str">
        <f t="shared" si="474"/>
        <v/>
      </c>
      <c r="AX289" s="317" t="e">
        <f>IF($J289="",#N/A,SUM(AW$4:AW289))</f>
        <v>#N/A</v>
      </c>
      <c r="AY289" s="318" t="str">
        <f t="shared" si="475"/>
        <v/>
      </c>
      <c r="AZ289" s="318" t="e">
        <f>IF($J289="",#N/A,SUM(AY$4:AY289))</f>
        <v>#N/A</v>
      </c>
      <c r="BA289" s="318" t="e">
        <f>IF($J289="",#N/A,SUM(AY$4:AY289,AW$4:AW289,AU$4:AU289))</f>
        <v>#N/A</v>
      </c>
      <c r="BB289" s="304" t="str">
        <f t="shared" si="476"/>
        <v/>
      </c>
      <c r="BC289" s="316" t="e">
        <f>IF($J289="",#N/A,SUM(BB$4:BB289))</f>
        <v>#N/A</v>
      </c>
      <c r="BD289" s="317" t="str">
        <f t="shared" si="477"/>
        <v/>
      </c>
      <c r="BE289" s="317" t="e">
        <f>IF($J289="",#N/A,SUM(BD$4:BD289))</f>
        <v>#N/A</v>
      </c>
      <c r="BF289" s="318" t="str">
        <f t="shared" si="478"/>
        <v/>
      </c>
      <c r="BG289" s="318" t="e">
        <f>IF($J289="",#N/A,SUM(BF$4:BF289))</f>
        <v>#N/A</v>
      </c>
      <c r="BH289" s="318" t="e">
        <f>IF($J289="",#N/A,SUM(BF$4:BF289,BD$4:BD289,BB$4:BB289))</f>
        <v>#N/A</v>
      </c>
      <c r="BI289" s="304" t="str">
        <f t="shared" si="479"/>
        <v/>
      </c>
      <c r="BJ289" s="316" t="e">
        <f>IF($J289="",#N/A,SUM(BI$4:BI289))</f>
        <v>#N/A</v>
      </c>
      <c r="BK289" s="317" t="str">
        <f t="shared" si="480"/>
        <v/>
      </c>
      <c r="BL289" s="317" t="e">
        <f>IF($J289="",#N/A,SUM(BK$4:BK289))</f>
        <v>#N/A</v>
      </c>
      <c r="BM289" s="318" t="str">
        <f t="shared" si="481"/>
        <v/>
      </c>
      <c r="BN289" s="318" t="e">
        <f>IF($J289="",#N/A,SUM(BM$4:BM289))</f>
        <v>#N/A</v>
      </c>
      <c r="BO289" s="318" t="e">
        <f>IF($J289="",#N/A,SUM(BM$4:BM289,BK$4:BK289,BI$4:BI289))</f>
        <v>#N/A</v>
      </c>
      <c r="BP289" s="304" t="str">
        <f t="shared" si="482"/>
        <v/>
      </c>
      <c r="BQ289" s="316" t="e">
        <f>IF($J289="",#N/A,SUM(BP$4:BP289))</f>
        <v>#N/A</v>
      </c>
      <c r="BR289" s="317" t="str">
        <f t="shared" si="483"/>
        <v/>
      </c>
      <c r="BS289" s="317" t="e">
        <f>IF($J289="",#N/A,SUM(BR$4:BR289))</f>
        <v>#N/A</v>
      </c>
      <c r="BT289" s="318" t="str">
        <f t="shared" si="484"/>
        <v/>
      </c>
      <c r="BU289" s="318" t="e">
        <f>IF($J289="",#N/A,SUM(BT$4:BT289))</f>
        <v>#N/A</v>
      </c>
      <c r="BV289" s="318" t="e">
        <f>IF($J289="",#N/A,SUM(BT$4:BT289,BR$4:BR289,BP$4:BP289))</f>
        <v>#N/A</v>
      </c>
      <c r="BW289" s="304" t="str">
        <f t="shared" si="485"/>
        <v/>
      </c>
      <c r="BX289" s="316" t="e">
        <f>IF($J289="",#N/A,SUM(BW$4:BW289))</f>
        <v>#N/A</v>
      </c>
      <c r="BY289" s="317" t="str">
        <f t="shared" si="486"/>
        <v/>
      </c>
      <c r="BZ289" s="317" t="e">
        <f>IF($J289="",#N/A,SUM(BY$4:BY289))</f>
        <v>#N/A</v>
      </c>
      <c r="CA289" s="318" t="str">
        <f t="shared" si="487"/>
        <v/>
      </c>
      <c r="CB289" s="318" t="e">
        <f>IF($J289="",#N/A,SUM(CA$4:CA289))</f>
        <v>#N/A</v>
      </c>
      <c r="CC289" s="318" t="e">
        <f>IF($J289="",#N/A,SUM(CA$4:CA289,BY$4:BY289,BW$4:BW289))</f>
        <v>#N/A</v>
      </c>
      <c r="CD289" s="304" t="str">
        <f t="shared" si="488"/>
        <v/>
      </c>
      <c r="CE289" s="316" t="e">
        <f>IF($J289="",#N/A,SUM(CD$4:CD289))</f>
        <v>#N/A</v>
      </c>
      <c r="CF289" s="317" t="str">
        <f t="shared" si="489"/>
        <v/>
      </c>
      <c r="CG289" s="317" t="e">
        <f>IF($J289="",#N/A,SUM(CF$4:CF289))</f>
        <v>#N/A</v>
      </c>
      <c r="CH289" s="318" t="str">
        <f t="shared" si="490"/>
        <v/>
      </c>
      <c r="CI289" s="318" t="e">
        <f>IF($J289="",#N/A,SUM(CH$4:CH289))</f>
        <v>#N/A</v>
      </c>
      <c r="CJ289" s="318" t="e">
        <f>IF($J289="",#N/A,SUM(CH$4:CH289,CF$4:CF289,CD$4:CD289))</f>
        <v>#N/A</v>
      </c>
      <c r="CK289" s="304" t="str">
        <f t="shared" si="491"/>
        <v/>
      </c>
      <c r="CL289" s="316" t="e">
        <f>IF($J289="",#N/A,SUM(CK$4:CK289))</f>
        <v>#N/A</v>
      </c>
      <c r="CM289" s="317" t="str">
        <f t="shared" si="492"/>
        <v/>
      </c>
      <c r="CN289" s="317" t="e">
        <f>IF($J289="",#N/A,SUM(CM$4:CM289))</f>
        <v>#N/A</v>
      </c>
      <c r="CO289" s="318" t="str">
        <f t="shared" si="493"/>
        <v/>
      </c>
      <c r="CP289" s="318" t="e">
        <f>IF($J289="",#N/A,SUM(CO$4:CO289))</f>
        <v>#N/A</v>
      </c>
      <c r="CQ289" s="318" t="e">
        <f>IF($J289="",#N/A,SUM(CO$4:CO289,CM$4:CM289,CK$4:CK289))</f>
        <v>#N/A</v>
      </c>
      <c r="CR289" s="304" t="str">
        <f t="shared" si="494"/>
        <v/>
      </c>
      <c r="CS289" s="316" t="e">
        <f>IF($J289="",#N/A,SUM(CR$4:CR289))</f>
        <v>#N/A</v>
      </c>
      <c r="CT289" s="317" t="str">
        <f t="shared" si="495"/>
        <v/>
      </c>
      <c r="CU289" s="317" t="e">
        <f>IF($J289="",#N/A,SUM(CT$4:CT289))</f>
        <v>#N/A</v>
      </c>
      <c r="CV289" s="318" t="str">
        <f t="shared" si="496"/>
        <v/>
      </c>
      <c r="CW289" s="318" t="e">
        <f>IF($J289="",#N/A,SUM(CV$4:CV289))</f>
        <v>#N/A</v>
      </c>
      <c r="CX289" s="318" t="e">
        <f>IF($J289="",#N/A,SUM(CV$4:CV289,CT$4:CT289,CR$4:CR289))</f>
        <v>#N/A</v>
      </c>
      <c r="CY289" s="304" t="str">
        <f t="shared" si="497"/>
        <v/>
      </c>
      <c r="CZ289" s="316" t="e">
        <f>IF($J289="",#N/A,SUM(CY$4:CY289))</f>
        <v>#N/A</v>
      </c>
      <c r="DA289" s="317" t="str">
        <f t="shared" si="498"/>
        <v/>
      </c>
      <c r="DB289" s="317" t="e">
        <f>IF($J289="",#N/A,SUM(DA$4:DA289))</f>
        <v>#N/A</v>
      </c>
      <c r="DC289" s="318" t="str">
        <f t="shared" si="499"/>
        <v/>
      </c>
      <c r="DD289" s="318" t="e">
        <f>IF($J289="",#N/A,SUM(DC$4:DC289))</f>
        <v>#N/A</v>
      </c>
      <c r="DE289" s="318" t="e">
        <f>IF($J289="",#N/A,SUM(DC$4:DC289,DA$4:DA289,CY$4:CY289))</f>
        <v>#N/A</v>
      </c>
      <c r="DF289" s="304" t="str">
        <f t="shared" si="500"/>
        <v/>
      </c>
      <c r="DG289" s="316" t="e">
        <f>IF($J289="",#N/A,SUM(DF$4:DF289))</f>
        <v>#N/A</v>
      </c>
      <c r="DH289" s="317" t="str">
        <f t="shared" si="501"/>
        <v/>
      </c>
      <c r="DI289" s="317" t="e">
        <f>IF($J289="",#N/A,SUM(DH$4:DH289))</f>
        <v>#N/A</v>
      </c>
      <c r="DJ289" s="318" t="str">
        <f t="shared" si="502"/>
        <v/>
      </c>
      <c r="DK289" s="318" t="e">
        <f>IF($J289="",#N/A,SUM(DJ$4:DJ289))</f>
        <v>#N/A</v>
      </c>
      <c r="DL289" s="318" t="e">
        <f>IF($J289="",#N/A,SUM(DJ$4:DJ289,DH$4:DH289,DF$4:DF289))</f>
        <v>#N/A</v>
      </c>
      <c r="DM289" s="304" t="str">
        <f t="shared" si="503"/>
        <v/>
      </c>
      <c r="DN289" s="316" t="e">
        <f>IF($J289="",#N/A,SUM(DM$4:DM289))</f>
        <v>#N/A</v>
      </c>
      <c r="DO289" s="317" t="str">
        <f t="shared" si="504"/>
        <v/>
      </c>
      <c r="DP289" s="317" t="e">
        <f>IF($J289="",#N/A,SUM(DO$4:DO289))</f>
        <v>#N/A</v>
      </c>
      <c r="DQ289" s="318" t="str">
        <f t="shared" si="505"/>
        <v/>
      </c>
      <c r="DR289" s="318" t="e">
        <f>IF($J289="",#N/A,SUM(DQ$4:DQ289))</f>
        <v>#N/A</v>
      </c>
      <c r="DS289" s="318" t="e">
        <f>IF($J289="",#N/A,SUM(DQ$4:DQ289,DO$4:DO289,DM$4:DM289))</f>
        <v>#N/A</v>
      </c>
      <c r="DT289" s="304" t="str">
        <f t="shared" si="506"/>
        <v/>
      </c>
      <c r="DU289" s="316" t="e">
        <f>IF($J289="",#N/A,SUM(DT$4:DT289))</f>
        <v>#N/A</v>
      </c>
      <c r="DV289" s="317" t="str">
        <f t="shared" si="507"/>
        <v/>
      </c>
      <c r="DW289" s="317" t="e">
        <f>IF($J289="",#N/A,SUM(DV$4:DV289))</f>
        <v>#N/A</v>
      </c>
      <c r="DX289" s="318" t="str">
        <f t="shared" si="508"/>
        <v/>
      </c>
      <c r="DY289" s="318" t="e">
        <f>IF($J289="",#N/A,SUM(DX$4:DX289))</f>
        <v>#N/A</v>
      </c>
      <c r="DZ289" s="318" t="e">
        <f>IF($J289="",#N/A,SUM(DX$4:DX289,DV$4:DV289,DT$4:DT289))</f>
        <v>#N/A</v>
      </c>
      <c r="EA289" s="304" t="str">
        <f t="shared" si="509"/>
        <v/>
      </c>
      <c r="EB289" s="316" t="e">
        <f>IF($J289="",#N/A,SUM(EA$4:EA289))</f>
        <v>#N/A</v>
      </c>
      <c r="EC289" s="317" t="str">
        <f t="shared" si="510"/>
        <v/>
      </c>
      <c r="ED289" s="317" t="e">
        <f>IF($J289="",#N/A,SUM(EC$4:EC289))</f>
        <v>#N/A</v>
      </c>
      <c r="EE289" s="318">
        <f t="shared" si="511"/>
        <v>9.8822720632468095E-2</v>
      </c>
      <c r="EF289" s="318" t="e">
        <f>IF($J289="",#N/A,SUM(EE$4:EE289))</f>
        <v>#N/A</v>
      </c>
      <c r="EG289" s="318" t="e">
        <f>IF($J289="",#N/A,SUM(EE$4:EE289,EC$4:EC289,EA$4:EA289))</f>
        <v>#N/A</v>
      </c>
      <c r="EH289" s="211">
        <f t="shared" si="512"/>
        <v>8.7400000000002365</v>
      </c>
      <c r="EI289" s="63">
        <f>IF(EH289="",#N/A,SUM($EH$4:EH289))</f>
        <v>1231.8800842452949</v>
      </c>
      <c r="EJ289" s="223" t="e">
        <f t="shared" si="513"/>
        <v>#N/A</v>
      </c>
      <c r="EK289" s="63" t="e">
        <f>IF($GZ289="",#N/A,SUM(EJ$4:EJ289))</f>
        <v>#N/A</v>
      </c>
      <c r="EL289" s="60">
        <f t="shared" si="544"/>
        <v>9.8822720632468095E-2</v>
      </c>
      <c r="EM289" s="60">
        <f>IF(EL289="",NA(),SUM($EL$4:EL289))</f>
        <v>42.812034001953727</v>
      </c>
      <c r="EN289" s="60" t="str">
        <f t="shared" si="514"/>
        <v/>
      </c>
      <c r="EO289" s="60" t="e">
        <f>IF(EN289="",NA(),SUM($EN$4:EN289))</f>
        <v>#N/A</v>
      </c>
      <c r="EP289" s="60">
        <f t="shared" si="515"/>
        <v>9.8822720632468095E-2</v>
      </c>
      <c r="EQ289" s="60">
        <f>IF(EP289="",NA(),SUM($EP$4:EP289))</f>
        <v>11.787075310120924</v>
      </c>
      <c r="ER289" s="60" t="str">
        <f t="shared" si="516"/>
        <v/>
      </c>
      <c r="ES289" s="60" t="e">
        <f>IF(ER289="",NA(),SUM($ER$4:ER289))</f>
        <v>#N/A</v>
      </c>
      <c r="ET289" s="60" t="str">
        <f t="shared" si="517"/>
        <v/>
      </c>
      <c r="EU289" s="60" t="e">
        <f>IF(ET289="",NA(),SUM($ET$4:ET289))</f>
        <v>#N/A</v>
      </c>
      <c r="EV289" s="60" t="str">
        <f t="shared" si="518"/>
        <v/>
      </c>
      <c r="EW289" s="60" t="e">
        <f>IF(EV289="",NA(),SUM($EV$4:EV289))</f>
        <v>#N/A</v>
      </c>
      <c r="EX289" s="60" t="str">
        <f t="shared" si="519"/>
        <v/>
      </c>
      <c r="EY289" s="60" t="e">
        <f>IF(EX289="",NA(),SUM($EX$4:EX289))</f>
        <v>#N/A</v>
      </c>
      <c r="EZ289" s="60" t="str">
        <f t="shared" si="520"/>
        <v/>
      </c>
      <c r="FA289" s="60" t="e">
        <f>IF(EZ289="",NA(),SUM($EZ$4:EZ289))</f>
        <v>#N/A</v>
      </c>
      <c r="FB289" s="246" t="str">
        <f t="shared" si="545"/>
        <v/>
      </c>
      <c r="FC289" s="246" t="e">
        <f>IF($FB289="",#N/A,SUM(FB$4:$FB289))</f>
        <v>#N/A</v>
      </c>
      <c r="FD289" s="60" t="str">
        <f t="shared" si="521"/>
        <v/>
      </c>
      <c r="FE289" s="60" t="e">
        <f>IF($FD289="",#N/A,SUM($FD$4:FD289))</f>
        <v>#N/A</v>
      </c>
      <c r="FF289" s="60" t="str">
        <f t="shared" si="522"/>
        <v/>
      </c>
      <c r="FG289" s="60" t="e">
        <f>IF($FF289="",#N/A,SUM($FF$4:FF289))</f>
        <v>#N/A</v>
      </c>
      <c r="FH289" s="60" t="str">
        <f t="shared" si="523"/>
        <v/>
      </c>
      <c r="FI289" s="60" t="e">
        <f>IF($FH289="",#N/A,SUM($FH$4:FH289))</f>
        <v>#N/A</v>
      </c>
      <c r="FJ289" s="60">
        <f t="shared" si="524"/>
        <v>0.13104752083870319</v>
      </c>
      <c r="FK289" s="60">
        <f>IF($FJ289="",#N/A,SUM($FJ$4:FJ289))</f>
        <v>-5.6185054639015215</v>
      </c>
      <c r="FL289" s="60" t="str">
        <f t="shared" si="525"/>
        <v/>
      </c>
      <c r="FM289" s="60" t="e">
        <f>IF($FL289="",#N/A,SUM($FL$4:FL289))</f>
        <v>#N/A</v>
      </c>
      <c r="FN289" s="82">
        <f t="shared" si="526"/>
        <v>0.2298702414711713</v>
      </c>
      <c r="FO289" s="82">
        <f>IF($FN289="",#N/A,SUM(FN$4:$FN289))</f>
        <v>56.123548180568825</v>
      </c>
      <c r="FP289" s="82">
        <f t="shared" si="546"/>
        <v>9.8822720632468095E-2</v>
      </c>
      <c r="FQ289" s="246">
        <f>IF($EH289="",#N/A,SUM($FP$4:FP289))</f>
        <v>52.263669210295184</v>
      </c>
      <c r="FR289" s="82">
        <f>IFERROR(FQ289/COUNTA($J$4:J289),#N/A)</f>
        <v>0.18274010213389924</v>
      </c>
      <c r="FS289" s="82">
        <f t="shared" si="448"/>
        <v>0.18476310383911637</v>
      </c>
      <c r="FT289" s="82">
        <f t="shared" si="449"/>
        <v>0.15680978621419853</v>
      </c>
      <c r="FU289" s="338">
        <f t="shared" si="551"/>
        <v>30.791575025081393</v>
      </c>
      <c r="FV289" s="57" t="s">
        <v>1484</v>
      </c>
      <c r="FW289" s="57" t="s">
        <v>2732</v>
      </c>
      <c r="FX289" s="57" t="str">
        <f t="shared" si="528"/>
        <v/>
      </c>
      <c r="FY289" s="57" t="str">
        <f t="shared" si="529"/>
        <v/>
      </c>
      <c r="FZ289" s="57">
        <f t="shared" si="530"/>
        <v>1</v>
      </c>
      <c r="GA289" s="57" t="str">
        <f t="shared" si="531"/>
        <v>Long</v>
      </c>
      <c r="GB289" s="57" t="str">
        <f t="shared" si="532"/>
        <v/>
      </c>
      <c r="GC289" s="57" t="str">
        <f t="shared" si="533"/>
        <v/>
      </c>
      <c r="GD289" s="57" t="str">
        <f t="shared" si="534"/>
        <v/>
      </c>
      <c r="GE289" s="62">
        <f t="shared" si="451"/>
        <v>77.58</v>
      </c>
      <c r="GF289" s="97" t="s">
        <v>2779</v>
      </c>
      <c r="GG289" s="199">
        <v>19</v>
      </c>
      <c r="GH289" s="207">
        <f t="shared" si="535"/>
        <v>1474.02</v>
      </c>
      <c r="GI289" s="199">
        <v>19</v>
      </c>
      <c r="GJ289" s="200">
        <v>78.319999999999993</v>
      </c>
      <c r="GK289" s="63">
        <f t="shared" si="536"/>
        <v>14.059999999999945</v>
      </c>
      <c r="GL289" s="63">
        <f t="shared" si="452"/>
        <v>20.330000000000155</v>
      </c>
      <c r="GM289" s="82">
        <f t="shared" si="537"/>
        <v>0.2298702414711713</v>
      </c>
      <c r="GN289" s="82">
        <f>IF($GZ289="",#N/A,SUM(GM$4:GM289))</f>
        <v>5.397395638283955</v>
      </c>
      <c r="GO289" s="82" t="str">
        <f t="shared" si="538"/>
        <v/>
      </c>
      <c r="GP289" s="82">
        <f>IF($GZ289="",#N/A,SUM(GO$4:GO289))</f>
        <v>14.39126706902136</v>
      </c>
      <c r="GQ289" s="82" t="str">
        <f t="shared" si="539"/>
        <v/>
      </c>
      <c r="GR289" s="82">
        <f>IF($GZ289="",#N/A,SUM(GQ$4:GQ289))</f>
        <v>35.709048518821184</v>
      </c>
      <c r="GS289" s="63" t="e">
        <f t="shared" si="548"/>
        <v>#N/A</v>
      </c>
      <c r="GT289" s="63" t="e">
        <f>IF($GZ289="",#N/A,SUM(GS$4:GS289))</f>
        <v>#N/A</v>
      </c>
      <c r="GU289" s="63" t="str">
        <f t="shared" si="549"/>
        <v/>
      </c>
      <c r="GV289" s="63" t="e">
        <f>IF($GZ289="",#N/A,SUM(GU$4:GU289))</f>
        <v>#N/A</v>
      </c>
      <c r="GW289" s="63" t="str">
        <f t="shared" si="550"/>
        <v/>
      </c>
      <c r="GX289" s="63" t="e">
        <f>IF($GZ289="",#N/A,SUM(GW$4:GW289))</f>
        <v>#N/A</v>
      </c>
      <c r="GY289" s="63" t="e">
        <f>IF(EJ289="",#N/A,SUM($EJ$4:EJ289))</f>
        <v>#N/A</v>
      </c>
      <c r="GZ289" s="158">
        <v>78.650000000000006</v>
      </c>
      <c r="HA289" s="63">
        <f t="shared" si="540"/>
        <v>11.589999999999918</v>
      </c>
      <c r="HB289" s="97" t="s">
        <v>2538</v>
      </c>
      <c r="HC289" s="60">
        <f>IFERROR(VLOOKUP(E289,Expectancy!$P$4:$S$19,1+C289,FALSE),"")</f>
        <v>-0.10364858920521783</v>
      </c>
      <c r="HD289" s="82">
        <f t="shared" si="541"/>
        <v>0.15897568101744375</v>
      </c>
      <c r="HE289" s="138">
        <f>IF(HD289="",#N/A,SUM($HD$4:HD289))</f>
        <v>6.942094185213791</v>
      </c>
      <c r="HF289" s="85">
        <f>IF(HD289="",#N/A,IF(HB289="Skip",#N/A,SUM($HG$4:HG289)))</f>
        <v>107.23657921915554</v>
      </c>
      <c r="HG289" s="63">
        <f t="shared" si="542"/>
        <v>14.059999999999945</v>
      </c>
      <c r="HH289" s="82">
        <f t="shared" si="543"/>
        <v>0.2298702414711713</v>
      </c>
    </row>
    <row r="290" spans="1:216" x14ac:dyDescent="0.25">
      <c r="A290" s="57" t="s">
        <v>350</v>
      </c>
      <c r="B290" s="58" t="s">
        <v>5237</v>
      </c>
      <c r="C290" s="386">
        <f t="shared" si="453"/>
        <v>1</v>
      </c>
      <c r="D290" s="372" t="str">
        <f>_xlfn.XLOOKUP(A290,[1]SP500!$A$2:$A$502,[1]SP500!$D$2:$D$502,"N")</f>
        <v>Y</v>
      </c>
      <c r="E290" s="57" t="str">
        <f>_xlfn.XLOOKUP(A290,[1]SP500!$A$2:$A$655,[1]SP500!$B$2:$B$655)</f>
        <v>XLV</v>
      </c>
      <c r="F290" s="59">
        <v>45699</v>
      </c>
      <c r="G290" s="57" t="str">
        <f t="shared" si="454"/>
        <v>AMC</v>
      </c>
      <c r="H290" s="57" t="str">
        <f t="shared" si="455"/>
        <v>s</v>
      </c>
      <c r="I290" s="159">
        <v>96.14</v>
      </c>
      <c r="J290" s="159">
        <v>101.74</v>
      </c>
      <c r="K290" s="61">
        <f t="shared" si="456"/>
        <v>5.8248387767838507E-2</v>
      </c>
      <c r="L290" s="87">
        <f t="shared" si="457"/>
        <v>89.599999999999909</v>
      </c>
      <c r="M290" s="130">
        <f t="shared" si="450"/>
        <v>4.1600000000000819</v>
      </c>
      <c r="N290" s="169">
        <f t="shared" si="458"/>
        <v>89.599999999999909</v>
      </c>
      <c r="O290" s="169">
        <f>IF($J290="",#N/A,SUM($N$4:N290))</f>
        <v>474.976719354225</v>
      </c>
      <c r="P290" s="174" t="str">
        <f t="shared" si="459"/>
        <v/>
      </c>
      <c r="Q290" s="174">
        <f>IF($J290="",#N/A,SUM($P$4:P290))</f>
        <v>477.05890674734189</v>
      </c>
      <c r="R290" s="178" t="str">
        <f t="shared" si="460"/>
        <v/>
      </c>
      <c r="S290" s="178">
        <f>IF($J290="",#N/A,SUM($R$4:R290))</f>
        <v>369.44445814372784</v>
      </c>
      <c r="T290" s="290">
        <f t="shared" si="461"/>
        <v>0.97080646279730853</v>
      </c>
      <c r="U290" s="290">
        <f>IF($J290="",#N/A,SUM($T$4:T290))</f>
        <v>17.831422354731259</v>
      </c>
      <c r="V290" s="291" t="str">
        <f t="shared" si="462"/>
        <v/>
      </c>
      <c r="W290" s="291">
        <f>IF($J290="",#N/A,SUM($V$4:V290))</f>
        <v>24.286592424010003</v>
      </c>
      <c r="X290" s="292" t="str">
        <f t="shared" si="463"/>
        <v/>
      </c>
      <c r="Y290" s="292">
        <f>IF($J290="",#N/A,SUM($X$4:X290))</f>
        <v>11.11646089435124</v>
      </c>
      <c r="Z290" s="304" t="str">
        <f t="shared" si="464"/>
        <v/>
      </c>
      <c r="AA290" s="313" t="e">
        <f>IF($J290="",#N/A,SUM(Z$4:Z290))</f>
        <v>#N/A</v>
      </c>
      <c r="AB290" s="314" t="str">
        <f t="shared" si="465"/>
        <v/>
      </c>
      <c r="AC290" s="314" t="e">
        <f>IF($J290="",#N/A,SUM(AB$4:AB290))</f>
        <v>#N/A</v>
      </c>
      <c r="AD290" s="315" t="str">
        <f t="shared" si="466"/>
        <v/>
      </c>
      <c r="AE290" s="315" t="e">
        <f>IF($J290="",#N/A,SUM(AD$4:AD290))</f>
        <v>#N/A</v>
      </c>
      <c r="AF290" s="315" t="e">
        <f>IF($J290="",#N/A,SUM(AD$4:AD290,AB$4:AB290,Z$4:Z290))</f>
        <v>#N/A</v>
      </c>
      <c r="AG290" s="304" t="str">
        <f t="shared" si="467"/>
        <v/>
      </c>
      <c r="AH290" s="313" t="e">
        <f>IF($J290="",#N/A,SUM(AG$4:AG290))</f>
        <v>#N/A</v>
      </c>
      <c r="AI290" s="314" t="str">
        <f t="shared" si="468"/>
        <v/>
      </c>
      <c r="AJ290" s="314" t="e">
        <f>IF($J290="",#N/A,SUM(AI$4:AI290))</f>
        <v>#N/A</v>
      </c>
      <c r="AK290" s="315" t="str">
        <f t="shared" si="469"/>
        <v/>
      </c>
      <c r="AL290" s="315" t="e">
        <f>IF($J290="",#N/A,SUM(AK$4:AK290))</f>
        <v>#N/A</v>
      </c>
      <c r="AM290" s="315" t="e">
        <f>IF($J290="",#N/A,SUM(AK$4:AK290,AI$4:AI290,AG$4:AG290))</f>
        <v>#N/A</v>
      </c>
      <c r="AN290" s="304" t="str">
        <f t="shared" si="470"/>
        <v/>
      </c>
      <c r="AO290" s="313" t="e">
        <f>IF($J290="",#N/A,SUM(AN$4:AN290))</f>
        <v>#N/A</v>
      </c>
      <c r="AP290" s="314" t="str">
        <f t="shared" si="471"/>
        <v/>
      </c>
      <c r="AQ290" s="314" t="e">
        <f>IF($J290="",#N/A,SUM(AP$4:AP290))</f>
        <v>#N/A</v>
      </c>
      <c r="AR290" s="315" t="str">
        <f t="shared" si="472"/>
        <v/>
      </c>
      <c r="AS290" s="315" t="e">
        <f>IF($J290="",#N/A,SUM(AR$4:AR290))</f>
        <v>#N/A</v>
      </c>
      <c r="AT290" s="315" t="e">
        <f>IF($J290="",#N/A,SUM(AR$4:AR290,AP$4:AP290,AN$4:AN290))</f>
        <v>#N/A</v>
      </c>
      <c r="AU290" s="304" t="str">
        <f t="shared" si="473"/>
        <v/>
      </c>
      <c r="AV290" s="313" t="e">
        <f>IF($J290="",#N/A,SUM(AU$4:AU290))</f>
        <v>#N/A</v>
      </c>
      <c r="AW290" s="314" t="str">
        <f t="shared" si="474"/>
        <v/>
      </c>
      <c r="AX290" s="314" t="e">
        <f>IF($J290="",#N/A,SUM(AW$4:AW290))</f>
        <v>#N/A</v>
      </c>
      <c r="AY290" s="315" t="str">
        <f t="shared" si="475"/>
        <v/>
      </c>
      <c r="AZ290" s="315" t="e">
        <f>IF($J290="",#N/A,SUM(AY$4:AY290))</f>
        <v>#N/A</v>
      </c>
      <c r="BA290" s="315" t="e">
        <f>IF($J290="",#N/A,SUM(AY$4:AY290,AW$4:AW290,AU$4:AU290))</f>
        <v>#N/A</v>
      </c>
      <c r="BB290" s="304" t="str">
        <f t="shared" si="476"/>
        <v/>
      </c>
      <c r="BC290" s="313" t="e">
        <f>IF($J290="",#N/A,SUM(BB$4:BB290))</f>
        <v>#N/A</v>
      </c>
      <c r="BD290" s="314" t="str">
        <f t="shared" si="477"/>
        <v/>
      </c>
      <c r="BE290" s="314" t="e">
        <f>IF($J290="",#N/A,SUM(BD$4:BD290))</f>
        <v>#N/A</v>
      </c>
      <c r="BF290" s="315" t="str">
        <f t="shared" si="478"/>
        <v/>
      </c>
      <c r="BG290" s="315" t="e">
        <f>IF($J290="",#N/A,SUM(BF$4:BF290))</f>
        <v>#N/A</v>
      </c>
      <c r="BH290" s="315" t="e">
        <f>IF($J290="",#N/A,SUM(BF$4:BF290,BD$4:BD290,BB$4:BB290))</f>
        <v>#N/A</v>
      </c>
      <c r="BI290" s="304" t="str">
        <f t="shared" si="479"/>
        <v/>
      </c>
      <c r="BJ290" s="313" t="e">
        <f>IF($J290="",#N/A,SUM(BI$4:BI290))</f>
        <v>#N/A</v>
      </c>
      <c r="BK290" s="314" t="str">
        <f t="shared" si="480"/>
        <v/>
      </c>
      <c r="BL290" s="314" t="e">
        <f>IF($J290="",#N/A,SUM(BK$4:BK290))</f>
        <v>#N/A</v>
      </c>
      <c r="BM290" s="315" t="str">
        <f t="shared" si="481"/>
        <v/>
      </c>
      <c r="BN290" s="315" t="e">
        <f>IF($J290="",#N/A,SUM(BM$4:BM290))</f>
        <v>#N/A</v>
      </c>
      <c r="BO290" s="315" t="e">
        <f>IF($J290="",#N/A,SUM(BM$4:BM290,BK$4:BK290,BI$4:BI290))</f>
        <v>#N/A</v>
      </c>
      <c r="BP290" s="304" t="str">
        <f t="shared" si="482"/>
        <v/>
      </c>
      <c r="BQ290" s="313" t="e">
        <f>IF($J290="",#N/A,SUM(BP$4:BP290))</f>
        <v>#N/A</v>
      </c>
      <c r="BR290" s="314" t="str">
        <f t="shared" si="483"/>
        <v/>
      </c>
      <c r="BS290" s="314" t="e">
        <f>IF($J290="",#N/A,SUM(BR$4:BR290))</f>
        <v>#N/A</v>
      </c>
      <c r="BT290" s="315" t="str">
        <f t="shared" si="484"/>
        <v/>
      </c>
      <c r="BU290" s="315" t="e">
        <f>IF($J290="",#N/A,SUM(BT$4:BT290))</f>
        <v>#N/A</v>
      </c>
      <c r="BV290" s="315" t="e">
        <f>IF($J290="",#N/A,SUM(BT$4:BT290,BR$4:BR290,BP$4:BP290))</f>
        <v>#N/A</v>
      </c>
      <c r="BW290" s="304">
        <f t="shared" si="485"/>
        <v>0.97080646279730853</v>
      </c>
      <c r="BX290" s="313" t="e">
        <f>IF($J290="",#N/A,SUM(BW$4:BW290))</f>
        <v>#N/A</v>
      </c>
      <c r="BY290" s="314" t="str">
        <f t="shared" si="486"/>
        <v/>
      </c>
      <c r="BZ290" s="314" t="e">
        <f>IF($J290="",#N/A,SUM(BY$4:BY290))</f>
        <v>#N/A</v>
      </c>
      <c r="CA290" s="315" t="str">
        <f t="shared" si="487"/>
        <v/>
      </c>
      <c r="CB290" s="315" t="e">
        <f>IF($J290="",#N/A,SUM(CA$4:CA290))</f>
        <v>#N/A</v>
      </c>
      <c r="CC290" s="315" t="e">
        <f>IF($J290="",#N/A,SUM(CA$4:CA290,BY$4:BY290,BW$4:BW290))</f>
        <v>#N/A</v>
      </c>
      <c r="CD290" s="304" t="str">
        <f t="shared" si="488"/>
        <v/>
      </c>
      <c r="CE290" s="313" t="e">
        <f>IF($J290="",#N/A,SUM(CD$4:CD290))</f>
        <v>#N/A</v>
      </c>
      <c r="CF290" s="314" t="str">
        <f t="shared" si="489"/>
        <v/>
      </c>
      <c r="CG290" s="314" t="e">
        <f>IF($J290="",#N/A,SUM(CF$4:CF290))</f>
        <v>#N/A</v>
      </c>
      <c r="CH290" s="315" t="str">
        <f t="shared" si="490"/>
        <v/>
      </c>
      <c r="CI290" s="315" t="e">
        <f>IF($J290="",#N/A,SUM(CH$4:CH290))</f>
        <v>#N/A</v>
      </c>
      <c r="CJ290" s="315" t="e">
        <f>IF($J290="",#N/A,SUM(CH$4:CH290,CF$4:CF290,CD$4:CD290))</f>
        <v>#N/A</v>
      </c>
      <c r="CK290" s="304" t="str">
        <f t="shared" si="491"/>
        <v/>
      </c>
      <c r="CL290" s="313" t="e">
        <f>IF($J290="",#N/A,SUM(CK$4:CK290))</f>
        <v>#N/A</v>
      </c>
      <c r="CM290" s="314" t="str">
        <f t="shared" si="492"/>
        <v/>
      </c>
      <c r="CN290" s="314" t="e">
        <f>IF($J290="",#N/A,SUM(CM$4:CM290))</f>
        <v>#N/A</v>
      </c>
      <c r="CO290" s="315" t="str">
        <f t="shared" si="493"/>
        <v/>
      </c>
      <c r="CP290" s="315" t="e">
        <f>IF($J290="",#N/A,SUM(CO$4:CO290))</f>
        <v>#N/A</v>
      </c>
      <c r="CQ290" s="315" t="e">
        <f>IF($J290="",#N/A,SUM(CO$4:CO290,CM$4:CM290,CK$4:CK290))</f>
        <v>#N/A</v>
      </c>
      <c r="CR290" s="304" t="str">
        <f t="shared" si="494"/>
        <v/>
      </c>
      <c r="CS290" s="313" t="e">
        <f>IF($J290="",#N/A,SUM(CR$4:CR290))</f>
        <v>#N/A</v>
      </c>
      <c r="CT290" s="314" t="str">
        <f t="shared" si="495"/>
        <v/>
      </c>
      <c r="CU290" s="314" t="e">
        <f>IF($J290="",#N/A,SUM(CT$4:CT290))</f>
        <v>#N/A</v>
      </c>
      <c r="CV290" s="315" t="str">
        <f t="shared" si="496"/>
        <v/>
      </c>
      <c r="CW290" s="315" t="e">
        <f>IF($J290="",#N/A,SUM(CV$4:CV290))</f>
        <v>#N/A</v>
      </c>
      <c r="CX290" s="315" t="e">
        <f>IF($J290="",#N/A,SUM(CV$4:CV290,CT$4:CT290,CR$4:CR290))</f>
        <v>#N/A</v>
      </c>
      <c r="CY290" s="304" t="str">
        <f t="shared" si="497"/>
        <v/>
      </c>
      <c r="CZ290" s="313" t="e">
        <f>IF($J290="",#N/A,SUM(CY$4:CY290))</f>
        <v>#N/A</v>
      </c>
      <c r="DA290" s="314" t="str">
        <f t="shared" si="498"/>
        <v/>
      </c>
      <c r="DB290" s="314" t="e">
        <f>IF($J290="",#N/A,SUM(DA$4:DA290))</f>
        <v>#N/A</v>
      </c>
      <c r="DC290" s="315" t="str">
        <f t="shared" si="499"/>
        <v/>
      </c>
      <c r="DD290" s="315" t="e">
        <f>IF($J290="",#N/A,SUM(DC$4:DC290))</f>
        <v>#N/A</v>
      </c>
      <c r="DE290" s="315" t="e">
        <f>IF($J290="",#N/A,SUM(DC$4:DC290,DA$4:DA290,CY$4:CY290))</f>
        <v>#N/A</v>
      </c>
      <c r="DF290" s="304" t="str">
        <f t="shared" si="500"/>
        <v/>
      </c>
      <c r="DG290" s="313" t="e">
        <f>IF($J290="",#N/A,SUM(DF$4:DF290))</f>
        <v>#N/A</v>
      </c>
      <c r="DH290" s="314" t="str">
        <f t="shared" si="501"/>
        <v/>
      </c>
      <c r="DI290" s="314" t="e">
        <f>IF($J290="",#N/A,SUM(DH$4:DH290))</f>
        <v>#N/A</v>
      </c>
      <c r="DJ290" s="315" t="str">
        <f t="shared" si="502"/>
        <v/>
      </c>
      <c r="DK290" s="315" t="e">
        <f>IF($J290="",#N/A,SUM(DJ$4:DJ290))</f>
        <v>#N/A</v>
      </c>
      <c r="DL290" s="315" t="e">
        <f>IF($J290="",#N/A,SUM(DJ$4:DJ290,DH$4:DH290,DF$4:DF290))</f>
        <v>#N/A</v>
      </c>
      <c r="DM290" s="304" t="str">
        <f t="shared" si="503"/>
        <v/>
      </c>
      <c r="DN290" s="313" t="e">
        <f>IF($J290="",#N/A,SUM(DM$4:DM290))</f>
        <v>#N/A</v>
      </c>
      <c r="DO290" s="314" t="str">
        <f t="shared" si="504"/>
        <v/>
      </c>
      <c r="DP290" s="314" t="e">
        <f>IF($J290="",#N/A,SUM(DO$4:DO290))</f>
        <v>#N/A</v>
      </c>
      <c r="DQ290" s="315" t="str">
        <f t="shared" si="505"/>
        <v/>
      </c>
      <c r="DR290" s="315" t="e">
        <f>IF($J290="",#N/A,SUM(DQ$4:DQ290))</f>
        <v>#N/A</v>
      </c>
      <c r="DS290" s="315" t="e">
        <f>IF($J290="",#N/A,SUM(DQ$4:DQ290,DO$4:DO290,DM$4:DM290))</f>
        <v>#N/A</v>
      </c>
      <c r="DT290" s="304" t="str">
        <f t="shared" si="506"/>
        <v/>
      </c>
      <c r="DU290" s="313" t="e">
        <f>IF($J290="",#N/A,SUM(DT$4:DT290))</f>
        <v>#N/A</v>
      </c>
      <c r="DV290" s="314" t="str">
        <f t="shared" si="507"/>
        <v/>
      </c>
      <c r="DW290" s="314" t="e">
        <f>IF($J290="",#N/A,SUM(DV$4:DV290))</f>
        <v>#N/A</v>
      </c>
      <c r="DX290" s="315" t="str">
        <f t="shared" si="508"/>
        <v/>
      </c>
      <c r="DY290" s="315" t="e">
        <f>IF($J290="",#N/A,SUM(DX$4:DX290))</f>
        <v>#N/A</v>
      </c>
      <c r="DZ290" s="315" t="e">
        <f>IF($J290="",#N/A,SUM(DX$4:DX290,DV$4:DV290,DT$4:DT290))</f>
        <v>#N/A</v>
      </c>
      <c r="EA290" s="304" t="str">
        <f t="shared" si="509"/>
        <v/>
      </c>
      <c r="EB290" s="313" t="e">
        <f>IF($J290="",#N/A,SUM(EA$4:EA290))</f>
        <v>#N/A</v>
      </c>
      <c r="EC290" s="314" t="str">
        <f t="shared" si="510"/>
        <v/>
      </c>
      <c r="ED290" s="314" t="e">
        <f>IF($J290="",#N/A,SUM(EC$4:EC290))</f>
        <v>#N/A</v>
      </c>
      <c r="EE290" s="315" t="str">
        <f t="shared" si="511"/>
        <v/>
      </c>
      <c r="EF290" s="315" t="e">
        <f>IF($J290="",#N/A,SUM(EE$4:EE290))</f>
        <v>#N/A</v>
      </c>
      <c r="EG290" s="315" t="e">
        <f>IF($J290="",#N/A,SUM(EE$4:EE290,EC$4:EC290,EA$4:EA290))</f>
        <v>#N/A</v>
      </c>
      <c r="EH290" s="130">
        <f t="shared" si="512"/>
        <v>89.599999999999909</v>
      </c>
      <c r="EI290" s="63">
        <f>IF(EH290="",#N/A,SUM($EH$4:EH290))</f>
        <v>1321.4800842452948</v>
      </c>
      <c r="EJ290" s="223" t="e">
        <f t="shared" si="513"/>
        <v>#N/A</v>
      </c>
      <c r="EK290" s="63" t="e">
        <f>IF($GZ290="",#N/A,SUM(EJ$4:EJ290))</f>
        <v>#N/A</v>
      </c>
      <c r="EL290" s="60">
        <f t="shared" si="544"/>
        <v>0.97080646279730853</v>
      </c>
      <c r="EM290" s="60">
        <f>IF(EL290="",NA(),SUM($EL$4:EL290))</f>
        <v>43.782840464751033</v>
      </c>
      <c r="EN290" s="60">
        <f t="shared" si="514"/>
        <v>0.97080646279730853</v>
      </c>
      <c r="EO290" s="60">
        <f>IF(EN290="",NA(),SUM($EN$4:EN290))</f>
        <v>15.874715530080536</v>
      </c>
      <c r="EP290" s="60" t="str">
        <f t="shared" si="515"/>
        <v/>
      </c>
      <c r="EQ290" s="60" t="e">
        <f>IF(EP290="",NA(),SUM($EP$4:EP290))</f>
        <v>#N/A</v>
      </c>
      <c r="ER290" s="60" t="str">
        <f t="shared" si="516"/>
        <v/>
      </c>
      <c r="ES290" s="60" t="e">
        <f>IF(ER290="",NA(),SUM($ER$4:ER290))</f>
        <v>#N/A</v>
      </c>
      <c r="ET290" s="60" t="str">
        <f t="shared" si="517"/>
        <v/>
      </c>
      <c r="EU290" s="60" t="e">
        <f>IF(ET290="",NA(),SUM($ET$4:ET290))</f>
        <v>#N/A</v>
      </c>
      <c r="EV290" s="60" t="str">
        <f t="shared" si="518"/>
        <v/>
      </c>
      <c r="EW290" s="60" t="e">
        <f>IF(EV290="",NA(),SUM($EV$4:EV290))</f>
        <v>#N/A</v>
      </c>
      <c r="EX290" s="60" t="str">
        <f t="shared" si="519"/>
        <v/>
      </c>
      <c r="EY290" s="60" t="e">
        <f>IF(EX290="",NA(),SUM($EX$4:EX290))</f>
        <v>#N/A</v>
      </c>
      <c r="EZ290" s="60" t="str">
        <f t="shared" si="520"/>
        <v/>
      </c>
      <c r="FA290" s="60" t="e">
        <f>IF(EZ290="",NA(),SUM($EZ$4:EZ290))</f>
        <v>#N/A</v>
      </c>
      <c r="FB290" s="246" t="str">
        <f t="shared" si="545"/>
        <v/>
      </c>
      <c r="FC290" s="246" t="e">
        <f>IF($FB290="",#N/A,SUM(FB$4:$FB290))</f>
        <v>#N/A</v>
      </c>
      <c r="FD290" s="60" t="str">
        <f t="shared" si="521"/>
        <v/>
      </c>
      <c r="FE290" s="60" t="e">
        <f>IF($FD290="",#N/A,SUM($FD$4:FD290))</f>
        <v>#N/A</v>
      </c>
      <c r="FF290" s="60">
        <f t="shared" si="522"/>
        <v>0.27217252617710419</v>
      </c>
      <c r="FG290" s="60">
        <f>IF($FF290="",#N/A,SUM($FF$4:FF290))</f>
        <v>-4.3892761009728991</v>
      </c>
      <c r="FH290" s="60" t="str">
        <f t="shared" si="523"/>
        <v/>
      </c>
      <c r="FI290" s="60" t="e">
        <f>IF($FH290="",#N/A,SUM($FH$4:FH290))</f>
        <v>#N/A</v>
      </c>
      <c r="FJ290" s="60" t="str">
        <f t="shared" si="524"/>
        <v/>
      </c>
      <c r="FK290" s="60" t="e">
        <f>IF($FJ290="",#N/A,SUM($FJ$4:FJ290))</f>
        <v>#N/A</v>
      </c>
      <c r="FL290" s="60" t="str">
        <f t="shared" si="525"/>
        <v/>
      </c>
      <c r="FM290" s="60" t="e">
        <f>IF($FL290="",#N/A,SUM($FL$4:FL290))</f>
        <v>#N/A</v>
      </c>
      <c r="FN290" s="82">
        <f t="shared" si="526"/>
        <v>1.2429789889744127</v>
      </c>
      <c r="FO290" s="82">
        <f>IF($FN290="",#N/A,SUM(FN$4:$FN290))</f>
        <v>57.366527169543239</v>
      </c>
      <c r="FP290" s="82">
        <f t="shared" si="546"/>
        <v>0.97080646279730853</v>
      </c>
      <c r="FQ290" s="246">
        <f>IF($EH290="",#N/A,SUM($FP$4:FP290))</f>
        <v>53.23447567309249</v>
      </c>
      <c r="FR290" s="82">
        <f>IFERROR(FQ290/COUNTA($J$4:J290),#N/A)</f>
        <v>0.18548597795502611</v>
      </c>
      <c r="FS290" s="82">
        <f t="shared" si="448"/>
        <v>0.2151978973631084</v>
      </c>
      <c r="FT290" s="82">
        <f t="shared" si="449"/>
        <v>0.14131242561604779</v>
      </c>
      <c r="FU290" s="338">
        <f t="shared" si="551"/>
        <v>30.746501867880085</v>
      </c>
      <c r="FV290" s="57" t="str">
        <f t="shared" ref="FV290:FV321" si="552">IF(FW290="Down","Dwn",IF(FW290="Up","Up",IF(AND(FW290="",K290=""),"",IF(AND(K290&lt;0,FW290="Yes"),"Dwn",IF(AND(K290&gt;0,FW290="Yes"),"Up",IF(AND(K290&lt;0,FW290="No"),"Up",IF(AND(K290&gt;0,FW290="No"),"Dwn",IF(FW290="NA","SW","err"))))))))</f>
        <v>Up</v>
      </c>
      <c r="FW290" s="57" t="s">
        <v>2733</v>
      </c>
      <c r="FX290" s="57">
        <f t="shared" si="528"/>
        <v>1</v>
      </c>
      <c r="FY290" s="57" t="str">
        <f t="shared" si="529"/>
        <v/>
      </c>
      <c r="FZ290" s="57" t="str">
        <f t="shared" si="530"/>
        <v/>
      </c>
      <c r="GA290" s="57" t="str">
        <f t="shared" si="531"/>
        <v>Long</v>
      </c>
      <c r="GB290" s="57" t="str">
        <f t="shared" si="532"/>
        <v/>
      </c>
      <c r="GC290" s="57" t="str">
        <f t="shared" si="533"/>
        <v/>
      </c>
      <c r="GD290" s="57" t="str">
        <f t="shared" si="534"/>
        <v/>
      </c>
      <c r="GE290" s="62">
        <f t="shared" si="451"/>
        <v>96.14</v>
      </c>
      <c r="GF290" s="62" t="s">
        <v>2779</v>
      </c>
      <c r="GG290" s="199">
        <v>16</v>
      </c>
      <c r="GH290" s="207">
        <f t="shared" si="535"/>
        <v>1538.24</v>
      </c>
      <c r="GI290" s="199">
        <v>16</v>
      </c>
      <c r="GJ290" s="200">
        <v>102</v>
      </c>
      <c r="GK290" s="63">
        <f t="shared" si="536"/>
        <v>93.759999999999991</v>
      </c>
      <c r="GL290" s="63">
        <f t="shared" si="452"/>
        <v>114.72000000000003</v>
      </c>
      <c r="GM290" s="82" t="str">
        <f t="shared" si="537"/>
        <v/>
      </c>
      <c r="GN290" s="82">
        <f>IF($GZ290="",#N/A,SUM(GM$4:GM290))</f>
        <v>5.397395638283955</v>
      </c>
      <c r="GO290" s="82">
        <f t="shared" si="538"/>
        <v>1.2429789889744127</v>
      </c>
      <c r="GP290" s="82">
        <f>IF($GZ290="",#N/A,SUM(GO$4:GO290))</f>
        <v>15.634246057995773</v>
      </c>
      <c r="GQ290" s="82" t="str">
        <f t="shared" si="539"/>
        <v/>
      </c>
      <c r="GR290" s="82">
        <f>IF($GZ290="",#N/A,SUM(GQ$4:GQ290))</f>
        <v>35.709048518821184</v>
      </c>
      <c r="GS290" s="63" t="str">
        <f t="shared" si="548"/>
        <v/>
      </c>
      <c r="GT290" s="63" t="e">
        <f>IF($GZ290="",#N/A,SUM(GS$4:GS290))</f>
        <v>#N/A</v>
      </c>
      <c r="GU290" s="63" t="e">
        <f t="shared" si="549"/>
        <v>#N/A</v>
      </c>
      <c r="GV290" s="63" t="e">
        <f>IF($GZ290="",#N/A,SUM(GU$4:GU290))</f>
        <v>#N/A</v>
      </c>
      <c r="GW290" s="63" t="str">
        <f t="shared" si="550"/>
        <v/>
      </c>
      <c r="GX290" s="63" t="e">
        <f>IF($GZ290="",#N/A,SUM(GW$4:GW290))</f>
        <v>#N/A</v>
      </c>
      <c r="GY290" s="63" t="e">
        <f>IF(EJ290="",#N/A,SUM($EJ$4:EJ290))</f>
        <v>#N/A</v>
      </c>
      <c r="GZ290" s="159">
        <v>103.31</v>
      </c>
      <c r="HA290" s="63">
        <f t="shared" si="540"/>
        <v>25.120000000000118</v>
      </c>
      <c r="HB290" s="62" t="s">
        <v>2538</v>
      </c>
      <c r="HC290" s="60">
        <f>IFERROR(VLOOKUP(E290,Expectancy!$P$4:$S$19,1+C290,FALSE),"")</f>
        <v>-0.45514116799985843</v>
      </c>
      <c r="HD290" s="82">
        <f t="shared" si="541"/>
        <v>1.0158796199986131</v>
      </c>
      <c r="HE290" s="138">
        <f>IF(HD290="",#N/A,SUM($HD$4:HD290))</f>
        <v>7.9579738052124043</v>
      </c>
      <c r="HF290" s="85">
        <f>IF(HD290="",#N/A,IF(HB290="Skip",#N/A,SUM($HG$4:HG290)))</f>
        <v>200.99657921915554</v>
      </c>
      <c r="HG290" s="63">
        <f t="shared" si="542"/>
        <v>93.759999999999991</v>
      </c>
      <c r="HH290" s="82">
        <f t="shared" si="543"/>
        <v>1.2429789889744127</v>
      </c>
    </row>
    <row r="291" spans="1:216" x14ac:dyDescent="0.25">
      <c r="A291" s="57" t="s">
        <v>141</v>
      </c>
      <c r="B291" s="58" t="s">
        <v>5237</v>
      </c>
      <c r="C291" s="386">
        <f t="shared" si="453"/>
        <v>3</v>
      </c>
      <c r="D291" s="372" t="str">
        <f>_xlfn.XLOOKUP(A291,[1]SP500!$A$2:$A$502,[1]SP500!$D$2:$D$502,"N")</f>
        <v>Y</v>
      </c>
      <c r="E291" s="57" t="str">
        <f>_xlfn.XLOOKUP(A291,[1]SP500!$A$2:$A$655,[1]SP500!$B$2:$B$655)</f>
        <v>INS</v>
      </c>
      <c r="F291" s="59">
        <v>45699</v>
      </c>
      <c r="G291" s="57" t="str">
        <f t="shared" si="454"/>
        <v>AMC</v>
      </c>
      <c r="H291" s="57" t="str">
        <f t="shared" si="455"/>
        <v>s</v>
      </c>
      <c r="I291" s="159">
        <v>75.930000000000007</v>
      </c>
      <c r="J291" s="159">
        <v>75.239999999999995</v>
      </c>
      <c r="K291" s="61">
        <f t="shared" si="456"/>
        <v>-9.0873172659029621E-3</v>
      </c>
      <c r="L291" s="87">
        <f t="shared" si="457"/>
        <v>-13.800000000000182</v>
      </c>
      <c r="M291" s="130">
        <f t="shared" si="450"/>
        <v>0</v>
      </c>
      <c r="N291" s="169" t="str">
        <f t="shared" si="458"/>
        <v/>
      </c>
      <c r="O291" s="169">
        <f>IF($J291="",#N/A,SUM($N$4:N291))</f>
        <v>474.976719354225</v>
      </c>
      <c r="P291" s="174" t="str">
        <f t="shared" si="459"/>
        <v/>
      </c>
      <c r="Q291" s="174">
        <f>IF($J291="",#N/A,SUM($P$4:P291))</f>
        <v>477.05890674734189</v>
      </c>
      <c r="R291" s="178">
        <f t="shared" si="460"/>
        <v>-13.800000000000182</v>
      </c>
      <c r="S291" s="178">
        <f>IF($J291="",#N/A,SUM($R$4:R291))</f>
        <v>355.64445814372766</v>
      </c>
      <c r="T291" s="290" t="str">
        <f t="shared" si="461"/>
        <v/>
      </c>
      <c r="U291" s="290">
        <f>IF($J291="",#N/A,SUM($T$4:T291))</f>
        <v>17.831422354731259</v>
      </c>
      <c r="V291" s="291" t="str">
        <f t="shared" si="462"/>
        <v/>
      </c>
      <c r="W291" s="291">
        <f>IF($J291="",#N/A,SUM($V$4:V291))</f>
        <v>24.286592424010003</v>
      </c>
      <c r="X291" s="292">
        <f t="shared" si="463"/>
        <v>-0.15145528776504874</v>
      </c>
      <c r="Y291" s="292">
        <f>IF($J291="",#N/A,SUM($X$4:X291))</f>
        <v>10.965005606586191</v>
      </c>
      <c r="Z291" s="304" t="str">
        <f t="shared" si="464"/>
        <v/>
      </c>
      <c r="AA291" s="313" t="e">
        <f>IF($J291="",#N/A,SUM(Z$4:Z291))</f>
        <v>#N/A</v>
      </c>
      <c r="AB291" s="314" t="str">
        <f t="shared" si="465"/>
        <v/>
      </c>
      <c r="AC291" s="314" t="e">
        <f>IF($J291="",#N/A,SUM(AB$4:AB291))</f>
        <v>#N/A</v>
      </c>
      <c r="AD291" s="315" t="str">
        <f t="shared" si="466"/>
        <v/>
      </c>
      <c r="AE291" s="315" t="e">
        <f>IF($J291="",#N/A,SUM(AD$4:AD291))</f>
        <v>#N/A</v>
      </c>
      <c r="AF291" s="315" t="e">
        <f>IF($J291="",#N/A,SUM(AD$4:AD291,AB$4:AB291,Z$4:Z291))</f>
        <v>#N/A</v>
      </c>
      <c r="AG291" s="304" t="str">
        <f t="shared" si="467"/>
        <v/>
      </c>
      <c r="AH291" s="313" t="e">
        <f>IF($J291="",#N/A,SUM(AG$4:AG291))</f>
        <v>#N/A</v>
      </c>
      <c r="AI291" s="314" t="str">
        <f t="shared" si="468"/>
        <v/>
      </c>
      <c r="AJ291" s="314" t="e">
        <f>IF($J291="",#N/A,SUM(AI$4:AI291))</f>
        <v>#N/A</v>
      </c>
      <c r="AK291" s="315" t="str">
        <f t="shared" si="469"/>
        <v/>
      </c>
      <c r="AL291" s="315" t="e">
        <f>IF($J291="",#N/A,SUM(AK$4:AK291))</f>
        <v>#N/A</v>
      </c>
      <c r="AM291" s="315" t="e">
        <f>IF($J291="",#N/A,SUM(AK$4:AK291,AI$4:AI291,AG$4:AG291))</f>
        <v>#N/A</v>
      </c>
      <c r="AN291" s="304" t="str">
        <f t="shared" si="470"/>
        <v/>
      </c>
      <c r="AO291" s="313" t="e">
        <f>IF($J291="",#N/A,SUM(AN$4:AN291))</f>
        <v>#N/A</v>
      </c>
      <c r="AP291" s="314" t="str">
        <f t="shared" si="471"/>
        <v/>
      </c>
      <c r="AQ291" s="314" t="e">
        <f>IF($J291="",#N/A,SUM(AP$4:AP291))</f>
        <v>#N/A</v>
      </c>
      <c r="AR291" s="315" t="str">
        <f t="shared" si="472"/>
        <v/>
      </c>
      <c r="AS291" s="315" t="e">
        <f>IF($J291="",#N/A,SUM(AR$4:AR291))</f>
        <v>#N/A</v>
      </c>
      <c r="AT291" s="315" t="e">
        <f>IF($J291="",#N/A,SUM(AR$4:AR291,AP$4:AP291,AN$4:AN291))</f>
        <v>#N/A</v>
      </c>
      <c r="AU291" s="304" t="str">
        <f t="shared" si="473"/>
        <v/>
      </c>
      <c r="AV291" s="313" t="e">
        <f>IF($J291="",#N/A,SUM(AU$4:AU291))</f>
        <v>#N/A</v>
      </c>
      <c r="AW291" s="314" t="str">
        <f t="shared" si="474"/>
        <v/>
      </c>
      <c r="AX291" s="314" t="e">
        <f>IF($J291="",#N/A,SUM(AW$4:AW291))</f>
        <v>#N/A</v>
      </c>
      <c r="AY291" s="315" t="str">
        <f t="shared" si="475"/>
        <v/>
      </c>
      <c r="AZ291" s="315" t="e">
        <f>IF($J291="",#N/A,SUM(AY$4:AY291))</f>
        <v>#N/A</v>
      </c>
      <c r="BA291" s="315" t="e">
        <f>IF($J291="",#N/A,SUM(AY$4:AY291,AW$4:AW291,AU$4:AU291))</f>
        <v>#N/A</v>
      </c>
      <c r="BB291" s="304" t="str">
        <f t="shared" si="476"/>
        <v/>
      </c>
      <c r="BC291" s="313" t="e">
        <f>IF($J291="",#N/A,SUM(BB$4:BB291))</f>
        <v>#N/A</v>
      </c>
      <c r="BD291" s="314" t="str">
        <f t="shared" si="477"/>
        <v/>
      </c>
      <c r="BE291" s="314" t="e">
        <f>IF($J291="",#N/A,SUM(BD$4:BD291))</f>
        <v>#N/A</v>
      </c>
      <c r="BF291" s="315" t="str">
        <f t="shared" si="478"/>
        <v/>
      </c>
      <c r="BG291" s="315" t="e">
        <f>IF($J291="",#N/A,SUM(BF$4:BF291))</f>
        <v>#N/A</v>
      </c>
      <c r="BH291" s="315" t="e">
        <f>IF($J291="",#N/A,SUM(BF$4:BF291,BD$4:BD291,BB$4:BB291))</f>
        <v>#N/A</v>
      </c>
      <c r="BI291" s="304" t="str">
        <f t="shared" si="479"/>
        <v/>
      </c>
      <c r="BJ291" s="313" t="e">
        <f>IF($J291="",#N/A,SUM(BI$4:BI291))</f>
        <v>#N/A</v>
      </c>
      <c r="BK291" s="314" t="str">
        <f t="shared" si="480"/>
        <v/>
      </c>
      <c r="BL291" s="314" t="e">
        <f>IF($J291="",#N/A,SUM(BK$4:BK291))</f>
        <v>#N/A</v>
      </c>
      <c r="BM291" s="315" t="str">
        <f t="shared" si="481"/>
        <v/>
      </c>
      <c r="BN291" s="315" t="e">
        <f>IF($J291="",#N/A,SUM(BM$4:BM291))</f>
        <v>#N/A</v>
      </c>
      <c r="BO291" s="315" t="e">
        <f>IF($J291="",#N/A,SUM(BM$4:BM291,BK$4:BK291,BI$4:BI291))</f>
        <v>#N/A</v>
      </c>
      <c r="BP291" s="304" t="str">
        <f t="shared" si="482"/>
        <v/>
      </c>
      <c r="BQ291" s="313" t="e">
        <f>IF($J291="",#N/A,SUM(BP$4:BP291))</f>
        <v>#N/A</v>
      </c>
      <c r="BR291" s="314" t="str">
        <f t="shared" si="483"/>
        <v/>
      </c>
      <c r="BS291" s="314" t="e">
        <f>IF($J291="",#N/A,SUM(BR$4:BR291))</f>
        <v>#N/A</v>
      </c>
      <c r="BT291" s="315" t="str">
        <f t="shared" si="484"/>
        <v/>
      </c>
      <c r="BU291" s="315" t="e">
        <f>IF($J291="",#N/A,SUM(BT$4:BT291))</f>
        <v>#N/A</v>
      </c>
      <c r="BV291" s="315" t="e">
        <f>IF($J291="",#N/A,SUM(BT$4:BT291,BR$4:BR291,BP$4:BP291))</f>
        <v>#N/A</v>
      </c>
      <c r="BW291" s="304" t="str">
        <f t="shared" si="485"/>
        <v/>
      </c>
      <c r="BX291" s="313" t="e">
        <f>IF($J291="",#N/A,SUM(BW$4:BW291))</f>
        <v>#N/A</v>
      </c>
      <c r="BY291" s="314" t="str">
        <f t="shared" si="486"/>
        <v/>
      </c>
      <c r="BZ291" s="314" t="e">
        <f>IF($J291="",#N/A,SUM(BY$4:BY291))</f>
        <v>#N/A</v>
      </c>
      <c r="CA291" s="315" t="str">
        <f t="shared" si="487"/>
        <v/>
      </c>
      <c r="CB291" s="315" t="e">
        <f>IF($J291="",#N/A,SUM(CA$4:CA291))</f>
        <v>#N/A</v>
      </c>
      <c r="CC291" s="315" t="e">
        <f>IF($J291="",#N/A,SUM(CA$4:CA291,BY$4:BY291,BW$4:BW291))</f>
        <v>#N/A</v>
      </c>
      <c r="CD291" s="304" t="str">
        <f t="shared" si="488"/>
        <v/>
      </c>
      <c r="CE291" s="313" t="e">
        <f>IF($J291="",#N/A,SUM(CD$4:CD291))</f>
        <v>#N/A</v>
      </c>
      <c r="CF291" s="314" t="str">
        <f t="shared" si="489"/>
        <v/>
      </c>
      <c r="CG291" s="314" t="e">
        <f>IF($J291="",#N/A,SUM(CF$4:CF291))</f>
        <v>#N/A</v>
      </c>
      <c r="CH291" s="315" t="str">
        <f t="shared" si="490"/>
        <v/>
      </c>
      <c r="CI291" s="315" t="e">
        <f>IF($J291="",#N/A,SUM(CH$4:CH291))</f>
        <v>#N/A</v>
      </c>
      <c r="CJ291" s="315" t="e">
        <f>IF($J291="",#N/A,SUM(CH$4:CH291,CF$4:CF291,CD$4:CD291))</f>
        <v>#N/A</v>
      </c>
      <c r="CK291" s="304" t="str">
        <f t="shared" si="491"/>
        <v/>
      </c>
      <c r="CL291" s="313" t="e">
        <f>IF($J291="",#N/A,SUM(CK$4:CK291))</f>
        <v>#N/A</v>
      </c>
      <c r="CM291" s="314" t="str">
        <f t="shared" si="492"/>
        <v/>
      </c>
      <c r="CN291" s="314" t="e">
        <f>IF($J291="",#N/A,SUM(CM$4:CM291))</f>
        <v>#N/A</v>
      </c>
      <c r="CO291" s="315" t="str">
        <f t="shared" si="493"/>
        <v/>
      </c>
      <c r="CP291" s="315" t="e">
        <f>IF($J291="",#N/A,SUM(CO$4:CO291))</f>
        <v>#N/A</v>
      </c>
      <c r="CQ291" s="315" t="e">
        <f>IF($J291="",#N/A,SUM(CO$4:CO291,CM$4:CM291,CK$4:CK291))</f>
        <v>#N/A</v>
      </c>
      <c r="CR291" s="304" t="str">
        <f t="shared" si="494"/>
        <v/>
      </c>
      <c r="CS291" s="313" t="e">
        <f>IF($J291="",#N/A,SUM(CR$4:CR291))</f>
        <v>#N/A</v>
      </c>
      <c r="CT291" s="314" t="str">
        <f t="shared" si="495"/>
        <v/>
      </c>
      <c r="CU291" s="314" t="e">
        <f>IF($J291="",#N/A,SUM(CT$4:CT291))</f>
        <v>#N/A</v>
      </c>
      <c r="CV291" s="315" t="str">
        <f t="shared" si="496"/>
        <v/>
      </c>
      <c r="CW291" s="315" t="e">
        <f>IF($J291="",#N/A,SUM(CV$4:CV291))</f>
        <v>#N/A</v>
      </c>
      <c r="CX291" s="315" t="e">
        <f>IF($J291="",#N/A,SUM(CV$4:CV291,CT$4:CT291,CR$4:CR291))</f>
        <v>#N/A</v>
      </c>
      <c r="CY291" s="304" t="str">
        <f t="shared" si="497"/>
        <v/>
      </c>
      <c r="CZ291" s="313" t="e">
        <f>IF($J291="",#N/A,SUM(CY$4:CY291))</f>
        <v>#N/A</v>
      </c>
      <c r="DA291" s="314" t="str">
        <f t="shared" si="498"/>
        <v/>
      </c>
      <c r="DB291" s="314" t="e">
        <f>IF($J291="",#N/A,SUM(DA$4:DA291))</f>
        <v>#N/A</v>
      </c>
      <c r="DC291" s="315" t="str">
        <f t="shared" si="499"/>
        <v/>
      </c>
      <c r="DD291" s="315" t="e">
        <f>IF($J291="",#N/A,SUM(DC$4:DC291))</f>
        <v>#N/A</v>
      </c>
      <c r="DE291" s="315" t="e">
        <f>IF($J291="",#N/A,SUM(DC$4:DC291,DA$4:DA291,CY$4:CY291))</f>
        <v>#N/A</v>
      </c>
      <c r="DF291" s="304" t="str">
        <f t="shared" si="500"/>
        <v/>
      </c>
      <c r="DG291" s="313" t="e">
        <f>IF($J291="",#N/A,SUM(DF$4:DF291))</f>
        <v>#N/A</v>
      </c>
      <c r="DH291" s="314" t="str">
        <f t="shared" si="501"/>
        <v/>
      </c>
      <c r="DI291" s="314" t="e">
        <f>IF($J291="",#N/A,SUM(DH$4:DH291))</f>
        <v>#N/A</v>
      </c>
      <c r="DJ291" s="315" t="str">
        <f t="shared" si="502"/>
        <v/>
      </c>
      <c r="DK291" s="315" t="e">
        <f>IF($J291="",#N/A,SUM(DJ$4:DJ291))</f>
        <v>#N/A</v>
      </c>
      <c r="DL291" s="315" t="e">
        <f>IF($J291="",#N/A,SUM(DJ$4:DJ291,DH$4:DH291,DF$4:DF291))</f>
        <v>#N/A</v>
      </c>
      <c r="DM291" s="304" t="str">
        <f t="shared" si="503"/>
        <v/>
      </c>
      <c r="DN291" s="313" t="e">
        <f>IF($J291="",#N/A,SUM(DM$4:DM291))</f>
        <v>#N/A</v>
      </c>
      <c r="DO291" s="314" t="str">
        <f t="shared" si="504"/>
        <v/>
      </c>
      <c r="DP291" s="314" t="e">
        <f>IF($J291="",#N/A,SUM(DO$4:DO291))</f>
        <v>#N/A</v>
      </c>
      <c r="DQ291" s="315">
        <f t="shared" si="505"/>
        <v>-0.15145528776504874</v>
      </c>
      <c r="DR291" s="315" t="e">
        <f>IF($J291="",#N/A,SUM(DQ$4:DQ291))</f>
        <v>#N/A</v>
      </c>
      <c r="DS291" s="315" t="e">
        <f>IF($J291="",#N/A,SUM(DQ$4:DQ291,DO$4:DO291,DM$4:DM291))</f>
        <v>#N/A</v>
      </c>
      <c r="DT291" s="304" t="str">
        <f t="shared" si="506"/>
        <v/>
      </c>
      <c r="DU291" s="313" t="e">
        <f>IF($J291="",#N/A,SUM(DT$4:DT291))</f>
        <v>#N/A</v>
      </c>
      <c r="DV291" s="314" t="str">
        <f t="shared" si="507"/>
        <v/>
      </c>
      <c r="DW291" s="314" t="e">
        <f>IF($J291="",#N/A,SUM(DV$4:DV291))</f>
        <v>#N/A</v>
      </c>
      <c r="DX291" s="315" t="str">
        <f t="shared" si="508"/>
        <v/>
      </c>
      <c r="DY291" s="315" t="e">
        <f>IF($J291="",#N/A,SUM(DX$4:DX291))</f>
        <v>#N/A</v>
      </c>
      <c r="DZ291" s="315" t="e">
        <f>IF($J291="",#N/A,SUM(DX$4:DX291,DV$4:DV291,DT$4:DT291))</f>
        <v>#N/A</v>
      </c>
      <c r="EA291" s="304" t="str">
        <f t="shared" si="509"/>
        <v/>
      </c>
      <c r="EB291" s="313" t="e">
        <f>IF($J291="",#N/A,SUM(EA$4:EA291))</f>
        <v>#N/A</v>
      </c>
      <c r="EC291" s="314" t="str">
        <f t="shared" si="510"/>
        <v/>
      </c>
      <c r="ED291" s="314" t="e">
        <f>IF($J291="",#N/A,SUM(EC$4:EC291))</f>
        <v>#N/A</v>
      </c>
      <c r="EE291" s="315" t="str">
        <f t="shared" si="511"/>
        <v/>
      </c>
      <c r="EF291" s="315" t="e">
        <f>IF($J291="",#N/A,SUM(EE$4:EE291))</f>
        <v>#N/A</v>
      </c>
      <c r="EG291" s="315" t="e">
        <f>IF($J291="",#N/A,SUM(EE$4:EE291,EC$4:EC291,EA$4:EA291))</f>
        <v>#N/A</v>
      </c>
      <c r="EH291" s="130">
        <f t="shared" si="512"/>
        <v>-13.800000000000182</v>
      </c>
      <c r="EI291" s="63">
        <f>IF(EH291="",#N/A,SUM($EH$4:EH291))</f>
        <v>1307.6800842452947</v>
      </c>
      <c r="EJ291" s="223" t="e">
        <f t="shared" si="513"/>
        <v>#N/A</v>
      </c>
      <c r="EK291" s="63" t="e">
        <f>IF($GZ291="",#N/A,SUM(EJ$4:EJ291))</f>
        <v>#N/A</v>
      </c>
      <c r="EL291" s="60">
        <f t="shared" si="544"/>
        <v>-0.15145528776504874</v>
      </c>
      <c r="EM291" s="60">
        <f>IF(EL291="",NA(),SUM($EL$4:EL291))</f>
        <v>43.631385176985987</v>
      </c>
      <c r="EN291" s="60" t="str">
        <f t="shared" si="514"/>
        <v/>
      </c>
      <c r="EO291" s="60" t="e">
        <f>IF(EN291="",NA(),SUM($EN$4:EN291))</f>
        <v>#N/A</v>
      </c>
      <c r="EP291" s="60">
        <f t="shared" si="515"/>
        <v>-0.15145528776504874</v>
      </c>
      <c r="EQ291" s="60">
        <f>IF(EP291="",NA(),SUM($EP$4:EP291))</f>
        <v>11.635620022355875</v>
      </c>
      <c r="ER291" s="60" t="str">
        <f t="shared" si="516"/>
        <v/>
      </c>
      <c r="ES291" s="60" t="e">
        <f>IF(ER291="",NA(),SUM($ER$4:ER291))</f>
        <v>#N/A</v>
      </c>
      <c r="ET291" s="60" t="str">
        <f t="shared" si="517"/>
        <v/>
      </c>
      <c r="EU291" s="60" t="e">
        <f>IF(ET291="",NA(),SUM($ET$4:ET291))</f>
        <v>#N/A</v>
      </c>
      <c r="EV291" s="60" t="str">
        <f t="shared" si="518"/>
        <v/>
      </c>
      <c r="EW291" s="60" t="e">
        <f>IF(EV291="",NA(),SUM($EV$4:EV291))</f>
        <v>#N/A</v>
      </c>
      <c r="EX291" s="60" t="str">
        <f t="shared" si="519"/>
        <v/>
      </c>
      <c r="EY291" s="60" t="e">
        <f>IF(EX291="",NA(),SUM($EX$4:EX291))</f>
        <v>#N/A</v>
      </c>
      <c r="EZ291" s="60" t="str">
        <f t="shared" si="520"/>
        <v/>
      </c>
      <c r="FA291" s="60" t="e">
        <f>IF(EZ291="",NA(),SUM($EZ$4:EZ291))</f>
        <v>#N/A</v>
      </c>
      <c r="FB291" s="246" t="str">
        <f t="shared" si="545"/>
        <v/>
      </c>
      <c r="FC291" s="246" t="e">
        <f>IF($FB291="",#N/A,SUM(FB$4:$FB291))</f>
        <v>#N/A</v>
      </c>
      <c r="FD291" s="60" t="str">
        <f t="shared" si="521"/>
        <v/>
      </c>
      <c r="FE291" s="60" t="e">
        <f>IF($FD291="",#N/A,SUM($FD$4:FD291))</f>
        <v>#N/A</v>
      </c>
      <c r="FF291" s="60" t="str">
        <f t="shared" si="522"/>
        <v/>
      </c>
      <c r="FG291" s="60" t="e">
        <f>IF($FF291="",#N/A,SUM($FF$4:FF291))</f>
        <v>#N/A</v>
      </c>
      <c r="FH291" s="60" t="str">
        <f t="shared" si="523"/>
        <v/>
      </c>
      <c r="FI291" s="60" t="e">
        <f>IF($FH291="",#N/A,SUM($FH$4:FH291))</f>
        <v>#N/A</v>
      </c>
      <c r="FJ291" s="60" t="str">
        <f t="shared" si="524"/>
        <v/>
      </c>
      <c r="FK291" s="60" t="e">
        <f>IF($FJ291="",#N/A,SUM($FJ$4:FJ291))</f>
        <v>#N/A</v>
      </c>
      <c r="FL291" s="60">
        <f t="shared" si="525"/>
        <v>0.35559067562228464</v>
      </c>
      <c r="FM291" s="60">
        <f>IF($FL291="",#N/A,SUM($FL$4:FL291))</f>
        <v>0.25503088345651648</v>
      </c>
      <c r="FN291" s="82">
        <f t="shared" si="526"/>
        <v>0.20413538785723592</v>
      </c>
      <c r="FO291" s="82">
        <f>IF($FN291="",#N/A,SUM(FN$4:$FN291))</f>
        <v>57.570662557400475</v>
      </c>
      <c r="FP291" s="82">
        <f t="shared" si="546"/>
        <v>-0.15145528776504874</v>
      </c>
      <c r="FQ291" s="246">
        <f>IF($EH291="",#N/A,SUM($FP$4:FP291))</f>
        <v>53.083020385327444</v>
      </c>
      <c r="FR291" s="82">
        <f>IFERROR(FQ291/COUNTA($J$4:J291),#N/A)</f>
        <v>0.18431604300460919</v>
      </c>
      <c r="FS291" s="82">
        <f t="shared" si="448"/>
        <v>0.21655957097114453</v>
      </c>
      <c r="FT291" s="82">
        <f t="shared" si="449"/>
        <v>0.10922909684110949</v>
      </c>
      <c r="FU291" s="338">
        <f t="shared" si="551"/>
        <v>30.746501867880085</v>
      </c>
      <c r="FV291" s="57" t="str">
        <f t="shared" si="552"/>
        <v>SW</v>
      </c>
      <c r="FW291" s="57" t="s">
        <v>2732</v>
      </c>
      <c r="FX291" s="57" t="str">
        <f t="shared" si="528"/>
        <v/>
      </c>
      <c r="FY291" s="57" t="str">
        <f t="shared" si="529"/>
        <v/>
      </c>
      <c r="FZ291" s="57" t="str">
        <f t="shared" si="530"/>
        <v/>
      </c>
      <c r="GA291" s="57" t="str">
        <f t="shared" si="531"/>
        <v>Long</v>
      </c>
      <c r="GB291" s="57" t="str">
        <f t="shared" si="532"/>
        <v/>
      </c>
      <c r="GC291" s="57" t="str">
        <f t="shared" si="533"/>
        <v/>
      </c>
      <c r="GD291" s="57">
        <f t="shared" si="534"/>
        <v>1</v>
      </c>
      <c r="GE291" s="62">
        <f t="shared" si="451"/>
        <v>75.930000000000007</v>
      </c>
      <c r="GF291" s="62" t="s">
        <v>2779</v>
      </c>
      <c r="GG291" s="199">
        <v>20</v>
      </c>
      <c r="GH291" s="207">
        <f t="shared" si="535"/>
        <v>1518.6000000000001</v>
      </c>
      <c r="GI291" s="199">
        <v>20</v>
      </c>
      <c r="GJ291" s="200">
        <v>75.239999999999995</v>
      </c>
      <c r="GK291" s="63">
        <f t="shared" si="536"/>
        <v>-13.800000000000182</v>
      </c>
      <c r="GL291" s="63">
        <f t="shared" si="452"/>
        <v>18.599999999999909</v>
      </c>
      <c r="GM291" s="82">
        <f t="shared" si="537"/>
        <v>0.20413538785723592</v>
      </c>
      <c r="GN291" s="82">
        <f>IF($GZ291="",#N/A,SUM(GM$4:GM291))</f>
        <v>5.601531026141191</v>
      </c>
      <c r="GO291" s="82" t="str">
        <f t="shared" si="538"/>
        <v/>
      </c>
      <c r="GP291" s="82">
        <f>IF($GZ291="",#N/A,SUM(GO$4:GO291))</f>
        <v>15.634246057995773</v>
      </c>
      <c r="GQ291" s="82" t="str">
        <f t="shared" si="539"/>
        <v/>
      </c>
      <c r="GR291" s="82">
        <f>IF($GZ291="",#N/A,SUM(GQ$4:GQ291))</f>
        <v>35.709048518821184</v>
      </c>
      <c r="GS291" s="63" t="e">
        <f t="shared" si="548"/>
        <v>#N/A</v>
      </c>
      <c r="GT291" s="63" t="e">
        <f>IF($GZ291="",#N/A,SUM(GS$4:GS291))</f>
        <v>#N/A</v>
      </c>
      <c r="GU291" s="63" t="str">
        <f t="shared" si="549"/>
        <v/>
      </c>
      <c r="GV291" s="63" t="e">
        <f>IF($GZ291="",#N/A,SUM(GU$4:GU291))</f>
        <v>#N/A</v>
      </c>
      <c r="GW291" s="63" t="str">
        <f t="shared" si="550"/>
        <v/>
      </c>
      <c r="GX291" s="63" t="e">
        <f>IF($GZ291="",#N/A,SUM(GW$4:GW291))</f>
        <v>#N/A</v>
      </c>
      <c r="GY291" s="63" t="e">
        <f>IF(EJ291="",#N/A,SUM($EJ$4:EJ291))</f>
        <v>#N/A</v>
      </c>
      <c r="GZ291" s="159">
        <v>76.86</v>
      </c>
      <c r="HA291" s="63">
        <f t="shared" si="540"/>
        <v>32.400000000000091</v>
      </c>
      <c r="HB291" s="62" t="s">
        <v>2538</v>
      </c>
      <c r="HC291" s="60">
        <f>IFERROR(VLOOKUP(E291,Expectancy!$P$4:$S$19,1+C291,FALSE),"")</f>
        <v>-3.1543782927977014E-2</v>
      </c>
      <c r="HD291" s="82">
        <f t="shared" si="541"/>
        <v>-0.15145528776504874</v>
      </c>
      <c r="HE291" s="138">
        <f>IF(HD291="",#N/A,SUM($HD$4:HD291))</f>
        <v>7.8065185174473557</v>
      </c>
      <c r="HF291" s="85">
        <f>IF(HD291="",#N/A,IF(HB291="Skip",#N/A,SUM($HG$4:HG291)))</f>
        <v>187.19657921915535</v>
      </c>
      <c r="HG291" s="63">
        <f t="shared" si="542"/>
        <v>-13.800000000000182</v>
      </c>
      <c r="HH291" s="82">
        <f t="shared" si="543"/>
        <v>0.20413538785723592</v>
      </c>
    </row>
    <row r="292" spans="1:216" x14ac:dyDescent="0.25">
      <c r="A292" s="57" t="s">
        <v>1437</v>
      </c>
      <c r="B292" s="58" t="s">
        <v>5237</v>
      </c>
      <c r="C292" s="386">
        <f t="shared" si="453"/>
        <v>3</v>
      </c>
      <c r="D292" s="372" t="str">
        <f>_xlfn.XLOOKUP(A292,[1]SP500!$A$2:$A$502,[1]SP500!$D$2:$D$502,"N")</f>
        <v>Y</v>
      </c>
      <c r="E292" s="57" t="str">
        <f>_xlfn.XLOOKUP(A292,[1]SP500!$A$2:$A$655,[1]SP500!$B$2:$B$655)</f>
        <v>XLV</v>
      </c>
      <c r="F292" s="59">
        <v>45699</v>
      </c>
      <c r="G292" s="57" t="str">
        <f t="shared" si="454"/>
        <v>AMC</v>
      </c>
      <c r="H292" s="57" t="str">
        <f t="shared" si="455"/>
        <v>s</v>
      </c>
      <c r="I292" s="159">
        <v>70.91</v>
      </c>
      <c r="J292" s="158">
        <v>74</v>
      </c>
      <c r="K292" s="61">
        <f t="shared" si="456"/>
        <v>4.3576364405584593E-2</v>
      </c>
      <c r="L292" s="87">
        <f t="shared" si="457"/>
        <v>64.8900000000001</v>
      </c>
      <c r="M292" s="130">
        <f t="shared" si="450"/>
        <v>0</v>
      </c>
      <c r="N292" s="169" t="str">
        <f t="shared" si="458"/>
        <v/>
      </c>
      <c r="O292" s="169">
        <f>IF($J292="",#N/A,SUM($N$4:N292))</f>
        <v>474.976719354225</v>
      </c>
      <c r="P292" s="174" t="str">
        <f t="shared" si="459"/>
        <v/>
      </c>
      <c r="Q292" s="174">
        <f>IF($J292="",#N/A,SUM($P$4:P292))</f>
        <v>477.05890674734189</v>
      </c>
      <c r="R292" s="178">
        <f t="shared" si="460"/>
        <v>64.8900000000001</v>
      </c>
      <c r="S292" s="178">
        <f>IF($J292="",#N/A,SUM($R$4:R292))</f>
        <v>420.53445814372776</v>
      </c>
      <c r="T292" s="290" t="str">
        <f t="shared" si="461"/>
        <v/>
      </c>
      <c r="U292" s="290">
        <f>IF($J292="",#N/A,SUM($T$4:T292))</f>
        <v>17.831422354731259</v>
      </c>
      <c r="V292" s="291" t="str">
        <f t="shared" si="462"/>
        <v/>
      </c>
      <c r="W292" s="291">
        <f>IF($J292="",#N/A,SUM($V$4:V292))</f>
        <v>24.286592424010003</v>
      </c>
      <c r="X292" s="292">
        <f t="shared" si="463"/>
        <v>0.72627274009307685</v>
      </c>
      <c r="Y292" s="292">
        <f>IF($J292="",#N/A,SUM($X$4:X292))</f>
        <v>11.691278346679267</v>
      </c>
      <c r="Z292" s="304" t="str">
        <f t="shared" si="464"/>
        <v/>
      </c>
      <c r="AA292" s="313" t="e">
        <f>IF($J292="",#N/A,SUM(Z$4:Z292))</f>
        <v>#N/A</v>
      </c>
      <c r="AB292" s="314" t="str">
        <f t="shared" si="465"/>
        <v/>
      </c>
      <c r="AC292" s="314" t="e">
        <f>IF($J292="",#N/A,SUM(AB$4:AB292))</f>
        <v>#N/A</v>
      </c>
      <c r="AD292" s="315" t="str">
        <f t="shared" si="466"/>
        <v/>
      </c>
      <c r="AE292" s="315" t="e">
        <f>IF($J292="",#N/A,SUM(AD$4:AD292))</f>
        <v>#N/A</v>
      </c>
      <c r="AF292" s="315" t="e">
        <f>IF($J292="",#N/A,SUM(AD$4:AD292,AB$4:AB292,Z$4:Z292))</f>
        <v>#N/A</v>
      </c>
      <c r="AG292" s="304" t="str">
        <f t="shared" si="467"/>
        <v/>
      </c>
      <c r="AH292" s="313" t="e">
        <f>IF($J292="",#N/A,SUM(AG$4:AG292))</f>
        <v>#N/A</v>
      </c>
      <c r="AI292" s="314" t="str">
        <f t="shared" si="468"/>
        <v/>
      </c>
      <c r="AJ292" s="314" t="e">
        <f>IF($J292="",#N/A,SUM(AI$4:AI292))</f>
        <v>#N/A</v>
      </c>
      <c r="AK292" s="315" t="str">
        <f t="shared" si="469"/>
        <v/>
      </c>
      <c r="AL292" s="315" t="e">
        <f>IF($J292="",#N/A,SUM(AK$4:AK292))</f>
        <v>#N/A</v>
      </c>
      <c r="AM292" s="315" t="e">
        <f>IF($J292="",#N/A,SUM(AK$4:AK292,AI$4:AI292,AG$4:AG292))</f>
        <v>#N/A</v>
      </c>
      <c r="AN292" s="304" t="str">
        <f t="shared" si="470"/>
        <v/>
      </c>
      <c r="AO292" s="313" t="e">
        <f>IF($J292="",#N/A,SUM(AN$4:AN292))</f>
        <v>#N/A</v>
      </c>
      <c r="AP292" s="314" t="str">
        <f t="shared" si="471"/>
        <v/>
      </c>
      <c r="AQ292" s="314" t="e">
        <f>IF($J292="",#N/A,SUM(AP$4:AP292))</f>
        <v>#N/A</v>
      </c>
      <c r="AR292" s="315" t="str">
        <f t="shared" si="472"/>
        <v/>
      </c>
      <c r="AS292" s="315" t="e">
        <f>IF($J292="",#N/A,SUM(AR$4:AR292))</f>
        <v>#N/A</v>
      </c>
      <c r="AT292" s="315" t="e">
        <f>IF($J292="",#N/A,SUM(AR$4:AR292,AP$4:AP292,AN$4:AN292))</f>
        <v>#N/A</v>
      </c>
      <c r="AU292" s="304" t="str">
        <f t="shared" si="473"/>
        <v/>
      </c>
      <c r="AV292" s="313" t="e">
        <f>IF($J292="",#N/A,SUM(AU$4:AU292))</f>
        <v>#N/A</v>
      </c>
      <c r="AW292" s="314" t="str">
        <f t="shared" si="474"/>
        <v/>
      </c>
      <c r="AX292" s="314" t="e">
        <f>IF($J292="",#N/A,SUM(AW$4:AW292))</f>
        <v>#N/A</v>
      </c>
      <c r="AY292" s="315" t="str">
        <f t="shared" si="475"/>
        <v/>
      </c>
      <c r="AZ292" s="315" t="e">
        <f>IF($J292="",#N/A,SUM(AY$4:AY292))</f>
        <v>#N/A</v>
      </c>
      <c r="BA292" s="315" t="e">
        <f>IF($J292="",#N/A,SUM(AY$4:AY292,AW$4:AW292,AU$4:AU292))</f>
        <v>#N/A</v>
      </c>
      <c r="BB292" s="304" t="str">
        <f t="shared" si="476"/>
        <v/>
      </c>
      <c r="BC292" s="313" t="e">
        <f>IF($J292="",#N/A,SUM(BB$4:BB292))</f>
        <v>#N/A</v>
      </c>
      <c r="BD292" s="314" t="str">
        <f t="shared" si="477"/>
        <v/>
      </c>
      <c r="BE292" s="314" t="e">
        <f>IF($J292="",#N/A,SUM(BD$4:BD292))</f>
        <v>#N/A</v>
      </c>
      <c r="BF292" s="315" t="str">
        <f t="shared" si="478"/>
        <v/>
      </c>
      <c r="BG292" s="315" t="e">
        <f>IF($J292="",#N/A,SUM(BF$4:BF292))</f>
        <v>#N/A</v>
      </c>
      <c r="BH292" s="315" t="e">
        <f>IF($J292="",#N/A,SUM(BF$4:BF292,BD$4:BD292,BB$4:BB292))</f>
        <v>#N/A</v>
      </c>
      <c r="BI292" s="304" t="str">
        <f t="shared" si="479"/>
        <v/>
      </c>
      <c r="BJ292" s="313" t="e">
        <f>IF($J292="",#N/A,SUM(BI$4:BI292))</f>
        <v>#N/A</v>
      </c>
      <c r="BK292" s="314" t="str">
        <f t="shared" si="480"/>
        <v/>
      </c>
      <c r="BL292" s="314" t="e">
        <f>IF($J292="",#N/A,SUM(BK$4:BK292))</f>
        <v>#N/A</v>
      </c>
      <c r="BM292" s="315" t="str">
        <f t="shared" si="481"/>
        <v/>
      </c>
      <c r="BN292" s="315" t="e">
        <f>IF($J292="",#N/A,SUM(BM$4:BM292))</f>
        <v>#N/A</v>
      </c>
      <c r="BO292" s="315" t="e">
        <f>IF($J292="",#N/A,SUM(BM$4:BM292,BK$4:BK292,BI$4:BI292))</f>
        <v>#N/A</v>
      </c>
      <c r="BP292" s="304" t="str">
        <f t="shared" si="482"/>
        <v/>
      </c>
      <c r="BQ292" s="313" t="e">
        <f>IF($J292="",#N/A,SUM(BP$4:BP292))</f>
        <v>#N/A</v>
      </c>
      <c r="BR292" s="314" t="str">
        <f t="shared" si="483"/>
        <v/>
      </c>
      <c r="BS292" s="314" t="e">
        <f>IF($J292="",#N/A,SUM(BR$4:BR292))</f>
        <v>#N/A</v>
      </c>
      <c r="BT292" s="315" t="str">
        <f t="shared" si="484"/>
        <v/>
      </c>
      <c r="BU292" s="315" t="e">
        <f>IF($J292="",#N/A,SUM(BT$4:BT292))</f>
        <v>#N/A</v>
      </c>
      <c r="BV292" s="315" t="e">
        <f>IF($J292="",#N/A,SUM(BT$4:BT292,BR$4:BR292,BP$4:BP292))</f>
        <v>#N/A</v>
      </c>
      <c r="BW292" s="304" t="str">
        <f t="shared" si="485"/>
        <v/>
      </c>
      <c r="BX292" s="313" t="e">
        <f>IF($J292="",#N/A,SUM(BW$4:BW292))</f>
        <v>#N/A</v>
      </c>
      <c r="BY292" s="314" t="str">
        <f t="shared" si="486"/>
        <v/>
      </c>
      <c r="BZ292" s="314" t="e">
        <f>IF($J292="",#N/A,SUM(BY$4:BY292))</f>
        <v>#N/A</v>
      </c>
      <c r="CA292" s="315">
        <f t="shared" si="487"/>
        <v>0.72627274009307685</v>
      </c>
      <c r="CB292" s="315" t="e">
        <f>IF($J292="",#N/A,SUM(CA$4:CA292))</f>
        <v>#N/A</v>
      </c>
      <c r="CC292" s="315" t="e">
        <f>IF($J292="",#N/A,SUM(CA$4:CA292,BY$4:BY292,BW$4:BW292))</f>
        <v>#N/A</v>
      </c>
      <c r="CD292" s="304" t="str">
        <f t="shared" si="488"/>
        <v/>
      </c>
      <c r="CE292" s="313" t="e">
        <f>IF($J292="",#N/A,SUM(CD$4:CD292))</f>
        <v>#N/A</v>
      </c>
      <c r="CF292" s="314" t="str">
        <f t="shared" si="489"/>
        <v/>
      </c>
      <c r="CG292" s="314" t="e">
        <f>IF($J292="",#N/A,SUM(CF$4:CF292))</f>
        <v>#N/A</v>
      </c>
      <c r="CH292" s="315" t="str">
        <f t="shared" si="490"/>
        <v/>
      </c>
      <c r="CI292" s="315" t="e">
        <f>IF($J292="",#N/A,SUM(CH$4:CH292))</f>
        <v>#N/A</v>
      </c>
      <c r="CJ292" s="315" t="e">
        <f>IF($J292="",#N/A,SUM(CH$4:CH292,CF$4:CF292,CD$4:CD292))</f>
        <v>#N/A</v>
      </c>
      <c r="CK292" s="304" t="str">
        <f t="shared" si="491"/>
        <v/>
      </c>
      <c r="CL292" s="313" t="e">
        <f>IF($J292="",#N/A,SUM(CK$4:CK292))</f>
        <v>#N/A</v>
      </c>
      <c r="CM292" s="314" t="str">
        <f t="shared" si="492"/>
        <v/>
      </c>
      <c r="CN292" s="314" t="e">
        <f>IF($J292="",#N/A,SUM(CM$4:CM292))</f>
        <v>#N/A</v>
      </c>
      <c r="CO292" s="315" t="str">
        <f t="shared" si="493"/>
        <v/>
      </c>
      <c r="CP292" s="315" t="e">
        <f>IF($J292="",#N/A,SUM(CO$4:CO292))</f>
        <v>#N/A</v>
      </c>
      <c r="CQ292" s="315" t="e">
        <f>IF($J292="",#N/A,SUM(CO$4:CO292,CM$4:CM292,CK$4:CK292))</f>
        <v>#N/A</v>
      </c>
      <c r="CR292" s="304" t="str">
        <f t="shared" si="494"/>
        <v/>
      </c>
      <c r="CS292" s="313" t="e">
        <f>IF($J292="",#N/A,SUM(CR$4:CR292))</f>
        <v>#N/A</v>
      </c>
      <c r="CT292" s="314" t="str">
        <f t="shared" si="495"/>
        <v/>
      </c>
      <c r="CU292" s="314" t="e">
        <f>IF($J292="",#N/A,SUM(CT$4:CT292))</f>
        <v>#N/A</v>
      </c>
      <c r="CV292" s="315" t="str">
        <f t="shared" si="496"/>
        <v/>
      </c>
      <c r="CW292" s="315" t="e">
        <f>IF($J292="",#N/A,SUM(CV$4:CV292))</f>
        <v>#N/A</v>
      </c>
      <c r="CX292" s="315" t="e">
        <f>IF($J292="",#N/A,SUM(CV$4:CV292,CT$4:CT292,CR$4:CR292))</f>
        <v>#N/A</v>
      </c>
      <c r="CY292" s="304" t="str">
        <f t="shared" si="497"/>
        <v/>
      </c>
      <c r="CZ292" s="313" t="e">
        <f>IF($J292="",#N/A,SUM(CY$4:CY292))</f>
        <v>#N/A</v>
      </c>
      <c r="DA292" s="314" t="str">
        <f t="shared" si="498"/>
        <v/>
      </c>
      <c r="DB292" s="314" t="e">
        <f>IF($J292="",#N/A,SUM(DA$4:DA292))</f>
        <v>#N/A</v>
      </c>
      <c r="DC292" s="315" t="str">
        <f t="shared" si="499"/>
        <v/>
      </c>
      <c r="DD292" s="315" t="e">
        <f>IF($J292="",#N/A,SUM(DC$4:DC292))</f>
        <v>#N/A</v>
      </c>
      <c r="DE292" s="315" t="e">
        <f>IF($J292="",#N/A,SUM(DC$4:DC292,DA$4:DA292,CY$4:CY292))</f>
        <v>#N/A</v>
      </c>
      <c r="DF292" s="304" t="str">
        <f t="shared" si="500"/>
        <v/>
      </c>
      <c r="DG292" s="313" t="e">
        <f>IF($J292="",#N/A,SUM(DF$4:DF292))</f>
        <v>#N/A</v>
      </c>
      <c r="DH292" s="314" t="str">
        <f t="shared" si="501"/>
        <v/>
      </c>
      <c r="DI292" s="314" t="e">
        <f>IF($J292="",#N/A,SUM(DH$4:DH292))</f>
        <v>#N/A</v>
      </c>
      <c r="DJ292" s="315" t="str">
        <f t="shared" si="502"/>
        <v/>
      </c>
      <c r="DK292" s="315" t="e">
        <f>IF($J292="",#N/A,SUM(DJ$4:DJ292))</f>
        <v>#N/A</v>
      </c>
      <c r="DL292" s="315" t="e">
        <f>IF($J292="",#N/A,SUM(DJ$4:DJ292,DH$4:DH292,DF$4:DF292))</f>
        <v>#N/A</v>
      </c>
      <c r="DM292" s="304" t="str">
        <f t="shared" si="503"/>
        <v/>
      </c>
      <c r="DN292" s="313" t="e">
        <f>IF($J292="",#N/A,SUM(DM$4:DM292))</f>
        <v>#N/A</v>
      </c>
      <c r="DO292" s="314" t="str">
        <f t="shared" si="504"/>
        <v/>
      </c>
      <c r="DP292" s="314" t="e">
        <f>IF($J292="",#N/A,SUM(DO$4:DO292))</f>
        <v>#N/A</v>
      </c>
      <c r="DQ292" s="315" t="str">
        <f t="shared" si="505"/>
        <v/>
      </c>
      <c r="DR292" s="315" t="e">
        <f>IF($J292="",#N/A,SUM(DQ$4:DQ292))</f>
        <v>#N/A</v>
      </c>
      <c r="DS292" s="315" t="e">
        <f>IF($J292="",#N/A,SUM(DQ$4:DQ292,DO$4:DO292,DM$4:DM292))</f>
        <v>#N/A</v>
      </c>
      <c r="DT292" s="304" t="str">
        <f t="shared" si="506"/>
        <v/>
      </c>
      <c r="DU292" s="313" t="e">
        <f>IF($J292="",#N/A,SUM(DT$4:DT292))</f>
        <v>#N/A</v>
      </c>
      <c r="DV292" s="314" t="str">
        <f t="shared" si="507"/>
        <v/>
      </c>
      <c r="DW292" s="314" t="e">
        <f>IF($J292="",#N/A,SUM(DV$4:DV292))</f>
        <v>#N/A</v>
      </c>
      <c r="DX292" s="315" t="str">
        <f t="shared" si="508"/>
        <v/>
      </c>
      <c r="DY292" s="315" t="e">
        <f>IF($J292="",#N/A,SUM(DX$4:DX292))</f>
        <v>#N/A</v>
      </c>
      <c r="DZ292" s="315" t="e">
        <f>IF($J292="",#N/A,SUM(DX$4:DX292,DV$4:DV292,DT$4:DT292))</f>
        <v>#N/A</v>
      </c>
      <c r="EA292" s="304" t="str">
        <f t="shared" si="509"/>
        <v/>
      </c>
      <c r="EB292" s="313" t="e">
        <f>IF($J292="",#N/A,SUM(EA$4:EA292))</f>
        <v>#N/A</v>
      </c>
      <c r="EC292" s="314" t="str">
        <f t="shared" si="510"/>
        <v/>
      </c>
      <c r="ED292" s="314" t="e">
        <f>IF($J292="",#N/A,SUM(EC$4:EC292))</f>
        <v>#N/A</v>
      </c>
      <c r="EE292" s="315" t="str">
        <f t="shared" si="511"/>
        <v/>
      </c>
      <c r="EF292" s="315" t="e">
        <f>IF($J292="",#N/A,SUM(EE$4:EE292))</f>
        <v>#N/A</v>
      </c>
      <c r="EG292" s="315" t="e">
        <f>IF($J292="",#N/A,SUM(EE$4:EE292,EC$4:EC292,EA$4:EA292))</f>
        <v>#N/A</v>
      </c>
      <c r="EH292" s="130">
        <f t="shared" si="512"/>
        <v>64.8900000000001</v>
      </c>
      <c r="EI292" s="63">
        <f>IF(EH292="",#N/A,SUM($EH$4:EH292))</f>
        <v>1372.5700842452948</v>
      </c>
      <c r="EJ292" s="223" t="e">
        <f t="shared" si="513"/>
        <v>#N/A</v>
      </c>
      <c r="EK292" s="63" t="e">
        <f>IF($GZ292="",#N/A,SUM(EJ$4:EJ292))</f>
        <v>#N/A</v>
      </c>
      <c r="EL292" s="60">
        <f t="shared" si="544"/>
        <v>0.72627274009307685</v>
      </c>
      <c r="EM292" s="60">
        <f>IF(EL292="",NA(),SUM($EL$4:EL292))</f>
        <v>44.357657917079067</v>
      </c>
      <c r="EN292" s="60" t="str">
        <f t="shared" si="514"/>
        <v/>
      </c>
      <c r="EO292" s="60" t="e">
        <f>IF(EN292="",NA(),SUM($EN$4:EN292))</f>
        <v>#N/A</v>
      </c>
      <c r="EP292" s="60">
        <f t="shared" si="515"/>
        <v>0.72627274009307685</v>
      </c>
      <c r="EQ292" s="60">
        <f>IF(EP292="",NA(),SUM($EP$4:EP292))</f>
        <v>12.361892762448951</v>
      </c>
      <c r="ER292" s="60" t="str">
        <f t="shared" si="516"/>
        <v/>
      </c>
      <c r="ES292" s="60" t="e">
        <f>IF(ER292="",NA(),SUM($ER$4:ER292))</f>
        <v>#N/A</v>
      </c>
      <c r="ET292" s="60" t="str">
        <f t="shared" si="517"/>
        <v/>
      </c>
      <c r="EU292" s="60" t="e">
        <f>IF(ET292="",NA(),SUM($ET$4:ET292))</f>
        <v>#N/A</v>
      </c>
      <c r="EV292" s="60" t="str">
        <f t="shared" si="518"/>
        <v/>
      </c>
      <c r="EW292" s="60" t="e">
        <f>IF(EV292="",NA(),SUM($EV$4:EV292))</f>
        <v>#N/A</v>
      </c>
      <c r="EX292" s="60" t="str">
        <f t="shared" si="519"/>
        <v/>
      </c>
      <c r="EY292" s="60" t="e">
        <f>IF(EX292="",NA(),SUM($EX$4:EX292))</f>
        <v>#N/A</v>
      </c>
      <c r="EZ292" s="60" t="str">
        <f t="shared" si="520"/>
        <v/>
      </c>
      <c r="FA292" s="60" t="e">
        <f>IF(EZ292="",NA(),SUM($EZ$4:EZ292))</f>
        <v>#N/A</v>
      </c>
      <c r="FB292" s="246" t="str">
        <f t="shared" si="545"/>
        <v/>
      </c>
      <c r="FC292" s="246" t="e">
        <f>IF($FB292="",#N/A,SUM(FB$4:$FB292))</f>
        <v>#N/A</v>
      </c>
      <c r="FD292" s="60" t="str">
        <f t="shared" si="521"/>
        <v/>
      </c>
      <c r="FE292" s="60" t="e">
        <f>IF($FD292="",#N/A,SUM($FD$4:FD292))</f>
        <v>#N/A</v>
      </c>
      <c r="FF292" s="60" t="str">
        <f t="shared" si="522"/>
        <v/>
      </c>
      <c r="FG292" s="60" t="e">
        <f>IF($FF292="",#N/A,SUM($FF$4:FF292))</f>
        <v>#N/A</v>
      </c>
      <c r="FH292" s="60" t="str">
        <f t="shared" si="523"/>
        <v/>
      </c>
      <c r="FI292" s="60" t="e">
        <f>IF($FH292="",#N/A,SUM($FH$4:FH292))</f>
        <v>#N/A</v>
      </c>
      <c r="FJ292" s="60">
        <f t="shared" si="524"/>
        <v>0.42777229351760226</v>
      </c>
      <c r="FK292" s="60">
        <f>IF($FJ292="",#N/A,SUM($FJ$4:FJ292))</f>
        <v>-5.1907331703839192</v>
      </c>
      <c r="FL292" s="60" t="str">
        <f t="shared" si="525"/>
        <v/>
      </c>
      <c r="FM292" s="60" t="e">
        <f>IF($FL292="",#N/A,SUM($FL$4:FL292))</f>
        <v>#N/A</v>
      </c>
      <c r="FN292" s="82">
        <f t="shared" si="526"/>
        <v>1.1540450336106791</v>
      </c>
      <c r="FO292" s="82">
        <f>IF($FN292="",#N/A,SUM(FN$4:$FN292))</f>
        <v>58.724707591011153</v>
      </c>
      <c r="FP292" s="82">
        <f t="shared" si="546"/>
        <v>0.72627274009307685</v>
      </c>
      <c r="FQ292" s="246">
        <f>IF($EH292="",#N/A,SUM($FP$4:FP292))</f>
        <v>53.809293125420524</v>
      </c>
      <c r="FR292" s="82">
        <f>IFERROR(FQ292/COUNTA($J$4:J292),#N/A)</f>
        <v>0.18619132569349661</v>
      </c>
      <c r="FS292" s="82">
        <f t="shared" si="448"/>
        <v>0.24414816427576952</v>
      </c>
      <c r="FT292" s="82">
        <f t="shared" si="449"/>
        <v>9.8395729789414188E-2</v>
      </c>
      <c r="FU292" s="338">
        <f t="shared" si="551"/>
        <v>30.746501867880092</v>
      </c>
      <c r="FV292" s="57" t="str">
        <f t="shared" si="552"/>
        <v>SW</v>
      </c>
      <c r="FW292" s="57" t="s">
        <v>2732</v>
      </c>
      <c r="FX292" s="57" t="str">
        <f t="shared" si="528"/>
        <v/>
      </c>
      <c r="FY292" s="57" t="str">
        <f t="shared" si="529"/>
        <v/>
      </c>
      <c r="FZ292" s="57">
        <f t="shared" si="530"/>
        <v>1</v>
      </c>
      <c r="GA292" s="57" t="str">
        <f t="shared" si="531"/>
        <v>Long</v>
      </c>
      <c r="GB292" s="57" t="str">
        <f t="shared" si="532"/>
        <v/>
      </c>
      <c r="GC292" s="57" t="str">
        <f t="shared" si="533"/>
        <v/>
      </c>
      <c r="GD292" s="57" t="str">
        <f t="shared" si="534"/>
        <v/>
      </c>
      <c r="GE292" s="62">
        <f t="shared" si="451"/>
        <v>70.91</v>
      </c>
      <c r="GF292" s="62" t="s">
        <v>2779</v>
      </c>
      <c r="GG292" s="199">
        <v>21</v>
      </c>
      <c r="GH292" s="207">
        <f t="shared" si="535"/>
        <v>1489.11</v>
      </c>
      <c r="GI292" s="199">
        <v>21</v>
      </c>
      <c r="GJ292" s="200">
        <v>74</v>
      </c>
      <c r="GK292" s="63">
        <f t="shared" si="536"/>
        <v>64.8900000000001</v>
      </c>
      <c r="GL292" s="63">
        <f t="shared" si="452"/>
        <v>103.1099999999999</v>
      </c>
      <c r="GM292" s="82">
        <f t="shared" si="537"/>
        <v>1.1540450336106791</v>
      </c>
      <c r="GN292" s="82">
        <f>IF($GZ292="",#N/A,SUM(GM$4:GM292))</f>
        <v>6.7555760597518706</v>
      </c>
      <c r="GO292" s="82" t="str">
        <f t="shared" si="538"/>
        <v/>
      </c>
      <c r="GP292" s="82">
        <f>IF($GZ292="",#N/A,SUM(GO$4:GO292))</f>
        <v>15.634246057995773</v>
      </c>
      <c r="GQ292" s="82" t="str">
        <f t="shared" si="539"/>
        <v/>
      </c>
      <c r="GR292" s="82">
        <f>IF($GZ292="",#N/A,SUM(GQ$4:GQ292))</f>
        <v>35.709048518821184</v>
      </c>
      <c r="GS292" s="63" t="e">
        <f t="shared" si="548"/>
        <v>#N/A</v>
      </c>
      <c r="GT292" s="63" t="e">
        <f>IF($GZ292="",#N/A,SUM(GS$4:GS292))</f>
        <v>#N/A</v>
      </c>
      <c r="GU292" s="63" t="str">
        <f t="shared" si="549"/>
        <v/>
      </c>
      <c r="GV292" s="63" t="e">
        <f>IF($GZ292="",#N/A,SUM(GU$4:GU292))</f>
        <v>#N/A</v>
      </c>
      <c r="GW292" s="63" t="str">
        <f t="shared" si="550"/>
        <v/>
      </c>
      <c r="GX292" s="63" t="e">
        <f>IF($GZ292="",#N/A,SUM(GW$4:GW292))</f>
        <v>#N/A</v>
      </c>
      <c r="GY292" s="63" t="e">
        <f>IF(EJ292="",#N/A,SUM($EJ$4:EJ292))</f>
        <v>#N/A</v>
      </c>
      <c r="GZ292" s="159">
        <v>75.819999999999993</v>
      </c>
      <c r="HA292" s="63">
        <f t="shared" si="540"/>
        <v>38.2199999999998</v>
      </c>
      <c r="HB292" s="62" t="s">
        <v>2538</v>
      </c>
      <c r="HC292" s="60">
        <f>IFERROR(VLOOKUP(E292,Expectancy!$P$4:$S$19,1+C292,FALSE),"")</f>
        <v>-0.15084750675779673</v>
      </c>
      <c r="HD292" s="82">
        <f t="shared" si="541"/>
        <v>0.72627274009307685</v>
      </c>
      <c r="HE292" s="138">
        <f>IF(HD292="",#N/A,SUM($HD$4:HD292))</f>
        <v>8.532791257540433</v>
      </c>
      <c r="HF292" s="85">
        <f>IF(HD292="",#N/A,IF(HB292="Skip",#N/A,SUM($HG$4:HG292)))</f>
        <v>252.08657921915545</v>
      </c>
      <c r="HG292" s="63">
        <f t="shared" si="542"/>
        <v>64.8900000000001</v>
      </c>
      <c r="HH292" s="82">
        <f t="shared" si="543"/>
        <v>1.1540450336106791</v>
      </c>
    </row>
    <row r="293" spans="1:216" x14ac:dyDescent="0.25">
      <c r="A293" s="57" t="s">
        <v>248</v>
      </c>
      <c r="B293" s="58" t="s">
        <v>5237</v>
      </c>
      <c r="C293" s="386">
        <f t="shared" si="453"/>
        <v>3</v>
      </c>
      <c r="D293" s="372" t="str">
        <f>_xlfn.XLOOKUP(A293,[1]SP500!$A$2:$A$502,[1]SP500!$D$2:$D$502,"N")</f>
        <v>Y</v>
      </c>
      <c r="E293" s="57" t="str">
        <f>_xlfn.XLOOKUP(A293,[1]SP500!$A$2:$A$655,[1]SP500!$B$2:$B$655)</f>
        <v>INS</v>
      </c>
      <c r="F293" s="59">
        <v>45699</v>
      </c>
      <c r="G293" s="57" t="str">
        <f t="shared" si="454"/>
        <v>AMC</v>
      </c>
      <c r="H293" s="57" t="str">
        <f t="shared" si="455"/>
        <v>s</v>
      </c>
      <c r="I293" s="158">
        <v>212.8</v>
      </c>
      <c r="J293" s="158">
        <v>211</v>
      </c>
      <c r="K293" s="61">
        <f t="shared" si="456"/>
        <v>-8.4586466165414067E-3</v>
      </c>
      <c r="L293" s="87">
        <f t="shared" si="457"/>
        <v>-12.600000000000136</v>
      </c>
      <c r="M293" s="130">
        <f t="shared" si="450"/>
        <v>0</v>
      </c>
      <c r="N293" s="169" t="str">
        <f t="shared" si="458"/>
        <v/>
      </c>
      <c r="O293" s="169">
        <f>IF($J293="",#N/A,SUM($N$4:N293))</f>
        <v>474.976719354225</v>
      </c>
      <c r="P293" s="174" t="str">
        <f t="shared" si="459"/>
        <v/>
      </c>
      <c r="Q293" s="174">
        <f>IF($J293="",#N/A,SUM($P$4:P293))</f>
        <v>477.05890674734189</v>
      </c>
      <c r="R293" s="178">
        <f t="shared" si="460"/>
        <v>-12.600000000000136</v>
      </c>
      <c r="S293" s="178">
        <f>IF($J293="",#N/A,SUM($R$4:R293))</f>
        <v>407.93445814372762</v>
      </c>
      <c r="T293" s="290" t="str">
        <f t="shared" si="461"/>
        <v/>
      </c>
      <c r="U293" s="290">
        <f>IF($J293="",#N/A,SUM($T$4:T293))</f>
        <v>17.831422354731259</v>
      </c>
      <c r="V293" s="291" t="str">
        <f t="shared" si="462"/>
        <v/>
      </c>
      <c r="W293" s="291">
        <f>IF($J293="",#N/A,SUM($V$4:V293))</f>
        <v>24.286592424010003</v>
      </c>
      <c r="X293" s="292">
        <f t="shared" si="463"/>
        <v>-0.14097744360902409</v>
      </c>
      <c r="Y293" s="292">
        <f>IF($J293="",#N/A,SUM($X$4:X293))</f>
        <v>11.550300903070243</v>
      </c>
      <c r="Z293" s="304" t="str">
        <f t="shared" si="464"/>
        <v/>
      </c>
      <c r="AA293" s="313" t="e">
        <f>IF($J293="",#N/A,SUM(Z$4:Z293))</f>
        <v>#N/A</v>
      </c>
      <c r="AB293" s="314" t="str">
        <f t="shared" si="465"/>
        <v/>
      </c>
      <c r="AC293" s="314" t="e">
        <f>IF($J293="",#N/A,SUM(AB$4:AB293))</f>
        <v>#N/A</v>
      </c>
      <c r="AD293" s="315" t="str">
        <f t="shared" si="466"/>
        <v/>
      </c>
      <c r="AE293" s="315" t="e">
        <f>IF($J293="",#N/A,SUM(AD$4:AD293))</f>
        <v>#N/A</v>
      </c>
      <c r="AF293" s="315" t="e">
        <f>IF($J293="",#N/A,SUM(AD$4:AD293,AB$4:AB293,Z$4:Z293))</f>
        <v>#N/A</v>
      </c>
      <c r="AG293" s="304" t="str">
        <f t="shared" si="467"/>
        <v/>
      </c>
      <c r="AH293" s="313" t="e">
        <f>IF($J293="",#N/A,SUM(AG$4:AG293))</f>
        <v>#N/A</v>
      </c>
      <c r="AI293" s="314" t="str">
        <f t="shared" si="468"/>
        <v/>
      </c>
      <c r="AJ293" s="314" t="e">
        <f>IF($J293="",#N/A,SUM(AI$4:AI293))</f>
        <v>#N/A</v>
      </c>
      <c r="AK293" s="315" t="str">
        <f t="shared" si="469"/>
        <v/>
      </c>
      <c r="AL293" s="315" t="e">
        <f>IF($J293="",#N/A,SUM(AK$4:AK293))</f>
        <v>#N/A</v>
      </c>
      <c r="AM293" s="315" t="e">
        <f>IF($J293="",#N/A,SUM(AK$4:AK293,AI$4:AI293,AG$4:AG293))</f>
        <v>#N/A</v>
      </c>
      <c r="AN293" s="304" t="str">
        <f t="shared" si="470"/>
        <v/>
      </c>
      <c r="AO293" s="313" t="e">
        <f>IF($J293="",#N/A,SUM(AN$4:AN293))</f>
        <v>#N/A</v>
      </c>
      <c r="AP293" s="314" t="str">
        <f t="shared" si="471"/>
        <v/>
      </c>
      <c r="AQ293" s="314" t="e">
        <f>IF($J293="",#N/A,SUM(AP$4:AP293))</f>
        <v>#N/A</v>
      </c>
      <c r="AR293" s="315" t="str">
        <f t="shared" si="472"/>
        <v/>
      </c>
      <c r="AS293" s="315" t="e">
        <f>IF($J293="",#N/A,SUM(AR$4:AR293))</f>
        <v>#N/A</v>
      </c>
      <c r="AT293" s="315" t="e">
        <f>IF($J293="",#N/A,SUM(AR$4:AR293,AP$4:AP293,AN$4:AN293))</f>
        <v>#N/A</v>
      </c>
      <c r="AU293" s="304" t="str">
        <f t="shared" si="473"/>
        <v/>
      </c>
      <c r="AV293" s="313" t="e">
        <f>IF($J293="",#N/A,SUM(AU$4:AU293))</f>
        <v>#N/A</v>
      </c>
      <c r="AW293" s="314" t="str">
        <f t="shared" si="474"/>
        <v/>
      </c>
      <c r="AX293" s="314" t="e">
        <f>IF($J293="",#N/A,SUM(AW$4:AW293))</f>
        <v>#N/A</v>
      </c>
      <c r="AY293" s="315" t="str">
        <f t="shared" si="475"/>
        <v/>
      </c>
      <c r="AZ293" s="315" t="e">
        <f>IF($J293="",#N/A,SUM(AY$4:AY293))</f>
        <v>#N/A</v>
      </c>
      <c r="BA293" s="315" t="e">
        <f>IF($J293="",#N/A,SUM(AY$4:AY293,AW$4:AW293,AU$4:AU293))</f>
        <v>#N/A</v>
      </c>
      <c r="BB293" s="304" t="str">
        <f t="shared" si="476"/>
        <v/>
      </c>
      <c r="BC293" s="313" t="e">
        <f>IF($J293="",#N/A,SUM(BB$4:BB293))</f>
        <v>#N/A</v>
      </c>
      <c r="BD293" s="314" t="str">
        <f t="shared" si="477"/>
        <v/>
      </c>
      <c r="BE293" s="314" t="e">
        <f>IF($J293="",#N/A,SUM(BD$4:BD293))</f>
        <v>#N/A</v>
      </c>
      <c r="BF293" s="315" t="str">
        <f t="shared" si="478"/>
        <v/>
      </c>
      <c r="BG293" s="315" t="e">
        <f>IF($J293="",#N/A,SUM(BF$4:BF293))</f>
        <v>#N/A</v>
      </c>
      <c r="BH293" s="315" t="e">
        <f>IF($J293="",#N/A,SUM(BF$4:BF293,BD$4:BD293,BB$4:BB293))</f>
        <v>#N/A</v>
      </c>
      <c r="BI293" s="304" t="str">
        <f t="shared" si="479"/>
        <v/>
      </c>
      <c r="BJ293" s="313" t="e">
        <f>IF($J293="",#N/A,SUM(BI$4:BI293))</f>
        <v>#N/A</v>
      </c>
      <c r="BK293" s="314" t="str">
        <f t="shared" si="480"/>
        <v/>
      </c>
      <c r="BL293" s="314" t="e">
        <f>IF($J293="",#N/A,SUM(BK$4:BK293))</f>
        <v>#N/A</v>
      </c>
      <c r="BM293" s="315" t="str">
        <f t="shared" si="481"/>
        <v/>
      </c>
      <c r="BN293" s="315" t="e">
        <f>IF($J293="",#N/A,SUM(BM$4:BM293))</f>
        <v>#N/A</v>
      </c>
      <c r="BO293" s="315" t="e">
        <f>IF($J293="",#N/A,SUM(BM$4:BM293,BK$4:BK293,BI$4:BI293))</f>
        <v>#N/A</v>
      </c>
      <c r="BP293" s="304" t="str">
        <f t="shared" si="482"/>
        <v/>
      </c>
      <c r="BQ293" s="313" t="e">
        <f>IF($J293="",#N/A,SUM(BP$4:BP293))</f>
        <v>#N/A</v>
      </c>
      <c r="BR293" s="314" t="str">
        <f t="shared" si="483"/>
        <v/>
      </c>
      <c r="BS293" s="314" t="e">
        <f>IF($J293="",#N/A,SUM(BR$4:BR293))</f>
        <v>#N/A</v>
      </c>
      <c r="BT293" s="315" t="str">
        <f t="shared" si="484"/>
        <v/>
      </c>
      <c r="BU293" s="315" t="e">
        <f>IF($J293="",#N/A,SUM(BT$4:BT293))</f>
        <v>#N/A</v>
      </c>
      <c r="BV293" s="315" t="e">
        <f>IF($J293="",#N/A,SUM(BT$4:BT293,BR$4:BR293,BP$4:BP293))</f>
        <v>#N/A</v>
      </c>
      <c r="BW293" s="304" t="str">
        <f t="shared" si="485"/>
        <v/>
      </c>
      <c r="BX293" s="313" t="e">
        <f>IF($J293="",#N/A,SUM(BW$4:BW293))</f>
        <v>#N/A</v>
      </c>
      <c r="BY293" s="314" t="str">
        <f t="shared" si="486"/>
        <v/>
      </c>
      <c r="BZ293" s="314" t="e">
        <f>IF($J293="",#N/A,SUM(BY$4:BY293))</f>
        <v>#N/A</v>
      </c>
      <c r="CA293" s="315" t="str">
        <f t="shared" si="487"/>
        <v/>
      </c>
      <c r="CB293" s="315" t="e">
        <f>IF($J293="",#N/A,SUM(CA$4:CA293))</f>
        <v>#N/A</v>
      </c>
      <c r="CC293" s="315" t="e">
        <f>IF($J293="",#N/A,SUM(CA$4:CA293,BY$4:BY293,BW$4:BW293))</f>
        <v>#N/A</v>
      </c>
      <c r="CD293" s="304" t="str">
        <f t="shared" si="488"/>
        <v/>
      </c>
      <c r="CE293" s="313" t="e">
        <f>IF($J293="",#N/A,SUM(CD$4:CD293))</f>
        <v>#N/A</v>
      </c>
      <c r="CF293" s="314" t="str">
        <f t="shared" si="489"/>
        <v/>
      </c>
      <c r="CG293" s="314" t="e">
        <f>IF($J293="",#N/A,SUM(CF$4:CF293))</f>
        <v>#N/A</v>
      </c>
      <c r="CH293" s="315" t="str">
        <f t="shared" si="490"/>
        <v/>
      </c>
      <c r="CI293" s="315" t="e">
        <f>IF($J293="",#N/A,SUM(CH$4:CH293))</f>
        <v>#N/A</v>
      </c>
      <c r="CJ293" s="315" t="e">
        <f>IF($J293="",#N/A,SUM(CH$4:CH293,CF$4:CF293,CD$4:CD293))</f>
        <v>#N/A</v>
      </c>
      <c r="CK293" s="304" t="str">
        <f t="shared" si="491"/>
        <v/>
      </c>
      <c r="CL293" s="313" t="e">
        <f>IF($J293="",#N/A,SUM(CK$4:CK293))</f>
        <v>#N/A</v>
      </c>
      <c r="CM293" s="314" t="str">
        <f t="shared" si="492"/>
        <v/>
      </c>
      <c r="CN293" s="314" t="e">
        <f>IF($J293="",#N/A,SUM(CM$4:CM293))</f>
        <v>#N/A</v>
      </c>
      <c r="CO293" s="315" t="str">
        <f t="shared" si="493"/>
        <v/>
      </c>
      <c r="CP293" s="315" t="e">
        <f>IF($J293="",#N/A,SUM(CO$4:CO293))</f>
        <v>#N/A</v>
      </c>
      <c r="CQ293" s="315" t="e">
        <f>IF($J293="",#N/A,SUM(CO$4:CO293,CM$4:CM293,CK$4:CK293))</f>
        <v>#N/A</v>
      </c>
      <c r="CR293" s="304" t="str">
        <f t="shared" si="494"/>
        <v/>
      </c>
      <c r="CS293" s="313" t="e">
        <f>IF($J293="",#N/A,SUM(CR$4:CR293))</f>
        <v>#N/A</v>
      </c>
      <c r="CT293" s="314" t="str">
        <f t="shared" si="495"/>
        <v/>
      </c>
      <c r="CU293" s="314" t="e">
        <f>IF($J293="",#N/A,SUM(CT$4:CT293))</f>
        <v>#N/A</v>
      </c>
      <c r="CV293" s="315" t="str">
        <f t="shared" si="496"/>
        <v/>
      </c>
      <c r="CW293" s="315" t="e">
        <f>IF($J293="",#N/A,SUM(CV$4:CV293))</f>
        <v>#N/A</v>
      </c>
      <c r="CX293" s="315" t="e">
        <f>IF($J293="",#N/A,SUM(CV$4:CV293,CT$4:CT293,CR$4:CR293))</f>
        <v>#N/A</v>
      </c>
      <c r="CY293" s="304" t="str">
        <f t="shared" si="497"/>
        <v/>
      </c>
      <c r="CZ293" s="313" t="e">
        <f>IF($J293="",#N/A,SUM(CY$4:CY293))</f>
        <v>#N/A</v>
      </c>
      <c r="DA293" s="314" t="str">
        <f t="shared" si="498"/>
        <v/>
      </c>
      <c r="DB293" s="314" t="e">
        <f>IF($J293="",#N/A,SUM(DA$4:DA293))</f>
        <v>#N/A</v>
      </c>
      <c r="DC293" s="315" t="str">
        <f t="shared" si="499"/>
        <v/>
      </c>
      <c r="DD293" s="315" t="e">
        <f>IF($J293="",#N/A,SUM(DC$4:DC293))</f>
        <v>#N/A</v>
      </c>
      <c r="DE293" s="315" t="e">
        <f>IF($J293="",#N/A,SUM(DC$4:DC293,DA$4:DA293,CY$4:CY293))</f>
        <v>#N/A</v>
      </c>
      <c r="DF293" s="304" t="str">
        <f t="shared" si="500"/>
        <v/>
      </c>
      <c r="DG293" s="313" t="e">
        <f>IF($J293="",#N/A,SUM(DF$4:DF293))</f>
        <v>#N/A</v>
      </c>
      <c r="DH293" s="314" t="str">
        <f t="shared" si="501"/>
        <v/>
      </c>
      <c r="DI293" s="314" t="e">
        <f>IF($J293="",#N/A,SUM(DH$4:DH293))</f>
        <v>#N/A</v>
      </c>
      <c r="DJ293" s="315" t="str">
        <f t="shared" si="502"/>
        <v/>
      </c>
      <c r="DK293" s="315" t="e">
        <f>IF($J293="",#N/A,SUM(DJ$4:DJ293))</f>
        <v>#N/A</v>
      </c>
      <c r="DL293" s="315" t="e">
        <f>IF($J293="",#N/A,SUM(DJ$4:DJ293,DH$4:DH293,DF$4:DF293))</f>
        <v>#N/A</v>
      </c>
      <c r="DM293" s="304" t="str">
        <f t="shared" si="503"/>
        <v/>
      </c>
      <c r="DN293" s="313" t="e">
        <f>IF($J293="",#N/A,SUM(DM$4:DM293))</f>
        <v>#N/A</v>
      </c>
      <c r="DO293" s="314" t="str">
        <f t="shared" si="504"/>
        <v/>
      </c>
      <c r="DP293" s="314" t="e">
        <f>IF($J293="",#N/A,SUM(DO$4:DO293))</f>
        <v>#N/A</v>
      </c>
      <c r="DQ293" s="315">
        <f t="shared" si="505"/>
        <v>-0.14097744360902409</v>
      </c>
      <c r="DR293" s="315" t="e">
        <f>IF($J293="",#N/A,SUM(DQ$4:DQ293))</f>
        <v>#N/A</v>
      </c>
      <c r="DS293" s="315" t="e">
        <f>IF($J293="",#N/A,SUM(DQ$4:DQ293,DO$4:DO293,DM$4:DM293))</f>
        <v>#N/A</v>
      </c>
      <c r="DT293" s="304" t="str">
        <f t="shared" si="506"/>
        <v/>
      </c>
      <c r="DU293" s="313" t="e">
        <f>IF($J293="",#N/A,SUM(DT$4:DT293))</f>
        <v>#N/A</v>
      </c>
      <c r="DV293" s="314" t="str">
        <f t="shared" si="507"/>
        <v/>
      </c>
      <c r="DW293" s="314" t="e">
        <f>IF($J293="",#N/A,SUM(DV$4:DV293))</f>
        <v>#N/A</v>
      </c>
      <c r="DX293" s="315" t="str">
        <f t="shared" si="508"/>
        <v/>
      </c>
      <c r="DY293" s="315" t="e">
        <f>IF($J293="",#N/A,SUM(DX$4:DX293))</f>
        <v>#N/A</v>
      </c>
      <c r="DZ293" s="315" t="e">
        <f>IF($J293="",#N/A,SUM(DX$4:DX293,DV$4:DV293,DT$4:DT293))</f>
        <v>#N/A</v>
      </c>
      <c r="EA293" s="304" t="str">
        <f t="shared" si="509"/>
        <v/>
      </c>
      <c r="EB293" s="313" t="e">
        <f>IF($J293="",#N/A,SUM(EA$4:EA293))</f>
        <v>#N/A</v>
      </c>
      <c r="EC293" s="314" t="str">
        <f t="shared" si="510"/>
        <v/>
      </c>
      <c r="ED293" s="314" t="e">
        <f>IF($J293="",#N/A,SUM(EC$4:EC293))</f>
        <v>#N/A</v>
      </c>
      <c r="EE293" s="315" t="str">
        <f t="shared" si="511"/>
        <v/>
      </c>
      <c r="EF293" s="315" t="e">
        <f>IF($J293="",#N/A,SUM(EE$4:EE293))</f>
        <v>#N/A</v>
      </c>
      <c r="EG293" s="315" t="e">
        <f>IF($J293="",#N/A,SUM(EE$4:EE293,EC$4:EC293,EA$4:EA293))</f>
        <v>#N/A</v>
      </c>
      <c r="EH293" s="130">
        <f t="shared" si="512"/>
        <v>-12.600000000000136</v>
      </c>
      <c r="EI293" s="63">
        <f>IF(EH293="",#N/A,SUM($EH$4:EH293))</f>
        <v>1359.9700842452946</v>
      </c>
      <c r="EJ293" s="223" t="e">
        <f t="shared" si="513"/>
        <v>#N/A</v>
      </c>
      <c r="EK293" s="63" t="e">
        <f>IF($GZ293="",#N/A,SUM(EJ$4:EJ293))</f>
        <v>#N/A</v>
      </c>
      <c r="EL293" s="60">
        <f t="shared" si="544"/>
        <v>-0.14097744360902409</v>
      </c>
      <c r="EM293" s="60">
        <f>IF(EL293="",NA(),SUM($EL$4:EL293))</f>
        <v>44.216680473470042</v>
      </c>
      <c r="EN293" s="60" t="str">
        <f t="shared" si="514"/>
        <v/>
      </c>
      <c r="EO293" s="60" t="e">
        <f>IF(EN293="",NA(),SUM($EN$4:EN293))</f>
        <v>#N/A</v>
      </c>
      <c r="EP293" s="60">
        <f t="shared" si="515"/>
        <v>-0.14097744360902409</v>
      </c>
      <c r="EQ293" s="60">
        <f>IF(EP293="",NA(),SUM($EP$4:EP293))</f>
        <v>12.220915318839927</v>
      </c>
      <c r="ER293" s="60" t="str">
        <f t="shared" si="516"/>
        <v/>
      </c>
      <c r="ES293" s="60" t="e">
        <f>IF(ER293="",NA(),SUM($ER$4:ER293))</f>
        <v>#N/A</v>
      </c>
      <c r="ET293" s="60" t="str">
        <f t="shared" si="517"/>
        <v/>
      </c>
      <c r="EU293" s="60" t="e">
        <f>IF(ET293="",NA(),SUM($ET$4:ET293))</f>
        <v>#N/A</v>
      </c>
      <c r="EV293" s="60" t="str">
        <f t="shared" si="518"/>
        <v/>
      </c>
      <c r="EW293" s="60" t="e">
        <f>IF(EV293="",NA(),SUM($EV$4:EV293))</f>
        <v>#N/A</v>
      </c>
      <c r="EX293" s="60" t="str">
        <f t="shared" si="519"/>
        <v/>
      </c>
      <c r="EY293" s="60" t="e">
        <f>IF(EX293="",NA(),SUM($EX$4:EX293))</f>
        <v>#N/A</v>
      </c>
      <c r="EZ293" s="60" t="str">
        <f t="shared" si="520"/>
        <v/>
      </c>
      <c r="FA293" s="60" t="e">
        <f>IF(EZ293="",NA(),SUM($EZ$4:EZ293))</f>
        <v>#N/A</v>
      </c>
      <c r="FB293" s="246" t="str">
        <f t="shared" si="545"/>
        <v/>
      </c>
      <c r="FC293" s="246" t="e">
        <f>IF($FB293="",#N/A,SUM(FB$4:$FB293))</f>
        <v>#N/A</v>
      </c>
      <c r="FD293" s="60" t="str">
        <f t="shared" si="521"/>
        <v/>
      </c>
      <c r="FE293" s="60" t="e">
        <f>IF($FD293="",#N/A,SUM($FD$4:FD293))</f>
        <v>#N/A</v>
      </c>
      <c r="FF293" s="60" t="str">
        <f t="shared" si="522"/>
        <v/>
      </c>
      <c r="FG293" s="60" t="e">
        <f>IF($FF293="",#N/A,SUM($FF$4:FF293))</f>
        <v>#N/A</v>
      </c>
      <c r="FH293" s="60" t="str">
        <f t="shared" si="523"/>
        <v/>
      </c>
      <c r="FI293" s="60" t="e">
        <f>IF($FH293="",#N/A,SUM($FH$4:FH293))</f>
        <v>#N/A</v>
      </c>
      <c r="FJ293" s="60" t="str">
        <f t="shared" si="524"/>
        <v/>
      </c>
      <c r="FK293" s="60" t="e">
        <f>IF($FJ293="",#N/A,SUM($FJ$4:FJ293))</f>
        <v>#N/A</v>
      </c>
      <c r="FL293" s="60">
        <f t="shared" si="525"/>
        <v>-0.28587092731829522</v>
      </c>
      <c r="FM293" s="60">
        <f>IF($FL293="",#N/A,SUM($FL$4:FL293))</f>
        <v>-3.0840043861778743E-2</v>
      </c>
      <c r="FN293" s="82">
        <f t="shared" si="526"/>
        <v>-0.42684837092731931</v>
      </c>
      <c r="FO293" s="82">
        <f>IF($FN293="",#N/A,SUM(FN$4:$FN293))</f>
        <v>58.297859220083836</v>
      </c>
      <c r="FP293" s="82">
        <f t="shared" si="546"/>
        <v>-0.14097744360902409</v>
      </c>
      <c r="FQ293" s="246">
        <f>IF($EH293="",#N/A,SUM($FP$4:FP293))</f>
        <v>53.668315681811499</v>
      </c>
      <c r="FR293" s="82">
        <f>IFERROR(FQ293/COUNTA($J$4:J293),#N/A)</f>
        <v>0.18506315752348793</v>
      </c>
      <c r="FS293" s="82">
        <f t="shared" si="448"/>
        <v>0.23130994707751554</v>
      </c>
      <c r="FT293" s="82">
        <f t="shared" si="449"/>
        <v>7.1874910201549366E-3</v>
      </c>
      <c r="FU293" s="338">
        <f t="shared" si="551"/>
        <v>30.746501867880092</v>
      </c>
      <c r="FV293" s="57" t="str">
        <f t="shared" si="552"/>
        <v>SW</v>
      </c>
      <c r="FW293" s="57" t="s">
        <v>2732</v>
      </c>
      <c r="FX293" s="57" t="str">
        <f t="shared" si="528"/>
        <v/>
      </c>
      <c r="FY293" s="57" t="str">
        <f t="shared" si="529"/>
        <v/>
      </c>
      <c r="FZ293" s="57" t="str">
        <f t="shared" si="530"/>
        <v/>
      </c>
      <c r="GA293" s="57" t="str">
        <f t="shared" si="531"/>
        <v>Long</v>
      </c>
      <c r="GB293" s="57" t="str">
        <f t="shared" si="532"/>
        <v/>
      </c>
      <c r="GC293" s="57" t="str">
        <f t="shared" si="533"/>
        <v/>
      </c>
      <c r="GD293" s="57">
        <f t="shared" si="534"/>
        <v>1</v>
      </c>
      <c r="GE293" s="62">
        <f t="shared" si="451"/>
        <v>212.8</v>
      </c>
      <c r="GF293" s="62" t="s">
        <v>2779</v>
      </c>
      <c r="GG293" s="199">
        <v>7</v>
      </c>
      <c r="GH293" s="207">
        <f t="shared" si="535"/>
        <v>1489.6000000000001</v>
      </c>
      <c r="GI293" s="199">
        <v>7</v>
      </c>
      <c r="GJ293" s="200">
        <v>211</v>
      </c>
      <c r="GK293" s="63">
        <f t="shared" si="536"/>
        <v>-12.600000000000136</v>
      </c>
      <c r="GL293" s="63">
        <f t="shared" si="452"/>
        <v>-38.150000000000091</v>
      </c>
      <c r="GM293" s="82">
        <f t="shared" si="537"/>
        <v>-0.42684837092731931</v>
      </c>
      <c r="GN293" s="82">
        <f>IF($GZ293="",#N/A,SUM(GM$4:GM293))</f>
        <v>6.3287276888245509</v>
      </c>
      <c r="GO293" s="82" t="str">
        <f t="shared" si="538"/>
        <v/>
      </c>
      <c r="GP293" s="82">
        <f>IF($GZ293="",#N/A,SUM(GO$4:GO293))</f>
        <v>15.634246057995773</v>
      </c>
      <c r="GQ293" s="82" t="str">
        <f t="shared" si="539"/>
        <v/>
      </c>
      <c r="GR293" s="82">
        <f>IF($GZ293="",#N/A,SUM(GQ$4:GQ293))</f>
        <v>35.709048518821184</v>
      </c>
      <c r="GS293" s="63" t="e">
        <f t="shared" si="548"/>
        <v>#N/A</v>
      </c>
      <c r="GT293" s="63" t="e">
        <f>IF($GZ293="",#N/A,SUM(GS$4:GS293))</f>
        <v>#N/A</v>
      </c>
      <c r="GU293" s="63" t="str">
        <f t="shared" si="549"/>
        <v/>
      </c>
      <c r="GV293" s="63" t="e">
        <f>IF($GZ293="",#N/A,SUM(GU$4:GU293))</f>
        <v>#N/A</v>
      </c>
      <c r="GW293" s="63" t="str">
        <f t="shared" si="550"/>
        <v/>
      </c>
      <c r="GX293" s="63" t="e">
        <f>IF($GZ293="",#N/A,SUM(GW$4:GW293))</f>
        <v>#N/A</v>
      </c>
      <c r="GY293" s="63" t="e">
        <f>IF(EJ293="",#N/A,SUM($EJ$4:EJ293))</f>
        <v>#N/A</v>
      </c>
      <c r="GZ293" s="159">
        <v>207.35</v>
      </c>
      <c r="HA293" s="63">
        <f t="shared" si="540"/>
        <v>-25.549999999999955</v>
      </c>
      <c r="HB293" s="62" t="s">
        <v>2538</v>
      </c>
      <c r="HC293" s="60">
        <f>IFERROR(VLOOKUP(E293,Expectancy!$P$4:$S$19,1+C293,FALSE),"")</f>
        <v>-3.1543782927977014E-2</v>
      </c>
      <c r="HD293" s="82">
        <f t="shared" si="541"/>
        <v>-0.14097744360902409</v>
      </c>
      <c r="HE293" s="138">
        <f>IF(HD293="",#N/A,SUM($HD$4:HD293))</f>
        <v>8.3918138139314085</v>
      </c>
      <c r="HF293" s="85">
        <f>IF(HD293="",#N/A,IF(HB293="Skip",#N/A,SUM($HG$4:HG293)))</f>
        <v>239.48657921915532</v>
      </c>
      <c r="HG293" s="63">
        <f t="shared" si="542"/>
        <v>-12.600000000000136</v>
      </c>
      <c r="HH293" s="82">
        <f t="shared" si="543"/>
        <v>-0.42684837092731931</v>
      </c>
    </row>
    <row r="294" spans="1:216" x14ac:dyDescent="0.25">
      <c r="A294" s="57" t="s">
        <v>2863</v>
      </c>
      <c r="B294" s="58" t="s">
        <v>5237</v>
      </c>
      <c r="C294" s="386">
        <f t="shared" si="453"/>
        <v>3</v>
      </c>
      <c r="D294" s="372" t="str">
        <f>_xlfn.XLOOKUP(A294,[1]SP500!$A$2:$A$502,[1]SP500!$D$2:$D$502,"N")</f>
        <v>N</v>
      </c>
      <c r="E294" s="57" t="str">
        <f>_xlfn.XLOOKUP(A294,[1]SP500!$A$2:$A$655,[1]SP500!$B$2:$B$655)</f>
        <v>IGV</v>
      </c>
      <c r="F294" s="59">
        <v>45699</v>
      </c>
      <c r="G294" s="57" t="str">
        <f t="shared" si="454"/>
        <v>AMC</v>
      </c>
      <c r="H294" s="57" t="str">
        <f t="shared" si="455"/>
        <v>s</v>
      </c>
      <c r="I294" s="158">
        <v>30.1</v>
      </c>
      <c r="J294" s="158">
        <v>33</v>
      </c>
      <c r="K294" s="61">
        <f t="shared" si="456"/>
        <v>9.6345514950166064E-2</v>
      </c>
      <c r="L294" s="87">
        <f t="shared" si="457"/>
        <v>142.09999999999991</v>
      </c>
      <c r="M294" s="130">
        <f t="shared" si="450"/>
        <v>0</v>
      </c>
      <c r="N294" s="169" t="str">
        <f t="shared" si="458"/>
        <v/>
      </c>
      <c r="O294" s="169">
        <f>IF($J294="",#N/A,SUM($N$4:N294))</f>
        <v>474.976719354225</v>
      </c>
      <c r="P294" s="174" t="str">
        <f t="shared" si="459"/>
        <v/>
      </c>
      <c r="Q294" s="174">
        <f>IF($J294="",#N/A,SUM($P$4:P294))</f>
        <v>477.05890674734189</v>
      </c>
      <c r="R294" s="178">
        <f t="shared" si="460"/>
        <v>142.09999999999991</v>
      </c>
      <c r="S294" s="178">
        <f>IF($J294="",#N/A,SUM($R$4:R294))</f>
        <v>550.03445814372753</v>
      </c>
      <c r="T294" s="290" t="str">
        <f t="shared" si="461"/>
        <v/>
      </c>
      <c r="U294" s="290">
        <f>IF($J294="",#N/A,SUM($T$4:T294))</f>
        <v>17.831422354731259</v>
      </c>
      <c r="V294" s="291" t="str">
        <f t="shared" si="462"/>
        <v/>
      </c>
      <c r="W294" s="291">
        <f>IF($J294="",#N/A,SUM($V$4:V294))</f>
        <v>24.286592424010003</v>
      </c>
      <c r="X294" s="292">
        <f t="shared" si="463"/>
        <v>1.6057585825027676</v>
      </c>
      <c r="Y294" s="292">
        <f>IF($J294="",#N/A,SUM($X$4:X294))</f>
        <v>13.15605948557301</v>
      </c>
      <c r="Z294" s="304" t="str">
        <f t="shared" si="464"/>
        <v/>
      </c>
      <c r="AA294" s="313" t="e">
        <f>IF($J294="",#N/A,SUM(Z$4:Z294))</f>
        <v>#N/A</v>
      </c>
      <c r="AB294" s="314" t="str">
        <f t="shared" si="465"/>
        <v/>
      </c>
      <c r="AC294" s="314" t="e">
        <f>IF($J294="",#N/A,SUM(AB$4:AB294))</f>
        <v>#N/A</v>
      </c>
      <c r="AD294" s="315" t="str">
        <f t="shared" si="466"/>
        <v/>
      </c>
      <c r="AE294" s="315" t="e">
        <f>IF($J294="",#N/A,SUM(AD$4:AD294))</f>
        <v>#N/A</v>
      </c>
      <c r="AF294" s="315" t="e">
        <f>IF($J294="",#N/A,SUM(AD$4:AD294,AB$4:AB294,Z$4:Z294))</f>
        <v>#N/A</v>
      </c>
      <c r="AG294" s="304" t="str">
        <f t="shared" si="467"/>
        <v/>
      </c>
      <c r="AH294" s="313" t="e">
        <f>IF($J294="",#N/A,SUM(AG$4:AG294))</f>
        <v>#N/A</v>
      </c>
      <c r="AI294" s="314" t="str">
        <f t="shared" si="468"/>
        <v/>
      </c>
      <c r="AJ294" s="314" t="e">
        <f>IF($J294="",#N/A,SUM(AI$4:AI294))</f>
        <v>#N/A</v>
      </c>
      <c r="AK294" s="315">
        <f t="shared" si="469"/>
        <v>1.6057585825027676</v>
      </c>
      <c r="AL294" s="315" t="e">
        <f>IF($J294="",#N/A,SUM(AK$4:AK294))</f>
        <v>#N/A</v>
      </c>
      <c r="AM294" s="315" t="e">
        <f>IF($J294="",#N/A,SUM(AK$4:AK294,AI$4:AI294,AG$4:AG294))</f>
        <v>#N/A</v>
      </c>
      <c r="AN294" s="304" t="str">
        <f t="shared" si="470"/>
        <v/>
      </c>
      <c r="AO294" s="313" t="e">
        <f>IF($J294="",#N/A,SUM(AN$4:AN294))</f>
        <v>#N/A</v>
      </c>
      <c r="AP294" s="314" t="str">
        <f t="shared" si="471"/>
        <v/>
      </c>
      <c r="AQ294" s="314" t="e">
        <f>IF($J294="",#N/A,SUM(AP$4:AP294))</f>
        <v>#N/A</v>
      </c>
      <c r="AR294" s="315" t="str">
        <f t="shared" si="472"/>
        <v/>
      </c>
      <c r="AS294" s="315" t="e">
        <f>IF($J294="",#N/A,SUM(AR$4:AR294))</f>
        <v>#N/A</v>
      </c>
      <c r="AT294" s="315" t="e">
        <f>IF($J294="",#N/A,SUM(AR$4:AR294,AP$4:AP294,AN$4:AN294))</f>
        <v>#N/A</v>
      </c>
      <c r="AU294" s="304" t="str">
        <f t="shared" si="473"/>
        <v/>
      </c>
      <c r="AV294" s="313" t="e">
        <f>IF($J294="",#N/A,SUM(AU$4:AU294))</f>
        <v>#N/A</v>
      </c>
      <c r="AW294" s="314" t="str">
        <f t="shared" si="474"/>
        <v/>
      </c>
      <c r="AX294" s="314" t="e">
        <f>IF($J294="",#N/A,SUM(AW$4:AW294))</f>
        <v>#N/A</v>
      </c>
      <c r="AY294" s="315" t="str">
        <f t="shared" si="475"/>
        <v/>
      </c>
      <c r="AZ294" s="315" t="e">
        <f>IF($J294="",#N/A,SUM(AY$4:AY294))</f>
        <v>#N/A</v>
      </c>
      <c r="BA294" s="315" t="e">
        <f>IF($J294="",#N/A,SUM(AY$4:AY294,AW$4:AW294,AU$4:AU294))</f>
        <v>#N/A</v>
      </c>
      <c r="BB294" s="304" t="str">
        <f t="shared" si="476"/>
        <v/>
      </c>
      <c r="BC294" s="313" t="e">
        <f>IF($J294="",#N/A,SUM(BB$4:BB294))</f>
        <v>#N/A</v>
      </c>
      <c r="BD294" s="314" t="str">
        <f t="shared" si="477"/>
        <v/>
      </c>
      <c r="BE294" s="314" t="e">
        <f>IF($J294="",#N/A,SUM(BD$4:BD294))</f>
        <v>#N/A</v>
      </c>
      <c r="BF294" s="315" t="str">
        <f t="shared" si="478"/>
        <v/>
      </c>
      <c r="BG294" s="315" t="e">
        <f>IF($J294="",#N/A,SUM(BF$4:BF294))</f>
        <v>#N/A</v>
      </c>
      <c r="BH294" s="315" t="e">
        <f>IF($J294="",#N/A,SUM(BF$4:BF294,BD$4:BD294,BB$4:BB294))</f>
        <v>#N/A</v>
      </c>
      <c r="BI294" s="304" t="str">
        <f t="shared" si="479"/>
        <v/>
      </c>
      <c r="BJ294" s="313" t="e">
        <f>IF($J294="",#N/A,SUM(BI$4:BI294))</f>
        <v>#N/A</v>
      </c>
      <c r="BK294" s="314" t="str">
        <f t="shared" si="480"/>
        <v/>
      </c>
      <c r="BL294" s="314" t="e">
        <f>IF($J294="",#N/A,SUM(BK$4:BK294))</f>
        <v>#N/A</v>
      </c>
      <c r="BM294" s="315" t="str">
        <f t="shared" si="481"/>
        <v/>
      </c>
      <c r="BN294" s="315" t="e">
        <f>IF($J294="",#N/A,SUM(BM$4:BM294))</f>
        <v>#N/A</v>
      </c>
      <c r="BO294" s="315" t="e">
        <f>IF($J294="",#N/A,SUM(BM$4:BM294,BK$4:BK294,BI$4:BI294))</f>
        <v>#N/A</v>
      </c>
      <c r="BP294" s="304" t="str">
        <f t="shared" si="482"/>
        <v/>
      </c>
      <c r="BQ294" s="313" t="e">
        <f>IF($J294="",#N/A,SUM(BP$4:BP294))</f>
        <v>#N/A</v>
      </c>
      <c r="BR294" s="314" t="str">
        <f t="shared" si="483"/>
        <v/>
      </c>
      <c r="BS294" s="314" t="e">
        <f>IF($J294="",#N/A,SUM(BR$4:BR294))</f>
        <v>#N/A</v>
      </c>
      <c r="BT294" s="315" t="str">
        <f t="shared" si="484"/>
        <v/>
      </c>
      <c r="BU294" s="315" t="e">
        <f>IF($J294="",#N/A,SUM(BT$4:BT294))</f>
        <v>#N/A</v>
      </c>
      <c r="BV294" s="315" t="e">
        <f>IF($J294="",#N/A,SUM(BT$4:BT294,BR$4:BR294,BP$4:BP294))</f>
        <v>#N/A</v>
      </c>
      <c r="BW294" s="304" t="str">
        <f t="shared" si="485"/>
        <v/>
      </c>
      <c r="BX294" s="313" t="e">
        <f>IF($J294="",#N/A,SUM(BW$4:BW294))</f>
        <v>#N/A</v>
      </c>
      <c r="BY294" s="314" t="str">
        <f t="shared" si="486"/>
        <v/>
      </c>
      <c r="BZ294" s="314" t="e">
        <f>IF($J294="",#N/A,SUM(BY$4:BY294))</f>
        <v>#N/A</v>
      </c>
      <c r="CA294" s="315" t="str">
        <f t="shared" si="487"/>
        <v/>
      </c>
      <c r="CB294" s="315" t="e">
        <f>IF($J294="",#N/A,SUM(CA$4:CA294))</f>
        <v>#N/A</v>
      </c>
      <c r="CC294" s="315" t="e">
        <f>IF($J294="",#N/A,SUM(CA$4:CA294,BY$4:BY294,BW$4:BW294))</f>
        <v>#N/A</v>
      </c>
      <c r="CD294" s="304" t="str">
        <f t="shared" si="488"/>
        <v/>
      </c>
      <c r="CE294" s="313" t="e">
        <f>IF($J294="",#N/A,SUM(CD$4:CD294))</f>
        <v>#N/A</v>
      </c>
      <c r="CF294" s="314" t="str">
        <f t="shared" si="489"/>
        <v/>
      </c>
      <c r="CG294" s="314" t="e">
        <f>IF($J294="",#N/A,SUM(CF$4:CF294))</f>
        <v>#N/A</v>
      </c>
      <c r="CH294" s="315" t="str">
        <f t="shared" si="490"/>
        <v/>
      </c>
      <c r="CI294" s="315" t="e">
        <f>IF($J294="",#N/A,SUM(CH$4:CH294))</f>
        <v>#N/A</v>
      </c>
      <c r="CJ294" s="315" t="e">
        <f>IF($J294="",#N/A,SUM(CH$4:CH294,CF$4:CF294,CD$4:CD294))</f>
        <v>#N/A</v>
      </c>
      <c r="CK294" s="304" t="str">
        <f t="shared" si="491"/>
        <v/>
      </c>
      <c r="CL294" s="313" t="e">
        <f>IF($J294="",#N/A,SUM(CK$4:CK294))</f>
        <v>#N/A</v>
      </c>
      <c r="CM294" s="314" t="str">
        <f t="shared" si="492"/>
        <v/>
      </c>
      <c r="CN294" s="314" t="e">
        <f>IF($J294="",#N/A,SUM(CM$4:CM294))</f>
        <v>#N/A</v>
      </c>
      <c r="CO294" s="315" t="str">
        <f t="shared" si="493"/>
        <v/>
      </c>
      <c r="CP294" s="315" t="e">
        <f>IF($J294="",#N/A,SUM(CO$4:CO294))</f>
        <v>#N/A</v>
      </c>
      <c r="CQ294" s="315" t="e">
        <f>IF($J294="",#N/A,SUM(CO$4:CO294,CM$4:CM294,CK$4:CK294))</f>
        <v>#N/A</v>
      </c>
      <c r="CR294" s="304" t="str">
        <f t="shared" si="494"/>
        <v/>
      </c>
      <c r="CS294" s="313" t="e">
        <f>IF($J294="",#N/A,SUM(CR$4:CR294))</f>
        <v>#N/A</v>
      </c>
      <c r="CT294" s="314" t="str">
        <f t="shared" si="495"/>
        <v/>
      </c>
      <c r="CU294" s="314" t="e">
        <f>IF($J294="",#N/A,SUM(CT$4:CT294))</f>
        <v>#N/A</v>
      </c>
      <c r="CV294" s="315" t="str">
        <f t="shared" si="496"/>
        <v/>
      </c>
      <c r="CW294" s="315" t="e">
        <f>IF($J294="",#N/A,SUM(CV$4:CV294))</f>
        <v>#N/A</v>
      </c>
      <c r="CX294" s="315" t="e">
        <f>IF($J294="",#N/A,SUM(CV$4:CV294,CT$4:CT294,CR$4:CR294))</f>
        <v>#N/A</v>
      </c>
      <c r="CY294" s="304" t="str">
        <f t="shared" si="497"/>
        <v/>
      </c>
      <c r="CZ294" s="313" t="e">
        <f>IF($J294="",#N/A,SUM(CY$4:CY294))</f>
        <v>#N/A</v>
      </c>
      <c r="DA294" s="314" t="str">
        <f t="shared" si="498"/>
        <v/>
      </c>
      <c r="DB294" s="314" t="e">
        <f>IF($J294="",#N/A,SUM(DA$4:DA294))</f>
        <v>#N/A</v>
      </c>
      <c r="DC294" s="315" t="str">
        <f t="shared" si="499"/>
        <v/>
      </c>
      <c r="DD294" s="315" t="e">
        <f>IF($J294="",#N/A,SUM(DC$4:DC294))</f>
        <v>#N/A</v>
      </c>
      <c r="DE294" s="315" t="e">
        <f>IF($J294="",#N/A,SUM(DC$4:DC294,DA$4:DA294,CY$4:CY294))</f>
        <v>#N/A</v>
      </c>
      <c r="DF294" s="304" t="str">
        <f t="shared" si="500"/>
        <v/>
      </c>
      <c r="DG294" s="313" t="e">
        <f>IF($J294="",#N/A,SUM(DF$4:DF294))</f>
        <v>#N/A</v>
      </c>
      <c r="DH294" s="314" t="str">
        <f t="shared" si="501"/>
        <v/>
      </c>
      <c r="DI294" s="314" t="e">
        <f>IF($J294="",#N/A,SUM(DH$4:DH294))</f>
        <v>#N/A</v>
      </c>
      <c r="DJ294" s="315" t="str">
        <f t="shared" si="502"/>
        <v/>
      </c>
      <c r="DK294" s="315" t="e">
        <f>IF($J294="",#N/A,SUM(DJ$4:DJ294))</f>
        <v>#N/A</v>
      </c>
      <c r="DL294" s="315" t="e">
        <f>IF($J294="",#N/A,SUM(DJ$4:DJ294,DH$4:DH294,DF$4:DF294))</f>
        <v>#N/A</v>
      </c>
      <c r="DM294" s="304" t="str">
        <f t="shared" si="503"/>
        <v/>
      </c>
      <c r="DN294" s="313" t="e">
        <f>IF($J294="",#N/A,SUM(DM$4:DM294))</f>
        <v>#N/A</v>
      </c>
      <c r="DO294" s="314" t="str">
        <f t="shared" si="504"/>
        <v/>
      </c>
      <c r="DP294" s="314" t="e">
        <f>IF($J294="",#N/A,SUM(DO$4:DO294))</f>
        <v>#N/A</v>
      </c>
      <c r="DQ294" s="315" t="str">
        <f t="shared" si="505"/>
        <v/>
      </c>
      <c r="DR294" s="315" t="e">
        <f>IF($J294="",#N/A,SUM(DQ$4:DQ294))</f>
        <v>#N/A</v>
      </c>
      <c r="DS294" s="315" t="e">
        <f>IF($J294="",#N/A,SUM(DQ$4:DQ294,DO$4:DO294,DM$4:DM294))</f>
        <v>#N/A</v>
      </c>
      <c r="DT294" s="304" t="str">
        <f t="shared" si="506"/>
        <v/>
      </c>
      <c r="DU294" s="313" t="e">
        <f>IF($J294="",#N/A,SUM(DT$4:DT294))</f>
        <v>#N/A</v>
      </c>
      <c r="DV294" s="314" t="str">
        <f t="shared" si="507"/>
        <v/>
      </c>
      <c r="DW294" s="314" t="e">
        <f>IF($J294="",#N/A,SUM(DV$4:DV294))</f>
        <v>#N/A</v>
      </c>
      <c r="DX294" s="315" t="str">
        <f t="shared" si="508"/>
        <v/>
      </c>
      <c r="DY294" s="315" t="e">
        <f>IF($J294="",#N/A,SUM(DX$4:DX294))</f>
        <v>#N/A</v>
      </c>
      <c r="DZ294" s="315" t="e">
        <f>IF($J294="",#N/A,SUM(DX$4:DX294,DV$4:DV294,DT$4:DT294))</f>
        <v>#N/A</v>
      </c>
      <c r="EA294" s="304" t="str">
        <f t="shared" si="509"/>
        <v/>
      </c>
      <c r="EB294" s="313" t="e">
        <f>IF($J294="",#N/A,SUM(EA$4:EA294))</f>
        <v>#N/A</v>
      </c>
      <c r="EC294" s="314" t="str">
        <f t="shared" si="510"/>
        <v/>
      </c>
      <c r="ED294" s="314" t="e">
        <f>IF($J294="",#N/A,SUM(EC$4:EC294))</f>
        <v>#N/A</v>
      </c>
      <c r="EE294" s="315" t="str">
        <f t="shared" si="511"/>
        <v/>
      </c>
      <c r="EF294" s="315" t="e">
        <f>IF($J294="",#N/A,SUM(EE$4:EE294))</f>
        <v>#N/A</v>
      </c>
      <c r="EG294" s="315" t="e">
        <f>IF($J294="",#N/A,SUM(EE$4:EE294,EC$4:EC294,EA$4:EA294))</f>
        <v>#N/A</v>
      </c>
      <c r="EH294" s="130">
        <f t="shared" si="512"/>
        <v>142.09999999999991</v>
      </c>
      <c r="EI294" s="63">
        <f>IF(EH294="",#N/A,SUM($EH$4:EH294))</f>
        <v>1502.0700842452945</v>
      </c>
      <c r="EJ294" s="223" t="e">
        <f t="shared" si="513"/>
        <v>#N/A</v>
      </c>
      <c r="EK294" s="63" t="e">
        <f>IF($GZ294="",#N/A,SUM(EJ$4:EJ294))</f>
        <v>#N/A</v>
      </c>
      <c r="EL294" s="60" t="str">
        <f t="shared" si="544"/>
        <v/>
      </c>
      <c r="EM294" s="60" t="e">
        <f>IF(EL294="",NA(),SUM($EL$4:EL294))</f>
        <v>#N/A</v>
      </c>
      <c r="EN294" s="60" t="str">
        <f t="shared" si="514"/>
        <v/>
      </c>
      <c r="EO294" s="60" t="e">
        <f>IF(EN294="",NA(),SUM($EN$4:EN294))</f>
        <v>#N/A</v>
      </c>
      <c r="EP294" s="60" t="str">
        <f t="shared" si="515"/>
        <v/>
      </c>
      <c r="EQ294" s="60" t="e">
        <f>IF(EP294="",NA(),SUM($EP$4:EP294))</f>
        <v>#N/A</v>
      </c>
      <c r="ER294" s="60" t="str">
        <f t="shared" si="516"/>
        <v/>
      </c>
      <c r="ES294" s="60" t="e">
        <f>IF(ER294="",NA(),SUM($ER$4:ER294))</f>
        <v>#N/A</v>
      </c>
      <c r="ET294" s="60">
        <f t="shared" si="517"/>
        <v>1.6057585825027676</v>
      </c>
      <c r="EU294" s="60">
        <f>IF(ET294="",NA(),SUM($ET$4:ET294))</f>
        <v>11.057393790844245</v>
      </c>
      <c r="EV294" s="60" t="str">
        <f t="shared" si="518"/>
        <v/>
      </c>
      <c r="EW294" s="60" t="e">
        <f>IF(EV294="",NA(),SUM($EV$4:EV294))</f>
        <v>#N/A</v>
      </c>
      <c r="EX294" s="60">
        <f t="shared" si="519"/>
        <v>1.6057585825027676</v>
      </c>
      <c r="EY294" s="60">
        <f>IF(EX294="",NA(),SUM($EX$4:EX294))</f>
        <v>0.93514416673308143</v>
      </c>
      <c r="EZ294" s="60" t="str">
        <f t="shared" si="520"/>
        <v/>
      </c>
      <c r="FA294" s="60" t="e">
        <f>IF(EZ294="",NA(),SUM($EZ$4:EZ294))</f>
        <v>#N/A</v>
      </c>
      <c r="FB294" s="246" t="str">
        <f t="shared" si="545"/>
        <v/>
      </c>
      <c r="FC294" s="246" t="e">
        <f>IF($FB294="",#N/A,SUM(FB$4:$FB294))</f>
        <v>#N/A</v>
      </c>
      <c r="FD294" s="60" t="str">
        <f t="shared" si="521"/>
        <v/>
      </c>
      <c r="FE294" s="60" t="e">
        <f>IF($FD294="",#N/A,SUM($FD$4:FD294))</f>
        <v>#N/A</v>
      </c>
      <c r="FF294" s="60" t="str">
        <f t="shared" si="522"/>
        <v/>
      </c>
      <c r="FG294" s="60" t="e">
        <f>IF($FF294="",#N/A,SUM($FF$4:FF294))</f>
        <v>#N/A</v>
      </c>
      <c r="FH294" s="60" t="str">
        <f t="shared" si="523"/>
        <v/>
      </c>
      <c r="FI294" s="60" t="e">
        <f>IF($FH294="",#N/A,SUM($FH$4:FH294))</f>
        <v>#N/A</v>
      </c>
      <c r="FJ294" s="60">
        <f t="shared" si="524"/>
        <v>2.574750830564783</v>
      </c>
      <c r="FK294" s="60">
        <f>IF($FJ294="",#N/A,SUM($FJ$4:FJ294))</f>
        <v>-2.6159823398191362</v>
      </c>
      <c r="FL294" s="60" t="str">
        <f t="shared" si="525"/>
        <v/>
      </c>
      <c r="FM294" s="60" t="e">
        <f>IF($FL294="",#N/A,SUM($FL$4:FL294))</f>
        <v>#N/A</v>
      </c>
      <c r="FN294" s="82">
        <f t="shared" si="526"/>
        <v>4.1805094130675506</v>
      </c>
      <c r="FO294" s="82">
        <f>IF($FN294="",#N/A,SUM(FN$4:$FN294))</f>
        <v>62.478368633151391</v>
      </c>
      <c r="FP294" s="82">
        <f t="shared" si="546"/>
        <v>1.6057585825027676</v>
      </c>
      <c r="FQ294" s="246">
        <f>IF($EH294="",#N/A,SUM($FP$4:FP294))</f>
        <v>55.274074264314265</v>
      </c>
      <c r="FR294" s="82">
        <f>IFERROR(FQ294/COUNTA($J$4:J294),#N/A)</f>
        <v>0.18994527238595968</v>
      </c>
      <c r="FS294" s="82">
        <f t="shared" si="448"/>
        <v>0.26664689070215686</v>
      </c>
      <c r="FT294" s="82">
        <f t="shared" si="449"/>
        <v>4.7167834320265743E-2</v>
      </c>
      <c r="FU294" s="338">
        <f t="shared" si="551"/>
        <v>30.746501867880085</v>
      </c>
      <c r="FV294" s="57" t="str">
        <f t="shared" si="552"/>
        <v>SW</v>
      </c>
      <c r="FW294" s="57" t="s">
        <v>2732</v>
      </c>
      <c r="FX294" s="57" t="str">
        <f t="shared" si="528"/>
        <v/>
      </c>
      <c r="FY294" s="57" t="str">
        <f t="shared" si="529"/>
        <v/>
      </c>
      <c r="FZ294" s="57">
        <f t="shared" si="530"/>
        <v>1</v>
      </c>
      <c r="GA294" s="57" t="str">
        <f t="shared" si="531"/>
        <v>Long</v>
      </c>
      <c r="GB294" s="57" t="str">
        <f t="shared" si="532"/>
        <v/>
      </c>
      <c r="GC294" s="57" t="str">
        <f t="shared" si="533"/>
        <v/>
      </c>
      <c r="GD294" s="57" t="str">
        <f t="shared" si="534"/>
        <v/>
      </c>
      <c r="GE294" s="62">
        <f t="shared" si="451"/>
        <v>30.1</v>
      </c>
      <c r="GF294" s="62" t="s">
        <v>2779</v>
      </c>
      <c r="GG294" s="199">
        <v>49</v>
      </c>
      <c r="GH294" s="207">
        <f t="shared" si="535"/>
        <v>1474.9</v>
      </c>
      <c r="GI294" s="199">
        <v>49</v>
      </c>
      <c r="GJ294" s="200">
        <v>33</v>
      </c>
      <c r="GK294" s="63">
        <f t="shared" si="536"/>
        <v>142.09999999999991</v>
      </c>
      <c r="GL294" s="63">
        <f t="shared" si="452"/>
        <v>369.94999999999982</v>
      </c>
      <c r="GM294" s="82">
        <f t="shared" si="537"/>
        <v>4.1805094130675506</v>
      </c>
      <c r="GN294" s="82">
        <f>IF($GZ294="",#N/A,SUM(GM$4:GM294))</f>
        <v>10.509237101892101</v>
      </c>
      <c r="GO294" s="82" t="str">
        <f t="shared" si="538"/>
        <v/>
      </c>
      <c r="GP294" s="82">
        <f>IF($GZ294="",#N/A,SUM(GO$4:GO294))</f>
        <v>15.634246057995773</v>
      </c>
      <c r="GQ294" s="82" t="str">
        <f t="shared" si="539"/>
        <v/>
      </c>
      <c r="GR294" s="82">
        <f>IF($GZ294="",#N/A,SUM(GQ$4:GQ294))</f>
        <v>35.709048518821184</v>
      </c>
      <c r="GS294" s="63" t="e">
        <f t="shared" si="548"/>
        <v>#N/A</v>
      </c>
      <c r="GT294" s="63" t="e">
        <f>IF($GZ294="",#N/A,SUM(GS$4:GS294))</f>
        <v>#N/A</v>
      </c>
      <c r="GU294" s="63" t="str">
        <f t="shared" si="549"/>
        <v/>
      </c>
      <c r="GV294" s="63" t="e">
        <f>IF($GZ294="",#N/A,SUM(GU$4:GU294))</f>
        <v>#N/A</v>
      </c>
      <c r="GW294" s="63" t="str">
        <f t="shared" si="550"/>
        <v/>
      </c>
      <c r="GX294" s="63" t="e">
        <f>IF($GZ294="",#N/A,SUM(GW$4:GW294))</f>
        <v>#N/A</v>
      </c>
      <c r="GY294" s="63" t="e">
        <f>IF(EJ294="",#N/A,SUM($EJ$4:EJ294))</f>
        <v>#N/A</v>
      </c>
      <c r="GZ294" s="159">
        <v>37.65</v>
      </c>
      <c r="HA294" s="63">
        <f t="shared" si="540"/>
        <v>227.84999999999991</v>
      </c>
      <c r="HB294" s="62" t="s">
        <v>2538</v>
      </c>
      <c r="HC294" s="60">
        <f>IFERROR(VLOOKUP(E294,Expectancy!$P$4:$S$19,1+C294,FALSE),"")</f>
        <v>0.27741610538114203</v>
      </c>
      <c r="HD294" s="82">
        <f t="shared" si="541"/>
        <v>1.6057585825027676</v>
      </c>
      <c r="HE294" s="138">
        <f>IF(HD294="",#N/A,SUM($HD$4:HD294))</f>
        <v>9.9975723964341761</v>
      </c>
      <c r="HF294" s="85">
        <f>IF(HD294="",#N/A,IF(HB294="Skip",#N/A,SUM($HG$4:HG294)))</f>
        <v>381.58657921915523</v>
      </c>
      <c r="HG294" s="63">
        <f t="shared" si="542"/>
        <v>142.09999999999991</v>
      </c>
      <c r="HH294" s="82">
        <f t="shared" si="543"/>
        <v>4.1805094130675506</v>
      </c>
    </row>
    <row r="295" spans="1:216" x14ac:dyDescent="0.25">
      <c r="A295" s="57" t="s">
        <v>428</v>
      </c>
      <c r="B295" s="58" t="s">
        <v>5237</v>
      </c>
      <c r="C295" s="386">
        <f t="shared" si="453"/>
        <v>1</v>
      </c>
      <c r="D295" s="372" t="str">
        <f>_xlfn.XLOOKUP(A295,[1]SP500!$A$2:$A$502,[1]SP500!$D$2:$D$502,"N")</f>
        <v>N</v>
      </c>
      <c r="E295" s="57" t="str">
        <f>_xlfn.XLOOKUP(A295,[1]SP500!$A$2:$A$655,[1]SP500!$B$2:$B$655)</f>
        <v>IGV</v>
      </c>
      <c r="F295" s="59">
        <v>45699</v>
      </c>
      <c r="G295" s="57" t="str">
        <f t="shared" si="454"/>
        <v>AMC</v>
      </c>
      <c r="H295" s="57" t="str">
        <f t="shared" si="455"/>
        <v>s</v>
      </c>
      <c r="I295" s="159">
        <v>17.86</v>
      </c>
      <c r="J295" s="159">
        <v>18.760000000000002</v>
      </c>
      <c r="K295" s="61">
        <f t="shared" si="456"/>
        <v>5.0391937290033717E-2</v>
      </c>
      <c r="L295" s="87">
        <f t="shared" si="457"/>
        <v>75.600000000000136</v>
      </c>
      <c r="M295" s="130">
        <f t="shared" si="450"/>
        <v>0</v>
      </c>
      <c r="N295" s="169">
        <f t="shared" si="458"/>
        <v>75.600000000000136</v>
      </c>
      <c r="O295" s="169">
        <f>IF($J295="",#N/A,SUM($N$4:N295))</f>
        <v>550.57671935422513</v>
      </c>
      <c r="P295" s="174" t="str">
        <f t="shared" si="459"/>
        <v/>
      </c>
      <c r="Q295" s="174">
        <f>IF($J295="",#N/A,SUM($P$4:P295))</f>
        <v>477.05890674734189</v>
      </c>
      <c r="R295" s="178" t="str">
        <f t="shared" si="460"/>
        <v/>
      </c>
      <c r="S295" s="178">
        <f>IF($J295="",#N/A,SUM($R$4:R295))</f>
        <v>550.03445814372753</v>
      </c>
      <c r="T295" s="290">
        <f t="shared" si="461"/>
        <v>0.83986562150056143</v>
      </c>
      <c r="U295" s="290">
        <f>IF($J295="",#N/A,SUM($T$4:T295))</f>
        <v>18.67128797623182</v>
      </c>
      <c r="V295" s="291" t="str">
        <f t="shared" si="462"/>
        <v/>
      </c>
      <c r="W295" s="291">
        <f>IF($J295="",#N/A,SUM($V$4:V295))</f>
        <v>24.286592424010003</v>
      </c>
      <c r="X295" s="292" t="str">
        <f t="shared" si="463"/>
        <v/>
      </c>
      <c r="Y295" s="292">
        <f>IF($J295="",#N/A,SUM($X$4:X295))</f>
        <v>13.15605948557301</v>
      </c>
      <c r="Z295" s="304" t="str">
        <f t="shared" si="464"/>
        <v/>
      </c>
      <c r="AA295" s="313" t="e">
        <f>IF($J295="",#N/A,SUM(Z$4:Z295))</f>
        <v>#N/A</v>
      </c>
      <c r="AB295" s="314" t="str">
        <f t="shared" si="465"/>
        <v/>
      </c>
      <c r="AC295" s="314" t="e">
        <f>IF($J295="",#N/A,SUM(AB$4:AB295))</f>
        <v>#N/A</v>
      </c>
      <c r="AD295" s="315" t="str">
        <f t="shared" si="466"/>
        <v/>
      </c>
      <c r="AE295" s="315" t="e">
        <f>IF($J295="",#N/A,SUM(AD$4:AD295))</f>
        <v>#N/A</v>
      </c>
      <c r="AF295" s="315" t="e">
        <f>IF($J295="",#N/A,SUM(AD$4:AD295,AB$4:AB295,Z$4:Z295))</f>
        <v>#N/A</v>
      </c>
      <c r="AG295" s="304">
        <f t="shared" si="467"/>
        <v>0.83986562150056143</v>
      </c>
      <c r="AH295" s="313" t="e">
        <f>IF($J295="",#N/A,SUM(AG$4:AG295))</f>
        <v>#N/A</v>
      </c>
      <c r="AI295" s="314" t="str">
        <f t="shared" si="468"/>
        <v/>
      </c>
      <c r="AJ295" s="314" t="e">
        <f>IF($J295="",#N/A,SUM(AI$4:AI295))</f>
        <v>#N/A</v>
      </c>
      <c r="AK295" s="315" t="str">
        <f t="shared" si="469"/>
        <v/>
      </c>
      <c r="AL295" s="315" t="e">
        <f>IF($J295="",#N/A,SUM(AK$4:AK295))</f>
        <v>#N/A</v>
      </c>
      <c r="AM295" s="315" t="e">
        <f>IF($J295="",#N/A,SUM(AK$4:AK295,AI$4:AI295,AG$4:AG295))</f>
        <v>#N/A</v>
      </c>
      <c r="AN295" s="304" t="str">
        <f t="shared" si="470"/>
        <v/>
      </c>
      <c r="AO295" s="313" t="e">
        <f>IF($J295="",#N/A,SUM(AN$4:AN295))</f>
        <v>#N/A</v>
      </c>
      <c r="AP295" s="314" t="str">
        <f t="shared" si="471"/>
        <v/>
      </c>
      <c r="AQ295" s="314" t="e">
        <f>IF($J295="",#N/A,SUM(AP$4:AP295))</f>
        <v>#N/A</v>
      </c>
      <c r="AR295" s="315" t="str">
        <f t="shared" si="472"/>
        <v/>
      </c>
      <c r="AS295" s="315" t="e">
        <f>IF($J295="",#N/A,SUM(AR$4:AR295))</f>
        <v>#N/A</v>
      </c>
      <c r="AT295" s="315" t="e">
        <f>IF($J295="",#N/A,SUM(AR$4:AR295,AP$4:AP295,AN$4:AN295))</f>
        <v>#N/A</v>
      </c>
      <c r="AU295" s="304" t="str">
        <f t="shared" si="473"/>
        <v/>
      </c>
      <c r="AV295" s="313" t="e">
        <f>IF($J295="",#N/A,SUM(AU$4:AU295))</f>
        <v>#N/A</v>
      </c>
      <c r="AW295" s="314" t="str">
        <f t="shared" si="474"/>
        <v/>
      </c>
      <c r="AX295" s="314" t="e">
        <f>IF($J295="",#N/A,SUM(AW$4:AW295))</f>
        <v>#N/A</v>
      </c>
      <c r="AY295" s="315" t="str">
        <f t="shared" si="475"/>
        <v/>
      </c>
      <c r="AZ295" s="315" t="e">
        <f>IF($J295="",#N/A,SUM(AY$4:AY295))</f>
        <v>#N/A</v>
      </c>
      <c r="BA295" s="315" t="e">
        <f>IF($J295="",#N/A,SUM(AY$4:AY295,AW$4:AW295,AU$4:AU295))</f>
        <v>#N/A</v>
      </c>
      <c r="BB295" s="304" t="str">
        <f t="shared" si="476"/>
        <v/>
      </c>
      <c r="BC295" s="313" t="e">
        <f>IF($J295="",#N/A,SUM(BB$4:BB295))</f>
        <v>#N/A</v>
      </c>
      <c r="BD295" s="314" t="str">
        <f t="shared" si="477"/>
        <v/>
      </c>
      <c r="BE295" s="314" t="e">
        <f>IF($J295="",#N/A,SUM(BD$4:BD295))</f>
        <v>#N/A</v>
      </c>
      <c r="BF295" s="315" t="str">
        <f t="shared" si="478"/>
        <v/>
      </c>
      <c r="BG295" s="315" t="e">
        <f>IF($J295="",#N/A,SUM(BF$4:BF295))</f>
        <v>#N/A</v>
      </c>
      <c r="BH295" s="315" t="e">
        <f>IF($J295="",#N/A,SUM(BF$4:BF295,BD$4:BD295,BB$4:BB295))</f>
        <v>#N/A</v>
      </c>
      <c r="BI295" s="304" t="str">
        <f t="shared" si="479"/>
        <v/>
      </c>
      <c r="BJ295" s="313" t="e">
        <f>IF($J295="",#N/A,SUM(BI$4:BI295))</f>
        <v>#N/A</v>
      </c>
      <c r="BK295" s="314" t="str">
        <f t="shared" si="480"/>
        <v/>
      </c>
      <c r="BL295" s="314" t="e">
        <f>IF($J295="",#N/A,SUM(BK$4:BK295))</f>
        <v>#N/A</v>
      </c>
      <c r="BM295" s="315" t="str">
        <f t="shared" si="481"/>
        <v/>
      </c>
      <c r="BN295" s="315" t="e">
        <f>IF($J295="",#N/A,SUM(BM$4:BM295))</f>
        <v>#N/A</v>
      </c>
      <c r="BO295" s="315" t="e">
        <f>IF($J295="",#N/A,SUM(BM$4:BM295,BK$4:BK295,BI$4:BI295))</f>
        <v>#N/A</v>
      </c>
      <c r="BP295" s="304" t="str">
        <f t="shared" si="482"/>
        <v/>
      </c>
      <c r="BQ295" s="313" t="e">
        <f>IF($J295="",#N/A,SUM(BP$4:BP295))</f>
        <v>#N/A</v>
      </c>
      <c r="BR295" s="314" t="str">
        <f t="shared" si="483"/>
        <v/>
      </c>
      <c r="BS295" s="314" t="e">
        <f>IF($J295="",#N/A,SUM(BR$4:BR295))</f>
        <v>#N/A</v>
      </c>
      <c r="BT295" s="315" t="str">
        <f t="shared" si="484"/>
        <v/>
      </c>
      <c r="BU295" s="315" t="e">
        <f>IF($J295="",#N/A,SUM(BT$4:BT295))</f>
        <v>#N/A</v>
      </c>
      <c r="BV295" s="315" t="e">
        <f>IF($J295="",#N/A,SUM(BT$4:BT295,BR$4:BR295,BP$4:BP295))</f>
        <v>#N/A</v>
      </c>
      <c r="BW295" s="304" t="str">
        <f t="shared" si="485"/>
        <v/>
      </c>
      <c r="BX295" s="313" t="e">
        <f>IF($J295="",#N/A,SUM(BW$4:BW295))</f>
        <v>#N/A</v>
      </c>
      <c r="BY295" s="314" t="str">
        <f t="shared" si="486"/>
        <v/>
      </c>
      <c r="BZ295" s="314" t="e">
        <f>IF($J295="",#N/A,SUM(BY$4:BY295))</f>
        <v>#N/A</v>
      </c>
      <c r="CA295" s="315" t="str">
        <f t="shared" si="487"/>
        <v/>
      </c>
      <c r="CB295" s="315" t="e">
        <f>IF($J295="",#N/A,SUM(CA$4:CA295))</f>
        <v>#N/A</v>
      </c>
      <c r="CC295" s="315" t="e">
        <f>IF($J295="",#N/A,SUM(CA$4:CA295,BY$4:BY295,BW$4:BW295))</f>
        <v>#N/A</v>
      </c>
      <c r="CD295" s="304" t="str">
        <f t="shared" si="488"/>
        <v/>
      </c>
      <c r="CE295" s="313" t="e">
        <f>IF($J295="",#N/A,SUM(CD$4:CD295))</f>
        <v>#N/A</v>
      </c>
      <c r="CF295" s="314" t="str">
        <f t="shared" si="489"/>
        <v/>
      </c>
      <c r="CG295" s="314" t="e">
        <f>IF($J295="",#N/A,SUM(CF$4:CF295))</f>
        <v>#N/A</v>
      </c>
      <c r="CH295" s="315" t="str">
        <f t="shared" si="490"/>
        <v/>
      </c>
      <c r="CI295" s="315" t="e">
        <f>IF($J295="",#N/A,SUM(CH$4:CH295))</f>
        <v>#N/A</v>
      </c>
      <c r="CJ295" s="315" t="e">
        <f>IF($J295="",#N/A,SUM(CH$4:CH295,CF$4:CF295,CD$4:CD295))</f>
        <v>#N/A</v>
      </c>
      <c r="CK295" s="304" t="str">
        <f t="shared" si="491"/>
        <v/>
      </c>
      <c r="CL295" s="313" t="e">
        <f>IF($J295="",#N/A,SUM(CK$4:CK295))</f>
        <v>#N/A</v>
      </c>
      <c r="CM295" s="314" t="str">
        <f t="shared" si="492"/>
        <v/>
      </c>
      <c r="CN295" s="314" t="e">
        <f>IF($J295="",#N/A,SUM(CM$4:CM295))</f>
        <v>#N/A</v>
      </c>
      <c r="CO295" s="315" t="str">
        <f t="shared" si="493"/>
        <v/>
      </c>
      <c r="CP295" s="315" t="e">
        <f>IF($J295="",#N/A,SUM(CO$4:CO295))</f>
        <v>#N/A</v>
      </c>
      <c r="CQ295" s="315" t="e">
        <f>IF($J295="",#N/A,SUM(CO$4:CO295,CM$4:CM295,CK$4:CK295))</f>
        <v>#N/A</v>
      </c>
      <c r="CR295" s="304" t="str">
        <f t="shared" si="494"/>
        <v/>
      </c>
      <c r="CS295" s="313" t="e">
        <f>IF($J295="",#N/A,SUM(CR$4:CR295))</f>
        <v>#N/A</v>
      </c>
      <c r="CT295" s="314" t="str">
        <f t="shared" si="495"/>
        <v/>
      </c>
      <c r="CU295" s="314" t="e">
        <f>IF($J295="",#N/A,SUM(CT$4:CT295))</f>
        <v>#N/A</v>
      </c>
      <c r="CV295" s="315" t="str">
        <f t="shared" si="496"/>
        <v/>
      </c>
      <c r="CW295" s="315" t="e">
        <f>IF($J295="",#N/A,SUM(CV$4:CV295))</f>
        <v>#N/A</v>
      </c>
      <c r="CX295" s="315" t="e">
        <f>IF($J295="",#N/A,SUM(CV$4:CV295,CT$4:CT295,CR$4:CR295))</f>
        <v>#N/A</v>
      </c>
      <c r="CY295" s="304" t="str">
        <f t="shared" si="497"/>
        <v/>
      </c>
      <c r="CZ295" s="313" t="e">
        <f>IF($J295="",#N/A,SUM(CY$4:CY295))</f>
        <v>#N/A</v>
      </c>
      <c r="DA295" s="314" t="str">
        <f t="shared" si="498"/>
        <v/>
      </c>
      <c r="DB295" s="314" t="e">
        <f>IF($J295="",#N/A,SUM(DA$4:DA295))</f>
        <v>#N/A</v>
      </c>
      <c r="DC295" s="315" t="str">
        <f t="shared" si="499"/>
        <v/>
      </c>
      <c r="DD295" s="315" t="e">
        <f>IF($J295="",#N/A,SUM(DC$4:DC295))</f>
        <v>#N/A</v>
      </c>
      <c r="DE295" s="315" t="e">
        <f>IF($J295="",#N/A,SUM(DC$4:DC295,DA$4:DA295,CY$4:CY295))</f>
        <v>#N/A</v>
      </c>
      <c r="DF295" s="304" t="str">
        <f t="shared" si="500"/>
        <v/>
      </c>
      <c r="DG295" s="313" t="e">
        <f>IF($J295="",#N/A,SUM(DF$4:DF295))</f>
        <v>#N/A</v>
      </c>
      <c r="DH295" s="314" t="str">
        <f t="shared" si="501"/>
        <v/>
      </c>
      <c r="DI295" s="314" t="e">
        <f>IF($J295="",#N/A,SUM(DH$4:DH295))</f>
        <v>#N/A</v>
      </c>
      <c r="DJ295" s="315" t="str">
        <f t="shared" si="502"/>
        <v/>
      </c>
      <c r="DK295" s="315" t="e">
        <f>IF($J295="",#N/A,SUM(DJ$4:DJ295))</f>
        <v>#N/A</v>
      </c>
      <c r="DL295" s="315" t="e">
        <f>IF($J295="",#N/A,SUM(DJ$4:DJ295,DH$4:DH295,DF$4:DF295))</f>
        <v>#N/A</v>
      </c>
      <c r="DM295" s="304" t="str">
        <f t="shared" si="503"/>
        <v/>
      </c>
      <c r="DN295" s="313" t="e">
        <f>IF($J295="",#N/A,SUM(DM$4:DM295))</f>
        <v>#N/A</v>
      </c>
      <c r="DO295" s="314" t="str">
        <f t="shared" si="504"/>
        <v/>
      </c>
      <c r="DP295" s="314" t="e">
        <f>IF($J295="",#N/A,SUM(DO$4:DO295))</f>
        <v>#N/A</v>
      </c>
      <c r="DQ295" s="315" t="str">
        <f t="shared" si="505"/>
        <v/>
      </c>
      <c r="DR295" s="315" t="e">
        <f>IF($J295="",#N/A,SUM(DQ$4:DQ295))</f>
        <v>#N/A</v>
      </c>
      <c r="DS295" s="315" t="e">
        <f>IF($J295="",#N/A,SUM(DQ$4:DQ295,DO$4:DO295,DM$4:DM295))</f>
        <v>#N/A</v>
      </c>
      <c r="DT295" s="304" t="str">
        <f t="shared" si="506"/>
        <v/>
      </c>
      <c r="DU295" s="313" t="e">
        <f>IF($J295="",#N/A,SUM(DT$4:DT295))</f>
        <v>#N/A</v>
      </c>
      <c r="DV295" s="314" t="str">
        <f t="shared" si="507"/>
        <v/>
      </c>
      <c r="DW295" s="314" t="e">
        <f>IF($J295="",#N/A,SUM(DV$4:DV295))</f>
        <v>#N/A</v>
      </c>
      <c r="DX295" s="315" t="str">
        <f t="shared" si="508"/>
        <v/>
      </c>
      <c r="DY295" s="315" t="e">
        <f>IF($J295="",#N/A,SUM(DX$4:DX295))</f>
        <v>#N/A</v>
      </c>
      <c r="DZ295" s="315" t="e">
        <f>IF($J295="",#N/A,SUM(DX$4:DX295,DV$4:DV295,DT$4:DT295))</f>
        <v>#N/A</v>
      </c>
      <c r="EA295" s="304" t="str">
        <f t="shared" si="509"/>
        <v/>
      </c>
      <c r="EB295" s="313" t="e">
        <f>IF($J295="",#N/A,SUM(EA$4:EA295))</f>
        <v>#N/A</v>
      </c>
      <c r="EC295" s="314" t="str">
        <f t="shared" si="510"/>
        <v/>
      </c>
      <c r="ED295" s="314" t="e">
        <f>IF($J295="",#N/A,SUM(EC$4:EC295))</f>
        <v>#N/A</v>
      </c>
      <c r="EE295" s="315" t="str">
        <f t="shared" si="511"/>
        <v/>
      </c>
      <c r="EF295" s="315" t="e">
        <f>IF($J295="",#N/A,SUM(EE$4:EE295))</f>
        <v>#N/A</v>
      </c>
      <c r="EG295" s="315" t="e">
        <f>IF($J295="",#N/A,SUM(EE$4:EE295,EC$4:EC295,EA$4:EA295))</f>
        <v>#N/A</v>
      </c>
      <c r="EH295" s="130">
        <f t="shared" si="512"/>
        <v>75.600000000000136</v>
      </c>
      <c r="EI295" s="63">
        <f>IF(EH295="",#N/A,SUM($EH$4:EH295))</f>
        <v>1577.6700842452947</v>
      </c>
      <c r="EJ295" s="223" t="e">
        <f t="shared" si="513"/>
        <v>#N/A</v>
      </c>
      <c r="EK295" s="63" t="e">
        <f>IF($GZ295="",#N/A,SUM(EJ$4:EJ295))</f>
        <v>#N/A</v>
      </c>
      <c r="EL295" s="60" t="str">
        <f t="shared" si="544"/>
        <v/>
      </c>
      <c r="EM295" s="60" t="e">
        <f>IF(EL295="",NA(),SUM($EL$4:EL295))</f>
        <v>#N/A</v>
      </c>
      <c r="EN295" s="60" t="str">
        <f t="shared" si="514"/>
        <v/>
      </c>
      <c r="EO295" s="60" t="e">
        <f>IF(EN295="",NA(),SUM($EN$4:EN295))</f>
        <v>#N/A</v>
      </c>
      <c r="EP295" s="60" t="str">
        <f t="shared" si="515"/>
        <v/>
      </c>
      <c r="EQ295" s="60" t="e">
        <f>IF(EP295="",NA(),SUM($EP$4:EP295))</f>
        <v>#N/A</v>
      </c>
      <c r="ER295" s="60" t="str">
        <f t="shared" si="516"/>
        <v/>
      </c>
      <c r="ES295" s="60" t="e">
        <f>IF(ER295="",NA(),SUM($ER$4:ER295))</f>
        <v>#N/A</v>
      </c>
      <c r="ET295" s="60">
        <f t="shared" si="517"/>
        <v>0.83986562150056143</v>
      </c>
      <c r="EU295" s="60">
        <f>IF(ET295="",NA(),SUM($ET$4:ET295))</f>
        <v>11.897259412344805</v>
      </c>
      <c r="EV295" s="60">
        <f t="shared" si="518"/>
        <v>0.83986562150056143</v>
      </c>
      <c r="EW295" s="60">
        <f>IF(EV295="",NA(),SUM($EV$4:EV295))</f>
        <v>2.7965724461512869</v>
      </c>
      <c r="EX295" s="60" t="str">
        <f t="shared" si="519"/>
        <v/>
      </c>
      <c r="EY295" s="60" t="e">
        <f>IF(EX295="",NA(),SUM($EX$4:EX295))</f>
        <v>#N/A</v>
      </c>
      <c r="EZ295" s="60" t="str">
        <f t="shared" si="520"/>
        <v/>
      </c>
      <c r="FA295" s="60" t="e">
        <f>IF(EZ295="",NA(),SUM($EZ$4:EZ295))</f>
        <v>#N/A</v>
      </c>
      <c r="FB295" s="246" t="str">
        <f t="shared" si="545"/>
        <v/>
      </c>
      <c r="FC295" s="246" t="e">
        <f>IF($FB295="",#N/A,SUM(FB$4:$FB295))</f>
        <v>#N/A</v>
      </c>
      <c r="FD295" s="60" t="str">
        <f t="shared" si="521"/>
        <v/>
      </c>
      <c r="FE295" s="60" t="e">
        <f>IF($FD295="",#N/A,SUM($FD$4:FD295))</f>
        <v>#N/A</v>
      </c>
      <c r="FF295" s="60">
        <f t="shared" si="522"/>
        <v>-0.9051885031728284</v>
      </c>
      <c r="FG295" s="60">
        <f>IF($FF295="",#N/A,SUM($FF$4:FF295))</f>
        <v>-5.2944646041457277</v>
      </c>
      <c r="FH295" s="60" t="str">
        <f t="shared" si="523"/>
        <v/>
      </c>
      <c r="FI295" s="60" t="e">
        <f>IF($FH295="",#N/A,SUM($FH$4:FH295))</f>
        <v>#N/A</v>
      </c>
      <c r="FJ295" s="60" t="str">
        <f t="shared" si="524"/>
        <v/>
      </c>
      <c r="FK295" s="60" t="e">
        <f>IF($FJ295="",#N/A,SUM($FJ$4:FJ295))</f>
        <v>#N/A</v>
      </c>
      <c r="FL295" s="60" t="str">
        <f t="shared" si="525"/>
        <v/>
      </c>
      <c r="FM295" s="60" t="e">
        <f>IF($FL295="",#N/A,SUM($FL$4:FL295))</f>
        <v>#N/A</v>
      </c>
      <c r="FN295" s="82">
        <f t="shared" si="526"/>
        <v>-6.5322881672266991E-2</v>
      </c>
      <c r="FO295" s="82">
        <f>IF($FN295="",#N/A,SUM(FN$4:$FN295))</f>
        <v>62.413045751479125</v>
      </c>
      <c r="FP295" s="82">
        <f t="shared" si="546"/>
        <v>0.83986562150056143</v>
      </c>
      <c r="FQ295" s="246">
        <f>IF($EH295="",#N/A,SUM($FP$4:FP295))</f>
        <v>56.11393988581483</v>
      </c>
      <c r="FR295" s="82">
        <f>IFERROR(FQ295/COUNTA($J$4:J295),#N/A)</f>
        <v>0.19217102700621516</v>
      </c>
      <c r="FS295" s="82">
        <f t="shared" si="448"/>
        <v>0.29910023294799559</v>
      </c>
      <c r="FT295" s="82">
        <f t="shared" si="449"/>
        <v>8.8392579990534445E-2</v>
      </c>
      <c r="FU295" s="338">
        <f t="shared" si="551"/>
        <v>30.746501867880092</v>
      </c>
      <c r="FV295" s="57" t="str">
        <f t="shared" si="552"/>
        <v>Up</v>
      </c>
      <c r="FW295" s="57" t="s">
        <v>2733</v>
      </c>
      <c r="FX295" s="57">
        <f t="shared" si="528"/>
        <v>1</v>
      </c>
      <c r="FY295" s="57" t="str">
        <f t="shared" si="529"/>
        <v/>
      </c>
      <c r="FZ295" s="57" t="str">
        <f t="shared" si="530"/>
        <v/>
      </c>
      <c r="GA295" s="57" t="str">
        <f t="shared" si="531"/>
        <v>Long</v>
      </c>
      <c r="GB295" s="57" t="str">
        <f t="shared" si="532"/>
        <v/>
      </c>
      <c r="GC295" s="57" t="str">
        <f t="shared" si="533"/>
        <v/>
      </c>
      <c r="GD295" s="57" t="str">
        <f t="shared" si="534"/>
        <v/>
      </c>
      <c r="GE295" s="62">
        <f t="shared" si="451"/>
        <v>17.86</v>
      </c>
      <c r="GF295" s="62" t="s">
        <v>2779</v>
      </c>
      <c r="GG295" s="199">
        <v>84</v>
      </c>
      <c r="GH295" s="207">
        <f t="shared" si="535"/>
        <v>1500.24</v>
      </c>
      <c r="GI295" s="199">
        <v>84</v>
      </c>
      <c r="GJ295" s="200">
        <v>18.760000000000002</v>
      </c>
      <c r="GK295" s="63">
        <f t="shared" si="536"/>
        <v>75.600000000000136</v>
      </c>
      <c r="GL295" s="63">
        <f t="shared" si="452"/>
        <v>-5.8800000000001091</v>
      </c>
      <c r="GM295" s="82" t="str">
        <f t="shared" si="537"/>
        <v/>
      </c>
      <c r="GN295" s="82">
        <f>IF($GZ295="",#N/A,SUM(GM$4:GM295))</f>
        <v>10.509237101892101</v>
      </c>
      <c r="GO295" s="82">
        <f t="shared" si="538"/>
        <v>-6.5322881672266991E-2</v>
      </c>
      <c r="GP295" s="82">
        <f>IF($GZ295="",#N/A,SUM(GO$4:GO295))</f>
        <v>15.568923176323505</v>
      </c>
      <c r="GQ295" s="82" t="str">
        <f t="shared" si="539"/>
        <v/>
      </c>
      <c r="GR295" s="82">
        <f>IF($GZ295="",#N/A,SUM(GQ$4:GQ295))</f>
        <v>35.709048518821184</v>
      </c>
      <c r="GS295" s="63" t="str">
        <f t="shared" si="548"/>
        <v/>
      </c>
      <c r="GT295" s="63" t="e">
        <f>IF($GZ295="",#N/A,SUM(GS$4:GS295))</f>
        <v>#N/A</v>
      </c>
      <c r="GU295" s="63" t="e">
        <f t="shared" si="549"/>
        <v>#N/A</v>
      </c>
      <c r="GV295" s="63" t="e">
        <f>IF($GZ295="",#N/A,SUM(GU$4:GU295))</f>
        <v>#N/A</v>
      </c>
      <c r="GW295" s="63" t="str">
        <f t="shared" si="550"/>
        <v/>
      </c>
      <c r="GX295" s="63" t="e">
        <f>IF($GZ295="",#N/A,SUM(GW$4:GW295))</f>
        <v>#N/A</v>
      </c>
      <c r="GY295" s="63" t="e">
        <f>IF(EJ295="",#N/A,SUM($EJ$4:EJ295))</f>
        <v>#N/A</v>
      </c>
      <c r="GZ295" s="159">
        <v>17.79</v>
      </c>
      <c r="HA295" s="63">
        <f t="shared" si="540"/>
        <v>-81.480000000000246</v>
      </c>
      <c r="HB295" s="62" t="s">
        <v>2538</v>
      </c>
      <c r="HC295" s="60">
        <f>IFERROR(VLOOKUP(E295,Expectancy!$P$4:$S$19,1+C295,FALSE),"")</f>
        <v>1.0051961559281768</v>
      </c>
      <c r="HD295" s="82">
        <f t="shared" si="541"/>
        <v>0.83986562150056143</v>
      </c>
      <c r="HE295" s="138">
        <f>IF(HD295="",#N/A,SUM($HD$4:HD295))</f>
        <v>10.837438017934737</v>
      </c>
      <c r="HF295" s="85">
        <f>IF(HD295="",#N/A,IF(HB295="Skip",#N/A,SUM($HG$4:HG295)))</f>
        <v>457.18657921915536</v>
      </c>
      <c r="HG295" s="63">
        <f t="shared" si="542"/>
        <v>75.600000000000136</v>
      </c>
      <c r="HH295" s="82">
        <f t="shared" si="543"/>
        <v>-6.5322881672266991E-2</v>
      </c>
    </row>
    <row r="296" spans="1:216" x14ac:dyDescent="0.25">
      <c r="A296" s="57" t="s">
        <v>1372</v>
      </c>
      <c r="B296" s="58" t="s">
        <v>5238</v>
      </c>
      <c r="C296" s="386">
        <f t="shared" si="453"/>
        <v>1</v>
      </c>
      <c r="D296" s="372" t="str">
        <f>_xlfn.XLOOKUP(A296,[1]SP500!$A$2:$A$502,[1]SP500!$D$2:$D$502,"N")</f>
        <v>Y</v>
      </c>
      <c r="E296" s="57" t="str">
        <f>_xlfn.XLOOKUP(A296,[1]SP500!$A$2:$A$655,[1]SP500!$B$2:$B$655)</f>
        <v>XLF</v>
      </c>
      <c r="F296" s="59">
        <v>45700</v>
      </c>
      <c r="G296" s="57" t="str">
        <f t="shared" si="454"/>
        <v>BMO</v>
      </c>
      <c r="H296" s="57" t="str">
        <f t="shared" si="455"/>
        <v>s</v>
      </c>
      <c r="I296" s="159">
        <v>241.74</v>
      </c>
      <c r="J296" s="159">
        <v>245.86</v>
      </c>
      <c r="K296" s="61">
        <f t="shared" si="456"/>
        <v>1.7043104161495841E-2</v>
      </c>
      <c r="L296" s="87">
        <f t="shared" si="457"/>
        <v>24.720000000000027</v>
      </c>
      <c r="M296" s="130">
        <f t="shared" si="450"/>
        <v>0</v>
      </c>
      <c r="N296" s="169">
        <f t="shared" si="458"/>
        <v>24.720000000000027</v>
      </c>
      <c r="O296" s="169">
        <f>IF($J296="",#N/A,SUM($N$4:N296))</f>
        <v>575.29671935422516</v>
      </c>
      <c r="P296" s="174" t="str">
        <f t="shared" si="459"/>
        <v/>
      </c>
      <c r="Q296" s="174">
        <f>IF($J296="",#N/A,SUM($P$4:P296))</f>
        <v>477.05890674734189</v>
      </c>
      <c r="R296" s="178" t="str">
        <f t="shared" si="460"/>
        <v/>
      </c>
      <c r="S296" s="178">
        <f>IF($J296="",#N/A,SUM($R$4:R296))</f>
        <v>550.03445814372753</v>
      </c>
      <c r="T296" s="290">
        <f t="shared" si="461"/>
        <v>0.28405173602493067</v>
      </c>
      <c r="U296" s="290">
        <f>IF($J296="",#N/A,SUM($T$4:T296))</f>
        <v>18.955339712256752</v>
      </c>
      <c r="V296" s="291" t="str">
        <f t="shared" si="462"/>
        <v/>
      </c>
      <c r="W296" s="291">
        <f>IF($J296="",#N/A,SUM($V$4:V296))</f>
        <v>24.286592424010003</v>
      </c>
      <c r="X296" s="292" t="str">
        <f t="shared" si="463"/>
        <v/>
      </c>
      <c r="Y296" s="292">
        <f>IF($J296="",#N/A,SUM($X$4:X296))</f>
        <v>13.15605948557301</v>
      </c>
      <c r="Z296" s="304" t="str">
        <f t="shared" si="464"/>
        <v/>
      </c>
      <c r="AA296" s="313" t="e">
        <f>IF($J296="",#N/A,SUM(Z$4:Z296))</f>
        <v>#N/A</v>
      </c>
      <c r="AB296" s="314" t="str">
        <f t="shared" si="465"/>
        <v/>
      </c>
      <c r="AC296" s="314" t="e">
        <f>IF($J296="",#N/A,SUM(AB$4:AB296))</f>
        <v>#N/A</v>
      </c>
      <c r="AD296" s="315" t="str">
        <f t="shared" si="466"/>
        <v/>
      </c>
      <c r="AE296" s="315" t="e">
        <f>IF($J296="",#N/A,SUM(AD$4:AD296))</f>
        <v>#N/A</v>
      </c>
      <c r="AF296" s="315" t="e">
        <f>IF($J296="",#N/A,SUM(AD$4:AD296,AB$4:AB296,Z$4:Z296))</f>
        <v>#N/A</v>
      </c>
      <c r="AG296" s="304" t="str">
        <f t="shared" si="467"/>
        <v/>
      </c>
      <c r="AH296" s="313" t="e">
        <f>IF($J296="",#N/A,SUM(AG$4:AG296))</f>
        <v>#N/A</v>
      </c>
      <c r="AI296" s="314" t="str">
        <f t="shared" si="468"/>
        <v/>
      </c>
      <c r="AJ296" s="314" t="e">
        <f>IF($J296="",#N/A,SUM(AI$4:AI296))</f>
        <v>#N/A</v>
      </c>
      <c r="AK296" s="315" t="str">
        <f t="shared" si="469"/>
        <v/>
      </c>
      <c r="AL296" s="315" t="e">
        <f>IF($J296="",#N/A,SUM(AK$4:AK296))</f>
        <v>#N/A</v>
      </c>
      <c r="AM296" s="315" t="e">
        <f>IF($J296="",#N/A,SUM(AK$4:AK296,AI$4:AI296,AG$4:AG296))</f>
        <v>#N/A</v>
      </c>
      <c r="AN296" s="304" t="str">
        <f t="shared" si="470"/>
        <v/>
      </c>
      <c r="AO296" s="313" t="e">
        <f>IF($J296="",#N/A,SUM(AN$4:AN296))</f>
        <v>#N/A</v>
      </c>
      <c r="AP296" s="314" t="str">
        <f t="shared" si="471"/>
        <v/>
      </c>
      <c r="AQ296" s="314" t="e">
        <f>IF($J296="",#N/A,SUM(AP$4:AP296))</f>
        <v>#N/A</v>
      </c>
      <c r="AR296" s="315" t="str">
        <f t="shared" si="472"/>
        <v/>
      </c>
      <c r="AS296" s="315" t="e">
        <f>IF($J296="",#N/A,SUM(AR$4:AR296))</f>
        <v>#N/A</v>
      </c>
      <c r="AT296" s="315" t="e">
        <f>IF($J296="",#N/A,SUM(AR$4:AR296,AP$4:AP296,AN$4:AN296))</f>
        <v>#N/A</v>
      </c>
      <c r="AU296" s="304" t="str">
        <f t="shared" si="473"/>
        <v/>
      </c>
      <c r="AV296" s="313" t="e">
        <f>IF($J296="",#N/A,SUM(AU$4:AU296))</f>
        <v>#N/A</v>
      </c>
      <c r="AW296" s="314" t="str">
        <f t="shared" si="474"/>
        <v/>
      </c>
      <c r="AX296" s="314" t="e">
        <f>IF($J296="",#N/A,SUM(AW$4:AW296))</f>
        <v>#N/A</v>
      </c>
      <c r="AY296" s="315" t="str">
        <f t="shared" si="475"/>
        <v/>
      </c>
      <c r="AZ296" s="315" t="e">
        <f>IF($J296="",#N/A,SUM(AY$4:AY296))</f>
        <v>#N/A</v>
      </c>
      <c r="BA296" s="315" t="e">
        <f>IF($J296="",#N/A,SUM(AY$4:AY296,AW$4:AW296,AU$4:AU296))</f>
        <v>#N/A</v>
      </c>
      <c r="BB296" s="304" t="str">
        <f t="shared" si="476"/>
        <v/>
      </c>
      <c r="BC296" s="313" t="e">
        <f>IF($J296="",#N/A,SUM(BB$4:BB296))</f>
        <v>#N/A</v>
      </c>
      <c r="BD296" s="314" t="str">
        <f t="shared" si="477"/>
        <v/>
      </c>
      <c r="BE296" s="314" t="e">
        <f>IF($J296="",#N/A,SUM(BD$4:BD296))</f>
        <v>#N/A</v>
      </c>
      <c r="BF296" s="315" t="str">
        <f t="shared" si="478"/>
        <v/>
      </c>
      <c r="BG296" s="315" t="e">
        <f>IF($J296="",#N/A,SUM(BF$4:BF296))</f>
        <v>#N/A</v>
      </c>
      <c r="BH296" s="315" t="e">
        <f>IF($J296="",#N/A,SUM(BF$4:BF296,BD$4:BD296,BB$4:BB296))</f>
        <v>#N/A</v>
      </c>
      <c r="BI296" s="304">
        <f t="shared" si="479"/>
        <v>0.28405173602493067</v>
      </c>
      <c r="BJ296" s="313" t="e">
        <f>IF($J296="",#N/A,SUM(BI$4:BI296))</f>
        <v>#N/A</v>
      </c>
      <c r="BK296" s="314" t="str">
        <f t="shared" si="480"/>
        <v/>
      </c>
      <c r="BL296" s="314" t="e">
        <f>IF($J296="",#N/A,SUM(BK$4:BK296))</f>
        <v>#N/A</v>
      </c>
      <c r="BM296" s="315" t="str">
        <f t="shared" si="481"/>
        <v/>
      </c>
      <c r="BN296" s="315" t="e">
        <f>IF($J296="",#N/A,SUM(BM$4:BM296))</f>
        <v>#N/A</v>
      </c>
      <c r="BO296" s="315" t="e">
        <f>IF($J296="",#N/A,SUM(BM$4:BM296,BK$4:BK296,BI$4:BI296))</f>
        <v>#N/A</v>
      </c>
      <c r="BP296" s="304" t="str">
        <f t="shared" si="482"/>
        <v/>
      </c>
      <c r="BQ296" s="313" t="e">
        <f>IF($J296="",#N/A,SUM(BP$4:BP296))</f>
        <v>#N/A</v>
      </c>
      <c r="BR296" s="314" t="str">
        <f t="shared" si="483"/>
        <v/>
      </c>
      <c r="BS296" s="314" t="e">
        <f>IF($J296="",#N/A,SUM(BR$4:BR296))</f>
        <v>#N/A</v>
      </c>
      <c r="BT296" s="315" t="str">
        <f t="shared" si="484"/>
        <v/>
      </c>
      <c r="BU296" s="315" t="e">
        <f>IF($J296="",#N/A,SUM(BT$4:BT296))</f>
        <v>#N/A</v>
      </c>
      <c r="BV296" s="315" t="e">
        <f>IF($J296="",#N/A,SUM(BT$4:BT296,BR$4:BR296,BP$4:BP296))</f>
        <v>#N/A</v>
      </c>
      <c r="BW296" s="304" t="str">
        <f t="shared" si="485"/>
        <v/>
      </c>
      <c r="BX296" s="313" t="e">
        <f>IF($J296="",#N/A,SUM(BW$4:BW296))</f>
        <v>#N/A</v>
      </c>
      <c r="BY296" s="314" t="str">
        <f t="shared" si="486"/>
        <v/>
      </c>
      <c r="BZ296" s="314" t="e">
        <f>IF($J296="",#N/A,SUM(BY$4:BY296))</f>
        <v>#N/A</v>
      </c>
      <c r="CA296" s="315" t="str">
        <f t="shared" si="487"/>
        <v/>
      </c>
      <c r="CB296" s="315" t="e">
        <f>IF($J296="",#N/A,SUM(CA$4:CA296))</f>
        <v>#N/A</v>
      </c>
      <c r="CC296" s="315" t="e">
        <f>IF($J296="",#N/A,SUM(CA$4:CA296,BY$4:BY296,BW$4:BW296))</f>
        <v>#N/A</v>
      </c>
      <c r="CD296" s="304" t="str">
        <f t="shared" si="488"/>
        <v/>
      </c>
      <c r="CE296" s="313" t="e">
        <f>IF($J296="",#N/A,SUM(CD$4:CD296))</f>
        <v>#N/A</v>
      </c>
      <c r="CF296" s="314" t="str">
        <f t="shared" si="489"/>
        <v/>
      </c>
      <c r="CG296" s="314" t="e">
        <f>IF($J296="",#N/A,SUM(CF$4:CF296))</f>
        <v>#N/A</v>
      </c>
      <c r="CH296" s="315" t="str">
        <f t="shared" si="490"/>
        <v/>
      </c>
      <c r="CI296" s="315" t="e">
        <f>IF($J296="",#N/A,SUM(CH$4:CH296))</f>
        <v>#N/A</v>
      </c>
      <c r="CJ296" s="315" t="e">
        <f>IF($J296="",#N/A,SUM(CH$4:CH296,CF$4:CF296,CD$4:CD296))</f>
        <v>#N/A</v>
      </c>
      <c r="CK296" s="304" t="str">
        <f t="shared" si="491"/>
        <v/>
      </c>
      <c r="CL296" s="313" t="e">
        <f>IF($J296="",#N/A,SUM(CK$4:CK296))</f>
        <v>#N/A</v>
      </c>
      <c r="CM296" s="314" t="str">
        <f t="shared" si="492"/>
        <v/>
      </c>
      <c r="CN296" s="314" t="e">
        <f>IF($J296="",#N/A,SUM(CM$4:CM296))</f>
        <v>#N/A</v>
      </c>
      <c r="CO296" s="315" t="str">
        <f t="shared" si="493"/>
        <v/>
      </c>
      <c r="CP296" s="315" t="e">
        <f>IF($J296="",#N/A,SUM(CO$4:CO296))</f>
        <v>#N/A</v>
      </c>
      <c r="CQ296" s="315" t="e">
        <f>IF($J296="",#N/A,SUM(CO$4:CO296,CM$4:CM296,CK$4:CK296))</f>
        <v>#N/A</v>
      </c>
      <c r="CR296" s="304" t="str">
        <f t="shared" si="494"/>
        <v/>
      </c>
      <c r="CS296" s="313" t="e">
        <f>IF($J296="",#N/A,SUM(CR$4:CR296))</f>
        <v>#N/A</v>
      </c>
      <c r="CT296" s="314" t="str">
        <f t="shared" si="495"/>
        <v/>
      </c>
      <c r="CU296" s="314" t="e">
        <f>IF($J296="",#N/A,SUM(CT$4:CT296))</f>
        <v>#N/A</v>
      </c>
      <c r="CV296" s="315" t="str">
        <f t="shared" si="496"/>
        <v/>
      </c>
      <c r="CW296" s="315" t="e">
        <f>IF($J296="",#N/A,SUM(CV$4:CV296))</f>
        <v>#N/A</v>
      </c>
      <c r="CX296" s="315" t="e">
        <f>IF($J296="",#N/A,SUM(CV$4:CV296,CT$4:CT296,CR$4:CR296))</f>
        <v>#N/A</v>
      </c>
      <c r="CY296" s="304" t="str">
        <f t="shared" si="497"/>
        <v/>
      </c>
      <c r="CZ296" s="313" t="e">
        <f>IF($J296="",#N/A,SUM(CY$4:CY296))</f>
        <v>#N/A</v>
      </c>
      <c r="DA296" s="314" t="str">
        <f t="shared" si="498"/>
        <v/>
      </c>
      <c r="DB296" s="314" t="e">
        <f>IF($J296="",#N/A,SUM(DA$4:DA296))</f>
        <v>#N/A</v>
      </c>
      <c r="DC296" s="315" t="str">
        <f t="shared" si="499"/>
        <v/>
      </c>
      <c r="DD296" s="315" t="e">
        <f>IF($J296="",#N/A,SUM(DC$4:DC296))</f>
        <v>#N/A</v>
      </c>
      <c r="DE296" s="315" t="e">
        <f>IF($J296="",#N/A,SUM(DC$4:DC296,DA$4:DA296,CY$4:CY296))</f>
        <v>#N/A</v>
      </c>
      <c r="DF296" s="304" t="str">
        <f t="shared" si="500"/>
        <v/>
      </c>
      <c r="DG296" s="313" t="e">
        <f>IF($J296="",#N/A,SUM(DF$4:DF296))</f>
        <v>#N/A</v>
      </c>
      <c r="DH296" s="314" t="str">
        <f t="shared" si="501"/>
        <v/>
      </c>
      <c r="DI296" s="314" t="e">
        <f>IF($J296="",#N/A,SUM(DH$4:DH296))</f>
        <v>#N/A</v>
      </c>
      <c r="DJ296" s="315" t="str">
        <f t="shared" si="502"/>
        <v/>
      </c>
      <c r="DK296" s="315" t="e">
        <f>IF($J296="",#N/A,SUM(DJ$4:DJ296))</f>
        <v>#N/A</v>
      </c>
      <c r="DL296" s="315" t="e">
        <f>IF($J296="",#N/A,SUM(DJ$4:DJ296,DH$4:DH296,DF$4:DF296))</f>
        <v>#N/A</v>
      </c>
      <c r="DM296" s="304" t="str">
        <f t="shared" si="503"/>
        <v/>
      </c>
      <c r="DN296" s="313" t="e">
        <f>IF($J296="",#N/A,SUM(DM$4:DM296))</f>
        <v>#N/A</v>
      </c>
      <c r="DO296" s="314" t="str">
        <f t="shared" si="504"/>
        <v/>
      </c>
      <c r="DP296" s="314" t="e">
        <f>IF($J296="",#N/A,SUM(DO$4:DO296))</f>
        <v>#N/A</v>
      </c>
      <c r="DQ296" s="315" t="str">
        <f t="shared" si="505"/>
        <v/>
      </c>
      <c r="DR296" s="315" t="e">
        <f>IF($J296="",#N/A,SUM(DQ$4:DQ296))</f>
        <v>#N/A</v>
      </c>
      <c r="DS296" s="315" t="e">
        <f>IF($J296="",#N/A,SUM(DQ$4:DQ296,DO$4:DO296,DM$4:DM296))</f>
        <v>#N/A</v>
      </c>
      <c r="DT296" s="304" t="str">
        <f t="shared" si="506"/>
        <v/>
      </c>
      <c r="DU296" s="313" t="e">
        <f>IF($J296="",#N/A,SUM(DT$4:DT296))</f>
        <v>#N/A</v>
      </c>
      <c r="DV296" s="314" t="str">
        <f t="shared" si="507"/>
        <v/>
      </c>
      <c r="DW296" s="314" t="e">
        <f>IF($J296="",#N/A,SUM(DV$4:DV296))</f>
        <v>#N/A</v>
      </c>
      <c r="DX296" s="315" t="str">
        <f t="shared" si="508"/>
        <v/>
      </c>
      <c r="DY296" s="315" t="e">
        <f>IF($J296="",#N/A,SUM(DX$4:DX296))</f>
        <v>#N/A</v>
      </c>
      <c r="DZ296" s="315" t="e">
        <f>IF($J296="",#N/A,SUM(DX$4:DX296,DV$4:DV296,DT$4:DT296))</f>
        <v>#N/A</v>
      </c>
      <c r="EA296" s="304" t="str">
        <f t="shared" si="509"/>
        <v/>
      </c>
      <c r="EB296" s="313" t="e">
        <f>IF($J296="",#N/A,SUM(EA$4:EA296))</f>
        <v>#N/A</v>
      </c>
      <c r="EC296" s="314" t="str">
        <f t="shared" si="510"/>
        <v/>
      </c>
      <c r="ED296" s="314" t="e">
        <f>IF($J296="",#N/A,SUM(EC$4:EC296))</f>
        <v>#N/A</v>
      </c>
      <c r="EE296" s="315" t="str">
        <f t="shared" si="511"/>
        <v/>
      </c>
      <c r="EF296" s="315" t="e">
        <f>IF($J296="",#N/A,SUM(EE$4:EE296))</f>
        <v>#N/A</v>
      </c>
      <c r="EG296" s="315" t="e">
        <f>IF($J296="",#N/A,SUM(EE$4:EE296,EC$4:EC296,EA$4:EA296))</f>
        <v>#N/A</v>
      </c>
      <c r="EH296" s="130">
        <f t="shared" si="512"/>
        <v>24.720000000000027</v>
      </c>
      <c r="EI296" s="63">
        <f>IF(EH296="",#N/A,SUM($EH$4:EH296))</f>
        <v>1602.3900842452947</v>
      </c>
      <c r="EJ296" s="223" t="e">
        <f t="shared" si="513"/>
        <v>#N/A</v>
      </c>
      <c r="EK296" s="63" t="e">
        <f>IF($GZ296="",#N/A,SUM(EJ$4:EJ296))</f>
        <v>#N/A</v>
      </c>
      <c r="EL296" s="60">
        <f t="shared" si="544"/>
        <v>0.28405173602493067</v>
      </c>
      <c r="EM296" s="60">
        <f>IF(EL296="",NA(),SUM($EL$4:EL296))</f>
        <v>44.50073220949497</v>
      </c>
      <c r="EN296" s="60">
        <f t="shared" si="514"/>
        <v>0.28405173602493067</v>
      </c>
      <c r="EO296" s="60">
        <f>IF(EN296="",NA(),SUM($EN$4:EN296))</f>
        <v>16.158767266105468</v>
      </c>
      <c r="EP296" s="60" t="str">
        <f t="shared" si="515"/>
        <v/>
      </c>
      <c r="EQ296" s="60" t="e">
        <f>IF(EP296="",NA(),SUM($EP$4:EP296))</f>
        <v>#N/A</v>
      </c>
      <c r="ER296" s="60" t="str">
        <f t="shared" si="516"/>
        <v/>
      </c>
      <c r="ES296" s="60" t="e">
        <f>IF(ER296="",NA(),SUM($ER$4:ER296))</f>
        <v>#N/A</v>
      </c>
      <c r="ET296" s="60" t="str">
        <f t="shared" si="517"/>
        <v/>
      </c>
      <c r="EU296" s="60" t="e">
        <f>IF(ET296="",NA(),SUM($ET$4:ET296))</f>
        <v>#N/A</v>
      </c>
      <c r="EV296" s="60" t="str">
        <f t="shared" si="518"/>
        <v/>
      </c>
      <c r="EW296" s="60" t="e">
        <f>IF(EV296="",NA(),SUM($EV$4:EV296))</f>
        <v>#N/A</v>
      </c>
      <c r="EX296" s="60" t="str">
        <f t="shared" si="519"/>
        <v/>
      </c>
      <c r="EY296" s="60" t="e">
        <f>IF(EX296="",NA(),SUM($EX$4:EX296))</f>
        <v>#N/A</v>
      </c>
      <c r="EZ296" s="60" t="str">
        <f t="shared" si="520"/>
        <v/>
      </c>
      <c r="FA296" s="60" t="e">
        <f>IF(EZ296="",NA(),SUM($EZ$4:EZ296))</f>
        <v>#N/A</v>
      </c>
      <c r="FB296" s="246" t="str">
        <f t="shared" si="545"/>
        <v/>
      </c>
      <c r="FC296" s="246" t="e">
        <f>IF($FB296="",#N/A,SUM(FB$4:$FB296))</f>
        <v>#N/A</v>
      </c>
      <c r="FD296" s="60" t="str">
        <f t="shared" si="521"/>
        <v/>
      </c>
      <c r="FE296" s="60" t="e">
        <f>IF($FD296="",#N/A,SUM($FD$4:FD296))</f>
        <v>#N/A</v>
      </c>
      <c r="FF296" s="60">
        <f t="shared" si="522"/>
        <v>0.21372824797992235</v>
      </c>
      <c r="FG296" s="60">
        <f>IF($FF296="",#N/A,SUM($FF$4:FF296))</f>
        <v>-5.0807363561658052</v>
      </c>
      <c r="FH296" s="60" t="str">
        <f t="shared" si="523"/>
        <v/>
      </c>
      <c r="FI296" s="60" t="e">
        <f>IF($FH296="",#N/A,SUM($FH$4:FH296))</f>
        <v>#N/A</v>
      </c>
      <c r="FJ296" s="60" t="str">
        <f t="shared" si="524"/>
        <v/>
      </c>
      <c r="FK296" s="60" t="e">
        <f>IF($FJ296="",#N/A,SUM($FJ$4:FJ296))</f>
        <v>#N/A</v>
      </c>
      <c r="FL296" s="60" t="str">
        <f t="shared" si="525"/>
        <v/>
      </c>
      <c r="FM296" s="60" t="e">
        <f>IF($FL296="",#N/A,SUM($FL$4:FL296))</f>
        <v>#N/A</v>
      </c>
      <c r="FN296" s="82">
        <f t="shared" si="526"/>
        <v>0.49777998400485302</v>
      </c>
      <c r="FO296" s="82">
        <f>IF($FN296="",#N/A,SUM(FN$4:$FN296))</f>
        <v>62.910825735483975</v>
      </c>
      <c r="FP296" s="82">
        <f t="shared" si="546"/>
        <v>0.28405173602493067</v>
      </c>
      <c r="FQ296" s="246">
        <f>IF($EH296="",#N/A,SUM($FP$4:FP296))</f>
        <v>56.397991621839758</v>
      </c>
      <c r="FR296" s="82">
        <f>IFERROR(FQ296/COUNTA($J$4:J296),#N/A)</f>
        <v>0.1924846130438217</v>
      </c>
      <c r="FS296" s="82">
        <f t="shared" si="448"/>
        <v>0.30500103368232645</v>
      </c>
      <c r="FT296" s="82">
        <f t="shared" si="449"/>
        <v>0.11631609896830299</v>
      </c>
      <c r="FU296" s="338">
        <f t="shared" si="551"/>
        <v>30.746501867880085</v>
      </c>
      <c r="FV296" s="57" t="str">
        <f t="shared" si="552"/>
        <v>Up</v>
      </c>
      <c r="FW296" s="57" t="s">
        <v>2733</v>
      </c>
      <c r="FX296" s="57">
        <f t="shared" si="528"/>
        <v>1</v>
      </c>
      <c r="FY296" s="57" t="str">
        <f t="shared" si="529"/>
        <v/>
      </c>
      <c r="FZ296" s="57" t="str">
        <f t="shared" si="530"/>
        <v/>
      </c>
      <c r="GA296" s="57" t="str">
        <f t="shared" si="531"/>
        <v>Long</v>
      </c>
      <c r="GB296" s="57" t="str">
        <f t="shared" si="532"/>
        <v/>
      </c>
      <c r="GC296" s="57" t="str">
        <f t="shared" si="533"/>
        <v/>
      </c>
      <c r="GD296" s="57" t="str">
        <f t="shared" si="534"/>
        <v/>
      </c>
      <c r="GE296" s="62">
        <f t="shared" si="451"/>
        <v>241.74</v>
      </c>
      <c r="GF296" s="62" t="s">
        <v>2779</v>
      </c>
      <c r="GG296" s="199">
        <v>6</v>
      </c>
      <c r="GH296" s="207">
        <f t="shared" si="535"/>
        <v>1450.44</v>
      </c>
      <c r="GI296" s="199">
        <v>6</v>
      </c>
      <c r="GJ296" s="200">
        <v>245.86</v>
      </c>
      <c r="GK296" s="63">
        <f t="shared" si="536"/>
        <v>24.720000000000027</v>
      </c>
      <c r="GL296" s="63">
        <f t="shared" si="452"/>
        <v>43.319999999999936</v>
      </c>
      <c r="GM296" s="82" t="str">
        <f t="shared" si="537"/>
        <v/>
      </c>
      <c r="GN296" s="82">
        <f>IF($GZ296="",#N/A,SUM(GM$4:GM296))</f>
        <v>10.509237101892101</v>
      </c>
      <c r="GO296" s="82">
        <f t="shared" si="538"/>
        <v>0.49777998400485302</v>
      </c>
      <c r="GP296" s="82">
        <f>IF($GZ296="",#N/A,SUM(GO$4:GO296))</f>
        <v>16.066703160328359</v>
      </c>
      <c r="GQ296" s="82" t="str">
        <f t="shared" si="539"/>
        <v/>
      </c>
      <c r="GR296" s="82">
        <f>IF($GZ296="",#N/A,SUM(GQ$4:GQ296))</f>
        <v>35.709048518821184</v>
      </c>
      <c r="GS296" s="63" t="str">
        <f t="shared" si="548"/>
        <v/>
      </c>
      <c r="GT296" s="63" t="e">
        <f>IF($GZ296="",#N/A,SUM(GS$4:GS296))</f>
        <v>#N/A</v>
      </c>
      <c r="GU296" s="63" t="e">
        <f t="shared" si="549"/>
        <v>#N/A</v>
      </c>
      <c r="GV296" s="63" t="e">
        <f>IF($GZ296="",#N/A,SUM(GU$4:GU296))</f>
        <v>#N/A</v>
      </c>
      <c r="GW296" s="63" t="str">
        <f t="shared" si="550"/>
        <v/>
      </c>
      <c r="GX296" s="63" t="e">
        <f>IF($GZ296="",#N/A,SUM(GW$4:GW296))</f>
        <v>#N/A</v>
      </c>
      <c r="GY296" s="63" t="e">
        <f>IF(EJ296="",#N/A,SUM($EJ$4:EJ296))</f>
        <v>#N/A</v>
      </c>
      <c r="GZ296" s="159">
        <v>248.96</v>
      </c>
      <c r="HA296" s="63">
        <f t="shared" si="540"/>
        <v>18.599999999999909</v>
      </c>
      <c r="HB296" s="62" t="s">
        <v>2538</v>
      </c>
      <c r="HC296" s="60">
        <f>IFERROR(VLOOKUP(E296,Expectancy!$P$4:$S$19,1+C296,FALSE),"")</f>
        <v>-7.9483352726509887E-2</v>
      </c>
      <c r="HD296" s="82">
        <f t="shared" si="541"/>
        <v>0.28405173602493067</v>
      </c>
      <c r="HE296" s="138">
        <f>IF(HD296="",#N/A,SUM($HD$4:HD296))</f>
        <v>11.121489753959668</v>
      </c>
      <c r="HF296" s="85">
        <f>IF(HD296="",#N/A,IF(HB296="Skip",#N/A,SUM($HG$4:HG296)))</f>
        <v>481.90657921915539</v>
      </c>
      <c r="HG296" s="63">
        <f t="shared" si="542"/>
        <v>24.720000000000027</v>
      </c>
      <c r="HH296" s="82">
        <f t="shared" si="543"/>
        <v>0.49777998400485302</v>
      </c>
    </row>
    <row r="297" spans="1:216" x14ac:dyDescent="0.25">
      <c r="A297" s="57" t="s">
        <v>277</v>
      </c>
      <c r="B297" s="58" t="s">
        <v>5238</v>
      </c>
      <c r="C297" s="386">
        <f t="shared" si="453"/>
        <v>3</v>
      </c>
      <c r="D297" s="372" t="str">
        <f>_xlfn.XLOOKUP(A297,[1]SP500!$A$2:$A$502,[1]SP500!$D$2:$D$502,"N")</f>
        <v>Y</v>
      </c>
      <c r="E297" s="57" t="str">
        <f>_xlfn.XLOOKUP(A297,[1]SP500!$A$2:$A$655,[1]SP500!$B$2:$B$655)</f>
        <v>XLV</v>
      </c>
      <c r="F297" s="59">
        <v>45700</v>
      </c>
      <c r="G297" s="57" t="str">
        <f t="shared" si="454"/>
        <v>BMO</v>
      </c>
      <c r="H297" s="57" t="str">
        <f t="shared" si="455"/>
        <v>s</v>
      </c>
      <c r="I297" s="158">
        <v>55</v>
      </c>
      <c r="J297" s="159">
        <v>60.61</v>
      </c>
      <c r="K297" s="61">
        <f t="shared" si="456"/>
        <v>0.10199999999999999</v>
      </c>
      <c r="L297" s="87">
        <f t="shared" si="457"/>
        <v>151.47000000000003</v>
      </c>
      <c r="M297" s="130">
        <f t="shared" si="450"/>
        <v>9.7200000000000273</v>
      </c>
      <c r="N297" s="169" t="str">
        <f t="shared" si="458"/>
        <v/>
      </c>
      <c r="O297" s="169">
        <f>IF($J297="",#N/A,SUM($N$4:N297))</f>
        <v>575.29671935422516</v>
      </c>
      <c r="P297" s="174" t="str">
        <f t="shared" si="459"/>
        <v/>
      </c>
      <c r="Q297" s="174">
        <f>IF($J297="",#N/A,SUM($P$4:P297))</f>
        <v>477.05890674734189</v>
      </c>
      <c r="R297" s="178">
        <f t="shared" si="460"/>
        <v>151.47000000000003</v>
      </c>
      <c r="S297" s="178">
        <f>IF($J297="",#N/A,SUM($R$4:R297))</f>
        <v>701.50445814372756</v>
      </c>
      <c r="T297" s="290" t="str">
        <f t="shared" si="461"/>
        <v/>
      </c>
      <c r="U297" s="290">
        <f>IF($J297="",#N/A,SUM($T$4:T297))</f>
        <v>18.955339712256752</v>
      </c>
      <c r="V297" s="291" t="str">
        <f t="shared" si="462"/>
        <v/>
      </c>
      <c r="W297" s="291">
        <f>IF($J297="",#N/A,SUM($V$4:V297))</f>
        <v>24.286592424010003</v>
      </c>
      <c r="X297" s="292">
        <f t="shared" si="463"/>
        <v>1.7000000000000004</v>
      </c>
      <c r="Y297" s="292">
        <f>IF($J297="",#N/A,SUM($X$4:X297))</f>
        <v>14.856059485573011</v>
      </c>
      <c r="Z297" s="304" t="str">
        <f t="shared" si="464"/>
        <v/>
      </c>
      <c r="AA297" s="313" t="e">
        <f>IF($J297="",#N/A,SUM(Z$4:Z297))</f>
        <v>#N/A</v>
      </c>
      <c r="AB297" s="314" t="str">
        <f t="shared" si="465"/>
        <v/>
      </c>
      <c r="AC297" s="314" t="e">
        <f>IF($J297="",#N/A,SUM(AB$4:AB297))</f>
        <v>#N/A</v>
      </c>
      <c r="AD297" s="315" t="str">
        <f t="shared" si="466"/>
        <v/>
      </c>
      <c r="AE297" s="315" t="e">
        <f>IF($J297="",#N/A,SUM(AD$4:AD297))</f>
        <v>#N/A</v>
      </c>
      <c r="AF297" s="315" t="e">
        <f>IF($J297="",#N/A,SUM(AD$4:AD297,AB$4:AB297,Z$4:Z297))</f>
        <v>#N/A</v>
      </c>
      <c r="AG297" s="304" t="str">
        <f t="shared" si="467"/>
        <v/>
      </c>
      <c r="AH297" s="313" t="e">
        <f>IF($J297="",#N/A,SUM(AG$4:AG297))</f>
        <v>#N/A</v>
      </c>
      <c r="AI297" s="314" t="str">
        <f t="shared" si="468"/>
        <v/>
      </c>
      <c r="AJ297" s="314" t="e">
        <f>IF($J297="",#N/A,SUM(AI$4:AI297))</f>
        <v>#N/A</v>
      </c>
      <c r="AK297" s="315" t="str">
        <f t="shared" si="469"/>
        <v/>
      </c>
      <c r="AL297" s="315" t="e">
        <f>IF($J297="",#N/A,SUM(AK$4:AK297))</f>
        <v>#N/A</v>
      </c>
      <c r="AM297" s="315" t="e">
        <f>IF($J297="",#N/A,SUM(AK$4:AK297,AI$4:AI297,AG$4:AG297))</f>
        <v>#N/A</v>
      </c>
      <c r="AN297" s="304" t="str">
        <f t="shared" si="470"/>
        <v/>
      </c>
      <c r="AO297" s="313" t="e">
        <f>IF($J297="",#N/A,SUM(AN$4:AN297))</f>
        <v>#N/A</v>
      </c>
      <c r="AP297" s="314" t="str">
        <f t="shared" si="471"/>
        <v/>
      </c>
      <c r="AQ297" s="314" t="e">
        <f>IF($J297="",#N/A,SUM(AP$4:AP297))</f>
        <v>#N/A</v>
      </c>
      <c r="AR297" s="315" t="str">
        <f t="shared" si="472"/>
        <v/>
      </c>
      <c r="AS297" s="315" t="e">
        <f>IF($J297="",#N/A,SUM(AR$4:AR297))</f>
        <v>#N/A</v>
      </c>
      <c r="AT297" s="315" t="e">
        <f>IF($J297="",#N/A,SUM(AR$4:AR297,AP$4:AP297,AN$4:AN297))</f>
        <v>#N/A</v>
      </c>
      <c r="AU297" s="304" t="str">
        <f t="shared" si="473"/>
        <v/>
      </c>
      <c r="AV297" s="313" t="e">
        <f>IF($J297="",#N/A,SUM(AU$4:AU297))</f>
        <v>#N/A</v>
      </c>
      <c r="AW297" s="314" t="str">
        <f t="shared" si="474"/>
        <v/>
      </c>
      <c r="AX297" s="314" t="e">
        <f>IF($J297="",#N/A,SUM(AW$4:AW297))</f>
        <v>#N/A</v>
      </c>
      <c r="AY297" s="315" t="str">
        <f t="shared" si="475"/>
        <v/>
      </c>
      <c r="AZ297" s="315" t="e">
        <f>IF($J297="",#N/A,SUM(AY$4:AY297))</f>
        <v>#N/A</v>
      </c>
      <c r="BA297" s="315" t="e">
        <f>IF($J297="",#N/A,SUM(AY$4:AY297,AW$4:AW297,AU$4:AU297))</f>
        <v>#N/A</v>
      </c>
      <c r="BB297" s="304" t="str">
        <f t="shared" si="476"/>
        <v/>
      </c>
      <c r="BC297" s="313" t="e">
        <f>IF($J297="",#N/A,SUM(BB$4:BB297))</f>
        <v>#N/A</v>
      </c>
      <c r="BD297" s="314" t="str">
        <f t="shared" si="477"/>
        <v/>
      </c>
      <c r="BE297" s="314" t="e">
        <f>IF($J297="",#N/A,SUM(BD$4:BD297))</f>
        <v>#N/A</v>
      </c>
      <c r="BF297" s="315" t="str">
        <f t="shared" si="478"/>
        <v/>
      </c>
      <c r="BG297" s="315" t="e">
        <f>IF($J297="",#N/A,SUM(BF$4:BF297))</f>
        <v>#N/A</v>
      </c>
      <c r="BH297" s="315" t="e">
        <f>IF($J297="",#N/A,SUM(BF$4:BF297,BD$4:BD297,BB$4:BB297))</f>
        <v>#N/A</v>
      </c>
      <c r="BI297" s="304" t="str">
        <f t="shared" si="479"/>
        <v/>
      </c>
      <c r="BJ297" s="313" t="e">
        <f>IF($J297="",#N/A,SUM(BI$4:BI297))</f>
        <v>#N/A</v>
      </c>
      <c r="BK297" s="314" t="str">
        <f t="shared" si="480"/>
        <v/>
      </c>
      <c r="BL297" s="314" t="e">
        <f>IF($J297="",#N/A,SUM(BK$4:BK297))</f>
        <v>#N/A</v>
      </c>
      <c r="BM297" s="315" t="str">
        <f t="shared" si="481"/>
        <v/>
      </c>
      <c r="BN297" s="315" t="e">
        <f>IF($J297="",#N/A,SUM(BM$4:BM297))</f>
        <v>#N/A</v>
      </c>
      <c r="BO297" s="315" t="e">
        <f>IF($J297="",#N/A,SUM(BM$4:BM297,BK$4:BK297,BI$4:BI297))</f>
        <v>#N/A</v>
      </c>
      <c r="BP297" s="304" t="str">
        <f t="shared" si="482"/>
        <v/>
      </c>
      <c r="BQ297" s="313" t="e">
        <f>IF($J297="",#N/A,SUM(BP$4:BP297))</f>
        <v>#N/A</v>
      </c>
      <c r="BR297" s="314" t="str">
        <f t="shared" si="483"/>
        <v/>
      </c>
      <c r="BS297" s="314" t="e">
        <f>IF($J297="",#N/A,SUM(BR$4:BR297))</f>
        <v>#N/A</v>
      </c>
      <c r="BT297" s="315" t="str">
        <f t="shared" si="484"/>
        <v/>
      </c>
      <c r="BU297" s="315" t="e">
        <f>IF($J297="",#N/A,SUM(BT$4:BT297))</f>
        <v>#N/A</v>
      </c>
      <c r="BV297" s="315" t="e">
        <f>IF($J297="",#N/A,SUM(BT$4:BT297,BR$4:BR297,BP$4:BP297))</f>
        <v>#N/A</v>
      </c>
      <c r="BW297" s="304" t="str">
        <f t="shared" si="485"/>
        <v/>
      </c>
      <c r="BX297" s="313" t="e">
        <f>IF($J297="",#N/A,SUM(BW$4:BW297))</f>
        <v>#N/A</v>
      </c>
      <c r="BY297" s="314" t="str">
        <f t="shared" si="486"/>
        <v/>
      </c>
      <c r="BZ297" s="314" t="e">
        <f>IF($J297="",#N/A,SUM(BY$4:BY297))</f>
        <v>#N/A</v>
      </c>
      <c r="CA297" s="315">
        <f t="shared" si="487"/>
        <v>1.7000000000000004</v>
      </c>
      <c r="CB297" s="315" t="e">
        <f>IF($J297="",#N/A,SUM(CA$4:CA297))</f>
        <v>#N/A</v>
      </c>
      <c r="CC297" s="315" t="e">
        <f>IF($J297="",#N/A,SUM(CA$4:CA297,BY$4:BY297,BW$4:BW297))</f>
        <v>#N/A</v>
      </c>
      <c r="CD297" s="304" t="str">
        <f t="shared" si="488"/>
        <v/>
      </c>
      <c r="CE297" s="313" t="e">
        <f>IF($J297="",#N/A,SUM(CD$4:CD297))</f>
        <v>#N/A</v>
      </c>
      <c r="CF297" s="314" t="str">
        <f t="shared" si="489"/>
        <v/>
      </c>
      <c r="CG297" s="314" t="e">
        <f>IF($J297="",#N/A,SUM(CF$4:CF297))</f>
        <v>#N/A</v>
      </c>
      <c r="CH297" s="315" t="str">
        <f t="shared" si="490"/>
        <v/>
      </c>
      <c r="CI297" s="315" t="e">
        <f>IF($J297="",#N/A,SUM(CH$4:CH297))</f>
        <v>#N/A</v>
      </c>
      <c r="CJ297" s="315" t="e">
        <f>IF($J297="",#N/A,SUM(CH$4:CH297,CF$4:CF297,CD$4:CD297))</f>
        <v>#N/A</v>
      </c>
      <c r="CK297" s="304" t="str">
        <f t="shared" si="491"/>
        <v/>
      </c>
      <c r="CL297" s="313" t="e">
        <f>IF($J297="",#N/A,SUM(CK$4:CK297))</f>
        <v>#N/A</v>
      </c>
      <c r="CM297" s="314" t="str">
        <f t="shared" si="492"/>
        <v/>
      </c>
      <c r="CN297" s="314" t="e">
        <f>IF($J297="",#N/A,SUM(CM$4:CM297))</f>
        <v>#N/A</v>
      </c>
      <c r="CO297" s="315" t="str">
        <f t="shared" si="493"/>
        <v/>
      </c>
      <c r="CP297" s="315" t="e">
        <f>IF($J297="",#N/A,SUM(CO$4:CO297))</f>
        <v>#N/A</v>
      </c>
      <c r="CQ297" s="315" t="e">
        <f>IF($J297="",#N/A,SUM(CO$4:CO297,CM$4:CM297,CK$4:CK297))</f>
        <v>#N/A</v>
      </c>
      <c r="CR297" s="304" t="str">
        <f t="shared" si="494"/>
        <v/>
      </c>
      <c r="CS297" s="313" t="e">
        <f>IF($J297="",#N/A,SUM(CR$4:CR297))</f>
        <v>#N/A</v>
      </c>
      <c r="CT297" s="314" t="str">
        <f t="shared" si="495"/>
        <v/>
      </c>
      <c r="CU297" s="314" t="e">
        <f>IF($J297="",#N/A,SUM(CT$4:CT297))</f>
        <v>#N/A</v>
      </c>
      <c r="CV297" s="315" t="str">
        <f t="shared" si="496"/>
        <v/>
      </c>
      <c r="CW297" s="315" t="e">
        <f>IF($J297="",#N/A,SUM(CV$4:CV297))</f>
        <v>#N/A</v>
      </c>
      <c r="CX297" s="315" t="e">
        <f>IF($J297="",#N/A,SUM(CV$4:CV297,CT$4:CT297,CR$4:CR297))</f>
        <v>#N/A</v>
      </c>
      <c r="CY297" s="304" t="str">
        <f t="shared" si="497"/>
        <v/>
      </c>
      <c r="CZ297" s="313" t="e">
        <f>IF($J297="",#N/A,SUM(CY$4:CY297))</f>
        <v>#N/A</v>
      </c>
      <c r="DA297" s="314" t="str">
        <f t="shared" si="498"/>
        <v/>
      </c>
      <c r="DB297" s="314" t="e">
        <f>IF($J297="",#N/A,SUM(DA$4:DA297))</f>
        <v>#N/A</v>
      </c>
      <c r="DC297" s="315" t="str">
        <f t="shared" si="499"/>
        <v/>
      </c>
      <c r="DD297" s="315" t="e">
        <f>IF($J297="",#N/A,SUM(DC$4:DC297))</f>
        <v>#N/A</v>
      </c>
      <c r="DE297" s="315" t="e">
        <f>IF($J297="",#N/A,SUM(DC$4:DC297,DA$4:DA297,CY$4:CY297))</f>
        <v>#N/A</v>
      </c>
      <c r="DF297" s="304" t="str">
        <f t="shared" si="500"/>
        <v/>
      </c>
      <c r="DG297" s="313" t="e">
        <f>IF($J297="",#N/A,SUM(DF$4:DF297))</f>
        <v>#N/A</v>
      </c>
      <c r="DH297" s="314" t="str">
        <f t="shared" si="501"/>
        <v/>
      </c>
      <c r="DI297" s="314" t="e">
        <f>IF($J297="",#N/A,SUM(DH$4:DH297))</f>
        <v>#N/A</v>
      </c>
      <c r="DJ297" s="315" t="str">
        <f t="shared" si="502"/>
        <v/>
      </c>
      <c r="DK297" s="315" t="e">
        <f>IF($J297="",#N/A,SUM(DJ$4:DJ297))</f>
        <v>#N/A</v>
      </c>
      <c r="DL297" s="315" t="e">
        <f>IF($J297="",#N/A,SUM(DJ$4:DJ297,DH$4:DH297,DF$4:DF297))</f>
        <v>#N/A</v>
      </c>
      <c r="DM297" s="304" t="str">
        <f t="shared" si="503"/>
        <v/>
      </c>
      <c r="DN297" s="313" t="e">
        <f>IF($J297="",#N/A,SUM(DM$4:DM297))</f>
        <v>#N/A</v>
      </c>
      <c r="DO297" s="314" t="str">
        <f t="shared" si="504"/>
        <v/>
      </c>
      <c r="DP297" s="314" t="e">
        <f>IF($J297="",#N/A,SUM(DO$4:DO297))</f>
        <v>#N/A</v>
      </c>
      <c r="DQ297" s="315" t="str">
        <f t="shared" si="505"/>
        <v/>
      </c>
      <c r="DR297" s="315" t="e">
        <f>IF($J297="",#N/A,SUM(DQ$4:DQ297))</f>
        <v>#N/A</v>
      </c>
      <c r="DS297" s="315" t="e">
        <f>IF($J297="",#N/A,SUM(DQ$4:DQ297,DO$4:DO297,DM$4:DM297))</f>
        <v>#N/A</v>
      </c>
      <c r="DT297" s="304" t="str">
        <f t="shared" si="506"/>
        <v/>
      </c>
      <c r="DU297" s="313" t="e">
        <f>IF($J297="",#N/A,SUM(DT$4:DT297))</f>
        <v>#N/A</v>
      </c>
      <c r="DV297" s="314" t="str">
        <f t="shared" si="507"/>
        <v/>
      </c>
      <c r="DW297" s="314" t="e">
        <f>IF($J297="",#N/A,SUM(DV$4:DV297))</f>
        <v>#N/A</v>
      </c>
      <c r="DX297" s="315" t="str">
        <f t="shared" si="508"/>
        <v/>
      </c>
      <c r="DY297" s="315" t="e">
        <f>IF($J297="",#N/A,SUM(DX$4:DX297))</f>
        <v>#N/A</v>
      </c>
      <c r="DZ297" s="315" t="e">
        <f>IF($J297="",#N/A,SUM(DX$4:DX297,DV$4:DV297,DT$4:DT297))</f>
        <v>#N/A</v>
      </c>
      <c r="EA297" s="304" t="str">
        <f t="shared" si="509"/>
        <v/>
      </c>
      <c r="EB297" s="313" t="e">
        <f>IF($J297="",#N/A,SUM(EA$4:EA297))</f>
        <v>#N/A</v>
      </c>
      <c r="EC297" s="314" t="str">
        <f t="shared" si="510"/>
        <v/>
      </c>
      <c r="ED297" s="314" t="e">
        <f>IF($J297="",#N/A,SUM(EC$4:EC297))</f>
        <v>#N/A</v>
      </c>
      <c r="EE297" s="315" t="str">
        <f t="shared" si="511"/>
        <v/>
      </c>
      <c r="EF297" s="315" t="e">
        <f>IF($J297="",#N/A,SUM(EE$4:EE297))</f>
        <v>#N/A</v>
      </c>
      <c r="EG297" s="315" t="e">
        <f>IF($J297="",#N/A,SUM(EE$4:EE297,EC$4:EC297,EA$4:EA297))</f>
        <v>#N/A</v>
      </c>
      <c r="EH297" s="130">
        <f t="shared" si="512"/>
        <v>151.47000000000003</v>
      </c>
      <c r="EI297" s="63">
        <f>IF(EH297="",#N/A,SUM($EH$4:EH297))</f>
        <v>1753.8600842452947</v>
      </c>
      <c r="EJ297" s="223" t="e">
        <f t="shared" si="513"/>
        <v>#N/A</v>
      </c>
      <c r="EK297" s="63" t="e">
        <f>IF($GZ297="",#N/A,SUM(EJ$4:EJ297))</f>
        <v>#N/A</v>
      </c>
      <c r="EL297" s="60">
        <f t="shared" si="544"/>
        <v>1.7000000000000004</v>
      </c>
      <c r="EM297" s="60">
        <f>IF(EL297="",NA(),SUM($EL$4:EL297))</f>
        <v>46.200732209494973</v>
      </c>
      <c r="EN297" s="60" t="str">
        <f t="shared" si="514"/>
        <v/>
      </c>
      <c r="EO297" s="60" t="e">
        <f>IF(EN297="",NA(),SUM($EN$4:EN297))</f>
        <v>#N/A</v>
      </c>
      <c r="EP297" s="60">
        <f t="shared" si="515"/>
        <v>1.7000000000000004</v>
      </c>
      <c r="EQ297" s="60">
        <f>IF(EP297="",NA(),SUM($EP$4:EP297))</f>
        <v>13.920915318839928</v>
      </c>
      <c r="ER297" s="60" t="str">
        <f t="shared" si="516"/>
        <v/>
      </c>
      <c r="ES297" s="60" t="e">
        <f>IF(ER297="",NA(),SUM($ER$4:ER297))</f>
        <v>#N/A</v>
      </c>
      <c r="ET297" s="60" t="str">
        <f t="shared" si="517"/>
        <v/>
      </c>
      <c r="EU297" s="60" t="e">
        <f>IF(ET297="",NA(),SUM($ET$4:ET297))</f>
        <v>#N/A</v>
      </c>
      <c r="EV297" s="60" t="str">
        <f t="shared" si="518"/>
        <v/>
      </c>
      <c r="EW297" s="60" t="e">
        <f>IF(EV297="",NA(),SUM($EV$4:EV297))</f>
        <v>#N/A</v>
      </c>
      <c r="EX297" s="60" t="str">
        <f t="shared" si="519"/>
        <v/>
      </c>
      <c r="EY297" s="60" t="e">
        <f>IF(EX297="",NA(),SUM($EX$4:EX297))</f>
        <v>#N/A</v>
      </c>
      <c r="EZ297" s="60" t="str">
        <f t="shared" si="520"/>
        <v/>
      </c>
      <c r="FA297" s="60" t="e">
        <f>IF(EZ297="",NA(),SUM($EZ$4:EZ297))</f>
        <v>#N/A</v>
      </c>
      <c r="FB297" s="246" t="str">
        <f t="shared" si="545"/>
        <v/>
      </c>
      <c r="FC297" s="246" t="e">
        <f>IF($FB297="",#N/A,SUM(FB$4:$FB297))</f>
        <v>#N/A</v>
      </c>
      <c r="FD297" s="60" t="str">
        <f t="shared" si="521"/>
        <v/>
      </c>
      <c r="FE297" s="60" t="e">
        <f>IF($FD297="",#N/A,SUM($FD$4:FD297))</f>
        <v>#N/A</v>
      </c>
      <c r="FF297" s="60" t="str">
        <f t="shared" si="522"/>
        <v/>
      </c>
      <c r="FG297" s="60" t="e">
        <f>IF($FF297="",#N/A,SUM($FF$4:FF297))</f>
        <v>#N/A</v>
      </c>
      <c r="FH297" s="60" t="str">
        <f t="shared" si="523"/>
        <v/>
      </c>
      <c r="FI297" s="60" t="e">
        <f>IF($FH297="",#N/A,SUM($FH$4:FH297))</f>
        <v>#N/A</v>
      </c>
      <c r="FJ297" s="60">
        <f t="shared" si="524"/>
        <v>0.79090909090909123</v>
      </c>
      <c r="FK297" s="60">
        <f>IF($FJ297="",#N/A,SUM($FJ$4:FJ297))</f>
        <v>-1.825073248910045</v>
      </c>
      <c r="FL297" s="60" t="str">
        <f t="shared" si="525"/>
        <v/>
      </c>
      <c r="FM297" s="60" t="e">
        <f>IF($FL297="",#N/A,SUM($FL$4:FL297))</f>
        <v>#N/A</v>
      </c>
      <c r="FN297" s="82">
        <f t="shared" si="526"/>
        <v>2.4909090909090916</v>
      </c>
      <c r="FO297" s="82">
        <f>IF($FN297="",#N/A,SUM(FN$4:$FN297))</f>
        <v>65.401734826393067</v>
      </c>
      <c r="FP297" s="82">
        <f t="shared" si="546"/>
        <v>1.7000000000000004</v>
      </c>
      <c r="FQ297" s="246">
        <f>IF($EH297="",#N/A,SUM($FP$4:FP297))</f>
        <v>58.097991621839761</v>
      </c>
      <c r="FR297" s="82">
        <f>IFERROR(FQ297/COUNTA($J$4:J297),#N/A)</f>
        <v>0.1976122164008155</v>
      </c>
      <c r="FS297" s="82">
        <f t="shared" si="448"/>
        <v>0.33570627315516488</v>
      </c>
      <c r="FT297" s="82">
        <f t="shared" si="449"/>
        <v>0.1816414109148414</v>
      </c>
      <c r="FU297" s="338">
        <f t="shared" si="551"/>
        <v>30.637410958789182</v>
      </c>
      <c r="FV297" s="57" t="str">
        <f t="shared" si="552"/>
        <v>SW</v>
      </c>
      <c r="FW297" s="57" t="s">
        <v>2732</v>
      </c>
      <c r="FX297" s="57" t="str">
        <f t="shared" si="528"/>
        <v/>
      </c>
      <c r="FY297" s="57" t="str">
        <f t="shared" si="529"/>
        <v/>
      </c>
      <c r="FZ297" s="57">
        <f t="shared" si="530"/>
        <v>1</v>
      </c>
      <c r="GA297" s="57" t="str">
        <f t="shared" si="531"/>
        <v>Long</v>
      </c>
      <c r="GB297" s="57" t="str">
        <f t="shared" si="532"/>
        <v/>
      </c>
      <c r="GC297" s="57" t="str">
        <f t="shared" si="533"/>
        <v/>
      </c>
      <c r="GD297" s="57" t="str">
        <f t="shared" si="534"/>
        <v/>
      </c>
      <c r="GE297" s="62">
        <f t="shared" si="451"/>
        <v>55</v>
      </c>
      <c r="GF297" s="62" t="s">
        <v>2779</v>
      </c>
      <c r="GG297" s="199">
        <v>27</v>
      </c>
      <c r="GH297" s="207">
        <f t="shared" si="535"/>
        <v>1485</v>
      </c>
      <c r="GI297" s="199">
        <v>27</v>
      </c>
      <c r="GJ297" s="200">
        <v>60.97</v>
      </c>
      <c r="GK297" s="63">
        <f t="shared" si="536"/>
        <v>161.19000000000005</v>
      </c>
      <c r="GL297" s="63">
        <f t="shared" si="452"/>
        <v>221.94000000000005</v>
      </c>
      <c r="GM297" s="82">
        <f t="shared" si="537"/>
        <v>2.4909090909090916</v>
      </c>
      <c r="GN297" s="82">
        <f>IF($GZ297="",#N/A,SUM(GM$4:GM297))</f>
        <v>13.000146192801193</v>
      </c>
      <c r="GO297" s="82" t="str">
        <f t="shared" si="538"/>
        <v/>
      </c>
      <c r="GP297" s="82">
        <f>IF($GZ297="",#N/A,SUM(GO$4:GO297))</f>
        <v>16.066703160328359</v>
      </c>
      <c r="GQ297" s="82" t="str">
        <f t="shared" si="539"/>
        <v/>
      </c>
      <c r="GR297" s="82">
        <f>IF($GZ297="",#N/A,SUM(GQ$4:GQ297))</f>
        <v>35.709048518821184</v>
      </c>
      <c r="GS297" s="63" t="e">
        <f t="shared" si="548"/>
        <v>#N/A</v>
      </c>
      <c r="GT297" s="63" t="e">
        <f>IF($GZ297="",#N/A,SUM(GS$4:GS297))</f>
        <v>#N/A</v>
      </c>
      <c r="GU297" s="63" t="str">
        <f t="shared" si="549"/>
        <v/>
      </c>
      <c r="GV297" s="63" t="e">
        <f>IF($GZ297="",#N/A,SUM(GU$4:GU297))</f>
        <v>#N/A</v>
      </c>
      <c r="GW297" s="63" t="str">
        <f t="shared" si="550"/>
        <v/>
      </c>
      <c r="GX297" s="63" t="e">
        <f>IF($GZ297="",#N/A,SUM(GW$4:GW297))</f>
        <v>#N/A</v>
      </c>
      <c r="GY297" s="63" t="e">
        <f>IF(EJ297="",#N/A,SUM($EJ$4:EJ297))</f>
        <v>#N/A</v>
      </c>
      <c r="GZ297" s="159">
        <v>63.22</v>
      </c>
      <c r="HA297" s="63">
        <f t="shared" si="540"/>
        <v>70.470000000000027</v>
      </c>
      <c r="HB297" s="62" t="s">
        <v>2538</v>
      </c>
      <c r="HC297" s="60">
        <f>IFERROR(VLOOKUP(E297,Expectancy!$P$4:$S$19,1+C297,FALSE),"")</f>
        <v>-0.15084750675779673</v>
      </c>
      <c r="HD297" s="82">
        <f t="shared" si="541"/>
        <v>1.8090909090909097</v>
      </c>
      <c r="HE297" s="138">
        <f>IF(HD297="",#N/A,SUM($HD$4:HD297))</f>
        <v>12.930580663050579</v>
      </c>
      <c r="HF297" s="85">
        <f>IF(HD297="",#N/A,IF(HB297="Skip",#N/A,SUM($HG$4:HG297)))</f>
        <v>643.0965792191555</v>
      </c>
      <c r="HG297" s="63">
        <f t="shared" si="542"/>
        <v>161.19000000000005</v>
      </c>
      <c r="HH297" s="82">
        <f t="shared" si="543"/>
        <v>2.4909090909090916</v>
      </c>
    </row>
    <row r="298" spans="1:216" x14ac:dyDescent="0.25">
      <c r="A298" s="57" t="s">
        <v>1596</v>
      </c>
      <c r="B298" s="58" t="s">
        <v>5238</v>
      </c>
      <c r="C298" s="386">
        <f t="shared" si="453"/>
        <v>2</v>
      </c>
      <c r="D298" s="372" t="str">
        <f>_xlfn.XLOOKUP(A298,[1]SP500!$A$2:$A$502,[1]SP500!$D$2:$D$502,"N")</f>
        <v>Y</v>
      </c>
      <c r="E298" s="57" t="str">
        <f>_xlfn.XLOOKUP(A298,[1]SP500!$A$2:$A$655,[1]SP500!$B$2:$B$655)</f>
        <v>XLC</v>
      </c>
      <c r="F298" s="59">
        <v>45700</v>
      </c>
      <c r="G298" s="57" t="str">
        <f t="shared" si="454"/>
        <v>BMO</v>
      </c>
      <c r="H298" s="57" t="str">
        <f t="shared" si="455"/>
        <v>s</v>
      </c>
      <c r="I298" s="159">
        <v>27.17</v>
      </c>
      <c r="J298" s="159">
        <v>26.97</v>
      </c>
      <c r="K298" s="61">
        <f t="shared" si="456"/>
        <v>-7.3610599926390444E-3</v>
      </c>
      <c r="L298" s="87">
        <f t="shared" si="457"/>
        <v>11.000000000000227</v>
      </c>
      <c r="M298" s="211">
        <f t="shared" si="450"/>
        <v>0</v>
      </c>
      <c r="N298" s="169" t="str">
        <f t="shared" si="458"/>
        <v/>
      </c>
      <c r="O298" s="169">
        <f>IF($J298="",#N/A,SUM($N$4:N298))</f>
        <v>575.29671935422516</v>
      </c>
      <c r="P298" s="174">
        <f t="shared" si="459"/>
        <v>11.000000000000227</v>
      </c>
      <c r="Q298" s="174">
        <f>IF($J298="",#N/A,SUM($P$4:P298))</f>
        <v>488.05890674734212</v>
      </c>
      <c r="R298" s="178" t="str">
        <f t="shared" si="460"/>
        <v/>
      </c>
      <c r="S298" s="178">
        <f>IF($J298="",#N/A,SUM($R$4:R298))</f>
        <v>701.50445814372756</v>
      </c>
      <c r="T298" s="290" t="str">
        <f t="shared" si="461"/>
        <v/>
      </c>
      <c r="U298" s="290">
        <f>IF($J298="",#N/A,SUM($T$4:T298))</f>
        <v>18.955339712256752</v>
      </c>
      <c r="V298" s="291">
        <f t="shared" si="462"/>
        <v>0.12268433321065153</v>
      </c>
      <c r="W298" s="291">
        <f>IF($J298="",#N/A,SUM($V$4:V298))</f>
        <v>24.409276757220653</v>
      </c>
      <c r="X298" s="292" t="str">
        <f t="shared" si="463"/>
        <v/>
      </c>
      <c r="Y298" s="292">
        <f>IF($J298="",#N/A,SUM($X$4:X298))</f>
        <v>14.856059485573011</v>
      </c>
      <c r="Z298" s="304" t="str">
        <f t="shared" si="464"/>
        <v/>
      </c>
      <c r="AA298" s="313" t="e">
        <f>IF($J298="",#N/A,SUM(Z$4:Z298))</f>
        <v>#N/A</v>
      </c>
      <c r="AB298" s="314" t="str">
        <f t="shared" si="465"/>
        <v/>
      </c>
      <c r="AC298" s="314" t="e">
        <f>IF($J298="",#N/A,SUM(AB$4:AB298))</f>
        <v>#N/A</v>
      </c>
      <c r="AD298" s="315" t="str">
        <f t="shared" si="466"/>
        <v/>
      </c>
      <c r="AE298" s="315" t="e">
        <f>IF($J298="",#N/A,SUM(AD$4:AD298))</f>
        <v>#N/A</v>
      </c>
      <c r="AF298" s="315" t="e">
        <f>IF($J298="",#N/A,SUM(AD$4:AD298,AB$4:AB298,Z$4:Z298))</f>
        <v>#N/A</v>
      </c>
      <c r="AG298" s="304" t="str">
        <f t="shared" si="467"/>
        <v/>
      </c>
      <c r="AH298" s="313" t="e">
        <f>IF($J298="",#N/A,SUM(AG$4:AG298))</f>
        <v>#N/A</v>
      </c>
      <c r="AI298" s="314" t="str">
        <f t="shared" si="468"/>
        <v/>
      </c>
      <c r="AJ298" s="314" t="e">
        <f>IF($J298="",#N/A,SUM(AI$4:AI298))</f>
        <v>#N/A</v>
      </c>
      <c r="AK298" s="315" t="str">
        <f t="shared" si="469"/>
        <v/>
      </c>
      <c r="AL298" s="315" t="e">
        <f>IF($J298="",#N/A,SUM(AK$4:AK298))</f>
        <v>#N/A</v>
      </c>
      <c r="AM298" s="315" t="e">
        <f>IF($J298="",#N/A,SUM(AK$4:AK298,AI$4:AI298,AG$4:AG298))</f>
        <v>#N/A</v>
      </c>
      <c r="AN298" s="304" t="str">
        <f t="shared" si="470"/>
        <v/>
      </c>
      <c r="AO298" s="313" t="e">
        <f>IF($J298="",#N/A,SUM(AN$4:AN298))</f>
        <v>#N/A</v>
      </c>
      <c r="AP298" s="314" t="str">
        <f t="shared" si="471"/>
        <v/>
      </c>
      <c r="AQ298" s="314" t="e">
        <f>IF($J298="",#N/A,SUM(AP$4:AP298))</f>
        <v>#N/A</v>
      </c>
      <c r="AR298" s="315" t="str">
        <f t="shared" si="472"/>
        <v/>
      </c>
      <c r="AS298" s="315" t="e">
        <f>IF($J298="",#N/A,SUM(AR$4:AR298))</f>
        <v>#N/A</v>
      </c>
      <c r="AT298" s="315" t="e">
        <f>IF($J298="",#N/A,SUM(AR$4:AR298,AP$4:AP298,AN$4:AN298))</f>
        <v>#N/A</v>
      </c>
      <c r="AU298" s="304" t="str">
        <f t="shared" si="473"/>
        <v/>
      </c>
      <c r="AV298" s="313" t="e">
        <f>IF($J298="",#N/A,SUM(AU$4:AU298))</f>
        <v>#N/A</v>
      </c>
      <c r="AW298" s="314" t="str">
        <f t="shared" si="474"/>
        <v/>
      </c>
      <c r="AX298" s="314" t="e">
        <f>IF($J298="",#N/A,SUM(AW$4:AW298))</f>
        <v>#N/A</v>
      </c>
      <c r="AY298" s="315" t="str">
        <f t="shared" si="475"/>
        <v/>
      </c>
      <c r="AZ298" s="315" t="e">
        <f>IF($J298="",#N/A,SUM(AY$4:AY298))</f>
        <v>#N/A</v>
      </c>
      <c r="BA298" s="315" t="e">
        <f>IF($J298="",#N/A,SUM(AY$4:AY298,AW$4:AW298,AU$4:AU298))</f>
        <v>#N/A</v>
      </c>
      <c r="BB298" s="304" t="str">
        <f t="shared" si="476"/>
        <v/>
      </c>
      <c r="BC298" s="313" t="e">
        <f>IF($J298="",#N/A,SUM(BB$4:BB298))</f>
        <v>#N/A</v>
      </c>
      <c r="BD298" s="314">
        <f t="shared" si="477"/>
        <v>0.12268433321065153</v>
      </c>
      <c r="BE298" s="314" t="e">
        <f>IF($J298="",#N/A,SUM(BD$4:BD298))</f>
        <v>#N/A</v>
      </c>
      <c r="BF298" s="315" t="str">
        <f t="shared" si="478"/>
        <v/>
      </c>
      <c r="BG298" s="315" t="e">
        <f>IF($J298="",#N/A,SUM(BF$4:BF298))</f>
        <v>#N/A</v>
      </c>
      <c r="BH298" s="315" t="e">
        <f>IF($J298="",#N/A,SUM(BF$4:BF298,BD$4:BD298,BB$4:BB298))</f>
        <v>#N/A</v>
      </c>
      <c r="BI298" s="304" t="str">
        <f t="shared" si="479"/>
        <v/>
      </c>
      <c r="BJ298" s="313" t="e">
        <f>IF($J298="",#N/A,SUM(BI$4:BI298))</f>
        <v>#N/A</v>
      </c>
      <c r="BK298" s="314" t="str">
        <f t="shared" si="480"/>
        <v/>
      </c>
      <c r="BL298" s="314" t="e">
        <f>IF($J298="",#N/A,SUM(BK$4:BK298))</f>
        <v>#N/A</v>
      </c>
      <c r="BM298" s="315" t="str">
        <f t="shared" si="481"/>
        <v/>
      </c>
      <c r="BN298" s="315" t="e">
        <f>IF($J298="",#N/A,SUM(BM$4:BM298))</f>
        <v>#N/A</v>
      </c>
      <c r="BO298" s="315" t="e">
        <f>IF($J298="",#N/A,SUM(BM$4:BM298,BK$4:BK298,BI$4:BI298))</f>
        <v>#N/A</v>
      </c>
      <c r="BP298" s="304" t="str">
        <f t="shared" si="482"/>
        <v/>
      </c>
      <c r="BQ298" s="313" t="e">
        <f>IF($J298="",#N/A,SUM(BP$4:BP298))</f>
        <v>#N/A</v>
      </c>
      <c r="BR298" s="314" t="str">
        <f t="shared" si="483"/>
        <v/>
      </c>
      <c r="BS298" s="314" t="e">
        <f>IF($J298="",#N/A,SUM(BR$4:BR298))</f>
        <v>#N/A</v>
      </c>
      <c r="BT298" s="315" t="str">
        <f t="shared" si="484"/>
        <v/>
      </c>
      <c r="BU298" s="315" t="e">
        <f>IF($J298="",#N/A,SUM(BT$4:BT298))</f>
        <v>#N/A</v>
      </c>
      <c r="BV298" s="315" t="e">
        <f>IF($J298="",#N/A,SUM(BT$4:BT298,BR$4:BR298,BP$4:BP298))</f>
        <v>#N/A</v>
      </c>
      <c r="BW298" s="304" t="str">
        <f t="shared" si="485"/>
        <v/>
      </c>
      <c r="BX298" s="313" t="e">
        <f>IF($J298="",#N/A,SUM(BW$4:BW298))</f>
        <v>#N/A</v>
      </c>
      <c r="BY298" s="314" t="str">
        <f t="shared" si="486"/>
        <v/>
      </c>
      <c r="BZ298" s="314" t="e">
        <f>IF($J298="",#N/A,SUM(BY$4:BY298))</f>
        <v>#N/A</v>
      </c>
      <c r="CA298" s="315" t="str">
        <f t="shared" si="487"/>
        <v/>
      </c>
      <c r="CB298" s="315" t="e">
        <f>IF($J298="",#N/A,SUM(CA$4:CA298))</f>
        <v>#N/A</v>
      </c>
      <c r="CC298" s="315" t="e">
        <f>IF($J298="",#N/A,SUM(CA$4:CA298,BY$4:BY298,BW$4:BW298))</f>
        <v>#N/A</v>
      </c>
      <c r="CD298" s="304" t="str">
        <f t="shared" si="488"/>
        <v/>
      </c>
      <c r="CE298" s="313" t="e">
        <f>IF($J298="",#N/A,SUM(CD$4:CD298))</f>
        <v>#N/A</v>
      </c>
      <c r="CF298" s="314" t="str">
        <f t="shared" si="489"/>
        <v/>
      </c>
      <c r="CG298" s="314" t="e">
        <f>IF($J298="",#N/A,SUM(CF$4:CF298))</f>
        <v>#N/A</v>
      </c>
      <c r="CH298" s="315" t="str">
        <f t="shared" si="490"/>
        <v/>
      </c>
      <c r="CI298" s="315" t="e">
        <f>IF($J298="",#N/A,SUM(CH$4:CH298))</f>
        <v>#N/A</v>
      </c>
      <c r="CJ298" s="315" t="e">
        <f>IF($J298="",#N/A,SUM(CH$4:CH298,CF$4:CF298,CD$4:CD298))</f>
        <v>#N/A</v>
      </c>
      <c r="CK298" s="304" t="str">
        <f t="shared" si="491"/>
        <v/>
      </c>
      <c r="CL298" s="313" t="e">
        <f>IF($J298="",#N/A,SUM(CK$4:CK298))</f>
        <v>#N/A</v>
      </c>
      <c r="CM298" s="314" t="str">
        <f t="shared" si="492"/>
        <v/>
      </c>
      <c r="CN298" s="314" t="e">
        <f>IF($J298="",#N/A,SUM(CM$4:CM298))</f>
        <v>#N/A</v>
      </c>
      <c r="CO298" s="315" t="str">
        <f t="shared" si="493"/>
        <v/>
      </c>
      <c r="CP298" s="315" t="e">
        <f>IF($J298="",#N/A,SUM(CO$4:CO298))</f>
        <v>#N/A</v>
      </c>
      <c r="CQ298" s="315" t="e">
        <f>IF($J298="",#N/A,SUM(CO$4:CO298,CM$4:CM298,CK$4:CK298))</f>
        <v>#N/A</v>
      </c>
      <c r="CR298" s="304" t="str">
        <f t="shared" si="494"/>
        <v/>
      </c>
      <c r="CS298" s="313" t="e">
        <f>IF($J298="",#N/A,SUM(CR$4:CR298))</f>
        <v>#N/A</v>
      </c>
      <c r="CT298" s="314" t="str">
        <f t="shared" si="495"/>
        <v/>
      </c>
      <c r="CU298" s="314" t="e">
        <f>IF($J298="",#N/A,SUM(CT$4:CT298))</f>
        <v>#N/A</v>
      </c>
      <c r="CV298" s="315" t="str">
        <f t="shared" si="496"/>
        <v/>
      </c>
      <c r="CW298" s="315" t="e">
        <f>IF($J298="",#N/A,SUM(CV$4:CV298))</f>
        <v>#N/A</v>
      </c>
      <c r="CX298" s="315" t="e">
        <f>IF($J298="",#N/A,SUM(CV$4:CV298,CT$4:CT298,CR$4:CR298))</f>
        <v>#N/A</v>
      </c>
      <c r="CY298" s="304" t="str">
        <f t="shared" si="497"/>
        <v/>
      </c>
      <c r="CZ298" s="313" t="e">
        <f>IF($J298="",#N/A,SUM(CY$4:CY298))</f>
        <v>#N/A</v>
      </c>
      <c r="DA298" s="314" t="str">
        <f t="shared" si="498"/>
        <v/>
      </c>
      <c r="DB298" s="314" t="e">
        <f>IF($J298="",#N/A,SUM(DA$4:DA298))</f>
        <v>#N/A</v>
      </c>
      <c r="DC298" s="315" t="str">
        <f t="shared" si="499"/>
        <v/>
      </c>
      <c r="DD298" s="315" t="e">
        <f>IF($J298="",#N/A,SUM(DC$4:DC298))</f>
        <v>#N/A</v>
      </c>
      <c r="DE298" s="315" t="e">
        <f>IF($J298="",#N/A,SUM(DC$4:DC298,DA$4:DA298,CY$4:CY298))</f>
        <v>#N/A</v>
      </c>
      <c r="DF298" s="304" t="str">
        <f t="shared" si="500"/>
        <v/>
      </c>
      <c r="DG298" s="313" t="e">
        <f>IF($J298="",#N/A,SUM(DF$4:DF298))</f>
        <v>#N/A</v>
      </c>
      <c r="DH298" s="314" t="str">
        <f t="shared" si="501"/>
        <v/>
      </c>
      <c r="DI298" s="314" t="e">
        <f>IF($J298="",#N/A,SUM(DH$4:DH298))</f>
        <v>#N/A</v>
      </c>
      <c r="DJ298" s="315" t="str">
        <f t="shared" si="502"/>
        <v/>
      </c>
      <c r="DK298" s="315" t="e">
        <f>IF($J298="",#N/A,SUM(DJ$4:DJ298))</f>
        <v>#N/A</v>
      </c>
      <c r="DL298" s="315" t="e">
        <f>IF($J298="",#N/A,SUM(DJ$4:DJ298,DH$4:DH298,DF$4:DF298))</f>
        <v>#N/A</v>
      </c>
      <c r="DM298" s="304" t="str">
        <f t="shared" si="503"/>
        <v/>
      </c>
      <c r="DN298" s="313" t="e">
        <f>IF($J298="",#N/A,SUM(DM$4:DM298))</f>
        <v>#N/A</v>
      </c>
      <c r="DO298" s="314" t="str">
        <f t="shared" si="504"/>
        <v/>
      </c>
      <c r="DP298" s="314" t="e">
        <f>IF($J298="",#N/A,SUM(DO$4:DO298))</f>
        <v>#N/A</v>
      </c>
      <c r="DQ298" s="315" t="str">
        <f t="shared" si="505"/>
        <v/>
      </c>
      <c r="DR298" s="315" t="e">
        <f>IF($J298="",#N/A,SUM(DQ$4:DQ298))</f>
        <v>#N/A</v>
      </c>
      <c r="DS298" s="315" t="e">
        <f>IF($J298="",#N/A,SUM(DQ$4:DQ298,DO$4:DO298,DM$4:DM298))</f>
        <v>#N/A</v>
      </c>
      <c r="DT298" s="304" t="str">
        <f t="shared" si="506"/>
        <v/>
      </c>
      <c r="DU298" s="313" t="e">
        <f>IF($J298="",#N/A,SUM(DT$4:DT298))</f>
        <v>#N/A</v>
      </c>
      <c r="DV298" s="314" t="str">
        <f t="shared" si="507"/>
        <v/>
      </c>
      <c r="DW298" s="314" t="e">
        <f>IF($J298="",#N/A,SUM(DV$4:DV298))</f>
        <v>#N/A</v>
      </c>
      <c r="DX298" s="315" t="str">
        <f t="shared" si="508"/>
        <v/>
      </c>
      <c r="DY298" s="315" t="e">
        <f>IF($J298="",#N/A,SUM(DX$4:DX298))</f>
        <v>#N/A</v>
      </c>
      <c r="DZ298" s="315" t="e">
        <f>IF($J298="",#N/A,SUM(DX$4:DX298,DV$4:DV298,DT$4:DT298))</f>
        <v>#N/A</v>
      </c>
      <c r="EA298" s="304" t="str">
        <f t="shared" si="509"/>
        <v/>
      </c>
      <c r="EB298" s="313" t="e">
        <f>IF($J298="",#N/A,SUM(EA$4:EA298))</f>
        <v>#N/A</v>
      </c>
      <c r="EC298" s="314" t="str">
        <f t="shared" si="510"/>
        <v/>
      </c>
      <c r="ED298" s="314" t="e">
        <f>IF($J298="",#N/A,SUM(EC$4:EC298))</f>
        <v>#N/A</v>
      </c>
      <c r="EE298" s="315" t="str">
        <f t="shared" si="511"/>
        <v/>
      </c>
      <c r="EF298" s="315" t="e">
        <f>IF($J298="",#N/A,SUM(EE$4:EE298))</f>
        <v>#N/A</v>
      </c>
      <c r="EG298" s="315" t="e">
        <f>IF($J298="",#N/A,SUM(EE$4:EE298,EC$4:EC298,EA$4:EA298))</f>
        <v>#N/A</v>
      </c>
      <c r="EH298" s="130">
        <f t="shared" si="512"/>
        <v>11.000000000000227</v>
      </c>
      <c r="EI298" s="63">
        <f>IF(EH298="",#N/A,SUM($EH$4:EH298))</f>
        <v>1764.860084245295</v>
      </c>
      <c r="EJ298" s="223" t="e">
        <f t="shared" si="513"/>
        <v>#N/A</v>
      </c>
      <c r="EK298" s="63" t="e">
        <f>IF($GZ298="",#N/A,SUM(EJ$4:EJ298))</f>
        <v>#N/A</v>
      </c>
      <c r="EL298" s="60">
        <f t="shared" si="544"/>
        <v>0.12268433321065153</v>
      </c>
      <c r="EM298" s="60">
        <f>IF(EL298="",NA(),SUM($EL$4:EL298))</f>
        <v>46.323416542705623</v>
      </c>
      <c r="EN298" s="60" t="str">
        <f t="shared" si="514"/>
        <v/>
      </c>
      <c r="EO298" s="60" t="e">
        <f>IF(EN298="",NA(),SUM($EN$4:EN298))</f>
        <v>#N/A</v>
      </c>
      <c r="EP298" s="60" t="str">
        <f t="shared" si="515"/>
        <v/>
      </c>
      <c r="EQ298" s="60" t="e">
        <f>IF(EP298="",NA(),SUM($EP$4:EP298))</f>
        <v>#N/A</v>
      </c>
      <c r="ER298" s="60">
        <f t="shared" si="516"/>
        <v>0.12268433321065153</v>
      </c>
      <c r="ES298" s="60">
        <f>IF(ER298="",NA(),SUM($ER$4:ER298))</f>
        <v>16.243733957760213</v>
      </c>
      <c r="ET298" s="60" t="str">
        <f t="shared" si="517"/>
        <v/>
      </c>
      <c r="EU298" s="60" t="e">
        <f>IF(ET298="",NA(),SUM($ET$4:ET298))</f>
        <v>#N/A</v>
      </c>
      <c r="EV298" s="60" t="str">
        <f t="shared" si="518"/>
        <v/>
      </c>
      <c r="EW298" s="60" t="e">
        <f>IF(EV298="",NA(),SUM($EV$4:EV298))</f>
        <v>#N/A</v>
      </c>
      <c r="EX298" s="60" t="str">
        <f t="shared" si="519"/>
        <v/>
      </c>
      <c r="EY298" s="60" t="e">
        <f>IF(EX298="",NA(),SUM($EX$4:EX298))</f>
        <v>#N/A</v>
      </c>
      <c r="EZ298" s="60" t="str">
        <f t="shared" si="520"/>
        <v/>
      </c>
      <c r="FA298" s="60" t="e">
        <f>IF(EZ298="",NA(),SUM($EZ$4:EZ298))</f>
        <v>#N/A</v>
      </c>
      <c r="FB298" s="246">
        <f t="shared" si="545"/>
        <v>0.11655011655011452</v>
      </c>
      <c r="FC298" s="246">
        <f>IF($FB298="",#N/A,SUM(FB$4:$FB298))</f>
        <v>4.7562091402724871</v>
      </c>
      <c r="FD298" s="60" t="str">
        <f t="shared" si="521"/>
        <v/>
      </c>
      <c r="FE298" s="60" t="e">
        <f>IF($FD298="",#N/A,SUM($FD$4:FD298))</f>
        <v>#N/A</v>
      </c>
      <c r="FF298" s="60" t="str">
        <f t="shared" si="522"/>
        <v/>
      </c>
      <c r="FG298" s="60" t="e">
        <f>IF($FF298="",#N/A,SUM($FF$4:FF298))</f>
        <v>#N/A</v>
      </c>
      <c r="FH298" s="60" t="str">
        <f t="shared" si="523"/>
        <v/>
      </c>
      <c r="FI298" s="60" t="e">
        <f>IF($FH298="",#N/A,SUM($FH$4:FH298))</f>
        <v>#N/A</v>
      </c>
      <c r="FJ298" s="60" t="str">
        <f t="shared" si="524"/>
        <v/>
      </c>
      <c r="FK298" s="60" t="e">
        <f>IF($FJ298="",#N/A,SUM($FJ$4:FJ298))</f>
        <v>#N/A</v>
      </c>
      <c r="FL298" s="60" t="str">
        <f t="shared" si="525"/>
        <v/>
      </c>
      <c r="FM298" s="60" t="e">
        <f>IF($FL298="",#N/A,SUM($FL$4:FL298))</f>
        <v>#N/A</v>
      </c>
      <c r="FN298" s="82">
        <f t="shared" si="526"/>
        <v>0.23923444976076605</v>
      </c>
      <c r="FO298" s="82">
        <f>IF($FN298="",#N/A,SUM(FN$4:$FN298))</f>
        <v>65.640969276153839</v>
      </c>
      <c r="FP298" s="82">
        <f t="shared" si="546"/>
        <v>0.12268433321065153</v>
      </c>
      <c r="FQ298" s="246">
        <f>IF($EH298="",#N/A,SUM($FP$4:FP298))</f>
        <v>58.22067595505041</v>
      </c>
      <c r="FR298" s="82">
        <f>IFERROR(FQ298/COUNTA($J$4:J298),#N/A)</f>
        <v>0.19735822357644206</v>
      </c>
      <c r="FS298" s="82">
        <f t="shared" si="448"/>
        <v>0.31916313442255256</v>
      </c>
      <c r="FT298" s="82">
        <f t="shared" si="449"/>
        <v>0.16849464447658932</v>
      </c>
      <c r="FU298" s="338">
        <f t="shared" si="551"/>
        <v>30.637410958789175</v>
      </c>
      <c r="FV298" s="57" t="str">
        <f t="shared" si="552"/>
        <v>Dwn</v>
      </c>
      <c r="FW298" s="57" t="s">
        <v>2733</v>
      </c>
      <c r="FX298" s="57" t="str">
        <f t="shared" si="528"/>
        <v/>
      </c>
      <c r="FY298" s="57" t="str">
        <f t="shared" si="529"/>
        <v/>
      </c>
      <c r="FZ298" s="57" t="str">
        <f t="shared" si="530"/>
        <v/>
      </c>
      <c r="GA298" s="57" t="str">
        <f t="shared" si="531"/>
        <v>Short</v>
      </c>
      <c r="GB298" s="57">
        <f t="shared" si="532"/>
        <v>1</v>
      </c>
      <c r="GC298" s="57" t="str">
        <f t="shared" si="533"/>
        <v/>
      </c>
      <c r="GD298" s="57" t="str">
        <f t="shared" si="534"/>
        <v/>
      </c>
      <c r="GE298" s="62">
        <f t="shared" si="451"/>
        <v>27.17</v>
      </c>
      <c r="GF298" s="62" t="s">
        <v>2780</v>
      </c>
      <c r="GG298" s="199">
        <v>55</v>
      </c>
      <c r="GH298" s="207">
        <f t="shared" si="535"/>
        <v>1494.3500000000001</v>
      </c>
      <c r="GI298" s="199">
        <v>55</v>
      </c>
      <c r="GJ298" s="200">
        <v>26.97</v>
      </c>
      <c r="GK298" s="63">
        <f t="shared" si="536"/>
        <v>11.000000000000227</v>
      </c>
      <c r="GL298" s="63">
        <f t="shared" si="452"/>
        <v>21.450000000000045</v>
      </c>
      <c r="GM298" s="82" t="str">
        <f t="shared" si="537"/>
        <v/>
      </c>
      <c r="GN298" s="82">
        <f>IF($GZ298="",#N/A,SUM(GM$4:GM298))</f>
        <v>13.000146192801193</v>
      </c>
      <c r="GO298" s="82" t="str">
        <f t="shared" si="538"/>
        <v/>
      </c>
      <c r="GP298" s="82">
        <f>IF($GZ298="",#N/A,SUM(GO$4:GO298))</f>
        <v>16.066703160328359</v>
      </c>
      <c r="GQ298" s="82">
        <f t="shared" si="539"/>
        <v>0.23923444976076605</v>
      </c>
      <c r="GR298" s="82">
        <f>IF($GZ298="",#N/A,SUM(GQ$4:GQ298))</f>
        <v>35.94828296858195</v>
      </c>
      <c r="GS298" s="63" t="str">
        <f t="shared" si="548"/>
        <v/>
      </c>
      <c r="GT298" s="63" t="e">
        <f>IF($GZ298="",#N/A,SUM(GS$4:GS298))</f>
        <v>#N/A</v>
      </c>
      <c r="GU298" s="63" t="str">
        <f t="shared" si="549"/>
        <v/>
      </c>
      <c r="GV298" s="63" t="e">
        <f>IF($GZ298="",#N/A,SUM(GU$4:GU298))</f>
        <v>#N/A</v>
      </c>
      <c r="GW298" s="63" t="e">
        <f t="shared" si="550"/>
        <v>#N/A</v>
      </c>
      <c r="GX298" s="63" t="e">
        <f>IF($GZ298="",#N/A,SUM(GW$4:GW298))</f>
        <v>#N/A</v>
      </c>
      <c r="GY298" s="63" t="e">
        <f>IF(EJ298="",#N/A,SUM($EJ$4:EJ298))</f>
        <v>#N/A</v>
      </c>
      <c r="GZ298" s="159">
        <v>26.78</v>
      </c>
      <c r="HA298" s="63">
        <f t="shared" si="540"/>
        <v>10.449999999999818</v>
      </c>
      <c r="HB298" s="62" t="s">
        <v>2538</v>
      </c>
      <c r="HC298" s="60">
        <f>IFERROR(VLOOKUP(E298,Expectancy!$P$4:$S$19,1+C298,FALSE),"")</f>
        <v>-4.003891381455995E-2</v>
      </c>
      <c r="HD298" s="82">
        <f t="shared" si="541"/>
        <v>0.12268433321065153</v>
      </c>
      <c r="HE298" s="138">
        <f>IF(HD298="",#N/A,SUM($HD$4:HD298))</f>
        <v>13.05326499626123</v>
      </c>
      <c r="HF298" s="85">
        <f>IF(HD298="",#N/A,IF(HB298="Skip",#N/A,SUM($HG$4:HG298)))</f>
        <v>654.09657921915573</v>
      </c>
      <c r="HG298" s="63">
        <f t="shared" si="542"/>
        <v>11.000000000000227</v>
      </c>
      <c r="HH298" s="82">
        <f t="shared" si="543"/>
        <v>0.23923444976076605</v>
      </c>
    </row>
    <row r="299" spans="1:216" x14ac:dyDescent="0.25">
      <c r="A299" s="57" t="s">
        <v>1448</v>
      </c>
      <c r="B299" s="58" t="s">
        <v>5238</v>
      </c>
      <c r="C299" s="386">
        <f t="shared" si="453"/>
        <v>2</v>
      </c>
      <c r="D299" s="372" t="str">
        <f>_xlfn.XLOOKUP(A299,[1]SP500!$A$2:$A$502,[1]SP500!$D$2:$D$502,"N")</f>
        <v>N</v>
      </c>
      <c r="E299" s="57" t="str">
        <f>_xlfn.XLOOKUP(A299,[1]SP500!$A$2:$A$655,[1]SP500!$B$2:$B$655)</f>
        <v>XLP</v>
      </c>
      <c r="F299" s="59">
        <v>45700</v>
      </c>
      <c r="G299" s="57" t="str">
        <f t="shared" si="454"/>
        <v>BMO</v>
      </c>
      <c r="H299" s="57" t="str">
        <f t="shared" si="455"/>
        <v>s</v>
      </c>
      <c r="I299" s="159">
        <v>29.58</v>
      </c>
      <c r="J299" s="159">
        <v>27.53</v>
      </c>
      <c r="K299" s="61">
        <f t="shared" si="456"/>
        <v>-6.9303583502366373E-2</v>
      </c>
      <c r="L299" s="87">
        <f t="shared" si="457"/>
        <v>104.54999999999995</v>
      </c>
      <c r="M299" s="130">
        <f t="shared" si="450"/>
        <v>-4.5900000000001455</v>
      </c>
      <c r="N299" s="169" t="str">
        <f t="shared" si="458"/>
        <v/>
      </c>
      <c r="O299" s="169">
        <f>IF($J299="",#N/A,SUM($N$4:N299))</f>
        <v>575.29671935422516</v>
      </c>
      <c r="P299" s="174">
        <f t="shared" si="459"/>
        <v>104.54999999999995</v>
      </c>
      <c r="Q299" s="174">
        <f>IF($J299="",#N/A,SUM($P$4:P299))</f>
        <v>592.60890674734208</v>
      </c>
      <c r="R299" s="178" t="str">
        <f t="shared" si="460"/>
        <v/>
      </c>
      <c r="S299" s="178">
        <f>IF($J299="",#N/A,SUM($R$4:R299))</f>
        <v>701.50445814372756</v>
      </c>
      <c r="T299" s="290" t="str">
        <f t="shared" si="461"/>
        <v/>
      </c>
      <c r="U299" s="290">
        <f>IF($J299="",#N/A,SUM($T$4:T299))</f>
        <v>18.955339712256752</v>
      </c>
      <c r="V299" s="291">
        <f t="shared" si="462"/>
        <v>1.1550597250394405</v>
      </c>
      <c r="W299" s="291">
        <f>IF($J299="",#N/A,SUM($V$4:V299))</f>
        <v>25.564336482260092</v>
      </c>
      <c r="X299" s="292" t="str">
        <f t="shared" si="463"/>
        <v/>
      </c>
      <c r="Y299" s="292">
        <f>IF($J299="",#N/A,SUM($X$4:X299))</f>
        <v>14.856059485573011</v>
      </c>
      <c r="Z299" s="304" t="str">
        <f t="shared" si="464"/>
        <v/>
      </c>
      <c r="AA299" s="313" t="e">
        <f>IF($J299="",#N/A,SUM(Z$4:Z299))</f>
        <v>#N/A</v>
      </c>
      <c r="AB299" s="314" t="str">
        <f t="shared" si="465"/>
        <v/>
      </c>
      <c r="AC299" s="314" t="e">
        <f>IF($J299="",#N/A,SUM(AB$4:AB299))</f>
        <v>#N/A</v>
      </c>
      <c r="AD299" s="315" t="str">
        <f t="shared" si="466"/>
        <v/>
      </c>
      <c r="AE299" s="315" t="e">
        <f>IF($J299="",#N/A,SUM(AD$4:AD299))</f>
        <v>#N/A</v>
      </c>
      <c r="AF299" s="315" t="e">
        <f>IF($J299="",#N/A,SUM(AD$4:AD299,AB$4:AB299,Z$4:Z299))</f>
        <v>#N/A</v>
      </c>
      <c r="AG299" s="304" t="str">
        <f t="shared" si="467"/>
        <v/>
      </c>
      <c r="AH299" s="313" t="e">
        <f>IF($J299="",#N/A,SUM(AG$4:AG299))</f>
        <v>#N/A</v>
      </c>
      <c r="AI299" s="314" t="str">
        <f t="shared" si="468"/>
        <v/>
      </c>
      <c r="AJ299" s="314" t="e">
        <f>IF($J299="",#N/A,SUM(AI$4:AI299))</f>
        <v>#N/A</v>
      </c>
      <c r="AK299" s="315" t="str">
        <f t="shared" si="469"/>
        <v/>
      </c>
      <c r="AL299" s="315" t="e">
        <f>IF($J299="",#N/A,SUM(AK$4:AK299))</f>
        <v>#N/A</v>
      </c>
      <c r="AM299" s="315" t="e">
        <f>IF($J299="",#N/A,SUM(AK$4:AK299,AI$4:AI299,AG$4:AG299))</f>
        <v>#N/A</v>
      </c>
      <c r="AN299" s="304" t="str">
        <f t="shared" si="470"/>
        <v/>
      </c>
      <c r="AO299" s="313" t="e">
        <f>IF($J299="",#N/A,SUM(AN$4:AN299))</f>
        <v>#N/A</v>
      </c>
      <c r="AP299" s="314" t="str">
        <f t="shared" si="471"/>
        <v/>
      </c>
      <c r="AQ299" s="314" t="e">
        <f>IF($J299="",#N/A,SUM(AP$4:AP299))</f>
        <v>#N/A</v>
      </c>
      <c r="AR299" s="315" t="str">
        <f t="shared" si="472"/>
        <v/>
      </c>
      <c r="AS299" s="315" t="e">
        <f>IF($J299="",#N/A,SUM(AR$4:AR299))</f>
        <v>#N/A</v>
      </c>
      <c r="AT299" s="315" t="e">
        <f>IF($J299="",#N/A,SUM(AR$4:AR299,AP$4:AP299,AN$4:AN299))</f>
        <v>#N/A</v>
      </c>
      <c r="AU299" s="304" t="str">
        <f t="shared" si="473"/>
        <v/>
      </c>
      <c r="AV299" s="313" t="e">
        <f>IF($J299="",#N/A,SUM(AU$4:AU299))</f>
        <v>#N/A</v>
      </c>
      <c r="AW299" s="314">
        <f t="shared" si="474"/>
        <v>1.1550597250394405</v>
      </c>
      <c r="AX299" s="314" t="e">
        <f>IF($J299="",#N/A,SUM(AW$4:AW299))</f>
        <v>#N/A</v>
      </c>
      <c r="AY299" s="315" t="str">
        <f t="shared" si="475"/>
        <v/>
      </c>
      <c r="AZ299" s="315" t="e">
        <f>IF($J299="",#N/A,SUM(AY$4:AY299))</f>
        <v>#N/A</v>
      </c>
      <c r="BA299" s="315" t="e">
        <f>IF($J299="",#N/A,SUM(AY$4:AY299,AW$4:AW299,AU$4:AU299))</f>
        <v>#N/A</v>
      </c>
      <c r="BB299" s="304" t="str">
        <f t="shared" si="476"/>
        <v/>
      </c>
      <c r="BC299" s="313" t="e">
        <f>IF($J299="",#N/A,SUM(BB$4:BB299))</f>
        <v>#N/A</v>
      </c>
      <c r="BD299" s="314" t="str">
        <f t="shared" si="477"/>
        <v/>
      </c>
      <c r="BE299" s="314" t="e">
        <f>IF($J299="",#N/A,SUM(BD$4:BD299))</f>
        <v>#N/A</v>
      </c>
      <c r="BF299" s="315" t="str">
        <f t="shared" si="478"/>
        <v/>
      </c>
      <c r="BG299" s="315" t="e">
        <f>IF($J299="",#N/A,SUM(BF$4:BF299))</f>
        <v>#N/A</v>
      </c>
      <c r="BH299" s="315" t="e">
        <f>IF($J299="",#N/A,SUM(BF$4:BF299,BD$4:BD299,BB$4:BB299))</f>
        <v>#N/A</v>
      </c>
      <c r="BI299" s="304" t="str">
        <f t="shared" si="479"/>
        <v/>
      </c>
      <c r="BJ299" s="313" t="e">
        <f>IF($J299="",#N/A,SUM(BI$4:BI299))</f>
        <v>#N/A</v>
      </c>
      <c r="BK299" s="314" t="str">
        <f t="shared" si="480"/>
        <v/>
      </c>
      <c r="BL299" s="314" t="e">
        <f>IF($J299="",#N/A,SUM(BK$4:BK299))</f>
        <v>#N/A</v>
      </c>
      <c r="BM299" s="315" t="str">
        <f t="shared" si="481"/>
        <v/>
      </c>
      <c r="BN299" s="315" t="e">
        <f>IF($J299="",#N/A,SUM(BM$4:BM299))</f>
        <v>#N/A</v>
      </c>
      <c r="BO299" s="315" t="e">
        <f>IF($J299="",#N/A,SUM(BM$4:BM299,BK$4:BK299,BI$4:BI299))</f>
        <v>#N/A</v>
      </c>
      <c r="BP299" s="304" t="str">
        <f t="shared" si="482"/>
        <v/>
      </c>
      <c r="BQ299" s="313" t="e">
        <f>IF($J299="",#N/A,SUM(BP$4:BP299))</f>
        <v>#N/A</v>
      </c>
      <c r="BR299" s="314" t="str">
        <f t="shared" si="483"/>
        <v/>
      </c>
      <c r="BS299" s="314" t="e">
        <f>IF($J299="",#N/A,SUM(BR$4:BR299))</f>
        <v>#N/A</v>
      </c>
      <c r="BT299" s="315" t="str">
        <f t="shared" si="484"/>
        <v/>
      </c>
      <c r="BU299" s="315" t="e">
        <f>IF($J299="",#N/A,SUM(BT$4:BT299))</f>
        <v>#N/A</v>
      </c>
      <c r="BV299" s="315" t="e">
        <f>IF($J299="",#N/A,SUM(BT$4:BT299,BR$4:BR299,BP$4:BP299))</f>
        <v>#N/A</v>
      </c>
      <c r="BW299" s="304" t="str">
        <f t="shared" si="485"/>
        <v/>
      </c>
      <c r="BX299" s="313" t="e">
        <f>IF($J299="",#N/A,SUM(BW$4:BW299))</f>
        <v>#N/A</v>
      </c>
      <c r="BY299" s="314" t="str">
        <f t="shared" si="486"/>
        <v/>
      </c>
      <c r="BZ299" s="314" t="e">
        <f>IF($J299="",#N/A,SUM(BY$4:BY299))</f>
        <v>#N/A</v>
      </c>
      <c r="CA299" s="315" t="str">
        <f t="shared" si="487"/>
        <v/>
      </c>
      <c r="CB299" s="315" t="e">
        <f>IF($J299="",#N/A,SUM(CA$4:CA299))</f>
        <v>#N/A</v>
      </c>
      <c r="CC299" s="315" t="e">
        <f>IF($J299="",#N/A,SUM(CA$4:CA299,BY$4:BY299,BW$4:BW299))</f>
        <v>#N/A</v>
      </c>
      <c r="CD299" s="304" t="str">
        <f t="shared" si="488"/>
        <v/>
      </c>
      <c r="CE299" s="313" t="e">
        <f>IF($J299="",#N/A,SUM(CD$4:CD299))</f>
        <v>#N/A</v>
      </c>
      <c r="CF299" s="314" t="str">
        <f t="shared" si="489"/>
        <v/>
      </c>
      <c r="CG299" s="314" t="e">
        <f>IF($J299="",#N/A,SUM(CF$4:CF299))</f>
        <v>#N/A</v>
      </c>
      <c r="CH299" s="315" t="str">
        <f t="shared" si="490"/>
        <v/>
      </c>
      <c r="CI299" s="315" t="e">
        <f>IF($J299="",#N/A,SUM(CH$4:CH299))</f>
        <v>#N/A</v>
      </c>
      <c r="CJ299" s="315" t="e">
        <f>IF($J299="",#N/A,SUM(CH$4:CH299,CF$4:CF299,CD$4:CD299))</f>
        <v>#N/A</v>
      </c>
      <c r="CK299" s="304" t="str">
        <f t="shared" si="491"/>
        <v/>
      </c>
      <c r="CL299" s="313" t="e">
        <f>IF($J299="",#N/A,SUM(CK$4:CK299))</f>
        <v>#N/A</v>
      </c>
      <c r="CM299" s="314" t="str">
        <f t="shared" si="492"/>
        <v/>
      </c>
      <c r="CN299" s="314" t="e">
        <f>IF($J299="",#N/A,SUM(CM$4:CM299))</f>
        <v>#N/A</v>
      </c>
      <c r="CO299" s="315" t="str">
        <f t="shared" si="493"/>
        <v/>
      </c>
      <c r="CP299" s="315" t="e">
        <f>IF($J299="",#N/A,SUM(CO$4:CO299))</f>
        <v>#N/A</v>
      </c>
      <c r="CQ299" s="315" t="e">
        <f>IF($J299="",#N/A,SUM(CO$4:CO299,CM$4:CM299,CK$4:CK299))</f>
        <v>#N/A</v>
      </c>
      <c r="CR299" s="304" t="str">
        <f t="shared" si="494"/>
        <v/>
      </c>
      <c r="CS299" s="313" t="e">
        <f>IF($J299="",#N/A,SUM(CR$4:CR299))</f>
        <v>#N/A</v>
      </c>
      <c r="CT299" s="314" t="str">
        <f t="shared" si="495"/>
        <v/>
      </c>
      <c r="CU299" s="314" t="e">
        <f>IF($J299="",#N/A,SUM(CT$4:CT299))</f>
        <v>#N/A</v>
      </c>
      <c r="CV299" s="315" t="str">
        <f t="shared" si="496"/>
        <v/>
      </c>
      <c r="CW299" s="315" t="e">
        <f>IF($J299="",#N/A,SUM(CV$4:CV299))</f>
        <v>#N/A</v>
      </c>
      <c r="CX299" s="315" t="e">
        <f>IF($J299="",#N/A,SUM(CV$4:CV299,CT$4:CT299,CR$4:CR299))</f>
        <v>#N/A</v>
      </c>
      <c r="CY299" s="304" t="str">
        <f t="shared" si="497"/>
        <v/>
      </c>
      <c r="CZ299" s="313" t="e">
        <f>IF($J299="",#N/A,SUM(CY$4:CY299))</f>
        <v>#N/A</v>
      </c>
      <c r="DA299" s="314" t="str">
        <f t="shared" si="498"/>
        <v/>
      </c>
      <c r="DB299" s="314" t="e">
        <f>IF($J299="",#N/A,SUM(DA$4:DA299))</f>
        <v>#N/A</v>
      </c>
      <c r="DC299" s="315" t="str">
        <f t="shared" si="499"/>
        <v/>
      </c>
      <c r="DD299" s="315" t="e">
        <f>IF($J299="",#N/A,SUM(DC$4:DC299))</f>
        <v>#N/A</v>
      </c>
      <c r="DE299" s="315" t="e">
        <f>IF($J299="",#N/A,SUM(DC$4:DC299,DA$4:DA299,CY$4:CY299))</f>
        <v>#N/A</v>
      </c>
      <c r="DF299" s="304" t="str">
        <f t="shared" si="500"/>
        <v/>
      </c>
      <c r="DG299" s="313" t="e">
        <f>IF($J299="",#N/A,SUM(DF$4:DF299))</f>
        <v>#N/A</v>
      </c>
      <c r="DH299" s="314" t="str">
        <f t="shared" si="501"/>
        <v/>
      </c>
      <c r="DI299" s="314" t="e">
        <f>IF($J299="",#N/A,SUM(DH$4:DH299))</f>
        <v>#N/A</v>
      </c>
      <c r="DJ299" s="315" t="str">
        <f t="shared" si="502"/>
        <v/>
      </c>
      <c r="DK299" s="315" t="e">
        <f>IF($J299="",#N/A,SUM(DJ$4:DJ299))</f>
        <v>#N/A</v>
      </c>
      <c r="DL299" s="315" t="e">
        <f>IF($J299="",#N/A,SUM(DJ$4:DJ299,DH$4:DH299,DF$4:DF299))</f>
        <v>#N/A</v>
      </c>
      <c r="DM299" s="304" t="str">
        <f t="shared" si="503"/>
        <v/>
      </c>
      <c r="DN299" s="313" t="e">
        <f>IF($J299="",#N/A,SUM(DM$4:DM299))</f>
        <v>#N/A</v>
      </c>
      <c r="DO299" s="314" t="str">
        <f t="shared" si="504"/>
        <v/>
      </c>
      <c r="DP299" s="314" t="e">
        <f>IF($J299="",#N/A,SUM(DO$4:DO299))</f>
        <v>#N/A</v>
      </c>
      <c r="DQ299" s="315" t="str">
        <f t="shared" si="505"/>
        <v/>
      </c>
      <c r="DR299" s="315" t="e">
        <f>IF($J299="",#N/A,SUM(DQ$4:DQ299))</f>
        <v>#N/A</v>
      </c>
      <c r="DS299" s="315" t="e">
        <f>IF($J299="",#N/A,SUM(DQ$4:DQ299,DO$4:DO299,DM$4:DM299))</f>
        <v>#N/A</v>
      </c>
      <c r="DT299" s="304" t="str">
        <f t="shared" si="506"/>
        <v/>
      </c>
      <c r="DU299" s="313" t="e">
        <f>IF($J299="",#N/A,SUM(DT$4:DT299))</f>
        <v>#N/A</v>
      </c>
      <c r="DV299" s="314" t="str">
        <f t="shared" si="507"/>
        <v/>
      </c>
      <c r="DW299" s="314" t="e">
        <f>IF($J299="",#N/A,SUM(DV$4:DV299))</f>
        <v>#N/A</v>
      </c>
      <c r="DX299" s="315" t="str">
        <f t="shared" si="508"/>
        <v/>
      </c>
      <c r="DY299" s="315" t="e">
        <f>IF($J299="",#N/A,SUM(DX$4:DX299))</f>
        <v>#N/A</v>
      </c>
      <c r="DZ299" s="315" t="e">
        <f>IF($J299="",#N/A,SUM(DX$4:DX299,DV$4:DV299,DT$4:DT299))</f>
        <v>#N/A</v>
      </c>
      <c r="EA299" s="304" t="str">
        <f t="shared" si="509"/>
        <v/>
      </c>
      <c r="EB299" s="313" t="e">
        <f>IF($J299="",#N/A,SUM(EA$4:EA299))</f>
        <v>#N/A</v>
      </c>
      <c r="EC299" s="314" t="str">
        <f t="shared" si="510"/>
        <v/>
      </c>
      <c r="ED299" s="314" t="e">
        <f>IF($J299="",#N/A,SUM(EC$4:EC299))</f>
        <v>#N/A</v>
      </c>
      <c r="EE299" s="315" t="str">
        <f t="shared" si="511"/>
        <v/>
      </c>
      <c r="EF299" s="315" t="e">
        <f>IF($J299="",#N/A,SUM(EE$4:EE299))</f>
        <v>#N/A</v>
      </c>
      <c r="EG299" s="315" t="e">
        <f>IF($J299="",#N/A,SUM(EE$4:EE299,EC$4:EC299,EA$4:EA299))</f>
        <v>#N/A</v>
      </c>
      <c r="EH299" s="130">
        <f t="shared" si="512"/>
        <v>104.54999999999995</v>
      </c>
      <c r="EI299" s="63">
        <f>IF(EH299="",#N/A,SUM($EH$4:EH299))</f>
        <v>1869.4100842452949</v>
      </c>
      <c r="EJ299" s="223" t="e">
        <f t="shared" si="513"/>
        <v>#N/A</v>
      </c>
      <c r="EK299" s="63" t="e">
        <f>IF($GZ299="",#N/A,SUM(EJ$4:EJ299))</f>
        <v>#N/A</v>
      </c>
      <c r="EL299" s="60" t="str">
        <f t="shared" si="544"/>
        <v/>
      </c>
      <c r="EM299" s="60" t="e">
        <f>IF(EL299="",NA(),SUM($EL$4:EL299))</f>
        <v>#N/A</v>
      </c>
      <c r="EN299" s="60" t="str">
        <f t="shared" si="514"/>
        <v/>
      </c>
      <c r="EO299" s="60" t="e">
        <f>IF(EN299="",NA(),SUM($EN$4:EN299))</f>
        <v>#N/A</v>
      </c>
      <c r="EP299" s="60" t="str">
        <f t="shared" si="515"/>
        <v/>
      </c>
      <c r="EQ299" s="60" t="e">
        <f>IF(EP299="",NA(),SUM($EP$4:EP299))</f>
        <v>#N/A</v>
      </c>
      <c r="ER299" s="60" t="str">
        <f t="shared" si="516"/>
        <v/>
      </c>
      <c r="ES299" s="60" t="e">
        <f>IF(ER299="",NA(),SUM($ER$4:ER299))</f>
        <v>#N/A</v>
      </c>
      <c r="ET299" s="60">
        <f t="shared" si="517"/>
        <v>1.1550597250394405</v>
      </c>
      <c r="EU299" s="60">
        <f>IF(ET299="",NA(),SUM($ET$4:ET299))</f>
        <v>13.052319137384245</v>
      </c>
      <c r="EV299" s="60" t="str">
        <f t="shared" si="518"/>
        <v/>
      </c>
      <c r="EW299" s="60" t="e">
        <f>IF(EV299="",NA(),SUM($EV$4:EV299))</f>
        <v>#N/A</v>
      </c>
      <c r="EX299" s="60" t="str">
        <f t="shared" si="519"/>
        <v/>
      </c>
      <c r="EY299" s="60" t="e">
        <f>IF(EX299="",NA(),SUM($EX$4:EX299))</f>
        <v>#N/A</v>
      </c>
      <c r="EZ299" s="60">
        <f t="shared" si="520"/>
        <v>1.1550597250394405</v>
      </c>
      <c r="FA299" s="60">
        <f>IF(EZ299="",NA(),SUM($EZ$4:EZ299))</f>
        <v>9.3206025244998791</v>
      </c>
      <c r="FB299" s="246">
        <f t="shared" si="545"/>
        <v>-0.61415370745999709</v>
      </c>
      <c r="FC299" s="246">
        <f>IF($FB299="",#N/A,SUM(FB$4:$FB299))</f>
        <v>4.1420554328124899</v>
      </c>
      <c r="FD299" s="60" t="str">
        <f t="shared" si="521"/>
        <v/>
      </c>
      <c r="FE299" s="60" t="e">
        <f>IF($FD299="",#N/A,SUM($FD$4:FD299))</f>
        <v>#N/A</v>
      </c>
      <c r="FF299" s="60" t="str">
        <f t="shared" si="522"/>
        <v/>
      </c>
      <c r="FG299" s="60" t="e">
        <f>IF($FF299="",#N/A,SUM($FF$4:FF299))</f>
        <v>#N/A</v>
      </c>
      <c r="FH299" s="60" t="str">
        <f t="shared" si="523"/>
        <v/>
      </c>
      <c r="FI299" s="60" t="e">
        <f>IF($FH299="",#N/A,SUM($FH$4:FH299))</f>
        <v>#N/A</v>
      </c>
      <c r="FJ299" s="60" t="str">
        <f t="shared" si="524"/>
        <v/>
      </c>
      <c r="FK299" s="60" t="e">
        <f>IF($FJ299="",#N/A,SUM($FJ$4:FJ299))</f>
        <v>#N/A</v>
      </c>
      <c r="FL299" s="60" t="str">
        <f t="shared" si="525"/>
        <v/>
      </c>
      <c r="FM299" s="60" t="e">
        <f>IF($FL299="",#N/A,SUM($FL$4:FL299))</f>
        <v>#N/A</v>
      </c>
      <c r="FN299" s="82">
        <f t="shared" si="526"/>
        <v>0.54090601757944345</v>
      </c>
      <c r="FO299" s="82">
        <f>IF($FN299="",#N/A,SUM(FN$4:$FN299))</f>
        <v>66.181875293733285</v>
      </c>
      <c r="FP299" s="82">
        <f t="shared" si="546"/>
        <v>1.1550597250394405</v>
      </c>
      <c r="FQ299" s="246">
        <f>IF($EH299="",#N/A,SUM($FP$4:FP299))</f>
        <v>59.375735680089853</v>
      </c>
      <c r="FR299" s="82">
        <f>IFERROR(FQ299/COUNTA($J$4:J299),#N/A)</f>
        <v>0.20059370162192519</v>
      </c>
      <c r="FS299" s="82">
        <f t="shared" si="448"/>
        <v>0.36357737716895555</v>
      </c>
      <c r="FT299" s="82">
        <f t="shared" si="449"/>
        <v>0.21066451315296375</v>
      </c>
      <c r="FU299" s="338">
        <f t="shared" si="551"/>
        <v>30.688120897937253</v>
      </c>
      <c r="FV299" s="57" t="str">
        <f t="shared" si="552"/>
        <v>Dwn</v>
      </c>
      <c r="FW299" s="57" t="s">
        <v>2733</v>
      </c>
      <c r="FX299" s="57" t="str">
        <f t="shared" si="528"/>
        <v/>
      </c>
      <c r="FY299" s="57" t="str">
        <f t="shared" si="529"/>
        <v/>
      </c>
      <c r="FZ299" s="57" t="str">
        <f t="shared" si="530"/>
        <v/>
      </c>
      <c r="GA299" s="57" t="str">
        <f t="shared" si="531"/>
        <v>Short</v>
      </c>
      <c r="GB299" s="57">
        <f t="shared" si="532"/>
        <v>1</v>
      </c>
      <c r="GC299" s="57" t="str">
        <f t="shared" si="533"/>
        <v/>
      </c>
      <c r="GD299" s="57" t="str">
        <f t="shared" si="534"/>
        <v/>
      </c>
      <c r="GE299" s="62">
        <f t="shared" si="451"/>
        <v>29.58</v>
      </c>
      <c r="GF299" s="62" t="s">
        <v>2780</v>
      </c>
      <c r="GG299" s="199">
        <v>51</v>
      </c>
      <c r="GH299" s="207">
        <f t="shared" si="535"/>
        <v>1508.58</v>
      </c>
      <c r="GI299" s="199">
        <v>51</v>
      </c>
      <c r="GJ299" s="200">
        <v>27.62</v>
      </c>
      <c r="GK299" s="63">
        <f t="shared" si="536"/>
        <v>99.959999999999809</v>
      </c>
      <c r="GL299" s="63">
        <f t="shared" si="452"/>
        <v>48.959999999999809</v>
      </c>
      <c r="GM299" s="82" t="str">
        <f t="shared" si="537"/>
        <v/>
      </c>
      <c r="GN299" s="82">
        <f>IF($GZ299="",#N/A,SUM(GM$4:GM299))</f>
        <v>13.000146192801193</v>
      </c>
      <c r="GO299" s="82" t="str">
        <f t="shared" si="538"/>
        <v/>
      </c>
      <c r="GP299" s="82">
        <f>IF($GZ299="",#N/A,SUM(GO$4:GO299))</f>
        <v>16.066703160328359</v>
      </c>
      <c r="GQ299" s="82">
        <f t="shared" si="539"/>
        <v>0.54090601757944345</v>
      </c>
      <c r="GR299" s="82">
        <f>IF($GZ299="",#N/A,SUM(GQ$4:GQ299))</f>
        <v>36.489188986161395</v>
      </c>
      <c r="GS299" s="63" t="str">
        <f t="shared" si="548"/>
        <v/>
      </c>
      <c r="GT299" s="63" t="e">
        <f>IF($GZ299="",#N/A,SUM(GS$4:GS299))</f>
        <v>#N/A</v>
      </c>
      <c r="GU299" s="63" t="str">
        <f t="shared" si="549"/>
        <v/>
      </c>
      <c r="GV299" s="63" t="e">
        <f>IF($GZ299="",#N/A,SUM(GU$4:GU299))</f>
        <v>#N/A</v>
      </c>
      <c r="GW299" s="63" t="e">
        <f t="shared" si="550"/>
        <v>#N/A</v>
      </c>
      <c r="GX299" s="63" t="e">
        <f>IF($GZ299="",#N/A,SUM(GW$4:GW299))</f>
        <v>#N/A</v>
      </c>
      <c r="GY299" s="63" t="e">
        <f>IF(EJ299="",#N/A,SUM($EJ$4:EJ299))</f>
        <v>#N/A</v>
      </c>
      <c r="GZ299" s="159">
        <v>28.62</v>
      </c>
      <c r="HA299" s="63">
        <f t="shared" si="540"/>
        <v>-55.590000000000146</v>
      </c>
      <c r="HB299" s="62" t="s">
        <v>2538</v>
      </c>
      <c r="HC299" s="60">
        <f>IFERROR(VLOOKUP(E299,Expectancy!$P$4:$S$19,1+C299,FALSE),"")</f>
        <v>0.30769020202715358</v>
      </c>
      <c r="HD299" s="82">
        <f t="shared" si="541"/>
        <v>1.104349785891366</v>
      </c>
      <c r="HE299" s="138">
        <f>IF(HD299="",#N/A,SUM($HD$4:HD299))</f>
        <v>14.157614782152596</v>
      </c>
      <c r="HF299" s="85">
        <f>IF(HD299="",#N/A,IF(HB299="Skip",#N/A,SUM($HG$4:HG299)))</f>
        <v>754.05657921915554</v>
      </c>
      <c r="HG299" s="63">
        <f t="shared" si="542"/>
        <v>99.959999999999809</v>
      </c>
      <c r="HH299" s="82">
        <f t="shared" si="543"/>
        <v>0.54090601757944345</v>
      </c>
    </row>
    <row r="300" spans="1:216" x14ac:dyDescent="0.25">
      <c r="A300" s="57" t="s">
        <v>1454</v>
      </c>
      <c r="B300" s="58" t="s">
        <v>5238</v>
      </c>
      <c r="C300" s="386">
        <f t="shared" si="453"/>
        <v>3</v>
      </c>
      <c r="D300" s="372" t="str">
        <f>_xlfn.XLOOKUP(A300,[1]SP500!$A$2:$A$502,[1]SP500!$D$2:$D$502,"N")</f>
        <v>Y</v>
      </c>
      <c r="E300" s="57" t="str">
        <f>_xlfn.XLOOKUP(A300,[1]SP500!$A$2:$A$655,[1]SP500!$B$2:$B$655)</f>
        <v>XLB</v>
      </c>
      <c r="F300" s="59">
        <v>45700</v>
      </c>
      <c r="G300" s="57" t="str">
        <f t="shared" si="454"/>
        <v>BMO</v>
      </c>
      <c r="H300" s="57" t="str">
        <f t="shared" si="455"/>
        <v>s</v>
      </c>
      <c r="I300" s="158">
        <v>529</v>
      </c>
      <c r="J300" s="159">
        <v>501.43</v>
      </c>
      <c r="K300" s="61">
        <f t="shared" si="456"/>
        <v>-5.2117202268430987E-2</v>
      </c>
      <c r="L300" s="87">
        <f t="shared" si="457"/>
        <v>-82.710000000000036</v>
      </c>
      <c r="M300" s="130">
        <f t="shared" si="450"/>
        <v>-10.169999999999845</v>
      </c>
      <c r="N300" s="169" t="str">
        <f t="shared" si="458"/>
        <v/>
      </c>
      <c r="O300" s="169">
        <f>IF($J300="",#N/A,SUM($N$4:N300))</f>
        <v>575.29671935422516</v>
      </c>
      <c r="P300" s="174" t="str">
        <f t="shared" si="459"/>
        <v/>
      </c>
      <c r="Q300" s="174">
        <f>IF($J300="",#N/A,SUM($P$4:P300))</f>
        <v>592.60890674734208</v>
      </c>
      <c r="R300" s="178">
        <f t="shared" si="460"/>
        <v>-82.710000000000036</v>
      </c>
      <c r="S300" s="178">
        <f>IF($J300="",#N/A,SUM($R$4:R300))</f>
        <v>618.79445814372752</v>
      </c>
      <c r="T300" s="290" t="str">
        <f t="shared" si="461"/>
        <v/>
      </c>
      <c r="U300" s="290">
        <f>IF($J300="",#N/A,SUM($T$4:T300))</f>
        <v>18.955339712256752</v>
      </c>
      <c r="V300" s="291" t="str">
        <f t="shared" si="462"/>
        <v/>
      </c>
      <c r="W300" s="291">
        <f>IF($J300="",#N/A,SUM($V$4:V300))</f>
        <v>25.564336482260092</v>
      </c>
      <c r="X300" s="292">
        <f t="shared" si="463"/>
        <v>-0.86862003780718378</v>
      </c>
      <c r="Y300" s="292">
        <f>IF($J300="",#N/A,SUM($X$4:X300))</f>
        <v>13.987439447765828</v>
      </c>
      <c r="Z300" s="304" t="str">
        <f t="shared" si="464"/>
        <v/>
      </c>
      <c r="AA300" s="313" t="e">
        <f>IF($J300="",#N/A,SUM(Z$4:Z300))</f>
        <v>#N/A</v>
      </c>
      <c r="AB300" s="314" t="str">
        <f t="shared" si="465"/>
        <v/>
      </c>
      <c r="AC300" s="314" t="e">
        <f>IF($J300="",#N/A,SUM(AB$4:AB300))</f>
        <v>#N/A</v>
      </c>
      <c r="AD300" s="315" t="str">
        <f t="shared" si="466"/>
        <v/>
      </c>
      <c r="AE300" s="315" t="e">
        <f>IF($J300="",#N/A,SUM(AD$4:AD300))</f>
        <v>#N/A</v>
      </c>
      <c r="AF300" s="315" t="e">
        <f>IF($J300="",#N/A,SUM(AD$4:AD300,AB$4:AB300,Z$4:Z300))</f>
        <v>#N/A</v>
      </c>
      <c r="AG300" s="304" t="str">
        <f t="shared" si="467"/>
        <v/>
      </c>
      <c r="AH300" s="313" t="e">
        <f>IF($J300="",#N/A,SUM(AG$4:AG300))</f>
        <v>#N/A</v>
      </c>
      <c r="AI300" s="314" t="str">
        <f t="shared" si="468"/>
        <v/>
      </c>
      <c r="AJ300" s="314" t="e">
        <f>IF($J300="",#N/A,SUM(AI$4:AI300))</f>
        <v>#N/A</v>
      </c>
      <c r="AK300" s="315" t="str">
        <f t="shared" si="469"/>
        <v/>
      </c>
      <c r="AL300" s="315" t="e">
        <f>IF($J300="",#N/A,SUM(AK$4:AK300))</f>
        <v>#N/A</v>
      </c>
      <c r="AM300" s="315" t="e">
        <f>IF($J300="",#N/A,SUM(AK$4:AK300,AI$4:AI300,AG$4:AG300))</f>
        <v>#N/A</v>
      </c>
      <c r="AN300" s="304" t="str">
        <f t="shared" si="470"/>
        <v/>
      </c>
      <c r="AO300" s="313" t="e">
        <f>IF($J300="",#N/A,SUM(AN$4:AN300))</f>
        <v>#N/A</v>
      </c>
      <c r="AP300" s="314" t="str">
        <f t="shared" si="471"/>
        <v/>
      </c>
      <c r="AQ300" s="314" t="e">
        <f>IF($J300="",#N/A,SUM(AP$4:AP300))</f>
        <v>#N/A</v>
      </c>
      <c r="AR300" s="315" t="str">
        <f t="shared" si="472"/>
        <v/>
      </c>
      <c r="AS300" s="315" t="e">
        <f>IF($J300="",#N/A,SUM(AR$4:AR300))</f>
        <v>#N/A</v>
      </c>
      <c r="AT300" s="315" t="e">
        <f>IF($J300="",#N/A,SUM(AR$4:AR300,AP$4:AP300,AN$4:AN300))</f>
        <v>#N/A</v>
      </c>
      <c r="AU300" s="304" t="str">
        <f t="shared" si="473"/>
        <v/>
      </c>
      <c r="AV300" s="313" t="e">
        <f>IF($J300="",#N/A,SUM(AU$4:AU300))</f>
        <v>#N/A</v>
      </c>
      <c r="AW300" s="314" t="str">
        <f t="shared" si="474"/>
        <v/>
      </c>
      <c r="AX300" s="314" t="e">
        <f>IF($J300="",#N/A,SUM(AW$4:AW300))</f>
        <v>#N/A</v>
      </c>
      <c r="AY300" s="315" t="str">
        <f t="shared" si="475"/>
        <v/>
      </c>
      <c r="AZ300" s="315" t="e">
        <f>IF($J300="",#N/A,SUM(AY$4:AY300))</f>
        <v>#N/A</v>
      </c>
      <c r="BA300" s="315" t="e">
        <f>IF($J300="",#N/A,SUM(AY$4:AY300,AW$4:AW300,AU$4:AU300))</f>
        <v>#N/A</v>
      </c>
      <c r="BB300" s="304" t="str">
        <f t="shared" si="476"/>
        <v/>
      </c>
      <c r="BC300" s="313" t="e">
        <f>IF($J300="",#N/A,SUM(BB$4:BB300))</f>
        <v>#N/A</v>
      </c>
      <c r="BD300" s="314" t="str">
        <f t="shared" si="477"/>
        <v/>
      </c>
      <c r="BE300" s="314" t="e">
        <f>IF($J300="",#N/A,SUM(BD$4:BD300))</f>
        <v>#N/A</v>
      </c>
      <c r="BF300" s="315" t="str">
        <f t="shared" si="478"/>
        <v/>
      </c>
      <c r="BG300" s="315" t="e">
        <f>IF($J300="",#N/A,SUM(BF$4:BF300))</f>
        <v>#N/A</v>
      </c>
      <c r="BH300" s="315" t="e">
        <f>IF($J300="",#N/A,SUM(BF$4:BF300,BD$4:BD300,BB$4:BB300))</f>
        <v>#N/A</v>
      </c>
      <c r="BI300" s="304" t="str">
        <f t="shared" si="479"/>
        <v/>
      </c>
      <c r="BJ300" s="313" t="e">
        <f>IF($J300="",#N/A,SUM(BI$4:BI300))</f>
        <v>#N/A</v>
      </c>
      <c r="BK300" s="314" t="str">
        <f t="shared" si="480"/>
        <v/>
      </c>
      <c r="BL300" s="314" t="e">
        <f>IF($J300="",#N/A,SUM(BK$4:BK300))</f>
        <v>#N/A</v>
      </c>
      <c r="BM300" s="315" t="str">
        <f t="shared" si="481"/>
        <v/>
      </c>
      <c r="BN300" s="315" t="e">
        <f>IF($J300="",#N/A,SUM(BM$4:BM300))</f>
        <v>#N/A</v>
      </c>
      <c r="BO300" s="315" t="e">
        <f>IF($J300="",#N/A,SUM(BM$4:BM300,BK$4:BK300,BI$4:BI300))</f>
        <v>#N/A</v>
      </c>
      <c r="BP300" s="304" t="str">
        <f t="shared" si="482"/>
        <v/>
      </c>
      <c r="BQ300" s="313" t="e">
        <f>IF($J300="",#N/A,SUM(BP$4:BP300))</f>
        <v>#N/A</v>
      </c>
      <c r="BR300" s="314" t="str">
        <f t="shared" si="483"/>
        <v/>
      </c>
      <c r="BS300" s="314" t="e">
        <f>IF($J300="",#N/A,SUM(BR$4:BR300))</f>
        <v>#N/A</v>
      </c>
      <c r="BT300" s="315" t="str">
        <f t="shared" si="484"/>
        <v/>
      </c>
      <c r="BU300" s="315" t="e">
        <f>IF($J300="",#N/A,SUM(BT$4:BT300))</f>
        <v>#N/A</v>
      </c>
      <c r="BV300" s="315" t="e">
        <f>IF($J300="",#N/A,SUM(BT$4:BT300,BR$4:BR300,BP$4:BP300))</f>
        <v>#N/A</v>
      </c>
      <c r="BW300" s="304" t="str">
        <f t="shared" si="485"/>
        <v/>
      </c>
      <c r="BX300" s="313" t="e">
        <f>IF($J300="",#N/A,SUM(BW$4:BW300))</f>
        <v>#N/A</v>
      </c>
      <c r="BY300" s="314" t="str">
        <f t="shared" si="486"/>
        <v/>
      </c>
      <c r="BZ300" s="314" t="e">
        <f>IF($J300="",#N/A,SUM(BY$4:BY300))</f>
        <v>#N/A</v>
      </c>
      <c r="CA300" s="315" t="str">
        <f t="shared" si="487"/>
        <v/>
      </c>
      <c r="CB300" s="315" t="e">
        <f>IF($J300="",#N/A,SUM(CA$4:CA300))</f>
        <v>#N/A</v>
      </c>
      <c r="CC300" s="315" t="e">
        <f>IF($J300="",#N/A,SUM(CA$4:CA300,BY$4:BY300,BW$4:BW300))</f>
        <v>#N/A</v>
      </c>
      <c r="CD300" s="304" t="str">
        <f t="shared" si="488"/>
        <v/>
      </c>
      <c r="CE300" s="313" t="e">
        <f>IF($J300="",#N/A,SUM(CD$4:CD300))</f>
        <v>#N/A</v>
      </c>
      <c r="CF300" s="314" t="str">
        <f t="shared" si="489"/>
        <v/>
      </c>
      <c r="CG300" s="314" t="e">
        <f>IF($J300="",#N/A,SUM(CF$4:CF300))</f>
        <v>#N/A</v>
      </c>
      <c r="CH300" s="315">
        <f t="shared" si="490"/>
        <v>-0.86862003780718378</v>
      </c>
      <c r="CI300" s="315" t="e">
        <f>IF($J300="",#N/A,SUM(CH$4:CH300))</f>
        <v>#N/A</v>
      </c>
      <c r="CJ300" s="315" t="e">
        <f>IF($J300="",#N/A,SUM(CH$4:CH300,CF$4:CF300,CD$4:CD300))</f>
        <v>#N/A</v>
      </c>
      <c r="CK300" s="304" t="str">
        <f t="shared" si="491"/>
        <v/>
      </c>
      <c r="CL300" s="313" t="e">
        <f>IF($J300="",#N/A,SUM(CK$4:CK300))</f>
        <v>#N/A</v>
      </c>
      <c r="CM300" s="314" t="str">
        <f t="shared" si="492"/>
        <v/>
      </c>
      <c r="CN300" s="314" t="e">
        <f>IF($J300="",#N/A,SUM(CM$4:CM300))</f>
        <v>#N/A</v>
      </c>
      <c r="CO300" s="315" t="str">
        <f t="shared" si="493"/>
        <v/>
      </c>
      <c r="CP300" s="315" t="e">
        <f>IF($J300="",#N/A,SUM(CO$4:CO300))</f>
        <v>#N/A</v>
      </c>
      <c r="CQ300" s="315" t="e">
        <f>IF($J300="",#N/A,SUM(CO$4:CO300,CM$4:CM300,CK$4:CK300))</f>
        <v>#N/A</v>
      </c>
      <c r="CR300" s="304" t="str">
        <f t="shared" si="494"/>
        <v/>
      </c>
      <c r="CS300" s="313" t="e">
        <f>IF($J300="",#N/A,SUM(CR$4:CR300))</f>
        <v>#N/A</v>
      </c>
      <c r="CT300" s="314" t="str">
        <f t="shared" si="495"/>
        <v/>
      </c>
      <c r="CU300" s="314" t="e">
        <f>IF($J300="",#N/A,SUM(CT$4:CT300))</f>
        <v>#N/A</v>
      </c>
      <c r="CV300" s="315" t="str">
        <f t="shared" si="496"/>
        <v/>
      </c>
      <c r="CW300" s="315" t="e">
        <f>IF($J300="",#N/A,SUM(CV$4:CV300))</f>
        <v>#N/A</v>
      </c>
      <c r="CX300" s="315" t="e">
        <f>IF($J300="",#N/A,SUM(CV$4:CV300,CT$4:CT300,CR$4:CR300))</f>
        <v>#N/A</v>
      </c>
      <c r="CY300" s="304" t="str">
        <f t="shared" si="497"/>
        <v/>
      </c>
      <c r="CZ300" s="313" t="e">
        <f>IF($J300="",#N/A,SUM(CY$4:CY300))</f>
        <v>#N/A</v>
      </c>
      <c r="DA300" s="314" t="str">
        <f t="shared" si="498"/>
        <v/>
      </c>
      <c r="DB300" s="314" t="e">
        <f>IF($J300="",#N/A,SUM(DA$4:DA300))</f>
        <v>#N/A</v>
      </c>
      <c r="DC300" s="315" t="str">
        <f t="shared" si="499"/>
        <v/>
      </c>
      <c r="DD300" s="315" t="e">
        <f>IF($J300="",#N/A,SUM(DC$4:DC300))</f>
        <v>#N/A</v>
      </c>
      <c r="DE300" s="315" t="e">
        <f>IF($J300="",#N/A,SUM(DC$4:DC300,DA$4:DA300,CY$4:CY300))</f>
        <v>#N/A</v>
      </c>
      <c r="DF300" s="304" t="str">
        <f t="shared" si="500"/>
        <v/>
      </c>
      <c r="DG300" s="313" t="e">
        <f>IF($J300="",#N/A,SUM(DF$4:DF300))</f>
        <v>#N/A</v>
      </c>
      <c r="DH300" s="314" t="str">
        <f t="shared" si="501"/>
        <v/>
      </c>
      <c r="DI300" s="314" t="e">
        <f>IF($J300="",#N/A,SUM(DH$4:DH300))</f>
        <v>#N/A</v>
      </c>
      <c r="DJ300" s="315" t="str">
        <f t="shared" si="502"/>
        <v/>
      </c>
      <c r="DK300" s="315" t="e">
        <f>IF($J300="",#N/A,SUM(DJ$4:DJ300))</f>
        <v>#N/A</v>
      </c>
      <c r="DL300" s="315" t="e">
        <f>IF($J300="",#N/A,SUM(DJ$4:DJ300,DH$4:DH300,DF$4:DF300))</f>
        <v>#N/A</v>
      </c>
      <c r="DM300" s="304" t="str">
        <f t="shared" si="503"/>
        <v/>
      </c>
      <c r="DN300" s="313" t="e">
        <f>IF($J300="",#N/A,SUM(DM$4:DM300))</f>
        <v>#N/A</v>
      </c>
      <c r="DO300" s="314" t="str">
        <f t="shared" si="504"/>
        <v/>
      </c>
      <c r="DP300" s="314" t="e">
        <f>IF($J300="",#N/A,SUM(DO$4:DO300))</f>
        <v>#N/A</v>
      </c>
      <c r="DQ300" s="315" t="str">
        <f t="shared" si="505"/>
        <v/>
      </c>
      <c r="DR300" s="315" t="e">
        <f>IF($J300="",#N/A,SUM(DQ$4:DQ300))</f>
        <v>#N/A</v>
      </c>
      <c r="DS300" s="315" t="e">
        <f>IF($J300="",#N/A,SUM(DQ$4:DQ300,DO$4:DO300,DM$4:DM300))</f>
        <v>#N/A</v>
      </c>
      <c r="DT300" s="304" t="str">
        <f t="shared" si="506"/>
        <v/>
      </c>
      <c r="DU300" s="313" t="e">
        <f>IF($J300="",#N/A,SUM(DT$4:DT300))</f>
        <v>#N/A</v>
      </c>
      <c r="DV300" s="314" t="str">
        <f t="shared" si="507"/>
        <v/>
      </c>
      <c r="DW300" s="314" t="e">
        <f>IF($J300="",#N/A,SUM(DV$4:DV300))</f>
        <v>#N/A</v>
      </c>
      <c r="DX300" s="315" t="str">
        <f t="shared" si="508"/>
        <v/>
      </c>
      <c r="DY300" s="315" t="e">
        <f>IF($J300="",#N/A,SUM(DX$4:DX300))</f>
        <v>#N/A</v>
      </c>
      <c r="DZ300" s="315" t="e">
        <f>IF($J300="",#N/A,SUM(DX$4:DX300,DV$4:DV300,DT$4:DT300))</f>
        <v>#N/A</v>
      </c>
      <c r="EA300" s="304" t="str">
        <f t="shared" si="509"/>
        <v/>
      </c>
      <c r="EB300" s="313" t="e">
        <f>IF($J300="",#N/A,SUM(EA$4:EA300))</f>
        <v>#N/A</v>
      </c>
      <c r="EC300" s="314" t="str">
        <f t="shared" si="510"/>
        <v/>
      </c>
      <c r="ED300" s="314" t="e">
        <f>IF($J300="",#N/A,SUM(EC$4:EC300))</f>
        <v>#N/A</v>
      </c>
      <c r="EE300" s="315" t="str">
        <f t="shared" si="511"/>
        <v/>
      </c>
      <c r="EF300" s="315" t="e">
        <f>IF($J300="",#N/A,SUM(EE$4:EE300))</f>
        <v>#N/A</v>
      </c>
      <c r="EG300" s="315" t="e">
        <f>IF($J300="",#N/A,SUM(EE$4:EE300,EC$4:EC300,EA$4:EA300))</f>
        <v>#N/A</v>
      </c>
      <c r="EH300" s="130">
        <f t="shared" si="512"/>
        <v>-82.710000000000036</v>
      </c>
      <c r="EI300" s="63">
        <f>IF(EH300="",#N/A,SUM($EH$4:EH300))</f>
        <v>1786.7000842452949</v>
      </c>
      <c r="EJ300" s="223" t="e">
        <f t="shared" si="513"/>
        <v>#N/A</v>
      </c>
      <c r="EK300" s="63" t="e">
        <f>IF($GZ300="",#N/A,SUM(EJ$4:EJ300))</f>
        <v>#N/A</v>
      </c>
      <c r="EL300" s="60">
        <f t="shared" si="544"/>
        <v>-0.86862003780718378</v>
      </c>
      <c r="EM300" s="60">
        <f>IF(EL300="",NA(),SUM($EL$4:EL300))</f>
        <v>45.454796504898439</v>
      </c>
      <c r="EN300" s="60" t="str">
        <f t="shared" si="514"/>
        <v/>
      </c>
      <c r="EO300" s="60" t="e">
        <f>IF(EN300="",NA(),SUM($EN$4:EN300))</f>
        <v>#N/A</v>
      </c>
      <c r="EP300" s="60">
        <f t="shared" si="515"/>
        <v>-0.86862003780718378</v>
      </c>
      <c r="EQ300" s="60">
        <f>IF(EP300="",NA(),SUM($EP$4:EP300))</f>
        <v>13.052295281032745</v>
      </c>
      <c r="ER300" s="60" t="str">
        <f t="shared" si="516"/>
        <v/>
      </c>
      <c r="ES300" s="60" t="e">
        <f>IF(ER300="",NA(),SUM($ER$4:ER300))</f>
        <v>#N/A</v>
      </c>
      <c r="ET300" s="60" t="str">
        <f t="shared" si="517"/>
        <v/>
      </c>
      <c r="EU300" s="60" t="e">
        <f>IF(ET300="",NA(),SUM($ET$4:ET300))</f>
        <v>#N/A</v>
      </c>
      <c r="EV300" s="60" t="str">
        <f t="shared" si="518"/>
        <v/>
      </c>
      <c r="EW300" s="60" t="e">
        <f>IF(EV300="",NA(),SUM($EV$4:EV300))</f>
        <v>#N/A</v>
      </c>
      <c r="EX300" s="60" t="str">
        <f t="shared" si="519"/>
        <v/>
      </c>
      <c r="EY300" s="60" t="e">
        <f>IF(EX300="",NA(),SUM($EX$4:EX300))</f>
        <v>#N/A</v>
      </c>
      <c r="EZ300" s="60" t="str">
        <f t="shared" si="520"/>
        <v/>
      </c>
      <c r="FA300" s="60" t="e">
        <f>IF(EZ300="",NA(),SUM($EZ$4:EZ300))</f>
        <v>#N/A</v>
      </c>
      <c r="FB300" s="246" t="str">
        <f t="shared" si="545"/>
        <v/>
      </c>
      <c r="FC300" s="246" t="e">
        <f>IF($FB300="",#N/A,SUM(FB$4:$FB300))</f>
        <v>#N/A</v>
      </c>
      <c r="FD300" s="60" t="str">
        <f t="shared" si="521"/>
        <v/>
      </c>
      <c r="FE300" s="60" t="e">
        <f>IF($FD300="",#N/A,SUM($FD$4:FD300))</f>
        <v>#N/A</v>
      </c>
      <c r="FF300" s="60" t="str">
        <f t="shared" si="522"/>
        <v/>
      </c>
      <c r="FG300" s="60" t="e">
        <f>IF($FF300="",#N/A,SUM($FF$4:FF300))</f>
        <v>#N/A</v>
      </c>
      <c r="FH300" s="60" t="str">
        <f t="shared" si="523"/>
        <v/>
      </c>
      <c r="FI300" s="60" t="e">
        <f>IF($FH300="",#N/A,SUM($FH$4:FH300))</f>
        <v>#N/A</v>
      </c>
      <c r="FJ300" s="60" t="str">
        <f t="shared" si="524"/>
        <v/>
      </c>
      <c r="FK300" s="60" t="e">
        <f>IF($FJ300="",#N/A,SUM($FJ$4:FJ300))</f>
        <v>#N/A</v>
      </c>
      <c r="FL300" s="60">
        <f t="shared" si="525"/>
        <v>0.49495904221802262</v>
      </c>
      <c r="FM300" s="60">
        <f>IF($FL300="",#N/A,SUM($FL$4:FL300))</f>
        <v>0.46411899835624387</v>
      </c>
      <c r="FN300" s="82">
        <f t="shared" si="526"/>
        <v>-0.37366099558916116</v>
      </c>
      <c r="FO300" s="82">
        <f>IF($FN300="",#N/A,SUM(FN$4:$FN300))</f>
        <v>65.808214298144122</v>
      </c>
      <c r="FP300" s="82">
        <f t="shared" si="546"/>
        <v>-0.86862003780718378</v>
      </c>
      <c r="FQ300" s="246">
        <f>IF($EH300="",#N/A,SUM($FP$4:FP300))</f>
        <v>58.50711564228267</v>
      </c>
      <c r="FR300" s="82">
        <f>IFERROR(FQ300/COUNTA($J$4:J300),#N/A)</f>
        <v>0.19699365536122113</v>
      </c>
      <c r="FS300" s="82">
        <f t="shared" si="448"/>
        <v>0.32566369915424487</v>
      </c>
      <c r="FT300" s="82">
        <f t="shared" si="449"/>
        <v>0.18268088101565241</v>
      </c>
      <c r="FU300" s="338">
        <f t="shared" si="551"/>
        <v>30.794926190942931</v>
      </c>
      <c r="FV300" s="57" t="str">
        <f t="shared" si="552"/>
        <v>SW</v>
      </c>
      <c r="FW300" s="57" t="s">
        <v>2732</v>
      </c>
      <c r="FX300" s="57" t="str">
        <f t="shared" si="528"/>
        <v/>
      </c>
      <c r="FY300" s="57" t="str">
        <f t="shared" si="529"/>
        <v/>
      </c>
      <c r="FZ300" s="57" t="str">
        <f t="shared" si="530"/>
        <v/>
      </c>
      <c r="GA300" s="57" t="str">
        <f t="shared" si="531"/>
        <v>Long</v>
      </c>
      <c r="GB300" s="57" t="str">
        <f t="shared" si="532"/>
        <v/>
      </c>
      <c r="GC300" s="57" t="str">
        <f t="shared" si="533"/>
        <v/>
      </c>
      <c r="GD300" s="57">
        <f t="shared" si="534"/>
        <v>1</v>
      </c>
      <c r="GE300" s="62">
        <f t="shared" si="451"/>
        <v>529</v>
      </c>
      <c r="GF300" s="62" t="s">
        <v>2779</v>
      </c>
      <c r="GG300" s="199">
        <v>3</v>
      </c>
      <c r="GH300" s="207">
        <f t="shared" si="535"/>
        <v>1587</v>
      </c>
      <c r="GI300" s="199">
        <v>3</v>
      </c>
      <c r="GJ300" s="200">
        <v>498.04</v>
      </c>
      <c r="GK300" s="63">
        <f t="shared" si="536"/>
        <v>-92.879999999999882</v>
      </c>
      <c r="GL300" s="63">
        <f t="shared" si="452"/>
        <v>-35.579999999999927</v>
      </c>
      <c r="GM300" s="82">
        <f t="shared" si="537"/>
        <v>-0.37366099558916116</v>
      </c>
      <c r="GN300" s="82">
        <f>IF($GZ300="",#N/A,SUM(GM$4:GM300))</f>
        <v>12.626485197212032</v>
      </c>
      <c r="GO300" s="82" t="str">
        <f t="shared" si="538"/>
        <v/>
      </c>
      <c r="GP300" s="82">
        <f>IF($GZ300="",#N/A,SUM(GO$4:GO300))</f>
        <v>16.066703160328359</v>
      </c>
      <c r="GQ300" s="82" t="str">
        <f t="shared" si="539"/>
        <v/>
      </c>
      <c r="GR300" s="82">
        <f>IF($GZ300="",#N/A,SUM(GQ$4:GQ300))</f>
        <v>36.489188986161395</v>
      </c>
      <c r="GS300" s="63" t="e">
        <f t="shared" si="548"/>
        <v>#N/A</v>
      </c>
      <c r="GT300" s="63" t="e">
        <f>IF($GZ300="",#N/A,SUM(GS$4:GS300))</f>
        <v>#N/A</v>
      </c>
      <c r="GU300" s="63" t="str">
        <f t="shared" si="549"/>
        <v/>
      </c>
      <c r="GV300" s="63" t="e">
        <f>IF($GZ300="",#N/A,SUM(GU$4:GU300))</f>
        <v>#N/A</v>
      </c>
      <c r="GW300" s="63" t="str">
        <f t="shared" si="550"/>
        <v/>
      </c>
      <c r="GX300" s="63" t="e">
        <f>IF($GZ300="",#N/A,SUM(GW$4:GW300))</f>
        <v>#N/A</v>
      </c>
      <c r="GY300" s="63" t="e">
        <f>IF(EJ300="",#N/A,SUM($EJ$4:EJ300))</f>
        <v>#N/A</v>
      </c>
      <c r="GZ300" s="159">
        <v>517.14</v>
      </c>
      <c r="HA300" s="63">
        <f t="shared" si="540"/>
        <v>47.130000000000109</v>
      </c>
      <c r="HB300" s="62" t="s">
        <v>2538</v>
      </c>
      <c r="HC300" s="60">
        <f>IFERROR(VLOOKUP(E300,Expectancy!$P$4:$S$19,1+C300,FALSE),"")</f>
        <v>-0.22212962098938482</v>
      </c>
      <c r="HD300" s="82">
        <f t="shared" si="541"/>
        <v>-0.97542533081285321</v>
      </c>
      <c r="HE300" s="138">
        <f>IF(HD300="",#N/A,SUM($HD$4:HD300))</f>
        <v>13.182189451339742</v>
      </c>
      <c r="HF300" s="85">
        <f>IF(HD300="",#N/A,IF(HB300="Skip",#N/A,SUM($HG$4:HG300)))</f>
        <v>661.17657921915566</v>
      </c>
      <c r="HG300" s="63">
        <f t="shared" si="542"/>
        <v>-92.879999999999882</v>
      </c>
      <c r="HH300" s="82">
        <f t="shared" si="543"/>
        <v>-0.37366099558916116</v>
      </c>
    </row>
    <row r="301" spans="1:216" x14ac:dyDescent="0.25">
      <c r="A301" s="57" t="s">
        <v>1462</v>
      </c>
      <c r="B301" s="58" t="s">
        <v>5238</v>
      </c>
      <c r="C301" s="386">
        <f t="shared" si="453"/>
        <v>1</v>
      </c>
      <c r="D301" s="372" t="str">
        <f>_xlfn.XLOOKUP(A301,[1]SP500!$A$2:$A$502,[1]SP500!$D$2:$D$502,"N")</f>
        <v>Y</v>
      </c>
      <c r="E301" s="57" t="str">
        <f>_xlfn.XLOOKUP(A301,[1]SP500!$A$2:$A$655,[1]SP500!$B$2:$B$655)</f>
        <v>XLI</v>
      </c>
      <c r="F301" s="59">
        <v>45700</v>
      </c>
      <c r="G301" s="57" t="str">
        <f t="shared" si="454"/>
        <v>BMO</v>
      </c>
      <c r="H301" s="57" t="str">
        <f t="shared" si="455"/>
        <v>s</v>
      </c>
      <c r="I301" s="159">
        <v>208.12</v>
      </c>
      <c r="J301" s="158">
        <v>192</v>
      </c>
      <c r="K301" s="61">
        <f t="shared" si="456"/>
        <v>-7.7455314241783604E-2</v>
      </c>
      <c r="L301" s="87">
        <f t="shared" si="457"/>
        <v>-112.84000000000015</v>
      </c>
      <c r="M301" s="130">
        <f t="shared" si="450"/>
        <v>0</v>
      </c>
      <c r="N301" s="169">
        <f t="shared" si="458"/>
        <v>-112.84000000000015</v>
      </c>
      <c r="O301" s="169">
        <f>IF($J301="",#N/A,SUM($N$4:N301))</f>
        <v>462.45671935422502</v>
      </c>
      <c r="P301" s="174" t="str">
        <f t="shared" si="459"/>
        <v/>
      </c>
      <c r="Q301" s="174">
        <f>IF($J301="",#N/A,SUM($P$4:P301))</f>
        <v>592.60890674734208</v>
      </c>
      <c r="R301" s="178" t="str">
        <f t="shared" si="460"/>
        <v/>
      </c>
      <c r="S301" s="178">
        <f>IF($J301="",#N/A,SUM($R$4:R301))</f>
        <v>618.79445814372752</v>
      </c>
      <c r="T301" s="290">
        <f t="shared" si="461"/>
        <v>-1.290921904029728</v>
      </c>
      <c r="U301" s="290">
        <f>IF($J301="",#N/A,SUM($T$4:T301))</f>
        <v>17.664417808227025</v>
      </c>
      <c r="V301" s="291" t="str">
        <f t="shared" si="462"/>
        <v/>
      </c>
      <c r="W301" s="291">
        <f>IF($J301="",#N/A,SUM($V$4:V301))</f>
        <v>25.564336482260092</v>
      </c>
      <c r="X301" s="292" t="str">
        <f t="shared" si="463"/>
        <v/>
      </c>
      <c r="Y301" s="292">
        <f>IF($J301="",#N/A,SUM($X$4:X301))</f>
        <v>13.987439447765828</v>
      </c>
      <c r="Z301" s="304" t="str">
        <f t="shared" si="464"/>
        <v/>
      </c>
      <c r="AA301" s="313" t="e">
        <f>IF($J301="",#N/A,SUM(Z$4:Z301))</f>
        <v>#N/A</v>
      </c>
      <c r="AB301" s="314" t="str">
        <f t="shared" si="465"/>
        <v/>
      </c>
      <c r="AC301" s="314" t="e">
        <f>IF($J301="",#N/A,SUM(AB$4:AB301))</f>
        <v>#N/A</v>
      </c>
      <c r="AD301" s="315" t="str">
        <f t="shared" si="466"/>
        <v/>
      </c>
      <c r="AE301" s="315" t="e">
        <f>IF($J301="",#N/A,SUM(AD$4:AD301))</f>
        <v>#N/A</v>
      </c>
      <c r="AF301" s="315" t="e">
        <f>IF($J301="",#N/A,SUM(AD$4:AD301,AB$4:AB301,Z$4:Z301))</f>
        <v>#N/A</v>
      </c>
      <c r="AG301" s="304" t="str">
        <f t="shared" si="467"/>
        <v/>
      </c>
      <c r="AH301" s="313" t="e">
        <f>IF($J301="",#N/A,SUM(AG$4:AG301))</f>
        <v>#N/A</v>
      </c>
      <c r="AI301" s="314" t="str">
        <f t="shared" si="468"/>
        <v/>
      </c>
      <c r="AJ301" s="314" t="e">
        <f>IF($J301="",#N/A,SUM(AI$4:AI301))</f>
        <v>#N/A</v>
      </c>
      <c r="AK301" s="315" t="str">
        <f t="shared" si="469"/>
        <v/>
      </c>
      <c r="AL301" s="315" t="e">
        <f>IF($J301="",#N/A,SUM(AK$4:AK301))</f>
        <v>#N/A</v>
      </c>
      <c r="AM301" s="315" t="e">
        <f>IF($J301="",#N/A,SUM(AK$4:AK301,AI$4:AI301,AG$4:AG301))</f>
        <v>#N/A</v>
      </c>
      <c r="AN301" s="304" t="str">
        <f t="shared" si="470"/>
        <v/>
      </c>
      <c r="AO301" s="313" t="e">
        <f>IF($J301="",#N/A,SUM(AN$4:AN301))</f>
        <v>#N/A</v>
      </c>
      <c r="AP301" s="314" t="str">
        <f t="shared" si="471"/>
        <v/>
      </c>
      <c r="AQ301" s="314" t="e">
        <f>IF($J301="",#N/A,SUM(AP$4:AP301))</f>
        <v>#N/A</v>
      </c>
      <c r="AR301" s="315" t="str">
        <f t="shared" si="472"/>
        <v/>
      </c>
      <c r="AS301" s="315" t="e">
        <f>IF($J301="",#N/A,SUM(AR$4:AR301))</f>
        <v>#N/A</v>
      </c>
      <c r="AT301" s="315" t="e">
        <f>IF($J301="",#N/A,SUM(AR$4:AR301,AP$4:AP301,AN$4:AN301))</f>
        <v>#N/A</v>
      </c>
      <c r="AU301" s="304" t="str">
        <f t="shared" si="473"/>
        <v/>
      </c>
      <c r="AV301" s="313" t="e">
        <f>IF($J301="",#N/A,SUM(AU$4:AU301))</f>
        <v>#N/A</v>
      </c>
      <c r="AW301" s="314" t="str">
        <f t="shared" si="474"/>
        <v/>
      </c>
      <c r="AX301" s="314" t="e">
        <f>IF($J301="",#N/A,SUM(AW$4:AW301))</f>
        <v>#N/A</v>
      </c>
      <c r="AY301" s="315" t="str">
        <f t="shared" si="475"/>
        <v/>
      </c>
      <c r="AZ301" s="315" t="e">
        <f>IF($J301="",#N/A,SUM(AY$4:AY301))</f>
        <v>#N/A</v>
      </c>
      <c r="BA301" s="315" t="e">
        <f>IF($J301="",#N/A,SUM(AY$4:AY301,AW$4:AW301,AU$4:AU301))</f>
        <v>#N/A</v>
      </c>
      <c r="BB301" s="304" t="str">
        <f t="shared" si="476"/>
        <v/>
      </c>
      <c r="BC301" s="313" t="e">
        <f>IF($J301="",#N/A,SUM(BB$4:BB301))</f>
        <v>#N/A</v>
      </c>
      <c r="BD301" s="314" t="str">
        <f t="shared" si="477"/>
        <v/>
      </c>
      <c r="BE301" s="314" t="e">
        <f>IF($J301="",#N/A,SUM(BD$4:BD301))</f>
        <v>#N/A</v>
      </c>
      <c r="BF301" s="315" t="str">
        <f t="shared" si="478"/>
        <v/>
      </c>
      <c r="BG301" s="315" t="e">
        <f>IF($J301="",#N/A,SUM(BF$4:BF301))</f>
        <v>#N/A</v>
      </c>
      <c r="BH301" s="315" t="e">
        <f>IF($J301="",#N/A,SUM(BF$4:BF301,BD$4:BD301,BB$4:BB301))</f>
        <v>#N/A</v>
      </c>
      <c r="BI301" s="304" t="str">
        <f t="shared" si="479"/>
        <v/>
      </c>
      <c r="BJ301" s="313" t="e">
        <f>IF($J301="",#N/A,SUM(BI$4:BI301))</f>
        <v>#N/A</v>
      </c>
      <c r="BK301" s="314" t="str">
        <f t="shared" si="480"/>
        <v/>
      </c>
      <c r="BL301" s="314" t="e">
        <f>IF($J301="",#N/A,SUM(BK$4:BK301))</f>
        <v>#N/A</v>
      </c>
      <c r="BM301" s="315" t="str">
        <f t="shared" si="481"/>
        <v/>
      </c>
      <c r="BN301" s="315" t="e">
        <f>IF($J301="",#N/A,SUM(BM$4:BM301))</f>
        <v>#N/A</v>
      </c>
      <c r="BO301" s="315" t="e">
        <f>IF($J301="",#N/A,SUM(BM$4:BM301,BK$4:BK301,BI$4:BI301))</f>
        <v>#N/A</v>
      </c>
      <c r="BP301" s="304">
        <f t="shared" si="482"/>
        <v>-1.290921904029728</v>
      </c>
      <c r="BQ301" s="313" t="e">
        <f>IF($J301="",#N/A,SUM(BP$4:BP301))</f>
        <v>#N/A</v>
      </c>
      <c r="BR301" s="314" t="str">
        <f t="shared" si="483"/>
        <v/>
      </c>
      <c r="BS301" s="314" t="e">
        <f>IF($J301="",#N/A,SUM(BR$4:BR301))</f>
        <v>#N/A</v>
      </c>
      <c r="BT301" s="315" t="str">
        <f t="shared" si="484"/>
        <v/>
      </c>
      <c r="BU301" s="315" t="e">
        <f>IF($J301="",#N/A,SUM(BT$4:BT301))</f>
        <v>#N/A</v>
      </c>
      <c r="BV301" s="315" t="e">
        <f>IF($J301="",#N/A,SUM(BT$4:BT301,BR$4:BR301,BP$4:BP301))</f>
        <v>#N/A</v>
      </c>
      <c r="BW301" s="304" t="str">
        <f t="shared" si="485"/>
        <v/>
      </c>
      <c r="BX301" s="313" t="e">
        <f>IF($J301="",#N/A,SUM(BW$4:BW301))</f>
        <v>#N/A</v>
      </c>
      <c r="BY301" s="314" t="str">
        <f t="shared" si="486"/>
        <v/>
      </c>
      <c r="BZ301" s="314" t="e">
        <f>IF($J301="",#N/A,SUM(BY$4:BY301))</f>
        <v>#N/A</v>
      </c>
      <c r="CA301" s="315" t="str">
        <f t="shared" si="487"/>
        <v/>
      </c>
      <c r="CB301" s="315" t="e">
        <f>IF($J301="",#N/A,SUM(CA$4:CA301))</f>
        <v>#N/A</v>
      </c>
      <c r="CC301" s="315" t="e">
        <f>IF($J301="",#N/A,SUM(CA$4:CA301,BY$4:BY301,BW$4:BW301))</f>
        <v>#N/A</v>
      </c>
      <c r="CD301" s="304" t="str">
        <f t="shared" si="488"/>
        <v/>
      </c>
      <c r="CE301" s="313" t="e">
        <f>IF($J301="",#N/A,SUM(CD$4:CD301))</f>
        <v>#N/A</v>
      </c>
      <c r="CF301" s="314" t="str">
        <f t="shared" si="489"/>
        <v/>
      </c>
      <c r="CG301" s="314" t="e">
        <f>IF($J301="",#N/A,SUM(CF$4:CF301))</f>
        <v>#N/A</v>
      </c>
      <c r="CH301" s="315" t="str">
        <f t="shared" si="490"/>
        <v/>
      </c>
      <c r="CI301" s="315" t="e">
        <f>IF($J301="",#N/A,SUM(CH$4:CH301))</f>
        <v>#N/A</v>
      </c>
      <c r="CJ301" s="315" t="e">
        <f>IF($J301="",#N/A,SUM(CH$4:CH301,CF$4:CF301,CD$4:CD301))</f>
        <v>#N/A</v>
      </c>
      <c r="CK301" s="304" t="str">
        <f t="shared" si="491"/>
        <v/>
      </c>
      <c r="CL301" s="313" t="e">
        <f>IF($J301="",#N/A,SUM(CK$4:CK301))</f>
        <v>#N/A</v>
      </c>
      <c r="CM301" s="314" t="str">
        <f t="shared" si="492"/>
        <v/>
      </c>
      <c r="CN301" s="314" t="e">
        <f>IF($J301="",#N/A,SUM(CM$4:CM301))</f>
        <v>#N/A</v>
      </c>
      <c r="CO301" s="315" t="str">
        <f t="shared" si="493"/>
        <v/>
      </c>
      <c r="CP301" s="315" t="e">
        <f>IF($J301="",#N/A,SUM(CO$4:CO301))</f>
        <v>#N/A</v>
      </c>
      <c r="CQ301" s="315" t="e">
        <f>IF($J301="",#N/A,SUM(CO$4:CO301,CM$4:CM301,CK$4:CK301))</f>
        <v>#N/A</v>
      </c>
      <c r="CR301" s="304" t="str">
        <f t="shared" si="494"/>
        <v/>
      </c>
      <c r="CS301" s="313" t="e">
        <f>IF($J301="",#N/A,SUM(CR$4:CR301))</f>
        <v>#N/A</v>
      </c>
      <c r="CT301" s="314" t="str">
        <f t="shared" si="495"/>
        <v/>
      </c>
      <c r="CU301" s="314" t="e">
        <f>IF($J301="",#N/A,SUM(CT$4:CT301))</f>
        <v>#N/A</v>
      </c>
      <c r="CV301" s="315" t="str">
        <f t="shared" si="496"/>
        <v/>
      </c>
      <c r="CW301" s="315" t="e">
        <f>IF($J301="",#N/A,SUM(CV$4:CV301))</f>
        <v>#N/A</v>
      </c>
      <c r="CX301" s="315" t="e">
        <f>IF($J301="",#N/A,SUM(CV$4:CV301,CT$4:CT301,CR$4:CR301))</f>
        <v>#N/A</v>
      </c>
      <c r="CY301" s="304" t="str">
        <f t="shared" si="497"/>
        <v/>
      </c>
      <c r="CZ301" s="313" t="e">
        <f>IF($J301="",#N/A,SUM(CY$4:CY301))</f>
        <v>#N/A</v>
      </c>
      <c r="DA301" s="314" t="str">
        <f t="shared" si="498"/>
        <v/>
      </c>
      <c r="DB301" s="314" t="e">
        <f>IF($J301="",#N/A,SUM(DA$4:DA301))</f>
        <v>#N/A</v>
      </c>
      <c r="DC301" s="315" t="str">
        <f t="shared" si="499"/>
        <v/>
      </c>
      <c r="DD301" s="315" t="e">
        <f>IF($J301="",#N/A,SUM(DC$4:DC301))</f>
        <v>#N/A</v>
      </c>
      <c r="DE301" s="315" t="e">
        <f>IF($J301="",#N/A,SUM(DC$4:DC301,DA$4:DA301,CY$4:CY301))</f>
        <v>#N/A</v>
      </c>
      <c r="DF301" s="304" t="str">
        <f t="shared" si="500"/>
        <v/>
      </c>
      <c r="DG301" s="313" t="e">
        <f>IF($J301="",#N/A,SUM(DF$4:DF301))</f>
        <v>#N/A</v>
      </c>
      <c r="DH301" s="314" t="str">
        <f t="shared" si="501"/>
        <v/>
      </c>
      <c r="DI301" s="314" t="e">
        <f>IF($J301="",#N/A,SUM(DH$4:DH301))</f>
        <v>#N/A</v>
      </c>
      <c r="DJ301" s="315" t="str">
        <f t="shared" si="502"/>
        <v/>
      </c>
      <c r="DK301" s="315" t="e">
        <f>IF($J301="",#N/A,SUM(DJ$4:DJ301))</f>
        <v>#N/A</v>
      </c>
      <c r="DL301" s="315" t="e">
        <f>IF($J301="",#N/A,SUM(DJ$4:DJ301,DH$4:DH301,DF$4:DF301))</f>
        <v>#N/A</v>
      </c>
      <c r="DM301" s="304" t="str">
        <f t="shared" si="503"/>
        <v/>
      </c>
      <c r="DN301" s="313" t="e">
        <f>IF($J301="",#N/A,SUM(DM$4:DM301))</f>
        <v>#N/A</v>
      </c>
      <c r="DO301" s="314" t="str">
        <f t="shared" si="504"/>
        <v/>
      </c>
      <c r="DP301" s="314" t="e">
        <f>IF($J301="",#N/A,SUM(DO$4:DO301))</f>
        <v>#N/A</v>
      </c>
      <c r="DQ301" s="315" t="str">
        <f t="shared" si="505"/>
        <v/>
      </c>
      <c r="DR301" s="315" t="e">
        <f>IF($J301="",#N/A,SUM(DQ$4:DQ301))</f>
        <v>#N/A</v>
      </c>
      <c r="DS301" s="315" t="e">
        <f>IF($J301="",#N/A,SUM(DQ$4:DQ301,DO$4:DO301,DM$4:DM301))</f>
        <v>#N/A</v>
      </c>
      <c r="DT301" s="304" t="str">
        <f t="shared" si="506"/>
        <v/>
      </c>
      <c r="DU301" s="313" t="e">
        <f>IF($J301="",#N/A,SUM(DT$4:DT301))</f>
        <v>#N/A</v>
      </c>
      <c r="DV301" s="314" t="str">
        <f t="shared" si="507"/>
        <v/>
      </c>
      <c r="DW301" s="314" t="e">
        <f>IF($J301="",#N/A,SUM(DV$4:DV301))</f>
        <v>#N/A</v>
      </c>
      <c r="DX301" s="315" t="str">
        <f t="shared" si="508"/>
        <v/>
      </c>
      <c r="DY301" s="315" t="e">
        <f>IF($J301="",#N/A,SUM(DX$4:DX301))</f>
        <v>#N/A</v>
      </c>
      <c r="DZ301" s="315" t="e">
        <f>IF($J301="",#N/A,SUM(DX$4:DX301,DV$4:DV301,DT$4:DT301))</f>
        <v>#N/A</v>
      </c>
      <c r="EA301" s="304" t="str">
        <f t="shared" si="509"/>
        <v/>
      </c>
      <c r="EB301" s="313" t="e">
        <f>IF($J301="",#N/A,SUM(EA$4:EA301))</f>
        <v>#N/A</v>
      </c>
      <c r="EC301" s="314" t="str">
        <f t="shared" si="510"/>
        <v/>
      </c>
      <c r="ED301" s="314" t="e">
        <f>IF($J301="",#N/A,SUM(EC$4:EC301))</f>
        <v>#N/A</v>
      </c>
      <c r="EE301" s="315" t="str">
        <f t="shared" si="511"/>
        <v/>
      </c>
      <c r="EF301" s="315" t="e">
        <f>IF($J301="",#N/A,SUM(EE$4:EE301))</f>
        <v>#N/A</v>
      </c>
      <c r="EG301" s="315" t="e">
        <f>IF($J301="",#N/A,SUM(EE$4:EE301,EC$4:EC301,EA$4:EA301))</f>
        <v>#N/A</v>
      </c>
      <c r="EH301" s="130">
        <f t="shared" si="512"/>
        <v>-112.84000000000015</v>
      </c>
      <c r="EI301" s="63">
        <f>IF(EH301="",#N/A,SUM($EH$4:EH301))</f>
        <v>1673.8600842452947</v>
      </c>
      <c r="EJ301" s="223" t="e">
        <f t="shared" si="513"/>
        <v>#N/A</v>
      </c>
      <c r="EK301" s="63" t="e">
        <f>IF($GZ301="",#N/A,SUM(EJ$4:EJ301))</f>
        <v>#N/A</v>
      </c>
      <c r="EL301" s="60">
        <f t="shared" si="544"/>
        <v>-1.290921904029728</v>
      </c>
      <c r="EM301" s="60">
        <f>IF(EL301="",NA(),SUM($EL$4:EL301))</f>
        <v>44.163874600868709</v>
      </c>
      <c r="EN301" s="60">
        <f t="shared" si="514"/>
        <v>-1.290921904029728</v>
      </c>
      <c r="EO301" s="60">
        <f>IF(EN301="",NA(),SUM($EN$4:EN301))</f>
        <v>14.867845362075739</v>
      </c>
      <c r="EP301" s="60" t="str">
        <f t="shared" si="515"/>
        <v/>
      </c>
      <c r="EQ301" s="60" t="e">
        <f>IF(EP301="",NA(),SUM($EP$4:EP301))</f>
        <v>#N/A</v>
      </c>
      <c r="ER301" s="60" t="str">
        <f t="shared" si="516"/>
        <v/>
      </c>
      <c r="ES301" s="60" t="e">
        <f>IF(ER301="",NA(),SUM($ER$4:ER301))</f>
        <v>#N/A</v>
      </c>
      <c r="ET301" s="60" t="str">
        <f t="shared" si="517"/>
        <v/>
      </c>
      <c r="EU301" s="60" t="e">
        <f>IF(ET301="",NA(),SUM($ET$4:ET301))</f>
        <v>#N/A</v>
      </c>
      <c r="EV301" s="60" t="str">
        <f t="shared" si="518"/>
        <v/>
      </c>
      <c r="EW301" s="60" t="e">
        <f>IF(EV301="",NA(),SUM($EV$4:EV301))</f>
        <v>#N/A</v>
      </c>
      <c r="EX301" s="60" t="str">
        <f t="shared" si="519"/>
        <v/>
      </c>
      <c r="EY301" s="60" t="e">
        <f>IF(EX301="",NA(),SUM($EX$4:EX301))</f>
        <v>#N/A</v>
      </c>
      <c r="EZ301" s="60" t="str">
        <f t="shared" si="520"/>
        <v/>
      </c>
      <c r="FA301" s="60" t="e">
        <f>IF(EZ301="",NA(),SUM($EZ$4:EZ301))</f>
        <v>#N/A</v>
      </c>
      <c r="FB301" s="246" t="str">
        <f t="shared" si="545"/>
        <v/>
      </c>
      <c r="FC301" s="246" t="e">
        <f>IF($FB301="",#N/A,SUM(FB$4:$FB301))</f>
        <v>#N/A</v>
      </c>
      <c r="FD301" s="60" t="str">
        <f t="shared" si="521"/>
        <v/>
      </c>
      <c r="FE301" s="60" t="e">
        <f>IF($FD301="",#N/A,SUM($FD$4:FD301))</f>
        <v>#N/A</v>
      </c>
      <c r="FF301" s="60" t="str">
        <f t="shared" si="522"/>
        <v/>
      </c>
      <c r="FG301" s="60" t="e">
        <f>IF($FF301="",#N/A,SUM($FF$4:FF301))</f>
        <v>#N/A</v>
      </c>
      <c r="FH301" s="60">
        <f t="shared" si="523"/>
        <v>-0.21862387084374291</v>
      </c>
      <c r="FI301" s="60">
        <f>IF($FH301="",#N/A,SUM($FH$4:FH301))</f>
        <v>1.9734759333936731</v>
      </c>
      <c r="FJ301" s="60" t="str">
        <f t="shared" si="524"/>
        <v/>
      </c>
      <c r="FK301" s="60" t="e">
        <f>IF($FJ301="",#N/A,SUM($FJ$4:FJ301))</f>
        <v>#N/A</v>
      </c>
      <c r="FL301" s="60" t="str">
        <f t="shared" si="525"/>
        <v/>
      </c>
      <c r="FM301" s="60" t="e">
        <f>IF($FL301="",#N/A,SUM($FL$4:FL301))</f>
        <v>#N/A</v>
      </c>
      <c r="FN301" s="82">
        <f t="shared" si="526"/>
        <v>-1.5095457748734709</v>
      </c>
      <c r="FO301" s="82">
        <f>IF($FN301="",#N/A,SUM(FN$4:$FN301))</f>
        <v>64.298668523270649</v>
      </c>
      <c r="FP301" s="82">
        <f t="shared" si="546"/>
        <v>-1.290921904029728</v>
      </c>
      <c r="FQ301" s="246">
        <f>IF($EH301="",#N/A,SUM($FP$4:FP301))</f>
        <v>57.21619373825294</v>
      </c>
      <c r="FR301" s="82">
        <f>IFERROR(FQ301/COUNTA($J$4:J301),#N/A)</f>
        <v>0.19200065012836556</v>
      </c>
      <c r="FS301" s="82">
        <f t="shared" si="448"/>
        <v>0.30202592340363255</v>
      </c>
      <c r="FT301" s="82">
        <f t="shared" si="449"/>
        <v>0.14111640019598043</v>
      </c>
      <c r="FU301" s="338">
        <f t="shared" ref="FU301:FU318" si="553">IF(AND(HB301="MOC",GZ301=""),#N/A,IFERROR(FQ301-HE301,FQ301-0))-14.53</f>
        <v>30.794926190942924</v>
      </c>
      <c r="FV301" s="57" t="str">
        <f t="shared" si="552"/>
        <v>Up</v>
      </c>
      <c r="FW301" s="57" t="s">
        <v>2734</v>
      </c>
      <c r="FX301" s="57" t="str">
        <f t="shared" si="528"/>
        <v/>
      </c>
      <c r="FY301" s="57" t="str">
        <f t="shared" si="529"/>
        <v/>
      </c>
      <c r="FZ301" s="57" t="str">
        <f t="shared" si="530"/>
        <v/>
      </c>
      <c r="GA301" s="57" t="str">
        <f t="shared" si="531"/>
        <v>Long</v>
      </c>
      <c r="GB301" s="57" t="str">
        <f t="shared" si="532"/>
        <v/>
      </c>
      <c r="GC301" s="57">
        <f t="shared" si="533"/>
        <v>1</v>
      </c>
      <c r="GD301" s="57" t="str">
        <f t="shared" si="534"/>
        <v/>
      </c>
      <c r="GE301" s="62">
        <f t="shared" si="451"/>
        <v>208.12</v>
      </c>
      <c r="GF301" s="62" t="s">
        <v>2779</v>
      </c>
      <c r="GG301" s="199">
        <v>7</v>
      </c>
      <c r="GH301" s="207">
        <f t="shared" si="535"/>
        <v>1456.8400000000001</v>
      </c>
      <c r="GI301" s="199">
        <v>7</v>
      </c>
      <c r="GJ301" s="200">
        <v>192</v>
      </c>
      <c r="GK301" s="63">
        <f t="shared" si="536"/>
        <v>-112.84000000000015</v>
      </c>
      <c r="GL301" s="63">
        <f t="shared" si="452"/>
        <v>-131.95000000000005</v>
      </c>
      <c r="GM301" s="82" t="str">
        <f t="shared" si="537"/>
        <v/>
      </c>
      <c r="GN301" s="82">
        <f>IF($GZ301="",#N/A,SUM(GM$4:GM301))</f>
        <v>12.626485197212032</v>
      </c>
      <c r="GO301" s="82">
        <f t="shared" si="538"/>
        <v>-1.5095457748734709</v>
      </c>
      <c r="GP301" s="82">
        <f>IF($GZ301="",#N/A,SUM(GO$4:GO301))</f>
        <v>14.557157385454888</v>
      </c>
      <c r="GQ301" s="82" t="str">
        <f t="shared" si="539"/>
        <v/>
      </c>
      <c r="GR301" s="82">
        <f>IF($GZ301="",#N/A,SUM(GQ$4:GQ301))</f>
        <v>36.489188986161395</v>
      </c>
      <c r="GS301" s="63" t="str">
        <f t="shared" si="548"/>
        <v/>
      </c>
      <c r="GT301" s="63" t="e">
        <f>IF($GZ301="",#N/A,SUM(GS$4:GS301))</f>
        <v>#N/A</v>
      </c>
      <c r="GU301" s="63" t="e">
        <f t="shared" si="549"/>
        <v>#N/A</v>
      </c>
      <c r="GV301" s="63" t="e">
        <f>IF($GZ301="",#N/A,SUM(GU$4:GU301))</f>
        <v>#N/A</v>
      </c>
      <c r="GW301" s="63" t="str">
        <f t="shared" si="550"/>
        <v/>
      </c>
      <c r="GX301" s="63" t="e">
        <f>IF($GZ301="",#N/A,SUM(GW$4:GW301))</f>
        <v>#N/A</v>
      </c>
      <c r="GY301" s="63" t="e">
        <f>IF(EJ301="",#N/A,SUM($EJ$4:EJ301))</f>
        <v>#N/A</v>
      </c>
      <c r="GZ301" s="159">
        <v>189.27</v>
      </c>
      <c r="HA301" s="63">
        <f t="shared" si="540"/>
        <v>-19.1099999999999</v>
      </c>
      <c r="HB301" s="62" t="s">
        <v>2538</v>
      </c>
      <c r="HC301" s="60">
        <f>IFERROR(VLOOKUP(E301,Expectancy!$P$4:$S$19,1+C301,FALSE),"")</f>
        <v>-4.1762476788754908E-2</v>
      </c>
      <c r="HD301" s="82">
        <f t="shared" si="541"/>
        <v>-1.290921904029728</v>
      </c>
      <c r="HE301" s="138">
        <f>IF(HD301="",#N/A,SUM($HD$4:HD301))</f>
        <v>11.891267547310013</v>
      </c>
      <c r="HF301" s="85">
        <f>IF(HD301="",#N/A,IF(HB301="Skip",#N/A,SUM($HG$4:HG301)))</f>
        <v>548.33657921915551</v>
      </c>
      <c r="HG301" s="63">
        <f t="shared" si="542"/>
        <v>-112.84000000000015</v>
      </c>
      <c r="HH301" s="82">
        <f t="shared" si="543"/>
        <v>-1.5095457748734709</v>
      </c>
    </row>
    <row r="302" spans="1:216" x14ac:dyDescent="0.25">
      <c r="A302" s="57" t="s">
        <v>1484</v>
      </c>
      <c r="B302" s="58" t="s">
        <v>5238</v>
      </c>
      <c r="C302" s="386">
        <f t="shared" si="453"/>
        <v>3</v>
      </c>
      <c r="D302" s="372" t="str">
        <f>_xlfn.XLOOKUP(A302,[1]SP500!$A$2:$A$502,[1]SP500!$D$2:$D$502,"N")</f>
        <v>Y</v>
      </c>
      <c r="E302" s="57" t="str">
        <f>_xlfn.XLOOKUP(A302,[1]SP500!$A$2:$A$655,[1]SP500!$B$2:$B$655)</f>
        <v>XLB</v>
      </c>
      <c r="F302" s="59">
        <v>45700</v>
      </c>
      <c r="G302" s="57" t="str">
        <f t="shared" si="454"/>
        <v>BMO</v>
      </c>
      <c r="H302" s="57" t="str">
        <f t="shared" si="455"/>
        <v>s</v>
      </c>
      <c r="I302" s="159">
        <v>53.64</v>
      </c>
      <c r="J302" s="159">
        <v>50.96</v>
      </c>
      <c r="K302" s="61">
        <f t="shared" si="456"/>
        <v>-4.9962714392244589E-2</v>
      </c>
      <c r="L302" s="87">
        <f t="shared" si="457"/>
        <v>-75.039999999999964</v>
      </c>
      <c r="M302" s="130">
        <f t="shared" si="450"/>
        <v>0</v>
      </c>
      <c r="N302" s="169" t="str">
        <f t="shared" si="458"/>
        <v/>
      </c>
      <c r="O302" s="169">
        <f>IF($J302="",#N/A,SUM($N$4:N302))</f>
        <v>462.45671935422502</v>
      </c>
      <c r="P302" s="174" t="str">
        <f t="shared" si="459"/>
        <v/>
      </c>
      <c r="Q302" s="174">
        <f>IF($J302="",#N/A,SUM($P$4:P302))</f>
        <v>592.60890674734208</v>
      </c>
      <c r="R302" s="178">
        <f t="shared" si="460"/>
        <v>-75.039999999999964</v>
      </c>
      <c r="S302" s="178">
        <f>IF($J302="",#N/A,SUM($R$4:R302))</f>
        <v>543.75445814372756</v>
      </c>
      <c r="T302" s="290" t="str">
        <f t="shared" si="461"/>
        <v/>
      </c>
      <c r="U302" s="290">
        <f>IF($J302="",#N/A,SUM($T$4:T302))</f>
        <v>17.664417808227025</v>
      </c>
      <c r="V302" s="291" t="str">
        <f t="shared" si="462"/>
        <v/>
      </c>
      <c r="W302" s="291">
        <f>IF($J302="",#N/A,SUM($V$4:V302))</f>
        <v>25.564336482260092</v>
      </c>
      <c r="X302" s="292">
        <f t="shared" si="463"/>
        <v>-0.83271190653740945</v>
      </c>
      <c r="Y302" s="292">
        <f>IF($J302="",#N/A,SUM($X$4:X302))</f>
        <v>13.154727541228418</v>
      </c>
      <c r="Z302" s="304" t="str">
        <f t="shared" si="464"/>
        <v/>
      </c>
      <c r="AA302" s="313" t="e">
        <f>IF($J302="",#N/A,SUM(Z$4:Z302))</f>
        <v>#N/A</v>
      </c>
      <c r="AB302" s="314" t="str">
        <f t="shared" si="465"/>
        <v/>
      </c>
      <c r="AC302" s="314" t="e">
        <f>IF($J302="",#N/A,SUM(AB$4:AB302))</f>
        <v>#N/A</v>
      </c>
      <c r="AD302" s="315" t="str">
        <f t="shared" si="466"/>
        <v/>
      </c>
      <c r="AE302" s="315" t="e">
        <f>IF($J302="",#N/A,SUM(AD$4:AD302))</f>
        <v>#N/A</v>
      </c>
      <c r="AF302" s="315" t="e">
        <f>IF($J302="",#N/A,SUM(AD$4:AD302,AB$4:AB302,Z$4:Z302))</f>
        <v>#N/A</v>
      </c>
      <c r="AG302" s="304" t="str">
        <f t="shared" si="467"/>
        <v/>
      </c>
      <c r="AH302" s="313" t="e">
        <f>IF($J302="",#N/A,SUM(AG$4:AG302))</f>
        <v>#N/A</v>
      </c>
      <c r="AI302" s="314" t="str">
        <f t="shared" si="468"/>
        <v/>
      </c>
      <c r="AJ302" s="314" t="e">
        <f>IF($J302="",#N/A,SUM(AI$4:AI302))</f>
        <v>#N/A</v>
      </c>
      <c r="AK302" s="315" t="str">
        <f t="shared" si="469"/>
        <v/>
      </c>
      <c r="AL302" s="315" t="e">
        <f>IF($J302="",#N/A,SUM(AK$4:AK302))</f>
        <v>#N/A</v>
      </c>
      <c r="AM302" s="315" t="e">
        <f>IF($J302="",#N/A,SUM(AK$4:AK302,AI$4:AI302,AG$4:AG302))</f>
        <v>#N/A</v>
      </c>
      <c r="AN302" s="304" t="str">
        <f t="shared" si="470"/>
        <v/>
      </c>
      <c r="AO302" s="313" t="e">
        <f>IF($J302="",#N/A,SUM(AN$4:AN302))</f>
        <v>#N/A</v>
      </c>
      <c r="AP302" s="314" t="str">
        <f t="shared" si="471"/>
        <v/>
      </c>
      <c r="AQ302" s="314" t="e">
        <f>IF($J302="",#N/A,SUM(AP$4:AP302))</f>
        <v>#N/A</v>
      </c>
      <c r="AR302" s="315" t="str">
        <f t="shared" si="472"/>
        <v/>
      </c>
      <c r="AS302" s="315" t="e">
        <f>IF($J302="",#N/A,SUM(AR$4:AR302))</f>
        <v>#N/A</v>
      </c>
      <c r="AT302" s="315" t="e">
        <f>IF($J302="",#N/A,SUM(AR$4:AR302,AP$4:AP302,AN$4:AN302))</f>
        <v>#N/A</v>
      </c>
      <c r="AU302" s="304" t="str">
        <f t="shared" si="473"/>
        <v/>
      </c>
      <c r="AV302" s="313" t="e">
        <f>IF($J302="",#N/A,SUM(AU$4:AU302))</f>
        <v>#N/A</v>
      </c>
      <c r="AW302" s="314" t="str">
        <f t="shared" si="474"/>
        <v/>
      </c>
      <c r="AX302" s="314" t="e">
        <f>IF($J302="",#N/A,SUM(AW$4:AW302))</f>
        <v>#N/A</v>
      </c>
      <c r="AY302" s="315" t="str">
        <f t="shared" si="475"/>
        <v/>
      </c>
      <c r="AZ302" s="315" t="e">
        <f>IF($J302="",#N/A,SUM(AY$4:AY302))</f>
        <v>#N/A</v>
      </c>
      <c r="BA302" s="315" t="e">
        <f>IF($J302="",#N/A,SUM(AY$4:AY302,AW$4:AW302,AU$4:AU302))</f>
        <v>#N/A</v>
      </c>
      <c r="BB302" s="304" t="str">
        <f t="shared" si="476"/>
        <v/>
      </c>
      <c r="BC302" s="313" t="e">
        <f>IF($J302="",#N/A,SUM(BB$4:BB302))</f>
        <v>#N/A</v>
      </c>
      <c r="BD302" s="314" t="str">
        <f t="shared" si="477"/>
        <v/>
      </c>
      <c r="BE302" s="314" t="e">
        <f>IF($J302="",#N/A,SUM(BD$4:BD302))</f>
        <v>#N/A</v>
      </c>
      <c r="BF302" s="315" t="str">
        <f t="shared" si="478"/>
        <v/>
      </c>
      <c r="BG302" s="315" t="e">
        <f>IF($J302="",#N/A,SUM(BF$4:BF302))</f>
        <v>#N/A</v>
      </c>
      <c r="BH302" s="315" t="e">
        <f>IF($J302="",#N/A,SUM(BF$4:BF302,BD$4:BD302,BB$4:BB302))</f>
        <v>#N/A</v>
      </c>
      <c r="BI302" s="304" t="str">
        <f t="shared" si="479"/>
        <v/>
      </c>
      <c r="BJ302" s="313" t="e">
        <f>IF($J302="",#N/A,SUM(BI$4:BI302))</f>
        <v>#N/A</v>
      </c>
      <c r="BK302" s="314" t="str">
        <f t="shared" si="480"/>
        <v/>
      </c>
      <c r="BL302" s="314" t="e">
        <f>IF($J302="",#N/A,SUM(BK$4:BK302))</f>
        <v>#N/A</v>
      </c>
      <c r="BM302" s="315" t="str">
        <f t="shared" si="481"/>
        <v/>
      </c>
      <c r="BN302" s="315" t="e">
        <f>IF($J302="",#N/A,SUM(BM$4:BM302))</f>
        <v>#N/A</v>
      </c>
      <c r="BO302" s="315" t="e">
        <f>IF($J302="",#N/A,SUM(BM$4:BM302,BK$4:BK302,BI$4:BI302))</f>
        <v>#N/A</v>
      </c>
      <c r="BP302" s="304" t="str">
        <f t="shared" si="482"/>
        <v/>
      </c>
      <c r="BQ302" s="313" t="e">
        <f>IF($J302="",#N/A,SUM(BP$4:BP302))</f>
        <v>#N/A</v>
      </c>
      <c r="BR302" s="314" t="str">
        <f t="shared" si="483"/>
        <v/>
      </c>
      <c r="BS302" s="314" t="e">
        <f>IF($J302="",#N/A,SUM(BR$4:BR302))</f>
        <v>#N/A</v>
      </c>
      <c r="BT302" s="315" t="str">
        <f t="shared" si="484"/>
        <v/>
      </c>
      <c r="BU302" s="315" t="e">
        <f>IF($J302="",#N/A,SUM(BT$4:BT302))</f>
        <v>#N/A</v>
      </c>
      <c r="BV302" s="315" t="e">
        <f>IF($J302="",#N/A,SUM(BT$4:BT302,BR$4:BR302,BP$4:BP302))</f>
        <v>#N/A</v>
      </c>
      <c r="BW302" s="304" t="str">
        <f t="shared" si="485"/>
        <v/>
      </c>
      <c r="BX302" s="313" t="e">
        <f>IF($J302="",#N/A,SUM(BW$4:BW302))</f>
        <v>#N/A</v>
      </c>
      <c r="BY302" s="314" t="str">
        <f t="shared" si="486"/>
        <v/>
      </c>
      <c r="BZ302" s="314" t="e">
        <f>IF($J302="",#N/A,SUM(BY$4:BY302))</f>
        <v>#N/A</v>
      </c>
      <c r="CA302" s="315" t="str">
        <f t="shared" si="487"/>
        <v/>
      </c>
      <c r="CB302" s="315" t="e">
        <f>IF($J302="",#N/A,SUM(CA$4:CA302))</f>
        <v>#N/A</v>
      </c>
      <c r="CC302" s="315" t="e">
        <f>IF($J302="",#N/A,SUM(CA$4:CA302,BY$4:BY302,BW$4:BW302))</f>
        <v>#N/A</v>
      </c>
      <c r="CD302" s="304" t="str">
        <f t="shared" si="488"/>
        <v/>
      </c>
      <c r="CE302" s="313" t="e">
        <f>IF($J302="",#N/A,SUM(CD$4:CD302))</f>
        <v>#N/A</v>
      </c>
      <c r="CF302" s="314" t="str">
        <f t="shared" si="489"/>
        <v/>
      </c>
      <c r="CG302" s="314" t="e">
        <f>IF($J302="",#N/A,SUM(CF$4:CF302))</f>
        <v>#N/A</v>
      </c>
      <c r="CH302" s="315">
        <f t="shared" si="490"/>
        <v>-0.83271190653740945</v>
      </c>
      <c r="CI302" s="315" t="e">
        <f>IF($J302="",#N/A,SUM(CH$4:CH302))</f>
        <v>#N/A</v>
      </c>
      <c r="CJ302" s="315" t="e">
        <f>IF($J302="",#N/A,SUM(CH$4:CH302,CF$4:CF302,CD$4:CD302))</f>
        <v>#N/A</v>
      </c>
      <c r="CK302" s="304" t="str">
        <f t="shared" si="491"/>
        <v/>
      </c>
      <c r="CL302" s="313" t="e">
        <f>IF($J302="",#N/A,SUM(CK$4:CK302))</f>
        <v>#N/A</v>
      </c>
      <c r="CM302" s="314" t="str">
        <f t="shared" si="492"/>
        <v/>
      </c>
      <c r="CN302" s="314" t="e">
        <f>IF($J302="",#N/A,SUM(CM$4:CM302))</f>
        <v>#N/A</v>
      </c>
      <c r="CO302" s="315" t="str">
        <f t="shared" si="493"/>
        <v/>
      </c>
      <c r="CP302" s="315" t="e">
        <f>IF($J302="",#N/A,SUM(CO$4:CO302))</f>
        <v>#N/A</v>
      </c>
      <c r="CQ302" s="315" t="e">
        <f>IF($J302="",#N/A,SUM(CO$4:CO302,CM$4:CM302,CK$4:CK302))</f>
        <v>#N/A</v>
      </c>
      <c r="CR302" s="304" t="str">
        <f t="shared" si="494"/>
        <v/>
      </c>
      <c r="CS302" s="313" t="e">
        <f>IF($J302="",#N/A,SUM(CR$4:CR302))</f>
        <v>#N/A</v>
      </c>
      <c r="CT302" s="314" t="str">
        <f t="shared" si="495"/>
        <v/>
      </c>
      <c r="CU302" s="314" t="e">
        <f>IF($J302="",#N/A,SUM(CT$4:CT302))</f>
        <v>#N/A</v>
      </c>
      <c r="CV302" s="315" t="str">
        <f t="shared" si="496"/>
        <v/>
      </c>
      <c r="CW302" s="315" t="e">
        <f>IF($J302="",#N/A,SUM(CV$4:CV302))</f>
        <v>#N/A</v>
      </c>
      <c r="CX302" s="315" t="e">
        <f>IF($J302="",#N/A,SUM(CV$4:CV302,CT$4:CT302,CR$4:CR302))</f>
        <v>#N/A</v>
      </c>
      <c r="CY302" s="304" t="str">
        <f t="shared" si="497"/>
        <v/>
      </c>
      <c r="CZ302" s="313" t="e">
        <f>IF($J302="",#N/A,SUM(CY$4:CY302))</f>
        <v>#N/A</v>
      </c>
      <c r="DA302" s="314" t="str">
        <f t="shared" si="498"/>
        <v/>
      </c>
      <c r="DB302" s="314" t="e">
        <f>IF($J302="",#N/A,SUM(DA$4:DA302))</f>
        <v>#N/A</v>
      </c>
      <c r="DC302" s="315" t="str">
        <f t="shared" si="499"/>
        <v/>
      </c>
      <c r="DD302" s="315" t="e">
        <f>IF($J302="",#N/A,SUM(DC$4:DC302))</f>
        <v>#N/A</v>
      </c>
      <c r="DE302" s="315" t="e">
        <f>IF($J302="",#N/A,SUM(DC$4:DC302,DA$4:DA302,CY$4:CY302))</f>
        <v>#N/A</v>
      </c>
      <c r="DF302" s="304" t="str">
        <f t="shared" si="500"/>
        <v/>
      </c>
      <c r="DG302" s="313" t="e">
        <f>IF($J302="",#N/A,SUM(DF$4:DF302))</f>
        <v>#N/A</v>
      </c>
      <c r="DH302" s="314" t="str">
        <f t="shared" si="501"/>
        <v/>
      </c>
      <c r="DI302" s="314" t="e">
        <f>IF($J302="",#N/A,SUM(DH$4:DH302))</f>
        <v>#N/A</v>
      </c>
      <c r="DJ302" s="315" t="str">
        <f t="shared" si="502"/>
        <v/>
      </c>
      <c r="DK302" s="315" t="e">
        <f>IF($J302="",#N/A,SUM(DJ$4:DJ302))</f>
        <v>#N/A</v>
      </c>
      <c r="DL302" s="315" t="e">
        <f>IF($J302="",#N/A,SUM(DJ$4:DJ302,DH$4:DH302,DF$4:DF302))</f>
        <v>#N/A</v>
      </c>
      <c r="DM302" s="304" t="str">
        <f t="shared" si="503"/>
        <v/>
      </c>
      <c r="DN302" s="313" t="e">
        <f>IF($J302="",#N/A,SUM(DM$4:DM302))</f>
        <v>#N/A</v>
      </c>
      <c r="DO302" s="314" t="str">
        <f t="shared" si="504"/>
        <v/>
      </c>
      <c r="DP302" s="314" t="e">
        <f>IF($J302="",#N/A,SUM(DO$4:DO302))</f>
        <v>#N/A</v>
      </c>
      <c r="DQ302" s="315" t="str">
        <f t="shared" si="505"/>
        <v/>
      </c>
      <c r="DR302" s="315" t="e">
        <f>IF($J302="",#N/A,SUM(DQ$4:DQ302))</f>
        <v>#N/A</v>
      </c>
      <c r="DS302" s="315" t="e">
        <f>IF($J302="",#N/A,SUM(DQ$4:DQ302,DO$4:DO302,DM$4:DM302))</f>
        <v>#N/A</v>
      </c>
      <c r="DT302" s="304" t="str">
        <f t="shared" si="506"/>
        <v/>
      </c>
      <c r="DU302" s="313" t="e">
        <f>IF($J302="",#N/A,SUM(DT$4:DT302))</f>
        <v>#N/A</v>
      </c>
      <c r="DV302" s="314" t="str">
        <f t="shared" si="507"/>
        <v/>
      </c>
      <c r="DW302" s="314" t="e">
        <f>IF($J302="",#N/A,SUM(DV$4:DV302))</f>
        <v>#N/A</v>
      </c>
      <c r="DX302" s="315" t="str">
        <f t="shared" si="508"/>
        <v/>
      </c>
      <c r="DY302" s="315" t="e">
        <f>IF($J302="",#N/A,SUM(DX$4:DX302))</f>
        <v>#N/A</v>
      </c>
      <c r="DZ302" s="315" t="e">
        <f>IF($J302="",#N/A,SUM(DX$4:DX302,DV$4:DV302,DT$4:DT302))</f>
        <v>#N/A</v>
      </c>
      <c r="EA302" s="304" t="str">
        <f t="shared" si="509"/>
        <v/>
      </c>
      <c r="EB302" s="313" t="e">
        <f>IF($J302="",#N/A,SUM(EA$4:EA302))</f>
        <v>#N/A</v>
      </c>
      <c r="EC302" s="314" t="str">
        <f t="shared" si="510"/>
        <v/>
      </c>
      <c r="ED302" s="314" t="e">
        <f>IF($J302="",#N/A,SUM(EC$4:EC302))</f>
        <v>#N/A</v>
      </c>
      <c r="EE302" s="315" t="str">
        <f t="shared" si="511"/>
        <v/>
      </c>
      <c r="EF302" s="315" t="e">
        <f>IF($J302="",#N/A,SUM(EE$4:EE302))</f>
        <v>#N/A</v>
      </c>
      <c r="EG302" s="315" t="e">
        <f>IF($J302="",#N/A,SUM(EE$4:EE302,EC$4:EC302,EA$4:EA302))</f>
        <v>#N/A</v>
      </c>
      <c r="EH302" s="130">
        <f t="shared" si="512"/>
        <v>-75.039999999999964</v>
      </c>
      <c r="EI302" s="63">
        <f>IF(EH302="",#N/A,SUM($EH$4:EH302))</f>
        <v>1598.8200842452948</v>
      </c>
      <c r="EJ302" s="223" t="e">
        <f t="shared" si="513"/>
        <v>#N/A</v>
      </c>
      <c r="EK302" s="63" t="e">
        <f>IF($GZ302="",#N/A,SUM(EJ$4:EJ302))</f>
        <v>#N/A</v>
      </c>
      <c r="EL302" s="60">
        <f t="shared" si="544"/>
        <v>-0.83271190653740945</v>
      </c>
      <c r="EM302" s="60">
        <f>IF(EL302="",NA(),SUM($EL$4:EL302))</f>
        <v>43.331162694331297</v>
      </c>
      <c r="EN302" s="60" t="str">
        <f t="shared" si="514"/>
        <v/>
      </c>
      <c r="EO302" s="60" t="e">
        <f>IF(EN302="",NA(),SUM($EN$4:EN302))</f>
        <v>#N/A</v>
      </c>
      <c r="EP302" s="60">
        <f t="shared" si="515"/>
        <v>-0.83271190653740945</v>
      </c>
      <c r="EQ302" s="60">
        <f>IF(EP302="",NA(),SUM($EP$4:EP302))</f>
        <v>12.219583374495334</v>
      </c>
      <c r="ER302" s="60" t="str">
        <f t="shared" si="516"/>
        <v/>
      </c>
      <c r="ES302" s="60" t="e">
        <f>IF(ER302="",NA(),SUM($ER$4:ER302))</f>
        <v>#N/A</v>
      </c>
      <c r="ET302" s="60" t="str">
        <f t="shared" si="517"/>
        <v/>
      </c>
      <c r="EU302" s="60" t="e">
        <f>IF(ET302="",NA(),SUM($ET$4:ET302))</f>
        <v>#N/A</v>
      </c>
      <c r="EV302" s="60" t="str">
        <f t="shared" si="518"/>
        <v/>
      </c>
      <c r="EW302" s="60" t="e">
        <f>IF(EV302="",NA(),SUM($EV$4:EV302))</f>
        <v>#N/A</v>
      </c>
      <c r="EX302" s="60" t="str">
        <f t="shared" si="519"/>
        <v/>
      </c>
      <c r="EY302" s="60" t="e">
        <f>IF(EX302="",NA(),SUM($EX$4:EX302))</f>
        <v>#N/A</v>
      </c>
      <c r="EZ302" s="60" t="str">
        <f t="shared" si="520"/>
        <v/>
      </c>
      <c r="FA302" s="60" t="e">
        <f>IF(EZ302="",NA(),SUM($EZ$4:EZ302))</f>
        <v>#N/A</v>
      </c>
      <c r="FB302" s="246" t="str">
        <f t="shared" si="545"/>
        <v/>
      </c>
      <c r="FC302" s="246" t="e">
        <f>IF($FB302="",#N/A,SUM(FB$4:$FB302))</f>
        <v>#N/A</v>
      </c>
      <c r="FD302" s="60" t="str">
        <f t="shared" si="521"/>
        <v/>
      </c>
      <c r="FE302" s="60" t="e">
        <f>IF($FD302="",#N/A,SUM($FD$4:FD302))</f>
        <v>#N/A</v>
      </c>
      <c r="FF302" s="60" t="str">
        <f t="shared" si="522"/>
        <v/>
      </c>
      <c r="FG302" s="60" t="e">
        <f>IF($FF302="",#N/A,SUM($FF$4:FF302))</f>
        <v>#N/A</v>
      </c>
      <c r="FH302" s="60" t="str">
        <f t="shared" si="523"/>
        <v/>
      </c>
      <c r="FI302" s="60" t="e">
        <f>IF($FH302="",#N/A,SUM($FH$4:FH302))</f>
        <v>#N/A</v>
      </c>
      <c r="FJ302" s="60" t="str">
        <f t="shared" si="524"/>
        <v/>
      </c>
      <c r="FK302" s="60" t="e">
        <f>IF($FJ302="",#N/A,SUM($FJ$4:FJ302))</f>
        <v>#N/A</v>
      </c>
      <c r="FL302" s="60">
        <f t="shared" si="525"/>
        <v>-9.3214019388532243E-3</v>
      </c>
      <c r="FM302" s="60">
        <f>IF($FL302="",#N/A,SUM($FL$4:FL302))</f>
        <v>0.45479759641739065</v>
      </c>
      <c r="FN302" s="82">
        <f t="shared" si="526"/>
        <v>-0.84203330847626268</v>
      </c>
      <c r="FO302" s="82">
        <f>IF($FN302="",#N/A,SUM(FN$4:$FN302))</f>
        <v>63.456635214794389</v>
      </c>
      <c r="FP302" s="82">
        <f t="shared" si="546"/>
        <v>-0.83271190653740945</v>
      </c>
      <c r="FQ302" s="246">
        <f>IF($EH302="",#N/A,SUM($FP$4:FP302))</f>
        <v>56.383481831715528</v>
      </c>
      <c r="FR302" s="82">
        <f>IFERROR(FQ302/COUNTA($J$4:J302),#N/A)</f>
        <v>0.18857351783182452</v>
      </c>
      <c r="FS302" s="82">
        <f t="shared" si="448"/>
        <v>0.30436784903461811</v>
      </c>
      <c r="FT302" s="82">
        <f t="shared" si="449"/>
        <v>9.3521168340053015E-2</v>
      </c>
      <c r="FU302" s="338">
        <f t="shared" si="553"/>
        <v>30.794926190942924</v>
      </c>
      <c r="FV302" s="57" t="str">
        <f t="shared" si="552"/>
        <v>SW</v>
      </c>
      <c r="FW302" s="57" t="s">
        <v>2732</v>
      </c>
      <c r="FX302" s="57" t="str">
        <f t="shared" si="528"/>
        <v/>
      </c>
      <c r="FY302" s="57" t="str">
        <f t="shared" si="529"/>
        <v/>
      </c>
      <c r="FZ302" s="57" t="str">
        <f t="shared" si="530"/>
        <v/>
      </c>
      <c r="GA302" s="57" t="str">
        <f t="shared" si="531"/>
        <v>Long</v>
      </c>
      <c r="GB302" s="57" t="str">
        <f t="shared" si="532"/>
        <v/>
      </c>
      <c r="GC302" s="57" t="str">
        <f t="shared" si="533"/>
        <v/>
      </c>
      <c r="GD302" s="57">
        <f t="shared" si="534"/>
        <v>1</v>
      </c>
      <c r="GE302" s="62">
        <f t="shared" si="451"/>
        <v>53.64</v>
      </c>
      <c r="GF302" s="62" t="s">
        <v>2779</v>
      </c>
      <c r="GG302" s="199">
        <v>28</v>
      </c>
      <c r="GH302" s="207">
        <f t="shared" si="535"/>
        <v>1501.92</v>
      </c>
      <c r="GI302" s="199">
        <v>28</v>
      </c>
      <c r="GJ302" s="200">
        <v>50.96</v>
      </c>
      <c r="GK302" s="63">
        <f t="shared" si="536"/>
        <v>-75.039999999999964</v>
      </c>
      <c r="GL302" s="63">
        <f t="shared" si="452"/>
        <v>-75.880000000000109</v>
      </c>
      <c r="GM302" s="82">
        <f t="shared" si="537"/>
        <v>-0.84203330847626268</v>
      </c>
      <c r="GN302" s="82">
        <f>IF($GZ302="",#N/A,SUM(GM$4:GM302))</f>
        <v>11.78445188873577</v>
      </c>
      <c r="GO302" s="82" t="str">
        <f t="shared" si="538"/>
        <v/>
      </c>
      <c r="GP302" s="82">
        <f>IF($GZ302="",#N/A,SUM(GO$4:GO302))</f>
        <v>14.557157385454888</v>
      </c>
      <c r="GQ302" s="82" t="str">
        <f t="shared" si="539"/>
        <v/>
      </c>
      <c r="GR302" s="82">
        <f>IF($GZ302="",#N/A,SUM(GQ$4:GQ302))</f>
        <v>36.489188986161395</v>
      </c>
      <c r="GS302" s="63" t="e">
        <f t="shared" si="548"/>
        <v>#N/A</v>
      </c>
      <c r="GT302" s="63" t="e">
        <f>IF($GZ302="",#N/A,SUM(GS$4:GS302))</f>
        <v>#N/A</v>
      </c>
      <c r="GU302" s="63" t="str">
        <f t="shared" si="549"/>
        <v/>
      </c>
      <c r="GV302" s="63" t="e">
        <f>IF($GZ302="",#N/A,SUM(GU$4:GU302))</f>
        <v>#N/A</v>
      </c>
      <c r="GW302" s="63" t="str">
        <f t="shared" si="550"/>
        <v/>
      </c>
      <c r="GX302" s="63" t="e">
        <f>IF($GZ302="",#N/A,SUM(GW$4:GW302))</f>
        <v>#N/A</v>
      </c>
      <c r="GY302" s="63" t="e">
        <f>IF(EJ302="",#N/A,SUM($EJ$4:EJ302))</f>
        <v>#N/A</v>
      </c>
      <c r="GZ302" s="159">
        <v>50.93</v>
      </c>
      <c r="HA302" s="63">
        <f t="shared" si="540"/>
        <v>-0.84000000000014552</v>
      </c>
      <c r="HB302" s="62" t="s">
        <v>2538</v>
      </c>
      <c r="HC302" s="60">
        <f>IFERROR(VLOOKUP(E302,Expectancy!$P$4:$S$19,1+C302,FALSE),"")</f>
        <v>-0.22212962098938482</v>
      </c>
      <c r="HD302" s="82">
        <f t="shared" si="541"/>
        <v>-0.83271190653740945</v>
      </c>
      <c r="HE302" s="138">
        <f>IF(HD302="",#N/A,SUM($HD$4:HD302))</f>
        <v>11.058555640772603</v>
      </c>
      <c r="HF302" s="85">
        <f>IF(HD302="",#N/A,IF(HB302="Skip",#N/A,SUM($HG$4:HG302)))</f>
        <v>473.29657921915555</v>
      </c>
      <c r="HG302" s="63">
        <f t="shared" si="542"/>
        <v>-75.039999999999964</v>
      </c>
      <c r="HH302" s="82">
        <f t="shared" si="543"/>
        <v>-0.84203330847626268</v>
      </c>
    </row>
    <row r="303" spans="1:216" x14ac:dyDescent="0.25">
      <c r="A303" s="57" t="s">
        <v>1514</v>
      </c>
      <c r="B303" s="58" t="s">
        <v>5238</v>
      </c>
      <c r="C303" s="386">
        <f t="shared" si="453"/>
        <v>2</v>
      </c>
      <c r="D303" s="372" t="str">
        <f>_xlfn.XLOOKUP(A303,[1]SP500!$A$2:$A$502,[1]SP500!$D$2:$D$502,"N")</f>
        <v>Y</v>
      </c>
      <c r="E303" s="57" t="str">
        <f>_xlfn.XLOOKUP(A303,[1]SP500!$A$2:$A$655,[1]SP500!$B$2:$B$655)</f>
        <v>XLV</v>
      </c>
      <c r="F303" s="59">
        <v>45700</v>
      </c>
      <c r="G303" s="57" t="str">
        <f t="shared" si="454"/>
        <v>BMO</v>
      </c>
      <c r="H303" s="57" t="str">
        <f t="shared" si="455"/>
        <v>s</v>
      </c>
      <c r="I303" s="159">
        <v>139.38999999999999</v>
      </c>
      <c r="J303" s="159">
        <v>136.76</v>
      </c>
      <c r="K303" s="61">
        <f t="shared" si="456"/>
        <v>-1.8867924528301855E-2</v>
      </c>
      <c r="L303" s="87">
        <f t="shared" si="457"/>
        <v>28.930000000000064</v>
      </c>
      <c r="M303" s="130" t="e">
        <f t="shared" si="450"/>
        <v>#N/A</v>
      </c>
      <c r="N303" s="169" t="str">
        <f t="shared" si="458"/>
        <v/>
      </c>
      <c r="O303" s="169">
        <f>IF($J303="",#N/A,SUM($N$4:N303))</f>
        <v>462.45671935422502</v>
      </c>
      <c r="P303" s="174">
        <f t="shared" si="459"/>
        <v>28.930000000000064</v>
      </c>
      <c r="Q303" s="174">
        <f>IF($J303="",#N/A,SUM($P$4:P303))</f>
        <v>621.53890674734214</v>
      </c>
      <c r="R303" s="178" t="str">
        <f t="shared" si="460"/>
        <v/>
      </c>
      <c r="S303" s="178">
        <f>IF($J303="",#N/A,SUM($R$4:R303))</f>
        <v>543.75445814372756</v>
      </c>
      <c r="T303" s="290" t="str">
        <f t="shared" si="461"/>
        <v/>
      </c>
      <c r="U303" s="290">
        <f>IF($J303="",#N/A,SUM($T$4:T303))</f>
        <v>17.664417808227025</v>
      </c>
      <c r="V303" s="291">
        <f t="shared" si="462"/>
        <v>0.31446540880503215</v>
      </c>
      <c r="W303" s="291">
        <f>IF($J303="",#N/A,SUM($V$4:V303))</f>
        <v>25.878801891065123</v>
      </c>
      <c r="X303" s="292" t="str">
        <f t="shared" si="463"/>
        <v/>
      </c>
      <c r="Y303" s="292">
        <f>IF($J303="",#N/A,SUM($X$4:X303))</f>
        <v>13.154727541228418</v>
      </c>
      <c r="Z303" s="304" t="str">
        <f t="shared" si="464"/>
        <v/>
      </c>
      <c r="AA303" s="313" t="e">
        <f>IF($J303="",#N/A,SUM(Z$4:Z303))</f>
        <v>#N/A</v>
      </c>
      <c r="AB303" s="314" t="str">
        <f t="shared" si="465"/>
        <v/>
      </c>
      <c r="AC303" s="314" t="e">
        <f>IF($J303="",#N/A,SUM(AB$4:AB303))</f>
        <v>#N/A</v>
      </c>
      <c r="AD303" s="315" t="str">
        <f t="shared" si="466"/>
        <v/>
      </c>
      <c r="AE303" s="315" t="e">
        <f>IF($J303="",#N/A,SUM(AD$4:AD303))</f>
        <v>#N/A</v>
      </c>
      <c r="AF303" s="315" t="e">
        <f>IF($J303="",#N/A,SUM(AD$4:AD303,AB$4:AB303,Z$4:Z303))</f>
        <v>#N/A</v>
      </c>
      <c r="AG303" s="304" t="str">
        <f t="shared" si="467"/>
        <v/>
      </c>
      <c r="AH303" s="313" t="e">
        <f>IF($J303="",#N/A,SUM(AG$4:AG303))</f>
        <v>#N/A</v>
      </c>
      <c r="AI303" s="314" t="str">
        <f t="shared" si="468"/>
        <v/>
      </c>
      <c r="AJ303" s="314" t="e">
        <f>IF($J303="",#N/A,SUM(AI$4:AI303))</f>
        <v>#N/A</v>
      </c>
      <c r="AK303" s="315" t="str">
        <f t="shared" si="469"/>
        <v/>
      </c>
      <c r="AL303" s="315" t="e">
        <f>IF($J303="",#N/A,SUM(AK$4:AK303))</f>
        <v>#N/A</v>
      </c>
      <c r="AM303" s="315" t="e">
        <f>IF($J303="",#N/A,SUM(AK$4:AK303,AI$4:AI303,AG$4:AG303))</f>
        <v>#N/A</v>
      </c>
      <c r="AN303" s="304" t="str">
        <f t="shared" si="470"/>
        <v/>
      </c>
      <c r="AO303" s="313" t="e">
        <f>IF($J303="",#N/A,SUM(AN$4:AN303))</f>
        <v>#N/A</v>
      </c>
      <c r="AP303" s="314" t="str">
        <f t="shared" si="471"/>
        <v/>
      </c>
      <c r="AQ303" s="314" t="e">
        <f>IF($J303="",#N/A,SUM(AP$4:AP303))</f>
        <v>#N/A</v>
      </c>
      <c r="AR303" s="315" t="str">
        <f t="shared" si="472"/>
        <v/>
      </c>
      <c r="AS303" s="315" t="e">
        <f>IF($J303="",#N/A,SUM(AR$4:AR303))</f>
        <v>#N/A</v>
      </c>
      <c r="AT303" s="315" t="e">
        <f>IF($J303="",#N/A,SUM(AR$4:AR303,AP$4:AP303,AN$4:AN303))</f>
        <v>#N/A</v>
      </c>
      <c r="AU303" s="304" t="str">
        <f t="shared" si="473"/>
        <v/>
      </c>
      <c r="AV303" s="313" t="e">
        <f>IF($J303="",#N/A,SUM(AU$4:AU303))</f>
        <v>#N/A</v>
      </c>
      <c r="AW303" s="314" t="str">
        <f t="shared" si="474"/>
        <v/>
      </c>
      <c r="AX303" s="314" t="e">
        <f>IF($J303="",#N/A,SUM(AW$4:AW303))</f>
        <v>#N/A</v>
      </c>
      <c r="AY303" s="315" t="str">
        <f t="shared" si="475"/>
        <v/>
      </c>
      <c r="AZ303" s="315" t="e">
        <f>IF($J303="",#N/A,SUM(AY$4:AY303))</f>
        <v>#N/A</v>
      </c>
      <c r="BA303" s="315" t="e">
        <f>IF($J303="",#N/A,SUM(AY$4:AY303,AW$4:AW303,AU$4:AU303))</f>
        <v>#N/A</v>
      </c>
      <c r="BB303" s="304" t="str">
        <f t="shared" si="476"/>
        <v/>
      </c>
      <c r="BC303" s="313" t="e">
        <f>IF($J303="",#N/A,SUM(BB$4:BB303))</f>
        <v>#N/A</v>
      </c>
      <c r="BD303" s="314" t="str">
        <f t="shared" si="477"/>
        <v/>
      </c>
      <c r="BE303" s="314" t="e">
        <f>IF($J303="",#N/A,SUM(BD$4:BD303))</f>
        <v>#N/A</v>
      </c>
      <c r="BF303" s="315" t="str">
        <f t="shared" si="478"/>
        <v/>
      </c>
      <c r="BG303" s="315" t="e">
        <f>IF($J303="",#N/A,SUM(BF$4:BF303))</f>
        <v>#N/A</v>
      </c>
      <c r="BH303" s="315" t="e">
        <f>IF($J303="",#N/A,SUM(BF$4:BF303,BD$4:BD303,BB$4:BB303))</f>
        <v>#N/A</v>
      </c>
      <c r="BI303" s="304" t="str">
        <f t="shared" si="479"/>
        <v/>
      </c>
      <c r="BJ303" s="313" t="e">
        <f>IF($J303="",#N/A,SUM(BI$4:BI303))</f>
        <v>#N/A</v>
      </c>
      <c r="BK303" s="314" t="str">
        <f t="shared" si="480"/>
        <v/>
      </c>
      <c r="BL303" s="314" t="e">
        <f>IF($J303="",#N/A,SUM(BK$4:BK303))</f>
        <v>#N/A</v>
      </c>
      <c r="BM303" s="315" t="str">
        <f t="shared" si="481"/>
        <v/>
      </c>
      <c r="BN303" s="315" t="e">
        <f>IF($J303="",#N/A,SUM(BM$4:BM303))</f>
        <v>#N/A</v>
      </c>
      <c r="BO303" s="315" t="e">
        <f>IF($J303="",#N/A,SUM(BM$4:BM303,BK$4:BK303,BI$4:BI303))</f>
        <v>#N/A</v>
      </c>
      <c r="BP303" s="304" t="str">
        <f t="shared" si="482"/>
        <v/>
      </c>
      <c r="BQ303" s="313" t="e">
        <f>IF($J303="",#N/A,SUM(BP$4:BP303))</f>
        <v>#N/A</v>
      </c>
      <c r="BR303" s="314" t="str">
        <f t="shared" si="483"/>
        <v/>
      </c>
      <c r="BS303" s="314" t="e">
        <f>IF($J303="",#N/A,SUM(BR$4:BR303))</f>
        <v>#N/A</v>
      </c>
      <c r="BT303" s="315" t="str">
        <f t="shared" si="484"/>
        <v/>
      </c>
      <c r="BU303" s="315" t="e">
        <f>IF($J303="",#N/A,SUM(BT$4:BT303))</f>
        <v>#N/A</v>
      </c>
      <c r="BV303" s="315" t="e">
        <f>IF($J303="",#N/A,SUM(BT$4:BT303,BR$4:BR303,BP$4:BP303))</f>
        <v>#N/A</v>
      </c>
      <c r="BW303" s="304" t="str">
        <f t="shared" si="485"/>
        <v/>
      </c>
      <c r="BX303" s="313" t="e">
        <f>IF($J303="",#N/A,SUM(BW$4:BW303))</f>
        <v>#N/A</v>
      </c>
      <c r="BY303" s="314">
        <f t="shared" si="486"/>
        <v>0.31446540880503215</v>
      </c>
      <c r="BZ303" s="314" t="e">
        <f>IF($J303="",#N/A,SUM(BY$4:BY303))</f>
        <v>#N/A</v>
      </c>
      <c r="CA303" s="315" t="str">
        <f t="shared" si="487"/>
        <v/>
      </c>
      <c r="CB303" s="315" t="e">
        <f>IF($J303="",#N/A,SUM(CA$4:CA303))</f>
        <v>#N/A</v>
      </c>
      <c r="CC303" s="315" t="e">
        <f>IF($J303="",#N/A,SUM(CA$4:CA303,BY$4:BY303,BW$4:BW303))</f>
        <v>#N/A</v>
      </c>
      <c r="CD303" s="304" t="str">
        <f t="shared" si="488"/>
        <v/>
      </c>
      <c r="CE303" s="313" t="e">
        <f>IF($J303="",#N/A,SUM(CD$4:CD303))</f>
        <v>#N/A</v>
      </c>
      <c r="CF303" s="314" t="str">
        <f t="shared" si="489"/>
        <v/>
      </c>
      <c r="CG303" s="314" t="e">
        <f>IF($J303="",#N/A,SUM(CF$4:CF303))</f>
        <v>#N/A</v>
      </c>
      <c r="CH303" s="315" t="str">
        <f t="shared" si="490"/>
        <v/>
      </c>
      <c r="CI303" s="315" t="e">
        <f>IF($J303="",#N/A,SUM(CH$4:CH303))</f>
        <v>#N/A</v>
      </c>
      <c r="CJ303" s="315" t="e">
        <f>IF($J303="",#N/A,SUM(CH$4:CH303,CF$4:CF303,CD$4:CD303))</f>
        <v>#N/A</v>
      </c>
      <c r="CK303" s="304" t="str">
        <f t="shared" si="491"/>
        <v/>
      </c>
      <c r="CL303" s="313" t="e">
        <f>IF($J303="",#N/A,SUM(CK$4:CK303))</f>
        <v>#N/A</v>
      </c>
      <c r="CM303" s="314" t="str">
        <f t="shared" si="492"/>
        <v/>
      </c>
      <c r="CN303" s="314" t="e">
        <f>IF($J303="",#N/A,SUM(CM$4:CM303))</f>
        <v>#N/A</v>
      </c>
      <c r="CO303" s="315" t="str">
        <f t="shared" si="493"/>
        <v/>
      </c>
      <c r="CP303" s="315" t="e">
        <f>IF($J303="",#N/A,SUM(CO$4:CO303))</f>
        <v>#N/A</v>
      </c>
      <c r="CQ303" s="315" t="e">
        <f>IF($J303="",#N/A,SUM(CO$4:CO303,CM$4:CM303,CK$4:CK303))</f>
        <v>#N/A</v>
      </c>
      <c r="CR303" s="304" t="str">
        <f t="shared" si="494"/>
        <v/>
      </c>
      <c r="CS303" s="313" t="e">
        <f>IF($J303="",#N/A,SUM(CR$4:CR303))</f>
        <v>#N/A</v>
      </c>
      <c r="CT303" s="314" t="str">
        <f t="shared" si="495"/>
        <v/>
      </c>
      <c r="CU303" s="314" t="e">
        <f>IF($J303="",#N/A,SUM(CT$4:CT303))</f>
        <v>#N/A</v>
      </c>
      <c r="CV303" s="315" t="str">
        <f t="shared" si="496"/>
        <v/>
      </c>
      <c r="CW303" s="315" t="e">
        <f>IF($J303="",#N/A,SUM(CV$4:CV303))</f>
        <v>#N/A</v>
      </c>
      <c r="CX303" s="315" t="e">
        <f>IF($J303="",#N/A,SUM(CV$4:CV303,CT$4:CT303,CR$4:CR303))</f>
        <v>#N/A</v>
      </c>
      <c r="CY303" s="304" t="str">
        <f t="shared" si="497"/>
        <v/>
      </c>
      <c r="CZ303" s="313" t="e">
        <f>IF($J303="",#N/A,SUM(CY$4:CY303))</f>
        <v>#N/A</v>
      </c>
      <c r="DA303" s="314" t="str">
        <f t="shared" si="498"/>
        <v/>
      </c>
      <c r="DB303" s="314" t="e">
        <f>IF($J303="",#N/A,SUM(DA$4:DA303))</f>
        <v>#N/A</v>
      </c>
      <c r="DC303" s="315" t="str">
        <f t="shared" si="499"/>
        <v/>
      </c>
      <c r="DD303" s="315" t="e">
        <f>IF($J303="",#N/A,SUM(DC$4:DC303))</f>
        <v>#N/A</v>
      </c>
      <c r="DE303" s="315" t="e">
        <f>IF($J303="",#N/A,SUM(DC$4:DC303,DA$4:DA303,CY$4:CY303))</f>
        <v>#N/A</v>
      </c>
      <c r="DF303" s="304" t="str">
        <f t="shared" si="500"/>
        <v/>
      </c>
      <c r="DG303" s="313" t="e">
        <f>IF($J303="",#N/A,SUM(DF$4:DF303))</f>
        <v>#N/A</v>
      </c>
      <c r="DH303" s="314" t="str">
        <f t="shared" si="501"/>
        <v/>
      </c>
      <c r="DI303" s="314" t="e">
        <f>IF($J303="",#N/A,SUM(DH$4:DH303))</f>
        <v>#N/A</v>
      </c>
      <c r="DJ303" s="315" t="str">
        <f t="shared" si="502"/>
        <v/>
      </c>
      <c r="DK303" s="315" t="e">
        <f>IF($J303="",#N/A,SUM(DJ$4:DJ303))</f>
        <v>#N/A</v>
      </c>
      <c r="DL303" s="315" t="e">
        <f>IF($J303="",#N/A,SUM(DJ$4:DJ303,DH$4:DH303,DF$4:DF303))</f>
        <v>#N/A</v>
      </c>
      <c r="DM303" s="304" t="str">
        <f t="shared" si="503"/>
        <v/>
      </c>
      <c r="DN303" s="313" t="e">
        <f>IF($J303="",#N/A,SUM(DM$4:DM303))</f>
        <v>#N/A</v>
      </c>
      <c r="DO303" s="314" t="str">
        <f t="shared" si="504"/>
        <v/>
      </c>
      <c r="DP303" s="314" t="e">
        <f>IF($J303="",#N/A,SUM(DO$4:DO303))</f>
        <v>#N/A</v>
      </c>
      <c r="DQ303" s="315" t="str">
        <f t="shared" si="505"/>
        <v/>
      </c>
      <c r="DR303" s="315" t="e">
        <f>IF($J303="",#N/A,SUM(DQ$4:DQ303))</f>
        <v>#N/A</v>
      </c>
      <c r="DS303" s="315" t="e">
        <f>IF($J303="",#N/A,SUM(DQ$4:DQ303,DO$4:DO303,DM$4:DM303))</f>
        <v>#N/A</v>
      </c>
      <c r="DT303" s="304" t="str">
        <f t="shared" si="506"/>
        <v/>
      </c>
      <c r="DU303" s="313" t="e">
        <f>IF($J303="",#N/A,SUM(DT$4:DT303))</f>
        <v>#N/A</v>
      </c>
      <c r="DV303" s="314" t="str">
        <f t="shared" si="507"/>
        <v/>
      </c>
      <c r="DW303" s="314" t="e">
        <f>IF($J303="",#N/A,SUM(DV$4:DV303))</f>
        <v>#N/A</v>
      </c>
      <c r="DX303" s="315" t="str">
        <f t="shared" si="508"/>
        <v/>
      </c>
      <c r="DY303" s="315" t="e">
        <f>IF($J303="",#N/A,SUM(DX$4:DX303))</f>
        <v>#N/A</v>
      </c>
      <c r="DZ303" s="315" t="e">
        <f>IF($J303="",#N/A,SUM(DX$4:DX303,DV$4:DV303,DT$4:DT303))</f>
        <v>#N/A</v>
      </c>
      <c r="EA303" s="304" t="str">
        <f t="shared" si="509"/>
        <v/>
      </c>
      <c r="EB303" s="313" t="e">
        <f>IF($J303="",#N/A,SUM(EA$4:EA303))</f>
        <v>#N/A</v>
      </c>
      <c r="EC303" s="314" t="str">
        <f t="shared" si="510"/>
        <v/>
      </c>
      <c r="ED303" s="314" t="e">
        <f>IF($J303="",#N/A,SUM(EC$4:EC303))</f>
        <v>#N/A</v>
      </c>
      <c r="EE303" s="315" t="str">
        <f t="shared" si="511"/>
        <v/>
      </c>
      <c r="EF303" s="315" t="e">
        <f>IF($J303="",#N/A,SUM(EE$4:EE303))</f>
        <v>#N/A</v>
      </c>
      <c r="EG303" s="315" t="e">
        <f>IF($J303="",#N/A,SUM(EE$4:EE303,EC$4:EC303,EA$4:EA303))</f>
        <v>#N/A</v>
      </c>
      <c r="EH303" s="130">
        <f t="shared" si="512"/>
        <v>28.930000000000064</v>
      </c>
      <c r="EI303" s="63">
        <f>IF(EH303="",#N/A,SUM($EH$4:EH303))</f>
        <v>1627.7500842452948</v>
      </c>
      <c r="EJ303" s="223" t="e">
        <f t="shared" si="513"/>
        <v>#N/A</v>
      </c>
      <c r="EK303" s="63" t="e">
        <f>IF($GZ303="",#N/A,SUM(EJ$4:EJ303))</f>
        <v>#N/A</v>
      </c>
      <c r="EL303" s="60">
        <f t="shared" si="544"/>
        <v>0.31446540880503215</v>
      </c>
      <c r="EM303" s="60">
        <f>IF(EL303="",NA(),SUM($EL$4:EL303))</f>
        <v>43.645628103136332</v>
      </c>
      <c r="EN303" s="60" t="str">
        <f t="shared" si="514"/>
        <v/>
      </c>
      <c r="EO303" s="60" t="e">
        <f>IF(EN303="",NA(),SUM($EN$4:EN303))</f>
        <v>#N/A</v>
      </c>
      <c r="EP303" s="60" t="str">
        <f t="shared" si="515"/>
        <v/>
      </c>
      <c r="EQ303" s="60" t="e">
        <f>IF(EP303="",NA(),SUM($EP$4:EP303))</f>
        <v>#N/A</v>
      </c>
      <c r="ER303" s="60">
        <f t="shared" si="516"/>
        <v>0.31446540880503215</v>
      </c>
      <c r="ES303" s="60">
        <f>IF(ER303="",NA(),SUM($ER$4:ER303))</f>
        <v>16.558199366565244</v>
      </c>
      <c r="ET303" s="60" t="str">
        <f t="shared" si="517"/>
        <v/>
      </c>
      <c r="EU303" s="60" t="e">
        <f>IF(ET303="",NA(),SUM($ET$4:ET303))</f>
        <v>#N/A</v>
      </c>
      <c r="EV303" s="60" t="str">
        <f t="shared" si="518"/>
        <v/>
      </c>
      <c r="EW303" s="60" t="e">
        <f>IF(EV303="",NA(),SUM($EV$4:EV303))</f>
        <v>#N/A</v>
      </c>
      <c r="EX303" s="60" t="str">
        <f t="shared" si="519"/>
        <v/>
      </c>
      <c r="EY303" s="60" t="e">
        <f>IF(EX303="",NA(),SUM($EX$4:EX303))</f>
        <v>#N/A</v>
      </c>
      <c r="EZ303" s="60" t="str">
        <f t="shared" si="520"/>
        <v/>
      </c>
      <c r="FA303" s="60" t="e">
        <f>IF(EZ303="",NA(),SUM($EZ$4:EZ303))</f>
        <v>#N/A</v>
      </c>
      <c r="FB303" s="246">
        <f t="shared" si="545"/>
        <v>0.39816342635770008</v>
      </c>
      <c r="FC303" s="246">
        <f>IF($FB303="",#N/A,SUM(FB$4:$FB303))</f>
        <v>4.5402188591701904</v>
      </c>
      <c r="FD303" s="60" t="str">
        <f t="shared" si="521"/>
        <v/>
      </c>
      <c r="FE303" s="60" t="e">
        <f>IF($FD303="",#N/A,SUM($FD$4:FD303))</f>
        <v>#N/A</v>
      </c>
      <c r="FF303" s="60" t="str">
        <f t="shared" si="522"/>
        <v/>
      </c>
      <c r="FG303" s="60" t="e">
        <f>IF($FF303="",#N/A,SUM($FF$4:FF303))</f>
        <v>#N/A</v>
      </c>
      <c r="FH303" s="60" t="str">
        <f t="shared" si="523"/>
        <v/>
      </c>
      <c r="FI303" s="60" t="e">
        <f>IF($FH303="",#N/A,SUM($FH$4:FH303))</f>
        <v>#N/A</v>
      </c>
      <c r="FJ303" s="60" t="str">
        <f t="shared" si="524"/>
        <v/>
      </c>
      <c r="FK303" s="60" t="e">
        <f>IF($FJ303="",#N/A,SUM($FJ$4:FJ303))</f>
        <v>#N/A</v>
      </c>
      <c r="FL303" s="60" t="str">
        <f t="shared" si="525"/>
        <v/>
      </c>
      <c r="FM303" s="60" t="e">
        <f>IF($FL303="",#N/A,SUM($FL$4:FL303))</f>
        <v>#N/A</v>
      </c>
      <c r="FN303" s="82">
        <f t="shared" si="526"/>
        <v>0.71262883516273223</v>
      </c>
      <c r="FO303" s="82">
        <f>IF($FN303="",#N/A,SUM(FN$4:$FN303))</f>
        <v>64.169264049957121</v>
      </c>
      <c r="FP303" s="82">
        <f t="shared" si="546"/>
        <v>0.31446540880503215</v>
      </c>
      <c r="FQ303" s="246">
        <f>IF($EH303="",#N/A,SUM($FP$4:FP303))</f>
        <v>56.697947240520563</v>
      </c>
      <c r="FR303" s="82">
        <f>IFERROR(FQ303/COUNTA($J$4:J303),#N/A)</f>
        <v>0.18899315746840187</v>
      </c>
      <c r="FS303" s="82">
        <f t="shared" si="448"/>
        <v>0.32374414720302058</v>
      </c>
      <c r="FT303" s="82">
        <f t="shared" si="449"/>
        <v>0.13505323305286965</v>
      </c>
      <c r="FU303" s="338">
        <f t="shared" si="553"/>
        <v>30.396762764585226</v>
      </c>
      <c r="FV303" s="57" t="str">
        <f t="shared" si="552"/>
        <v>Dwn</v>
      </c>
      <c r="FW303" s="57" t="s">
        <v>2733</v>
      </c>
      <c r="FX303" s="57" t="str">
        <f t="shared" si="528"/>
        <v/>
      </c>
      <c r="FY303" s="57" t="str">
        <f t="shared" si="529"/>
        <v/>
      </c>
      <c r="FZ303" s="57" t="str">
        <f t="shared" si="530"/>
        <v/>
      </c>
      <c r="GA303" s="57" t="str">
        <f t="shared" si="531"/>
        <v>Short</v>
      </c>
      <c r="GB303" s="57">
        <f t="shared" si="532"/>
        <v>1</v>
      </c>
      <c r="GC303" s="57" t="str">
        <f t="shared" si="533"/>
        <v/>
      </c>
      <c r="GD303" s="57" t="str">
        <f t="shared" si="534"/>
        <v/>
      </c>
      <c r="GE303" s="62">
        <f t="shared" si="451"/>
        <v>139.38999999999999</v>
      </c>
      <c r="GF303" s="62" t="s">
        <v>2780</v>
      </c>
      <c r="GG303" s="199">
        <v>11</v>
      </c>
      <c r="GH303" s="207">
        <f t="shared" si="535"/>
        <v>1533.29</v>
      </c>
      <c r="GI303" s="199">
        <v>11</v>
      </c>
      <c r="GJ303" s="200">
        <f>J303</f>
        <v>136.76</v>
      </c>
      <c r="GK303" s="63">
        <f t="shared" si="536"/>
        <v>28.930000000000064</v>
      </c>
      <c r="GL303" s="63">
        <f t="shared" si="452"/>
        <v>65.559999999999945</v>
      </c>
      <c r="GM303" s="82" t="str">
        <f t="shared" si="537"/>
        <v/>
      </c>
      <c r="GN303" s="82">
        <f>IF($GZ303="",#N/A,SUM(GM$4:GM303))</f>
        <v>11.78445188873577</v>
      </c>
      <c r="GO303" s="82" t="str">
        <f t="shared" si="538"/>
        <v/>
      </c>
      <c r="GP303" s="82">
        <f>IF($GZ303="",#N/A,SUM(GO$4:GO303))</f>
        <v>14.557157385454888</v>
      </c>
      <c r="GQ303" s="82">
        <f t="shared" si="539"/>
        <v>0.71262883516273223</v>
      </c>
      <c r="GR303" s="82">
        <f>IF($GZ303="",#N/A,SUM(GQ$4:GQ303))</f>
        <v>37.201817821324127</v>
      </c>
      <c r="GS303" s="63" t="str">
        <f t="shared" si="548"/>
        <v/>
      </c>
      <c r="GT303" s="63" t="e">
        <f>IF($GZ303="",#N/A,SUM(GS$4:GS303))</f>
        <v>#N/A</v>
      </c>
      <c r="GU303" s="63" t="str">
        <f t="shared" si="549"/>
        <v/>
      </c>
      <c r="GV303" s="63" t="e">
        <f>IF($GZ303="",#N/A,SUM(GU$4:GU303))</f>
        <v>#N/A</v>
      </c>
      <c r="GW303" s="63" t="e">
        <f t="shared" si="550"/>
        <v>#N/A</v>
      </c>
      <c r="GX303" s="63" t="e">
        <f>IF($GZ303="",#N/A,SUM(GW$4:GW303))</f>
        <v>#N/A</v>
      </c>
      <c r="GY303" s="63" t="e">
        <f>IF(EJ303="",#N/A,SUM($EJ$4:EJ303))</f>
        <v>#N/A</v>
      </c>
      <c r="GZ303" s="159">
        <v>133.43</v>
      </c>
      <c r="HA303" s="63">
        <f t="shared" si="540"/>
        <v>36.629999999999882</v>
      </c>
      <c r="HB303" s="62" t="s">
        <v>4735</v>
      </c>
      <c r="HC303" s="60">
        <f>IFERROR(VLOOKUP(E303,Expectancy!$P$4:$S$19,1+C303,FALSE),"")</f>
        <v>0.18997806194873415</v>
      </c>
      <c r="HD303" s="82">
        <f t="shared" si="541"/>
        <v>0.71262883516273223</v>
      </c>
      <c r="HE303" s="138">
        <f>IF(HD303="",#N/A,SUM($HD$4:HD303))</f>
        <v>11.771184475935335</v>
      </c>
      <c r="HF303" s="85">
        <f>IF(HD303="",#N/A,IF(HB303="Skip",#N/A,SUM($HG$4:HG303)))</f>
        <v>538.85657921915549</v>
      </c>
      <c r="HG303" s="63">
        <f t="shared" si="542"/>
        <v>65.559999999999945</v>
      </c>
      <c r="HH303" s="82">
        <f t="shared" si="543"/>
        <v>0.71262883516273223</v>
      </c>
    </row>
    <row r="304" spans="1:216" x14ac:dyDescent="0.25">
      <c r="A304" s="57" t="s">
        <v>7</v>
      </c>
      <c r="B304" s="58" t="s">
        <v>5238</v>
      </c>
      <c r="C304" s="386">
        <f t="shared" si="453"/>
        <v>1</v>
      </c>
      <c r="D304" s="372" t="str">
        <f>_xlfn.XLOOKUP(A304,[1]SP500!$A$2:$A$502,[1]SP500!$D$2:$D$502,"N")</f>
        <v>Y</v>
      </c>
      <c r="E304" s="57" t="str">
        <f>_xlfn.XLOOKUP(A304,[1]SP500!$A$2:$A$655,[1]SP500!$B$2:$B$655)</f>
        <v>XLV</v>
      </c>
      <c r="F304" s="59">
        <v>45700</v>
      </c>
      <c r="G304" s="57" t="str">
        <f t="shared" si="454"/>
        <v>BMO</v>
      </c>
      <c r="H304" s="57" t="str">
        <f t="shared" si="455"/>
        <v>s</v>
      </c>
      <c r="I304" s="159">
        <v>405.29</v>
      </c>
      <c r="J304" s="159">
        <v>388.34</v>
      </c>
      <c r="K304" s="61">
        <f t="shared" si="456"/>
        <v>-4.1821905302376186E-2</v>
      </c>
      <c r="L304" s="87">
        <f t="shared" si="457"/>
        <v>-67.800000000000182</v>
      </c>
      <c r="M304" s="130">
        <f t="shared" si="450"/>
        <v>0</v>
      </c>
      <c r="N304" s="169">
        <f t="shared" si="458"/>
        <v>-67.800000000000182</v>
      </c>
      <c r="O304" s="169">
        <f>IF($J304="",#N/A,SUM($N$4:N304))</f>
        <v>394.65671935422483</v>
      </c>
      <c r="P304" s="174" t="str">
        <f t="shared" si="459"/>
        <v/>
      </c>
      <c r="Q304" s="174">
        <f>IF($J304="",#N/A,SUM($P$4:P304))</f>
        <v>621.53890674734214</v>
      </c>
      <c r="R304" s="178" t="str">
        <f t="shared" si="460"/>
        <v/>
      </c>
      <c r="S304" s="178">
        <f>IF($J304="",#N/A,SUM($R$4:R304))</f>
        <v>543.75445814372756</v>
      </c>
      <c r="T304" s="290">
        <f t="shared" si="461"/>
        <v>-0.69703175503960313</v>
      </c>
      <c r="U304" s="290">
        <f>IF($J304="",#N/A,SUM($T$4:T304))</f>
        <v>16.967386053187422</v>
      </c>
      <c r="V304" s="291" t="str">
        <f t="shared" si="462"/>
        <v/>
      </c>
      <c r="W304" s="291">
        <f>IF($J304="",#N/A,SUM($V$4:V304))</f>
        <v>25.878801891065123</v>
      </c>
      <c r="X304" s="292" t="str">
        <f t="shared" si="463"/>
        <v/>
      </c>
      <c r="Y304" s="292">
        <f>IF($J304="",#N/A,SUM($X$4:X304))</f>
        <v>13.154727541228418</v>
      </c>
      <c r="Z304" s="304" t="str">
        <f t="shared" si="464"/>
        <v/>
      </c>
      <c r="AA304" s="313" t="e">
        <f>IF($J304="",#N/A,SUM(Z$4:Z304))</f>
        <v>#N/A</v>
      </c>
      <c r="AB304" s="314" t="str">
        <f t="shared" si="465"/>
        <v/>
      </c>
      <c r="AC304" s="314" t="e">
        <f>IF($J304="",#N/A,SUM(AB$4:AB304))</f>
        <v>#N/A</v>
      </c>
      <c r="AD304" s="315" t="str">
        <f t="shared" si="466"/>
        <v/>
      </c>
      <c r="AE304" s="315" t="e">
        <f>IF($J304="",#N/A,SUM(AD$4:AD304))</f>
        <v>#N/A</v>
      </c>
      <c r="AF304" s="315" t="e">
        <f>IF($J304="",#N/A,SUM(AD$4:AD304,AB$4:AB304,Z$4:Z304))</f>
        <v>#N/A</v>
      </c>
      <c r="AG304" s="304" t="str">
        <f t="shared" si="467"/>
        <v/>
      </c>
      <c r="AH304" s="313" t="e">
        <f>IF($J304="",#N/A,SUM(AG$4:AG304))</f>
        <v>#N/A</v>
      </c>
      <c r="AI304" s="314" t="str">
        <f t="shared" si="468"/>
        <v/>
      </c>
      <c r="AJ304" s="314" t="e">
        <f>IF($J304="",#N/A,SUM(AI$4:AI304))</f>
        <v>#N/A</v>
      </c>
      <c r="AK304" s="315" t="str">
        <f t="shared" si="469"/>
        <v/>
      </c>
      <c r="AL304" s="315" t="e">
        <f>IF($J304="",#N/A,SUM(AK$4:AK304))</f>
        <v>#N/A</v>
      </c>
      <c r="AM304" s="315" t="e">
        <f>IF($J304="",#N/A,SUM(AK$4:AK304,AI$4:AI304,AG$4:AG304))</f>
        <v>#N/A</v>
      </c>
      <c r="AN304" s="304" t="str">
        <f t="shared" si="470"/>
        <v/>
      </c>
      <c r="AO304" s="313" t="e">
        <f>IF($J304="",#N/A,SUM(AN$4:AN304))</f>
        <v>#N/A</v>
      </c>
      <c r="AP304" s="314" t="str">
        <f t="shared" si="471"/>
        <v/>
      </c>
      <c r="AQ304" s="314" t="e">
        <f>IF($J304="",#N/A,SUM(AP$4:AP304))</f>
        <v>#N/A</v>
      </c>
      <c r="AR304" s="315" t="str">
        <f t="shared" si="472"/>
        <v/>
      </c>
      <c r="AS304" s="315" t="e">
        <f>IF($J304="",#N/A,SUM(AR$4:AR304))</f>
        <v>#N/A</v>
      </c>
      <c r="AT304" s="315" t="e">
        <f>IF($J304="",#N/A,SUM(AR$4:AR304,AP$4:AP304,AN$4:AN304))</f>
        <v>#N/A</v>
      </c>
      <c r="AU304" s="304" t="str">
        <f t="shared" si="473"/>
        <v/>
      </c>
      <c r="AV304" s="313" t="e">
        <f>IF($J304="",#N/A,SUM(AU$4:AU304))</f>
        <v>#N/A</v>
      </c>
      <c r="AW304" s="314" t="str">
        <f t="shared" si="474"/>
        <v/>
      </c>
      <c r="AX304" s="314" t="e">
        <f>IF($J304="",#N/A,SUM(AW$4:AW304))</f>
        <v>#N/A</v>
      </c>
      <c r="AY304" s="315" t="str">
        <f t="shared" si="475"/>
        <v/>
      </c>
      <c r="AZ304" s="315" t="e">
        <f>IF($J304="",#N/A,SUM(AY$4:AY304))</f>
        <v>#N/A</v>
      </c>
      <c r="BA304" s="315" t="e">
        <f>IF($J304="",#N/A,SUM(AY$4:AY304,AW$4:AW304,AU$4:AU304))</f>
        <v>#N/A</v>
      </c>
      <c r="BB304" s="304" t="str">
        <f t="shared" si="476"/>
        <v/>
      </c>
      <c r="BC304" s="313" t="e">
        <f>IF($J304="",#N/A,SUM(BB$4:BB304))</f>
        <v>#N/A</v>
      </c>
      <c r="BD304" s="314" t="str">
        <f t="shared" si="477"/>
        <v/>
      </c>
      <c r="BE304" s="314" t="e">
        <f>IF($J304="",#N/A,SUM(BD$4:BD304))</f>
        <v>#N/A</v>
      </c>
      <c r="BF304" s="315" t="str">
        <f t="shared" si="478"/>
        <v/>
      </c>
      <c r="BG304" s="315" t="e">
        <f>IF($J304="",#N/A,SUM(BF$4:BF304))</f>
        <v>#N/A</v>
      </c>
      <c r="BH304" s="315" t="e">
        <f>IF($J304="",#N/A,SUM(BF$4:BF304,BD$4:BD304,BB$4:BB304))</f>
        <v>#N/A</v>
      </c>
      <c r="BI304" s="304" t="str">
        <f t="shared" si="479"/>
        <v/>
      </c>
      <c r="BJ304" s="313" t="e">
        <f>IF($J304="",#N/A,SUM(BI$4:BI304))</f>
        <v>#N/A</v>
      </c>
      <c r="BK304" s="314" t="str">
        <f t="shared" si="480"/>
        <v/>
      </c>
      <c r="BL304" s="314" t="e">
        <f>IF($J304="",#N/A,SUM(BK$4:BK304))</f>
        <v>#N/A</v>
      </c>
      <c r="BM304" s="315" t="str">
        <f t="shared" si="481"/>
        <v/>
      </c>
      <c r="BN304" s="315" t="e">
        <f>IF($J304="",#N/A,SUM(BM$4:BM304))</f>
        <v>#N/A</v>
      </c>
      <c r="BO304" s="315" t="e">
        <f>IF($J304="",#N/A,SUM(BM$4:BM304,BK$4:BK304,BI$4:BI304))</f>
        <v>#N/A</v>
      </c>
      <c r="BP304" s="304" t="str">
        <f t="shared" si="482"/>
        <v/>
      </c>
      <c r="BQ304" s="313" t="e">
        <f>IF($J304="",#N/A,SUM(BP$4:BP304))</f>
        <v>#N/A</v>
      </c>
      <c r="BR304" s="314" t="str">
        <f t="shared" si="483"/>
        <v/>
      </c>
      <c r="BS304" s="314" t="e">
        <f>IF($J304="",#N/A,SUM(BR$4:BR304))</f>
        <v>#N/A</v>
      </c>
      <c r="BT304" s="315" t="str">
        <f t="shared" si="484"/>
        <v/>
      </c>
      <c r="BU304" s="315" t="e">
        <f>IF($J304="",#N/A,SUM(BT$4:BT304))</f>
        <v>#N/A</v>
      </c>
      <c r="BV304" s="315" t="e">
        <f>IF($J304="",#N/A,SUM(BT$4:BT304,BR$4:BR304,BP$4:BP304))</f>
        <v>#N/A</v>
      </c>
      <c r="BW304" s="304">
        <f t="shared" si="485"/>
        <v>-0.69703175503960313</v>
      </c>
      <c r="BX304" s="313" t="e">
        <f>IF($J304="",#N/A,SUM(BW$4:BW304))</f>
        <v>#N/A</v>
      </c>
      <c r="BY304" s="314" t="str">
        <f t="shared" si="486"/>
        <v/>
      </c>
      <c r="BZ304" s="314" t="e">
        <f>IF($J304="",#N/A,SUM(BY$4:BY304))</f>
        <v>#N/A</v>
      </c>
      <c r="CA304" s="315" t="str">
        <f t="shared" si="487"/>
        <v/>
      </c>
      <c r="CB304" s="315" t="e">
        <f>IF($J304="",#N/A,SUM(CA$4:CA304))</f>
        <v>#N/A</v>
      </c>
      <c r="CC304" s="315" t="e">
        <f>IF($J304="",#N/A,SUM(CA$4:CA304,BY$4:BY304,BW$4:BW304))</f>
        <v>#N/A</v>
      </c>
      <c r="CD304" s="304" t="str">
        <f t="shared" si="488"/>
        <v/>
      </c>
      <c r="CE304" s="313" t="e">
        <f>IF($J304="",#N/A,SUM(CD$4:CD304))</f>
        <v>#N/A</v>
      </c>
      <c r="CF304" s="314" t="str">
        <f t="shared" si="489"/>
        <v/>
      </c>
      <c r="CG304" s="314" t="e">
        <f>IF($J304="",#N/A,SUM(CF$4:CF304))</f>
        <v>#N/A</v>
      </c>
      <c r="CH304" s="315" t="str">
        <f t="shared" si="490"/>
        <v/>
      </c>
      <c r="CI304" s="315" t="e">
        <f>IF($J304="",#N/A,SUM(CH$4:CH304))</f>
        <v>#N/A</v>
      </c>
      <c r="CJ304" s="315" t="e">
        <f>IF($J304="",#N/A,SUM(CH$4:CH304,CF$4:CF304,CD$4:CD304))</f>
        <v>#N/A</v>
      </c>
      <c r="CK304" s="304" t="str">
        <f t="shared" si="491"/>
        <v/>
      </c>
      <c r="CL304" s="313" t="e">
        <f>IF($J304="",#N/A,SUM(CK$4:CK304))</f>
        <v>#N/A</v>
      </c>
      <c r="CM304" s="314" t="str">
        <f t="shared" si="492"/>
        <v/>
      </c>
      <c r="CN304" s="314" t="e">
        <f>IF($J304="",#N/A,SUM(CM$4:CM304))</f>
        <v>#N/A</v>
      </c>
      <c r="CO304" s="315" t="str">
        <f t="shared" si="493"/>
        <v/>
      </c>
      <c r="CP304" s="315" t="e">
        <f>IF($J304="",#N/A,SUM(CO$4:CO304))</f>
        <v>#N/A</v>
      </c>
      <c r="CQ304" s="315" t="e">
        <f>IF($J304="",#N/A,SUM(CO$4:CO304,CM$4:CM304,CK$4:CK304))</f>
        <v>#N/A</v>
      </c>
      <c r="CR304" s="304" t="str">
        <f t="shared" si="494"/>
        <v/>
      </c>
      <c r="CS304" s="313" t="e">
        <f>IF($J304="",#N/A,SUM(CR$4:CR304))</f>
        <v>#N/A</v>
      </c>
      <c r="CT304" s="314" t="str">
        <f t="shared" si="495"/>
        <v/>
      </c>
      <c r="CU304" s="314" t="e">
        <f>IF($J304="",#N/A,SUM(CT$4:CT304))</f>
        <v>#N/A</v>
      </c>
      <c r="CV304" s="315" t="str">
        <f t="shared" si="496"/>
        <v/>
      </c>
      <c r="CW304" s="315" t="e">
        <f>IF($J304="",#N/A,SUM(CV$4:CV304))</f>
        <v>#N/A</v>
      </c>
      <c r="CX304" s="315" t="e">
        <f>IF($J304="",#N/A,SUM(CV$4:CV304,CT$4:CT304,CR$4:CR304))</f>
        <v>#N/A</v>
      </c>
      <c r="CY304" s="304" t="str">
        <f t="shared" si="497"/>
        <v/>
      </c>
      <c r="CZ304" s="313" t="e">
        <f>IF($J304="",#N/A,SUM(CY$4:CY304))</f>
        <v>#N/A</v>
      </c>
      <c r="DA304" s="314" t="str">
        <f t="shared" si="498"/>
        <v/>
      </c>
      <c r="DB304" s="314" t="e">
        <f>IF($J304="",#N/A,SUM(DA$4:DA304))</f>
        <v>#N/A</v>
      </c>
      <c r="DC304" s="315" t="str">
        <f t="shared" si="499"/>
        <v/>
      </c>
      <c r="DD304" s="315" t="e">
        <f>IF($J304="",#N/A,SUM(DC$4:DC304))</f>
        <v>#N/A</v>
      </c>
      <c r="DE304" s="315" t="e">
        <f>IF($J304="",#N/A,SUM(DC$4:DC304,DA$4:DA304,CY$4:CY304))</f>
        <v>#N/A</v>
      </c>
      <c r="DF304" s="304" t="str">
        <f t="shared" si="500"/>
        <v/>
      </c>
      <c r="DG304" s="313" t="e">
        <f>IF($J304="",#N/A,SUM(DF$4:DF304))</f>
        <v>#N/A</v>
      </c>
      <c r="DH304" s="314" t="str">
        <f t="shared" si="501"/>
        <v/>
      </c>
      <c r="DI304" s="314" t="e">
        <f>IF($J304="",#N/A,SUM(DH$4:DH304))</f>
        <v>#N/A</v>
      </c>
      <c r="DJ304" s="315" t="str">
        <f t="shared" si="502"/>
        <v/>
      </c>
      <c r="DK304" s="315" t="e">
        <f>IF($J304="",#N/A,SUM(DJ$4:DJ304))</f>
        <v>#N/A</v>
      </c>
      <c r="DL304" s="315" t="e">
        <f>IF($J304="",#N/A,SUM(DJ$4:DJ304,DH$4:DH304,DF$4:DF304))</f>
        <v>#N/A</v>
      </c>
      <c r="DM304" s="304" t="str">
        <f t="shared" si="503"/>
        <v/>
      </c>
      <c r="DN304" s="313" t="e">
        <f>IF($J304="",#N/A,SUM(DM$4:DM304))</f>
        <v>#N/A</v>
      </c>
      <c r="DO304" s="314" t="str">
        <f t="shared" si="504"/>
        <v/>
      </c>
      <c r="DP304" s="314" t="e">
        <f>IF($J304="",#N/A,SUM(DO$4:DO304))</f>
        <v>#N/A</v>
      </c>
      <c r="DQ304" s="315" t="str">
        <f t="shared" si="505"/>
        <v/>
      </c>
      <c r="DR304" s="315" t="e">
        <f>IF($J304="",#N/A,SUM(DQ$4:DQ304))</f>
        <v>#N/A</v>
      </c>
      <c r="DS304" s="315" t="e">
        <f>IF($J304="",#N/A,SUM(DQ$4:DQ304,DO$4:DO304,DM$4:DM304))</f>
        <v>#N/A</v>
      </c>
      <c r="DT304" s="304" t="str">
        <f t="shared" si="506"/>
        <v/>
      </c>
      <c r="DU304" s="313" t="e">
        <f>IF($J304="",#N/A,SUM(DT$4:DT304))</f>
        <v>#N/A</v>
      </c>
      <c r="DV304" s="314" t="str">
        <f t="shared" si="507"/>
        <v/>
      </c>
      <c r="DW304" s="314" t="e">
        <f>IF($J304="",#N/A,SUM(DV$4:DV304))</f>
        <v>#N/A</v>
      </c>
      <c r="DX304" s="315" t="str">
        <f t="shared" si="508"/>
        <v/>
      </c>
      <c r="DY304" s="315" t="e">
        <f>IF($J304="",#N/A,SUM(DX$4:DX304))</f>
        <v>#N/A</v>
      </c>
      <c r="DZ304" s="315" t="e">
        <f>IF($J304="",#N/A,SUM(DX$4:DX304,DV$4:DV304,DT$4:DT304))</f>
        <v>#N/A</v>
      </c>
      <c r="EA304" s="304" t="str">
        <f t="shared" si="509"/>
        <v/>
      </c>
      <c r="EB304" s="313" t="e">
        <f>IF($J304="",#N/A,SUM(EA$4:EA304))</f>
        <v>#N/A</v>
      </c>
      <c r="EC304" s="314" t="str">
        <f t="shared" si="510"/>
        <v/>
      </c>
      <c r="ED304" s="314" t="e">
        <f>IF($J304="",#N/A,SUM(EC$4:EC304))</f>
        <v>#N/A</v>
      </c>
      <c r="EE304" s="315" t="str">
        <f t="shared" si="511"/>
        <v/>
      </c>
      <c r="EF304" s="315" t="e">
        <f>IF($J304="",#N/A,SUM(EE$4:EE304))</f>
        <v>#N/A</v>
      </c>
      <c r="EG304" s="315" t="e">
        <f>IF($J304="",#N/A,SUM(EE$4:EE304,EC$4:EC304,EA$4:EA304))</f>
        <v>#N/A</v>
      </c>
      <c r="EH304" s="130">
        <f t="shared" si="512"/>
        <v>-67.800000000000182</v>
      </c>
      <c r="EI304" s="63">
        <f>IF(EH304="",#N/A,SUM($EH$4:EH304))</f>
        <v>1559.9500842452946</v>
      </c>
      <c r="EJ304" s="223" t="e">
        <f t="shared" si="513"/>
        <v>#N/A</v>
      </c>
      <c r="EK304" s="63" t="e">
        <f>IF($GZ304="",#N/A,SUM(EJ$4:EJ304))</f>
        <v>#N/A</v>
      </c>
      <c r="EL304" s="60">
        <f t="shared" si="544"/>
        <v>-0.69703175503960313</v>
      </c>
      <c r="EM304" s="60">
        <f>IF(EL304="",NA(),SUM($EL$4:EL304))</f>
        <v>42.948596348096729</v>
      </c>
      <c r="EN304" s="60">
        <f t="shared" si="514"/>
        <v>-0.69703175503960313</v>
      </c>
      <c r="EO304" s="60">
        <f>IF(EN304="",NA(),SUM($EN$4:EN304))</f>
        <v>14.170813607036136</v>
      </c>
      <c r="EP304" s="60" t="str">
        <f t="shared" si="515"/>
        <v/>
      </c>
      <c r="EQ304" s="60" t="e">
        <f>IF(EP304="",NA(),SUM($EP$4:EP304))</f>
        <v>#N/A</v>
      </c>
      <c r="ER304" s="60" t="str">
        <f t="shared" si="516"/>
        <v/>
      </c>
      <c r="ES304" s="60" t="e">
        <f>IF(ER304="",NA(),SUM($ER$4:ER304))</f>
        <v>#N/A</v>
      </c>
      <c r="ET304" s="60" t="str">
        <f t="shared" si="517"/>
        <v/>
      </c>
      <c r="EU304" s="60" t="e">
        <f>IF(ET304="",NA(),SUM($ET$4:ET304))</f>
        <v>#N/A</v>
      </c>
      <c r="EV304" s="60" t="str">
        <f t="shared" si="518"/>
        <v/>
      </c>
      <c r="EW304" s="60" t="e">
        <f>IF(EV304="",NA(),SUM($EV$4:EV304))</f>
        <v>#N/A</v>
      </c>
      <c r="EX304" s="60" t="str">
        <f t="shared" si="519"/>
        <v/>
      </c>
      <c r="EY304" s="60" t="e">
        <f>IF(EX304="",NA(),SUM($EX$4:EX304))</f>
        <v>#N/A</v>
      </c>
      <c r="EZ304" s="60" t="str">
        <f t="shared" si="520"/>
        <v/>
      </c>
      <c r="FA304" s="60" t="e">
        <f>IF(EZ304="",NA(),SUM($EZ$4:EZ304))</f>
        <v>#N/A</v>
      </c>
      <c r="FB304" s="246" t="str">
        <f t="shared" si="545"/>
        <v/>
      </c>
      <c r="FC304" s="246" t="e">
        <f>IF($FB304="",#N/A,SUM(FB$4:$FB304))</f>
        <v>#N/A</v>
      </c>
      <c r="FD304" s="60" t="str">
        <f t="shared" si="521"/>
        <v/>
      </c>
      <c r="FE304" s="60" t="e">
        <f>IF($FD304="",#N/A,SUM($FD$4:FD304))</f>
        <v>#N/A</v>
      </c>
      <c r="FF304" s="60" t="str">
        <f t="shared" si="522"/>
        <v/>
      </c>
      <c r="FG304" s="60" t="e">
        <f>IF($FF304="",#N/A,SUM($FF$4:FF304))</f>
        <v>#N/A</v>
      </c>
      <c r="FH304" s="60">
        <f t="shared" si="523"/>
        <v>-0.26441971592357538</v>
      </c>
      <c r="FI304" s="60">
        <f>IF($FH304="",#N/A,SUM($FH$4:FH304))</f>
        <v>1.7090562174700978</v>
      </c>
      <c r="FJ304" s="60" t="str">
        <f t="shared" si="524"/>
        <v/>
      </c>
      <c r="FK304" s="60" t="e">
        <f>IF($FJ304="",#N/A,SUM($FJ$4:FJ304))</f>
        <v>#N/A</v>
      </c>
      <c r="FL304" s="60" t="str">
        <f t="shared" si="525"/>
        <v/>
      </c>
      <c r="FM304" s="60" t="e">
        <f>IF($FL304="",#N/A,SUM($FL$4:FL304))</f>
        <v>#N/A</v>
      </c>
      <c r="FN304" s="82">
        <f t="shared" si="526"/>
        <v>-0.96145147096317851</v>
      </c>
      <c r="FO304" s="82">
        <f>IF($FN304="",#N/A,SUM(FN$4:$FN304))</f>
        <v>63.207812578993945</v>
      </c>
      <c r="FP304" s="82">
        <f t="shared" si="546"/>
        <v>-0.69703175503960313</v>
      </c>
      <c r="FQ304" s="246">
        <f>IF($EH304="",#N/A,SUM($FP$4:FP304))</f>
        <v>56.000915485480959</v>
      </c>
      <c r="FR304" s="82">
        <f>IFERROR(FQ304/COUNTA($J$4:J304),#N/A)</f>
        <v>0.18604955310791016</v>
      </c>
      <c r="FS304" s="82">
        <f t="shared" si="448"/>
        <v>0.30581668596251632</v>
      </c>
      <c r="FT304" s="82">
        <f t="shared" si="449"/>
        <v>7.6704624870392021E-2</v>
      </c>
      <c r="FU304" s="338">
        <f t="shared" si="553"/>
        <v>30.396762764585226</v>
      </c>
      <c r="FV304" s="57" t="str">
        <f t="shared" si="552"/>
        <v>Up</v>
      </c>
      <c r="FW304" s="57" t="s">
        <v>2734</v>
      </c>
      <c r="FX304" s="57" t="str">
        <f t="shared" si="528"/>
        <v/>
      </c>
      <c r="FY304" s="57" t="str">
        <f t="shared" si="529"/>
        <v/>
      </c>
      <c r="FZ304" s="57" t="str">
        <f t="shared" si="530"/>
        <v/>
      </c>
      <c r="GA304" s="57" t="str">
        <f t="shared" si="531"/>
        <v>Long</v>
      </c>
      <c r="GB304" s="57" t="str">
        <f t="shared" si="532"/>
        <v/>
      </c>
      <c r="GC304" s="57">
        <f t="shared" si="533"/>
        <v>1</v>
      </c>
      <c r="GD304" s="57" t="str">
        <f t="shared" si="534"/>
        <v/>
      </c>
      <c r="GE304" s="62">
        <f t="shared" si="451"/>
        <v>405.29</v>
      </c>
      <c r="GF304" s="62" t="s">
        <v>2779</v>
      </c>
      <c r="GG304" s="199">
        <v>4</v>
      </c>
      <c r="GH304" s="207">
        <f t="shared" si="535"/>
        <v>1621.16</v>
      </c>
      <c r="GI304" s="199">
        <v>4</v>
      </c>
      <c r="GJ304" s="200">
        <v>388.34</v>
      </c>
      <c r="GK304" s="63">
        <f t="shared" si="536"/>
        <v>-67.800000000000182</v>
      </c>
      <c r="GL304" s="63">
        <f t="shared" si="452"/>
        <v>-93.519999999999982</v>
      </c>
      <c r="GM304" s="82" t="str">
        <f t="shared" si="537"/>
        <v/>
      </c>
      <c r="GN304" s="82">
        <f>IF($GZ304="",#N/A,SUM(GM$4:GM304))</f>
        <v>11.78445188873577</v>
      </c>
      <c r="GO304" s="82">
        <f t="shared" si="538"/>
        <v>-0.96145147096317851</v>
      </c>
      <c r="GP304" s="82">
        <f>IF($GZ304="",#N/A,SUM(GO$4:GO304))</f>
        <v>13.59570591449171</v>
      </c>
      <c r="GQ304" s="82" t="str">
        <f t="shared" si="539"/>
        <v/>
      </c>
      <c r="GR304" s="82">
        <f>IF($GZ304="",#N/A,SUM(GQ$4:GQ304))</f>
        <v>37.201817821324127</v>
      </c>
      <c r="GS304" s="63" t="str">
        <f t="shared" si="548"/>
        <v/>
      </c>
      <c r="GT304" s="63" t="e">
        <f>IF($GZ304="",#N/A,SUM(GS$4:GS304))</f>
        <v>#N/A</v>
      </c>
      <c r="GU304" s="63" t="e">
        <f t="shared" si="549"/>
        <v>#N/A</v>
      </c>
      <c r="GV304" s="63" t="e">
        <f>IF($GZ304="",#N/A,SUM(GU$4:GU304))</f>
        <v>#N/A</v>
      </c>
      <c r="GW304" s="63" t="str">
        <f t="shared" si="550"/>
        <v/>
      </c>
      <c r="GX304" s="63" t="e">
        <f>IF($GZ304="",#N/A,SUM(GW$4:GW304))</f>
        <v>#N/A</v>
      </c>
      <c r="GY304" s="63" t="e">
        <f>IF(EJ304="",#N/A,SUM($EJ$4:EJ304))</f>
        <v>#N/A</v>
      </c>
      <c r="GZ304" s="159">
        <v>381.91</v>
      </c>
      <c r="HA304" s="63">
        <f t="shared" si="540"/>
        <v>-25.7199999999998</v>
      </c>
      <c r="HB304" s="62" t="s">
        <v>2538</v>
      </c>
      <c r="HC304" s="60">
        <f>IFERROR(VLOOKUP(E304,Expectancy!$P$4:$S$19,1+C304,FALSE),"")</f>
        <v>-0.45514116799985843</v>
      </c>
      <c r="HD304" s="82">
        <f t="shared" si="541"/>
        <v>-0.69703175503960313</v>
      </c>
      <c r="HE304" s="138">
        <f>IF(HD304="",#N/A,SUM($HD$4:HD304))</f>
        <v>11.074152720895732</v>
      </c>
      <c r="HF304" s="85">
        <f>IF(HD304="",#N/A,IF(HB304="Skip",#N/A,SUM($HG$4:HG304)))</f>
        <v>471.05657921915531</v>
      </c>
      <c r="HG304" s="63">
        <f t="shared" si="542"/>
        <v>-67.800000000000182</v>
      </c>
      <c r="HH304" s="82">
        <f t="shared" si="543"/>
        <v>-0.96145147096317851</v>
      </c>
    </row>
    <row r="305" spans="1:216" x14ac:dyDescent="0.25">
      <c r="A305" s="57" t="s">
        <v>1595</v>
      </c>
      <c r="B305" s="58" t="s">
        <v>5238</v>
      </c>
      <c r="C305" s="386">
        <f t="shared" si="453"/>
        <v>2</v>
      </c>
      <c r="D305" s="372" t="str">
        <f>_xlfn.XLOOKUP(A305,[1]SP500!$A$2:$A$502,[1]SP500!$D$2:$D$502,"N")</f>
        <v>Y</v>
      </c>
      <c r="E305" s="57" t="str">
        <f>_xlfn.XLOOKUP(A305,[1]SP500!$A$2:$A$655,[1]SP500!$B$2:$B$655)</f>
        <v>XLI</v>
      </c>
      <c r="F305" s="59">
        <v>45700</v>
      </c>
      <c r="G305" s="57" t="str">
        <f t="shared" si="454"/>
        <v>BMO</v>
      </c>
      <c r="H305" s="57" t="str">
        <f t="shared" si="455"/>
        <v>s</v>
      </c>
      <c r="I305" s="159">
        <v>141.74</v>
      </c>
      <c r="J305" s="159">
        <v>142.38999999999999</v>
      </c>
      <c r="K305" s="61">
        <f t="shared" si="456"/>
        <v>4.5858614364327442E-3</v>
      </c>
      <c r="L305" s="87">
        <f t="shared" si="457"/>
        <v>-7.1499999999998636</v>
      </c>
      <c r="M305" s="130">
        <f t="shared" si="450"/>
        <v>-20.899999999999864</v>
      </c>
      <c r="N305" s="169" t="str">
        <f t="shared" si="458"/>
        <v/>
      </c>
      <c r="O305" s="169">
        <f>IF($J305="",#N/A,SUM($N$4:N305))</f>
        <v>394.65671935422483</v>
      </c>
      <c r="P305" s="174">
        <f t="shared" si="459"/>
        <v>-7.1499999999998636</v>
      </c>
      <c r="Q305" s="174">
        <f>IF($J305="",#N/A,SUM($P$4:P305))</f>
        <v>614.38890674734228</v>
      </c>
      <c r="R305" s="178" t="str">
        <f t="shared" si="460"/>
        <v/>
      </c>
      <c r="S305" s="178">
        <f>IF($J305="",#N/A,SUM($R$4:R305))</f>
        <v>543.75445814372756</v>
      </c>
      <c r="T305" s="290" t="str">
        <f t="shared" si="461"/>
        <v/>
      </c>
      <c r="U305" s="290">
        <f>IF($J305="",#N/A,SUM($T$4:T305))</f>
        <v>16.967386053187422</v>
      </c>
      <c r="V305" s="291">
        <f t="shared" si="462"/>
        <v>-7.643102394054696E-2</v>
      </c>
      <c r="W305" s="291">
        <f>IF($J305="",#N/A,SUM($V$4:V305))</f>
        <v>25.802370867124576</v>
      </c>
      <c r="X305" s="292" t="str">
        <f t="shared" si="463"/>
        <v/>
      </c>
      <c r="Y305" s="292">
        <f>IF($J305="",#N/A,SUM($X$4:X305))</f>
        <v>13.154727541228418</v>
      </c>
      <c r="Z305" s="304" t="str">
        <f t="shared" si="464"/>
        <v/>
      </c>
      <c r="AA305" s="313" t="e">
        <f>IF($J305="",#N/A,SUM(Z$4:Z305))</f>
        <v>#N/A</v>
      </c>
      <c r="AB305" s="314" t="str">
        <f t="shared" si="465"/>
        <v/>
      </c>
      <c r="AC305" s="314" t="e">
        <f>IF($J305="",#N/A,SUM(AB$4:AB305))</f>
        <v>#N/A</v>
      </c>
      <c r="AD305" s="315" t="str">
        <f t="shared" si="466"/>
        <v/>
      </c>
      <c r="AE305" s="315" t="e">
        <f>IF($J305="",#N/A,SUM(AD$4:AD305))</f>
        <v>#N/A</v>
      </c>
      <c r="AF305" s="315" t="e">
        <f>IF($J305="",#N/A,SUM(AD$4:AD305,AB$4:AB305,Z$4:Z305))</f>
        <v>#N/A</v>
      </c>
      <c r="AG305" s="304" t="str">
        <f t="shared" si="467"/>
        <v/>
      </c>
      <c r="AH305" s="313" t="e">
        <f>IF($J305="",#N/A,SUM(AG$4:AG305))</f>
        <v>#N/A</v>
      </c>
      <c r="AI305" s="314" t="str">
        <f t="shared" si="468"/>
        <v/>
      </c>
      <c r="AJ305" s="314" t="e">
        <f>IF($J305="",#N/A,SUM(AI$4:AI305))</f>
        <v>#N/A</v>
      </c>
      <c r="AK305" s="315" t="str">
        <f t="shared" si="469"/>
        <v/>
      </c>
      <c r="AL305" s="315" t="e">
        <f>IF($J305="",#N/A,SUM(AK$4:AK305))</f>
        <v>#N/A</v>
      </c>
      <c r="AM305" s="315" t="e">
        <f>IF($J305="",#N/A,SUM(AK$4:AK305,AI$4:AI305,AG$4:AG305))</f>
        <v>#N/A</v>
      </c>
      <c r="AN305" s="304" t="str">
        <f t="shared" si="470"/>
        <v/>
      </c>
      <c r="AO305" s="313" t="e">
        <f>IF($J305="",#N/A,SUM(AN$4:AN305))</f>
        <v>#N/A</v>
      </c>
      <c r="AP305" s="314" t="str">
        <f t="shared" si="471"/>
        <v/>
      </c>
      <c r="AQ305" s="314" t="e">
        <f>IF($J305="",#N/A,SUM(AP$4:AP305))</f>
        <v>#N/A</v>
      </c>
      <c r="AR305" s="315" t="str">
        <f t="shared" si="472"/>
        <v/>
      </c>
      <c r="AS305" s="315" t="e">
        <f>IF($J305="",#N/A,SUM(AR$4:AR305))</f>
        <v>#N/A</v>
      </c>
      <c r="AT305" s="315" t="e">
        <f>IF($J305="",#N/A,SUM(AR$4:AR305,AP$4:AP305,AN$4:AN305))</f>
        <v>#N/A</v>
      </c>
      <c r="AU305" s="304" t="str">
        <f t="shared" si="473"/>
        <v/>
      </c>
      <c r="AV305" s="313" t="e">
        <f>IF($J305="",#N/A,SUM(AU$4:AU305))</f>
        <v>#N/A</v>
      </c>
      <c r="AW305" s="314" t="str">
        <f t="shared" si="474"/>
        <v/>
      </c>
      <c r="AX305" s="314" t="e">
        <f>IF($J305="",#N/A,SUM(AW$4:AW305))</f>
        <v>#N/A</v>
      </c>
      <c r="AY305" s="315" t="str">
        <f t="shared" si="475"/>
        <v/>
      </c>
      <c r="AZ305" s="315" t="e">
        <f>IF($J305="",#N/A,SUM(AY$4:AY305))</f>
        <v>#N/A</v>
      </c>
      <c r="BA305" s="315" t="e">
        <f>IF($J305="",#N/A,SUM(AY$4:AY305,AW$4:AW305,AU$4:AU305))</f>
        <v>#N/A</v>
      </c>
      <c r="BB305" s="304" t="str">
        <f t="shared" si="476"/>
        <v/>
      </c>
      <c r="BC305" s="313" t="e">
        <f>IF($J305="",#N/A,SUM(BB$4:BB305))</f>
        <v>#N/A</v>
      </c>
      <c r="BD305" s="314" t="str">
        <f t="shared" si="477"/>
        <v/>
      </c>
      <c r="BE305" s="314" t="e">
        <f>IF($J305="",#N/A,SUM(BD$4:BD305))</f>
        <v>#N/A</v>
      </c>
      <c r="BF305" s="315" t="str">
        <f t="shared" si="478"/>
        <v/>
      </c>
      <c r="BG305" s="315" t="e">
        <f>IF($J305="",#N/A,SUM(BF$4:BF305))</f>
        <v>#N/A</v>
      </c>
      <c r="BH305" s="315" t="e">
        <f>IF($J305="",#N/A,SUM(BF$4:BF305,BD$4:BD305,BB$4:BB305))</f>
        <v>#N/A</v>
      </c>
      <c r="BI305" s="304" t="str">
        <f t="shared" si="479"/>
        <v/>
      </c>
      <c r="BJ305" s="313" t="e">
        <f>IF($J305="",#N/A,SUM(BI$4:BI305))</f>
        <v>#N/A</v>
      </c>
      <c r="BK305" s="314" t="str">
        <f t="shared" si="480"/>
        <v/>
      </c>
      <c r="BL305" s="314" t="e">
        <f>IF($J305="",#N/A,SUM(BK$4:BK305))</f>
        <v>#N/A</v>
      </c>
      <c r="BM305" s="315" t="str">
        <f t="shared" si="481"/>
        <v/>
      </c>
      <c r="BN305" s="315" t="e">
        <f>IF($J305="",#N/A,SUM(BM$4:BM305))</f>
        <v>#N/A</v>
      </c>
      <c r="BO305" s="315" t="e">
        <f>IF($J305="",#N/A,SUM(BM$4:BM305,BK$4:BK305,BI$4:BI305))</f>
        <v>#N/A</v>
      </c>
      <c r="BP305" s="304" t="str">
        <f t="shared" si="482"/>
        <v/>
      </c>
      <c r="BQ305" s="313" t="e">
        <f>IF($J305="",#N/A,SUM(BP$4:BP305))</f>
        <v>#N/A</v>
      </c>
      <c r="BR305" s="314">
        <f t="shared" si="483"/>
        <v>-7.643102394054696E-2</v>
      </c>
      <c r="BS305" s="314" t="e">
        <f>IF($J305="",#N/A,SUM(BR$4:BR305))</f>
        <v>#N/A</v>
      </c>
      <c r="BT305" s="315" t="str">
        <f t="shared" si="484"/>
        <v/>
      </c>
      <c r="BU305" s="315" t="e">
        <f>IF($J305="",#N/A,SUM(BT$4:BT305))</f>
        <v>#N/A</v>
      </c>
      <c r="BV305" s="315" t="e">
        <f>IF($J305="",#N/A,SUM(BT$4:BT305,BR$4:BR305,BP$4:BP305))</f>
        <v>#N/A</v>
      </c>
      <c r="BW305" s="304" t="str">
        <f t="shared" si="485"/>
        <v/>
      </c>
      <c r="BX305" s="313" t="e">
        <f>IF($J305="",#N/A,SUM(BW$4:BW305))</f>
        <v>#N/A</v>
      </c>
      <c r="BY305" s="314" t="str">
        <f t="shared" si="486"/>
        <v/>
      </c>
      <c r="BZ305" s="314" t="e">
        <f>IF($J305="",#N/A,SUM(BY$4:BY305))</f>
        <v>#N/A</v>
      </c>
      <c r="CA305" s="315" t="str">
        <f t="shared" si="487"/>
        <v/>
      </c>
      <c r="CB305" s="315" t="e">
        <f>IF($J305="",#N/A,SUM(CA$4:CA305))</f>
        <v>#N/A</v>
      </c>
      <c r="CC305" s="315" t="e">
        <f>IF($J305="",#N/A,SUM(CA$4:CA305,BY$4:BY305,BW$4:BW305))</f>
        <v>#N/A</v>
      </c>
      <c r="CD305" s="304" t="str">
        <f t="shared" si="488"/>
        <v/>
      </c>
      <c r="CE305" s="313" t="e">
        <f>IF($J305="",#N/A,SUM(CD$4:CD305))</f>
        <v>#N/A</v>
      </c>
      <c r="CF305" s="314" t="str">
        <f t="shared" si="489"/>
        <v/>
      </c>
      <c r="CG305" s="314" t="e">
        <f>IF($J305="",#N/A,SUM(CF$4:CF305))</f>
        <v>#N/A</v>
      </c>
      <c r="CH305" s="315" t="str">
        <f t="shared" si="490"/>
        <v/>
      </c>
      <c r="CI305" s="315" t="e">
        <f>IF($J305="",#N/A,SUM(CH$4:CH305))</f>
        <v>#N/A</v>
      </c>
      <c r="CJ305" s="315" t="e">
        <f>IF($J305="",#N/A,SUM(CH$4:CH305,CF$4:CF305,CD$4:CD305))</f>
        <v>#N/A</v>
      </c>
      <c r="CK305" s="304" t="str">
        <f t="shared" si="491"/>
        <v/>
      </c>
      <c r="CL305" s="313" t="e">
        <f>IF($J305="",#N/A,SUM(CK$4:CK305))</f>
        <v>#N/A</v>
      </c>
      <c r="CM305" s="314" t="str">
        <f t="shared" si="492"/>
        <v/>
      </c>
      <c r="CN305" s="314" t="e">
        <f>IF($J305="",#N/A,SUM(CM$4:CM305))</f>
        <v>#N/A</v>
      </c>
      <c r="CO305" s="315" t="str">
        <f t="shared" si="493"/>
        <v/>
      </c>
      <c r="CP305" s="315" t="e">
        <f>IF($J305="",#N/A,SUM(CO$4:CO305))</f>
        <v>#N/A</v>
      </c>
      <c r="CQ305" s="315" t="e">
        <f>IF($J305="",#N/A,SUM(CO$4:CO305,CM$4:CM305,CK$4:CK305))</f>
        <v>#N/A</v>
      </c>
      <c r="CR305" s="304" t="str">
        <f t="shared" si="494"/>
        <v/>
      </c>
      <c r="CS305" s="313" t="e">
        <f>IF($J305="",#N/A,SUM(CR$4:CR305))</f>
        <v>#N/A</v>
      </c>
      <c r="CT305" s="314" t="str">
        <f t="shared" si="495"/>
        <v/>
      </c>
      <c r="CU305" s="314" t="e">
        <f>IF($J305="",#N/A,SUM(CT$4:CT305))</f>
        <v>#N/A</v>
      </c>
      <c r="CV305" s="315" t="str">
        <f t="shared" si="496"/>
        <v/>
      </c>
      <c r="CW305" s="315" t="e">
        <f>IF($J305="",#N/A,SUM(CV$4:CV305))</f>
        <v>#N/A</v>
      </c>
      <c r="CX305" s="315" t="e">
        <f>IF($J305="",#N/A,SUM(CV$4:CV305,CT$4:CT305,CR$4:CR305))</f>
        <v>#N/A</v>
      </c>
      <c r="CY305" s="304" t="str">
        <f t="shared" si="497"/>
        <v/>
      </c>
      <c r="CZ305" s="313" t="e">
        <f>IF($J305="",#N/A,SUM(CY$4:CY305))</f>
        <v>#N/A</v>
      </c>
      <c r="DA305" s="314" t="str">
        <f t="shared" si="498"/>
        <v/>
      </c>
      <c r="DB305" s="314" t="e">
        <f>IF($J305="",#N/A,SUM(DA$4:DA305))</f>
        <v>#N/A</v>
      </c>
      <c r="DC305" s="315" t="str">
        <f t="shared" si="499"/>
        <v/>
      </c>
      <c r="DD305" s="315" t="e">
        <f>IF($J305="",#N/A,SUM(DC$4:DC305))</f>
        <v>#N/A</v>
      </c>
      <c r="DE305" s="315" t="e">
        <f>IF($J305="",#N/A,SUM(DC$4:DC305,DA$4:DA305,CY$4:CY305))</f>
        <v>#N/A</v>
      </c>
      <c r="DF305" s="304" t="str">
        <f t="shared" si="500"/>
        <v/>
      </c>
      <c r="DG305" s="313" t="e">
        <f>IF($J305="",#N/A,SUM(DF$4:DF305))</f>
        <v>#N/A</v>
      </c>
      <c r="DH305" s="314" t="str">
        <f t="shared" si="501"/>
        <v/>
      </c>
      <c r="DI305" s="314" t="e">
        <f>IF($J305="",#N/A,SUM(DH$4:DH305))</f>
        <v>#N/A</v>
      </c>
      <c r="DJ305" s="315" t="str">
        <f t="shared" si="502"/>
        <v/>
      </c>
      <c r="DK305" s="315" t="e">
        <f>IF($J305="",#N/A,SUM(DJ$4:DJ305))</f>
        <v>#N/A</v>
      </c>
      <c r="DL305" s="315" t="e">
        <f>IF($J305="",#N/A,SUM(DJ$4:DJ305,DH$4:DH305,DF$4:DF305))</f>
        <v>#N/A</v>
      </c>
      <c r="DM305" s="304" t="str">
        <f t="shared" si="503"/>
        <v/>
      </c>
      <c r="DN305" s="313" t="e">
        <f>IF($J305="",#N/A,SUM(DM$4:DM305))</f>
        <v>#N/A</v>
      </c>
      <c r="DO305" s="314" t="str">
        <f t="shared" si="504"/>
        <v/>
      </c>
      <c r="DP305" s="314" t="e">
        <f>IF($J305="",#N/A,SUM(DO$4:DO305))</f>
        <v>#N/A</v>
      </c>
      <c r="DQ305" s="315" t="str">
        <f t="shared" si="505"/>
        <v/>
      </c>
      <c r="DR305" s="315" t="e">
        <f>IF($J305="",#N/A,SUM(DQ$4:DQ305))</f>
        <v>#N/A</v>
      </c>
      <c r="DS305" s="315" t="e">
        <f>IF($J305="",#N/A,SUM(DQ$4:DQ305,DO$4:DO305,DM$4:DM305))</f>
        <v>#N/A</v>
      </c>
      <c r="DT305" s="304" t="str">
        <f t="shared" si="506"/>
        <v/>
      </c>
      <c r="DU305" s="313" t="e">
        <f>IF($J305="",#N/A,SUM(DT$4:DT305))</f>
        <v>#N/A</v>
      </c>
      <c r="DV305" s="314" t="str">
        <f t="shared" si="507"/>
        <v/>
      </c>
      <c r="DW305" s="314" t="e">
        <f>IF($J305="",#N/A,SUM(DV$4:DV305))</f>
        <v>#N/A</v>
      </c>
      <c r="DX305" s="315" t="str">
        <f t="shared" si="508"/>
        <v/>
      </c>
      <c r="DY305" s="315" t="e">
        <f>IF($J305="",#N/A,SUM(DX$4:DX305))</f>
        <v>#N/A</v>
      </c>
      <c r="DZ305" s="315" t="e">
        <f>IF($J305="",#N/A,SUM(DX$4:DX305,DV$4:DV305,DT$4:DT305))</f>
        <v>#N/A</v>
      </c>
      <c r="EA305" s="304" t="str">
        <f t="shared" si="509"/>
        <v/>
      </c>
      <c r="EB305" s="313" t="e">
        <f>IF($J305="",#N/A,SUM(EA$4:EA305))</f>
        <v>#N/A</v>
      </c>
      <c r="EC305" s="314" t="str">
        <f t="shared" si="510"/>
        <v/>
      </c>
      <c r="ED305" s="314" t="e">
        <f>IF($J305="",#N/A,SUM(EC$4:EC305))</f>
        <v>#N/A</v>
      </c>
      <c r="EE305" s="315" t="str">
        <f t="shared" si="511"/>
        <v/>
      </c>
      <c r="EF305" s="315" t="e">
        <f>IF($J305="",#N/A,SUM(EE$4:EE305))</f>
        <v>#N/A</v>
      </c>
      <c r="EG305" s="315" t="e">
        <f>IF($J305="",#N/A,SUM(EE$4:EE305,EC$4:EC305,EA$4:EA305))</f>
        <v>#N/A</v>
      </c>
      <c r="EH305" s="130">
        <f t="shared" si="512"/>
        <v>-7.1499999999998636</v>
      </c>
      <c r="EI305" s="63">
        <f>IF(EH305="",#N/A,SUM($EH$4:EH305))</f>
        <v>1552.8000842452948</v>
      </c>
      <c r="EJ305" s="223" t="e">
        <f t="shared" si="513"/>
        <v>#N/A</v>
      </c>
      <c r="EK305" s="63" t="e">
        <f>IF($GZ305="",#N/A,SUM(EJ$4:EJ305))</f>
        <v>#N/A</v>
      </c>
      <c r="EL305" s="60">
        <f t="shared" si="544"/>
        <v>-7.643102394054696E-2</v>
      </c>
      <c r="EM305" s="60">
        <f>IF(EL305="",NA(),SUM($EL$4:EL305))</f>
        <v>42.872165324156178</v>
      </c>
      <c r="EN305" s="60" t="str">
        <f t="shared" si="514"/>
        <v/>
      </c>
      <c r="EO305" s="60" t="e">
        <f>IF(EN305="",NA(),SUM($EN$4:EN305))</f>
        <v>#N/A</v>
      </c>
      <c r="EP305" s="60" t="str">
        <f t="shared" si="515"/>
        <v/>
      </c>
      <c r="EQ305" s="60" t="e">
        <f>IF(EP305="",NA(),SUM($EP$4:EP305))</f>
        <v>#N/A</v>
      </c>
      <c r="ER305" s="60">
        <f t="shared" si="516"/>
        <v>-7.643102394054696E-2</v>
      </c>
      <c r="ES305" s="60">
        <f>IF(ER305="",NA(),SUM($ER$4:ER305))</f>
        <v>16.481768342624697</v>
      </c>
      <c r="ET305" s="60" t="str">
        <f t="shared" si="517"/>
        <v/>
      </c>
      <c r="EU305" s="60" t="e">
        <f>IF(ET305="",NA(),SUM($ET$4:ET305))</f>
        <v>#N/A</v>
      </c>
      <c r="EV305" s="60" t="str">
        <f t="shared" si="518"/>
        <v/>
      </c>
      <c r="EW305" s="60" t="e">
        <f>IF(EV305="",NA(),SUM($EV$4:EV305))</f>
        <v>#N/A</v>
      </c>
      <c r="EX305" s="60" t="str">
        <f t="shared" si="519"/>
        <v/>
      </c>
      <c r="EY305" s="60" t="e">
        <f>IF(EX305="",NA(),SUM($EX$4:EX305))</f>
        <v>#N/A</v>
      </c>
      <c r="EZ305" s="60" t="str">
        <f t="shared" si="520"/>
        <v/>
      </c>
      <c r="FA305" s="60" t="e">
        <f>IF(EZ305="",NA(),SUM($EZ$4:EZ305))</f>
        <v>#N/A</v>
      </c>
      <c r="FB305" s="246" t="str">
        <f t="shared" si="545"/>
        <v/>
      </c>
      <c r="FC305" s="246" t="e">
        <f>IF($FB305="",#N/A,SUM(FB$4:$FB305))</f>
        <v>#N/A</v>
      </c>
      <c r="FD305" s="60">
        <f t="shared" si="521"/>
        <v>-1.1829170782183325</v>
      </c>
      <c r="FE305" s="60">
        <f>IF($FD305="",#N/A,SUM($FD$4:FD305))</f>
        <v>5.5998799928704699</v>
      </c>
      <c r="FF305" s="60" t="str">
        <f t="shared" si="522"/>
        <v/>
      </c>
      <c r="FG305" s="60" t="e">
        <f>IF($FF305="",#N/A,SUM($FF$4:FF305))</f>
        <v>#N/A</v>
      </c>
      <c r="FH305" s="60" t="str">
        <f t="shared" si="523"/>
        <v/>
      </c>
      <c r="FI305" s="60" t="e">
        <f>IF($FH305="",#N/A,SUM($FH$4:FH305))</f>
        <v>#N/A</v>
      </c>
      <c r="FJ305" s="60" t="str">
        <f t="shared" si="524"/>
        <v/>
      </c>
      <c r="FK305" s="60" t="e">
        <f>IF($FJ305="",#N/A,SUM($FJ$4:FJ305))</f>
        <v>#N/A</v>
      </c>
      <c r="FL305" s="60" t="str">
        <f t="shared" si="525"/>
        <v/>
      </c>
      <c r="FM305" s="60" t="e">
        <f>IF($FL305="",#N/A,SUM($FL$4:FL305))</f>
        <v>#N/A</v>
      </c>
      <c r="FN305" s="82">
        <f t="shared" si="526"/>
        <v>-1.2593481021588795</v>
      </c>
      <c r="FO305" s="82">
        <f>IF($FN305="",#N/A,SUM(FN$4:$FN305))</f>
        <v>61.948464476835063</v>
      </c>
      <c r="FP305" s="82">
        <f t="shared" si="546"/>
        <v>-7.643102394054696E-2</v>
      </c>
      <c r="FQ305" s="246">
        <f>IF($EH305="",#N/A,SUM($FP$4:FP305))</f>
        <v>55.924484461540409</v>
      </c>
      <c r="FR305" s="82">
        <f>IFERROR(FQ305/COUNTA($J$4:J305),#N/A)</f>
        <v>0.185180412124306</v>
      </c>
      <c r="FS305" s="82">
        <f t="shared" si="448"/>
        <v>0.31349896129948746</v>
      </c>
      <c r="FT305" s="82">
        <f t="shared" si="449"/>
        <v>4.1691888731969017E-2</v>
      </c>
      <c r="FU305" s="338">
        <f t="shared" si="553"/>
        <v>30.620176526872982</v>
      </c>
      <c r="FV305" s="57" t="str">
        <f t="shared" si="552"/>
        <v>Dwn</v>
      </c>
      <c r="FW305" s="57" t="s">
        <v>2734</v>
      </c>
      <c r="FX305" s="57" t="str">
        <f t="shared" si="528"/>
        <v/>
      </c>
      <c r="FY305" s="57">
        <f t="shared" si="529"/>
        <v>1</v>
      </c>
      <c r="FZ305" s="57" t="str">
        <f t="shared" si="530"/>
        <v/>
      </c>
      <c r="GA305" s="57" t="str">
        <f t="shared" si="531"/>
        <v>Short</v>
      </c>
      <c r="GB305" s="57" t="str">
        <f t="shared" si="532"/>
        <v/>
      </c>
      <c r="GC305" s="57" t="str">
        <f t="shared" si="533"/>
        <v/>
      </c>
      <c r="GD305" s="57" t="str">
        <f t="shared" si="534"/>
        <v/>
      </c>
      <c r="GE305" s="62">
        <f t="shared" si="451"/>
        <v>141.74</v>
      </c>
      <c r="GF305" s="62" t="s">
        <v>2780</v>
      </c>
      <c r="GG305" s="199">
        <v>11</v>
      </c>
      <c r="GH305" s="207">
        <f t="shared" si="535"/>
        <v>1559.14</v>
      </c>
      <c r="GI305" s="199">
        <v>11</v>
      </c>
      <c r="GJ305" s="200">
        <v>144.29</v>
      </c>
      <c r="GK305" s="63">
        <f t="shared" si="536"/>
        <v>-28.049999999999727</v>
      </c>
      <c r="GL305" s="63">
        <f t="shared" si="452"/>
        <v>-117.80999999999972</v>
      </c>
      <c r="GM305" s="82" t="str">
        <f t="shared" si="537"/>
        <v/>
      </c>
      <c r="GN305" s="82">
        <f>IF($GZ305="",#N/A,SUM(GM$4:GM305))</f>
        <v>11.78445188873577</v>
      </c>
      <c r="GO305" s="82" t="str">
        <f t="shared" si="538"/>
        <v/>
      </c>
      <c r="GP305" s="82">
        <f>IF($GZ305="",#N/A,SUM(GO$4:GO305))</f>
        <v>13.59570591449171</v>
      </c>
      <c r="GQ305" s="82">
        <f t="shared" si="539"/>
        <v>-1.2593481021588795</v>
      </c>
      <c r="GR305" s="82">
        <f>IF($GZ305="",#N/A,SUM(GQ$4:GQ305))</f>
        <v>35.942469719165246</v>
      </c>
      <c r="GS305" s="63" t="str">
        <f t="shared" si="548"/>
        <v/>
      </c>
      <c r="GT305" s="63" t="e">
        <f>IF($GZ305="",#N/A,SUM(GS$4:GS305))</f>
        <v>#N/A</v>
      </c>
      <c r="GU305" s="63" t="str">
        <f t="shared" si="549"/>
        <v/>
      </c>
      <c r="GV305" s="63" t="e">
        <f>IF($GZ305="",#N/A,SUM(GU$4:GU305))</f>
        <v>#N/A</v>
      </c>
      <c r="GW305" s="63" t="e">
        <f t="shared" si="550"/>
        <v>#N/A</v>
      </c>
      <c r="GX305" s="63" t="e">
        <f>IF($GZ305="",#N/A,SUM(GW$4:GW305))</f>
        <v>#N/A</v>
      </c>
      <c r="GY305" s="63" t="e">
        <f>IF(EJ305="",#N/A,SUM($EJ$4:EJ305))</f>
        <v>#N/A</v>
      </c>
      <c r="GZ305" s="159">
        <v>152.44999999999999</v>
      </c>
      <c r="HA305" s="63">
        <f t="shared" si="540"/>
        <v>-110.65999999999985</v>
      </c>
      <c r="HB305" s="62" t="s">
        <v>2538</v>
      </c>
      <c r="HC305" s="60">
        <f>IFERROR(VLOOKUP(E305,Expectancy!$P$4:$S$19,1+C305,FALSE),"")</f>
        <v>0.3117803024854584</v>
      </c>
      <c r="HD305" s="82">
        <f t="shared" si="541"/>
        <v>-0.29984478622830241</v>
      </c>
      <c r="HE305" s="138">
        <f>IF(HD305="",#N/A,SUM($HD$4:HD305))</f>
        <v>10.77430793466743</v>
      </c>
      <c r="HF305" s="85">
        <f>IF(HD305="",#N/A,IF(HB305="Skip",#N/A,SUM($HG$4:HG305)))</f>
        <v>443.00657921915558</v>
      </c>
      <c r="HG305" s="63">
        <f t="shared" si="542"/>
        <v>-28.049999999999727</v>
      </c>
      <c r="HH305" s="82">
        <f t="shared" si="543"/>
        <v>-1.2593481021588795</v>
      </c>
    </row>
    <row r="306" spans="1:216" x14ac:dyDescent="0.25">
      <c r="A306" s="57" t="s">
        <v>1032</v>
      </c>
      <c r="B306" s="58" t="s">
        <v>5239</v>
      </c>
      <c r="C306" s="386">
        <f t="shared" si="453"/>
        <v>1</v>
      </c>
      <c r="D306" s="372" t="str">
        <f>_xlfn.XLOOKUP(A306,[1]SP500!$A$2:$A$502,[1]SP500!$D$2:$D$502,"N")</f>
        <v>Y</v>
      </c>
      <c r="E306" s="57" t="str">
        <f>_xlfn.XLOOKUP(A306,[1]SP500!$A$2:$A$655,[1]SP500!$B$2:$B$655)</f>
        <v>XLK</v>
      </c>
      <c r="F306" s="59">
        <v>45700</v>
      </c>
      <c r="G306" s="57" t="str">
        <f t="shared" si="454"/>
        <v>AMC</v>
      </c>
      <c r="H306" s="57" t="str">
        <f t="shared" si="455"/>
        <v>s</v>
      </c>
      <c r="I306" s="159">
        <v>62.53</v>
      </c>
      <c r="J306" s="158">
        <v>66.099999999999994</v>
      </c>
      <c r="K306" s="61">
        <f t="shared" si="456"/>
        <v>5.7092595554133908E-2</v>
      </c>
      <c r="L306" s="87">
        <f t="shared" si="457"/>
        <v>96.389999999999873</v>
      </c>
      <c r="M306" s="130">
        <f t="shared" si="450"/>
        <v>0</v>
      </c>
      <c r="N306" s="169">
        <f t="shared" si="458"/>
        <v>96.389999999999873</v>
      </c>
      <c r="O306" s="169">
        <f>IF($J306="",#N/A,SUM($N$4:N306))</f>
        <v>491.04671935422471</v>
      </c>
      <c r="P306" s="174" t="str">
        <f t="shared" si="459"/>
        <v/>
      </c>
      <c r="Q306" s="174">
        <f>IF($J306="",#N/A,SUM($P$4:P306))</f>
        <v>614.38890674734228</v>
      </c>
      <c r="R306" s="178" t="str">
        <f t="shared" si="460"/>
        <v/>
      </c>
      <c r="S306" s="178">
        <f>IF($J306="",#N/A,SUM($R$4:R306))</f>
        <v>543.75445814372756</v>
      </c>
      <c r="T306" s="290">
        <f t="shared" si="461"/>
        <v>0.95154325923556571</v>
      </c>
      <c r="U306" s="290">
        <f>IF($J306="",#N/A,SUM($T$4:T306))</f>
        <v>17.918929312422989</v>
      </c>
      <c r="V306" s="291" t="str">
        <f t="shared" si="462"/>
        <v/>
      </c>
      <c r="W306" s="291">
        <f>IF($J306="",#N/A,SUM($V$4:V306))</f>
        <v>25.802370867124576</v>
      </c>
      <c r="X306" s="292" t="str">
        <f t="shared" si="463"/>
        <v/>
      </c>
      <c r="Y306" s="292">
        <f>IF($J306="",#N/A,SUM($X$4:X306))</f>
        <v>13.154727541228418</v>
      </c>
      <c r="Z306" s="304">
        <f t="shared" si="464"/>
        <v>0.95154325923556571</v>
      </c>
      <c r="AA306" s="313" t="e">
        <f>IF($J306="",#N/A,SUM(Z$4:Z306))</f>
        <v>#N/A</v>
      </c>
      <c r="AB306" s="314" t="str">
        <f t="shared" si="465"/>
        <v/>
      </c>
      <c r="AC306" s="314" t="e">
        <f>IF($J306="",#N/A,SUM(AB$4:AB306))</f>
        <v>#N/A</v>
      </c>
      <c r="AD306" s="315" t="str">
        <f t="shared" si="466"/>
        <v/>
      </c>
      <c r="AE306" s="315" t="e">
        <f>IF($J306="",#N/A,SUM(AD$4:AD306))</f>
        <v>#N/A</v>
      </c>
      <c r="AF306" s="315" t="e">
        <f>IF($J306="",#N/A,SUM(AD$4:AD306,AB$4:AB306,Z$4:Z306))</f>
        <v>#N/A</v>
      </c>
      <c r="AG306" s="304" t="str">
        <f t="shared" si="467"/>
        <v/>
      </c>
      <c r="AH306" s="313" t="e">
        <f>IF($J306="",#N/A,SUM(AG$4:AG306))</f>
        <v>#N/A</v>
      </c>
      <c r="AI306" s="314" t="str">
        <f t="shared" si="468"/>
        <v/>
      </c>
      <c r="AJ306" s="314" t="e">
        <f>IF($J306="",#N/A,SUM(AI$4:AI306))</f>
        <v>#N/A</v>
      </c>
      <c r="AK306" s="315" t="str">
        <f t="shared" si="469"/>
        <v/>
      </c>
      <c r="AL306" s="315" t="e">
        <f>IF($J306="",#N/A,SUM(AK$4:AK306))</f>
        <v>#N/A</v>
      </c>
      <c r="AM306" s="315" t="e">
        <f>IF($J306="",#N/A,SUM(AK$4:AK306,AI$4:AI306,AG$4:AG306))</f>
        <v>#N/A</v>
      </c>
      <c r="AN306" s="304" t="str">
        <f t="shared" si="470"/>
        <v/>
      </c>
      <c r="AO306" s="313" t="e">
        <f>IF($J306="",#N/A,SUM(AN$4:AN306))</f>
        <v>#N/A</v>
      </c>
      <c r="AP306" s="314" t="str">
        <f t="shared" si="471"/>
        <v/>
      </c>
      <c r="AQ306" s="314" t="e">
        <f>IF($J306="",#N/A,SUM(AP$4:AP306))</f>
        <v>#N/A</v>
      </c>
      <c r="AR306" s="315" t="str">
        <f t="shared" si="472"/>
        <v/>
      </c>
      <c r="AS306" s="315" t="e">
        <f>IF($J306="",#N/A,SUM(AR$4:AR306))</f>
        <v>#N/A</v>
      </c>
      <c r="AT306" s="315" t="e">
        <f>IF($J306="",#N/A,SUM(AR$4:AR306,AP$4:AP306,AN$4:AN306))</f>
        <v>#N/A</v>
      </c>
      <c r="AU306" s="304" t="str">
        <f t="shared" si="473"/>
        <v/>
      </c>
      <c r="AV306" s="313" t="e">
        <f>IF($J306="",#N/A,SUM(AU$4:AU306))</f>
        <v>#N/A</v>
      </c>
      <c r="AW306" s="314" t="str">
        <f t="shared" si="474"/>
        <v/>
      </c>
      <c r="AX306" s="314" t="e">
        <f>IF($J306="",#N/A,SUM(AW$4:AW306))</f>
        <v>#N/A</v>
      </c>
      <c r="AY306" s="315" t="str">
        <f t="shared" si="475"/>
        <v/>
      </c>
      <c r="AZ306" s="315" t="e">
        <f>IF($J306="",#N/A,SUM(AY$4:AY306))</f>
        <v>#N/A</v>
      </c>
      <c r="BA306" s="315" t="e">
        <f>IF($J306="",#N/A,SUM(AY$4:AY306,AW$4:AW306,AU$4:AU306))</f>
        <v>#N/A</v>
      </c>
      <c r="BB306" s="304" t="str">
        <f t="shared" si="476"/>
        <v/>
      </c>
      <c r="BC306" s="313" t="e">
        <f>IF($J306="",#N/A,SUM(BB$4:BB306))</f>
        <v>#N/A</v>
      </c>
      <c r="BD306" s="314" t="str">
        <f t="shared" si="477"/>
        <v/>
      </c>
      <c r="BE306" s="314" t="e">
        <f>IF($J306="",#N/A,SUM(BD$4:BD306))</f>
        <v>#N/A</v>
      </c>
      <c r="BF306" s="315" t="str">
        <f t="shared" si="478"/>
        <v/>
      </c>
      <c r="BG306" s="315" t="e">
        <f>IF($J306="",#N/A,SUM(BF$4:BF306))</f>
        <v>#N/A</v>
      </c>
      <c r="BH306" s="315" t="e">
        <f>IF($J306="",#N/A,SUM(BF$4:BF306,BD$4:BD306,BB$4:BB306))</f>
        <v>#N/A</v>
      </c>
      <c r="BI306" s="304" t="str">
        <f t="shared" si="479"/>
        <v/>
      </c>
      <c r="BJ306" s="313" t="e">
        <f>IF($J306="",#N/A,SUM(BI$4:BI306))</f>
        <v>#N/A</v>
      </c>
      <c r="BK306" s="314" t="str">
        <f t="shared" si="480"/>
        <v/>
      </c>
      <c r="BL306" s="314" t="e">
        <f>IF($J306="",#N/A,SUM(BK$4:BK306))</f>
        <v>#N/A</v>
      </c>
      <c r="BM306" s="315" t="str">
        <f t="shared" si="481"/>
        <v/>
      </c>
      <c r="BN306" s="315" t="e">
        <f>IF($J306="",#N/A,SUM(BM$4:BM306))</f>
        <v>#N/A</v>
      </c>
      <c r="BO306" s="315" t="e">
        <f>IF($J306="",#N/A,SUM(BM$4:BM306,BK$4:BK306,BI$4:BI306))</f>
        <v>#N/A</v>
      </c>
      <c r="BP306" s="304" t="str">
        <f t="shared" si="482"/>
        <v/>
      </c>
      <c r="BQ306" s="313" t="e">
        <f>IF($J306="",#N/A,SUM(BP$4:BP306))</f>
        <v>#N/A</v>
      </c>
      <c r="BR306" s="314" t="str">
        <f t="shared" si="483"/>
        <v/>
      </c>
      <c r="BS306" s="314" t="e">
        <f>IF($J306="",#N/A,SUM(BR$4:BR306))</f>
        <v>#N/A</v>
      </c>
      <c r="BT306" s="315" t="str">
        <f t="shared" si="484"/>
        <v/>
      </c>
      <c r="BU306" s="315" t="e">
        <f>IF($J306="",#N/A,SUM(BT$4:BT306))</f>
        <v>#N/A</v>
      </c>
      <c r="BV306" s="315" t="e">
        <f>IF($J306="",#N/A,SUM(BT$4:BT306,BR$4:BR306,BP$4:BP306))</f>
        <v>#N/A</v>
      </c>
      <c r="BW306" s="304" t="str">
        <f t="shared" si="485"/>
        <v/>
      </c>
      <c r="BX306" s="313" t="e">
        <f>IF($J306="",#N/A,SUM(BW$4:BW306))</f>
        <v>#N/A</v>
      </c>
      <c r="BY306" s="314" t="str">
        <f t="shared" si="486"/>
        <v/>
      </c>
      <c r="BZ306" s="314" t="e">
        <f>IF($J306="",#N/A,SUM(BY$4:BY306))</f>
        <v>#N/A</v>
      </c>
      <c r="CA306" s="315" t="str">
        <f t="shared" si="487"/>
        <v/>
      </c>
      <c r="CB306" s="315" t="e">
        <f>IF($J306="",#N/A,SUM(CA$4:CA306))</f>
        <v>#N/A</v>
      </c>
      <c r="CC306" s="315" t="e">
        <f>IF($J306="",#N/A,SUM(CA$4:CA306,BY$4:BY306,BW$4:BW306))</f>
        <v>#N/A</v>
      </c>
      <c r="CD306" s="304" t="str">
        <f t="shared" si="488"/>
        <v/>
      </c>
      <c r="CE306" s="313" t="e">
        <f>IF($J306="",#N/A,SUM(CD$4:CD306))</f>
        <v>#N/A</v>
      </c>
      <c r="CF306" s="314" t="str">
        <f t="shared" si="489"/>
        <v/>
      </c>
      <c r="CG306" s="314" t="e">
        <f>IF($J306="",#N/A,SUM(CF$4:CF306))</f>
        <v>#N/A</v>
      </c>
      <c r="CH306" s="315" t="str">
        <f t="shared" si="490"/>
        <v/>
      </c>
      <c r="CI306" s="315" t="e">
        <f>IF($J306="",#N/A,SUM(CH$4:CH306))</f>
        <v>#N/A</v>
      </c>
      <c r="CJ306" s="315" t="e">
        <f>IF($J306="",#N/A,SUM(CH$4:CH306,CF$4:CF306,CD$4:CD306))</f>
        <v>#N/A</v>
      </c>
      <c r="CK306" s="304" t="str">
        <f t="shared" si="491"/>
        <v/>
      </c>
      <c r="CL306" s="313" t="e">
        <f>IF($J306="",#N/A,SUM(CK$4:CK306))</f>
        <v>#N/A</v>
      </c>
      <c r="CM306" s="314" t="str">
        <f t="shared" si="492"/>
        <v/>
      </c>
      <c r="CN306" s="314" t="e">
        <f>IF($J306="",#N/A,SUM(CM$4:CM306))</f>
        <v>#N/A</v>
      </c>
      <c r="CO306" s="315" t="str">
        <f t="shared" si="493"/>
        <v/>
      </c>
      <c r="CP306" s="315" t="e">
        <f>IF($J306="",#N/A,SUM(CO$4:CO306))</f>
        <v>#N/A</v>
      </c>
      <c r="CQ306" s="315" t="e">
        <f>IF($J306="",#N/A,SUM(CO$4:CO306,CM$4:CM306,CK$4:CK306))</f>
        <v>#N/A</v>
      </c>
      <c r="CR306" s="304" t="str">
        <f t="shared" si="494"/>
        <v/>
      </c>
      <c r="CS306" s="313" t="e">
        <f>IF($J306="",#N/A,SUM(CR$4:CR306))</f>
        <v>#N/A</v>
      </c>
      <c r="CT306" s="314" t="str">
        <f t="shared" si="495"/>
        <v/>
      </c>
      <c r="CU306" s="314" t="e">
        <f>IF($J306="",#N/A,SUM(CT$4:CT306))</f>
        <v>#N/A</v>
      </c>
      <c r="CV306" s="315" t="str">
        <f t="shared" si="496"/>
        <v/>
      </c>
      <c r="CW306" s="315" t="e">
        <f>IF($J306="",#N/A,SUM(CV$4:CV306))</f>
        <v>#N/A</v>
      </c>
      <c r="CX306" s="315" t="e">
        <f>IF($J306="",#N/A,SUM(CV$4:CV306,CT$4:CT306,CR$4:CR306))</f>
        <v>#N/A</v>
      </c>
      <c r="CY306" s="304" t="str">
        <f t="shared" si="497"/>
        <v/>
      </c>
      <c r="CZ306" s="313" t="e">
        <f>IF($J306="",#N/A,SUM(CY$4:CY306))</f>
        <v>#N/A</v>
      </c>
      <c r="DA306" s="314" t="str">
        <f t="shared" si="498"/>
        <v/>
      </c>
      <c r="DB306" s="314" t="e">
        <f>IF($J306="",#N/A,SUM(DA$4:DA306))</f>
        <v>#N/A</v>
      </c>
      <c r="DC306" s="315" t="str">
        <f t="shared" si="499"/>
        <v/>
      </c>
      <c r="DD306" s="315" t="e">
        <f>IF($J306="",#N/A,SUM(DC$4:DC306))</f>
        <v>#N/A</v>
      </c>
      <c r="DE306" s="315" t="e">
        <f>IF($J306="",#N/A,SUM(DC$4:DC306,DA$4:DA306,CY$4:CY306))</f>
        <v>#N/A</v>
      </c>
      <c r="DF306" s="304" t="str">
        <f t="shared" si="500"/>
        <v/>
      </c>
      <c r="DG306" s="313" t="e">
        <f>IF($J306="",#N/A,SUM(DF$4:DF306))</f>
        <v>#N/A</v>
      </c>
      <c r="DH306" s="314" t="str">
        <f t="shared" si="501"/>
        <v/>
      </c>
      <c r="DI306" s="314" t="e">
        <f>IF($J306="",#N/A,SUM(DH$4:DH306))</f>
        <v>#N/A</v>
      </c>
      <c r="DJ306" s="315" t="str">
        <f t="shared" si="502"/>
        <v/>
      </c>
      <c r="DK306" s="315" t="e">
        <f>IF($J306="",#N/A,SUM(DJ$4:DJ306))</f>
        <v>#N/A</v>
      </c>
      <c r="DL306" s="315" t="e">
        <f>IF($J306="",#N/A,SUM(DJ$4:DJ306,DH$4:DH306,DF$4:DF306))</f>
        <v>#N/A</v>
      </c>
      <c r="DM306" s="304" t="str">
        <f t="shared" si="503"/>
        <v/>
      </c>
      <c r="DN306" s="313" t="e">
        <f>IF($J306="",#N/A,SUM(DM$4:DM306))</f>
        <v>#N/A</v>
      </c>
      <c r="DO306" s="314" t="str">
        <f t="shared" si="504"/>
        <v/>
      </c>
      <c r="DP306" s="314" t="e">
        <f>IF($J306="",#N/A,SUM(DO$4:DO306))</f>
        <v>#N/A</v>
      </c>
      <c r="DQ306" s="315" t="str">
        <f t="shared" si="505"/>
        <v/>
      </c>
      <c r="DR306" s="315" t="e">
        <f>IF($J306="",#N/A,SUM(DQ$4:DQ306))</f>
        <v>#N/A</v>
      </c>
      <c r="DS306" s="315" t="e">
        <f>IF($J306="",#N/A,SUM(DQ$4:DQ306,DO$4:DO306,DM$4:DM306))</f>
        <v>#N/A</v>
      </c>
      <c r="DT306" s="304" t="str">
        <f t="shared" si="506"/>
        <v/>
      </c>
      <c r="DU306" s="313" t="e">
        <f>IF($J306="",#N/A,SUM(DT$4:DT306))</f>
        <v>#N/A</v>
      </c>
      <c r="DV306" s="314" t="str">
        <f t="shared" si="507"/>
        <v/>
      </c>
      <c r="DW306" s="314" t="e">
        <f>IF($J306="",#N/A,SUM(DV$4:DV306))</f>
        <v>#N/A</v>
      </c>
      <c r="DX306" s="315" t="str">
        <f t="shared" si="508"/>
        <v/>
      </c>
      <c r="DY306" s="315" t="e">
        <f>IF($J306="",#N/A,SUM(DX$4:DX306))</f>
        <v>#N/A</v>
      </c>
      <c r="DZ306" s="315" t="e">
        <f>IF($J306="",#N/A,SUM(DX$4:DX306,DV$4:DV306,DT$4:DT306))</f>
        <v>#N/A</v>
      </c>
      <c r="EA306" s="304" t="str">
        <f t="shared" si="509"/>
        <v/>
      </c>
      <c r="EB306" s="313" t="e">
        <f>IF($J306="",#N/A,SUM(EA$4:EA306))</f>
        <v>#N/A</v>
      </c>
      <c r="EC306" s="314" t="str">
        <f t="shared" si="510"/>
        <v/>
      </c>
      <c r="ED306" s="314" t="e">
        <f>IF($J306="",#N/A,SUM(EC$4:EC306))</f>
        <v>#N/A</v>
      </c>
      <c r="EE306" s="315" t="str">
        <f t="shared" si="511"/>
        <v/>
      </c>
      <c r="EF306" s="315" t="e">
        <f>IF($J306="",#N/A,SUM(EE$4:EE306))</f>
        <v>#N/A</v>
      </c>
      <c r="EG306" s="315" t="e">
        <f>IF($J306="",#N/A,SUM(EE$4:EE306,EC$4:EC306,EA$4:EA306))</f>
        <v>#N/A</v>
      </c>
      <c r="EH306" s="130">
        <f t="shared" si="512"/>
        <v>96.389999999999873</v>
      </c>
      <c r="EI306" s="63">
        <f>IF(EH306="",#N/A,SUM($EH$4:EH306))</f>
        <v>1649.1900842452947</v>
      </c>
      <c r="EJ306" s="223" t="e">
        <f t="shared" si="513"/>
        <v>#N/A</v>
      </c>
      <c r="EK306" s="63" t="e">
        <f>IF($GZ306="",#N/A,SUM(EJ$4:EJ306))</f>
        <v>#N/A</v>
      </c>
      <c r="EL306" s="60">
        <f t="shared" si="544"/>
        <v>0.95154325923556571</v>
      </c>
      <c r="EM306" s="60">
        <f>IF(EL306="",NA(),SUM($EL$4:EL306))</f>
        <v>43.823708583391742</v>
      </c>
      <c r="EN306" s="60">
        <f t="shared" si="514"/>
        <v>0.95154325923556571</v>
      </c>
      <c r="EO306" s="60">
        <f>IF(EN306="",NA(),SUM($EN$4:EN306))</f>
        <v>15.122356866271701</v>
      </c>
      <c r="EP306" s="60" t="str">
        <f t="shared" si="515"/>
        <v/>
      </c>
      <c r="EQ306" s="60" t="e">
        <f>IF(EP306="",NA(),SUM($EP$4:EP306))</f>
        <v>#N/A</v>
      </c>
      <c r="ER306" s="60" t="str">
        <f t="shared" si="516"/>
        <v/>
      </c>
      <c r="ES306" s="60" t="e">
        <f>IF(ER306="",NA(),SUM($ER$4:ER306))</f>
        <v>#N/A</v>
      </c>
      <c r="ET306" s="60" t="str">
        <f t="shared" si="517"/>
        <v/>
      </c>
      <c r="EU306" s="60" t="e">
        <f>IF(ET306="",NA(),SUM($ET$4:ET306))</f>
        <v>#N/A</v>
      </c>
      <c r="EV306" s="60" t="str">
        <f t="shared" si="518"/>
        <v/>
      </c>
      <c r="EW306" s="60" t="e">
        <f>IF(EV306="",NA(),SUM($EV$4:EV306))</f>
        <v>#N/A</v>
      </c>
      <c r="EX306" s="60" t="str">
        <f t="shared" si="519"/>
        <v/>
      </c>
      <c r="EY306" s="60" t="e">
        <f>IF(EX306="",NA(),SUM($EX$4:EX306))</f>
        <v>#N/A</v>
      </c>
      <c r="EZ306" s="60" t="str">
        <f t="shared" si="520"/>
        <v/>
      </c>
      <c r="FA306" s="60" t="e">
        <f>IF(EZ306="",NA(),SUM($EZ$4:EZ306))</f>
        <v>#N/A</v>
      </c>
      <c r="FB306" s="246" t="str">
        <f t="shared" si="545"/>
        <v/>
      </c>
      <c r="FC306" s="246" t="e">
        <f>IF($FB306="",#N/A,SUM(FB$4:$FB306))</f>
        <v>#N/A</v>
      </c>
      <c r="FD306" s="60" t="str">
        <f t="shared" si="521"/>
        <v/>
      </c>
      <c r="FE306" s="60" t="e">
        <f>IF($FD306="",#N/A,SUM($FD$4:FD306))</f>
        <v>#N/A</v>
      </c>
      <c r="FF306" s="60">
        <f t="shared" si="522"/>
        <v>-0.60237752545444612</v>
      </c>
      <c r="FG306" s="60">
        <f>IF($FF306="",#N/A,SUM($FF$4:FF306))</f>
        <v>-5.6831138816202511</v>
      </c>
      <c r="FH306" s="60" t="str">
        <f t="shared" si="523"/>
        <v/>
      </c>
      <c r="FI306" s="60" t="e">
        <f>IF($FH306="",#N/A,SUM($FH$4:FH306))</f>
        <v>#N/A</v>
      </c>
      <c r="FJ306" s="60" t="str">
        <f t="shared" si="524"/>
        <v/>
      </c>
      <c r="FK306" s="60" t="e">
        <f>IF($FJ306="",#N/A,SUM($FJ$4:FJ306))</f>
        <v>#N/A</v>
      </c>
      <c r="FL306" s="60" t="str">
        <f t="shared" si="525"/>
        <v/>
      </c>
      <c r="FM306" s="60" t="e">
        <f>IF($FL306="",#N/A,SUM($FL$4:FL306))</f>
        <v>#N/A</v>
      </c>
      <c r="FN306" s="82">
        <f t="shared" si="526"/>
        <v>0.34916573378111959</v>
      </c>
      <c r="FO306" s="82">
        <f>IF($FN306="",#N/A,SUM(FN$4:$FN306))</f>
        <v>62.297630210616184</v>
      </c>
      <c r="FP306" s="82">
        <f t="shared" si="546"/>
        <v>0.95154325923556571</v>
      </c>
      <c r="FQ306" s="246">
        <f>IF($EH306="",#N/A,SUM($FP$4:FP306))</f>
        <v>56.876027720775973</v>
      </c>
      <c r="FR306" s="82">
        <f>IFERROR(FQ306/COUNTA($J$4:J306),#N/A)</f>
        <v>0.18770966244480519</v>
      </c>
      <c r="FS306" s="82">
        <f t="shared" si="448"/>
        <v>0.26725318434737672</v>
      </c>
      <c r="FT306" s="82">
        <f t="shared" si="449"/>
        <v>0.10850491926014798</v>
      </c>
      <c r="FU306" s="338">
        <f t="shared" si="553"/>
        <v>30.620176526872974</v>
      </c>
      <c r="FV306" s="57" t="str">
        <f t="shared" si="552"/>
        <v>Up</v>
      </c>
      <c r="FW306" s="57" t="s">
        <v>2733</v>
      </c>
      <c r="FX306" s="57">
        <f t="shared" si="528"/>
        <v>1</v>
      </c>
      <c r="FY306" s="57" t="str">
        <f t="shared" si="529"/>
        <v/>
      </c>
      <c r="FZ306" s="57" t="str">
        <f t="shared" si="530"/>
        <v/>
      </c>
      <c r="GA306" s="57" t="str">
        <f t="shared" si="531"/>
        <v>Long</v>
      </c>
      <c r="GB306" s="57" t="str">
        <f t="shared" si="532"/>
        <v/>
      </c>
      <c r="GC306" s="57" t="str">
        <f t="shared" si="533"/>
        <v/>
      </c>
      <c r="GD306" s="57" t="str">
        <f t="shared" si="534"/>
        <v/>
      </c>
      <c r="GE306" s="62">
        <f t="shared" si="451"/>
        <v>62.53</v>
      </c>
      <c r="GF306" s="62" t="s">
        <v>2779</v>
      </c>
      <c r="GG306" s="199">
        <v>27</v>
      </c>
      <c r="GH306" s="207">
        <f t="shared" si="535"/>
        <v>1688.31</v>
      </c>
      <c r="GI306" s="199">
        <v>27</v>
      </c>
      <c r="GJ306" s="200">
        <v>66.099999999999994</v>
      </c>
      <c r="GK306" s="63">
        <f t="shared" si="536"/>
        <v>96.389999999999873</v>
      </c>
      <c r="GL306" s="63">
        <f t="shared" si="452"/>
        <v>35.370000000000118</v>
      </c>
      <c r="GM306" s="82" t="str">
        <f t="shared" si="537"/>
        <v/>
      </c>
      <c r="GN306" s="82">
        <f>IF($GZ306="",#N/A,SUM(GM$4:GM306))</f>
        <v>11.78445188873577</v>
      </c>
      <c r="GO306" s="82">
        <f t="shared" si="538"/>
        <v>0.34916573378111959</v>
      </c>
      <c r="GP306" s="82">
        <f>IF($GZ306="",#N/A,SUM(GO$4:GO306))</f>
        <v>13.94487164827283</v>
      </c>
      <c r="GQ306" s="82" t="str">
        <f t="shared" si="539"/>
        <v/>
      </c>
      <c r="GR306" s="82">
        <f>IF($GZ306="",#N/A,SUM(GQ$4:GQ306))</f>
        <v>35.942469719165246</v>
      </c>
      <c r="GS306" s="63" t="str">
        <f t="shared" si="548"/>
        <v/>
      </c>
      <c r="GT306" s="63" t="e">
        <f>IF($GZ306="",#N/A,SUM(GS$4:GS306))</f>
        <v>#N/A</v>
      </c>
      <c r="GU306" s="63" t="e">
        <f t="shared" si="549"/>
        <v>#N/A</v>
      </c>
      <c r="GV306" s="63" t="e">
        <f>IF($GZ306="",#N/A,SUM(GU$4:GU306))</f>
        <v>#N/A</v>
      </c>
      <c r="GW306" s="63" t="str">
        <f t="shared" si="550"/>
        <v/>
      </c>
      <c r="GX306" s="63" t="e">
        <f>IF($GZ306="",#N/A,SUM(GW$4:GW306))</f>
        <v>#N/A</v>
      </c>
      <c r="GY306" s="63" t="e">
        <f>IF(EJ306="",#N/A,SUM($EJ$4:EJ306))</f>
        <v>#N/A</v>
      </c>
      <c r="GZ306" s="159">
        <v>63.84</v>
      </c>
      <c r="HA306" s="63">
        <f t="shared" si="540"/>
        <v>-61.019999999999754</v>
      </c>
      <c r="HB306" s="62" t="s">
        <v>2538</v>
      </c>
      <c r="HC306" s="60">
        <f>IFERROR(VLOOKUP(E306,Expectancy!$P$4:$S$19,1+C306,FALSE),"")</f>
        <v>0.35290544702120547</v>
      </c>
      <c r="HD306" s="82">
        <f t="shared" si="541"/>
        <v>0.95154325923556571</v>
      </c>
      <c r="HE306" s="138">
        <f>IF(HD306="",#N/A,SUM($HD$4:HD306))</f>
        <v>11.725851193902995</v>
      </c>
      <c r="HF306" s="85">
        <f>IF(HD306="",#N/A,IF(HB306="Skip",#N/A,SUM($HG$4:HG306)))</f>
        <v>539.39657921915546</v>
      </c>
      <c r="HG306" s="63">
        <f t="shared" si="542"/>
        <v>96.389999999999873</v>
      </c>
      <c r="HH306" s="82">
        <f t="shared" si="543"/>
        <v>0.34916573378111959</v>
      </c>
    </row>
    <row r="307" spans="1:216" x14ac:dyDescent="0.25">
      <c r="A307" s="57" t="s">
        <v>431</v>
      </c>
      <c r="B307" s="58" t="s">
        <v>5239</v>
      </c>
      <c r="C307" s="386">
        <f t="shared" si="453"/>
        <v>3</v>
      </c>
      <c r="D307" s="372" t="str">
        <f>_xlfn.XLOOKUP(A307,[1]SP500!$A$2:$A$502,[1]SP500!$D$2:$D$502,"N")</f>
        <v>Y</v>
      </c>
      <c r="E307" s="57" t="str">
        <f>_xlfn.XLOOKUP(A307,[1]SP500!$A$2:$A$655,[1]SP500!$B$2:$B$655)</f>
        <v>XLE</v>
      </c>
      <c r="F307" s="59">
        <v>45700</v>
      </c>
      <c r="G307" s="57" t="str">
        <f t="shared" si="454"/>
        <v>AMC</v>
      </c>
      <c r="H307" s="57" t="str">
        <f t="shared" si="455"/>
        <v>s</v>
      </c>
      <c r="I307" s="159">
        <v>54.82</v>
      </c>
      <c r="J307" s="159">
        <v>53.17</v>
      </c>
      <c r="K307" s="61">
        <f t="shared" si="456"/>
        <v>-3.0098504195549044E-2</v>
      </c>
      <c r="L307" s="87">
        <f t="shared" si="457"/>
        <v>-49.499999999999773</v>
      </c>
      <c r="M307" s="130">
        <f t="shared" si="450"/>
        <v>0</v>
      </c>
      <c r="N307" s="169" t="str">
        <f t="shared" si="458"/>
        <v/>
      </c>
      <c r="O307" s="169">
        <f>IF($J307="",#N/A,SUM($N$4:N307))</f>
        <v>491.04671935422471</v>
      </c>
      <c r="P307" s="174" t="str">
        <f t="shared" si="459"/>
        <v/>
      </c>
      <c r="Q307" s="174">
        <f>IF($J307="",#N/A,SUM($P$4:P307))</f>
        <v>614.38890674734228</v>
      </c>
      <c r="R307" s="178">
        <f t="shared" si="460"/>
        <v>-49.499999999999773</v>
      </c>
      <c r="S307" s="178">
        <f>IF($J307="",#N/A,SUM($R$4:R307))</f>
        <v>494.25445814372779</v>
      </c>
      <c r="T307" s="290" t="str">
        <f t="shared" si="461"/>
        <v/>
      </c>
      <c r="U307" s="290">
        <f>IF($J307="",#N/A,SUM($T$4:T307))</f>
        <v>17.918929312422989</v>
      </c>
      <c r="V307" s="291" t="str">
        <f t="shared" si="462"/>
        <v/>
      </c>
      <c r="W307" s="291">
        <f>IF($J307="",#N/A,SUM($V$4:V307))</f>
        <v>25.802370867124576</v>
      </c>
      <c r="X307" s="292">
        <f t="shared" si="463"/>
        <v>-0.50164173659248223</v>
      </c>
      <c r="Y307" s="292">
        <f>IF($J307="",#N/A,SUM($X$4:X307))</f>
        <v>12.653085804635936</v>
      </c>
      <c r="Z307" s="304" t="str">
        <f t="shared" si="464"/>
        <v/>
      </c>
      <c r="AA307" s="313" t="e">
        <f>IF($J307="",#N/A,SUM(Z$4:Z307))</f>
        <v>#N/A</v>
      </c>
      <c r="AB307" s="314" t="str">
        <f t="shared" si="465"/>
        <v/>
      </c>
      <c r="AC307" s="314" t="e">
        <f>IF($J307="",#N/A,SUM(AB$4:AB307))</f>
        <v>#N/A</v>
      </c>
      <c r="AD307" s="315" t="str">
        <f t="shared" si="466"/>
        <v/>
      </c>
      <c r="AE307" s="315" t="e">
        <f>IF($J307="",#N/A,SUM(AD$4:AD307))</f>
        <v>#N/A</v>
      </c>
      <c r="AF307" s="315" t="e">
        <f>IF($J307="",#N/A,SUM(AD$4:AD307,AB$4:AB307,Z$4:Z307))</f>
        <v>#N/A</v>
      </c>
      <c r="AG307" s="304" t="str">
        <f t="shared" si="467"/>
        <v/>
      </c>
      <c r="AH307" s="313" t="e">
        <f>IF($J307="",#N/A,SUM(AG$4:AG307))</f>
        <v>#N/A</v>
      </c>
      <c r="AI307" s="314" t="str">
        <f t="shared" si="468"/>
        <v/>
      </c>
      <c r="AJ307" s="314" t="e">
        <f>IF($J307="",#N/A,SUM(AI$4:AI307))</f>
        <v>#N/A</v>
      </c>
      <c r="AK307" s="315" t="str">
        <f t="shared" si="469"/>
        <v/>
      </c>
      <c r="AL307" s="315" t="e">
        <f>IF($J307="",#N/A,SUM(AK$4:AK307))</f>
        <v>#N/A</v>
      </c>
      <c r="AM307" s="315" t="e">
        <f>IF($J307="",#N/A,SUM(AK$4:AK307,AI$4:AI307,AG$4:AG307))</f>
        <v>#N/A</v>
      </c>
      <c r="AN307" s="304" t="str">
        <f t="shared" si="470"/>
        <v/>
      </c>
      <c r="AO307" s="313" t="e">
        <f>IF($J307="",#N/A,SUM(AN$4:AN307))</f>
        <v>#N/A</v>
      </c>
      <c r="AP307" s="314" t="str">
        <f t="shared" si="471"/>
        <v/>
      </c>
      <c r="AQ307" s="314" t="e">
        <f>IF($J307="",#N/A,SUM(AP$4:AP307))</f>
        <v>#N/A</v>
      </c>
      <c r="AR307" s="315" t="str">
        <f t="shared" si="472"/>
        <v/>
      </c>
      <c r="AS307" s="315" t="e">
        <f>IF($J307="",#N/A,SUM(AR$4:AR307))</f>
        <v>#N/A</v>
      </c>
      <c r="AT307" s="315" t="e">
        <f>IF($J307="",#N/A,SUM(AR$4:AR307,AP$4:AP307,AN$4:AN307))</f>
        <v>#N/A</v>
      </c>
      <c r="AU307" s="304" t="str">
        <f t="shared" si="473"/>
        <v/>
      </c>
      <c r="AV307" s="313" t="e">
        <f>IF($J307="",#N/A,SUM(AU$4:AU307))</f>
        <v>#N/A</v>
      </c>
      <c r="AW307" s="314" t="str">
        <f t="shared" si="474"/>
        <v/>
      </c>
      <c r="AX307" s="314" t="e">
        <f>IF($J307="",#N/A,SUM(AW$4:AW307))</f>
        <v>#N/A</v>
      </c>
      <c r="AY307" s="315" t="str">
        <f t="shared" si="475"/>
        <v/>
      </c>
      <c r="AZ307" s="315" t="e">
        <f>IF($J307="",#N/A,SUM(AY$4:AY307))</f>
        <v>#N/A</v>
      </c>
      <c r="BA307" s="315" t="e">
        <f>IF($J307="",#N/A,SUM(AY$4:AY307,AW$4:AW307,AU$4:AU307))</f>
        <v>#N/A</v>
      </c>
      <c r="BB307" s="304" t="str">
        <f t="shared" si="476"/>
        <v/>
      </c>
      <c r="BC307" s="313" t="e">
        <f>IF($J307="",#N/A,SUM(BB$4:BB307))</f>
        <v>#N/A</v>
      </c>
      <c r="BD307" s="314" t="str">
        <f t="shared" si="477"/>
        <v/>
      </c>
      <c r="BE307" s="314" t="e">
        <f>IF($J307="",#N/A,SUM(BD$4:BD307))</f>
        <v>#N/A</v>
      </c>
      <c r="BF307" s="315" t="str">
        <f t="shared" si="478"/>
        <v/>
      </c>
      <c r="BG307" s="315" t="e">
        <f>IF($J307="",#N/A,SUM(BF$4:BF307))</f>
        <v>#N/A</v>
      </c>
      <c r="BH307" s="315" t="e">
        <f>IF($J307="",#N/A,SUM(BF$4:BF307,BD$4:BD307,BB$4:BB307))</f>
        <v>#N/A</v>
      </c>
      <c r="BI307" s="304" t="str">
        <f t="shared" si="479"/>
        <v/>
      </c>
      <c r="BJ307" s="313" t="e">
        <f>IF($J307="",#N/A,SUM(BI$4:BI307))</f>
        <v>#N/A</v>
      </c>
      <c r="BK307" s="314" t="str">
        <f t="shared" si="480"/>
        <v/>
      </c>
      <c r="BL307" s="314" t="e">
        <f>IF($J307="",#N/A,SUM(BK$4:BK307))</f>
        <v>#N/A</v>
      </c>
      <c r="BM307" s="315" t="str">
        <f t="shared" si="481"/>
        <v/>
      </c>
      <c r="BN307" s="315" t="e">
        <f>IF($J307="",#N/A,SUM(BM$4:BM307))</f>
        <v>#N/A</v>
      </c>
      <c r="BO307" s="315" t="e">
        <f>IF($J307="",#N/A,SUM(BM$4:BM307,BK$4:BK307,BI$4:BI307))</f>
        <v>#N/A</v>
      </c>
      <c r="BP307" s="304" t="str">
        <f t="shared" si="482"/>
        <v/>
      </c>
      <c r="BQ307" s="313" t="e">
        <f>IF($J307="",#N/A,SUM(BP$4:BP307))</f>
        <v>#N/A</v>
      </c>
      <c r="BR307" s="314" t="str">
        <f t="shared" si="483"/>
        <v/>
      </c>
      <c r="BS307" s="314" t="e">
        <f>IF($J307="",#N/A,SUM(BR$4:BR307))</f>
        <v>#N/A</v>
      </c>
      <c r="BT307" s="315" t="str">
        <f t="shared" si="484"/>
        <v/>
      </c>
      <c r="BU307" s="315" t="e">
        <f>IF($J307="",#N/A,SUM(BT$4:BT307))</f>
        <v>#N/A</v>
      </c>
      <c r="BV307" s="315" t="e">
        <f>IF($J307="",#N/A,SUM(BT$4:BT307,BR$4:BR307,BP$4:BP307))</f>
        <v>#N/A</v>
      </c>
      <c r="BW307" s="304" t="str">
        <f t="shared" si="485"/>
        <v/>
      </c>
      <c r="BX307" s="313" t="e">
        <f>IF($J307="",#N/A,SUM(BW$4:BW307))</f>
        <v>#N/A</v>
      </c>
      <c r="BY307" s="314" t="str">
        <f t="shared" si="486"/>
        <v/>
      </c>
      <c r="BZ307" s="314" t="e">
        <f>IF($J307="",#N/A,SUM(BY$4:BY307))</f>
        <v>#N/A</v>
      </c>
      <c r="CA307" s="315" t="str">
        <f t="shared" si="487"/>
        <v/>
      </c>
      <c r="CB307" s="315" t="e">
        <f>IF($J307="",#N/A,SUM(CA$4:CA307))</f>
        <v>#N/A</v>
      </c>
      <c r="CC307" s="315" t="e">
        <f>IF($J307="",#N/A,SUM(CA$4:CA307,BY$4:BY307,BW$4:BW307))</f>
        <v>#N/A</v>
      </c>
      <c r="CD307" s="304" t="str">
        <f t="shared" si="488"/>
        <v/>
      </c>
      <c r="CE307" s="313" t="e">
        <f>IF($J307="",#N/A,SUM(CD$4:CD307))</f>
        <v>#N/A</v>
      </c>
      <c r="CF307" s="314" t="str">
        <f t="shared" si="489"/>
        <v/>
      </c>
      <c r="CG307" s="314" t="e">
        <f>IF($J307="",#N/A,SUM(CF$4:CF307))</f>
        <v>#N/A</v>
      </c>
      <c r="CH307" s="315" t="str">
        <f t="shared" si="490"/>
        <v/>
      </c>
      <c r="CI307" s="315" t="e">
        <f>IF($J307="",#N/A,SUM(CH$4:CH307))</f>
        <v>#N/A</v>
      </c>
      <c r="CJ307" s="315" t="e">
        <f>IF($J307="",#N/A,SUM(CH$4:CH307,CF$4:CF307,CD$4:CD307))</f>
        <v>#N/A</v>
      </c>
      <c r="CK307" s="304" t="str">
        <f t="shared" si="491"/>
        <v/>
      </c>
      <c r="CL307" s="313" t="e">
        <f>IF($J307="",#N/A,SUM(CK$4:CK307))</f>
        <v>#N/A</v>
      </c>
      <c r="CM307" s="314" t="str">
        <f t="shared" si="492"/>
        <v/>
      </c>
      <c r="CN307" s="314" t="e">
        <f>IF($J307="",#N/A,SUM(CM$4:CM307))</f>
        <v>#N/A</v>
      </c>
      <c r="CO307" s="315" t="str">
        <f t="shared" si="493"/>
        <v/>
      </c>
      <c r="CP307" s="315" t="e">
        <f>IF($J307="",#N/A,SUM(CO$4:CO307))</f>
        <v>#N/A</v>
      </c>
      <c r="CQ307" s="315" t="e">
        <f>IF($J307="",#N/A,SUM(CO$4:CO307,CM$4:CM307,CK$4:CK307))</f>
        <v>#N/A</v>
      </c>
      <c r="CR307" s="304" t="str">
        <f t="shared" si="494"/>
        <v/>
      </c>
      <c r="CS307" s="313" t="e">
        <f>IF($J307="",#N/A,SUM(CR$4:CR307))</f>
        <v>#N/A</v>
      </c>
      <c r="CT307" s="314" t="str">
        <f t="shared" si="495"/>
        <v/>
      </c>
      <c r="CU307" s="314" t="e">
        <f>IF($J307="",#N/A,SUM(CT$4:CT307))</f>
        <v>#N/A</v>
      </c>
      <c r="CV307" s="315">
        <f t="shared" si="496"/>
        <v>-0.50164173659248223</v>
      </c>
      <c r="CW307" s="315" t="e">
        <f>IF($J307="",#N/A,SUM(CV$4:CV307))</f>
        <v>#N/A</v>
      </c>
      <c r="CX307" s="315" t="e">
        <f>IF($J307="",#N/A,SUM(CV$4:CV307,CT$4:CT307,CR$4:CR307))</f>
        <v>#N/A</v>
      </c>
      <c r="CY307" s="304" t="str">
        <f t="shared" si="497"/>
        <v/>
      </c>
      <c r="CZ307" s="313" t="e">
        <f>IF($J307="",#N/A,SUM(CY$4:CY307))</f>
        <v>#N/A</v>
      </c>
      <c r="DA307" s="314" t="str">
        <f t="shared" si="498"/>
        <v/>
      </c>
      <c r="DB307" s="314" t="e">
        <f>IF($J307="",#N/A,SUM(DA$4:DA307))</f>
        <v>#N/A</v>
      </c>
      <c r="DC307" s="315" t="str">
        <f t="shared" si="499"/>
        <v/>
      </c>
      <c r="DD307" s="315" t="e">
        <f>IF($J307="",#N/A,SUM(DC$4:DC307))</f>
        <v>#N/A</v>
      </c>
      <c r="DE307" s="315" t="e">
        <f>IF($J307="",#N/A,SUM(DC$4:DC307,DA$4:DA307,CY$4:CY307))</f>
        <v>#N/A</v>
      </c>
      <c r="DF307" s="304" t="str">
        <f t="shared" si="500"/>
        <v/>
      </c>
      <c r="DG307" s="313" t="e">
        <f>IF($J307="",#N/A,SUM(DF$4:DF307))</f>
        <v>#N/A</v>
      </c>
      <c r="DH307" s="314" t="str">
        <f t="shared" si="501"/>
        <v/>
      </c>
      <c r="DI307" s="314" t="e">
        <f>IF($J307="",#N/A,SUM(DH$4:DH307))</f>
        <v>#N/A</v>
      </c>
      <c r="DJ307" s="315" t="str">
        <f t="shared" si="502"/>
        <v/>
      </c>
      <c r="DK307" s="315" t="e">
        <f>IF($J307="",#N/A,SUM(DJ$4:DJ307))</f>
        <v>#N/A</v>
      </c>
      <c r="DL307" s="315" t="e">
        <f>IF($J307="",#N/A,SUM(DJ$4:DJ307,DH$4:DH307,DF$4:DF307))</f>
        <v>#N/A</v>
      </c>
      <c r="DM307" s="304" t="str">
        <f t="shared" si="503"/>
        <v/>
      </c>
      <c r="DN307" s="313" t="e">
        <f>IF($J307="",#N/A,SUM(DM$4:DM307))</f>
        <v>#N/A</v>
      </c>
      <c r="DO307" s="314" t="str">
        <f t="shared" si="504"/>
        <v/>
      </c>
      <c r="DP307" s="314" t="e">
        <f>IF($J307="",#N/A,SUM(DO$4:DO307))</f>
        <v>#N/A</v>
      </c>
      <c r="DQ307" s="315" t="str">
        <f t="shared" si="505"/>
        <v/>
      </c>
      <c r="DR307" s="315" t="e">
        <f>IF($J307="",#N/A,SUM(DQ$4:DQ307))</f>
        <v>#N/A</v>
      </c>
      <c r="DS307" s="315" t="e">
        <f>IF($J307="",#N/A,SUM(DQ$4:DQ307,DO$4:DO307,DM$4:DM307))</f>
        <v>#N/A</v>
      </c>
      <c r="DT307" s="304" t="str">
        <f t="shared" si="506"/>
        <v/>
      </c>
      <c r="DU307" s="313" t="e">
        <f>IF($J307="",#N/A,SUM(DT$4:DT307))</f>
        <v>#N/A</v>
      </c>
      <c r="DV307" s="314" t="str">
        <f t="shared" si="507"/>
        <v/>
      </c>
      <c r="DW307" s="314" t="e">
        <f>IF($J307="",#N/A,SUM(DV$4:DV307))</f>
        <v>#N/A</v>
      </c>
      <c r="DX307" s="315" t="str">
        <f t="shared" si="508"/>
        <v/>
      </c>
      <c r="DY307" s="315" t="e">
        <f>IF($J307="",#N/A,SUM(DX$4:DX307))</f>
        <v>#N/A</v>
      </c>
      <c r="DZ307" s="315" t="e">
        <f>IF($J307="",#N/A,SUM(DX$4:DX307,DV$4:DV307,DT$4:DT307))</f>
        <v>#N/A</v>
      </c>
      <c r="EA307" s="304" t="str">
        <f t="shared" si="509"/>
        <v/>
      </c>
      <c r="EB307" s="313" t="e">
        <f>IF($J307="",#N/A,SUM(EA$4:EA307))</f>
        <v>#N/A</v>
      </c>
      <c r="EC307" s="314" t="str">
        <f t="shared" si="510"/>
        <v/>
      </c>
      <c r="ED307" s="314" t="e">
        <f>IF($J307="",#N/A,SUM(EC$4:EC307))</f>
        <v>#N/A</v>
      </c>
      <c r="EE307" s="315" t="str">
        <f t="shared" si="511"/>
        <v/>
      </c>
      <c r="EF307" s="315" t="e">
        <f>IF($J307="",#N/A,SUM(EE$4:EE307))</f>
        <v>#N/A</v>
      </c>
      <c r="EG307" s="315" t="e">
        <f>IF($J307="",#N/A,SUM(EE$4:EE307,EC$4:EC307,EA$4:EA307))</f>
        <v>#N/A</v>
      </c>
      <c r="EH307" s="130">
        <f t="shared" si="512"/>
        <v>-49.499999999999773</v>
      </c>
      <c r="EI307" s="63">
        <f>IF(EH307="",#N/A,SUM($EH$4:EH307))</f>
        <v>1599.6900842452949</v>
      </c>
      <c r="EJ307" s="223" t="e">
        <f t="shared" si="513"/>
        <v>#N/A</v>
      </c>
      <c r="EK307" s="63" t="e">
        <f>IF($GZ307="",#N/A,SUM(EJ$4:EJ307))</f>
        <v>#N/A</v>
      </c>
      <c r="EL307" s="60">
        <f t="shared" si="544"/>
        <v>-0.50164173659248223</v>
      </c>
      <c r="EM307" s="60">
        <f>IF(EL307="",NA(),SUM($EL$4:EL307))</f>
        <v>43.32206684679926</v>
      </c>
      <c r="EN307" s="60" t="str">
        <f t="shared" si="514"/>
        <v/>
      </c>
      <c r="EO307" s="60" t="e">
        <f>IF(EN307="",NA(),SUM($EN$4:EN307))</f>
        <v>#N/A</v>
      </c>
      <c r="EP307" s="60">
        <f t="shared" si="515"/>
        <v>-0.50164173659248223</v>
      </c>
      <c r="EQ307" s="60">
        <f>IF(EP307="",NA(),SUM($EP$4:EP307))</f>
        <v>11.717941637902852</v>
      </c>
      <c r="ER307" s="60" t="str">
        <f t="shared" si="516"/>
        <v/>
      </c>
      <c r="ES307" s="60" t="e">
        <f>IF(ER307="",NA(),SUM($ER$4:ER307))</f>
        <v>#N/A</v>
      </c>
      <c r="ET307" s="60" t="str">
        <f t="shared" si="517"/>
        <v/>
      </c>
      <c r="EU307" s="60" t="e">
        <f>IF(ET307="",NA(),SUM($ET$4:ET307))</f>
        <v>#N/A</v>
      </c>
      <c r="EV307" s="60" t="str">
        <f t="shared" si="518"/>
        <v/>
      </c>
      <c r="EW307" s="60" t="e">
        <f>IF(EV307="",NA(),SUM($EV$4:EV307))</f>
        <v>#N/A</v>
      </c>
      <c r="EX307" s="60" t="str">
        <f t="shared" si="519"/>
        <v/>
      </c>
      <c r="EY307" s="60" t="e">
        <f>IF(EX307="",NA(),SUM($EX$4:EX307))</f>
        <v>#N/A</v>
      </c>
      <c r="EZ307" s="60" t="str">
        <f t="shared" si="520"/>
        <v/>
      </c>
      <c r="FA307" s="60" t="e">
        <f>IF(EZ307="",NA(),SUM($EZ$4:EZ307))</f>
        <v>#N/A</v>
      </c>
      <c r="FB307" s="246" t="str">
        <f t="shared" si="545"/>
        <v/>
      </c>
      <c r="FC307" s="246" t="e">
        <f>IF($FB307="",#N/A,SUM(FB$4:$FB307))</f>
        <v>#N/A</v>
      </c>
      <c r="FD307" s="60" t="str">
        <f t="shared" si="521"/>
        <v/>
      </c>
      <c r="FE307" s="60" t="e">
        <f>IF($FD307="",#N/A,SUM($FD$4:FD307))</f>
        <v>#N/A</v>
      </c>
      <c r="FF307" s="60" t="str">
        <f t="shared" si="522"/>
        <v/>
      </c>
      <c r="FG307" s="60" t="e">
        <f>IF($FF307="",#N/A,SUM($FF$4:FF307))</f>
        <v>#N/A</v>
      </c>
      <c r="FH307" s="60" t="str">
        <f t="shared" si="523"/>
        <v/>
      </c>
      <c r="FI307" s="60" t="e">
        <f>IF($FH307="",#N/A,SUM($FH$4:FH307))</f>
        <v>#N/A</v>
      </c>
      <c r="FJ307" s="60" t="str">
        <f t="shared" si="524"/>
        <v/>
      </c>
      <c r="FK307" s="60" t="e">
        <f>IF($FJ307="",#N/A,SUM($FJ$4:FJ307))</f>
        <v>#N/A</v>
      </c>
      <c r="FL307" s="60">
        <f t="shared" si="525"/>
        <v>1.3042685151404578</v>
      </c>
      <c r="FM307" s="60">
        <f>IF($FL307="",#N/A,SUM($FL$4:FL307))</f>
        <v>1.7590661115578485</v>
      </c>
      <c r="FN307" s="82">
        <f t="shared" si="526"/>
        <v>0.80262677854797571</v>
      </c>
      <c r="FO307" s="82">
        <f>IF($FN307="",#N/A,SUM(FN$4:$FN307))</f>
        <v>63.100256989164158</v>
      </c>
      <c r="FP307" s="82">
        <f t="shared" si="546"/>
        <v>-0.50164173659248223</v>
      </c>
      <c r="FQ307" s="246">
        <f>IF($EH307="",#N/A,SUM($FP$4:FP307))</f>
        <v>56.37438598418349</v>
      </c>
      <c r="FR307" s="82">
        <f>IFERROR(FQ307/COUNTA($J$4:J307),#N/A)</f>
        <v>0.18544205915849832</v>
      </c>
      <c r="FS307" s="82">
        <f t="shared" si="448"/>
        <v>0.20835823448835172</v>
      </c>
      <c r="FT307" s="82">
        <f t="shared" si="449"/>
        <v>3.0023918143741925E-2</v>
      </c>
      <c r="FU307" s="338">
        <f t="shared" si="553"/>
        <v>30.620176526872974</v>
      </c>
      <c r="FV307" s="57" t="str">
        <f t="shared" si="552"/>
        <v>SW</v>
      </c>
      <c r="FW307" s="57" t="s">
        <v>2732</v>
      </c>
      <c r="FX307" s="57" t="str">
        <f t="shared" si="528"/>
        <v/>
      </c>
      <c r="FY307" s="57" t="str">
        <f t="shared" si="529"/>
        <v/>
      </c>
      <c r="FZ307" s="57" t="str">
        <f t="shared" si="530"/>
        <v/>
      </c>
      <c r="GA307" s="57" t="str">
        <f t="shared" si="531"/>
        <v>Long</v>
      </c>
      <c r="GB307" s="57" t="str">
        <f t="shared" si="532"/>
        <v/>
      </c>
      <c r="GC307" s="57" t="str">
        <f t="shared" si="533"/>
        <v/>
      </c>
      <c r="GD307" s="57">
        <f t="shared" si="534"/>
        <v>1</v>
      </c>
      <c r="GE307" s="62">
        <f t="shared" si="451"/>
        <v>54.82</v>
      </c>
      <c r="GF307" s="62" t="s">
        <v>2779</v>
      </c>
      <c r="GG307" s="199">
        <v>30</v>
      </c>
      <c r="GH307" s="207">
        <f t="shared" si="535"/>
        <v>1644.6</v>
      </c>
      <c r="GI307" s="199">
        <v>30</v>
      </c>
      <c r="GJ307" s="200">
        <v>53.17</v>
      </c>
      <c r="GK307" s="63">
        <f t="shared" si="536"/>
        <v>-49.499999999999773</v>
      </c>
      <c r="GL307" s="63">
        <f t="shared" si="452"/>
        <v>79.200000000000045</v>
      </c>
      <c r="GM307" s="82">
        <f t="shared" si="537"/>
        <v>0.80262677854797571</v>
      </c>
      <c r="GN307" s="82">
        <f>IF($GZ307="",#N/A,SUM(GM$4:GM307))</f>
        <v>12.587078667283746</v>
      </c>
      <c r="GO307" s="82" t="str">
        <f t="shared" si="538"/>
        <v/>
      </c>
      <c r="GP307" s="82">
        <f>IF($GZ307="",#N/A,SUM(GO$4:GO307))</f>
        <v>13.94487164827283</v>
      </c>
      <c r="GQ307" s="82" t="str">
        <f t="shared" si="539"/>
        <v/>
      </c>
      <c r="GR307" s="82">
        <f>IF($GZ307="",#N/A,SUM(GQ$4:GQ307))</f>
        <v>35.942469719165246</v>
      </c>
      <c r="GS307" s="63" t="e">
        <f t="shared" si="548"/>
        <v>#N/A</v>
      </c>
      <c r="GT307" s="63" t="e">
        <f>IF($GZ307="",#N/A,SUM(GS$4:GS307))</f>
        <v>#N/A</v>
      </c>
      <c r="GU307" s="63" t="str">
        <f t="shared" si="549"/>
        <v/>
      </c>
      <c r="GV307" s="63" t="e">
        <f>IF($GZ307="",#N/A,SUM(GU$4:GU307))</f>
        <v>#N/A</v>
      </c>
      <c r="GW307" s="63" t="str">
        <f t="shared" si="550"/>
        <v/>
      </c>
      <c r="GX307" s="63" t="e">
        <f>IF($GZ307="",#N/A,SUM(GW$4:GW307))</f>
        <v>#N/A</v>
      </c>
      <c r="GY307" s="63" t="e">
        <f>IF(EJ307="",#N/A,SUM($EJ$4:EJ307))</f>
        <v>#N/A</v>
      </c>
      <c r="GZ307" s="159">
        <v>57.46</v>
      </c>
      <c r="HA307" s="63">
        <f t="shared" si="540"/>
        <v>128.69999999999982</v>
      </c>
      <c r="HB307" s="62" t="s">
        <v>2538</v>
      </c>
      <c r="HC307" s="60">
        <f>IFERROR(VLOOKUP(E307,Expectancy!$P$4:$S$19,1+C307,FALSE),"")</f>
        <v>-0.14347628028912107</v>
      </c>
      <c r="HD307" s="82">
        <f t="shared" si="541"/>
        <v>-0.50164173659248223</v>
      </c>
      <c r="HE307" s="138">
        <f>IF(HD307="",#N/A,SUM($HD$4:HD307))</f>
        <v>11.224209457310513</v>
      </c>
      <c r="HF307" s="85">
        <f>IF(HD307="",#N/A,IF(HB307="Skip",#N/A,SUM($HG$4:HG307)))</f>
        <v>489.89657921915568</v>
      </c>
      <c r="HG307" s="63">
        <f t="shared" si="542"/>
        <v>-49.499999999999773</v>
      </c>
      <c r="HH307" s="82">
        <f t="shared" si="543"/>
        <v>0.80262677854797571</v>
      </c>
    </row>
    <row r="308" spans="1:216" x14ac:dyDescent="0.25">
      <c r="A308" s="57" t="s">
        <v>1508</v>
      </c>
      <c r="B308" s="58" t="s">
        <v>5239</v>
      </c>
      <c r="C308" s="386">
        <f t="shared" si="453"/>
        <v>3</v>
      </c>
      <c r="D308" s="372" t="str">
        <f>_xlfn.XLOOKUP(A308,[1]SP500!$A$2:$A$502,[1]SP500!$D$2:$D$502,"N")</f>
        <v>Y</v>
      </c>
      <c r="E308" s="57" t="str">
        <f>_xlfn.XLOOKUP(A308,[1]SP500!$A$2:$A$655,[1]SP500!$B$2:$B$655)</f>
        <v>XLI</v>
      </c>
      <c r="F308" s="59">
        <v>45700</v>
      </c>
      <c r="G308" s="57" t="str">
        <f t="shared" si="454"/>
        <v>AMC</v>
      </c>
      <c r="H308" s="57" t="str">
        <f t="shared" si="455"/>
        <v>s</v>
      </c>
      <c r="I308" s="159">
        <v>50.1</v>
      </c>
      <c r="J308" s="159">
        <v>50.57</v>
      </c>
      <c r="K308" s="61">
        <f t="shared" si="456"/>
        <v>9.3812375249500771E-3</v>
      </c>
      <c r="L308" s="87">
        <f t="shared" si="457"/>
        <v>15.509999999999991</v>
      </c>
      <c r="M308" s="130">
        <f t="shared" si="450"/>
        <v>0</v>
      </c>
      <c r="N308" s="169" t="str">
        <f t="shared" si="458"/>
        <v/>
      </c>
      <c r="O308" s="169">
        <f>IF($J308="",#N/A,SUM($N$4:N308))</f>
        <v>491.04671935422471</v>
      </c>
      <c r="P308" s="174" t="str">
        <f t="shared" si="459"/>
        <v/>
      </c>
      <c r="Q308" s="174">
        <f>IF($J308="",#N/A,SUM($P$4:P308))</f>
        <v>614.38890674734228</v>
      </c>
      <c r="R308" s="178">
        <f t="shared" si="460"/>
        <v>15.509999999999991</v>
      </c>
      <c r="S308" s="178">
        <f>IF($J308="",#N/A,SUM($R$4:R308))</f>
        <v>509.76445814372778</v>
      </c>
      <c r="T308" s="290" t="str">
        <f t="shared" si="461"/>
        <v/>
      </c>
      <c r="U308" s="290">
        <f>IF($J308="",#N/A,SUM($T$4:T308))</f>
        <v>17.918929312422989</v>
      </c>
      <c r="V308" s="291" t="str">
        <f t="shared" si="462"/>
        <v/>
      </c>
      <c r="W308" s="291">
        <f>IF($J308="",#N/A,SUM($V$4:V308))</f>
        <v>25.802370867124576</v>
      </c>
      <c r="X308" s="292">
        <f t="shared" si="463"/>
        <v>0.15635395874916824</v>
      </c>
      <c r="Y308" s="292">
        <f>IF($J308="",#N/A,SUM($X$4:X308))</f>
        <v>12.809439763385104</v>
      </c>
      <c r="Z308" s="304" t="str">
        <f t="shared" si="464"/>
        <v/>
      </c>
      <c r="AA308" s="313" t="e">
        <f>IF($J308="",#N/A,SUM(Z$4:Z308))</f>
        <v>#N/A</v>
      </c>
      <c r="AB308" s="314" t="str">
        <f t="shared" si="465"/>
        <v/>
      </c>
      <c r="AC308" s="314" t="e">
        <f>IF($J308="",#N/A,SUM(AB$4:AB308))</f>
        <v>#N/A</v>
      </c>
      <c r="AD308" s="315" t="str">
        <f t="shared" si="466"/>
        <v/>
      </c>
      <c r="AE308" s="315" t="e">
        <f>IF($J308="",#N/A,SUM(AD$4:AD308))</f>
        <v>#N/A</v>
      </c>
      <c r="AF308" s="315" t="e">
        <f>IF($J308="",#N/A,SUM(AD$4:AD308,AB$4:AB308,Z$4:Z308))</f>
        <v>#N/A</v>
      </c>
      <c r="AG308" s="304" t="str">
        <f t="shared" si="467"/>
        <v/>
      </c>
      <c r="AH308" s="313" t="e">
        <f>IF($J308="",#N/A,SUM(AG$4:AG308))</f>
        <v>#N/A</v>
      </c>
      <c r="AI308" s="314" t="str">
        <f t="shared" si="468"/>
        <v/>
      </c>
      <c r="AJ308" s="314" t="e">
        <f>IF($J308="",#N/A,SUM(AI$4:AI308))</f>
        <v>#N/A</v>
      </c>
      <c r="AK308" s="315" t="str">
        <f t="shared" si="469"/>
        <v/>
      </c>
      <c r="AL308" s="315" t="e">
        <f>IF($J308="",#N/A,SUM(AK$4:AK308))</f>
        <v>#N/A</v>
      </c>
      <c r="AM308" s="315" t="e">
        <f>IF($J308="",#N/A,SUM(AK$4:AK308,AI$4:AI308,AG$4:AG308))</f>
        <v>#N/A</v>
      </c>
      <c r="AN308" s="304" t="str">
        <f t="shared" si="470"/>
        <v/>
      </c>
      <c r="AO308" s="313" t="e">
        <f>IF($J308="",#N/A,SUM(AN$4:AN308))</f>
        <v>#N/A</v>
      </c>
      <c r="AP308" s="314" t="str">
        <f t="shared" si="471"/>
        <v/>
      </c>
      <c r="AQ308" s="314" t="e">
        <f>IF($J308="",#N/A,SUM(AP$4:AP308))</f>
        <v>#N/A</v>
      </c>
      <c r="AR308" s="315" t="str">
        <f t="shared" si="472"/>
        <v/>
      </c>
      <c r="AS308" s="315" t="e">
        <f>IF($J308="",#N/A,SUM(AR$4:AR308))</f>
        <v>#N/A</v>
      </c>
      <c r="AT308" s="315" t="e">
        <f>IF($J308="",#N/A,SUM(AR$4:AR308,AP$4:AP308,AN$4:AN308))</f>
        <v>#N/A</v>
      </c>
      <c r="AU308" s="304" t="str">
        <f t="shared" si="473"/>
        <v/>
      </c>
      <c r="AV308" s="313" t="e">
        <f>IF($J308="",#N/A,SUM(AU$4:AU308))</f>
        <v>#N/A</v>
      </c>
      <c r="AW308" s="314" t="str">
        <f t="shared" si="474"/>
        <v/>
      </c>
      <c r="AX308" s="314" t="e">
        <f>IF($J308="",#N/A,SUM(AW$4:AW308))</f>
        <v>#N/A</v>
      </c>
      <c r="AY308" s="315" t="str">
        <f t="shared" si="475"/>
        <v/>
      </c>
      <c r="AZ308" s="315" t="e">
        <f>IF($J308="",#N/A,SUM(AY$4:AY308))</f>
        <v>#N/A</v>
      </c>
      <c r="BA308" s="315" t="e">
        <f>IF($J308="",#N/A,SUM(AY$4:AY308,AW$4:AW308,AU$4:AU308))</f>
        <v>#N/A</v>
      </c>
      <c r="BB308" s="304" t="str">
        <f t="shared" si="476"/>
        <v/>
      </c>
      <c r="BC308" s="313" t="e">
        <f>IF($J308="",#N/A,SUM(BB$4:BB308))</f>
        <v>#N/A</v>
      </c>
      <c r="BD308" s="314" t="str">
        <f t="shared" si="477"/>
        <v/>
      </c>
      <c r="BE308" s="314" t="e">
        <f>IF($J308="",#N/A,SUM(BD$4:BD308))</f>
        <v>#N/A</v>
      </c>
      <c r="BF308" s="315" t="str">
        <f t="shared" si="478"/>
        <v/>
      </c>
      <c r="BG308" s="315" t="e">
        <f>IF($J308="",#N/A,SUM(BF$4:BF308))</f>
        <v>#N/A</v>
      </c>
      <c r="BH308" s="315" t="e">
        <f>IF($J308="",#N/A,SUM(BF$4:BF308,BD$4:BD308,BB$4:BB308))</f>
        <v>#N/A</v>
      </c>
      <c r="BI308" s="304" t="str">
        <f t="shared" si="479"/>
        <v/>
      </c>
      <c r="BJ308" s="313" t="e">
        <f>IF($J308="",#N/A,SUM(BI$4:BI308))</f>
        <v>#N/A</v>
      </c>
      <c r="BK308" s="314" t="str">
        <f t="shared" si="480"/>
        <v/>
      </c>
      <c r="BL308" s="314" t="e">
        <f>IF($J308="",#N/A,SUM(BK$4:BK308))</f>
        <v>#N/A</v>
      </c>
      <c r="BM308" s="315" t="str">
        <f t="shared" si="481"/>
        <v/>
      </c>
      <c r="BN308" s="315" t="e">
        <f>IF($J308="",#N/A,SUM(BM$4:BM308))</f>
        <v>#N/A</v>
      </c>
      <c r="BO308" s="315" t="e">
        <f>IF($J308="",#N/A,SUM(BM$4:BM308,BK$4:BK308,BI$4:BI308))</f>
        <v>#N/A</v>
      </c>
      <c r="BP308" s="304" t="str">
        <f t="shared" si="482"/>
        <v/>
      </c>
      <c r="BQ308" s="313" t="e">
        <f>IF($J308="",#N/A,SUM(BP$4:BP308))</f>
        <v>#N/A</v>
      </c>
      <c r="BR308" s="314" t="str">
        <f t="shared" si="483"/>
        <v/>
      </c>
      <c r="BS308" s="314" t="e">
        <f>IF($J308="",#N/A,SUM(BR$4:BR308))</f>
        <v>#N/A</v>
      </c>
      <c r="BT308" s="315">
        <f t="shared" si="484"/>
        <v>0.15635395874916824</v>
      </c>
      <c r="BU308" s="315" t="e">
        <f>IF($J308="",#N/A,SUM(BT$4:BT308))</f>
        <v>#N/A</v>
      </c>
      <c r="BV308" s="315" t="e">
        <f>IF($J308="",#N/A,SUM(BT$4:BT308,BR$4:BR308,BP$4:BP308))</f>
        <v>#N/A</v>
      </c>
      <c r="BW308" s="304" t="str">
        <f t="shared" si="485"/>
        <v/>
      </c>
      <c r="BX308" s="313" t="e">
        <f>IF($J308="",#N/A,SUM(BW$4:BW308))</f>
        <v>#N/A</v>
      </c>
      <c r="BY308" s="314" t="str">
        <f t="shared" si="486"/>
        <v/>
      </c>
      <c r="BZ308" s="314" t="e">
        <f>IF($J308="",#N/A,SUM(BY$4:BY308))</f>
        <v>#N/A</v>
      </c>
      <c r="CA308" s="315" t="str">
        <f t="shared" si="487"/>
        <v/>
      </c>
      <c r="CB308" s="315" t="e">
        <f>IF($J308="",#N/A,SUM(CA$4:CA308))</f>
        <v>#N/A</v>
      </c>
      <c r="CC308" s="315" t="e">
        <f>IF($J308="",#N/A,SUM(CA$4:CA308,BY$4:BY308,BW$4:BW308))</f>
        <v>#N/A</v>
      </c>
      <c r="CD308" s="304" t="str">
        <f t="shared" si="488"/>
        <v/>
      </c>
      <c r="CE308" s="313" t="e">
        <f>IF($J308="",#N/A,SUM(CD$4:CD308))</f>
        <v>#N/A</v>
      </c>
      <c r="CF308" s="314" t="str">
        <f t="shared" si="489"/>
        <v/>
      </c>
      <c r="CG308" s="314" t="e">
        <f>IF($J308="",#N/A,SUM(CF$4:CF308))</f>
        <v>#N/A</v>
      </c>
      <c r="CH308" s="315" t="str">
        <f t="shared" si="490"/>
        <v/>
      </c>
      <c r="CI308" s="315" t="e">
        <f>IF($J308="",#N/A,SUM(CH$4:CH308))</f>
        <v>#N/A</v>
      </c>
      <c r="CJ308" s="315" t="e">
        <f>IF($J308="",#N/A,SUM(CH$4:CH308,CF$4:CF308,CD$4:CD308))</f>
        <v>#N/A</v>
      </c>
      <c r="CK308" s="304" t="str">
        <f t="shared" si="491"/>
        <v/>
      </c>
      <c r="CL308" s="313" t="e">
        <f>IF($J308="",#N/A,SUM(CK$4:CK308))</f>
        <v>#N/A</v>
      </c>
      <c r="CM308" s="314" t="str">
        <f t="shared" si="492"/>
        <v/>
      </c>
      <c r="CN308" s="314" t="e">
        <f>IF($J308="",#N/A,SUM(CM$4:CM308))</f>
        <v>#N/A</v>
      </c>
      <c r="CO308" s="315" t="str">
        <f t="shared" si="493"/>
        <v/>
      </c>
      <c r="CP308" s="315" t="e">
        <f>IF($J308="",#N/A,SUM(CO$4:CO308))</f>
        <v>#N/A</v>
      </c>
      <c r="CQ308" s="315" t="e">
        <f>IF($J308="",#N/A,SUM(CO$4:CO308,CM$4:CM308,CK$4:CK308))</f>
        <v>#N/A</v>
      </c>
      <c r="CR308" s="304" t="str">
        <f t="shared" si="494"/>
        <v/>
      </c>
      <c r="CS308" s="313" t="e">
        <f>IF($J308="",#N/A,SUM(CR$4:CR308))</f>
        <v>#N/A</v>
      </c>
      <c r="CT308" s="314" t="str">
        <f t="shared" si="495"/>
        <v/>
      </c>
      <c r="CU308" s="314" t="e">
        <f>IF($J308="",#N/A,SUM(CT$4:CT308))</f>
        <v>#N/A</v>
      </c>
      <c r="CV308" s="315" t="str">
        <f t="shared" si="496"/>
        <v/>
      </c>
      <c r="CW308" s="315" t="e">
        <f>IF($J308="",#N/A,SUM(CV$4:CV308))</f>
        <v>#N/A</v>
      </c>
      <c r="CX308" s="315" t="e">
        <f>IF($J308="",#N/A,SUM(CV$4:CV308,CT$4:CT308,CR$4:CR308))</f>
        <v>#N/A</v>
      </c>
      <c r="CY308" s="304" t="str">
        <f t="shared" si="497"/>
        <v/>
      </c>
      <c r="CZ308" s="313" t="e">
        <f>IF($J308="",#N/A,SUM(CY$4:CY308))</f>
        <v>#N/A</v>
      </c>
      <c r="DA308" s="314" t="str">
        <f t="shared" si="498"/>
        <v/>
      </c>
      <c r="DB308" s="314" t="e">
        <f>IF($J308="",#N/A,SUM(DA$4:DA308))</f>
        <v>#N/A</v>
      </c>
      <c r="DC308" s="315" t="str">
        <f t="shared" si="499"/>
        <v/>
      </c>
      <c r="DD308" s="315" t="e">
        <f>IF($J308="",#N/A,SUM(DC$4:DC308))</f>
        <v>#N/A</v>
      </c>
      <c r="DE308" s="315" t="e">
        <f>IF($J308="",#N/A,SUM(DC$4:DC308,DA$4:DA308,CY$4:CY308))</f>
        <v>#N/A</v>
      </c>
      <c r="DF308" s="304" t="str">
        <f t="shared" si="500"/>
        <v/>
      </c>
      <c r="DG308" s="313" t="e">
        <f>IF($J308="",#N/A,SUM(DF$4:DF308))</f>
        <v>#N/A</v>
      </c>
      <c r="DH308" s="314" t="str">
        <f t="shared" si="501"/>
        <v/>
      </c>
      <c r="DI308" s="314" t="e">
        <f>IF($J308="",#N/A,SUM(DH$4:DH308))</f>
        <v>#N/A</v>
      </c>
      <c r="DJ308" s="315" t="str">
        <f t="shared" si="502"/>
        <v/>
      </c>
      <c r="DK308" s="315" t="e">
        <f>IF($J308="",#N/A,SUM(DJ$4:DJ308))</f>
        <v>#N/A</v>
      </c>
      <c r="DL308" s="315" t="e">
        <f>IF($J308="",#N/A,SUM(DJ$4:DJ308,DH$4:DH308,DF$4:DF308))</f>
        <v>#N/A</v>
      </c>
      <c r="DM308" s="304" t="str">
        <f t="shared" si="503"/>
        <v/>
      </c>
      <c r="DN308" s="313" t="e">
        <f>IF($J308="",#N/A,SUM(DM$4:DM308))</f>
        <v>#N/A</v>
      </c>
      <c r="DO308" s="314" t="str">
        <f t="shared" si="504"/>
        <v/>
      </c>
      <c r="DP308" s="314" t="e">
        <f>IF($J308="",#N/A,SUM(DO$4:DO308))</f>
        <v>#N/A</v>
      </c>
      <c r="DQ308" s="315" t="str">
        <f t="shared" si="505"/>
        <v/>
      </c>
      <c r="DR308" s="315" t="e">
        <f>IF($J308="",#N/A,SUM(DQ$4:DQ308))</f>
        <v>#N/A</v>
      </c>
      <c r="DS308" s="315" t="e">
        <f>IF($J308="",#N/A,SUM(DQ$4:DQ308,DO$4:DO308,DM$4:DM308))</f>
        <v>#N/A</v>
      </c>
      <c r="DT308" s="304" t="str">
        <f t="shared" si="506"/>
        <v/>
      </c>
      <c r="DU308" s="313" t="e">
        <f>IF($J308="",#N/A,SUM(DT$4:DT308))</f>
        <v>#N/A</v>
      </c>
      <c r="DV308" s="314" t="str">
        <f t="shared" si="507"/>
        <v/>
      </c>
      <c r="DW308" s="314" t="e">
        <f>IF($J308="",#N/A,SUM(DV$4:DV308))</f>
        <v>#N/A</v>
      </c>
      <c r="DX308" s="315" t="str">
        <f t="shared" si="508"/>
        <v/>
      </c>
      <c r="DY308" s="315" t="e">
        <f>IF($J308="",#N/A,SUM(DX$4:DX308))</f>
        <v>#N/A</v>
      </c>
      <c r="DZ308" s="315" t="e">
        <f>IF($J308="",#N/A,SUM(DX$4:DX308,DV$4:DV308,DT$4:DT308))</f>
        <v>#N/A</v>
      </c>
      <c r="EA308" s="304" t="str">
        <f t="shared" si="509"/>
        <v/>
      </c>
      <c r="EB308" s="313" t="e">
        <f>IF($J308="",#N/A,SUM(EA$4:EA308))</f>
        <v>#N/A</v>
      </c>
      <c r="EC308" s="314" t="str">
        <f t="shared" si="510"/>
        <v/>
      </c>
      <c r="ED308" s="314" t="e">
        <f>IF($J308="",#N/A,SUM(EC$4:EC308))</f>
        <v>#N/A</v>
      </c>
      <c r="EE308" s="315" t="str">
        <f t="shared" si="511"/>
        <v/>
      </c>
      <c r="EF308" s="315" t="e">
        <f>IF($J308="",#N/A,SUM(EE$4:EE308))</f>
        <v>#N/A</v>
      </c>
      <c r="EG308" s="315" t="e">
        <f>IF($J308="",#N/A,SUM(EE$4:EE308,EC$4:EC308,EA$4:EA308))</f>
        <v>#N/A</v>
      </c>
      <c r="EH308" s="130">
        <f t="shared" si="512"/>
        <v>15.509999999999991</v>
      </c>
      <c r="EI308" s="63">
        <f>IF(EH308="",#N/A,SUM($EH$4:EH308))</f>
        <v>1615.2000842452949</v>
      </c>
      <c r="EJ308" s="223" t="e">
        <f t="shared" si="513"/>
        <v>#N/A</v>
      </c>
      <c r="EK308" s="63" t="e">
        <f>IF($GZ308="",#N/A,SUM(EJ$4:EJ308))</f>
        <v>#N/A</v>
      </c>
      <c r="EL308" s="60">
        <f t="shared" si="544"/>
        <v>0.15635395874916824</v>
      </c>
      <c r="EM308" s="60">
        <f>IF(EL308="",NA(),SUM($EL$4:EL308))</f>
        <v>43.478420805548424</v>
      </c>
      <c r="EN308" s="60" t="str">
        <f t="shared" si="514"/>
        <v/>
      </c>
      <c r="EO308" s="60" t="e">
        <f>IF(EN308="",NA(),SUM($EN$4:EN308))</f>
        <v>#N/A</v>
      </c>
      <c r="EP308" s="60">
        <f t="shared" si="515"/>
        <v>0.15635395874916824</v>
      </c>
      <c r="EQ308" s="60">
        <f>IF(EP308="",NA(),SUM($EP$4:EP308))</f>
        <v>11.87429559665202</v>
      </c>
      <c r="ER308" s="60" t="str">
        <f t="shared" si="516"/>
        <v/>
      </c>
      <c r="ES308" s="60" t="e">
        <f>IF(ER308="",NA(),SUM($ER$4:ER308))</f>
        <v>#N/A</v>
      </c>
      <c r="ET308" s="60" t="str">
        <f t="shared" si="517"/>
        <v/>
      </c>
      <c r="EU308" s="60" t="e">
        <f>IF(ET308="",NA(),SUM($ET$4:ET308))</f>
        <v>#N/A</v>
      </c>
      <c r="EV308" s="60" t="str">
        <f t="shared" si="518"/>
        <v/>
      </c>
      <c r="EW308" s="60" t="e">
        <f>IF(EV308="",NA(),SUM($EV$4:EV308))</f>
        <v>#N/A</v>
      </c>
      <c r="EX308" s="60" t="str">
        <f t="shared" si="519"/>
        <v/>
      </c>
      <c r="EY308" s="60" t="e">
        <f>IF(EX308="",NA(),SUM($EX$4:EX308))</f>
        <v>#N/A</v>
      </c>
      <c r="EZ308" s="60" t="str">
        <f t="shared" si="520"/>
        <v/>
      </c>
      <c r="FA308" s="60" t="e">
        <f>IF(EZ308="",NA(),SUM($EZ$4:EZ308))</f>
        <v>#N/A</v>
      </c>
      <c r="FB308" s="246" t="str">
        <f t="shared" si="545"/>
        <v/>
      </c>
      <c r="FC308" s="246" t="e">
        <f>IF($FB308="",#N/A,SUM(FB$4:$FB308))</f>
        <v>#N/A</v>
      </c>
      <c r="FD308" s="60" t="str">
        <f t="shared" si="521"/>
        <v/>
      </c>
      <c r="FE308" s="60" t="e">
        <f>IF($FD308="",#N/A,SUM($FD$4:FD308))</f>
        <v>#N/A</v>
      </c>
      <c r="FF308" s="60" t="str">
        <f t="shared" si="522"/>
        <v/>
      </c>
      <c r="FG308" s="60" t="e">
        <f>IF($FF308="",#N/A,SUM($FF$4:FF308))</f>
        <v>#N/A</v>
      </c>
      <c r="FH308" s="60" t="str">
        <f t="shared" si="523"/>
        <v/>
      </c>
      <c r="FI308" s="60" t="e">
        <f>IF($FH308="",#N/A,SUM($FH$4:FH308))</f>
        <v>#N/A</v>
      </c>
      <c r="FJ308" s="60">
        <f t="shared" si="524"/>
        <v>0.4491017964071875</v>
      </c>
      <c r="FK308" s="60">
        <f>IF($FJ308="",#N/A,SUM($FJ$4:FJ308))</f>
        <v>-1.3759714525028575</v>
      </c>
      <c r="FL308" s="60" t="str">
        <f t="shared" si="525"/>
        <v/>
      </c>
      <c r="FM308" s="60" t="e">
        <f>IF($FL308="",#N/A,SUM($FL$4:FL308))</f>
        <v>#N/A</v>
      </c>
      <c r="FN308" s="82">
        <f t="shared" si="526"/>
        <v>0.60545575515635575</v>
      </c>
      <c r="FO308" s="82">
        <f>IF($FN308="",#N/A,SUM(FN$4:$FN308))</f>
        <v>63.705712744320515</v>
      </c>
      <c r="FP308" s="82">
        <f t="shared" si="546"/>
        <v>0.15635395874916824</v>
      </c>
      <c r="FQ308" s="246">
        <f>IF($EH308="",#N/A,SUM($FP$4:FP308))</f>
        <v>56.530739942932655</v>
      </c>
      <c r="FR308" s="82">
        <f>IFERROR(FQ308/COUNTA($J$4:J308),#N/A)</f>
        <v>0.18534668833748411</v>
      </c>
      <c r="FS308" s="82">
        <f t="shared" si="448"/>
        <v>0.19119262012109034</v>
      </c>
      <c r="FT308" s="82">
        <f t="shared" si="449"/>
        <v>1.8864014386908819E-2</v>
      </c>
      <c r="FU308" s="338">
        <f t="shared" si="553"/>
        <v>30.620176526872974</v>
      </c>
      <c r="FV308" s="57" t="str">
        <f t="shared" si="552"/>
        <v>SW</v>
      </c>
      <c r="FW308" s="57" t="s">
        <v>2732</v>
      </c>
      <c r="FX308" s="57" t="str">
        <f t="shared" si="528"/>
        <v/>
      </c>
      <c r="FY308" s="57" t="str">
        <f t="shared" si="529"/>
        <v/>
      </c>
      <c r="FZ308" s="57">
        <f t="shared" si="530"/>
        <v>1</v>
      </c>
      <c r="GA308" s="57" t="str">
        <f t="shared" si="531"/>
        <v>Long</v>
      </c>
      <c r="GB308" s="57" t="str">
        <f t="shared" si="532"/>
        <v/>
      </c>
      <c r="GC308" s="57" t="str">
        <f t="shared" si="533"/>
        <v/>
      </c>
      <c r="GD308" s="57" t="str">
        <f t="shared" si="534"/>
        <v/>
      </c>
      <c r="GE308" s="62">
        <f t="shared" si="451"/>
        <v>50.1</v>
      </c>
      <c r="GF308" s="62" t="s">
        <v>2779</v>
      </c>
      <c r="GG308" s="199">
        <v>33</v>
      </c>
      <c r="GH308" s="207">
        <f t="shared" si="535"/>
        <v>1653.3</v>
      </c>
      <c r="GI308" s="199">
        <v>33</v>
      </c>
      <c r="GJ308" s="200">
        <v>50.57</v>
      </c>
      <c r="GK308" s="63">
        <f t="shared" si="536"/>
        <v>15.509999999999991</v>
      </c>
      <c r="GL308" s="63">
        <f t="shared" si="452"/>
        <v>60.060000000000173</v>
      </c>
      <c r="GM308" s="82">
        <f t="shared" si="537"/>
        <v>0.60545575515635575</v>
      </c>
      <c r="GN308" s="82">
        <f>IF($GZ308="",#N/A,SUM(GM$4:GM308))</f>
        <v>13.192534422440103</v>
      </c>
      <c r="GO308" s="82" t="str">
        <f t="shared" si="538"/>
        <v/>
      </c>
      <c r="GP308" s="82">
        <f>IF($GZ308="",#N/A,SUM(GO$4:GO308))</f>
        <v>13.94487164827283</v>
      </c>
      <c r="GQ308" s="82" t="str">
        <f t="shared" si="539"/>
        <v/>
      </c>
      <c r="GR308" s="82">
        <f>IF($GZ308="",#N/A,SUM(GQ$4:GQ308))</f>
        <v>35.942469719165246</v>
      </c>
      <c r="GS308" s="63" t="e">
        <f t="shared" si="548"/>
        <v>#N/A</v>
      </c>
      <c r="GT308" s="63" t="e">
        <f>IF($GZ308="",#N/A,SUM(GS$4:GS308))</f>
        <v>#N/A</v>
      </c>
      <c r="GU308" s="63" t="str">
        <f t="shared" si="549"/>
        <v/>
      </c>
      <c r="GV308" s="63" t="e">
        <f>IF($GZ308="",#N/A,SUM(GU$4:GU308))</f>
        <v>#N/A</v>
      </c>
      <c r="GW308" s="63" t="str">
        <f t="shared" si="550"/>
        <v/>
      </c>
      <c r="GX308" s="63" t="e">
        <f>IF($GZ308="",#N/A,SUM(GW$4:GW308))</f>
        <v>#N/A</v>
      </c>
      <c r="GY308" s="63" t="e">
        <f>IF(EJ308="",#N/A,SUM($EJ$4:EJ308))</f>
        <v>#N/A</v>
      </c>
      <c r="GZ308" s="159">
        <v>51.92</v>
      </c>
      <c r="HA308" s="63">
        <f t="shared" si="540"/>
        <v>44.550000000000182</v>
      </c>
      <c r="HB308" s="62" t="s">
        <v>2538</v>
      </c>
      <c r="HC308" s="60">
        <f>IFERROR(VLOOKUP(E308,Expectancy!$P$4:$S$19,1+C308,FALSE),"")</f>
        <v>2.40735201201209E-2</v>
      </c>
      <c r="HD308" s="82">
        <f t="shared" si="541"/>
        <v>0.15635395874916824</v>
      </c>
      <c r="HE308" s="138">
        <f>IF(HD308="",#N/A,SUM($HD$4:HD308))</f>
        <v>11.380563416059681</v>
      </c>
      <c r="HF308" s="85">
        <f>IF(HD308="",#N/A,IF(HB308="Skip",#N/A,SUM($HG$4:HG308)))</f>
        <v>505.40657921915567</v>
      </c>
      <c r="HG308" s="63">
        <f t="shared" si="542"/>
        <v>15.509999999999991</v>
      </c>
      <c r="HH308" s="82">
        <f t="shared" si="543"/>
        <v>0.60545575515635575</v>
      </c>
    </row>
    <row r="309" spans="1:216" x14ac:dyDescent="0.25">
      <c r="A309" s="57" t="s">
        <v>437</v>
      </c>
      <c r="B309" s="58" t="s">
        <v>5239</v>
      </c>
      <c r="C309" s="386">
        <f t="shared" si="453"/>
        <v>2</v>
      </c>
      <c r="D309" s="372" t="str">
        <f>_xlfn.XLOOKUP(A309,[1]SP500!$A$2:$A$502,[1]SP500!$D$2:$D$502,"N")</f>
        <v>Y</v>
      </c>
      <c r="E309" s="57" t="str">
        <f>_xlfn.XLOOKUP(A309,[1]SP500!$A$2:$A$655,[1]SP500!$B$2:$B$655)</f>
        <v>XLB</v>
      </c>
      <c r="F309" s="59">
        <v>45700</v>
      </c>
      <c r="G309" s="57" t="str">
        <f t="shared" si="454"/>
        <v>AMC</v>
      </c>
      <c r="H309" s="57" t="str">
        <f t="shared" si="455"/>
        <v>s</v>
      </c>
      <c r="I309" s="159">
        <v>76.599999999999994</v>
      </c>
      <c r="J309" s="159">
        <v>79.900000000000006</v>
      </c>
      <c r="K309" s="61">
        <f t="shared" si="456"/>
        <v>4.3080939947780832E-2</v>
      </c>
      <c r="L309" s="87">
        <f t="shared" si="457"/>
        <v>-72.600000000000364</v>
      </c>
      <c r="M309" s="130">
        <f t="shared" si="450"/>
        <v>0</v>
      </c>
      <c r="N309" s="169" t="str">
        <f t="shared" si="458"/>
        <v/>
      </c>
      <c r="O309" s="169">
        <f>IF($J309="",#N/A,SUM($N$4:N309))</f>
        <v>491.04671935422471</v>
      </c>
      <c r="P309" s="174">
        <f t="shared" si="459"/>
        <v>-72.600000000000364</v>
      </c>
      <c r="Q309" s="174">
        <f>IF($J309="",#N/A,SUM($P$4:P309))</f>
        <v>541.78890674734191</v>
      </c>
      <c r="R309" s="178" t="str">
        <f t="shared" si="460"/>
        <v/>
      </c>
      <c r="S309" s="178">
        <f>IF($J309="",#N/A,SUM($R$4:R309))</f>
        <v>509.76445814372778</v>
      </c>
      <c r="T309" s="290" t="str">
        <f t="shared" si="461"/>
        <v/>
      </c>
      <c r="U309" s="290">
        <f>IF($J309="",#N/A,SUM($T$4:T309))</f>
        <v>17.918929312422989</v>
      </c>
      <c r="V309" s="291">
        <f t="shared" si="462"/>
        <v>-0.71801566579634835</v>
      </c>
      <c r="W309" s="291">
        <f>IF($J309="",#N/A,SUM($V$4:V309))</f>
        <v>25.084355201328229</v>
      </c>
      <c r="X309" s="292" t="str">
        <f t="shared" si="463"/>
        <v/>
      </c>
      <c r="Y309" s="292">
        <f>IF($J309="",#N/A,SUM($X$4:X309))</f>
        <v>12.809439763385104</v>
      </c>
      <c r="Z309" s="304" t="str">
        <f t="shared" si="464"/>
        <v/>
      </c>
      <c r="AA309" s="313" t="e">
        <f>IF($J309="",#N/A,SUM(Z$4:Z309))</f>
        <v>#N/A</v>
      </c>
      <c r="AB309" s="314" t="str">
        <f t="shared" si="465"/>
        <v/>
      </c>
      <c r="AC309" s="314" t="e">
        <f>IF($J309="",#N/A,SUM(AB$4:AB309))</f>
        <v>#N/A</v>
      </c>
      <c r="AD309" s="315" t="str">
        <f t="shared" si="466"/>
        <v/>
      </c>
      <c r="AE309" s="315" t="e">
        <f>IF($J309="",#N/A,SUM(AD$4:AD309))</f>
        <v>#N/A</v>
      </c>
      <c r="AF309" s="315" t="e">
        <f>IF($J309="",#N/A,SUM(AD$4:AD309,AB$4:AB309,Z$4:Z309))</f>
        <v>#N/A</v>
      </c>
      <c r="AG309" s="304" t="str">
        <f t="shared" si="467"/>
        <v/>
      </c>
      <c r="AH309" s="313" t="e">
        <f>IF($J309="",#N/A,SUM(AG$4:AG309))</f>
        <v>#N/A</v>
      </c>
      <c r="AI309" s="314" t="str">
        <f t="shared" si="468"/>
        <v/>
      </c>
      <c r="AJ309" s="314" t="e">
        <f>IF($J309="",#N/A,SUM(AI$4:AI309))</f>
        <v>#N/A</v>
      </c>
      <c r="AK309" s="315" t="str">
        <f t="shared" si="469"/>
        <v/>
      </c>
      <c r="AL309" s="315" t="e">
        <f>IF($J309="",#N/A,SUM(AK$4:AK309))</f>
        <v>#N/A</v>
      </c>
      <c r="AM309" s="315" t="e">
        <f>IF($J309="",#N/A,SUM(AK$4:AK309,AI$4:AI309,AG$4:AG309))</f>
        <v>#N/A</v>
      </c>
      <c r="AN309" s="304" t="str">
        <f t="shared" si="470"/>
        <v/>
      </c>
      <c r="AO309" s="313" t="e">
        <f>IF($J309="",#N/A,SUM(AN$4:AN309))</f>
        <v>#N/A</v>
      </c>
      <c r="AP309" s="314" t="str">
        <f t="shared" si="471"/>
        <v/>
      </c>
      <c r="AQ309" s="314" t="e">
        <f>IF($J309="",#N/A,SUM(AP$4:AP309))</f>
        <v>#N/A</v>
      </c>
      <c r="AR309" s="315" t="str">
        <f t="shared" si="472"/>
        <v/>
      </c>
      <c r="AS309" s="315" t="e">
        <f>IF($J309="",#N/A,SUM(AR$4:AR309))</f>
        <v>#N/A</v>
      </c>
      <c r="AT309" s="315" t="e">
        <f>IF($J309="",#N/A,SUM(AR$4:AR309,AP$4:AP309,AN$4:AN309))</f>
        <v>#N/A</v>
      </c>
      <c r="AU309" s="304" t="str">
        <f t="shared" si="473"/>
        <v/>
      </c>
      <c r="AV309" s="313" t="e">
        <f>IF($J309="",#N/A,SUM(AU$4:AU309))</f>
        <v>#N/A</v>
      </c>
      <c r="AW309" s="314" t="str">
        <f t="shared" si="474"/>
        <v/>
      </c>
      <c r="AX309" s="314" t="e">
        <f>IF($J309="",#N/A,SUM(AW$4:AW309))</f>
        <v>#N/A</v>
      </c>
      <c r="AY309" s="315" t="str">
        <f t="shared" si="475"/>
        <v/>
      </c>
      <c r="AZ309" s="315" t="e">
        <f>IF($J309="",#N/A,SUM(AY$4:AY309))</f>
        <v>#N/A</v>
      </c>
      <c r="BA309" s="315" t="e">
        <f>IF($J309="",#N/A,SUM(AY$4:AY309,AW$4:AW309,AU$4:AU309))</f>
        <v>#N/A</v>
      </c>
      <c r="BB309" s="304" t="str">
        <f t="shared" si="476"/>
        <v/>
      </c>
      <c r="BC309" s="313" t="e">
        <f>IF($J309="",#N/A,SUM(BB$4:BB309))</f>
        <v>#N/A</v>
      </c>
      <c r="BD309" s="314" t="str">
        <f t="shared" si="477"/>
        <v/>
      </c>
      <c r="BE309" s="314" t="e">
        <f>IF($J309="",#N/A,SUM(BD$4:BD309))</f>
        <v>#N/A</v>
      </c>
      <c r="BF309" s="315" t="str">
        <f t="shared" si="478"/>
        <v/>
      </c>
      <c r="BG309" s="315" t="e">
        <f>IF($J309="",#N/A,SUM(BF$4:BF309))</f>
        <v>#N/A</v>
      </c>
      <c r="BH309" s="315" t="e">
        <f>IF($J309="",#N/A,SUM(BF$4:BF309,BD$4:BD309,BB$4:BB309))</f>
        <v>#N/A</v>
      </c>
      <c r="BI309" s="304" t="str">
        <f t="shared" si="479"/>
        <v/>
      </c>
      <c r="BJ309" s="313" t="e">
        <f>IF($J309="",#N/A,SUM(BI$4:BI309))</f>
        <v>#N/A</v>
      </c>
      <c r="BK309" s="314" t="str">
        <f t="shared" si="480"/>
        <v/>
      </c>
      <c r="BL309" s="314" t="e">
        <f>IF($J309="",#N/A,SUM(BK$4:BK309))</f>
        <v>#N/A</v>
      </c>
      <c r="BM309" s="315" t="str">
        <f t="shared" si="481"/>
        <v/>
      </c>
      <c r="BN309" s="315" t="e">
        <f>IF($J309="",#N/A,SUM(BM$4:BM309))</f>
        <v>#N/A</v>
      </c>
      <c r="BO309" s="315" t="e">
        <f>IF($J309="",#N/A,SUM(BM$4:BM309,BK$4:BK309,BI$4:BI309))</f>
        <v>#N/A</v>
      </c>
      <c r="BP309" s="304" t="str">
        <f t="shared" si="482"/>
        <v/>
      </c>
      <c r="BQ309" s="313" t="e">
        <f>IF($J309="",#N/A,SUM(BP$4:BP309))</f>
        <v>#N/A</v>
      </c>
      <c r="BR309" s="314" t="str">
        <f t="shared" si="483"/>
        <v/>
      </c>
      <c r="BS309" s="314" t="e">
        <f>IF($J309="",#N/A,SUM(BR$4:BR309))</f>
        <v>#N/A</v>
      </c>
      <c r="BT309" s="315" t="str">
        <f t="shared" si="484"/>
        <v/>
      </c>
      <c r="BU309" s="315" t="e">
        <f>IF($J309="",#N/A,SUM(BT$4:BT309))</f>
        <v>#N/A</v>
      </c>
      <c r="BV309" s="315" t="e">
        <f>IF($J309="",#N/A,SUM(BT$4:BT309,BR$4:BR309,BP$4:BP309))</f>
        <v>#N/A</v>
      </c>
      <c r="BW309" s="304" t="str">
        <f t="shared" si="485"/>
        <v/>
      </c>
      <c r="BX309" s="313" t="e">
        <f>IF($J309="",#N/A,SUM(BW$4:BW309))</f>
        <v>#N/A</v>
      </c>
      <c r="BY309" s="314" t="str">
        <f t="shared" si="486"/>
        <v/>
      </c>
      <c r="BZ309" s="314" t="e">
        <f>IF($J309="",#N/A,SUM(BY$4:BY309))</f>
        <v>#N/A</v>
      </c>
      <c r="CA309" s="315" t="str">
        <f t="shared" si="487"/>
        <v/>
      </c>
      <c r="CB309" s="315" t="e">
        <f>IF($J309="",#N/A,SUM(CA$4:CA309))</f>
        <v>#N/A</v>
      </c>
      <c r="CC309" s="315" t="e">
        <f>IF($J309="",#N/A,SUM(CA$4:CA309,BY$4:BY309,BW$4:BW309))</f>
        <v>#N/A</v>
      </c>
      <c r="CD309" s="304" t="str">
        <f t="shared" si="488"/>
        <v/>
      </c>
      <c r="CE309" s="313" t="e">
        <f>IF($J309="",#N/A,SUM(CD$4:CD309))</f>
        <v>#N/A</v>
      </c>
      <c r="CF309" s="314">
        <f t="shared" si="489"/>
        <v>-0.71801566579634835</v>
      </c>
      <c r="CG309" s="314" t="e">
        <f>IF($J309="",#N/A,SUM(CF$4:CF309))</f>
        <v>#N/A</v>
      </c>
      <c r="CH309" s="315" t="str">
        <f t="shared" si="490"/>
        <v/>
      </c>
      <c r="CI309" s="315" t="e">
        <f>IF($J309="",#N/A,SUM(CH$4:CH309))</f>
        <v>#N/A</v>
      </c>
      <c r="CJ309" s="315" t="e">
        <f>IF($J309="",#N/A,SUM(CH$4:CH309,CF$4:CF309,CD$4:CD309))</f>
        <v>#N/A</v>
      </c>
      <c r="CK309" s="304" t="str">
        <f t="shared" si="491"/>
        <v/>
      </c>
      <c r="CL309" s="313" t="e">
        <f>IF($J309="",#N/A,SUM(CK$4:CK309))</f>
        <v>#N/A</v>
      </c>
      <c r="CM309" s="314" t="str">
        <f t="shared" si="492"/>
        <v/>
      </c>
      <c r="CN309" s="314" t="e">
        <f>IF($J309="",#N/A,SUM(CM$4:CM309))</f>
        <v>#N/A</v>
      </c>
      <c r="CO309" s="315" t="str">
        <f t="shared" si="493"/>
        <v/>
      </c>
      <c r="CP309" s="315" t="e">
        <f>IF($J309="",#N/A,SUM(CO$4:CO309))</f>
        <v>#N/A</v>
      </c>
      <c r="CQ309" s="315" t="e">
        <f>IF($J309="",#N/A,SUM(CO$4:CO309,CM$4:CM309,CK$4:CK309))</f>
        <v>#N/A</v>
      </c>
      <c r="CR309" s="304" t="str">
        <f t="shared" si="494"/>
        <v/>
      </c>
      <c r="CS309" s="313" t="e">
        <f>IF($J309="",#N/A,SUM(CR$4:CR309))</f>
        <v>#N/A</v>
      </c>
      <c r="CT309" s="314" t="str">
        <f t="shared" si="495"/>
        <v/>
      </c>
      <c r="CU309" s="314" t="e">
        <f>IF($J309="",#N/A,SUM(CT$4:CT309))</f>
        <v>#N/A</v>
      </c>
      <c r="CV309" s="315" t="str">
        <f t="shared" si="496"/>
        <v/>
      </c>
      <c r="CW309" s="315" t="e">
        <f>IF($J309="",#N/A,SUM(CV$4:CV309))</f>
        <v>#N/A</v>
      </c>
      <c r="CX309" s="315" t="e">
        <f>IF($J309="",#N/A,SUM(CV$4:CV309,CT$4:CT309,CR$4:CR309))</f>
        <v>#N/A</v>
      </c>
      <c r="CY309" s="304" t="str">
        <f t="shared" si="497"/>
        <v/>
      </c>
      <c r="CZ309" s="313" t="e">
        <f>IF($J309="",#N/A,SUM(CY$4:CY309))</f>
        <v>#N/A</v>
      </c>
      <c r="DA309" s="314" t="str">
        <f t="shared" si="498"/>
        <v/>
      </c>
      <c r="DB309" s="314" t="e">
        <f>IF($J309="",#N/A,SUM(DA$4:DA309))</f>
        <v>#N/A</v>
      </c>
      <c r="DC309" s="315" t="str">
        <f t="shared" si="499"/>
        <v/>
      </c>
      <c r="DD309" s="315" t="e">
        <f>IF($J309="",#N/A,SUM(DC$4:DC309))</f>
        <v>#N/A</v>
      </c>
      <c r="DE309" s="315" t="e">
        <f>IF($J309="",#N/A,SUM(DC$4:DC309,DA$4:DA309,CY$4:CY309))</f>
        <v>#N/A</v>
      </c>
      <c r="DF309" s="304" t="str">
        <f t="shared" si="500"/>
        <v/>
      </c>
      <c r="DG309" s="313" t="e">
        <f>IF($J309="",#N/A,SUM(DF$4:DF309))</f>
        <v>#N/A</v>
      </c>
      <c r="DH309" s="314" t="str">
        <f t="shared" si="501"/>
        <v/>
      </c>
      <c r="DI309" s="314" t="e">
        <f>IF($J309="",#N/A,SUM(DH$4:DH309))</f>
        <v>#N/A</v>
      </c>
      <c r="DJ309" s="315" t="str">
        <f t="shared" si="502"/>
        <v/>
      </c>
      <c r="DK309" s="315" t="e">
        <f>IF($J309="",#N/A,SUM(DJ$4:DJ309))</f>
        <v>#N/A</v>
      </c>
      <c r="DL309" s="315" t="e">
        <f>IF($J309="",#N/A,SUM(DJ$4:DJ309,DH$4:DH309,DF$4:DF309))</f>
        <v>#N/A</v>
      </c>
      <c r="DM309" s="304" t="str">
        <f t="shared" si="503"/>
        <v/>
      </c>
      <c r="DN309" s="313" t="e">
        <f>IF($J309="",#N/A,SUM(DM$4:DM309))</f>
        <v>#N/A</v>
      </c>
      <c r="DO309" s="314" t="str">
        <f t="shared" si="504"/>
        <v/>
      </c>
      <c r="DP309" s="314" t="e">
        <f>IF($J309="",#N/A,SUM(DO$4:DO309))</f>
        <v>#N/A</v>
      </c>
      <c r="DQ309" s="315" t="str">
        <f t="shared" si="505"/>
        <v/>
      </c>
      <c r="DR309" s="315" t="e">
        <f>IF($J309="",#N/A,SUM(DQ$4:DQ309))</f>
        <v>#N/A</v>
      </c>
      <c r="DS309" s="315" t="e">
        <f>IF($J309="",#N/A,SUM(DQ$4:DQ309,DO$4:DO309,DM$4:DM309))</f>
        <v>#N/A</v>
      </c>
      <c r="DT309" s="304" t="str">
        <f t="shared" si="506"/>
        <v/>
      </c>
      <c r="DU309" s="313" t="e">
        <f>IF($J309="",#N/A,SUM(DT$4:DT309))</f>
        <v>#N/A</v>
      </c>
      <c r="DV309" s="314" t="str">
        <f t="shared" si="507"/>
        <v/>
      </c>
      <c r="DW309" s="314" t="e">
        <f>IF($J309="",#N/A,SUM(DV$4:DV309))</f>
        <v>#N/A</v>
      </c>
      <c r="DX309" s="315" t="str">
        <f t="shared" si="508"/>
        <v/>
      </c>
      <c r="DY309" s="315" t="e">
        <f>IF($J309="",#N/A,SUM(DX$4:DX309))</f>
        <v>#N/A</v>
      </c>
      <c r="DZ309" s="315" t="e">
        <f>IF($J309="",#N/A,SUM(DX$4:DX309,DV$4:DV309,DT$4:DT309))</f>
        <v>#N/A</v>
      </c>
      <c r="EA309" s="304" t="str">
        <f t="shared" si="509"/>
        <v/>
      </c>
      <c r="EB309" s="313" t="e">
        <f>IF($J309="",#N/A,SUM(EA$4:EA309))</f>
        <v>#N/A</v>
      </c>
      <c r="EC309" s="314" t="str">
        <f t="shared" si="510"/>
        <v/>
      </c>
      <c r="ED309" s="314" t="e">
        <f>IF($J309="",#N/A,SUM(EC$4:EC309))</f>
        <v>#N/A</v>
      </c>
      <c r="EE309" s="315" t="str">
        <f t="shared" si="511"/>
        <v/>
      </c>
      <c r="EF309" s="315" t="e">
        <f>IF($J309="",#N/A,SUM(EE$4:EE309))</f>
        <v>#N/A</v>
      </c>
      <c r="EG309" s="315" t="e">
        <f>IF($J309="",#N/A,SUM(EE$4:EE309,EC$4:EC309,EA$4:EA309))</f>
        <v>#N/A</v>
      </c>
      <c r="EH309" s="130">
        <f t="shared" si="512"/>
        <v>-72.600000000000364</v>
      </c>
      <c r="EI309" s="63">
        <f>IF(EH309="",#N/A,SUM($EH$4:EH309))</f>
        <v>1542.6000842452945</v>
      </c>
      <c r="EJ309" s="223" t="e">
        <f t="shared" si="513"/>
        <v>#N/A</v>
      </c>
      <c r="EK309" s="63" t="e">
        <f>IF($GZ309="",#N/A,SUM(EJ$4:EJ309))</f>
        <v>#N/A</v>
      </c>
      <c r="EL309" s="60">
        <f t="shared" si="544"/>
        <v>-0.71801566579634835</v>
      </c>
      <c r="EM309" s="60">
        <f>IF(EL309="",NA(),SUM($EL$4:EL309))</f>
        <v>42.760405139752073</v>
      </c>
      <c r="EN309" s="60" t="str">
        <f t="shared" si="514"/>
        <v/>
      </c>
      <c r="EO309" s="60" t="e">
        <f>IF(EN309="",NA(),SUM($EN$4:EN309))</f>
        <v>#N/A</v>
      </c>
      <c r="EP309" s="60" t="str">
        <f t="shared" si="515"/>
        <v/>
      </c>
      <c r="EQ309" s="60" t="e">
        <f>IF(EP309="",NA(),SUM($EP$4:EP309))</f>
        <v>#N/A</v>
      </c>
      <c r="ER309" s="60">
        <f t="shared" si="516"/>
        <v>-0.71801566579634835</v>
      </c>
      <c r="ES309" s="60">
        <f>IF(ER309="",NA(),SUM($ER$4:ER309))</f>
        <v>15.763752676828348</v>
      </c>
      <c r="ET309" s="60" t="str">
        <f t="shared" si="517"/>
        <v/>
      </c>
      <c r="EU309" s="60" t="e">
        <f>IF(ET309="",NA(),SUM($ET$4:ET309))</f>
        <v>#N/A</v>
      </c>
      <c r="EV309" s="60" t="str">
        <f t="shared" si="518"/>
        <v/>
      </c>
      <c r="EW309" s="60" t="e">
        <f>IF(EV309="",NA(),SUM($EV$4:EV309))</f>
        <v>#N/A</v>
      </c>
      <c r="EX309" s="60" t="str">
        <f t="shared" si="519"/>
        <v/>
      </c>
      <c r="EY309" s="60" t="e">
        <f>IF(EX309="",NA(),SUM($EX$4:EX309))</f>
        <v>#N/A</v>
      </c>
      <c r="EZ309" s="60" t="str">
        <f t="shared" si="520"/>
        <v/>
      </c>
      <c r="FA309" s="60" t="e">
        <f>IF(EZ309="",NA(),SUM($EZ$4:EZ309))</f>
        <v>#N/A</v>
      </c>
      <c r="FB309" s="246" t="str">
        <f t="shared" si="545"/>
        <v/>
      </c>
      <c r="FC309" s="246" t="e">
        <f>IF($FB309="",#N/A,SUM(FB$4:$FB309))</f>
        <v>#N/A</v>
      </c>
      <c r="FD309" s="60">
        <f t="shared" si="521"/>
        <v>0.14142732811140302</v>
      </c>
      <c r="FE309" s="60">
        <f>IF($FD309="",#N/A,SUM($FD$4:FD309))</f>
        <v>5.741307320981873</v>
      </c>
      <c r="FF309" s="60" t="str">
        <f t="shared" si="522"/>
        <v/>
      </c>
      <c r="FG309" s="60" t="e">
        <f>IF($FF309="",#N/A,SUM($FF$4:FF309))</f>
        <v>#N/A</v>
      </c>
      <c r="FH309" s="60" t="str">
        <f t="shared" si="523"/>
        <v/>
      </c>
      <c r="FI309" s="60" t="e">
        <f>IF($FH309="",#N/A,SUM($FH$4:FH309))</f>
        <v>#N/A</v>
      </c>
      <c r="FJ309" s="60" t="str">
        <f t="shared" si="524"/>
        <v/>
      </c>
      <c r="FK309" s="60" t="e">
        <f>IF($FJ309="",#N/A,SUM($FJ$4:FJ309))</f>
        <v>#N/A</v>
      </c>
      <c r="FL309" s="60" t="str">
        <f t="shared" si="525"/>
        <v/>
      </c>
      <c r="FM309" s="60" t="e">
        <f>IF($FL309="",#N/A,SUM($FL$4:FL309))</f>
        <v>#N/A</v>
      </c>
      <c r="FN309" s="82">
        <f t="shared" si="526"/>
        <v>-0.57658833768494533</v>
      </c>
      <c r="FO309" s="82">
        <f>IF($FN309="",#N/A,SUM(FN$4:$FN309))</f>
        <v>63.129124406635569</v>
      </c>
      <c r="FP309" s="82">
        <f t="shared" si="546"/>
        <v>-0.71801566579634835</v>
      </c>
      <c r="FQ309" s="246">
        <f>IF($EH309="",#N/A,SUM($FP$4:FP309))</f>
        <v>55.812724277136304</v>
      </c>
      <c r="FR309" s="82">
        <f>IFERROR(FQ309/COUNTA($J$4:J309),#N/A)</f>
        <v>0.18239452378149118</v>
      </c>
      <c r="FS309" s="82">
        <f t="shared" si="448"/>
        <v>0.1952433062834622</v>
      </c>
      <c r="FT309" s="82">
        <f t="shared" si="449"/>
        <v>7.6118063132101385E-2</v>
      </c>
      <c r="FU309" s="338">
        <f t="shared" si="553"/>
        <v>30.620176526872967</v>
      </c>
      <c r="FV309" s="57" t="str">
        <f t="shared" si="552"/>
        <v>Dwn</v>
      </c>
      <c r="FW309" s="57" t="s">
        <v>2734</v>
      </c>
      <c r="FX309" s="57" t="str">
        <f t="shared" si="528"/>
        <v/>
      </c>
      <c r="FY309" s="57">
        <f t="shared" si="529"/>
        <v>1</v>
      </c>
      <c r="FZ309" s="57" t="str">
        <f t="shared" si="530"/>
        <v/>
      </c>
      <c r="GA309" s="57" t="str">
        <f t="shared" si="531"/>
        <v>Short</v>
      </c>
      <c r="GB309" s="57" t="str">
        <f t="shared" si="532"/>
        <v/>
      </c>
      <c r="GC309" s="57" t="str">
        <f t="shared" si="533"/>
        <v/>
      </c>
      <c r="GD309" s="57" t="str">
        <f t="shared" si="534"/>
        <v/>
      </c>
      <c r="GE309" s="62">
        <f t="shared" si="451"/>
        <v>76.599999999999994</v>
      </c>
      <c r="GF309" s="62" t="s">
        <v>2780</v>
      </c>
      <c r="GG309" s="199">
        <v>22</v>
      </c>
      <c r="GH309" s="207">
        <f t="shared" si="535"/>
        <v>1685.1999999999998</v>
      </c>
      <c r="GI309" s="199">
        <v>22</v>
      </c>
      <c r="GJ309" s="200">
        <v>79.900000000000006</v>
      </c>
      <c r="GK309" s="63">
        <f t="shared" si="536"/>
        <v>-72.600000000000364</v>
      </c>
      <c r="GL309" s="63">
        <f t="shared" si="452"/>
        <v>-58.300000000000182</v>
      </c>
      <c r="GM309" s="82" t="str">
        <f t="shared" si="537"/>
        <v/>
      </c>
      <c r="GN309" s="82">
        <f>IF($GZ309="",#N/A,SUM(GM$4:GM309))</f>
        <v>13.192534422440103</v>
      </c>
      <c r="GO309" s="82" t="str">
        <f t="shared" si="538"/>
        <v/>
      </c>
      <c r="GP309" s="82">
        <f>IF($GZ309="",#N/A,SUM(GO$4:GO309))</f>
        <v>13.94487164827283</v>
      </c>
      <c r="GQ309" s="82">
        <f t="shared" si="539"/>
        <v>-0.57658833768494533</v>
      </c>
      <c r="GR309" s="82">
        <f>IF($GZ309="",#N/A,SUM(GQ$4:GQ309))</f>
        <v>35.3658813814803</v>
      </c>
      <c r="GS309" s="63" t="str">
        <f t="shared" si="548"/>
        <v/>
      </c>
      <c r="GT309" s="63" t="e">
        <f>IF($GZ309="",#N/A,SUM(GS$4:GS309))</f>
        <v>#N/A</v>
      </c>
      <c r="GU309" s="63" t="str">
        <f t="shared" si="549"/>
        <v/>
      </c>
      <c r="GV309" s="63" t="e">
        <f>IF($GZ309="",#N/A,SUM(GU$4:GU309))</f>
        <v>#N/A</v>
      </c>
      <c r="GW309" s="63" t="e">
        <f t="shared" si="550"/>
        <v>#N/A</v>
      </c>
      <c r="GX309" s="63" t="e">
        <f>IF($GZ309="",#N/A,SUM(GW$4:GW309))</f>
        <v>#N/A</v>
      </c>
      <c r="GY309" s="63" t="e">
        <f>IF(EJ309="",#N/A,SUM($EJ$4:EJ309))</f>
        <v>#N/A</v>
      </c>
      <c r="GZ309" s="159">
        <v>79.25</v>
      </c>
      <c r="HA309" s="63">
        <f t="shared" si="540"/>
        <v>14.300000000000182</v>
      </c>
      <c r="HB309" s="62" t="s">
        <v>2538</v>
      </c>
      <c r="HC309" s="60">
        <f>IFERROR(VLOOKUP(E309,Expectancy!$P$4:$S$19,1+C309,FALSE),"")</f>
        <v>0.73529829292760662</v>
      </c>
      <c r="HD309" s="82">
        <f t="shared" si="541"/>
        <v>-0.71801566579634835</v>
      </c>
      <c r="HE309" s="138">
        <f>IF(HD309="",#N/A,SUM($HD$4:HD309))</f>
        <v>10.662547750263332</v>
      </c>
      <c r="HF309" s="85">
        <f>IF(HD309="",#N/A,IF(HB309="Skip",#N/A,SUM($HG$4:HG309)))</f>
        <v>432.80657921915531</v>
      </c>
      <c r="HG309" s="63">
        <f t="shared" si="542"/>
        <v>-72.600000000000364</v>
      </c>
      <c r="HH309" s="82">
        <f t="shared" si="543"/>
        <v>-0.57658833768494533</v>
      </c>
    </row>
    <row r="310" spans="1:216" x14ac:dyDescent="0.25">
      <c r="A310" s="57" t="s">
        <v>1585</v>
      </c>
      <c r="B310" s="58" t="s">
        <v>5239</v>
      </c>
      <c r="C310" s="386">
        <f t="shared" si="453"/>
        <v>3</v>
      </c>
      <c r="D310" s="372" t="str">
        <f>_xlfn.XLOOKUP(A310,[1]SP500!$A$2:$A$502,[1]SP500!$D$2:$D$502,"N")</f>
        <v>Y</v>
      </c>
      <c r="E310" s="57" t="str">
        <f>_xlfn.XLOOKUP(A310,[1]SP500!$A$2:$A$655,[1]SP500!$B$2:$B$655)</f>
        <v>XLI</v>
      </c>
      <c r="F310" s="59">
        <v>45700</v>
      </c>
      <c r="G310" s="57" t="str">
        <f t="shared" si="454"/>
        <v>AMC</v>
      </c>
      <c r="H310" s="57" t="str">
        <f t="shared" si="455"/>
        <v>s</v>
      </c>
      <c r="I310" s="159">
        <v>207.05</v>
      </c>
      <c r="J310" s="159">
        <v>215.79</v>
      </c>
      <c r="K310" s="61">
        <f t="shared" si="456"/>
        <v>4.2212026080656752E-2</v>
      </c>
      <c r="L310" s="87">
        <f t="shared" si="457"/>
        <v>69.919999999999845</v>
      </c>
      <c r="M310" s="130">
        <f t="shared" si="450"/>
        <v>8.0000000000154614E-2</v>
      </c>
      <c r="N310" s="169" t="str">
        <f t="shared" si="458"/>
        <v/>
      </c>
      <c r="O310" s="169">
        <f>IF($J310="",#N/A,SUM($N$4:N310))</f>
        <v>491.04671935422471</v>
      </c>
      <c r="P310" s="174" t="str">
        <f t="shared" si="459"/>
        <v/>
      </c>
      <c r="Q310" s="174">
        <f>IF($J310="",#N/A,SUM($P$4:P310))</f>
        <v>541.78890674734191</v>
      </c>
      <c r="R310" s="178">
        <f t="shared" si="460"/>
        <v>69.919999999999845</v>
      </c>
      <c r="S310" s="178">
        <f>IF($J310="",#N/A,SUM($R$4:R310))</f>
        <v>579.68445814372762</v>
      </c>
      <c r="T310" s="290" t="str">
        <f t="shared" si="461"/>
        <v/>
      </c>
      <c r="U310" s="290">
        <f>IF($J310="",#N/A,SUM($T$4:T310))</f>
        <v>17.918929312422989</v>
      </c>
      <c r="V310" s="291" t="str">
        <f t="shared" si="462"/>
        <v/>
      </c>
      <c r="W310" s="291">
        <f>IF($J310="",#N/A,SUM($V$4:V310))</f>
        <v>25.084355201328229</v>
      </c>
      <c r="X310" s="292">
        <f t="shared" si="463"/>
        <v>0.70353376801094591</v>
      </c>
      <c r="Y310" s="292">
        <f>IF($J310="",#N/A,SUM($X$4:X310))</f>
        <v>13.51297353139605</v>
      </c>
      <c r="Z310" s="304" t="str">
        <f t="shared" si="464"/>
        <v/>
      </c>
      <c r="AA310" s="313" t="e">
        <f>IF($J310="",#N/A,SUM(Z$4:Z310))</f>
        <v>#N/A</v>
      </c>
      <c r="AB310" s="314" t="str">
        <f t="shared" si="465"/>
        <v/>
      </c>
      <c r="AC310" s="314" t="e">
        <f>IF($J310="",#N/A,SUM(AB$4:AB310))</f>
        <v>#N/A</v>
      </c>
      <c r="AD310" s="315" t="str">
        <f t="shared" si="466"/>
        <v/>
      </c>
      <c r="AE310" s="315" t="e">
        <f>IF($J310="",#N/A,SUM(AD$4:AD310))</f>
        <v>#N/A</v>
      </c>
      <c r="AF310" s="315" t="e">
        <f>IF($J310="",#N/A,SUM(AD$4:AD310,AB$4:AB310,Z$4:Z310))</f>
        <v>#N/A</v>
      </c>
      <c r="AG310" s="304" t="str">
        <f t="shared" si="467"/>
        <v/>
      </c>
      <c r="AH310" s="313" t="e">
        <f>IF($J310="",#N/A,SUM(AG$4:AG310))</f>
        <v>#N/A</v>
      </c>
      <c r="AI310" s="314" t="str">
        <f t="shared" si="468"/>
        <v/>
      </c>
      <c r="AJ310" s="314" t="e">
        <f>IF($J310="",#N/A,SUM(AI$4:AI310))</f>
        <v>#N/A</v>
      </c>
      <c r="AK310" s="315" t="str">
        <f t="shared" si="469"/>
        <v/>
      </c>
      <c r="AL310" s="315" t="e">
        <f>IF($J310="",#N/A,SUM(AK$4:AK310))</f>
        <v>#N/A</v>
      </c>
      <c r="AM310" s="315" t="e">
        <f>IF($J310="",#N/A,SUM(AK$4:AK310,AI$4:AI310,AG$4:AG310))</f>
        <v>#N/A</v>
      </c>
      <c r="AN310" s="304" t="str">
        <f t="shared" si="470"/>
        <v/>
      </c>
      <c r="AO310" s="313" t="e">
        <f>IF($J310="",#N/A,SUM(AN$4:AN310))</f>
        <v>#N/A</v>
      </c>
      <c r="AP310" s="314" t="str">
        <f t="shared" si="471"/>
        <v/>
      </c>
      <c r="AQ310" s="314" t="e">
        <f>IF($J310="",#N/A,SUM(AP$4:AP310))</f>
        <v>#N/A</v>
      </c>
      <c r="AR310" s="315" t="str">
        <f t="shared" si="472"/>
        <v/>
      </c>
      <c r="AS310" s="315" t="e">
        <f>IF($J310="",#N/A,SUM(AR$4:AR310))</f>
        <v>#N/A</v>
      </c>
      <c r="AT310" s="315" t="e">
        <f>IF($J310="",#N/A,SUM(AR$4:AR310,AP$4:AP310,AN$4:AN310))</f>
        <v>#N/A</v>
      </c>
      <c r="AU310" s="304" t="str">
        <f t="shared" si="473"/>
        <v/>
      </c>
      <c r="AV310" s="313" t="e">
        <f>IF($J310="",#N/A,SUM(AU$4:AU310))</f>
        <v>#N/A</v>
      </c>
      <c r="AW310" s="314" t="str">
        <f t="shared" si="474"/>
        <v/>
      </c>
      <c r="AX310" s="314" t="e">
        <f>IF($J310="",#N/A,SUM(AW$4:AW310))</f>
        <v>#N/A</v>
      </c>
      <c r="AY310" s="315" t="str">
        <f t="shared" si="475"/>
        <v/>
      </c>
      <c r="AZ310" s="315" t="e">
        <f>IF($J310="",#N/A,SUM(AY$4:AY310))</f>
        <v>#N/A</v>
      </c>
      <c r="BA310" s="315" t="e">
        <f>IF($J310="",#N/A,SUM(AY$4:AY310,AW$4:AW310,AU$4:AU310))</f>
        <v>#N/A</v>
      </c>
      <c r="BB310" s="304" t="str">
        <f t="shared" si="476"/>
        <v/>
      </c>
      <c r="BC310" s="313" t="e">
        <f>IF($J310="",#N/A,SUM(BB$4:BB310))</f>
        <v>#N/A</v>
      </c>
      <c r="BD310" s="314" t="str">
        <f t="shared" si="477"/>
        <v/>
      </c>
      <c r="BE310" s="314" t="e">
        <f>IF($J310="",#N/A,SUM(BD$4:BD310))</f>
        <v>#N/A</v>
      </c>
      <c r="BF310" s="315" t="str">
        <f t="shared" si="478"/>
        <v/>
      </c>
      <c r="BG310" s="315" t="e">
        <f>IF($J310="",#N/A,SUM(BF$4:BF310))</f>
        <v>#N/A</v>
      </c>
      <c r="BH310" s="315" t="e">
        <f>IF($J310="",#N/A,SUM(BF$4:BF310,BD$4:BD310,BB$4:BB310))</f>
        <v>#N/A</v>
      </c>
      <c r="BI310" s="304" t="str">
        <f t="shared" si="479"/>
        <v/>
      </c>
      <c r="BJ310" s="313" t="e">
        <f>IF($J310="",#N/A,SUM(BI$4:BI310))</f>
        <v>#N/A</v>
      </c>
      <c r="BK310" s="314" t="str">
        <f t="shared" si="480"/>
        <v/>
      </c>
      <c r="BL310" s="314" t="e">
        <f>IF($J310="",#N/A,SUM(BK$4:BK310))</f>
        <v>#N/A</v>
      </c>
      <c r="BM310" s="315" t="str">
        <f t="shared" si="481"/>
        <v/>
      </c>
      <c r="BN310" s="315" t="e">
        <f>IF($J310="",#N/A,SUM(BM$4:BM310))</f>
        <v>#N/A</v>
      </c>
      <c r="BO310" s="315" t="e">
        <f>IF($J310="",#N/A,SUM(BM$4:BM310,BK$4:BK310,BI$4:BI310))</f>
        <v>#N/A</v>
      </c>
      <c r="BP310" s="304" t="str">
        <f t="shared" si="482"/>
        <v/>
      </c>
      <c r="BQ310" s="313" t="e">
        <f>IF($J310="",#N/A,SUM(BP$4:BP310))</f>
        <v>#N/A</v>
      </c>
      <c r="BR310" s="314" t="str">
        <f t="shared" si="483"/>
        <v/>
      </c>
      <c r="BS310" s="314" t="e">
        <f>IF($J310="",#N/A,SUM(BR$4:BR310))</f>
        <v>#N/A</v>
      </c>
      <c r="BT310" s="315">
        <f t="shared" si="484"/>
        <v>0.70353376801094591</v>
      </c>
      <c r="BU310" s="315" t="e">
        <f>IF($J310="",#N/A,SUM(BT$4:BT310))</f>
        <v>#N/A</v>
      </c>
      <c r="BV310" s="315" t="e">
        <f>IF($J310="",#N/A,SUM(BT$4:BT310,BR$4:BR310,BP$4:BP310))</f>
        <v>#N/A</v>
      </c>
      <c r="BW310" s="304" t="str">
        <f t="shared" si="485"/>
        <v/>
      </c>
      <c r="BX310" s="313" t="e">
        <f>IF($J310="",#N/A,SUM(BW$4:BW310))</f>
        <v>#N/A</v>
      </c>
      <c r="BY310" s="314" t="str">
        <f t="shared" si="486"/>
        <v/>
      </c>
      <c r="BZ310" s="314" t="e">
        <f>IF($J310="",#N/A,SUM(BY$4:BY310))</f>
        <v>#N/A</v>
      </c>
      <c r="CA310" s="315" t="str">
        <f t="shared" si="487"/>
        <v/>
      </c>
      <c r="CB310" s="315" t="e">
        <f>IF($J310="",#N/A,SUM(CA$4:CA310))</f>
        <v>#N/A</v>
      </c>
      <c r="CC310" s="315" t="e">
        <f>IF($J310="",#N/A,SUM(CA$4:CA310,BY$4:BY310,BW$4:BW310))</f>
        <v>#N/A</v>
      </c>
      <c r="CD310" s="304" t="str">
        <f t="shared" si="488"/>
        <v/>
      </c>
      <c r="CE310" s="313" t="e">
        <f>IF($J310="",#N/A,SUM(CD$4:CD310))</f>
        <v>#N/A</v>
      </c>
      <c r="CF310" s="314" t="str">
        <f t="shared" si="489"/>
        <v/>
      </c>
      <c r="CG310" s="314" t="e">
        <f>IF($J310="",#N/A,SUM(CF$4:CF310))</f>
        <v>#N/A</v>
      </c>
      <c r="CH310" s="315" t="str">
        <f t="shared" si="490"/>
        <v/>
      </c>
      <c r="CI310" s="315" t="e">
        <f>IF($J310="",#N/A,SUM(CH$4:CH310))</f>
        <v>#N/A</v>
      </c>
      <c r="CJ310" s="315" t="e">
        <f>IF($J310="",#N/A,SUM(CH$4:CH310,CF$4:CF310,CD$4:CD310))</f>
        <v>#N/A</v>
      </c>
      <c r="CK310" s="304" t="str">
        <f t="shared" si="491"/>
        <v/>
      </c>
      <c r="CL310" s="313" t="e">
        <f>IF($J310="",#N/A,SUM(CK$4:CK310))</f>
        <v>#N/A</v>
      </c>
      <c r="CM310" s="314" t="str">
        <f t="shared" si="492"/>
        <v/>
      </c>
      <c r="CN310" s="314" t="e">
        <f>IF($J310="",#N/A,SUM(CM$4:CM310))</f>
        <v>#N/A</v>
      </c>
      <c r="CO310" s="315" t="str">
        <f t="shared" si="493"/>
        <v/>
      </c>
      <c r="CP310" s="315" t="e">
        <f>IF($J310="",#N/A,SUM(CO$4:CO310))</f>
        <v>#N/A</v>
      </c>
      <c r="CQ310" s="315" t="e">
        <f>IF($J310="",#N/A,SUM(CO$4:CO310,CM$4:CM310,CK$4:CK310))</f>
        <v>#N/A</v>
      </c>
      <c r="CR310" s="304" t="str">
        <f t="shared" si="494"/>
        <v/>
      </c>
      <c r="CS310" s="313" t="e">
        <f>IF($J310="",#N/A,SUM(CR$4:CR310))</f>
        <v>#N/A</v>
      </c>
      <c r="CT310" s="314" t="str">
        <f t="shared" si="495"/>
        <v/>
      </c>
      <c r="CU310" s="314" t="e">
        <f>IF($J310="",#N/A,SUM(CT$4:CT310))</f>
        <v>#N/A</v>
      </c>
      <c r="CV310" s="315" t="str">
        <f t="shared" si="496"/>
        <v/>
      </c>
      <c r="CW310" s="315" t="e">
        <f>IF($J310="",#N/A,SUM(CV$4:CV310))</f>
        <v>#N/A</v>
      </c>
      <c r="CX310" s="315" t="e">
        <f>IF($J310="",#N/A,SUM(CV$4:CV310,CT$4:CT310,CR$4:CR310))</f>
        <v>#N/A</v>
      </c>
      <c r="CY310" s="304" t="str">
        <f t="shared" si="497"/>
        <v/>
      </c>
      <c r="CZ310" s="313" t="e">
        <f>IF($J310="",#N/A,SUM(CY$4:CY310))</f>
        <v>#N/A</v>
      </c>
      <c r="DA310" s="314" t="str">
        <f t="shared" si="498"/>
        <v/>
      </c>
      <c r="DB310" s="314" t="e">
        <f>IF($J310="",#N/A,SUM(DA$4:DA310))</f>
        <v>#N/A</v>
      </c>
      <c r="DC310" s="315" t="str">
        <f t="shared" si="499"/>
        <v/>
      </c>
      <c r="DD310" s="315" t="e">
        <f>IF($J310="",#N/A,SUM(DC$4:DC310))</f>
        <v>#N/A</v>
      </c>
      <c r="DE310" s="315" t="e">
        <f>IF($J310="",#N/A,SUM(DC$4:DC310,DA$4:DA310,CY$4:CY310))</f>
        <v>#N/A</v>
      </c>
      <c r="DF310" s="304" t="str">
        <f t="shared" si="500"/>
        <v/>
      </c>
      <c r="DG310" s="313" t="e">
        <f>IF($J310="",#N/A,SUM(DF$4:DF310))</f>
        <v>#N/A</v>
      </c>
      <c r="DH310" s="314" t="str">
        <f t="shared" si="501"/>
        <v/>
      </c>
      <c r="DI310" s="314" t="e">
        <f>IF($J310="",#N/A,SUM(DH$4:DH310))</f>
        <v>#N/A</v>
      </c>
      <c r="DJ310" s="315" t="str">
        <f t="shared" si="502"/>
        <v/>
      </c>
      <c r="DK310" s="315" t="e">
        <f>IF($J310="",#N/A,SUM(DJ$4:DJ310))</f>
        <v>#N/A</v>
      </c>
      <c r="DL310" s="315" t="e">
        <f>IF($J310="",#N/A,SUM(DJ$4:DJ310,DH$4:DH310,DF$4:DF310))</f>
        <v>#N/A</v>
      </c>
      <c r="DM310" s="304" t="str">
        <f t="shared" si="503"/>
        <v/>
      </c>
      <c r="DN310" s="313" t="e">
        <f>IF($J310="",#N/A,SUM(DM$4:DM310))</f>
        <v>#N/A</v>
      </c>
      <c r="DO310" s="314" t="str">
        <f t="shared" si="504"/>
        <v/>
      </c>
      <c r="DP310" s="314" t="e">
        <f>IF($J310="",#N/A,SUM(DO$4:DO310))</f>
        <v>#N/A</v>
      </c>
      <c r="DQ310" s="315" t="str">
        <f t="shared" si="505"/>
        <v/>
      </c>
      <c r="DR310" s="315" t="e">
        <f>IF($J310="",#N/A,SUM(DQ$4:DQ310))</f>
        <v>#N/A</v>
      </c>
      <c r="DS310" s="315" t="e">
        <f>IF($J310="",#N/A,SUM(DQ$4:DQ310,DO$4:DO310,DM$4:DM310))</f>
        <v>#N/A</v>
      </c>
      <c r="DT310" s="304" t="str">
        <f t="shared" si="506"/>
        <v/>
      </c>
      <c r="DU310" s="313" t="e">
        <f>IF($J310="",#N/A,SUM(DT$4:DT310))</f>
        <v>#N/A</v>
      </c>
      <c r="DV310" s="314" t="str">
        <f t="shared" si="507"/>
        <v/>
      </c>
      <c r="DW310" s="314" t="e">
        <f>IF($J310="",#N/A,SUM(DV$4:DV310))</f>
        <v>#N/A</v>
      </c>
      <c r="DX310" s="315" t="str">
        <f t="shared" si="508"/>
        <v/>
      </c>
      <c r="DY310" s="315" t="e">
        <f>IF($J310="",#N/A,SUM(DX$4:DX310))</f>
        <v>#N/A</v>
      </c>
      <c r="DZ310" s="315" t="e">
        <f>IF($J310="",#N/A,SUM(DX$4:DX310,DV$4:DV310,DT$4:DT310))</f>
        <v>#N/A</v>
      </c>
      <c r="EA310" s="304" t="str">
        <f t="shared" si="509"/>
        <v/>
      </c>
      <c r="EB310" s="313" t="e">
        <f>IF($J310="",#N/A,SUM(EA$4:EA310))</f>
        <v>#N/A</v>
      </c>
      <c r="EC310" s="314" t="str">
        <f t="shared" si="510"/>
        <v/>
      </c>
      <c r="ED310" s="314" t="e">
        <f>IF($J310="",#N/A,SUM(EC$4:EC310))</f>
        <v>#N/A</v>
      </c>
      <c r="EE310" s="315" t="str">
        <f t="shared" si="511"/>
        <v/>
      </c>
      <c r="EF310" s="315" t="e">
        <f>IF($J310="",#N/A,SUM(EE$4:EE310))</f>
        <v>#N/A</v>
      </c>
      <c r="EG310" s="315" t="e">
        <f>IF($J310="",#N/A,SUM(EE$4:EE310,EC$4:EC310,EA$4:EA310))</f>
        <v>#N/A</v>
      </c>
      <c r="EH310" s="130">
        <f t="shared" si="512"/>
        <v>69.919999999999845</v>
      </c>
      <c r="EI310" s="63">
        <f>IF(EH310="",#N/A,SUM($EH$4:EH310))</f>
        <v>1612.5200842452944</v>
      </c>
      <c r="EJ310" s="223" t="e">
        <f t="shared" si="513"/>
        <v>#N/A</v>
      </c>
      <c r="EK310" s="63" t="e">
        <f>IF($GZ310="",#N/A,SUM(EJ$4:EJ310))</f>
        <v>#N/A</v>
      </c>
      <c r="EL310" s="60">
        <f t="shared" si="544"/>
        <v>0.70353376801094591</v>
      </c>
      <c r="EM310" s="60">
        <f>IF(EL310="",NA(),SUM($EL$4:EL310))</f>
        <v>43.463938907763023</v>
      </c>
      <c r="EN310" s="60" t="str">
        <f t="shared" si="514"/>
        <v/>
      </c>
      <c r="EO310" s="60" t="e">
        <f>IF(EN310="",NA(),SUM($EN$4:EN310))</f>
        <v>#N/A</v>
      </c>
      <c r="EP310" s="60">
        <f t="shared" si="515"/>
        <v>0.70353376801094591</v>
      </c>
      <c r="EQ310" s="60">
        <f>IF(EP310="",NA(),SUM($EP$4:EP310))</f>
        <v>12.577829364662966</v>
      </c>
      <c r="ER310" s="60" t="str">
        <f t="shared" si="516"/>
        <v/>
      </c>
      <c r="ES310" s="60" t="e">
        <f>IF(ER310="",NA(),SUM($ER$4:ER310))</f>
        <v>#N/A</v>
      </c>
      <c r="ET310" s="60" t="str">
        <f t="shared" si="517"/>
        <v/>
      </c>
      <c r="EU310" s="60" t="e">
        <f>IF(ET310="",NA(),SUM($ET$4:ET310))</f>
        <v>#N/A</v>
      </c>
      <c r="EV310" s="60" t="str">
        <f t="shared" si="518"/>
        <v/>
      </c>
      <c r="EW310" s="60" t="e">
        <f>IF(EV310="",NA(),SUM($EV$4:EV310))</f>
        <v>#N/A</v>
      </c>
      <c r="EX310" s="60" t="str">
        <f t="shared" si="519"/>
        <v/>
      </c>
      <c r="EY310" s="60" t="e">
        <f>IF(EX310="",NA(),SUM($EX$4:EX310))</f>
        <v>#N/A</v>
      </c>
      <c r="EZ310" s="60" t="str">
        <f t="shared" si="520"/>
        <v/>
      </c>
      <c r="FA310" s="60" t="e">
        <f>IF(EZ310="",NA(),SUM($EZ$4:EZ310))</f>
        <v>#N/A</v>
      </c>
      <c r="FB310" s="246" t="str">
        <f t="shared" si="545"/>
        <v/>
      </c>
      <c r="FC310" s="246" t="e">
        <f>IF($FB310="",#N/A,SUM(FB$4:$FB310))</f>
        <v>#N/A</v>
      </c>
      <c r="FD310" s="60" t="str">
        <f t="shared" si="521"/>
        <v/>
      </c>
      <c r="FE310" s="60" t="e">
        <f>IF($FD310="",#N/A,SUM($FD$4:FD310))</f>
        <v>#N/A</v>
      </c>
      <c r="FF310" s="60" t="str">
        <f t="shared" si="522"/>
        <v/>
      </c>
      <c r="FG310" s="60" t="e">
        <f>IF($FF310="",#N/A,SUM($FF$4:FF310))</f>
        <v>#N/A</v>
      </c>
      <c r="FH310" s="60" t="str">
        <f t="shared" si="523"/>
        <v/>
      </c>
      <c r="FI310" s="60" t="e">
        <f>IF($FH310="",#N/A,SUM($FH$4:FH310))</f>
        <v>#N/A</v>
      </c>
      <c r="FJ310" s="60">
        <f t="shared" si="524"/>
        <v>-0.30668920550591666</v>
      </c>
      <c r="FK310" s="60">
        <f>IF($FJ310="",#N/A,SUM($FJ$4:FJ310))</f>
        <v>-1.6826606580087742</v>
      </c>
      <c r="FL310" s="60" t="str">
        <f t="shared" si="525"/>
        <v/>
      </c>
      <c r="FM310" s="60" t="e">
        <f>IF($FL310="",#N/A,SUM($FL$4:FL310))</f>
        <v>#N/A</v>
      </c>
      <c r="FN310" s="82">
        <f t="shared" si="526"/>
        <v>0.39684456250502925</v>
      </c>
      <c r="FO310" s="82">
        <f>IF($FN310="",#N/A,SUM(FN$4:$FN310))</f>
        <v>63.5259689691406</v>
      </c>
      <c r="FP310" s="82">
        <f t="shared" si="546"/>
        <v>0.70353376801094591</v>
      </c>
      <c r="FQ310" s="246">
        <f>IF($EH310="",#N/A,SUM($FP$4:FP310))</f>
        <v>56.516258045147254</v>
      </c>
      <c r="FR310" s="82">
        <f>IFERROR(FQ310/COUNTA($J$4:J310),#N/A)</f>
        <v>0.18409204574966531</v>
      </c>
      <c r="FS310" s="82">
        <f t="shared" si="448"/>
        <v>0.1677453140907616</v>
      </c>
      <c r="FT310" s="82">
        <f t="shared" si="449"/>
        <v>0.12132588061915583</v>
      </c>
      <c r="FU310" s="338">
        <f t="shared" si="553"/>
        <v>30.61937156832834</v>
      </c>
      <c r="FV310" s="57" t="str">
        <f t="shared" si="552"/>
        <v>SW</v>
      </c>
      <c r="FW310" s="57" t="s">
        <v>2732</v>
      </c>
      <c r="FX310" s="57" t="str">
        <f t="shared" si="528"/>
        <v/>
      </c>
      <c r="FY310" s="57" t="str">
        <f t="shared" si="529"/>
        <v/>
      </c>
      <c r="FZ310" s="57">
        <f t="shared" si="530"/>
        <v>1</v>
      </c>
      <c r="GA310" s="57" t="str">
        <f t="shared" si="531"/>
        <v>Long</v>
      </c>
      <c r="GB310" s="57" t="str">
        <f t="shared" si="532"/>
        <v/>
      </c>
      <c r="GC310" s="57" t="str">
        <f t="shared" si="533"/>
        <v/>
      </c>
      <c r="GD310" s="57" t="str">
        <f t="shared" si="534"/>
        <v/>
      </c>
      <c r="GE310" s="62">
        <f t="shared" si="451"/>
        <v>207.05</v>
      </c>
      <c r="GF310" s="62" t="s">
        <v>2779</v>
      </c>
      <c r="GG310" s="199">
        <v>8</v>
      </c>
      <c r="GH310" s="207">
        <f t="shared" si="535"/>
        <v>1656.4</v>
      </c>
      <c r="GI310" s="199">
        <v>8</v>
      </c>
      <c r="GJ310" s="200">
        <v>215.8</v>
      </c>
      <c r="GK310" s="63">
        <f t="shared" si="536"/>
        <v>70</v>
      </c>
      <c r="GL310" s="63">
        <f t="shared" si="452"/>
        <v>39.439999999999827</v>
      </c>
      <c r="GM310" s="82">
        <f t="shared" si="537"/>
        <v>0.39684456250502925</v>
      </c>
      <c r="GN310" s="82">
        <f>IF($GZ310="",#N/A,SUM(GM$4:GM310))</f>
        <v>13.589378984945132</v>
      </c>
      <c r="GO310" s="82" t="str">
        <f t="shared" si="538"/>
        <v/>
      </c>
      <c r="GP310" s="82">
        <f>IF($GZ310="",#N/A,SUM(GO$4:GO310))</f>
        <v>13.94487164827283</v>
      </c>
      <c r="GQ310" s="82" t="str">
        <f t="shared" si="539"/>
        <v/>
      </c>
      <c r="GR310" s="82">
        <f>IF($GZ310="",#N/A,SUM(GQ$4:GQ310))</f>
        <v>35.3658813814803</v>
      </c>
      <c r="GS310" s="63" t="e">
        <f t="shared" si="548"/>
        <v>#N/A</v>
      </c>
      <c r="GT310" s="63" t="e">
        <f>IF($GZ310="",#N/A,SUM(GS$4:GS310))</f>
        <v>#N/A</v>
      </c>
      <c r="GU310" s="63" t="str">
        <f t="shared" si="549"/>
        <v/>
      </c>
      <c r="GV310" s="63" t="e">
        <f>IF($GZ310="",#N/A,SUM(GU$4:GU310))</f>
        <v>#N/A</v>
      </c>
      <c r="GW310" s="63" t="str">
        <f t="shared" si="550"/>
        <v/>
      </c>
      <c r="GX310" s="63" t="e">
        <f>IF($GZ310="",#N/A,SUM(GW$4:GW310))</f>
        <v>#N/A</v>
      </c>
      <c r="GY310" s="63" t="e">
        <f>IF(EJ310="",#N/A,SUM($EJ$4:EJ310))</f>
        <v>#N/A</v>
      </c>
      <c r="GZ310" s="159">
        <v>211.98</v>
      </c>
      <c r="HA310" s="63">
        <f t="shared" si="540"/>
        <v>-30.480000000000018</v>
      </c>
      <c r="HB310" s="62" t="s">
        <v>2538</v>
      </c>
      <c r="HC310" s="60">
        <f>IFERROR(VLOOKUP(E310,Expectancy!$P$4:$S$19,1+C310,FALSE),"")</f>
        <v>2.40735201201209E-2</v>
      </c>
      <c r="HD310" s="82">
        <f t="shared" si="541"/>
        <v>0.70433872655558238</v>
      </c>
      <c r="HE310" s="138">
        <f>IF(HD310="",#N/A,SUM($HD$4:HD310))</f>
        <v>11.366886476818914</v>
      </c>
      <c r="HF310" s="85">
        <f>IF(HD310="",#N/A,IF(HB310="Skip",#N/A,SUM($HG$4:HG310)))</f>
        <v>502.80657921915531</v>
      </c>
      <c r="HG310" s="63">
        <f t="shared" si="542"/>
        <v>70</v>
      </c>
      <c r="HH310" s="82">
        <f t="shared" si="543"/>
        <v>0.39684456250502925</v>
      </c>
    </row>
    <row r="311" spans="1:216" x14ac:dyDescent="0.25">
      <c r="A311" s="57" t="s">
        <v>1592</v>
      </c>
      <c r="B311" s="58" t="s">
        <v>5239</v>
      </c>
      <c r="C311" s="386">
        <f t="shared" si="453"/>
        <v>2</v>
      </c>
      <c r="D311" s="372" t="str">
        <f>_xlfn.XLOOKUP(A311,[1]SP500!$A$2:$A$502,[1]SP500!$D$2:$D$502,"N")</f>
        <v>Y</v>
      </c>
      <c r="E311" s="57" t="str">
        <f>_xlfn.XLOOKUP(A311,[1]SP500!$A$2:$A$655,[1]SP500!$B$2:$B$655)</f>
        <v>XLY</v>
      </c>
      <c r="F311" s="59">
        <v>45700</v>
      </c>
      <c r="G311" s="57" t="str">
        <f t="shared" si="454"/>
        <v>AMC</v>
      </c>
      <c r="H311" s="57" t="str">
        <f t="shared" si="455"/>
        <v>s</v>
      </c>
      <c r="I311" s="159">
        <v>34.369999999999997</v>
      </c>
      <c r="J311" s="159">
        <v>38.549999999999997</v>
      </c>
      <c r="K311" s="61">
        <f t="shared" si="456"/>
        <v>0.12161768984579575</v>
      </c>
      <c r="L311" s="87">
        <f t="shared" si="457"/>
        <v>-200.6400000000001</v>
      </c>
      <c r="M311" s="130">
        <f t="shared" si="450"/>
        <v>-8.6400000000001</v>
      </c>
      <c r="N311" s="169" t="str">
        <f t="shared" si="458"/>
        <v/>
      </c>
      <c r="O311" s="169">
        <f>IF($J311="",#N/A,SUM($N$4:N311))</f>
        <v>491.04671935422471</v>
      </c>
      <c r="P311" s="174">
        <f t="shared" si="459"/>
        <v>-200.6400000000001</v>
      </c>
      <c r="Q311" s="174">
        <f>IF($J311="",#N/A,SUM($P$4:P311))</f>
        <v>341.14890674734181</v>
      </c>
      <c r="R311" s="178" t="str">
        <f t="shared" si="460"/>
        <v/>
      </c>
      <c r="S311" s="178">
        <f>IF($J311="",#N/A,SUM($R$4:R311))</f>
        <v>579.68445814372762</v>
      </c>
      <c r="T311" s="290" t="str">
        <f t="shared" si="461"/>
        <v/>
      </c>
      <c r="U311" s="290">
        <f>IF($J311="",#N/A,SUM($T$4:T311))</f>
        <v>17.918929312422989</v>
      </c>
      <c r="V311" s="291">
        <f t="shared" si="462"/>
        <v>-2.0269614974299306</v>
      </c>
      <c r="W311" s="291">
        <f>IF($J311="",#N/A,SUM($V$4:V311))</f>
        <v>23.057393703898299</v>
      </c>
      <c r="X311" s="292" t="str">
        <f t="shared" si="463"/>
        <v/>
      </c>
      <c r="Y311" s="292">
        <f>IF($J311="",#N/A,SUM($X$4:X311))</f>
        <v>13.51297353139605</v>
      </c>
      <c r="Z311" s="304" t="str">
        <f t="shared" si="464"/>
        <v/>
      </c>
      <c r="AA311" s="313" t="e">
        <f>IF($J311="",#N/A,SUM(Z$4:Z311))</f>
        <v>#N/A</v>
      </c>
      <c r="AB311" s="314" t="str">
        <f t="shared" si="465"/>
        <v/>
      </c>
      <c r="AC311" s="314" t="e">
        <f>IF($J311="",#N/A,SUM(AB$4:AB311))</f>
        <v>#N/A</v>
      </c>
      <c r="AD311" s="315" t="str">
        <f t="shared" si="466"/>
        <v/>
      </c>
      <c r="AE311" s="315" t="e">
        <f>IF($J311="",#N/A,SUM(AD$4:AD311))</f>
        <v>#N/A</v>
      </c>
      <c r="AF311" s="315" t="e">
        <f>IF($J311="",#N/A,SUM(AD$4:AD311,AB$4:AB311,Z$4:Z311))</f>
        <v>#N/A</v>
      </c>
      <c r="AG311" s="304" t="str">
        <f t="shared" si="467"/>
        <v/>
      </c>
      <c r="AH311" s="313" t="e">
        <f>IF($J311="",#N/A,SUM(AG$4:AG311))</f>
        <v>#N/A</v>
      </c>
      <c r="AI311" s="314" t="str">
        <f t="shared" si="468"/>
        <v/>
      </c>
      <c r="AJ311" s="314" t="e">
        <f>IF($J311="",#N/A,SUM(AI$4:AI311))</f>
        <v>#N/A</v>
      </c>
      <c r="AK311" s="315" t="str">
        <f t="shared" si="469"/>
        <v/>
      </c>
      <c r="AL311" s="315" t="e">
        <f>IF($J311="",#N/A,SUM(AK$4:AK311))</f>
        <v>#N/A</v>
      </c>
      <c r="AM311" s="315" t="e">
        <f>IF($J311="",#N/A,SUM(AK$4:AK311,AI$4:AI311,AG$4:AG311))</f>
        <v>#N/A</v>
      </c>
      <c r="AN311" s="304" t="str">
        <f t="shared" si="470"/>
        <v/>
      </c>
      <c r="AO311" s="313" t="e">
        <f>IF($J311="",#N/A,SUM(AN$4:AN311))</f>
        <v>#N/A</v>
      </c>
      <c r="AP311" s="314">
        <f t="shared" si="471"/>
        <v>-2.0269614974299306</v>
      </c>
      <c r="AQ311" s="314" t="e">
        <f>IF($J311="",#N/A,SUM(AP$4:AP311))</f>
        <v>#N/A</v>
      </c>
      <c r="AR311" s="315" t="str">
        <f t="shared" si="472"/>
        <v/>
      </c>
      <c r="AS311" s="315" t="e">
        <f>IF($J311="",#N/A,SUM(AR$4:AR311))</f>
        <v>#N/A</v>
      </c>
      <c r="AT311" s="315" t="e">
        <f>IF($J311="",#N/A,SUM(AR$4:AR311,AP$4:AP311,AN$4:AN311))</f>
        <v>#N/A</v>
      </c>
      <c r="AU311" s="304" t="str">
        <f t="shared" si="473"/>
        <v/>
      </c>
      <c r="AV311" s="313" t="e">
        <f>IF($J311="",#N/A,SUM(AU$4:AU311))</f>
        <v>#N/A</v>
      </c>
      <c r="AW311" s="314" t="str">
        <f t="shared" si="474"/>
        <v/>
      </c>
      <c r="AX311" s="314" t="e">
        <f>IF($J311="",#N/A,SUM(AW$4:AW311))</f>
        <v>#N/A</v>
      </c>
      <c r="AY311" s="315" t="str">
        <f t="shared" si="475"/>
        <v/>
      </c>
      <c r="AZ311" s="315" t="e">
        <f>IF($J311="",#N/A,SUM(AY$4:AY311))</f>
        <v>#N/A</v>
      </c>
      <c r="BA311" s="315" t="e">
        <f>IF($J311="",#N/A,SUM(AY$4:AY311,AW$4:AW311,AU$4:AU311))</f>
        <v>#N/A</v>
      </c>
      <c r="BB311" s="304" t="str">
        <f t="shared" si="476"/>
        <v/>
      </c>
      <c r="BC311" s="313" t="e">
        <f>IF($J311="",#N/A,SUM(BB$4:BB311))</f>
        <v>#N/A</v>
      </c>
      <c r="BD311" s="314" t="str">
        <f t="shared" si="477"/>
        <v/>
      </c>
      <c r="BE311" s="314" t="e">
        <f>IF($J311="",#N/A,SUM(BD$4:BD311))</f>
        <v>#N/A</v>
      </c>
      <c r="BF311" s="315" t="str">
        <f t="shared" si="478"/>
        <v/>
      </c>
      <c r="BG311" s="315" t="e">
        <f>IF($J311="",#N/A,SUM(BF$4:BF311))</f>
        <v>#N/A</v>
      </c>
      <c r="BH311" s="315" t="e">
        <f>IF($J311="",#N/A,SUM(BF$4:BF311,BD$4:BD311,BB$4:BB311))</f>
        <v>#N/A</v>
      </c>
      <c r="BI311" s="304" t="str">
        <f t="shared" si="479"/>
        <v/>
      </c>
      <c r="BJ311" s="313" t="e">
        <f>IF($J311="",#N/A,SUM(BI$4:BI311))</f>
        <v>#N/A</v>
      </c>
      <c r="BK311" s="314" t="str">
        <f t="shared" si="480"/>
        <v/>
      </c>
      <c r="BL311" s="314" t="e">
        <f>IF($J311="",#N/A,SUM(BK$4:BK311))</f>
        <v>#N/A</v>
      </c>
      <c r="BM311" s="315" t="str">
        <f t="shared" si="481"/>
        <v/>
      </c>
      <c r="BN311" s="315" t="e">
        <f>IF($J311="",#N/A,SUM(BM$4:BM311))</f>
        <v>#N/A</v>
      </c>
      <c r="BO311" s="315" t="e">
        <f>IF($J311="",#N/A,SUM(BM$4:BM311,BK$4:BK311,BI$4:BI311))</f>
        <v>#N/A</v>
      </c>
      <c r="BP311" s="304" t="str">
        <f t="shared" si="482"/>
        <v/>
      </c>
      <c r="BQ311" s="313" t="e">
        <f>IF($J311="",#N/A,SUM(BP$4:BP311))</f>
        <v>#N/A</v>
      </c>
      <c r="BR311" s="314" t="str">
        <f t="shared" si="483"/>
        <v/>
      </c>
      <c r="BS311" s="314" t="e">
        <f>IF($J311="",#N/A,SUM(BR$4:BR311))</f>
        <v>#N/A</v>
      </c>
      <c r="BT311" s="315" t="str">
        <f t="shared" si="484"/>
        <v/>
      </c>
      <c r="BU311" s="315" t="e">
        <f>IF($J311="",#N/A,SUM(BT$4:BT311))</f>
        <v>#N/A</v>
      </c>
      <c r="BV311" s="315" t="e">
        <f>IF($J311="",#N/A,SUM(BT$4:BT311,BR$4:BR311,BP$4:BP311))</f>
        <v>#N/A</v>
      </c>
      <c r="BW311" s="304" t="str">
        <f t="shared" si="485"/>
        <v/>
      </c>
      <c r="BX311" s="313" t="e">
        <f>IF($J311="",#N/A,SUM(BW$4:BW311))</f>
        <v>#N/A</v>
      </c>
      <c r="BY311" s="314" t="str">
        <f t="shared" si="486"/>
        <v/>
      </c>
      <c r="BZ311" s="314" t="e">
        <f>IF($J311="",#N/A,SUM(BY$4:BY311))</f>
        <v>#N/A</v>
      </c>
      <c r="CA311" s="315" t="str">
        <f t="shared" si="487"/>
        <v/>
      </c>
      <c r="CB311" s="315" t="e">
        <f>IF($J311="",#N/A,SUM(CA$4:CA311))</f>
        <v>#N/A</v>
      </c>
      <c r="CC311" s="315" t="e">
        <f>IF($J311="",#N/A,SUM(CA$4:CA311,BY$4:BY311,BW$4:BW311))</f>
        <v>#N/A</v>
      </c>
      <c r="CD311" s="304" t="str">
        <f t="shared" si="488"/>
        <v/>
      </c>
      <c r="CE311" s="313" t="e">
        <f>IF($J311="",#N/A,SUM(CD$4:CD311))</f>
        <v>#N/A</v>
      </c>
      <c r="CF311" s="314" t="str">
        <f t="shared" si="489"/>
        <v/>
      </c>
      <c r="CG311" s="314" t="e">
        <f>IF($J311="",#N/A,SUM(CF$4:CF311))</f>
        <v>#N/A</v>
      </c>
      <c r="CH311" s="315" t="str">
        <f t="shared" si="490"/>
        <v/>
      </c>
      <c r="CI311" s="315" t="e">
        <f>IF($J311="",#N/A,SUM(CH$4:CH311))</f>
        <v>#N/A</v>
      </c>
      <c r="CJ311" s="315" t="e">
        <f>IF($J311="",#N/A,SUM(CH$4:CH311,CF$4:CF311,CD$4:CD311))</f>
        <v>#N/A</v>
      </c>
      <c r="CK311" s="304" t="str">
        <f t="shared" si="491"/>
        <v/>
      </c>
      <c r="CL311" s="313" t="e">
        <f>IF($J311="",#N/A,SUM(CK$4:CK311))</f>
        <v>#N/A</v>
      </c>
      <c r="CM311" s="314" t="str">
        <f t="shared" si="492"/>
        <v/>
      </c>
      <c r="CN311" s="314" t="e">
        <f>IF($J311="",#N/A,SUM(CM$4:CM311))</f>
        <v>#N/A</v>
      </c>
      <c r="CO311" s="315" t="str">
        <f t="shared" si="493"/>
        <v/>
      </c>
      <c r="CP311" s="315" t="e">
        <f>IF($J311="",#N/A,SUM(CO$4:CO311))</f>
        <v>#N/A</v>
      </c>
      <c r="CQ311" s="315" t="e">
        <f>IF($J311="",#N/A,SUM(CO$4:CO311,CM$4:CM311,CK$4:CK311))</f>
        <v>#N/A</v>
      </c>
      <c r="CR311" s="304" t="str">
        <f t="shared" si="494"/>
        <v/>
      </c>
      <c r="CS311" s="313" t="e">
        <f>IF($J311="",#N/A,SUM(CR$4:CR311))</f>
        <v>#N/A</v>
      </c>
      <c r="CT311" s="314" t="str">
        <f t="shared" si="495"/>
        <v/>
      </c>
      <c r="CU311" s="314" t="e">
        <f>IF($J311="",#N/A,SUM(CT$4:CT311))</f>
        <v>#N/A</v>
      </c>
      <c r="CV311" s="315" t="str">
        <f t="shared" si="496"/>
        <v/>
      </c>
      <c r="CW311" s="315" t="e">
        <f>IF($J311="",#N/A,SUM(CV$4:CV311))</f>
        <v>#N/A</v>
      </c>
      <c r="CX311" s="315" t="e">
        <f>IF($J311="",#N/A,SUM(CV$4:CV311,CT$4:CT311,CR$4:CR311))</f>
        <v>#N/A</v>
      </c>
      <c r="CY311" s="304" t="str">
        <f t="shared" si="497"/>
        <v/>
      </c>
      <c r="CZ311" s="313" t="e">
        <f>IF($J311="",#N/A,SUM(CY$4:CY311))</f>
        <v>#N/A</v>
      </c>
      <c r="DA311" s="314" t="str">
        <f t="shared" si="498"/>
        <v/>
      </c>
      <c r="DB311" s="314" t="e">
        <f>IF($J311="",#N/A,SUM(DA$4:DA311))</f>
        <v>#N/A</v>
      </c>
      <c r="DC311" s="315" t="str">
        <f t="shared" si="499"/>
        <v/>
      </c>
      <c r="DD311" s="315" t="e">
        <f>IF($J311="",#N/A,SUM(DC$4:DC311))</f>
        <v>#N/A</v>
      </c>
      <c r="DE311" s="315" t="e">
        <f>IF($J311="",#N/A,SUM(DC$4:DC311,DA$4:DA311,CY$4:CY311))</f>
        <v>#N/A</v>
      </c>
      <c r="DF311" s="304" t="str">
        <f t="shared" si="500"/>
        <v/>
      </c>
      <c r="DG311" s="313" t="e">
        <f>IF($J311="",#N/A,SUM(DF$4:DF311))</f>
        <v>#N/A</v>
      </c>
      <c r="DH311" s="314" t="str">
        <f t="shared" si="501"/>
        <v/>
      </c>
      <c r="DI311" s="314" t="e">
        <f>IF($J311="",#N/A,SUM(DH$4:DH311))</f>
        <v>#N/A</v>
      </c>
      <c r="DJ311" s="315" t="str">
        <f t="shared" si="502"/>
        <v/>
      </c>
      <c r="DK311" s="315" t="e">
        <f>IF($J311="",#N/A,SUM(DJ$4:DJ311))</f>
        <v>#N/A</v>
      </c>
      <c r="DL311" s="315" t="e">
        <f>IF($J311="",#N/A,SUM(DJ$4:DJ311,DH$4:DH311,DF$4:DF311))</f>
        <v>#N/A</v>
      </c>
      <c r="DM311" s="304" t="str">
        <f t="shared" si="503"/>
        <v/>
      </c>
      <c r="DN311" s="313" t="e">
        <f>IF($J311="",#N/A,SUM(DM$4:DM311))</f>
        <v>#N/A</v>
      </c>
      <c r="DO311" s="314" t="str">
        <f t="shared" si="504"/>
        <v/>
      </c>
      <c r="DP311" s="314" t="e">
        <f>IF($J311="",#N/A,SUM(DO$4:DO311))</f>
        <v>#N/A</v>
      </c>
      <c r="DQ311" s="315" t="str">
        <f t="shared" si="505"/>
        <v/>
      </c>
      <c r="DR311" s="315" t="e">
        <f>IF($J311="",#N/A,SUM(DQ$4:DQ311))</f>
        <v>#N/A</v>
      </c>
      <c r="DS311" s="315" t="e">
        <f>IF($J311="",#N/A,SUM(DQ$4:DQ311,DO$4:DO311,DM$4:DM311))</f>
        <v>#N/A</v>
      </c>
      <c r="DT311" s="304" t="str">
        <f t="shared" si="506"/>
        <v/>
      </c>
      <c r="DU311" s="313" t="e">
        <f>IF($J311="",#N/A,SUM(DT$4:DT311))</f>
        <v>#N/A</v>
      </c>
      <c r="DV311" s="314" t="str">
        <f t="shared" si="507"/>
        <v/>
      </c>
      <c r="DW311" s="314" t="e">
        <f>IF($J311="",#N/A,SUM(DV$4:DV311))</f>
        <v>#N/A</v>
      </c>
      <c r="DX311" s="315" t="str">
        <f t="shared" si="508"/>
        <v/>
      </c>
      <c r="DY311" s="315" t="e">
        <f>IF($J311="",#N/A,SUM(DX$4:DX311))</f>
        <v>#N/A</v>
      </c>
      <c r="DZ311" s="315" t="e">
        <f>IF($J311="",#N/A,SUM(DX$4:DX311,DV$4:DV311,DT$4:DT311))</f>
        <v>#N/A</v>
      </c>
      <c r="EA311" s="304" t="str">
        <f t="shared" si="509"/>
        <v/>
      </c>
      <c r="EB311" s="313" t="e">
        <f>IF($J311="",#N/A,SUM(EA$4:EA311))</f>
        <v>#N/A</v>
      </c>
      <c r="EC311" s="314" t="str">
        <f t="shared" si="510"/>
        <v/>
      </c>
      <c r="ED311" s="314" t="e">
        <f>IF($J311="",#N/A,SUM(EC$4:EC311))</f>
        <v>#N/A</v>
      </c>
      <c r="EE311" s="315" t="str">
        <f t="shared" si="511"/>
        <v/>
      </c>
      <c r="EF311" s="315" t="e">
        <f>IF($J311="",#N/A,SUM(EE$4:EE311))</f>
        <v>#N/A</v>
      </c>
      <c r="EG311" s="315" t="e">
        <f>IF($J311="",#N/A,SUM(EE$4:EE311,EC$4:EC311,EA$4:EA311))</f>
        <v>#N/A</v>
      </c>
      <c r="EH311" s="130">
        <f t="shared" si="512"/>
        <v>-200.6400000000001</v>
      </c>
      <c r="EI311" s="63">
        <f>IF(EH311="",#N/A,SUM($EH$4:EH311))</f>
        <v>1411.8800842452943</v>
      </c>
      <c r="EJ311" s="223" t="e">
        <f t="shared" si="513"/>
        <v>#N/A</v>
      </c>
      <c r="EK311" s="63" t="e">
        <f>IF($GZ311="",#N/A,SUM(EJ$4:EJ311))</f>
        <v>#N/A</v>
      </c>
      <c r="EL311" s="60">
        <f t="shared" si="544"/>
        <v>-2.0269614974299306</v>
      </c>
      <c r="EM311" s="60">
        <f>IF(EL311="",NA(),SUM($EL$4:EL311))</f>
        <v>41.436977410333093</v>
      </c>
      <c r="EN311" s="60" t="str">
        <f t="shared" si="514"/>
        <v/>
      </c>
      <c r="EO311" s="60" t="e">
        <f>IF(EN311="",NA(),SUM($EN$4:EN311))</f>
        <v>#N/A</v>
      </c>
      <c r="EP311" s="60" t="str">
        <f t="shared" si="515"/>
        <v/>
      </c>
      <c r="EQ311" s="60" t="e">
        <f>IF(EP311="",NA(),SUM($EP$4:EP311))</f>
        <v>#N/A</v>
      </c>
      <c r="ER311" s="60">
        <f t="shared" si="516"/>
        <v>-2.0269614974299306</v>
      </c>
      <c r="ES311" s="60">
        <f>IF(ER311="",NA(),SUM($ER$4:ER311))</f>
        <v>13.736791179398418</v>
      </c>
      <c r="ET311" s="60" t="str">
        <f t="shared" si="517"/>
        <v/>
      </c>
      <c r="EU311" s="60" t="e">
        <f>IF(ET311="",NA(),SUM($ET$4:ET311))</f>
        <v>#N/A</v>
      </c>
      <c r="EV311" s="60" t="str">
        <f t="shared" si="518"/>
        <v/>
      </c>
      <c r="EW311" s="60" t="e">
        <f>IF(EV311="",NA(),SUM($EV$4:EV311))</f>
        <v>#N/A</v>
      </c>
      <c r="EX311" s="60" t="str">
        <f t="shared" si="519"/>
        <v/>
      </c>
      <c r="EY311" s="60" t="e">
        <f>IF(EX311="",NA(),SUM($EX$4:EX311))</f>
        <v>#N/A</v>
      </c>
      <c r="EZ311" s="60" t="str">
        <f t="shared" si="520"/>
        <v/>
      </c>
      <c r="FA311" s="60" t="e">
        <f>IF(EZ311="",NA(),SUM($EZ$4:EZ311))</f>
        <v>#N/A</v>
      </c>
      <c r="FB311" s="246" t="str">
        <f t="shared" si="545"/>
        <v/>
      </c>
      <c r="FC311" s="246" t="e">
        <f>IF($FB311="",#N/A,SUM(FB$4:$FB311))</f>
        <v>#N/A</v>
      </c>
      <c r="FD311" s="60">
        <f t="shared" si="521"/>
        <v>-0.88255261371350935</v>
      </c>
      <c r="FE311" s="60">
        <f>IF($FD311="",#N/A,SUM($FD$4:FD311))</f>
        <v>4.8587547072683641</v>
      </c>
      <c r="FF311" s="60" t="str">
        <f t="shared" si="522"/>
        <v/>
      </c>
      <c r="FG311" s="60" t="e">
        <f>IF($FF311="",#N/A,SUM($FF$4:FF311))</f>
        <v>#N/A</v>
      </c>
      <c r="FH311" s="60" t="str">
        <f t="shared" si="523"/>
        <v/>
      </c>
      <c r="FI311" s="60" t="e">
        <f>IF($FH311="",#N/A,SUM($FH$4:FH311))</f>
        <v>#N/A</v>
      </c>
      <c r="FJ311" s="60" t="str">
        <f t="shared" si="524"/>
        <v/>
      </c>
      <c r="FK311" s="60" t="e">
        <f>IF($FJ311="",#N/A,SUM($FJ$4:FJ311))</f>
        <v>#N/A</v>
      </c>
      <c r="FL311" s="60" t="str">
        <f t="shared" si="525"/>
        <v/>
      </c>
      <c r="FM311" s="60" t="e">
        <f>IF($FL311="",#N/A,SUM($FL$4:FL311))</f>
        <v>#N/A</v>
      </c>
      <c r="FN311" s="82">
        <f t="shared" si="526"/>
        <v>-2.9095141111434399</v>
      </c>
      <c r="FO311" s="82">
        <f>IF($FN311="",#N/A,SUM(FN$4:$FN311))</f>
        <v>60.616454857997162</v>
      </c>
      <c r="FP311" s="82">
        <f t="shared" si="546"/>
        <v>-2.0269614974299306</v>
      </c>
      <c r="FQ311" s="246">
        <f>IF($EH311="",#N/A,SUM($FP$4:FP311))</f>
        <v>54.489296547717323</v>
      </c>
      <c r="FR311" s="82">
        <f>IFERROR(FQ311/COUNTA($J$4:J311),#N/A)</f>
        <v>0.17691330047960169</v>
      </c>
      <c r="FS311" s="82">
        <f t="shared" si="448"/>
        <v>0.13458497410045622</v>
      </c>
      <c r="FT311" s="82">
        <f t="shared" si="449"/>
        <v>7.0844500886308601E-2</v>
      </c>
      <c r="FU311" s="338">
        <f t="shared" si="553"/>
        <v>30.706656991662641</v>
      </c>
      <c r="FV311" s="57" t="str">
        <f t="shared" si="552"/>
        <v>Dwn</v>
      </c>
      <c r="FW311" s="57" t="s">
        <v>2734</v>
      </c>
      <c r="FX311" s="57" t="str">
        <f t="shared" si="528"/>
        <v/>
      </c>
      <c r="FY311" s="57">
        <f t="shared" si="529"/>
        <v>1</v>
      </c>
      <c r="FZ311" s="57" t="str">
        <f t="shared" si="530"/>
        <v/>
      </c>
      <c r="GA311" s="57" t="str">
        <f t="shared" si="531"/>
        <v>Short</v>
      </c>
      <c r="GB311" s="57" t="str">
        <f t="shared" si="532"/>
        <v/>
      </c>
      <c r="GC311" s="57" t="str">
        <f t="shared" si="533"/>
        <v/>
      </c>
      <c r="GD311" s="57" t="str">
        <f t="shared" si="534"/>
        <v/>
      </c>
      <c r="GE311" s="62">
        <f t="shared" si="451"/>
        <v>34.369999999999997</v>
      </c>
      <c r="GF311" s="62" t="s">
        <v>2780</v>
      </c>
      <c r="GG311" s="199">
        <v>48</v>
      </c>
      <c r="GH311" s="207">
        <f t="shared" si="535"/>
        <v>1649.7599999999998</v>
      </c>
      <c r="GI311" s="199">
        <v>48</v>
      </c>
      <c r="GJ311" s="200">
        <v>38.729999999999997</v>
      </c>
      <c r="GK311" s="63">
        <f t="shared" si="536"/>
        <v>-209.2800000000002</v>
      </c>
      <c r="GL311" s="63">
        <f t="shared" si="452"/>
        <v>-288</v>
      </c>
      <c r="GM311" s="82" t="str">
        <f t="shared" si="537"/>
        <v/>
      </c>
      <c r="GN311" s="82">
        <f>IF($GZ311="",#N/A,SUM(GM$4:GM311))</f>
        <v>13.589378984945132</v>
      </c>
      <c r="GO311" s="82" t="str">
        <f t="shared" si="538"/>
        <v/>
      </c>
      <c r="GP311" s="82">
        <f>IF($GZ311="",#N/A,SUM(GO$4:GO311))</f>
        <v>13.94487164827283</v>
      </c>
      <c r="GQ311" s="82">
        <f t="shared" si="539"/>
        <v>-2.9095141111434399</v>
      </c>
      <c r="GR311" s="82">
        <f>IF($GZ311="",#N/A,SUM(GQ$4:GQ311))</f>
        <v>32.456367270336862</v>
      </c>
      <c r="GS311" s="63" t="str">
        <f t="shared" si="548"/>
        <v/>
      </c>
      <c r="GT311" s="63" t="e">
        <f>IF($GZ311="",#N/A,SUM(GS$4:GS311))</f>
        <v>#N/A</v>
      </c>
      <c r="GU311" s="63" t="str">
        <f t="shared" si="549"/>
        <v/>
      </c>
      <c r="GV311" s="63" t="e">
        <f>IF($GZ311="",#N/A,SUM(GU$4:GU311))</f>
        <v>#N/A</v>
      </c>
      <c r="GW311" s="63" t="e">
        <f t="shared" si="550"/>
        <v>#N/A</v>
      </c>
      <c r="GX311" s="63" t="e">
        <f>IF($GZ311="",#N/A,SUM(GW$4:GW311))</f>
        <v>#N/A</v>
      </c>
      <c r="GY311" s="63" t="e">
        <f>IF(EJ311="",#N/A,SUM($EJ$4:EJ311))</f>
        <v>#N/A</v>
      </c>
      <c r="GZ311" s="159">
        <v>40.369999999999997</v>
      </c>
      <c r="HA311" s="63">
        <f t="shared" si="540"/>
        <v>-87.3599999999999</v>
      </c>
      <c r="HB311" s="62" t="s">
        <v>2538</v>
      </c>
      <c r="HC311" s="60">
        <f>IFERROR(VLOOKUP(E311,Expectancy!$P$4:$S$19,1+C311,FALSE),"")</f>
        <v>-9.4786290791818092E-2</v>
      </c>
      <c r="HD311" s="82">
        <f t="shared" si="541"/>
        <v>-2.1142469207642347</v>
      </c>
      <c r="HE311" s="138">
        <f>IF(HD311="",#N/A,SUM($HD$4:HD311))</f>
        <v>9.2526395560546799</v>
      </c>
      <c r="HF311" s="85">
        <f>IF(HD311="",#N/A,IF(HB311="Skip",#N/A,SUM($HG$4:HG311)))</f>
        <v>293.52657921915511</v>
      </c>
      <c r="HG311" s="63">
        <f t="shared" si="542"/>
        <v>-209.2800000000002</v>
      </c>
      <c r="HH311" s="82">
        <f t="shared" si="543"/>
        <v>-2.9095141111434399</v>
      </c>
    </row>
    <row r="312" spans="1:216" x14ac:dyDescent="0.25">
      <c r="A312" s="57" t="s">
        <v>2931</v>
      </c>
      <c r="B312" s="58" t="s">
        <v>5239</v>
      </c>
      <c r="C312" s="386">
        <f t="shared" si="453"/>
        <v>1</v>
      </c>
      <c r="D312" s="372" t="str">
        <f>_xlfn.XLOOKUP(A312,[1]SP500!$A$2:$A$502,[1]SP500!$D$2:$D$502,"N")</f>
        <v>N</v>
      </c>
      <c r="E312" s="57" t="str">
        <f>_xlfn.XLOOKUP(A312,[1]SP500!$A$2:$A$655,[1]SP500!$B$2:$B$655)</f>
        <v>IGV</v>
      </c>
      <c r="F312" s="227">
        <v>45700</v>
      </c>
      <c r="G312" s="57" t="str">
        <f t="shared" si="454"/>
        <v>AMC</v>
      </c>
      <c r="H312" s="57" t="str">
        <f t="shared" si="455"/>
        <v>o</v>
      </c>
      <c r="I312" s="159">
        <v>380.32</v>
      </c>
      <c r="J312" s="159">
        <v>499.34</v>
      </c>
      <c r="K312" s="61">
        <f t="shared" si="456"/>
        <v>0.31294699200673115</v>
      </c>
      <c r="L312" s="87">
        <f t="shared" si="457"/>
        <v>476.07999999999993</v>
      </c>
      <c r="M312" s="130" t="e">
        <f t="shared" si="450"/>
        <v>#N/A</v>
      </c>
      <c r="N312" s="169">
        <f t="shared" si="458"/>
        <v>476.07999999999993</v>
      </c>
      <c r="O312" s="169">
        <f>IF($J312="",#N/A,SUM($N$4:N312))</f>
        <v>967.12671935422463</v>
      </c>
      <c r="P312" s="174" t="str">
        <f t="shared" si="459"/>
        <v/>
      </c>
      <c r="Q312" s="174">
        <f>IF($J312="",#N/A,SUM($P$4:P312))</f>
        <v>341.14890674734181</v>
      </c>
      <c r="R312" s="178" t="str">
        <f t="shared" si="460"/>
        <v/>
      </c>
      <c r="S312" s="178">
        <f>IF($J312="",#N/A,SUM($R$4:R312))</f>
        <v>579.68445814372762</v>
      </c>
      <c r="T312" s="290">
        <f t="shared" si="461"/>
        <v>5.2157832001121855</v>
      </c>
      <c r="U312" s="290">
        <f>IF($J312="",#N/A,SUM($T$4:T312))</f>
        <v>23.134712512535174</v>
      </c>
      <c r="V312" s="291" t="str">
        <f t="shared" si="462"/>
        <v/>
      </c>
      <c r="W312" s="291">
        <f>IF($J312="",#N/A,SUM($V$4:V312))</f>
        <v>23.057393703898299</v>
      </c>
      <c r="X312" s="292" t="str">
        <f t="shared" si="463"/>
        <v/>
      </c>
      <c r="Y312" s="292">
        <f>IF($J312="",#N/A,SUM($X$4:X312))</f>
        <v>13.51297353139605</v>
      </c>
      <c r="Z312" s="304" t="str">
        <f t="shared" si="464"/>
        <v/>
      </c>
      <c r="AA312" s="313" t="e">
        <f>IF($J312="",#N/A,SUM(Z$4:Z312))</f>
        <v>#N/A</v>
      </c>
      <c r="AB312" s="314" t="str">
        <f t="shared" si="465"/>
        <v/>
      </c>
      <c r="AC312" s="314" t="e">
        <f>IF($J312="",#N/A,SUM(AB$4:AB312))</f>
        <v>#N/A</v>
      </c>
      <c r="AD312" s="315" t="str">
        <f t="shared" si="466"/>
        <v/>
      </c>
      <c r="AE312" s="315" t="e">
        <f>IF($J312="",#N/A,SUM(AD$4:AD312))</f>
        <v>#N/A</v>
      </c>
      <c r="AF312" s="315" t="e">
        <f>IF($J312="",#N/A,SUM(AD$4:AD312,AB$4:AB312,Z$4:Z312))</f>
        <v>#N/A</v>
      </c>
      <c r="AG312" s="304">
        <f t="shared" si="467"/>
        <v>5.2157832001121855</v>
      </c>
      <c r="AH312" s="313" t="e">
        <f>IF($J312="",#N/A,SUM(AG$4:AG312))</f>
        <v>#N/A</v>
      </c>
      <c r="AI312" s="314" t="str">
        <f t="shared" si="468"/>
        <v/>
      </c>
      <c r="AJ312" s="314" t="e">
        <f>IF($J312="",#N/A,SUM(AI$4:AI312))</f>
        <v>#N/A</v>
      </c>
      <c r="AK312" s="315" t="str">
        <f t="shared" si="469"/>
        <v/>
      </c>
      <c r="AL312" s="315" t="e">
        <f>IF($J312="",#N/A,SUM(AK$4:AK312))</f>
        <v>#N/A</v>
      </c>
      <c r="AM312" s="315" t="e">
        <f>IF($J312="",#N/A,SUM(AK$4:AK312,AI$4:AI312,AG$4:AG312))</f>
        <v>#N/A</v>
      </c>
      <c r="AN312" s="304" t="str">
        <f t="shared" si="470"/>
        <v/>
      </c>
      <c r="AO312" s="313" t="e">
        <f>IF($J312="",#N/A,SUM(AN$4:AN312))</f>
        <v>#N/A</v>
      </c>
      <c r="AP312" s="314" t="str">
        <f t="shared" si="471"/>
        <v/>
      </c>
      <c r="AQ312" s="314" t="e">
        <f>IF($J312="",#N/A,SUM(AP$4:AP312))</f>
        <v>#N/A</v>
      </c>
      <c r="AR312" s="315" t="str">
        <f t="shared" si="472"/>
        <v/>
      </c>
      <c r="AS312" s="315" t="e">
        <f>IF($J312="",#N/A,SUM(AR$4:AR312))</f>
        <v>#N/A</v>
      </c>
      <c r="AT312" s="315" t="e">
        <f>IF($J312="",#N/A,SUM(AR$4:AR312,AP$4:AP312,AN$4:AN312))</f>
        <v>#N/A</v>
      </c>
      <c r="AU312" s="304" t="str">
        <f t="shared" si="473"/>
        <v/>
      </c>
      <c r="AV312" s="313" t="e">
        <f>IF($J312="",#N/A,SUM(AU$4:AU312))</f>
        <v>#N/A</v>
      </c>
      <c r="AW312" s="314" t="str">
        <f t="shared" si="474"/>
        <v/>
      </c>
      <c r="AX312" s="314" t="e">
        <f>IF($J312="",#N/A,SUM(AW$4:AW312))</f>
        <v>#N/A</v>
      </c>
      <c r="AY312" s="315" t="str">
        <f t="shared" si="475"/>
        <v/>
      </c>
      <c r="AZ312" s="315" t="e">
        <f>IF($J312="",#N/A,SUM(AY$4:AY312))</f>
        <v>#N/A</v>
      </c>
      <c r="BA312" s="315" t="e">
        <f>IF($J312="",#N/A,SUM(AY$4:AY312,AW$4:AW312,AU$4:AU312))</f>
        <v>#N/A</v>
      </c>
      <c r="BB312" s="304" t="str">
        <f t="shared" si="476"/>
        <v/>
      </c>
      <c r="BC312" s="313" t="e">
        <f>IF($J312="",#N/A,SUM(BB$4:BB312))</f>
        <v>#N/A</v>
      </c>
      <c r="BD312" s="314" t="str">
        <f t="shared" si="477"/>
        <v/>
      </c>
      <c r="BE312" s="314" t="e">
        <f>IF($J312="",#N/A,SUM(BD$4:BD312))</f>
        <v>#N/A</v>
      </c>
      <c r="BF312" s="315" t="str">
        <f t="shared" si="478"/>
        <v/>
      </c>
      <c r="BG312" s="315" t="e">
        <f>IF($J312="",#N/A,SUM(BF$4:BF312))</f>
        <v>#N/A</v>
      </c>
      <c r="BH312" s="315" t="e">
        <f>IF($J312="",#N/A,SUM(BF$4:BF312,BD$4:BD312,BB$4:BB312))</f>
        <v>#N/A</v>
      </c>
      <c r="BI312" s="304" t="str">
        <f t="shared" si="479"/>
        <v/>
      </c>
      <c r="BJ312" s="313" t="e">
        <f>IF($J312="",#N/A,SUM(BI$4:BI312))</f>
        <v>#N/A</v>
      </c>
      <c r="BK312" s="314" t="str">
        <f t="shared" si="480"/>
        <v/>
      </c>
      <c r="BL312" s="314" t="e">
        <f>IF($J312="",#N/A,SUM(BK$4:BK312))</f>
        <v>#N/A</v>
      </c>
      <c r="BM312" s="315" t="str">
        <f t="shared" si="481"/>
        <v/>
      </c>
      <c r="BN312" s="315" t="e">
        <f>IF($J312="",#N/A,SUM(BM$4:BM312))</f>
        <v>#N/A</v>
      </c>
      <c r="BO312" s="315" t="e">
        <f>IF($J312="",#N/A,SUM(BM$4:BM312,BK$4:BK312,BI$4:BI312))</f>
        <v>#N/A</v>
      </c>
      <c r="BP312" s="304" t="str">
        <f t="shared" si="482"/>
        <v/>
      </c>
      <c r="BQ312" s="313" t="e">
        <f>IF($J312="",#N/A,SUM(BP$4:BP312))</f>
        <v>#N/A</v>
      </c>
      <c r="BR312" s="314" t="str">
        <f t="shared" si="483"/>
        <v/>
      </c>
      <c r="BS312" s="314" t="e">
        <f>IF($J312="",#N/A,SUM(BR$4:BR312))</f>
        <v>#N/A</v>
      </c>
      <c r="BT312" s="315" t="str">
        <f t="shared" si="484"/>
        <v/>
      </c>
      <c r="BU312" s="315" t="e">
        <f>IF($J312="",#N/A,SUM(BT$4:BT312))</f>
        <v>#N/A</v>
      </c>
      <c r="BV312" s="315" t="e">
        <f>IF($J312="",#N/A,SUM(BT$4:BT312,BR$4:BR312,BP$4:BP312))</f>
        <v>#N/A</v>
      </c>
      <c r="BW312" s="304" t="str">
        <f t="shared" si="485"/>
        <v/>
      </c>
      <c r="BX312" s="313" t="e">
        <f>IF($J312="",#N/A,SUM(BW$4:BW312))</f>
        <v>#N/A</v>
      </c>
      <c r="BY312" s="314" t="str">
        <f t="shared" si="486"/>
        <v/>
      </c>
      <c r="BZ312" s="314" t="e">
        <f>IF($J312="",#N/A,SUM(BY$4:BY312))</f>
        <v>#N/A</v>
      </c>
      <c r="CA312" s="315" t="str">
        <f t="shared" si="487"/>
        <v/>
      </c>
      <c r="CB312" s="315" t="e">
        <f>IF($J312="",#N/A,SUM(CA$4:CA312))</f>
        <v>#N/A</v>
      </c>
      <c r="CC312" s="315" t="e">
        <f>IF($J312="",#N/A,SUM(CA$4:CA312,BY$4:BY312,BW$4:BW312))</f>
        <v>#N/A</v>
      </c>
      <c r="CD312" s="304" t="str">
        <f t="shared" si="488"/>
        <v/>
      </c>
      <c r="CE312" s="313" t="e">
        <f>IF($J312="",#N/A,SUM(CD$4:CD312))</f>
        <v>#N/A</v>
      </c>
      <c r="CF312" s="314" t="str">
        <f t="shared" si="489"/>
        <v/>
      </c>
      <c r="CG312" s="314" t="e">
        <f>IF($J312="",#N/A,SUM(CF$4:CF312))</f>
        <v>#N/A</v>
      </c>
      <c r="CH312" s="315" t="str">
        <f t="shared" si="490"/>
        <v/>
      </c>
      <c r="CI312" s="315" t="e">
        <f>IF($J312="",#N/A,SUM(CH$4:CH312))</f>
        <v>#N/A</v>
      </c>
      <c r="CJ312" s="315" t="e">
        <f>IF($J312="",#N/A,SUM(CH$4:CH312,CF$4:CF312,CD$4:CD312))</f>
        <v>#N/A</v>
      </c>
      <c r="CK312" s="304" t="str">
        <f t="shared" si="491"/>
        <v/>
      </c>
      <c r="CL312" s="313" t="e">
        <f>IF($J312="",#N/A,SUM(CK$4:CK312))</f>
        <v>#N/A</v>
      </c>
      <c r="CM312" s="314" t="str">
        <f t="shared" si="492"/>
        <v/>
      </c>
      <c r="CN312" s="314" t="e">
        <f>IF($J312="",#N/A,SUM(CM$4:CM312))</f>
        <v>#N/A</v>
      </c>
      <c r="CO312" s="315" t="str">
        <f t="shared" si="493"/>
        <v/>
      </c>
      <c r="CP312" s="315" t="e">
        <f>IF($J312="",#N/A,SUM(CO$4:CO312))</f>
        <v>#N/A</v>
      </c>
      <c r="CQ312" s="315" t="e">
        <f>IF($J312="",#N/A,SUM(CO$4:CO312,CM$4:CM312,CK$4:CK312))</f>
        <v>#N/A</v>
      </c>
      <c r="CR312" s="304" t="str">
        <f t="shared" si="494"/>
        <v/>
      </c>
      <c r="CS312" s="313" t="e">
        <f>IF($J312="",#N/A,SUM(CR$4:CR312))</f>
        <v>#N/A</v>
      </c>
      <c r="CT312" s="314" t="str">
        <f t="shared" si="495"/>
        <v/>
      </c>
      <c r="CU312" s="314" t="e">
        <f>IF($J312="",#N/A,SUM(CT$4:CT312))</f>
        <v>#N/A</v>
      </c>
      <c r="CV312" s="315" t="str">
        <f t="shared" si="496"/>
        <v/>
      </c>
      <c r="CW312" s="315" t="e">
        <f>IF($J312="",#N/A,SUM(CV$4:CV312))</f>
        <v>#N/A</v>
      </c>
      <c r="CX312" s="315" t="e">
        <f>IF($J312="",#N/A,SUM(CV$4:CV312,CT$4:CT312,CR$4:CR312))</f>
        <v>#N/A</v>
      </c>
      <c r="CY312" s="304" t="str">
        <f t="shared" si="497"/>
        <v/>
      </c>
      <c r="CZ312" s="313" t="e">
        <f>IF($J312="",#N/A,SUM(CY$4:CY312))</f>
        <v>#N/A</v>
      </c>
      <c r="DA312" s="314" t="str">
        <f t="shared" si="498"/>
        <v/>
      </c>
      <c r="DB312" s="314" t="e">
        <f>IF($J312="",#N/A,SUM(DA$4:DA312))</f>
        <v>#N/A</v>
      </c>
      <c r="DC312" s="315" t="str">
        <f t="shared" si="499"/>
        <v/>
      </c>
      <c r="DD312" s="315" t="e">
        <f>IF($J312="",#N/A,SUM(DC$4:DC312))</f>
        <v>#N/A</v>
      </c>
      <c r="DE312" s="315" t="e">
        <f>IF($J312="",#N/A,SUM(DC$4:DC312,DA$4:DA312,CY$4:CY312))</f>
        <v>#N/A</v>
      </c>
      <c r="DF312" s="304" t="str">
        <f t="shared" si="500"/>
        <v/>
      </c>
      <c r="DG312" s="313" t="e">
        <f>IF($J312="",#N/A,SUM(DF$4:DF312))</f>
        <v>#N/A</v>
      </c>
      <c r="DH312" s="314" t="str">
        <f t="shared" si="501"/>
        <v/>
      </c>
      <c r="DI312" s="314" t="e">
        <f>IF($J312="",#N/A,SUM(DH$4:DH312))</f>
        <v>#N/A</v>
      </c>
      <c r="DJ312" s="315" t="str">
        <f t="shared" si="502"/>
        <v/>
      </c>
      <c r="DK312" s="315" t="e">
        <f>IF($J312="",#N/A,SUM(DJ$4:DJ312))</f>
        <v>#N/A</v>
      </c>
      <c r="DL312" s="315" t="e">
        <f>IF($J312="",#N/A,SUM(DJ$4:DJ312,DH$4:DH312,DF$4:DF312))</f>
        <v>#N/A</v>
      </c>
      <c r="DM312" s="304" t="str">
        <f t="shared" si="503"/>
        <v/>
      </c>
      <c r="DN312" s="313" t="e">
        <f>IF($J312="",#N/A,SUM(DM$4:DM312))</f>
        <v>#N/A</v>
      </c>
      <c r="DO312" s="314" t="str">
        <f t="shared" si="504"/>
        <v/>
      </c>
      <c r="DP312" s="314" t="e">
        <f>IF($J312="",#N/A,SUM(DO$4:DO312))</f>
        <v>#N/A</v>
      </c>
      <c r="DQ312" s="315" t="str">
        <f t="shared" si="505"/>
        <v/>
      </c>
      <c r="DR312" s="315" t="e">
        <f>IF($J312="",#N/A,SUM(DQ$4:DQ312))</f>
        <v>#N/A</v>
      </c>
      <c r="DS312" s="315" t="e">
        <f>IF($J312="",#N/A,SUM(DQ$4:DQ312,DO$4:DO312,DM$4:DM312))</f>
        <v>#N/A</v>
      </c>
      <c r="DT312" s="304" t="str">
        <f t="shared" si="506"/>
        <v/>
      </c>
      <c r="DU312" s="313" t="e">
        <f>IF($J312="",#N/A,SUM(DT$4:DT312))</f>
        <v>#N/A</v>
      </c>
      <c r="DV312" s="314" t="str">
        <f t="shared" si="507"/>
        <v/>
      </c>
      <c r="DW312" s="314" t="e">
        <f>IF($J312="",#N/A,SUM(DV$4:DV312))</f>
        <v>#N/A</v>
      </c>
      <c r="DX312" s="315" t="str">
        <f t="shared" si="508"/>
        <v/>
      </c>
      <c r="DY312" s="315" t="e">
        <f>IF($J312="",#N/A,SUM(DX$4:DX312))</f>
        <v>#N/A</v>
      </c>
      <c r="DZ312" s="315" t="e">
        <f>IF($J312="",#N/A,SUM(DX$4:DX312,DV$4:DV312,DT$4:DT312))</f>
        <v>#N/A</v>
      </c>
      <c r="EA312" s="304" t="str">
        <f t="shared" si="509"/>
        <v/>
      </c>
      <c r="EB312" s="313" t="e">
        <f>IF($J312="",#N/A,SUM(EA$4:EA312))</f>
        <v>#N/A</v>
      </c>
      <c r="EC312" s="314" t="str">
        <f t="shared" si="510"/>
        <v/>
      </c>
      <c r="ED312" s="314" t="e">
        <f>IF($J312="",#N/A,SUM(EC$4:EC312))</f>
        <v>#N/A</v>
      </c>
      <c r="EE312" s="315" t="str">
        <f t="shared" si="511"/>
        <v/>
      </c>
      <c r="EF312" s="315" t="e">
        <f>IF($J312="",#N/A,SUM(EE$4:EE312))</f>
        <v>#N/A</v>
      </c>
      <c r="EG312" s="315" t="e">
        <f>IF($J312="",#N/A,SUM(EE$4:EE312,EC$4:EC312,EA$4:EA312))</f>
        <v>#N/A</v>
      </c>
      <c r="EH312" s="130">
        <f t="shared" si="512"/>
        <v>476.07999999999993</v>
      </c>
      <c r="EI312" s="63">
        <f>IF(EH312="",#N/A,SUM($EH$4:EH312))</f>
        <v>1887.9600842452942</v>
      </c>
      <c r="EJ312" s="223" t="e">
        <f t="shared" si="513"/>
        <v>#N/A</v>
      </c>
      <c r="EK312" s="63" t="e">
        <f>IF($GZ312="",#N/A,SUM(EJ$4:EJ312))</f>
        <v>#N/A</v>
      </c>
      <c r="EL312" s="60" t="str">
        <f t="shared" si="544"/>
        <v/>
      </c>
      <c r="EM312" s="60" t="e">
        <f>IF(EL312="",NA(),SUM($EL$4:EL312))</f>
        <v>#N/A</v>
      </c>
      <c r="EN312" s="60" t="str">
        <f t="shared" si="514"/>
        <v/>
      </c>
      <c r="EO312" s="60" t="e">
        <f>IF(EN312="",NA(),SUM($EN$4:EN312))</f>
        <v>#N/A</v>
      </c>
      <c r="EP312" s="60" t="str">
        <f t="shared" si="515"/>
        <v/>
      </c>
      <c r="EQ312" s="60" t="e">
        <f>IF(EP312="",NA(),SUM($EP$4:EP312))</f>
        <v>#N/A</v>
      </c>
      <c r="ER312" s="60" t="str">
        <f t="shared" si="516"/>
        <v/>
      </c>
      <c r="ES312" s="60" t="e">
        <f>IF(ER312="",NA(),SUM($ER$4:ER312))</f>
        <v>#N/A</v>
      </c>
      <c r="ET312" s="60">
        <f t="shared" si="517"/>
        <v>5.2157832001121855</v>
      </c>
      <c r="EU312" s="60">
        <f>IF(ET312="",NA(),SUM($ET$4:ET312))</f>
        <v>18.26810233749643</v>
      </c>
      <c r="EV312" s="60">
        <f t="shared" si="518"/>
        <v>5.2157832001121855</v>
      </c>
      <c r="EW312" s="60">
        <f>IF(EV312="",NA(),SUM($EV$4:EV312))</f>
        <v>8.0123556462634724</v>
      </c>
      <c r="EX312" s="60" t="str">
        <f t="shared" si="519"/>
        <v/>
      </c>
      <c r="EY312" s="60" t="e">
        <f>IF(EX312="",NA(),SUM($EX$4:EX312))</f>
        <v>#N/A</v>
      </c>
      <c r="EZ312" s="60" t="str">
        <f t="shared" si="520"/>
        <v/>
      </c>
      <c r="FA312" s="60" t="e">
        <f>IF(EZ312="",NA(),SUM($EZ$4:EZ312))</f>
        <v>#N/A</v>
      </c>
      <c r="FB312" s="246" t="str">
        <f t="shared" si="545"/>
        <v/>
      </c>
      <c r="FC312" s="246" t="e">
        <f>IF($FB312="",#N/A,SUM(FB$4:$FB312))</f>
        <v>#N/A</v>
      </c>
      <c r="FD312" s="60" t="str">
        <f t="shared" si="521"/>
        <v/>
      </c>
      <c r="FE312" s="60" t="e">
        <f>IF($FD312="",#N/A,SUM($FD$4:FD312))</f>
        <v>#N/A</v>
      </c>
      <c r="FF312" s="60">
        <f t="shared" si="522"/>
        <v>-1.212575375122702</v>
      </c>
      <c r="FG312" s="60">
        <f>IF($FF312="",#N/A,SUM($FF$4:FF312))</f>
        <v>-6.8956892567429531</v>
      </c>
      <c r="FH312" s="60" t="str">
        <f t="shared" si="523"/>
        <v/>
      </c>
      <c r="FI312" s="60" t="e">
        <f>IF($FH312="",#N/A,SUM($FH$4:FH312))</f>
        <v>#N/A</v>
      </c>
      <c r="FJ312" s="60" t="str">
        <f t="shared" si="524"/>
        <v/>
      </c>
      <c r="FK312" s="60" t="e">
        <f>IF($FJ312="",#N/A,SUM($FJ$4:FJ312))</f>
        <v>#N/A</v>
      </c>
      <c r="FL312" s="60" t="str">
        <f t="shared" si="525"/>
        <v/>
      </c>
      <c r="FM312" s="60" t="e">
        <f>IF($FL312="",#N/A,SUM($FL$4:FL312))</f>
        <v>#N/A</v>
      </c>
      <c r="FN312" s="82">
        <f t="shared" si="526"/>
        <v>4.0032078249894836</v>
      </c>
      <c r="FO312" s="82">
        <f>IF($FN312="",#N/A,SUM(FN$4:$FN312))</f>
        <v>64.619662682986643</v>
      </c>
      <c r="FP312" s="82">
        <f t="shared" si="546"/>
        <v>5.2157832001121855</v>
      </c>
      <c r="FQ312" s="246">
        <f>IF($EH312="",#N/A,SUM($FP$4:FP312))</f>
        <v>59.705079747829508</v>
      </c>
      <c r="FR312" s="82">
        <f>IFERROR(FQ312/COUNTA($J$4:J312),#N/A)</f>
        <v>0.19322032280850973</v>
      </c>
      <c r="FS312" s="82">
        <f t="shared" si="448"/>
        <v>0.24773537410738952</v>
      </c>
      <c r="FT312" s="82">
        <f t="shared" si="449"/>
        <v>0.30160933032667175</v>
      </c>
      <c r="FU312" s="338">
        <f t="shared" si="553"/>
        <v>30.823663722836386</v>
      </c>
      <c r="FV312" s="57" t="str">
        <f t="shared" si="552"/>
        <v>Up</v>
      </c>
      <c r="FW312" s="57" t="s">
        <v>2733</v>
      </c>
      <c r="FX312" s="57">
        <f t="shared" si="528"/>
        <v>1</v>
      </c>
      <c r="FY312" s="57" t="str">
        <f t="shared" si="529"/>
        <v/>
      </c>
      <c r="FZ312" s="57" t="str">
        <f t="shared" si="530"/>
        <v/>
      </c>
      <c r="GA312" s="57" t="str">
        <f t="shared" si="531"/>
        <v>Long</v>
      </c>
      <c r="GB312" s="57" t="str">
        <f t="shared" si="532"/>
        <v/>
      </c>
      <c r="GC312" s="57" t="str">
        <f t="shared" si="533"/>
        <v/>
      </c>
      <c r="GD312" s="57" t="str">
        <f t="shared" si="534"/>
        <v/>
      </c>
      <c r="GE312" s="62">
        <f t="shared" si="451"/>
        <v>380.32</v>
      </c>
      <c r="GF312" s="62" t="s">
        <v>2779</v>
      </c>
      <c r="GG312" s="199">
        <v>4</v>
      </c>
      <c r="GH312" s="207">
        <f t="shared" si="535"/>
        <v>1521.28</v>
      </c>
      <c r="GI312" s="199">
        <v>4</v>
      </c>
      <c r="GJ312" s="200">
        <v>496.67</v>
      </c>
      <c r="GK312" s="63">
        <f t="shared" si="536"/>
        <v>465.40000000000009</v>
      </c>
      <c r="GL312" s="63">
        <f t="shared" si="452"/>
        <v>365.40000000000009</v>
      </c>
      <c r="GM312" s="82" t="str">
        <f t="shared" si="537"/>
        <v/>
      </c>
      <c r="GN312" s="82">
        <f>IF($GZ312="",#N/A,SUM(GM$4:GM312))</f>
        <v>13.589378984945132</v>
      </c>
      <c r="GO312" s="82">
        <f t="shared" si="538"/>
        <v>4.0032078249894836</v>
      </c>
      <c r="GP312" s="82">
        <f>IF($GZ312="",#N/A,SUM(GO$4:GO312))</f>
        <v>17.948079473262315</v>
      </c>
      <c r="GQ312" s="82" t="str">
        <f t="shared" si="539"/>
        <v/>
      </c>
      <c r="GR312" s="82">
        <f>IF($GZ312="",#N/A,SUM(GQ$4:GQ312))</f>
        <v>32.456367270336862</v>
      </c>
      <c r="GS312" s="63" t="str">
        <f t="shared" si="548"/>
        <v/>
      </c>
      <c r="GT312" s="63" t="e">
        <f>IF($GZ312="",#N/A,SUM(GS$4:GS312))</f>
        <v>#N/A</v>
      </c>
      <c r="GU312" s="63" t="e">
        <f t="shared" si="549"/>
        <v>#N/A</v>
      </c>
      <c r="GV312" s="63" t="e">
        <f>IF($GZ312="",#N/A,SUM(GU$4:GU312))</f>
        <v>#N/A</v>
      </c>
      <c r="GW312" s="63" t="str">
        <f t="shared" si="550"/>
        <v/>
      </c>
      <c r="GX312" s="63" t="e">
        <f>IF($GZ312="",#N/A,SUM(GW$4:GW312))</f>
        <v>#N/A</v>
      </c>
      <c r="GY312" s="63" t="e">
        <f>IF(EJ312="",#N/A,SUM($EJ$4:EJ312))</f>
        <v>#N/A</v>
      </c>
      <c r="GZ312" s="159">
        <v>471.67</v>
      </c>
      <c r="HA312" s="63">
        <f t="shared" si="540"/>
        <v>-110.67999999999984</v>
      </c>
      <c r="HB312" s="62" t="s">
        <v>4734</v>
      </c>
      <c r="HC312" s="60">
        <f>IFERROR(VLOOKUP(E312,Expectancy!$P$4:$S$19,1+C312,FALSE),"")</f>
        <v>1.0051961559281768</v>
      </c>
      <c r="HD312" s="82">
        <f t="shared" si="541"/>
        <v>5.0987764689384392</v>
      </c>
      <c r="HE312" s="138">
        <f>IF(HD312="",#N/A,SUM($HD$4:HD312))</f>
        <v>14.351416024993119</v>
      </c>
      <c r="HF312" s="85">
        <f>IF(HD312="",#N/A,IF(HB312="Skip",#N/A,SUM($HG$4:HG312)))</f>
        <v>758.9265792191552</v>
      </c>
      <c r="HG312" s="63">
        <f t="shared" si="542"/>
        <v>465.40000000000009</v>
      </c>
      <c r="HH312" s="82">
        <f t="shared" si="543"/>
        <v>4.0032078249894836</v>
      </c>
    </row>
    <row r="313" spans="1:216" x14ac:dyDescent="0.25">
      <c r="A313" s="57" t="s">
        <v>1365</v>
      </c>
      <c r="B313" s="58" t="s">
        <v>5240</v>
      </c>
      <c r="C313" s="386">
        <f t="shared" si="453"/>
        <v>1</v>
      </c>
      <c r="D313" s="372" t="str">
        <f>_xlfn.XLOOKUP(A313,[1]SP500!$A$2:$A$502,[1]SP500!$D$2:$D$502,"N")</f>
        <v>Y</v>
      </c>
      <c r="E313" s="57" t="str">
        <f>_xlfn.XLOOKUP(A313,[1]SP500!$A$2:$A$655,[1]SP500!$B$2:$B$655)</f>
        <v>XLF</v>
      </c>
      <c r="F313" s="59">
        <v>45701</v>
      </c>
      <c r="G313" s="57" t="str">
        <f t="shared" si="454"/>
        <v>BMO</v>
      </c>
      <c r="H313" s="57" t="str">
        <f t="shared" si="455"/>
        <v>s</v>
      </c>
      <c r="I313" s="159">
        <v>505.44</v>
      </c>
      <c r="J313" s="159">
        <v>518.11</v>
      </c>
      <c r="K313" s="61">
        <f t="shared" si="456"/>
        <v>2.506726812282371E-2</v>
      </c>
      <c r="L313" s="87">
        <f t="shared" si="457"/>
        <v>38.009999999999991</v>
      </c>
      <c r="M313" s="130">
        <f t="shared" si="450"/>
        <v>1.4700000000002547</v>
      </c>
      <c r="N313" s="169">
        <f t="shared" si="458"/>
        <v>38.009999999999991</v>
      </c>
      <c r="O313" s="169">
        <f>IF($J313="",#N/A,SUM($N$4:N313))</f>
        <v>1005.1367193542246</v>
      </c>
      <c r="P313" s="174" t="str">
        <f t="shared" si="459"/>
        <v/>
      </c>
      <c r="Q313" s="174">
        <f>IF($J313="",#N/A,SUM($P$4:P313))</f>
        <v>341.14890674734181</v>
      </c>
      <c r="R313" s="178" t="str">
        <f t="shared" si="460"/>
        <v/>
      </c>
      <c r="S313" s="178">
        <f>IF($J313="",#N/A,SUM($R$4:R313))</f>
        <v>579.68445814372762</v>
      </c>
      <c r="T313" s="290">
        <f t="shared" si="461"/>
        <v>0.41778780204706123</v>
      </c>
      <c r="U313" s="290">
        <f>IF($J313="",#N/A,SUM($T$4:T313))</f>
        <v>23.552500314582236</v>
      </c>
      <c r="V313" s="291" t="str">
        <f t="shared" si="462"/>
        <v/>
      </c>
      <c r="W313" s="291">
        <f>IF($J313="",#N/A,SUM($V$4:V313))</f>
        <v>23.057393703898299</v>
      </c>
      <c r="X313" s="292" t="str">
        <f t="shared" si="463"/>
        <v/>
      </c>
      <c r="Y313" s="292">
        <f>IF($J313="",#N/A,SUM($X$4:X313))</f>
        <v>13.51297353139605</v>
      </c>
      <c r="Z313" s="304" t="str">
        <f t="shared" si="464"/>
        <v/>
      </c>
      <c r="AA313" s="313" t="e">
        <f>IF($J313="",#N/A,SUM(Z$4:Z313))</f>
        <v>#N/A</v>
      </c>
      <c r="AB313" s="314" t="str">
        <f t="shared" si="465"/>
        <v/>
      </c>
      <c r="AC313" s="314" t="e">
        <f>IF($J313="",#N/A,SUM(AB$4:AB313))</f>
        <v>#N/A</v>
      </c>
      <c r="AD313" s="315" t="str">
        <f t="shared" si="466"/>
        <v/>
      </c>
      <c r="AE313" s="315" t="e">
        <f>IF($J313="",#N/A,SUM(AD$4:AD313))</f>
        <v>#N/A</v>
      </c>
      <c r="AF313" s="315" t="e">
        <f>IF($J313="",#N/A,SUM(AD$4:AD313,AB$4:AB313,Z$4:Z313))</f>
        <v>#N/A</v>
      </c>
      <c r="AG313" s="304" t="str">
        <f t="shared" si="467"/>
        <v/>
      </c>
      <c r="AH313" s="313" t="e">
        <f>IF($J313="",#N/A,SUM(AG$4:AG313))</f>
        <v>#N/A</v>
      </c>
      <c r="AI313" s="314" t="str">
        <f t="shared" si="468"/>
        <v/>
      </c>
      <c r="AJ313" s="314" t="e">
        <f>IF($J313="",#N/A,SUM(AI$4:AI313))</f>
        <v>#N/A</v>
      </c>
      <c r="AK313" s="315" t="str">
        <f t="shared" si="469"/>
        <v/>
      </c>
      <c r="AL313" s="315" t="e">
        <f>IF($J313="",#N/A,SUM(AK$4:AK313))</f>
        <v>#N/A</v>
      </c>
      <c r="AM313" s="315" t="e">
        <f>IF($J313="",#N/A,SUM(AK$4:AK313,AI$4:AI313,AG$4:AG313))</f>
        <v>#N/A</v>
      </c>
      <c r="AN313" s="304" t="str">
        <f t="shared" si="470"/>
        <v/>
      </c>
      <c r="AO313" s="313" t="e">
        <f>IF($J313="",#N/A,SUM(AN$4:AN313))</f>
        <v>#N/A</v>
      </c>
      <c r="AP313" s="314" t="str">
        <f t="shared" si="471"/>
        <v/>
      </c>
      <c r="AQ313" s="314" t="e">
        <f>IF($J313="",#N/A,SUM(AP$4:AP313))</f>
        <v>#N/A</v>
      </c>
      <c r="AR313" s="315" t="str">
        <f t="shared" si="472"/>
        <v/>
      </c>
      <c r="AS313" s="315" t="e">
        <f>IF($J313="",#N/A,SUM(AR$4:AR313))</f>
        <v>#N/A</v>
      </c>
      <c r="AT313" s="315" t="e">
        <f>IF($J313="",#N/A,SUM(AR$4:AR313,AP$4:AP313,AN$4:AN313))</f>
        <v>#N/A</v>
      </c>
      <c r="AU313" s="304" t="str">
        <f t="shared" si="473"/>
        <v/>
      </c>
      <c r="AV313" s="313" t="e">
        <f>IF($J313="",#N/A,SUM(AU$4:AU313))</f>
        <v>#N/A</v>
      </c>
      <c r="AW313" s="314" t="str">
        <f t="shared" si="474"/>
        <v/>
      </c>
      <c r="AX313" s="314" t="e">
        <f>IF($J313="",#N/A,SUM(AW$4:AW313))</f>
        <v>#N/A</v>
      </c>
      <c r="AY313" s="315" t="str">
        <f t="shared" si="475"/>
        <v/>
      </c>
      <c r="AZ313" s="315" t="e">
        <f>IF($J313="",#N/A,SUM(AY$4:AY313))</f>
        <v>#N/A</v>
      </c>
      <c r="BA313" s="315" t="e">
        <f>IF($J313="",#N/A,SUM(AY$4:AY313,AW$4:AW313,AU$4:AU313))</f>
        <v>#N/A</v>
      </c>
      <c r="BB313" s="304" t="str">
        <f t="shared" si="476"/>
        <v/>
      </c>
      <c r="BC313" s="313" t="e">
        <f>IF($J313="",#N/A,SUM(BB$4:BB313))</f>
        <v>#N/A</v>
      </c>
      <c r="BD313" s="314" t="str">
        <f t="shared" si="477"/>
        <v/>
      </c>
      <c r="BE313" s="314" t="e">
        <f>IF($J313="",#N/A,SUM(BD$4:BD313))</f>
        <v>#N/A</v>
      </c>
      <c r="BF313" s="315" t="str">
        <f t="shared" si="478"/>
        <v/>
      </c>
      <c r="BG313" s="315" t="e">
        <f>IF($J313="",#N/A,SUM(BF$4:BF313))</f>
        <v>#N/A</v>
      </c>
      <c r="BH313" s="315" t="e">
        <f>IF($J313="",#N/A,SUM(BF$4:BF313,BD$4:BD313,BB$4:BB313))</f>
        <v>#N/A</v>
      </c>
      <c r="BI313" s="304">
        <f t="shared" si="479"/>
        <v>0.41778780204706123</v>
      </c>
      <c r="BJ313" s="313" t="e">
        <f>IF($J313="",#N/A,SUM(BI$4:BI313))</f>
        <v>#N/A</v>
      </c>
      <c r="BK313" s="314" t="str">
        <f t="shared" si="480"/>
        <v/>
      </c>
      <c r="BL313" s="314" t="e">
        <f>IF($J313="",#N/A,SUM(BK$4:BK313))</f>
        <v>#N/A</v>
      </c>
      <c r="BM313" s="315" t="str">
        <f t="shared" si="481"/>
        <v/>
      </c>
      <c r="BN313" s="315" t="e">
        <f>IF($J313="",#N/A,SUM(BM$4:BM313))</f>
        <v>#N/A</v>
      </c>
      <c r="BO313" s="315" t="e">
        <f>IF($J313="",#N/A,SUM(BM$4:BM313,BK$4:BK313,BI$4:BI313))</f>
        <v>#N/A</v>
      </c>
      <c r="BP313" s="304" t="str">
        <f t="shared" si="482"/>
        <v/>
      </c>
      <c r="BQ313" s="313" t="e">
        <f>IF($J313="",#N/A,SUM(BP$4:BP313))</f>
        <v>#N/A</v>
      </c>
      <c r="BR313" s="314" t="str">
        <f t="shared" si="483"/>
        <v/>
      </c>
      <c r="BS313" s="314" t="e">
        <f>IF($J313="",#N/A,SUM(BR$4:BR313))</f>
        <v>#N/A</v>
      </c>
      <c r="BT313" s="315" t="str">
        <f t="shared" si="484"/>
        <v/>
      </c>
      <c r="BU313" s="315" t="e">
        <f>IF($J313="",#N/A,SUM(BT$4:BT313))</f>
        <v>#N/A</v>
      </c>
      <c r="BV313" s="315" t="e">
        <f>IF($J313="",#N/A,SUM(BT$4:BT313,BR$4:BR313,BP$4:BP313))</f>
        <v>#N/A</v>
      </c>
      <c r="BW313" s="304" t="str">
        <f t="shared" si="485"/>
        <v/>
      </c>
      <c r="BX313" s="313" t="e">
        <f>IF($J313="",#N/A,SUM(BW$4:BW313))</f>
        <v>#N/A</v>
      </c>
      <c r="BY313" s="314" t="str">
        <f t="shared" si="486"/>
        <v/>
      </c>
      <c r="BZ313" s="314" t="e">
        <f>IF($J313="",#N/A,SUM(BY$4:BY313))</f>
        <v>#N/A</v>
      </c>
      <c r="CA313" s="315" t="str">
        <f t="shared" si="487"/>
        <v/>
      </c>
      <c r="CB313" s="315" t="e">
        <f>IF($J313="",#N/A,SUM(CA$4:CA313))</f>
        <v>#N/A</v>
      </c>
      <c r="CC313" s="315" t="e">
        <f>IF($J313="",#N/A,SUM(CA$4:CA313,BY$4:BY313,BW$4:BW313))</f>
        <v>#N/A</v>
      </c>
      <c r="CD313" s="304" t="str">
        <f t="shared" si="488"/>
        <v/>
      </c>
      <c r="CE313" s="313" t="e">
        <f>IF($J313="",#N/A,SUM(CD$4:CD313))</f>
        <v>#N/A</v>
      </c>
      <c r="CF313" s="314" t="str">
        <f t="shared" si="489"/>
        <v/>
      </c>
      <c r="CG313" s="314" t="e">
        <f>IF($J313="",#N/A,SUM(CF$4:CF313))</f>
        <v>#N/A</v>
      </c>
      <c r="CH313" s="315" t="str">
        <f t="shared" si="490"/>
        <v/>
      </c>
      <c r="CI313" s="315" t="e">
        <f>IF($J313="",#N/A,SUM(CH$4:CH313))</f>
        <v>#N/A</v>
      </c>
      <c r="CJ313" s="315" t="e">
        <f>IF($J313="",#N/A,SUM(CH$4:CH313,CF$4:CF313,CD$4:CD313))</f>
        <v>#N/A</v>
      </c>
      <c r="CK313" s="304" t="str">
        <f t="shared" si="491"/>
        <v/>
      </c>
      <c r="CL313" s="313" t="e">
        <f>IF($J313="",#N/A,SUM(CK$4:CK313))</f>
        <v>#N/A</v>
      </c>
      <c r="CM313" s="314" t="str">
        <f t="shared" si="492"/>
        <v/>
      </c>
      <c r="CN313" s="314" t="e">
        <f>IF($J313="",#N/A,SUM(CM$4:CM313))</f>
        <v>#N/A</v>
      </c>
      <c r="CO313" s="315" t="str">
        <f t="shared" si="493"/>
        <v/>
      </c>
      <c r="CP313" s="315" t="e">
        <f>IF($J313="",#N/A,SUM(CO$4:CO313))</f>
        <v>#N/A</v>
      </c>
      <c r="CQ313" s="315" t="e">
        <f>IF($J313="",#N/A,SUM(CO$4:CO313,CM$4:CM313,CK$4:CK313))</f>
        <v>#N/A</v>
      </c>
      <c r="CR313" s="304" t="str">
        <f t="shared" si="494"/>
        <v/>
      </c>
      <c r="CS313" s="313" t="e">
        <f>IF($J313="",#N/A,SUM(CR$4:CR313))</f>
        <v>#N/A</v>
      </c>
      <c r="CT313" s="314" t="str">
        <f t="shared" si="495"/>
        <v/>
      </c>
      <c r="CU313" s="314" t="e">
        <f>IF($J313="",#N/A,SUM(CT$4:CT313))</f>
        <v>#N/A</v>
      </c>
      <c r="CV313" s="315" t="str">
        <f t="shared" si="496"/>
        <v/>
      </c>
      <c r="CW313" s="315" t="e">
        <f>IF($J313="",#N/A,SUM(CV$4:CV313))</f>
        <v>#N/A</v>
      </c>
      <c r="CX313" s="315" t="e">
        <f>IF($J313="",#N/A,SUM(CV$4:CV313,CT$4:CT313,CR$4:CR313))</f>
        <v>#N/A</v>
      </c>
      <c r="CY313" s="304" t="str">
        <f t="shared" si="497"/>
        <v/>
      </c>
      <c r="CZ313" s="313" t="e">
        <f>IF($J313="",#N/A,SUM(CY$4:CY313))</f>
        <v>#N/A</v>
      </c>
      <c r="DA313" s="314" t="str">
        <f t="shared" si="498"/>
        <v/>
      </c>
      <c r="DB313" s="314" t="e">
        <f>IF($J313="",#N/A,SUM(DA$4:DA313))</f>
        <v>#N/A</v>
      </c>
      <c r="DC313" s="315" t="str">
        <f t="shared" si="499"/>
        <v/>
      </c>
      <c r="DD313" s="315" t="e">
        <f>IF($J313="",#N/A,SUM(DC$4:DC313))</f>
        <v>#N/A</v>
      </c>
      <c r="DE313" s="315" t="e">
        <f>IF($J313="",#N/A,SUM(DC$4:DC313,DA$4:DA313,CY$4:CY313))</f>
        <v>#N/A</v>
      </c>
      <c r="DF313" s="304" t="str">
        <f t="shared" si="500"/>
        <v/>
      </c>
      <c r="DG313" s="313" t="e">
        <f>IF($J313="",#N/A,SUM(DF$4:DF313))</f>
        <v>#N/A</v>
      </c>
      <c r="DH313" s="314" t="str">
        <f t="shared" si="501"/>
        <v/>
      </c>
      <c r="DI313" s="314" t="e">
        <f>IF($J313="",#N/A,SUM(DH$4:DH313))</f>
        <v>#N/A</v>
      </c>
      <c r="DJ313" s="315" t="str">
        <f t="shared" si="502"/>
        <v/>
      </c>
      <c r="DK313" s="315" t="e">
        <f>IF($J313="",#N/A,SUM(DJ$4:DJ313))</f>
        <v>#N/A</v>
      </c>
      <c r="DL313" s="315" t="e">
        <f>IF($J313="",#N/A,SUM(DJ$4:DJ313,DH$4:DH313,DF$4:DF313))</f>
        <v>#N/A</v>
      </c>
      <c r="DM313" s="304" t="str">
        <f t="shared" si="503"/>
        <v/>
      </c>
      <c r="DN313" s="313" t="e">
        <f>IF($J313="",#N/A,SUM(DM$4:DM313))</f>
        <v>#N/A</v>
      </c>
      <c r="DO313" s="314" t="str">
        <f t="shared" si="504"/>
        <v/>
      </c>
      <c r="DP313" s="314" t="e">
        <f>IF($J313="",#N/A,SUM(DO$4:DO313))</f>
        <v>#N/A</v>
      </c>
      <c r="DQ313" s="315" t="str">
        <f t="shared" si="505"/>
        <v/>
      </c>
      <c r="DR313" s="315" t="e">
        <f>IF($J313="",#N/A,SUM(DQ$4:DQ313))</f>
        <v>#N/A</v>
      </c>
      <c r="DS313" s="315" t="e">
        <f>IF($J313="",#N/A,SUM(DQ$4:DQ313,DO$4:DO313,DM$4:DM313))</f>
        <v>#N/A</v>
      </c>
      <c r="DT313" s="304" t="str">
        <f t="shared" si="506"/>
        <v/>
      </c>
      <c r="DU313" s="313" t="e">
        <f>IF($J313="",#N/A,SUM(DT$4:DT313))</f>
        <v>#N/A</v>
      </c>
      <c r="DV313" s="314" t="str">
        <f t="shared" si="507"/>
        <v/>
      </c>
      <c r="DW313" s="314" t="e">
        <f>IF($J313="",#N/A,SUM(DV$4:DV313))</f>
        <v>#N/A</v>
      </c>
      <c r="DX313" s="315" t="str">
        <f t="shared" si="508"/>
        <v/>
      </c>
      <c r="DY313" s="315" t="e">
        <f>IF($J313="",#N/A,SUM(DX$4:DX313))</f>
        <v>#N/A</v>
      </c>
      <c r="DZ313" s="315" t="e">
        <f>IF($J313="",#N/A,SUM(DX$4:DX313,DV$4:DV313,DT$4:DT313))</f>
        <v>#N/A</v>
      </c>
      <c r="EA313" s="304" t="str">
        <f t="shared" si="509"/>
        <v/>
      </c>
      <c r="EB313" s="313" t="e">
        <f>IF($J313="",#N/A,SUM(EA$4:EA313))</f>
        <v>#N/A</v>
      </c>
      <c r="EC313" s="314" t="str">
        <f t="shared" si="510"/>
        <v/>
      </c>
      <c r="ED313" s="314" t="e">
        <f>IF($J313="",#N/A,SUM(EC$4:EC313))</f>
        <v>#N/A</v>
      </c>
      <c r="EE313" s="315" t="str">
        <f t="shared" si="511"/>
        <v/>
      </c>
      <c r="EF313" s="315" t="e">
        <f>IF($J313="",#N/A,SUM(EE$4:EE313))</f>
        <v>#N/A</v>
      </c>
      <c r="EG313" s="315" t="e">
        <f>IF($J313="",#N/A,SUM(EE$4:EE313,EC$4:EC313,EA$4:EA313))</f>
        <v>#N/A</v>
      </c>
      <c r="EH313" s="130">
        <f t="shared" si="512"/>
        <v>38.009999999999991</v>
      </c>
      <c r="EI313" s="63">
        <f>IF(EH313="",#N/A,SUM($EH$4:EH313))</f>
        <v>1925.9700842452942</v>
      </c>
      <c r="EJ313" s="223" t="e">
        <f t="shared" si="513"/>
        <v>#N/A</v>
      </c>
      <c r="EK313" s="63" t="e">
        <f>IF($GZ313="",#N/A,SUM(EJ$4:EJ313))</f>
        <v>#N/A</v>
      </c>
      <c r="EL313" s="60">
        <f t="shared" si="544"/>
        <v>0.41778780204706123</v>
      </c>
      <c r="EM313" s="60">
        <f>IF(EL313="",NA(),SUM($EL$4:EL313))</f>
        <v>41.854765212380151</v>
      </c>
      <c r="EN313" s="60">
        <f t="shared" si="514"/>
        <v>0.41778780204706123</v>
      </c>
      <c r="EO313" s="60">
        <f>IF(EN313="",NA(),SUM($EN$4:EN313))</f>
        <v>15.540144668318762</v>
      </c>
      <c r="EP313" s="60" t="str">
        <f t="shared" si="515"/>
        <v/>
      </c>
      <c r="EQ313" s="60" t="e">
        <f>IF(EP313="",NA(),SUM($EP$4:EP313))</f>
        <v>#N/A</v>
      </c>
      <c r="ER313" s="60" t="str">
        <f t="shared" si="516"/>
        <v/>
      </c>
      <c r="ES313" s="60" t="e">
        <f>IF(ER313="",NA(),SUM($ER$4:ER313))</f>
        <v>#N/A</v>
      </c>
      <c r="ET313" s="60" t="str">
        <f t="shared" si="517"/>
        <v/>
      </c>
      <c r="EU313" s="60" t="e">
        <f>IF(ET313="",NA(),SUM($ET$4:ET313))</f>
        <v>#N/A</v>
      </c>
      <c r="EV313" s="60" t="str">
        <f t="shared" si="518"/>
        <v/>
      </c>
      <c r="EW313" s="60" t="e">
        <f>IF(EV313="",NA(),SUM($EV$4:EV313))</f>
        <v>#N/A</v>
      </c>
      <c r="EX313" s="60" t="str">
        <f t="shared" si="519"/>
        <v/>
      </c>
      <c r="EY313" s="60" t="e">
        <f>IF(EX313="",NA(),SUM($EX$4:EX313))</f>
        <v>#N/A</v>
      </c>
      <c r="EZ313" s="60" t="str">
        <f t="shared" si="520"/>
        <v/>
      </c>
      <c r="FA313" s="60" t="e">
        <f>IF(EZ313="",NA(),SUM($EZ$4:EZ313))</f>
        <v>#N/A</v>
      </c>
      <c r="FB313" s="246" t="str">
        <f t="shared" si="545"/>
        <v/>
      </c>
      <c r="FC313" s="246" t="e">
        <f>IF($FB313="",#N/A,SUM(FB$4:$FB313))</f>
        <v>#N/A</v>
      </c>
      <c r="FD313" s="60" t="str">
        <f t="shared" si="521"/>
        <v/>
      </c>
      <c r="FE313" s="60" t="e">
        <f>IF($FD313="",#N/A,SUM($FD$4:FD313))</f>
        <v>#N/A</v>
      </c>
      <c r="FF313" s="60">
        <f t="shared" si="522"/>
        <v>0.30897172100875947</v>
      </c>
      <c r="FG313" s="60">
        <f>IF($FF313="",#N/A,SUM($FF$4:FF313))</f>
        <v>-6.5867175357341932</v>
      </c>
      <c r="FH313" s="60" t="str">
        <f t="shared" si="523"/>
        <v/>
      </c>
      <c r="FI313" s="60" t="e">
        <f>IF($FH313="",#N/A,SUM($FH$4:FH313))</f>
        <v>#N/A</v>
      </c>
      <c r="FJ313" s="60" t="str">
        <f t="shared" si="524"/>
        <v/>
      </c>
      <c r="FK313" s="60" t="e">
        <f>IF($FJ313="",#N/A,SUM($FJ$4:FJ313))</f>
        <v>#N/A</v>
      </c>
      <c r="FL313" s="60" t="str">
        <f t="shared" si="525"/>
        <v/>
      </c>
      <c r="FM313" s="60" t="e">
        <f>IF($FL313="",#N/A,SUM($FL$4:FL313))</f>
        <v>#N/A</v>
      </c>
      <c r="FN313" s="82">
        <f t="shared" si="526"/>
        <v>0.7267595230558207</v>
      </c>
      <c r="FO313" s="82">
        <f>IF($FN313="",#N/A,SUM(FN$4:$FN313))</f>
        <v>65.346422206042462</v>
      </c>
      <c r="FP313" s="82">
        <f t="shared" si="546"/>
        <v>0.41778780204706123</v>
      </c>
      <c r="FQ313" s="246">
        <f>IF($EH313="",#N/A,SUM($FP$4:FP313))</f>
        <v>60.122867549876567</v>
      </c>
      <c r="FR313" s="82">
        <f>IFERROR(FQ313/COUNTA($J$4:J313),#N/A)</f>
        <v>0.19394473403185988</v>
      </c>
      <c r="FS313" s="82">
        <f t="shared" ref="FS313:FS376" si="554">IFERROR(($FQ313-$FQ264)/COUNTA($J264:$J313),#N/A)</f>
        <v>0.24092369953972365</v>
      </c>
      <c r="FT313" s="82">
        <f t="shared" ref="FT313:FT376" si="555">IFERROR(($FQ313-$FQ289)/COUNTA($J289:$J313),#N/A)</f>
        <v>0.31436793358325532</v>
      </c>
      <c r="FU313" s="338">
        <f t="shared" si="553"/>
        <v>30.807506183530691</v>
      </c>
      <c r="FV313" s="57" t="str">
        <f t="shared" si="552"/>
        <v>Up</v>
      </c>
      <c r="FW313" s="57" t="s">
        <v>2733</v>
      </c>
      <c r="FX313" s="57">
        <f t="shared" si="528"/>
        <v>1</v>
      </c>
      <c r="FY313" s="57" t="str">
        <f t="shared" si="529"/>
        <v/>
      </c>
      <c r="FZ313" s="57" t="str">
        <f t="shared" si="530"/>
        <v/>
      </c>
      <c r="GA313" s="57" t="str">
        <f t="shared" si="531"/>
        <v>Long</v>
      </c>
      <c r="GB313" s="57" t="str">
        <f t="shared" si="532"/>
        <v/>
      </c>
      <c r="GC313" s="57" t="str">
        <f t="shared" si="533"/>
        <v/>
      </c>
      <c r="GD313" s="57" t="str">
        <f t="shared" si="534"/>
        <v/>
      </c>
      <c r="GE313" s="62">
        <f t="shared" si="451"/>
        <v>505.44</v>
      </c>
      <c r="GF313" s="62" t="s">
        <v>2779</v>
      </c>
      <c r="GG313" s="199">
        <v>3</v>
      </c>
      <c r="GH313" s="207">
        <f t="shared" si="535"/>
        <v>1516.32</v>
      </c>
      <c r="GI313" s="199">
        <v>3</v>
      </c>
      <c r="GJ313" s="200">
        <v>518.6</v>
      </c>
      <c r="GK313" s="63">
        <f t="shared" si="536"/>
        <v>39.480000000000246</v>
      </c>
      <c r="GL313" s="63">
        <f t="shared" si="452"/>
        <v>66.120000000000118</v>
      </c>
      <c r="GM313" s="82" t="str">
        <f t="shared" si="537"/>
        <v/>
      </c>
      <c r="GN313" s="82">
        <f>IF($GZ313="",#N/A,SUM(GM$4:GM313))</f>
        <v>13.589378984945132</v>
      </c>
      <c r="GO313" s="82">
        <f t="shared" si="538"/>
        <v>0.7267595230558207</v>
      </c>
      <c r="GP313" s="82">
        <f>IF($GZ313="",#N/A,SUM(GO$4:GO313))</f>
        <v>18.674838996318137</v>
      </c>
      <c r="GQ313" s="82" t="str">
        <f t="shared" si="539"/>
        <v/>
      </c>
      <c r="GR313" s="82">
        <f>IF($GZ313="",#N/A,SUM(GQ$4:GQ313))</f>
        <v>32.456367270336862</v>
      </c>
      <c r="GS313" s="63" t="str">
        <f t="shared" si="548"/>
        <v/>
      </c>
      <c r="GT313" s="63" t="e">
        <f>IF($GZ313="",#N/A,SUM(GS$4:GS313))</f>
        <v>#N/A</v>
      </c>
      <c r="GU313" s="63" t="e">
        <f t="shared" si="549"/>
        <v>#N/A</v>
      </c>
      <c r="GV313" s="63" t="e">
        <f>IF($GZ313="",#N/A,SUM(GU$4:GU313))</f>
        <v>#N/A</v>
      </c>
      <c r="GW313" s="63" t="str">
        <f t="shared" si="550"/>
        <v/>
      </c>
      <c r="GX313" s="63" t="e">
        <f>IF($GZ313="",#N/A,SUM(GW$4:GW313))</f>
        <v>#N/A</v>
      </c>
      <c r="GY313" s="63" t="e">
        <f>IF(EJ313="",#N/A,SUM($EJ$4:EJ313))</f>
        <v>#N/A</v>
      </c>
      <c r="GZ313" s="159">
        <v>527.48</v>
      </c>
      <c r="HA313" s="63">
        <f t="shared" si="540"/>
        <v>28.110000000000127</v>
      </c>
      <c r="HB313" s="62" t="s">
        <v>2538</v>
      </c>
      <c r="HC313" s="60">
        <f>IFERROR(VLOOKUP(E313,Expectancy!$P$4:$S$19,1+C313,FALSE),"")</f>
        <v>-7.9483352726509887E-2</v>
      </c>
      <c r="HD313" s="82">
        <f t="shared" si="541"/>
        <v>0.43394534135275148</v>
      </c>
      <c r="HE313" s="138">
        <f>IF(HD313="",#N/A,SUM($HD$4:HD313))</f>
        <v>14.785361366345871</v>
      </c>
      <c r="HF313" s="85">
        <f>IF(HD313="",#N/A,IF(HB313="Skip",#N/A,SUM($HG$4:HG313)))</f>
        <v>798.40657921915545</v>
      </c>
      <c r="HG313" s="63">
        <f t="shared" si="542"/>
        <v>39.480000000000246</v>
      </c>
      <c r="HH313" s="82">
        <f t="shared" si="543"/>
        <v>0.7267595230558207</v>
      </c>
    </row>
    <row r="314" spans="1:216" x14ac:dyDescent="0.25">
      <c r="A314" s="57" t="s">
        <v>1120</v>
      </c>
      <c r="B314" s="58" t="s">
        <v>5240</v>
      </c>
      <c r="C314" s="386">
        <f t="shared" si="453"/>
        <v>1</v>
      </c>
      <c r="D314" s="372" t="str">
        <f>_xlfn.XLOOKUP(A314,[1]SP500!$A$2:$A$502,[1]SP500!$D$2:$D$502,"N")</f>
        <v>Y</v>
      </c>
      <c r="E314" s="57" t="str">
        <f>_xlfn.XLOOKUP(A314,[1]SP500!$A$2:$A$655,[1]SP500!$B$2:$B$655)</f>
        <v>XLI</v>
      </c>
      <c r="F314" s="59">
        <v>45701</v>
      </c>
      <c r="G314" s="57" t="str">
        <f t="shared" si="454"/>
        <v>BMO</v>
      </c>
      <c r="H314" s="57" t="str">
        <f t="shared" si="455"/>
        <v>s</v>
      </c>
      <c r="I314" s="159">
        <v>476.56</v>
      </c>
      <c r="J314" s="159">
        <v>454.5</v>
      </c>
      <c r="K314" s="61">
        <f t="shared" si="456"/>
        <v>-4.6290078898774553E-2</v>
      </c>
      <c r="L314" s="87">
        <f t="shared" si="457"/>
        <v>-88.240000000000009</v>
      </c>
      <c r="M314" s="130">
        <f t="shared" si="450"/>
        <v>2</v>
      </c>
      <c r="N314" s="169">
        <f t="shared" si="458"/>
        <v>-88.240000000000009</v>
      </c>
      <c r="O314" s="169">
        <f>IF($J314="",#N/A,SUM($N$4:N314))</f>
        <v>916.89671935422462</v>
      </c>
      <c r="P314" s="174" t="str">
        <f t="shared" si="459"/>
        <v/>
      </c>
      <c r="Q314" s="174">
        <f>IF($J314="",#N/A,SUM($P$4:P314))</f>
        <v>341.14890674734181</v>
      </c>
      <c r="R314" s="178" t="str">
        <f t="shared" si="460"/>
        <v/>
      </c>
      <c r="S314" s="178">
        <f>IF($J314="",#N/A,SUM($R$4:R314))</f>
        <v>579.68445814372762</v>
      </c>
      <c r="T314" s="290">
        <f t="shared" si="461"/>
        <v>-0.77150131497957597</v>
      </c>
      <c r="U314" s="290">
        <f>IF($J314="",#N/A,SUM($T$4:T314))</f>
        <v>22.780998999602659</v>
      </c>
      <c r="V314" s="291" t="str">
        <f t="shared" si="462"/>
        <v/>
      </c>
      <c r="W314" s="291">
        <f>IF($J314="",#N/A,SUM($V$4:V314))</f>
        <v>23.057393703898299</v>
      </c>
      <c r="X314" s="292" t="str">
        <f t="shared" si="463"/>
        <v/>
      </c>
      <c r="Y314" s="292">
        <f>IF($J314="",#N/A,SUM($X$4:X314))</f>
        <v>13.51297353139605</v>
      </c>
      <c r="Z314" s="304" t="str">
        <f t="shared" si="464"/>
        <v/>
      </c>
      <c r="AA314" s="313" t="e">
        <f>IF($J314="",#N/A,SUM(Z$4:Z314))</f>
        <v>#N/A</v>
      </c>
      <c r="AB314" s="314" t="str">
        <f t="shared" si="465"/>
        <v/>
      </c>
      <c r="AC314" s="314" t="e">
        <f>IF($J314="",#N/A,SUM(AB$4:AB314))</f>
        <v>#N/A</v>
      </c>
      <c r="AD314" s="315" t="str">
        <f t="shared" si="466"/>
        <v/>
      </c>
      <c r="AE314" s="315" t="e">
        <f>IF($J314="",#N/A,SUM(AD$4:AD314))</f>
        <v>#N/A</v>
      </c>
      <c r="AF314" s="315" t="e">
        <f>IF($J314="",#N/A,SUM(AD$4:AD314,AB$4:AB314,Z$4:Z314))</f>
        <v>#N/A</v>
      </c>
      <c r="AG314" s="304" t="str">
        <f t="shared" si="467"/>
        <v/>
      </c>
      <c r="AH314" s="313" t="e">
        <f>IF($J314="",#N/A,SUM(AG$4:AG314))</f>
        <v>#N/A</v>
      </c>
      <c r="AI314" s="314" t="str">
        <f t="shared" si="468"/>
        <v/>
      </c>
      <c r="AJ314" s="314" t="e">
        <f>IF($J314="",#N/A,SUM(AI$4:AI314))</f>
        <v>#N/A</v>
      </c>
      <c r="AK314" s="315" t="str">
        <f t="shared" si="469"/>
        <v/>
      </c>
      <c r="AL314" s="315" t="e">
        <f>IF($J314="",#N/A,SUM(AK$4:AK314))</f>
        <v>#N/A</v>
      </c>
      <c r="AM314" s="315" t="e">
        <f>IF($J314="",#N/A,SUM(AK$4:AK314,AI$4:AI314,AG$4:AG314))</f>
        <v>#N/A</v>
      </c>
      <c r="AN314" s="304" t="str">
        <f t="shared" si="470"/>
        <v/>
      </c>
      <c r="AO314" s="313" t="e">
        <f>IF($J314="",#N/A,SUM(AN$4:AN314))</f>
        <v>#N/A</v>
      </c>
      <c r="AP314" s="314" t="str">
        <f t="shared" si="471"/>
        <v/>
      </c>
      <c r="AQ314" s="314" t="e">
        <f>IF($J314="",#N/A,SUM(AP$4:AP314))</f>
        <v>#N/A</v>
      </c>
      <c r="AR314" s="315" t="str">
        <f t="shared" si="472"/>
        <v/>
      </c>
      <c r="AS314" s="315" t="e">
        <f>IF($J314="",#N/A,SUM(AR$4:AR314))</f>
        <v>#N/A</v>
      </c>
      <c r="AT314" s="315" t="e">
        <f>IF($J314="",#N/A,SUM(AR$4:AR314,AP$4:AP314,AN$4:AN314))</f>
        <v>#N/A</v>
      </c>
      <c r="AU314" s="304" t="str">
        <f t="shared" si="473"/>
        <v/>
      </c>
      <c r="AV314" s="313" t="e">
        <f>IF($J314="",#N/A,SUM(AU$4:AU314))</f>
        <v>#N/A</v>
      </c>
      <c r="AW314" s="314" t="str">
        <f t="shared" si="474"/>
        <v/>
      </c>
      <c r="AX314" s="314" t="e">
        <f>IF($J314="",#N/A,SUM(AW$4:AW314))</f>
        <v>#N/A</v>
      </c>
      <c r="AY314" s="315" t="str">
        <f t="shared" si="475"/>
        <v/>
      </c>
      <c r="AZ314" s="315" t="e">
        <f>IF($J314="",#N/A,SUM(AY$4:AY314))</f>
        <v>#N/A</v>
      </c>
      <c r="BA314" s="315" t="e">
        <f>IF($J314="",#N/A,SUM(AY$4:AY314,AW$4:AW314,AU$4:AU314))</f>
        <v>#N/A</v>
      </c>
      <c r="BB314" s="304" t="str">
        <f t="shared" si="476"/>
        <v/>
      </c>
      <c r="BC314" s="313" t="e">
        <f>IF($J314="",#N/A,SUM(BB$4:BB314))</f>
        <v>#N/A</v>
      </c>
      <c r="BD314" s="314" t="str">
        <f t="shared" si="477"/>
        <v/>
      </c>
      <c r="BE314" s="314" t="e">
        <f>IF($J314="",#N/A,SUM(BD$4:BD314))</f>
        <v>#N/A</v>
      </c>
      <c r="BF314" s="315" t="str">
        <f t="shared" si="478"/>
        <v/>
      </c>
      <c r="BG314" s="315" t="e">
        <f>IF($J314="",#N/A,SUM(BF$4:BF314))</f>
        <v>#N/A</v>
      </c>
      <c r="BH314" s="315" t="e">
        <f>IF($J314="",#N/A,SUM(BF$4:BF314,BD$4:BD314,BB$4:BB314))</f>
        <v>#N/A</v>
      </c>
      <c r="BI314" s="304" t="str">
        <f t="shared" si="479"/>
        <v/>
      </c>
      <c r="BJ314" s="313" t="e">
        <f>IF($J314="",#N/A,SUM(BI$4:BI314))</f>
        <v>#N/A</v>
      </c>
      <c r="BK314" s="314" t="str">
        <f t="shared" si="480"/>
        <v/>
      </c>
      <c r="BL314" s="314" t="e">
        <f>IF($J314="",#N/A,SUM(BK$4:BK314))</f>
        <v>#N/A</v>
      </c>
      <c r="BM314" s="315" t="str">
        <f t="shared" si="481"/>
        <v/>
      </c>
      <c r="BN314" s="315" t="e">
        <f>IF($J314="",#N/A,SUM(BM$4:BM314))</f>
        <v>#N/A</v>
      </c>
      <c r="BO314" s="315" t="e">
        <f>IF($J314="",#N/A,SUM(BM$4:BM314,BK$4:BK314,BI$4:BI314))</f>
        <v>#N/A</v>
      </c>
      <c r="BP314" s="304">
        <f t="shared" si="482"/>
        <v>-0.77150131497957597</v>
      </c>
      <c r="BQ314" s="313" t="e">
        <f>IF($J314="",#N/A,SUM(BP$4:BP314))</f>
        <v>#N/A</v>
      </c>
      <c r="BR314" s="314" t="str">
        <f t="shared" si="483"/>
        <v/>
      </c>
      <c r="BS314" s="314" t="e">
        <f>IF($J314="",#N/A,SUM(BR$4:BR314))</f>
        <v>#N/A</v>
      </c>
      <c r="BT314" s="315" t="str">
        <f t="shared" si="484"/>
        <v/>
      </c>
      <c r="BU314" s="315" t="e">
        <f>IF($J314="",#N/A,SUM(BT$4:BT314))</f>
        <v>#N/A</v>
      </c>
      <c r="BV314" s="315" t="e">
        <f>IF($J314="",#N/A,SUM(BT$4:BT314,BR$4:BR314,BP$4:BP314))</f>
        <v>#N/A</v>
      </c>
      <c r="BW314" s="304" t="str">
        <f t="shared" si="485"/>
        <v/>
      </c>
      <c r="BX314" s="313" t="e">
        <f>IF($J314="",#N/A,SUM(BW$4:BW314))</f>
        <v>#N/A</v>
      </c>
      <c r="BY314" s="314" t="str">
        <f t="shared" si="486"/>
        <v/>
      </c>
      <c r="BZ314" s="314" t="e">
        <f>IF($J314="",#N/A,SUM(BY$4:BY314))</f>
        <v>#N/A</v>
      </c>
      <c r="CA314" s="315" t="str">
        <f t="shared" si="487"/>
        <v/>
      </c>
      <c r="CB314" s="315" t="e">
        <f>IF($J314="",#N/A,SUM(CA$4:CA314))</f>
        <v>#N/A</v>
      </c>
      <c r="CC314" s="315" t="e">
        <f>IF($J314="",#N/A,SUM(CA$4:CA314,BY$4:BY314,BW$4:BW314))</f>
        <v>#N/A</v>
      </c>
      <c r="CD314" s="304" t="str">
        <f t="shared" si="488"/>
        <v/>
      </c>
      <c r="CE314" s="313" t="e">
        <f>IF($J314="",#N/A,SUM(CD$4:CD314))</f>
        <v>#N/A</v>
      </c>
      <c r="CF314" s="314" t="str">
        <f t="shared" si="489"/>
        <v/>
      </c>
      <c r="CG314" s="314" t="e">
        <f>IF($J314="",#N/A,SUM(CF$4:CF314))</f>
        <v>#N/A</v>
      </c>
      <c r="CH314" s="315" t="str">
        <f t="shared" si="490"/>
        <v/>
      </c>
      <c r="CI314" s="315" t="e">
        <f>IF($J314="",#N/A,SUM(CH$4:CH314))</f>
        <v>#N/A</v>
      </c>
      <c r="CJ314" s="315" t="e">
        <f>IF($J314="",#N/A,SUM(CH$4:CH314,CF$4:CF314,CD$4:CD314))</f>
        <v>#N/A</v>
      </c>
      <c r="CK314" s="304" t="str">
        <f t="shared" si="491"/>
        <v/>
      </c>
      <c r="CL314" s="313" t="e">
        <f>IF($J314="",#N/A,SUM(CK$4:CK314))</f>
        <v>#N/A</v>
      </c>
      <c r="CM314" s="314" t="str">
        <f t="shared" si="492"/>
        <v/>
      </c>
      <c r="CN314" s="314" t="e">
        <f>IF($J314="",#N/A,SUM(CM$4:CM314))</f>
        <v>#N/A</v>
      </c>
      <c r="CO314" s="315" t="str">
        <f t="shared" si="493"/>
        <v/>
      </c>
      <c r="CP314" s="315" t="e">
        <f>IF($J314="",#N/A,SUM(CO$4:CO314))</f>
        <v>#N/A</v>
      </c>
      <c r="CQ314" s="315" t="e">
        <f>IF($J314="",#N/A,SUM(CO$4:CO314,CM$4:CM314,CK$4:CK314))</f>
        <v>#N/A</v>
      </c>
      <c r="CR314" s="304" t="str">
        <f t="shared" si="494"/>
        <v/>
      </c>
      <c r="CS314" s="313" t="e">
        <f>IF($J314="",#N/A,SUM(CR$4:CR314))</f>
        <v>#N/A</v>
      </c>
      <c r="CT314" s="314" t="str">
        <f t="shared" si="495"/>
        <v/>
      </c>
      <c r="CU314" s="314" t="e">
        <f>IF($J314="",#N/A,SUM(CT$4:CT314))</f>
        <v>#N/A</v>
      </c>
      <c r="CV314" s="315" t="str">
        <f t="shared" si="496"/>
        <v/>
      </c>
      <c r="CW314" s="315" t="e">
        <f>IF($J314="",#N/A,SUM(CV$4:CV314))</f>
        <v>#N/A</v>
      </c>
      <c r="CX314" s="315" t="e">
        <f>IF($J314="",#N/A,SUM(CV$4:CV314,CT$4:CT314,CR$4:CR314))</f>
        <v>#N/A</v>
      </c>
      <c r="CY314" s="304" t="str">
        <f t="shared" si="497"/>
        <v/>
      </c>
      <c r="CZ314" s="313" t="e">
        <f>IF($J314="",#N/A,SUM(CY$4:CY314))</f>
        <v>#N/A</v>
      </c>
      <c r="DA314" s="314" t="str">
        <f t="shared" si="498"/>
        <v/>
      </c>
      <c r="DB314" s="314" t="e">
        <f>IF($J314="",#N/A,SUM(DA$4:DA314))</f>
        <v>#N/A</v>
      </c>
      <c r="DC314" s="315" t="str">
        <f t="shared" si="499"/>
        <v/>
      </c>
      <c r="DD314" s="315" t="e">
        <f>IF($J314="",#N/A,SUM(DC$4:DC314))</f>
        <v>#N/A</v>
      </c>
      <c r="DE314" s="315" t="e">
        <f>IF($J314="",#N/A,SUM(DC$4:DC314,DA$4:DA314,CY$4:CY314))</f>
        <v>#N/A</v>
      </c>
      <c r="DF314" s="304" t="str">
        <f t="shared" si="500"/>
        <v/>
      </c>
      <c r="DG314" s="313" t="e">
        <f>IF($J314="",#N/A,SUM(DF$4:DF314))</f>
        <v>#N/A</v>
      </c>
      <c r="DH314" s="314" t="str">
        <f t="shared" si="501"/>
        <v/>
      </c>
      <c r="DI314" s="314" t="e">
        <f>IF($J314="",#N/A,SUM(DH$4:DH314))</f>
        <v>#N/A</v>
      </c>
      <c r="DJ314" s="315" t="str">
        <f t="shared" si="502"/>
        <v/>
      </c>
      <c r="DK314" s="315" t="e">
        <f>IF($J314="",#N/A,SUM(DJ$4:DJ314))</f>
        <v>#N/A</v>
      </c>
      <c r="DL314" s="315" t="e">
        <f>IF($J314="",#N/A,SUM(DJ$4:DJ314,DH$4:DH314,DF$4:DF314))</f>
        <v>#N/A</v>
      </c>
      <c r="DM314" s="304" t="str">
        <f t="shared" si="503"/>
        <v/>
      </c>
      <c r="DN314" s="313" t="e">
        <f>IF($J314="",#N/A,SUM(DM$4:DM314))</f>
        <v>#N/A</v>
      </c>
      <c r="DO314" s="314" t="str">
        <f t="shared" si="504"/>
        <v/>
      </c>
      <c r="DP314" s="314" t="e">
        <f>IF($J314="",#N/A,SUM(DO$4:DO314))</f>
        <v>#N/A</v>
      </c>
      <c r="DQ314" s="315" t="str">
        <f t="shared" si="505"/>
        <v/>
      </c>
      <c r="DR314" s="315" t="e">
        <f>IF($J314="",#N/A,SUM(DQ$4:DQ314))</f>
        <v>#N/A</v>
      </c>
      <c r="DS314" s="315" t="e">
        <f>IF($J314="",#N/A,SUM(DQ$4:DQ314,DO$4:DO314,DM$4:DM314))</f>
        <v>#N/A</v>
      </c>
      <c r="DT314" s="304" t="str">
        <f t="shared" si="506"/>
        <v/>
      </c>
      <c r="DU314" s="313" t="e">
        <f>IF($J314="",#N/A,SUM(DT$4:DT314))</f>
        <v>#N/A</v>
      </c>
      <c r="DV314" s="314" t="str">
        <f t="shared" si="507"/>
        <v/>
      </c>
      <c r="DW314" s="314" t="e">
        <f>IF($J314="",#N/A,SUM(DV$4:DV314))</f>
        <v>#N/A</v>
      </c>
      <c r="DX314" s="315" t="str">
        <f t="shared" si="508"/>
        <v/>
      </c>
      <c r="DY314" s="315" t="e">
        <f>IF($J314="",#N/A,SUM(DX$4:DX314))</f>
        <v>#N/A</v>
      </c>
      <c r="DZ314" s="315" t="e">
        <f>IF($J314="",#N/A,SUM(DX$4:DX314,DV$4:DV314,DT$4:DT314))</f>
        <v>#N/A</v>
      </c>
      <c r="EA314" s="304" t="str">
        <f t="shared" si="509"/>
        <v/>
      </c>
      <c r="EB314" s="313" t="e">
        <f>IF($J314="",#N/A,SUM(EA$4:EA314))</f>
        <v>#N/A</v>
      </c>
      <c r="EC314" s="314" t="str">
        <f t="shared" si="510"/>
        <v/>
      </c>
      <c r="ED314" s="314" t="e">
        <f>IF($J314="",#N/A,SUM(EC$4:EC314))</f>
        <v>#N/A</v>
      </c>
      <c r="EE314" s="315" t="str">
        <f t="shared" si="511"/>
        <v/>
      </c>
      <c r="EF314" s="315" t="e">
        <f>IF($J314="",#N/A,SUM(EE$4:EE314))</f>
        <v>#N/A</v>
      </c>
      <c r="EG314" s="315" t="e">
        <f>IF($J314="",#N/A,SUM(EE$4:EE314,EC$4:EC314,EA$4:EA314))</f>
        <v>#N/A</v>
      </c>
      <c r="EH314" s="130">
        <f t="shared" si="512"/>
        <v>-88.240000000000009</v>
      </c>
      <c r="EI314" s="63">
        <f>IF(EH314="",#N/A,SUM($EH$4:EH314))</f>
        <v>1837.7300842452942</v>
      </c>
      <c r="EJ314" s="223" t="e">
        <f t="shared" si="513"/>
        <v>#N/A</v>
      </c>
      <c r="EK314" s="63" t="e">
        <f>IF($GZ314="",#N/A,SUM(EJ$4:EJ314))</f>
        <v>#N/A</v>
      </c>
      <c r="EL314" s="60">
        <f t="shared" si="544"/>
        <v>-0.77150131497957597</v>
      </c>
      <c r="EM314" s="60">
        <f>IF(EL314="",NA(),SUM($EL$4:EL314))</f>
        <v>41.083263897400577</v>
      </c>
      <c r="EN314" s="60">
        <f t="shared" si="514"/>
        <v>-0.77150131497957597</v>
      </c>
      <c r="EO314" s="60">
        <f>IF(EN314="",NA(),SUM($EN$4:EN314))</f>
        <v>14.768643353339186</v>
      </c>
      <c r="EP314" s="60" t="str">
        <f t="shared" si="515"/>
        <v/>
      </c>
      <c r="EQ314" s="60" t="e">
        <f>IF(EP314="",NA(),SUM($EP$4:EP314))</f>
        <v>#N/A</v>
      </c>
      <c r="ER314" s="60" t="str">
        <f t="shared" si="516"/>
        <v/>
      </c>
      <c r="ES314" s="60" t="e">
        <f>IF(ER314="",NA(),SUM($ER$4:ER314))</f>
        <v>#N/A</v>
      </c>
      <c r="ET314" s="60" t="str">
        <f t="shared" si="517"/>
        <v/>
      </c>
      <c r="EU314" s="60" t="e">
        <f>IF(ET314="",NA(),SUM($ET$4:ET314))</f>
        <v>#N/A</v>
      </c>
      <c r="EV314" s="60" t="str">
        <f t="shared" si="518"/>
        <v/>
      </c>
      <c r="EW314" s="60" t="e">
        <f>IF(EV314="",NA(),SUM($EV$4:EV314))</f>
        <v>#N/A</v>
      </c>
      <c r="EX314" s="60" t="str">
        <f t="shared" si="519"/>
        <v/>
      </c>
      <c r="EY314" s="60" t="e">
        <f>IF(EX314="",NA(),SUM($EX$4:EX314))</f>
        <v>#N/A</v>
      </c>
      <c r="EZ314" s="60" t="str">
        <f t="shared" si="520"/>
        <v/>
      </c>
      <c r="FA314" s="60" t="e">
        <f>IF(EZ314="",NA(),SUM($EZ$4:EZ314))</f>
        <v>#N/A</v>
      </c>
      <c r="FB314" s="246" t="str">
        <f t="shared" si="545"/>
        <v/>
      </c>
      <c r="FC314" s="246" t="e">
        <f>IF($FB314="",#N/A,SUM(FB$4:$FB314))</f>
        <v>#N/A</v>
      </c>
      <c r="FD314" s="60" t="str">
        <f t="shared" si="521"/>
        <v/>
      </c>
      <c r="FE314" s="60" t="e">
        <f>IF($FD314="",#N/A,SUM($FD$4:FD314))</f>
        <v>#N/A</v>
      </c>
      <c r="FF314" s="60" t="str">
        <f t="shared" si="522"/>
        <v/>
      </c>
      <c r="FG314" s="60" t="e">
        <f>IF($FF314="",#N/A,SUM($FF$4:FF314))</f>
        <v>#N/A</v>
      </c>
      <c r="FH314" s="60">
        <f t="shared" si="523"/>
        <v>0.40988193162106301</v>
      </c>
      <c r="FI314" s="60">
        <f>IF($FH314="",#N/A,SUM($FH$4:FH314))</f>
        <v>2.1189381490911607</v>
      </c>
      <c r="FJ314" s="60" t="str">
        <f t="shared" si="524"/>
        <v/>
      </c>
      <c r="FK314" s="60" t="e">
        <f>IF($FJ314="",#N/A,SUM($FJ$4:FJ314))</f>
        <v>#N/A</v>
      </c>
      <c r="FL314" s="60" t="str">
        <f t="shared" si="525"/>
        <v/>
      </c>
      <c r="FM314" s="60" t="e">
        <f>IF($FL314="",#N/A,SUM($FL$4:FL314))</f>
        <v>#N/A</v>
      </c>
      <c r="FN314" s="82">
        <f t="shared" si="526"/>
        <v>-0.36161938335851296</v>
      </c>
      <c r="FO314" s="82">
        <f>IF($FN314="",#N/A,SUM(FN$4:$FN314))</f>
        <v>64.984802822683946</v>
      </c>
      <c r="FP314" s="82">
        <f t="shared" si="546"/>
        <v>-0.77150131497957597</v>
      </c>
      <c r="FQ314" s="246">
        <f>IF($EH314="",#N/A,SUM($FP$4:FP314))</f>
        <v>59.351366234896993</v>
      </c>
      <c r="FR314" s="82">
        <f>IFERROR(FQ314/COUNTA($J$4:J314),#N/A)</f>
        <v>0.19084040589999032</v>
      </c>
      <c r="FS314" s="82">
        <f t="shared" si="554"/>
        <v>0.22015883359913546</v>
      </c>
      <c r="FT314" s="82">
        <f t="shared" si="555"/>
        <v>0.24467562247218011</v>
      </c>
      <c r="FU314" s="338">
        <f t="shared" si="553"/>
        <v>30.790019753000792</v>
      </c>
      <c r="FV314" s="57" t="str">
        <f t="shared" si="552"/>
        <v>Up</v>
      </c>
      <c r="FW314" s="57" t="s">
        <v>2734</v>
      </c>
      <c r="FX314" s="57" t="str">
        <f t="shared" si="528"/>
        <v/>
      </c>
      <c r="FY314" s="57" t="str">
        <f t="shared" si="529"/>
        <v/>
      </c>
      <c r="FZ314" s="57" t="str">
        <f t="shared" si="530"/>
        <v/>
      </c>
      <c r="GA314" s="57" t="str">
        <f t="shared" si="531"/>
        <v>Long</v>
      </c>
      <c r="GB314" s="57" t="str">
        <f t="shared" si="532"/>
        <v/>
      </c>
      <c r="GC314" s="57">
        <f t="shared" si="533"/>
        <v>1</v>
      </c>
      <c r="GD314" s="57" t="str">
        <f t="shared" si="534"/>
        <v/>
      </c>
      <c r="GE314" s="62">
        <f t="shared" si="451"/>
        <v>476.56</v>
      </c>
      <c r="GF314" s="62" t="s">
        <v>2779</v>
      </c>
      <c r="GG314" s="199">
        <v>4</v>
      </c>
      <c r="GH314" s="207">
        <f t="shared" si="535"/>
        <v>1906.24</v>
      </c>
      <c r="GI314" s="199">
        <v>4</v>
      </c>
      <c r="GJ314" s="200">
        <v>455</v>
      </c>
      <c r="GK314" s="63">
        <f t="shared" si="536"/>
        <v>-86.240000000000009</v>
      </c>
      <c r="GL314" s="63">
        <f t="shared" si="452"/>
        <v>-41.3599999999999</v>
      </c>
      <c r="GM314" s="82" t="str">
        <f t="shared" si="537"/>
        <v/>
      </c>
      <c r="GN314" s="82">
        <f>IF($GZ314="",#N/A,SUM(GM$4:GM314))</f>
        <v>13.589378984945132</v>
      </c>
      <c r="GO314" s="82">
        <f t="shared" si="538"/>
        <v>-0.36161938335851296</v>
      </c>
      <c r="GP314" s="82">
        <f>IF($GZ314="",#N/A,SUM(GO$4:GO314))</f>
        <v>18.313219612959625</v>
      </c>
      <c r="GQ314" s="82" t="str">
        <f t="shared" si="539"/>
        <v/>
      </c>
      <c r="GR314" s="82">
        <f>IF($GZ314="",#N/A,SUM(GQ$4:GQ314))</f>
        <v>32.456367270336862</v>
      </c>
      <c r="GS314" s="63" t="str">
        <f t="shared" si="548"/>
        <v/>
      </c>
      <c r="GT314" s="63" t="e">
        <f>IF($GZ314="",#N/A,SUM(GS$4:GS314))</f>
        <v>#N/A</v>
      </c>
      <c r="GU314" s="63" t="e">
        <f t="shared" si="549"/>
        <v>#N/A</v>
      </c>
      <c r="GV314" s="63" t="e">
        <f>IF($GZ314="",#N/A,SUM(GU$4:GU314))</f>
        <v>#N/A</v>
      </c>
      <c r="GW314" s="63" t="str">
        <f t="shared" si="550"/>
        <v/>
      </c>
      <c r="GX314" s="63" t="e">
        <f>IF($GZ314="",#N/A,SUM(GW$4:GW314))</f>
        <v>#N/A</v>
      </c>
      <c r="GY314" s="63" t="e">
        <f>IF(EJ314="",#N/A,SUM($EJ$4:EJ314))</f>
        <v>#N/A</v>
      </c>
      <c r="GZ314" s="159">
        <v>466.22</v>
      </c>
      <c r="HA314" s="63">
        <f t="shared" si="540"/>
        <v>46.880000000000109</v>
      </c>
      <c r="HB314" s="62" t="s">
        <v>2538</v>
      </c>
      <c r="HC314" s="60">
        <f>IFERROR(VLOOKUP(E314,Expectancy!$P$4:$S$19,1+C314,FALSE),"")</f>
        <v>-4.1762476788754908E-2</v>
      </c>
      <c r="HD314" s="82">
        <f t="shared" si="541"/>
        <v>-0.75401488444966713</v>
      </c>
      <c r="HE314" s="138">
        <f>IF(HD314="",#N/A,SUM($HD$4:HD314))</f>
        <v>14.031346481896204</v>
      </c>
      <c r="HF314" s="85">
        <f>IF(HD314="",#N/A,IF(HB314="Skip",#N/A,SUM($HG$4:HG314)))</f>
        <v>712.16657921915544</v>
      </c>
      <c r="HG314" s="63">
        <f t="shared" si="542"/>
        <v>-86.240000000000009</v>
      </c>
      <c r="HH314" s="82">
        <f t="shared" si="543"/>
        <v>-0.36161938335851296</v>
      </c>
    </row>
    <row r="315" spans="1:216" x14ac:dyDescent="0.25">
      <c r="A315" s="57" t="s">
        <v>51</v>
      </c>
      <c r="B315" s="58" t="s">
        <v>5240</v>
      </c>
      <c r="C315" s="386">
        <f t="shared" si="453"/>
        <v>3</v>
      </c>
      <c r="D315" s="372" t="str">
        <f>_xlfn.XLOOKUP(A315,[1]SP500!$A$2:$A$502,[1]SP500!$D$2:$D$502,"N")</f>
        <v>Y</v>
      </c>
      <c r="E315" s="57" t="str">
        <f>_xlfn.XLOOKUP(A315,[1]SP500!$A$2:$A$655,[1]SP500!$B$2:$B$655)</f>
        <v>XLV</v>
      </c>
      <c r="F315" s="59">
        <v>45701</v>
      </c>
      <c r="G315" s="57" t="str">
        <f t="shared" si="454"/>
        <v>BMO</v>
      </c>
      <c r="H315" s="57" t="str">
        <f t="shared" si="455"/>
        <v>s</v>
      </c>
      <c r="I315" s="159">
        <v>173.88</v>
      </c>
      <c r="J315" s="159">
        <v>161.99</v>
      </c>
      <c r="K315" s="61">
        <f t="shared" si="456"/>
        <v>-6.8380492293535697E-2</v>
      </c>
      <c r="L315" s="87">
        <f t="shared" si="457"/>
        <v>-118.89999999999986</v>
      </c>
      <c r="M315" s="130">
        <f t="shared" si="450"/>
        <v>-12.000000000000227</v>
      </c>
      <c r="N315" s="169" t="str">
        <f t="shared" si="458"/>
        <v/>
      </c>
      <c r="O315" s="169">
        <f>IF($J315="",#N/A,SUM($N$4:N315))</f>
        <v>916.89671935422462</v>
      </c>
      <c r="P315" s="174" t="str">
        <f t="shared" si="459"/>
        <v/>
      </c>
      <c r="Q315" s="174">
        <f>IF($J315="",#N/A,SUM($P$4:P315))</f>
        <v>341.14890674734181</v>
      </c>
      <c r="R315" s="178">
        <f t="shared" si="460"/>
        <v>-118.89999999999986</v>
      </c>
      <c r="S315" s="178">
        <f>IF($J315="",#N/A,SUM($R$4:R315))</f>
        <v>460.78445814372776</v>
      </c>
      <c r="T315" s="290" t="str">
        <f t="shared" si="461"/>
        <v/>
      </c>
      <c r="U315" s="290">
        <f>IF($J315="",#N/A,SUM($T$4:T315))</f>
        <v>22.780998999602659</v>
      </c>
      <c r="V315" s="291" t="str">
        <f t="shared" si="462"/>
        <v/>
      </c>
      <c r="W315" s="291">
        <f>IF($J315="",#N/A,SUM($V$4:V315))</f>
        <v>23.057393703898299</v>
      </c>
      <c r="X315" s="292">
        <f t="shared" si="463"/>
        <v>-1.1396748715589284</v>
      </c>
      <c r="Y315" s="292">
        <f>IF($J315="",#N/A,SUM($X$4:X315))</f>
        <v>12.373298659837122</v>
      </c>
      <c r="Z315" s="304" t="str">
        <f t="shared" si="464"/>
        <v/>
      </c>
      <c r="AA315" s="313" t="e">
        <f>IF($J315="",#N/A,SUM(Z$4:Z315))</f>
        <v>#N/A</v>
      </c>
      <c r="AB315" s="314" t="str">
        <f t="shared" si="465"/>
        <v/>
      </c>
      <c r="AC315" s="314" t="e">
        <f>IF($J315="",#N/A,SUM(AB$4:AB315))</f>
        <v>#N/A</v>
      </c>
      <c r="AD315" s="315" t="str">
        <f t="shared" si="466"/>
        <v/>
      </c>
      <c r="AE315" s="315" t="e">
        <f>IF($J315="",#N/A,SUM(AD$4:AD315))</f>
        <v>#N/A</v>
      </c>
      <c r="AF315" s="315" t="e">
        <f>IF($J315="",#N/A,SUM(AD$4:AD315,AB$4:AB315,Z$4:Z315))</f>
        <v>#N/A</v>
      </c>
      <c r="AG315" s="304" t="str">
        <f t="shared" si="467"/>
        <v/>
      </c>
      <c r="AH315" s="313" t="e">
        <f>IF($J315="",#N/A,SUM(AG$4:AG315))</f>
        <v>#N/A</v>
      </c>
      <c r="AI315" s="314" t="str">
        <f t="shared" si="468"/>
        <v/>
      </c>
      <c r="AJ315" s="314" t="e">
        <f>IF($J315="",#N/A,SUM(AI$4:AI315))</f>
        <v>#N/A</v>
      </c>
      <c r="AK315" s="315" t="str">
        <f t="shared" si="469"/>
        <v/>
      </c>
      <c r="AL315" s="315" t="e">
        <f>IF($J315="",#N/A,SUM(AK$4:AK315))</f>
        <v>#N/A</v>
      </c>
      <c r="AM315" s="315" t="e">
        <f>IF($J315="",#N/A,SUM(AK$4:AK315,AI$4:AI315,AG$4:AG315))</f>
        <v>#N/A</v>
      </c>
      <c r="AN315" s="304" t="str">
        <f t="shared" si="470"/>
        <v/>
      </c>
      <c r="AO315" s="313" t="e">
        <f>IF($J315="",#N/A,SUM(AN$4:AN315))</f>
        <v>#N/A</v>
      </c>
      <c r="AP315" s="314" t="str">
        <f t="shared" si="471"/>
        <v/>
      </c>
      <c r="AQ315" s="314" t="e">
        <f>IF($J315="",#N/A,SUM(AP$4:AP315))</f>
        <v>#N/A</v>
      </c>
      <c r="AR315" s="315" t="str">
        <f t="shared" si="472"/>
        <v/>
      </c>
      <c r="AS315" s="315" t="e">
        <f>IF($J315="",#N/A,SUM(AR$4:AR315))</f>
        <v>#N/A</v>
      </c>
      <c r="AT315" s="315" t="e">
        <f>IF($J315="",#N/A,SUM(AR$4:AR315,AP$4:AP315,AN$4:AN315))</f>
        <v>#N/A</v>
      </c>
      <c r="AU315" s="304" t="str">
        <f t="shared" si="473"/>
        <v/>
      </c>
      <c r="AV315" s="313" t="e">
        <f>IF($J315="",#N/A,SUM(AU$4:AU315))</f>
        <v>#N/A</v>
      </c>
      <c r="AW315" s="314" t="str">
        <f t="shared" si="474"/>
        <v/>
      </c>
      <c r="AX315" s="314" t="e">
        <f>IF($J315="",#N/A,SUM(AW$4:AW315))</f>
        <v>#N/A</v>
      </c>
      <c r="AY315" s="315" t="str">
        <f t="shared" si="475"/>
        <v/>
      </c>
      <c r="AZ315" s="315" t="e">
        <f>IF($J315="",#N/A,SUM(AY$4:AY315))</f>
        <v>#N/A</v>
      </c>
      <c r="BA315" s="315" t="e">
        <f>IF($J315="",#N/A,SUM(AY$4:AY315,AW$4:AW315,AU$4:AU315))</f>
        <v>#N/A</v>
      </c>
      <c r="BB315" s="304" t="str">
        <f t="shared" si="476"/>
        <v/>
      </c>
      <c r="BC315" s="313" t="e">
        <f>IF($J315="",#N/A,SUM(BB$4:BB315))</f>
        <v>#N/A</v>
      </c>
      <c r="BD315" s="314" t="str">
        <f t="shared" si="477"/>
        <v/>
      </c>
      <c r="BE315" s="314" t="e">
        <f>IF($J315="",#N/A,SUM(BD$4:BD315))</f>
        <v>#N/A</v>
      </c>
      <c r="BF315" s="315" t="str">
        <f t="shared" si="478"/>
        <v/>
      </c>
      <c r="BG315" s="315" t="e">
        <f>IF($J315="",#N/A,SUM(BF$4:BF315))</f>
        <v>#N/A</v>
      </c>
      <c r="BH315" s="315" t="e">
        <f>IF($J315="",#N/A,SUM(BF$4:BF315,BD$4:BD315,BB$4:BB315))</f>
        <v>#N/A</v>
      </c>
      <c r="BI315" s="304" t="str">
        <f t="shared" si="479"/>
        <v/>
      </c>
      <c r="BJ315" s="313" t="e">
        <f>IF($J315="",#N/A,SUM(BI$4:BI315))</f>
        <v>#N/A</v>
      </c>
      <c r="BK315" s="314" t="str">
        <f t="shared" si="480"/>
        <v/>
      </c>
      <c r="BL315" s="314" t="e">
        <f>IF($J315="",#N/A,SUM(BK$4:BK315))</f>
        <v>#N/A</v>
      </c>
      <c r="BM315" s="315" t="str">
        <f t="shared" si="481"/>
        <v/>
      </c>
      <c r="BN315" s="315" t="e">
        <f>IF($J315="",#N/A,SUM(BM$4:BM315))</f>
        <v>#N/A</v>
      </c>
      <c r="BO315" s="315" t="e">
        <f>IF($J315="",#N/A,SUM(BM$4:BM315,BK$4:BK315,BI$4:BI315))</f>
        <v>#N/A</v>
      </c>
      <c r="BP315" s="304" t="str">
        <f t="shared" si="482"/>
        <v/>
      </c>
      <c r="BQ315" s="313" t="e">
        <f>IF($J315="",#N/A,SUM(BP$4:BP315))</f>
        <v>#N/A</v>
      </c>
      <c r="BR315" s="314" t="str">
        <f t="shared" si="483"/>
        <v/>
      </c>
      <c r="BS315" s="314" t="e">
        <f>IF($J315="",#N/A,SUM(BR$4:BR315))</f>
        <v>#N/A</v>
      </c>
      <c r="BT315" s="315" t="str">
        <f t="shared" si="484"/>
        <v/>
      </c>
      <c r="BU315" s="315" t="e">
        <f>IF($J315="",#N/A,SUM(BT$4:BT315))</f>
        <v>#N/A</v>
      </c>
      <c r="BV315" s="315" t="e">
        <f>IF($J315="",#N/A,SUM(BT$4:BT315,BR$4:BR315,BP$4:BP315))</f>
        <v>#N/A</v>
      </c>
      <c r="BW315" s="304" t="str">
        <f t="shared" si="485"/>
        <v/>
      </c>
      <c r="BX315" s="313" t="e">
        <f>IF($J315="",#N/A,SUM(BW$4:BW315))</f>
        <v>#N/A</v>
      </c>
      <c r="BY315" s="314" t="str">
        <f t="shared" si="486"/>
        <v/>
      </c>
      <c r="BZ315" s="314" t="e">
        <f>IF($J315="",#N/A,SUM(BY$4:BY315))</f>
        <v>#N/A</v>
      </c>
      <c r="CA315" s="315">
        <f t="shared" si="487"/>
        <v>-1.1396748715589284</v>
      </c>
      <c r="CB315" s="315" t="e">
        <f>IF($J315="",#N/A,SUM(CA$4:CA315))</f>
        <v>#N/A</v>
      </c>
      <c r="CC315" s="315" t="e">
        <f>IF($J315="",#N/A,SUM(CA$4:CA315,BY$4:BY315,BW$4:BW315))</f>
        <v>#N/A</v>
      </c>
      <c r="CD315" s="304" t="str">
        <f t="shared" si="488"/>
        <v/>
      </c>
      <c r="CE315" s="313" t="e">
        <f>IF($J315="",#N/A,SUM(CD$4:CD315))</f>
        <v>#N/A</v>
      </c>
      <c r="CF315" s="314" t="str">
        <f t="shared" si="489"/>
        <v/>
      </c>
      <c r="CG315" s="314" t="e">
        <f>IF($J315="",#N/A,SUM(CF$4:CF315))</f>
        <v>#N/A</v>
      </c>
      <c r="CH315" s="315" t="str">
        <f t="shared" si="490"/>
        <v/>
      </c>
      <c r="CI315" s="315" t="e">
        <f>IF($J315="",#N/A,SUM(CH$4:CH315))</f>
        <v>#N/A</v>
      </c>
      <c r="CJ315" s="315" t="e">
        <f>IF($J315="",#N/A,SUM(CH$4:CH315,CF$4:CF315,CD$4:CD315))</f>
        <v>#N/A</v>
      </c>
      <c r="CK315" s="304" t="str">
        <f t="shared" si="491"/>
        <v/>
      </c>
      <c r="CL315" s="313" t="e">
        <f>IF($J315="",#N/A,SUM(CK$4:CK315))</f>
        <v>#N/A</v>
      </c>
      <c r="CM315" s="314" t="str">
        <f t="shared" si="492"/>
        <v/>
      </c>
      <c r="CN315" s="314" t="e">
        <f>IF($J315="",#N/A,SUM(CM$4:CM315))</f>
        <v>#N/A</v>
      </c>
      <c r="CO315" s="315" t="str">
        <f t="shared" si="493"/>
        <v/>
      </c>
      <c r="CP315" s="315" t="e">
        <f>IF($J315="",#N/A,SUM(CO$4:CO315))</f>
        <v>#N/A</v>
      </c>
      <c r="CQ315" s="315" t="e">
        <f>IF($J315="",#N/A,SUM(CO$4:CO315,CM$4:CM315,CK$4:CK315))</f>
        <v>#N/A</v>
      </c>
      <c r="CR315" s="304" t="str">
        <f t="shared" si="494"/>
        <v/>
      </c>
      <c r="CS315" s="313" t="e">
        <f>IF($J315="",#N/A,SUM(CR$4:CR315))</f>
        <v>#N/A</v>
      </c>
      <c r="CT315" s="314" t="str">
        <f t="shared" si="495"/>
        <v/>
      </c>
      <c r="CU315" s="314" t="e">
        <f>IF($J315="",#N/A,SUM(CT$4:CT315))</f>
        <v>#N/A</v>
      </c>
      <c r="CV315" s="315" t="str">
        <f t="shared" si="496"/>
        <v/>
      </c>
      <c r="CW315" s="315" t="e">
        <f>IF($J315="",#N/A,SUM(CV$4:CV315))</f>
        <v>#N/A</v>
      </c>
      <c r="CX315" s="315" t="e">
        <f>IF($J315="",#N/A,SUM(CV$4:CV315,CT$4:CT315,CR$4:CR315))</f>
        <v>#N/A</v>
      </c>
      <c r="CY315" s="304" t="str">
        <f t="shared" si="497"/>
        <v/>
      </c>
      <c r="CZ315" s="313" t="e">
        <f>IF($J315="",#N/A,SUM(CY$4:CY315))</f>
        <v>#N/A</v>
      </c>
      <c r="DA315" s="314" t="str">
        <f t="shared" si="498"/>
        <v/>
      </c>
      <c r="DB315" s="314" t="e">
        <f>IF($J315="",#N/A,SUM(DA$4:DA315))</f>
        <v>#N/A</v>
      </c>
      <c r="DC315" s="315" t="str">
        <f t="shared" si="499"/>
        <v/>
      </c>
      <c r="DD315" s="315" t="e">
        <f>IF($J315="",#N/A,SUM(DC$4:DC315))</f>
        <v>#N/A</v>
      </c>
      <c r="DE315" s="315" t="e">
        <f>IF($J315="",#N/A,SUM(DC$4:DC315,DA$4:DA315,CY$4:CY315))</f>
        <v>#N/A</v>
      </c>
      <c r="DF315" s="304" t="str">
        <f t="shared" si="500"/>
        <v/>
      </c>
      <c r="DG315" s="313" t="e">
        <f>IF($J315="",#N/A,SUM(DF$4:DF315))</f>
        <v>#N/A</v>
      </c>
      <c r="DH315" s="314" t="str">
        <f t="shared" si="501"/>
        <v/>
      </c>
      <c r="DI315" s="314" t="e">
        <f>IF($J315="",#N/A,SUM(DH$4:DH315))</f>
        <v>#N/A</v>
      </c>
      <c r="DJ315" s="315" t="str">
        <f t="shared" si="502"/>
        <v/>
      </c>
      <c r="DK315" s="315" t="e">
        <f>IF($J315="",#N/A,SUM(DJ$4:DJ315))</f>
        <v>#N/A</v>
      </c>
      <c r="DL315" s="315" t="e">
        <f>IF($J315="",#N/A,SUM(DJ$4:DJ315,DH$4:DH315,DF$4:DF315))</f>
        <v>#N/A</v>
      </c>
      <c r="DM315" s="304" t="str">
        <f t="shared" si="503"/>
        <v/>
      </c>
      <c r="DN315" s="313" t="e">
        <f>IF($J315="",#N/A,SUM(DM$4:DM315))</f>
        <v>#N/A</v>
      </c>
      <c r="DO315" s="314" t="str">
        <f t="shared" si="504"/>
        <v/>
      </c>
      <c r="DP315" s="314" t="e">
        <f>IF($J315="",#N/A,SUM(DO$4:DO315))</f>
        <v>#N/A</v>
      </c>
      <c r="DQ315" s="315" t="str">
        <f t="shared" si="505"/>
        <v/>
      </c>
      <c r="DR315" s="315" t="e">
        <f>IF($J315="",#N/A,SUM(DQ$4:DQ315))</f>
        <v>#N/A</v>
      </c>
      <c r="DS315" s="315" t="e">
        <f>IF($J315="",#N/A,SUM(DQ$4:DQ315,DO$4:DO315,DM$4:DM315))</f>
        <v>#N/A</v>
      </c>
      <c r="DT315" s="304" t="str">
        <f t="shared" si="506"/>
        <v/>
      </c>
      <c r="DU315" s="313" t="e">
        <f>IF($J315="",#N/A,SUM(DT$4:DT315))</f>
        <v>#N/A</v>
      </c>
      <c r="DV315" s="314" t="str">
        <f t="shared" si="507"/>
        <v/>
      </c>
      <c r="DW315" s="314" t="e">
        <f>IF($J315="",#N/A,SUM(DV$4:DV315))</f>
        <v>#N/A</v>
      </c>
      <c r="DX315" s="315" t="str">
        <f t="shared" si="508"/>
        <v/>
      </c>
      <c r="DY315" s="315" t="e">
        <f>IF($J315="",#N/A,SUM(DX$4:DX315))</f>
        <v>#N/A</v>
      </c>
      <c r="DZ315" s="315" t="e">
        <f>IF($J315="",#N/A,SUM(DX$4:DX315,DV$4:DV315,DT$4:DT315))</f>
        <v>#N/A</v>
      </c>
      <c r="EA315" s="304" t="str">
        <f t="shared" si="509"/>
        <v/>
      </c>
      <c r="EB315" s="313" t="e">
        <f>IF($J315="",#N/A,SUM(EA$4:EA315))</f>
        <v>#N/A</v>
      </c>
      <c r="EC315" s="314" t="str">
        <f t="shared" si="510"/>
        <v/>
      </c>
      <c r="ED315" s="314" t="e">
        <f>IF($J315="",#N/A,SUM(EC$4:EC315))</f>
        <v>#N/A</v>
      </c>
      <c r="EE315" s="315" t="str">
        <f t="shared" si="511"/>
        <v/>
      </c>
      <c r="EF315" s="315" t="e">
        <f>IF($J315="",#N/A,SUM(EE$4:EE315))</f>
        <v>#N/A</v>
      </c>
      <c r="EG315" s="315" t="e">
        <f>IF($J315="",#N/A,SUM(EE$4:EE315,EC$4:EC315,EA$4:EA315))</f>
        <v>#N/A</v>
      </c>
      <c r="EH315" s="130">
        <f t="shared" si="512"/>
        <v>-118.89999999999986</v>
      </c>
      <c r="EI315" s="63">
        <f>IF(EH315="",#N/A,SUM($EH$4:EH315))</f>
        <v>1718.8300842452943</v>
      </c>
      <c r="EJ315" s="223" t="e">
        <f t="shared" si="513"/>
        <v>#N/A</v>
      </c>
      <c r="EK315" s="63" t="e">
        <f>IF($GZ315="",#N/A,SUM(EJ$4:EJ315))</f>
        <v>#N/A</v>
      </c>
      <c r="EL315" s="60">
        <f t="shared" si="544"/>
        <v>-1.1396748715589284</v>
      </c>
      <c r="EM315" s="60">
        <f>IF(EL315="",NA(),SUM($EL$4:EL315))</f>
        <v>39.943589025841646</v>
      </c>
      <c r="EN315" s="60" t="str">
        <f t="shared" si="514"/>
        <v/>
      </c>
      <c r="EO315" s="60" t="e">
        <f>IF(EN315="",NA(),SUM($EN$4:EN315))</f>
        <v>#N/A</v>
      </c>
      <c r="EP315" s="60">
        <f t="shared" si="515"/>
        <v>-1.1396748715589284</v>
      </c>
      <c r="EQ315" s="60">
        <f>IF(EP315="",NA(),SUM($EP$4:EP315))</f>
        <v>11.438154493104037</v>
      </c>
      <c r="ER315" s="60" t="str">
        <f t="shared" si="516"/>
        <v/>
      </c>
      <c r="ES315" s="60" t="e">
        <f>IF(ER315="",NA(),SUM($ER$4:ER315))</f>
        <v>#N/A</v>
      </c>
      <c r="ET315" s="60" t="str">
        <f t="shared" si="517"/>
        <v/>
      </c>
      <c r="EU315" s="60" t="e">
        <f>IF(ET315="",NA(),SUM($ET$4:ET315))</f>
        <v>#N/A</v>
      </c>
      <c r="EV315" s="60" t="str">
        <f t="shared" si="518"/>
        <v/>
      </c>
      <c r="EW315" s="60" t="e">
        <f>IF(EV315="",NA(),SUM($EV$4:EV315))</f>
        <v>#N/A</v>
      </c>
      <c r="EX315" s="60" t="str">
        <f t="shared" si="519"/>
        <v/>
      </c>
      <c r="EY315" s="60" t="e">
        <f>IF(EX315="",NA(),SUM($EX$4:EX315))</f>
        <v>#N/A</v>
      </c>
      <c r="EZ315" s="60" t="str">
        <f t="shared" si="520"/>
        <v/>
      </c>
      <c r="FA315" s="60" t="e">
        <f>IF(EZ315="",NA(),SUM($EZ$4:EZ315))</f>
        <v>#N/A</v>
      </c>
      <c r="FB315" s="246" t="str">
        <f t="shared" si="545"/>
        <v/>
      </c>
      <c r="FC315" s="246" t="e">
        <f>IF($FB315="",#N/A,SUM(FB$4:$FB315))</f>
        <v>#N/A</v>
      </c>
      <c r="FD315" s="60" t="str">
        <f t="shared" si="521"/>
        <v/>
      </c>
      <c r="FE315" s="60" t="e">
        <f>IF($FD315="",#N/A,SUM($FD$4:FD315))</f>
        <v>#N/A</v>
      </c>
      <c r="FF315" s="60" t="str">
        <f t="shared" si="522"/>
        <v/>
      </c>
      <c r="FG315" s="60" t="e">
        <f>IF($FF315="",#N/A,SUM($FF$4:FF315))</f>
        <v>#N/A</v>
      </c>
      <c r="FH315" s="60" t="str">
        <f t="shared" si="523"/>
        <v/>
      </c>
      <c r="FI315" s="60" t="e">
        <f>IF($FH315="",#N/A,SUM($FH$4:FH315))</f>
        <v>#N/A</v>
      </c>
      <c r="FJ315" s="60" t="str">
        <f t="shared" si="524"/>
        <v/>
      </c>
      <c r="FK315" s="60" t="e">
        <f>IF($FJ315="",#N/A,SUM($FJ$4:FJ315))</f>
        <v>#N/A</v>
      </c>
      <c r="FL315" s="60">
        <f t="shared" si="525"/>
        <v>0.28180354267310892</v>
      </c>
      <c r="FM315" s="60">
        <f>IF($FL315="",#N/A,SUM($FL$4:FL315))</f>
        <v>2.0408696542309572</v>
      </c>
      <c r="FN315" s="82">
        <f t="shared" si="526"/>
        <v>-0.85787132888581952</v>
      </c>
      <c r="FO315" s="82">
        <f>IF($FN315="",#N/A,SUM(FN$4:$FN315))</f>
        <v>64.126931493798125</v>
      </c>
      <c r="FP315" s="82">
        <f t="shared" si="546"/>
        <v>-1.1396748715589284</v>
      </c>
      <c r="FQ315" s="246">
        <f>IF($EH315="",#N/A,SUM($FP$4:FP315))</f>
        <v>58.211691363338062</v>
      </c>
      <c r="FR315" s="82">
        <f>IFERROR(FQ315/COUNTA($J$4:J315),#N/A)</f>
        <v>0.18657593385685275</v>
      </c>
      <c r="FS315" s="82">
        <f t="shared" si="554"/>
        <v>0.17020052661293533</v>
      </c>
      <c r="FT315" s="82">
        <f t="shared" si="555"/>
        <v>0.20514683912042472</v>
      </c>
      <c r="FU315" s="338">
        <f t="shared" si="553"/>
        <v>30.90504160715308</v>
      </c>
      <c r="FV315" s="57" t="str">
        <f t="shared" si="552"/>
        <v>SW</v>
      </c>
      <c r="FW315" s="57" t="s">
        <v>2732</v>
      </c>
      <c r="FX315" s="57" t="str">
        <f t="shared" si="528"/>
        <v/>
      </c>
      <c r="FY315" s="57" t="str">
        <f t="shared" si="529"/>
        <v/>
      </c>
      <c r="FZ315" s="57" t="str">
        <f t="shared" si="530"/>
        <v/>
      </c>
      <c r="GA315" s="57" t="str">
        <f t="shared" si="531"/>
        <v>Long</v>
      </c>
      <c r="GB315" s="57" t="str">
        <f t="shared" si="532"/>
        <v/>
      </c>
      <c r="GC315" s="57" t="str">
        <f t="shared" si="533"/>
        <v/>
      </c>
      <c r="GD315" s="57">
        <f t="shared" si="534"/>
        <v>1</v>
      </c>
      <c r="GE315" s="62">
        <f t="shared" si="451"/>
        <v>173.88</v>
      </c>
      <c r="GF315" s="62" t="s">
        <v>2779</v>
      </c>
      <c r="GG315" s="199">
        <v>10</v>
      </c>
      <c r="GH315" s="207">
        <f t="shared" si="535"/>
        <v>1738.8</v>
      </c>
      <c r="GI315" s="199">
        <v>10</v>
      </c>
      <c r="GJ315" s="200">
        <v>160.79</v>
      </c>
      <c r="GK315" s="63">
        <f t="shared" si="536"/>
        <v>-130.90000000000009</v>
      </c>
      <c r="GL315" s="63">
        <f t="shared" si="452"/>
        <v>-89.499999999999773</v>
      </c>
      <c r="GM315" s="82">
        <f t="shared" si="537"/>
        <v>-0.85787132888581952</v>
      </c>
      <c r="GN315" s="82">
        <f>IF($GZ315="",#N/A,SUM(GM$4:GM315))</f>
        <v>12.731507656059312</v>
      </c>
      <c r="GO315" s="82" t="str">
        <f t="shared" si="538"/>
        <v/>
      </c>
      <c r="GP315" s="82">
        <f>IF($GZ315="",#N/A,SUM(GO$4:GO315))</f>
        <v>18.313219612959625</v>
      </c>
      <c r="GQ315" s="82" t="str">
        <f t="shared" si="539"/>
        <v/>
      </c>
      <c r="GR315" s="82">
        <f>IF($GZ315="",#N/A,SUM(GQ$4:GQ315))</f>
        <v>32.456367270336862</v>
      </c>
      <c r="GS315" s="63" t="e">
        <f t="shared" si="548"/>
        <v>#N/A</v>
      </c>
      <c r="GT315" s="63" t="e">
        <f>IF($GZ315="",#N/A,SUM(GS$4:GS315))</f>
        <v>#N/A</v>
      </c>
      <c r="GU315" s="63" t="str">
        <f t="shared" si="549"/>
        <v/>
      </c>
      <c r="GV315" s="63" t="e">
        <f>IF($GZ315="",#N/A,SUM(GU$4:GU315))</f>
        <v>#N/A</v>
      </c>
      <c r="GW315" s="63" t="str">
        <f t="shared" si="550"/>
        <v/>
      </c>
      <c r="GX315" s="63" t="e">
        <f>IF($GZ315="",#N/A,SUM(GW$4:GW315))</f>
        <v>#N/A</v>
      </c>
      <c r="GY315" s="63" t="e">
        <f>IF(EJ315="",#N/A,SUM($EJ$4:EJ315))</f>
        <v>#N/A</v>
      </c>
      <c r="GZ315" s="159">
        <v>164.93</v>
      </c>
      <c r="HA315" s="63">
        <f t="shared" si="540"/>
        <v>29.400000000000091</v>
      </c>
      <c r="HB315" s="62" t="s">
        <v>2538</v>
      </c>
      <c r="HC315" s="60">
        <f>IFERROR(VLOOKUP(E315,Expectancy!$P$4:$S$19,1+C315,FALSE),"")</f>
        <v>-0.15084750675779673</v>
      </c>
      <c r="HD315" s="82">
        <f t="shared" si="541"/>
        <v>-1.2546967257112194</v>
      </c>
      <c r="HE315" s="138">
        <f>IF(HD315="",#N/A,SUM($HD$4:HD315))</f>
        <v>12.776649756184984</v>
      </c>
      <c r="HF315" s="85">
        <f>IF(HD315="",#N/A,IF(HB315="Skip",#N/A,SUM($HG$4:HG315)))</f>
        <v>581.26657921915535</v>
      </c>
      <c r="HG315" s="63">
        <f t="shared" si="542"/>
        <v>-130.90000000000009</v>
      </c>
      <c r="HH315" s="82">
        <f t="shared" si="543"/>
        <v>-0.85787132888581952</v>
      </c>
    </row>
    <row r="316" spans="1:216" x14ac:dyDescent="0.25">
      <c r="A316" s="57" t="s">
        <v>298</v>
      </c>
      <c r="B316" s="58" t="s">
        <v>5240</v>
      </c>
      <c r="C316" s="386">
        <f t="shared" si="453"/>
        <v>1</v>
      </c>
      <c r="D316" s="372" t="str">
        <f>_xlfn.XLOOKUP(A316,[1]SP500!$A$2:$A$502,[1]SP500!$D$2:$D$502,"N")</f>
        <v>Y</v>
      </c>
      <c r="E316" s="57" t="str">
        <f>_xlfn.XLOOKUP(A316,[1]SP500!$A$2:$A$655,[1]SP500!$B$2:$B$655)</f>
        <v>XLI</v>
      </c>
      <c r="F316" s="59">
        <v>45701</v>
      </c>
      <c r="G316" s="57" t="str">
        <f t="shared" si="454"/>
        <v>BMO</v>
      </c>
      <c r="H316" s="57" t="str">
        <f t="shared" si="455"/>
        <v>s</v>
      </c>
      <c r="I316" s="159">
        <v>128.09</v>
      </c>
      <c r="J316" s="159">
        <v>125.64</v>
      </c>
      <c r="K316" s="61">
        <f t="shared" si="456"/>
        <v>-1.9127176204231423E-2</v>
      </c>
      <c r="L316" s="87">
        <f t="shared" si="457"/>
        <v>-31.850000000000136</v>
      </c>
      <c r="M316" s="130">
        <f t="shared" si="450"/>
        <v>0</v>
      </c>
      <c r="N316" s="169">
        <f t="shared" si="458"/>
        <v>-31.850000000000136</v>
      </c>
      <c r="O316" s="169">
        <f>IF($J316="",#N/A,SUM($N$4:N316))</f>
        <v>885.04671935422448</v>
      </c>
      <c r="P316" s="174" t="str">
        <f t="shared" si="459"/>
        <v/>
      </c>
      <c r="Q316" s="174">
        <f>IF($J316="",#N/A,SUM($P$4:P316))</f>
        <v>341.14890674734181</v>
      </c>
      <c r="R316" s="178" t="str">
        <f t="shared" si="460"/>
        <v/>
      </c>
      <c r="S316" s="178">
        <f>IF($J316="",#N/A,SUM($R$4:R316))</f>
        <v>460.78445814372776</v>
      </c>
      <c r="T316" s="290">
        <f t="shared" si="461"/>
        <v>-0.31878627007052468</v>
      </c>
      <c r="U316" s="290">
        <f>IF($J316="",#N/A,SUM($T$4:T316))</f>
        <v>22.462212729532133</v>
      </c>
      <c r="V316" s="291" t="str">
        <f t="shared" si="462"/>
        <v/>
      </c>
      <c r="W316" s="291">
        <f>IF($J316="",#N/A,SUM($V$4:V316))</f>
        <v>23.057393703898299</v>
      </c>
      <c r="X316" s="292" t="str">
        <f t="shared" si="463"/>
        <v/>
      </c>
      <c r="Y316" s="292">
        <f>IF($J316="",#N/A,SUM($X$4:X316))</f>
        <v>12.373298659837122</v>
      </c>
      <c r="Z316" s="304" t="str">
        <f t="shared" si="464"/>
        <v/>
      </c>
      <c r="AA316" s="313" t="e">
        <f>IF($J316="",#N/A,SUM(Z$4:Z316))</f>
        <v>#N/A</v>
      </c>
      <c r="AB316" s="314" t="str">
        <f t="shared" si="465"/>
        <v/>
      </c>
      <c r="AC316" s="314" t="e">
        <f>IF($J316="",#N/A,SUM(AB$4:AB316))</f>
        <v>#N/A</v>
      </c>
      <c r="AD316" s="315" t="str">
        <f t="shared" si="466"/>
        <v/>
      </c>
      <c r="AE316" s="315" t="e">
        <f>IF($J316="",#N/A,SUM(AD$4:AD316))</f>
        <v>#N/A</v>
      </c>
      <c r="AF316" s="315" t="e">
        <f>IF($J316="",#N/A,SUM(AD$4:AD316,AB$4:AB316,Z$4:Z316))</f>
        <v>#N/A</v>
      </c>
      <c r="AG316" s="304" t="str">
        <f t="shared" si="467"/>
        <v/>
      </c>
      <c r="AH316" s="313" t="e">
        <f>IF($J316="",#N/A,SUM(AG$4:AG316))</f>
        <v>#N/A</v>
      </c>
      <c r="AI316" s="314" t="str">
        <f t="shared" si="468"/>
        <v/>
      </c>
      <c r="AJ316" s="314" t="e">
        <f>IF($J316="",#N/A,SUM(AI$4:AI316))</f>
        <v>#N/A</v>
      </c>
      <c r="AK316" s="315" t="str">
        <f t="shared" si="469"/>
        <v/>
      </c>
      <c r="AL316" s="315" t="e">
        <f>IF($J316="",#N/A,SUM(AK$4:AK316))</f>
        <v>#N/A</v>
      </c>
      <c r="AM316" s="315" t="e">
        <f>IF($J316="",#N/A,SUM(AK$4:AK316,AI$4:AI316,AG$4:AG316))</f>
        <v>#N/A</v>
      </c>
      <c r="AN316" s="304" t="str">
        <f t="shared" si="470"/>
        <v/>
      </c>
      <c r="AO316" s="313" t="e">
        <f>IF($J316="",#N/A,SUM(AN$4:AN316))</f>
        <v>#N/A</v>
      </c>
      <c r="AP316" s="314" t="str">
        <f t="shared" si="471"/>
        <v/>
      </c>
      <c r="AQ316" s="314" t="e">
        <f>IF($J316="",#N/A,SUM(AP$4:AP316))</f>
        <v>#N/A</v>
      </c>
      <c r="AR316" s="315" t="str">
        <f t="shared" si="472"/>
        <v/>
      </c>
      <c r="AS316" s="315" t="e">
        <f>IF($J316="",#N/A,SUM(AR$4:AR316))</f>
        <v>#N/A</v>
      </c>
      <c r="AT316" s="315" t="e">
        <f>IF($J316="",#N/A,SUM(AR$4:AR316,AP$4:AP316,AN$4:AN316))</f>
        <v>#N/A</v>
      </c>
      <c r="AU316" s="304" t="str">
        <f t="shared" si="473"/>
        <v/>
      </c>
      <c r="AV316" s="313" t="e">
        <f>IF($J316="",#N/A,SUM(AU$4:AU316))</f>
        <v>#N/A</v>
      </c>
      <c r="AW316" s="314" t="str">
        <f t="shared" si="474"/>
        <v/>
      </c>
      <c r="AX316" s="314" t="e">
        <f>IF($J316="",#N/A,SUM(AW$4:AW316))</f>
        <v>#N/A</v>
      </c>
      <c r="AY316" s="315" t="str">
        <f t="shared" si="475"/>
        <v/>
      </c>
      <c r="AZ316" s="315" t="e">
        <f>IF($J316="",#N/A,SUM(AY$4:AY316))</f>
        <v>#N/A</v>
      </c>
      <c r="BA316" s="315" t="e">
        <f>IF($J316="",#N/A,SUM(AY$4:AY316,AW$4:AW316,AU$4:AU316))</f>
        <v>#N/A</v>
      </c>
      <c r="BB316" s="304" t="str">
        <f t="shared" si="476"/>
        <v/>
      </c>
      <c r="BC316" s="313" t="e">
        <f>IF($J316="",#N/A,SUM(BB$4:BB316))</f>
        <v>#N/A</v>
      </c>
      <c r="BD316" s="314" t="str">
        <f t="shared" si="477"/>
        <v/>
      </c>
      <c r="BE316" s="314" t="e">
        <f>IF($J316="",#N/A,SUM(BD$4:BD316))</f>
        <v>#N/A</v>
      </c>
      <c r="BF316" s="315" t="str">
        <f t="shared" si="478"/>
        <v/>
      </c>
      <c r="BG316" s="315" t="e">
        <f>IF($J316="",#N/A,SUM(BF$4:BF316))</f>
        <v>#N/A</v>
      </c>
      <c r="BH316" s="315" t="e">
        <f>IF($J316="",#N/A,SUM(BF$4:BF316,BD$4:BD316,BB$4:BB316))</f>
        <v>#N/A</v>
      </c>
      <c r="BI316" s="304" t="str">
        <f t="shared" si="479"/>
        <v/>
      </c>
      <c r="BJ316" s="313" t="e">
        <f>IF($J316="",#N/A,SUM(BI$4:BI316))</f>
        <v>#N/A</v>
      </c>
      <c r="BK316" s="314" t="str">
        <f t="shared" si="480"/>
        <v/>
      </c>
      <c r="BL316" s="314" t="e">
        <f>IF($J316="",#N/A,SUM(BK$4:BK316))</f>
        <v>#N/A</v>
      </c>
      <c r="BM316" s="315" t="str">
        <f t="shared" si="481"/>
        <v/>
      </c>
      <c r="BN316" s="315" t="e">
        <f>IF($J316="",#N/A,SUM(BM$4:BM316))</f>
        <v>#N/A</v>
      </c>
      <c r="BO316" s="315" t="e">
        <f>IF($J316="",#N/A,SUM(BM$4:BM316,BK$4:BK316,BI$4:BI316))</f>
        <v>#N/A</v>
      </c>
      <c r="BP316" s="304">
        <f t="shared" si="482"/>
        <v>-0.31878627007052468</v>
      </c>
      <c r="BQ316" s="313" t="e">
        <f>IF($J316="",#N/A,SUM(BP$4:BP316))</f>
        <v>#N/A</v>
      </c>
      <c r="BR316" s="314" t="str">
        <f t="shared" si="483"/>
        <v/>
      </c>
      <c r="BS316" s="314" t="e">
        <f>IF($J316="",#N/A,SUM(BR$4:BR316))</f>
        <v>#N/A</v>
      </c>
      <c r="BT316" s="315" t="str">
        <f t="shared" si="484"/>
        <v/>
      </c>
      <c r="BU316" s="315" t="e">
        <f>IF($J316="",#N/A,SUM(BT$4:BT316))</f>
        <v>#N/A</v>
      </c>
      <c r="BV316" s="315" t="e">
        <f>IF($J316="",#N/A,SUM(BT$4:BT316,BR$4:BR316,BP$4:BP316))</f>
        <v>#N/A</v>
      </c>
      <c r="BW316" s="304" t="str">
        <f t="shared" si="485"/>
        <v/>
      </c>
      <c r="BX316" s="313" t="e">
        <f>IF($J316="",#N/A,SUM(BW$4:BW316))</f>
        <v>#N/A</v>
      </c>
      <c r="BY316" s="314" t="str">
        <f t="shared" si="486"/>
        <v/>
      </c>
      <c r="BZ316" s="314" t="e">
        <f>IF($J316="",#N/A,SUM(BY$4:BY316))</f>
        <v>#N/A</v>
      </c>
      <c r="CA316" s="315" t="str">
        <f t="shared" si="487"/>
        <v/>
      </c>
      <c r="CB316" s="315" t="e">
        <f>IF($J316="",#N/A,SUM(CA$4:CA316))</f>
        <v>#N/A</v>
      </c>
      <c r="CC316" s="315" t="e">
        <f>IF($J316="",#N/A,SUM(CA$4:CA316,BY$4:BY316,BW$4:BW316))</f>
        <v>#N/A</v>
      </c>
      <c r="CD316" s="304" t="str">
        <f t="shared" si="488"/>
        <v/>
      </c>
      <c r="CE316" s="313" t="e">
        <f>IF($J316="",#N/A,SUM(CD$4:CD316))</f>
        <v>#N/A</v>
      </c>
      <c r="CF316" s="314" t="str">
        <f t="shared" si="489"/>
        <v/>
      </c>
      <c r="CG316" s="314" t="e">
        <f>IF($J316="",#N/A,SUM(CF$4:CF316))</f>
        <v>#N/A</v>
      </c>
      <c r="CH316" s="315" t="str">
        <f t="shared" si="490"/>
        <v/>
      </c>
      <c r="CI316" s="315" t="e">
        <f>IF($J316="",#N/A,SUM(CH$4:CH316))</f>
        <v>#N/A</v>
      </c>
      <c r="CJ316" s="315" t="e">
        <f>IF($J316="",#N/A,SUM(CH$4:CH316,CF$4:CF316,CD$4:CD316))</f>
        <v>#N/A</v>
      </c>
      <c r="CK316" s="304" t="str">
        <f t="shared" si="491"/>
        <v/>
      </c>
      <c r="CL316" s="313" t="e">
        <f>IF($J316="",#N/A,SUM(CK$4:CK316))</f>
        <v>#N/A</v>
      </c>
      <c r="CM316" s="314" t="str">
        <f t="shared" si="492"/>
        <v/>
      </c>
      <c r="CN316" s="314" t="e">
        <f>IF($J316="",#N/A,SUM(CM$4:CM316))</f>
        <v>#N/A</v>
      </c>
      <c r="CO316" s="315" t="str">
        <f t="shared" si="493"/>
        <v/>
      </c>
      <c r="CP316" s="315" t="e">
        <f>IF($J316="",#N/A,SUM(CO$4:CO316))</f>
        <v>#N/A</v>
      </c>
      <c r="CQ316" s="315" t="e">
        <f>IF($J316="",#N/A,SUM(CO$4:CO316,CM$4:CM316,CK$4:CK316))</f>
        <v>#N/A</v>
      </c>
      <c r="CR316" s="304" t="str">
        <f t="shared" si="494"/>
        <v/>
      </c>
      <c r="CS316" s="313" t="e">
        <f>IF($J316="",#N/A,SUM(CR$4:CR316))</f>
        <v>#N/A</v>
      </c>
      <c r="CT316" s="314" t="str">
        <f t="shared" si="495"/>
        <v/>
      </c>
      <c r="CU316" s="314" t="e">
        <f>IF($J316="",#N/A,SUM(CT$4:CT316))</f>
        <v>#N/A</v>
      </c>
      <c r="CV316" s="315" t="str">
        <f t="shared" si="496"/>
        <v/>
      </c>
      <c r="CW316" s="315" t="e">
        <f>IF($J316="",#N/A,SUM(CV$4:CV316))</f>
        <v>#N/A</v>
      </c>
      <c r="CX316" s="315" t="e">
        <f>IF($J316="",#N/A,SUM(CV$4:CV316,CT$4:CT316,CR$4:CR316))</f>
        <v>#N/A</v>
      </c>
      <c r="CY316" s="304" t="str">
        <f t="shared" si="497"/>
        <v/>
      </c>
      <c r="CZ316" s="313" t="e">
        <f>IF($J316="",#N/A,SUM(CY$4:CY316))</f>
        <v>#N/A</v>
      </c>
      <c r="DA316" s="314" t="str">
        <f t="shared" si="498"/>
        <v/>
      </c>
      <c r="DB316" s="314" t="e">
        <f>IF($J316="",#N/A,SUM(DA$4:DA316))</f>
        <v>#N/A</v>
      </c>
      <c r="DC316" s="315" t="str">
        <f t="shared" si="499"/>
        <v/>
      </c>
      <c r="DD316" s="315" t="e">
        <f>IF($J316="",#N/A,SUM(DC$4:DC316))</f>
        <v>#N/A</v>
      </c>
      <c r="DE316" s="315" t="e">
        <f>IF($J316="",#N/A,SUM(DC$4:DC316,DA$4:DA316,CY$4:CY316))</f>
        <v>#N/A</v>
      </c>
      <c r="DF316" s="304" t="str">
        <f t="shared" si="500"/>
        <v/>
      </c>
      <c r="DG316" s="313" t="e">
        <f>IF($J316="",#N/A,SUM(DF$4:DF316))</f>
        <v>#N/A</v>
      </c>
      <c r="DH316" s="314" t="str">
        <f t="shared" si="501"/>
        <v/>
      </c>
      <c r="DI316" s="314" t="e">
        <f>IF($J316="",#N/A,SUM(DH$4:DH316))</f>
        <v>#N/A</v>
      </c>
      <c r="DJ316" s="315" t="str">
        <f t="shared" si="502"/>
        <v/>
      </c>
      <c r="DK316" s="315" t="e">
        <f>IF($J316="",#N/A,SUM(DJ$4:DJ316))</f>
        <v>#N/A</v>
      </c>
      <c r="DL316" s="315" t="e">
        <f>IF($J316="",#N/A,SUM(DJ$4:DJ316,DH$4:DH316,DF$4:DF316))</f>
        <v>#N/A</v>
      </c>
      <c r="DM316" s="304" t="str">
        <f t="shared" si="503"/>
        <v/>
      </c>
      <c r="DN316" s="313" t="e">
        <f>IF($J316="",#N/A,SUM(DM$4:DM316))</f>
        <v>#N/A</v>
      </c>
      <c r="DO316" s="314" t="str">
        <f t="shared" si="504"/>
        <v/>
      </c>
      <c r="DP316" s="314" t="e">
        <f>IF($J316="",#N/A,SUM(DO$4:DO316))</f>
        <v>#N/A</v>
      </c>
      <c r="DQ316" s="315" t="str">
        <f t="shared" si="505"/>
        <v/>
      </c>
      <c r="DR316" s="315" t="e">
        <f>IF($J316="",#N/A,SUM(DQ$4:DQ316))</f>
        <v>#N/A</v>
      </c>
      <c r="DS316" s="315" t="e">
        <f>IF($J316="",#N/A,SUM(DQ$4:DQ316,DO$4:DO316,DM$4:DM316))</f>
        <v>#N/A</v>
      </c>
      <c r="DT316" s="304" t="str">
        <f t="shared" si="506"/>
        <v/>
      </c>
      <c r="DU316" s="313" t="e">
        <f>IF($J316="",#N/A,SUM(DT$4:DT316))</f>
        <v>#N/A</v>
      </c>
      <c r="DV316" s="314" t="str">
        <f t="shared" si="507"/>
        <v/>
      </c>
      <c r="DW316" s="314" t="e">
        <f>IF($J316="",#N/A,SUM(DV$4:DV316))</f>
        <v>#N/A</v>
      </c>
      <c r="DX316" s="315" t="str">
        <f t="shared" si="508"/>
        <v/>
      </c>
      <c r="DY316" s="315" t="e">
        <f>IF($J316="",#N/A,SUM(DX$4:DX316))</f>
        <v>#N/A</v>
      </c>
      <c r="DZ316" s="315" t="e">
        <f>IF($J316="",#N/A,SUM(DX$4:DX316,DV$4:DV316,DT$4:DT316))</f>
        <v>#N/A</v>
      </c>
      <c r="EA316" s="304" t="str">
        <f t="shared" si="509"/>
        <v/>
      </c>
      <c r="EB316" s="313" t="e">
        <f>IF($J316="",#N/A,SUM(EA$4:EA316))</f>
        <v>#N/A</v>
      </c>
      <c r="EC316" s="314" t="str">
        <f t="shared" si="510"/>
        <v/>
      </c>
      <c r="ED316" s="314" t="e">
        <f>IF($J316="",#N/A,SUM(EC$4:EC316))</f>
        <v>#N/A</v>
      </c>
      <c r="EE316" s="315" t="str">
        <f t="shared" si="511"/>
        <v/>
      </c>
      <c r="EF316" s="315" t="e">
        <f>IF($J316="",#N/A,SUM(EE$4:EE316))</f>
        <v>#N/A</v>
      </c>
      <c r="EG316" s="315" t="e">
        <f>IF($J316="",#N/A,SUM(EE$4:EE316,EC$4:EC316,EA$4:EA316))</f>
        <v>#N/A</v>
      </c>
      <c r="EH316" s="130">
        <f t="shared" si="512"/>
        <v>-31.850000000000136</v>
      </c>
      <c r="EI316" s="63">
        <f>IF(EH316="",#N/A,SUM($EH$4:EH316))</f>
        <v>1686.9800842452942</v>
      </c>
      <c r="EJ316" s="223" t="e">
        <f t="shared" si="513"/>
        <v>#N/A</v>
      </c>
      <c r="EK316" s="63" t="e">
        <f>IF($GZ316="",#N/A,SUM(EJ$4:EJ316))</f>
        <v>#N/A</v>
      </c>
      <c r="EL316" s="60">
        <f t="shared" si="544"/>
        <v>-0.31878627007052468</v>
      </c>
      <c r="EM316" s="60">
        <f>IF(EL316="",NA(),SUM($EL$4:EL316))</f>
        <v>39.624802755771121</v>
      </c>
      <c r="EN316" s="60">
        <f t="shared" si="514"/>
        <v>-0.31878627007052468</v>
      </c>
      <c r="EO316" s="60">
        <f>IF(EN316="",NA(),SUM($EN$4:EN316))</f>
        <v>14.449857083268661</v>
      </c>
      <c r="EP316" s="60" t="str">
        <f t="shared" si="515"/>
        <v/>
      </c>
      <c r="EQ316" s="60" t="e">
        <f>IF(EP316="",NA(),SUM($EP$4:EP316))</f>
        <v>#N/A</v>
      </c>
      <c r="ER316" s="60" t="str">
        <f t="shared" si="516"/>
        <v/>
      </c>
      <c r="ES316" s="60" t="e">
        <f>IF(ER316="",NA(),SUM($ER$4:ER316))</f>
        <v>#N/A</v>
      </c>
      <c r="ET316" s="60" t="str">
        <f t="shared" si="517"/>
        <v/>
      </c>
      <c r="EU316" s="60" t="e">
        <f>IF(ET316="",NA(),SUM($ET$4:ET316))</f>
        <v>#N/A</v>
      </c>
      <c r="EV316" s="60" t="str">
        <f t="shared" si="518"/>
        <v/>
      </c>
      <c r="EW316" s="60" t="e">
        <f>IF(EV316="",NA(),SUM($EV$4:EV316))</f>
        <v>#N/A</v>
      </c>
      <c r="EX316" s="60" t="str">
        <f t="shared" si="519"/>
        <v/>
      </c>
      <c r="EY316" s="60" t="e">
        <f>IF(EX316="",NA(),SUM($EX$4:EX316))</f>
        <v>#N/A</v>
      </c>
      <c r="EZ316" s="60" t="str">
        <f t="shared" si="520"/>
        <v/>
      </c>
      <c r="FA316" s="60" t="e">
        <f>IF(EZ316="",NA(),SUM($EZ$4:EZ316))</f>
        <v>#N/A</v>
      </c>
      <c r="FB316" s="246" t="str">
        <f t="shared" si="545"/>
        <v/>
      </c>
      <c r="FC316" s="246" t="e">
        <f>IF($FB316="",#N/A,SUM(FB$4:$FB316))</f>
        <v>#N/A</v>
      </c>
      <c r="FD316" s="60" t="str">
        <f t="shared" si="521"/>
        <v/>
      </c>
      <c r="FE316" s="60" t="e">
        <f>IF($FD316="",#N/A,SUM($FD$4:FD316))</f>
        <v>#N/A</v>
      </c>
      <c r="FF316" s="60" t="str">
        <f t="shared" si="522"/>
        <v/>
      </c>
      <c r="FG316" s="60" t="e">
        <f>IF($FF316="",#N/A,SUM($FF$4:FF316))</f>
        <v>#N/A</v>
      </c>
      <c r="FH316" s="60">
        <f t="shared" si="523"/>
        <v>0.31748510162125843</v>
      </c>
      <c r="FI316" s="60">
        <f>IF($FH316="",#N/A,SUM($FH$4:FH316))</f>
        <v>2.4364232507124193</v>
      </c>
      <c r="FJ316" s="60" t="str">
        <f t="shared" si="524"/>
        <v/>
      </c>
      <c r="FK316" s="60" t="e">
        <f>IF($FJ316="",#N/A,SUM($FJ$4:FJ316))</f>
        <v>#N/A</v>
      </c>
      <c r="FL316" s="60" t="str">
        <f t="shared" si="525"/>
        <v/>
      </c>
      <c r="FM316" s="60" t="e">
        <f>IF($FL316="",#N/A,SUM($FL$4:FL316))</f>
        <v>#N/A</v>
      </c>
      <c r="FN316" s="82">
        <f t="shared" si="526"/>
        <v>-1.3011684492662586E-3</v>
      </c>
      <c r="FO316" s="82">
        <f>IF($FN316="",#N/A,SUM(FN$4:$FN316))</f>
        <v>64.125630325348865</v>
      </c>
      <c r="FP316" s="82">
        <f t="shared" si="546"/>
        <v>-0.31878627007052468</v>
      </c>
      <c r="FQ316" s="246">
        <f>IF($EH316="",#N/A,SUM($FP$4:FP316))</f>
        <v>57.892905093267537</v>
      </c>
      <c r="FR316" s="82">
        <f>IFERROR(FQ316/COUNTA($J$4:J316),#N/A)</f>
        <v>0.18496135812545539</v>
      </c>
      <c r="FS316" s="82">
        <f t="shared" si="554"/>
        <v>0.1508122425793566</v>
      </c>
      <c r="FT316" s="82">
        <f t="shared" si="555"/>
        <v>0.1633444787138805</v>
      </c>
      <c r="FU316" s="338">
        <f t="shared" si="553"/>
        <v>30.90504160715308</v>
      </c>
      <c r="FV316" s="57" t="str">
        <f t="shared" si="552"/>
        <v>Up</v>
      </c>
      <c r="FW316" s="57" t="s">
        <v>2734</v>
      </c>
      <c r="FX316" s="57" t="str">
        <f t="shared" si="528"/>
        <v/>
      </c>
      <c r="FY316" s="57" t="str">
        <f t="shared" si="529"/>
        <v/>
      </c>
      <c r="FZ316" s="57" t="str">
        <f t="shared" si="530"/>
        <v/>
      </c>
      <c r="GA316" s="57" t="str">
        <f t="shared" si="531"/>
        <v>Long</v>
      </c>
      <c r="GB316" s="57" t="str">
        <f t="shared" si="532"/>
        <v/>
      </c>
      <c r="GC316" s="57">
        <f t="shared" si="533"/>
        <v>1</v>
      </c>
      <c r="GD316" s="57" t="str">
        <f t="shared" si="534"/>
        <v/>
      </c>
      <c r="GE316" s="62">
        <f t="shared" si="451"/>
        <v>128.09</v>
      </c>
      <c r="GF316" s="62" t="s">
        <v>2779</v>
      </c>
      <c r="GG316" s="199">
        <v>13</v>
      </c>
      <c r="GH316" s="207">
        <f t="shared" si="535"/>
        <v>1665.17</v>
      </c>
      <c r="GI316" s="199">
        <v>13</v>
      </c>
      <c r="GJ316" s="200">
        <v>125.64</v>
      </c>
      <c r="GK316" s="63">
        <f t="shared" si="536"/>
        <v>-31.850000000000136</v>
      </c>
      <c r="GL316" s="63">
        <f t="shared" si="452"/>
        <v>-0.12999999999988177</v>
      </c>
      <c r="GM316" s="82" t="str">
        <f t="shared" si="537"/>
        <v/>
      </c>
      <c r="GN316" s="82">
        <f>IF($GZ316="",#N/A,SUM(GM$4:GM316))</f>
        <v>12.731507656059312</v>
      </c>
      <c r="GO316" s="82">
        <f t="shared" si="538"/>
        <v>-1.3011684492662586E-3</v>
      </c>
      <c r="GP316" s="82">
        <f>IF($GZ316="",#N/A,SUM(GO$4:GO316))</f>
        <v>18.311918444510358</v>
      </c>
      <c r="GQ316" s="82" t="str">
        <f t="shared" si="539"/>
        <v/>
      </c>
      <c r="GR316" s="82">
        <f>IF($GZ316="",#N/A,SUM(GQ$4:GQ316))</f>
        <v>32.456367270336862</v>
      </c>
      <c r="GS316" s="63" t="str">
        <f t="shared" si="548"/>
        <v/>
      </c>
      <c r="GT316" s="63" t="e">
        <f>IF($GZ316="",#N/A,SUM(GS$4:GS316))</f>
        <v>#N/A</v>
      </c>
      <c r="GU316" s="63" t="e">
        <f t="shared" si="549"/>
        <v>#N/A</v>
      </c>
      <c r="GV316" s="63" t="e">
        <f>IF($GZ316="",#N/A,SUM(GU$4:GU316))</f>
        <v>#N/A</v>
      </c>
      <c r="GW316" s="63" t="str">
        <f t="shared" si="550"/>
        <v/>
      </c>
      <c r="GX316" s="63" t="e">
        <f>IF($GZ316="",#N/A,SUM(GW$4:GW316))</f>
        <v>#N/A</v>
      </c>
      <c r="GY316" s="63" t="e">
        <f>IF(EJ316="",#N/A,SUM($EJ$4:EJ316))</f>
        <v>#N/A</v>
      </c>
      <c r="GZ316" s="159">
        <v>128.08000000000001</v>
      </c>
      <c r="HA316" s="63">
        <f t="shared" si="540"/>
        <v>31.720000000000255</v>
      </c>
      <c r="HB316" s="62" t="s">
        <v>2538</v>
      </c>
      <c r="HC316" s="60">
        <f>IFERROR(VLOOKUP(E316,Expectancy!$P$4:$S$19,1+C316,FALSE),"")</f>
        <v>-4.1762476788754908E-2</v>
      </c>
      <c r="HD316" s="82">
        <f t="shared" si="541"/>
        <v>-0.31878627007052468</v>
      </c>
      <c r="HE316" s="138">
        <f>IF(HD316="",#N/A,SUM($HD$4:HD316))</f>
        <v>12.457863486114459</v>
      </c>
      <c r="HF316" s="85">
        <f>IF(HD316="",#N/A,IF(HB316="Skip",#N/A,SUM($HG$4:HG316)))</f>
        <v>549.41657921915521</v>
      </c>
      <c r="HG316" s="63">
        <f t="shared" si="542"/>
        <v>-31.850000000000136</v>
      </c>
      <c r="HH316" s="82">
        <f t="shared" si="543"/>
        <v>-1.3011684492662586E-3</v>
      </c>
    </row>
    <row r="317" spans="1:216" x14ac:dyDescent="0.25">
      <c r="A317" s="57" t="s">
        <v>1446</v>
      </c>
      <c r="B317" s="58" t="s">
        <v>5240</v>
      </c>
      <c r="C317" s="386">
        <f t="shared" si="453"/>
        <v>3</v>
      </c>
      <c r="D317" s="372" t="str">
        <f>_xlfn.XLOOKUP(A317,[1]SP500!$A$2:$A$502,[1]SP500!$D$2:$D$502,"N")</f>
        <v>Y</v>
      </c>
      <c r="E317" s="57" t="str">
        <f>_xlfn.XLOOKUP(A317,[1]SP500!$A$2:$A$655,[1]SP500!$B$2:$B$655)</f>
        <v>XLV</v>
      </c>
      <c r="F317" s="59">
        <v>45701</v>
      </c>
      <c r="G317" s="57" t="str">
        <f t="shared" si="454"/>
        <v>BMO</v>
      </c>
      <c r="H317" s="57" t="str">
        <f t="shared" si="455"/>
        <v>s</v>
      </c>
      <c r="I317" s="159">
        <v>85.9</v>
      </c>
      <c r="J317" s="158">
        <v>90</v>
      </c>
      <c r="K317" s="61">
        <f t="shared" si="456"/>
        <v>4.7729918509895157E-2</v>
      </c>
      <c r="L317" s="87">
        <f t="shared" si="457"/>
        <v>77.899999999999864</v>
      </c>
      <c r="M317" s="130">
        <f t="shared" si="450"/>
        <v>0</v>
      </c>
      <c r="N317" s="169" t="str">
        <f t="shared" si="458"/>
        <v/>
      </c>
      <c r="O317" s="169">
        <f>IF($J317="",#N/A,SUM($N$4:N317))</f>
        <v>885.04671935422448</v>
      </c>
      <c r="P317" s="174" t="str">
        <f t="shared" si="459"/>
        <v/>
      </c>
      <c r="Q317" s="174">
        <f>IF($J317="",#N/A,SUM($P$4:P317))</f>
        <v>341.14890674734181</v>
      </c>
      <c r="R317" s="178">
        <f t="shared" si="460"/>
        <v>77.899999999999864</v>
      </c>
      <c r="S317" s="178">
        <f>IF($J317="",#N/A,SUM($R$4:R317))</f>
        <v>538.68445814372762</v>
      </c>
      <c r="T317" s="290" t="str">
        <f t="shared" si="461"/>
        <v/>
      </c>
      <c r="U317" s="290">
        <f>IF($J317="",#N/A,SUM($T$4:T317))</f>
        <v>22.462212729532133</v>
      </c>
      <c r="V317" s="291" t="str">
        <f t="shared" si="462"/>
        <v/>
      </c>
      <c r="W317" s="291">
        <f>IF($J317="",#N/A,SUM($V$4:V317))</f>
        <v>23.057393703898299</v>
      </c>
      <c r="X317" s="292">
        <f t="shared" si="463"/>
        <v>0.7954986418315857</v>
      </c>
      <c r="Y317" s="292">
        <f>IF($J317="",#N/A,SUM($X$4:X317))</f>
        <v>13.168797301668707</v>
      </c>
      <c r="Z317" s="304" t="str">
        <f t="shared" si="464"/>
        <v/>
      </c>
      <c r="AA317" s="313" t="e">
        <f>IF($J317="",#N/A,SUM(Z$4:Z317))</f>
        <v>#N/A</v>
      </c>
      <c r="AB317" s="314" t="str">
        <f t="shared" si="465"/>
        <v/>
      </c>
      <c r="AC317" s="314" t="e">
        <f>IF($J317="",#N/A,SUM(AB$4:AB317))</f>
        <v>#N/A</v>
      </c>
      <c r="AD317" s="315" t="str">
        <f t="shared" si="466"/>
        <v/>
      </c>
      <c r="AE317" s="315" t="e">
        <f>IF($J317="",#N/A,SUM(AD$4:AD317))</f>
        <v>#N/A</v>
      </c>
      <c r="AF317" s="315" t="e">
        <f>IF($J317="",#N/A,SUM(AD$4:AD317,AB$4:AB317,Z$4:Z317))</f>
        <v>#N/A</v>
      </c>
      <c r="AG317" s="304" t="str">
        <f t="shared" si="467"/>
        <v/>
      </c>
      <c r="AH317" s="313" t="e">
        <f>IF($J317="",#N/A,SUM(AG$4:AG317))</f>
        <v>#N/A</v>
      </c>
      <c r="AI317" s="314" t="str">
        <f t="shared" si="468"/>
        <v/>
      </c>
      <c r="AJ317" s="314" t="e">
        <f>IF($J317="",#N/A,SUM(AI$4:AI317))</f>
        <v>#N/A</v>
      </c>
      <c r="AK317" s="315" t="str">
        <f t="shared" si="469"/>
        <v/>
      </c>
      <c r="AL317" s="315" t="e">
        <f>IF($J317="",#N/A,SUM(AK$4:AK317))</f>
        <v>#N/A</v>
      </c>
      <c r="AM317" s="315" t="e">
        <f>IF($J317="",#N/A,SUM(AK$4:AK317,AI$4:AI317,AG$4:AG317))</f>
        <v>#N/A</v>
      </c>
      <c r="AN317" s="304" t="str">
        <f t="shared" si="470"/>
        <v/>
      </c>
      <c r="AO317" s="313" t="e">
        <f>IF($J317="",#N/A,SUM(AN$4:AN317))</f>
        <v>#N/A</v>
      </c>
      <c r="AP317" s="314" t="str">
        <f t="shared" si="471"/>
        <v/>
      </c>
      <c r="AQ317" s="314" t="e">
        <f>IF($J317="",#N/A,SUM(AP$4:AP317))</f>
        <v>#N/A</v>
      </c>
      <c r="AR317" s="315" t="str">
        <f t="shared" si="472"/>
        <v/>
      </c>
      <c r="AS317" s="315" t="e">
        <f>IF($J317="",#N/A,SUM(AR$4:AR317))</f>
        <v>#N/A</v>
      </c>
      <c r="AT317" s="315" t="e">
        <f>IF($J317="",#N/A,SUM(AR$4:AR317,AP$4:AP317,AN$4:AN317))</f>
        <v>#N/A</v>
      </c>
      <c r="AU317" s="304" t="str">
        <f t="shared" si="473"/>
        <v/>
      </c>
      <c r="AV317" s="313" t="e">
        <f>IF($J317="",#N/A,SUM(AU$4:AU317))</f>
        <v>#N/A</v>
      </c>
      <c r="AW317" s="314" t="str">
        <f t="shared" si="474"/>
        <v/>
      </c>
      <c r="AX317" s="314" t="e">
        <f>IF($J317="",#N/A,SUM(AW$4:AW317))</f>
        <v>#N/A</v>
      </c>
      <c r="AY317" s="315" t="str">
        <f t="shared" si="475"/>
        <v/>
      </c>
      <c r="AZ317" s="315" t="e">
        <f>IF($J317="",#N/A,SUM(AY$4:AY317))</f>
        <v>#N/A</v>
      </c>
      <c r="BA317" s="315" t="e">
        <f>IF($J317="",#N/A,SUM(AY$4:AY317,AW$4:AW317,AU$4:AU317))</f>
        <v>#N/A</v>
      </c>
      <c r="BB317" s="304" t="str">
        <f t="shared" si="476"/>
        <v/>
      </c>
      <c r="BC317" s="313" t="e">
        <f>IF($J317="",#N/A,SUM(BB$4:BB317))</f>
        <v>#N/A</v>
      </c>
      <c r="BD317" s="314" t="str">
        <f t="shared" si="477"/>
        <v/>
      </c>
      <c r="BE317" s="314" t="e">
        <f>IF($J317="",#N/A,SUM(BD$4:BD317))</f>
        <v>#N/A</v>
      </c>
      <c r="BF317" s="315" t="str">
        <f t="shared" si="478"/>
        <v/>
      </c>
      <c r="BG317" s="315" t="e">
        <f>IF($J317="",#N/A,SUM(BF$4:BF317))</f>
        <v>#N/A</v>
      </c>
      <c r="BH317" s="315" t="e">
        <f>IF($J317="",#N/A,SUM(BF$4:BF317,BD$4:BD317,BB$4:BB317))</f>
        <v>#N/A</v>
      </c>
      <c r="BI317" s="304" t="str">
        <f t="shared" si="479"/>
        <v/>
      </c>
      <c r="BJ317" s="313" t="e">
        <f>IF($J317="",#N/A,SUM(BI$4:BI317))</f>
        <v>#N/A</v>
      </c>
      <c r="BK317" s="314" t="str">
        <f t="shared" si="480"/>
        <v/>
      </c>
      <c r="BL317" s="314" t="e">
        <f>IF($J317="",#N/A,SUM(BK$4:BK317))</f>
        <v>#N/A</v>
      </c>
      <c r="BM317" s="315" t="str">
        <f t="shared" si="481"/>
        <v/>
      </c>
      <c r="BN317" s="315" t="e">
        <f>IF($J317="",#N/A,SUM(BM$4:BM317))</f>
        <v>#N/A</v>
      </c>
      <c r="BO317" s="315" t="e">
        <f>IF($J317="",#N/A,SUM(BM$4:BM317,BK$4:BK317,BI$4:BI317))</f>
        <v>#N/A</v>
      </c>
      <c r="BP317" s="304" t="str">
        <f t="shared" si="482"/>
        <v/>
      </c>
      <c r="BQ317" s="313" t="e">
        <f>IF($J317="",#N/A,SUM(BP$4:BP317))</f>
        <v>#N/A</v>
      </c>
      <c r="BR317" s="314" t="str">
        <f t="shared" si="483"/>
        <v/>
      </c>
      <c r="BS317" s="314" t="e">
        <f>IF($J317="",#N/A,SUM(BR$4:BR317))</f>
        <v>#N/A</v>
      </c>
      <c r="BT317" s="315" t="str">
        <f t="shared" si="484"/>
        <v/>
      </c>
      <c r="BU317" s="315" t="e">
        <f>IF($J317="",#N/A,SUM(BT$4:BT317))</f>
        <v>#N/A</v>
      </c>
      <c r="BV317" s="315" t="e">
        <f>IF($J317="",#N/A,SUM(BT$4:BT317,BR$4:BR317,BP$4:BP317))</f>
        <v>#N/A</v>
      </c>
      <c r="BW317" s="304" t="str">
        <f t="shared" si="485"/>
        <v/>
      </c>
      <c r="BX317" s="313" t="e">
        <f>IF($J317="",#N/A,SUM(BW$4:BW317))</f>
        <v>#N/A</v>
      </c>
      <c r="BY317" s="314" t="str">
        <f t="shared" si="486"/>
        <v/>
      </c>
      <c r="BZ317" s="314" t="e">
        <f>IF($J317="",#N/A,SUM(BY$4:BY317))</f>
        <v>#N/A</v>
      </c>
      <c r="CA317" s="315">
        <f t="shared" si="487"/>
        <v>0.7954986418315857</v>
      </c>
      <c r="CB317" s="315" t="e">
        <f>IF($J317="",#N/A,SUM(CA$4:CA317))</f>
        <v>#N/A</v>
      </c>
      <c r="CC317" s="315" t="e">
        <f>IF($J317="",#N/A,SUM(CA$4:CA317,BY$4:BY317,BW$4:BW317))</f>
        <v>#N/A</v>
      </c>
      <c r="CD317" s="304" t="str">
        <f t="shared" si="488"/>
        <v/>
      </c>
      <c r="CE317" s="313" t="e">
        <f>IF($J317="",#N/A,SUM(CD$4:CD317))</f>
        <v>#N/A</v>
      </c>
      <c r="CF317" s="314" t="str">
        <f t="shared" si="489"/>
        <v/>
      </c>
      <c r="CG317" s="314" t="e">
        <f>IF($J317="",#N/A,SUM(CF$4:CF317))</f>
        <v>#N/A</v>
      </c>
      <c r="CH317" s="315" t="str">
        <f t="shared" si="490"/>
        <v/>
      </c>
      <c r="CI317" s="315" t="e">
        <f>IF($J317="",#N/A,SUM(CH$4:CH317))</f>
        <v>#N/A</v>
      </c>
      <c r="CJ317" s="315" t="e">
        <f>IF($J317="",#N/A,SUM(CH$4:CH317,CF$4:CF317,CD$4:CD317))</f>
        <v>#N/A</v>
      </c>
      <c r="CK317" s="304" t="str">
        <f t="shared" si="491"/>
        <v/>
      </c>
      <c r="CL317" s="313" t="e">
        <f>IF($J317="",#N/A,SUM(CK$4:CK317))</f>
        <v>#N/A</v>
      </c>
      <c r="CM317" s="314" t="str">
        <f t="shared" si="492"/>
        <v/>
      </c>
      <c r="CN317" s="314" t="e">
        <f>IF($J317="",#N/A,SUM(CM$4:CM317))</f>
        <v>#N/A</v>
      </c>
      <c r="CO317" s="315" t="str">
        <f t="shared" si="493"/>
        <v/>
      </c>
      <c r="CP317" s="315" t="e">
        <f>IF($J317="",#N/A,SUM(CO$4:CO317))</f>
        <v>#N/A</v>
      </c>
      <c r="CQ317" s="315" t="e">
        <f>IF($J317="",#N/A,SUM(CO$4:CO317,CM$4:CM317,CK$4:CK317))</f>
        <v>#N/A</v>
      </c>
      <c r="CR317" s="304" t="str">
        <f t="shared" si="494"/>
        <v/>
      </c>
      <c r="CS317" s="313" t="e">
        <f>IF($J317="",#N/A,SUM(CR$4:CR317))</f>
        <v>#N/A</v>
      </c>
      <c r="CT317" s="314" t="str">
        <f t="shared" si="495"/>
        <v/>
      </c>
      <c r="CU317" s="314" t="e">
        <f>IF($J317="",#N/A,SUM(CT$4:CT317))</f>
        <v>#N/A</v>
      </c>
      <c r="CV317" s="315" t="str">
        <f t="shared" si="496"/>
        <v/>
      </c>
      <c r="CW317" s="315" t="e">
        <f>IF($J317="",#N/A,SUM(CV$4:CV317))</f>
        <v>#N/A</v>
      </c>
      <c r="CX317" s="315" t="e">
        <f>IF($J317="",#N/A,SUM(CV$4:CV317,CT$4:CT317,CR$4:CR317))</f>
        <v>#N/A</v>
      </c>
      <c r="CY317" s="304" t="str">
        <f t="shared" si="497"/>
        <v/>
      </c>
      <c r="CZ317" s="313" t="e">
        <f>IF($J317="",#N/A,SUM(CY$4:CY317))</f>
        <v>#N/A</v>
      </c>
      <c r="DA317" s="314" t="str">
        <f t="shared" si="498"/>
        <v/>
      </c>
      <c r="DB317" s="314" t="e">
        <f>IF($J317="",#N/A,SUM(DA$4:DA317))</f>
        <v>#N/A</v>
      </c>
      <c r="DC317" s="315" t="str">
        <f t="shared" si="499"/>
        <v/>
      </c>
      <c r="DD317" s="315" t="e">
        <f>IF($J317="",#N/A,SUM(DC$4:DC317))</f>
        <v>#N/A</v>
      </c>
      <c r="DE317" s="315" t="e">
        <f>IF($J317="",#N/A,SUM(DC$4:DC317,DA$4:DA317,CY$4:CY317))</f>
        <v>#N/A</v>
      </c>
      <c r="DF317" s="304" t="str">
        <f t="shared" si="500"/>
        <v/>
      </c>
      <c r="DG317" s="313" t="e">
        <f>IF($J317="",#N/A,SUM(DF$4:DF317))</f>
        <v>#N/A</v>
      </c>
      <c r="DH317" s="314" t="str">
        <f t="shared" si="501"/>
        <v/>
      </c>
      <c r="DI317" s="314" t="e">
        <f>IF($J317="",#N/A,SUM(DH$4:DH317))</f>
        <v>#N/A</v>
      </c>
      <c r="DJ317" s="315" t="str">
        <f t="shared" si="502"/>
        <v/>
      </c>
      <c r="DK317" s="315" t="e">
        <f>IF($J317="",#N/A,SUM(DJ$4:DJ317))</f>
        <v>#N/A</v>
      </c>
      <c r="DL317" s="315" t="e">
        <f>IF($J317="",#N/A,SUM(DJ$4:DJ317,DH$4:DH317,DF$4:DF317))</f>
        <v>#N/A</v>
      </c>
      <c r="DM317" s="304" t="str">
        <f t="shared" si="503"/>
        <v/>
      </c>
      <c r="DN317" s="313" t="e">
        <f>IF($J317="",#N/A,SUM(DM$4:DM317))</f>
        <v>#N/A</v>
      </c>
      <c r="DO317" s="314" t="str">
        <f t="shared" si="504"/>
        <v/>
      </c>
      <c r="DP317" s="314" t="e">
        <f>IF($J317="",#N/A,SUM(DO$4:DO317))</f>
        <v>#N/A</v>
      </c>
      <c r="DQ317" s="315" t="str">
        <f t="shared" si="505"/>
        <v/>
      </c>
      <c r="DR317" s="315" t="e">
        <f>IF($J317="",#N/A,SUM(DQ$4:DQ317))</f>
        <v>#N/A</v>
      </c>
      <c r="DS317" s="315" t="e">
        <f>IF($J317="",#N/A,SUM(DQ$4:DQ317,DO$4:DO317,DM$4:DM317))</f>
        <v>#N/A</v>
      </c>
      <c r="DT317" s="304" t="str">
        <f t="shared" si="506"/>
        <v/>
      </c>
      <c r="DU317" s="313" t="e">
        <f>IF($J317="",#N/A,SUM(DT$4:DT317))</f>
        <v>#N/A</v>
      </c>
      <c r="DV317" s="314" t="str">
        <f t="shared" si="507"/>
        <v/>
      </c>
      <c r="DW317" s="314" t="e">
        <f>IF($J317="",#N/A,SUM(DV$4:DV317))</f>
        <v>#N/A</v>
      </c>
      <c r="DX317" s="315" t="str">
        <f t="shared" si="508"/>
        <v/>
      </c>
      <c r="DY317" s="315" t="e">
        <f>IF($J317="",#N/A,SUM(DX$4:DX317))</f>
        <v>#N/A</v>
      </c>
      <c r="DZ317" s="315" t="e">
        <f>IF($J317="",#N/A,SUM(DX$4:DX317,DV$4:DV317,DT$4:DT317))</f>
        <v>#N/A</v>
      </c>
      <c r="EA317" s="304" t="str">
        <f t="shared" si="509"/>
        <v/>
      </c>
      <c r="EB317" s="313" t="e">
        <f>IF($J317="",#N/A,SUM(EA$4:EA317))</f>
        <v>#N/A</v>
      </c>
      <c r="EC317" s="314" t="str">
        <f t="shared" si="510"/>
        <v/>
      </c>
      <c r="ED317" s="314" t="e">
        <f>IF($J317="",#N/A,SUM(EC$4:EC317))</f>
        <v>#N/A</v>
      </c>
      <c r="EE317" s="315" t="str">
        <f t="shared" si="511"/>
        <v/>
      </c>
      <c r="EF317" s="315" t="e">
        <f>IF($J317="",#N/A,SUM(EE$4:EE317))</f>
        <v>#N/A</v>
      </c>
      <c r="EG317" s="315" t="e">
        <f>IF($J317="",#N/A,SUM(EE$4:EE317,EC$4:EC317,EA$4:EA317))</f>
        <v>#N/A</v>
      </c>
      <c r="EH317" s="130">
        <f t="shared" si="512"/>
        <v>77.899999999999864</v>
      </c>
      <c r="EI317" s="63">
        <f>IF(EH317="",#N/A,SUM($EH$4:EH317))</f>
        <v>1764.880084245294</v>
      </c>
      <c r="EJ317" s="223" t="e">
        <f t="shared" si="513"/>
        <v>#N/A</v>
      </c>
      <c r="EK317" s="63" t="e">
        <f>IF($GZ317="",#N/A,SUM(EJ$4:EJ317))</f>
        <v>#N/A</v>
      </c>
      <c r="EL317" s="60">
        <f t="shared" si="544"/>
        <v>0.7954986418315857</v>
      </c>
      <c r="EM317" s="60">
        <f>IF(EL317="",NA(),SUM($EL$4:EL317))</f>
        <v>40.420301397602707</v>
      </c>
      <c r="EN317" s="60" t="str">
        <f t="shared" si="514"/>
        <v/>
      </c>
      <c r="EO317" s="60" t="e">
        <f>IF(EN317="",NA(),SUM($EN$4:EN317))</f>
        <v>#N/A</v>
      </c>
      <c r="EP317" s="60">
        <f t="shared" si="515"/>
        <v>0.7954986418315857</v>
      </c>
      <c r="EQ317" s="60">
        <f>IF(EP317="",NA(),SUM($EP$4:EP317))</f>
        <v>12.233653134935622</v>
      </c>
      <c r="ER317" s="60" t="str">
        <f t="shared" si="516"/>
        <v/>
      </c>
      <c r="ES317" s="60" t="e">
        <f>IF(ER317="",NA(),SUM($ER$4:ER317))</f>
        <v>#N/A</v>
      </c>
      <c r="ET317" s="60" t="str">
        <f t="shared" si="517"/>
        <v/>
      </c>
      <c r="EU317" s="60" t="e">
        <f>IF(ET317="",NA(),SUM($ET$4:ET317))</f>
        <v>#N/A</v>
      </c>
      <c r="EV317" s="60" t="str">
        <f t="shared" si="518"/>
        <v/>
      </c>
      <c r="EW317" s="60" t="e">
        <f>IF(EV317="",NA(),SUM($EV$4:EV317))</f>
        <v>#N/A</v>
      </c>
      <c r="EX317" s="60" t="str">
        <f t="shared" si="519"/>
        <v/>
      </c>
      <c r="EY317" s="60" t="e">
        <f>IF(EX317="",NA(),SUM($EX$4:EX317))</f>
        <v>#N/A</v>
      </c>
      <c r="EZ317" s="60" t="str">
        <f t="shared" si="520"/>
        <v/>
      </c>
      <c r="FA317" s="60" t="e">
        <f>IF(EZ317="",NA(),SUM($EZ$4:EZ317))</f>
        <v>#N/A</v>
      </c>
      <c r="FB317" s="246" t="str">
        <f t="shared" si="545"/>
        <v/>
      </c>
      <c r="FC317" s="246" t="e">
        <f>IF($FB317="",#N/A,SUM(FB$4:$FB317))</f>
        <v>#N/A</v>
      </c>
      <c r="FD317" s="60" t="str">
        <f t="shared" si="521"/>
        <v/>
      </c>
      <c r="FE317" s="60" t="e">
        <f>IF($FD317="",#N/A,SUM($FD$4:FD317))</f>
        <v>#N/A</v>
      </c>
      <c r="FF317" s="60" t="str">
        <f t="shared" si="522"/>
        <v/>
      </c>
      <c r="FG317" s="60" t="e">
        <f>IF($FF317="",#N/A,SUM($FF$4:FF317))</f>
        <v>#N/A</v>
      </c>
      <c r="FH317" s="60" t="str">
        <f t="shared" si="523"/>
        <v/>
      </c>
      <c r="FI317" s="60" t="e">
        <f>IF($FH317="",#N/A,SUM($FH$4:FH317))</f>
        <v>#N/A</v>
      </c>
      <c r="FJ317" s="60">
        <f t="shared" si="524"/>
        <v>0.67520372526193362</v>
      </c>
      <c r="FK317" s="60">
        <f>IF($FJ317="",#N/A,SUM($FJ$4:FJ317))</f>
        <v>-1.0074569327468406</v>
      </c>
      <c r="FL317" s="60" t="str">
        <f t="shared" si="525"/>
        <v/>
      </c>
      <c r="FM317" s="60" t="e">
        <f>IF($FL317="",#N/A,SUM($FL$4:FL317))</f>
        <v>#N/A</v>
      </c>
      <c r="FN317" s="82">
        <f t="shared" si="526"/>
        <v>1.4707023670935193</v>
      </c>
      <c r="FO317" s="82">
        <f>IF($FN317="",#N/A,SUM(FN$4:$FN317))</f>
        <v>65.596332692442388</v>
      </c>
      <c r="FP317" s="82">
        <f t="shared" si="546"/>
        <v>0.7954986418315857</v>
      </c>
      <c r="FQ317" s="246">
        <f>IF($EH317="",#N/A,SUM($FP$4:FP317))</f>
        <v>58.688403735099122</v>
      </c>
      <c r="FR317" s="82">
        <f>IFERROR(FQ317/COUNTA($J$4:J317),#N/A)</f>
        <v>0.18690574437929658</v>
      </c>
      <c r="FS317" s="82">
        <f t="shared" si="554"/>
        <v>0.14678007708827906</v>
      </c>
      <c r="FT317" s="82">
        <f t="shared" si="555"/>
        <v>0.2008035221315049</v>
      </c>
      <c r="FU317" s="338">
        <f t="shared" si="553"/>
        <v>30.90504160715308</v>
      </c>
      <c r="FV317" s="57" t="str">
        <f t="shared" si="552"/>
        <v>SW</v>
      </c>
      <c r="FW317" s="57" t="s">
        <v>2732</v>
      </c>
      <c r="FX317" s="57" t="str">
        <f t="shared" si="528"/>
        <v/>
      </c>
      <c r="FY317" s="57" t="str">
        <f t="shared" si="529"/>
        <v/>
      </c>
      <c r="FZ317" s="57">
        <f t="shared" si="530"/>
        <v>1</v>
      </c>
      <c r="GA317" s="57" t="str">
        <f t="shared" si="531"/>
        <v>Long</v>
      </c>
      <c r="GB317" s="57" t="str">
        <f t="shared" si="532"/>
        <v/>
      </c>
      <c r="GC317" s="57" t="str">
        <f t="shared" si="533"/>
        <v/>
      </c>
      <c r="GD317" s="57" t="str">
        <f t="shared" si="534"/>
        <v/>
      </c>
      <c r="GE317" s="62">
        <f t="shared" si="451"/>
        <v>85.9</v>
      </c>
      <c r="GF317" s="62" t="s">
        <v>2779</v>
      </c>
      <c r="GG317" s="199">
        <v>19</v>
      </c>
      <c r="GH317" s="207">
        <f t="shared" si="535"/>
        <v>1632.1000000000001</v>
      </c>
      <c r="GI317" s="199">
        <v>19</v>
      </c>
      <c r="GJ317" s="200">
        <v>90</v>
      </c>
      <c r="GK317" s="63">
        <f t="shared" si="536"/>
        <v>77.899999999999864</v>
      </c>
      <c r="GL317" s="63">
        <f t="shared" si="452"/>
        <v>144.01999999999998</v>
      </c>
      <c r="GM317" s="82">
        <f t="shared" si="537"/>
        <v>1.4707023670935193</v>
      </c>
      <c r="GN317" s="82">
        <f>IF($GZ317="",#N/A,SUM(GM$4:GM317))</f>
        <v>14.202210023152832</v>
      </c>
      <c r="GO317" s="82" t="str">
        <f t="shared" si="538"/>
        <v/>
      </c>
      <c r="GP317" s="82">
        <f>IF($GZ317="",#N/A,SUM(GO$4:GO317))</f>
        <v>18.311918444510358</v>
      </c>
      <c r="GQ317" s="82" t="str">
        <f t="shared" si="539"/>
        <v/>
      </c>
      <c r="GR317" s="82">
        <f>IF($GZ317="",#N/A,SUM(GQ$4:GQ317))</f>
        <v>32.456367270336862</v>
      </c>
      <c r="GS317" s="63" t="e">
        <f t="shared" si="548"/>
        <v>#N/A</v>
      </c>
      <c r="GT317" s="63" t="e">
        <f>IF($GZ317="",#N/A,SUM(GS$4:GS317))</f>
        <v>#N/A</v>
      </c>
      <c r="GU317" s="63" t="str">
        <f t="shared" si="549"/>
        <v/>
      </c>
      <c r="GV317" s="63" t="e">
        <f>IF($GZ317="",#N/A,SUM(GU$4:GU317))</f>
        <v>#N/A</v>
      </c>
      <c r="GW317" s="63" t="str">
        <f t="shared" si="550"/>
        <v/>
      </c>
      <c r="GX317" s="63" t="e">
        <f>IF($GZ317="",#N/A,SUM(GW$4:GW317))</f>
        <v>#N/A</v>
      </c>
      <c r="GY317" s="63" t="e">
        <f>IF(EJ317="",#N/A,SUM($EJ$4:EJ317))</f>
        <v>#N/A</v>
      </c>
      <c r="GZ317" s="159">
        <v>93.48</v>
      </c>
      <c r="HA317" s="63">
        <f t="shared" si="540"/>
        <v>66.120000000000118</v>
      </c>
      <c r="HB317" s="62" t="s">
        <v>2538</v>
      </c>
      <c r="HC317" s="60">
        <f>IFERROR(VLOOKUP(E317,Expectancy!$P$4:$S$19,1+C317,FALSE),"")</f>
        <v>-0.15084750675779673</v>
      </c>
      <c r="HD317" s="82">
        <f t="shared" si="541"/>
        <v>0.7954986418315857</v>
      </c>
      <c r="HE317" s="138">
        <f>IF(HD317="",#N/A,SUM($HD$4:HD317))</f>
        <v>13.253362127946044</v>
      </c>
      <c r="HF317" s="85">
        <f>IF(HD317="",#N/A,IF(HB317="Skip",#N/A,SUM($HG$4:HG317)))</f>
        <v>627.31657921915507</v>
      </c>
      <c r="HG317" s="63">
        <f t="shared" si="542"/>
        <v>77.899999999999864</v>
      </c>
      <c r="HH317" s="82">
        <f t="shared" si="543"/>
        <v>1.4707023670935193</v>
      </c>
    </row>
    <row r="318" spans="1:216" x14ac:dyDescent="0.25">
      <c r="A318" s="57" t="s">
        <v>1480</v>
      </c>
      <c r="B318" s="58" t="s">
        <v>5240</v>
      </c>
      <c r="C318" s="386">
        <f t="shared" si="453"/>
        <v>3</v>
      </c>
      <c r="D318" s="372" t="str">
        <f>_xlfn.XLOOKUP(A318,[1]SP500!$A$2:$A$502,[1]SP500!$D$2:$D$502,"N")</f>
        <v>Y</v>
      </c>
      <c r="E318" s="57" t="str">
        <f>_xlfn.XLOOKUP(A318,[1]SP500!$A$2:$A$655,[1]SP500!$B$2:$B$655)</f>
        <v>XLF</v>
      </c>
      <c r="F318" s="59">
        <v>45701</v>
      </c>
      <c r="G318" s="57" t="str">
        <f t="shared" si="454"/>
        <v>BMO</v>
      </c>
      <c r="H318" s="57" t="str">
        <f t="shared" si="455"/>
        <v>s</v>
      </c>
      <c r="I318" s="159">
        <v>108.83</v>
      </c>
      <c r="J318" s="159">
        <v>108.55</v>
      </c>
      <c r="K318" s="61">
        <f t="shared" si="456"/>
        <v>-2.572819994486825E-3</v>
      </c>
      <c r="L318" s="87">
        <f t="shared" si="457"/>
        <v>-4.4800000000000182</v>
      </c>
      <c r="M318" s="130">
        <f t="shared" ref="M318:M381" si="556">IF(L318="","",IF(HG318="",#N/A,IF(HB318="Open",HG318-L318,#N/A)))</f>
        <v>-20.480000000000018</v>
      </c>
      <c r="N318" s="169" t="str">
        <f t="shared" si="458"/>
        <v/>
      </c>
      <c r="O318" s="169">
        <f>IF($J318="",#N/A,SUM($N$4:N318))</f>
        <v>885.04671935422448</v>
      </c>
      <c r="P318" s="174" t="str">
        <f t="shared" si="459"/>
        <v/>
      </c>
      <c r="Q318" s="174">
        <f>IF($J318="",#N/A,SUM($P$4:P318))</f>
        <v>341.14890674734181</v>
      </c>
      <c r="R318" s="178">
        <f t="shared" si="460"/>
        <v>-4.4800000000000182</v>
      </c>
      <c r="S318" s="178">
        <f>IF($J318="",#N/A,SUM($R$4:R318))</f>
        <v>534.20445814372761</v>
      </c>
      <c r="T318" s="290" t="str">
        <f t="shared" si="461"/>
        <v/>
      </c>
      <c r="U318" s="290">
        <f>IF($J318="",#N/A,SUM($T$4:T318))</f>
        <v>22.462212729532133</v>
      </c>
      <c r="V318" s="291" t="str">
        <f t="shared" si="462"/>
        <v/>
      </c>
      <c r="W318" s="291">
        <f>IF($J318="",#N/A,SUM($V$4:V318))</f>
        <v>23.057393703898299</v>
      </c>
      <c r="X318" s="292">
        <f t="shared" si="463"/>
        <v>-4.2880333241447077E-2</v>
      </c>
      <c r="Y318" s="292">
        <f>IF($J318="",#N/A,SUM($X$4:X318))</f>
        <v>13.12591696842726</v>
      </c>
      <c r="Z318" s="304" t="str">
        <f t="shared" si="464"/>
        <v/>
      </c>
      <c r="AA318" s="313" t="e">
        <f>IF($J318="",#N/A,SUM(Z$4:Z318))</f>
        <v>#N/A</v>
      </c>
      <c r="AB318" s="314" t="str">
        <f t="shared" si="465"/>
        <v/>
      </c>
      <c r="AC318" s="314" t="e">
        <f>IF($J318="",#N/A,SUM(AB$4:AB318))</f>
        <v>#N/A</v>
      </c>
      <c r="AD318" s="315" t="str">
        <f t="shared" si="466"/>
        <v/>
      </c>
      <c r="AE318" s="315" t="e">
        <f>IF($J318="",#N/A,SUM(AD$4:AD318))</f>
        <v>#N/A</v>
      </c>
      <c r="AF318" s="315" t="e">
        <f>IF($J318="",#N/A,SUM(AD$4:AD318,AB$4:AB318,Z$4:Z318))</f>
        <v>#N/A</v>
      </c>
      <c r="AG318" s="304" t="str">
        <f t="shared" si="467"/>
        <v/>
      </c>
      <c r="AH318" s="313" t="e">
        <f>IF($J318="",#N/A,SUM(AG$4:AG318))</f>
        <v>#N/A</v>
      </c>
      <c r="AI318" s="314" t="str">
        <f t="shared" si="468"/>
        <v/>
      </c>
      <c r="AJ318" s="314" t="e">
        <f>IF($J318="",#N/A,SUM(AI$4:AI318))</f>
        <v>#N/A</v>
      </c>
      <c r="AK318" s="315" t="str">
        <f t="shared" si="469"/>
        <v/>
      </c>
      <c r="AL318" s="315" t="e">
        <f>IF($J318="",#N/A,SUM(AK$4:AK318))</f>
        <v>#N/A</v>
      </c>
      <c r="AM318" s="315" t="e">
        <f>IF($J318="",#N/A,SUM(AK$4:AK318,AI$4:AI318,AG$4:AG318))</f>
        <v>#N/A</v>
      </c>
      <c r="AN318" s="304" t="str">
        <f t="shared" si="470"/>
        <v/>
      </c>
      <c r="AO318" s="313" t="e">
        <f>IF($J318="",#N/A,SUM(AN$4:AN318))</f>
        <v>#N/A</v>
      </c>
      <c r="AP318" s="314" t="str">
        <f t="shared" si="471"/>
        <v/>
      </c>
      <c r="AQ318" s="314" t="e">
        <f>IF($J318="",#N/A,SUM(AP$4:AP318))</f>
        <v>#N/A</v>
      </c>
      <c r="AR318" s="315" t="str">
        <f t="shared" si="472"/>
        <v/>
      </c>
      <c r="AS318" s="315" t="e">
        <f>IF($J318="",#N/A,SUM(AR$4:AR318))</f>
        <v>#N/A</v>
      </c>
      <c r="AT318" s="315" t="e">
        <f>IF($J318="",#N/A,SUM(AR$4:AR318,AP$4:AP318,AN$4:AN318))</f>
        <v>#N/A</v>
      </c>
      <c r="AU318" s="304" t="str">
        <f t="shared" si="473"/>
        <v/>
      </c>
      <c r="AV318" s="313" t="e">
        <f>IF($J318="",#N/A,SUM(AU$4:AU318))</f>
        <v>#N/A</v>
      </c>
      <c r="AW318" s="314" t="str">
        <f t="shared" si="474"/>
        <v/>
      </c>
      <c r="AX318" s="314" t="e">
        <f>IF($J318="",#N/A,SUM(AW$4:AW318))</f>
        <v>#N/A</v>
      </c>
      <c r="AY318" s="315" t="str">
        <f t="shared" si="475"/>
        <v/>
      </c>
      <c r="AZ318" s="315" t="e">
        <f>IF($J318="",#N/A,SUM(AY$4:AY318))</f>
        <v>#N/A</v>
      </c>
      <c r="BA318" s="315" t="e">
        <f>IF($J318="",#N/A,SUM(AY$4:AY318,AW$4:AW318,AU$4:AU318))</f>
        <v>#N/A</v>
      </c>
      <c r="BB318" s="304" t="str">
        <f t="shared" si="476"/>
        <v/>
      </c>
      <c r="BC318" s="313" t="e">
        <f>IF($J318="",#N/A,SUM(BB$4:BB318))</f>
        <v>#N/A</v>
      </c>
      <c r="BD318" s="314" t="str">
        <f t="shared" si="477"/>
        <v/>
      </c>
      <c r="BE318" s="314" t="e">
        <f>IF($J318="",#N/A,SUM(BD$4:BD318))</f>
        <v>#N/A</v>
      </c>
      <c r="BF318" s="315" t="str">
        <f t="shared" si="478"/>
        <v/>
      </c>
      <c r="BG318" s="315" t="e">
        <f>IF($J318="",#N/A,SUM(BF$4:BF318))</f>
        <v>#N/A</v>
      </c>
      <c r="BH318" s="315" t="e">
        <f>IF($J318="",#N/A,SUM(BF$4:BF318,BD$4:BD318,BB$4:BB318))</f>
        <v>#N/A</v>
      </c>
      <c r="BI318" s="304" t="str">
        <f t="shared" si="479"/>
        <v/>
      </c>
      <c r="BJ318" s="313" t="e">
        <f>IF($J318="",#N/A,SUM(BI$4:BI318))</f>
        <v>#N/A</v>
      </c>
      <c r="BK318" s="314" t="str">
        <f t="shared" si="480"/>
        <v/>
      </c>
      <c r="BL318" s="314" t="e">
        <f>IF($J318="",#N/A,SUM(BK$4:BK318))</f>
        <v>#N/A</v>
      </c>
      <c r="BM318" s="315">
        <f t="shared" si="481"/>
        <v>-4.2880333241447077E-2</v>
      </c>
      <c r="BN318" s="315" t="e">
        <f>IF($J318="",#N/A,SUM(BM$4:BM318))</f>
        <v>#N/A</v>
      </c>
      <c r="BO318" s="315" t="e">
        <f>IF($J318="",#N/A,SUM(BM$4:BM318,BK$4:BK318,BI$4:BI318))</f>
        <v>#N/A</v>
      </c>
      <c r="BP318" s="304" t="str">
        <f t="shared" si="482"/>
        <v/>
      </c>
      <c r="BQ318" s="313" t="e">
        <f>IF($J318="",#N/A,SUM(BP$4:BP318))</f>
        <v>#N/A</v>
      </c>
      <c r="BR318" s="314" t="str">
        <f t="shared" si="483"/>
        <v/>
      </c>
      <c r="BS318" s="314" t="e">
        <f>IF($J318="",#N/A,SUM(BR$4:BR318))</f>
        <v>#N/A</v>
      </c>
      <c r="BT318" s="315" t="str">
        <f t="shared" si="484"/>
        <v/>
      </c>
      <c r="BU318" s="315" t="e">
        <f>IF($J318="",#N/A,SUM(BT$4:BT318))</f>
        <v>#N/A</v>
      </c>
      <c r="BV318" s="315" t="e">
        <f>IF($J318="",#N/A,SUM(BT$4:BT318,BR$4:BR318,BP$4:BP318))</f>
        <v>#N/A</v>
      </c>
      <c r="BW318" s="304" t="str">
        <f t="shared" si="485"/>
        <v/>
      </c>
      <c r="BX318" s="313" t="e">
        <f>IF($J318="",#N/A,SUM(BW$4:BW318))</f>
        <v>#N/A</v>
      </c>
      <c r="BY318" s="314" t="str">
        <f t="shared" si="486"/>
        <v/>
      </c>
      <c r="BZ318" s="314" t="e">
        <f>IF($J318="",#N/A,SUM(BY$4:BY318))</f>
        <v>#N/A</v>
      </c>
      <c r="CA318" s="315" t="str">
        <f t="shared" si="487"/>
        <v/>
      </c>
      <c r="CB318" s="315" t="e">
        <f>IF($J318="",#N/A,SUM(CA$4:CA318))</f>
        <v>#N/A</v>
      </c>
      <c r="CC318" s="315" t="e">
        <f>IF($J318="",#N/A,SUM(CA$4:CA318,BY$4:BY318,BW$4:BW318))</f>
        <v>#N/A</v>
      </c>
      <c r="CD318" s="304" t="str">
        <f t="shared" si="488"/>
        <v/>
      </c>
      <c r="CE318" s="313" t="e">
        <f>IF($J318="",#N/A,SUM(CD$4:CD318))</f>
        <v>#N/A</v>
      </c>
      <c r="CF318" s="314" t="str">
        <f t="shared" si="489"/>
        <v/>
      </c>
      <c r="CG318" s="314" t="e">
        <f>IF($J318="",#N/A,SUM(CF$4:CF318))</f>
        <v>#N/A</v>
      </c>
      <c r="CH318" s="315" t="str">
        <f t="shared" si="490"/>
        <v/>
      </c>
      <c r="CI318" s="315" t="e">
        <f>IF($J318="",#N/A,SUM(CH$4:CH318))</f>
        <v>#N/A</v>
      </c>
      <c r="CJ318" s="315" t="e">
        <f>IF($J318="",#N/A,SUM(CH$4:CH318,CF$4:CF318,CD$4:CD318))</f>
        <v>#N/A</v>
      </c>
      <c r="CK318" s="304" t="str">
        <f t="shared" si="491"/>
        <v/>
      </c>
      <c r="CL318" s="313" t="e">
        <f>IF($J318="",#N/A,SUM(CK$4:CK318))</f>
        <v>#N/A</v>
      </c>
      <c r="CM318" s="314" t="str">
        <f t="shared" si="492"/>
        <v/>
      </c>
      <c r="CN318" s="314" t="e">
        <f>IF($J318="",#N/A,SUM(CM$4:CM318))</f>
        <v>#N/A</v>
      </c>
      <c r="CO318" s="315" t="str">
        <f t="shared" si="493"/>
        <v/>
      </c>
      <c r="CP318" s="315" t="e">
        <f>IF($J318="",#N/A,SUM(CO$4:CO318))</f>
        <v>#N/A</v>
      </c>
      <c r="CQ318" s="315" t="e">
        <f>IF($J318="",#N/A,SUM(CO$4:CO318,CM$4:CM318,CK$4:CK318))</f>
        <v>#N/A</v>
      </c>
      <c r="CR318" s="304" t="str">
        <f t="shared" si="494"/>
        <v/>
      </c>
      <c r="CS318" s="313" t="e">
        <f>IF($J318="",#N/A,SUM(CR$4:CR318))</f>
        <v>#N/A</v>
      </c>
      <c r="CT318" s="314" t="str">
        <f t="shared" si="495"/>
        <v/>
      </c>
      <c r="CU318" s="314" t="e">
        <f>IF($J318="",#N/A,SUM(CT$4:CT318))</f>
        <v>#N/A</v>
      </c>
      <c r="CV318" s="315" t="str">
        <f t="shared" si="496"/>
        <v/>
      </c>
      <c r="CW318" s="315" t="e">
        <f>IF($J318="",#N/A,SUM(CV$4:CV318))</f>
        <v>#N/A</v>
      </c>
      <c r="CX318" s="315" t="e">
        <f>IF($J318="",#N/A,SUM(CV$4:CV318,CT$4:CT318,CR$4:CR318))</f>
        <v>#N/A</v>
      </c>
      <c r="CY318" s="304" t="str">
        <f t="shared" si="497"/>
        <v/>
      </c>
      <c r="CZ318" s="313" t="e">
        <f>IF($J318="",#N/A,SUM(CY$4:CY318))</f>
        <v>#N/A</v>
      </c>
      <c r="DA318" s="314" t="str">
        <f t="shared" si="498"/>
        <v/>
      </c>
      <c r="DB318" s="314" t="e">
        <f>IF($J318="",#N/A,SUM(DA$4:DA318))</f>
        <v>#N/A</v>
      </c>
      <c r="DC318" s="315" t="str">
        <f t="shared" si="499"/>
        <v/>
      </c>
      <c r="DD318" s="315" t="e">
        <f>IF($J318="",#N/A,SUM(DC$4:DC318))</f>
        <v>#N/A</v>
      </c>
      <c r="DE318" s="315" t="e">
        <f>IF($J318="",#N/A,SUM(DC$4:DC318,DA$4:DA318,CY$4:CY318))</f>
        <v>#N/A</v>
      </c>
      <c r="DF318" s="304" t="str">
        <f t="shared" si="500"/>
        <v/>
      </c>
      <c r="DG318" s="313" t="e">
        <f>IF($J318="",#N/A,SUM(DF$4:DF318))</f>
        <v>#N/A</v>
      </c>
      <c r="DH318" s="314" t="str">
        <f t="shared" si="501"/>
        <v/>
      </c>
      <c r="DI318" s="314" t="e">
        <f>IF($J318="",#N/A,SUM(DH$4:DH318))</f>
        <v>#N/A</v>
      </c>
      <c r="DJ318" s="315" t="str">
        <f t="shared" si="502"/>
        <v/>
      </c>
      <c r="DK318" s="315" t="e">
        <f>IF($J318="",#N/A,SUM(DJ$4:DJ318))</f>
        <v>#N/A</v>
      </c>
      <c r="DL318" s="315" t="e">
        <f>IF($J318="",#N/A,SUM(DJ$4:DJ318,DH$4:DH318,DF$4:DF318))</f>
        <v>#N/A</v>
      </c>
      <c r="DM318" s="304" t="str">
        <f t="shared" si="503"/>
        <v/>
      </c>
      <c r="DN318" s="313" t="e">
        <f>IF($J318="",#N/A,SUM(DM$4:DM318))</f>
        <v>#N/A</v>
      </c>
      <c r="DO318" s="314" t="str">
        <f t="shared" si="504"/>
        <v/>
      </c>
      <c r="DP318" s="314" t="e">
        <f>IF($J318="",#N/A,SUM(DO$4:DO318))</f>
        <v>#N/A</v>
      </c>
      <c r="DQ318" s="315" t="str">
        <f t="shared" si="505"/>
        <v/>
      </c>
      <c r="DR318" s="315" t="e">
        <f>IF($J318="",#N/A,SUM(DQ$4:DQ318))</f>
        <v>#N/A</v>
      </c>
      <c r="DS318" s="315" t="e">
        <f>IF($J318="",#N/A,SUM(DQ$4:DQ318,DO$4:DO318,DM$4:DM318))</f>
        <v>#N/A</v>
      </c>
      <c r="DT318" s="304" t="str">
        <f t="shared" si="506"/>
        <v/>
      </c>
      <c r="DU318" s="313" t="e">
        <f>IF($J318="",#N/A,SUM(DT$4:DT318))</f>
        <v>#N/A</v>
      </c>
      <c r="DV318" s="314" t="str">
        <f t="shared" si="507"/>
        <v/>
      </c>
      <c r="DW318" s="314" t="e">
        <f>IF($J318="",#N/A,SUM(DV$4:DV318))</f>
        <v>#N/A</v>
      </c>
      <c r="DX318" s="315" t="str">
        <f t="shared" si="508"/>
        <v/>
      </c>
      <c r="DY318" s="315" t="e">
        <f>IF($J318="",#N/A,SUM(DX$4:DX318))</f>
        <v>#N/A</v>
      </c>
      <c r="DZ318" s="315" t="e">
        <f>IF($J318="",#N/A,SUM(DX$4:DX318,DV$4:DV318,DT$4:DT318))</f>
        <v>#N/A</v>
      </c>
      <c r="EA318" s="304" t="str">
        <f t="shared" si="509"/>
        <v/>
      </c>
      <c r="EB318" s="313" t="e">
        <f>IF($J318="",#N/A,SUM(EA$4:EA318))</f>
        <v>#N/A</v>
      </c>
      <c r="EC318" s="314" t="str">
        <f t="shared" si="510"/>
        <v/>
      </c>
      <c r="ED318" s="314" t="e">
        <f>IF($J318="",#N/A,SUM(EC$4:EC318))</f>
        <v>#N/A</v>
      </c>
      <c r="EE318" s="315" t="str">
        <f t="shared" si="511"/>
        <v/>
      </c>
      <c r="EF318" s="315" t="e">
        <f>IF($J318="",#N/A,SUM(EE$4:EE318))</f>
        <v>#N/A</v>
      </c>
      <c r="EG318" s="315" t="e">
        <f>IF($J318="",#N/A,SUM(EE$4:EE318,EC$4:EC318,EA$4:EA318))</f>
        <v>#N/A</v>
      </c>
      <c r="EH318" s="130">
        <f t="shared" si="512"/>
        <v>-4.4800000000000182</v>
      </c>
      <c r="EI318" s="63">
        <f>IF(EH318="",#N/A,SUM($EH$4:EH318))</f>
        <v>1760.400084245294</v>
      </c>
      <c r="EJ318" s="223" t="e">
        <f t="shared" si="513"/>
        <v>#N/A</v>
      </c>
      <c r="EK318" s="63" t="e">
        <f>IF($GZ318="",#N/A,SUM(EJ$4:EJ318))</f>
        <v>#N/A</v>
      </c>
      <c r="EL318" s="60">
        <f t="shared" si="544"/>
        <v>-4.2880333241447077E-2</v>
      </c>
      <c r="EM318" s="60">
        <f>IF(EL318="",NA(),SUM($EL$4:EL318))</f>
        <v>40.377421064361258</v>
      </c>
      <c r="EN318" s="60" t="str">
        <f t="shared" si="514"/>
        <v/>
      </c>
      <c r="EO318" s="60" t="e">
        <f>IF(EN318="",NA(),SUM($EN$4:EN318))</f>
        <v>#N/A</v>
      </c>
      <c r="EP318" s="60">
        <f t="shared" si="515"/>
        <v>-4.2880333241447077E-2</v>
      </c>
      <c r="EQ318" s="60">
        <f>IF(EP318="",NA(),SUM($EP$4:EP318))</f>
        <v>12.190772801694175</v>
      </c>
      <c r="ER318" s="60" t="str">
        <f t="shared" si="516"/>
        <v/>
      </c>
      <c r="ES318" s="60" t="e">
        <f>IF(ER318="",NA(),SUM($ER$4:ER318))</f>
        <v>#N/A</v>
      </c>
      <c r="ET318" s="60" t="str">
        <f t="shared" si="517"/>
        <v/>
      </c>
      <c r="EU318" s="60" t="e">
        <f>IF(ET318="",NA(),SUM($ET$4:ET318))</f>
        <v>#N/A</v>
      </c>
      <c r="EV318" s="60" t="str">
        <f t="shared" si="518"/>
        <v/>
      </c>
      <c r="EW318" s="60" t="e">
        <f>IF(EV318="",NA(),SUM($EV$4:EV318))</f>
        <v>#N/A</v>
      </c>
      <c r="EX318" s="60" t="str">
        <f t="shared" si="519"/>
        <v/>
      </c>
      <c r="EY318" s="60" t="e">
        <f>IF(EX318="",NA(),SUM($EX$4:EX318))</f>
        <v>#N/A</v>
      </c>
      <c r="EZ318" s="60" t="str">
        <f t="shared" si="520"/>
        <v/>
      </c>
      <c r="FA318" s="60" t="e">
        <f>IF(EZ318="",NA(),SUM($EZ$4:EZ318))</f>
        <v>#N/A</v>
      </c>
      <c r="FB318" s="246" t="str">
        <f t="shared" si="545"/>
        <v/>
      </c>
      <c r="FC318" s="246" t="e">
        <f>IF($FB318="",#N/A,SUM(FB$4:$FB318))</f>
        <v>#N/A</v>
      </c>
      <c r="FD318" s="60" t="str">
        <f t="shared" si="521"/>
        <v/>
      </c>
      <c r="FE318" s="60" t="e">
        <f>IF($FD318="",#N/A,SUM($FD$4:FD318))</f>
        <v>#N/A</v>
      </c>
      <c r="FF318" s="60" t="str">
        <f t="shared" si="522"/>
        <v/>
      </c>
      <c r="FG318" s="60" t="e">
        <f>IF($FF318="",#N/A,SUM($FF$4:FF318))</f>
        <v>#N/A</v>
      </c>
      <c r="FH318" s="60" t="str">
        <f t="shared" si="523"/>
        <v/>
      </c>
      <c r="FI318" s="60" t="e">
        <f>IF($FH318="",#N/A,SUM($FH$4:FH318))</f>
        <v>#N/A</v>
      </c>
      <c r="FJ318" s="60" t="str">
        <f t="shared" si="524"/>
        <v/>
      </c>
      <c r="FK318" s="60" t="e">
        <f>IF($FJ318="",#N/A,SUM($FJ$4:FJ318))</f>
        <v>#N/A</v>
      </c>
      <c r="FL318" s="60">
        <f t="shared" si="525"/>
        <v>-0.67689668902569777</v>
      </c>
      <c r="FM318" s="60">
        <f>IF($FL318="",#N/A,SUM($FL$4:FL318))</f>
        <v>1.3639729652052595</v>
      </c>
      <c r="FN318" s="82">
        <f t="shared" si="526"/>
        <v>-0.71977702226714491</v>
      </c>
      <c r="FO318" s="82">
        <f>IF($FN318="",#N/A,SUM(FN$4:$FN318))</f>
        <v>64.87655567017525</v>
      </c>
      <c r="FP318" s="82">
        <f t="shared" si="546"/>
        <v>-4.2880333241447077E-2</v>
      </c>
      <c r="FQ318" s="246">
        <f>IF($EH318="",#N/A,SUM($FP$4:FP318))</f>
        <v>58.645523401857673</v>
      </c>
      <c r="FR318" s="82">
        <f>IFERROR(FQ318/COUNTA($J$4:J318),#N/A)</f>
        <v>0.18617626476780214</v>
      </c>
      <c r="FS318" s="82">
        <f t="shared" si="554"/>
        <v>0.10313789991100095</v>
      </c>
      <c r="FT318" s="82">
        <f t="shared" si="555"/>
        <v>0.13485796550173632</v>
      </c>
      <c r="FU318" s="338">
        <f t="shared" si="553"/>
        <v>31.101065987685402</v>
      </c>
      <c r="FV318" s="57" t="str">
        <f t="shared" si="552"/>
        <v>SW</v>
      </c>
      <c r="FW318" s="57" t="s">
        <v>2732</v>
      </c>
      <c r="FX318" s="57" t="str">
        <f t="shared" si="528"/>
        <v/>
      </c>
      <c r="FY318" s="57" t="str">
        <f t="shared" si="529"/>
        <v/>
      </c>
      <c r="FZ318" s="57" t="str">
        <f t="shared" si="530"/>
        <v/>
      </c>
      <c r="GA318" s="57" t="str">
        <f t="shared" si="531"/>
        <v>Long</v>
      </c>
      <c r="GB318" s="57" t="str">
        <f t="shared" si="532"/>
        <v/>
      </c>
      <c r="GC318" s="57" t="str">
        <f t="shared" si="533"/>
        <v/>
      </c>
      <c r="GD318" s="57">
        <f t="shared" si="534"/>
        <v>1</v>
      </c>
      <c r="GE318" s="62">
        <f t="shared" ref="GE318:GE381" si="557">IF(I318="","",I318)</f>
        <v>108.83</v>
      </c>
      <c r="GF318" s="62" t="s">
        <v>2779</v>
      </c>
      <c r="GG318" s="199">
        <v>16</v>
      </c>
      <c r="GH318" s="207">
        <f t="shared" si="535"/>
        <v>1741.28</v>
      </c>
      <c r="GI318" s="199">
        <v>16</v>
      </c>
      <c r="GJ318" s="200">
        <v>107.27</v>
      </c>
      <c r="GK318" s="63">
        <f t="shared" si="536"/>
        <v>-24.960000000000036</v>
      </c>
      <c r="GL318" s="63">
        <f t="shared" ref="GL318:GL381" si="558">IF($GZ318="","",IF($GF318="Long",(($GZ318*$GI318)-$GH318),($GH318-($GZ318*$GI318))))</f>
        <v>-75.200000000000045</v>
      </c>
      <c r="GM318" s="82">
        <f t="shared" si="537"/>
        <v>-0.71977702226714491</v>
      </c>
      <c r="GN318" s="82">
        <f>IF($GZ318="",#N/A,SUM(GM$4:GM318))</f>
        <v>13.482433000885687</v>
      </c>
      <c r="GO318" s="82" t="str">
        <f t="shared" si="538"/>
        <v/>
      </c>
      <c r="GP318" s="82">
        <f>IF($GZ318="",#N/A,SUM(GO$4:GO318))</f>
        <v>18.311918444510358</v>
      </c>
      <c r="GQ318" s="82" t="str">
        <f t="shared" si="539"/>
        <v/>
      </c>
      <c r="GR318" s="82">
        <f>IF($GZ318="",#N/A,SUM(GQ$4:GQ318))</f>
        <v>32.456367270336862</v>
      </c>
      <c r="GS318" s="63" t="e">
        <f t="shared" si="548"/>
        <v>#N/A</v>
      </c>
      <c r="GT318" s="63" t="e">
        <f>IF($GZ318="",#N/A,SUM(GS$4:GS318))</f>
        <v>#N/A</v>
      </c>
      <c r="GU318" s="63" t="str">
        <f t="shared" si="549"/>
        <v/>
      </c>
      <c r="GV318" s="63" t="e">
        <f>IF($GZ318="",#N/A,SUM(GU$4:GU318))</f>
        <v>#N/A</v>
      </c>
      <c r="GW318" s="63" t="str">
        <f t="shared" si="550"/>
        <v/>
      </c>
      <c r="GX318" s="63" t="e">
        <f>IF($GZ318="",#N/A,SUM(GW$4:GW318))</f>
        <v>#N/A</v>
      </c>
      <c r="GY318" s="63" t="e">
        <f>IF(EJ318="",#N/A,SUM($EJ$4:EJ318))</f>
        <v>#N/A</v>
      </c>
      <c r="GZ318" s="159">
        <v>104.13</v>
      </c>
      <c r="HA318" s="63">
        <f t="shared" si="540"/>
        <v>-70.720000000000027</v>
      </c>
      <c r="HB318" s="62" t="s">
        <v>2538</v>
      </c>
      <c r="HC318" s="60">
        <f>IFERROR(VLOOKUP(E318,Expectancy!$P$4:$S$19,1+C318,FALSE),"")</f>
        <v>9.9793136114217987E-2</v>
      </c>
      <c r="HD318" s="82">
        <f t="shared" si="541"/>
        <v>-0.23890471377377598</v>
      </c>
      <c r="HE318" s="138">
        <f>IF(HD318="",#N/A,SUM($HD$4:HD318))</f>
        <v>13.014457414172268</v>
      </c>
      <c r="HF318" s="85">
        <f>IF(HD318="",#N/A,IF(HB318="Skip",#N/A,SUM($HG$4:HG318)))</f>
        <v>602.35657921915504</v>
      </c>
      <c r="HG318" s="63">
        <f t="shared" si="542"/>
        <v>-24.960000000000036</v>
      </c>
      <c r="HH318" s="82">
        <f t="shared" si="543"/>
        <v>-0.71977702226714491</v>
      </c>
    </row>
    <row r="319" spans="1:216" x14ac:dyDescent="0.25">
      <c r="A319" s="57" t="s">
        <v>1515</v>
      </c>
      <c r="B319" s="466" t="s">
        <v>5240</v>
      </c>
      <c r="C319" s="467">
        <f t="shared" si="453"/>
        <v>3</v>
      </c>
      <c r="D319" s="468" t="str">
        <f>_xlfn.XLOOKUP(A319,[1]SP500!$A$2:$A$502,[1]SP500!$D$2:$D$502,"N")</f>
        <v>Y</v>
      </c>
      <c r="E319" s="465" t="str">
        <f>_xlfn.XLOOKUP(A319,[1]SP500!$A$2:$A$655,[1]SP500!$B$2:$B$655)</f>
        <v>XLV</v>
      </c>
      <c r="F319" s="59">
        <v>45701</v>
      </c>
      <c r="G319" s="57" t="str">
        <f t="shared" si="454"/>
        <v>BMO</v>
      </c>
      <c r="H319" s="57" t="str">
        <f t="shared" si="455"/>
        <v>o</v>
      </c>
      <c r="I319" s="159">
        <v>322.27999999999997</v>
      </c>
      <c r="J319" s="159">
        <v>243.84</v>
      </c>
      <c r="K319" s="61">
        <f t="shared" si="456"/>
        <v>-0.24339084026312516</v>
      </c>
      <c r="L319" s="87">
        <f t="shared" si="457"/>
        <v>-401.59488643415648</v>
      </c>
      <c r="M319" s="210" t="e">
        <f t="shared" si="556"/>
        <v>#N/A</v>
      </c>
      <c r="N319" s="169" t="str">
        <f t="shared" si="458"/>
        <v/>
      </c>
      <c r="O319" s="169">
        <f>IF($J319="",#N/A,SUM($N$4:N319))</f>
        <v>885.04671935422448</v>
      </c>
      <c r="P319" s="174" t="str">
        <f t="shared" si="459"/>
        <v/>
      </c>
      <c r="Q319" s="174">
        <f>IF($J319="",#N/A,SUM($P$4:P319))</f>
        <v>341.14890674734181</v>
      </c>
      <c r="R319" s="178">
        <f t="shared" si="460"/>
        <v>-401.59488643415648</v>
      </c>
      <c r="S319" s="178">
        <f>IF($J319="",#N/A,SUM($R$4:R319))</f>
        <v>132.60957170957113</v>
      </c>
      <c r="T319" s="290" t="str">
        <f t="shared" si="461"/>
        <v/>
      </c>
      <c r="U319" s="290">
        <f>IF($J319="",#N/A,SUM($T$4:T319))</f>
        <v>22.462212729532133</v>
      </c>
      <c r="V319" s="291" t="str">
        <f t="shared" si="462"/>
        <v/>
      </c>
      <c r="W319" s="291">
        <f>IF($J319="",#N/A,SUM($V$4:V319))</f>
        <v>23.057393703898299</v>
      </c>
      <c r="X319" s="292">
        <f t="shared" si="463"/>
        <v>-4.05651400438542</v>
      </c>
      <c r="Y319" s="292">
        <f>IF($J319="",#N/A,SUM($X$4:X319))</f>
        <v>9.0694029640418403</v>
      </c>
      <c r="Z319" s="304" t="str">
        <f t="shared" si="464"/>
        <v/>
      </c>
      <c r="AA319" s="313" t="e">
        <f>IF($J319="",#N/A,SUM(Z$4:Z319))</f>
        <v>#N/A</v>
      </c>
      <c r="AB319" s="314" t="str">
        <f t="shared" si="465"/>
        <v/>
      </c>
      <c r="AC319" s="314" t="e">
        <f>IF($J319="",#N/A,SUM(AB$4:AB319))</f>
        <v>#N/A</v>
      </c>
      <c r="AD319" s="315" t="str">
        <f t="shared" si="466"/>
        <v/>
      </c>
      <c r="AE319" s="315" t="e">
        <f>IF($J319="",#N/A,SUM(AD$4:AD319))</f>
        <v>#N/A</v>
      </c>
      <c r="AF319" s="315" t="e">
        <f>IF($J319="",#N/A,SUM(AD$4:AD319,AB$4:AB319,Z$4:Z319))</f>
        <v>#N/A</v>
      </c>
      <c r="AG319" s="304" t="str">
        <f t="shared" si="467"/>
        <v/>
      </c>
      <c r="AH319" s="313" t="e">
        <f>IF($J319="",#N/A,SUM(AG$4:AG319))</f>
        <v>#N/A</v>
      </c>
      <c r="AI319" s="314" t="str">
        <f t="shared" si="468"/>
        <v/>
      </c>
      <c r="AJ319" s="314" t="e">
        <f>IF($J319="",#N/A,SUM(AI$4:AI319))</f>
        <v>#N/A</v>
      </c>
      <c r="AK319" s="315" t="str">
        <f t="shared" si="469"/>
        <v/>
      </c>
      <c r="AL319" s="315" t="e">
        <f>IF($J319="",#N/A,SUM(AK$4:AK319))</f>
        <v>#N/A</v>
      </c>
      <c r="AM319" s="315" t="e">
        <f>IF($J319="",#N/A,SUM(AK$4:AK319,AI$4:AI319,AG$4:AG319))</f>
        <v>#N/A</v>
      </c>
      <c r="AN319" s="304" t="str">
        <f t="shared" si="470"/>
        <v/>
      </c>
      <c r="AO319" s="313" t="e">
        <f>IF($J319="",#N/A,SUM(AN$4:AN319))</f>
        <v>#N/A</v>
      </c>
      <c r="AP319" s="314" t="str">
        <f t="shared" si="471"/>
        <v/>
      </c>
      <c r="AQ319" s="314" t="e">
        <f>IF($J319="",#N/A,SUM(AP$4:AP319))</f>
        <v>#N/A</v>
      </c>
      <c r="AR319" s="315" t="str">
        <f t="shared" si="472"/>
        <v/>
      </c>
      <c r="AS319" s="315" t="e">
        <f>IF($J319="",#N/A,SUM(AR$4:AR319))</f>
        <v>#N/A</v>
      </c>
      <c r="AT319" s="315" t="e">
        <f>IF($J319="",#N/A,SUM(AR$4:AR319,AP$4:AP319,AN$4:AN319))</f>
        <v>#N/A</v>
      </c>
      <c r="AU319" s="304" t="str">
        <f t="shared" si="473"/>
        <v/>
      </c>
      <c r="AV319" s="313" t="e">
        <f>IF($J319="",#N/A,SUM(AU$4:AU319))</f>
        <v>#N/A</v>
      </c>
      <c r="AW319" s="314" t="str">
        <f t="shared" si="474"/>
        <v/>
      </c>
      <c r="AX319" s="314" t="e">
        <f>IF($J319="",#N/A,SUM(AW$4:AW319))</f>
        <v>#N/A</v>
      </c>
      <c r="AY319" s="315" t="str">
        <f t="shared" si="475"/>
        <v/>
      </c>
      <c r="AZ319" s="315" t="e">
        <f>IF($J319="",#N/A,SUM(AY$4:AY319))</f>
        <v>#N/A</v>
      </c>
      <c r="BA319" s="315" t="e">
        <f>IF($J319="",#N/A,SUM(AY$4:AY319,AW$4:AW319,AU$4:AU319))</f>
        <v>#N/A</v>
      </c>
      <c r="BB319" s="304" t="str">
        <f t="shared" si="476"/>
        <v/>
      </c>
      <c r="BC319" s="313" t="e">
        <f>IF($J319="",#N/A,SUM(BB$4:BB319))</f>
        <v>#N/A</v>
      </c>
      <c r="BD319" s="314" t="str">
        <f t="shared" si="477"/>
        <v/>
      </c>
      <c r="BE319" s="314" t="e">
        <f>IF($J319="",#N/A,SUM(BD$4:BD319))</f>
        <v>#N/A</v>
      </c>
      <c r="BF319" s="315" t="str">
        <f t="shared" si="478"/>
        <v/>
      </c>
      <c r="BG319" s="315" t="e">
        <f>IF($J319="",#N/A,SUM(BF$4:BF319))</f>
        <v>#N/A</v>
      </c>
      <c r="BH319" s="315" t="e">
        <f>IF($J319="",#N/A,SUM(BF$4:BF319,BD$4:BD319,BB$4:BB319))</f>
        <v>#N/A</v>
      </c>
      <c r="BI319" s="304" t="str">
        <f t="shared" si="479"/>
        <v/>
      </c>
      <c r="BJ319" s="313" t="e">
        <f>IF($J319="",#N/A,SUM(BI$4:BI319))</f>
        <v>#N/A</v>
      </c>
      <c r="BK319" s="314" t="str">
        <f t="shared" si="480"/>
        <v/>
      </c>
      <c r="BL319" s="314" t="e">
        <f>IF($J319="",#N/A,SUM(BK$4:BK319))</f>
        <v>#N/A</v>
      </c>
      <c r="BM319" s="315" t="str">
        <f t="shared" si="481"/>
        <v/>
      </c>
      <c r="BN319" s="315" t="e">
        <f>IF($J319="",#N/A,SUM(BM$4:BM319))</f>
        <v>#N/A</v>
      </c>
      <c r="BO319" s="315" t="e">
        <f>IF($J319="",#N/A,SUM(BM$4:BM319,BK$4:BK319,BI$4:BI319))</f>
        <v>#N/A</v>
      </c>
      <c r="BP319" s="304" t="str">
        <f t="shared" si="482"/>
        <v/>
      </c>
      <c r="BQ319" s="313" t="e">
        <f>IF($J319="",#N/A,SUM(BP$4:BP319))</f>
        <v>#N/A</v>
      </c>
      <c r="BR319" s="314" t="str">
        <f t="shared" si="483"/>
        <v/>
      </c>
      <c r="BS319" s="314" t="e">
        <f>IF($J319="",#N/A,SUM(BR$4:BR319))</f>
        <v>#N/A</v>
      </c>
      <c r="BT319" s="315" t="str">
        <f t="shared" si="484"/>
        <v/>
      </c>
      <c r="BU319" s="315" t="e">
        <f>IF($J319="",#N/A,SUM(BT$4:BT319))</f>
        <v>#N/A</v>
      </c>
      <c r="BV319" s="315" t="e">
        <f>IF($J319="",#N/A,SUM(BT$4:BT319,BR$4:BR319,BP$4:BP319))</f>
        <v>#N/A</v>
      </c>
      <c r="BW319" s="304" t="str">
        <f t="shared" si="485"/>
        <v/>
      </c>
      <c r="BX319" s="313" t="e">
        <f>IF($J319="",#N/A,SUM(BW$4:BW319))</f>
        <v>#N/A</v>
      </c>
      <c r="BY319" s="314" t="str">
        <f t="shared" si="486"/>
        <v/>
      </c>
      <c r="BZ319" s="314" t="e">
        <f>IF($J319="",#N/A,SUM(BY$4:BY319))</f>
        <v>#N/A</v>
      </c>
      <c r="CA319" s="315">
        <f t="shared" si="487"/>
        <v>-4.05651400438542</v>
      </c>
      <c r="CB319" s="315" t="e">
        <f>IF($J319="",#N/A,SUM(CA$4:CA319))</f>
        <v>#N/A</v>
      </c>
      <c r="CC319" s="315" t="e">
        <f>IF($J319="",#N/A,SUM(CA$4:CA319,BY$4:BY319,BW$4:BW319))</f>
        <v>#N/A</v>
      </c>
      <c r="CD319" s="304" t="str">
        <f t="shared" si="488"/>
        <v/>
      </c>
      <c r="CE319" s="313" t="e">
        <f>IF($J319="",#N/A,SUM(CD$4:CD319))</f>
        <v>#N/A</v>
      </c>
      <c r="CF319" s="314" t="str">
        <f t="shared" si="489"/>
        <v/>
      </c>
      <c r="CG319" s="314" t="e">
        <f>IF($J319="",#N/A,SUM(CF$4:CF319))</f>
        <v>#N/A</v>
      </c>
      <c r="CH319" s="315" t="str">
        <f t="shared" si="490"/>
        <v/>
      </c>
      <c r="CI319" s="315" t="e">
        <f>IF($J319="",#N/A,SUM(CH$4:CH319))</f>
        <v>#N/A</v>
      </c>
      <c r="CJ319" s="315" t="e">
        <f>IF($J319="",#N/A,SUM(CH$4:CH319,CF$4:CF319,CD$4:CD319))</f>
        <v>#N/A</v>
      </c>
      <c r="CK319" s="304" t="str">
        <f t="shared" si="491"/>
        <v/>
      </c>
      <c r="CL319" s="313" t="e">
        <f>IF($J319="",#N/A,SUM(CK$4:CK319))</f>
        <v>#N/A</v>
      </c>
      <c r="CM319" s="314" t="str">
        <f t="shared" si="492"/>
        <v/>
      </c>
      <c r="CN319" s="314" t="e">
        <f>IF($J319="",#N/A,SUM(CM$4:CM319))</f>
        <v>#N/A</v>
      </c>
      <c r="CO319" s="315" t="str">
        <f t="shared" si="493"/>
        <v/>
      </c>
      <c r="CP319" s="315" t="e">
        <f>IF($J319="",#N/A,SUM(CO$4:CO319))</f>
        <v>#N/A</v>
      </c>
      <c r="CQ319" s="315" t="e">
        <f>IF($J319="",#N/A,SUM(CO$4:CO319,CM$4:CM319,CK$4:CK319))</f>
        <v>#N/A</v>
      </c>
      <c r="CR319" s="304" t="str">
        <f t="shared" si="494"/>
        <v/>
      </c>
      <c r="CS319" s="313" t="e">
        <f>IF($J319="",#N/A,SUM(CR$4:CR319))</f>
        <v>#N/A</v>
      </c>
      <c r="CT319" s="314" t="str">
        <f t="shared" si="495"/>
        <v/>
      </c>
      <c r="CU319" s="314" t="e">
        <f>IF($J319="",#N/A,SUM(CT$4:CT319))</f>
        <v>#N/A</v>
      </c>
      <c r="CV319" s="315" t="str">
        <f t="shared" si="496"/>
        <v/>
      </c>
      <c r="CW319" s="315" t="e">
        <f>IF($J319="",#N/A,SUM(CV$4:CV319))</f>
        <v>#N/A</v>
      </c>
      <c r="CX319" s="315" t="e">
        <f>IF($J319="",#N/A,SUM(CV$4:CV319,CT$4:CT319,CR$4:CR319))</f>
        <v>#N/A</v>
      </c>
      <c r="CY319" s="304" t="str">
        <f t="shared" si="497"/>
        <v/>
      </c>
      <c r="CZ319" s="313" t="e">
        <f>IF($J319="",#N/A,SUM(CY$4:CY319))</f>
        <v>#N/A</v>
      </c>
      <c r="DA319" s="314" t="str">
        <f t="shared" si="498"/>
        <v/>
      </c>
      <c r="DB319" s="314" t="e">
        <f>IF($J319="",#N/A,SUM(DA$4:DA319))</f>
        <v>#N/A</v>
      </c>
      <c r="DC319" s="315" t="str">
        <f t="shared" si="499"/>
        <v/>
      </c>
      <c r="DD319" s="315" t="e">
        <f>IF($J319="",#N/A,SUM(DC$4:DC319))</f>
        <v>#N/A</v>
      </c>
      <c r="DE319" s="315" t="e">
        <f>IF($J319="",#N/A,SUM(DC$4:DC319,DA$4:DA319,CY$4:CY319))</f>
        <v>#N/A</v>
      </c>
      <c r="DF319" s="304" t="str">
        <f t="shared" si="500"/>
        <v/>
      </c>
      <c r="DG319" s="313" t="e">
        <f>IF($J319="",#N/A,SUM(DF$4:DF319))</f>
        <v>#N/A</v>
      </c>
      <c r="DH319" s="314" t="str">
        <f t="shared" si="501"/>
        <v/>
      </c>
      <c r="DI319" s="314" t="e">
        <f>IF($J319="",#N/A,SUM(DH$4:DH319))</f>
        <v>#N/A</v>
      </c>
      <c r="DJ319" s="315" t="str">
        <f t="shared" si="502"/>
        <v/>
      </c>
      <c r="DK319" s="315" t="e">
        <f>IF($J319="",#N/A,SUM(DJ$4:DJ319))</f>
        <v>#N/A</v>
      </c>
      <c r="DL319" s="315" t="e">
        <f>IF($J319="",#N/A,SUM(DJ$4:DJ319,DH$4:DH319,DF$4:DF319))</f>
        <v>#N/A</v>
      </c>
      <c r="DM319" s="304" t="str">
        <f t="shared" si="503"/>
        <v/>
      </c>
      <c r="DN319" s="313" t="e">
        <f>IF($J319="",#N/A,SUM(DM$4:DM319))</f>
        <v>#N/A</v>
      </c>
      <c r="DO319" s="314" t="str">
        <f t="shared" si="504"/>
        <v/>
      </c>
      <c r="DP319" s="314" t="e">
        <f>IF($J319="",#N/A,SUM(DO$4:DO319))</f>
        <v>#N/A</v>
      </c>
      <c r="DQ319" s="315" t="str">
        <f t="shared" si="505"/>
        <v/>
      </c>
      <c r="DR319" s="315" t="e">
        <f>IF($J319="",#N/A,SUM(DQ$4:DQ319))</f>
        <v>#N/A</v>
      </c>
      <c r="DS319" s="315" t="e">
        <f>IF($J319="",#N/A,SUM(DQ$4:DQ319,DO$4:DO319,DM$4:DM319))</f>
        <v>#N/A</v>
      </c>
      <c r="DT319" s="304" t="str">
        <f t="shared" si="506"/>
        <v/>
      </c>
      <c r="DU319" s="313" t="e">
        <f>IF($J319="",#N/A,SUM(DT$4:DT319))</f>
        <v>#N/A</v>
      </c>
      <c r="DV319" s="314" t="str">
        <f t="shared" si="507"/>
        <v/>
      </c>
      <c r="DW319" s="314" t="e">
        <f>IF($J319="",#N/A,SUM(DV$4:DV319))</f>
        <v>#N/A</v>
      </c>
      <c r="DX319" s="315" t="str">
        <f t="shared" si="508"/>
        <v/>
      </c>
      <c r="DY319" s="315" t="e">
        <f>IF($J319="",#N/A,SUM(DX$4:DX319))</f>
        <v>#N/A</v>
      </c>
      <c r="DZ319" s="315" t="e">
        <f>IF($J319="",#N/A,SUM(DX$4:DX319,DV$4:DV319,DT$4:DT319))</f>
        <v>#N/A</v>
      </c>
      <c r="EA319" s="304" t="str">
        <f t="shared" si="509"/>
        <v/>
      </c>
      <c r="EB319" s="313" t="e">
        <f>IF($J319="",#N/A,SUM(EA$4:EA319))</f>
        <v>#N/A</v>
      </c>
      <c r="EC319" s="314" t="str">
        <f t="shared" si="510"/>
        <v/>
      </c>
      <c r="ED319" s="314" t="e">
        <f>IF($J319="",#N/A,SUM(EC$4:EC319))</f>
        <v>#N/A</v>
      </c>
      <c r="EE319" s="315" t="str">
        <f t="shared" si="511"/>
        <v/>
      </c>
      <c r="EF319" s="315" t="e">
        <f>IF($J319="",#N/A,SUM(EE$4:EE319))</f>
        <v>#N/A</v>
      </c>
      <c r="EG319" s="315" t="e">
        <f>IF($J319="",#N/A,SUM(EE$4:EE319,EC$4:EC319,EA$4:EA319))</f>
        <v>#N/A</v>
      </c>
      <c r="EH319" s="130">
        <f t="shared" si="512"/>
        <v>-401.59488643415648</v>
      </c>
      <c r="EI319" s="63">
        <f>IF(EH319="",#N/A,SUM($EH$4:EH319))</f>
        <v>1358.8051978111375</v>
      </c>
      <c r="EJ319" s="223" t="e">
        <f t="shared" si="513"/>
        <v>#N/A</v>
      </c>
      <c r="EK319" s="63" t="e">
        <f>IF($GZ319="",#N/A,SUM(EJ$4:EJ319))</f>
        <v>#N/A</v>
      </c>
      <c r="EL319" s="60">
        <f t="shared" si="544"/>
        <v>-4.05651400438542</v>
      </c>
      <c r="EM319" s="60">
        <f>IF(EL319="",NA(),SUM($EL$4:EL319))</f>
        <v>36.320907059975838</v>
      </c>
      <c r="EN319" s="60" t="str">
        <f t="shared" si="514"/>
        <v/>
      </c>
      <c r="EO319" s="60" t="e">
        <f>IF(EN319="",NA(),SUM($EN$4:EN319))</f>
        <v>#N/A</v>
      </c>
      <c r="EP319" s="60">
        <f t="shared" si="515"/>
        <v>-4.05651400438542</v>
      </c>
      <c r="EQ319" s="60">
        <f>IF(EP319="",NA(),SUM($EP$4:EP319))</f>
        <v>8.134258797308755</v>
      </c>
      <c r="ER319" s="60" t="str">
        <f t="shared" si="516"/>
        <v/>
      </c>
      <c r="ES319" s="60" t="e">
        <f>IF(ER319="",NA(),SUM($ER$4:ER319))</f>
        <v>#N/A</v>
      </c>
      <c r="ET319" s="60" t="str">
        <f t="shared" si="517"/>
        <v/>
      </c>
      <c r="EU319" s="60" t="e">
        <f>IF(ET319="",NA(),SUM($ET$4:ET319))</f>
        <v>#N/A</v>
      </c>
      <c r="EV319" s="60" t="str">
        <f t="shared" si="518"/>
        <v/>
      </c>
      <c r="EW319" s="60" t="e">
        <f>IF(EV319="",NA(),SUM($EV$4:EV319))</f>
        <v>#N/A</v>
      </c>
      <c r="EX319" s="60" t="str">
        <f t="shared" si="519"/>
        <v/>
      </c>
      <c r="EY319" s="60" t="e">
        <f>IF(EX319="",NA(),SUM($EX$4:EX319))</f>
        <v>#N/A</v>
      </c>
      <c r="EZ319" s="60" t="str">
        <f t="shared" si="520"/>
        <v/>
      </c>
      <c r="FA319" s="60" t="e">
        <f>IF(EZ319="",NA(),SUM($EZ$4:EZ319))</f>
        <v>#N/A</v>
      </c>
      <c r="FB319" s="246" t="str">
        <f t="shared" si="545"/>
        <v/>
      </c>
      <c r="FC319" s="246" t="e">
        <f>IF($FB319="",#N/A,SUM(FB$4:$FB319))</f>
        <v>#N/A</v>
      </c>
      <c r="FD319" s="60" t="str">
        <f t="shared" si="521"/>
        <v/>
      </c>
      <c r="FE319" s="60" t="e">
        <f>IF($FD319="",#N/A,SUM($FD$4:FD319))</f>
        <v>#N/A</v>
      </c>
      <c r="FF319" s="60" t="str">
        <f t="shared" si="522"/>
        <v/>
      </c>
      <c r="FG319" s="60" t="e">
        <f>IF($FF319="",#N/A,SUM($FF$4:FF319))</f>
        <v>#N/A</v>
      </c>
      <c r="FH319" s="60" t="str">
        <f t="shared" si="523"/>
        <v/>
      </c>
      <c r="FI319" s="60" t="e">
        <f>IF($FH319="",#N/A,SUM($FH$4:FH319))</f>
        <v>#N/A</v>
      </c>
      <c r="FJ319" s="60" t="str">
        <f t="shared" si="524"/>
        <v/>
      </c>
      <c r="FK319" s="60" t="e">
        <f>IF($FJ319="",#N/A,SUM($FJ$4:FJ319))</f>
        <v>#N/A</v>
      </c>
      <c r="FL319" s="60">
        <f t="shared" si="525"/>
        <v>-2.3132059079061671</v>
      </c>
      <c r="FM319" s="60">
        <f>IF($FL319="",#N/A,SUM($FL$4:FL319))</f>
        <v>-0.94923294270090763</v>
      </c>
      <c r="FN319" s="82">
        <f t="shared" si="526"/>
        <v>-6.3697199122915871</v>
      </c>
      <c r="FO319" s="82">
        <f>IF($FN319="",#N/A,SUM(FN$4:$FN319))</f>
        <v>58.506835757883664</v>
      </c>
      <c r="FP319" s="82">
        <f t="shared" si="546"/>
        <v>-4.05651400438542</v>
      </c>
      <c r="FQ319" s="246">
        <f>IF($EH319="",#N/A,SUM($FP$4:FP319))</f>
        <v>54.589009397472253</v>
      </c>
      <c r="FR319" s="82">
        <f>IFERROR(FQ319/COUNTA($J$4:J319),#N/A)</f>
        <v>0.17275002973883624</v>
      </c>
      <c r="FS319" s="82">
        <f t="shared" si="554"/>
        <v>9.882619823292629E-3</v>
      </c>
      <c r="FT319" s="82">
        <f t="shared" si="555"/>
        <v>-6.0997219533703059E-2</v>
      </c>
      <c r="FU319" s="273"/>
      <c r="FV319" s="57" t="str">
        <f t="shared" si="552"/>
        <v>SW</v>
      </c>
      <c r="FW319" s="57" t="s">
        <v>2732</v>
      </c>
      <c r="FX319" s="57" t="str">
        <f t="shared" si="528"/>
        <v/>
      </c>
      <c r="FY319" s="57" t="str">
        <f t="shared" si="529"/>
        <v/>
      </c>
      <c r="FZ319" s="57" t="str">
        <f t="shared" si="530"/>
        <v/>
      </c>
      <c r="GA319" s="57" t="str">
        <f t="shared" si="531"/>
        <v>Long</v>
      </c>
      <c r="GB319" s="57" t="str">
        <f t="shared" si="532"/>
        <v/>
      </c>
      <c r="GC319" s="57" t="str">
        <f t="shared" si="533"/>
        <v/>
      </c>
      <c r="GD319" s="57">
        <f t="shared" si="534"/>
        <v>1</v>
      </c>
      <c r="GE319" s="62">
        <f t="shared" si="557"/>
        <v>322.27999999999997</v>
      </c>
      <c r="GF319" s="62" t="s">
        <v>2779</v>
      </c>
      <c r="GG319" s="99">
        <f>IF(I319="","",1650/I319)</f>
        <v>5.1197716271565099</v>
      </c>
      <c r="GH319" s="207">
        <f t="shared" si="535"/>
        <v>1649.9999999999998</v>
      </c>
      <c r="GI319" s="99">
        <f>GG319</f>
        <v>5.1197716271565099</v>
      </c>
      <c r="GJ319" s="98">
        <f>J319</f>
        <v>243.84</v>
      </c>
      <c r="GK319" s="63">
        <f t="shared" si="536"/>
        <v>-401.59488643415648</v>
      </c>
      <c r="GL319" s="63">
        <f t="shared" si="558"/>
        <v>-630.60227131686702</v>
      </c>
      <c r="GM319" s="82">
        <f t="shared" si="537"/>
        <v>-6.3697199122915871</v>
      </c>
      <c r="GN319" s="82">
        <f>IF($GZ319="",#N/A,SUM(GM$4:GM319))</f>
        <v>7.1127130885940995</v>
      </c>
      <c r="GO319" s="82" t="str">
        <f t="shared" si="538"/>
        <v/>
      </c>
      <c r="GP319" s="82">
        <f>IF($GZ319="",#N/A,SUM(GO$4:GO319))</f>
        <v>18.311918444510358</v>
      </c>
      <c r="GQ319" s="82" t="str">
        <f t="shared" si="539"/>
        <v/>
      </c>
      <c r="GR319" s="82">
        <f>IF($GZ319="",#N/A,SUM(GQ$4:GQ319))</f>
        <v>32.456367270336862</v>
      </c>
      <c r="GS319" s="63" t="e">
        <f t="shared" si="548"/>
        <v>#N/A</v>
      </c>
      <c r="GT319" s="63" t="e">
        <f>IF($GZ319="",#N/A,SUM(GS$4:GS319))</f>
        <v>#N/A</v>
      </c>
      <c r="GU319" s="63" t="str">
        <f t="shared" si="549"/>
        <v/>
      </c>
      <c r="GV319" s="63" t="e">
        <f>IF($GZ319="",#N/A,SUM(GU$4:GU319))</f>
        <v>#N/A</v>
      </c>
      <c r="GW319" s="63" t="str">
        <f t="shared" si="550"/>
        <v/>
      </c>
      <c r="GX319" s="63" t="e">
        <f>IF($GZ319="",#N/A,SUM(GW$4:GW319))</f>
        <v>#N/A</v>
      </c>
      <c r="GY319" s="63" t="e">
        <f>IF(EJ319="",#N/A,SUM($EJ$4:EJ319))</f>
        <v>#N/A</v>
      </c>
      <c r="GZ319" s="159">
        <v>199.11</v>
      </c>
      <c r="HA319" s="63">
        <f t="shared" si="540"/>
        <v>-229.00738488271054</v>
      </c>
      <c r="HB319" s="62" t="s">
        <v>4970</v>
      </c>
      <c r="HC319" s="60">
        <f>IFERROR(VLOOKUP(E319,Expectancy!$P$4:$S$19,1+C319,FALSE),"")</f>
        <v>-0.15084750675779673</v>
      </c>
      <c r="HD319" s="82" t="str">
        <f t="shared" si="541"/>
        <v/>
      </c>
      <c r="HE319" s="138" t="e">
        <f>IF(HD319="",#N/A,SUM($HD$4:HD319))</f>
        <v>#N/A</v>
      </c>
      <c r="HF319" s="85" t="e">
        <f>IF(HD319="",#N/A,IF(HB319="Skip",#N/A,SUM($HG$4:HG319)))</f>
        <v>#N/A</v>
      </c>
      <c r="HG319" s="63" t="str">
        <f t="shared" si="542"/>
        <v/>
      </c>
      <c r="HH319" s="82">
        <f t="shared" si="543"/>
        <v>-6.3697199122915871</v>
      </c>
    </row>
    <row r="320" spans="1:216" x14ac:dyDescent="0.25">
      <c r="A320" s="57" t="s">
        <v>1535</v>
      </c>
      <c r="B320" s="58" t="s">
        <v>5240</v>
      </c>
      <c r="C320" s="386">
        <f t="shared" si="453"/>
        <v>3</v>
      </c>
      <c r="D320" s="372" t="str">
        <f>_xlfn.XLOOKUP(A320,[1]SP500!$A$2:$A$502,[1]SP500!$D$2:$D$502,"N")</f>
        <v>Y</v>
      </c>
      <c r="E320" s="57" t="str">
        <f>_xlfn.XLOOKUP(A320,[1]SP500!$A$2:$A$655,[1]SP500!$B$2:$B$655)</f>
        <v>XLK</v>
      </c>
      <c r="F320" s="59">
        <v>45701</v>
      </c>
      <c r="G320" s="57" t="str">
        <f t="shared" si="454"/>
        <v>BMO</v>
      </c>
      <c r="H320" s="57" t="str">
        <f t="shared" si="455"/>
        <v>s</v>
      </c>
      <c r="I320" s="159">
        <v>352.92</v>
      </c>
      <c r="J320" s="159">
        <v>329.48</v>
      </c>
      <c r="K320" s="61">
        <f t="shared" si="456"/>
        <v>-6.6417318372435669E-2</v>
      </c>
      <c r="L320" s="87">
        <f t="shared" si="457"/>
        <v>-117.20000000000005</v>
      </c>
      <c r="M320" s="130">
        <f t="shared" si="556"/>
        <v>0</v>
      </c>
      <c r="N320" s="169" t="str">
        <f t="shared" si="458"/>
        <v/>
      </c>
      <c r="O320" s="169">
        <f>IF($J320="",#N/A,SUM($N$4:N320))</f>
        <v>885.04671935422448</v>
      </c>
      <c r="P320" s="174" t="str">
        <f t="shared" si="459"/>
        <v/>
      </c>
      <c r="Q320" s="174">
        <f>IF($J320="",#N/A,SUM($P$4:P320))</f>
        <v>341.14890674734181</v>
      </c>
      <c r="R320" s="178">
        <f t="shared" si="460"/>
        <v>-117.20000000000005</v>
      </c>
      <c r="S320" s="178">
        <f>IF($J320="",#N/A,SUM($R$4:R320))</f>
        <v>15.409571709571082</v>
      </c>
      <c r="T320" s="290" t="str">
        <f t="shared" si="461"/>
        <v/>
      </c>
      <c r="U320" s="290">
        <f>IF($J320="",#N/A,SUM($T$4:T320))</f>
        <v>22.462212729532133</v>
      </c>
      <c r="V320" s="291" t="str">
        <f t="shared" si="462"/>
        <v/>
      </c>
      <c r="W320" s="291">
        <f>IF($J320="",#N/A,SUM($V$4:V320))</f>
        <v>23.057393703898299</v>
      </c>
      <c r="X320" s="292">
        <f t="shared" si="463"/>
        <v>-1.1069553062072617</v>
      </c>
      <c r="Y320" s="292">
        <f>IF($J320="",#N/A,SUM($X$4:X320))</f>
        <v>7.9624476578345789</v>
      </c>
      <c r="Z320" s="304" t="str">
        <f t="shared" si="464"/>
        <v/>
      </c>
      <c r="AA320" s="313" t="e">
        <f>IF($J320="",#N/A,SUM(Z$4:Z320))</f>
        <v>#N/A</v>
      </c>
      <c r="AB320" s="314" t="str">
        <f t="shared" si="465"/>
        <v/>
      </c>
      <c r="AC320" s="314" t="e">
        <f>IF($J320="",#N/A,SUM(AB$4:AB320))</f>
        <v>#N/A</v>
      </c>
      <c r="AD320" s="315">
        <f t="shared" si="466"/>
        <v>-1.1069553062072617</v>
      </c>
      <c r="AE320" s="315" t="e">
        <f>IF($J320="",#N/A,SUM(AD$4:AD320))</f>
        <v>#N/A</v>
      </c>
      <c r="AF320" s="315" t="e">
        <f>IF($J320="",#N/A,SUM(AD$4:AD320,AB$4:AB320,Z$4:Z320))</f>
        <v>#N/A</v>
      </c>
      <c r="AG320" s="304" t="str">
        <f t="shared" si="467"/>
        <v/>
      </c>
      <c r="AH320" s="313" t="e">
        <f>IF($J320="",#N/A,SUM(AG$4:AG320))</f>
        <v>#N/A</v>
      </c>
      <c r="AI320" s="314" t="str">
        <f t="shared" si="468"/>
        <v/>
      </c>
      <c r="AJ320" s="314" t="e">
        <f>IF($J320="",#N/A,SUM(AI$4:AI320))</f>
        <v>#N/A</v>
      </c>
      <c r="AK320" s="315" t="str">
        <f t="shared" si="469"/>
        <v/>
      </c>
      <c r="AL320" s="315" t="e">
        <f>IF($J320="",#N/A,SUM(AK$4:AK320))</f>
        <v>#N/A</v>
      </c>
      <c r="AM320" s="315" t="e">
        <f>IF($J320="",#N/A,SUM(AK$4:AK320,AI$4:AI320,AG$4:AG320))</f>
        <v>#N/A</v>
      </c>
      <c r="AN320" s="304" t="str">
        <f t="shared" si="470"/>
        <v/>
      </c>
      <c r="AO320" s="313" t="e">
        <f>IF($J320="",#N/A,SUM(AN$4:AN320))</f>
        <v>#N/A</v>
      </c>
      <c r="AP320" s="314" t="str">
        <f t="shared" si="471"/>
        <v/>
      </c>
      <c r="AQ320" s="314" t="e">
        <f>IF($J320="",#N/A,SUM(AP$4:AP320))</f>
        <v>#N/A</v>
      </c>
      <c r="AR320" s="315" t="str">
        <f t="shared" si="472"/>
        <v/>
      </c>
      <c r="AS320" s="315" t="e">
        <f>IF($J320="",#N/A,SUM(AR$4:AR320))</f>
        <v>#N/A</v>
      </c>
      <c r="AT320" s="315" t="e">
        <f>IF($J320="",#N/A,SUM(AR$4:AR320,AP$4:AP320,AN$4:AN320))</f>
        <v>#N/A</v>
      </c>
      <c r="AU320" s="304" t="str">
        <f t="shared" si="473"/>
        <v/>
      </c>
      <c r="AV320" s="313" t="e">
        <f>IF($J320="",#N/A,SUM(AU$4:AU320))</f>
        <v>#N/A</v>
      </c>
      <c r="AW320" s="314" t="str">
        <f t="shared" si="474"/>
        <v/>
      </c>
      <c r="AX320" s="314" t="e">
        <f>IF($J320="",#N/A,SUM(AW$4:AW320))</f>
        <v>#N/A</v>
      </c>
      <c r="AY320" s="315" t="str">
        <f t="shared" si="475"/>
        <v/>
      </c>
      <c r="AZ320" s="315" t="e">
        <f>IF($J320="",#N/A,SUM(AY$4:AY320))</f>
        <v>#N/A</v>
      </c>
      <c r="BA320" s="315" t="e">
        <f>IF($J320="",#N/A,SUM(AY$4:AY320,AW$4:AW320,AU$4:AU320))</f>
        <v>#N/A</v>
      </c>
      <c r="BB320" s="304" t="str">
        <f t="shared" si="476"/>
        <v/>
      </c>
      <c r="BC320" s="313" t="e">
        <f>IF($J320="",#N/A,SUM(BB$4:BB320))</f>
        <v>#N/A</v>
      </c>
      <c r="BD320" s="314" t="str">
        <f t="shared" si="477"/>
        <v/>
      </c>
      <c r="BE320" s="314" t="e">
        <f>IF($J320="",#N/A,SUM(BD$4:BD320))</f>
        <v>#N/A</v>
      </c>
      <c r="BF320" s="315" t="str">
        <f t="shared" si="478"/>
        <v/>
      </c>
      <c r="BG320" s="315" t="e">
        <f>IF($J320="",#N/A,SUM(BF$4:BF320))</f>
        <v>#N/A</v>
      </c>
      <c r="BH320" s="315" t="e">
        <f>IF($J320="",#N/A,SUM(BF$4:BF320,BD$4:BD320,BB$4:BB320))</f>
        <v>#N/A</v>
      </c>
      <c r="BI320" s="304" t="str">
        <f t="shared" si="479"/>
        <v/>
      </c>
      <c r="BJ320" s="313" t="e">
        <f>IF($J320="",#N/A,SUM(BI$4:BI320))</f>
        <v>#N/A</v>
      </c>
      <c r="BK320" s="314" t="str">
        <f t="shared" si="480"/>
        <v/>
      </c>
      <c r="BL320" s="314" t="e">
        <f>IF($J320="",#N/A,SUM(BK$4:BK320))</f>
        <v>#N/A</v>
      </c>
      <c r="BM320" s="315" t="str">
        <f t="shared" si="481"/>
        <v/>
      </c>
      <c r="BN320" s="315" t="e">
        <f>IF($J320="",#N/A,SUM(BM$4:BM320))</f>
        <v>#N/A</v>
      </c>
      <c r="BO320" s="315" t="e">
        <f>IF($J320="",#N/A,SUM(BM$4:BM320,BK$4:BK320,BI$4:BI320))</f>
        <v>#N/A</v>
      </c>
      <c r="BP320" s="304" t="str">
        <f t="shared" si="482"/>
        <v/>
      </c>
      <c r="BQ320" s="313" t="e">
        <f>IF($J320="",#N/A,SUM(BP$4:BP320))</f>
        <v>#N/A</v>
      </c>
      <c r="BR320" s="314" t="str">
        <f t="shared" si="483"/>
        <v/>
      </c>
      <c r="BS320" s="314" t="e">
        <f>IF($J320="",#N/A,SUM(BR$4:BR320))</f>
        <v>#N/A</v>
      </c>
      <c r="BT320" s="315" t="str">
        <f t="shared" si="484"/>
        <v/>
      </c>
      <c r="BU320" s="315" t="e">
        <f>IF($J320="",#N/A,SUM(BT$4:BT320))</f>
        <v>#N/A</v>
      </c>
      <c r="BV320" s="315" t="e">
        <f>IF($J320="",#N/A,SUM(BT$4:BT320,BR$4:BR320,BP$4:BP320))</f>
        <v>#N/A</v>
      </c>
      <c r="BW320" s="304" t="str">
        <f t="shared" si="485"/>
        <v/>
      </c>
      <c r="BX320" s="313" t="e">
        <f>IF($J320="",#N/A,SUM(BW$4:BW320))</f>
        <v>#N/A</v>
      </c>
      <c r="BY320" s="314" t="str">
        <f t="shared" si="486"/>
        <v/>
      </c>
      <c r="BZ320" s="314" t="e">
        <f>IF($J320="",#N/A,SUM(BY$4:BY320))</f>
        <v>#N/A</v>
      </c>
      <c r="CA320" s="315" t="str">
        <f t="shared" si="487"/>
        <v/>
      </c>
      <c r="CB320" s="315" t="e">
        <f>IF($J320="",#N/A,SUM(CA$4:CA320))</f>
        <v>#N/A</v>
      </c>
      <c r="CC320" s="315" t="e">
        <f>IF($J320="",#N/A,SUM(CA$4:CA320,BY$4:BY320,BW$4:BW320))</f>
        <v>#N/A</v>
      </c>
      <c r="CD320" s="304" t="str">
        <f t="shared" si="488"/>
        <v/>
      </c>
      <c r="CE320" s="313" t="e">
        <f>IF($J320="",#N/A,SUM(CD$4:CD320))</f>
        <v>#N/A</v>
      </c>
      <c r="CF320" s="314" t="str">
        <f t="shared" si="489"/>
        <v/>
      </c>
      <c r="CG320" s="314" t="e">
        <f>IF($J320="",#N/A,SUM(CF$4:CF320))</f>
        <v>#N/A</v>
      </c>
      <c r="CH320" s="315" t="str">
        <f t="shared" si="490"/>
        <v/>
      </c>
      <c r="CI320" s="315" t="e">
        <f>IF($J320="",#N/A,SUM(CH$4:CH320))</f>
        <v>#N/A</v>
      </c>
      <c r="CJ320" s="315" t="e">
        <f>IF($J320="",#N/A,SUM(CH$4:CH320,CF$4:CF320,CD$4:CD320))</f>
        <v>#N/A</v>
      </c>
      <c r="CK320" s="304" t="str">
        <f t="shared" si="491"/>
        <v/>
      </c>
      <c r="CL320" s="313" t="e">
        <f>IF($J320="",#N/A,SUM(CK$4:CK320))</f>
        <v>#N/A</v>
      </c>
      <c r="CM320" s="314" t="str">
        <f t="shared" si="492"/>
        <v/>
      </c>
      <c r="CN320" s="314" t="e">
        <f>IF($J320="",#N/A,SUM(CM$4:CM320))</f>
        <v>#N/A</v>
      </c>
      <c r="CO320" s="315" t="str">
        <f t="shared" si="493"/>
        <v/>
      </c>
      <c r="CP320" s="315" t="e">
        <f>IF($J320="",#N/A,SUM(CO$4:CO320))</f>
        <v>#N/A</v>
      </c>
      <c r="CQ320" s="315" t="e">
        <f>IF($J320="",#N/A,SUM(CO$4:CO320,CM$4:CM320,CK$4:CK320))</f>
        <v>#N/A</v>
      </c>
      <c r="CR320" s="304" t="str">
        <f t="shared" si="494"/>
        <v/>
      </c>
      <c r="CS320" s="313" t="e">
        <f>IF($J320="",#N/A,SUM(CR$4:CR320))</f>
        <v>#N/A</v>
      </c>
      <c r="CT320" s="314" t="str">
        <f t="shared" si="495"/>
        <v/>
      </c>
      <c r="CU320" s="314" t="e">
        <f>IF($J320="",#N/A,SUM(CT$4:CT320))</f>
        <v>#N/A</v>
      </c>
      <c r="CV320" s="315" t="str">
        <f t="shared" si="496"/>
        <v/>
      </c>
      <c r="CW320" s="315" t="e">
        <f>IF($J320="",#N/A,SUM(CV$4:CV320))</f>
        <v>#N/A</v>
      </c>
      <c r="CX320" s="315" t="e">
        <f>IF($J320="",#N/A,SUM(CV$4:CV320,CT$4:CT320,CR$4:CR320))</f>
        <v>#N/A</v>
      </c>
      <c r="CY320" s="304" t="str">
        <f t="shared" si="497"/>
        <v/>
      </c>
      <c r="CZ320" s="313" t="e">
        <f>IF($J320="",#N/A,SUM(CY$4:CY320))</f>
        <v>#N/A</v>
      </c>
      <c r="DA320" s="314" t="str">
        <f t="shared" si="498"/>
        <v/>
      </c>
      <c r="DB320" s="314" t="e">
        <f>IF($J320="",#N/A,SUM(DA$4:DA320))</f>
        <v>#N/A</v>
      </c>
      <c r="DC320" s="315" t="str">
        <f t="shared" si="499"/>
        <v/>
      </c>
      <c r="DD320" s="315" t="e">
        <f>IF($J320="",#N/A,SUM(DC$4:DC320))</f>
        <v>#N/A</v>
      </c>
      <c r="DE320" s="315" t="e">
        <f>IF($J320="",#N/A,SUM(DC$4:DC320,DA$4:DA320,CY$4:CY320))</f>
        <v>#N/A</v>
      </c>
      <c r="DF320" s="304" t="str">
        <f t="shared" si="500"/>
        <v/>
      </c>
      <c r="DG320" s="313" t="e">
        <f>IF($J320="",#N/A,SUM(DF$4:DF320))</f>
        <v>#N/A</v>
      </c>
      <c r="DH320" s="314" t="str">
        <f t="shared" si="501"/>
        <v/>
      </c>
      <c r="DI320" s="314" t="e">
        <f>IF($J320="",#N/A,SUM(DH$4:DH320))</f>
        <v>#N/A</v>
      </c>
      <c r="DJ320" s="315" t="str">
        <f t="shared" si="502"/>
        <v/>
      </c>
      <c r="DK320" s="315" t="e">
        <f>IF($J320="",#N/A,SUM(DJ$4:DJ320))</f>
        <v>#N/A</v>
      </c>
      <c r="DL320" s="315" t="e">
        <f>IF($J320="",#N/A,SUM(DJ$4:DJ320,DH$4:DH320,DF$4:DF320))</f>
        <v>#N/A</v>
      </c>
      <c r="DM320" s="304" t="str">
        <f t="shared" si="503"/>
        <v/>
      </c>
      <c r="DN320" s="313" t="e">
        <f>IF($J320="",#N/A,SUM(DM$4:DM320))</f>
        <v>#N/A</v>
      </c>
      <c r="DO320" s="314" t="str">
        <f t="shared" si="504"/>
        <v/>
      </c>
      <c r="DP320" s="314" t="e">
        <f>IF($J320="",#N/A,SUM(DO$4:DO320))</f>
        <v>#N/A</v>
      </c>
      <c r="DQ320" s="315" t="str">
        <f t="shared" si="505"/>
        <v/>
      </c>
      <c r="DR320" s="315" t="e">
        <f>IF($J320="",#N/A,SUM(DQ$4:DQ320))</f>
        <v>#N/A</v>
      </c>
      <c r="DS320" s="315" t="e">
        <f>IF($J320="",#N/A,SUM(DQ$4:DQ320,DO$4:DO320,DM$4:DM320))</f>
        <v>#N/A</v>
      </c>
      <c r="DT320" s="304" t="str">
        <f t="shared" si="506"/>
        <v/>
      </c>
      <c r="DU320" s="313" t="e">
        <f>IF($J320="",#N/A,SUM(DT$4:DT320))</f>
        <v>#N/A</v>
      </c>
      <c r="DV320" s="314" t="str">
        <f t="shared" si="507"/>
        <v/>
      </c>
      <c r="DW320" s="314" t="e">
        <f>IF($J320="",#N/A,SUM(DV$4:DV320))</f>
        <v>#N/A</v>
      </c>
      <c r="DX320" s="315" t="str">
        <f t="shared" si="508"/>
        <v/>
      </c>
      <c r="DY320" s="315" t="e">
        <f>IF($J320="",#N/A,SUM(DX$4:DX320))</f>
        <v>#N/A</v>
      </c>
      <c r="DZ320" s="315" t="e">
        <f>IF($J320="",#N/A,SUM(DX$4:DX320,DV$4:DV320,DT$4:DT320))</f>
        <v>#N/A</v>
      </c>
      <c r="EA320" s="304" t="str">
        <f t="shared" si="509"/>
        <v/>
      </c>
      <c r="EB320" s="313" t="e">
        <f>IF($J320="",#N/A,SUM(EA$4:EA320))</f>
        <v>#N/A</v>
      </c>
      <c r="EC320" s="314" t="str">
        <f t="shared" si="510"/>
        <v/>
      </c>
      <c r="ED320" s="314" t="e">
        <f>IF($J320="",#N/A,SUM(EC$4:EC320))</f>
        <v>#N/A</v>
      </c>
      <c r="EE320" s="315" t="str">
        <f t="shared" si="511"/>
        <v/>
      </c>
      <c r="EF320" s="315" t="e">
        <f>IF($J320="",#N/A,SUM(EE$4:EE320))</f>
        <v>#N/A</v>
      </c>
      <c r="EG320" s="315" t="e">
        <f>IF($J320="",#N/A,SUM(EE$4:EE320,EC$4:EC320,EA$4:EA320))</f>
        <v>#N/A</v>
      </c>
      <c r="EH320" s="130">
        <f t="shared" si="512"/>
        <v>-117.20000000000005</v>
      </c>
      <c r="EI320" s="63">
        <f>IF(EH320="",#N/A,SUM($EH$4:EH320))</f>
        <v>1241.6051978111375</v>
      </c>
      <c r="EJ320" s="223" t="e">
        <f t="shared" si="513"/>
        <v>#N/A</v>
      </c>
      <c r="EK320" s="63" t="e">
        <f>IF($GZ320="",#N/A,SUM(EJ$4:EJ320))</f>
        <v>#N/A</v>
      </c>
      <c r="EL320" s="60">
        <f t="shared" si="544"/>
        <v>-1.1069553062072617</v>
      </c>
      <c r="EM320" s="60">
        <f>IF(EL320="",NA(),SUM($EL$4:EL320))</f>
        <v>35.213951753768576</v>
      </c>
      <c r="EN320" s="60" t="str">
        <f t="shared" si="514"/>
        <v/>
      </c>
      <c r="EO320" s="60" t="e">
        <f>IF(EN320="",NA(),SUM($EN$4:EN320))</f>
        <v>#N/A</v>
      </c>
      <c r="EP320" s="60">
        <f t="shared" si="515"/>
        <v>-1.1069553062072617</v>
      </c>
      <c r="EQ320" s="60">
        <f>IF(EP320="",NA(),SUM($EP$4:EP320))</f>
        <v>7.0273034911014935</v>
      </c>
      <c r="ER320" s="60" t="str">
        <f t="shared" si="516"/>
        <v/>
      </c>
      <c r="ES320" s="60" t="e">
        <f>IF(ER320="",NA(),SUM($ER$4:ER320))</f>
        <v>#N/A</v>
      </c>
      <c r="ET320" s="60" t="str">
        <f t="shared" si="517"/>
        <v/>
      </c>
      <c r="EU320" s="60" t="e">
        <f>IF(ET320="",NA(),SUM($ET$4:ET320))</f>
        <v>#N/A</v>
      </c>
      <c r="EV320" s="60" t="str">
        <f t="shared" si="518"/>
        <v/>
      </c>
      <c r="EW320" s="60" t="e">
        <f>IF(EV320="",NA(),SUM($EV$4:EV320))</f>
        <v>#N/A</v>
      </c>
      <c r="EX320" s="60" t="str">
        <f t="shared" si="519"/>
        <v/>
      </c>
      <c r="EY320" s="60" t="e">
        <f>IF(EX320="",NA(),SUM($EX$4:EX320))</f>
        <v>#N/A</v>
      </c>
      <c r="EZ320" s="60" t="str">
        <f t="shared" si="520"/>
        <v/>
      </c>
      <c r="FA320" s="60" t="e">
        <f>IF(EZ320="",NA(),SUM($EZ$4:EZ320))</f>
        <v>#N/A</v>
      </c>
      <c r="FB320" s="246" t="str">
        <f t="shared" si="545"/>
        <v/>
      </c>
      <c r="FC320" s="246" t="e">
        <f>IF($FB320="",#N/A,SUM(FB$4:$FB320))</f>
        <v>#N/A</v>
      </c>
      <c r="FD320" s="60" t="str">
        <f t="shared" si="521"/>
        <v/>
      </c>
      <c r="FE320" s="60" t="e">
        <f>IF($FD320="",#N/A,SUM($FD$4:FD320))</f>
        <v>#N/A</v>
      </c>
      <c r="FF320" s="60" t="str">
        <f t="shared" si="522"/>
        <v/>
      </c>
      <c r="FG320" s="60" t="e">
        <f>IF($FF320="",#N/A,SUM($FF$4:FF320))</f>
        <v>#N/A</v>
      </c>
      <c r="FH320" s="60" t="str">
        <f t="shared" si="523"/>
        <v/>
      </c>
      <c r="FI320" s="60" t="e">
        <f>IF($FH320="",#N/A,SUM($FH$4:FH320))</f>
        <v>#N/A</v>
      </c>
      <c r="FJ320" s="60" t="str">
        <f t="shared" si="524"/>
        <v/>
      </c>
      <c r="FK320" s="60" t="e">
        <f>IF($FJ320="",#N/A,SUM($FJ$4:FJ320))</f>
        <v>#N/A</v>
      </c>
      <c r="FL320" s="60">
        <f t="shared" si="525"/>
        <v>-0.28618383769692812</v>
      </c>
      <c r="FM320" s="60">
        <f>IF($FL320="",#N/A,SUM($FL$4:FL320))</f>
        <v>-1.2354167803978358</v>
      </c>
      <c r="FN320" s="82">
        <f t="shared" si="526"/>
        <v>-1.3931391439041898</v>
      </c>
      <c r="FO320" s="82">
        <f>IF($FN320="",#N/A,SUM(FN$4:$FN320))</f>
        <v>57.113696613979471</v>
      </c>
      <c r="FP320" s="82">
        <f t="shared" si="546"/>
        <v>-1.1069553062072617</v>
      </c>
      <c r="FQ320" s="246">
        <f>IF($EH320="",#N/A,SUM($FP$4:FP320))</f>
        <v>53.482054091264992</v>
      </c>
      <c r="FR320" s="82">
        <f>IFERROR(FQ320/COUNTA($J$4:J320),#N/A)</f>
        <v>0.16871310438884857</v>
      </c>
      <c r="FS320" s="82">
        <f t="shared" si="554"/>
        <v>-8.4414258957295381E-3</v>
      </c>
      <c r="FT320" s="82">
        <f t="shared" si="555"/>
        <v>-0.11663750122299063</v>
      </c>
      <c r="FU320" s="338">
        <f t="shared" ref="FU320:FU327" si="559">IF(AND(HB320="MOC",GZ320=""),#N/A,IFERROR(FQ320-HE320,FQ320-0))-14.53</f>
        <v>27.044551983299982</v>
      </c>
      <c r="FV320" s="57" t="str">
        <f t="shared" si="552"/>
        <v>SW</v>
      </c>
      <c r="FW320" s="57" t="s">
        <v>2732</v>
      </c>
      <c r="FX320" s="57" t="str">
        <f t="shared" si="528"/>
        <v/>
      </c>
      <c r="FY320" s="57" t="str">
        <f t="shared" si="529"/>
        <v/>
      </c>
      <c r="FZ320" s="57" t="str">
        <f t="shared" si="530"/>
        <v/>
      </c>
      <c r="GA320" s="57" t="str">
        <f t="shared" si="531"/>
        <v>Long</v>
      </c>
      <c r="GB320" s="57" t="str">
        <f t="shared" si="532"/>
        <v/>
      </c>
      <c r="GC320" s="57" t="str">
        <f t="shared" si="533"/>
        <v/>
      </c>
      <c r="GD320" s="57">
        <f t="shared" si="534"/>
        <v>1</v>
      </c>
      <c r="GE320" s="62">
        <f t="shared" si="557"/>
        <v>352.92</v>
      </c>
      <c r="GF320" s="62" t="s">
        <v>2779</v>
      </c>
      <c r="GG320" s="199">
        <v>5</v>
      </c>
      <c r="GH320" s="207">
        <f t="shared" si="535"/>
        <v>1764.6000000000001</v>
      </c>
      <c r="GI320" s="199">
        <v>5</v>
      </c>
      <c r="GJ320" s="200">
        <v>329.48</v>
      </c>
      <c r="GK320" s="63">
        <f t="shared" si="536"/>
        <v>-117.20000000000005</v>
      </c>
      <c r="GL320" s="63">
        <f t="shared" si="558"/>
        <v>-147.5</v>
      </c>
      <c r="GM320" s="82">
        <f t="shared" si="537"/>
        <v>-1.3931391439041898</v>
      </c>
      <c r="GN320" s="82">
        <f>IF($GZ320="",#N/A,SUM(GM$4:GM320))</f>
        <v>5.7195739446899099</v>
      </c>
      <c r="GO320" s="82" t="str">
        <f t="shared" si="538"/>
        <v/>
      </c>
      <c r="GP320" s="82">
        <f>IF($GZ320="",#N/A,SUM(GO$4:GO320))</f>
        <v>18.311918444510358</v>
      </c>
      <c r="GQ320" s="82" t="str">
        <f t="shared" si="539"/>
        <v/>
      </c>
      <c r="GR320" s="82">
        <f>IF($GZ320="",#N/A,SUM(GQ$4:GQ320))</f>
        <v>32.456367270336862</v>
      </c>
      <c r="GS320" s="63" t="e">
        <f t="shared" si="548"/>
        <v>#N/A</v>
      </c>
      <c r="GT320" s="63" t="e">
        <f>IF($GZ320="",#N/A,SUM(GS$4:GS320))</f>
        <v>#N/A</v>
      </c>
      <c r="GU320" s="63" t="str">
        <f t="shared" si="549"/>
        <v/>
      </c>
      <c r="GV320" s="63" t="e">
        <f>IF($GZ320="",#N/A,SUM(GU$4:GU320))</f>
        <v>#N/A</v>
      </c>
      <c r="GW320" s="63" t="str">
        <f t="shared" si="550"/>
        <v/>
      </c>
      <c r="GX320" s="63" t="e">
        <f>IF($GZ320="",#N/A,SUM(GW$4:GW320))</f>
        <v>#N/A</v>
      </c>
      <c r="GY320" s="63" t="e">
        <f>IF(EJ320="",#N/A,SUM($EJ$4:EJ320))</f>
        <v>#N/A</v>
      </c>
      <c r="GZ320" s="159">
        <v>323.42</v>
      </c>
      <c r="HA320" s="63">
        <f t="shared" si="540"/>
        <v>-30.299999999999955</v>
      </c>
      <c r="HB320" s="62" t="s">
        <v>2538</v>
      </c>
      <c r="HC320" s="60">
        <f>IFERROR(VLOOKUP(E320,Expectancy!$P$4:$S$19,1+C320,FALSE),"")</f>
        <v>-0.17081772033279666</v>
      </c>
      <c r="HD320" s="82">
        <f t="shared" si="541"/>
        <v>-1.1069553062072617</v>
      </c>
      <c r="HE320" s="138">
        <f>IF(HD320="",#N/A,SUM($HD$4:HD320))</f>
        <v>11.907502107965007</v>
      </c>
      <c r="HF320" s="85">
        <f>IF(HD320="",#N/A,IF(HB320="Skip",#N/A,SUM($HG$4:HG320)))</f>
        <v>485.15657921915499</v>
      </c>
      <c r="HG320" s="63">
        <f t="shared" si="542"/>
        <v>-117.20000000000005</v>
      </c>
      <c r="HH320" s="82">
        <f t="shared" si="543"/>
        <v>-1.3931391439041898</v>
      </c>
    </row>
    <row r="321" spans="1:216" x14ac:dyDescent="0.25">
      <c r="A321" s="57" t="s">
        <v>560</v>
      </c>
      <c r="B321" s="58" t="s">
        <v>5240</v>
      </c>
      <c r="C321" s="386">
        <f t="shared" si="453"/>
        <v>2</v>
      </c>
      <c r="D321" s="372" t="str">
        <f>_xlfn.XLOOKUP(A321,[1]SP500!$A$2:$A$502,[1]SP500!$D$2:$D$502,"N")</f>
        <v>Y</v>
      </c>
      <c r="E321" s="57" t="str">
        <f>_xlfn.XLOOKUP(A321,[1]SP500!$A$2:$A$655,[1]SP500!$B$2:$B$655)</f>
        <v>XLP</v>
      </c>
      <c r="F321" s="59">
        <v>45701</v>
      </c>
      <c r="G321" s="57" t="str">
        <f t="shared" si="454"/>
        <v>BMO</v>
      </c>
      <c r="H321" s="57" t="str">
        <f t="shared" si="455"/>
        <v>s</v>
      </c>
      <c r="I321" s="159">
        <v>53.45</v>
      </c>
      <c r="J321" s="159">
        <v>57.23</v>
      </c>
      <c r="K321" s="61">
        <f t="shared" si="456"/>
        <v>7.07202993451823E-2</v>
      </c>
      <c r="L321" s="87">
        <f t="shared" si="457"/>
        <v>-117.17999999999984</v>
      </c>
      <c r="M321" s="130">
        <f t="shared" si="556"/>
        <v>7.75</v>
      </c>
      <c r="N321" s="169" t="str">
        <f t="shared" si="458"/>
        <v/>
      </c>
      <c r="O321" s="169">
        <f>IF($J321="",#N/A,SUM($N$4:N321))</f>
        <v>885.04671935422448</v>
      </c>
      <c r="P321" s="174">
        <f t="shared" si="459"/>
        <v>-117.17999999999984</v>
      </c>
      <c r="Q321" s="174">
        <f>IF($J321="",#N/A,SUM($P$4:P321))</f>
        <v>223.96890674734198</v>
      </c>
      <c r="R321" s="178" t="str">
        <f t="shared" si="460"/>
        <v/>
      </c>
      <c r="S321" s="178">
        <f>IF($J321="",#N/A,SUM($R$4:R321))</f>
        <v>15.409571709571082</v>
      </c>
      <c r="T321" s="290" t="str">
        <f t="shared" si="461"/>
        <v/>
      </c>
      <c r="U321" s="290">
        <f>IF($J321="",#N/A,SUM($T$4:T321))</f>
        <v>22.462212729532133</v>
      </c>
      <c r="V321" s="291">
        <f t="shared" si="462"/>
        <v>-1.1786716557530386</v>
      </c>
      <c r="W321" s="291">
        <f>IF($J321="",#N/A,SUM($V$4:V321))</f>
        <v>21.87872204814526</v>
      </c>
      <c r="X321" s="292" t="str">
        <f t="shared" si="463"/>
        <v/>
      </c>
      <c r="Y321" s="292">
        <f>IF($J321="",#N/A,SUM($X$4:X321))</f>
        <v>7.9624476578345789</v>
      </c>
      <c r="Z321" s="304" t="str">
        <f t="shared" si="464"/>
        <v/>
      </c>
      <c r="AA321" s="313" t="e">
        <f>IF($J321="",#N/A,SUM(Z$4:Z321))</f>
        <v>#N/A</v>
      </c>
      <c r="AB321" s="314" t="str">
        <f t="shared" si="465"/>
        <v/>
      </c>
      <c r="AC321" s="314" t="e">
        <f>IF($J321="",#N/A,SUM(AB$4:AB321))</f>
        <v>#N/A</v>
      </c>
      <c r="AD321" s="315" t="str">
        <f t="shared" si="466"/>
        <v/>
      </c>
      <c r="AE321" s="315" t="e">
        <f>IF($J321="",#N/A,SUM(AD$4:AD321))</f>
        <v>#N/A</v>
      </c>
      <c r="AF321" s="315" t="e">
        <f>IF($J321="",#N/A,SUM(AD$4:AD321,AB$4:AB321,Z$4:Z321))</f>
        <v>#N/A</v>
      </c>
      <c r="AG321" s="304" t="str">
        <f t="shared" si="467"/>
        <v/>
      </c>
      <c r="AH321" s="313" t="e">
        <f>IF($J321="",#N/A,SUM(AG$4:AG321))</f>
        <v>#N/A</v>
      </c>
      <c r="AI321" s="314" t="str">
        <f t="shared" si="468"/>
        <v/>
      </c>
      <c r="AJ321" s="314" t="e">
        <f>IF($J321="",#N/A,SUM(AI$4:AI321))</f>
        <v>#N/A</v>
      </c>
      <c r="AK321" s="315" t="str">
        <f t="shared" si="469"/>
        <v/>
      </c>
      <c r="AL321" s="315" t="e">
        <f>IF($J321="",#N/A,SUM(AK$4:AK321))</f>
        <v>#N/A</v>
      </c>
      <c r="AM321" s="315" t="e">
        <f>IF($J321="",#N/A,SUM(AK$4:AK321,AI$4:AI321,AG$4:AG321))</f>
        <v>#N/A</v>
      </c>
      <c r="AN321" s="304" t="str">
        <f t="shared" si="470"/>
        <v/>
      </c>
      <c r="AO321" s="313" t="e">
        <f>IF($J321="",#N/A,SUM(AN$4:AN321))</f>
        <v>#N/A</v>
      </c>
      <c r="AP321" s="314" t="str">
        <f t="shared" si="471"/>
        <v/>
      </c>
      <c r="AQ321" s="314" t="e">
        <f>IF($J321="",#N/A,SUM(AP$4:AP321))</f>
        <v>#N/A</v>
      </c>
      <c r="AR321" s="315" t="str">
        <f t="shared" si="472"/>
        <v/>
      </c>
      <c r="AS321" s="315" t="e">
        <f>IF($J321="",#N/A,SUM(AR$4:AR321))</f>
        <v>#N/A</v>
      </c>
      <c r="AT321" s="315" t="e">
        <f>IF($J321="",#N/A,SUM(AR$4:AR321,AP$4:AP321,AN$4:AN321))</f>
        <v>#N/A</v>
      </c>
      <c r="AU321" s="304" t="str">
        <f t="shared" si="473"/>
        <v/>
      </c>
      <c r="AV321" s="313" t="e">
        <f>IF($J321="",#N/A,SUM(AU$4:AU321))</f>
        <v>#N/A</v>
      </c>
      <c r="AW321" s="314">
        <f t="shared" si="474"/>
        <v>-1.1786716557530386</v>
      </c>
      <c r="AX321" s="314" t="e">
        <f>IF($J321="",#N/A,SUM(AW$4:AW321))</f>
        <v>#N/A</v>
      </c>
      <c r="AY321" s="315" t="str">
        <f t="shared" si="475"/>
        <v/>
      </c>
      <c r="AZ321" s="315" t="e">
        <f>IF($J321="",#N/A,SUM(AY$4:AY321))</f>
        <v>#N/A</v>
      </c>
      <c r="BA321" s="315" t="e">
        <f>IF($J321="",#N/A,SUM(AY$4:AY321,AW$4:AW321,AU$4:AU321))</f>
        <v>#N/A</v>
      </c>
      <c r="BB321" s="304" t="str">
        <f t="shared" si="476"/>
        <v/>
      </c>
      <c r="BC321" s="313" t="e">
        <f>IF($J321="",#N/A,SUM(BB$4:BB321))</f>
        <v>#N/A</v>
      </c>
      <c r="BD321" s="314" t="str">
        <f t="shared" si="477"/>
        <v/>
      </c>
      <c r="BE321" s="314" t="e">
        <f>IF($J321="",#N/A,SUM(BD$4:BD321))</f>
        <v>#N/A</v>
      </c>
      <c r="BF321" s="315" t="str">
        <f t="shared" si="478"/>
        <v/>
      </c>
      <c r="BG321" s="315" t="e">
        <f>IF($J321="",#N/A,SUM(BF$4:BF321))</f>
        <v>#N/A</v>
      </c>
      <c r="BH321" s="315" t="e">
        <f>IF($J321="",#N/A,SUM(BF$4:BF321,BD$4:BD321,BB$4:BB321))</f>
        <v>#N/A</v>
      </c>
      <c r="BI321" s="304" t="str">
        <f t="shared" si="479"/>
        <v/>
      </c>
      <c r="BJ321" s="313" t="e">
        <f>IF($J321="",#N/A,SUM(BI$4:BI321))</f>
        <v>#N/A</v>
      </c>
      <c r="BK321" s="314" t="str">
        <f t="shared" si="480"/>
        <v/>
      </c>
      <c r="BL321" s="314" t="e">
        <f>IF($J321="",#N/A,SUM(BK$4:BK321))</f>
        <v>#N/A</v>
      </c>
      <c r="BM321" s="315" t="str">
        <f t="shared" si="481"/>
        <v/>
      </c>
      <c r="BN321" s="315" t="e">
        <f>IF($J321="",#N/A,SUM(BM$4:BM321))</f>
        <v>#N/A</v>
      </c>
      <c r="BO321" s="315" t="e">
        <f>IF($J321="",#N/A,SUM(BM$4:BM321,BK$4:BK321,BI$4:BI321))</f>
        <v>#N/A</v>
      </c>
      <c r="BP321" s="304" t="str">
        <f t="shared" si="482"/>
        <v/>
      </c>
      <c r="BQ321" s="313" t="e">
        <f>IF($J321="",#N/A,SUM(BP$4:BP321))</f>
        <v>#N/A</v>
      </c>
      <c r="BR321" s="314" t="str">
        <f t="shared" si="483"/>
        <v/>
      </c>
      <c r="BS321" s="314" t="e">
        <f>IF($J321="",#N/A,SUM(BR$4:BR321))</f>
        <v>#N/A</v>
      </c>
      <c r="BT321" s="315" t="str">
        <f t="shared" si="484"/>
        <v/>
      </c>
      <c r="BU321" s="315" t="e">
        <f>IF($J321="",#N/A,SUM(BT$4:BT321))</f>
        <v>#N/A</v>
      </c>
      <c r="BV321" s="315" t="e">
        <f>IF($J321="",#N/A,SUM(BT$4:BT321,BR$4:BR321,BP$4:BP321))</f>
        <v>#N/A</v>
      </c>
      <c r="BW321" s="304" t="str">
        <f t="shared" si="485"/>
        <v/>
      </c>
      <c r="BX321" s="313" t="e">
        <f>IF($J321="",#N/A,SUM(BW$4:BW321))</f>
        <v>#N/A</v>
      </c>
      <c r="BY321" s="314" t="str">
        <f t="shared" si="486"/>
        <v/>
      </c>
      <c r="BZ321" s="314" t="e">
        <f>IF($J321="",#N/A,SUM(BY$4:BY321))</f>
        <v>#N/A</v>
      </c>
      <c r="CA321" s="315" t="str">
        <f t="shared" si="487"/>
        <v/>
      </c>
      <c r="CB321" s="315" t="e">
        <f>IF($J321="",#N/A,SUM(CA$4:CA321))</f>
        <v>#N/A</v>
      </c>
      <c r="CC321" s="315" t="e">
        <f>IF($J321="",#N/A,SUM(CA$4:CA321,BY$4:BY321,BW$4:BW321))</f>
        <v>#N/A</v>
      </c>
      <c r="CD321" s="304" t="str">
        <f t="shared" si="488"/>
        <v/>
      </c>
      <c r="CE321" s="313" t="e">
        <f>IF($J321="",#N/A,SUM(CD$4:CD321))</f>
        <v>#N/A</v>
      </c>
      <c r="CF321" s="314" t="str">
        <f t="shared" si="489"/>
        <v/>
      </c>
      <c r="CG321" s="314" t="e">
        <f>IF($J321="",#N/A,SUM(CF$4:CF321))</f>
        <v>#N/A</v>
      </c>
      <c r="CH321" s="315" t="str">
        <f t="shared" si="490"/>
        <v/>
      </c>
      <c r="CI321" s="315" t="e">
        <f>IF($J321="",#N/A,SUM(CH$4:CH321))</f>
        <v>#N/A</v>
      </c>
      <c r="CJ321" s="315" t="e">
        <f>IF($J321="",#N/A,SUM(CH$4:CH321,CF$4:CF321,CD$4:CD321))</f>
        <v>#N/A</v>
      </c>
      <c r="CK321" s="304" t="str">
        <f t="shared" si="491"/>
        <v/>
      </c>
      <c r="CL321" s="313" t="e">
        <f>IF($J321="",#N/A,SUM(CK$4:CK321))</f>
        <v>#N/A</v>
      </c>
      <c r="CM321" s="314" t="str">
        <f t="shared" si="492"/>
        <v/>
      </c>
      <c r="CN321" s="314" t="e">
        <f>IF($J321="",#N/A,SUM(CM$4:CM321))</f>
        <v>#N/A</v>
      </c>
      <c r="CO321" s="315" t="str">
        <f t="shared" si="493"/>
        <v/>
      </c>
      <c r="CP321" s="315" t="e">
        <f>IF($J321="",#N/A,SUM(CO$4:CO321))</f>
        <v>#N/A</v>
      </c>
      <c r="CQ321" s="315" t="e">
        <f>IF($J321="",#N/A,SUM(CO$4:CO321,CM$4:CM321,CK$4:CK321))</f>
        <v>#N/A</v>
      </c>
      <c r="CR321" s="304" t="str">
        <f t="shared" si="494"/>
        <v/>
      </c>
      <c r="CS321" s="313" t="e">
        <f>IF($J321="",#N/A,SUM(CR$4:CR321))</f>
        <v>#N/A</v>
      </c>
      <c r="CT321" s="314" t="str">
        <f t="shared" si="495"/>
        <v/>
      </c>
      <c r="CU321" s="314" t="e">
        <f>IF($J321="",#N/A,SUM(CT$4:CT321))</f>
        <v>#N/A</v>
      </c>
      <c r="CV321" s="315" t="str">
        <f t="shared" si="496"/>
        <v/>
      </c>
      <c r="CW321" s="315" t="e">
        <f>IF($J321="",#N/A,SUM(CV$4:CV321))</f>
        <v>#N/A</v>
      </c>
      <c r="CX321" s="315" t="e">
        <f>IF($J321="",#N/A,SUM(CV$4:CV321,CT$4:CT321,CR$4:CR321))</f>
        <v>#N/A</v>
      </c>
      <c r="CY321" s="304" t="str">
        <f t="shared" si="497"/>
        <v/>
      </c>
      <c r="CZ321" s="313" t="e">
        <f>IF($J321="",#N/A,SUM(CY$4:CY321))</f>
        <v>#N/A</v>
      </c>
      <c r="DA321" s="314" t="str">
        <f t="shared" si="498"/>
        <v/>
      </c>
      <c r="DB321" s="314" t="e">
        <f>IF($J321="",#N/A,SUM(DA$4:DA321))</f>
        <v>#N/A</v>
      </c>
      <c r="DC321" s="315" t="str">
        <f t="shared" si="499"/>
        <v/>
      </c>
      <c r="DD321" s="315" t="e">
        <f>IF($J321="",#N/A,SUM(DC$4:DC321))</f>
        <v>#N/A</v>
      </c>
      <c r="DE321" s="315" t="e">
        <f>IF($J321="",#N/A,SUM(DC$4:DC321,DA$4:DA321,CY$4:CY321))</f>
        <v>#N/A</v>
      </c>
      <c r="DF321" s="304" t="str">
        <f t="shared" si="500"/>
        <v/>
      </c>
      <c r="DG321" s="313" t="e">
        <f>IF($J321="",#N/A,SUM(DF$4:DF321))</f>
        <v>#N/A</v>
      </c>
      <c r="DH321" s="314" t="str">
        <f t="shared" si="501"/>
        <v/>
      </c>
      <c r="DI321" s="314" t="e">
        <f>IF($J321="",#N/A,SUM(DH$4:DH321))</f>
        <v>#N/A</v>
      </c>
      <c r="DJ321" s="315" t="str">
        <f t="shared" si="502"/>
        <v/>
      </c>
      <c r="DK321" s="315" t="e">
        <f>IF($J321="",#N/A,SUM(DJ$4:DJ321))</f>
        <v>#N/A</v>
      </c>
      <c r="DL321" s="315" t="e">
        <f>IF($J321="",#N/A,SUM(DJ$4:DJ321,DH$4:DH321,DF$4:DF321))</f>
        <v>#N/A</v>
      </c>
      <c r="DM321" s="304" t="str">
        <f t="shared" si="503"/>
        <v/>
      </c>
      <c r="DN321" s="313" t="e">
        <f>IF($J321="",#N/A,SUM(DM$4:DM321))</f>
        <v>#N/A</v>
      </c>
      <c r="DO321" s="314" t="str">
        <f t="shared" si="504"/>
        <v/>
      </c>
      <c r="DP321" s="314" t="e">
        <f>IF($J321="",#N/A,SUM(DO$4:DO321))</f>
        <v>#N/A</v>
      </c>
      <c r="DQ321" s="315" t="str">
        <f t="shared" si="505"/>
        <v/>
      </c>
      <c r="DR321" s="315" t="e">
        <f>IF($J321="",#N/A,SUM(DQ$4:DQ321))</f>
        <v>#N/A</v>
      </c>
      <c r="DS321" s="315" t="e">
        <f>IF($J321="",#N/A,SUM(DQ$4:DQ321,DO$4:DO321,DM$4:DM321))</f>
        <v>#N/A</v>
      </c>
      <c r="DT321" s="304" t="str">
        <f t="shared" si="506"/>
        <v/>
      </c>
      <c r="DU321" s="313" t="e">
        <f>IF($J321="",#N/A,SUM(DT$4:DT321))</f>
        <v>#N/A</v>
      </c>
      <c r="DV321" s="314" t="str">
        <f t="shared" si="507"/>
        <v/>
      </c>
      <c r="DW321" s="314" t="e">
        <f>IF($J321="",#N/A,SUM(DV$4:DV321))</f>
        <v>#N/A</v>
      </c>
      <c r="DX321" s="315" t="str">
        <f t="shared" si="508"/>
        <v/>
      </c>
      <c r="DY321" s="315" t="e">
        <f>IF($J321="",#N/A,SUM(DX$4:DX321))</f>
        <v>#N/A</v>
      </c>
      <c r="DZ321" s="315" t="e">
        <f>IF($J321="",#N/A,SUM(DX$4:DX321,DV$4:DV321,DT$4:DT321))</f>
        <v>#N/A</v>
      </c>
      <c r="EA321" s="304" t="str">
        <f t="shared" si="509"/>
        <v/>
      </c>
      <c r="EB321" s="313" t="e">
        <f>IF($J321="",#N/A,SUM(EA$4:EA321))</f>
        <v>#N/A</v>
      </c>
      <c r="EC321" s="314" t="str">
        <f t="shared" si="510"/>
        <v/>
      </c>
      <c r="ED321" s="314" t="e">
        <f>IF($J321="",#N/A,SUM(EC$4:EC321))</f>
        <v>#N/A</v>
      </c>
      <c r="EE321" s="315" t="str">
        <f t="shared" si="511"/>
        <v/>
      </c>
      <c r="EF321" s="315" t="e">
        <f>IF($J321="",#N/A,SUM(EE$4:EE321))</f>
        <v>#N/A</v>
      </c>
      <c r="EG321" s="315" t="e">
        <f>IF($J321="",#N/A,SUM(EE$4:EE321,EC$4:EC321,EA$4:EA321))</f>
        <v>#N/A</v>
      </c>
      <c r="EH321" s="130">
        <f t="shared" si="512"/>
        <v>-117.17999999999984</v>
      </c>
      <c r="EI321" s="63">
        <f>IF(EH321="",#N/A,SUM($EH$4:EH321))</f>
        <v>1124.4251978111377</v>
      </c>
      <c r="EJ321" s="223" t="e">
        <f t="shared" si="513"/>
        <v>#N/A</v>
      </c>
      <c r="EK321" s="63" t="e">
        <f>IF($GZ321="",#N/A,SUM(EJ$4:EJ321))</f>
        <v>#N/A</v>
      </c>
      <c r="EL321" s="60">
        <f t="shared" si="544"/>
        <v>-1.1786716557530386</v>
      </c>
      <c r="EM321" s="60">
        <f>IF(EL321="",NA(),SUM($EL$4:EL321))</f>
        <v>34.035280098015541</v>
      </c>
      <c r="EN321" s="60" t="str">
        <f t="shared" si="514"/>
        <v/>
      </c>
      <c r="EO321" s="60" t="e">
        <f>IF(EN321="",NA(),SUM($EN$4:EN321))</f>
        <v>#N/A</v>
      </c>
      <c r="EP321" s="60" t="str">
        <f t="shared" si="515"/>
        <v/>
      </c>
      <c r="EQ321" s="60" t="e">
        <f>IF(EP321="",NA(),SUM($EP$4:EP321))</f>
        <v>#N/A</v>
      </c>
      <c r="ER321" s="60">
        <f t="shared" si="516"/>
        <v>-1.1786716557530386</v>
      </c>
      <c r="ES321" s="60">
        <f>IF(ER321="",NA(),SUM($ER$4:ER321))</f>
        <v>12.558119523645379</v>
      </c>
      <c r="ET321" s="60" t="str">
        <f t="shared" si="517"/>
        <v/>
      </c>
      <c r="EU321" s="60" t="e">
        <f>IF(ET321="",NA(),SUM($ET$4:ET321))</f>
        <v>#N/A</v>
      </c>
      <c r="EV321" s="60" t="str">
        <f t="shared" si="518"/>
        <v/>
      </c>
      <c r="EW321" s="60" t="e">
        <f>IF(EV321="",NA(),SUM($EV$4:EV321))</f>
        <v>#N/A</v>
      </c>
      <c r="EX321" s="60" t="str">
        <f t="shared" si="519"/>
        <v/>
      </c>
      <c r="EY321" s="60" t="e">
        <f>IF(EX321="",NA(),SUM($EX$4:EX321))</f>
        <v>#N/A</v>
      </c>
      <c r="EZ321" s="60" t="str">
        <f t="shared" si="520"/>
        <v/>
      </c>
      <c r="FA321" s="60" t="e">
        <f>IF(EZ321="",NA(),SUM($EZ$4:EZ321))</f>
        <v>#N/A</v>
      </c>
      <c r="FB321" s="246" t="str">
        <f t="shared" si="545"/>
        <v/>
      </c>
      <c r="FC321" s="246" t="e">
        <f>IF($FB321="",#N/A,SUM(FB$4:$FB321))</f>
        <v>#N/A</v>
      </c>
      <c r="FD321" s="60">
        <f t="shared" si="521"/>
        <v>-0.4084814468350495</v>
      </c>
      <c r="FE321" s="60">
        <f>IF($FD321="",#N/A,SUM($FD$4:FD321))</f>
        <v>4.4502732604333151</v>
      </c>
      <c r="FF321" s="60" t="str">
        <f t="shared" si="522"/>
        <v/>
      </c>
      <c r="FG321" s="60" t="e">
        <f>IF($FF321="",#N/A,SUM($FF$4:FF321))</f>
        <v>#N/A</v>
      </c>
      <c r="FH321" s="60" t="str">
        <f t="shared" si="523"/>
        <v/>
      </c>
      <c r="FI321" s="60" t="e">
        <f>IF($FH321="",#N/A,SUM($FH$4:FH321))</f>
        <v>#N/A</v>
      </c>
      <c r="FJ321" s="60" t="str">
        <f t="shared" si="524"/>
        <v/>
      </c>
      <c r="FK321" s="60" t="e">
        <f>IF($FJ321="",#N/A,SUM($FJ$4:FJ321))</f>
        <v>#N/A</v>
      </c>
      <c r="FL321" s="60" t="str">
        <f t="shared" si="525"/>
        <v/>
      </c>
      <c r="FM321" s="60" t="e">
        <f>IF($FL321="",#N/A,SUM($FL$4:FL321))</f>
        <v>#N/A</v>
      </c>
      <c r="FN321" s="82">
        <f t="shared" si="526"/>
        <v>-1.5871531025880881</v>
      </c>
      <c r="FO321" s="82">
        <f>IF($FN321="",#N/A,SUM(FN$4:$FN321))</f>
        <v>55.526543511391381</v>
      </c>
      <c r="FP321" s="82">
        <f t="shared" si="546"/>
        <v>-1.1786716557530386</v>
      </c>
      <c r="FQ321" s="246">
        <f>IF($EH321="",#N/A,SUM($FP$4:FP321))</f>
        <v>52.303382435511956</v>
      </c>
      <c r="FR321" s="82">
        <f>IFERROR(FQ321/COUNTA($J$4:J321),#N/A)</f>
        <v>0.16447604539469168</v>
      </c>
      <c r="FS321" s="82">
        <f t="shared" si="554"/>
        <v>-2.3734134242404538E-2</v>
      </c>
      <c r="FT321" s="82">
        <f t="shared" si="555"/>
        <v>-0.23178436745311218</v>
      </c>
      <c r="FU321" s="338">
        <f t="shared" si="559"/>
        <v>26.96659750871315</v>
      </c>
      <c r="FV321" s="57" t="str">
        <f t="shared" si="552"/>
        <v>Dwn</v>
      </c>
      <c r="FW321" s="57" t="s">
        <v>2734</v>
      </c>
      <c r="FX321" s="57" t="str">
        <f t="shared" si="528"/>
        <v/>
      </c>
      <c r="FY321" s="57">
        <f t="shared" si="529"/>
        <v>1</v>
      </c>
      <c r="FZ321" s="57" t="str">
        <f t="shared" si="530"/>
        <v/>
      </c>
      <c r="GA321" s="57" t="str">
        <f t="shared" si="531"/>
        <v>Short</v>
      </c>
      <c r="GB321" s="57" t="str">
        <f t="shared" si="532"/>
        <v/>
      </c>
      <c r="GC321" s="57" t="str">
        <f t="shared" si="533"/>
        <v/>
      </c>
      <c r="GD321" s="57" t="str">
        <f t="shared" si="534"/>
        <v/>
      </c>
      <c r="GE321" s="62">
        <f t="shared" si="557"/>
        <v>53.45</v>
      </c>
      <c r="GF321" s="62" t="s">
        <v>2780</v>
      </c>
      <c r="GG321" s="199">
        <v>31</v>
      </c>
      <c r="GH321" s="207">
        <f t="shared" si="535"/>
        <v>1656.95</v>
      </c>
      <c r="GI321" s="199">
        <v>31</v>
      </c>
      <c r="GJ321" s="200">
        <v>56.98</v>
      </c>
      <c r="GK321" s="63">
        <f t="shared" si="536"/>
        <v>-109.42999999999984</v>
      </c>
      <c r="GL321" s="63">
        <f t="shared" si="558"/>
        <v>-157.78999999999996</v>
      </c>
      <c r="GM321" s="82" t="str">
        <f t="shared" si="537"/>
        <v/>
      </c>
      <c r="GN321" s="82">
        <f>IF($GZ321="",#N/A,SUM(GM$4:GM321))</f>
        <v>5.7195739446899099</v>
      </c>
      <c r="GO321" s="82" t="str">
        <f t="shared" si="538"/>
        <v/>
      </c>
      <c r="GP321" s="82">
        <f>IF($GZ321="",#N/A,SUM(GO$4:GO321))</f>
        <v>18.311918444510358</v>
      </c>
      <c r="GQ321" s="82">
        <f t="shared" si="539"/>
        <v>-1.5871531025880881</v>
      </c>
      <c r="GR321" s="82">
        <f>IF($GZ321="",#N/A,SUM(GQ$4:GQ321))</f>
        <v>30.869214167748773</v>
      </c>
      <c r="GS321" s="63" t="str">
        <f t="shared" si="548"/>
        <v/>
      </c>
      <c r="GT321" s="63" t="e">
        <f>IF($GZ321="",#N/A,SUM(GS$4:GS321))</f>
        <v>#N/A</v>
      </c>
      <c r="GU321" s="63" t="str">
        <f t="shared" si="549"/>
        <v/>
      </c>
      <c r="GV321" s="63" t="e">
        <f>IF($GZ321="",#N/A,SUM(GU$4:GU321))</f>
        <v>#N/A</v>
      </c>
      <c r="GW321" s="63" t="e">
        <f t="shared" si="550"/>
        <v>#N/A</v>
      </c>
      <c r="GX321" s="63" t="e">
        <f>IF($GZ321="",#N/A,SUM(GW$4:GW321))</f>
        <v>#N/A</v>
      </c>
      <c r="GY321" s="63" t="e">
        <f>IF(EJ321="",#N/A,SUM($EJ$4:EJ321))</f>
        <v>#N/A</v>
      </c>
      <c r="GZ321" s="159">
        <v>58.54</v>
      </c>
      <c r="HA321" s="63">
        <f t="shared" si="540"/>
        <v>-40.610000000000127</v>
      </c>
      <c r="HB321" s="62" t="s">
        <v>2538</v>
      </c>
      <c r="HC321" s="60">
        <f>IFERROR(VLOOKUP(E321,Expectancy!$P$4:$S$19,1+C321,FALSE),"")</f>
        <v>0.30769020202715358</v>
      </c>
      <c r="HD321" s="82">
        <f t="shared" si="541"/>
        <v>-1.1007171811661973</v>
      </c>
      <c r="HE321" s="138">
        <f>IF(HD321="",#N/A,SUM($HD$4:HD321))</f>
        <v>10.806784926798809</v>
      </c>
      <c r="HF321" s="85">
        <f>IF(HD321="",#N/A,IF(HB321="Skip",#N/A,SUM($HG$4:HG321)))</f>
        <v>375.72657921915516</v>
      </c>
      <c r="HG321" s="63">
        <f t="shared" si="542"/>
        <v>-109.42999999999984</v>
      </c>
      <c r="HH321" s="82">
        <f t="shared" si="543"/>
        <v>-1.5871531025880881</v>
      </c>
    </row>
    <row r="322" spans="1:216" x14ac:dyDescent="0.25">
      <c r="A322" s="57" t="s">
        <v>606</v>
      </c>
      <c r="B322" s="58" t="s">
        <v>5240</v>
      </c>
      <c r="C322" s="386">
        <f t="shared" si="453"/>
        <v>3</v>
      </c>
      <c r="D322" s="372" t="str">
        <f>_xlfn.XLOOKUP(A322,[1]SP500!$A$2:$A$502,[1]SP500!$D$2:$D$502,"N")</f>
        <v>Y</v>
      </c>
      <c r="E322" s="57" t="str">
        <f>_xlfn.XLOOKUP(A322,[1]SP500!$A$2:$A$655,[1]SP500!$B$2:$B$655)</f>
        <v>IGV</v>
      </c>
      <c r="F322" s="59">
        <v>45701</v>
      </c>
      <c r="G322" s="57" t="str">
        <f t="shared" si="454"/>
        <v>BMO</v>
      </c>
      <c r="H322" s="57" t="str">
        <f t="shared" si="455"/>
        <v>s</v>
      </c>
      <c r="I322" s="159">
        <v>148.09</v>
      </c>
      <c r="J322" s="159">
        <v>136.55000000000001</v>
      </c>
      <c r="K322" s="61">
        <f t="shared" si="456"/>
        <v>-7.7925585792423466E-2</v>
      </c>
      <c r="L322" s="87">
        <f t="shared" si="457"/>
        <v>-126.93999999999983</v>
      </c>
      <c r="M322" s="130">
        <f t="shared" si="556"/>
        <v>-6.0500000000001819</v>
      </c>
      <c r="N322" s="169" t="str">
        <f t="shared" si="458"/>
        <v/>
      </c>
      <c r="O322" s="169">
        <f>IF($J322="",#N/A,SUM($N$4:N322))</f>
        <v>885.04671935422448</v>
      </c>
      <c r="P322" s="174" t="str">
        <f t="shared" si="459"/>
        <v/>
      </c>
      <c r="Q322" s="174">
        <f>IF($J322="",#N/A,SUM($P$4:P322))</f>
        <v>223.96890674734198</v>
      </c>
      <c r="R322" s="178">
        <f t="shared" si="460"/>
        <v>-126.93999999999983</v>
      </c>
      <c r="S322" s="178">
        <f>IF($J322="",#N/A,SUM($R$4:R322))</f>
        <v>-111.53042829042874</v>
      </c>
      <c r="T322" s="290" t="str">
        <f t="shared" si="461"/>
        <v/>
      </c>
      <c r="U322" s="290">
        <f>IF($J322="",#N/A,SUM($T$4:T322))</f>
        <v>22.462212729532133</v>
      </c>
      <c r="V322" s="291" t="str">
        <f t="shared" si="462"/>
        <v/>
      </c>
      <c r="W322" s="291">
        <f>IF($J322="",#N/A,SUM($V$4:V322))</f>
        <v>21.87872204814526</v>
      </c>
      <c r="X322" s="292">
        <f t="shared" si="463"/>
        <v>-1.2987597632070569</v>
      </c>
      <c r="Y322" s="292">
        <f>IF($J322="",#N/A,SUM($X$4:X322))</f>
        <v>6.6636878946275218</v>
      </c>
      <c r="Z322" s="304" t="str">
        <f t="shared" si="464"/>
        <v/>
      </c>
      <c r="AA322" s="313" t="e">
        <f>IF($J322="",#N/A,SUM(Z$4:Z322))</f>
        <v>#N/A</v>
      </c>
      <c r="AB322" s="314" t="str">
        <f t="shared" si="465"/>
        <v/>
      </c>
      <c r="AC322" s="314" t="e">
        <f>IF($J322="",#N/A,SUM(AB$4:AB322))</f>
        <v>#N/A</v>
      </c>
      <c r="AD322" s="315" t="str">
        <f t="shared" si="466"/>
        <v/>
      </c>
      <c r="AE322" s="315" t="e">
        <f>IF($J322="",#N/A,SUM(AD$4:AD322))</f>
        <v>#N/A</v>
      </c>
      <c r="AF322" s="315" t="e">
        <f>IF($J322="",#N/A,SUM(AD$4:AD322,AB$4:AB322,Z$4:Z322))</f>
        <v>#N/A</v>
      </c>
      <c r="AG322" s="304" t="str">
        <f t="shared" si="467"/>
        <v/>
      </c>
      <c r="AH322" s="313" t="e">
        <f>IF($J322="",#N/A,SUM(AG$4:AG322))</f>
        <v>#N/A</v>
      </c>
      <c r="AI322" s="314" t="str">
        <f t="shared" si="468"/>
        <v/>
      </c>
      <c r="AJ322" s="314" t="e">
        <f>IF($J322="",#N/A,SUM(AI$4:AI322))</f>
        <v>#N/A</v>
      </c>
      <c r="AK322" s="315">
        <f t="shared" si="469"/>
        <v>-1.2987597632070569</v>
      </c>
      <c r="AL322" s="315" t="e">
        <f>IF($J322="",#N/A,SUM(AK$4:AK322))</f>
        <v>#N/A</v>
      </c>
      <c r="AM322" s="315" t="e">
        <f>IF($J322="",#N/A,SUM(AK$4:AK322,AI$4:AI322,AG$4:AG322))</f>
        <v>#N/A</v>
      </c>
      <c r="AN322" s="304" t="str">
        <f t="shared" si="470"/>
        <v/>
      </c>
      <c r="AO322" s="313" t="e">
        <f>IF($J322="",#N/A,SUM(AN$4:AN322))</f>
        <v>#N/A</v>
      </c>
      <c r="AP322" s="314" t="str">
        <f t="shared" si="471"/>
        <v/>
      </c>
      <c r="AQ322" s="314" t="e">
        <f>IF($J322="",#N/A,SUM(AP$4:AP322))</f>
        <v>#N/A</v>
      </c>
      <c r="AR322" s="315" t="str">
        <f t="shared" si="472"/>
        <v/>
      </c>
      <c r="AS322" s="315" t="e">
        <f>IF($J322="",#N/A,SUM(AR$4:AR322))</f>
        <v>#N/A</v>
      </c>
      <c r="AT322" s="315" t="e">
        <f>IF($J322="",#N/A,SUM(AR$4:AR322,AP$4:AP322,AN$4:AN322))</f>
        <v>#N/A</v>
      </c>
      <c r="AU322" s="304" t="str">
        <f t="shared" si="473"/>
        <v/>
      </c>
      <c r="AV322" s="313" t="e">
        <f>IF($J322="",#N/A,SUM(AU$4:AU322))</f>
        <v>#N/A</v>
      </c>
      <c r="AW322" s="314" t="str">
        <f t="shared" si="474"/>
        <v/>
      </c>
      <c r="AX322" s="314" t="e">
        <f>IF($J322="",#N/A,SUM(AW$4:AW322))</f>
        <v>#N/A</v>
      </c>
      <c r="AY322" s="315" t="str">
        <f t="shared" si="475"/>
        <v/>
      </c>
      <c r="AZ322" s="315" t="e">
        <f>IF($J322="",#N/A,SUM(AY$4:AY322))</f>
        <v>#N/A</v>
      </c>
      <c r="BA322" s="315" t="e">
        <f>IF($J322="",#N/A,SUM(AY$4:AY322,AW$4:AW322,AU$4:AU322))</f>
        <v>#N/A</v>
      </c>
      <c r="BB322" s="304" t="str">
        <f t="shared" si="476"/>
        <v/>
      </c>
      <c r="BC322" s="313" t="e">
        <f>IF($J322="",#N/A,SUM(BB$4:BB322))</f>
        <v>#N/A</v>
      </c>
      <c r="BD322" s="314" t="str">
        <f t="shared" si="477"/>
        <v/>
      </c>
      <c r="BE322" s="314" t="e">
        <f>IF($J322="",#N/A,SUM(BD$4:BD322))</f>
        <v>#N/A</v>
      </c>
      <c r="BF322" s="315" t="str">
        <f t="shared" si="478"/>
        <v/>
      </c>
      <c r="BG322" s="315" t="e">
        <f>IF($J322="",#N/A,SUM(BF$4:BF322))</f>
        <v>#N/A</v>
      </c>
      <c r="BH322" s="315" t="e">
        <f>IF($J322="",#N/A,SUM(BF$4:BF322,BD$4:BD322,BB$4:BB322))</f>
        <v>#N/A</v>
      </c>
      <c r="BI322" s="304" t="str">
        <f t="shared" si="479"/>
        <v/>
      </c>
      <c r="BJ322" s="313" t="e">
        <f>IF($J322="",#N/A,SUM(BI$4:BI322))</f>
        <v>#N/A</v>
      </c>
      <c r="BK322" s="314" t="str">
        <f t="shared" si="480"/>
        <v/>
      </c>
      <c r="BL322" s="314" t="e">
        <f>IF($J322="",#N/A,SUM(BK$4:BK322))</f>
        <v>#N/A</v>
      </c>
      <c r="BM322" s="315" t="str">
        <f t="shared" si="481"/>
        <v/>
      </c>
      <c r="BN322" s="315" t="e">
        <f>IF($J322="",#N/A,SUM(BM$4:BM322))</f>
        <v>#N/A</v>
      </c>
      <c r="BO322" s="315" t="e">
        <f>IF($J322="",#N/A,SUM(BM$4:BM322,BK$4:BK322,BI$4:BI322))</f>
        <v>#N/A</v>
      </c>
      <c r="BP322" s="304" t="str">
        <f t="shared" si="482"/>
        <v/>
      </c>
      <c r="BQ322" s="313" t="e">
        <f>IF($J322="",#N/A,SUM(BP$4:BP322))</f>
        <v>#N/A</v>
      </c>
      <c r="BR322" s="314" t="str">
        <f t="shared" si="483"/>
        <v/>
      </c>
      <c r="BS322" s="314" t="e">
        <f>IF($J322="",#N/A,SUM(BR$4:BR322))</f>
        <v>#N/A</v>
      </c>
      <c r="BT322" s="315" t="str">
        <f t="shared" si="484"/>
        <v/>
      </c>
      <c r="BU322" s="315" t="e">
        <f>IF($J322="",#N/A,SUM(BT$4:BT322))</f>
        <v>#N/A</v>
      </c>
      <c r="BV322" s="315" t="e">
        <f>IF($J322="",#N/A,SUM(BT$4:BT322,BR$4:BR322,BP$4:BP322))</f>
        <v>#N/A</v>
      </c>
      <c r="BW322" s="304" t="str">
        <f t="shared" si="485"/>
        <v/>
      </c>
      <c r="BX322" s="313" t="e">
        <f>IF($J322="",#N/A,SUM(BW$4:BW322))</f>
        <v>#N/A</v>
      </c>
      <c r="BY322" s="314" t="str">
        <f t="shared" si="486"/>
        <v/>
      </c>
      <c r="BZ322" s="314" t="e">
        <f>IF($J322="",#N/A,SUM(BY$4:BY322))</f>
        <v>#N/A</v>
      </c>
      <c r="CA322" s="315" t="str">
        <f t="shared" si="487"/>
        <v/>
      </c>
      <c r="CB322" s="315" t="e">
        <f>IF($J322="",#N/A,SUM(CA$4:CA322))</f>
        <v>#N/A</v>
      </c>
      <c r="CC322" s="315" t="e">
        <f>IF($J322="",#N/A,SUM(CA$4:CA322,BY$4:BY322,BW$4:BW322))</f>
        <v>#N/A</v>
      </c>
      <c r="CD322" s="304" t="str">
        <f t="shared" si="488"/>
        <v/>
      </c>
      <c r="CE322" s="313" t="e">
        <f>IF($J322="",#N/A,SUM(CD$4:CD322))</f>
        <v>#N/A</v>
      </c>
      <c r="CF322" s="314" t="str">
        <f t="shared" si="489"/>
        <v/>
      </c>
      <c r="CG322" s="314" t="e">
        <f>IF($J322="",#N/A,SUM(CF$4:CF322))</f>
        <v>#N/A</v>
      </c>
      <c r="CH322" s="315" t="str">
        <f t="shared" si="490"/>
        <v/>
      </c>
      <c r="CI322" s="315" t="e">
        <f>IF($J322="",#N/A,SUM(CH$4:CH322))</f>
        <v>#N/A</v>
      </c>
      <c r="CJ322" s="315" t="e">
        <f>IF($J322="",#N/A,SUM(CH$4:CH322,CF$4:CF322,CD$4:CD322))</f>
        <v>#N/A</v>
      </c>
      <c r="CK322" s="304" t="str">
        <f t="shared" si="491"/>
        <v/>
      </c>
      <c r="CL322" s="313" t="e">
        <f>IF($J322="",#N/A,SUM(CK$4:CK322))</f>
        <v>#N/A</v>
      </c>
      <c r="CM322" s="314" t="str">
        <f t="shared" si="492"/>
        <v/>
      </c>
      <c r="CN322" s="314" t="e">
        <f>IF($J322="",#N/A,SUM(CM$4:CM322))</f>
        <v>#N/A</v>
      </c>
      <c r="CO322" s="315" t="str">
        <f t="shared" si="493"/>
        <v/>
      </c>
      <c r="CP322" s="315" t="e">
        <f>IF($J322="",#N/A,SUM(CO$4:CO322))</f>
        <v>#N/A</v>
      </c>
      <c r="CQ322" s="315" t="e">
        <f>IF($J322="",#N/A,SUM(CO$4:CO322,CM$4:CM322,CK$4:CK322))</f>
        <v>#N/A</v>
      </c>
      <c r="CR322" s="304" t="str">
        <f t="shared" si="494"/>
        <v/>
      </c>
      <c r="CS322" s="313" t="e">
        <f>IF($J322="",#N/A,SUM(CR$4:CR322))</f>
        <v>#N/A</v>
      </c>
      <c r="CT322" s="314" t="str">
        <f t="shared" si="495"/>
        <v/>
      </c>
      <c r="CU322" s="314" t="e">
        <f>IF($J322="",#N/A,SUM(CT$4:CT322))</f>
        <v>#N/A</v>
      </c>
      <c r="CV322" s="315" t="str">
        <f t="shared" si="496"/>
        <v/>
      </c>
      <c r="CW322" s="315" t="e">
        <f>IF($J322="",#N/A,SUM(CV$4:CV322))</f>
        <v>#N/A</v>
      </c>
      <c r="CX322" s="315" t="e">
        <f>IF($J322="",#N/A,SUM(CV$4:CV322,CT$4:CT322,CR$4:CR322))</f>
        <v>#N/A</v>
      </c>
      <c r="CY322" s="304" t="str">
        <f t="shared" si="497"/>
        <v/>
      </c>
      <c r="CZ322" s="313" t="e">
        <f>IF($J322="",#N/A,SUM(CY$4:CY322))</f>
        <v>#N/A</v>
      </c>
      <c r="DA322" s="314" t="str">
        <f t="shared" si="498"/>
        <v/>
      </c>
      <c r="DB322" s="314" t="e">
        <f>IF($J322="",#N/A,SUM(DA$4:DA322))</f>
        <v>#N/A</v>
      </c>
      <c r="DC322" s="315" t="str">
        <f t="shared" si="499"/>
        <v/>
      </c>
      <c r="DD322" s="315" t="e">
        <f>IF($J322="",#N/A,SUM(DC$4:DC322))</f>
        <v>#N/A</v>
      </c>
      <c r="DE322" s="315" t="e">
        <f>IF($J322="",#N/A,SUM(DC$4:DC322,DA$4:DA322,CY$4:CY322))</f>
        <v>#N/A</v>
      </c>
      <c r="DF322" s="304" t="str">
        <f t="shared" si="500"/>
        <v/>
      </c>
      <c r="DG322" s="313" t="e">
        <f>IF($J322="",#N/A,SUM(DF$4:DF322))</f>
        <v>#N/A</v>
      </c>
      <c r="DH322" s="314" t="str">
        <f t="shared" si="501"/>
        <v/>
      </c>
      <c r="DI322" s="314" t="e">
        <f>IF($J322="",#N/A,SUM(DH$4:DH322))</f>
        <v>#N/A</v>
      </c>
      <c r="DJ322" s="315" t="str">
        <f t="shared" si="502"/>
        <v/>
      </c>
      <c r="DK322" s="315" t="e">
        <f>IF($J322="",#N/A,SUM(DJ$4:DJ322))</f>
        <v>#N/A</v>
      </c>
      <c r="DL322" s="315" t="e">
        <f>IF($J322="",#N/A,SUM(DJ$4:DJ322,DH$4:DH322,DF$4:DF322))</f>
        <v>#N/A</v>
      </c>
      <c r="DM322" s="304" t="str">
        <f t="shared" si="503"/>
        <v/>
      </c>
      <c r="DN322" s="313" t="e">
        <f>IF($J322="",#N/A,SUM(DM$4:DM322))</f>
        <v>#N/A</v>
      </c>
      <c r="DO322" s="314" t="str">
        <f t="shared" si="504"/>
        <v/>
      </c>
      <c r="DP322" s="314" t="e">
        <f>IF($J322="",#N/A,SUM(DO$4:DO322))</f>
        <v>#N/A</v>
      </c>
      <c r="DQ322" s="315" t="str">
        <f t="shared" si="505"/>
        <v/>
      </c>
      <c r="DR322" s="315" t="e">
        <f>IF($J322="",#N/A,SUM(DQ$4:DQ322))</f>
        <v>#N/A</v>
      </c>
      <c r="DS322" s="315" t="e">
        <f>IF($J322="",#N/A,SUM(DQ$4:DQ322,DO$4:DO322,DM$4:DM322))</f>
        <v>#N/A</v>
      </c>
      <c r="DT322" s="304" t="str">
        <f t="shared" si="506"/>
        <v/>
      </c>
      <c r="DU322" s="313" t="e">
        <f>IF($J322="",#N/A,SUM(DT$4:DT322))</f>
        <v>#N/A</v>
      </c>
      <c r="DV322" s="314" t="str">
        <f t="shared" si="507"/>
        <v/>
      </c>
      <c r="DW322" s="314" t="e">
        <f>IF($J322="",#N/A,SUM(DV$4:DV322))</f>
        <v>#N/A</v>
      </c>
      <c r="DX322" s="315" t="str">
        <f t="shared" si="508"/>
        <v/>
      </c>
      <c r="DY322" s="315" t="e">
        <f>IF($J322="",#N/A,SUM(DX$4:DX322))</f>
        <v>#N/A</v>
      </c>
      <c r="DZ322" s="315" t="e">
        <f>IF($J322="",#N/A,SUM(DX$4:DX322,DV$4:DV322,DT$4:DT322))</f>
        <v>#N/A</v>
      </c>
      <c r="EA322" s="304" t="str">
        <f t="shared" si="509"/>
        <v/>
      </c>
      <c r="EB322" s="313" t="e">
        <f>IF($J322="",#N/A,SUM(EA$4:EA322))</f>
        <v>#N/A</v>
      </c>
      <c r="EC322" s="314" t="str">
        <f t="shared" si="510"/>
        <v/>
      </c>
      <c r="ED322" s="314" t="e">
        <f>IF($J322="",#N/A,SUM(EC$4:EC322))</f>
        <v>#N/A</v>
      </c>
      <c r="EE322" s="315" t="str">
        <f t="shared" si="511"/>
        <v/>
      </c>
      <c r="EF322" s="315" t="e">
        <f>IF($J322="",#N/A,SUM(EE$4:EE322))</f>
        <v>#N/A</v>
      </c>
      <c r="EG322" s="315" t="e">
        <f>IF($J322="",#N/A,SUM(EE$4:EE322,EC$4:EC322,EA$4:EA322))</f>
        <v>#N/A</v>
      </c>
      <c r="EH322" s="130">
        <f t="shared" si="512"/>
        <v>-126.93999999999983</v>
      </c>
      <c r="EI322" s="63">
        <f>IF(EH322="",#N/A,SUM($EH$4:EH322))</f>
        <v>997.48519781113782</v>
      </c>
      <c r="EJ322" s="223" t="e">
        <f t="shared" si="513"/>
        <v>#N/A</v>
      </c>
      <c r="EK322" s="63" t="e">
        <f>IF($GZ322="",#N/A,SUM(EJ$4:EJ322))</f>
        <v>#N/A</v>
      </c>
      <c r="EL322" s="60">
        <f t="shared" si="544"/>
        <v>-1.2987597632070569</v>
      </c>
      <c r="EM322" s="60">
        <f>IF(EL322="",NA(),SUM($EL$4:EL322))</f>
        <v>32.736520334808482</v>
      </c>
      <c r="EN322" s="60" t="str">
        <f t="shared" si="514"/>
        <v/>
      </c>
      <c r="EO322" s="60" t="e">
        <f>IF(EN322="",NA(),SUM($EN$4:EN322))</f>
        <v>#N/A</v>
      </c>
      <c r="EP322" s="60">
        <f t="shared" si="515"/>
        <v>-1.2987597632070569</v>
      </c>
      <c r="EQ322" s="60">
        <f>IF(EP322="",NA(),SUM($EP$4:EP322))</f>
        <v>5.7285437278944364</v>
      </c>
      <c r="ER322" s="60" t="str">
        <f t="shared" si="516"/>
        <v/>
      </c>
      <c r="ES322" s="60" t="e">
        <f>IF(ER322="",NA(),SUM($ER$4:ER322))</f>
        <v>#N/A</v>
      </c>
      <c r="ET322" s="60" t="str">
        <f t="shared" si="517"/>
        <v/>
      </c>
      <c r="EU322" s="60" t="e">
        <f>IF(ET322="",NA(),SUM($ET$4:ET322))</f>
        <v>#N/A</v>
      </c>
      <c r="EV322" s="60" t="str">
        <f t="shared" si="518"/>
        <v/>
      </c>
      <c r="EW322" s="60" t="e">
        <f>IF(EV322="",NA(),SUM($EV$4:EV322))</f>
        <v>#N/A</v>
      </c>
      <c r="EX322" s="60" t="str">
        <f t="shared" si="519"/>
        <v/>
      </c>
      <c r="EY322" s="60" t="e">
        <f>IF(EX322="",NA(),SUM($EX$4:EX322))</f>
        <v>#N/A</v>
      </c>
      <c r="EZ322" s="60" t="str">
        <f t="shared" si="520"/>
        <v/>
      </c>
      <c r="FA322" s="60" t="e">
        <f>IF(EZ322="",NA(),SUM($EZ$4:EZ322))</f>
        <v>#N/A</v>
      </c>
      <c r="FB322" s="246" t="str">
        <f t="shared" si="545"/>
        <v/>
      </c>
      <c r="FC322" s="246" t="e">
        <f>IF($FB322="",#N/A,SUM(FB$4:$FB322))</f>
        <v>#N/A</v>
      </c>
      <c r="FD322" s="60" t="str">
        <f t="shared" si="521"/>
        <v/>
      </c>
      <c r="FE322" s="60" t="e">
        <f>IF($FD322="",#N/A,SUM($FD$4:FD322))</f>
        <v>#N/A</v>
      </c>
      <c r="FF322" s="60" t="str">
        <f t="shared" si="522"/>
        <v/>
      </c>
      <c r="FG322" s="60" t="e">
        <f>IF($FF322="",#N/A,SUM($FF$4:FF322))</f>
        <v>#N/A</v>
      </c>
      <c r="FH322" s="60" t="str">
        <f t="shared" si="523"/>
        <v/>
      </c>
      <c r="FI322" s="60" t="e">
        <f>IF($FH322="",#N/A,SUM($FH$4:FH322))</f>
        <v>#N/A</v>
      </c>
      <c r="FJ322" s="60" t="str">
        <f t="shared" si="524"/>
        <v/>
      </c>
      <c r="FK322" s="60" t="e">
        <f>IF($FJ322="",#N/A,SUM($FJ$4:FJ322))</f>
        <v>#N/A</v>
      </c>
      <c r="FL322" s="60">
        <f t="shared" si="525"/>
        <v>-7.4279154568170247E-2</v>
      </c>
      <c r="FM322" s="60">
        <f>IF($FL322="",#N/A,SUM($FL$4:FL322))</f>
        <v>-1.309695934966006</v>
      </c>
      <c r="FN322" s="82">
        <f t="shared" si="526"/>
        <v>-1.3730389177752271</v>
      </c>
      <c r="FO322" s="82">
        <f>IF($FN322="",#N/A,SUM(FN$4:$FN322))</f>
        <v>54.153504593616155</v>
      </c>
      <c r="FP322" s="82">
        <f t="shared" si="546"/>
        <v>-1.2987597632070569</v>
      </c>
      <c r="FQ322" s="246">
        <f>IF($EH322="",#N/A,SUM($FP$4:FP322))</f>
        <v>51.004622672304897</v>
      </c>
      <c r="FR322" s="82">
        <f>IFERROR(FQ322/COUNTA($J$4:J322),#N/A)</f>
        <v>0.15988909928622225</v>
      </c>
      <c r="FS322" s="82">
        <f t="shared" si="554"/>
        <v>-5.1046673533276563E-2</v>
      </c>
      <c r="FT322" s="82">
        <f t="shared" si="555"/>
        <v>-0.28864213130982053</v>
      </c>
      <c r="FU322" s="338">
        <f t="shared" si="559"/>
        <v>27.028496804186616</v>
      </c>
      <c r="FV322" s="57" t="str">
        <f t="shared" ref="FV322:FV353" si="560">IF(FW322="Down","Dwn",IF(FW322="Up","Up",IF(AND(FW322="",K322=""),"",IF(AND(K322&lt;0,FW322="Yes"),"Dwn",IF(AND(K322&gt;0,FW322="Yes"),"Up",IF(AND(K322&lt;0,FW322="No"),"Up",IF(AND(K322&gt;0,FW322="No"),"Dwn",IF(FW322="NA","SW","err"))))))))</f>
        <v>SW</v>
      </c>
      <c r="FW322" s="57" t="s">
        <v>2732</v>
      </c>
      <c r="FX322" s="57" t="str">
        <f t="shared" si="528"/>
        <v/>
      </c>
      <c r="FY322" s="57" t="str">
        <f t="shared" si="529"/>
        <v/>
      </c>
      <c r="FZ322" s="57" t="str">
        <f t="shared" si="530"/>
        <v/>
      </c>
      <c r="GA322" s="57" t="str">
        <f t="shared" si="531"/>
        <v>Long</v>
      </c>
      <c r="GB322" s="57" t="str">
        <f t="shared" si="532"/>
        <v/>
      </c>
      <c r="GC322" s="57" t="str">
        <f t="shared" si="533"/>
        <v/>
      </c>
      <c r="GD322" s="57">
        <f t="shared" si="534"/>
        <v>1</v>
      </c>
      <c r="GE322" s="62">
        <f t="shared" si="557"/>
        <v>148.09</v>
      </c>
      <c r="GF322" s="62" t="s">
        <v>2779</v>
      </c>
      <c r="GG322" s="199">
        <v>11</v>
      </c>
      <c r="GH322" s="207">
        <f t="shared" si="535"/>
        <v>1628.99</v>
      </c>
      <c r="GI322" s="199">
        <v>11</v>
      </c>
      <c r="GJ322" s="200">
        <v>136</v>
      </c>
      <c r="GK322" s="63">
        <f t="shared" si="536"/>
        <v>-132.99</v>
      </c>
      <c r="GL322" s="63">
        <f t="shared" si="558"/>
        <v>-134.20000000000005</v>
      </c>
      <c r="GM322" s="82">
        <f t="shared" si="537"/>
        <v>-1.3730389177752271</v>
      </c>
      <c r="GN322" s="82">
        <f>IF($GZ322="",#N/A,SUM(GM$4:GM322))</f>
        <v>4.3465350269146832</v>
      </c>
      <c r="GO322" s="82" t="str">
        <f t="shared" si="538"/>
        <v/>
      </c>
      <c r="GP322" s="82">
        <f>IF($GZ322="",#N/A,SUM(GO$4:GO322))</f>
        <v>18.311918444510358</v>
      </c>
      <c r="GQ322" s="82" t="str">
        <f t="shared" si="539"/>
        <v/>
      </c>
      <c r="GR322" s="82">
        <f>IF($GZ322="",#N/A,SUM(GQ$4:GQ322))</f>
        <v>30.869214167748773</v>
      </c>
      <c r="GS322" s="63" t="e">
        <f t="shared" si="548"/>
        <v>#N/A</v>
      </c>
      <c r="GT322" s="63" t="e">
        <f>IF($GZ322="",#N/A,SUM(GS$4:GS322))</f>
        <v>#N/A</v>
      </c>
      <c r="GU322" s="63" t="str">
        <f t="shared" si="549"/>
        <v/>
      </c>
      <c r="GV322" s="63" t="e">
        <f>IF($GZ322="",#N/A,SUM(GU$4:GU322))</f>
        <v>#N/A</v>
      </c>
      <c r="GW322" s="63" t="str">
        <f t="shared" si="550"/>
        <v/>
      </c>
      <c r="GX322" s="63" t="e">
        <f>IF($GZ322="",#N/A,SUM(GW$4:GW322))</f>
        <v>#N/A</v>
      </c>
      <c r="GY322" s="63" t="e">
        <f>IF(EJ322="",#N/A,SUM($EJ$4:EJ322))</f>
        <v>#N/A</v>
      </c>
      <c r="GZ322" s="159">
        <v>135.88999999999999</v>
      </c>
      <c r="HA322" s="63">
        <f t="shared" si="540"/>
        <v>-7.2600000000002183</v>
      </c>
      <c r="HB322" s="62" t="s">
        <v>2538</v>
      </c>
      <c r="HC322" s="60">
        <f>IFERROR(VLOOKUP(E322,Expectancy!$P$4:$S$19,1+C322,FALSE),"")</f>
        <v>0.27741610538114203</v>
      </c>
      <c r="HD322" s="82">
        <f t="shared" si="541"/>
        <v>-1.3606590586805321</v>
      </c>
      <c r="HE322" s="138">
        <f>IF(HD322="",#N/A,SUM($HD$4:HD322))</f>
        <v>9.4461258681182763</v>
      </c>
      <c r="HF322" s="85">
        <f>IF(HD322="",#N/A,IF(HB322="Skip",#N/A,SUM($HG$4:HG322)))</f>
        <v>242.73657921915515</v>
      </c>
      <c r="HG322" s="63">
        <f t="shared" si="542"/>
        <v>-132.99</v>
      </c>
      <c r="HH322" s="82">
        <f t="shared" si="543"/>
        <v>-1.3730389177752271</v>
      </c>
    </row>
    <row r="323" spans="1:216" x14ac:dyDescent="0.25">
      <c r="A323" s="57" t="s">
        <v>776</v>
      </c>
      <c r="B323" s="58" t="s">
        <v>5241</v>
      </c>
      <c r="C323" s="386">
        <f t="shared" si="453"/>
        <v>3</v>
      </c>
      <c r="D323" s="372" t="str">
        <f>_xlfn.XLOOKUP(A323,[1]SP500!$A$2:$A$502,[1]SP500!$D$2:$D$502,"N")</f>
        <v>Y</v>
      </c>
      <c r="E323" s="57" t="str">
        <f>_xlfn.XLOOKUP(A323,[1]SP500!$A$2:$A$655,[1]SP500!$B$2:$B$655)</f>
        <v>XLK</v>
      </c>
      <c r="F323" s="59">
        <v>45701</v>
      </c>
      <c r="G323" s="57" t="str">
        <f t="shared" si="454"/>
        <v>AMC</v>
      </c>
      <c r="H323" s="57" t="str">
        <f t="shared" si="455"/>
        <v>s</v>
      </c>
      <c r="I323" s="159">
        <v>466.05</v>
      </c>
      <c r="J323" s="159">
        <v>471.05</v>
      </c>
      <c r="K323" s="61">
        <f t="shared" si="456"/>
        <v>1.0728462611307799E-2</v>
      </c>
      <c r="L323" s="87">
        <f t="shared" si="457"/>
        <v>20</v>
      </c>
      <c r="M323" s="130">
        <f t="shared" si="556"/>
        <v>0</v>
      </c>
      <c r="N323" s="169" t="str">
        <f t="shared" si="458"/>
        <v/>
      </c>
      <c r="O323" s="169">
        <f>IF($J323="",#N/A,SUM($N$4:N323))</f>
        <v>885.04671935422448</v>
      </c>
      <c r="P323" s="174" t="str">
        <f t="shared" si="459"/>
        <v/>
      </c>
      <c r="Q323" s="174">
        <f>IF($J323="",#N/A,SUM($P$4:P323))</f>
        <v>223.96890674734198</v>
      </c>
      <c r="R323" s="178">
        <f t="shared" si="460"/>
        <v>20</v>
      </c>
      <c r="S323" s="178">
        <f>IF($J323="",#N/A,SUM($R$4:R323))</f>
        <v>-91.530428290428745</v>
      </c>
      <c r="T323" s="290" t="str">
        <f t="shared" si="461"/>
        <v/>
      </c>
      <c r="U323" s="290">
        <f>IF($J323="",#N/A,SUM($T$4:T323))</f>
        <v>22.462212729532133</v>
      </c>
      <c r="V323" s="291" t="str">
        <f t="shared" si="462"/>
        <v/>
      </c>
      <c r="W323" s="291">
        <f>IF($J323="",#N/A,SUM($V$4:V323))</f>
        <v>21.87872204814526</v>
      </c>
      <c r="X323" s="292">
        <f t="shared" si="463"/>
        <v>0.17880771018846331</v>
      </c>
      <c r="Y323" s="292">
        <f>IF($J323="",#N/A,SUM($X$4:X323))</f>
        <v>6.8424956048159853</v>
      </c>
      <c r="Z323" s="304" t="str">
        <f t="shared" si="464"/>
        <v/>
      </c>
      <c r="AA323" s="313" t="e">
        <f>IF($J323="",#N/A,SUM(Z$4:Z323))</f>
        <v>#N/A</v>
      </c>
      <c r="AB323" s="314" t="str">
        <f t="shared" si="465"/>
        <v/>
      </c>
      <c r="AC323" s="314" t="e">
        <f>IF($J323="",#N/A,SUM(AB$4:AB323))</f>
        <v>#N/A</v>
      </c>
      <c r="AD323" s="315">
        <f t="shared" si="466"/>
        <v>0.17880771018846331</v>
      </c>
      <c r="AE323" s="315" t="e">
        <f>IF($J323="",#N/A,SUM(AD$4:AD323))</f>
        <v>#N/A</v>
      </c>
      <c r="AF323" s="315" t="e">
        <f>IF($J323="",#N/A,SUM(AD$4:AD323,AB$4:AB323,Z$4:Z323))</f>
        <v>#N/A</v>
      </c>
      <c r="AG323" s="304" t="str">
        <f t="shared" si="467"/>
        <v/>
      </c>
      <c r="AH323" s="313" t="e">
        <f>IF($J323="",#N/A,SUM(AG$4:AG323))</f>
        <v>#N/A</v>
      </c>
      <c r="AI323" s="314" t="str">
        <f t="shared" si="468"/>
        <v/>
      </c>
      <c r="AJ323" s="314" t="e">
        <f>IF($J323="",#N/A,SUM(AI$4:AI323))</f>
        <v>#N/A</v>
      </c>
      <c r="AK323" s="315" t="str">
        <f t="shared" si="469"/>
        <v/>
      </c>
      <c r="AL323" s="315" t="e">
        <f>IF($J323="",#N/A,SUM(AK$4:AK323))</f>
        <v>#N/A</v>
      </c>
      <c r="AM323" s="315" t="e">
        <f>IF($J323="",#N/A,SUM(AK$4:AK323,AI$4:AI323,AG$4:AG323))</f>
        <v>#N/A</v>
      </c>
      <c r="AN323" s="304" t="str">
        <f t="shared" si="470"/>
        <v/>
      </c>
      <c r="AO323" s="313" t="e">
        <f>IF($J323="",#N/A,SUM(AN$4:AN323))</f>
        <v>#N/A</v>
      </c>
      <c r="AP323" s="314" t="str">
        <f t="shared" si="471"/>
        <v/>
      </c>
      <c r="AQ323" s="314" t="e">
        <f>IF($J323="",#N/A,SUM(AP$4:AP323))</f>
        <v>#N/A</v>
      </c>
      <c r="AR323" s="315" t="str">
        <f t="shared" si="472"/>
        <v/>
      </c>
      <c r="AS323" s="315" t="e">
        <f>IF($J323="",#N/A,SUM(AR$4:AR323))</f>
        <v>#N/A</v>
      </c>
      <c r="AT323" s="315" t="e">
        <f>IF($J323="",#N/A,SUM(AR$4:AR323,AP$4:AP323,AN$4:AN323))</f>
        <v>#N/A</v>
      </c>
      <c r="AU323" s="304" t="str">
        <f t="shared" si="473"/>
        <v/>
      </c>
      <c r="AV323" s="313" t="e">
        <f>IF($J323="",#N/A,SUM(AU$4:AU323))</f>
        <v>#N/A</v>
      </c>
      <c r="AW323" s="314" t="str">
        <f t="shared" si="474"/>
        <v/>
      </c>
      <c r="AX323" s="314" t="e">
        <f>IF($J323="",#N/A,SUM(AW$4:AW323))</f>
        <v>#N/A</v>
      </c>
      <c r="AY323" s="315" t="str">
        <f t="shared" si="475"/>
        <v/>
      </c>
      <c r="AZ323" s="315" t="e">
        <f>IF($J323="",#N/A,SUM(AY$4:AY323))</f>
        <v>#N/A</v>
      </c>
      <c r="BA323" s="315" t="e">
        <f>IF($J323="",#N/A,SUM(AY$4:AY323,AW$4:AW323,AU$4:AU323))</f>
        <v>#N/A</v>
      </c>
      <c r="BB323" s="304" t="str">
        <f t="shared" si="476"/>
        <v/>
      </c>
      <c r="BC323" s="313" t="e">
        <f>IF($J323="",#N/A,SUM(BB$4:BB323))</f>
        <v>#N/A</v>
      </c>
      <c r="BD323" s="314" t="str">
        <f t="shared" si="477"/>
        <v/>
      </c>
      <c r="BE323" s="314" t="e">
        <f>IF($J323="",#N/A,SUM(BD$4:BD323))</f>
        <v>#N/A</v>
      </c>
      <c r="BF323" s="315" t="str">
        <f t="shared" si="478"/>
        <v/>
      </c>
      <c r="BG323" s="315" t="e">
        <f>IF($J323="",#N/A,SUM(BF$4:BF323))</f>
        <v>#N/A</v>
      </c>
      <c r="BH323" s="315" t="e">
        <f>IF($J323="",#N/A,SUM(BF$4:BF323,BD$4:BD323,BB$4:BB323))</f>
        <v>#N/A</v>
      </c>
      <c r="BI323" s="304" t="str">
        <f t="shared" si="479"/>
        <v/>
      </c>
      <c r="BJ323" s="313" t="e">
        <f>IF($J323="",#N/A,SUM(BI$4:BI323))</f>
        <v>#N/A</v>
      </c>
      <c r="BK323" s="314" t="str">
        <f t="shared" si="480"/>
        <v/>
      </c>
      <c r="BL323" s="314" t="e">
        <f>IF($J323="",#N/A,SUM(BK$4:BK323))</f>
        <v>#N/A</v>
      </c>
      <c r="BM323" s="315" t="str">
        <f t="shared" si="481"/>
        <v/>
      </c>
      <c r="BN323" s="315" t="e">
        <f>IF($J323="",#N/A,SUM(BM$4:BM323))</f>
        <v>#N/A</v>
      </c>
      <c r="BO323" s="315" t="e">
        <f>IF($J323="",#N/A,SUM(BM$4:BM323,BK$4:BK323,BI$4:BI323))</f>
        <v>#N/A</v>
      </c>
      <c r="BP323" s="304" t="str">
        <f t="shared" si="482"/>
        <v/>
      </c>
      <c r="BQ323" s="313" t="e">
        <f>IF($J323="",#N/A,SUM(BP$4:BP323))</f>
        <v>#N/A</v>
      </c>
      <c r="BR323" s="314" t="str">
        <f t="shared" si="483"/>
        <v/>
      </c>
      <c r="BS323" s="314" t="e">
        <f>IF($J323="",#N/A,SUM(BR$4:BR323))</f>
        <v>#N/A</v>
      </c>
      <c r="BT323" s="315" t="str">
        <f t="shared" si="484"/>
        <v/>
      </c>
      <c r="BU323" s="315" t="e">
        <f>IF($J323="",#N/A,SUM(BT$4:BT323))</f>
        <v>#N/A</v>
      </c>
      <c r="BV323" s="315" t="e">
        <f>IF($J323="",#N/A,SUM(BT$4:BT323,BR$4:BR323,BP$4:BP323))</f>
        <v>#N/A</v>
      </c>
      <c r="BW323" s="304" t="str">
        <f t="shared" si="485"/>
        <v/>
      </c>
      <c r="BX323" s="313" t="e">
        <f>IF($J323="",#N/A,SUM(BW$4:BW323))</f>
        <v>#N/A</v>
      </c>
      <c r="BY323" s="314" t="str">
        <f t="shared" si="486"/>
        <v/>
      </c>
      <c r="BZ323" s="314" t="e">
        <f>IF($J323="",#N/A,SUM(BY$4:BY323))</f>
        <v>#N/A</v>
      </c>
      <c r="CA323" s="315" t="str">
        <f t="shared" si="487"/>
        <v/>
      </c>
      <c r="CB323" s="315" t="e">
        <f>IF($J323="",#N/A,SUM(CA$4:CA323))</f>
        <v>#N/A</v>
      </c>
      <c r="CC323" s="315" t="e">
        <f>IF($J323="",#N/A,SUM(CA$4:CA323,BY$4:BY323,BW$4:BW323))</f>
        <v>#N/A</v>
      </c>
      <c r="CD323" s="304" t="str">
        <f t="shared" si="488"/>
        <v/>
      </c>
      <c r="CE323" s="313" t="e">
        <f>IF($J323="",#N/A,SUM(CD$4:CD323))</f>
        <v>#N/A</v>
      </c>
      <c r="CF323" s="314" t="str">
        <f t="shared" si="489"/>
        <v/>
      </c>
      <c r="CG323" s="314" t="e">
        <f>IF($J323="",#N/A,SUM(CF$4:CF323))</f>
        <v>#N/A</v>
      </c>
      <c r="CH323" s="315" t="str">
        <f t="shared" si="490"/>
        <v/>
      </c>
      <c r="CI323" s="315" t="e">
        <f>IF($J323="",#N/A,SUM(CH$4:CH323))</f>
        <v>#N/A</v>
      </c>
      <c r="CJ323" s="315" t="e">
        <f>IF($J323="",#N/A,SUM(CH$4:CH323,CF$4:CF323,CD$4:CD323))</f>
        <v>#N/A</v>
      </c>
      <c r="CK323" s="304" t="str">
        <f t="shared" si="491"/>
        <v/>
      </c>
      <c r="CL323" s="313" t="e">
        <f>IF($J323="",#N/A,SUM(CK$4:CK323))</f>
        <v>#N/A</v>
      </c>
      <c r="CM323" s="314" t="str">
        <f t="shared" si="492"/>
        <v/>
      </c>
      <c r="CN323" s="314" t="e">
        <f>IF($J323="",#N/A,SUM(CM$4:CM323))</f>
        <v>#N/A</v>
      </c>
      <c r="CO323" s="315" t="str">
        <f t="shared" si="493"/>
        <v/>
      </c>
      <c r="CP323" s="315" t="e">
        <f>IF($J323="",#N/A,SUM(CO$4:CO323))</f>
        <v>#N/A</v>
      </c>
      <c r="CQ323" s="315" t="e">
        <f>IF($J323="",#N/A,SUM(CO$4:CO323,CM$4:CM323,CK$4:CK323))</f>
        <v>#N/A</v>
      </c>
      <c r="CR323" s="304" t="str">
        <f t="shared" si="494"/>
        <v/>
      </c>
      <c r="CS323" s="313" t="e">
        <f>IF($J323="",#N/A,SUM(CR$4:CR323))</f>
        <v>#N/A</v>
      </c>
      <c r="CT323" s="314" t="str">
        <f t="shared" si="495"/>
        <v/>
      </c>
      <c r="CU323" s="314" t="e">
        <f>IF($J323="",#N/A,SUM(CT$4:CT323))</f>
        <v>#N/A</v>
      </c>
      <c r="CV323" s="315" t="str">
        <f t="shared" si="496"/>
        <v/>
      </c>
      <c r="CW323" s="315" t="e">
        <f>IF($J323="",#N/A,SUM(CV$4:CV323))</f>
        <v>#N/A</v>
      </c>
      <c r="CX323" s="315" t="e">
        <f>IF($J323="",#N/A,SUM(CV$4:CV323,CT$4:CT323,CR$4:CR323))</f>
        <v>#N/A</v>
      </c>
      <c r="CY323" s="304" t="str">
        <f t="shared" si="497"/>
        <v/>
      </c>
      <c r="CZ323" s="313" t="e">
        <f>IF($J323="",#N/A,SUM(CY$4:CY323))</f>
        <v>#N/A</v>
      </c>
      <c r="DA323" s="314" t="str">
        <f t="shared" si="498"/>
        <v/>
      </c>
      <c r="DB323" s="314" t="e">
        <f>IF($J323="",#N/A,SUM(DA$4:DA323))</f>
        <v>#N/A</v>
      </c>
      <c r="DC323" s="315" t="str">
        <f t="shared" si="499"/>
        <v/>
      </c>
      <c r="DD323" s="315" t="e">
        <f>IF($J323="",#N/A,SUM(DC$4:DC323))</f>
        <v>#N/A</v>
      </c>
      <c r="DE323" s="315" t="e">
        <f>IF($J323="",#N/A,SUM(DC$4:DC323,DA$4:DA323,CY$4:CY323))</f>
        <v>#N/A</v>
      </c>
      <c r="DF323" s="304" t="str">
        <f t="shared" si="500"/>
        <v/>
      </c>
      <c r="DG323" s="313" t="e">
        <f>IF($J323="",#N/A,SUM(DF$4:DF323))</f>
        <v>#N/A</v>
      </c>
      <c r="DH323" s="314" t="str">
        <f t="shared" si="501"/>
        <v/>
      </c>
      <c r="DI323" s="314" t="e">
        <f>IF($J323="",#N/A,SUM(DH$4:DH323))</f>
        <v>#N/A</v>
      </c>
      <c r="DJ323" s="315" t="str">
        <f t="shared" si="502"/>
        <v/>
      </c>
      <c r="DK323" s="315" t="e">
        <f>IF($J323="",#N/A,SUM(DJ$4:DJ323))</f>
        <v>#N/A</v>
      </c>
      <c r="DL323" s="315" t="e">
        <f>IF($J323="",#N/A,SUM(DJ$4:DJ323,DH$4:DH323,DF$4:DF323))</f>
        <v>#N/A</v>
      </c>
      <c r="DM323" s="304" t="str">
        <f t="shared" si="503"/>
        <v/>
      </c>
      <c r="DN323" s="313" t="e">
        <f>IF($J323="",#N/A,SUM(DM$4:DM323))</f>
        <v>#N/A</v>
      </c>
      <c r="DO323" s="314" t="str">
        <f t="shared" si="504"/>
        <v/>
      </c>
      <c r="DP323" s="314" t="e">
        <f>IF($J323="",#N/A,SUM(DO$4:DO323))</f>
        <v>#N/A</v>
      </c>
      <c r="DQ323" s="315" t="str">
        <f t="shared" si="505"/>
        <v/>
      </c>
      <c r="DR323" s="315" t="e">
        <f>IF($J323="",#N/A,SUM(DQ$4:DQ323))</f>
        <v>#N/A</v>
      </c>
      <c r="DS323" s="315" t="e">
        <f>IF($J323="",#N/A,SUM(DQ$4:DQ323,DO$4:DO323,DM$4:DM323))</f>
        <v>#N/A</v>
      </c>
      <c r="DT323" s="304" t="str">
        <f t="shared" si="506"/>
        <v/>
      </c>
      <c r="DU323" s="313" t="e">
        <f>IF($J323="",#N/A,SUM(DT$4:DT323))</f>
        <v>#N/A</v>
      </c>
      <c r="DV323" s="314" t="str">
        <f t="shared" si="507"/>
        <v/>
      </c>
      <c r="DW323" s="314" t="e">
        <f>IF($J323="",#N/A,SUM(DV$4:DV323))</f>
        <v>#N/A</v>
      </c>
      <c r="DX323" s="315" t="str">
        <f t="shared" si="508"/>
        <v/>
      </c>
      <c r="DY323" s="315" t="e">
        <f>IF($J323="",#N/A,SUM(DX$4:DX323))</f>
        <v>#N/A</v>
      </c>
      <c r="DZ323" s="315" t="e">
        <f>IF($J323="",#N/A,SUM(DX$4:DX323,DV$4:DV323,DT$4:DT323))</f>
        <v>#N/A</v>
      </c>
      <c r="EA323" s="304" t="str">
        <f t="shared" si="509"/>
        <v/>
      </c>
      <c r="EB323" s="313" t="e">
        <f>IF($J323="",#N/A,SUM(EA$4:EA323))</f>
        <v>#N/A</v>
      </c>
      <c r="EC323" s="314" t="str">
        <f t="shared" si="510"/>
        <v/>
      </c>
      <c r="ED323" s="314" t="e">
        <f>IF($J323="",#N/A,SUM(EC$4:EC323))</f>
        <v>#N/A</v>
      </c>
      <c r="EE323" s="315" t="str">
        <f t="shared" si="511"/>
        <v/>
      </c>
      <c r="EF323" s="315" t="e">
        <f>IF($J323="",#N/A,SUM(EE$4:EE323))</f>
        <v>#N/A</v>
      </c>
      <c r="EG323" s="315" t="e">
        <f>IF($J323="",#N/A,SUM(EE$4:EE323,EC$4:EC323,EA$4:EA323))</f>
        <v>#N/A</v>
      </c>
      <c r="EH323" s="130">
        <f t="shared" si="512"/>
        <v>20</v>
      </c>
      <c r="EI323" s="63">
        <f>IF(EH323="",#N/A,SUM($EH$4:EH323))</f>
        <v>1017.4851978111378</v>
      </c>
      <c r="EJ323" s="223" t="e">
        <f t="shared" si="513"/>
        <v>#N/A</v>
      </c>
      <c r="EK323" s="63" t="e">
        <f>IF($GZ323="",#N/A,SUM(EJ$4:EJ323))</f>
        <v>#N/A</v>
      </c>
      <c r="EL323" s="60">
        <f t="shared" si="544"/>
        <v>0.17880771018846331</v>
      </c>
      <c r="EM323" s="60">
        <f>IF(EL323="",NA(),SUM($EL$4:EL323))</f>
        <v>32.915328044996947</v>
      </c>
      <c r="EN323" s="60" t="str">
        <f t="shared" si="514"/>
        <v/>
      </c>
      <c r="EO323" s="60" t="e">
        <f>IF(EN323="",NA(),SUM($EN$4:EN323))</f>
        <v>#N/A</v>
      </c>
      <c r="EP323" s="60">
        <f t="shared" si="515"/>
        <v>0.17880771018846331</v>
      </c>
      <c r="EQ323" s="60">
        <f>IF(EP323="",NA(),SUM($EP$4:EP323))</f>
        <v>5.9073514380829</v>
      </c>
      <c r="ER323" s="60" t="str">
        <f t="shared" si="516"/>
        <v/>
      </c>
      <c r="ES323" s="60" t="e">
        <f>IF(ER323="",NA(),SUM($ER$4:ER323))</f>
        <v>#N/A</v>
      </c>
      <c r="ET323" s="60" t="str">
        <f t="shared" si="517"/>
        <v/>
      </c>
      <c r="EU323" s="60" t="e">
        <f>IF(ET323="",NA(),SUM($ET$4:ET323))</f>
        <v>#N/A</v>
      </c>
      <c r="EV323" s="60" t="str">
        <f t="shared" si="518"/>
        <v/>
      </c>
      <c r="EW323" s="60" t="e">
        <f>IF(EV323="",NA(),SUM($EV$4:EV323))</f>
        <v>#N/A</v>
      </c>
      <c r="EX323" s="60" t="str">
        <f t="shared" si="519"/>
        <v/>
      </c>
      <c r="EY323" s="60" t="e">
        <f>IF(EX323="",NA(),SUM($EX$4:EX323))</f>
        <v>#N/A</v>
      </c>
      <c r="EZ323" s="60" t="str">
        <f t="shared" si="520"/>
        <v/>
      </c>
      <c r="FA323" s="60" t="e">
        <f>IF(EZ323="",NA(),SUM($EZ$4:EZ323))</f>
        <v>#N/A</v>
      </c>
      <c r="FB323" s="246" t="str">
        <f t="shared" si="545"/>
        <v/>
      </c>
      <c r="FC323" s="246" t="e">
        <f>IF($FB323="",#N/A,SUM(FB$4:$FB323))</f>
        <v>#N/A</v>
      </c>
      <c r="FD323" s="60" t="str">
        <f t="shared" si="521"/>
        <v/>
      </c>
      <c r="FE323" s="60" t="e">
        <f>IF($FD323="",#N/A,SUM($FD$4:FD323))</f>
        <v>#N/A</v>
      </c>
      <c r="FF323" s="60" t="str">
        <f t="shared" si="522"/>
        <v/>
      </c>
      <c r="FG323" s="60" t="e">
        <f>IF($FF323="",#N/A,SUM($FF$4:FF323))</f>
        <v>#N/A</v>
      </c>
      <c r="FH323" s="60" t="str">
        <f t="shared" si="523"/>
        <v/>
      </c>
      <c r="FI323" s="60" t="e">
        <f>IF($FH323="",#N/A,SUM($FH$4:FH323))</f>
        <v>#N/A</v>
      </c>
      <c r="FJ323" s="60">
        <f t="shared" si="524"/>
        <v>-1.1769123484604664</v>
      </c>
      <c r="FK323" s="60">
        <f>IF($FJ323="",#N/A,SUM($FJ$4:FJ323))</f>
        <v>-2.184369281207307</v>
      </c>
      <c r="FL323" s="60" t="str">
        <f t="shared" si="525"/>
        <v/>
      </c>
      <c r="FM323" s="60" t="e">
        <f>IF($FL323="",#N/A,SUM($FL$4:FL323))</f>
        <v>#N/A</v>
      </c>
      <c r="FN323" s="82">
        <f t="shared" si="526"/>
        <v>-0.99810463827200313</v>
      </c>
      <c r="FO323" s="82">
        <f>IF($FN323="",#N/A,SUM(FN$4:$FN323))</f>
        <v>53.155399955344151</v>
      </c>
      <c r="FP323" s="82">
        <f t="shared" si="546"/>
        <v>0.17880771018846331</v>
      </c>
      <c r="FQ323" s="246">
        <f>IF($EH323="",#N/A,SUM($FP$4:FP323))</f>
        <v>51.183430382493363</v>
      </c>
      <c r="FR323" s="82">
        <f>IFERROR(FQ323/COUNTA($J$4:J323),#N/A)</f>
        <v>0.15994821994529176</v>
      </c>
      <c r="FS323" s="82">
        <f t="shared" si="554"/>
        <v>-5.649758921284629E-2</v>
      </c>
      <c r="FT323" s="82">
        <f t="shared" si="555"/>
        <v>-0.32769221190385961</v>
      </c>
      <c r="FU323" s="338">
        <f t="shared" si="559"/>
        <v>27.028496804186624</v>
      </c>
      <c r="FV323" s="57" t="str">
        <f t="shared" si="560"/>
        <v>SW</v>
      </c>
      <c r="FW323" s="57" t="s">
        <v>2732</v>
      </c>
      <c r="FX323" s="57" t="str">
        <f t="shared" si="528"/>
        <v/>
      </c>
      <c r="FY323" s="57" t="str">
        <f t="shared" si="529"/>
        <v/>
      </c>
      <c r="FZ323" s="57">
        <f t="shared" si="530"/>
        <v>1</v>
      </c>
      <c r="GA323" s="57" t="str">
        <f t="shared" si="531"/>
        <v>Long</v>
      </c>
      <c r="GB323" s="57" t="str">
        <f t="shared" si="532"/>
        <v/>
      </c>
      <c r="GC323" s="57" t="str">
        <f t="shared" si="533"/>
        <v/>
      </c>
      <c r="GD323" s="57" t="str">
        <f t="shared" si="534"/>
        <v/>
      </c>
      <c r="GE323" s="62">
        <f t="shared" si="557"/>
        <v>466.05</v>
      </c>
      <c r="GF323" s="62" t="s">
        <v>2779</v>
      </c>
      <c r="GG323" s="199">
        <v>4</v>
      </c>
      <c r="GH323" s="207">
        <f t="shared" si="535"/>
        <v>1864.2</v>
      </c>
      <c r="GI323" s="199">
        <v>4</v>
      </c>
      <c r="GJ323" s="200">
        <v>471.05</v>
      </c>
      <c r="GK323" s="63">
        <f t="shared" si="536"/>
        <v>20</v>
      </c>
      <c r="GL323" s="63">
        <f t="shared" si="558"/>
        <v>-111.6400000000001</v>
      </c>
      <c r="GM323" s="82">
        <f t="shared" si="537"/>
        <v>-0.99810463827200313</v>
      </c>
      <c r="GN323" s="82">
        <f>IF($GZ323="",#N/A,SUM(GM$4:GM323))</f>
        <v>3.3484303886426803</v>
      </c>
      <c r="GO323" s="82" t="str">
        <f t="shared" si="538"/>
        <v/>
      </c>
      <c r="GP323" s="82">
        <f>IF($GZ323="",#N/A,SUM(GO$4:GO323))</f>
        <v>18.311918444510358</v>
      </c>
      <c r="GQ323" s="82" t="str">
        <f t="shared" si="539"/>
        <v/>
      </c>
      <c r="GR323" s="82">
        <f>IF($GZ323="",#N/A,SUM(GQ$4:GQ323))</f>
        <v>30.869214167748773</v>
      </c>
      <c r="GS323" s="63" t="e">
        <f t="shared" si="548"/>
        <v>#N/A</v>
      </c>
      <c r="GT323" s="63" t="e">
        <f>IF($GZ323="",#N/A,SUM(GS$4:GS323))</f>
        <v>#N/A</v>
      </c>
      <c r="GU323" s="63" t="str">
        <f t="shared" si="549"/>
        <v/>
      </c>
      <c r="GV323" s="63" t="e">
        <f>IF($GZ323="",#N/A,SUM(GU$4:GU323))</f>
        <v>#N/A</v>
      </c>
      <c r="GW323" s="63" t="str">
        <f t="shared" si="550"/>
        <v/>
      </c>
      <c r="GX323" s="63" t="e">
        <f>IF($GZ323="",#N/A,SUM(GW$4:GW323))</f>
        <v>#N/A</v>
      </c>
      <c r="GY323" s="63" t="e">
        <f>IF(EJ323="",#N/A,SUM($EJ$4:EJ323))</f>
        <v>#N/A</v>
      </c>
      <c r="GZ323" s="159">
        <v>438.14</v>
      </c>
      <c r="HA323" s="63">
        <f t="shared" si="540"/>
        <v>-131.6400000000001</v>
      </c>
      <c r="HB323" s="62" t="s">
        <v>2538</v>
      </c>
      <c r="HC323" s="60">
        <f>IFERROR(VLOOKUP(E323,Expectancy!$P$4:$S$19,1+C323,FALSE),"")</f>
        <v>-0.17081772033279666</v>
      </c>
      <c r="HD323" s="82">
        <f t="shared" si="541"/>
        <v>0.17880771018846331</v>
      </c>
      <c r="HE323" s="138">
        <f>IF(HD323="",#N/A,SUM($HD$4:HD323))</f>
        <v>9.6249335783067398</v>
      </c>
      <c r="HF323" s="85">
        <f>IF(HD323="",#N/A,IF(HB323="Skip",#N/A,SUM($HG$4:HG323)))</f>
        <v>262.73657921915515</v>
      </c>
      <c r="HG323" s="63">
        <f t="shared" si="542"/>
        <v>20</v>
      </c>
      <c r="HH323" s="82">
        <f t="shared" si="543"/>
        <v>-0.99810463827200313</v>
      </c>
    </row>
    <row r="324" spans="1:216" x14ac:dyDescent="0.25">
      <c r="A324" s="57" t="s">
        <v>652</v>
      </c>
      <c r="B324" s="58" t="s">
        <v>5241</v>
      </c>
      <c r="C324" s="386">
        <f t="shared" ref="C324:C387" si="561">IF(FV324="Dwn",2,IF(FV324="Up",1,IF(FV324="SW",3,"x")))</f>
        <v>3</v>
      </c>
      <c r="D324" s="372" t="str">
        <f>_xlfn.XLOOKUP(A324,[1]SP500!$A$2:$A$502,[1]SP500!$D$2:$D$502,"N")</f>
        <v>Y</v>
      </c>
      <c r="E324" s="57" t="str">
        <f>_xlfn.XLOOKUP(A324,[1]SP500!$A$2:$A$655,[1]SP500!$B$2:$B$655)</f>
        <v>XLY</v>
      </c>
      <c r="F324" s="59">
        <v>45701</v>
      </c>
      <c r="G324" s="57" t="str">
        <f t="shared" ref="G324:G387" si="562">IF(ISNUMBER(FIND("After",B324,1)),"AMC",IF(ISNUMBER(FIND("Before",B324,1)),"BMO","err"))</f>
        <v>AMC</v>
      </c>
      <c r="H324" s="57" t="str">
        <f t="shared" ref="H324:H387" si="563">IF(HB324="other","o",IF(HB324="Skip","o",IF(OR(FV324="",GF324=""),"",IF(AND(FV324="Dwn",GF324="Short"),"s",IF(AND(FV324="Up",GF324="Long"),"s",IF(AND(FV324="SW",GF324="Long"),"s","o"))))))</f>
        <v>s</v>
      </c>
      <c r="I324" s="159">
        <v>141.04</v>
      </c>
      <c r="J324" s="159">
        <v>158.185</v>
      </c>
      <c r="K324" s="61">
        <f t="shared" ref="K324:K387" si="564">IF(J324="","",(J324-I324)/I324)</f>
        <v>0.12156125921724341</v>
      </c>
      <c r="L324" s="87">
        <f t="shared" ref="L324:L387" si="565">IF(OR($GI324="",J324=""),"",IF($GF324="Long",(($J324*$GI324)-$GH324),($GH324-($J324*$GI324))))</f>
        <v>205.74</v>
      </c>
      <c r="M324" s="130">
        <f t="shared" si="556"/>
        <v>-2.2200000000000273</v>
      </c>
      <c r="N324" s="169" t="str">
        <f t="shared" ref="N324:N387" si="566">IF(AND($FV324="Up",$GA324="Long"),$EH324,"")</f>
        <v/>
      </c>
      <c r="O324" s="169">
        <f>IF($J324="",#N/A,SUM($N$4:N324))</f>
        <v>885.04671935422448</v>
      </c>
      <c r="P324" s="174" t="str">
        <f t="shared" ref="P324:P387" si="567">IF(AND($FV324="Dwn",$GA324="Short"),$EH324,"")</f>
        <v/>
      </c>
      <c r="Q324" s="174">
        <f>IF($J324="",#N/A,SUM($P$4:P324))</f>
        <v>223.96890674734198</v>
      </c>
      <c r="R324" s="178">
        <f t="shared" ref="R324:R387" si="568">IF(AND($FV324="SW",$GA324="Long"),$EH324,"")</f>
        <v>205.74</v>
      </c>
      <c r="S324" s="178">
        <f>IF($J324="",#N/A,SUM($R$4:R324))</f>
        <v>114.20957170957126</v>
      </c>
      <c r="T324" s="290" t="str">
        <f t="shared" ref="T324:T387" si="569">IF(AND($FV324="Up",$GA324="Long"),$FP324,"")</f>
        <v/>
      </c>
      <c r="U324" s="290">
        <f>IF($J324="",#N/A,SUM($T$4:T324))</f>
        <v>22.462212729532133</v>
      </c>
      <c r="V324" s="291" t="str">
        <f t="shared" ref="V324:V387" si="570">IF(AND($FV324="Dwn",$GA324="Short"),$FP324,"")</f>
        <v/>
      </c>
      <c r="W324" s="291">
        <f>IF($J324="",#N/A,SUM($V$4:V324))</f>
        <v>21.87872204814526</v>
      </c>
      <c r="X324" s="292">
        <f t="shared" ref="X324:X387" si="571">IF(AND($FV324="SW",$GA324="Long"),$FP324,"")</f>
        <v>2.0260209869540557</v>
      </c>
      <c r="Y324" s="292">
        <f>IF($J324="",#N/A,SUM($X$4:X324))</f>
        <v>8.8685165917700406</v>
      </c>
      <c r="Z324" s="304" t="str">
        <f t="shared" ref="Z324:Z387" si="572">IF(AND($FV324="Up",$GA324="Long",$E324=Z$2),$FP324,"")</f>
        <v/>
      </c>
      <c r="AA324" s="313" t="e">
        <f>IF($J324="",#N/A,SUM(Z$4:Z324))</f>
        <v>#N/A</v>
      </c>
      <c r="AB324" s="314" t="str">
        <f t="shared" ref="AB324:AB387" si="573">IF(AND($FV324="Dwn",$GA324="Short",$E324=Z$2),$FP324,"")</f>
        <v/>
      </c>
      <c r="AC324" s="314" t="e">
        <f>IF($J324="",#N/A,SUM(AB$4:AB324))</f>
        <v>#N/A</v>
      </c>
      <c r="AD324" s="315" t="str">
        <f t="shared" ref="AD324:AD387" si="574">IF(AND($FV324="SW",$GA324="Long",$E324=Z$2),$FP324,"")</f>
        <v/>
      </c>
      <c r="AE324" s="315" t="e">
        <f>IF($J324="",#N/A,SUM(AD$4:AD324))</f>
        <v>#N/A</v>
      </c>
      <c r="AF324" s="315" t="e">
        <f>IF($J324="",#N/A,SUM(AD$4:AD324,AB$4:AB324,Z$4:Z324))</f>
        <v>#N/A</v>
      </c>
      <c r="AG324" s="304" t="str">
        <f t="shared" ref="AG324:AG387" si="575">IF(AND($FV324="Up",$GA324="Long",$E324=AG$2),$FP324,"")</f>
        <v/>
      </c>
      <c r="AH324" s="313" t="e">
        <f>IF($J324="",#N/A,SUM(AG$4:AG324))</f>
        <v>#N/A</v>
      </c>
      <c r="AI324" s="314" t="str">
        <f t="shared" ref="AI324:AI387" si="576">IF(AND($FV324="Dwn",$GA324="Short",$E324=AG$2),$FP324,"")</f>
        <v/>
      </c>
      <c r="AJ324" s="314" t="e">
        <f>IF($J324="",#N/A,SUM(AI$4:AI324))</f>
        <v>#N/A</v>
      </c>
      <c r="AK324" s="315" t="str">
        <f t="shared" ref="AK324:AK387" si="577">IF(AND($FV324="SW",$GA324="Long",$E324=AG$2),$FP324,"")</f>
        <v/>
      </c>
      <c r="AL324" s="315" t="e">
        <f>IF($J324="",#N/A,SUM(AK$4:AK324))</f>
        <v>#N/A</v>
      </c>
      <c r="AM324" s="315" t="e">
        <f>IF($J324="",#N/A,SUM(AK$4:AK324,AI$4:AI324,AG$4:AG324))</f>
        <v>#N/A</v>
      </c>
      <c r="AN324" s="304" t="str">
        <f t="shared" ref="AN324:AN387" si="578">IF(AND($FV324="Up",$GA324="Long",$E324=AN$2),$FP324,"")</f>
        <v/>
      </c>
      <c r="AO324" s="313" t="e">
        <f>IF($J324="",#N/A,SUM(AN$4:AN324))</f>
        <v>#N/A</v>
      </c>
      <c r="AP324" s="314" t="str">
        <f t="shared" ref="AP324:AP387" si="579">IF(AND($FV324="Dwn",$GA324="Short",$E324=AN$2),$FP324,"")</f>
        <v/>
      </c>
      <c r="AQ324" s="314" t="e">
        <f>IF($J324="",#N/A,SUM(AP$4:AP324))</f>
        <v>#N/A</v>
      </c>
      <c r="AR324" s="315">
        <f t="shared" ref="AR324:AR387" si="580">IF(AND($FV324="SW",$GA324="Long",$E324=AN$2),$FP324,"")</f>
        <v>2.0260209869540557</v>
      </c>
      <c r="AS324" s="315" t="e">
        <f>IF($J324="",#N/A,SUM(AR$4:AR324))</f>
        <v>#N/A</v>
      </c>
      <c r="AT324" s="315" t="e">
        <f>IF($J324="",#N/A,SUM(AR$4:AR324,AP$4:AP324,AN$4:AN324))</f>
        <v>#N/A</v>
      </c>
      <c r="AU324" s="304" t="str">
        <f t="shared" ref="AU324:AU387" si="581">IF(AND($FV324="Up",$GA324="Long",$E324=AU$2),$FP324,"")</f>
        <v/>
      </c>
      <c r="AV324" s="313" t="e">
        <f>IF($J324="",#N/A,SUM(AU$4:AU324))</f>
        <v>#N/A</v>
      </c>
      <c r="AW324" s="314" t="str">
        <f t="shared" ref="AW324:AW387" si="582">IF(AND($FV324="Dwn",$GA324="Short",$E324=AU$2),$FP324,"")</f>
        <v/>
      </c>
      <c r="AX324" s="314" t="e">
        <f>IF($J324="",#N/A,SUM(AW$4:AW324))</f>
        <v>#N/A</v>
      </c>
      <c r="AY324" s="315" t="str">
        <f t="shared" ref="AY324:AY387" si="583">IF(AND($FV324="SW",$GA324="Long",$E324=AU$2),$FP324,"")</f>
        <v/>
      </c>
      <c r="AZ324" s="315" t="e">
        <f>IF($J324="",#N/A,SUM(AY$4:AY324))</f>
        <v>#N/A</v>
      </c>
      <c r="BA324" s="315" t="e">
        <f>IF($J324="",#N/A,SUM(AY$4:AY324,AW$4:AW324,AU$4:AU324))</f>
        <v>#N/A</v>
      </c>
      <c r="BB324" s="304" t="str">
        <f t="shared" ref="BB324:BB387" si="584">IF(AND($FV324="Up",$GA324="Long",$E324=BB$2),$FP324,"")</f>
        <v/>
      </c>
      <c r="BC324" s="313" t="e">
        <f>IF($J324="",#N/A,SUM(BB$4:BB324))</f>
        <v>#N/A</v>
      </c>
      <c r="BD324" s="314" t="str">
        <f t="shared" ref="BD324:BD387" si="585">IF(AND($FV324="Dwn",$GA324="Short",$E324=BB$2),$FP324,"")</f>
        <v/>
      </c>
      <c r="BE324" s="314" t="e">
        <f>IF($J324="",#N/A,SUM(BD$4:BD324))</f>
        <v>#N/A</v>
      </c>
      <c r="BF324" s="315" t="str">
        <f t="shared" ref="BF324:BF387" si="586">IF(AND($FV324="SW",$GA324="Long",$E324=BB$2),$FP324,"")</f>
        <v/>
      </c>
      <c r="BG324" s="315" t="e">
        <f>IF($J324="",#N/A,SUM(BF$4:BF324))</f>
        <v>#N/A</v>
      </c>
      <c r="BH324" s="315" t="e">
        <f>IF($J324="",#N/A,SUM(BF$4:BF324,BD$4:BD324,BB$4:BB324))</f>
        <v>#N/A</v>
      </c>
      <c r="BI324" s="304" t="str">
        <f t="shared" ref="BI324:BI387" si="587">IF(AND($FV324="Up",$GA324="Long",$E324=BI$2),$FP324,"")</f>
        <v/>
      </c>
      <c r="BJ324" s="313" t="e">
        <f>IF($J324="",#N/A,SUM(BI$4:BI324))</f>
        <v>#N/A</v>
      </c>
      <c r="BK324" s="314" t="str">
        <f t="shared" ref="BK324:BK387" si="588">IF(AND($FV324="Dwn",$GA324="Short",$E324=BI$2),$FP324,"")</f>
        <v/>
      </c>
      <c r="BL324" s="314" t="e">
        <f>IF($J324="",#N/A,SUM(BK$4:BK324))</f>
        <v>#N/A</v>
      </c>
      <c r="BM324" s="315" t="str">
        <f t="shared" ref="BM324:BM387" si="589">IF(AND($FV324="SW",$GA324="Long",$E324=BI$2),$FP324,"")</f>
        <v/>
      </c>
      <c r="BN324" s="315" t="e">
        <f>IF($J324="",#N/A,SUM(BM$4:BM324))</f>
        <v>#N/A</v>
      </c>
      <c r="BO324" s="315" t="e">
        <f>IF($J324="",#N/A,SUM(BM$4:BM324,BK$4:BK324,BI$4:BI324))</f>
        <v>#N/A</v>
      </c>
      <c r="BP324" s="304" t="str">
        <f t="shared" ref="BP324:BP387" si="590">IF(AND($FV324="Up",$GA324="Long",$E324=BP$2),$FP324,"")</f>
        <v/>
      </c>
      <c r="BQ324" s="313" t="e">
        <f>IF($J324="",#N/A,SUM(BP$4:BP324))</f>
        <v>#N/A</v>
      </c>
      <c r="BR324" s="314" t="str">
        <f t="shared" ref="BR324:BR387" si="591">IF(AND($FV324="Dwn",$GA324="Short",$E324=BP$2),$FP324,"")</f>
        <v/>
      </c>
      <c r="BS324" s="314" t="e">
        <f>IF($J324="",#N/A,SUM(BR$4:BR324))</f>
        <v>#N/A</v>
      </c>
      <c r="BT324" s="315" t="str">
        <f t="shared" ref="BT324:BT387" si="592">IF(AND($FV324="SW",$GA324="Long",$E324=BP$2),$FP324,"")</f>
        <v/>
      </c>
      <c r="BU324" s="315" t="e">
        <f>IF($J324="",#N/A,SUM(BT$4:BT324))</f>
        <v>#N/A</v>
      </c>
      <c r="BV324" s="315" t="e">
        <f>IF($J324="",#N/A,SUM(BT$4:BT324,BR$4:BR324,BP$4:BP324))</f>
        <v>#N/A</v>
      </c>
      <c r="BW324" s="304" t="str">
        <f t="shared" ref="BW324:BW387" si="593">IF(AND($FV324="Up",$GA324="Long",$E324=BW$2),$FP324,"")</f>
        <v/>
      </c>
      <c r="BX324" s="313" t="e">
        <f>IF($J324="",#N/A,SUM(BW$4:BW324))</f>
        <v>#N/A</v>
      </c>
      <c r="BY324" s="314" t="str">
        <f t="shared" ref="BY324:BY387" si="594">IF(AND($FV324="Dwn",$GA324="Short",$E324=BW$2),$FP324,"")</f>
        <v/>
      </c>
      <c r="BZ324" s="314" t="e">
        <f>IF($J324="",#N/A,SUM(BY$4:BY324))</f>
        <v>#N/A</v>
      </c>
      <c r="CA324" s="315" t="str">
        <f t="shared" ref="CA324:CA387" si="595">IF(AND($FV324="SW",$GA324="Long",$E324=BW$2),$FP324,"")</f>
        <v/>
      </c>
      <c r="CB324" s="315" t="e">
        <f>IF($J324="",#N/A,SUM(CA$4:CA324))</f>
        <v>#N/A</v>
      </c>
      <c r="CC324" s="315" t="e">
        <f>IF($J324="",#N/A,SUM(CA$4:CA324,BY$4:BY324,BW$4:BW324))</f>
        <v>#N/A</v>
      </c>
      <c r="CD324" s="304" t="str">
        <f t="shared" ref="CD324:CD387" si="596">IF(AND($FV324="Up",$GA324="Long",$E324=CD$2),$FP324,"")</f>
        <v/>
      </c>
      <c r="CE324" s="313" t="e">
        <f>IF($J324="",#N/A,SUM(CD$4:CD324))</f>
        <v>#N/A</v>
      </c>
      <c r="CF324" s="314" t="str">
        <f t="shared" ref="CF324:CF387" si="597">IF(AND($FV324="Dwn",$GA324="Short",$E324=CD$2),$FP324,"")</f>
        <v/>
      </c>
      <c r="CG324" s="314" t="e">
        <f>IF($J324="",#N/A,SUM(CF$4:CF324))</f>
        <v>#N/A</v>
      </c>
      <c r="CH324" s="315" t="str">
        <f t="shared" ref="CH324:CH387" si="598">IF(AND($FV324="SW",$GA324="Long",$E324=CD$2),$FP324,"")</f>
        <v/>
      </c>
      <c r="CI324" s="315" t="e">
        <f>IF($J324="",#N/A,SUM(CH$4:CH324))</f>
        <v>#N/A</v>
      </c>
      <c r="CJ324" s="315" t="e">
        <f>IF($J324="",#N/A,SUM(CH$4:CH324,CF$4:CF324,CD$4:CD324))</f>
        <v>#N/A</v>
      </c>
      <c r="CK324" s="304" t="str">
        <f t="shared" ref="CK324:CK387" si="599">IF(AND($FV324="Up",$GA324="Long",$E324=CK$2),$FP324,"")</f>
        <v/>
      </c>
      <c r="CL324" s="313" t="e">
        <f>IF($J324="",#N/A,SUM(CK$4:CK324))</f>
        <v>#N/A</v>
      </c>
      <c r="CM324" s="314" t="str">
        <f t="shared" ref="CM324:CM387" si="600">IF(AND($FV324="Dwn",$GA324="Short",$E324=CK$2),$FP324,"")</f>
        <v/>
      </c>
      <c r="CN324" s="314" t="e">
        <f>IF($J324="",#N/A,SUM(CM$4:CM324))</f>
        <v>#N/A</v>
      </c>
      <c r="CO324" s="315" t="str">
        <f t="shared" ref="CO324:CO387" si="601">IF(AND($FV324="SW",$GA324="Long",$E324=CK$2),$FP324,"")</f>
        <v/>
      </c>
      <c r="CP324" s="315" t="e">
        <f>IF($J324="",#N/A,SUM(CO$4:CO324))</f>
        <v>#N/A</v>
      </c>
      <c r="CQ324" s="315" t="e">
        <f>IF($J324="",#N/A,SUM(CO$4:CO324,CM$4:CM324,CK$4:CK324))</f>
        <v>#N/A</v>
      </c>
      <c r="CR324" s="304" t="str">
        <f t="shared" ref="CR324:CR387" si="602">IF(AND($FV324="Up",$GA324="Long",$E324=CR$2),$FP324,"")</f>
        <v/>
      </c>
      <c r="CS324" s="313" t="e">
        <f>IF($J324="",#N/A,SUM(CR$4:CR324))</f>
        <v>#N/A</v>
      </c>
      <c r="CT324" s="314" t="str">
        <f t="shared" ref="CT324:CT387" si="603">IF(AND($FV324="Dwn",$GA324="Short",$E324=CR$2),$FP324,"")</f>
        <v/>
      </c>
      <c r="CU324" s="314" t="e">
        <f>IF($J324="",#N/A,SUM(CT$4:CT324))</f>
        <v>#N/A</v>
      </c>
      <c r="CV324" s="315" t="str">
        <f t="shared" ref="CV324:CV387" si="604">IF(AND($FV324="SW",$GA324="Long",$E324=CR$2),$FP324,"")</f>
        <v/>
      </c>
      <c r="CW324" s="315" t="e">
        <f>IF($J324="",#N/A,SUM(CV$4:CV324))</f>
        <v>#N/A</v>
      </c>
      <c r="CX324" s="315" t="e">
        <f>IF($J324="",#N/A,SUM(CV$4:CV324,CT$4:CT324,CR$4:CR324))</f>
        <v>#N/A</v>
      </c>
      <c r="CY324" s="304" t="str">
        <f t="shared" ref="CY324:CY387" si="605">IF(AND($FV324="Up",$GA324="Long",$E324=CY$2),$FP324,"")</f>
        <v/>
      </c>
      <c r="CZ324" s="313" t="e">
        <f>IF($J324="",#N/A,SUM(CY$4:CY324))</f>
        <v>#N/A</v>
      </c>
      <c r="DA324" s="314" t="str">
        <f t="shared" ref="DA324:DA387" si="606">IF(AND($FV324="Dwn",$GA324="Short",$E324=CY$2),$FP324,"")</f>
        <v/>
      </c>
      <c r="DB324" s="314" t="e">
        <f>IF($J324="",#N/A,SUM(DA$4:DA324))</f>
        <v>#N/A</v>
      </c>
      <c r="DC324" s="315" t="str">
        <f t="shared" ref="DC324:DC387" si="607">IF(AND($FV324="SW",$GA324="Long",$E324=CY$2),$FP324,"")</f>
        <v/>
      </c>
      <c r="DD324" s="315" t="e">
        <f>IF($J324="",#N/A,SUM(DC$4:DC324))</f>
        <v>#N/A</v>
      </c>
      <c r="DE324" s="315" t="e">
        <f>IF($J324="",#N/A,SUM(DC$4:DC324,DA$4:DA324,CY$4:CY324))</f>
        <v>#N/A</v>
      </c>
      <c r="DF324" s="304" t="str">
        <f t="shared" ref="DF324:DF387" si="608">IF(AND($FV324="Up",$GA324="Long",$E324=DF$2),$FP324,"")</f>
        <v/>
      </c>
      <c r="DG324" s="313" t="e">
        <f>IF($J324="",#N/A,SUM(DF$4:DF324))</f>
        <v>#N/A</v>
      </c>
      <c r="DH324" s="314" t="str">
        <f t="shared" ref="DH324:DH387" si="609">IF(AND($FV324="Dwn",$GA324="Short",$E324=DF$2),$FP324,"")</f>
        <v/>
      </c>
      <c r="DI324" s="314" t="e">
        <f>IF($J324="",#N/A,SUM(DH$4:DH324))</f>
        <v>#N/A</v>
      </c>
      <c r="DJ324" s="315" t="str">
        <f t="shared" ref="DJ324:DJ387" si="610">IF(AND($FV324="SW",$GA324="Long",$E324=DF$2),$FP324,"")</f>
        <v/>
      </c>
      <c r="DK324" s="315" t="e">
        <f>IF($J324="",#N/A,SUM(DJ$4:DJ324))</f>
        <v>#N/A</v>
      </c>
      <c r="DL324" s="315" t="e">
        <f>IF($J324="",#N/A,SUM(DJ$4:DJ324,DH$4:DH324,DF$4:DF324))</f>
        <v>#N/A</v>
      </c>
      <c r="DM324" s="304" t="str">
        <f t="shared" ref="DM324:DM387" si="611">IF(AND($FV324="Up",$GA324="Long",$E324=DM$2),$FP324,"")</f>
        <v/>
      </c>
      <c r="DN324" s="313" t="e">
        <f>IF($J324="",#N/A,SUM(DM$4:DM324))</f>
        <v>#N/A</v>
      </c>
      <c r="DO324" s="314" t="str">
        <f t="shared" ref="DO324:DO387" si="612">IF(AND($FV324="Dwn",$GA324="Short",$E324=DM$2),$FP324,"")</f>
        <v/>
      </c>
      <c r="DP324" s="314" t="e">
        <f>IF($J324="",#N/A,SUM(DO$4:DO324))</f>
        <v>#N/A</v>
      </c>
      <c r="DQ324" s="315" t="str">
        <f t="shared" ref="DQ324:DQ387" si="613">IF(AND($FV324="SW",$GA324="Long",$E324=DM$2),$FP324,"")</f>
        <v/>
      </c>
      <c r="DR324" s="315" t="e">
        <f>IF($J324="",#N/A,SUM(DQ$4:DQ324))</f>
        <v>#N/A</v>
      </c>
      <c r="DS324" s="315" t="e">
        <f>IF($J324="",#N/A,SUM(DQ$4:DQ324,DO$4:DO324,DM$4:DM324))</f>
        <v>#N/A</v>
      </c>
      <c r="DT324" s="304" t="str">
        <f t="shared" ref="DT324:DT387" si="614">IF(AND($FV324="Up",$GA324="Long",$E324=DT$2),$FP324,"")</f>
        <v/>
      </c>
      <c r="DU324" s="313" t="e">
        <f>IF($J324="",#N/A,SUM(DT$4:DT324))</f>
        <v>#N/A</v>
      </c>
      <c r="DV324" s="314" t="str">
        <f t="shared" ref="DV324:DV387" si="615">IF(AND($FV324="Dwn",$GA324="Short",$E324=DT$2),$FP324,"")</f>
        <v/>
      </c>
      <c r="DW324" s="314" t="e">
        <f>IF($J324="",#N/A,SUM(DV$4:DV324))</f>
        <v>#N/A</v>
      </c>
      <c r="DX324" s="315" t="str">
        <f t="shared" ref="DX324:DX387" si="616">IF(AND($FV324="SW",$GA324="Long",$E324=DT$2),$FP324,"")</f>
        <v/>
      </c>
      <c r="DY324" s="315" t="e">
        <f>IF($J324="",#N/A,SUM(DX$4:DX324))</f>
        <v>#N/A</v>
      </c>
      <c r="DZ324" s="315" t="e">
        <f>IF($J324="",#N/A,SUM(DX$4:DX324,DV$4:DV324,DT$4:DT324))</f>
        <v>#N/A</v>
      </c>
      <c r="EA324" s="304" t="str">
        <f t="shared" ref="EA324:EA387" si="617">IF(AND($FV324="Up",$GA324="Long",$E324=EA$2),$FP324,"")</f>
        <v/>
      </c>
      <c r="EB324" s="313" t="e">
        <f>IF($J324="",#N/A,SUM(EA$4:EA324))</f>
        <v>#N/A</v>
      </c>
      <c r="EC324" s="314" t="str">
        <f t="shared" ref="EC324:EC387" si="618">IF(AND($FV324="Dwn",$GA324="Short",$E324=EA$2),$FP324,"")</f>
        <v/>
      </c>
      <c r="ED324" s="314" t="e">
        <f>IF($J324="",#N/A,SUM(EC$4:EC324))</f>
        <v>#N/A</v>
      </c>
      <c r="EE324" s="315" t="str">
        <f t="shared" ref="EE324:EE387" si="619">IF(AND($FV324="SW",$GA324="Long",$E324=EA$2),$FP324,"")</f>
        <v/>
      </c>
      <c r="EF324" s="315" t="e">
        <f>IF($J324="",#N/A,SUM(EE$4:EE324))</f>
        <v>#N/A</v>
      </c>
      <c r="EG324" s="315" t="e">
        <f>IF($J324="",#N/A,SUM(EE$4:EE324,EC$4:EC324,EA$4:EA324))</f>
        <v>#N/A</v>
      </c>
      <c r="EH324" s="130">
        <f t="shared" ref="EH324:EH387" si="620">IF(OR($GI324="",L324=""),"",IF($GA324="Long",(($J324*$GI324)-$GH324),($GH324-($J324*$GI324))))</f>
        <v>205.74</v>
      </c>
      <c r="EI324" s="63">
        <f>IF(EH324="",#N/A,SUM($EH$4:EH324))</f>
        <v>1223.2251978111378</v>
      </c>
      <c r="EJ324" s="223" t="e">
        <f t="shared" ref="EJ324:EJ387" si="621">IF(GZ324="","",IF(OR($GI324="",AM324=""),"",IF($GA324="Long",(($GZ324*$GI324)-$GH324),($GH324-($GZ324*$GI324)))))</f>
        <v>#N/A</v>
      </c>
      <c r="EK324" s="63" t="e">
        <f>IF($GZ324="",#N/A,SUM(EJ$4:EJ324))</f>
        <v>#N/A</v>
      </c>
      <c r="EL324" s="60">
        <f t="shared" si="544"/>
        <v>2.0260209869540557</v>
      </c>
      <c r="EM324" s="60">
        <f>IF(EL324="",NA(),SUM($EL$4:EL324))</f>
        <v>34.941349031951006</v>
      </c>
      <c r="EN324" s="60" t="str">
        <f t="shared" ref="EN324:EN387" si="622">IF(AND($FV324="Up",$GA324="Long",$D324="Y"),$EL324,"")</f>
        <v/>
      </c>
      <c r="EO324" s="60" t="e">
        <f>IF(EN324="",NA(),SUM($EN$4:EN324))</f>
        <v>#N/A</v>
      </c>
      <c r="EP324" s="60">
        <f t="shared" ref="EP324:EP387" si="623">IF(AND($FV324="SW",$GA324="Long",$D324="Y"),$EL324,"")</f>
        <v>2.0260209869540557</v>
      </c>
      <c r="EQ324" s="60">
        <f>IF(EP324="",NA(),SUM($EP$4:EP324))</f>
        <v>7.9333724250369553</v>
      </c>
      <c r="ER324" s="60" t="str">
        <f t="shared" ref="ER324:ER387" si="624">IF(AND($FV324="Dwn",$GA324="Short",$D324="Y"),$EL324,"")</f>
        <v/>
      </c>
      <c r="ES324" s="60" t="e">
        <f>IF(ER324="",NA(),SUM($ER$4:ER324))</f>
        <v>#N/A</v>
      </c>
      <c r="ET324" s="60" t="str">
        <f t="shared" ref="ET324:ET387" si="625">IF($J324="","",IF($D324="N",$FP324,""))</f>
        <v/>
      </c>
      <c r="EU324" s="60" t="e">
        <f>IF(ET324="",NA(),SUM($ET$4:ET324))</f>
        <v>#N/A</v>
      </c>
      <c r="EV324" s="60" t="str">
        <f t="shared" ref="EV324:EV387" si="626">IF(AND($FV324="Up",$GA324="Long",$D324="N"),$ET324,"")</f>
        <v/>
      </c>
      <c r="EW324" s="60" t="e">
        <f>IF(EV324="",NA(),SUM($EV$4:EV324))</f>
        <v>#N/A</v>
      </c>
      <c r="EX324" s="60" t="str">
        <f t="shared" ref="EX324:EX387" si="627">IF(AND($FV324="SW",$GA324="Long",$D324="N"),$ET324,"")</f>
        <v/>
      </c>
      <c r="EY324" s="60" t="e">
        <f>IF(EX324="",NA(),SUM($EX$4:EX324))</f>
        <v>#N/A</v>
      </c>
      <c r="EZ324" s="60" t="str">
        <f t="shared" ref="EZ324:EZ387" si="628">IF(AND($FV324="Dwn",$GA324="Short",$D324="N"),$ET324,"")</f>
        <v/>
      </c>
      <c r="FA324" s="60" t="e">
        <f>IF(EZ324="",NA(),SUM($EZ$4:EZ324))</f>
        <v>#N/A</v>
      </c>
      <c r="FB324" s="246" t="str">
        <f t="shared" si="545"/>
        <v/>
      </c>
      <c r="FC324" s="246" t="e">
        <f>IF($FB324="",#N/A,SUM(FB$4:$FB324))</f>
        <v>#N/A</v>
      </c>
      <c r="FD324" s="60" t="str">
        <f t="shared" ref="FD324:FD387" si="629">IF($GZ324="","",IF(AND($FV324="Dwn",$K324&gt;0),$FN324-$FP324,""))</f>
        <v/>
      </c>
      <c r="FE324" s="60" t="e">
        <f>IF($FD324="",#N/A,SUM($FD$4:FD324))</f>
        <v>#N/A</v>
      </c>
      <c r="FF324" s="60" t="str">
        <f t="shared" ref="FF324:FF387" si="630">IF($GZ324="","",IF(AND($FV324="Up",$K324&gt;0),$FN324-$FP324,""))</f>
        <v/>
      </c>
      <c r="FG324" s="60" t="e">
        <f>IF($FF324="",#N/A,SUM($FF$4:FF324))</f>
        <v>#N/A</v>
      </c>
      <c r="FH324" s="60" t="str">
        <f t="shared" ref="FH324:FH387" si="631">IF($GZ324="","",IF(AND($FV324="Up",$K324&lt;0),$FN324-$FP324,""))</f>
        <v/>
      </c>
      <c r="FI324" s="60" t="e">
        <f>IF($FH324="",#N/A,SUM($FH$4:FH324))</f>
        <v>#N/A</v>
      </c>
      <c r="FJ324" s="60">
        <f t="shared" ref="FJ324:FJ387" si="632">IF($GZ324="","",IF(AND($FV324="SW",$K324&gt;0),$FN324-$FP324,""))</f>
        <v>0.38227925883909952</v>
      </c>
      <c r="FK324" s="60">
        <f>IF($FJ324="",#N/A,SUM($FJ$4:FJ324))</f>
        <v>-1.8020900223682075</v>
      </c>
      <c r="FL324" s="60" t="str">
        <f t="shared" ref="FL324:FL387" si="633">IF($GZ324="","",IF(AND($FV324="SW",$K324&lt;0),$FN324-$FP324,""))</f>
        <v/>
      </c>
      <c r="FM324" s="60" t="e">
        <f>IF($FL324="",#N/A,SUM($FL$4:FL324))</f>
        <v>#N/A</v>
      </c>
      <c r="FN324" s="82">
        <f t="shared" ref="FN324:FN387" si="634">IF(OR($GI324="",$GZ324=""),"",IF($GA324="Long",(($GZ324*$GI324)-$GH324)/($GH324*0.06),($GH324-($GZ324*$GI324))/($GH324*0.06)))</f>
        <v>2.4083002457931553</v>
      </c>
      <c r="FO324" s="82">
        <f>IF($FN324="",#N/A,SUM(FN$4:$FN324))</f>
        <v>55.563700201137308</v>
      </c>
      <c r="FP324" s="82">
        <f t="shared" si="546"/>
        <v>2.0260209869540557</v>
      </c>
      <c r="FQ324" s="246">
        <f>IF($EH324="",#N/A,SUM($FP$4:FP324))</f>
        <v>53.209451369447422</v>
      </c>
      <c r="FR324" s="82">
        <f>IFERROR(FQ324/COUNTA($J$4:J324),#N/A)</f>
        <v>0.16576153074594213</v>
      </c>
      <c r="FS324" s="82">
        <f t="shared" si="554"/>
        <v>-1.7993429636366756E-2</v>
      </c>
      <c r="FT324" s="82">
        <f t="shared" si="555"/>
        <v>-0.21190657091340995</v>
      </c>
      <c r="FU324" s="338">
        <f t="shared" si="559"/>
        <v>27.050358214661195</v>
      </c>
      <c r="FV324" s="57" t="str">
        <f t="shared" si="560"/>
        <v>SW</v>
      </c>
      <c r="FW324" s="57" t="s">
        <v>2732</v>
      </c>
      <c r="FX324" s="57" t="str">
        <f t="shared" ref="FX324:FX387" si="635">IF(K324="","",IF(AND(K324&gt;0,FW324="Yes"),1,""))</f>
        <v/>
      </c>
      <c r="FY324" s="57" t="str">
        <f t="shared" ref="FY324:FY387" si="636">IF(K324="","",IF(AND($K324&gt;0,$FW324="No"),1,""))</f>
        <v/>
      </c>
      <c r="FZ324" s="57">
        <f t="shared" ref="FZ324:FZ387" si="637">IF(K324="","",IF(AND($K324&gt;0,$FW324="NA"),1,""))</f>
        <v>1</v>
      </c>
      <c r="GA324" s="57" t="str">
        <f t="shared" ref="GA324:GA387" si="638">IF(FV324="Dwn","Short","Long")</f>
        <v>Long</v>
      </c>
      <c r="GB324" s="57" t="str">
        <f t="shared" ref="GB324:GB387" si="639">IF(K324="","",IF(AND($K324&lt;0,$FW324="Yes"),1,""))</f>
        <v/>
      </c>
      <c r="GC324" s="57" t="str">
        <f t="shared" ref="GC324:GC387" si="640">IF(K324="","",IF(AND($K324&lt;0,$FW324="No"),1,""))</f>
        <v/>
      </c>
      <c r="GD324" s="57" t="str">
        <f t="shared" ref="GD324:GD387" si="641">IF(K324="","",IF(AND($K324&lt;0,$FW324="NA"),1,""))</f>
        <v/>
      </c>
      <c r="GE324" s="62">
        <f t="shared" si="557"/>
        <v>141.04</v>
      </c>
      <c r="GF324" s="62" t="s">
        <v>2779</v>
      </c>
      <c r="GG324" s="199">
        <v>12</v>
      </c>
      <c r="GH324" s="207">
        <f t="shared" ref="GH324:GH387" si="642">IF(GG324="","",GE324*GG324)</f>
        <v>1692.48</v>
      </c>
      <c r="GI324" s="199">
        <v>12</v>
      </c>
      <c r="GJ324" s="200">
        <v>158</v>
      </c>
      <c r="GK324" s="63">
        <f t="shared" ref="GK324:GK387" si="643">IF($GI324="","",IF($GF324="Long",(($GJ324*$GI324)-$GH324),($GH324-($GJ324*$GI324))))</f>
        <v>203.51999999999998</v>
      </c>
      <c r="GL324" s="63">
        <f t="shared" si="558"/>
        <v>244.55999999999995</v>
      </c>
      <c r="GM324" s="82">
        <f t="shared" ref="GM324:GM387" si="644">IF(AND($FV324="SW",$GA324="Long"),$FN324,"")</f>
        <v>2.4083002457931553</v>
      </c>
      <c r="GN324" s="82">
        <f>IF($GZ324="",#N/A,SUM(GM$4:GM324))</f>
        <v>5.7567306344358355</v>
      </c>
      <c r="GO324" s="82" t="str">
        <f t="shared" ref="GO324:GO387" si="645">IF(AND($FV324="UP",$GA324="Long"),$FN324,"")</f>
        <v/>
      </c>
      <c r="GP324" s="82">
        <f>IF($GZ324="",#N/A,SUM(GO$4:GO324))</f>
        <v>18.311918444510358</v>
      </c>
      <c r="GQ324" s="82" t="str">
        <f t="shared" ref="GQ324:GQ387" si="646">IF(AND($FV324="Dwn",$GA324="Short"),$FN324,"")</f>
        <v/>
      </c>
      <c r="GR324" s="82">
        <f>IF($GZ324="",#N/A,SUM(GQ$4:GQ324))</f>
        <v>30.869214167748773</v>
      </c>
      <c r="GS324" s="63" t="e">
        <f t="shared" si="548"/>
        <v>#N/A</v>
      </c>
      <c r="GT324" s="63" t="e">
        <f>IF($GZ324="",#N/A,SUM(GS$4:GS324))</f>
        <v>#N/A</v>
      </c>
      <c r="GU324" s="63" t="str">
        <f t="shared" si="549"/>
        <v/>
      </c>
      <c r="GV324" s="63" t="e">
        <f>IF($GZ324="",#N/A,SUM(GU$4:GU324))</f>
        <v>#N/A</v>
      </c>
      <c r="GW324" s="63" t="str">
        <f t="shared" si="550"/>
        <v/>
      </c>
      <c r="GX324" s="63" t="e">
        <f>IF($GZ324="",#N/A,SUM(GW$4:GW324))</f>
        <v>#N/A</v>
      </c>
      <c r="GY324" s="63" t="e">
        <f>IF(EJ324="",#N/A,SUM($EJ$4:EJ324))</f>
        <v>#N/A</v>
      </c>
      <c r="GZ324" s="159">
        <v>161.41999999999999</v>
      </c>
      <c r="HA324" s="63">
        <f t="shared" ref="HA324:HA387" si="647">IF(OR(GL324="",GZ324=""),"",GL324-EH324)</f>
        <v>38.819999999999936</v>
      </c>
      <c r="HB324" s="62" t="s">
        <v>2538</v>
      </c>
      <c r="HC324" s="60">
        <f>IFERROR(VLOOKUP(E324,Expectancy!$P$4:$S$19,1+C324,FALSE),"")</f>
        <v>0.48685636958953199</v>
      </c>
      <c r="HD324" s="82">
        <f t="shared" ref="HD324:HD387" si="648">IF(AND(HB324="MOC",GZ324=""),"",IF(GI324="","",IF(HB324="Skip","",IF(HG324=0,0,HG324/(GH324*0.06)))))</f>
        <v>2.0041595764794855</v>
      </c>
      <c r="HE324" s="138">
        <f>IF(HD324="",#N/A,SUM($HD$4:HD324))</f>
        <v>11.629093154786226</v>
      </c>
      <c r="HF324" s="85">
        <f>IF(HD324="",#N/A,IF(HB324="Skip",#N/A,SUM($HG$4:HG324)))</f>
        <v>466.25657921915513</v>
      </c>
      <c r="HG324" s="63">
        <f t="shared" ref="HG324:HG387" si="649">IF(HB324="","",IF(HB324="Skip","",IF(OR(HB324="open",HB324="Other"),GK324,IF(HB324="MOC",GL324,"Err"))))</f>
        <v>203.51999999999998</v>
      </c>
      <c r="HH324" s="82">
        <f t="shared" ref="HH324:HH387" si="650">IF(OR($GI324="",$L324=""),"",IF($GA324="Long",(($GZ324*$GI324)-$GH324)/($GH324*0.06),($GH324-($GZ324*$GI324))/($GH324*0.06)))</f>
        <v>2.4083002457931553</v>
      </c>
    </row>
    <row r="325" spans="1:216" x14ac:dyDescent="0.25">
      <c r="A325" s="57" t="s">
        <v>1059</v>
      </c>
      <c r="B325" s="58" t="s">
        <v>5241</v>
      </c>
      <c r="C325" s="386">
        <f t="shared" si="561"/>
        <v>3</v>
      </c>
      <c r="D325" s="372" t="str">
        <f>_xlfn.XLOOKUP(A325,[1]SP500!$A$2:$A$502,[1]SP500!$D$2:$D$502,"N")</f>
        <v>Y</v>
      </c>
      <c r="E325" s="57" t="str">
        <f>_xlfn.XLOOKUP(A325,[1]SP500!$A$2:$A$655,[1]SP500!$B$2:$B$655)</f>
        <v>SMH</v>
      </c>
      <c r="F325" s="59">
        <v>45701</v>
      </c>
      <c r="G325" s="57" t="str">
        <f t="shared" si="562"/>
        <v>AMC</v>
      </c>
      <c r="H325" s="57" t="str">
        <f t="shared" si="563"/>
        <v>s</v>
      </c>
      <c r="I325" s="159">
        <v>184.27</v>
      </c>
      <c r="J325" s="159">
        <v>174.84</v>
      </c>
      <c r="K325" s="61">
        <f t="shared" si="564"/>
        <v>-5.1174906387366402E-2</v>
      </c>
      <c r="L325" s="87">
        <f t="shared" si="565"/>
        <v>-84.870000000000118</v>
      </c>
      <c r="M325" s="130">
        <f t="shared" si="556"/>
        <v>1.4400000000000546</v>
      </c>
      <c r="N325" s="169" t="str">
        <f t="shared" si="566"/>
        <v/>
      </c>
      <c r="O325" s="169">
        <f>IF($J325="",#N/A,SUM($N$4:N325))</f>
        <v>885.04671935422448</v>
      </c>
      <c r="P325" s="174" t="str">
        <f t="shared" si="567"/>
        <v/>
      </c>
      <c r="Q325" s="174">
        <f>IF($J325="",#N/A,SUM($P$4:P325))</f>
        <v>223.96890674734198</v>
      </c>
      <c r="R325" s="178">
        <f t="shared" si="568"/>
        <v>-84.870000000000118</v>
      </c>
      <c r="S325" s="178">
        <f>IF($J325="",#N/A,SUM($R$4:R325))</f>
        <v>29.339571709571146</v>
      </c>
      <c r="T325" s="290" t="str">
        <f t="shared" si="569"/>
        <v/>
      </c>
      <c r="U325" s="290">
        <f>IF($J325="",#N/A,SUM($T$4:T325))</f>
        <v>22.462212729532133</v>
      </c>
      <c r="V325" s="291" t="str">
        <f t="shared" si="570"/>
        <v/>
      </c>
      <c r="W325" s="291">
        <f>IF($J325="",#N/A,SUM($V$4:V325))</f>
        <v>21.87872204814526</v>
      </c>
      <c r="X325" s="292">
        <f t="shared" si="571"/>
        <v>-0.85291510645610735</v>
      </c>
      <c r="Y325" s="292">
        <f>IF($J325="",#N/A,SUM($X$4:X325))</f>
        <v>8.0156014853139332</v>
      </c>
      <c r="Z325" s="304" t="str">
        <f t="shared" si="572"/>
        <v/>
      </c>
      <c r="AA325" s="313" t="e">
        <f>IF($J325="",#N/A,SUM(Z$4:Z325))</f>
        <v>#N/A</v>
      </c>
      <c r="AB325" s="314" t="str">
        <f t="shared" si="573"/>
        <v/>
      </c>
      <c r="AC325" s="314" t="e">
        <f>IF($J325="",#N/A,SUM(AB$4:AB325))</f>
        <v>#N/A</v>
      </c>
      <c r="AD325" s="315" t="str">
        <f t="shared" si="574"/>
        <v/>
      </c>
      <c r="AE325" s="315" t="e">
        <f>IF($J325="",#N/A,SUM(AD$4:AD325))</f>
        <v>#N/A</v>
      </c>
      <c r="AF325" s="315" t="e">
        <f>IF($J325="",#N/A,SUM(AD$4:AD325,AB$4:AB325,Z$4:Z325))</f>
        <v>#N/A</v>
      </c>
      <c r="AG325" s="304" t="str">
        <f t="shared" si="575"/>
        <v/>
      </c>
      <c r="AH325" s="313" t="e">
        <f>IF($J325="",#N/A,SUM(AG$4:AG325))</f>
        <v>#N/A</v>
      </c>
      <c r="AI325" s="314" t="str">
        <f t="shared" si="576"/>
        <v/>
      </c>
      <c r="AJ325" s="314" t="e">
        <f>IF($J325="",#N/A,SUM(AI$4:AI325))</f>
        <v>#N/A</v>
      </c>
      <c r="AK325" s="315" t="str">
        <f t="shared" si="577"/>
        <v/>
      </c>
      <c r="AL325" s="315" t="e">
        <f>IF($J325="",#N/A,SUM(AK$4:AK325))</f>
        <v>#N/A</v>
      </c>
      <c r="AM325" s="315" t="e">
        <f>IF($J325="",#N/A,SUM(AK$4:AK325,AI$4:AI325,AG$4:AG325))</f>
        <v>#N/A</v>
      </c>
      <c r="AN325" s="304" t="str">
        <f t="shared" si="578"/>
        <v/>
      </c>
      <c r="AO325" s="313" t="e">
        <f>IF($J325="",#N/A,SUM(AN$4:AN325))</f>
        <v>#N/A</v>
      </c>
      <c r="AP325" s="314" t="str">
        <f t="shared" si="579"/>
        <v/>
      </c>
      <c r="AQ325" s="314" t="e">
        <f>IF($J325="",#N/A,SUM(AP$4:AP325))</f>
        <v>#N/A</v>
      </c>
      <c r="AR325" s="315" t="str">
        <f t="shared" si="580"/>
        <v/>
      </c>
      <c r="AS325" s="315" t="e">
        <f>IF($J325="",#N/A,SUM(AR$4:AR325))</f>
        <v>#N/A</v>
      </c>
      <c r="AT325" s="315" t="e">
        <f>IF($J325="",#N/A,SUM(AR$4:AR325,AP$4:AP325,AN$4:AN325))</f>
        <v>#N/A</v>
      </c>
      <c r="AU325" s="304" t="str">
        <f t="shared" si="581"/>
        <v/>
      </c>
      <c r="AV325" s="313" t="e">
        <f>IF($J325="",#N/A,SUM(AU$4:AU325))</f>
        <v>#N/A</v>
      </c>
      <c r="AW325" s="314" t="str">
        <f t="shared" si="582"/>
        <v/>
      </c>
      <c r="AX325" s="314" t="e">
        <f>IF($J325="",#N/A,SUM(AW$4:AW325))</f>
        <v>#N/A</v>
      </c>
      <c r="AY325" s="315" t="str">
        <f t="shared" si="583"/>
        <v/>
      </c>
      <c r="AZ325" s="315" t="e">
        <f>IF($J325="",#N/A,SUM(AY$4:AY325))</f>
        <v>#N/A</v>
      </c>
      <c r="BA325" s="315" t="e">
        <f>IF($J325="",#N/A,SUM(AY$4:AY325,AW$4:AW325,AU$4:AU325))</f>
        <v>#N/A</v>
      </c>
      <c r="BB325" s="304" t="str">
        <f t="shared" si="584"/>
        <v/>
      </c>
      <c r="BC325" s="313" t="e">
        <f>IF($J325="",#N/A,SUM(BB$4:BB325))</f>
        <v>#N/A</v>
      </c>
      <c r="BD325" s="314" t="str">
        <f t="shared" si="585"/>
        <v/>
      </c>
      <c r="BE325" s="314" t="e">
        <f>IF($J325="",#N/A,SUM(BD$4:BD325))</f>
        <v>#N/A</v>
      </c>
      <c r="BF325" s="315" t="str">
        <f t="shared" si="586"/>
        <v/>
      </c>
      <c r="BG325" s="315" t="e">
        <f>IF($J325="",#N/A,SUM(BF$4:BF325))</f>
        <v>#N/A</v>
      </c>
      <c r="BH325" s="315" t="e">
        <f>IF($J325="",#N/A,SUM(BF$4:BF325,BD$4:BD325,BB$4:BB325))</f>
        <v>#N/A</v>
      </c>
      <c r="BI325" s="304" t="str">
        <f t="shared" si="587"/>
        <v/>
      </c>
      <c r="BJ325" s="313" t="e">
        <f>IF($J325="",#N/A,SUM(BI$4:BI325))</f>
        <v>#N/A</v>
      </c>
      <c r="BK325" s="314" t="str">
        <f t="shared" si="588"/>
        <v/>
      </c>
      <c r="BL325" s="314" t="e">
        <f>IF($J325="",#N/A,SUM(BK$4:BK325))</f>
        <v>#N/A</v>
      </c>
      <c r="BM325" s="315" t="str">
        <f t="shared" si="589"/>
        <v/>
      </c>
      <c r="BN325" s="315" t="e">
        <f>IF($J325="",#N/A,SUM(BM$4:BM325))</f>
        <v>#N/A</v>
      </c>
      <c r="BO325" s="315" t="e">
        <f>IF($J325="",#N/A,SUM(BM$4:BM325,BK$4:BK325,BI$4:BI325))</f>
        <v>#N/A</v>
      </c>
      <c r="BP325" s="304" t="str">
        <f t="shared" si="590"/>
        <v/>
      </c>
      <c r="BQ325" s="313" t="e">
        <f>IF($J325="",#N/A,SUM(BP$4:BP325))</f>
        <v>#N/A</v>
      </c>
      <c r="BR325" s="314" t="str">
        <f t="shared" si="591"/>
        <v/>
      </c>
      <c r="BS325" s="314" t="e">
        <f>IF($J325="",#N/A,SUM(BR$4:BR325))</f>
        <v>#N/A</v>
      </c>
      <c r="BT325" s="315" t="str">
        <f t="shared" si="592"/>
        <v/>
      </c>
      <c r="BU325" s="315" t="e">
        <f>IF($J325="",#N/A,SUM(BT$4:BT325))</f>
        <v>#N/A</v>
      </c>
      <c r="BV325" s="315" t="e">
        <f>IF($J325="",#N/A,SUM(BT$4:BT325,BR$4:BR325,BP$4:BP325))</f>
        <v>#N/A</v>
      </c>
      <c r="BW325" s="304" t="str">
        <f t="shared" si="593"/>
        <v/>
      </c>
      <c r="BX325" s="313" t="e">
        <f>IF($J325="",#N/A,SUM(BW$4:BW325))</f>
        <v>#N/A</v>
      </c>
      <c r="BY325" s="314" t="str">
        <f t="shared" si="594"/>
        <v/>
      </c>
      <c r="BZ325" s="314" t="e">
        <f>IF($J325="",#N/A,SUM(BY$4:BY325))</f>
        <v>#N/A</v>
      </c>
      <c r="CA325" s="315" t="str">
        <f t="shared" si="595"/>
        <v/>
      </c>
      <c r="CB325" s="315" t="e">
        <f>IF($J325="",#N/A,SUM(CA$4:CA325))</f>
        <v>#N/A</v>
      </c>
      <c r="CC325" s="315" t="e">
        <f>IF($J325="",#N/A,SUM(CA$4:CA325,BY$4:BY325,BW$4:BW325))</f>
        <v>#N/A</v>
      </c>
      <c r="CD325" s="304" t="str">
        <f t="shared" si="596"/>
        <v/>
      </c>
      <c r="CE325" s="313" t="e">
        <f>IF($J325="",#N/A,SUM(CD$4:CD325))</f>
        <v>#N/A</v>
      </c>
      <c r="CF325" s="314" t="str">
        <f t="shared" si="597"/>
        <v/>
      </c>
      <c r="CG325" s="314" t="e">
        <f>IF($J325="",#N/A,SUM(CF$4:CF325))</f>
        <v>#N/A</v>
      </c>
      <c r="CH325" s="315" t="str">
        <f t="shared" si="598"/>
        <v/>
      </c>
      <c r="CI325" s="315" t="e">
        <f>IF($J325="",#N/A,SUM(CH$4:CH325))</f>
        <v>#N/A</v>
      </c>
      <c r="CJ325" s="315" t="e">
        <f>IF($J325="",#N/A,SUM(CH$4:CH325,CF$4:CF325,CD$4:CD325))</f>
        <v>#N/A</v>
      </c>
      <c r="CK325" s="304" t="str">
        <f t="shared" si="599"/>
        <v/>
      </c>
      <c r="CL325" s="313" t="e">
        <f>IF($J325="",#N/A,SUM(CK$4:CK325))</f>
        <v>#N/A</v>
      </c>
      <c r="CM325" s="314" t="str">
        <f t="shared" si="600"/>
        <v/>
      </c>
      <c r="CN325" s="314" t="e">
        <f>IF($J325="",#N/A,SUM(CM$4:CM325))</f>
        <v>#N/A</v>
      </c>
      <c r="CO325" s="315">
        <f t="shared" si="601"/>
        <v>-0.85291510645610735</v>
      </c>
      <c r="CP325" s="315" t="e">
        <f>IF($J325="",#N/A,SUM(CO$4:CO325))</f>
        <v>#N/A</v>
      </c>
      <c r="CQ325" s="315" t="e">
        <f>IF($J325="",#N/A,SUM(CO$4:CO325,CM$4:CM325,CK$4:CK325))</f>
        <v>#N/A</v>
      </c>
      <c r="CR325" s="304" t="str">
        <f t="shared" si="602"/>
        <v/>
      </c>
      <c r="CS325" s="313" t="e">
        <f>IF($J325="",#N/A,SUM(CR$4:CR325))</f>
        <v>#N/A</v>
      </c>
      <c r="CT325" s="314" t="str">
        <f t="shared" si="603"/>
        <v/>
      </c>
      <c r="CU325" s="314" t="e">
        <f>IF($J325="",#N/A,SUM(CT$4:CT325))</f>
        <v>#N/A</v>
      </c>
      <c r="CV325" s="315" t="str">
        <f t="shared" si="604"/>
        <v/>
      </c>
      <c r="CW325" s="315" t="e">
        <f>IF($J325="",#N/A,SUM(CV$4:CV325))</f>
        <v>#N/A</v>
      </c>
      <c r="CX325" s="315" t="e">
        <f>IF($J325="",#N/A,SUM(CV$4:CV325,CT$4:CT325,CR$4:CR325))</f>
        <v>#N/A</v>
      </c>
      <c r="CY325" s="304" t="str">
        <f t="shared" si="605"/>
        <v/>
      </c>
      <c r="CZ325" s="313" t="e">
        <f>IF($J325="",#N/A,SUM(CY$4:CY325))</f>
        <v>#N/A</v>
      </c>
      <c r="DA325" s="314" t="str">
        <f t="shared" si="606"/>
        <v/>
      </c>
      <c r="DB325" s="314" t="e">
        <f>IF($J325="",#N/A,SUM(DA$4:DA325))</f>
        <v>#N/A</v>
      </c>
      <c r="DC325" s="315" t="str">
        <f t="shared" si="607"/>
        <v/>
      </c>
      <c r="DD325" s="315" t="e">
        <f>IF($J325="",#N/A,SUM(DC$4:DC325))</f>
        <v>#N/A</v>
      </c>
      <c r="DE325" s="315" t="e">
        <f>IF($J325="",#N/A,SUM(DC$4:DC325,DA$4:DA325,CY$4:CY325))</f>
        <v>#N/A</v>
      </c>
      <c r="DF325" s="304" t="str">
        <f t="shared" si="608"/>
        <v/>
      </c>
      <c r="DG325" s="313" t="e">
        <f>IF($J325="",#N/A,SUM(DF$4:DF325))</f>
        <v>#N/A</v>
      </c>
      <c r="DH325" s="314" t="str">
        <f t="shared" si="609"/>
        <v/>
      </c>
      <c r="DI325" s="314" t="e">
        <f>IF($J325="",#N/A,SUM(DH$4:DH325))</f>
        <v>#N/A</v>
      </c>
      <c r="DJ325" s="315" t="str">
        <f t="shared" si="610"/>
        <v/>
      </c>
      <c r="DK325" s="315" t="e">
        <f>IF($J325="",#N/A,SUM(DJ$4:DJ325))</f>
        <v>#N/A</v>
      </c>
      <c r="DL325" s="315" t="e">
        <f>IF($J325="",#N/A,SUM(DJ$4:DJ325,DH$4:DH325,DF$4:DF325))</f>
        <v>#N/A</v>
      </c>
      <c r="DM325" s="304" t="str">
        <f t="shared" si="611"/>
        <v/>
      </c>
      <c r="DN325" s="313" t="e">
        <f>IF($J325="",#N/A,SUM(DM$4:DM325))</f>
        <v>#N/A</v>
      </c>
      <c r="DO325" s="314" t="str">
        <f t="shared" si="612"/>
        <v/>
      </c>
      <c r="DP325" s="314" t="e">
        <f>IF($J325="",#N/A,SUM(DO$4:DO325))</f>
        <v>#N/A</v>
      </c>
      <c r="DQ325" s="315" t="str">
        <f t="shared" si="613"/>
        <v/>
      </c>
      <c r="DR325" s="315" t="e">
        <f>IF($J325="",#N/A,SUM(DQ$4:DQ325))</f>
        <v>#N/A</v>
      </c>
      <c r="DS325" s="315" t="e">
        <f>IF($J325="",#N/A,SUM(DQ$4:DQ325,DO$4:DO325,DM$4:DM325))</f>
        <v>#N/A</v>
      </c>
      <c r="DT325" s="304" t="str">
        <f t="shared" si="614"/>
        <v/>
      </c>
      <c r="DU325" s="313" t="e">
        <f>IF($J325="",#N/A,SUM(DT$4:DT325))</f>
        <v>#N/A</v>
      </c>
      <c r="DV325" s="314" t="str">
        <f t="shared" si="615"/>
        <v/>
      </c>
      <c r="DW325" s="314" t="e">
        <f>IF($J325="",#N/A,SUM(DV$4:DV325))</f>
        <v>#N/A</v>
      </c>
      <c r="DX325" s="315" t="str">
        <f t="shared" si="616"/>
        <v/>
      </c>
      <c r="DY325" s="315" t="e">
        <f>IF($J325="",#N/A,SUM(DX$4:DX325))</f>
        <v>#N/A</v>
      </c>
      <c r="DZ325" s="315" t="e">
        <f>IF($J325="",#N/A,SUM(DX$4:DX325,DV$4:DV325,DT$4:DT325))</f>
        <v>#N/A</v>
      </c>
      <c r="EA325" s="304" t="str">
        <f t="shared" si="617"/>
        <v/>
      </c>
      <c r="EB325" s="313" t="e">
        <f>IF($J325="",#N/A,SUM(EA$4:EA325))</f>
        <v>#N/A</v>
      </c>
      <c r="EC325" s="314" t="str">
        <f t="shared" si="618"/>
        <v/>
      </c>
      <c r="ED325" s="314" t="e">
        <f>IF($J325="",#N/A,SUM(EC$4:EC325))</f>
        <v>#N/A</v>
      </c>
      <c r="EE325" s="315" t="str">
        <f t="shared" si="619"/>
        <v/>
      </c>
      <c r="EF325" s="315" t="e">
        <f>IF($J325="",#N/A,SUM(EE$4:EE325))</f>
        <v>#N/A</v>
      </c>
      <c r="EG325" s="315" t="e">
        <f>IF($J325="",#N/A,SUM(EE$4:EE325,EC$4:EC325,EA$4:EA325))</f>
        <v>#N/A</v>
      </c>
      <c r="EH325" s="130">
        <f t="shared" si="620"/>
        <v>-84.870000000000118</v>
      </c>
      <c r="EI325" s="63">
        <f>IF(EH325="",#N/A,SUM($EH$4:EH325))</f>
        <v>1138.3551978111377</v>
      </c>
      <c r="EJ325" s="223" t="e">
        <f t="shared" si="621"/>
        <v>#N/A</v>
      </c>
      <c r="EK325" s="63" t="e">
        <f>IF($GZ325="",#N/A,SUM(EJ$4:EJ325))</f>
        <v>#N/A</v>
      </c>
      <c r="EL325" s="60">
        <f t="shared" ref="EL325:EL388" si="651">IF(J325="","",IF(D325="Y",FP325,""))</f>
        <v>-0.85291510645610735</v>
      </c>
      <c r="EM325" s="60">
        <f>IF(EL325="",NA(),SUM($EL$4:EL325))</f>
        <v>34.088433925494897</v>
      </c>
      <c r="EN325" s="60" t="str">
        <f t="shared" si="622"/>
        <v/>
      </c>
      <c r="EO325" s="60" t="e">
        <f>IF(EN325="",NA(),SUM($EN$4:EN325))</f>
        <v>#N/A</v>
      </c>
      <c r="EP325" s="60">
        <f t="shared" si="623"/>
        <v>-0.85291510645610735</v>
      </c>
      <c r="EQ325" s="60">
        <f>IF(EP325="",NA(),SUM($EP$4:EP325))</f>
        <v>7.0804573185808479</v>
      </c>
      <c r="ER325" s="60" t="str">
        <f t="shared" si="624"/>
        <v/>
      </c>
      <c r="ES325" s="60" t="e">
        <f>IF(ER325="",NA(),SUM($ER$4:ER325))</f>
        <v>#N/A</v>
      </c>
      <c r="ET325" s="60" t="str">
        <f t="shared" si="625"/>
        <v/>
      </c>
      <c r="EU325" s="60" t="e">
        <f>IF(ET325="",NA(),SUM($ET$4:ET325))</f>
        <v>#N/A</v>
      </c>
      <c r="EV325" s="60" t="str">
        <f t="shared" si="626"/>
        <v/>
      </c>
      <c r="EW325" s="60" t="e">
        <f>IF(EV325="",NA(),SUM($EV$4:EV325))</f>
        <v>#N/A</v>
      </c>
      <c r="EX325" s="60" t="str">
        <f t="shared" si="627"/>
        <v/>
      </c>
      <c r="EY325" s="60" t="e">
        <f>IF(EX325="",NA(),SUM($EX$4:EX325))</f>
        <v>#N/A</v>
      </c>
      <c r="EZ325" s="60" t="str">
        <f t="shared" si="628"/>
        <v/>
      </c>
      <c r="FA325" s="60" t="e">
        <f>IF(EZ325="",NA(),SUM($EZ$4:EZ325))</f>
        <v>#N/A</v>
      </c>
      <c r="FB325" s="246" t="str">
        <f t="shared" ref="FB325:FB388" si="652">IF($GZ325="","",IF(AND($FV325="Dwn",$K325&lt;0),$FN325-FP325,""))</f>
        <v/>
      </c>
      <c r="FC325" s="246" t="e">
        <f>IF($FB325="",#N/A,SUM(FB$4:$FB325))</f>
        <v>#N/A</v>
      </c>
      <c r="FD325" s="60" t="str">
        <f t="shared" si="629"/>
        <v/>
      </c>
      <c r="FE325" s="60" t="e">
        <f>IF($FD325="",#N/A,SUM($FD$4:FD325))</f>
        <v>#N/A</v>
      </c>
      <c r="FF325" s="60" t="str">
        <f t="shared" si="630"/>
        <v/>
      </c>
      <c r="FG325" s="60" t="e">
        <f>IF($FF325="",#N/A,SUM($FF$4:FF325))</f>
        <v>#N/A</v>
      </c>
      <c r="FH325" s="60" t="str">
        <f t="shared" si="631"/>
        <v/>
      </c>
      <c r="FI325" s="60" t="e">
        <f>IF($FH325="",#N/A,SUM($FH$4:FH325))</f>
        <v>#N/A</v>
      </c>
      <c r="FJ325" s="60" t="str">
        <f t="shared" si="632"/>
        <v/>
      </c>
      <c r="FK325" s="60" t="e">
        <f>IF($FJ325="",#N/A,SUM($FJ$4:FJ325))</f>
        <v>#N/A</v>
      </c>
      <c r="FL325" s="60">
        <f t="shared" si="633"/>
        <v>-0.51012101807130827</v>
      </c>
      <c r="FM325" s="60">
        <f>IF($FL325="",#N/A,SUM($FL$4:FL325))</f>
        <v>-1.8198169530373143</v>
      </c>
      <c r="FN325" s="82">
        <f t="shared" si="634"/>
        <v>-1.3630361245274156</v>
      </c>
      <c r="FO325" s="82">
        <f>IF($FN325="",#N/A,SUM(FN$4:$FN325))</f>
        <v>54.20066407660989</v>
      </c>
      <c r="FP325" s="82">
        <f t="shared" ref="FP325:FP388" si="653">IF(OR($GI325="",L325=""),"",IF($GA325="Long",(($J325*$GI325)-$GH325)/(GH325*0.06),($GH325-($J325*$GI325))/(GH325*0.06)))</f>
        <v>-0.85291510645610735</v>
      </c>
      <c r="FQ325" s="246">
        <f>IF($EH325="",#N/A,SUM($FP$4:FP325))</f>
        <v>52.356536262991312</v>
      </c>
      <c r="FR325" s="82">
        <f>IFERROR(FQ325/COUNTA($J$4:J325),#N/A)</f>
        <v>0.16259793870494196</v>
      </c>
      <c r="FS325" s="82">
        <f t="shared" si="554"/>
        <v>-3.1671147078000957E-2</v>
      </c>
      <c r="FT325" s="82">
        <f t="shared" si="555"/>
        <v>-0.19438629901046511</v>
      </c>
      <c r="FU325" s="338">
        <f t="shared" si="559"/>
        <v>27.035886696418032</v>
      </c>
      <c r="FV325" s="57" t="str">
        <f t="shared" si="560"/>
        <v>SW</v>
      </c>
      <c r="FW325" s="57" t="s">
        <v>2732</v>
      </c>
      <c r="FX325" s="57" t="str">
        <f t="shared" si="635"/>
        <v/>
      </c>
      <c r="FY325" s="57" t="str">
        <f t="shared" si="636"/>
        <v/>
      </c>
      <c r="FZ325" s="57" t="str">
        <f t="shared" si="637"/>
        <v/>
      </c>
      <c r="GA325" s="57" t="str">
        <f t="shared" si="638"/>
        <v>Long</v>
      </c>
      <c r="GB325" s="57" t="str">
        <f t="shared" si="639"/>
        <v/>
      </c>
      <c r="GC325" s="57" t="str">
        <f t="shared" si="640"/>
        <v/>
      </c>
      <c r="GD325" s="57">
        <f t="shared" si="641"/>
        <v>1</v>
      </c>
      <c r="GE325" s="62">
        <f t="shared" si="557"/>
        <v>184.27</v>
      </c>
      <c r="GF325" s="62" t="s">
        <v>2779</v>
      </c>
      <c r="GG325" s="199">
        <v>9</v>
      </c>
      <c r="GH325" s="207">
        <f t="shared" si="642"/>
        <v>1658.43</v>
      </c>
      <c r="GI325" s="199">
        <v>9</v>
      </c>
      <c r="GJ325" s="200">
        <v>175</v>
      </c>
      <c r="GK325" s="63">
        <f t="shared" si="643"/>
        <v>-83.430000000000064</v>
      </c>
      <c r="GL325" s="63">
        <f t="shared" si="558"/>
        <v>-135.63000000000011</v>
      </c>
      <c r="GM325" s="82">
        <f t="shared" si="644"/>
        <v>-1.3630361245274156</v>
      </c>
      <c r="GN325" s="82">
        <f>IF($GZ325="",#N/A,SUM(GM$4:GM325))</f>
        <v>4.3936945099084195</v>
      </c>
      <c r="GO325" s="82" t="str">
        <f t="shared" si="645"/>
        <v/>
      </c>
      <c r="GP325" s="82">
        <f>IF($GZ325="",#N/A,SUM(GO$4:GO325))</f>
        <v>18.311918444510358</v>
      </c>
      <c r="GQ325" s="82" t="str">
        <f t="shared" si="646"/>
        <v/>
      </c>
      <c r="GR325" s="82">
        <f>IF($GZ325="",#N/A,SUM(GQ$4:GQ325))</f>
        <v>30.869214167748773</v>
      </c>
      <c r="GS325" s="63" t="e">
        <f t="shared" ref="GS325:GS388" si="654">IF(AND(FV325="SW",GA325="Long"),$EJ325,"")</f>
        <v>#N/A</v>
      </c>
      <c r="GT325" s="63" t="e">
        <f>IF($GZ325="",#N/A,SUM(GS$4:GS325))</f>
        <v>#N/A</v>
      </c>
      <c r="GU325" s="63" t="str">
        <f t="shared" ref="GU325:GU388" si="655">IF(AND(FV325="UP",GA325="Long"),$EJ325,"")</f>
        <v/>
      </c>
      <c r="GV325" s="63" t="e">
        <f>IF($GZ325="",#N/A,SUM(GU$4:GU325))</f>
        <v>#N/A</v>
      </c>
      <c r="GW325" s="63" t="str">
        <f t="shared" ref="GW325:GW388" si="656">IF(AND(FV325="Dwn",GA325="Short"),$EJ325,"")</f>
        <v/>
      </c>
      <c r="GX325" s="63" t="e">
        <f>IF($GZ325="",#N/A,SUM(GW$4:GW325))</f>
        <v>#N/A</v>
      </c>
      <c r="GY325" s="63" t="e">
        <f>IF(EJ325="",#N/A,SUM($EJ$4:EJ325))</f>
        <v>#N/A</v>
      </c>
      <c r="GZ325" s="159">
        <v>169.2</v>
      </c>
      <c r="HA325" s="63">
        <f t="shared" si="647"/>
        <v>-50.759999999999991</v>
      </c>
      <c r="HB325" s="62" t="s">
        <v>2538</v>
      </c>
      <c r="HC325" s="60">
        <f>IFERROR(VLOOKUP(E325,Expectancy!$P$4:$S$19,1+C325,FALSE),"")</f>
        <v>-0.16876070792161713</v>
      </c>
      <c r="HD325" s="82">
        <f t="shared" si="648"/>
        <v>-0.83844358821294906</v>
      </c>
      <c r="HE325" s="138">
        <f>IF(HD325="",#N/A,SUM($HD$4:HD325))</f>
        <v>10.790649566573277</v>
      </c>
      <c r="HF325" s="85">
        <f>IF(HD325="",#N/A,IF(HB325="Skip",#N/A,SUM($HG$4:HG325)))</f>
        <v>382.82657921915506</v>
      </c>
      <c r="HG325" s="63">
        <f t="shared" si="649"/>
        <v>-83.430000000000064</v>
      </c>
      <c r="HH325" s="82">
        <f t="shared" si="650"/>
        <v>-1.3630361245274156</v>
      </c>
    </row>
    <row r="326" spans="1:216" x14ac:dyDescent="0.25">
      <c r="A326" s="57" t="s">
        <v>1389</v>
      </c>
      <c r="B326" s="58" t="s">
        <v>5241</v>
      </c>
      <c r="C326" s="386">
        <f t="shared" si="561"/>
        <v>1</v>
      </c>
      <c r="D326" s="372" t="str">
        <f>_xlfn.XLOOKUP(A326,[1]SP500!$A$2:$A$502,[1]SP500!$D$2:$D$502,"N")</f>
        <v>Y</v>
      </c>
      <c r="E326" s="57" t="str">
        <f>_xlfn.XLOOKUP(A326,[1]SP500!$A$2:$A$655,[1]SP500!$B$2:$B$655)</f>
        <v>XLI</v>
      </c>
      <c r="F326" s="59">
        <v>45701</v>
      </c>
      <c r="G326" s="57" t="str">
        <f t="shared" si="562"/>
        <v>AMC</v>
      </c>
      <c r="H326" s="57" t="str">
        <f t="shared" si="563"/>
        <v>s</v>
      </c>
      <c r="I326" s="159">
        <v>224.49</v>
      </c>
      <c r="J326" s="159">
        <v>228.53</v>
      </c>
      <c r="K326" s="61">
        <f t="shared" si="564"/>
        <v>1.7996347276047896E-2</v>
      </c>
      <c r="L326" s="87">
        <f t="shared" si="565"/>
        <v>28.279999999999973</v>
      </c>
      <c r="M326" s="130">
        <f t="shared" si="556"/>
        <v>0</v>
      </c>
      <c r="N326" s="169">
        <f t="shared" si="566"/>
        <v>28.279999999999973</v>
      </c>
      <c r="O326" s="169">
        <f>IF($J326="",#N/A,SUM($N$4:N326))</f>
        <v>913.32671935422445</v>
      </c>
      <c r="P326" s="174" t="str">
        <f t="shared" si="567"/>
        <v/>
      </c>
      <c r="Q326" s="174">
        <f>IF($J326="",#N/A,SUM($P$4:P326))</f>
        <v>223.96890674734198</v>
      </c>
      <c r="R326" s="178" t="str">
        <f t="shared" si="568"/>
        <v/>
      </c>
      <c r="S326" s="178">
        <f>IF($J326="",#N/A,SUM($R$4:R326))</f>
        <v>29.339571709571146</v>
      </c>
      <c r="T326" s="290">
        <f t="shared" si="569"/>
        <v>0.29993912126746525</v>
      </c>
      <c r="U326" s="290">
        <f>IF($J326="",#N/A,SUM($T$4:T326))</f>
        <v>22.762151850799597</v>
      </c>
      <c r="V326" s="291" t="str">
        <f t="shared" si="570"/>
        <v/>
      </c>
      <c r="W326" s="291">
        <f>IF($J326="",#N/A,SUM($V$4:V326))</f>
        <v>21.87872204814526</v>
      </c>
      <c r="X326" s="292" t="str">
        <f t="shared" si="571"/>
        <v/>
      </c>
      <c r="Y326" s="292">
        <f>IF($J326="",#N/A,SUM($X$4:X326))</f>
        <v>8.0156014853139332</v>
      </c>
      <c r="Z326" s="304" t="str">
        <f t="shared" si="572"/>
        <v/>
      </c>
      <c r="AA326" s="313" t="e">
        <f>IF($J326="",#N/A,SUM(Z$4:Z326))</f>
        <v>#N/A</v>
      </c>
      <c r="AB326" s="314" t="str">
        <f t="shared" si="573"/>
        <v/>
      </c>
      <c r="AC326" s="314" t="e">
        <f>IF($J326="",#N/A,SUM(AB$4:AB326))</f>
        <v>#N/A</v>
      </c>
      <c r="AD326" s="315" t="str">
        <f t="shared" si="574"/>
        <v/>
      </c>
      <c r="AE326" s="315" t="e">
        <f>IF($J326="",#N/A,SUM(AD$4:AD326))</f>
        <v>#N/A</v>
      </c>
      <c r="AF326" s="315" t="e">
        <f>IF($J326="",#N/A,SUM(AD$4:AD326,AB$4:AB326,Z$4:Z326))</f>
        <v>#N/A</v>
      </c>
      <c r="AG326" s="304" t="str">
        <f t="shared" si="575"/>
        <v/>
      </c>
      <c r="AH326" s="313" t="e">
        <f>IF($J326="",#N/A,SUM(AG$4:AG326))</f>
        <v>#N/A</v>
      </c>
      <c r="AI326" s="314" t="str">
        <f t="shared" si="576"/>
        <v/>
      </c>
      <c r="AJ326" s="314" t="e">
        <f>IF($J326="",#N/A,SUM(AI$4:AI326))</f>
        <v>#N/A</v>
      </c>
      <c r="AK326" s="315" t="str">
        <f t="shared" si="577"/>
        <v/>
      </c>
      <c r="AL326" s="315" t="e">
        <f>IF($J326="",#N/A,SUM(AK$4:AK326))</f>
        <v>#N/A</v>
      </c>
      <c r="AM326" s="315" t="e">
        <f>IF($J326="",#N/A,SUM(AK$4:AK326,AI$4:AI326,AG$4:AG326))</f>
        <v>#N/A</v>
      </c>
      <c r="AN326" s="304" t="str">
        <f t="shared" si="578"/>
        <v/>
      </c>
      <c r="AO326" s="313" t="e">
        <f>IF($J326="",#N/A,SUM(AN$4:AN326))</f>
        <v>#N/A</v>
      </c>
      <c r="AP326" s="314" t="str">
        <f t="shared" si="579"/>
        <v/>
      </c>
      <c r="AQ326" s="314" t="e">
        <f>IF($J326="",#N/A,SUM(AP$4:AP326))</f>
        <v>#N/A</v>
      </c>
      <c r="AR326" s="315" t="str">
        <f t="shared" si="580"/>
        <v/>
      </c>
      <c r="AS326" s="315" t="e">
        <f>IF($J326="",#N/A,SUM(AR$4:AR326))</f>
        <v>#N/A</v>
      </c>
      <c r="AT326" s="315" t="e">
        <f>IF($J326="",#N/A,SUM(AR$4:AR326,AP$4:AP326,AN$4:AN326))</f>
        <v>#N/A</v>
      </c>
      <c r="AU326" s="304" t="str">
        <f t="shared" si="581"/>
        <v/>
      </c>
      <c r="AV326" s="313" t="e">
        <f>IF($J326="",#N/A,SUM(AU$4:AU326))</f>
        <v>#N/A</v>
      </c>
      <c r="AW326" s="314" t="str">
        <f t="shared" si="582"/>
        <v/>
      </c>
      <c r="AX326" s="314" t="e">
        <f>IF($J326="",#N/A,SUM(AW$4:AW326))</f>
        <v>#N/A</v>
      </c>
      <c r="AY326" s="315" t="str">
        <f t="shared" si="583"/>
        <v/>
      </c>
      <c r="AZ326" s="315" t="e">
        <f>IF($J326="",#N/A,SUM(AY$4:AY326))</f>
        <v>#N/A</v>
      </c>
      <c r="BA326" s="315" t="e">
        <f>IF($J326="",#N/A,SUM(AY$4:AY326,AW$4:AW326,AU$4:AU326))</f>
        <v>#N/A</v>
      </c>
      <c r="BB326" s="304" t="str">
        <f t="shared" si="584"/>
        <v/>
      </c>
      <c r="BC326" s="313" t="e">
        <f>IF($J326="",#N/A,SUM(BB$4:BB326))</f>
        <v>#N/A</v>
      </c>
      <c r="BD326" s="314" t="str">
        <f t="shared" si="585"/>
        <v/>
      </c>
      <c r="BE326" s="314" t="e">
        <f>IF($J326="",#N/A,SUM(BD$4:BD326))</f>
        <v>#N/A</v>
      </c>
      <c r="BF326" s="315" t="str">
        <f t="shared" si="586"/>
        <v/>
      </c>
      <c r="BG326" s="315" t="e">
        <f>IF($J326="",#N/A,SUM(BF$4:BF326))</f>
        <v>#N/A</v>
      </c>
      <c r="BH326" s="315" t="e">
        <f>IF($J326="",#N/A,SUM(BF$4:BF326,BD$4:BD326,BB$4:BB326))</f>
        <v>#N/A</v>
      </c>
      <c r="BI326" s="304" t="str">
        <f t="shared" si="587"/>
        <v/>
      </c>
      <c r="BJ326" s="313" t="e">
        <f>IF($J326="",#N/A,SUM(BI$4:BI326))</f>
        <v>#N/A</v>
      </c>
      <c r="BK326" s="314" t="str">
        <f t="shared" si="588"/>
        <v/>
      </c>
      <c r="BL326" s="314" t="e">
        <f>IF($J326="",#N/A,SUM(BK$4:BK326))</f>
        <v>#N/A</v>
      </c>
      <c r="BM326" s="315" t="str">
        <f t="shared" si="589"/>
        <v/>
      </c>
      <c r="BN326" s="315" t="e">
        <f>IF($J326="",#N/A,SUM(BM$4:BM326))</f>
        <v>#N/A</v>
      </c>
      <c r="BO326" s="315" t="e">
        <f>IF($J326="",#N/A,SUM(BM$4:BM326,BK$4:BK326,BI$4:BI326))</f>
        <v>#N/A</v>
      </c>
      <c r="BP326" s="304">
        <f t="shared" si="590"/>
        <v>0.29993912126746525</v>
      </c>
      <c r="BQ326" s="313" t="e">
        <f>IF($J326="",#N/A,SUM(BP$4:BP326))</f>
        <v>#N/A</v>
      </c>
      <c r="BR326" s="314" t="str">
        <f t="shared" si="591"/>
        <v/>
      </c>
      <c r="BS326" s="314" t="e">
        <f>IF($J326="",#N/A,SUM(BR$4:BR326))</f>
        <v>#N/A</v>
      </c>
      <c r="BT326" s="315" t="str">
        <f t="shared" si="592"/>
        <v/>
      </c>
      <c r="BU326" s="315" t="e">
        <f>IF($J326="",#N/A,SUM(BT$4:BT326))</f>
        <v>#N/A</v>
      </c>
      <c r="BV326" s="315" t="e">
        <f>IF($J326="",#N/A,SUM(BT$4:BT326,BR$4:BR326,BP$4:BP326))</f>
        <v>#N/A</v>
      </c>
      <c r="BW326" s="304" t="str">
        <f t="shared" si="593"/>
        <v/>
      </c>
      <c r="BX326" s="313" t="e">
        <f>IF($J326="",#N/A,SUM(BW$4:BW326))</f>
        <v>#N/A</v>
      </c>
      <c r="BY326" s="314" t="str">
        <f t="shared" si="594"/>
        <v/>
      </c>
      <c r="BZ326" s="314" t="e">
        <f>IF($J326="",#N/A,SUM(BY$4:BY326))</f>
        <v>#N/A</v>
      </c>
      <c r="CA326" s="315" t="str">
        <f t="shared" si="595"/>
        <v/>
      </c>
      <c r="CB326" s="315" t="e">
        <f>IF($J326="",#N/A,SUM(CA$4:CA326))</f>
        <v>#N/A</v>
      </c>
      <c r="CC326" s="315" t="e">
        <f>IF($J326="",#N/A,SUM(CA$4:CA326,BY$4:BY326,BW$4:BW326))</f>
        <v>#N/A</v>
      </c>
      <c r="CD326" s="304" t="str">
        <f t="shared" si="596"/>
        <v/>
      </c>
      <c r="CE326" s="313" t="e">
        <f>IF($J326="",#N/A,SUM(CD$4:CD326))</f>
        <v>#N/A</v>
      </c>
      <c r="CF326" s="314" t="str">
        <f t="shared" si="597"/>
        <v/>
      </c>
      <c r="CG326" s="314" t="e">
        <f>IF($J326="",#N/A,SUM(CF$4:CF326))</f>
        <v>#N/A</v>
      </c>
      <c r="CH326" s="315" t="str">
        <f t="shared" si="598"/>
        <v/>
      </c>
      <c r="CI326" s="315" t="e">
        <f>IF($J326="",#N/A,SUM(CH$4:CH326))</f>
        <v>#N/A</v>
      </c>
      <c r="CJ326" s="315" t="e">
        <f>IF($J326="",#N/A,SUM(CH$4:CH326,CF$4:CF326,CD$4:CD326))</f>
        <v>#N/A</v>
      </c>
      <c r="CK326" s="304" t="str">
        <f t="shared" si="599"/>
        <v/>
      </c>
      <c r="CL326" s="313" t="e">
        <f>IF($J326="",#N/A,SUM(CK$4:CK326))</f>
        <v>#N/A</v>
      </c>
      <c r="CM326" s="314" t="str">
        <f t="shared" si="600"/>
        <v/>
      </c>
      <c r="CN326" s="314" t="e">
        <f>IF($J326="",#N/A,SUM(CM$4:CM326))</f>
        <v>#N/A</v>
      </c>
      <c r="CO326" s="315" t="str">
        <f t="shared" si="601"/>
        <v/>
      </c>
      <c r="CP326" s="315" t="e">
        <f>IF($J326="",#N/A,SUM(CO$4:CO326))</f>
        <v>#N/A</v>
      </c>
      <c r="CQ326" s="315" t="e">
        <f>IF($J326="",#N/A,SUM(CO$4:CO326,CM$4:CM326,CK$4:CK326))</f>
        <v>#N/A</v>
      </c>
      <c r="CR326" s="304" t="str">
        <f t="shared" si="602"/>
        <v/>
      </c>
      <c r="CS326" s="313" t="e">
        <f>IF($J326="",#N/A,SUM(CR$4:CR326))</f>
        <v>#N/A</v>
      </c>
      <c r="CT326" s="314" t="str">
        <f t="shared" si="603"/>
        <v/>
      </c>
      <c r="CU326" s="314" t="e">
        <f>IF($J326="",#N/A,SUM(CT$4:CT326))</f>
        <v>#N/A</v>
      </c>
      <c r="CV326" s="315" t="str">
        <f t="shared" si="604"/>
        <v/>
      </c>
      <c r="CW326" s="315" t="e">
        <f>IF($J326="",#N/A,SUM(CV$4:CV326))</f>
        <v>#N/A</v>
      </c>
      <c r="CX326" s="315" t="e">
        <f>IF($J326="",#N/A,SUM(CV$4:CV326,CT$4:CT326,CR$4:CR326))</f>
        <v>#N/A</v>
      </c>
      <c r="CY326" s="304" t="str">
        <f t="shared" si="605"/>
        <v/>
      </c>
      <c r="CZ326" s="313" t="e">
        <f>IF($J326="",#N/A,SUM(CY$4:CY326))</f>
        <v>#N/A</v>
      </c>
      <c r="DA326" s="314" t="str">
        <f t="shared" si="606"/>
        <v/>
      </c>
      <c r="DB326" s="314" t="e">
        <f>IF($J326="",#N/A,SUM(DA$4:DA326))</f>
        <v>#N/A</v>
      </c>
      <c r="DC326" s="315" t="str">
        <f t="shared" si="607"/>
        <v/>
      </c>
      <c r="DD326" s="315" t="e">
        <f>IF($J326="",#N/A,SUM(DC$4:DC326))</f>
        <v>#N/A</v>
      </c>
      <c r="DE326" s="315" t="e">
        <f>IF($J326="",#N/A,SUM(DC$4:DC326,DA$4:DA326,CY$4:CY326))</f>
        <v>#N/A</v>
      </c>
      <c r="DF326" s="304" t="str">
        <f t="shared" si="608"/>
        <v/>
      </c>
      <c r="DG326" s="313" t="e">
        <f>IF($J326="",#N/A,SUM(DF$4:DF326))</f>
        <v>#N/A</v>
      </c>
      <c r="DH326" s="314" t="str">
        <f t="shared" si="609"/>
        <v/>
      </c>
      <c r="DI326" s="314" t="e">
        <f>IF($J326="",#N/A,SUM(DH$4:DH326))</f>
        <v>#N/A</v>
      </c>
      <c r="DJ326" s="315" t="str">
        <f t="shared" si="610"/>
        <v/>
      </c>
      <c r="DK326" s="315" t="e">
        <f>IF($J326="",#N/A,SUM(DJ$4:DJ326))</f>
        <v>#N/A</v>
      </c>
      <c r="DL326" s="315" t="e">
        <f>IF($J326="",#N/A,SUM(DJ$4:DJ326,DH$4:DH326,DF$4:DF326))</f>
        <v>#N/A</v>
      </c>
      <c r="DM326" s="304" t="str">
        <f t="shared" si="611"/>
        <v/>
      </c>
      <c r="DN326" s="313" t="e">
        <f>IF($J326="",#N/A,SUM(DM$4:DM326))</f>
        <v>#N/A</v>
      </c>
      <c r="DO326" s="314" t="str">
        <f t="shared" si="612"/>
        <v/>
      </c>
      <c r="DP326" s="314" t="e">
        <f>IF($J326="",#N/A,SUM(DO$4:DO326))</f>
        <v>#N/A</v>
      </c>
      <c r="DQ326" s="315" t="str">
        <f t="shared" si="613"/>
        <v/>
      </c>
      <c r="DR326" s="315" t="e">
        <f>IF($J326="",#N/A,SUM(DQ$4:DQ326))</f>
        <v>#N/A</v>
      </c>
      <c r="DS326" s="315" t="e">
        <f>IF($J326="",#N/A,SUM(DQ$4:DQ326,DO$4:DO326,DM$4:DM326))</f>
        <v>#N/A</v>
      </c>
      <c r="DT326" s="304" t="str">
        <f t="shared" si="614"/>
        <v/>
      </c>
      <c r="DU326" s="313" t="e">
        <f>IF($J326="",#N/A,SUM(DT$4:DT326))</f>
        <v>#N/A</v>
      </c>
      <c r="DV326" s="314" t="str">
        <f t="shared" si="615"/>
        <v/>
      </c>
      <c r="DW326" s="314" t="e">
        <f>IF($J326="",#N/A,SUM(DV$4:DV326))</f>
        <v>#N/A</v>
      </c>
      <c r="DX326" s="315" t="str">
        <f t="shared" si="616"/>
        <v/>
      </c>
      <c r="DY326" s="315" t="e">
        <f>IF($J326="",#N/A,SUM(DX$4:DX326))</f>
        <v>#N/A</v>
      </c>
      <c r="DZ326" s="315" t="e">
        <f>IF($J326="",#N/A,SUM(DX$4:DX326,DV$4:DV326,DT$4:DT326))</f>
        <v>#N/A</v>
      </c>
      <c r="EA326" s="304" t="str">
        <f t="shared" si="617"/>
        <v/>
      </c>
      <c r="EB326" s="313" t="e">
        <f>IF($J326="",#N/A,SUM(EA$4:EA326))</f>
        <v>#N/A</v>
      </c>
      <c r="EC326" s="314" t="str">
        <f t="shared" si="618"/>
        <v/>
      </c>
      <c r="ED326" s="314" t="e">
        <f>IF($J326="",#N/A,SUM(EC$4:EC326))</f>
        <v>#N/A</v>
      </c>
      <c r="EE326" s="315" t="str">
        <f t="shared" si="619"/>
        <v/>
      </c>
      <c r="EF326" s="315" t="e">
        <f>IF($J326="",#N/A,SUM(EE$4:EE326))</f>
        <v>#N/A</v>
      </c>
      <c r="EG326" s="315" t="e">
        <f>IF($J326="",#N/A,SUM(EE$4:EE326,EC$4:EC326,EA$4:EA326))</f>
        <v>#N/A</v>
      </c>
      <c r="EH326" s="130">
        <f t="shared" si="620"/>
        <v>28.279999999999973</v>
      </c>
      <c r="EI326" s="63">
        <f>IF(EH326="",#N/A,SUM($EH$4:EH326))</f>
        <v>1166.6351978111377</v>
      </c>
      <c r="EJ326" s="223" t="e">
        <f t="shared" si="621"/>
        <v>#N/A</v>
      </c>
      <c r="EK326" s="63" t="e">
        <f>IF($GZ326="",#N/A,SUM(EJ$4:EJ326))</f>
        <v>#N/A</v>
      </c>
      <c r="EL326" s="60">
        <f t="shared" si="651"/>
        <v>0.29993912126746525</v>
      </c>
      <c r="EM326" s="60">
        <f>IF(EL326="",NA(),SUM($EL$4:EL326))</f>
        <v>34.388373046762361</v>
      </c>
      <c r="EN326" s="60">
        <f t="shared" si="622"/>
        <v>0.29993912126746525</v>
      </c>
      <c r="EO326" s="60">
        <f>IF(EN326="",NA(),SUM($EN$4:EN326))</f>
        <v>14.749796204536127</v>
      </c>
      <c r="EP326" s="60" t="str">
        <f t="shared" si="623"/>
        <v/>
      </c>
      <c r="EQ326" s="60" t="e">
        <f>IF(EP326="",NA(),SUM($EP$4:EP326))</f>
        <v>#N/A</v>
      </c>
      <c r="ER326" s="60" t="str">
        <f t="shared" si="624"/>
        <v/>
      </c>
      <c r="ES326" s="60" t="e">
        <f>IF(ER326="",NA(),SUM($ER$4:ER326))</f>
        <v>#N/A</v>
      </c>
      <c r="ET326" s="60" t="str">
        <f t="shared" si="625"/>
        <v/>
      </c>
      <c r="EU326" s="60" t="e">
        <f>IF(ET326="",NA(),SUM($ET$4:ET326))</f>
        <v>#N/A</v>
      </c>
      <c r="EV326" s="60" t="str">
        <f t="shared" si="626"/>
        <v/>
      </c>
      <c r="EW326" s="60" t="e">
        <f>IF(EV326="",NA(),SUM($EV$4:EV326))</f>
        <v>#N/A</v>
      </c>
      <c r="EX326" s="60" t="str">
        <f t="shared" si="627"/>
        <v/>
      </c>
      <c r="EY326" s="60" t="e">
        <f>IF(EX326="",NA(),SUM($EX$4:EX326))</f>
        <v>#N/A</v>
      </c>
      <c r="EZ326" s="60" t="str">
        <f t="shared" si="628"/>
        <v/>
      </c>
      <c r="FA326" s="60" t="e">
        <f>IF(EZ326="",NA(),SUM($EZ$4:EZ326))</f>
        <v>#N/A</v>
      </c>
      <c r="FB326" s="246" t="str">
        <f t="shared" si="652"/>
        <v/>
      </c>
      <c r="FC326" s="246" t="e">
        <f>IF($FB326="",#N/A,SUM(FB$4:$FB326))</f>
        <v>#N/A</v>
      </c>
      <c r="FD326" s="60" t="str">
        <f t="shared" si="629"/>
        <v/>
      </c>
      <c r="FE326" s="60" t="e">
        <f>IF($FD326="",#N/A,SUM($FD$4:FD326))</f>
        <v>#N/A</v>
      </c>
      <c r="FF326" s="60">
        <f t="shared" si="630"/>
        <v>0.21084829316821951</v>
      </c>
      <c r="FG326" s="60">
        <f>IF($FF326="",#N/A,SUM($FF$4:FF326))</f>
        <v>-6.3758692425659733</v>
      </c>
      <c r="FH326" s="60" t="str">
        <f t="shared" si="631"/>
        <v/>
      </c>
      <c r="FI326" s="60" t="e">
        <f>IF($FH326="",#N/A,SUM($FH$4:FH326))</f>
        <v>#N/A</v>
      </c>
      <c r="FJ326" s="60" t="str">
        <f t="shared" si="632"/>
        <v/>
      </c>
      <c r="FK326" s="60" t="e">
        <f>IF($FJ326="",#N/A,SUM($FJ$4:FJ326))</f>
        <v>#N/A</v>
      </c>
      <c r="FL326" s="60" t="str">
        <f t="shared" si="633"/>
        <v/>
      </c>
      <c r="FM326" s="60" t="e">
        <f>IF($FL326="",#N/A,SUM($FL$4:FL326))</f>
        <v>#N/A</v>
      </c>
      <c r="FN326" s="82">
        <f t="shared" si="634"/>
        <v>0.51078741443568476</v>
      </c>
      <c r="FO326" s="82">
        <f>IF($FN326="",#N/A,SUM(FN$4:$FN326))</f>
        <v>54.711451491045572</v>
      </c>
      <c r="FP326" s="82">
        <f t="shared" si="653"/>
        <v>0.29993912126746525</v>
      </c>
      <c r="FQ326" s="246">
        <f>IF($EH326="",#N/A,SUM($FP$4:FP326))</f>
        <v>52.656475384258776</v>
      </c>
      <c r="FR326" s="82">
        <f>IFERROR(FQ326/COUNTA($J$4:J326),#N/A)</f>
        <v>0.16302314360451634</v>
      </c>
      <c r="FS326" s="82">
        <f t="shared" si="554"/>
        <v>-2.0636166981893068E-2</v>
      </c>
      <c r="FT326" s="82">
        <f t="shared" si="555"/>
        <v>-0.14908025789827006</v>
      </c>
      <c r="FU326" s="338">
        <f t="shared" si="559"/>
        <v>27.035886696418032</v>
      </c>
      <c r="FV326" s="57" t="str">
        <f t="shared" si="560"/>
        <v>Up</v>
      </c>
      <c r="FW326" s="57" t="s">
        <v>2733</v>
      </c>
      <c r="FX326" s="57">
        <f t="shared" si="635"/>
        <v>1</v>
      </c>
      <c r="FY326" s="57" t="str">
        <f t="shared" si="636"/>
        <v/>
      </c>
      <c r="FZ326" s="57" t="str">
        <f t="shared" si="637"/>
        <v/>
      </c>
      <c r="GA326" s="57" t="str">
        <f t="shared" si="638"/>
        <v>Long</v>
      </c>
      <c r="GB326" s="57" t="str">
        <f t="shared" si="639"/>
        <v/>
      </c>
      <c r="GC326" s="57" t="str">
        <f t="shared" si="640"/>
        <v/>
      </c>
      <c r="GD326" s="57" t="str">
        <f t="shared" si="641"/>
        <v/>
      </c>
      <c r="GE326" s="62">
        <f t="shared" si="557"/>
        <v>224.49</v>
      </c>
      <c r="GF326" s="62" t="s">
        <v>2779</v>
      </c>
      <c r="GG326" s="199">
        <v>7</v>
      </c>
      <c r="GH326" s="207">
        <f t="shared" si="642"/>
        <v>1571.43</v>
      </c>
      <c r="GI326" s="199">
        <v>7</v>
      </c>
      <c r="GJ326" s="200">
        <v>228.53</v>
      </c>
      <c r="GK326" s="63">
        <f t="shared" si="643"/>
        <v>28.279999999999973</v>
      </c>
      <c r="GL326" s="63">
        <f t="shared" si="558"/>
        <v>48.160000000000082</v>
      </c>
      <c r="GM326" s="82" t="str">
        <f t="shared" si="644"/>
        <v/>
      </c>
      <c r="GN326" s="82">
        <f>IF($GZ326="",#N/A,SUM(GM$4:GM326))</f>
        <v>4.3936945099084195</v>
      </c>
      <c r="GO326" s="82">
        <f t="shared" si="645"/>
        <v>0.51078741443568476</v>
      </c>
      <c r="GP326" s="82">
        <f>IF($GZ326="",#N/A,SUM(GO$4:GO326))</f>
        <v>18.822705858946044</v>
      </c>
      <c r="GQ326" s="82" t="str">
        <f t="shared" si="646"/>
        <v/>
      </c>
      <c r="GR326" s="82">
        <f>IF($GZ326="",#N/A,SUM(GQ$4:GQ326))</f>
        <v>30.869214167748773</v>
      </c>
      <c r="GS326" s="63" t="str">
        <f t="shared" si="654"/>
        <v/>
      </c>
      <c r="GT326" s="63" t="e">
        <f>IF($GZ326="",#N/A,SUM(GS$4:GS326))</f>
        <v>#N/A</v>
      </c>
      <c r="GU326" s="63" t="e">
        <f t="shared" si="655"/>
        <v>#N/A</v>
      </c>
      <c r="GV326" s="63" t="e">
        <f>IF($GZ326="",#N/A,SUM(GU$4:GU326))</f>
        <v>#N/A</v>
      </c>
      <c r="GW326" s="63" t="str">
        <f t="shared" si="656"/>
        <v/>
      </c>
      <c r="GX326" s="63" t="e">
        <f>IF($GZ326="",#N/A,SUM(GW$4:GW326))</f>
        <v>#N/A</v>
      </c>
      <c r="GY326" s="63" t="e">
        <f>IF(EJ326="",#N/A,SUM($EJ$4:EJ326))</f>
        <v>#N/A</v>
      </c>
      <c r="GZ326" s="159">
        <v>231.37</v>
      </c>
      <c r="HA326" s="63">
        <f t="shared" si="647"/>
        <v>19.880000000000109</v>
      </c>
      <c r="HB326" s="62" t="s">
        <v>2538</v>
      </c>
      <c r="HC326" s="60">
        <f>IFERROR(VLOOKUP(E326,Expectancy!$P$4:$S$19,1+C326,FALSE),"")</f>
        <v>-4.1762476788754908E-2</v>
      </c>
      <c r="HD326" s="82">
        <f t="shared" si="648"/>
        <v>0.29993912126746525</v>
      </c>
      <c r="HE326" s="138">
        <f>IF(HD326="",#N/A,SUM($HD$4:HD326))</f>
        <v>11.090588687840743</v>
      </c>
      <c r="HF326" s="85">
        <f>IF(HD326="",#N/A,IF(HB326="Skip",#N/A,SUM($HG$4:HG326)))</f>
        <v>411.10657921915504</v>
      </c>
      <c r="HG326" s="63">
        <f t="shared" si="649"/>
        <v>28.279999999999973</v>
      </c>
      <c r="HH326" s="82">
        <f t="shared" si="650"/>
        <v>0.51078741443568476</v>
      </c>
    </row>
    <row r="327" spans="1:216" x14ac:dyDescent="0.25">
      <c r="A327" s="57" t="s">
        <v>1436</v>
      </c>
      <c r="B327" s="58" t="s">
        <v>5241</v>
      </c>
      <c r="C327" s="386">
        <f t="shared" si="561"/>
        <v>2</v>
      </c>
      <c r="D327" s="372" t="str">
        <f>_xlfn.XLOOKUP(A327,[1]SP500!$A$2:$A$502,[1]SP500!$D$2:$D$502,"N")</f>
        <v>Y</v>
      </c>
      <c r="E327" s="57" t="str">
        <f>_xlfn.XLOOKUP(A327,[1]SP500!$A$2:$A$655,[1]SP500!$B$2:$B$655)</f>
        <v>XLI</v>
      </c>
      <c r="F327" s="59">
        <v>45701</v>
      </c>
      <c r="G327" s="57" t="str">
        <f t="shared" si="562"/>
        <v>AMC</v>
      </c>
      <c r="H327" s="57" t="str">
        <f t="shared" si="563"/>
        <v>s</v>
      </c>
      <c r="I327" s="159">
        <v>92.55</v>
      </c>
      <c r="J327" s="158">
        <v>88</v>
      </c>
      <c r="K327" s="61">
        <f t="shared" si="564"/>
        <v>-4.9162614802809264E-2</v>
      </c>
      <c r="L327" s="87">
        <f t="shared" si="565"/>
        <v>81.899999999999864</v>
      </c>
      <c r="M327" s="130">
        <f t="shared" si="556"/>
        <v>0</v>
      </c>
      <c r="N327" s="169" t="str">
        <f t="shared" si="566"/>
        <v/>
      </c>
      <c r="O327" s="169">
        <f>IF($J327="",#N/A,SUM($N$4:N327))</f>
        <v>913.32671935422445</v>
      </c>
      <c r="P327" s="174">
        <f t="shared" si="567"/>
        <v>81.899999999999864</v>
      </c>
      <c r="Q327" s="174">
        <f>IF($J327="",#N/A,SUM($P$4:P327))</f>
        <v>305.86890674734184</v>
      </c>
      <c r="R327" s="178" t="str">
        <f t="shared" si="568"/>
        <v/>
      </c>
      <c r="S327" s="178">
        <f>IF($J327="",#N/A,SUM($R$4:R327))</f>
        <v>29.339571709571146</v>
      </c>
      <c r="T327" s="290" t="str">
        <f t="shared" si="569"/>
        <v/>
      </c>
      <c r="U327" s="290">
        <f>IF($J327="",#N/A,SUM($T$4:T327))</f>
        <v>22.762151850799597</v>
      </c>
      <c r="V327" s="291">
        <f t="shared" si="570"/>
        <v>0.8193769133801535</v>
      </c>
      <c r="W327" s="291">
        <f>IF($J327="",#N/A,SUM($V$4:V327))</f>
        <v>22.698098961525414</v>
      </c>
      <c r="X327" s="292" t="str">
        <f t="shared" si="571"/>
        <v/>
      </c>
      <c r="Y327" s="292">
        <f>IF($J327="",#N/A,SUM($X$4:X327))</f>
        <v>8.0156014853139332</v>
      </c>
      <c r="Z327" s="304" t="str">
        <f t="shared" si="572"/>
        <v/>
      </c>
      <c r="AA327" s="313" t="e">
        <f>IF($J327="",#N/A,SUM(Z$4:Z327))</f>
        <v>#N/A</v>
      </c>
      <c r="AB327" s="314" t="str">
        <f t="shared" si="573"/>
        <v/>
      </c>
      <c r="AC327" s="314" t="e">
        <f>IF($J327="",#N/A,SUM(AB$4:AB327))</f>
        <v>#N/A</v>
      </c>
      <c r="AD327" s="315" t="str">
        <f t="shared" si="574"/>
        <v/>
      </c>
      <c r="AE327" s="315" t="e">
        <f>IF($J327="",#N/A,SUM(AD$4:AD327))</f>
        <v>#N/A</v>
      </c>
      <c r="AF327" s="315" t="e">
        <f>IF($J327="",#N/A,SUM(AD$4:AD327,AB$4:AB327,Z$4:Z327))</f>
        <v>#N/A</v>
      </c>
      <c r="AG327" s="304" t="str">
        <f t="shared" si="575"/>
        <v/>
      </c>
      <c r="AH327" s="313" t="e">
        <f>IF($J327="",#N/A,SUM(AG$4:AG327))</f>
        <v>#N/A</v>
      </c>
      <c r="AI327" s="314" t="str">
        <f t="shared" si="576"/>
        <v/>
      </c>
      <c r="AJ327" s="314" t="e">
        <f>IF($J327="",#N/A,SUM(AI$4:AI327))</f>
        <v>#N/A</v>
      </c>
      <c r="AK327" s="315" t="str">
        <f t="shared" si="577"/>
        <v/>
      </c>
      <c r="AL327" s="315" t="e">
        <f>IF($J327="",#N/A,SUM(AK$4:AK327))</f>
        <v>#N/A</v>
      </c>
      <c r="AM327" s="315" t="e">
        <f>IF($J327="",#N/A,SUM(AK$4:AK327,AI$4:AI327,AG$4:AG327))</f>
        <v>#N/A</v>
      </c>
      <c r="AN327" s="304" t="str">
        <f t="shared" si="578"/>
        <v/>
      </c>
      <c r="AO327" s="313" t="e">
        <f>IF($J327="",#N/A,SUM(AN$4:AN327))</f>
        <v>#N/A</v>
      </c>
      <c r="AP327" s="314" t="str">
        <f t="shared" si="579"/>
        <v/>
      </c>
      <c r="AQ327" s="314" t="e">
        <f>IF($J327="",#N/A,SUM(AP$4:AP327))</f>
        <v>#N/A</v>
      </c>
      <c r="AR327" s="315" t="str">
        <f t="shared" si="580"/>
        <v/>
      </c>
      <c r="AS327" s="315" t="e">
        <f>IF($J327="",#N/A,SUM(AR$4:AR327))</f>
        <v>#N/A</v>
      </c>
      <c r="AT327" s="315" t="e">
        <f>IF($J327="",#N/A,SUM(AR$4:AR327,AP$4:AP327,AN$4:AN327))</f>
        <v>#N/A</v>
      </c>
      <c r="AU327" s="304" t="str">
        <f t="shared" si="581"/>
        <v/>
      </c>
      <c r="AV327" s="313" t="e">
        <f>IF($J327="",#N/A,SUM(AU$4:AU327))</f>
        <v>#N/A</v>
      </c>
      <c r="AW327" s="314" t="str">
        <f t="shared" si="582"/>
        <v/>
      </c>
      <c r="AX327" s="314" t="e">
        <f>IF($J327="",#N/A,SUM(AW$4:AW327))</f>
        <v>#N/A</v>
      </c>
      <c r="AY327" s="315" t="str">
        <f t="shared" si="583"/>
        <v/>
      </c>
      <c r="AZ327" s="315" t="e">
        <f>IF($J327="",#N/A,SUM(AY$4:AY327))</f>
        <v>#N/A</v>
      </c>
      <c r="BA327" s="315" t="e">
        <f>IF($J327="",#N/A,SUM(AY$4:AY327,AW$4:AW327,AU$4:AU327))</f>
        <v>#N/A</v>
      </c>
      <c r="BB327" s="304" t="str">
        <f t="shared" si="584"/>
        <v/>
      </c>
      <c r="BC327" s="313" t="e">
        <f>IF($J327="",#N/A,SUM(BB$4:BB327))</f>
        <v>#N/A</v>
      </c>
      <c r="BD327" s="314" t="str">
        <f t="shared" si="585"/>
        <v/>
      </c>
      <c r="BE327" s="314" t="e">
        <f>IF($J327="",#N/A,SUM(BD$4:BD327))</f>
        <v>#N/A</v>
      </c>
      <c r="BF327" s="315" t="str">
        <f t="shared" si="586"/>
        <v/>
      </c>
      <c r="BG327" s="315" t="e">
        <f>IF($J327="",#N/A,SUM(BF$4:BF327))</f>
        <v>#N/A</v>
      </c>
      <c r="BH327" s="315" t="e">
        <f>IF($J327="",#N/A,SUM(BF$4:BF327,BD$4:BD327,BB$4:BB327))</f>
        <v>#N/A</v>
      </c>
      <c r="BI327" s="304" t="str">
        <f t="shared" si="587"/>
        <v/>
      </c>
      <c r="BJ327" s="313" t="e">
        <f>IF($J327="",#N/A,SUM(BI$4:BI327))</f>
        <v>#N/A</v>
      </c>
      <c r="BK327" s="314" t="str">
        <f t="shared" si="588"/>
        <v/>
      </c>
      <c r="BL327" s="314" t="e">
        <f>IF($J327="",#N/A,SUM(BK$4:BK327))</f>
        <v>#N/A</v>
      </c>
      <c r="BM327" s="315" t="str">
        <f t="shared" si="589"/>
        <v/>
      </c>
      <c r="BN327" s="315" t="e">
        <f>IF($J327="",#N/A,SUM(BM$4:BM327))</f>
        <v>#N/A</v>
      </c>
      <c r="BO327" s="315" t="e">
        <f>IF($J327="",#N/A,SUM(BM$4:BM327,BK$4:BK327,BI$4:BI327))</f>
        <v>#N/A</v>
      </c>
      <c r="BP327" s="304" t="str">
        <f t="shared" si="590"/>
        <v/>
      </c>
      <c r="BQ327" s="313" t="e">
        <f>IF($J327="",#N/A,SUM(BP$4:BP327))</f>
        <v>#N/A</v>
      </c>
      <c r="BR327" s="314">
        <f t="shared" si="591"/>
        <v>0.8193769133801535</v>
      </c>
      <c r="BS327" s="314" t="e">
        <f>IF($J327="",#N/A,SUM(BR$4:BR327))</f>
        <v>#N/A</v>
      </c>
      <c r="BT327" s="315" t="str">
        <f t="shared" si="592"/>
        <v/>
      </c>
      <c r="BU327" s="315" t="e">
        <f>IF($J327="",#N/A,SUM(BT$4:BT327))</f>
        <v>#N/A</v>
      </c>
      <c r="BV327" s="315" t="e">
        <f>IF($J327="",#N/A,SUM(BT$4:BT327,BR$4:BR327,BP$4:BP327))</f>
        <v>#N/A</v>
      </c>
      <c r="BW327" s="304" t="str">
        <f t="shared" si="593"/>
        <v/>
      </c>
      <c r="BX327" s="313" t="e">
        <f>IF($J327="",#N/A,SUM(BW$4:BW327))</f>
        <v>#N/A</v>
      </c>
      <c r="BY327" s="314" t="str">
        <f t="shared" si="594"/>
        <v/>
      </c>
      <c r="BZ327" s="314" t="e">
        <f>IF($J327="",#N/A,SUM(BY$4:BY327))</f>
        <v>#N/A</v>
      </c>
      <c r="CA327" s="315" t="str">
        <f t="shared" si="595"/>
        <v/>
      </c>
      <c r="CB327" s="315" t="e">
        <f>IF($J327="",#N/A,SUM(CA$4:CA327))</f>
        <v>#N/A</v>
      </c>
      <c r="CC327" s="315" t="e">
        <f>IF($J327="",#N/A,SUM(CA$4:CA327,BY$4:BY327,BW$4:BW327))</f>
        <v>#N/A</v>
      </c>
      <c r="CD327" s="304" t="str">
        <f t="shared" si="596"/>
        <v/>
      </c>
      <c r="CE327" s="313" t="e">
        <f>IF($J327="",#N/A,SUM(CD$4:CD327))</f>
        <v>#N/A</v>
      </c>
      <c r="CF327" s="314" t="str">
        <f t="shared" si="597"/>
        <v/>
      </c>
      <c r="CG327" s="314" t="e">
        <f>IF($J327="",#N/A,SUM(CF$4:CF327))</f>
        <v>#N/A</v>
      </c>
      <c r="CH327" s="315" t="str">
        <f t="shared" si="598"/>
        <v/>
      </c>
      <c r="CI327" s="315" t="e">
        <f>IF($J327="",#N/A,SUM(CH$4:CH327))</f>
        <v>#N/A</v>
      </c>
      <c r="CJ327" s="315" t="e">
        <f>IF($J327="",#N/A,SUM(CH$4:CH327,CF$4:CF327,CD$4:CD327))</f>
        <v>#N/A</v>
      </c>
      <c r="CK327" s="304" t="str">
        <f t="shared" si="599"/>
        <v/>
      </c>
      <c r="CL327" s="313" t="e">
        <f>IF($J327="",#N/A,SUM(CK$4:CK327))</f>
        <v>#N/A</v>
      </c>
      <c r="CM327" s="314" t="str">
        <f t="shared" si="600"/>
        <v/>
      </c>
      <c r="CN327" s="314" t="e">
        <f>IF($J327="",#N/A,SUM(CM$4:CM327))</f>
        <v>#N/A</v>
      </c>
      <c r="CO327" s="315" t="str">
        <f t="shared" si="601"/>
        <v/>
      </c>
      <c r="CP327" s="315" t="e">
        <f>IF($J327="",#N/A,SUM(CO$4:CO327))</f>
        <v>#N/A</v>
      </c>
      <c r="CQ327" s="315" t="e">
        <f>IF($J327="",#N/A,SUM(CO$4:CO327,CM$4:CM327,CK$4:CK327))</f>
        <v>#N/A</v>
      </c>
      <c r="CR327" s="304" t="str">
        <f t="shared" si="602"/>
        <v/>
      </c>
      <c r="CS327" s="313" t="e">
        <f>IF($J327="",#N/A,SUM(CR$4:CR327))</f>
        <v>#N/A</v>
      </c>
      <c r="CT327" s="314" t="str">
        <f t="shared" si="603"/>
        <v/>
      </c>
      <c r="CU327" s="314" t="e">
        <f>IF($J327="",#N/A,SUM(CT$4:CT327))</f>
        <v>#N/A</v>
      </c>
      <c r="CV327" s="315" t="str">
        <f t="shared" si="604"/>
        <v/>
      </c>
      <c r="CW327" s="315" t="e">
        <f>IF($J327="",#N/A,SUM(CV$4:CV327))</f>
        <v>#N/A</v>
      </c>
      <c r="CX327" s="315" t="e">
        <f>IF($J327="",#N/A,SUM(CV$4:CV327,CT$4:CT327,CR$4:CR327))</f>
        <v>#N/A</v>
      </c>
      <c r="CY327" s="304" t="str">
        <f t="shared" si="605"/>
        <v/>
      </c>
      <c r="CZ327" s="313" t="e">
        <f>IF($J327="",#N/A,SUM(CY$4:CY327))</f>
        <v>#N/A</v>
      </c>
      <c r="DA327" s="314" t="str">
        <f t="shared" si="606"/>
        <v/>
      </c>
      <c r="DB327" s="314" t="e">
        <f>IF($J327="",#N/A,SUM(DA$4:DA327))</f>
        <v>#N/A</v>
      </c>
      <c r="DC327" s="315" t="str">
        <f t="shared" si="607"/>
        <v/>
      </c>
      <c r="DD327" s="315" t="e">
        <f>IF($J327="",#N/A,SUM(DC$4:DC327))</f>
        <v>#N/A</v>
      </c>
      <c r="DE327" s="315" t="e">
        <f>IF($J327="",#N/A,SUM(DC$4:DC327,DA$4:DA327,CY$4:CY327))</f>
        <v>#N/A</v>
      </c>
      <c r="DF327" s="304" t="str">
        <f t="shared" si="608"/>
        <v/>
      </c>
      <c r="DG327" s="313" t="e">
        <f>IF($J327="",#N/A,SUM(DF$4:DF327))</f>
        <v>#N/A</v>
      </c>
      <c r="DH327" s="314" t="str">
        <f t="shared" si="609"/>
        <v/>
      </c>
      <c r="DI327" s="314" t="e">
        <f>IF($J327="",#N/A,SUM(DH$4:DH327))</f>
        <v>#N/A</v>
      </c>
      <c r="DJ327" s="315" t="str">
        <f t="shared" si="610"/>
        <v/>
      </c>
      <c r="DK327" s="315" t="e">
        <f>IF($J327="",#N/A,SUM(DJ$4:DJ327))</f>
        <v>#N/A</v>
      </c>
      <c r="DL327" s="315" t="e">
        <f>IF($J327="",#N/A,SUM(DJ$4:DJ327,DH$4:DH327,DF$4:DF327))</f>
        <v>#N/A</v>
      </c>
      <c r="DM327" s="304" t="str">
        <f t="shared" si="611"/>
        <v/>
      </c>
      <c r="DN327" s="313" t="e">
        <f>IF($J327="",#N/A,SUM(DM$4:DM327))</f>
        <v>#N/A</v>
      </c>
      <c r="DO327" s="314" t="str">
        <f t="shared" si="612"/>
        <v/>
      </c>
      <c r="DP327" s="314" t="e">
        <f>IF($J327="",#N/A,SUM(DO$4:DO327))</f>
        <v>#N/A</v>
      </c>
      <c r="DQ327" s="315" t="str">
        <f t="shared" si="613"/>
        <v/>
      </c>
      <c r="DR327" s="315" t="e">
        <f>IF($J327="",#N/A,SUM(DQ$4:DQ327))</f>
        <v>#N/A</v>
      </c>
      <c r="DS327" s="315" t="e">
        <f>IF($J327="",#N/A,SUM(DQ$4:DQ327,DO$4:DO327,DM$4:DM327))</f>
        <v>#N/A</v>
      </c>
      <c r="DT327" s="304" t="str">
        <f t="shared" si="614"/>
        <v/>
      </c>
      <c r="DU327" s="313" t="e">
        <f>IF($J327="",#N/A,SUM(DT$4:DT327))</f>
        <v>#N/A</v>
      </c>
      <c r="DV327" s="314" t="str">
        <f t="shared" si="615"/>
        <v/>
      </c>
      <c r="DW327" s="314" t="e">
        <f>IF($J327="",#N/A,SUM(DV$4:DV327))</f>
        <v>#N/A</v>
      </c>
      <c r="DX327" s="315" t="str">
        <f t="shared" si="616"/>
        <v/>
      </c>
      <c r="DY327" s="315" t="e">
        <f>IF($J327="",#N/A,SUM(DX$4:DX327))</f>
        <v>#N/A</v>
      </c>
      <c r="DZ327" s="315" t="e">
        <f>IF($J327="",#N/A,SUM(DX$4:DX327,DV$4:DV327,DT$4:DT327))</f>
        <v>#N/A</v>
      </c>
      <c r="EA327" s="304" t="str">
        <f t="shared" si="617"/>
        <v/>
      </c>
      <c r="EB327" s="313" t="e">
        <f>IF($J327="",#N/A,SUM(EA$4:EA327))</f>
        <v>#N/A</v>
      </c>
      <c r="EC327" s="314" t="str">
        <f t="shared" si="618"/>
        <v/>
      </c>
      <c r="ED327" s="314" t="e">
        <f>IF($J327="",#N/A,SUM(EC$4:EC327))</f>
        <v>#N/A</v>
      </c>
      <c r="EE327" s="315" t="str">
        <f t="shared" si="619"/>
        <v/>
      </c>
      <c r="EF327" s="315" t="e">
        <f>IF($J327="",#N/A,SUM(EE$4:EE327))</f>
        <v>#N/A</v>
      </c>
      <c r="EG327" s="315" t="e">
        <f>IF($J327="",#N/A,SUM(EE$4:EE327,EC$4:EC327,EA$4:EA327))</f>
        <v>#N/A</v>
      </c>
      <c r="EH327" s="130">
        <f t="shared" si="620"/>
        <v>81.899999999999864</v>
      </c>
      <c r="EI327" s="63">
        <f>IF(EH327="",#N/A,SUM($EH$4:EH327))</f>
        <v>1248.5351978111376</v>
      </c>
      <c r="EJ327" s="223" t="e">
        <f t="shared" si="621"/>
        <v>#N/A</v>
      </c>
      <c r="EK327" s="63" t="e">
        <f>IF($GZ327="",#N/A,SUM(EJ$4:EJ327))</f>
        <v>#N/A</v>
      </c>
      <c r="EL327" s="60">
        <f t="shared" si="651"/>
        <v>0.8193769133801535</v>
      </c>
      <c r="EM327" s="60">
        <f>IF(EL327="",NA(),SUM($EL$4:EL327))</f>
        <v>35.207749960142515</v>
      </c>
      <c r="EN327" s="60" t="str">
        <f t="shared" si="622"/>
        <v/>
      </c>
      <c r="EO327" s="60" t="e">
        <f>IF(EN327="",NA(),SUM($EN$4:EN327))</f>
        <v>#N/A</v>
      </c>
      <c r="EP327" s="60" t="str">
        <f t="shared" si="623"/>
        <v/>
      </c>
      <c r="EQ327" s="60" t="e">
        <f>IF(EP327="",NA(),SUM($EP$4:EP327))</f>
        <v>#N/A</v>
      </c>
      <c r="ER327" s="60">
        <f t="shared" si="624"/>
        <v>0.8193769133801535</v>
      </c>
      <c r="ES327" s="60">
        <f>IF(ER327="",NA(),SUM($ER$4:ER327))</f>
        <v>13.377496437025533</v>
      </c>
      <c r="ET327" s="60" t="str">
        <f t="shared" si="625"/>
        <v/>
      </c>
      <c r="EU327" s="60" t="e">
        <f>IF(ET327="",NA(),SUM($ET$4:ET327))</f>
        <v>#N/A</v>
      </c>
      <c r="EV327" s="60" t="str">
        <f t="shared" si="626"/>
        <v/>
      </c>
      <c r="EW327" s="60" t="e">
        <f>IF(EV327="",NA(),SUM($EV$4:EV327))</f>
        <v>#N/A</v>
      </c>
      <c r="EX327" s="60" t="str">
        <f t="shared" si="627"/>
        <v/>
      </c>
      <c r="EY327" s="60" t="e">
        <f>IF(EX327="",NA(),SUM($EX$4:EX327))</f>
        <v>#N/A</v>
      </c>
      <c r="EZ327" s="60" t="str">
        <f t="shared" si="628"/>
        <v/>
      </c>
      <c r="FA327" s="60" t="e">
        <f>IF(EZ327="",NA(),SUM($EZ$4:EZ327))</f>
        <v>#N/A</v>
      </c>
      <c r="FB327" s="246">
        <f t="shared" si="652"/>
        <v>0.41058887088060481</v>
      </c>
      <c r="FC327" s="246">
        <f>IF($FB327="",#N/A,SUM(FB$4:$FB327))</f>
        <v>4.9508077300507951</v>
      </c>
      <c r="FD327" s="60" t="str">
        <f t="shared" si="629"/>
        <v/>
      </c>
      <c r="FE327" s="60" t="e">
        <f>IF($FD327="",#N/A,SUM($FD$4:FD327))</f>
        <v>#N/A</v>
      </c>
      <c r="FF327" s="60" t="str">
        <f t="shared" si="630"/>
        <v/>
      </c>
      <c r="FG327" s="60" t="e">
        <f>IF($FF327="",#N/A,SUM($FF$4:FF327))</f>
        <v>#N/A</v>
      </c>
      <c r="FH327" s="60" t="str">
        <f t="shared" si="631"/>
        <v/>
      </c>
      <c r="FI327" s="60" t="e">
        <f>IF($FH327="",#N/A,SUM($FH$4:FH327))</f>
        <v>#N/A</v>
      </c>
      <c r="FJ327" s="60" t="str">
        <f t="shared" si="632"/>
        <v/>
      </c>
      <c r="FK327" s="60" t="e">
        <f>IF($FJ327="",#N/A,SUM($FJ$4:FJ327))</f>
        <v>#N/A</v>
      </c>
      <c r="FL327" s="60" t="str">
        <f t="shared" si="633"/>
        <v/>
      </c>
      <c r="FM327" s="60" t="e">
        <f>IF($FL327="",#N/A,SUM($FL$4:FL327))</f>
        <v>#N/A</v>
      </c>
      <c r="FN327" s="82">
        <f t="shared" si="634"/>
        <v>1.2299657842607583</v>
      </c>
      <c r="FO327" s="82">
        <f>IF($FN327="",#N/A,SUM(FN$4:$FN327))</f>
        <v>55.941417275306328</v>
      </c>
      <c r="FP327" s="82">
        <f t="shared" si="653"/>
        <v>0.8193769133801535</v>
      </c>
      <c r="FQ327" s="246">
        <f>IF($EH327="",#N/A,SUM($FP$4:FP327))</f>
        <v>53.47585229763893</v>
      </c>
      <c r="FR327" s="82">
        <f>IFERROR(FQ327/COUNTA($J$4:J327),#N/A)</f>
        <v>0.1650489268445646</v>
      </c>
      <c r="FS327" s="82">
        <f t="shared" si="554"/>
        <v>-1.1392006511505457E-2</v>
      </c>
      <c r="FT327" s="82">
        <f t="shared" si="555"/>
        <v>-0.12888379771526531</v>
      </c>
      <c r="FU327" s="338">
        <f t="shared" si="559"/>
        <v>27.035886696418032</v>
      </c>
      <c r="FV327" s="57" t="str">
        <f t="shared" si="560"/>
        <v>Dwn</v>
      </c>
      <c r="FW327" s="57" t="s">
        <v>2733</v>
      </c>
      <c r="FX327" s="57" t="str">
        <f t="shared" si="635"/>
        <v/>
      </c>
      <c r="FY327" s="57" t="str">
        <f t="shared" si="636"/>
        <v/>
      </c>
      <c r="FZ327" s="57" t="str">
        <f t="shared" si="637"/>
        <v/>
      </c>
      <c r="GA327" s="57" t="str">
        <f t="shared" si="638"/>
        <v>Short</v>
      </c>
      <c r="GB327" s="57">
        <f t="shared" si="639"/>
        <v>1</v>
      </c>
      <c r="GC327" s="57" t="str">
        <f t="shared" si="640"/>
        <v/>
      </c>
      <c r="GD327" s="57" t="str">
        <f t="shared" si="641"/>
        <v/>
      </c>
      <c r="GE327" s="62">
        <f t="shared" si="557"/>
        <v>92.55</v>
      </c>
      <c r="GF327" s="62" t="s">
        <v>2780</v>
      </c>
      <c r="GG327" s="199">
        <v>18</v>
      </c>
      <c r="GH327" s="207">
        <f t="shared" si="642"/>
        <v>1665.8999999999999</v>
      </c>
      <c r="GI327" s="199">
        <v>18</v>
      </c>
      <c r="GJ327" s="200">
        <v>88</v>
      </c>
      <c r="GK327" s="63">
        <f t="shared" si="643"/>
        <v>81.899999999999864</v>
      </c>
      <c r="GL327" s="63">
        <f t="shared" si="558"/>
        <v>122.93999999999983</v>
      </c>
      <c r="GM327" s="82" t="str">
        <f t="shared" si="644"/>
        <v/>
      </c>
      <c r="GN327" s="82">
        <f>IF($GZ327="",#N/A,SUM(GM$4:GM327))</f>
        <v>4.3936945099084195</v>
      </c>
      <c r="GO327" s="82" t="str">
        <f t="shared" si="645"/>
        <v/>
      </c>
      <c r="GP327" s="82">
        <f>IF($GZ327="",#N/A,SUM(GO$4:GO327))</f>
        <v>18.822705858946044</v>
      </c>
      <c r="GQ327" s="82">
        <f t="shared" si="646"/>
        <v>1.2299657842607583</v>
      </c>
      <c r="GR327" s="82">
        <f>IF($GZ327="",#N/A,SUM(GQ$4:GQ327))</f>
        <v>32.099179952009528</v>
      </c>
      <c r="GS327" s="63" t="str">
        <f t="shared" si="654"/>
        <v/>
      </c>
      <c r="GT327" s="63" t="e">
        <f>IF($GZ327="",#N/A,SUM(GS$4:GS327))</f>
        <v>#N/A</v>
      </c>
      <c r="GU327" s="63" t="str">
        <f t="shared" si="655"/>
        <v/>
      </c>
      <c r="GV327" s="63" t="e">
        <f>IF($GZ327="",#N/A,SUM(GU$4:GU327))</f>
        <v>#N/A</v>
      </c>
      <c r="GW327" s="63" t="e">
        <f t="shared" si="656"/>
        <v>#N/A</v>
      </c>
      <c r="GX327" s="63" t="e">
        <f>IF($GZ327="",#N/A,SUM(GW$4:GW327))</f>
        <v>#N/A</v>
      </c>
      <c r="GY327" s="63" t="e">
        <f>IF(EJ327="",#N/A,SUM($EJ$4:EJ327))</f>
        <v>#N/A</v>
      </c>
      <c r="GZ327" s="159">
        <v>85.72</v>
      </c>
      <c r="HA327" s="63">
        <f t="shared" si="647"/>
        <v>41.039999999999964</v>
      </c>
      <c r="HB327" s="62" t="s">
        <v>2538</v>
      </c>
      <c r="HC327" s="60">
        <f>IFERROR(VLOOKUP(E327,Expectancy!$P$4:$S$19,1+C327,FALSE),"")</f>
        <v>0.3117803024854584</v>
      </c>
      <c r="HD327" s="82">
        <f t="shared" si="648"/>
        <v>0.8193769133801535</v>
      </c>
      <c r="HE327" s="138">
        <f>IF(HD327="",#N/A,SUM($HD$4:HD327))</f>
        <v>11.909965601220897</v>
      </c>
      <c r="HF327" s="85">
        <f>IF(HD327="",#N/A,IF(HB327="Skip",#N/A,SUM($HG$4:HG327)))</f>
        <v>493.0065792191549</v>
      </c>
      <c r="HG327" s="63">
        <f t="shared" si="649"/>
        <v>81.899999999999864</v>
      </c>
      <c r="HH327" s="82">
        <f t="shared" si="650"/>
        <v>1.2299657842607583</v>
      </c>
    </row>
    <row r="328" spans="1:216" x14ac:dyDescent="0.25">
      <c r="A328" s="57" t="s">
        <v>1479</v>
      </c>
      <c r="B328" s="58" t="s">
        <v>5241</v>
      </c>
      <c r="C328" s="386">
        <f t="shared" si="561"/>
        <v>3</v>
      </c>
      <c r="D328" s="372" t="str">
        <f>_xlfn.XLOOKUP(A328,[1]SP500!$A$2:$A$502,[1]SP500!$D$2:$D$502,"N")</f>
        <v>Y</v>
      </c>
      <c r="E328" s="57" t="str">
        <f>_xlfn.XLOOKUP(A328,[1]SP500!$A$2:$A$655,[1]SP500!$B$2:$B$655)</f>
        <v>XLV</v>
      </c>
      <c r="F328" s="59">
        <v>45701</v>
      </c>
      <c r="G328" s="57" t="str">
        <f t="shared" si="562"/>
        <v>AMC</v>
      </c>
      <c r="H328" s="57" t="str">
        <f t="shared" si="563"/>
        <v>o</v>
      </c>
      <c r="I328" s="159">
        <v>84.09</v>
      </c>
      <c r="J328" s="159">
        <v>86.03</v>
      </c>
      <c r="K328" s="61">
        <f t="shared" si="564"/>
        <v>2.3070519681293825E-2</v>
      </c>
      <c r="L328" s="87">
        <f t="shared" si="565"/>
        <v>38.066357474134975</v>
      </c>
      <c r="M328" s="210" t="e">
        <f t="shared" si="556"/>
        <v>#N/A</v>
      </c>
      <c r="N328" s="169" t="str">
        <f t="shared" si="566"/>
        <v/>
      </c>
      <c r="O328" s="169">
        <f>IF($J328="",#N/A,SUM($N$4:N328))</f>
        <v>913.32671935422445</v>
      </c>
      <c r="P328" s="174" t="str">
        <f t="shared" si="567"/>
        <v/>
      </c>
      <c r="Q328" s="174">
        <f>IF($J328="",#N/A,SUM($P$4:P328))</f>
        <v>305.86890674734184</v>
      </c>
      <c r="R328" s="178">
        <f t="shared" si="568"/>
        <v>38.066357474134975</v>
      </c>
      <c r="S328" s="178">
        <f>IF($J328="",#N/A,SUM($R$4:R328))</f>
        <v>67.405929183706121</v>
      </c>
      <c r="T328" s="290" t="str">
        <f t="shared" si="569"/>
        <v/>
      </c>
      <c r="U328" s="290">
        <f>IF($J328="",#N/A,SUM($T$4:T328))</f>
        <v>22.762151850799597</v>
      </c>
      <c r="V328" s="291" t="str">
        <f t="shared" si="570"/>
        <v/>
      </c>
      <c r="W328" s="291">
        <f>IF($J328="",#N/A,SUM($V$4:V328))</f>
        <v>22.698098961525414</v>
      </c>
      <c r="X328" s="292">
        <f t="shared" si="571"/>
        <v>0.38450866135489875</v>
      </c>
      <c r="Y328" s="292">
        <f>IF($J328="",#N/A,SUM($X$4:X328))</f>
        <v>8.4001101466688315</v>
      </c>
      <c r="Z328" s="304" t="str">
        <f t="shared" si="572"/>
        <v/>
      </c>
      <c r="AA328" s="313" t="e">
        <f>IF($J328="",#N/A,SUM(Z$4:Z328))</f>
        <v>#N/A</v>
      </c>
      <c r="AB328" s="314" t="str">
        <f t="shared" si="573"/>
        <v/>
      </c>
      <c r="AC328" s="314" t="e">
        <f>IF($J328="",#N/A,SUM(AB$4:AB328))</f>
        <v>#N/A</v>
      </c>
      <c r="AD328" s="315" t="str">
        <f t="shared" si="574"/>
        <v/>
      </c>
      <c r="AE328" s="315" t="e">
        <f>IF($J328="",#N/A,SUM(AD$4:AD328))</f>
        <v>#N/A</v>
      </c>
      <c r="AF328" s="315" t="e">
        <f>IF($J328="",#N/A,SUM(AD$4:AD328,AB$4:AB328,Z$4:Z328))</f>
        <v>#N/A</v>
      </c>
      <c r="AG328" s="304" t="str">
        <f t="shared" si="575"/>
        <v/>
      </c>
      <c r="AH328" s="313" t="e">
        <f>IF($J328="",#N/A,SUM(AG$4:AG328))</f>
        <v>#N/A</v>
      </c>
      <c r="AI328" s="314" t="str">
        <f t="shared" si="576"/>
        <v/>
      </c>
      <c r="AJ328" s="314" t="e">
        <f>IF($J328="",#N/A,SUM(AI$4:AI328))</f>
        <v>#N/A</v>
      </c>
      <c r="AK328" s="315" t="str">
        <f t="shared" si="577"/>
        <v/>
      </c>
      <c r="AL328" s="315" t="e">
        <f>IF($J328="",#N/A,SUM(AK$4:AK328))</f>
        <v>#N/A</v>
      </c>
      <c r="AM328" s="315" t="e">
        <f>IF($J328="",#N/A,SUM(AK$4:AK328,AI$4:AI328,AG$4:AG328))</f>
        <v>#N/A</v>
      </c>
      <c r="AN328" s="304" t="str">
        <f t="shared" si="578"/>
        <v/>
      </c>
      <c r="AO328" s="313" t="e">
        <f>IF($J328="",#N/A,SUM(AN$4:AN328))</f>
        <v>#N/A</v>
      </c>
      <c r="AP328" s="314" t="str">
        <f t="shared" si="579"/>
        <v/>
      </c>
      <c r="AQ328" s="314" t="e">
        <f>IF($J328="",#N/A,SUM(AP$4:AP328))</f>
        <v>#N/A</v>
      </c>
      <c r="AR328" s="315" t="str">
        <f t="shared" si="580"/>
        <v/>
      </c>
      <c r="AS328" s="315" t="e">
        <f>IF($J328="",#N/A,SUM(AR$4:AR328))</f>
        <v>#N/A</v>
      </c>
      <c r="AT328" s="315" t="e">
        <f>IF($J328="",#N/A,SUM(AR$4:AR328,AP$4:AP328,AN$4:AN328))</f>
        <v>#N/A</v>
      </c>
      <c r="AU328" s="304" t="str">
        <f t="shared" si="581"/>
        <v/>
      </c>
      <c r="AV328" s="313" t="e">
        <f>IF($J328="",#N/A,SUM(AU$4:AU328))</f>
        <v>#N/A</v>
      </c>
      <c r="AW328" s="314" t="str">
        <f t="shared" si="582"/>
        <v/>
      </c>
      <c r="AX328" s="314" t="e">
        <f>IF($J328="",#N/A,SUM(AW$4:AW328))</f>
        <v>#N/A</v>
      </c>
      <c r="AY328" s="315" t="str">
        <f t="shared" si="583"/>
        <v/>
      </c>
      <c r="AZ328" s="315" t="e">
        <f>IF($J328="",#N/A,SUM(AY$4:AY328))</f>
        <v>#N/A</v>
      </c>
      <c r="BA328" s="315" t="e">
        <f>IF($J328="",#N/A,SUM(AY$4:AY328,AW$4:AW328,AU$4:AU328))</f>
        <v>#N/A</v>
      </c>
      <c r="BB328" s="304" t="str">
        <f t="shared" si="584"/>
        <v/>
      </c>
      <c r="BC328" s="313" t="e">
        <f>IF($J328="",#N/A,SUM(BB$4:BB328))</f>
        <v>#N/A</v>
      </c>
      <c r="BD328" s="314" t="str">
        <f t="shared" si="585"/>
        <v/>
      </c>
      <c r="BE328" s="314" t="e">
        <f>IF($J328="",#N/A,SUM(BD$4:BD328))</f>
        <v>#N/A</v>
      </c>
      <c r="BF328" s="315" t="str">
        <f t="shared" si="586"/>
        <v/>
      </c>
      <c r="BG328" s="315" t="e">
        <f>IF($J328="",#N/A,SUM(BF$4:BF328))</f>
        <v>#N/A</v>
      </c>
      <c r="BH328" s="315" t="e">
        <f>IF($J328="",#N/A,SUM(BF$4:BF328,BD$4:BD328,BB$4:BB328))</f>
        <v>#N/A</v>
      </c>
      <c r="BI328" s="304" t="str">
        <f t="shared" si="587"/>
        <v/>
      </c>
      <c r="BJ328" s="313" t="e">
        <f>IF($J328="",#N/A,SUM(BI$4:BI328))</f>
        <v>#N/A</v>
      </c>
      <c r="BK328" s="314" t="str">
        <f t="shared" si="588"/>
        <v/>
      </c>
      <c r="BL328" s="314" t="e">
        <f>IF($J328="",#N/A,SUM(BK$4:BK328))</f>
        <v>#N/A</v>
      </c>
      <c r="BM328" s="315" t="str">
        <f t="shared" si="589"/>
        <v/>
      </c>
      <c r="BN328" s="315" t="e">
        <f>IF($J328="",#N/A,SUM(BM$4:BM328))</f>
        <v>#N/A</v>
      </c>
      <c r="BO328" s="315" t="e">
        <f>IF($J328="",#N/A,SUM(BM$4:BM328,BK$4:BK328,BI$4:BI328))</f>
        <v>#N/A</v>
      </c>
      <c r="BP328" s="304" t="str">
        <f t="shared" si="590"/>
        <v/>
      </c>
      <c r="BQ328" s="313" t="e">
        <f>IF($J328="",#N/A,SUM(BP$4:BP328))</f>
        <v>#N/A</v>
      </c>
      <c r="BR328" s="314" t="str">
        <f t="shared" si="591"/>
        <v/>
      </c>
      <c r="BS328" s="314" t="e">
        <f>IF($J328="",#N/A,SUM(BR$4:BR328))</f>
        <v>#N/A</v>
      </c>
      <c r="BT328" s="315" t="str">
        <f t="shared" si="592"/>
        <v/>
      </c>
      <c r="BU328" s="315" t="e">
        <f>IF($J328="",#N/A,SUM(BT$4:BT328))</f>
        <v>#N/A</v>
      </c>
      <c r="BV328" s="315" t="e">
        <f>IF($J328="",#N/A,SUM(BT$4:BT328,BR$4:BR328,BP$4:BP328))</f>
        <v>#N/A</v>
      </c>
      <c r="BW328" s="304" t="str">
        <f t="shared" si="593"/>
        <v/>
      </c>
      <c r="BX328" s="313" t="e">
        <f>IF($J328="",#N/A,SUM(BW$4:BW328))</f>
        <v>#N/A</v>
      </c>
      <c r="BY328" s="314" t="str">
        <f t="shared" si="594"/>
        <v/>
      </c>
      <c r="BZ328" s="314" t="e">
        <f>IF($J328="",#N/A,SUM(BY$4:BY328))</f>
        <v>#N/A</v>
      </c>
      <c r="CA328" s="315">
        <f t="shared" si="595"/>
        <v>0.38450866135489875</v>
      </c>
      <c r="CB328" s="315" t="e">
        <f>IF($J328="",#N/A,SUM(CA$4:CA328))</f>
        <v>#N/A</v>
      </c>
      <c r="CC328" s="315" t="e">
        <f>IF($J328="",#N/A,SUM(CA$4:CA328,BY$4:BY328,BW$4:BW328))</f>
        <v>#N/A</v>
      </c>
      <c r="CD328" s="304" t="str">
        <f t="shared" si="596"/>
        <v/>
      </c>
      <c r="CE328" s="313" t="e">
        <f>IF($J328="",#N/A,SUM(CD$4:CD328))</f>
        <v>#N/A</v>
      </c>
      <c r="CF328" s="314" t="str">
        <f t="shared" si="597"/>
        <v/>
      </c>
      <c r="CG328" s="314" t="e">
        <f>IF($J328="",#N/A,SUM(CF$4:CF328))</f>
        <v>#N/A</v>
      </c>
      <c r="CH328" s="315" t="str">
        <f t="shared" si="598"/>
        <v/>
      </c>
      <c r="CI328" s="315" t="e">
        <f>IF($J328="",#N/A,SUM(CH$4:CH328))</f>
        <v>#N/A</v>
      </c>
      <c r="CJ328" s="315" t="e">
        <f>IF($J328="",#N/A,SUM(CH$4:CH328,CF$4:CF328,CD$4:CD328))</f>
        <v>#N/A</v>
      </c>
      <c r="CK328" s="304" t="str">
        <f t="shared" si="599"/>
        <v/>
      </c>
      <c r="CL328" s="313" t="e">
        <f>IF($J328="",#N/A,SUM(CK$4:CK328))</f>
        <v>#N/A</v>
      </c>
      <c r="CM328" s="314" t="str">
        <f t="shared" si="600"/>
        <v/>
      </c>
      <c r="CN328" s="314" t="e">
        <f>IF($J328="",#N/A,SUM(CM$4:CM328))</f>
        <v>#N/A</v>
      </c>
      <c r="CO328" s="315" t="str">
        <f t="shared" si="601"/>
        <v/>
      </c>
      <c r="CP328" s="315" t="e">
        <f>IF($J328="",#N/A,SUM(CO$4:CO328))</f>
        <v>#N/A</v>
      </c>
      <c r="CQ328" s="315" t="e">
        <f>IF($J328="",#N/A,SUM(CO$4:CO328,CM$4:CM328,CK$4:CK328))</f>
        <v>#N/A</v>
      </c>
      <c r="CR328" s="304" t="str">
        <f t="shared" si="602"/>
        <v/>
      </c>
      <c r="CS328" s="313" t="e">
        <f>IF($J328="",#N/A,SUM(CR$4:CR328))</f>
        <v>#N/A</v>
      </c>
      <c r="CT328" s="314" t="str">
        <f t="shared" si="603"/>
        <v/>
      </c>
      <c r="CU328" s="314" t="e">
        <f>IF($J328="",#N/A,SUM(CT$4:CT328))</f>
        <v>#N/A</v>
      </c>
      <c r="CV328" s="315" t="str">
        <f t="shared" si="604"/>
        <v/>
      </c>
      <c r="CW328" s="315" t="e">
        <f>IF($J328="",#N/A,SUM(CV$4:CV328))</f>
        <v>#N/A</v>
      </c>
      <c r="CX328" s="315" t="e">
        <f>IF($J328="",#N/A,SUM(CV$4:CV328,CT$4:CT328,CR$4:CR328))</f>
        <v>#N/A</v>
      </c>
      <c r="CY328" s="304" t="str">
        <f t="shared" si="605"/>
        <v/>
      </c>
      <c r="CZ328" s="313" t="e">
        <f>IF($J328="",#N/A,SUM(CY$4:CY328))</f>
        <v>#N/A</v>
      </c>
      <c r="DA328" s="314" t="str">
        <f t="shared" si="606"/>
        <v/>
      </c>
      <c r="DB328" s="314" t="e">
        <f>IF($J328="",#N/A,SUM(DA$4:DA328))</f>
        <v>#N/A</v>
      </c>
      <c r="DC328" s="315" t="str">
        <f t="shared" si="607"/>
        <v/>
      </c>
      <c r="DD328" s="315" t="e">
        <f>IF($J328="",#N/A,SUM(DC$4:DC328))</f>
        <v>#N/A</v>
      </c>
      <c r="DE328" s="315" t="e">
        <f>IF($J328="",#N/A,SUM(DC$4:DC328,DA$4:DA328,CY$4:CY328))</f>
        <v>#N/A</v>
      </c>
      <c r="DF328" s="304" t="str">
        <f t="shared" si="608"/>
        <v/>
      </c>
      <c r="DG328" s="313" t="e">
        <f>IF($J328="",#N/A,SUM(DF$4:DF328))</f>
        <v>#N/A</v>
      </c>
      <c r="DH328" s="314" t="str">
        <f t="shared" si="609"/>
        <v/>
      </c>
      <c r="DI328" s="314" t="e">
        <f>IF($J328="",#N/A,SUM(DH$4:DH328))</f>
        <v>#N/A</v>
      </c>
      <c r="DJ328" s="315" t="str">
        <f t="shared" si="610"/>
        <v/>
      </c>
      <c r="DK328" s="315" t="e">
        <f>IF($J328="",#N/A,SUM(DJ$4:DJ328))</f>
        <v>#N/A</v>
      </c>
      <c r="DL328" s="315" t="e">
        <f>IF($J328="",#N/A,SUM(DJ$4:DJ328,DH$4:DH328,DF$4:DF328))</f>
        <v>#N/A</v>
      </c>
      <c r="DM328" s="304" t="str">
        <f t="shared" si="611"/>
        <v/>
      </c>
      <c r="DN328" s="313" t="e">
        <f>IF($J328="",#N/A,SUM(DM$4:DM328))</f>
        <v>#N/A</v>
      </c>
      <c r="DO328" s="314" t="str">
        <f t="shared" si="612"/>
        <v/>
      </c>
      <c r="DP328" s="314" t="e">
        <f>IF($J328="",#N/A,SUM(DO$4:DO328))</f>
        <v>#N/A</v>
      </c>
      <c r="DQ328" s="315" t="str">
        <f t="shared" si="613"/>
        <v/>
      </c>
      <c r="DR328" s="315" t="e">
        <f>IF($J328="",#N/A,SUM(DQ$4:DQ328))</f>
        <v>#N/A</v>
      </c>
      <c r="DS328" s="315" t="e">
        <f>IF($J328="",#N/A,SUM(DQ$4:DQ328,DO$4:DO328,DM$4:DM328))</f>
        <v>#N/A</v>
      </c>
      <c r="DT328" s="304" t="str">
        <f t="shared" si="614"/>
        <v/>
      </c>
      <c r="DU328" s="313" t="e">
        <f>IF($J328="",#N/A,SUM(DT$4:DT328))</f>
        <v>#N/A</v>
      </c>
      <c r="DV328" s="314" t="str">
        <f t="shared" si="615"/>
        <v/>
      </c>
      <c r="DW328" s="314" t="e">
        <f>IF($J328="",#N/A,SUM(DV$4:DV328))</f>
        <v>#N/A</v>
      </c>
      <c r="DX328" s="315" t="str">
        <f t="shared" si="616"/>
        <v/>
      </c>
      <c r="DY328" s="315" t="e">
        <f>IF($J328="",#N/A,SUM(DX$4:DX328))</f>
        <v>#N/A</v>
      </c>
      <c r="DZ328" s="315" t="e">
        <f>IF($J328="",#N/A,SUM(DX$4:DX328,DV$4:DV328,DT$4:DT328))</f>
        <v>#N/A</v>
      </c>
      <c r="EA328" s="304" t="str">
        <f t="shared" si="617"/>
        <v/>
      </c>
      <c r="EB328" s="313" t="e">
        <f>IF($J328="",#N/A,SUM(EA$4:EA328))</f>
        <v>#N/A</v>
      </c>
      <c r="EC328" s="314" t="str">
        <f t="shared" si="618"/>
        <v/>
      </c>
      <c r="ED328" s="314" t="e">
        <f>IF($J328="",#N/A,SUM(EC$4:EC328))</f>
        <v>#N/A</v>
      </c>
      <c r="EE328" s="315" t="str">
        <f t="shared" si="619"/>
        <v/>
      </c>
      <c r="EF328" s="315" t="e">
        <f>IF($J328="",#N/A,SUM(EE$4:EE328))</f>
        <v>#N/A</v>
      </c>
      <c r="EG328" s="315" t="e">
        <f>IF($J328="",#N/A,SUM(EE$4:EE328,EC$4:EC328,EA$4:EA328))</f>
        <v>#N/A</v>
      </c>
      <c r="EH328" s="130">
        <f t="shared" si="620"/>
        <v>38.066357474134975</v>
      </c>
      <c r="EI328" s="63">
        <f>IF(EH328="",#N/A,SUM($EH$4:EH328))</f>
        <v>1286.6015552852725</v>
      </c>
      <c r="EJ328" s="223" t="e">
        <f t="shared" si="621"/>
        <v>#N/A</v>
      </c>
      <c r="EK328" s="63" t="e">
        <f>IF($GZ328="",#N/A,SUM(EJ$4:EJ328))</f>
        <v>#N/A</v>
      </c>
      <c r="EL328" s="60">
        <f t="shared" si="651"/>
        <v>0.38450866135489875</v>
      </c>
      <c r="EM328" s="60">
        <f>IF(EL328="",NA(),SUM($EL$4:EL328))</f>
        <v>35.592258621497415</v>
      </c>
      <c r="EN328" s="60" t="str">
        <f t="shared" si="622"/>
        <v/>
      </c>
      <c r="EO328" s="60" t="e">
        <f>IF(EN328="",NA(),SUM($EN$4:EN328))</f>
        <v>#N/A</v>
      </c>
      <c r="EP328" s="60">
        <f t="shared" si="623"/>
        <v>0.38450866135489875</v>
      </c>
      <c r="EQ328" s="60">
        <f>IF(EP328="",NA(),SUM($EP$4:EP328))</f>
        <v>7.4649659799357471</v>
      </c>
      <c r="ER328" s="60" t="str">
        <f t="shared" si="624"/>
        <v/>
      </c>
      <c r="ES328" s="60" t="e">
        <f>IF(ER328="",NA(),SUM($ER$4:ER328))</f>
        <v>#N/A</v>
      </c>
      <c r="ET328" s="60" t="str">
        <f t="shared" si="625"/>
        <v/>
      </c>
      <c r="EU328" s="60" t="e">
        <f>IF(ET328="",NA(),SUM($ET$4:ET328))</f>
        <v>#N/A</v>
      </c>
      <c r="EV328" s="60" t="str">
        <f t="shared" si="626"/>
        <v/>
      </c>
      <c r="EW328" s="60" t="e">
        <f>IF(EV328="",NA(),SUM($EV$4:EV328))</f>
        <v>#N/A</v>
      </c>
      <c r="EX328" s="60" t="str">
        <f t="shared" si="627"/>
        <v/>
      </c>
      <c r="EY328" s="60" t="e">
        <f>IF(EX328="",NA(),SUM($EX$4:EX328))</f>
        <v>#N/A</v>
      </c>
      <c r="EZ328" s="60" t="str">
        <f t="shared" si="628"/>
        <v/>
      </c>
      <c r="FA328" s="60" t="e">
        <f>IF(EZ328="",NA(),SUM($EZ$4:EZ328))</f>
        <v>#N/A</v>
      </c>
      <c r="FB328" s="246" t="str">
        <f t="shared" si="652"/>
        <v/>
      </c>
      <c r="FC328" s="246" t="e">
        <f>IF($FB328="",#N/A,SUM(FB$4:$FB328))</f>
        <v>#N/A</v>
      </c>
      <c r="FD328" s="60" t="str">
        <f t="shared" si="629"/>
        <v/>
      </c>
      <c r="FE328" s="60" t="e">
        <f>IF($FD328="",#N/A,SUM($FD$4:FD328))</f>
        <v>#N/A</v>
      </c>
      <c r="FF328" s="60" t="str">
        <f t="shared" si="630"/>
        <v/>
      </c>
      <c r="FG328" s="60" t="e">
        <f>IF($FF328="",#N/A,SUM($FF$4:FF328))</f>
        <v>#N/A</v>
      </c>
      <c r="FH328" s="60" t="str">
        <f t="shared" si="631"/>
        <v/>
      </c>
      <c r="FI328" s="60" t="e">
        <f>IF($FH328="",#N/A,SUM($FH$4:FH328))</f>
        <v>#N/A</v>
      </c>
      <c r="FJ328" s="60">
        <f t="shared" si="632"/>
        <v>0.6025290363499396</v>
      </c>
      <c r="FK328" s="60">
        <f>IF($FJ328="",#N/A,SUM($FJ$4:FJ328))</f>
        <v>-1.1995609860182679</v>
      </c>
      <c r="FL328" s="60" t="str">
        <f t="shared" si="633"/>
        <v/>
      </c>
      <c r="FM328" s="60" t="e">
        <f>IF($FL328="",#N/A,SUM($FL$4:FL328))</f>
        <v>#N/A</v>
      </c>
      <c r="FN328" s="82">
        <f t="shared" si="634"/>
        <v>0.98703769770483829</v>
      </c>
      <c r="FO328" s="82">
        <f>IF($FN328="",#N/A,SUM(FN$4:$FN328))</f>
        <v>56.928454973011164</v>
      </c>
      <c r="FP328" s="82">
        <f t="shared" si="653"/>
        <v>0.38450866135489875</v>
      </c>
      <c r="FQ328" s="246">
        <f>IF($EH328="",#N/A,SUM($FP$4:FP328))</f>
        <v>53.86036095899383</v>
      </c>
      <c r="FR328" s="82">
        <f>IFERROR(FQ328/COUNTA($J$4:J328),#N/A)</f>
        <v>0.16572418756613486</v>
      </c>
      <c r="FS328" s="82">
        <f t="shared" si="554"/>
        <v>1.0774890895900171E-2</v>
      </c>
      <c r="FT328" s="82">
        <f t="shared" si="555"/>
        <v>-8.5622181059485172E-2</v>
      </c>
      <c r="FU328" s="273"/>
      <c r="FV328" s="57" t="str">
        <f t="shared" si="560"/>
        <v>SW</v>
      </c>
      <c r="FW328" s="57" t="s">
        <v>2732</v>
      </c>
      <c r="FX328" s="57" t="str">
        <f t="shared" si="635"/>
        <v/>
      </c>
      <c r="FY328" s="57" t="str">
        <f t="shared" si="636"/>
        <v/>
      </c>
      <c r="FZ328" s="57">
        <f t="shared" si="637"/>
        <v>1</v>
      </c>
      <c r="GA328" s="57" t="str">
        <f t="shared" si="638"/>
        <v>Long</v>
      </c>
      <c r="GB328" s="57" t="str">
        <f t="shared" si="639"/>
        <v/>
      </c>
      <c r="GC328" s="57" t="str">
        <f t="shared" si="640"/>
        <v/>
      </c>
      <c r="GD328" s="57" t="str">
        <f t="shared" si="641"/>
        <v/>
      </c>
      <c r="GE328" s="62">
        <f t="shared" si="557"/>
        <v>84.09</v>
      </c>
      <c r="GF328" s="62" t="s">
        <v>2779</v>
      </c>
      <c r="GG328" s="99">
        <f>IF(I328="","",1650/I328)</f>
        <v>19.62183374955405</v>
      </c>
      <c r="GH328" s="207">
        <f t="shared" si="642"/>
        <v>1650</v>
      </c>
      <c r="GI328" s="99">
        <f>GG328</f>
        <v>19.62183374955405</v>
      </c>
      <c r="GJ328" s="98">
        <f>J328</f>
        <v>86.03</v>
      </c>
      <c r="GK328" s="63">
        <f t="shared" si="643"/>
        <v>38.066357474134975</v>
      </c>
      <c r="GL328" s="63">
        <f t="shared" si="558"/>
        <v>97.716732072778996</v>
      </c>
      <c r="GM328" s="82">
        <f t="shared" si="644"/>
        <v>0.98703769770483829</v>
      </c>
      <c r="GN328" s="82">
        <f>IF($GZ328="",#N/A,SUM(GM$4:GM328))</f>
        <v>5.3807322076132582</v>
      </c>
      <c r="GO328" s="82" t="str">
        <f t="shared" si="645"/>
        <v/>
      </c>
      <c r="GP328" s="82">
        <f>IF($GZ328="",#N/A,SUM(GO$4:GO328))</f>
        <v>18.822705858946044</v>
      </c>
      <c r="GQ328" s="82" t="str">
        <f t="shared" si="646"/>
        <v/>
      </c>
      <c r="GR328" s="82">
        <f>IF($GZ328="",#N/A,SUM(GQ$4:GQ328))</f>
        <v>32.099179952009528</v>
      </c>
      <c r="GS328" s="63" t="e">
        <f t="shared" si="654"/>
        <v>#N/A</v>
      </c>
      <c r="GT328" s="63" t="e">
        <f>IF($GZ328="",#N/A,SUM(GS$4:GS328))</f>
        <v>#N/A</v>
      </c>
      <c r="GU328" s="63" t="str">
        <f t="shared" si="655"/>
        <v/>
      </c>
      <c r="GV328" s="63" t="e">
        <f>IF($GZ328="",#N/A,SUM(GU$4:GU328))</f>
        <v>#N/A</v>
      </c>
      <c r="GW328" s="63" t="str">
        <f t="shared" si="656"/>
        <v/>
      </c>
      <c r="GX328" s="63" t="e">
        <f>IF($GZ328="",#N/A,SUM(GW$4:GW328))</f>
        <v>#N/A</v>
      </c>
      <c r="GY328" s="63" t="e">
        <f>IF(EJ328="",#N/A,SUM($EJ$4:EJ328))</f>
        <v>#N/A</v>
      </c>
      <c r="GZ328" s="159">
        <v>89.07</v>
      </c>
      <c r="HA328" s="63">
        <f t="shared" si="647"/>
        <v>59.650374598644021</v>
      </c>
      <c r="HB328" s="62" t="s">
        <v>4970</v>
      </c>
      <c r="HC328" s="60">
        <f>IFERROR(VLOOKUP(E328,Expectancy!$P$4:$S$19,1+C328,FALSE),"")</f>
        <v>-0.15084750675779673</v>
      </c>
      <c r="HD328" s="99" t="str">
        <f t="shared" si="648"/>
        <v/>
      </c>
      <c r="HE328" s="500" t="e">
        <f>IF(HD328="",#N/A,SUM($HD$4:HD328))</f>
        <v>#N/A</v>
      </c>
      <c r="HF328" s="501" t="e">
        <f>IF(HD328="",#N/A,IF(HB328="Skip",#N/A,SUM($HG$4:HG328)))</f>
        <v>#N/A</v>
      </c>
      <c r="HG328" s="502" t="str">
        <f t="shared" si="649"/>
        <v/>
      </c>
      <c r="HH328" s="82">
        <f t="shared" si="650"/>
        <v>0.98703769770483829</v>
      </c>
    </row>
    <row r="329" spans="1:216" x14ac:dyDescent="0.25">
      <c r="A329" s="57" t="s">
        <v>1496</v>
      </c>
      <c r="B329" s="58" t="s">
        <v>5241</v>
      </c>
      <c r="C329" s="386">
        <f t="shared" si="561"/>
        <v>1</v>
      </c>
      <c r="D329" s="372" t="str">
        <f>_xlfn.XLOOKUP(A329,[1]SP500!$A$2:$A$502,[1]SP500!$D$2:$D$502,"N")</f>
        <v>Y</v>
      </c>
      <c r="E329" s="57" t="str">
        <f>_xlfn.XLOOKUP(A329,[1]SP500!$A$2:$A$655,[1]SP500!$B$2:$B$655)</f>
        <v>XLK</v>
      </c>
      <c r="F329" s="59">
        <v>45701</v>
      </c>
      <c r="G329" s="57" t="str">
        <f t="shared" si="562"/>
        <v>AMC</v>
      </c>
      <c r="H329" s="57" t="str">
        <f t="shared" si="563"/>
        <v>s</v>
      </c>
      <c r="I329" s="159">
        <v>212.54</v>
      </c>
      <c r="J329" s="159">
        <v>194.75</v>
      </c>
      <c r="K329" s="61">
        <f t="shared" si="564"/>
        <v>-8.3701891408675982E-2</v>
      </c>
      <c r="L329" s="87">
        <f t="shared" si="565"/>
        <v>-142.31999999999994</v>
      </c>
      <c r="M329" s="130">
        <f t="shared" si="556"/>
        <v>-3.7599999999999909</v>
      </c>
      <c r="N329" s="169">
        <f t="shared" si="566"/>
        <v>-142.31999999999994</v>
      </c>
      <c r="O329" s="169">
        <f>IF($J329="",#N/A,SUM($N$4:N329))</f>
        <v>771.00671935422451</v>
      </c>
      <c r="P329" s="174" t="str">
        <f t="shared" si="567"/>
        <v/>
      </c>
      <c r="Q329" s="174">
        <f>IF($J329="",#N/A,SUM($P$4:P329))</f>
        <v>305.86890674734184</v>
      </c>
      <c r="R329" s="178" t="str">
        <f t="shared" si="568"/>
        <v/>
      </c>
      <c r="S329" s="178">
        <f>IF($J329="",#N/A,SUM($R$4:R329))</f>
        <v>67.405929183706121</v>
      </c>
      <c r="T329" s="290">
        <f t="shared" si="569"/>
        <v>-1.3950315234779329</v>
      </c>
      <c r="U329" s="290">
        <f>IF($J329="",#N/A,SUM($T$4:T329))</f>
        <v>21.367120327321665</v>
      </c>
      <c r="V329" s="291" t="str">
        <f t="shared" si="570"/>
        <v/>
      </c>
      <c r="W329" s="291">
        <f>IF($J329="",#N/A,SUM($V$4:V329))</f>
        <v>22.698098961525414</v>
      </c>
      <c r="X329" s="292" t="str">
        <f t="shared" si="571"/>
        <v/>
      </c>
      <c r="Y329" s="292">
        <f>IF($J329="",#N/A,SUM($X$4:X329))</f>
        <v>8.4001101466688315</v>
      </c>
      <c r="Z329" s="304">
        <f t="shared" si="572"/>
        <v>-1.3950315234779329</v>
      </c>
      <c r="AA329" s="313" t="e">
        <f>IF($J329="",#N/A,SUM(Z$4:Z329))</f>
        <v>#N/A</v>
      </c>
      <c r="AB329" s="314" t="str">
        <f t="shared" si="573"/>
        <v/>
      </c>
      <c r="AC329" s="314" t="e">
        <f>IF($J329="",#N/A,SUM(AB$4:AB329))</f>
        <v>#N/A</v>
      </c>
      <c r="AD329" s="315" t="str">
        <f t="shared" si="574"/>
        <v/>
      </c>
      <c r="AE329" s="315" t="e">
        <f>IF($J329="",#N/A,SUM(AD$4:AD329))</f>
        <v>#N/A</v>
      </c>
      <c r="AF329" s="315" t="e">
        <f>IF($J329="",#N/A,SUM(AD$4:AD329,AB$4:AB329,Z$4:Z329))</f>
        <v>#N/A</v>
      </c>
      <c r="AG329" s="304" t="str">
        <f t="shared" si="575"/>
        <v/>
      </c>
      <c r="AH329" s="313" t="e">
        <f>IF($J329="",#N/A,SUM(AG$4:AG329))</f>
        <v>#N/A</v>
      </c>
      <c r="AI329" s="314" t="str">
        <f t="shared" si="576"/>
        <v/>
      </c>
      <c r="AJ329" s="314" t="e">
        <f>IF($J329="",#N/A,SUM(AI$4:AI329))</f>
        <v>#N/A</v>
      </c>
      <c r="AK329" s="315" t="str">
        <f t="shared" si="577"/>
        <v/>
      </c>
      <c r="AL329" s="315" t="e">
        <f>IF($J329="",#N/A,SUM(AK$4:AK329))</f>
        <v>#N/A</v>
      </c>
      <c r="AM329" s="315" t="e">
        <f>IF($J329="",#N/A,SUM(AK$4:AK329,AI$4:AI329,AG$4:AG329))</f>
        <v>#N/A</v>
      </c>
      <c r="AN329" s="304" t="str">
        <f t="shared" si="578"/>
        <v/>
      </c>
      <c r="AO329" s="313" t="e">
        <f>IF($J329="",#N/A,SUM(AN$4:AN329))</f>
        <v>#N/A</v>
      </c>
      <c r="AP329" s="314" t="str">
        <f t="shared" si="579"/>
        <v/>
      </c>
      <c r="AQ329" s="314" t="e">
        <f>IF($J329="",#N/A,SUM(AP$4:AP329))</f>
        <v>#N/A</v>
      </c>
      <c r="AR329" s="315" t="str">
        <f t="shared" si="580"/>
        <v/>
      </c>
      <c r="AS329" s="315" t="e">
        <f>IF($J329="",#N/A,SUM(AR$4:AR329))</f>
        <v>#N/A</v>
      </c>
      <c r="AT329" s="315" t="e">
        <f>IF($J329="",#N/A,SUM(AR$4:AR329,AP$4:AP329,AN$4:AN329))</f>
        <v>#N/A</v>
      </c>
      <c r="AU329" s="304" t="str">
        <f t="shared" si="581"/>
        <v/>
      </c>
      <c r="AV329" s="313" t="e">
        <f>IF($J329="",#N/A,SUM(AU$4:AU329))</f>
        <v>#N/A</v>
      </c>
      <c r="AW329" s="314" t="str">
        <f t="shared" si="582"/>
        <v/>
      </c>
      <c r="AX329" s="314" t="e">
        <f>IF($J329="",#N/A,SUM(AW$4:AW329))</f>
        <v>#N/A</v>
      </c>
      <c r="AY329" s="315" t="str">
        <f t="shared" si="583"/>
        <v/>
      </c>
      <c r="AZ329" s="315" t="e">
        <f>IF($J329="",#N/A,SUM(AY$4:AY329))</f>
        <v>#N/A</v>
      </c>
      <c r="BA329" s="315" t="e">
        <f>IF($J329="",#N/A,SUM(AY$4:AY329,AW$4:AW329,AU$4:AU329))</f>
        <v>#N/A</v>
      </c>
      <c r="BB329" s="304" t="str">
        <f t="shared" si="584"/>
        <v/>
      </c>
      <c r="BC329" s="313" t="e">
        <f>IF($J329="",#N/A,SUM(BB$4:BB329))</f>
        <v>#N/A</v>
      </c>
      <c r="BD329" s="314" t="str">
        <f t="shared" si="585"/>
        <v/>
      </c>
      <c r="BE329" s="314" t="e">
        <f>IF($J329="",#N/A,SUM(BD$4:BD329))</f>
        <v>#N/A</v>
      </c>
      <c r="BF329" s="315" t="str">
        <f t="shared" si="586"/>
        <v/>
      </c>
      <c r="BG329" s="315" t="e">
        <f>IF($J329="",#N/A,SUM(BF$4:BF329))</f>
        <v>#N/A</v>
      </c>
      <c r="BH329" s="315" t="e">
        <f>IF($J329="",#N/A,SUM(BF$4:BF329,BD$4:BD329,BB$4:BB329))</f>
        <v>#N/A</v>
      </c>
      <c r="BI329" s="304" t="str">
        <f t="shared" si="587"/>
        <v/>
      </c>
      <c r="BJ329" s="313" t="e">
        <f>IF($J329="",#N/A,SUM(BI$4:BI329))</f>
        <v>#N/A</v>
      </c>
      <c r="BK329" s="314" t="str">
        <f t="shared" si="588"/>
        <v/>
      </c>
      <c r="BL329" s="314" t="e">
        <f>IF($J329="",#N/A,SUM(BK$4:BK329))</f>
        <v>#N/A</v>
      </c>
      <c r="BM329" s="315" t="str">
        <f t="shared" si="589"/>
        <v/>
      </c>
      <c r="BN329" s="315" t="e">
        <f>IF($J329="",#N/A,SUM(BM$4:BM329))</f>
        <v>#N/A</v>
      </c>
      <c r="BO329" s="315" t="e">
        <f>IF($J329="",#N/A,SUM(BM$4:BM329,BK$4:BK329,BI$4:BI329))</f>
        <v>#N/A</v>
      </c>
      <c r="BP329" s="304" t="str">
        <f t="shared" si="590"/>
        <v/>
      </c>
      <c r="BQ329" s="313" t="e">
        <f>IF($J329="",#N/A,SUM(BP$4:BP329))</f>
        <v>#N/A</v>
      </c>
      <c r="BR329" s="314" t="str">
        <f t="shared" si="591"/>
        <v/>
      </c>
      <c r="BS329" s="314" t="e">
        <f>IF($J329="",#N/A,SUM(BR$4:BR329))</f>
        <v>#N/A</v>
      </c>
      <c r="BT329" s="315" t="str">
        <f t="shared" si="592"/>
        <v/>
      </c>
      <c r="BU329" s="315" t="e">
        <f>IF($J329="",#N/A,SUM(BT$4:BT329))</f>
        <v>#N/A</v>
      </c>
      <c r="BV329" s="315" t="e">
        <f>IF($J329="",#N/A,SUM(BT$4:BT329,BR$4:BR329,BP$4:BP329))</f>
        <v>#N/A</v>
      </c>
      <c r="BW329" s="304" t="str">
        <f t="shared" si="593"/>
        <v/>
      </c>
      <c r="BX329" s="313" t="e">
        <f>IF($J329="",#N/A,SUM(BW$4:BW329))</f>
        <v>#N/A</v>
      </c>
      <c r="BY329" s="314" t="str">
        <f t="shared" si="594"/>
        <v/>
      </c>
      <c r="BZ329" s="314" t="e">
        <f>IF($J329="",#N/A,SUM(BY$4:BY329))</f>
        <v>#N/A</v>
      </c>
      <c r="CA329" s="315" t="str">
        <f t="shared" si="595"/>
        <v/>
      </c>
      <c r="CB329" s="315" t="e">
        <f>IF($J329="",#N/A,SUM(CA$4:CA329))</f>
        <v>#N/A</v>
      </c>
      <c r="CC329" s="315" t="e">
        <f>IF($J329="",#N/A,SUM(CA$4:CA329,BY$4:BY329,BW$4:BW329))</f>
        <v>#N/A</v>
      </c>
      <c r="CD329" s="304" t="str">
        <f t="shared" si="596"/>
        <v/>
      </c>
      <c r="CE329" s="313" t="e">
        <f>IF($J329="",#N/A,SUM(CD$4:CD329))</f>
        <v>#N/A</v>
      </c>
      <c r="CF329" s="314" t="str">
        <f t="shared" si="597"/>
        <v/>
      </c>
      <c r="CG329" s="314" t="e">
        <f>IF($J329="",#N/A,SUM(CF$4:CF329))</f>
        <v>#N/A</v>
      </c>
      <c r="CH329" s="315" t="str">
        <f t="shared" si="598"/>
        <v/>
      </c>
      <c r="CI329" s="315" t="e">
        <f>IF($J329="",#N/A,SUM(CH$4:CH329))</f>
        <v>#N/A</v>
      </c>
      <c r="CJ329" s="315" t="e">
        <f>IF($J329="",#N/A,SUM(CH$4:CH329,CF$4:CF329,CD$4:CD329))</f>
        <v>#N/A</v>
      </c>
      <c r="CK329" s="304" t="str">
        <f t="shared" si="599"/>
        <v/>
      </c>
      <c r="CL329" s="313" t="e">
        <f>IF($J329="",#N/A,SUM(CK$4:CK329))</f>
        <v>#N/A</v>
      </c>
      <c r="CM329" s="314" t="str">
        <f t="shared" si="600"/>
        <v/>
      </c>
      <c r="CN329" s="314" t="e">
        <f>IF($J329="",#N/A,SUM(CM$4:CM329))</f>
        <v>#N/A</v>
      </c>
      <c r="CO329" s="315" t="str">
        <f t="shared" si="601"/>
        <v/>
      </c>
      <c r="CP329" s="315" t="e">
        <f>IF($J329="",#N/A,SUM(CO$4:CO329))</f>
        <v>#N/A</v>
      </c>
      <c r="CQ329" s="315" t="e">
        <f>IF($J329="",#N/A,SUM(CO$4:CO329,CM$4:CM329,CK$4:CK329))</f>
        <v>#N/A</v>
      </c>
      <c r="CR329" s="304" t="str">
        <f t="shared" si="602"/>
        <v/>
      </c>
      <c r="CS329" s="313" t="e">
        <f>IF($J329="",#N/A,SUM(CR$4:CR329))</f>
        <v>#N/A</v>
      </c>
      <c r="CT329" s="314" t="str">
        <f t="shared" si="603"/>
        <v/>
      </c>
      <c r="CU329" s="314" t="e">
        <f>IF($J329="",#N/A,SUM(CT$4:CT329))</f>
        <v>#N/A</v>
      </c>
      <c r="CV329" s="315" t="str">
        <f t="shared" si="604"/>
        <v/>
      </c>
      <c r="CW329" s="315" t="e">
        <f>IF($J329="",#N/A,SUM(CV$4:CV329))</f>
        <v>#N/A</v>
      </c>
      <c r="CX329" s="315" t="e">
        <f>IF($J329="",#N/A,SUM(CV$4:CV329,CT$4:CT329,CR$4:CR329))</f>
        <v>#N/A</v>
      </c>
      <c r="CY329" s="304" t="str">
        <f t="shared" si="605"/>
        <v/>
      </c>
      <c r="CZ329" s="313" t="e">
        <f>IF($J329="",#N/A,SUM(CY$4:CY329))</f>
        <v>#N/A</v>
      </c>
      <c r="DA329" s="314" t="str">
        <f t="shared" si="606"/>
        <v/>
      </c>
      <c r="DB329" s="314" t="e">
        <f>IF($J329="",#N/A,SUM(DA$4:DA329))</f>
        <v>#N/A</v>
      </c>
      <c r="DC329" s="315" t="str">
        <f t="shared" si="607"/>
        <v/>
      </c>
      <c r="DD329" s="315" t="e">
        <f>IF($J329="",#N/A,SUM(DC$4:DC329))</f>
        <v>#N/A</v>
      </c>
      <c r="DE329" s="315" t="e">
        <f>IF($J329="",#N/A,SUM(DC$4:DC329,DA$4:DA329,CY$4:CY329))</f>
        <v>#N/A</v>
      </c>
      <c r="DF329" s="304" t="str">
        <f t="shared" si="608"/>
        <v/>
      </c>
      <c r="DG329" s="313" t="e">
        <f>IF($J329="",#N/A,SUM(DF$4:DF329))</f>
        <v>#N/A</v>
      </c>
      <c r="DH329" s="314" t="str">
        <f t="shared" si="609"/>
        <v/>
      </c>
      <c r="DI329" s="314" t="e">
        <f>IF($J329="",#N/A,SUM(DH$4:DH329))</f>
        <v>#N/A</v>
      </c>
      <c r="DJ329" s="315" t="str">
        <f t="shared" si="610"/>
        <v/>
      </c>
      <c r="DK329" s="315" t="e">
        <f>IF($J329="",#N/A,SUM(DJ$4:DJ329))</f>
        <v>#N/A</v>
      </c>
      <c r="DL329" s="315" t="e">
        <f>IF($J329="",#N/A,SUM(DJ$4:DJ329,DH$4:DH329,DF$4:DF329))</f>
        <v>#N/A</v>
      </c>
      <c r="DM329" s="304" t="str">
        <f t="shared" si="611"/>
        <v/>
      </c>
      <c r="DN329" s="313" t="e">
        <f>IF($J329="",#N/A,SUM(DM$4:DM329))</f>
        <v>#N/A</v>
      </c>
      <c r="DO329" s="314" t="str">
        <f t="shared" si="612"/>
        <v/>
      </c>
      <c r="DP329" s="314" t="e">
        <f>IF($J329="",#N/A,SUM(DO$4:DO329))</f>
        <v>#N/A</v>
      </c>
      <c r="DQ329" s="315" t="str">
        <f t="shared" si="613"/>
        <v/>
      </c>
      <c r="DR329" s="315" t="e">
        <f>IF($J329="",#N/A,SUM(DQ$4:DQ329))</f>
        <v>#N/A</v>
      </c>
      <c r="DS329" s="315" t="e">
        <f>IF($J329="",#N/A,SUM(DQ$4:DQ329,DO$4:DO329,DM$4:DM329))</f>
        <v>#N/A</v>
      </c>
      <c r="DT329" s="304" t="str">
        <f t="shared" si="614"/>
        <v/>
      </c>
      <c r="DU329" s="313" t="e">
        <f>IF($J329="",#N/A,SUM(DT$4:DT329))</f>
        <v>#N/A</v>
      </c>
      <c r="DV329" s="314" t="str">
        <f t="shared" si="615"/>
        <v/>
      </c>
      <c r="DW329" s="314" t="e">
        <f>IF($J329="",#N/A,SUM(DV$4:DV329))</f>
        <v>#N/A</v>
      </c>
      <c r="DX329" s="315" t="str">
        <f t="shared" si="616"/>
        <v/>
      </c>
      <c r="DY329" s="315" t="e">
        <f>IF($J329="",#N/A,SUM(DX$4:DX329))</f>
        <v>#N/A</v>
      </c>
      <c r="DZ329" s="315" t="e">
        <f>IF($J329="",#N/A,SUM(DX$4:DX329,DV$4:DV329,DT$4:DT329))</f>
        <v>#N/A</v>
      </c>
      <c r="EA329" s="304" t="str">
        <f t="shared" si="617"/>
        <v/>
      </c>
      <c r="EB329" s="313" t="e">
        <f>IF($J329="",#N/A,SUM(EA$4:EA329))</f>
        <v>#N/A</v>
      </c>
      <c r="EC329" s="314" t="str">
        <f t="shared" si="618"/>
        <v/>
      </c>
      <c r="ED329" s="314" t="e">
        <f>IF($J329="",#N/A,SUM(EC$4:EC329))</f>
        <v>#N/A</v>
      </c>
      <c r="EE329" s="315" t="str">
        <f t="shared" si="619"/>
        <v/>
      </c>
      <c r="EF329" s="315" t="e">
        <f>IF($J329="",#N/A,SUM(EE$4:EE329))</f>
        <v>#N/A</v>
      </c>
      <c r="EG329" s="315" t="e">
        <f>IF($J329="",#N/A,SUM(EE$4:EE329,EC$4:EC329,EA$4:EA329))</f>
        <v>#N/A</v>
      </c>
      <c r="EH329" s="130">
        <f t="shared" si="620"/>
        <v>-142.31999999999994</v>
      </c>
      <c r="EI329" s="63">
        <f>IF(EH329="",#N/A,SUM($EH$4:EH329))</f>
        <v>1144.2815552852726</v>
      </c>
      <c r="EJ329" s="223" t="e">
        <f t="shared" si="621"/>
        <v>#N/A</v>
      </c>
      <c r="EK329" s="63" t="e">
        <f>IF($GZ329="",#N/A,SUM(EJ$4:EJ329))</f>
        <v>#N/A</v>
      </c>
      <c r="EL329" s="60">
        <f t="shared" si="651"/>
        <v>-1.3950315234779329</v>
      </c>
      <c r="EM329" s="60">
        <f>IF(EL329="",NA(),SUM($EL$4:EL329))</f>
        <v>34.197227098019482</v>
      </c>
      <c r="EN329" s="60">
        <f t="shared" si="622"/>
        <v>-1.3950315234779329</v>
      </c>
      <c r="EO329" s="60">
        <f>IF(EN329="",NA(),SUM($EN$4:EN329))</f>
        <v>13.354764681058194</v>
      </c>
      <c r="EP329" s="60" t="str">
        <f t="shared" si="623"/>
        <v/>
      </c>
      <c r="EQ329" s="60" t="e">
        <f>IF(EP329="",NA(),SUM($EP$4:EP329))</f>
        <v>#N/A</v>
      </c>
      <c r="ER329" s="60" t="str">
        <f t="shared" si="624"/>
        <v/>
      </c>
      <c r="ES329" s="60" t="e">
        <f>IF(ER329="",NA(),SUM($ER$4:ER329))</f>
        <v>#N/A</v>
      </c>
      <c r="ET329" s="60" t="str">
        <f t="shared" si="625"/>
        <v/>
      </c>
      <c r="EU329" s="60" t="e">
        <f>IF(ET329="",NA(),SUM($ET$4:ET329))</f>
        <v>#N/A</v>
      </c>
      <c r="EV329" s="60" t="str">
        <f t="shared" si="626"/>
        <v/>
      </c>
      <c r="EW329" s="60" t="e">
        <f>IF(EV329="",NA(),SUM($EV$4:EV329))</f>
        <v>#N/A</v>
      </c>
      <c r="EX329" s="60" t="str">
        <f t="shared" si="627"/>
        <v/>
      </c>
      <c r="EY329" s="60" t="e">
        <f>IF(EX329="",NA(),SUM($EX$4:EX329))</f>
        <v>#N/A</v>
      </c>
      <c r="EZ329" s="60" t="str">
        <f t="shared" si="628"/>
        <v/>
      </c>
      <c r="FA329" s="60" t="e">
        <f>IF(EZ329="",NA(),SUM($EZ$4:EZ329))</f>
        <v>#N/A</v>
      </c>
      <c r="FB329" s="246" t="str">
        <f t="shared" si="652"/>
        <v/>
      </c>
      <c r="FC329" s="246" t="e">
        <f>IF($FB329="",#N/A,SUM(FB$4:$FB329))</f>
        <v>#N/A</v>
      </c>
      <c r="FD329" s="60" t="str">
        <f t="shared" si="629"/>
        <v/>
      </c>
      <c r="FE329" s="60" t="e">
        <f>IF($FD329="",#N/A,SUM($FD$4:FD329))</f>
        <v>#N/A</v>
      </c>
      <c r="FF329" s="60" t="str">
        <f t="shared" si="630"/>
        <v/>
      </c>
      <c r="FG329" s="60" t="e">
        <f>IF($FF329="",#N/A,SUM($FF$4:FF329))</f>
        <v>#N/A</v>
      </c>
      <c r="FH329" s="60">
        <f t="shared" si="631"/>
        <v>-0.98491264389448308</v>
      </c>
      <c r="FI329" s="60">
        <f>IF($FH329="",#N/A,SUM($FH$4:FH329))</f>
        <v>1.4515106068179362</v>
      </c>
      <c r="FJ329" s="60" t="str">
        <f t="shared" si="632"/>
        <v/>
      </c>
      <c r="FK329" s="60" t="e">
        <f>IF($FJ329="",#N/A,SUM($FJ$4:FJ329))</f>
        <v>#N/A</v>
      </c>
      <c r="FL329" s="60" t="str">
        <f t="shared" si="633"/>
        <v/>
      </c>
      <c r="FM329" s="60" t="e">
        <f>IF($FL329="",#N/A,SUM($FL$4:FL329))</f>
        <v>#N/A</v>
      </c>
      <c r="FN329" s="82">
        <f t="shared" si="634"/>
        <v>-2.379944167372416</v>
      </c>
      <c r="FO329" s="82">
        <f>IF($FN329="",#N/A,SUM(FN$4:$FN329))</f>
        <v>54.548510805638749</v>
      </c>
      <c r="FP329" s="82">
        <f t="shared" si="653"/>
        <v>-1.3950315234779329</v>
      </c>
      <c r="FQ329" s="246">
        <f>IF($EH329="",#N/A,SUM($FP$4:FP329))</f>
        <v>52.465329435515898</v>
      </c>
      <c r="FR329" s="82">
        <f>IFERROR(FQ329/COUNTA($J$4:J329),#N/A)</f>
        <v>0.16093659336047822</v>
      </c>
      <c r="FS329" s="82">
        <f t="shared" si="554"/>
        <v>-3.235940856410522E-2</v>
      </c>
      <c r="FT329" s="82">
        <f t="shared" si="555"/>
        <v>-0.13836620104098046</v>
      </c>
      <c r="FU329" s="338">
        <f>IF(AND(HB329="MOC",GZ329=""),#N/A,IFERROR(FQ329-HE329,FQ329-0))-14.53</f>
        <v>27.457251165307198</v>
      </c>
      <c r="FV329" s="57" t="str">
        <f t="shared" si="560"/>
        <v>Up</v>
      </c>
      <c r="FW329" s="57" t="s">
        <v>2734</v>
      </c>
      <c r="FX329" s="57" t="str">
        <f t="shared" si="635"/>
        <v/>
      </c>
      <c r="FY329" s="57" t="str">
        <f t="shared" si="636"/>
        <v/>
      </c>
      <c r="FZ329" s="57" t="str">
        <f t="shared" si="637"/>
        <v/>
      </c>
      <c r="GA329" s="57" t="str">
        <f t="shared" si="638"/>
        <v>Long</v>
      </c>
      <c r="GB329" s="57" t="str">
        <f t="shared" si="639"/>
        <v/>
      </c>
      <c r="GC329" s="57">
        <f t="shared" si="640"/>
        <v>1</v>
      </c>
      <c r="GD329" s="57" t="str">
        <f t="shared" si="641"/>
        <v/>
      </c>
      <c r="GE329" s="62">
        <f t="shared" si="557"/>
        <v>212.54</v>
      </c>
      <c r="GF329" s="62" t="s">
        <v>2779</v>
      </c>
      <c r="GG329" s="199">
        <v>8</v>
      </c>
      <c r="GH329" s="207">
        <f t="shared" si="642"/>
        <v>1700.32</v>
      </c>
      <c r="GI329" s="199">
        <v>8</v>
      </c>
      <c r="GJ329" s="200">
        <v>194.28</v>
      </c>
      <c r="GK329" s="63">
        <f t="shared" si="643"/>
        <v>-146.07999999999993</v>
      </c>
      <c r="GL329" s="63">
        <f t="shared" si="558"/>
        <v>-242.79999999999995</v>
      </c>
      <c r="GM329" s="82" t="str">
        <f t="shared" si="644"/>
        <v/>
      </c>
      <c r="GN329" s="82">
        <f>IF($GZ329="",#N/A,SUM(GM$4:GM329))</f>
        <v>5.3807322076132582</v>
      </c>
      <c r="GO329" s="82">
        <f t="shared" si="645"/>
        <v>-2.379944167372416</v>
      </c>
      <c r="GP329" s="82">
        <f>IF($GZ329="",#N/A,SUM(GO$4:GO329))</f>
        <v>16.442761691573629</v>
      </c>
      <c r="GQ329" s="82" t="str">
        <f t="shared" si="646"/>
        <v/>
      </c>
      <c r="GR329" s="82">
        <f>IF($GZ329="",#N/A,SUM(GQ$4:GQ329))</f>
        <v>32.099179952009528</v>
      </c>
      <c r="GS329" s="63" t="str">
        <f t="shared" si="654"/>
        <v/>
      </c>
      <c r="GT329" s="63" t="e">
        <f>IF($GZ329="",#N/A,SUM(GS$4:GS329))</f>
        <v>#N/A</v>
      </c>
      <c r="GU329" s="63" t="e">
        <f t="shared" si="655"/>
        <v>#N/A</v>
      </c>
      <c r="GV329" s="63" t="e">
        <f>IF($GZ329="",#N/A,SUM(GU$4:GU329))</f>
        <v>#N/A</v>
      </c>
      <c r="GW329" s="63" t="str">
        <f t="shared" si="656"/>
        <v/>
      </c>
      <c r="GX329" s="63" t="e">
        <f>IF($GZ329="",#N/A,SUM(GW$4:GW329))</f>
        <v>#N/A</v>
      </c>
      <c r="GY329" s="63" t="e">
        <f>IF(EJ329="",#N/A,SUM($EJ$4:EJ329))</f>
        <v>#N/A</v>
      </c>
      <c r="GZ329" s="159">
        <v>182.19</v>
      </c>
      <c r="HA329" s="63">
        <f t="shared" si="647"/>
        <v>-100.48000000000002</v>
      </c>
      <c r="HB329" s="62" t="s">
        <v>2538</v>
      </c>
      <c r="HC329" s="60">
        <f>IFERROR(VLOOKUP(E329,Expectancy!$P$4:$S$19,1+C329,FALSE),"")</f>
        <v>0.35290544702120547</v>
      </c>
      <c r="HD329" s="82">
        <f t="shared" si="648"/>
        <v>-1.4318873310122009</v>
      </c>
      <c r="HE329" s="138">
        <f>IF(HD329="",#N/A,SUM($HD$4:HD329))</f>
        <v>10.478078270208696</v>
      </c>
      <c r="HF329" s="85">
        <f>IF(HD329="",#N/A,IF(HB329="Skip",#N/A,SUM($HG$4:HG329)))</f>
        <v>346.92657921915497</v>
      </c>
      <c r="HG329" s="63">
        <f t="shared" si="649"/>
        <v>-146.07999999999993</v>
      </c>
      <c r="HH329" s="82">
        <f t="shared" si="650"/>
        <v>-2.379944167372416</v>
      </c>
    </row>
    <row r="330" spans="1:216" x14ac:dyDescent="0.25">
      <c r="A330" s="57" t="s">
        <v>1577</v>
      </c>
      <c r="B330" s="58" t="s">
        <v>5241</v>
      </c>
      <c r="C330" s="386">
        <f t="shared" si="561"/>
        <v>1</v>
      </c>
      <c r="D330" s="372" t="str">
        <f>_xlfn.XLOOKUP(A330,[1]SP500!$A$2:$A$502,[1]SP500!$D$2:$D$502,"N")</f>
        <v>Y</v>
      </c>
      <c r="E330" s="57" t="str">
        <f>_xlfn.XLOOKUP(A330,[1]SP500!$A$2:$A$655,[1]SP500!$B$2:$B$655)</f>
        <v>XLV</v>
      </c>
      <c r="F330" s="59">
        <v>45701</v>
      </c>
      <c r="G330" s="57" t="str">
        <f t="shared" si="562"/>
        <v>AMC</v>
      </c>
      <c r="H330" s="57" t="str">
        <f t="shared" si="563"/>
        <v>s</v>
      </c>
      <c r="I330" s="159">
        <v>177.06</v>
      </c>
      <c r="J330" s="158">
        <v>154</v>
      </c>
      <c r="K330" s="61">
        <f t="shared" si="564"/>
        <v>-0.13023833728679546</v>
      </c>
      <c r="L330" s="87">
        <f t="shared" si="565"/>
        <v>-230.59999999999991</v>
      </c>
      <c r="M330" s="130">
        <f t="shared" si="556"/>
        <v>-4.4000000000000909</v>
      </c>
      <c r="N330" s="169">
        <f t="shared" si="566"/>
        <v>-230.59999999999991</v>
      </c>
      <c r="O330" s="169">
        <f>IF($J330="",#N/A,SUM($N$4:N330))</f>
        <v>540.40671935422461</v>
      </c>
      <c r="P330" s="174" t="str">
        <f t="shared" si="567"/>
        <v/>
      </c>
      <c r="Q330" s="174">
        <f>IF($J330="",#N/A,SUM($P$4:P330))</f>
        <v>305.86890674734184</v>
      </c>
      <c r="R330" s="178" t="str">
        <f t="shared" si="568"/>
        <v/>
      </c>
      <c r="S330" s="178">
        <f>IF($J330="",#N/A,SUM($R$4:R330))</f>
        <v>67.405929183706121</v>
      </c>
      <c r="T330" s="290">
        <f t="shared" si="569"/>
        <v>-2.1706389547799234</v>
      </c>
      <c r="U330" s="290">
        <f>IF($J330="",#N/A,SUM($T$4:T330))</f>
        <v>19.19648137254174</v>
      </c>
      <c r="V330" s="291" t="str">
        <f t="shared" si="570"/>
        <v/>
      </c>
      <c r="W330" s="291">
        <f>IF($J330="",#N/A,SUM($V$4:V330))</f>
        <v>22.698098961525414</v>
      </c>
      <c r="X330" s="292" t="str">
        <f t="shared" si="571"/>
        <v/>
      </c>
      <c r="Y330" s="292">
        <f>IF($J330="",#N/A,SUM($X$4:X330))</f>
        <v>8.4001101466688315</v>
      </c>
      <c r="Z330" s="304" t="str">
        <f t="shared" si="572"/>
        <v/>
      </c>
      <c r="AA330" s="313" t="e">
        <f>IF($J330="",#N/A,SUM(Z$4:Z330))</f>
        <v>#N/A</v>
      </c>
      <c r="AB330" s="314" t="str">
        <f t="shared" si="573"/>
        <v/>
      </c>
      <c r="AC330" s="314" t="e">
        <f>IF($J330="",#N/A,SUM(AB$4:AB330))</f>
        <v>#N/A</v>
      </c>
      <c r="AD330" s="315" t="str">
        <f t="shared" si="574"/>
        <v/>
      </c>
      <c r="AE330" s="315" t="e">
        <f>IF($J330="",#N/A,SUM(AD$4:AD330))</f>
        <v>#N/A</v>
      </c>
      <c r="AF330" s="315" t="e">
        <f>IF($J330="",#N/A,SUM(AD$4:AD330,AB$4:AB330,Z$4:Z330))</f>
        <v>#N/A</v>
      </c>
      <c r="AG330" s="304" t="str">
        <f t="shared" si="575"/>
        <v/>
      </c>
      <c r="AH330" s="313" t="e">
        <f>IF($J330="",#N/A,SUM(AG$4:AG330))</f>
        <v>#N/A</v>
      </c>
      <c r="AI330" s="314" t="str">
        <f t="shared" si="576"/>
        <v/>
      </c>
      <c r="AJ330" s="314" t="e">
        <f>IF($J330="",#N/A,SUM(AI$4:AI330))</f>
        <v>#N/A</v>
      </c>
      <c r="AK330" s="315" t="str">
        <f t="shared" si="577"/>
        <v/>
      </c>
      <c r="AL330" s="315" t="e">
        <f>IF($J330="",#N/A,SUM(AK$4:AK330))</f>
        <v>#N/A</v>
      </c>
      <c r="AM330" s="315" t="e">
        <f>IF($J330="",#N/A,SUM(AK$4:AK330,AI$4:AI330,AG$4:AG330))</f>
        <v>#N/A</v>
      </c>
      <c r="AN330" s="304" t="str">
        <f t="shared" si="578"/>
        <v/>
      </c>
      <c r="AO330" s="313" t="e">
        <f>IF($J330="",#N/A,SUM(AN$4:AN330))</f>
        <v>#N/A</v>
      </c>
      <c r="AP330" s="314" t="str">
        <f t="shared" si="579"/>
        <v/>
      </c>
      <c r="AQ330" s="314" t="e">
        <f>IF($J330="",#N/A,SUM(AP$4:AP330))</f>
        <v>#N/A</v>
      </c>
      <c r="AR330" s="315" t="str">
        <f t="shared" si="580"/>
        <v/>
      </c>
      <c r="AS330" s="315" t="e">
        <f>IF($J330="",#N/A,SUM(AR$4:AR330))</f>
        <v>#N/A</v>
      </c>
      <c r="AT330" s="315" t="e">
        <f>IF($J330="",#N/A,SUM(AR$4:AR330,AP$4:AP330,AN$4:AN330))</f>
        <v>#N/A</v>
      </c>
      <c r="AU330" s="304" t="str">
        <f t="shared" si="581"/>
        <v/>
      </c>
      <c r="AV330" s="313" t="e">
        <f>IF($J330="",#N/A,SUM(AU$4:AU330))</f>
        <v>#N/A</v>
      </c>
      <c r="AW330" s="314" t="str">
        <f t="shared" si="582"/>
        <v/>
      </c>
      <c r="AX330" s="314" t="e">
        <f>IF($J330="",#N/A,SUM(AW$4:AW330))</f>
        <v>#N/A</v>
      </c>
      <c r="AY330" s="315" t="str">
        <f t="shared" si="583"/>
        <v/>
      </c>
      <c r="AZ330" s="315" t="e">
        <f>IF($J330="",#N/A,SUM(AY$4:AY330))</f>
        <v>#N/A</v>
      </c>
      <c r="BA330" s="315" t="e">
        <f>IF($J330="",#N/A,SUM(AY$4:AY330,AW$4:AW330,AU$4:AU330))</f>
        <v>#N/A</v>
      </c>
      <c r="BB330" s="304" t="str">
        <f t="shared" si="584"/>
        <v/>
      </c>
      <c r="BC330" s="313" t="e">
        <f>IF($J330="",#N/A,SUM(BB$4:BB330))</f>
        <v>#N/A</v>
      </c>
      <c r="BD330" s="314" t="str">
        <f t="shared" si="585"/>
        <v/>
      </c>
      <c r="BE330" s="314" t="e">
        <f>IF($J330="",#N/A,SUM(BD$4:BD330))</f>
        <v>#N/A</v>
      </c>
      <c r="BF330" s="315" t="str">
        <f t="shared" si="586"/>
        <v/>
      </c>
      <c r="BG330" s="315" t="e">
        <f>IF($J330="",#N/A,SUM(BF$4:BF330))</f>
        <v>#N/A</v>
      </c>
      <c r="BH330" s="315" t="e">
        <f>IF($J330="",#N/A,SUM(BF$4:BF330,BD$4:BD330,BB$4:BB330))</f>
        <v>#N/A</v>
      </c>
      <c r="BI330" s="304" t="str">
        <f t="shared" si="587"/>
        <v/>
      </c>
      <c r="BJ330" s="313" t="e">
        <f>IF($J330="",#N/A,SUM(BI$4:BI330))</f>
        <v>#N/A</v>
      </c>
      <c r="BK330" s="314" t="str">
        <f t="shared" si="588"/>
        <v/>
      </c>
      <c r="BL330" s="314" t="e">
        <f>IF($J330="",#N/A,SUM(BK$4:BK330))</f>
        <v>#N/A</v>
      </c>
      <c r="BM330" s="315" t="str">
        <f t="shared" si="589"/>
        <v/>
      </c>
      <c r="BN330" s="315" t="e">
        <f>IF($J330="",#N/A,SUM(BM$4:BM330))</f>
        <v>#N/A</v>
      </c>
      <c r="BO330" s="315" t="e">
        <f>IF($J330="",#N/A,SUM(BM$4:BM330,BK$4:BK330,BI$4:BI330))</f>
        <v>#N/A</v>
      </c>
      <c r="BP330" s="304" t="str">
        <f t="shared" si="590"/>
        <v/>
      </c>
      <c r="BQ330" s="313" t="e">
        <f>IF($J330="",#N/A,SUM(BP$4:BP330))</f>
        <v>#N/A</v>
      </c>
      <c r="BR330" s="314" t="str">
        <f t="shared" si="591"/>
        <v/>
      </c>
      <c r="BS330" s="314" t="e">
        <f>IF($J330="",#N/A,SUM(BR$4:BR330))</f>
        <v>#N/A</v>
      </c>
      <c r="BT330" s="315" t="str">
        <f t="shared" si="592"/>
        <v/>
      </c>
      <c r="BU330" s="315" t="e">
        <f>IF($J330="",#N/A,SUM(BT$4:BT330))</f>
        <v>#N/A</v>
      </c>
      <c r="BV330" s="315" t="e">
        <f>IF($J330="",#N/A,SUM(BT$4:BT330,BR$4:BR330,BP$4:BP330))</f>
        <v>#N/A</v>
      </c>
      <c r="BW330" s="304">
        <f t="shared" si="593"/>
        <v>-2.1706389547799234</v>
      </c>
      <c r="BX330" s="313" t="e">
        <f>IF($J330="",#N/A,SUM(BW$4:BW330))</f>
        <v>#N/A</v>
      </c>
      <c r="BY330" s="314" t="str">
        <f t="shared" si="594"/>
        <v/>
      </c>
      <c r="BZ330" s="314" t="e">
        <f>IF($J330="",#N/A,SUM(BY$4:BY330))</f>
        <v>#N/A</v>
      </c>
      <c r="CA330" s="315" t="str">
        <f t="shared" si="595"/>
        <v/>
      </c>
      <c r="CB330" s="315" t="e">
        <f>IF($J330="",#N/A,SUM(CA$4:CA330))</f>
        <v>#N/A</v>
      </c>
      <c r="CC330" s="315" t="e">
        <f>IF($J330="",#N/A,SUM(CA$4:CA330,BY$4:BY330,BW$4:BW330))</f>
        <v>#N/A</v>
      </c>
      <c r="CD330" s="304" t="str">
        <f t="shared" si="596"/>
        <v/>
      </c>
      <c r="CE330" s="313" t="e">
        <f>IF($J330="",#N/A,SUM(CD$4:CD330))</f>
        <v>#N/A</v>
      </c>
      <c r="CF330" s="314" t="str">
        <f t="shared" si="597"/>
        <v/>
      </c>
      <c r="CG330" s="314" t="e">
        <f>IF($J330="",#N/A,SUM(CF$4:CF330))</f>
        <v>#N/A</v>
      </c>
      <c r="CH330" s="315" t="str">
        <f t="shared" si="598"/>
        <v/>
      </c>
      <c r="CI330" s="315" t="e">
        <f>IF($J330="",#N/A,SUM(CH$4:CH330))</f>
        <v>#N/A</v>
      </c>
      <c r="CJ330" s="315" t="e">
        <f>IF($J330="",#N/A,SUM(CH$4:CH330,CF$4:CF330,CD$4:CD330))</f>
        <v>#N/A</v>
      </c>
      <c r="CK330" s="304" t="str">
        <f t="shared" si="599"/>
        <v/>
      </c>
      <c r="CL330" s="313" t="e">
        <f>IF($J330="",#N/A,SUM(CK$4:CK330))</f>
        <v>#N/A</v>
      </c>
      <c r="CM330" s="314" t="str">
        <f t="shared" si="600"/>
        <v/>
      </c>
      <c r="CN330" s="314" t="e">
        <f>IF($J330="",#N/A,SUM(CM$4:CM330))</f>
        <v>#N/A</v>
      </c>
      <c r="CO330" s="315" t="str">
        <f t="shared" si="601"/>
        <v/>
      </c>
      <c r="CP330" s="315" t="e">
        <f>IF($J330="",#N/A,SUM(CO$4:CO330))</f>
        <v>#N/A</v>
      </c>
      <c r="CQ330" s="315" t="e">
        <f>IF($J330="",#N/A,SUM(CO$4:CO330,CM$4:CM330,CK$4:CK330))</f>
        <v>#N/A</v>
      </c>
      <c r="CR330" s="304" t="str">
        <f t="shared" si="602"/>
        <v/>
      </c>
      <c r="CS330" s="313" t="e">
        <f>IF($J330="",#N/A,SUM(CR$4:CR330))</f>
        <v>#N/A</v>
      </c>
      <c r="CT330" s="314" t="str">
        <f t="shared" si="603"/>
        <v/>
      </c>
      <c r="CU330" s="314" t="e">
        <f>IF($J330="",#N/A,SUM(CT$4:CT330))</f>
        <v>#N/A</v>
      </c>
      <c r="CV330" s="315" t="str">
        <f t="shared" si="604"/>
        <v/>
      </c>
      <c r="CW330" s="315" t="e">
        <f>IF($J330="",#N/A,SUM(CV$4:CV330))</f>
        <v>#N/A</v>
      </c>
      <c r="CX330" s="315" t="e">
        <f>IF($J330="",#N/A,SUM(CV$4:CV330,CT$4:CT330,CR$4:CR330))</f>
        <v>#N/A</v>
      </c>
      <c r="CY330" s="304" t="str">
        <f t="shared" si="605"/>
        <v/>
      </c>
      <c r="CZ330" s="313" t="e">
        <f>IF($J330="",#N/A,SUM(CY$4:CY330))</f>
        <v>#N/A</v>
      </c>
      <c r="DA330" s="314" t="str">
        <f t="shared" si="606"/>
        <v/>
      </c>
      <c r="DB330" s="314" t="e">
        <f>IF($J330="",#N/A,SUM(DA$4:DA330))</f>
        <v>#N/A</v>
      </c>
      <c r="DC330" s="315" t="str">
        <f t="shared" si="607"/>
        <v/>
      </c>
      <c r="DD330" s="315" t="e">
        <f>IF($J330="",#N/A,SUM(DC$4:DC330))</f>
        <v>#N/A</v>
      </c>
      <c r="DE330" s="315" t="e">
        <f>IF($J330="",#N/A,SUM(DC$4:DC330,DA$4:DA330,CY$4:CY330))</f>
        <v>#N/A</v>
      </c>
      <c r="DF330" s="304" t="str">
        <f t="shared" si="608"/>
        <v/>
      </c>
      <c r="DG330" s="313" t="e">
        <f>IF($J330="",#N/A,SUM(DF$4:DF330))</f>
        <v>#N/A</v>
      </c>
      <c r="DH330" s="314" t="str">
        <f t="shared" si="609"/>
        <v/>
      </c>
      <c r="DI330" s="314" t="e">
        <f>IF($J330="",#N/A,SUM(DH$4:DH330))</f>
        <v>#N/A</v>
      </c>
      <c r="DJ330" s="315" t="str">
        <f t="shared" si="610"/>
        <v/>
      </c>
      <c r="DK330" s="315" t="e">
        <f>IF($J330="",#N/A,SUM(DJ$4:DJ330))</f>
        <v>#N/A</v>
      </c>
      <c r="DL330" s="315" t="e">
        <f>IF($J330="",#N/A,SUM(DJ$4:DJ330,DH$4:DH330,DF$4:DF330))</f>
        <v>#N/A</v>
      </c>
      <c r="DM330" s="304" t="str">
        <f t="shared" si="611"/>
        <v/>
      </c>
      <c r="DN330" s="313" t="e">
        <f>IF($J330="",#N/A,SUM(DM$4:DM330))</f>
        <v>#N/A</v>
      </c>
      <c r="DO330" s="314" t="str">
        <f t="shared" si="612"/>
        <v/>
      </c>
      <c r="DP330" s="314" t="e">
        <f>IF($J330="",#N/A,SUM(DO$4:DO330))</f>
        <v>#N/A</v>
      </c>
      <c r="DQ330" s="315" t="str">
        <f t="shared" si="613"/>
        <v/>
      </c>
      <c r="DR330" s="315" t="e">
        <f>IF($J330="",#N/A,SUM(DQ$4:DQ330))</f>
        <v>#N/A</v>
      </c>
      <c r="DS330" s="315" t="e">
        <f>IF($J330="",#N/A,SUM(DQ$4:DQ330,DO$4:DO330,DM$4:DM330))</f>
        <v>#N/A</v>
      </c>
      <c r="DT330" s="304" t="str">
        <f t="shared" si="614"/>
        <v/>
      </c>
      <c r="DU330" s="313" t="e">
        <f>IF($J330="",#N/A,SUM(DT$4:DT330))</f>
        <v>#N/A</v>
      </c>
      <c r="DV330" s="314" t="str">
        <f t="shared" si="615"/>
        <v/>
      </c>
      <c r="DW330" s="314" t="e">
        <f>IF($J330="",#N/A,SUM(DV$4:DV330))</f>
        <v>#N/A</v>
      </c>
      <c r="DX330" s="315" t="str">
        <f t="shared" si="616"/>
        <v/>
      </c>
      <c r="DY330" s="315" t="e">
        <f>IF($J330="",#N/A,SUM(DX$4:DX330))</f>
        <v>#N/A</v>
      </c>
      <c r="DZ330" s="315" t="e">
        <f>IF($J330="",#N/A,SUM(DX$4:DX330,DV$4:DV330,DT$4:DT330))</f>
        <v>#N/A</v>
      </c>
      <c r="EA330" s="304" t="str">
        <f t="shared" si="617"/>
        <v/>
      </c>
      <c r="EB330" s="313" t="e">
        <f>IF($J330="",#N/A,SUM(EA$4:EA330))</f>
        <v>#N/A</v>
      </c>
      <c r="EC330" s="314" t="str">
        <f t="shared" si="618"/>
        <v/>
      </c>
      <c r="ED330" s="314" t="e">
        <f>IF($J330="",#N/A,SUM(EC$4:EC330))</f>
        <v>#N/A</v>
      </c>
      <c r="EE330" s="315" t="str">
        <f t="shared" si="619"/>
        <v/>
      </c>
      <c r="EF330" s="315" t="e">
        <f>IF($J330="",#N/A,SUM(EE$4:EE330))</f>
        <v>#N/A</v>
      </c>
      <c r="EG330" s="315" t="e">
        <f>IF($J330="",#N/A,SUM(EE$4:EE330,EC$4:EC330,EA$4:EA330))</f>
        <v>#N/A</v>
      </c>
      <c r="EH330" s="130">
        <f t="shared" si="620"/>
        <v>-230.59999999999991</v>
      </c>
      <c r="EI330" s="63">
        <f>IF(EH330="",#N/A,SUM($EH$4:EH330))</f>
        <v>913.68155528527268</v>
      </c>
      <c r="EJ330" s="223" t="e">
        <f t="shared" si="621"/>
        <v>#N/A</v>
      </c>
      <c r="EK330" s="63" t="e">
        <f>IF($GZ330="",#N/A,SUM(EJ$4:EJ330))</f>
        <v>#N/A</v>
      </c>
      <c r="EL330" s="60">
        <f t="shared" si="651"/>
        <v>-2.1706389547799234</v>
      </c>
      <c r="EM330" s="60">
        <f>IF(EL330="",NA(),SUM($EL$4:EL330))</f>
        <v>32.026588143239557</v>
      </c>
      <c r="EN330" s="60">
        <f t="shared" si="622"/>
        <v>-2.1706389547799234</v>
      </c>
      <c r="EO330" s="60">
        <f>IF(EN330="",NA(),SUM($EN$4:EN330))</f>
        <v>11.184125726278271</v>
      </c>
      <c r="EP330" s="60" t="str">
        <f t="shared" si="623"/>
        <v/>
      </c>
      <c r="EQ330" s="60" t="e">
        <f>IF(EP330="",NA(),SUM($EP$4:EP330))</f>
        <v>#N/A</v>
      </c>
      <c r="ER330" s="60" t="str">
        <f t="shared" si="624"/>
        <v/>
      </c>
      <c r="ES330" s="60" t="e">
        <f>IF(ER330="",NA(),SUM($ER$4:ER330))</f>
        <v>#N/A</v>
      </c>
      <c r="ET330" s="60" t="str">
        <f t="shared" si="625"/>
        <v/>
      </c>
      <c r="EU330" s="60" t="e">
        <f>IF(ET330="",NA(),SUM($ET$4:ET330))</f>
        <v>#N/A</v>
      </c>
      <c r="EV330" s="60" t="str">
        <f t="shared" si="626"/>
        <v/>
      </c>
      <c r="EW330" s="60" t="e">
        <f>IF(EV330="",NA(),SUM($EV$4:EV330))</f>
        <v>#N/A</v>
      </c>
      <c r="EX330" s="60" t="str">
        <f t="shared" si="627"/>
        <v/>
      </c>
      <c r="EY330" s="60" t="e">
        <f>IF(EX330="",NA(),SUM($EX$4:EX330))</f>
        <v>#N/A</v>
      </c>
      <c r="EZ330" s="60" t="str">
        <f t="shared" si="628"/>
        <v/>
      </c>
      <c r="FA330" s="60" t="e">
        <f>IF(EZ330="",NA(),SUM($EZ$4:EZ330))</f>
        <v>#N/A</v>
      </c>
      <c r="FB330" s="246" t="str">
        <f t="shared" si="652"/>
        <v/>
      </c>
      <c r="FC330" s="246" t="e">
        <f>IF($FB330="",#N/A,SUM(FB$4:$FB330))</f>
        <v>#N/A</v>
      </c>
      <c r="FD330" s="60" t="str">
        <f t="shared" si="629"/>
        <v/>
      </c>
      <c r="FE330" s="60" t="e">
        <f>IF($FD330="",#N/A,SUM($FD$4:FD330))</f>
        <v>#N/A</v>
      </c>
      <c r="FF330" s="60" t="str">
        <f t="shared" si="630"/>
        <v/>
      </c>
      <c r="FG330" s="60" t="e">
        <f>IF($FF330="",#N/A,SUM($FF$4:FF330))</f>
        <v>#N/A</v>
      </c>
      <c r="FH330" s="60">
        <f t="shared" si="631"/>
        <v>0.32192477126397678</v>
      </c>
      <c r="FI330" s="60">
        <f>IF($FH330="",#N/A,SUM($FH$4:FH330))</f>
        <v>1.773435378081913</v>
      </c>
      <c r="FJ330" s="60" t="str">
        <f t="shared" si="632"/>
        <v/>
      </c>
      <c r="FK330" s="60" t="e">
        <f>IF($FJ330="",#N/A,SUM($FJ$4:FJ330))</f>
        <v>#N/A</v>
      </c>
      <c r="FL330" s="60" t="str">
        <f t="shared" si="633"/>
        <v/>
      </c>
      <c r="FM330" s="60" t="e">
        <f>IF($FL330="",#N/A,SUM($FL$4:FL330))</f>
        <v>#N/A</v>
      </c>
      <c r="FN330" s="82">
        <f t="shared" si="634"/>
        <v>-1.8487141835159466</v>
      </c>
      <c r="FO330" s="82">
        <f>IF($FN330="",#N/A,SUM(FN$4:$FN330))</f>
        <v>52.699796622122804</v>
      </c>
      <c r="FP330" s="82">
        <f t="shared" si="653"/>
        <v>-2.1706389547799234</v>
      </c>
      <c r="FQ330" s="246">
        <f>IF($EH330="",#N/A,SUM($FP$4:FP330))</f>
        <v>50.294690480735973</v>
      </c>
      <c r="FR330" s="82">
        <f>IFERROR(FQ330/COUNTA($J$4:J330),#N/A)</f>
        <v>0.15380639290744946</v>
      </c>
      <c r="FS330" s="82">
        <f t="shared" si="554"/>
        <v>-9.174993525010422E-2</v>
      </c>
      <c r="FT330" s="82">
        <f t="shared" si="555"/>
        <v>-0.2632534896016</v>
      </c>
      <c r="FU330" s="338">
        <f>IF(AND(HB330="MOC",GZ330=""),#N/A,IFERROR(FQ330-HE330,FQ330-0))-14.53</f>
        <v>27.498668387341162</v>
      </c>
      <c r="FV330" s="57" t="str">
        <f t="shared" si="560"/>
        <v>Up</v>
      </c>
      <c r="FW330" s="57" t="s">
        <v>2734</v>
      </c>
      <c r="FX330" s="57" t="str">
        <f t="shared" si="635"/>
        <v/>
      </c>
      <c r="FY330" s="57" t="str">
        <f t="shared" si="636"/>
        <v/>
      </c>
      <c r="FZ330" s="57" t="str">
        <f t="shared" si="637"/>
        <v/>
      </c>
      <c r="GA330" s="57" t="str">
        <f t="shared" si="638"/>
        <v>Long</v>
      </c>
      <c r="GB330" s="57" t="str">
        <f t="shared" si="639"/>
        <v/>
      </c>
      <c r="GC330" s="57">
        <f t="shared" si="640"/>
        <v>1</v>
      </c>
      <c r="GD330" s="57" t="str">
        <f t="shared" si="641"/>
        <v/>
      </c>
      <c r="GE330" s="62">
        <f t="shared" si="557"/>
        <v>177.06</v>
      </c>
      <c r="GF330" s="62" t="s">
        <v>2779</v>
      </c>
      <c r="GG330" s="199">
        <v>10</v>
      </c>
      <c r="GH330" s="207">
        <f t="shared" si="642"/>
        <v>1770.6</v>
      </c>
      <c r="GI330" s="199">
        <v>10</v>
      </c>
      <c r="GJ330" s="200">
        <v>153.56</v>
      </c>
      <c r="GK330" s="63">
        <f t="shared" si="643"/>
        <v>-235</v>
      </c>
      <c r="GL330" s="63">
        <f t="shared" si="558"/>
        <v>-196.40000000000009</v>
      </c>
      <c r="GM330" s="82" t="str">
        <f t="shared" si="644"/>
        <v/>
      </c>
      <c r="GN330" s="82">
        <f>IF($GZ330="",#N/A,SUM(GM$4:GM330))</f>
        <v>5.3807322076132582</v>
      </c>
      <c r="GO330" s="82">
        <f t="shared" si="645"/>
        <v>-1.8487141835159466</v>
      </c>
      <c r="GP330" s="82">
        <f>IF($GZ330="",#N/A,SUM(GO$4:GO330))</f>
        <v>14.594047508057683</v>
      </c>
      <c r="GQ330" s="82" t="str">
        <f t="shared" si="646"/>
        <v/>
      </c>
      <c r="GR330" s="82">
        <f>IF($GZ330="",#N/A,SUM(GQ$4:GQ330))</f>
        <v>32.099179952009528</v>
      </c>
      <c r="GS330" s="63" t="str">
        <f t="shared" si="654"/>
        <v/>
      </c>
      <c r="GT330" s="63" t="e">
        <f>IF($GZ330="",#N/A,SUM(GS$4:GS330))</f>
        <v>#N/A</v>
      </c>
      <c r="GU330" s="63" t="e">
        <f t="shared" si="655"/>
        <v>#N/A</v>
      </c>
      <c r="GV330" s="63" t="e">
        <f>IF($GZ330="",#N/A,SUM(GU$4:GU330))</f>
        <v>#N/A</v>
      </c>
      <c r="GW330" s="63" t="str">
        <f t="shared" si="656"/>
        <v/>
      </c>
      <c r="GX330" s="63" t="e">
        <f>IF($GZ330="",#N/A,SUM(GW$4:GW330))</f>
        <v>#N/A</v>
      </c>
      <c r="GY330" s="63" t="e">
        <f>IF(EJ330="",#N/A,SUM($EJ$4:EJ330))</f>
        <v>#N/A</v>
      </c>
      <c r="GZ330" s="159">
        <v>157.41999999999999</v>
      </c>
      <c r="HA330" s="63">
        <f t="shared" si="647"/>
        <v>34.199999999999818</v>
      </c>
      <c r="HB330" s="62" t="s">
        <v>2538</v>
      </c>
      <c r="HC330" s="60">
        <f>IFERROR(VLOOKUP(E330,Expectancy!$P$4:$S$19,1+C330,FALSE),"")</f>
        <v>-0.45514116799985843</v>
      </c>
      <c r="HD330" s="82">
        <f t="shared" si="648"/>
        <v>-2.2120561768138862</v>
      </c>
      <c r="HE330" s="138">
        <f>IF(HD330="",#N/A,SUM($HD$4:HD330))</f>
        <v>8.2660220933948096</v>
      </c>
      <c r="HF330" s="85">
        <f>IF(HD330="",#N/A,IF(HB330="Skip",#N/A,SUM($HG$4:HG330)))</f>
        <v>111.92657921915497</v>
      </c>
      <c r="HG330" s="63">
        <f t="shared" si="649"/>
        <v>-235</v>
      </c>
      <c r="HH330" s="82">
        <f t="shared" si="650"/>
        <v>-1.8487141835159466</v>
      </c>
    </row>
    <row r="331" spans="1:216" x14ac:dyDescent="0.25">
      <c r="A331" s="57" t="s">
        <v>78</v>
      </c>
      <c r="B331" s="58" t="s">
        <v>5241</v>
      </c>
      <c r="C331" s="386">
        <f t="shared" si="561"/>
        <v>2</v>
      </c>
      <c r="D331" s="372" t="str">
        <f>_xlfn.XLOOKUP(A331,[1]SP500!$A$2:$A$502,[1]SP500!$D$2:$D$502,"N")</f>
        <v>Y</v>
      </c>
      <c r="E331" s="57" t="str">
        <f>_xlfn.XLOOKUP(A331,[1]SP500!$A$2:$A$655,[1]SP500!$B$2:$B$655)</f>
        <v>XLY</v>
      </c>
      <c r="F331" s="59">
        <v>45701</v>
      </c>
      <c r="G331" s="57" t="str">
        <f t="shared" si="562"/>
        <v>AMC</v>
      </c>
      <c r="H331" s="57" t="str">
        <f t="shared" si="563"/>
        <v>o</v>
      </c>
      <c r="I331" s="159">
        <v>80.47</v>
      </c>
      <c r="J331" s="159">
        <v>84.64</v>
      </c>
      <c r="K331" s="61">
        <f t="shared" si="564"/>
        <v>5.1820554243817596E-2</v>
      </c>
      <c r="L331" s="87">
        <f t="shared" si="565"/>
        <v>-85.50391450229904</v>
      </c>
      <c r="M331" s="210" t="e">
        <f t="shared" si="556"/>
        <v>#N/A</v>
      </c>
      <c r="N331" s="169" t="str">
        <f t="shared" si="566"/>
        <v/>
      </c>
      <c r="O331" s="169">
        <f>IF($J331="",#N/A,SUM($N$4:N331))</f>
        <v>540.40671935422461</v>
      </c>
      <c r="P331" s="174">
        <f t="shared" si="567"/>
        <v>-85.50391450229904</v>
      </c>
      <c r="Q331" s="174">
        <f>IF($J331="",#N/A,SUM($P$4:P331))</f>
        <v>220.3649922450428</v>
      </c>
      <c r="R331" s="178" t="str">
        <f t="shared" si="568"/>
        <v/>
      </c>
      <c r="S331" s="178">
        <f>IF($J331="",#N/A,SUM($R$4:R331))</f>
        <v>67.405929183706121</v>
      </c>
      <c r="T331" s="290" t="str">
        <f t="shared" si="569"/>
        <v/>
      </c>
      <c r="U331" s="290">
        <f>IF($J331="",#N/A,SUM($T$4:T331))</f>
        <v>19.19648137254174</v>
      </c>
      <c r="V331" s="291">
        <f t="shared" si="570"/>
        <v>-0.86367590406362671</v>
      </c>
      <c r="W331" s="291">
        <f>IF($J331="",#N/A,SUM($V$4:V331))</f>
        <v>21.834423057461787</v>
      </c>
      <c r="X331" s="292" t="str">
        <f t="shared" si="571"/>
        <v/>
      </c>
      <c r="Y331" s="292">
        <f>IF($J331="",#N/A,SUM($X$4:X331))</f>
        <v>8.4001101466688315</v>
      </c>
      <c r="Z331" s="304" t="str">
        <f t="shared" si="572"/>
        <v/>
      </c>
      <c r="AA331" s="313" t="e">
        <f>IF($J331="",#N/A,SUM(Z$4:Z331))</f>
        <v>#N/A</v>
      </c>
      <c r="AB331" s="314" t="str">
        <f t="shared" si="573"/>
        <v/>
      </c>
      <c r="AC331" s="314" t="e">
        <f>IF($J331="",#N/A,SUM(AB$4:AB331))</f>
        <v>#N/A</v>
      </c>
      <c r="AD331" s="315" t="str">
        <f t="shared" si="574"/>
        <v/>
      </c>
      <c r="AE331" s="315" t="e">
        <f>IF($J331="",#N/A,SUM(AD$4:AD331))</f>
        <v>#N/A</v>
      </c>
      <c r="AF331" s="315" t="e">
        <f>IF($J331="",#N/A,SUM(AD$4:AD331,AB$4:AB331,Z$4:Z331))</f>
        <v>#N/A</v>
      </c>
      <c r="AG331" s="304" t="str">
        <f t="shared" si="575"/>
        <v/>
      </c>
      <c r="AH331" s="313" t="e">
        <f>IF($J331="",#N/A,SUM(AG$4:AG331))</f>
        <v>#N/A</v>
      </c>
      <c r="AI331" s="314" t="str">
        <f t="shared" si="576"/>
        <v/>
      </c>
      <c r="AJ331" s="314" t="e">
        <f>IF($J331="",#N/A,SUM(AI$4:AI331))</f>
        <v>#N/A</v>
      </c>
      <c r="AK331" s="315" t="str">
        <f t="shared" si="577"/>
        <v/>
      </c>
      <c r="AL331" s="315" t="e">
        <f>IF($J331="",#N/A,SUM(AK$4:AK331))</f>
        <v>#N/A</v>
      </c>
      <c r="AM331" s="315" t="e">
        <f>IF($J331="",#N/A,SUM(AK$4:AK331,AI$4:AI331,AG$4:AG331))</f>
        <v>#N/A</v>
      </c>
      <c r="AN331" s="304" t="str">
        <f t="shared" si="578"/>
        <v/>
      </c>
      <c r="AO331" s="313" t="e">
        <f>IF($J331="",#N/A,SUM(AN$4:AN331))</f>
        <v>#N/A</v>
      </c>
      <c r="AP331" s="314">
        <f t="shared" si="579"/>
        <v>-0.86367590406362671</v>
      </c>
      <c r="AQ331" s="314" t="e">
        <f>IF($J331="",#N/A,SUM(AP$4:AP331))</f>
        <v>#N/A</v>
      </c>
      <c r="AR331" s="315" t="str">
        <f t="shared" si="580"/>
        <v/>
      </c>
      <c r="AS331" s="315" t="e">
        <f>IF($J331="",#N/A,SUM(AR$4:AR331))</f>
        <v>#N/A</v>
      </c>
      <c r="AT331" s="315" t="e">
        <f>IF($J331="",#N/A,SUM(AR$4:AR331,AP$4:AP331,AN$4:AN331))</f>
        <v>#N/A</v>
      </c>
      <c r="AU331" s="304" t="str">
        <f t="shared" si="581"/>
        <v/>
      </c>
      <c r="AV331" s="313" t="e">
        <f>IF($J331="",#N/A,SUM(AU$4:AU331))</f>
        <v>#N/A</v>
      </c>
      <c r="AW331" s="314" t="str">
        <f t="shared" si="582"/>
        <v/>
      </c>
      <c r="AX331" s="314" t="e">
        <f>IF($J331="",#N/A,SUM(AW$4:AW331))</f>
        <v>#N/A</v>
      </c>
      <c r="AY331" s="315" t="str">
        <f t="shared" si="583"/>
        <v/>
      </c>
      <c r="AZ331" s="315" t="e">
        <f>IF($J331="",#N/A,SUM(AY$4:AY331))</f>
        <v>#N/A</v>
      </c>
      <c r="BA331" s="315" t="e">
        <f>IF($J331="",#N/A,SUM(AY$4:AY331,AW$4:AW331,AU$4:AU331))</f>
        <v>#N/A</v>
      </c>
      <c r="BB331" s="304" t="str">
        <f t="shared" si="584"/>
        <v/>
      </c>
      <c r="BC331" s="313" t="e">
        <f>IF($J331="",#N/A,SUM(BB$4:BB331))</f>
        <v>#N/A</v>
      </c>
      <c r="BD331" s="314" t="str">
        <f t="shared" si="585"/>
        <v/>
      </c>
      <c r="BE331" s="314" t="e">
        <f>IF($J331="",#N/A,SUM(BD$4:BD331))</f>
        <v>#N/A</v>
      </c>
      <c r="BF331" s="315" t="str">
        <f t="shared" si="586"/>
        <v/>
      </c>
      <c r="BG331" s="315" t="e">
        <f>IF($J331="",#N/A,SUM(BF$4:BF331))</f>
        <v>#N/A</v>
      </c>
      <c r="BH331" s="315" t="e">
        <f>IF($J331="",#N/A,SUM(BF$4:BF331,BD$4:BD331,BB$4:BB331))</f>
        <v>#N/A</v>
      </c>
      <c r="BI331" s="304" t="str">
        <f t="shared" si="587"/>
        <v/>
      </c>
      <c r="BJ331" s="313" t="e">
        <f>IF($J331="",#N/A,SUM(BI$4:BI331))</f>
        <v>#N/A</v>
      </c>
      <c r="BK331" s="314" t="str">
        <f t="shared" si="588"/>
        <v/>
      </c>
      <c r="BL331" s="314" t="e">
        <f>IF($J331="",#N/A,SUM(BK$4:BK331))</f>
        <v>#N/A</v>
      </c>
      <c r="BM331" s="315" t="str">
        <f t="shared" si="589"/>
        <v/>
      </c>
      <c r="BN331" s="315" t="e">
        <f>IF($J331="",#N/A,SUM(BM$4:BM331))</f>
        <v>#N/A</v>
      </c>
      <c r="BO331" s="315" t="e">
        <f>IF($J331="",#N/A,SUM(BM$4:BM331,BK$4:BK331,BI$4:BI331))</f>
        <v>#N/A</v>
      </c>
      <c r="BP331" s="304" t="str">
        <f t="shared" si="590"/>
        <v/>
      </c>
      <c r="BQ331" s="313" t="e">
        <f>IF($J331="",#N/A,SUM(BP$4:BP331))</f>
        <v>#N/A</v>
      </c>
      <c r="BR331" s="314" t="str">
        <f t="shared" si="591"/>
        <v/>
      </c>
      <c r="BS331" s="314" t="e">
        <f>IF($J331="",#N/A,SUM(BR$4:BR331))</f>
        <v>#N/A</v>
      </c>
      <c r="BT331" s="315" t="str">
        <f t="shared" si="592"/>
        <v/>
      </c>
      <c r="BU331" s="315" t="e">
        <f>IF($J331="",#N/A,SUM(BT$4:BT331))</f>
        <v>#N/A</v>
      </c>
      <c r="BV331" s="315" t="e">
        <f>IF($J331="",#N/A,SUM(BT$4:BT331,BR$4:BR331,BP$4:BP331))</f>
        <v>#N/A</v>
      </c>
      <c r="BW331" s="304" t="str">
        <f t="shared" si="593"/>
        <v/>
      </c>
      <c r="BX331" s="313" t="e">
        <f>IF($J331="",#N/A,SUM(BW$4:BW331))</f>
        <v>#N/A</v>
      </c>
      <c r="BY331" s="314" t="str">
        <f t="shared" si="594"/>
        <v/>
      </c>
      <c r="BZ331" s="314" t="e">
        <f>IF($J331="",#N/A,SUM(BY$4:BY331))</f>
        <v>#N/A</v>
      </c>
      <c r="CA331" s="315" t="str">
        <f t="shared" si="595"/>
        <v/>
      </c>
      <c r="CB331" s="315" t="e">
        <f>IF($J331="",#N/A,SUM(CA$4:CA331))</f>
        <v>#N/A</v>
      </c>
      <c r="CC331" s="315" t="e">
        <f>IF($J331="",#N/A,SUM(CA$4:CA331,BY$4:BY331,BW$4:BW331))</f>
        <v>#N/A</v>
      </c>
      <c r="CD331" s="304" t="str">
        <f t="shared" si="596"/>
        <v/>
      </c>
      <c r="CE331" s="313" t="e">
        <f>IF($J331="",#N/A,SUM(CD$4:CD331))</f>
        <v>#N/A</v>
      </c>
      <c r="CF331" s="314" t="str">
        <f t="shared" si="597"/>
        <v/>
      </c>
      <c r="CG331" s="314" t="e">
        <f>IF($J331="",#N/A,SUM(CF$4:CF331))</f>
        <v>#N/A</v>
      </c>
      <c r="CH331" s="315" t="str">
        <f t="shared" si="598"/>
        <v/>
      </c>
      <c r="CI331" s="315" t="e">
        <f>IF($J331="",#N/A,SUM(CH$4:CH331))</f>
        <v>#N/A</v>
      </c>
      <c r="CJ331" s="315" t="e">
        <f>IF($J331="",#N/A,SUM(CH$4:CH331,CF$4:CF331,CD$4:CD331))</f>
        <v>#N/A</v>
      </c>
      <c r="CK331" s="304" t="str">
        <f t="shared" si="599"/>
        <v/>
      </c>
      <c r="CL331" s="313" t="e">
        <f>IF($J331="",#N/A,SUM(CK$4:CK331))</f>
        <v>#N/A</v>
      </c>
      <c r="CM331" s="314" t="str">
        <f t="shared" si="600"/>
        <v/>
      </c>
      <c r="CN331" s="314" t="e">
        <f>IF($J331="",#N/A,SUM(CM$4:CM331))</f>
        <v>#N/A</v>
      </c>
      <c r="CO331" s="315" t="str">
        <f t="shared" si="601"/>
        <v/>
      </c>
      <c r="CP331" s="315" t="e">
        <f>IF($J331="",#N/A,SUM(CO$4:CO331))</f>
        <v>#N/A</v>
      </c>
      <c r="CQ331" s="315" t="e">
        <f>IF($J331="",#N/A,SUM(CO$4:CO331,CM$4:CM331,CK$4:CK331))</f>
        <v>#N/A</v>
      </c>
      <c r="CR331" s="304" t="str">
        <f t="shared" si="602"/>
        <v/>
      </c>
      <c r="CS331" s="313" t="e">
        <f>IF($J331="",#N/A,SUM(CR$4:CR331))</f>
        <v>#N/A</v>
      </c>
      <c r="CT331" s="314" t="str">
        <f t="shared" si="603"/>
        <v/>
      </c>
      <c r="CU331" s="314" t="e">
        <f>IF($J331="",#N/A,SUM(CT$4:CT331))</f>
        <v>#N/A</v>
      </c>
      <c r="CV331" s="315" t="str">
        <f t="shared" si="604"/>
        <v/>
      </c>
      <c r="CW331" s="315" t="e">
        <f>IF($J331="",#N/A,SUM(CV$4:CV331))</f>
        <v>#N/A</v>
      </c>
      <c r="CX331" s="315" t="e">
        <f>IF($J331="",#N/A,SUM(CV$4:CV331,CT$4:CT331,CR$4:CR331))</f>
        <v>#N/A</v>
      </c>
      <c r="CY331" s="304" t="str">
        <f t="shared" si="605"/>
        <v/>
      </c>
      <c r="CZ331" s="313" t="e">
        <f>IF($J331="",#N/A,SUM(CY$4:CY331))</f>
        <v>#N/A</v>
      </c>
      <c r="DA331" s="314" t="str">
        <f t="shared" si="606"/>
        <v/>
      </c>
      <c r="DB331" s="314" t="e">
        <f>IF($J331="",#N/A,SUM(DA$4:DA331))</f>
        <v>#N/A</v>
      </c>
      <c r="DC331" s="315" t="str">
        <f t="shared" si="607"/>
        <v/>
      </c>
      <c r="DD331" s="315" t="e">
        <f>IF($J331="",#N/A,SUM(DC$4:DC331))</f>
        <v>#N/A</v>
      </c>
      <c r="DE331" s="315" t="e">
        <f>IF($J331="",#N/A,SUM(DC$4:DC331,DA$4:DA331,CY$4:CY331))</f>
        <v>#N/A</v>
      </c>
      <c r="DF331" s="304" t="str">
        <f t="shared" si="608"/>
        <v/>
      </c>
      <c r="DG331" s="313" t="e">
        <f>IF($J331="",#N/A,SUM(DF$4:DF331))</f>
        <v>#N/A</v>
      </c>
      <c r="DH331" s="314" t="str">
        <f t="shared" si="609"/>
        <v/>
      </c>
      <c r="DI331" s="314" t="e">
        <f>IF($J331="",#N/A,SUM(DH$4:DH331))</f>
        <v>#N/A</v>
      </c>
      <c r="DJ331" s="315" t="str">
        <f t="shared" si="610"/>
        <v/>
      </c>
      <c r="DK331" s="315" t="e">
        <f>IF($J331="",#N/A,SUM(DJ$4:DJ331))</f>
        <v>#N/A</v>
      </c>
      <c r="DL331" s="315" t="e">
        <f>IF($J331="",#N/A,SUM(DJ$4:DJ331,DH$4:DH331,DF$4:DF331))</f>
        <v>#N/A</v>
      </c>
      <c r="DM331" s="304" t="str">
        <f t="shared" si="611"/>
        <v/>
      </c>
      <c r="DN331" s="313" t="e">
        <f>IF($J331="",#N/A,SUM(DM$4:DM331))</f>
        <v>#N/A</v>
      </c>
      <c r="DO331" s="314" t="str">
        <f t="shared" si="612"/>
        <v/>
      </c>
      <c r="DP331" s="314" t="e">
        <f>IF($J331="",#N/A,SUM(DO$4:DO331))</f>
        <v>#N/A</v>
      </c>
      <c r="DQ331" s="315" t="str">
        <f t="shared" si="613"/>
        <v/>
      </c>
      <c r="DR331" s="315" t="e">
        <f>IF($J331="",#N/A,SUM(DQ$4:DQ331))</f>
        <v>#N/A</v>
      </c>
      <c r="DS331" s="315" t="e">
        <f>IF($J331="",#N/A,SUM(DQ$4:DQ331,DO$4:DO331,DM$4:DM331))</f>
        <v>#N/A</v>
      </c>
      <c r="DT331" s="304" t="str">
        <f t="shared" si="614"/>
        <v/>
      </c>
      <c r="DU331" s="313" t="e">
        <f>IF($J331="",#N/A,SUM(DT$4:DT331))</f>
        <v>#N/A</v>
      </c>
      <c r="DV331" s="314" t="str">
        <f t="shared" si="615"/>
        <v/>
      </c>
      <c r="DW331" s="314" t="e">
        <f>IF($J331="",#N/A,SUM(DV$4:DV331))</f>
        <v>#N/A</v>
      </c>
      <c r="DX331" s="315" t="str">
        <f t="shared" si="616"/>
        <v/>
      </c>
      <c r="DY331" s="315" t="e">
        <f>IF($J331="",#N/A,SUM(DX$4:DX331))</f>
        <v>#N/A</v>
      </c>
      <c r="DZ331" s="315" t="e">
        <f>IF($J331="",#N/A,SUM(DX$4:DX331,DV$4:DV331,DT$4:DT331))</f>
        <v>#N/A</v>
      </c>
      <c r="EA331" s="304" t="str">
        <f t="shared" si="617"/>
        <v/>
      </c>
      <c r="EB331" s="313" t="e">
        <f>IF($J331="",#N/A,SUM(EA$4:EA331))</f>
        <v>#N/A</v>
      </c>
      <c r="EC331" s="314" t="str">
        <f t="shared" si="618"/>
        <v/>
      </c>
      <c r="ED331" s="314" t="e">
        <f>IF($J331="",#N/A,SUM(EC$4:EC331))</f>
        <v>#N/A</v>
      </c>
      <c r="EE331" s="315" t="str">
        <f t="shared" si="619"/>
        <v/>
      </c>
      <c r="EF331" s="315" t="e">
        <f>IF($J331="",#N/A,SUM(EE$4:EE331))</f>
        <v>#N/A</v>
      </c>
      <c r="EG331" s="315" t="e">
        <f>IF($J331="",#N/A,SUM(EE$4:EE331,EC$4:EC331,EA$4:EA331))</f>
        <v>#N/A</v>
      </c>
      <c r="EH331" s="130">
        <f t="shared" si="620"/>
        <v>-85.50391450229904</v>
      </c>
      <c r="EI331" s="63">
        <f>IF(EH331="",#N/A,SUM($EH$4:EH331))</f>
        <v>828.17764078297364</v>
      </c>
      <c r="EJ331" s="223" t="e">
        <f t="shared" si="621"/>
        <v>#N/A</v>
      </c>
      <c r="EK331" s="63" t="e">
        <f>IF($GZ331="",#N/A,SUM(EJ$4:EJ331))</f>
        <v>#N/A</v>
      </c>
      <c r="EL331" s="60">
        <f t="shared" si="651"/>
        <v>-0.86367590406362671</v>
      </c>
      <c r="EM331" s="60">
        <f>IF(EL331="",NA(),SUM($EL$4:EL331))</f>
        <v>31.162912239175931</v>
      </c>
      <c r="EN331" s="60" t="str">
        <f t="shared" si="622"/>
        <v/>
      </c>
      <c r="EO331" s="60" t="e">
        <f>IF(EN331="",NA(),SUM($EN$4:EN331))</f>
        <v>#N/A</v>
      </c>
      <c r="EP331" s="60" t="str">
        <f t="shared" si="623"/>
        <v/>
      </c>
      <c r="EQ331" s="60" t="e">
        <f>IF(EP331="",NA(),SUM($EP$4:EP331))</f>
        <v>#N/A</v>
      </c>
      <c r="ER331" s="60">
        <f t="shared" si="624"/>
        <v>-0.86367590406362671</v>
      </c>
      <c r="ES331" s="60">
        <f>IF(ER331="",NA(),SUM($ER$4:ER331))</f>
        <v>12.513820532961907</v>
      </c>
      <c r="ET331" s="60" t="str">
        <f t="shared" si="625"/>
        <v/>
      </c>
      <c r="EU331" s="60" t="e">
        <f>IF(ET331="",NA(),SUM($ET$4:ET331))</f>
        <v>#N/A</v>
      </c>
      <c r="EV331" s="60" t="str">
        <f t="shared" si="626"/>
        <v/>
      </c>
      <c r="EW331" s="60" t="e">
        <f>IF(EV331="",NA(),SUM($EV$4:EV331))</f>
        <v>#N/A</v>
      </c>
      <c r="EX331" s="60" t="str">
        <f t="shared" si="627"/>
        <v/>
      </c>
      <c r="EY331" s="60" t="e">
        <f>IF(EX331="",NA(),SUM($EX$4:EX331))</f>
        <v>#N/A</v>
      </c>
      <c r="EZ331" s="60" t="str">
        <f t="shared" si="628"/>
        <v/>
      </c>
      <c r="FA331" s="60" t="e">
        <f>IF(EZ331="",NA(),SUM($EZ$4:EZ331))</f>
        <v>#N/A</v>
      </c>
      <c r="FB331" s="246" t="str">
        <f t="shared" si="652"/>
        <v/>
      </c>
      <c r="FC331" s="246" t="e">
        <f>IF($FB331="",#N/A,SUM(FB$4:$FB331))</f>
        <v>#N/A</v>
      </c>
      <c r="FD331" s="60">
        <f t="shared" si="629"/>
        <v>-0.8657470693011865</v>
      </c>
      <c r="FE331" s="60">
        <f>IF($FD331="",#N/A,SUM($FD$4:FD331))</f>
        <v>3.5845261911321287</v>
      </c>
      <c r="FF331" s="60" t="str">
        <f t="shared" si="630"/>
        <v/>
      </c>
      <c r="FG331" s="60" t="e">
        <f>IF($FF331="",#N/A,SUM($FF$4:FF331))</f>
        <v>#N/A</v>
      </c>
      <c r="FH331" s="60" t="str">
        <f t="shared" si="631"/>
        <v/>
      </c>
      <c r="FI331" s="60" t="e">
        <f>IF($FH331="",#N/A,SUM($FH$4:FH331))</f>
        <v>#N/A</v>
      </c>
      <c r="FJ331" s="60" t="str">
        <f t="shared" si="632"/>
        <v/>
      </c>
      <c r="FK331" s="60" t="e">
        <f>IF($FJ331="",#N/A,SUM($FJ$4:FJ331))</f>
        <v>#N/A</v>
      </c>
      <c r="FL331" s="60" t="str">
        <f t="shared" si="633"/>
        <v/>
      </c>
      <c r="FM331" s="60" t="e">
        <f>IF($FL331="",#N/A,SUM($FL$4:FL331))</f>
        <v>#N/A</v>
      </c>
      <c r="FN331" s="82">
        <f t="shared" si="634"/>
        <v>-1.7294229733648132</v>
      </c>
      <c r="FO331" s="82">
        <f>IF($FN331="",#N/A,SUM(FN$4:$FN331))</f>
        <v>50.970373648757992</v>
      </c>
      <c r="FP331" s="82">
        <f t="shared" si="653"/>
        <v>-0.86367590406362671</v>
      </c>
      <c r="FQ331" s="246">
        <f>IF($EH331="",#N/A,SUM($FP$4:FP331))</f>
        <v>49.431014576672347</v>
      </c>
      <c r="FR331" s="82">
        <f>IFERROR(FQ331/COUNTA($J$4:J331),#N/A)</f>
        <v>0.15070431273375715</v>
      </c>
      <c r="FS331" s="82">
        <f t="shared" si="554"/>
        <v>-9.4647803251998536E-2</v>
      </c>
      <c r="FT331" s="82">
        <f t="shared" si="555"/>
        <v>-0.27773485630044575</v>
      </c>
      <c r="FU331" s="273"/>
      <c r="FV331" s="57" t="str">
        <f t="shared" si="560"/>
        <v>Dwn</v>
      </c>
      <c r="FW331" s="57" t="s">
        <v>2734</v>
      </c>
      <c r="FX331" s="57" t="str">
        <f t="shared" si="635"/>
        <v/>
      </c>
      <c r="FY331" s="57">
        <f t="shared" si="636"/>
        <v>1</v>
      </c>
      <c r="FZ331" s="57" t="str">
        <f t="shared" si="637"/>
        <v/>
      </c>
      <c r="GA331" s="57" t="str">
        <f t="shared" si="638"/>
        <v>Short</v>
      </c>
      <c r="GB331" s="57" t="str">
        <f t="shared" si="639"/>
        <v/>
      </c>
      <c r="GC331" s="57" t="str">
        <f t="shared" si="640"/>
        <v/>
      </c>
      <c r="GD331" s="57" t="str">
        <f t="shared" si="641"/>
        <v/>
      </c>
      <c r="GE331" s="62">
        <f t="shared" si="557"/>
        <v>80.47</v>
      </c>
      <c r="GF331" s="62" t="s">
        <v>2780</v>
      </c>
      <c r="GG331" s="99">
        <f>IF(I331="","",1650/I331)</f>
        <v>20.504535851870262</v>
      </c>
      <c r="GH331" s="207">
        <f t="shared" si="642"/>
        <v>1650</v>
      </c>
      <c r="GI331" s="99">
        <f>GG331</f>
        <v>20.504535851870262</v>
      </c>
      <c r="GJ331" s="98">
        <f>J331</f>
        <v>84.64</v>
      </c>
      <c r="GK331" s="63">
        <f t="shared" si="643"/>
        <v>-85.50391450229904</v>
      </c>
      <c r="GL331" s="63">
        <f t="shared" si="558"/>
        <v>-171.2128743631165</v>
      </c>
      <c r="GM331" s="82" t="str">
        <f t="shared" si="644"/>
        <v/>
      </c>
      <c r="GN331" s="82">
        <f>IF($GZ331="",#N/A,SUM(GM$4:GM331))</f>
        <v>5.3807322076132582</v>
      </c>
      <c r="GO331" s="82" t="str">
        <f t="shared" si="645"/>
        <v/>
      </c>
      <c r="GP331" s="82">
        <f>IF($GZ331="",#N/A,SUM(GO$4:GO331))</f>
        <v>14.594047508057683</v>
      </c>
      <c r="GQ331" s="82">
        <f t="shared" si="646"/>
        <v>-1.7294229733648132</v>
      </c>
      <c r="GR331" s="82">
        <f>IF($GZ331="",#N/A,SUM(GQ$4:GQ331))</f>
        <v>30.369756978644716</v>
      </c>
      <c r="GS331" s="63" t="str">
        <f t="shared" si="654"/>
        <v/>
      </c>
      <c r="GT331" s="63" t="e">
        <f>IF($GZ331="",#N/A,SUM(GS$4:GS331))</f>
        <v>#N/A</v>
      </c>
      <c r="GU331" s="63" t="str">
        <f t="shared" si="655"/>
        <v/>
      </c>
      <c r="GV331" s="63" t="e">
        <f>IF($GZ331="",#N/A,SUM(GU$4:GU331))</f>
        <v>#N/A</v>
      </c>
      <c r="GW331" s="63" t="e">
        <f t="shared" si="656"/>
        <v>#N/A</v>
      </c>
      <c r="GX331" s="63" t="e">
        <f>IF($GZ331="",#N/A,SUM(GW$4:GW331))</f>
        <v>#N/A</v>
      </c>
      <c r="GY331" s="63" t="e">
        <f>IF(EJ331="",#N/A,SUM($EJ$4:EJ331))</f>
        <v>#N/A</v>
      </c>
      <c r="GZ331" s="159">
        <v>88.82</v>
      </c>
      <c r="HA331" s="63">
        <f t="shared" si="647"/>
        <v>-85.708959860817458</v>
      </c>
      <c r="HB331" s="62" t="s">
        <v>4970</v>
      </c>
      <c r="HC331" s="60">
        <f>IFERROR(VLOOKUP(E331,Expectancy!$P$4:$S$19,1+C331,FALSE),"")</f>
        <v>-9.4786290791818092E-2</v>
      </c>
      <c r="HD331" s="99" t="str">
        <f t="shared" si="648"/>
        <v/>
      </c>
      <c r="HE331" s="500" t="e">
        <f>IF(HD331="",#N/A,SUM($HD$4:HD331))</f>
        <v>#N/A</v>
      </c>
      <c r="HF331" s="501" t="e">
        <f>IF(HD331="",#N/A,IF(HB331="Skip",#N/A,SUM($HG$4:HG331)))</f>
        <v>#N/A</v>
      </c>
      <c r="HG331" s="502" t="str">
        <f t="shared" si="649"/>
        <v/>
      </c>
      <c r="HH331" s="82">
        <f t="shared" si="650"/>
        <v>-1.7294229733648132</v>
      </c>
    </row>
    <row r="332" spans="1:216" x14ac:dyDescent="0.25">
      <c r="A332" s="57" t="s">
        <v>1107</v>
      </c>
      <c r="B332" s="58" t="s">
        <v>5241</v>
      </c>
      <c r="C332" s="386">
        <f t="shared" si="561"/>
        <v>3</v>
      </c>
      <c r="D332" s="372" t="str">
        <f>_xlfn.XLOOKUP(A332,[1]SP500!$A$2:$A$502,[1]SP500!$D$2:$D$502,"N")</f>
        <v>Y</v>
      </c>
      <c r="E332" s="57" t="str">
        <f>_xlfn.XLOOKUP(A332,[1]SP500!$A$2:$A$655,[1]SP500!$B$2:$B$655)</f>
        <v>IGV</v>
      </c>
      <c r="F332" s="59">
        <v>45701</v>
      </c>
      <c r="G332" s="57" t="str">
        <f t="shared" si="562"/>
        <v>AMC</v>
      </c>
      <c r="H332" s="57" t="str">
        <f t="shared" si="563"/>
        <v>s</v>
      </c>
      <c r="I332" s="159">
        <v>201.88</v>
      </c>
      <c r="J332" s="158">
        <v>192</v>
      </c>
      <c r="K332" s="61">
        <f t="shared" si="564"/>
        <v>-4.8939964335248644E-2</v>
      </c>
      <c r="L332" s="87">
        <f t="shared" si="565"/>
        <v>-88.920000000000073</v>
      </c>
      <c r="M332" s="130">
        <f t="shared" si="556"/>
        <v>-0.89999999999986358</v>
      </c>
      <c r="N332" s="169" t="str">
        <f t="shared" si="566"/>
        <v/>
      </c>
      <c r="O332" s="169">
        <f>IF($J332="",#N/A,SUM($N$4:N332))</f>
        <v>540.40671935422461</v>
      </c>
      <c r="P332" s="174" t="str">
        <f t="shared" si="567"/>
        <v/>
      </c>
      <c r="Q332" s="174">
        <f>IF($J332="",#N/A,SUM($P$4:P332))</f>
        <v>220.3649922450428</v>
      </c>
      <c r="R332" s="178">
        <f t="shared" si="568"/>
        <v>-88.920000000000073</v>
      </c>
      <c r="S332" s="178">
        <f>IF($J332="",#N/A,SUM($R$4:R332))</f>
        <v>-21.514070816293952</v>
      </c>
      <c r="T332" s="290" t="str">
        <f t="shared" si="569"/>
        <v/>
      </c>
      <c r="U332" s="290">
        <f>IF($J332="",#N/A,SUM($T$4:T332))</f>
        <v>19.19648137254174</v>
      </c>
      <c r="V332" s="291" t="str">
        <f t="shared" si="570"/>
        <v/>
      </c>
      <c r="W332" s="291">
        <f>IF($J332="",#N/A,SUM($V$4:V332))</f>
        <v>21.834423057461787</v>
      </c>
      <c r="X332" s="292">
        <f t="shared" si="571"/>
        <v>-0.815666072254145</v>
      </c>
      <c r="Y332" s="292">
        <f>IF($J332="",#N/A,SUM($X$4:X332))</f>
        <v>7.5844440744146864</v>
      </c>
      <c r="Z332" s="304" t="str">
        <f t="shared" si="572"/>
        <v/>
      </c>
      <c r="AA332" s="313" t="e">
        <f>IF($J332="",#N/A,SUM(Z$4:Z332))</f>
        <v>#N/A</v>
      </c>
      <c r="AB332" s="314" t="str">
        <f t="shared" si="573"/>
        <v/>
      </c>
      <c r="AC332" s="314" t="e">
        <f>IF($J332="",#N/A,SUM(AB$4:AB332))</f>
        <v>#N/A</v>
      </c>
      <c r="AD332" s="315" t="str">
        <f t="shared" si="574"/>
        <v/>
      </c>
      <c r="AE332" s="315" t="e">
        <f>IF($J332="",#N/A,SUM(AD$4:AD332))</f>
        <v>#N/A</v>
      </c>
      <c r="AF332" s="315" t="e">
        <f>IF($J332="",#N/A,SUM(AD$4:AD332,AB$4:AB332,Z$4:Z332))</f>
        <v>#N/A</v>
      </c>
      <c r="AG332" s="304" t="str">
        <f t="shared" si="575"/>
        <v/>
      </c>
      <c r="AH332" s="313" t="e">
        <f>IF($J332="",#N/A,SUM(AG$4:AG332))</f>
        <v>#N/A</v>
      </c>
      <c r="AI332" s="314" t="str">
        <f t="shared" si="576"/>
        <v/>
      </c>
      <c r="AJ332" s="314" t="e">
        <f>IF($J332="",#N/A,SUM(AI$4:AI332))</f>
        <v>#N/A</v>
      </c>
      <c r="AK332" s="315">
        <f t="shared" si="577"/>
        <v>-0.815666072254145</v>
      </c>
      <c r="AL332" s="315" t="e">
        <f>IF($J332="",#N/A,SUM(AK$4:AK332))</f>
        <v>#N/A</v>
      </c>
      <c r="AM332" s="315" t="e">
        <f>IF($J332="",#N/A,SUM(AK$4:AK332,AI$4:AI332,AG$4:AG332))</f>
        <v>#N/A</v>
      </c>
      <c r="AN332" s="304" t="str">
        <f t="shared" si="578"/>
        <v/>
      </c>
      <c r="AO332" s="313" t="e">
        <f>IF($J332="",#N/A,SUM(AN$4:AN332))</f>
        <v>#N/A</v>
      </c>
      <c r="AP332" s="314" t="str">
        <f t="shared" si="579"/>
        <v/>
      </c>
      <c r="AQ332" s="314" t="e">
        <f>IF($J332="",#N/A,SUM(AP$4:AP332))</f>
        <v>#N/A</v>
      </c>
      <c r="AR332" s="315" t="str">
        <f t="shared" si="580"/>
        <v/>
      </c>
      <c r="AS332" s="315" t="e">
        <f>IF($J332="",#N/A,SUM(AR$4:AR332))</f>
        <v>#N/A</v>
      </c>
      <c r="AT332" s="315" t="e">
        <f>IF($J332="",#N/A,SUM(AR$4:AR332,AP$4:AP332,AN$4:AN332))</f>
        <v>#N/A</v>
      </c>
      <c r="AU332" s="304" t="str">
        <f t="shared" si="581"/>
        <v/>
      </c>
      <c r="AV332" s="313" t="e">
        <f>IF($J332="",#N/A,SUM(AU$4:AU332))</f>
        <v>#N/A</v>
      </c>
      <c r="AW332" s="314" t="str">
        <f t="shared" si="582"/>
        <v/>
      </c>
      <c r="AX332" s="314" t="e">
        <f>IF($J332="",#N/A,SUM(AW$4:AW332))</f>
        <v>#N/A</v>
      </c>
      <c r="AY332" s="315" t="str">
        <f t="shared" si="583"/>
        <v/>
      </c>
      <c r="AZ332" s="315" t="e">
        <f>IF($J332="",#N/A,SUM(AY$4:AY332))</f>
        <v>#N/A</v>
      </c>
      <c r="BA332" s="315" t="e">
        <f>IF($J332="",#N/A,SUM(AY$4:AY332,AW$4:AW332,AU$4:AU332))</f>
        <v>#N/A</v>
      </c>
      <c r="BB332" s="304" t="str">
        <f t="shared" si="584"/>
        <v/>
      </c>
      <c r="BC332" s="313" t="e">
        <f>IF($J332="",#N/A,SUM(BB$4:BB332))</f>
        <v>#N/A</v>
      </c>
      <c r="BD332" s="314" t="str">
        <f t="shared" si="585"/>
        <v/>
      </c>
      <c r="BE332" s="314" t="e">
        <f>IF($J332="",#N/A,SUM(BD$4:BD332))</f>
        <v>#N/A</v>
      </c>
      <c r="BF332" s="315" t="str">
        <f t="shared" si="586"/>
        <v/>
      </c>
      <c r="BG332" s="315" t="e">
        <f>IF($J332="",#N/A,SUM(BF$4:BF332))</f>
        <v>#N/A</v>
      </c>
      <c r="BH332" s="315" t="e">
        <f>IF($J332="",#N/A,SUM(BF$4:BF332,BD$4:BD332,BB$4:BB332))</f>
        <v>#N/A</v>
      </c>
      <c r="BI332" s="304" t="str">
        <f t="shared" si="587"/>
        <v/>
      </c>
      <c r="BJ332" s="313" t="e">
        <f>IF($J332="",#N/A,SUM(BI$4:BI332))</f>
        <v>#N/A</v>
      </c>
      <c r="BK332" s="314" t="str">
        <f t="shared" si="588"/>
        <v/>
      </c>
      <c r="BL332" s="314" t="e">
        <f>IF($J332="",#N/A,SUM(BK$4:BK332))</f>
        <v>#N/A</v>
      </c>
      <c r="BM332" s="315" t="str">
        <f t="shared" si="589"/>
        <v/>
      </c>
      <c r="BN332" s="315" t="e">
        <f>IF($J332="",#N/A,SUM(BM$4:BM332))</f>
        <v>#N/A</v>
      </c>
      <c r="BO332" s="315" t="e">
        <f>IF($J332="",#N/A,SUM(BM$4:BM332,BK$4:BK332,BI$4:BI332))</f>
        <v>#N/A</v>
      </c>
      <c r="BP332" s="304" t="str">
        <f t="shared" si="590"/>
        <v/>
      </c>
      <c r="BQ332" s="313" t="e">
        <f>IF($J332="",#N/A,SUM(BP$4:BP332))</f>
        <v>#N/A</v>
      </c>
      <c r="BR332" s="314" t="str">
        <f t="shared" si="591"/>
        <v/>
      </c>
      <c r="BS332" s="314" t="e">
        <f>IF($J332="",#N/A,SUM(BR$4:BR332))</f>
        <v>#N/A</v>
      </c>
      <c r="BT332" s="315" t="str">
        <f t="shared" si="592"/>
        <v/>
      </c>
      <c r="BU332" s="315" t="e">
        <f>IF($J332="",#N/A,SUM(BT$4:BT332))</f>
        <v>#N/A</v>
      </c>
      <c r="BV332" s="315" t="e">
        <f>IF($J332="",#N/A,SUM(BT$4:BT332,BR$4:BR332,BP$4:BP332))</f>
        <v>#N/A</v>
      </c>
      <c r="BW332" s="304" t="str">
        <f t="shared" si="593"/>
        <v/>
      </c>
      <c r="BX332" s="313" t="e">
        <f>IF($J332="",#N/A,SUM(BW$4:BW332))</f>
        <v>#N/A</v>
      </c>
      <c r="BY332" s="314" t="str">
        <f t="shared" si="594"/>
        <v/>
      </c>
      <c r="BZ332" s="314" t="e">
        <f>IF($J332="",#N/A,SUM(BY$4:BY332))</f>
        <v>#N/A</v>
      </c>
      <c r="CA332" s="315" t="str">
        <f t="shared" si="595"/>
        <v/>
      </c>
      <c r="CB332" s="315" t="e">
        <f>IF($J332="",#N/A,SUM(CA$4:CA332))</f>
        <v>#N/A</v>
      </c>
      <c r="CC332" s="315" t="e">
        <f>IF($J332="",#N/A,SUM(CA$4:CA332,BY$4:BY332,BW$4:BW332))</f>
        <v>#N/A</v>
      </c>
      <c r="CD332" s="304" t="str">
        <f t="shared" si="596"/>
        <v/>
      </c>
      <c r="CE332" s="313" t="e">
        <f>IF($J332="",#N/A,SUM(CD$4:CD332))</f>
        <v>#N/A</v>
      </c>
      <c r="CF332" s="314" t="str">
        <f t="shared" si="597"/>
        <v/>
      </c>
      <c r="CG332" s="314" t="e">
        <f>IF($J332="",#N/A,SUM(CF$4:CF332))</f>
        <v>#N/A</v>
      </c>
      <c r="CH332" s="315" t="str">
        <f t="shared" si="598"/>
        <v/>
      </c>
      <c r="CI332" s="315" t="e">
        <f>IF($J332="",#N/A,SUM(CH$4:CH332))</f>
        <v>#N/A</v>
      </c>
      <c r="CJ332" s="315" t="e">
        <f>IF($J332="",#N/A,SUM(CH$4:CH332,CF$4:CF332,CD$4:CD332))</f>
        <v>#N/A</v>
      </c>
      <c r="CK332" s="304" t="str">
        <f t="shared" si="599"/>
        <v/>
      </c>
      <c r="CL332" s="313" t="e">
        <f>IF($J332="",#N/A,SUM(CK$4:CK332))</f>
        <v>#N/A</v>
      </c>
      <c r="CM332" s="314" t="str">
        <f t="shared" si="600"/>
        <v/>
      </c>
      <c r="CN332" s="314" t="e">
        <f>IF($J332="",#N/A,SUM(CM$4:CM332))</f>
        <v>#N/A</v>
      </c>
      <c r="CO332" s="315" t="str">
        <f t="shared" si="601"/>
        <v/>
      </c>
      <c r="CP332" s="315" t="e">
        <f>IF($J332="",#N/A,SUM(CO$4:CO332))</f>
        <v>#N/A</v>
      </c>
      <c r="CQ332" s="315" t="e">
        <f>IF($J332="",#N/A,SUM(CO$4:CO332,CM$4:CM332,CK$4:CK332))</f>
        <v>#N/A</v>
      </c>
      <c r="CR332" s="304" t="str">
        <f t="shared" si="602"/>
        <v/>
      </c>
      <c r="CS332" s="313" t="e">
        <f>IF($J332="",#N/A,SUM(CR$4:CR332))</f>
        <v>#N/A</v>
      </c>
      <c r="CT332" s="314" t="str">
        <f t="shared" si="603"/>
        <v/>
      </c>
      <c r="CU332" s="314" t="e">
        <f>IF($J332="",#N/A,SUM(CT$4:CT332))</f>
        <v>#N/A</v>
      </c>
      <c r="CV332" s="315" t="str">
        <f t="shared" si="604"/>
        <v/>
      </c>
      <c r="CW332" s="315" t="e">
        <f>IF($J332="",#N/A,SUM(CV$4:CV332))</f>
        <v>#N/A</v>
      </c>
      <c r="CX332" s="315" t="e">
        <f>IF($J332="",#N/A,SUM(CV$4:CV332,CT$4:CT332,CR$4:CR332))</f>
        <v>#N/A</v>
      </c>
      <c r="CY332" s="304" t="str">
        <f t="shared" si="605"/>
        <v/>
      </c>
      <c r="CZ332" s="313" t="e">
        <f>IF($J332="",#N/A,SUM(CY$4:CY332))</f>
        <v>#N/A</v>
      </c>
      <c r="DA332" s="314" t="str">
        <f t="shared" si="606"/>
        <v/>
      </c>
      <c r="DB332" s="314" t="e">
        <f>IF($J332="",#N/A,SUM(DA$4:DA332))</f>
        <v>#N/A</v>
      </c>
      <c r="DC332" s="315" t="str">
        <f t="shared" si="607"/>
        <v/>
      </c>
      <c r="DD332" s="315" t="e">
        <f>IF($J332="",#N/A,SUM(DC$4:DC332))</f>
        <v>#N/A</v>
      </c>
      <c r="DE332" s="315" t="e">
        <f>IF($J332="",#N/A,SUM(DC$4:DC332,DA$4:DA332,CY$4:CY332))</f>
        <v>#N/A</v>
      </c>
      <c r="DF332" s="304" t="str">
        <f t="shared" si="608"/>
        <v/>
      </c>
      <c r="DG332" s="313" t="e">
        <f>IF($J332="",#N/A,SUM(DF$4:DF332))</f>
        <v>#N/A</v>
      </c>
      <c r="DH332" s="314" t="str">
        <f t="shared" si="609"/>
        <v/>
      </c>
      <c r="DI332" s="314" t="e">
        <f>IF($J332="",#N/A,SUM(DH$4:DH332))</f>
        <v>#N/A</v>
      </c>
      <c r="DJ332" s="315" t="str">
        <f t="shared" si="610"/>
        <v/>
      </c>
      <c r="DK332" s="315" t="e">
        <f>IF($J332="",#N/A,SUM(DJ$4:DJ332))</f>
        <v>#N/A</v>
      </c>
      <c r="DL332" s="315" t="e">
        <f>IF($J332="",#N/A,SUM(DJ$4:DJ332,DH$4:DH332,DF$4:DF332))</f>
        <v>#N/A</v>
      </c>
      <c r="DM332" s="304" t="str">
        <f t="shared" si="611"/>
        <v/>
      </c>
      <c r="DN332" s="313" t="e">
        <f>IF($J332="",#N/A,SUM(DM$4:DM332))</f>
        <v>#N/A</v>
      </c>
      <c r="DO332" s="314" t="str">
        <f t="shared" si="612"/>
        <v/>
      </c>
      <c r="DP332" s="314" t="e">
        <f>IF($J332="",#N/A,SUM(DO$4:DO332))</f>
        <v>#N/A</v>
      </c>
      <c r="DQ332" s="315" t="str">
        <f t="shared" si="613"/>
        <v/>
      </c>
      <c r="DR332" s="315" t="e">
        <f>IF($J332="",#N/A,SUM(DQ$4:DQ332))</f>
        <v>#N/A</v>
      </c>
      <c r="DS332" s="315" t="e">
        <f>IF($J332="",#N/A,SUM(DQ$4:DQ332,DO$4:DO332,DM$4:DM332))</f>
        <v>#N/A</v>
      </c>
      <c r="DT332" s="304" t="str">
        <f t="shared" si="614"/>
        <v/>
      </c>
      <c r="DU332" s="313" t="e">
        <f>IF($J332="",#N/A,SUM(DT$4:DT332))</f>
        <v>#N/A</v>
      </c>
      <c r="DV332" s="314" t="str">
        <f t="shared" si="615"/>
        <v/>
      </c>
      <c r="DW332" s="314" t="e">
        <f>IF($J332="",#N/A,SUM(DV$4:DV332))</f>
        <v>#N/A</v>
      </c>
      <c r="DX332" s="315" t="str">
        <f t="shared" si="616"/>
        <v/>
      </c>
      <c r="DY332" s="315" t="e">
        <f>IF($J332="",#N/A,SUM(DX$4:DX332))</f>
        <v>#N/A</v>
      </c>
      <c r="DZ332" s="315" t="e">
        <f>IF($J332="",#N/A,SUM(DX$4:DX332,DV$4:DV332,DT$4:DT332))</f>
        <v>#N/A</v>
      </c>
      <c r="EA332" s="304" t="str">
        <f t="shared" si="617"/>
        <v/>
      </c>
      <c r="EB332" s="313" t="e">
        <f>IF($J332="",#N/A,SUM(EA$4:EA332))</f>
        <v>#N/A</v>
      </c>
      <c r="EC332" s="314" t="str">
        <f t="shared" si="618"/>
        <v/>
      </c>
      <c r="ED332" s="314" t="e">
        <f>IF($J332="",#N/A,SUM(EC$4:EC332))</f>
        <v>#N/A</v>
      </c>
      <c r="EE332" s="315" t="str">
        <f t="shared" si="619"/>
        <v/>
      </c>
      <c r="EF332" s="315" t="e">
        <f>IF($J332="",#N/A,SUM(EE$4:EE332))</f>
        <v>#N/A</v>
      </c>
      <c r="EG332" s="315" t="e">
        <f>IF($J332="",#N/A,SUM(EE$4:EE332,EC$4:EC332,EA$4:EA332))</f>
        <v>#N/A</v>
      </c>
      <c r="EH332" s="130">
        <f t="shared" si="620"/>
        <v>-88.920000000000073</v>
      </c>
      <c r="EI332" s="63">
        <f>IF(EH332="",#N/A,SUM($EH$4:EH332))</f>
        <v>739.25764078297357</v>
      </c>
      <c r="EJ332" s="223" t="e">
        <f t="shared" si="621"/>
        <v>#N/A</v>
      </c>
      <c r="EK332" s="63" t="e">
        <f>IF($GZ332="",#N/A,SUM(EJ$4:EJ332))</f>
        <v>#N/A</v>
      </c>
      <c r="EL332" s="60">
        <f t="shared" si="651"/>
        <v>-0.815666072254145</v>
      </c>
      <c r="EM332" s="60">
        <f>IF(EL332="",NA(),SUM($EL$4:EL332))</f>
        <v>30.347246166921785</v>
      </c>
      <c r="EN332" s="60" t="str">
        <f t="shared" si="622"/>
        <v/>
      </c>
      <c r="EO332" s="60" t="e">
        <f>IF(EN332="",NA(),SUM($EN$4:EN332))</f>
        <v>#N/A</v>
      </c>
      <c r="EP332" s="60">
        <f t="shared" si="623"/>
        <v>-0.815666072254145</v>
      </c>
      <c r="EQ332" s="60">
        <f>IF(EP332="",NA(),SUM($EP$4:EP332))</f>
        <v>6.649299907681602</v>
      </c>
      <c r="ER332" s="60" t="str">
        <f t="shared" si="624"/>
        <v/>
      </c>
      <c r="ES332" s="60" t="e">
        <f>IF(ER332="",NA(),SUM($ER$4:ER332))</f>
        <v>#N/A</v>
      </c>
      <c r="ET332" s="60" t="str">
        <f t="shared" si="625"/>
        <v/>
      </c>
      <c r="EU332" s="60" t="e">
        <f>IF(ET332="",NA(),SUM($ET$4:ET332))</f>
        <v>#N/A</v>
      </c>
      <c r="EV332" s="60" t="str">
        <f t="shared" si="626"/>
        <v/>
      </c>
      <c r="EW332" s="60" t="e">
        <f>IF(EV332="",NA(),SUM($EV$4:EV332))</f>
        <v>#N/A</v>
      </c>
      <c r="EX332" s="60" t="str">
        <f t="shared" si="627"/>
        <v/>
      </c>
      <c r="EY332" s="60" t="e">
        <f>IF(EX332="",NA(),SUM($EX$4:EX332))</f>
        <v>#N/A</v>
      </c>
      <c r="EZ332" s="60" t="str">
        <f t="shared" si="628"/>
        <v/>
      </c>
      <c r="FA332" s="60" t="e">
        <f>IF(EZ332="",NA(),SUM($EZ$4:EZ332))</f>
        <v>#N/A</v>
      </c>
      <c r="FB332" s="246" t="str">
        <f t="shared" si="652"/>
        <v/>
      </c>
      <c r="FC332" s="246" t="e">
        <f>IF($FB332="",#N/A,SUM(FB$4:$FB332))</f>
        <v>#N/A</v>
      </c>
      <c r="FD332" s="60" t="str">
        <f t="shared" si="629"/>
        <v/>
      </c>
      <c r="FE332" s="60" t="e">
        <f>IF($FD332="",#N/A,SUM($FD$4:FD332))</f>
        <v>#N/A</v>
      </c>
      <c r="FF332" s="60" t="str">
        <f t="shared" si="630"/>
        <v/>
      </c>
      <c r="FG332" s="60" t="e">
        <f>IF($FF332="",#N/A,SUM($FF$4:FF332))</f>
        <v>#N/A</v>
      </c>
      <c r="FH332" s="60" t="str">
        <f t="shared" si="631"/>
        <v/>
      </c>
      <c r="FI332" s="60" t="e">
        <f>IF($FH332="",#N/A,SUM($FH$4:FH332))</f>
        <v>#N/A</v>
      </c>
      <c r="FJ332" s="60" t="str">
        <f t="shared" si="632"/>
        <v/>
      </c>
      <c r="FK332" s="60" t="e">
        <f>IF($FJ332="",#N/A,SUM($FJ$4:FJ332))</f>
        <v>#N/A</v>
      </c>
      <c r="FL332" s="60">
        <f t="shared" si="633"/>
        <v>0.66293507694339848</v>
      </c>
      <c r="FM332" s="60">
        <f>IF($FL332="",#N/A,SUM($FL$4:FL332))</f>
        <v>-1.1568818760939159</v>
      </c>
      <c r="FN332" s="82">
        <f t="shared" si="634"/>
        <v>-0.15273099531074649</v>
      </c>
      <c r="FO332" s="82">
        <f>IF($FN332="",#N/A,SUM(FN$4:$FN332))</f>
        <v>50.817642653447244</v>
      </c>
      <c r="FP332" s="82">
        <f t="shared" si="653"/>
        <v>-0.815666072254145</v>
      </c>
      <c r="FQ332" s="246">
        <f>IF($EH332="",#N/A,SUM($FP$4:FP332))</f>
        <v>48.615348504418201</v>
      </c>
      <c r="FR332" s="82">
        <f>IFERROR(FQ332/COUNTA($J$4:J332),#N/A)</f>
        <v>0.1477670167307544</v>
      </c>
      <c r="FS332" s="82">
        <f t="shared" si="554"/>
        <v>-0.14016879052343484</v>
      </c>
      <c r="FT332" s="82">
        <f t="shared" si="555"/>
        <v>-0.31661565754057819</v>
      </c>
      <c r="FU332" s="338">
        <f t="shared" ref="FU332:FU348" si="657">IF(AND(HB332="MOC",GZ332=""),#N/A,IFERROR(FQ332-HE332,FQ332-0))-14.53</f>
        <v>26.64324821275379</v>
      </c>
      <c r="FV332" s="57" t="str">
        <f t="shared" si="560"/>
        <v>SW</v>
      </c>
      <c r="FW332" s="57" t="s">
        <v>2732</v>
      </c>
      <c r="FX332" s="57" t="str">
        <f t="shared" si="635"/>
        <v/>
      </c>
      <c r="FY332" s="57" t="str">
        <f t="shared" si="636"/>
        <v/>
      </c>
      <c r="FZ332" s="57" t="str">
        <f t="shared" si="637"/>
        <v/>
      </c>
      <c r="GA332" s="57" t="str">
        <f t="shared" si="638"/>
        <v>Long</v>
      </c>
      <c r="GB332" s="57" t="str">
        <f t="shared" si="639"/>
        <v/>
      </c>
      <c r="GC332" s="57" t="str">
        <f t="shared" si="640"/>
        <v/>
      </c>
      <c r="GD332" s="57">
        <f t="shared" si="641"/>
        <v>1</v>
      </c>
      <c r="GE332" s="62">
        <f t="shared" si="557"/>
        <v>201.88</v>
      </c>
      <c r="GF332" s="62" t="s">
        <v>2779</v>
      </c>
      <c r="GG332" s="199">
        <v>9</v>
      </c>
      <c r="GH332" s="207">
        <f t="shared" si="642"/>
        <v>1816.92</v>
      </c>
      <c r="GI332" s="199">
        <v>9</v>
      </c>
      <c r="GJ332" s="200">
        <v>191.9</v>
      </c>
      <c r="GK332" s="63">
        <f t="shared" si="643"/>
        <v>-89.819999999999936</v>
      </c>
      <c r="GL332" s="63">
        <f t="shared" si="558"/>
        <v>-16.650000000000091</v>
      </c>
      <c r="GM332" s="82">
        <f t="shared" si="644"/>
        <v>-0.15273099531074649</v>
      </c>
      <c r="GN332" s="82">
        <f>IF($GZ332="",#N/A,SUM(GM$4:GM332))</f>
        <v>5.2280012123025115</v>
      </c>
      <c r="GO332" s="82" t="str">
        <f t="shared" si="645"/>
        <v/>
      </c>
      <c r="GP332" s="82">
        <f>IF($GZ332="",#N/A,SUM(GO$4:GO332))</f>
        <v>14.594047508057683</v>
      </c>
      <c r="GQ332" s="82" t="str">
        <f t="shared" si="646"/>
        <v/>
      </c>
      <c r="GR332" s="82">
        <f>IF($GZ332="",#N/A,SUM(GQ$4:GQ332))</f>
        <v>30.369756978644716</v>
      </c>
      <c r="GS332" s="63" t="e">
        <f t="shared" si="654"/>
        <v>#N/A</v>
      </c>
      <c r="GT332" s="63" t="e">
        <f>IF($GZ332="",#N/A,SUM(GS$4:GS332))</f>
        <v>#N/A</v>
      </c>
      <c r="GU332" s="63" t="str">
        <f t="shared" si="655"/>
        <v/>
      </c>
      <c r="GV332" s="63" t="e">
        <f>IF($GZ332="",#N/A,SUM(GU$4:GU332))</f>
        <v>#N/A</v>
      </c>
      <c r="GW332" s="63" t="str">
        <f t="shared" si="656"/>
        <v/>
      </c>
      <c r="GX332" s="63" t="e">
        <f>IF($GZ332="",#N/A,SUM(GW$4:GW332))</f>
        <v>#N/A</v>
      </c>
      <c r="GY332" s="63" t="e">
        <f>IF(EJ332="",#N/A,SUM($EJ$4:EJ332))</f>
        <v>#N/A</v>
      </c>
      <c r="GZ332" s="159">
        <v>200.03</v>
      </c>
      <c r="HA332" s="63">
        <f t="shared" si="647"/>
        <v>72.269999999999982</v>
      </c>
      <c r="HB332" s="62" t="s">
        <v>2538</v>
      </c>
      <c r="HC332" s="60">
        <f>IFERROR(VLOOKUP(E332,Expectancy!$P$4:$S$19,1+C332,FALSE),"")</f>
        <v>0.27741610538114203</v>
      </c>
      <c r="HD332" s="82">
        <f t="shared" si="648"/>
        <v>-0.8239218017304003</v>
      </c>
      <c r="HE332" s="138">
        <f>IF(HD332="",#N/A,SUM($HD$4:HD332))</f>
        <v>7.442100291664409</v>
      </c>
      <c r="HF332" s="85">
        <f>IF(HD332="",#N/A,IF(HB332="Skip",#N/A,SUM($HG$4:HG332)))</f>
        <v>22.106579219155037</v>
      </c>
      <c r="HG332" s="63">
        <f t="shared" si="649"/>
        <v>-89.819999999999936</v>
      </c>
      <c r="HH332" s="82">
        <f t="shared" si="650"/>
        <v>-0.15273099531074649</v>
      </c>
    </row>
    <row r="333" spans="1:216" x14ac:dyDescent="0.25">
      <c r="A333" s="57" t="s">
        <v>3035</v>
      </c>
      <c r="B333" s="58" t="s">
        <v>5241</v>
      </c>
      <c r="C333" s="386">
        <f t="shared" si="561"/>
        <v>3</v>
      </c>
      <c r="D333" s="372" t="str">
        <f>_xlfn.XLOOKUP(A333,[1]SP500!$A$2:$A$502,[1]SP500!$D$2:$D$502,"N")</f>
        <v>N</v>
      </c>
      <c r="E333" s="57" t="str">
        <f>_xlfn.XLOOKUP(A333,[1]SP500!$A$2:$A$655,[1]SP500!$B$2:$B$655)</f>
        <v>IGV</v>
      </c>
      <c r="F333" s="59">
        <v>45701</v>
      </c>
      <c r="G333" s="57" t="str">
        <f t="shared" si="562"/>
        <v>AMC</v>
      </c>
      <c r="H333" s="57" t="str">
        <f t="shared" si="563"/>
        <v>s</v>
      </c>
      <c r="I333" s="159">
        <v>75.099999999999994</v>
      </c>
      <c r="J333" s="159">
        <v>81.05</v>
      </c>
      <c r="K333" s="61">
        <f t="shared" si="564"/>
        <v>7.9227696404793657E-2</v>
      </c>
      <c r="L333" s="87">
        <f t="shared" si="565"/>
        <v>130.90000000000009</v>
      </c>
      <c r="M333" s="130">
        <f t="shared" si="556"/>
        <v>42.900000000000091</v>
      </c>
      <c r="N333" s="169" t="str">
        <f t="shared" si="566"/>
        <v/>
      </c>
      <c r="O333" s="169">
        <f>IF($J333="",#N/A,SUM($N$4:N333))</f>
        <v>540.40671935422461</v>
      </c>
      <c r="P333" s="174" t="str">
        <f t="shared" si="567"/>
        <v/>
      </c>
      <c r="Q333" s="174">
        <f>IF($J333="",#N/A,SUM($P$4:P333))</f>
        <v>220.3649922450428</v>
      </c>
      <c r="R333" s="178">
        <f t="shared" si="568"/>
        <v>130.90000000000009</v>
      </c>
      <c r="S333" s="178">
        <f>IF($J333="",#N/A,SUM($R$4:R333))</f>
        <v>109.38592918370614</v>
      </c>
      <c r="T333" s="290" t="str">
        <f t="shared" si="569"/>
        <v/>
      </c>
      <c r="U333" s="290">
        <f>IF($J333="",#N/A,SUM($T$4:T333))</f>
        <v>19.19648137254174</v>
      </c>
      <c r="V333" s="291" t="str">
        <f t="shared" si="570"/>
        <v/>
      </c>
      <c r="W333" s="291">
        <f>IF($J333="",#N/A,SUM($V$4:V333))</f>
        <v>21.834423057461787</v>
      </c>
      <c r="X333" s="292">
        <f t="shared" si="571"/>
        <v>1.3204616067465611</v>
      </c>
      <c r="Y333" s="292">
        <f>IF($J333="",#N/A,SUM($X$4:X333))</f>
        <v>8.9049056811612477</v>
      </c>
      <c r="Z333" s="304" t="str">
        <f t="shared" si="572"/>
        <v/>
      </c>
      <c r="AA333" s="313" t="e">
        <f>IF($J333="",#N/A,SUM(Z$4:Z333))</f>
        <v>#N/A</v>
      </c>
      <c r="AB333" s="314" t="str">
        <f t="shared" si="573"/>
        <v/>
      </c>
      <c r="AC333" s="314" t="e">
        <f>IF($J333="",#N/A,SUM(AB$4:AB333))</f>
        <v>#N/A</v>
      </c>
      <c r="AD333" s="315" t="str">
        <f t="shared" si="574"/>
        <v/>
      </c>
      <c r="AE333" s="315" t="e">
        <f>IF($J333="",#N/A,SUM(AD$4:AD333))</f>
        <v>#N/A</v>
      </c>
      <c r="AF333" s="315" t="e">
        <f>IF($J333="",#N/A,SUM(AD$4:AD333,AB$4:AB333,Z$4:Z333))</f>
        <v>#N/A</v>
      </c>
      <c r="AG333" s="304" t="str">
        <f t="shared" si="575"/>
        <v/>
      </c>
      <c r="AH333" s="313" t="e">
        <f>IF($J333="",#N/A,SUM(AG$4:AG333))</f>
        <v>#N/A</v>
      </c>
      <c r="AI333" s="314" t="str">
        <f t="shared" si="576"/>
        <v/>
      </c>
      <c r="AJ333" s="314" t="e">
        <f>IF($J333="",#N/A,SUM(AI$4:AI333))</f>
        <v>#N/A</v>
      </c>
      <c r="AK333" s="315">
        <f t="shared" si="577"/>
        <v>1.3204616067465611</v>
      </c>
      <c r="AL333" s="315" t="e">
        <f>IF($J333="",#N/A,SUM(AK$4:AK333))</f>
        <v>#N/A</v>
      </c>
      <c r="AM333" s="315" t="e">
        <f>IF($J333="",#N/A,SUM(AK$4:AK333,AI$4:AI333,AG$4:AG333))</f>
        <v>#N/A</v>
      </c>
      <c r="AN333" s="304" t="str">
        <f t="shared" si="578"/>
        <v/>
      </c>
      <c r="AO333" s="313" t="e">
        <f>IF($J333="",#N/A,SUM(AN$4:AN333))</f>
        <v>#N/A</v>
      </c>
      <c r="AP333" s="314" t="str">
        <f t="shared" si="579"/>
        <v/>
      </c>
      <c r="AQ333" s="314" t="e">
        <f>IF($J333="",#N/A,SUM(AP$4:AP333))</f>
        <v>#N/A</v>
      </c>
      <c r="AR333" s="315" t="str">
        <f t="shared" si="580"/>
        <v/>
      </c>
      <c r="AS333" s="315" t="e">
        <f>IF($J333="",#N/A,SUM(AR$4:AR333))</f>
        <v>#N/A</v>
      </c>
      <c r="AT333" s="315" t="e">
        <f>IF($J333="",#N/A,SUM(AR$4:AR333,AP$4:AP333,AN$4:AN333))</f>
        <v>#N/A</v>
      </c>
      <c r="AU333" s="304" t="str">
        <f t="shared" si="581"/>
        <v/>
      </c>
      <c r="AV333" s="313" t="e">
        <f>IF($J333="",#N/A,SUM(AU$4:AU333))</f>
        <v>#N/A</v>
      </c>
      <c r="AW333" s="314" t="str">
        <f t="shared" si="582"/>
        <v/>
      </c>
      <c r="AX333" s="314" t="e">
        <f>IF($J333="",#N/A,SUM(AW$4:AW333))</f>
        <v>#N/A</v>
      </c>
      <c r="AY333" s="315" t="str">
        <f t="shared" si="583"/>
        <v/>
      </c>
      <c r="AZ333" s="315" t="e">
        <f>IF($J333="",#N/A,SUM(AY$4:AY333))</f>
        <v>#N/A</v>
      </c>
      <c r="BA333" s="315" t="e">
        <f>IF($J333="",#N/A,SUM(AY$4:AY333,AW$4:AW333,AU$4:AU333))</f>
        <v>#N/A</v>
      </c>
      <c r="BB333" s="304" t="str">
        <f t="shared" si="584"/>
        <v/>
      </c>
      <c r="BC333" s="313" t="e">
        <f>IF($J333="",#N/A,SUM(BB$4:BB333))</f>
        <v>#N/A</v>
      </c>
      <c r="BD333" s="314" t="str">
        <f t="shared" si="585"/>
        <v/>
      </c>
      <c r="BE333" s="314" t="e">
        <f>IF($J333="",#N/A,SUM(BD$4:BD333))</f>
        <v>#N/A</v>
      </c>
      <c r="BF333" s="315" t="str">
        <f t="shared" si="586"/>
        <v/>
      </c>
      <c r="BG333" s="315" t="e">
        <f>IF($J333="",#N/A,SUM(BF$4:BF333))</f>
        <v>#N/A</v>
      </c>
      <c r="BH333" s="315" t="e">
        <f>IF($J333="",#N/A,SUM(BF$4:BF333,BD$4:BD333,BB$4:BB333))</f>
        <v>#N/A</v>
      </c>
      <c r="BI333" s="304" t="str">
        <f t="shared" si="587"/>
        <v/>
      </c>
      <c r="BJ333" s="313" t="e">
        <f>IF($J333="",#N/A,SUM(BI$4:BI333))</f>
        <v>#N/A</v>
      </c>
      <c r="BK333" s="314" t="str">
        <f t="shared" si="588"/>
        <v/>
      </c>
      <c r="BL333" s="314" t="e">
        <f>IF($J333="",#N/A,SUM(BK$4:BK333))</f>
        <v>#N/A</v>
      </c>
      <c r="BM333" s="315" t="str">
        <f t="shared" si="589"/>
        <v/>
      </c>
      <c r="BN333" s="315" t="e">
        <f>IF($J333="",#N/A,SUM(BM$4:BM333))</f>
        <v>#N/A</v>
      </c>
      <c r="BO333" s="315" t="e">
        <f>IF($J333="",#N/A,SUM(BM$4:BM333,BK$4:BK333,BI$4:BI333))</f>
        <v>#N/A</v>
      </c>
      <c r="BP333" s="304" t="str">
        <f t="shared" si="590"/>
        <v/>
      </c>
      <c r="BQ333" s="313" t="e">
        <f>IF($J333="",#N/A,SUM(BP$4:BP333))</f>
        <v>#N/A</v>
      </c>
      <c r="BR333" s="314" t="str">
        <f t="shared" si="591"/>
        <v/>
      </c>
      <c r="BS333" s="314" t="e">
        <f>IF($J333="",#N/A,SUM(BR$4:BR333))</f>
        <v>#N/A</v>
      </c>
      <c r="BT333" s="315" t="str">
        <f t="shared" si="592"/>
        <v/>
      </c>
      <c r="BU333" s="315" t="e">
        <f>IF($J333="",#N/A,SUM(BT$4:BT333))</f>
        <v>#N/A</v>
      </c>
      <c r="BV333" s="315" t="e">
        <f>IF($J333="",#N/A,SUM(BT$4:BT333,BR$4:BR333,BP$4:BP333))</f>
        <v>#N/A</v>
      </c>
      <c r="BW333" s="304" t="str">
        <f t="shared" si="593"/>
        <v/>
      </c>
      <c r="BX333" s="313" t="e">
        <f>IF($J333="",#N/A,SUM(BW$4:BW333))</f>
        <v>#N/A</v>
      </c>
      <c r="BY333" s="314" t="str">
        <f t="shared" si="594"/>
        <v/>
      </c>
      <c r="BZ333" s="314" t="e">
        <f>IF($J333="",#N/A,SUM(BY$4:BY333))</f>
        <v>#N/A</v>
      </c>
      <c r="CA333" s="315" t="str">
        <f t="shared" si="595"/>
        <v/>
      </c>
      <c r="CB333" s="315" t="e">
        <f>IF($J333="",#N/A,SUM(CA$4:CA333))</f>
        <v>#N/A</v>
      </c>
      <c r="CC333" s="315" t="e">
        <f>IF($J333="",#N/A,SUM(CA$4:CA333,BY$4:BY333,BW$4:BW333))</f>
        <v>#N/A</v>
      </c>
      <c r="CD333" s="304" t="str">
        <f t="shared" si="596"/>
        <v/>
      </c>
      <c r="CE333" s="313" t="e">
        <f>IF($J333="",#N/A,SUM(CD$4:CD333))</f>
        <v>#N/A</v>
      </c>
      <c r="CF333" s="314" t="str">
        <f t="shared" si="597"/>
        <v/>
      </c>
      <c r="CG333" s="314" t="e">
        <f>IF($J333="",#N/A,SUM(CF$4:CF333))</f>
        <v>#N/A</v>
      </c>
      <c r="CH333" s="315" t="str">
        <f t="shared" si="598"/>
        <v/>
      </c>
      <c r="CI333" s="315" t="e">
        <f>IF($J333="",#N/A,SUM(CH$4:CH333))</f>
        <v>#N/A</v>
      </c>
      <c r="CJ333" s="315" t="e">
        <f>IF($J333="",#N/A,SUM(CH$4:CH333,CF$4:CF333,CD$4:CD333))</f>
        <v>#N/A</v>
      </c>
      <c r="CK333" s="304" t="str">
        <f t="shared" si="599"/>
        <v/>
      </c>
      <c r="CL333" s="313" t="e">
        <f>IF($J333="",#N/A,SUM(CK$4:CK333))</f>
        <v>#N/A</v>
      </c>
      <c r="CM333" s="314" t="str">
        <f t="shared" si="600"/>
        <v/>
      </c>
      <c r="CN333" s="314" t="e">
        <f>IF($J333="",#N/A,SUM(CM$4:CM333))</f>
        <v>#N/A</v>
      </c>
      <c r="CO333" s="315" t="str">
        <f t="shared" si="601"/>
        <v/>
      </c>
      <c r="CP333" s="315" t="e">
        <f>IF($J333="",#N/A,SUM(CO$4:CO333))</f>
        <v>#N/A</v>
      </c>
      <c r="CQ333" s="315" t="e">
        <f>IF($J333="",#N/A,SUM(CO$4:CO333,CM$4:CM333,CK$4:CK333))</f>
        <v>#N/A</v>
      </c>
      <c r="CR333" s="304" t="str">
        <f t="shared" si="602"/>
        <v/>
      </c>
      <c r="CS333" s="313" t="e">
        <f>IF($J333="",#N/A,SUM(CR$4:CR333))</f>
        <v>#N/A</v>
      </c>
      <c r="CT333" s="314" t="str">
        <f t="shared" si="603"/>
        <v/>
      </c>
      <c r="CU333" s="314" t="e">
        <f>IF($J333="",#N/A,SUM(CT$4:CT333))</f>
        <v>#N/A</v>
      </c>
      <c r="CV333" s="315" t="str">
        <f t="shared" si="604"/>
        <v/>
      </c>
      <c r="CW333" s="315" t="e">
        <f>IF($J333="",#N/A,SUM(CV$4:CV333))</f>
        <v>#N/A</v>
      </c>
      <c r="CX333" s="315" t="e">
        <f>IF($J333="",#N/A,SUM(CV$4:CV333,CT$4:CT333,CR$4:CR333))</f>
        <v>#N/A</v>
      </c>
      <c r="CY333" s="304" t="str">
        <f t="shared" si="605"/>
        <v/>
      </c>
      <c r="CZ333" s="313" t="e">
        <f>IF($J333="",#N/A,SUM(CY$4:CY333))</f>
        <v>#N/A</v>
      </c>
      <c r="DA333" s="314" t="str">
        <f t="shared" si="606"/>
        <v/>
      </c>
      <c r="DB333" s="314" t="e">
        <f>IF($J333="",#N/A,SUM(DA$4:DA333))</f>
        <v>#N/A</v>
      </c>
      <c r="DC333" s="315" t="str">
        <f t="shared" si="607"/>
        <v/>
      </c>
      <c r="DD333" s="315" t="e">
        <f>IF($J333="",#N/A,SUM(DC$4:DC333))</f>
        <v>#N/A</v>
      </c>
      <c r="DE333" s="315" t="e">
        <f>IF($J333="",#N/A,SUM(DC$4:DC333,DA$4:DA333,CY$4:CY333))</f>
        <v>#N/A</v>
      </c>
      <c r="DF333" s="304" t="str">
        <f t="shared" si="608"/>
        <v/>
      </c>
      <c r="DG333" s="313" t="e">
        <f>IF($J333="",#N/A,SUM(DF$4:DF333))</f>
        <v>#N/A</v>
      </c>
      <c r="DH333" s="314" t="str">
        <f t="shared" si="609"/>
        <v/>
      </c>
      <c r="DI333" s="314" t="e">
        <f>IF($J333="",#N/A,SUM(DH$4:DH333))</f>
        <v>#N/A</v>
      </c>
      <c r="DJ333" s="315" t="str">
        <f t="shared" si="610"/>
        <v/>
      </c>
      <c r="DK333" s="315" t="e">
        <f>IF($J333="",#N/A,SUM(DJ$4:DJ333))</f>
        <v>#N/A</v>
      </c>
      <c r="DL333" s="315" t="e">
        <f>IF($J333="",#N/A,SUM(DJ$4:DJ333,DH$4:DH333,DF$4:DF333))</f>
        <v>#N/A</v>
      </c>
      <c r="DM333" s="304" t="str">
        <f t="shared" si="611"/>
        <v/>
      </c>
      <c r="DN333" s="313" t="e">
        <f>IF($J333="",#N/A,SUM(DM$4:DM333))</f>
        <v>#N/A</v>
      </c>
      <c r="DO333" s="314" t="str">
        <f t="shared" si="612"/>
        <v/>
      </c>
      <c r="DP333" s="314" t="e">
        <f>IF($J333="",#N/A,SUM(DO$4:DO333))</f>
        <v>#N/A</v>
      </c>
      <c r="DQ333" s="315" t="str">
        <f t="shared" si="613"/>
        <v/>
      </c>
      <c r="DR333" s="315" t="e">
        <f>IF($J333="",#N/A,SUM(DQ$4:DQ333))</f>
        <v>#N/A</v>
      </c>
      <c r="DS333" s="315" t="e">
        <f>IF($J333="",#N/A,SUM(DQ$4:DQ333,DO$4:DO333,DM$4:DM333))</f>
        <v>#N/A</v>
      </c>
      <c r="DT333" s="304" t="str">
        <f t="shared" si="614"/>
        <v/>
      </c>
      <c r="DU333" s="313" t="e">
        <f>IF($J333="",#N/A,SUM(DT$4:DT333))</f>
        <v>#N/A</v>
      </c>
      <c r="DV333" s="314" t="str">
        <f t="shared" si="615"/>
        <v/>
      </c>
      <c r="DW333" s="314" t="e">
        <f>IF($J333="",#N/A,SUM(DV$4:DV333))</f>
        <v>#N/A</v>
      </c>
      <c r="DX333" s="315" t="str">
        <f t="shared" si="616"/>
        <v/>
      </c>
      <c r="DY333" s="315" t="e">
        <f>IF($J333="",#N/A,SUM(DX$4:DX333))</f>
        <v>#N/A</v>
      </c>
      <c r="DZ333" s="315" t="e">
        <f>IF($J333="",#N/A,SUM(DX$4:DX333,DV$4:DV333,DT$4:DT333))</f>
        <v>#N/A</v>
      </c>
      <c r="EA333" s="304" t="str">
        <f t="shared" si="617"/>
        <v/>
      </c>
      <c r="EB333" s="313" t="e">
        <f>IF($J333="",#N/A,SUM(EA$4:EA333))</f>
        <v>#N/A</v>
      </c>
      <c r="EC333" s="314" t="str">
        <f t="shared" si="618"/>
        <v/>
      </c>
      <c r="ED333" s="314" t="e">
        <f>IF($J333="",#N/A,SUM(EC$4:EC333))</f>
        <v>#N/A</v>
      </c>
      <c r="EE333" s="315" t="str">
        <f t="shared" si="619"/>
        <v/>
      </c>
      <c r="EF333" s="315" t="e">
        <f>IF($J333="",#N/A,SUM(EE$4:EE333))</f>
        <v>#N/A</v>
      </c>
      <c r="EG333" s="315" t="e">
        <f>IF($J333="",#N/A,SUM(EE$4:EE333,EC$4:EC333,EA$4:EA333))</f>
        <v>#N/A</v>
      </c>
      <c r="EH333" s="130">
        <f t="shared" si="620"/>
        <v>130.90000000000009</v>
      </c>
      <c r="EI333" s="63">
        <f>IF(EH333="",#N/A,SUM($EH$4:EH333))</f>
        <v>870.15764078297366</v>
      </c>
      <c r="EJ333" s="223" t="e">
        <f t="shared" si="621"/>
        <v>#N/A</v>
      </c>
      <c r="EK333" s="63" t="e">
        <f>IF($GZ333="",#N/A,SUM(EJ$4:EJ333))</f>
        <v>#N/A</v>
      </c>
      <c r="EL333" s="60" t="str">
        <f t="shared" si="651"/>
        <v/>
      </c>
      <c r="EM333" s="60" t="e">
        <f>IF(EL333="",NA(),SUM($EL$4:EL333))</f>
        <v>#N/A</v>
      </c>
      <c r="EN333" s="60" t="str">
        <f t="shared" si="622"/>
        <v/>
      </c>
      <c r="EO333" s="60" t="e">
        <f>IF(EN333="",NA(),SUM($EN$4:EN333))</f>
        <v>#N/A</v>
      </c>
      <c r="EP333" s="60" t="str">
        <f t="shared" si="623"/>
        <v/>
      </c>
      <c r="EQ333" s="60" t="e">
        <f>IF(EP333="",NA(),SUM($EP$4:EP333))</f>
        <v>#N/A</v>
      </c>
      <c r="ER333" s="60" t="str">
        <f t="shared" si="624"/>
        <v/>
      </c>
      <c r="ES333" s="60" t="e">
        <f>IF(ER333="",NA(),SUM($ER$4:ER333))</f>
        <v>#N/A</v>
      </c>
      <c r="ET333" s="60">
        <f t="shared" si="625"/>
        <v>1.3204616067465611</v>
      </c>
      <c r="EU333" s="60">
        <f>IF(ET333="",NA(),SUM($ET$4:ET333))</f>
        <v>19.588563944242992</v>
      </c>
      <c r="EV333" s="60" t="str">
        <f t="shared" si="626"/>
        <v/>
      </c>
      <c r="EW333" s="60" t="e">
        <f>IF(EV333="",NA(),SUM($EV$4:EV333))</f>
        <v>#N/A</v>
      </c>
      <c r="EX333" s="60">
        <f t="shared" si="627"/>
        <v>1.3204616067465611</v>
      </c>
      <c r="EY333" s="60">
        <f>IF(EX333="",NA(),SUM($EX$4:EX333))</f>
        <v>2.2556057734796426</v>
      </c>
      <c r="EZ333" s="60" t="str">
        <f t="shared" si="628"/>
        <v/>
      </c>
      <c r="FA333" s="60" t="e">
        <f>IF(EZ333="",NA(),SUM($EZ$4:EZ333))</f>
        <v>#N/A</v>
      </c>
      <c r="FB333" s="246" t="str">
        <f t="shared" si="652"/>
        <v/>
      </c>
      <c r="FC333" s="246" t="e">
        <f>IF($FB333="",#N/A,SUM(FB$4:$FB333))</f>
        <v>#N/A</v>
      </c>
      <c r="FD333" s="60" t="str">
        <f t="shared" si="629"/>
        <v/>
      </c>
      <c r="FE333" s="60" t="e">
        <f>IF($FD333="",#N/A,SUM($FD$4:FD333))</f>
        <v>#N/A</v>
      </c>
      <c r="FF333" s="60" t="str">
        <f t="shared" si="630"/>
        <v/>
      </c>
      <c r="FG333" s="60" t="e">
        <f>IF($FF333="",#N/A,SUM($FF$4:FF333))</f>
        <v>#N/A</v>
      </c>
      <c r="FH333" s="60" t="str">
        <f t="shared" si="631"/>
        <v/>
      </c>
      <c r="FI333" s="60" t="e">
        <f>IF($FH333="",#N/A,SUM($FH$4:FH333))</f>
        <v>#N/A</v>
      </c>
      <c r="FJ333" s="60">
        <f t="shared" si="632"/>
        <v>1.3315579227696406</v>
      </c>
      <c r="FK333" s="60">
        <f>IF($FJ333="",#N/A,SUM($FJ$4:FJ333))</f>
        <v>0.1319969367513727</v>
      </c>
      <c r="FL333" s="60" t="str">
        <f t="shared" si="633"/>
        <v/>
      </c>
      <c r="FM333" s="60" t="e">
        <f>IF($FL333="",#N/A,SUM($FL$4:FL333))</f>
        <v>#N/A</v>
      </c>
      <c r="FN333" s="82">
        <f t="shared" si="634"/>
        <v>2.6520195295162017</v>
      </c>
      <c r="FO333" s="82">
        <f>IF($FN333="",#N/A,SUM(FN$4:$FN333))</f>
        <v>53.469662182963447</v>
      </c>
      <c r="FP333" s="82">
        <f t="shared" si="653"/>
        <v>1.3204616067465611</v>
      </c>
      <c r="FQ333" s="246">
        <f>IF($EH333="",#N/A,SUM($FP$4:FP333))</f>
        <v>49.935810111164763</v>
      </c>
      <c r="FR333" s="82">
        <f>IFERROR(FQ333/COUNTA($J$4:J333),#N/A)</f>
        <v>0.15132063670049928</v>
      </c>
      <c r="FS333" s="82">
        <f t="shared" si="554"/>
        <v>-0.12246658944190343</v>
      </c>
      <c r="FT333" s="82">
        <f t="shared" si="555"/>
        <v>-0.23507656663886167</v>
      </c>
      <c r="FU333" s="338">
        <f t="shared" si="657"/>
        <v>26.210491887853657</v>
      </c>
      <c r="FV333" s="57" t="str">
        <f t="shared" si="560"/>
        <v>SW</v>
      </c>
      <c r="FW333" s="57" t="s">
        <v>2732</v>
      </c>
      <c r="FX333" s="57" t="str">
        <f t="shared" si="635"/>
        <v/>
      </c>
      <c r="FY333" s="57" t="str">
        <f t="shared" si="636"/>
        <v/>
      </c>
      <c r="FZ333" s="57">
        <f t="shared" si="637"/>
        <v>1</v>
      </c>
      <c r="GA333" s="57" t="str">
        <f t="shared" si="638"/>
        <v>Long</v>
      </c>
      <c r="GB333" s="57" t="str">
        <f t="shared" si="639"/>
        <v/>
      </c>
      <c r="GC333" s="57" t="str">
        <f t="shared" si="640"/>
        <v/>
      </c>
      <c r="GD333" s="57" t="str">
        <f t="shared" si="641"/>
        <v/>
      </c>
      <c r="GE333" s="62">
        <f t="shared" si="557"/>
        <v>75.099999999999994</v>
      </c>
      <c r="GF333" s="62" t="s">
        <v>2779</v>
      </c>
      <c r="GG333" s="199">
        <v>22</v>
      </c>
      <c r="GH333" s="207">
        <f t="shared" si="642"/>
        <v>1652.1999999999998</v>
      </c>
      <c r="GI333" s="199">
        <v>22</v>
      </c>
      <c r="GJ333" s="200">
        <v>83</v>
      </c>
      <c r="GK333" s="63">
        <f t="shared" si="643"/>
        <v>173.80000000000018</v>
      </c>
      <c r="GL333" s="63">
        <f t="shared" si="558"/>
        <v>262.90000000000009</v>
      </c>
      <c r="GM333" s="82">
        <f t="shared" si="644"/>
        <v>2.6520195295162017</v>
      </c>
      <c r="GN333" s="82">
        <f>IF($GZ333="",#N/A,SUM(GM$4:GM333))</f>
        <v>7.8800207418187131</v>
      </c>
      <c r="GO333" s="82" t="str">
        <f t="shared" si="645"/>
        <v/>
      </c>
      <c r="GP333" s="82">
        <f>IF($GZ333="",#N/A,SUM(GO$4:GO333))</f>
        <v>14.594047508057683</v>
      </c>
      <c r="GQ333" s="82" t="str">
        <f t="shared" si="646"/>
        <v/>
      </c>
      <c r="GR333" s="82">
        <f>IF($GZ333="",#N/A,SUM(GQ$4:GQ333))</f>
        <v>30.369756978644716</v>
      </c>
      <c r="GS333" s="63" t="e">
        <f t="shared" si="654"/>
        <v>#N/A</v>
      </c>
      <c r="GT333" s="63" t="e">
        <f>IF($GZ333="",#N/A,SUM(GS$4:GS333))</f>
        <v>#N/A</v>
      </c>
      <c r="GU333" s="63" t="str">
        <f t="shared" si="655"/>
        <v/>
      </c>
      <c r="GV333" s="63" t="e">
        <f>IF($GZ333="",#N/A,SUM(GU$4:GU333))</f>
        <v>#N/A</v>
      </c>
      <c r="GW333" s="63" t="str">
        <f t="shared" si="656"/>
        <v/>
      </c>
      <c r="GX333" s="63" t="e">
        <f>IF($GZ333="",#N/A,SUM(GW$4:GW333))</f>
        <v>#N/A</v>
      </c>
      <c r="GY333" s="63" t="e">
        <f>IF(EJ333="",#N/A,SUM($EJ$4:EJ333))</f>
        <v>#N/A</v>
      </c>
      <c r="GZ333" s="159">
        <v>87.05</v>
      </c>
      <c r="HA333" s="63">
        <f t="shared" si="647"/>
        <v>132</v>
      </c>
      <c r="HB333" s="62" t="s">
        <v>2538</v>
      </c>
      <c r="HC333" s="60">
        <f>IFERROR(VLOOKUP(E333,Expectancy!$P$4:$S$19,1+C333,FALSE),"")</f>
        <v>0.27741610538114203</v>
      </c>
      <c r="HD333" s="82">
        <f t="shared" si="648"/>
        <v>1.7532179316466954</v>
      </c>
      <c r="HE333" s="138">
        <f>IF(HD333="",#N/A,SUM($HD$4:HD333))</f>
        <v>9.195318223311105</v>
      </c>
      <c r="HF333" s="85">
        <f>IF(HD333="",#N/A,IF(HB333="Skip",#N/A,SUM($HG$4:HG333)))</f>
        <v>195.90657921915522</v>
      </c>
      <c r="HG333" s="63">
        <f t="shared" si="649"/>
        <v>173.80000000000018</v>
      </c>
      <c r="HH333" s="82">
        <f t="shared" si="650"/>
        <v>2.6520195295162017</v>
      </c>
    </row>
    <row r="334" spans="1:216" x14ac:dyDescent="0.25">
      <c r="A334" s="465" t="s">
        <v>552</v>
      </c>
      <c r="B334" s="466" t="s">
        <v>5242</v>
      </c>
      <c r="C334" s="467">
        <f t="shared" si="561"/>
        <v>2</v>
      </c>
      <c r="D334" s="468" t="str">
        <f>_xlfn.XLOOKUP(A334,[1]SP500!$A$2:$A$502,[1]SP500!$D$2:$D$502,"N")</f>
        <v>Y</v>
      </c>
      <c r="E334" s="465" t="str">
        <f>_xlfn.XLOOKUP(A334,[1]SP500!$A$2:$A$655,[1]SP500!$B$2:$B$655)</f>
        <v>XLV</v>
      </c>
      <c r="F334" s="59">
        <v>45702</v>
      </c>
      <c r="G334" s="57" t="str">
        <f t="shared" si="562"/>
        <v>BMO</v>
      </c>
      <c r="H334" s="57" t="str">
        <f t="shared" si="563"/>
        <v>s</v>
      </c>
      <c r="I334" s="159">
        <v>31.92</v>
      </c>
      <c r="J334" s="159">
        <v>30.72</v>
      </c>
      <c r="K334" s="61">
        <f t="shared" si="564"/>
        <v>-3.7593984962406103E-2</v>
      </c>
      <c r="L334" s="87">
        <f t="shared" si="565"/>
        <v>64.800000000000182</v>
      </c>
      <c r="M334" s="130">
        <f t="shared" si="556"/>
        <v>0</v>
      </c>
      <c r="N334" s="169" t="str">
        <f t="shared" si="566"/>
        <v/>
      </c>
      <c r="O334" s="169">
        <f>IF($J334="",#N/A,SUM($N$4:N334))</f>
        <v>540.40671935422461</v>
      </c>
      <c r="P334" s="174">
        <f t="shared" si="567"/>
        <v>64.800000000000182</v>
      </c>
      <c r="Q334" s="174">
        <f>IF($J334="",#N/A,SUM($P$4:P334))</f>
        <v>285.16499224504298</v>
      </c>
      <c r="R334" s="178" t="str">
        <f t="shared" si="568"/>
        <v/>
      </c>
      <c r="S334" s="178">
        <f>IF($J334="",#N/A,SUM($R$4:R334))</f>
        <v>109.38592918370614</v>
      </c>
      <c r="T334" s="290" t="str">
        <f t="shared" si="569"/>
        <v/>
      </c>
      <c r="U334" s="290">
        <f>IF($J334="",#N/A,SUM($T$4:T334))</f>
        <v>19.19648137254174</v>
      </c>
      <c r="V334" s="291">
        <f t="shared" si="570"/>
        <v>0.62656641604010199</v>
      </c>
      <c r="W334" s="291">
        <f>IF($J334="",#N/A,SUM($V$4:V334))</f>
        <v>22.46098947350189</v>
      </c>
      <c r="X334" s="292" t="str">
        <f t="shared" si="571"/>
        <v/>
      </c>
      <c r="Y334" s="292">
        <f>IF($J334="",#N/A,SUM($X$4:X334))</f>
        <v>8.9049056811612477</v>
      </c>
      <c r="Z334" s="304" t="str">
        <f t="shared" si="572"/>
        <v/>
      </c>
      <c r="AA334" s="313" t="e">
        <f>IF($J334="",#N/A,SUM(Z$4:Z334))</f>
        <v>#N/A</v>
      </c>
      <c r="AB334" s="314" t="str">
        <f t="shared" si="573"/>
        <v/>
      </c>
      <c r="AC334" s="314" t="e">
        <f>IF($J334="",#N/A,SUM(AB$4:AB334))</f>
        <v>#N/A</v>
      </c>
      <c r="AD334" s="315" t="str">
        <f t="shared" si="574"/>
        <v/>
      </c>
      <c r="AE334" s="315" t="e">
        <f>IF($J334="",#N/A,SUM(AD$4:AD334))</f>
        <v>#N/A</v>
      </c>
      <c r="AF334" s="315" t="e">
        <f>IF($J334="",#N/A,SUM(AD$4:AD334,AB$4:AB334,Z$4:Z334))</f>
        <v>#N/A</v>
      </c>
      <c r="AG334" s="304" t="str">
        <f t="shared" si="575"/>
        <v/>
      </c>
      <c r="AH334" s="313" t="e">
        <f>IF($J334="",#N/A,SUM(AG$4:AG334))</f>
        <v>#N/A</v>
      </c>
      <c r="AI334" s="314" t="str">
        <f t="shared" si="576"/>
        <v/>
      </c>
      <c r="AJ334" s="314" t="e">
        <f>IF($J334="",#N/A,SUM(AI$4:AI334))</f>
        <v>#N/A</v>
      </c>
      <c r="AK334" s="315" t="str">
        <f t="shared" si="577"/>
        <v/>
      </c>
      <c r="AL334" s="315" t="e">
        <f>IF($J334="",#N/A,SUM(AK$4:AK334))</f>
        <v>#N/A</v>
      </c>
      <c r="AM334" s="315" t="e">
        <f>IF($J334="",#N/A,SUM(AK$4:AK334,AI$4:AI334,AG$4:AG334))</f>
        <v>#N/A</v>
      </c>
      <c r="AN334" s="304" t="str">
        <f t="shared" si="578"/>
        <v/>
      </c>
      <c r="AO334" s="313" t="e">
        <f>IF($J334="",#N/A,SUM(AN$4:AN334))</f>
        <v>#N/A</v>
      </c>
      <c r="AP334" s="314" t="str">
        <f t="shared" si="579"/>
        <v/>
      </c>
      <c r="AQ334" s="314" t="e">
        <f>IF($J334="",#N/A,SUM(AP$4:AP334))</f>
        <v>#N/A</v>
      </c>
      <c r="AR334" s="315" t="str">
        <f t="shared" si="580"/>
        <v/>
      </c>
      <c r="AS334" s="315" t="e">
        <f>IF($J334="",#N/A,SUM(AR$4:AR334))</f>
        <v>#N/A</v>
      </c>
      <c r="AT334" s="315" t="e">
        <f>IF($J334="",#N/A,SUM(AR$4:AR334,AP$4:AP334,AN$4:AN334))</f>
        <v>#N/A</v>
      </c>
      <c r="AU334" s="304" t="str">
        <f t="shared" si="581"/>
        <v/>
      </c>
      <c r="AV334" s="313" t="e">
        <f>IF($J334="",#N/A,SUM(AU$4:AU334))</f>
        <v>#N/A</v>
      </c>
      <c r="AW334" s="314" t="str">
        <f t="shared" si="582"/>
        <v/>
      </c>
      <c r="AX334" s="314" t="e">
        <f>IF($J334="",#N/A,SUM(AW$4:AW334))</f>
        <v>#N/A</v>
      </c>
      <c r="AY334" s="315" t="str">
        <f t="shared" si="583"/>
        <v/>
      </c>
      <c r="AZ334" s="315" t="e">
        <f>IF($J334="",#N/A,SUM(AY$4:AY334))</f>
        <v>#N/A</v>
      </c>
      <c r="BA334" s="315" t="e">
        <f>IF($J334="",#N/A,SUM(AY$4:AY334,AW$4:AW334,AU$4:AU334))</f>
        <v>#N/A</v>
      </c>
      <c r="BB334" s="304" t="str">
        <f t="shared" si="584"/>
        <v/>
      </c>
      <c r="BC334" s="313" t="e">
        <f>IF($J334="",#N/A,SUM(BB$4:BB334))</f>
        <v>#N/A</v>
      </c>
      <c r="BD334" s="314" t="str">
        <f t="shared" si="585"/>
        <v/>
      </c>
      <c r="BE334" s="314" t="e">
        <f>IF($J334="",#N/A,SUM(BD$4:BD334))</f>
        <v>#N/A</v>
      </c>
      <c r="BF334" s="315" t="str">
        <f t="shared" si="586"/>
        <v/>
      </c>
      <c r="BG334" s="315" t="e">
        <f>IF($J334="",#N/A,SUM(BF$4:BF334))</f>
        <v>#N/A</v>
      </c>
      <c r="BH334" s="315" t="e">
        <f>IF($J334="",#N/A,SUM(BF$4:BF334,BD$4:BD334,BB$4:BB334))</f>
        <v>#N/A</v>
      </c>
      <c r="BI334" s="304" t="str">
        <f t="shared" si="587"/>
        <v/>
      </c>
      <c r="BJ334" s="313" t="e">
        <f>IF($J334="",#N/A,SUM(BI$4:BI334))</f>
        <v>#N/A</v>
      </c>
      <c r="BK334" s="314" t="str">
        <f t="shared" si="588"/>
        <v/>
      </c>
      <c r="BL334" s="314" t="e">
        <f>IF($J334="",#N/A,SUM(BK$4:BK334))</f>
        <v>#N/A</v>
      </c>
      <c r="BM334" s="315" t="str">
        <f t="shared" si="589"/>
        <v/>
      </c>
      <c r="BN334" s="315" t="e">
        <f>IF($J334="",#N/A,SUM(BM$4:BM334))</f>
        <v>#N/A</v>
      </c>
      <c r="BO334" s="315" t="e">
        <f>IF($J334="",#N/A,SUM(BM$4:BM334,BK$4:BK334,BI$4:BI334))</f>
        <v>#N/A</v>
      </c>
      <c r="BP334" s="304" t="str">
        <f t="shared" si="590"/>
        <v/>
      </c>
      <c r="BQ334" s="313" t="e">
        <f>IF($J334="",#N/A,SUM(BP$4:BP334))</f>
        <v>#N/A</v>
      </c>
      <c r="BR334" s="314" t="str">
        <f t="shared" si="591"/>
        <v/>
      </c>
      <c r="BS334" s="314" t="e">
        <f>IF($J334="",#N/A,SUM(BR$4:BR334))</f>
        <v>#N/A</v>
      </c>
      <c r="BT334" s="315" t="str">
        <f t="shared" si="592"/>
        <v/>
      </c>
      <c r="BU334" s="315" t="e">
        <f>IF($J334="",#N/A,SUM(BT$4:BT334))</f>
        <v>#N/A</v>
      </c>
      <c r="BV334" s="315" t="e">
        <f>IF($J334="",#N/A,SUM(BT$4:BT334,BR$4:BR334,BP$4:BP334))</f>
        <v>#N/A</v>
      </c>
      <c r="BW334" s="304" t="str">
        <f t="shared" si="593"/>
        <v/>
      </c>
      <c r="BX334" s="313" t="e">
        <f>IF($J334="",#N/A,SUM(BW$4:BW334))</f>
        <v>#N/A</v>
      </c>
      <c r="BY334" s="314">
        <f t="shared" si="594"/>
        <v>0.62656641604010199</v>
      </c>
      <c r="BZ334" s="314" t="e">
        <f>IF($J334="",#N/A,SUM(BY$4:BY334))</f>
        <v>#N/A</v>
      </c>
      <c r="CA334" s="315" t="str">
        <f t="shared" si="595"/>
        <v/>
      </c>
      <c r="CB334" s="315" t="e">
        <f>IF($J334="",#N/A,SUM(CA$4:CA334))</f>
        <v>#N/A</v>
      </c>
      <c r="CC334" s="315" t="e">
        <f>IF($J334="",#N/A,SUM(CA$4:CA334,BY$4:BY334,BW$4:BW334))</f>
        <v>#N/A</v>
      </c>
      <c r="CD334" s="304" t="str">
        <f t="shared" si="596"/>
        <v/>
      </c>
      <c r="CE334" s="313" t="e">
        <f>IF($J334="",#N/A,SUM(CD$4:CD334))</f>
        <v>#N/A</v>
      </c>
      <c r="CF334" s="314" t="str">
        <f t="shared" si="597"/>
        <v/>
      </c>
      <c r="CG334" s="314" t="e">
        <f>IF($J334="",#N/A,SUM(CF$4:CF334))</f>
        <v>#N/A</v>
      </c>
      <c r="CH334" s="315" t="str">
        <f t="shared" si="598"/>
        <v/>
      </c>
      <c r="CI334" s="315" t="e">
        <f>IF($J334="",#N/A,SUM(CH$4:CH334))</f>
        <v>#N/A</v>
      </c>
      <c r="CJ334" s="315" t="e">
        <f>IF($J334="",#N/A,SUM(CH$4:CH334,CF$4:CF334,CD$4:CD334))</f>
        <v>#N/A</v>
      </c>
      <c r="CK334" s="304" t="str">
        <f t="shared" si="599"/>
        <v/>
      </c>
      <c r="CL334" s="313" t="e">
        <f>IF($J334="",#N/A,SUM(CK$4:CK334))</f>
        <v>#N/A</v>
      </c>
      <c r="CM334" s="314" t="str">
        <f t="shared" si="600"/>
        <v/>
      </c>
      <c r="CN334" s="314" t="e">
        <f>IF($J334="",#N/A,SUM(CM$4:CM334))</f>
        <v>#N/A</v>
      </c>
      <c r="CO334" s="315" t="str">
        <f t="shared" si="601"/>
        <v/>
      </c>
      <c r="CP334" s="315" t="e">
        <f>IF($J334="",#N/A,SUM(CO$4:CO334))</f>
        <v>#N/A</v>
      </c>
      <c r="CQ334" s="315" t="e">
        <f>IF($J334="",#N/A,SUM(CO$4:CO334,CM$4:CM334,CK$4:CK334))</f>
        <v>#N/A</v>
      </c>
      <c r="CR334" s="304" t="str">
        <f t="shared" si="602"/>
        <v/>
      </c>
      <c r="CS334" s="313" t="e">
        <f>IF($J334="",#N/A,SUM(CR$4:CR334))</f>
        <v>#N/A</v>
      </c>
      <c r="CT334" s="314" t="str">
        <f t="shared" si="603"/>
        <v/>
      </c>
      <c r="CU334" s="314" t="e">
        <f>IF($J334="",#N/A,SUM(CT$4:CT334))</f>
        <v>#N/A</v>
      </c>
      <c r="CV334" s="315" t="str">
        <f t="shared" si="604"/>
        <v/>
      </c>
      <c r="CW334" s="315" t="e">
        <f>IF($J334="",#N/A,SUM(CV$4:CV334))</f>
        <v>#N/A</v>
      </c>
      <c r="CX334" s="315" t="e">
        <f>IF($J334="",#N/A,SUM(CV$4:CV334,CT$4:CT334,CR$4:CR334))</f>
        <v>#N/A</v>
      </c>
      <c r="CY334" s="304" t="str">
        <f t="shared" si="605"/>
        <v/>
      </c>
      <c r="CZ334" s="313" t="e">
        <f>IF($J334="",#N/A,SUM(CY$4:CY334))</f>
        <v>#N/A</v>
      </c>
      <c r="DA334" s="314" t="str">
        <f t="shared" si="606"/>
        <v/>
      </c>
      <c r="DB334" s="314" t="e">
        <f>IF($J334="",#N/A,SUM(DA$4:DA334))</f>
        <v>#N/A</v>
      </c>
      <c r="DC334" s="315" t="str">
        <f t="shared" si="607"/>
        <v/>
      </c>
      <c r="DD334" s="315" t="e">
        <f>IF($J334="",#N/A,SUM(DC$4:DC334))</f>
        <v>#N/A</v>
      </c>
      <c r="DE334" s="315" t="e">
        <f>IF($J334="",#N/A,SUM(DC$4:DC334,DA$4:DA334,CY$4:CY334))</f>
        <v>#N/A</v>
      </c>
      <c r="DF334" s="304" t="str">
        <f t="shared" si="608"/>
        <v/>
      </c>
      <c r="DG334" s="313" t="e">
        <f>IF($J334="",#N/A,SUM(DF$4:DF334))</f>
        <v>#N/A</v>
      </c>
      <c r="DH334" s="314" t="str">
        <f t="shared" si="609"/>
        <v/>
      </c>
      <c r="DI334" s="314" t="e">
        <f>IF($J334="",#N/A,SUM(DH$4:DH334))</f>
        <v>#N/A</v>
      </c>
      <c r="DJ334" s="315" t="str">
        <f t="shared" si="610"/>
        <v/>
      </c>
      <c r="DK334" s="315" t="e">
        <f>IF($J334="",#N/A,SUM(DJ$4:DJ334))</f>
        <v>#N/A</v>
      </c>
      <c r="DL334" s="315" t="e">
        <f>IF($J334="",#N/A,SUM(DJ$4:DJ334,DH$4:DH334,DF$4:DF334))</f>
        <v>#N/A</v>
      </c>
      <c r="DM334" s="304" t="str">
        <f t="shared" si="611"/>
        <v/>
      </c>
      <c r="DN334" s="313" t="e">
        <f>IF($J334="",#N/A,SUM(DM$4:DM334))</f>
        <v>#N/A</v>
      </c>
      <c r="DO334" s="314" t="str">
        <f t="shared" si="612"/>
        <v/>
      </c>
      <c r="DP334" s="314" t="e">
        <f>IF($J334="",#N/A,SUM(DO$4:DO334))</f>
        <v>#N/A</v>
      </c>
      <c r="DQ334" s="315" t="str">
        <f t="shared" si="613"/>
        <v/>
      </c>
      <c r="DR334" s="315" t="e">
        <f>IF($J334="",#N/A,SUM(DQ$4:DQ334))</f>
        <v>#N/A</v>
      </c>
      <c r="DS334" s="315" t="e">
        <f>IF($J334="",#N/A,SUM(DQ$4:DQ334,DO$4:DO334,DM$4:DM334))</f>
        <v>#N/A</v>
      </c>
      <c r="DT334" s="304" t="str">
        <f t="shared" si="614"/>
        <v/>
      </c>
      <c r="DU334" s="313" t="e">
        <f>IF($J334="",#N/A,SUM(DT$4:DT334))</f>
        <v>#N/A</v>
      </c>
      <c r="DV334" s="314" t="str">
        <f t="shared" si="615"/>
        <v/>
      </c>
      <c r="DW334" s="314" t="e">
        <f>IF($J334="",#N/A,SUM(DV$4:DV334))</f>
        <v>#N/A</v>
      </c>
      <c r="DX334" s="315" t="str">
        <f t="shared" si="616"/>
        <v/>
      </c>
      <c r="DY334" s="315" t="e">
        <f>IF($J334="",#N/A,SUM(DX$4:DX334))</f>
        <v>#N/A</v>
      </c>
      <c r="DZ334" s="315" t="e">
        <f>IF($J334="",#N/A,SUM(DX$4:DX334,DV$4:DV334,DT$4:DT334))</f>
        <v>#N/A</v>
      </c>
      <c r="EA334" s="304" t="str">
        <f t="shared" si="617"/>
        <v/>
      </c>
      <c r="EB334" s="313" t="e">
        <f>IF($J334="",#N/A,SUM(EA$4:EA334))</f>
        <v>#N/A</v>
      </c>
      <c r="EC334" s="314" t="str">
        <f t="shared" si="618"/>
        <v/>
      </c>
      <c r="ED334" s="314" t="e">
        <f>IF($J334="",#N/A,SUM(EC$4:EC334))</f>
        <v>#N/A</v>
      </c>
      <c r="EE334" s="315" t="str">
        <f t="shared" si="619"/>
        <v/>
      </c>
      <c r="EF334" s="315" t="e">
        <f>IF($J334="",#N/A,SUM(EE$4:EE334))</f>
        <v>#N/A</v>
      </c>
      <c r="EG334" s="315" t="e">
        <f>IF($J334="",#N/A,SUM(EE$4:EE334,EC$4:EC334,EA$4:EA334))</f>
        <v>#N/A</v>
      </c>
      <c r="EH334" s="130">
        <f t="shared" si="620"/>
        <v>64.800000000000182</v>
      </c>
      <c r="EI334" s="63">
        <f>IF(EH334="",#N/A,SUM($EH$4:EH334))</f>
        <v>934.95764078297384</v>
      </c>
      <c r="EJ334" s="223" t="e">
        <f t="shared" si="621"/>
        <v>#N/A</v>
      </c>
      <c r="EK334" s="63" t="e">
        <f>IF($GZ334="",#N/A,SUM(EJ$4:EJ334))</f>
        <v>#N/A</v>
      </c>
      <c r="EL334" s="60">
        <f t="shared" si="651"/>
        <v>0.62656641604010199</v>
      </c>
      <c r="EM334" s="60">
        <f>IF(EL334="",NA(),SUM($EL$4:EL334))</f>
        <v>30.973812582961887</v>
      </c>
      <c r="EN334" s="60" t="str">
        <f t="shared" si="622"/>
        <v/>
      </c>
      <c r="EO334" s="60" t="e">
        <f>IF(EN334="",NA(),SUM($EN$4:EN334))</f>
        <v>#N/A</v>
      </c>
      <c r="EP334" s="60" t="str">
        <f t="shared" si="623"/>
        <v/>
      </c>
      <c r="EQ334" s="60" t="e">
        <f>IF(EP334="",NA(),SUM($EP$4:EP334))</f>
        <v>#N/A</v>
      </c>
      <c r="ER334" s="60">
        <f t="shared" si="624"/>
        <v>0.62656641604010199</v>
      </c>
      <c r="ES334" s="60">
        <f>IF(ER334="",NA(),SUM($ER$4:ER334))</f>
        <v>13.140386949002009</v>
      </c>
      <c r="ET334" s="60" t="str">
        <f t="shared" si="625"/>
        <v/>
      </c>
      <c r="EU334" s="60" t="e">
        <f>IF(ET334="",NA(),SUM($ET$4:ET334))</f>
        <v>#N/A</v>
      </c>
      <c r="EV334" s="60" t="str">
        <f t="shared" si="626"/>
        <v/>
      </c>
      <c r="EW334" s="60" t="e">
        <f>IF(EV334="",NA(),SUM($EV$4:EV334))</f>
        <v>#N/A</v>
      </c>
      <c r="EX334" s="60" t="str">
        <f t="shared" si="627"/>
        <v/>
      </c>
      <c r="EY334" s="60" t="e">
        <f>IF(EX334="",NA(),SUM($EX$4:EX334))</f>
        <v>#N/A</v>
      </c>
      <c r="EZ334" s="60" t="str">
        <f t="shared" si="628"/>
        <v/>
      </c>
      <c r="FA334" s="60" t="e">
        <f>IF(EZ334="",NA(),SUM($EZ$4:EZ334))</f>
        <v>#N/A</v>
      </c>
      <c r="FB334" s="246">
        <f t="shared" si="652"/>
        <v>-1.1852548036758579</v>
      </c>
      <c r="FC334" s="246">
        <f>IF($FB334="",#N/A,SUM(FB$4:$FB334))</f>
        <v>3.7655529263749372</v>
      </c>
      <c r="FD334" s="60" t="str">
        <f t="shared" si="629"/>
        <v/>
      </c>
      <c r="FE334" s="60" t="e">
        <f>IF($FD334="",#N/A,SUM($FD$4:FD334))</f>
        <v>#N/A</v>
      </c>
      <c r="FF334" s="60" t="str">
        <f t="shared" si="630"/>
        <v/>
      </c>
      <c r="FG334" s="60" t="e">
        <f>IF($FF334="",#N/A,SUM($FF$4:FF334))</f>
        <v>#N/A</v>
      </c>
      <c r="FH334" s="60" t="str">
        <f t="shared" si="631"/>
        <v/>
      </c>
      <c r="FI334" s="60" t="e">
        <f>IF($FH334="",#N/A,SUM($FH$4:FH334))</f>
        <v>#N/A</v>
      </c>
      <c r="FJ334" s="60" t="str">
        <f t="shared" si="632"/>
        <v/>
      </c>
      <c r="FK334" s="60" t="e">
        <f>IF($FJ334="",#N/A,SUM($FJ$4:FJ334))</f>
        <v>#N/A</v>
      </c>
      <c r="FL334" s="60" t="str">
        <f t="shared" si="633"/>
        <v/>
      </c>
      <c r="FM334" s="60" t="e">
        <f>IF($FL334="",#N/A,SUM($FL$4:FL334))</f>
        <v>#N/A</v>
      </c>
      <c r="FN334" s="82">
        <f t="shared" si="634"/>
        <v>-0.55868838763575579</v>
      </c>
      <c r="FO334" s="82">
        <f>IF($FN334="",#N/A,SUM(FN$4:$FN334))</f>
        <v>52.910973795327692</v>
      </c>
      <c r="FP334" s="82">
        <f t="shared" si="653"/>
        <v>0.62656641604010199</v>
      </c>
      <c r="FQ334" s="246">
        <f>IF($EH334="",#N/A,SUM($FP$4:FP334))</f>
        <v>50.562376527204862</v>
      </c>
      <c r="FR334" s="82">
        <f>IFERROR(FQ334/COUNTA($J$4:J334),#N/A)</f>
        <v>0.15275642455348901</v>
      </c>
      <c r="FS334" s="82">
        <f t="shared" si="554"/>
        <v>-6.694792343257816E-2</v>
      </c>
      <c r="FT334" s="82">
        <f t="shared" si="555"/>
        <v>-0.23815526071769569</v>
      </c>
      <c r="FU334" s="338">
        <f t="shared" si="657"/>
        <v>26.210491887853649</v>
      </c>
      <c r="FV334" s="57" t="str">
        <f t="shared" si="560"/>
        <v>Dwn</v>
      </c>
      <c r="FW334" s="57" t="s">
        <v>2733</v>
      </c>
      <c r="FX334" s="57" t="str">
        <f t="shared" si="635"/>
        <v/>
      </c>
      <c r="FY334" s="57" t="str">
        <f t="shared" si="636"/>
        <v/>
      </c>
      <c r="FZ334" s="57" t="str">
        <f t="shared" si="637"/>
        <v/>
      </c>
      <c r="GA334" s="57" t="str">
        <f t="shared" si="638"/>
        <v>Short</v>
      </c>
      <c r="GB334" s="57">
        <f t="shared" si="639"/>
        <v>1</v>
      </c>
      <c r="GC334" s="57" t="str">
        <f t="shared" si="640"/>
        <v/>
      </c>
      <c r="GD334" s="57" t="str">
        <f t="shared" si="641"/>
        <v/>
      </c>
      <c r="GE334" s="62">
        <f t="shared" si="557"/>
        <v>31.92</v>
      </c>
      <c r="GF334" s="62" t="s">
        <v>2780</v>
      </c>
      <c r="GG334" s="199">
        <v>54</v>
      </c>
      <c r="GH334" s="207">
        <f t="shared" si="642"/>
        <v>1723.68</v>
      </c>
      <c r="GI334" s="199">
        <v>54</v>
      </c>
      <c r="GJ334" s="200">
        <v>30.72</v>
      </c>
      <c r="GK334" s="63">
        <f t="shared" si="643"/>
        <v>64.800000000000182</v>
      </c>
      <c r="GL334" s="63">
        <f t="shared" si="558"/>
        <v>-57.779999999999973</v>
      </c>
      <c r="GM334" s="82" t="str">
        <f t="shared" si="644"/>
        <v/>
      </c>
      <c r="GN334" s="82">
        <f>IF($GZ334="",#N/A,SUM(GM$4:GM334))</f>
        <v>7.8800207418187131</v>
      </c>
      <c r="GO334" s="82" t="str">
        <f t="shared" si="645"/>
        <v/>
      </c>
      <c r="GP334" s="82">
        <f>IF($GZ334="",#N/A,SUM(GO$4:GO334))</f>
        <v>14.594047508057683</v>
      </c>
      <c r="GQ334" s="82">
        <f t="shared" si="646"/>
        <v>-0.55868838763575579</v>
      </c>
      <c r="GR334" s="82">
        <f>IF($GZ334="",#N/A,SUM(GQ$4:GQ334))</f>
        <v>29.811068591008961</v>
      </c>
      <c r="GS334" s="63" t="str">
        <f t="shared" si="654"/>
        <v/>
      </c>
      <c r="GT334" s="63" t="e">
        <f>IF($GZ334="",#N/A,SUM(GS$4:GS334))</f>
        <v>#N/A</v>
      </c>
      <c r="GU334" s="63" t="str">
        <f t="shared" si="655"/>
        <v/>
      </c>
      <c r="GV334" s="63" t="e">
        <f>IF($GZ334="",#N/A,SUM(GU$4:GU334))</f>
        <v>#N/A</v>
      </c>
      <c r="GW334" s="63" t="e">
        <f t="shared" si="656"/>
        <v>#N/A</v>
      </c>
      <c r="GX334" s="63" t="e">
        <f>IF($GZ334="",#N/A,SUM(GW$4:GW334))</f>
        <v>#N/A</v>
      </c>
      <c r="GY334" s="63" t="e">
        <f>IF(EJ334="",#N/A,SUM($EJ$4:EJ334))</f>
        <v>#N/A</v>
      </c>
      <c r="GZ334" s="159">
        <v>32.99</v>
      </c>
      <c r="HA334" s="63">
        <f t="shared" si="647"/>
        <v>-122.58000000000015</v>
      </c>
      <c r="HB334" s="62" t="s">
        <v>2538</v>
      </c>
      <c r="HC334" s="60">
        <f>IFERROR(VLOOKUP(E334,Expectancy!$P$4:$S$19,1+C334,FALSE),"")</f>
        <v>0.18997806194873415</v>
      </c>
      <c r="HD334" s="82">
        <f t="shared" si="648"/>
        <v>0.62656641604010199</v>
      </c>
      <c r="HE334" s="138">
        <f>IF(HD334="",#N/A,SUM($HD$4:HD334))</f>
        <v>9.8218846393512074</v>
      </c>
      <c r="HF334" s="85">
        <f>IF(HD334="",#N/A,IF(HB334="Skip",#N/A,SUM($HG$4:HG334)))</f>
        <v>260.7065792191554</v>
      </c>
      <c r="HG334" s="63">
        <f t="shared" si="649"/>
        <v>64.800000000000182</v>
      </c>
      <c r="HH334" s="82">
        <f t="shared" si="650"/>
        <v>-0.55868838763575579</v>
      </c>
    </row>
    <row r="335" spans="1:216" x14ac:dyDescent="0.25">
      <c r="A335" s="57" t="s">
        <v>1558</v>
      </c>
      <c r="B335" s="58" t="s">
        <v>5243</v>
      </c>
      <c r="C335" s="386">
        <f t="shared" si="561"/>
        <v>3</v>
      </c>
      <c r="D335" s="372" t="str">
        <f>_xlfn.XLOOKUP(A335,[1]SP500!$A$2:$A$502,[1]SP500!$D$2:$D$502,"N")</f>
        <v>Y</v>
      </c>
      <c r="E335" s="57" t="str">
        <f>_xlfn.XLOOKUP(A335,[1]SP500!$A$2:$A$655,[1]SP500!$B$2:$B$655)</f>
        <v>XLY</v>
      </c>
      <c r="F335" s="59">
        <v>45706</v>
      </c>
      <c r="G335" s="57" t="str">
        <f t="shared" si="562"/>
        <v>BMO</v>
      </c>
      <c r="H335" s="57" t="str">
        <f t="shared" si="563"/>
        <v>s</v>
      </c>
      <c r="I335" s="159">
        <v>124.9</v>
      </c>
      <c r="J335" s="159">
        <v>124.38</v>
      </c>
      <c r="K335" s="61">
        <f t="shared" si="564"/>
        <v>-4.1633306645317072E-3</v>
      </c>
      <c r="L335" s="87">
        <f t="shared" si="565"/>
        <v>-6.7599999999999909</v>
      </c>
      <c r="M335" s="130">
        <f t="shared" si="556"/>
        <v>0</v>
      </c>
      <c r="N335" s="169" t="str">
        <f t="shared" si="566"/>
        <v/>
      </c>
      <c r="O335" s="169">
        <f>IF($J335="",#N/A,SUM($N$4:N335))</f>
        <v>540.40671935422461</v>
      </c>
      <c r="P335" s="174" t="str">
        <f t="shared" si="567"/>
        <v/>
      </c>
      <c r="Q335" s="174">
        <f>IF($J335="",#N/A,SUM($P$4:P335))</f>
        <v>285.16499224504298</v>
      </c>
      <c r="R335" s="178">
        <f t="shared" si="568"/>
        <v>-6.7599999999999909</v>
      </c>
      <c r="S335" s="178">
        <f>IF($J335="",#N/A,SUM($R$4:R335))</f>
        <v>102.62592918370615</v>
      </c>
      <c r="T335" s="290" t="str">
        <f t="shared" si="569"/>
        <v/>
      </c>
      <c r="U335" s="290">
        <f>IF($J335="",#N/A,SUM($T$4:T335))</f>
        <v>19.19648137254174</v>
      </c>
      <c r="V335" s="291" t="str">
        <f t="shared" si="570"/>
        <v/>
      </c>
      <c r="W335" s="291">
        <f>IF($J335="",#N/A,SUM($V$4:V335))</f>
        <v>22.46098947350189</v>
      </c>
      <c r="X335" s="292">
        <f t="shared" si="571"/>
        <v>-6.9388844408860326E-2</v>
      </c>
      <c r="Y335" s="292">
        <f>IF($J335="",#N/A,SUM($X$4:X335))</f>
        <v>8.8355168367523866</v>
      </c>
      <c r="Z335" s="304" t="str">
        <f t="shared" si="572"/>
        <v/>
      </c>
      <c r="AA335" s="313" t="e">
        <f>IF($J335="",#N/A,SUM(Z$4:Z335))</f>
        <v>#N/A</v>
      </c>
      <c r="AB335" s="314" t="str">
        <f t="shared" si="573"/>
        <v/>
      </c>
      <c r="AC335" s="314" t="e">
        <f>IF($J335="",#N/A,SUM(AB$4:AB335))</f>
        <v>#N/A</v>
      </c>
      <c r="AD335" s="315" t="str">
        <f t="shared" si="574"/>
        <v/>
      </c>
      <c r="AE335" s="315" t="e">
        <f>IF($J335="",#N/A,SUM(AD$4:AD335))</f>
        <v>#N/A</v>
      </c>
      <c r="AF335" s="315" t="e">
        <f>IF($J335="",#N/A,SUM(AD$4:AD335,AB$4:AB335,Z$4:Z335))</f>
        <v>#N/A</v>
      </c>
      <c r="AG335" s="304" t="str">
        <f t="shared" si="575"/>
        <v/>
      </c>
      <c r="AH335" s="313" t="e">
        <f>IF($J335="",#N/A,SUM(AG$4:AG335))</f>
        <v>#N/A</v>
      </c>
      <c r="AI335" s="314" t="str">
        <f t="shared" si="576"/>
        <v/>
      </c>
      <c r="AJ335" s="314" t="e">
        <f>IF($J335="",#N/A,SUM(AI$4:AI335))</f>
        <v>#N/A</v>
      </c>
      <c r="AK335" s="315" t="str">
        <f t="shared" si="577"/>
        <v/>
      </c>
      <c r="AL335" s="315" t="e">
        <f>IF($J335="",#N/A,SUM(AK$4:AK335))</f>
        <v>#N/A</v>
      </c>
      <c r="AM335" s="315" t="e">
        <f>IF($J335="",#N/A,SUM(AK$4:AK335,AI$4:AI335,AG$4:AG335))</f>
        <v>#N/A</v>
      </c>
      <c r="AN335" s="304" t="str">
        <f t="shared" si="578"/>
        <v/>
      </c>
      <c r="AO335" s="313" t="e">
        <f>IF($J335="",#N/A,SUM(AN$4:AN335))</f>
        <v>#N/A</v>
      </c>
      <c r="AP335" s="314" t="str">
        <f t="shared" si="579"/>
        <v/>
      </c>
      <c r="AQ335" s="314" t="e">
        <f>IF($J335="",#N/A,SUM(AP$4:AP335))</f>
        <v>#N/A</v>
      </c>
      <c r="AR335" s="315">
        <f t="shared" si="580"/>
        <v>-6.9388844408860326E-2</v>
      </c>
      <c r="AS335" s="315" t="e">
        <f>IF($J335="",#N/A,SUM(AR$4:AR335))</f>
        <v>#N/A</v>
      </c>
      <c r="AT335" s="315" t="e">
        <f>IF($J335="",#N/A,SUM(AR$4:AR335,AP$4:AP335,AN$4:AN335))</f>
        <v>#N/A</v>
      </c>
      <c r="AU335" s="304" t="str">
        <f t="shared" si="581"/>
        <v/>
      </c>
      <c r="AV335" s="313" t="e">
        <f>IF($J335="",#N/A,SUM(AU$4:AU335))</f>
        <v>#N/A</v>
      </c>
      <c r="AW335" s="314" t="str">
        <f t="shared" si="582"/>
        <v/>
      </c>
      <c r="AX335" s="314" t="e">
        <f>IF($J335="",#N/A,SUM(AW$4:AW335))</f>
        <v>#N/A</v>
      </c>
      <c r="AY335" s="315" t="str">
        <f t="shared" si="583"/>
        <v/>
      </c>
      <c r="AZ335" s="315" t="e">
        <f>IF($J335="",#N/A,SUM(AY$4:AY335))</f>
        <v>#N/A</v>
      </c>
      <c r="BA335" s="315" t="e">
        <f>IF($J335="",#N/A,SUM(AY$4:AY335,AW$4:AW335,AU$4:AU335))</f>
        <v>#N/A</v>
      </c>
      <c r="BB335" s="304" t="str">
        <f t="shared" si="584"/>
        <v/>
      </c>
      <c r="BC335" s="313" t="e">
        <f>IF($J335="",#N/A,SUM(BB$4:BB335))</f>
        <v>#N/A</v>
      </c>
      <c r="BD335" s="314" t="str">
        <f t="shared" si="585"/>
        <v/>
      </c>
      <c r="BE335" s="314" t="e">
        <f>IF($J335="",#N/A,SUM(BD$4:BD335))</f>
        <v>#N/A</v>
      </c>
      <c r="BF335" s="315" t="str">
        <f t="shared" si="586"/>
        <v/>
      </c>
      <c r="BG335" s="315" t="e">
        <f>IF($J335="",#N/A,SUM(BF$4:BF335))</f>
        <v>#N/A</v>
      </c>
      <c r="BH335" s="315" t="e">
        <f>IF($J335="",#N/A,SUM(BF$4:BF335,BD$4:BD335,BB$4:BB335))</f>
        <v>#N/A</v>
      </c>
      <c r="BI335" s="304" t="str">
        <f t="shared" si="587"/>
        <v/>
      </c>
      <c r="BJ335" s="313" t="e">
        <f>IF($J335="",#N/A,SUM(BI$4:BI335))</f>
        <v>#N/A</v>
      </c>
      <c r="BK335" s="314" t="str">
        <f t="shared" si="588"/>
        <v/>
      </c>
      <c r="BL335" s="314" t="e">
        <f>IF($J335="",#N/A,SUM(BK$4:BK335))</f>
        <v>#N/A</v>
      </c>
      <c r="BM335" s="315" t="str">
        <f t="shared" si="589"/>
        <v/>
      </c>
      <c r="BN335" s="315" t="e">
        <f>IF($J335="",#N/A,SUM(BM$4:BM335))</f>
        <v>#N/A</v>
      </c>
      <c r="BO335" s="315" t="e">
        <f>IF($J335="",#N/A,SUM(BM$4:BM335,BK$4:BK335,BI$4:BI335))</f>
        <v>#N/A</v>
      </c>
      <c r="BP335" s="304" t="str">
        <f t="shared" si="590"/>
        <v/>
      </c>
      <c r="BQ335" s="313" t="e">
        <f>IF($J335="",#N/A,SUM(BP$4:BP335))</f>
        <v>#N/A</v>
      </c>
      <c r="BR335" s="314" t="str">
        <f t="shared" si="591"/>
        <v/>
      </c>
      <c r="BS335" s="314" t="e">
        <f>IF($J335="",#N/A,SUM(BR$4:BR335))</f>
        <v>#N/A</v>
      </c>
      <c r="BT335" s="315" t="str">
        <f t="shared" si="592"/>
        <v/>
      </c>
      <c r="BU335" s="315" t="e">
        <f>IF($J335="",#N/A,SUM(BT$4:BT335))</f>
        <v>#N/A</v>
      </c>
      <c r="BV335" s="315" t="e">
        <f>IF($J335="",#N/A,SUM(BT$4:BT335,BR$4:BR335,BP$4:BP335))</f>
        <v>#N/A</v>
      </c>
      <c r="BW335" s="304" t="str">
        <f t="shared" si="593"/>
        <v/>
      </c>
      <c r="BX335" s="313" t="e">
        <f>IF($J335="",#N/A,SUM(BW$4:BW335))</f>
        <v>#N/A</v>
      </c>
      <c r="BY335" s="314" t="str">
        <f t="shared" si="594"/>
        <v/>
      </c>
      <c r="BZ335" s="314" t="e">
        <f>IF($J335="",#N/A,SUM(BY$4:BY335))</f>
        <v>#N/A</v>
      </c>
      <c r="CA335" s="315" t="str">
        <f t="shared" si="595"/>
        <v/>
      </c>
      <c r="CB335" s="315" t="e">
        <f>IF($J335="",#N/A,SUM(CA$4:CA335))</f>
        <v>#N/A</v>
      </c>
      <c r="CC335" s="315" t="e">
        <f>IF($J335="",#N/A,SUM(CA$4:CA335,BY$4:BY335,BW$4:BW335))</f>
        <v>#N/A</v>
      </c>
      <c r="CD335" s="304" t="str">
        <f t="shared" si="596"/>
        <v/>
      </c>
      <c r="CE335" s="313" t="e">
        <f>IF($J335="",#N/A,SUM(CD$4:CD335))</f>
        <v>#N/A</v>
      </c>
      <c r="CF335" s="314" t="str">
        <f t="shared" si="597"/>
        <v/>
      </c>
      <c r="CG335" s="314" t="e">
        <f>IF($J335="",#N/A,SUM(CF$4:CF335))</f>
        <v>#N/A</v>
      </c>
      <c r="CH335" s="315" t="str">
        <f t="shared" si="598"/>
        <v/>
      </c>
      <c r="CI335" s="315" t="e">
        <f>IF($J335="",#N/A,SUM(CH$4:CH335))</f>
        <v>#N/A</v>
      </c>
      <c r="CJ335" s="315" t="e">
        <f>IF($J335="",#N/A,SUM(CH$4:CH335,CF$4:CF335,CD$4:CD335))</f>
        <v>#N/A</v>
      </c>
      <c r="CK335" s="304" t="str">
        <f t="shared" si="599"/>
        <v/>
      </c>
      <c r="CL335" s="313" t="e">
        <f>IF($J335="",#N/A,SUM(CK$4:CK335))</f>
        <v>#N/A</v>
      </c>
      <c r="CM335" s="314" t="str">
        <f t="shared" si="600"/>
        <v/>
      </c>
      <c r="CN335" s="314" t="e">
        <f>IF($J335="",#N/A,SUM(CM$4:CM335))</f>
        <v>#N/A</v>
      </c>
      <c r="CO335" s="315" t="str">
        <f t="shared" si="601"/>
        <v/>
      </c>
      <c r="CP335" s="315" t="e">
        <f>IF($J335="",#N/A,SUM(CO$4:CO335))</f>
        <v>#N/A</v>
      </c>
      <c r="CQ335" s="315" t="e">
        <f>IF($J335="",#N/A,SUM(CO$4:CO335,CM$4:CM335,CK$4:CK335))</f>
        <v>#N/A</v>
      </c>
      <c r="CR335" s="304" t="str">
        <f t="shared" si="602"/>
        <v/>
      </c>
      <c r="CS335" s="313" t="e">
        <f>IF($J335="",#N/A,SUM(CR$4:CR335))</f>
        <v>#N/A</v>
      </c>
      <c r="CT335" s="314" t="str">
        <f t="shared" si="603"/>
        <v/>
      </c>
      <c r="CU335" s="314" t="e">
        <f>IF($J335="",#N/A,SUM(CT$4:CT335))</f>
        <v>#N/A</v>
      </c>
      <c r="CV335" s="315" t="str">
        <f t="shared" si="604"/>
        <v/>
      </c>
      <c r="CW335" s="315" t="e">
        <f>IF($J335="",#N/A,SUM(CV$4:CV335))</f>
        <v>#N/A</v>
      </c>
      <c r="CX335" s="315" t="e">
        <f>IF($J335="",#N/A,SUM(CV$4:CV335,CT$4:CT335,CR$4:CR335))</f>
        <v>#N/A</v>
      </c>
      <c r="CY335" s="304" t="str">
        <f t="shared" si="605"/>
        <v/>
      </c>
      <c r="CZ335" s="313" t="e">
        <f>IF($J335="",#N/A,SUM(CY$4:CY335))</f>
        <v>#N/A</v>
      </c>
      <c r="DA335" s="314" t="str">
        <f t="shared" si="606"/>
        <v/>
      </c>
      <c r="DB335" s="314" t="e">
        <f>IF($J335="",#N/A,SUM(DA$4:DA335))</f>
        <v>#N/A</v>
      </c>
      <c r="DC335" s="315" t="str">
        <f t="shared" si="607"/>
        <v/>
      </c>
      <c r="DD335" s="315" t="e">
        <f>IF($J335="",#N/A,SUM(DC$4:DC335))</f>
        <v>#N/A</v>
      </c>
      <c r="DE335" s="315" t="e">
        <f>IF($J335="",#N/A,SUM(DC$4:DC335,DA$4:DA335,CY$4:CY335))</f>
        <v>#N/A</v>
      </c>
      <c r="DF335" s="304" t="str">
        <f t="shared" si="608"/>
        <v/>
      </c>
      <c r="DG335" s="313" t="e">
        <f>IF($J335="",#N/A,SUM(DF$4:DF335))</f>
        <v>#N/A</v>
      </c>
      <c r="DH335" s="314" t="str">
        <f t="shared" si="609"/>
        <v/>
      </c>
      <c r="DI335" s="314" t="e">
        <f>IF($J335="",#N/A,SUM(DH$4:DH335))</f>
        <v>#N/A</v>
      </c>
      <c r="DJ335" s="315" t="str">
        <f t="shared" si="610"/>
        <v/>
      </c>
      <c r="DK335" s="315" t="e">
        <f>IF($J335="",#N/A,SUM(DJ$4:DJ335))</f>
        <v>#N/A</v>
      </c>
      <c r="DL335" s="315" t="e">
        <f>IF($J335="",#N/A,SUM(DJ$4:DJ335,DH$4:DH335,DF$4:DF335))</f>
        <v>#N/A</v>
      </c>
      <c r="DM335" s="304" t="str">
        <f t="shared" si="611"/>
        <v/>
      </c>
      <c r="DN335" s="313" t="e">
        <f>IF($J335="",#N/A,SUM(DM$4:DM335))</f>
        <v>#N/A</v>
      </c>
      <c r="DO335" s="314" t="str">
        <f t="shared" si="612"/>
        <v/>
      </c>
      <c r="DP335" s="314" t="e">
        <f>IF($J335="",#N/A,SUM(DO$4:DO335))</f>
        <v>#N/A</v>
      </c>
      <c r="DQ335" s="315" t="str">
        <f t="shared" si="613"/>
        <v/>
      </c>
      <c r="DR335" s="315" t="e">
        <f>IF($J335="",#N/A,SUM(DQ$4:DQ335))</f>
        <v>#N/A</v>
      </c>
      <c r="DS335" s="315" t="e">
        <f>IF($J335="",#N/A,SUM(DQ$4:DQ335,DO$4:DO335,DM$4:DM335))</f>
        <v>#N/A</v>
      </c>
      <c r="DT335" s="304" t="str">
        <f t="shared" si="614"/>
        <v/>
      </c>
      <c r="DU335" s="313" t="e">
        <f>IF($J335="",#N/A,SUM(DT$4:DT335))</f>
        <v>#N/A</v>
      </c>
      <c r="DV335" s="314" t="str">
        <f t="shared" si="615"/>
        <v/>
      </c>
      <c r="DW335" s="314" t="e">
        <f>IF($J335="",#N/A,SUM(DV$4:DV335))</f>
        <v>#N/A</v>
      </c>
      <c r="DX335" s="315" t="str">
        <f t="shared" si="616"/>
        <v/>
      </c>
      <c r="DY335" s="315" t="e">
        <f>IF($J335="",#N/A,SUM(DX$4:DX335))</f>
        <v>#N/A</v>
      </c>
      <c r="DZ335" s="315" t="e">
        <f>IF($J335="",#N/A,SUM(DX$4:DX335,DV$4:DV335,DT$4:DT335))</f>
        <v>#N/A</v>
      </c>
      <c r="EA335" s="304" t="str">
        <f t="shared" si="617"/>
        <v/>
      </c>
      <c r="EB335" s="313" t="e">
        <f>IF($J335="",#N/A,SUM(EA$4:EA335))</f>
        <v>#N/A</v>
      </c>
      <c r="EC335" s="314" t="str">
        <f t="shared" si="618"/>
        <v/>
      </c>
      <c r="ED335" s="314" t="e">
        <f>IF($J335="",#N/A,SUM(EC$4:EC335))</f>
        <v>#N/A</v>
      </c>
      <c r="EE335" s="315" t="str">
        <f t="shared" si="619"/>
        <v/>
      </c>
      <c r="EF335" s="315" t="e">
        <f>IF($J335="",#N/A,SUM(EE$4:EE335))</f>
        <v>#N/A</v>
      </c>
      <c r="EG335" s="315" t="e">
        <f>IF($J335="",#N/A,SUM(EE$4:EE335,EC$4:EC335,EA$4:EA335))</f>
        <v>#N/A</v>
      </c>
      <c r="EH335" s="130">
        <f t="shared" si="620"/>
        <v>-6.7599999999999909</v>
      </c>
      <c r="EI335" s="63">
        <f>IF(EH335="",#N/A,SUM($EH$4:EH335))</f>
        <v>928.19764078297385</v>
      </c>
      <c r="EJ335" s="223" t="e">
        <f t="shared" si="621"/>
        <v>#N/A</v>
      </c>
      <c r="EK335" s="63" t="e">
        <f>IF($GZ335="",#N/A,SUM(EJ$4:EJ335))</f>
        <v>#N/A</v>
      </c>
      <c r="EL335" s="60">
        <f t="shared" si="651"/>
        <v>-6.9388844408860326E-2</v>
      </c>
      <c r="EM335" s="60">
        <f>IF(EL335="",NA(),SUM($EL$4:EL335))</f>
        <v>30.904423738553028</v>
      </c>
      <c r="EN335" s="60" t="str">
        <f t="shared" si="622"/>
        <v/>
      </c>
      <c r="EO335" s="60" t="e">
        <f>IF(EN335="",NA(),SUM($EN$4:EN335))</f>
        <v>#N/A</v>
      </c>
      <c r="EP335" s="60">
        <f t="shared" si="623"/>
        <v>-6.9388844408860326E-2</v>
      </c>
      <c r="EQ335" s="60">
        <f>IF(EP335="",NA(),SUM($EP$4:EP335))</f>
        <v>6.5799110632727418</v>
      </c>
      <c r="ER335" s="60" t="str">
        <f t="shared" si="624"/>
        <v/>
      </c>
      <c r="ES335" s="60" t="e">
        <f>IF(ER335="",NA(),SUM($ER$4:ER335))</f>
        <v>#N/A</v>
      </c>
      <c r="ET335" s="60" t="str">
        <f t="shared" si="625"/>
        <v/>
      </c>
      <c r="EU335" s="60" t="e">
        <f>IF(ET335="",NA(),SUM($ET$4:ET335))</f>
        <v>#N/A</v>
      </c>
      <c r="EV335" s="60" t="str">
        <f t="shared" si="626"/>
        <v/>
      </c>
      <c r="EW335" s="60" t="e">
        <f>IF(EV335="",NA(),SUM($EV$4:EV335))</f>
        <v>#N/A</v>
      </c>
      <c r="EX335" s="60" t="str">
        <f t="shared" si="627"/>
        <v/>
      </c>
      <c r="EY335" s="60" t="e">
        <f>IF(EX335="",NA(),SUM($EX$4:EX335))</f>
        <v>#N/A</v>
      </c>
      <c r="EZ335" s="60" t="str">
        <f t="shared" si="628"/>
        <v/>
      </c>
      <c r="FA335" s="60" t="e">
        <f>IF(EZ335="",NA(),SUM($EZ$4:EZ335))</f>
        <v>#N/A</v>
      </c>
      <c r="FB335" s="246" t="str">
        <f t="shared" si="652"/>
        <v/>
      </c>
      <c r="FC335" s="246" t="e">
        <f>IF($FB335="",#N/A,SUM(FB$4:$FB335))</f>
        <v>#N/A</v>
      </c>
      <c r="FD335" s="60" t="str">
        <f t="shared" si="629"/>
        <v/>
      </c>
      <c r="FE335" s="60" t="e">
        <f>IF($FD335="",#N/A,SUM($FD$4:FD335))</f>
        <v>#N/A</v>
      </c>
      <c r="FF335" s="60" t="str">
        <f t="shared" si="630"/>
        <v/>
      </c>
      <c r="FG335" s="60" t="e">
        <f>IF($FF335="",#N/A,SUM($FF$4:FF335))</f>
        <v>#N/A</v>
      </c>
      <c r="FH335" s="60" t="str">
        <f t="shared" si="631"/>
        <v/>
      </c>
      <c r="FI335" s="60" t="e">
        <f>IF($FH335="",#N/A,SUM($FH$4:FH335))</f>
        <v>#N/A</v>
      </c>
      <c r="FJ335" s="60" t="str">
        <f t="shared" si="632"/>
        <v/>
      </c>
      <c r="FK335" s="60" t="e">
        <f>IF($FJ335="",#N/A,SUM($FJ$4:FJ335))</f>
        <v>#N/A</v>
      </c>
      <c r="FL335" s="60">
        <f t="shared" si="633"/>
        <v>-0.3642914331465173</v>
      </c>
      <c r="FM335" s="60">
        <f>IF($FL335="",#N/A,SUM($FL$4:FL335))</f>
        <v>-1.5211733092404331</v>
      </c>
      <c r="FN335" s="82">
        <f t="shared" si="634"/>
        <v>-0.43368027755537764</v>
      </c>
      <c r="FO335" s="82">
        <f>IF($FN335="",#N/A,SUM(FN$4:$FN335))</f>
        <v>52.477293517772317</v>
      </c>
      <c r="FP335" s="82">
        <f t="shared" si="653"/>
        <v>-6.9388844408860326E-2</v>
      </c>
      <c r="FQ335" s="246">
        <f>IF($EH335="",#N/A,SUM($FP$4:FP335))</f>
        <v>50.492987682795999</v>
      </c>
      <c r="FR335" s="82">
        <f>IFERROR(FQ335/COUNTA($J$4:J335),#N/A)</f>
        <v>0.1520873122975783</v>
      </c>
      <c r="FS335" s="82">
        <f t="shared" si="554"/>
        <v>-5.9802466937447181E-2</v>
      </c>
      <c r="FT335" s="82">
        <f t="shared" si="555"/>
        <v>-0.15985235459685299</v>
      </c>
      <c r="FU335" s="338">
        <f t="shared" si="657"/>
        <v>26.210491887853649</v>
      </c>
      <c r="FV335" s="57" t="str">
        <f t="shared" si="560"/>
        <v>SW</v>
      </c>
      <c r="FW335" s="57" t="s">
        <v>2732</v>
      </c>
      <c r="FX335" s="57" t="str">
        <f t="shared" si="635"/>
        <v/>
      </c>
      <c r="FY335" s="57" t="str">
        <f t="shared" si="636"/>
        <v/>
      </c>
      <c r="FZ335" s="57" t="str">
        <f t="shared" si="637"/>
        <v/>
      </c>
      <c r="GA335" s="57" t="str">
        <f t="shared" si="638"/>
        <v>Long</v>
      </c>
      <c r="GB335" s="57" t="str">
        <f t="shared" si="639"/>
        <v/>
      </c>
      <c r="GC335" s="57" t="str">
        <f t="shared" si="640"/>
        <v/>
      </c>
      <c r="GD335" s="57">
        <f t="shared" si="641"/>
        <v>1</v>
      </c>
      <c r="GE335" s="62">
        <f t="shared" si="557"/>
        <v>124.9</v>
      </c>
      <c r="GF335" s="62" t="s">
        <v>2779</v>
      </c>
      <c r="GG335" s="199">
        <v>13</v>
      </c>
      <c r="GH335" s="207">
        <f t="shared" si="642"/>
        <v>1623.7</v>
      </c>
      <c r="GI335" s="199">
        <v>13</v>
      </c>
      <c r="GJ335" s="200">
        <v>124.38</v>
      </c>
      <c r="GK335" s="63">
        <f t="shared" si="643"/>
        <v>-6.7599999999999909</v>
      </c>
      <c r="GL335" s="63">
        <f t="shared" si="558"/>
        <v>-42.25</v>
      </c>
      <c r="GM335" s="82">
        <f t="shared" si="644"/>
        <v>-0.43368027755537764</v>
      </c>
      <c r="GN335" s="82">
        <f>IF($GZ335="",#N/A,SUM(GM$4:GM335))</f>
        <v>7.4463404642633355</v>
      </c>
      <c r="GO335" s="82" t="str">
        <f t="shared" si="645"/>
        <v/>
      </c>
      <c r="GP335" s="82">
        <f>IF($GZ335="",#N/A,SUM(GO$4:GO335))</f>
        <v>14.594047508057683</v>
      </c>
      <c r="GQ335" s="82" t="str">
        <f t="shared" si="646"/>
        <v/>
      </c>
      <c r="GR335" s="82">
        <f>IF($GZ335="",#N/A,SUM(GQ$4:GQ335))</f>
        <v>29.811068591008961</v>
      </c>
      <c r="GS335" s="63" t="e">
        <f t="shared" si="654"/>
        <v>#N/A</v>
      </c>
      <c r="GT335" s="63" t="e">
        <f>IF($GZ335="",#N/A,SUM(GS$4:GS335))</f>
        <v>#N/A</v>
      </c>
      <c r="GU335" s="63" t="str">
        <f t="shared" si="655"/>
        <v/>
      </c>
      <c r="GV335" s="63" t="e">
        <f>IF($GZ335="",#N/A,SUM(GU$4:GU335))</f>
        <v>#N/A</v>
      </c>
      <c r="GW335" s="63" t="str">
        <f t="shared" si="656"/>
        <v/>
      </c>
      <c r="GX335" s="63" t="e">
        <f>IF($GZ335="",#N/A,SUM(GW$4:GW335))</f>
        <v>#N/A</v>
      </c>
      <c r="GY335" s="63" t="e">
        <f>IF(EJ335="",#N/A,SUM($EJ$4:EJ335))</f>
        <v>#N/A</v>
      </c>
      <c r="GZ335" s="159">
        <v>121.65</v>
      </c>
      <c r="HA335" s="63">
        <f t="shared" si="647"/>
        <v>-35.490000000000009</v>
      </c>
      <c r="HB335" s="62" t="s">
        <v>2538</v>
      </c>
      <c r="HC335" s="60">
        <f>IFERROR(VLOOKUP(E335,Expectancy!$P$4:$S$19,1+C335,FALSE),"")</f>
        <v>0.48685636958953199</v>
      </c>
      <c r="HD335" s="82">
        <f t="shared" si="648"/>
        <v>-6.9388844408860326E-2</v>
      </c>
      <c r="HE335" s="138">
        <f>IF(HD335="",#N/A,SUM($HD$4:HD335))</f>
        <v>9.7524957949423463</v>
      </c>
      <c r="HF335" s="85">
        <f>IF(HD335="",#N/A,IF(HB335="Skip",#N/A,SUM($HG$4:HG335)))</f>
        <v>253.94657921915541</v>
      </c>
      <c r="HG335" s="62">
        <f t="shared" si="649"/>
        <v>-6.7599999999999909</v>
      </c>
      <c r="HH335" s="82">
        <f t="shared" si="650"/>
        <v>-0.43368027755537764</v>
      </c>
    </row>
    <row r="336" spans="1:216" x14ac:dyDescent="0.25">
      <c r="A336" s="57" t="s">
        <v>1082</v>
      </c>
      <c r="B336" s="58" t="s">
        <v>5243</v>
      </c>
      <c r="C336" s="386">
        <f t="shared" si="561"/>
        <v>1</v>
      </c>
      <c r="D336" s="372" t="str">
        <f>_xlfn.XLOOKUP(A336,[1]SP500!$A$2:$A$502,[1]SP500!$D$2:$D$502,"N")</f>
        <v>Y</v>
      </c>
      <c r="E336" s="57" t="str">
        <f>_xlfn.XLOOKUP(A336,[1]SP500!$A$2:$A$655,[1]SP500!$B$2:$B$655)</f>
        <v>XLV</v>
      </c>
      <c r="F336" s="59">
        <v>45706</v>
      </c>
      <c r="G336" s="57" t="str">
        <f t="shared" si="562"/>
        <v>BMO</v>
      </c>
      <c r="H336" s="57" t="str">
        <f t="shared" si="563"/>
        <v>s</v>
      </c>
      <c r="I336" s="159">
        <v>92.81</v>
      </c>
      <c r="J336" s="159">
        <v>87.96</v>
      </c>
      <c r="K336" s="61">
        <f t="shared" si="564"/>
        <v>-5.2257299859928975E-2</v>
      </c>
      <c r="L336" s="87">
        <f t="shared" si="565"/>
        <v>-87.299999999999955</v>
      </c>
      <c r="M336" s="130">
        <f t="shared" si="556"/>
        <v>-13.319999999999936</v>
      </c>
      <c r="N336" s="169">
        <f t="shared" si="566"/>
        <v>-87.299999999999955</v>
      </c>
      <c r="O336" s="169">
        <f>IF($J336="",#N/A,SUM($N$4:N336))</f>
        <v>453.10671935422465</v>
      </c>
      <c r="P336" s="174" t="str">
        <f t="shared" si="567"/>
        <v/>
      </c>
      <c r="Q336" s="174">
        <f>IF($J336="",#N/A,SUM($P$4:P336))</f>
        <v>285.16499224504298</v>
      </c>
      <c r="R336" s="178" t="str">
        <f t="shared" si="568"/>
        <v/>
      </c>
      <c r="S336" s="178">
        <f>IF($J336="",#N/A,SUM($R$4:R336))</f>
        <v>102.62592918370615</v>
      </c>
      <c r="T336" s="290">
        <f t="shared" si="569"/>
        <v>-0.87095499766548101</v>
      </c>
      <c r="U336" s="290">
        <f>IF($J336="",#N/A,SUM($T$4:T336))</f>
        <v>18.325526374876258</v>
      </c>
      <c r="V336" s="291" t="str">
        <f t="shared" si="570"/>
        <v/>
      </c>
      <c r="W336" s="291">
        <f>IF($J336="",#N/A,SUM($V$4:V336))</f>
        <v>22.46098947350189</v>
      </c>
      <c r="X336" s="292" t="str">
        <f t="shared" si="571"/>
        <v/>
      </c>
      <c r="Y336" s="292">
        <f>IF($J336="",#N/A,SUM($X$4:X336))</f>
        <v>8.8355168367523866</v>
      </c>
      <c r="Z336" s="304" t="str">
        <f t="shared" si="572"/>
        <v/>
      </c>
      <c r="AA336" s="313" t="e">
        <f>IF($J336="",#N/A,SUM(Z$4:Z336))</f>
        <v>#N/A</v>
      </c>
      <c r="AB336" s="314" t="str">
        <f t="shared" si="573"/>
        <v/>
      </c>
      <c r="AC336" s="314" t="e">
        <f>IF($J336="",#N/A,SUM(AB$4:AB336))</f>
        <v>#N/A</v>
      </c>
      <c r="AD336" s="315" t="str">
        <f t="shared" si="574"/>
        <v/>
      </c>
      <c r="AE336" s="315" t="e">
        <f>IF($J336="",#N/A,SUM(AD$4:AD336))</f>
        <v>#N/A</v>
      </c>
      <c r="AF336" s="315" t="e">
        <f>IF($J336="",#N/A,SUM(AD$4:AD336,AB$4:AB336,Z$4:Z336))</f>
        <v>#N/A</v>
      </c>
      <c r="AG336" s="304" t="str">
        <f t="shared" si="575"/>
        <v/>
      </c>
      <c r="AH336" s="313" t="e">
        <f>IF($J336="",#N/A,SUM(AG$4:AG336))</f>
        <v>#N/A</v>
      </c>
      <c r="AI336" s="314" t="str">
        <f t="shared" si="576"/>
        <v/>
      </c>
      <c r="AJ336" s="314" t="e">
        <f>IF($J336="",#N/A,SUM(AI$4:AI336))</f>
        <v>#N/A</v>
      </c>
      <c r="AK336" s="315" t="str">
        <f t="shared" si="577"/>
        <v/>
      </c>
      <c r="AL336" s="315" t="e">
        <f>IF($J336="",#N/A,SUM(AK$4:AK336))</f>
        <v>#N/A</v>
      </c>
      <c r="AM336" s="315" t="e">
        <f>IF($J336="",#N/A,SUM(AK$4:AK336,AI$4:AI336,AG$4:AG336))</f>
        <v>#N/A</v>
      </c>
      <c r="AN336" s="304" t="str">
        <f t="shared" si="578"/>
        <v/>
      </c>
      <c r="AO336" s="313" t="e">
        <f>IF($J336="",#N/A,SUM(AN$4:AN336))</f>
        <v>#N/A</v>
      </c>
      <c r="AP336" s="314" t="str">
        <f t="shared" si="579"/>
        <v/>
      </c>
      <c r="AQ336" s="314" t="e">
        <f>IF($J336="",#N/A,SUM(AP$4:AP336))</f>
        <v>#N/A</v>
      </c>
      <c r="AR336" s="315" t="str">
        <f t="shared" si="580"/>
        <v/>
      </c>
      <c r="AS336" s="315" t="e">
        <f>IF($J336="",#N/A,SUM(AR$4:AR336))</f>
        <v>#N/A</v>
      </c>
      <c r="AT336" s="315" t="e">
        <f>IF($J336="",#N/A,SUM(AR$4:AR336,AP$4:AP336,AN$4:AN336))</f>
        <v>#N/A</v>
      </c>
      <c r="AU336" s="304" t="str">
        <f t="shared" si="581"/>
        <v/>
      </c>
      <c r="AV336" s="313" t="e">
        <f>IF($J336="",#N/A,SUM(AU$4:AU336))</f>
        <v>#N/A</v>
      </c>
      <c r="AW336" s="314" t="str">
        <f t="shared" si="582"/>
        <v/>
      </c>
      <c r="AX336" s="314" t="e">
        <f>IF($J336="",#N/A,SUM(AW$4:AW336))</f>
        <v>#N/A</v>
      </c>
      <c r="AY336" s="315" t="str">
        <f t="shared" si="583"/>
        <v/>
      </c>
      <c r="AZ336" s="315" t="e">
        <f>IF($J336="",#N/A,SUM(AY$4:AY336))</f>
        <v>#N/A</v>
      </c>
      <c r="BA336" s="315" t="e">
        <f>IF($J336="",#N/A,SUM(AY$4:AY336,AW$4:AW336,AU$4:AU336))</f>
        <v>#N/A</v>
      </c>
      <c r="BB336" s="304" t="str">
        <f t="shared" si="584"/>
        <v/>
      </c>
      <c r="BC336" s="313" t="e">
        <f>IF($J336="",#N/A,SUM(BB$4:BB336))</f>
        <v>#N/A</v>
      </c>
      <c r="BD336" s="314" t="str">
        <f t="shared" si="585"/>
        <v/>
      </c>
      <c r="BE336" s="314" t="e">
        <f>IF($J336="",#N/A,SUM(BD$4:BD336))</f>
        <v>#N/A</v>
      </c>
      <c r="BF336" s="315" t="str">
        <f t="shared" si="586"/>
        <v/>
      </c>
      <c r="BG336" s="315" t="e">
        <f>IF($J336="",#N/A,SUM(BF$4:BF336))</f>
        <v>#N/A</v>
      </c>
      <c r="BH336" s="315" t="e">
        <f>IF($J336="",#N/A,SUM(BF$4:BF336,BD$4:BD336,BB$4:BB336))</f>
        <v>#N/A</v>
      </c>
      <c r="BI336" s="304" t="str">
        <f t="shared" si="587"/>
        <v/>
      </c>
      <c r="BJ336" s="313" t="e">
        <f>IF($J336="",#N/A,SUM(BI$4:BI336))</f>
        <v>#N/A</v>
      </c>
      <c r="BK336" s="314" t="str">
        <f t="shared" si="588"/>
        <v/>
      </c>
      <c r="BL336" s="314" t="e">
        <f>IF($J336="",#N/A,SUM(BK$4:BK336))</f>
        <v>#N/A</v>
      </c>
      <c r="BM336" s="315" t="str">
        <f t="shared" si="589"/>
        <v/>
      </c>
      <c r="BN336" s="315" t="e">
        <f>IF($J336="",#N/A,SUM(BM$4:BM336))</f>
        <v>#N/A</v>
      </c>
      <c r="BO336" s="315" t="e">
        <f>IF($J336="",#N/A,SUM(BM$4:BM336,BK$4:BK336,BI$4:BI336))</f>
        <v>#N/A</v>
      </c>
      <c r="BP336" s="304" t="str">
        <f t="shared" si="590"/>
        <v/>
      </c>
      <c r="BQ336" s="313" t="e">
        <f>IF($J336="",#N/A,SUM(BP$4:BP336))</f>
        <v>#N/A</v>
      </c>
      <c r="BR336" s="314" t="str">
        <f t="shared" si="591"/>
        <v/>
      </c>
      <c r="BS336" s="314" t="e">
        <f>IF($J336="",#N/A,SUM(BR$4:BR336))</f>
        <v>#N/A</v>
      </c>
      <c r="BT336" s="315" t="str">
        <f t="shared" si="592"/>
        <v/>
      </c>
      <c r="BU336" s="315" t="e">
        <f>IF($J336="",#N/A,SUM(BT$4:BT336))</f>
        <v>#N/A</v>
      </c>
      <c r="BV336" s="315" t="e">
        <f>IF($J336="",#N/A,SUM(BT$4:BT336,BR$4:BR336,BP$4:BP336))</f>
        <v>#N/A</v>
      </c>
      <c r="BW336" s="304">
        <f t="shared" si="593"/>
        <v>-0.87095499766548101</v>
      </c>
      <c r="BX336" s="313" t="e">
        <f>IF($J336="",#N/A,SUM(BW$4:BW336))</f>
        <v>#N/A</v>
      </c>
      <c r="BY336" s="314" t="str">
        <f t="shared" si="594"/>
        <v/>
      </c>
      <c r="BZ336" s="314" t="e">
        <f>IF($J336="",#N/A,SUM(BY$4:BY336))</f>
        <v>#N/A</v>
      </c>
      <c r="CA336" s="315" t="str">
        <f t="shared" si="595"/>
        <v/>
      </c>
      <c r="CB336" s="315" t="e">
        <f>IF($J336="",#N/A,SUM(CA$4:CA336))</f>
        <v>#N/A</v>
      </c>
      <c r="CC336" s="315" t="e">
        <f>IF($J336="",#N/A,SUM(CA$4:CA336,BY$4:BY336,BW$4:BW336))</f>
        <v>#N/A</v>
      </c>
      <c r="CD336" s="304" t="str">
        <f t="shared" si="596"/>
        <v/>
      </c>
      <c r="CE336" s="313" t="e">
        <f>IF($J336="",#N/A,SUM(CD$4:CD336))</f>
        <v>#N/A</v>
      </c>
      <c r="CF336" s="314" t="str">
        <f t="shared" si="597"/>
        <v/>
      </c>
      <c r="CG336" s="314" t="e">
        <f>IF($J336="",#N/A,SUM(CF$4:CF336))</f>
        <v>#N/A</v>
      </c>
      <c r="CH336" s="315" t="str">
        <f t="shared" si="598"/>
        <v/>
      </c>
      <c r="CI336" s="315" t="e">
        <f>IF($J336="",#N/A,SUM(CH$4:CH336))</f>
        <v>#N/A</v>
      </c>
      <c r="CJ336" s="315" t="e">
        <f>IF($J336="",#N/A,SUM(CH$4:CH336,CF$4:CF336,CD$4:CD336))</f>
        <v>#N/A</v>
      </c>
      <c r="CK336" s="304" t="str">
        <f t="shared" si="599"/>
        <v/>
      </c>
      <c r="CL336" s="313" t="e">
        <f>IF($J336="",#N/A,SUM(CK$4:CK336))</f>
        <v>#N/A</v>
      </c>
      <c r="CM336" s="314" t="str">
        <f t="shared" si="600"/>
        <v/>
      </c>
      <c r="CN336" s="314" t="e">
        <f>IF($J336="",#N/A,SUM(CM$4:CM336))</f>
        <v>#N/A</v>
      </c>
      <c r="CO336" s="315" t="str">
        <f t="shared" si="601"/>
        <v/>
      </c>
      <c r="CP336" s="315" t="e">
        <f>IF($J336="",#N/A,SUM(CO$4:CO336))</f>
        <v>#N/A</v>
      </c>
      <c r="CQ336" s="315" t="e">
        <f>IF($J336="",#N/A,SUM(CO$4:CO336,CM$4:CM336,CK$4:CK336))</f>
        <v>#N/A</v>
      </c>
      <c r="CR336" s="304" t="str">
        <f t="shared" si="602"/>
        <v/>
      </c>
      <c r="CS336" s="313" t="e">
        <f>IF($J336="",#N/A,SUM(CR$4:CR336))</f>
        <v>#N/A</v>
      </c>
      <c r="CT336" s="314" t="str">
        <f t="shared" si="603"/>
        <v/>
      </c>
      <c r="CU336" s="314" t="e">
        <f>IF($J336="",#N/A,SUM(CT$4:CT336))</f>
        <v>#N/A</v>
      </c>
      <c r="CV336" s="315" t="str">
        <f t="shared" si="604"/>
        <v/>
      </c>
      <c r="CW336" s="315" t="e">
        <f>IF($J336="",#N/A,SUM(CV$4:CV336))</f>
        <v>#N/A</v>
      </c>
      <c r="CX336" s="315" t="e">
        <f>IF($J336="",#N/A,SUM(CV$4:CV336,CT$4:CT336,CR$4:CR336))</f>
        <v>#N/A</v>
      </c>
      <c r="CY336" s="304" t="str">
        <f t="shared" si="605"/>
        <v/>
      </c>
      <c r="CZ336" s="313" t="e">
        <f>IF($J336="",#N/A,SUM(CY$4:CY336))</f>
        <v>#N/A</v>
      </c>
      <c r="DA336" s="314" t="str">
        <f t="shared" si="606"/>
        <v/>
      </c>
      <c r="DB336" s="314" t="e">
        <f>IF($J336="",#N/A,SUM(DA$4:DA336))</f>
        <v>#N/A</v>
      </c>
      <c r="DC336" s="315" t="str">
        <f t="shared" si="607"/>
        <v/>
      </c>
      <c r="DD336" s="315" t="e">
        <f>IF($J336="",#N/A,SUM(DC$4:DC336))</f>
        <v>#N/A</v>
      </c>
      <c r="DE336" s="315" t="e">
        <f>IF($J336="",#N/A,SUM(DC$4:DC336,DA$4:DA336,CY$4:CY336))</f>
        <v>#N/A</v>
      </c>
      <c r="DF336" s="304" t="str">
        <f t="shared" si="608"/>
        <v/>
      </c>
      <c r="DG336" s="313" t="e">
        <f>IF($J336="",#N/A,SUM(DF$4:DF336))</f>
        <v>#N/A</v>
      </c>
      <c r="DH336" s="314" t="str">
        <f t="shared" si="609"/>
        <v/>
      </c>
      <c r="DI336" s="314" t="e">
        <f>IF($J336="",#N/A,SUM(DH$4:DH336))</f>
        <v>#N/A</v>
      </c>
      <c r="DJ336" s="315" t="str">
        <f t="shared" si="610"/>
        <v/>
      </c>
      <c r="DK336" s="315" t="e">
        <f>IF($J336="",#N/A,SUM(DJ$4:DJ336))</f>
        <v>#N/A</v>
      </c>
      <c r="DL336" s="315" t="e">
        <f>IF($J336="",#N/A,SUM(DJ$4:DJ336,DH$4:DH336,DF$4:DF336))</f>
        <v>#N/A</v>
      </c>
      <c r="DM336" s="304" t="str">
        <f t="shared" si="611"/>
        <v/>
      </c>
      <c r="DN336" s="313" t="e">
        <f>IF($J336="",#N/A,SUM(DM$4:DM336))</f>
        <v>#N/A</v>
      </c>
      <c r="DO336" s="314" t="str">
        <f t="shared" si="612"/>
        <v/>
      </c>
      <c r="DP336" s="314" t="e">
        <f>IF($J336="",#N/A,SUM(DO$4:DO336))</f>
        <v>#N/A</v>
      </c>
      <c r="DQ336" s="315" t="str">
        <f t="shared" si="613"/>
        <v/>
      </c>
      <c r="DR336" s="315" t="e">
        <f>IF($J336="",#N/A,SUM(DQ$4:DQ336))</f>
        <v>#N/A</v>
      </c>
      <c r="DS336" s="315" t="e">
        <f>IF($J336="",#N/A,SUM(DQ$4:DQ336,DO$4:DO336,DM$4:DM336))</f>
        <v>#N/A</v>
      </c>
      <c r="DT336" s="304" t="str">
        <f t="shared" si="614"/>
        <v/>
      </c>
      <c r="DU336" s="313" t="e">
        <f>IF($J336="",#N/A,SUM(DT$4:DT336))</f>
        <v>#N/A</v>
      </c>
      <c r="DV336" s="314" t="str">
        <f t="shared" si="615"/>
        <v/>
      </c>
      <c r="DW336" s="314" t="e">
        <f>IF($J336="",#N/A,SUM(DV$4:DV336))</f>
        <v>#N/A</v>
      </c>
      <c r="DX336" s="315" t="str">
        <f t="shared" si="616"/>
        <v/>
      </c>
      <c r="DY336" s="315" t="e">
        <f>IF($J336="",#N/A,SUM(DX$4:DX336))</f>
        <v>#N/A</v>
      </c>
      <c r="DZ336" s="315" t="e">
        <f>IF($J336="",#N/A,SUM(DX$4:DX336,DV$4:DV336,DT$4:DT336))</f>
        <v>#N/A</v>
      </c>
      <c r="EA336" s="304" t="str">
        <f t="shared" si="617"/>
        <v/>
      </c>
      <c r="EB336" s="313" t="e">
        <f>IF($J336="",#N/A,SUM(EA$4:EA336))</f>
        <v>#N/A</v>
      </c>
      <c r="EC336" s="314" t="str">
        <f t="shared" si="618"/>
        <v/>
      </c>
      <c r="ED336" s="314" t="e">
        <f>IF($J336="",#N/A,SUM(EC$4:EC336))</f>
        <v>#N/A</v>
      </c>
      <c r="EE336" s="315" t="str">
        <f t="shared" si="619"/>
        <v/>
      </c>
      <c r="EF336" s="315" t="e">
        <f>IF($J336="",#N/A,SUM(EE$4:EE336))</f>
        <v>#N/A</v>
      </c>
      <c r="EG336" s="315" t="e">
        <f>IF($J336="",#N/A,SUM(EE$4:EE336,EC$4:EC336,EA$4:EA336))</f>
        <v>#N/A</v>
      </c>
      <c r="EH336" s="130">
        <f t="shared" si="620"/>
        <v>-87.299999999999955</v>
      </c>
      <c r="EI336" s="63">
        <f>IF(EH336="",#N/A,SUM($EH$4:EH336))</f>
        <v>840.89764078297389</v>
      </c>
      <c r="EJ336" s="223" t="e">
        <f t="shared" si="621"/>
        <v>#N/A</v>
      </c>
      <c r="EK336" s="63" t="e">
        <f>IF($GZ336="",#N/A,SUM(EJ$4:EJ336))</f>
        <v>#N/A</v>
      </c>
      <c r="EL336" s="60">
        <f t="shared" si="651"/>
        <v>-0.87095499766548101</v>
      </c>
      <c r="EM336" s="60">
        <f>IF(EL336="",NA(),SUM($EL$4:EL336))</f>
        <v>30.033468740887546</v>
      </c>
      <c r="EN336" s="60">
        <f t="shared" si="622"/>
        <v>-0.87095499766548101</v>
      </c>
      <c r="EO336" s="60">
        <f>IF(EN336="",NA(),SUM($EN$4:EN336))</f>
        <v>10.313170728612791</v>
      </c>
      <c r="EP336" s="60" t="str">
        <f t="shared" si="623"/>
        <v/>
      </c>
      <c r="EQ336" s="60" t="e">
        <f>IF(EP336="",NA(),SUM($EP$4:EP336))</f>
        <v>#N/A</v>
      </c>
      <c r="ER336" s="60" t="str">
        <f t="shared" si="624"/>
        <v/>
      </c>
      <c r="ES336" s="60" t="e">
        <f>IF(ER336="",NA(),SUM($ER$4:ER336))</f>
        <v>#N/A</v>
      </c>
      <c r="ET336" s="60" t="str">
        <f t="shared" si="625"/>
        <v/>
      </c>
      <c r="EU336" s="60" t="e">
        <f>IF(ET336="",NA(),SUM($ET$4:ET336))</f>
        <v>#N/A</v>
      </c>
      <c r="EV336" s="60" t="str">
        <f t="shared" si="626"/>
        <v/>
      </c>
      <c r="EW336" s="60" t="e">
        <f>IF(EV336="",NA(),SUM($EV$4:EV336))</f>
        <v>#N/A</v>
      </c>
      <c r="EX336" s="60" t="str">
        <f t="shared" si="627"/>
        <v/>
      </c>
      <c r="EY336" s="60" t="e">
        <f>IF(EX336="",NA(),SUM($EX$4:EX336))</f>
        <v>#N/A</v>
      </c>
      <c r="EZ336" s="60" t="str">
        <f t="shared" si="628"/>
        <v/>
      </c>
      <c r="FA336" s="60" t="e">
        <f>IF(EZ336="",NA(),SUM($EZ$4:EZ336))</f>
        <v>#N/A</v>
      </c>
      <c r="FB336" s="246" t="str">
        <f t="shared" si="652"/>
        <v/>
      </c>
      <c r="FC336" s="246" t="e">
        <f>IF($FB336="",#N/A,SUM(FB$4:$FB336))</f>
        <v>#N/A</v>
      </c>
      <c r="FD336" s="60" t="str">
        <f t="shared" si="629"/>
        <v/>
      </c>
      <c r="FE336" s="60" t="e">
        <f>IF($FD336="",#N/A,SUM($FD$4:FD336))</f>
        <v>#N/A</v>
      </c>
      <c r="FF336" s="60" t="str">
        <f t="shared" si="630"/>
        <v/>
      </c>
      <c r="FG336" s="60" t="e">
        <f>IF($FF336="",#N/A,SUM($FF$4:FF336))</f>
        <v>#N/A</v>
      </c>
      <c r="FH336" s="60">
        <f t="shared" si="631"/>
        <v>-0.33940308156448873</v>
      </c>
      <c r="FI336" s="60">
        <f>IF($FH336="",#N/A,SUM($FH$4:FH336))</f>
        <v>1.4340322965174241</v>
      </c>
      <c r="FJ336" s="60" t="str">
        <f t="shared" si="632"/>
        <v/>
      </c>
      <c r="FK336" s="60" t="e">
        <f>IF($FJ336="",#N/A,SUM($FJ$4:FJ336))</f>
        <v>#N/A</v>
      </c>
      <c r="FL336" s="60" t="str">
        <f t="shared" si="633"/>
        <v/>
      </c>
      <c r="FM336" s="60" t="e">
        <f>IF($FL336="",#N/A,SUM($FL$4:FL336))</f>
        <v>#N/A</v>
      </c>
      <c r="FN336" s="82">
        <f t="shared" si="634"/>
        <v>-1.2103580792299697</v>
      </c>
      <c r="FO336" s="82">
        <f>IF($FN336="",#N/A,SUM(FN$4:$FN336))</f>
        <v>51.266935438542347</v>
      </c>
      <c r="FP336" s="82">
        <f t="shared" si="653"/>
        <v>-0.87095499766548101</v>
      </c>
      <c r="FQ336" s="246">
        <f>IF($EH336="",#N/A,SUM($FP$4:FP336))</f>
        <v>49.62203268513052</v>
      </c>
      <c r="FR336" s="82">
        <f>IFERROR(FQ336/COUNTA($J$4:J336),#N/A)</f>
        <v>0.14901511316856011</v>
      </c>
      <c r="FS336" s="82">
        <f t="shared" si="554"/>
        <v>-6.192302680858177E-2</v>
      </c>
      <c r="FT336" s="82">
        <f t="shared" si="555"/>
        <v>-0.40332188250795953</v>
      </c>
      <c r="FU336" s="338">
        <f t="shared" si="657"/>
        <v>26.343379866878905</v>
      </c>
      <c r="FV336" s="57" t="str">
        <f t="shared" si="560"/>
        <v>Up</v>
      </c>
      <c r="FW336" s="57" t="s">
        <v>2734</v>
      </c>
      <c r="FX336" s="57" t="str">
        <f t="shared" si="635"/>
        <v/>
      </c>
      <c r="FY336" s="57" t="str">
        <f t="shared" si="636"/>
        <v/>
      </c>
      <c r="FZ336" s="57" t="str">
        <f t="shared" si="637"/>
        <v/>
      </c>
      <c r="GA336" s="57" t="str">
        <f t="shared" si="638"/>
        <v>Long</v>
      </c>
      <c r="GB336" s="57" t="str">
        <f t="shared" si="639"/>
        <v/>
      </c>
      <c r="GC336" s="57">
        <f t="shared" si="640"/>
        <v>1</v>
      </c>
      <c r="GD336" s="57" t="str">
        <f t="shared" si="641"/>
        <v/>
      </c>
      <c r="GE336" s="62">
        <f t="shared" si="557"/>
        <v>92.81</v>
      </c>
      <c r="GF336" s="62" t="s">
        <v>2779</v>
      </c>
      <c r="GG336" s="199">
        <v>18</v>
      </c>
      <c r="GH336" s="207">
        <f t="shared" si="642"/>
        <v>1670.58</v>
      </c>
      <c r="GI336" s="199">
        <v>18</v>
      </c>
      <c r="GJ336" s="200">
        <v>87.22</v>
      </c>
      <c r="GK336" s="63">
        <f t="shared" si="643"/>
        <v>-100.61999999999989</v>
      </c>
      <c r="GL336" s="63">
        <f t="shared" si="558"/>
        <v>-121.32000000000016</v>
      </c>
      <c r="GM336" s="82" t="str">
        <f t="shared" si="644"/>
        <v/>
      </c>
      <c r="GN336" s="82">
        <f>IF($GZ336="",#N/A,SUM(GM$4:GM336))</f>
        <v>7.4463404642633355</v>
      </c>
      <c r="GO336" s="82">
        <f t="shared" si="645"/>
        <v>-1.2103580792299697</v>
      </c>
      <c r="GP336" s="82">
        <f>IF($GZ336="",#N/A,SUM(GO$4:GO336))</f>
        <v>13.383689428827713</v>
      </c>
      <c r="GQ336" s="82" t="str">
        <f t="shared" si="646"/>
        <v/>
      </c>
      <c r="GR336" s="82">
        <f>IF($GZ336="",#N/A,SUM(GQ$4:GQ336))</f>
        <v>29.811068591008961</v>
      </c>
      <c r="GS336" s="63" t="str">
        <f t="shared" si="654"/>
        <v/>
      </c>
      <c r="GT336" s="63" t="e">
        <f>IF($GZ336="",#N/A,SUM(GS$4:GS336))</f>
        <v>#N/A</v>
      </c>
      <c r="GU336" s="63" t="e">
        <f t="shared" si="655"/>
        <v>#N/A</v>
      </c>
      <c r="GV336" s="63" t="e">
        <f>IF($GZ336="",#N/A,SUM(GU$4:GU336))</f>
        <v>#N/A</v>
      </c>
      <c r="GW336" s="63" t="str">
        <f t="shared" si="656"/>
        <v/>
      </c>
      <c r="GX336" s="63" t="e">
        <f>IF($GZ336="",#N/A,SUM(GW$4:GW336))</f>
        <v>#N/A</v>
      </c>
      <c r="GY336" s="63" t="e">
        <f>IF(EJ336="",#N/A,SUM($EJ$4:EJ336))</f>
        <v>#N/A</v>
      </c>
      <c r="GZ336" s="159">
        <v>86.07</v>
      </c>
      <c r="HA336" s="63">
        <f t="shared" si="647"/>
        <v>-34.020000000000209</v>
      </c>
      <c r="HB336" s="62" t="s">
        <v>2538</v>
      </c>
      <c r="HC336" s="60">
        <f>IFERROR(VLOOKUP(E336,Expectancy!$P$4:$S$19,1+C336,FALSE),"")</f>
        <v>-0.45514116799985843</v>
      </c>
      <c r="HD336" s="82">
        <f t="shared" si="648"/>
        <v>-1.0038429766907291</v>
      </c>
      <c r="HE336" s="138">
        <f>IF(HD336="",#N/A,SUM($HD$4:HD336))</f>
        <v>8.7486528182516174</v>
      </c>
      <c r="HF336" s="85">
        <f>IF(HD336="",#N/A,IF(HB336="Skip",#N/A,SUM($HG$4:HG336)))</f>
        <v>153.32657921915552</v>
      </c>
      <c r="HG336" s="62">
        <f t="shared" si="649"/>
        <v>-100.61999999999989</v>
      </c>
      <c r="HH336" s="82">
        <f t="shared" si="650"/>
        <v>-1.2103580792299697</v>
      </c>
    </row>
    <row r="337" spans="1:216" x14ac:dyDescent="0.25">
      <c r="A337" s="57" t="s">
        <v>1449</v>
      </c>
      <c r="B337" s="58" t="s">
        <v>5243</v>
      </c>
      <c r="C337" s="386">
        <f t="shared" si="561"/>
        <v>3</v>
      </c>
      <c r="D337" s="372" t="str">
        <f>_xlfn.XLOOKUP(A337,[1]SP500!$A$2:$A$502,[1]SP500!$D$2:$D$502,"N")</f>
        <v>Y</v>
      </c>
      <c r="E337" s="57" t="str">
        <f>_xlfn.XLOOKUP(A337,[1]SP500!$A$2:$A$655,[1]SP500!$B$2:$B$655)</f>
        <v>XLB</v>
      </c>
      <c r="F337" s="59">
        <v>45706</v>
      </c>
      <c r="G337" s="57" t="str">
        <f t="shared" si="562"/>
        <v>BMO</v>
      </c>
      <c r="H337" s="57" t="str">
        <f t="shared" si="563"/>
        <v>s</v>
      </c>
      <c r="I337" s="159">
        <v>270.45999999999998</v>
      </c>
      <c r="J337" s="159">
        <v>280.14999999999998</v>
      </c>
      <c r="K337" s="61">
        <f t="shared" si="564"/>
        <v>3.5827848850107216E-2</v>
      </c>
      <c r="L337" s="87">
        <f t="shared" si="565"/>
        <v>58.1400000000001</v>
      </c>
      <c r="M337" s="130">
        <f t="shared" si="556"/>
        <v>0</v>
      </c>
      <c r="N337" s="169" t="str">
        <f t="shared" si="566"/>
        <v/>
      </c>
      <c r="O337" s="169">
        <f>IF($J337="",#N/A,SUM($N$4:N337))</f>
        <v>453.10671935422465</v>
      </c>
      <c r="P337" s="174" t="str">
        <f t="shared" si="567"/>
        <v/>
      </c>
      <c r="Q337" s="174">
        <f>IF($J337="",#N/A,SUM($P$4:P337))</f>
        <v>285.16499224504298</v>
      </c>
      <c r="R337" s="178">
        <f t="shared" si="568"/>
        <v>58.1400000000001</v>
      </c>
      <c r="S337" s="178">
        <f>IF($J337="",#N/A,SUM($R$4:R337))</f>
        <v>160.76592918370625</v>
      </c>
      <c r="T337" s="290" t="str">
        <f t="shared" si="569"/>
        <v/>
      </c>
      <c r="U337" s="290">
        <f>IF($J337="",#N/A,SUM($T$4:T337))</f>
        <v>18.325526374876258</v>
      </c>
      <c r="V337" s="291" t="str">
        <f t="shared" si="570"/>
        <v/>
      </c>
      <c r="W337" s="291">
        <f>IF($J337="",#N/A,SUM($V$4:V337))</f>
        <v>22.46098947350189</v>
      </c>
      <c r="X337" s="292">
        <f t="shared" si="571"/>
        <v>0.59713081416845482</v>
      </c>
      <c r="Y337" s="292">
        <f>IF($J337="",#N/A,SUM($X$4:X337))</f>
        <v>9.4326476509208419</v>
      </c>
      <c r="Z337" s="304" t="str">
        <f t="shared" si="572"/>
        <v/>
      </c>
      <c r="AA337" s="313" t="e">
        <f>IF($J337="",#N/A,SUM(Z$4:Z337))</f>
        <v>#N/A</v>
      </c>
      <c r="AB337" s="314" t="str">
        <f t="shared" si="573"/>
        <v/>
      </c>
      <c r="AC337" s="314" t="e">
        <f>IF($J337="",#N/A,SUM(AB$4:AB337))</f>
        <v>#N/A</v>
      </c>
      <c r="AD337" s="315" t="str">
        <f t="shared" si="574"/>
        <v/>
      </c>
      <c r="AE337" s="315" t="e">
        <f>IF($J337="",#N/A,SUM(AD$4:AD337))</f>
        <v>#N/A</v>
      </c>
      <c r="AF337" s="315" t="e">
        <f>IF($J337="",#N/A,SUM(AD$4:AD337,AB$4:AB337,Z$4:Z337))</f>
        <v>#N/A</v>
      </c>
      <c r="AG337" s="304" t="str">
        <f t="shared" si="575"/>
        <v/>
      </c>
      <c r="AH337" s="313" t="e">
        <f>IF($J337="",#N/A,SUM(AG$4:AG337))</f>
        <v>#N/A</v>
      </c>
      <c r="AI337" s="314" t="str">
        <f t="shared" si="576"/>
        <v/>
      </c>
      <c r="AJ337" s="314" t="e">
        <f>IF($J337="",#N/A,SUM(AI$4:AI337))</f>
        <v>#N/A</v>
      </c>
      <c r="AK337" s="315" t="str">
        <f t="shared" si="577"/>
        <v/>
      </c>
      <c r="AL337" s="315" t="e">
        <f>IF($J337="",#N/A,SUM(AK$4:AK337))</f>
        <v>#N/A</v>
      </c>
      <c r="AM337" s="315" t="e">
        <f>IF($J337="",#N/A,SUM(AK$4:AK337,AI$4:AI337,AG$4:AG337))</f>
        <v>#N/A</v>
      </c>
      <c r="AN337" s="304" t="str">
        <f t="shared" si="578"/>
        <v/>
      </c>
      <c r="AO337" s="313" t="e">
        <f>IF($J337="",#N/A,SUM(AN$4:AN337))</f>
        <v>#N/A</v>
      </c>
      <c r="AP337" s="314" t="str">
        <f t="shared" si="579"/>
        <v/>
      </c>
      <c r="AQ337" s="314" t="e">
        <f>IF($J337="",#N/A,SUM(AP$4:AP337))</f>
        <v>#N/A</v>
      </c>
      <c r="AR337" s="315" t="str">
        <f t="shared" si="580"/>
        <v/>
      </c>
      <c r="AS337" s="315" t="e">
        <f>IF($J337="",#N/A,SUM(AR$4:AR337))</f>
        <v>#N/A</v>
      </c>
      <c r="AT337" s="315" t="e">
        <f>IF($J337="",#N/A,SUM(AR$4:AR337,AP$4:AP337,AN$4:AN337))</f>
        <v>#N/A</v>
      </c>
      <c r="AU337" s="304" t="str">
        <f t="shared" si="581"/>
        <v/>
      </c>
      <c r="AV337" s="313" t="e">
        <f>IF($J337="",#N/A,SUM(AU$4:AU337))</f>
        <v>#N/A</v>
      </c>
      <c r="AW337" s="314" t="str">
        <f t="shared" si="582"/>
        <v/>
      </c>
      <c r="AX337" s="314" t="e">
        <f>IF($J337="",#N/A,SUM(AW$4:AW337))</f>
        <v>#N/A</v>
      </c>
      <c r="AY337" s="315" t="str">
        <f t="shared" si="583"/>
        <v/>
      </c>
      <c r="AZ337" s="315" t="e">
        <f>IF($J337="",#N/A,SUM(AY$4:AY337))</f>
        <v>#N/A</v>
      </c>
      <c r="BA337" s="315" t="e">
        <f>IF($J337="",#N/A,SUM(AY$4:AY337,AW$4:AW337,AU$4:AU337))</f>
        <v>#N/A</v>
      </c>
      <c r="BB337" s="304" t="str">
        <f t="shared" si="584"/>
        <v/>
      </c>
      <c r="BC337" s="313" t="e">
        <f>IF($J337="",#N/A,SUM(BB$4:BB337))</f>
        <v>#N/A</v>
      </c>
      <c r="BD337" s="314" t="str">
        <f t="shared" si="585"/>
        <v/>
      </c>
      <c r="BE337" s="314" t="e">
        <f>IF($J337="",#N/A,SUM(BD$4:BD337))</f>
        <v>#N/A</v>
      </c>
      <c r="BF337" s="315" t="str">
        <f t="shared" si="586"/>
        <v/>
      </c>
      <c r="BG337" s="315" t="e">
        <f>IF($J337="",#N/A,SUM(BF$4:BF337))</f>
        <v>#N/A</v>
      </c>
      <c r="BH337" s="315" t="e">
        <f>IF($J337="",#N/A,SUM(BF$4:BF337,BD$4:BD337,BB$4:BB337))</f>
        <v>#N/A</v>
      </c>
      <c r="BI337" s="304" t="str">
        <f t="shared" si="587"/>
        <v/>
      </c>
      <c r="BJ337" s="313" t="e">
        <f>IF($J337="",#N/A,SUM(BI$4:BI337))</f>
        <v>#N/A</v>
      </c>
      <c r="BK337" s="314" t="str">
        <f t="shared" si="588"/>
        <v/>
      </c>
      <c r="BL337" s="314" t="e">
        <f>IF($J337="",#N/A,SUM(BK$4:BK337))</f>
        <v>#N/A</v>
      </c>
      <c r="BM337" s="315" t="str">
        <f t="shared" si="589"/>
        <v/>
      </c>
      <c r="BN337" s="315" t="e">
        <f>IF($J337="",#N/A,SUM(BM$4:BM337))</f>
        <v>#N/A</v>
      </c>
      <c r="BO337" s="315" t="e">
        <f>IF($J337="",#N/A,SUM(BM$4:BM337,BK$4:BK337,BI$4:BI337))</f>
        <v>#N/A</v>
      </c>
      <c r="BP337" s="304" t="str">
        <f t="shared" si="590"/>
        <v/>
      </c>
      <c r="BQ337" s="313" t="e">
        <f>IF($J337="",#N/A,SUM(BP$4:BP337))</f>
        <v>#N/A</v>
      </c>
      <c r="BR337" s="314" t="str">
        <f t="shared" si="591"/>
        <v/>
      </c>
      <c r="BS337" s="314" t="e">
        <f>IF($J337="",#N/A,SUM(BR$4:BR337))</f>
        <v>#N/A</v>
      </c>
      <c r="BT337" s="315" t="str">
        <f t="shared" si="592"/>
        <v/>
      </c>
      <c r="BU337" s="315" t="e">
        <f>IF($J337="",#N/A,SUM(BT$4:BT337))</f>
        <v>#N/A</v>
      </c>
      <c r="BV337" s="315" t="e">
        <f>IF($J337="",#N/A,SUM(BT$4:BT337,BR$4:BR337,BP$4:BP337))</f>
        <v>#N/A</v>
      </c>
      <c r="BW337" s="304" t="str">
        <f t="shared" si="593"/>
        <v/>
      </c>
      <c r="BX337" s="313" t="e">
        <f>IF($J337="",#N/A,SUM(BW$4:BW337))</f>
        <v>#N/A</v>
      </c>
      <c r="BY337" s="314" t="str">
        <f t="shared" si="594"/>
        <v/>
      </c>
      <c r="BZ337" s="314" t="e">
        <f>IF($J337="",#N/A,SUM(BY$4:BY337))</f>
        <v>#N/A</v>
      </c>
      <c r="CA337" s="315" t="str">
        <f t="shared" si="595"/>
        <v/>
      </c>
      <c r="CB337" s="315" t="e">
        <f>IF($J337="",#N/A,SUM(CA$4:CA337))</f>
        <v>#N/A</v>
      </c>
      <c r="CC337" s="315" t="e">
        <f>IF($J337="",#N/A,SUM(CA$4:CA337,BY$4:BY337,BW$4:BW337))</f>
        <v>#N/A</v>
      </c>
      <c r="CD337" s="304" t="str">
        <f t="shared" si="596"/>
        <v/>
      </c>
      <c r="CE337" s="313" t="e">
        <f>IF($J337="",#N/A,SUM(CD$4:CD337))</f>
        <v>#N/A</v>
      </c>
      <c r="CF337" s="314" t="str">
        <f t="shared" si="597"/>
        <v/>
      </c>
      <c r="CG337" s="314" t="e">
        <f>IF($J337="",#N/A,SUM(CF$4:CF337))</f>
        <v>#N/A</v>
      </c>
      <c r="CH337" s="315">
        <f t="shared" si="598"/>
        <v>0.59713081416845482</v>
      </c>
      <c r="CI337" s="315" t="e">
        <f>IF($J337="",#N/A,SUM(CH$4:CH337))</f>
        <v>#N/A</v>
      </c>
      <c r="CJ337" s="315" t="e">
        <f>IF($J337="",#N/A,SUM(CH$4:CH337,CF$4:CF337,CD$4:CD337))</f>
        <v>#N/A</v>
      </c>
      <c r="CK337" s="304" t="str">
        <f t="shared" si="599"/>
        <v/>
      </c>
      <c r="CL337" s="313" t="e">
        <f>IF($J337="",#N/A,SUM(CK$4:CK337))</f>
        <v>#N/A</v>
      </c>
      <c r="CM337" s="314" t="str">
        <f t="shared" si="600"/>
        <v/>
      </c>
      <c r="CN337" s="314" t="e">
        <f>IF($J337="",#N/A,SUM(CM$4:CM337))</f>
        <v>#N/A</v>
      </c>
      <c r="CO337" s="315" t="str">
        <f t="shared" si="601"/>
        <v/>
      </c>
      <c r="CP337" s="315" t="e">
        <f>IF($J337="",#N/A,SUM(CO$4:CO337))</f>
        <v>#N/A</v>
      </c>
      <c r="CQ337" s="315" t="e">
        <f>IF($J337="",#N/A,SUM(CO$4:CO337,CM$4:CM337,CK$4:CK337))</f>
        <v>#N/A</v>
      </c>
      <c r="CR337" s="304" t="str">
        <f t="shared" si="602"/>
        <v/>
      </c>
      <c r="CS337" s="313" t="e">
        <f>IF($J337="",#N/A,SUM(CR$4:CR337))</f>
        <v>#N/A</v>
      </c>
      <c r="CT337" s="314" t="str">
        <f t="shared" si="603"/>
        <v/>
      </c>
      <c r="CU337" s="314" t="e">
        <f>IF($J337="",#N/A,SUM(CT$4:CT337))</f>
        <v>#N/A</v>
      </c>
      <c r="CV337" s="315" t="str">
        <f t="shared" si="604"/>
        <v/>
      </c>
      <c r="CW337" s="315" t="e">
        <f>IF($J337="",#N/A,SUM(CV$4:CV337))</f>
        <v>#N/A</v>
      </c>
      <c r="CX337" s="315" t="e">
        <f>IF($J337="",#N/A,SUM(CV$4:CV337,CT$4:CT337,CR$4:CR337))</f>
        <v>#N/A</v>
      </c>
      <c r="CY337" s="304" t="str">
        <f t="shared" si="605"/>
        <v/>
      </c>
      <c r="CZ337" s="313" t="e">
        <f>IF($J337="",#N/A,SUM(CY$4:CY337))</f>
        <v>#N/A</v>
      </c>
      <c r="DA337" s="314" t="str">
        <f t="shared" si="606"/>
        <v/>
      </c>
      <c r="DB337" s="314" t="e">
        <f>IF($J337="",#N/A,SUM(DA$4:DA337))</f>
        <v>#N/A</v>
      </c>
      <c r="DC337" s="315" t="str">
        <f t="shared" si="607"/>
        <v/>
      </c>
      <c r="DD337" s="315" t="e">
        <f>IF($J337="",#N/A,SUM(DC$4:DC337))</f>
        <v>#N/A</v>
      </c>
      <c r="DE337" s="315" t="e">
        <f>IF($J337="",#N/A,SUM(DC$4:DC337,DA$4:DA337,CY$4:CY337))</f>
        <v>#N/A</v>
      </c>
      <c r="DF337" s="304" t="str">
        <f t="shared" si="608"/>
        <v/>
      </c>
      <c r="DG337" s="313" t="e">
        <f>IF($J337="",#N/A,SUM(DF$4:DF337))</f>
        <v>#N/A</v>
      </c>
      <c r="DH337" s="314" t="str">
        <f t="shared" si="609"/>
        <v/>
      </c>
      <c r="DI337" s="314" t="e">
        <f>IF($J337="",#N/A,SUM(DH$4:DH337))</f>
        <v>#N/A</v>
      </c>
      <c r="DJ337" s="315" t="str">
        <f t="shared" si="610"/>
        <v/>
      </c>
      <c r="DK337" s="315" t="e">
        <f>IF($J337="",#N/A,SUM(DJ$4:DJ337))</f>
        <v>#N/A</v>
      </c>
      <c r="DL337" s="315" t="e">
        <f>IF($J337="",#N/A,SUM(DJ$4:DJ337,DH$4:DH337,DF$4:DF337))</f>
        <v>#N/A</v>
      </c>
      <c r="DM337" s="304" t="str">
        <f t="shared" si="611"/>
        <v/>
      </c>
      <c r="DN337" s="313" t="e">
        <f>IF($J337="",#N/A,SUM(DM$4:DM337))</f>
        <v>#N/A</v>
      </c>
      <c r="DO337" s="314" t="str">
        <f t="shared" si="612"/>
        <v/>
      </c>
      <c r="DP337" s="314" t="e">
        <f>IF($J337="",#N/A,SUM(DO$4:DO337))</f>
        <v>#N/A</v>
      </c>
      <c r="DQ337" s="315" t="str">
        <f t="shared" si="613"/>
        <v/>
      </c>
      <c r="DR337" s="315" t="e">
        <f>IF($J337="",#N/A,SUM(DQ$4:DQ337))</f>
        <v>#N/A</v>
      </c>
      <c r="DS337" s="315" t="e">
        <f>IF($J337="",#N/A,SUM(DQ$4:DQ337,DO$4:DO337,DM$4:DM337))</f>
        <v>#N/A</v>
      </c>
      <c r="DT337" s="304" t="str">
        <f t="shared" si="614"/>
        <v/>
      </c>
      <c r="DU337" s="313" t="e">
        <f>IF($J337="",#N/A,SUM(DT$4:DT337))</f>
        <v>#N/A</v>
      </c>
      <c r="DV337" s="314" t="str">
        <f t="shared" si="615"/>
        <v/>
      </c>
      <c r="DW337" s="314" t="e">
        <f>IF($J337="",#N/A,SUM(DV$4:DV337))</f>
        <v>#N/A</v>
      </c>
      <c r="DX337" s="315" t="str">
        <f t="shared" si="616"/>
        <v/>
      </c>
      <c r="DY337" s="315" t="e">
        <f>IF($J337="",#N/A,SUM(DX$4:DX337))</f>
        <v>#N/A</v>
      </c>
      <c r="DZ337" s="315" t="e">
        <f>IF($J337="",#N/A,SUM(DX$4:DX337,DV$4:DV337,DT$4:DT337))</f>
        <v>#N/A</v>
      </c>
      <c r="EA337" s="304" t="str">
        <f t="shared" si="617"/>
        <v/>
      </c>
      <c r="EB337" s="313" t="e">
        <f>IF($J337="",#N/A,SUM(EA$4:EA337))</f>
        <v>#N/A</v>
      </c>
      <c r="EC337" s="314" t="str">
        <f t="shared" si="618"/>
        <v/>
      </c>
      <c r="ED337" s="314" t="e">
        <f>IF($J337="",#N/A,SUM(EC$4:EC337))</f>
        <v>#N/A</v>
      </c>
      <c r="EE337" s="315" t="str">
        <f t="shared" si="619"/>
        <v/>
      </c>
      <c r="EF337" s="315" t="e">
        <f>IF($J337="",#N/A,SUM(EE$4:EE337))</f>
        <v>#N/A</v>
      </c>
      <c r="EG337" s="315" t="e">
        <f>IF($J337="",#N/A,SUM(EE$4:EE337,EC$4:EC337,EA$4:EA337))</f>
        <v>#N/A</v>
      </c>
      <c r="EH337" s="130">
        <f t="shared" si="620"/>
        <v>58.1400000000001</v>
      </c>
      <c r="EI337" s="63">
        <f>IF(EH337="",#N/A,SUM($EH$4:EH337))</f>
        <v>899.03764078297399</v>
      </c>
      <c r="EJ337" s="223" t="e">
        <f t="shared" si="621"/>
        <v>#N/A</v>
      </c>
      <c r="EK337" s="63" t="e">
        <f>IF($GZ337="",#N/A,SUM(EJ$4:EJ337))</f>
        <v>#N/A</v>
      </c>
      <c r="EL337" s="60">
        <f t="shared" si="651"/>
        <v>0.59713081416845482</v>
      </c>
      <c r="EM337" s="60">
        <f>IF(EL337="",NA(),SUM($EL$4:EL337))</f>
        <v>30.630599555056001</v>
      </c>
      <c r="EN337" s="60" t="str">
        <f t="shared" si="622"/>
        <v/>
      </c>
      <c r="EO337" s="60" t="e">
        <f>IF(EN337="",NA(),SUM($EN$4:EN337))</f>
        <v>#N/A</v>
      </c>
      <c r="EP337" s="60">
        <f t="shared" si="623"/>
        <v>0.59713081416845482</v>
      </c>
      <c r="EQ337" s="60">
        <f>IF(EP337="",NA(),SUM($EP$4:EP337))</f>
        <v>7.1770418774411961</v>
      </c>
      <c r="ER337" s="60" t="str">
        <f t="shared" si="624"/>
        <v/>
      </c>
      <c r="ES337" s="60" t="e">
        <f>IF(ER337="",NA(),SUM($ER$4:ER337))</f>
        <v>#N/A</v>
      </c>
      <c r="ET337" s="60" t="str">
        <f t="shared" si="625"/>
        <v/>
      </c>
      <c r="EU337" s="60" t="e">
        <f>IF(ET337="",NA(),SUM($ET$4:ET337))</f>
        <v>#N/A</v>
      </c>
      <c r="EV337" s="60" t="str">
        <f t="shared" si="626"/>
        <v/>
      </c>
      <c r="EW337" s="60" t="e">
        <f>IF(EV337="",NA(),SUM($EV$4:EV337))</f>
        <v>#N/A</v>
      </c>
      <c r="EX337" s="60" t="str">
        <f t="shared" si="627"/>
        <v/>
      </c>
      <c r="EY337" s="60" t="e">
        <f>IF(EX337="",NA(),SUM($EX$4:EX337))</f>
        <v>#N/A</v>
      </c>
      <c r="EZ337" s="60" t="str">
        <f t="shared" si="628"/>
        <v/>
      </c>
      <c r="FA337" s="60" t="e">
        <f>IF(EZ337="",NA(),SUM($EZ$4:EZ337))</f>
        <v>#N/A</v>
      </c>
      <c r="FB337" s="246" t="str">
        <f t="shared" si="652"/>
        <v/>
      </c>
      <c r="FC337" s="246" t="e">
        <f>IF($FB337="",#N/A,SUM(FB$4:$FB337))</f>
        <v>#N/A</v>
      </c>
      <c r="FD337" s="60" t="str">
        <f t="shared" si="629"/>
        <v/>
      </c>
      <c r="FE337" s="60" t="e">
        <f>IF($FD337="",#N/A,SUM($FD$4:FD337))</f>
        <v>#N/A</v>
      </c>
      <c r="FF337" s="60" t="str">
        <f t="shared" si="630"/>
        <v/>
      </c>
      <c r="FG337" s="60" t="e">
        <f>IF($FF337="",#N/A,SUM($FF$4:FF337))</f>
        <v>#N/A</v>
      </c>
      <c r="FH337" s="60" t="str">
        <f t="shared" si="631"/>
        <v/>
      </c>
      <c r="FI337" s="60" t="e">
        <f>IF($FH337="",#N/A,SUM($FH$4:FH337))</f>
        <v>#N/A</v>
      </c>
      <c r="FJ337" s="60">
        <f t="shared" si="632"/>
        <v>-0.45539697798811818</v>
      </c>
      <c r="FK337" s="60">
        <f>IF($FJ337="",#N/A,SUM($FJ$4:FJ337))</f>
        <v>-0.32340004123674548</v>
      </c>
      <c r="FL337" s="60" t="str">
        <f t="shared" si="633"/>
        <v/>
      </c>
      <c r="FM337" s="60" t="e">
        <f>IF($FL337="",#N/A,SUM($FL$4:FL337))</f>
        <v>#N/A</v>
      </c>
      <c r="FN337" s="82">
        <f t="shared" si="634"/>
        <v>0.14173383618033664</v>
      </c>
      <c r="FO337" s="82">
        <f>IF($FN337="",#N/A,SUM(FN$4:$FN337))</f>
        <v>51.408669274722683</v>
      </c>
      <c r="FP337" s="82">
        <f t="shared" si="653"/>
        <v>0.59713081416845482</v>
      </c>
      <c r="FQ337" s="246">
        <f>IF($EH337="",#N/A,SUM($FP$4:FP337))</f>
        <v>50.219163499298972</v>
      </c>
      <c r="FR337" s="82">
        <f>IFERROR(FQ337/COUNTA($J$4:J337),#N/A)</f>
        <v>0.1503567769440089</v>
      </c>
      <c r="FS337" s="82">
        <f t="shared" si="554"/>
        <v>-3.8913659807274854E-2</v>
      </c>
      <c r="FT337" s="82">
        <f t="shared" si="555"/>
        <v>-0.39614816202310377</v>
      </c>
      <c r="FU337" s="338">
        <f t="shared" si="657"/>
        <v>26.343379866878898</v>
      </c>
      <c r="FV337" s="57" t="str">
        <f t="shared" si="560"/>
        <v>SW</v>
      </c>
      <c r="FW337" s="57" t="s">
        <v>2732</v>
      </c>
      <c r="FX337" s="57" t="str">
        <f t="shared" si="635"/>
        <v/>
      </c>
      <c r="FY337" s="57" t="str">
        <f t="shared" si="636"/>
        <v/>
      </c>
      <c r="FZ337" s="57">
        <f t="shared" si="637"/>
        <v>1</v>
      </c>
      <c r="GA337" s="57" t="str">
        <f t="shared" si="638"/>
        <v>Long</v>
      </c>
      <c r="GB337" s="57" t="str">
        <f t="shared" si="639"/>
        <v/>
      </c>
      <c r="GC337" s="57" t="str">
        <f t="shared" si="640"/>
        <v/>
      </c>
      <c r="GD337" s="57" t="str">
        <f t="shared" si="641"/>
        <v/>
      </c>
      <c r="GE337" s="62">
        <f t="shared" si="557"/>
        <v>270.45999999999998</v>
      </c>
      <c r="GF337" s="62" t="s">
        <v>2779</v>
      </c>
      <c r="GG337" s="199">
        <v>6</v>
      </c>
      <c r="GH337" s="207">
        <f t="shared" si="642"/>
        <v>1622.7599999999998</v>
      </c>
      <c r="GI337" s="199">
        <v>6</v>
      </c>
      <c r="GJ337" s="200">
        <v>280.14999999999998</v>
      </c>
      <c r="GK337" s="63">
        <f t="shared" si="643"/>
        <v>58.1400000000001</v>
      </c>
      <c r="GL337" s="63">
        <f t="shared" si="558"/>
        <v>13.800000000000182</v>
      </c>
      <c r="GM337" s="82">
        <f t="shared" si="644"/>
        <v>0.14173383618033664</v>
      </c>
      <c r="GN337" s="82">
        <f>IF($GZ337="",#N/A,SUM(GM$4:GM337))</f>
        <v>7.5880743004436724</v>
      </c>
      <c r="GO337" s="82" t="str">
        <f t="shared" si="645"/>
        <v/>
      </c>
      <c r="GP337" s="82">
        <f>IF($GZ337="",#N/A,SUM(GO$4:GO337))</f>
        <v>13.383689428827713</v>
      </c>
      <c r="GQ337" s="82" t="str">
        <f t="shared" si="646"/>
        <v/>
      </c>
      <c r="GR337" s="82">
        <f>IF($GZ337="",#N/A,SUM(GQ$4:GQ337))</f>
        <v>29.811068591008961</v>
      </c>
      <c r="GS337" s="63" t="e">
        <f t="shared" si="654"/>
        <v>#N/A</v>
      </c>
      <c r="GT337" s="63" t="e">
        <f>IF($GZ337="",#N/A,SUM(GS$4:GS337))</f>
        <v>#N/A</v>
      </c>
      <c r="GU337" s="63" t="str">
        <f t="shared" si="655"/>
        <v/>
      </c>
      <c r="GV337" s="63" t="e">
        <f>IF($GZ337="",#N/A,SUM(GU$4:GU337))</f>
        <v>#N/A</v>
      </c>
      <c r="GW337" s="63" t="str">
        <f t="shared" si="656"/>
        <v/>
      </c>
      <c r="GX337" s="63" t="e">
        <f>IF($GZ337="",#N/A,SUM(GW$4:GW337))</f>
        <v>#N/A</v>
      </c>
      <c r="GY337" s="63" t="e">
        <f>IF(EJ337="",#N/A,SUM($EJ$4:EJ337))</f>
        <v>#N/A</v>
      </c>
      <c r="GZ337" s="159">
        <v>272.76</v>
      </c>
      <c r="HA337" s="63">
        <f t="shared" si="647"/>
        <v>-44.339999999999918</v>
      </c>
      <c r="HB337" s="62" t="s">
        <v>2538</v>
      </c>
      <c r="HC337" s="60">
        <f>IFERROR(VLOOKUP(E337,Expectancy!$P$4:$S$19,1+C337,FALSE),"")</f>
        <v>-0.22212962098938482</v>
      </c>
      <c r="HD337" s="82">
        <f t="shared" si="648"/>
        <v>0.59713081416845482</v>
      </c>
      <c r="HE337" s="138">
        <f>IF(HD337="",#N/A,SUM($HD$4:HD337))</f>
        <v>9.3457836324200727</v>
      </c>
      <c r="HF337" s="85">
        <f>IF(HD337="",#N/A,IF(HB337="Skip",#N/A,SUM($HG$4:HG337)))</f>
        <v>211.46657921915562</v>
      </c>
      <c r="HG337" s="62">
        <f t="shared" si="649"/>
        <v>58.1400000000001</v>
      </c>
      <c r="HH337" s="82">
        <f t="shared" si="650"/>
        <v>0.14173383618033664</v>
      </c>
    </row>
    <row r="338" spans="1:216" x14ac:dyDescent="0.25">
      <c r="A338" s="465" t="s">
        <v>214</v>
      </c>
      <c r="B338" s="466" t="s">
        <v>5243</v>
      </c>
      <c r="C338" s="467">
        <f t="shared" si="561"/>
        <v>2</v>
      </c>
      <c r="D338" s="468" t="str">
        <f>_xlfn.XLOOKUP(A338,[1]SP500!$A$2:$A$502,[1]SP500!$D$2:$D$502,"N")</f>
        <v>Y</v>
      </c>
      <c r="E338" s="465" t="str">
        <f>_xlfn.XLOOKUP(A338,[1]SP500!$A$2:$A$655,[1]SP500!$B$2:$B$655)</f>
        <v>XLI</v>
      </c>
      <c r="F338" s="59">
        <v>45706</v>
      </c>
      <c r="G338" s="57" t="str">
        <f t="shared" si="562"/>
        <v>BMO</v>
      </c>
      <c r="H338" s="57" t="str">
        <f t="shared" si="563"/>
        <v>s</v>
      </c>
      <c r="I338" s="159">
        <v>113.65</v>
      </c>
      <c r="J338" s="159">
        <v>119.07</v>
      </c>
      <c r="K338" s="61">
        <f t="shared" si="564"/>
        <v>4.7690277166739882E-2</v>
      </c>
      <c r="L338" s="87">
        <f t="shared" si="565"/>
        <v>-81.299999999999955</v>
      </c>
      <c r="M338" s="130">
        <f t="shared" si="556"/>
        <v>0</v>
      </c>
      <c r="N338" s="169" t="str">
        <f t="shared" si="566"/>
        <v/>
      </c>
      <c r="O338" s="169">
        <f>IF($J338="",#N/A,SUM($N$4:N338))</f>
        <v>453.10671935422465</v>
      </c>
      <c r="P338" s="174">
        <f t="shared" si="567"/>
        <v>-81.299999999999955</v>
      </c>
      <c r="Q338" s="174">
        <f>IF($J338="",#N/A,SUM($P$4:P338))</f>
        <v>203.86499224504303</v>
      </c>
      <c r="R338" s="178" t="str">
        <f t="shared" si="568"/>
        <v/>
      </c>
      <c r="S338" s="178">
        <f>IF($J338="",#N/A,SUM($R$4:R338))</f>
        <v>160.76592918370625</v>
      </c>
      <c r="T338" s="290" t="str">
        <f t="shared" si="569"/>
        <v/>
      </c>
      <c r="U338" s="290">
        <f>IF($J338="",#N/A,SUM($T$4:T338))</f>
        <v>18.325526374876258</v>
      </c>
      <c r="V338" s="291">
        <f t="shared" si="570"/>
        <v>-0.79483795277899949</v>
      </c>
      <c r="W338" s="291">
        <f>IF($J338="",#N/A,SUM($V$4:V338))</f>
        <v>21.666151520722892</v>
      </c>
      <c r="X338" s="292" t="str">
        <f t="shared" si="571"/>
        <v/>
      </c>
      <c r="Y338" s="292">
        <f>IF($J338="",#N/A,SUM($X$4:X338))</f>
        <v>9.4326476509208419</v>
      </c>
      <c r="Z338" s="304" t="str">
        <f t="shared" si="572"/>
        <v/>
      </c>
      <c r="AA338" s="313" t="e">
        <f>IF($J338="",#N/A,SUM(Z$4:Z338))</f>
        <v>#N/A</v>
      </c>
      <c r="AB338" s="314" t="str">
        <f t="shared" si="573"/>
        <v/>
      </c>
      <c r="AC338" s="314" t="e">
        <f>IF($J338="",#N/A,SUM(AB$4:AB338))</f>
        <v>#N/A</v>
      </c>
      <c r="AD338" s="315" t="str">
        <f t="shared" si="574"/>
        <v/>
      </c>
      <c r="AE338" s="315" t="e">
        <f>IF($J338="",#N/A,SUM(AD$4:AD338))</f>
        <v>#N/A</v>
      </c>
      <c r="AF338" s="315" t="e">
        <f>IF($J338="",#N/A,SUM(AD$4:AD338,AB$4:AB338,Z$4:Z338))</f>
        <v>#N/A</v>
      </c>
      <c r="AG338" s="304" t="str">
        <f t="shared" si="575"/>
        <v/>
      </c>
      <c r="AH338" s="313" t="e">
        <f>IF($J338="",#N/A,SUM(AG$4:AG338))</f>
        <v>#N/A</v>
      </c>
      <c r="AI338" s="314" t="str">
        <f t="shared" si="576"/>
        <v/>
      </c>
      <c r="AJ338" s="314" t="e">
        <f>IF($J338="",#N/A,SUM(AI$4:AI338))</f>
        <v>#N/A</v>
      </c>
      <c r="AK338" s="315" t="str">
        <f t="shared" si="577"/>
        <v/>
      </c>
      <c r="AL338" s="315" t="e">
        <f>IF($J338="",#N/A,SUM(AK$4:AK338))</f>
        <v>#N/A</v>
      </c>
      <c r="AM338" s="315" t="e">
        <f>IF($J338="",#N/A,SUM(AK$4:AK338,AI$4:AI338,AG$4:AG338))</f>
        <v>#N/A</v>
      </c>
      <c r="AN338" s="304" t="str">
        <f t="shared" si="578"/>
        <v/>
      </c>
      <c r="AO338" s="313" t="e">
        <f>IF($J338="",#N/A,SUM(AN$4:AN338))</f>
        <v>#N/A</v>
      </c>
      <c r="AP338" s="314" t="str">
        <f t="shared" si="579"/>
        <v/>
      </c>
      <c r="AQ338" s="314" t="e">
        <f>IF($J338="",#N/A,SUM(AP$4:AP338))</f>
        <v>#N/A</v>
      </c>
      <c r="AR338" s="315" t="str">
        <f t="shared" si="580"/>
        <v/>
      </c>
      <c r="AS338" s="315" t="e">
        <f>IF($J338="",#N/A,SUM(AR$4:AR338))</f>
        <v>#N/A</v>
      </c>
      <c r="AT338" s="315" t="e">
        <f>IF($J338="",#N/A,SUM(AR$4:AR338,AP$4:AP338,AN$4:AN338))</f>
        <v>#N/A</v>
      </c>
      <c r="AU338" s="304" t="str">
        <f t="shared" si="581"/>
        <v/>
      </c>
      <c r="AV338" s="313" t="e">
        <f>IF($J338="",#N/A,SUM(AU$4:AU338))</f>
        <v>#N/A</v>
      </c>
      <c r="AW338" s="314" t="str">
        <f t="shared" si="582"/>
        <v/>
      </c>
      <c r="AX338" s="314" t="e">
        <f>IF($J338="",#N/A,SUM(AW$4:AW338))</f>
        <v>#N/A</v>
      </c>
      <c r="AY338" s="315" t="str">
        <f t="shared" si="583"/>
        <v/>
      </c>
      <c r="AZ338" s="315" t="e">
        <f>IF($J338="",#N/A,SUM(AY$4:AY338))</f>
        <v>#N/A</v>
      </c>
      <c r="BA338" s="315" t="e">
        <f>IF($J338="",#N/A,SUM(AY$4:AY338,AW$4:AW338,AU$4:AU338))</f>
        <v>#N/A</v>
      </c>
      <c r="BB338" s="304" t="str">
        <f t="shared" si="584"/>
        <v/>
      </c>
      <c r="BC338" s="313" t="e">
        <f>IF($J338="",#N/A,SUM(BB$4:BB338))</f>
        <v>#N/A</v>
      </c>
      <c r="BD338" s="314" t="str">
        <f t="shared" si="585"/>
        <v/>
      </c>
      <c r="BE338" s="314" t="e">
        <f>IF($J338="",#N/A,SUM(BD$4:BD338))</f>
        <v>#N/A</v>
      </c>
      <c r="BF338" s="315" t="str">
        <f t="shared" si="586"/>
        <v/>
      </c>
      <c r="BG338" s="315" t="e">
        <f>IF($J338="",#N/A,SUM(BF$4:BF338))</f>
        <v>#N/A</v>
      </c>
      <c r="BH338" s="315" t="e">
        <f>IF($J338="",#N/A,SUM(BF$4:BF338,BD$4:BD338,BB$4:BB338))</f>
        <v>#N/A</v>
      </c>
      <c r="BI338" s="304" t="str">
        <f t="shared" si="587"/>
        <v/>
      </c>
      <c r="BJ338" s="313" t="e">
        <f>IF($J338="",#N/A,SUM(BI$4:BI338))</f>
        <v>#N/A</v>
      </c>
      <c r="BK338" s="314" t="str">
        <f t="shared" si="588"/>
        <v/>
      </c>
      <c r="BL338" s="314" t="e">
        <f>IF($J338="",#N/A,SUM(BK$4:BK338))</f>
        <v>#N/A</v>
      </c>
      <c r="BM338" s="315" t="str">
        <f t="shared" si="589"/>
        <v/>
      </c>
      <c r="BN338" s="315" t="e">
        <f>IF($J338="",#N/A,SUM(BM$4:BM338))</f>
        <v>#N/A</v>
      </c>
      <c r="BO338" s="315" t="e">
        <f>IF($J338="",#N/A,SUM(BM$4:BM338,BK$4:BK338,BI$4:BI338))</f>
        <v>#N/A</v>
      </c>
      <c r="BP338" s="304" t="str">
        <f t="shared" si="590"/>
        <v/>
      </c>
      <c r="BQ338" s="313" t="e">
        <f>IF($J338="",#N/A,SUM(BP$4:BP338))</f>
        <v>#N/A</v>
      </c>
      <c r="BR338" s="314">
        <f t="shared" si="591"/>
        <v>-0.79483795277899949</v>
      </c>
      <c r="BS338" s="314" t="e">
        <f>IF($J338="",#N/A,SUM(BR$4:BR338))</f>
        <v>#N/A</v>
      </c>
      <c r="BT338" s="315" t="str">
        <f t="shared" si="592"/>
        <v/>
      </c>
      <c r="BU338" s="315" t="e">
        <f>IF($J338="",#N/A,SUM(BT$4:BT338))</f>
        <v>#N/A</v>
      </c>
      <c r="BV338" s="315" t="e">
        <f>IF($J338="",#N/A,SUM(BT$4:BT338,BR$4:BR338,BP$4:BP338))</f>
        <v>#N/A</v>
      </c>
      <c r="BW338" s="304" t="str">
        <f t="shared" si="593"/>
        <v/>
      </c>
      <c r="BX338" s="313" t="e">
        <f>IF($J338="",#N/A,SUM(BW$4:BW338))</f>
        <v>#N/A</v>
      </c>
      <c r="BY338" s="314" t="str">
        <f t="shared" si="594"/>
        <v/>
      </c>
      <c r="BZ338" s="314" t="e">
        <f>IF($J338="",#N/A,SUM(BY$4:BY338))</f>
        <v>#N/A</v>
      </c>
      <c r="CA338" s="315" t="str">
        <f t="shared" si="595"/>
        <v/>
      </c>
      <c r="CB338" s="315" t="e">
        <f>IF($J338="",#N/A,SUM(CA$4:CA338))</f>
        <v>#N/A</v>
      </c>
      <c r="CC338" s="315" t="e">
        <f>IF($J338="",#N/A,SUM(CA$4:CA338,BY$4:BY338,BW$4:BW338))</f>
        <v>#N/A</v>
      </c>
      <c r="CD338" s="304" t="str">
        <f t="shared" si="596"/>
        <v/>
      </c>
      <c r="CE338" s="313" t="e">
        <f>IF($J338="",#N/A,SUM(CD$4:CD338))</f>
        <v>#N/A</v>
      </c>
      <c r="CF338" s="314" t="str">
        <f t="shared" si="597"/>
        <v/>
      </c>
      <c r="CG338" s="314" t="e">
        <f>IF($J338="",#N/A,SUM(CF$4:CF338))</f>
        <v>#N/A</v>
      </c>
      <c r="CH338" s="315" t="str">
        <f t="shared" si="598"/>
        <v/>
      </c>
      <c r="CI338" s="315" t="e">
        <f>IF($J338="",#N/A,SUM(CH$4:CH338))</f>
        <v>#N/A</v>
      </c>
      <c r="CJ338" s="315" t="e">
        <f>IF($J338="",#N/A,SUM(CH$4:CH338,CF$4:CF338,CD$4:CD338))</f>
        <v>#N/A</v>
      </c>
      <c r="CK338" s="304" t="str">
        <f t="shared" si="599"/>
        <v/>
      </c>
      <c r="CL338" s="313" t="e">
        <f>IF($J338="",#N/A,SUM(CK$4:CK338))</f>
        <v>#N/A</v>
      </c>
      <c r="CM338" s="314" t="str">
        <f t="shared" si="600"/>
        <v/>
      </c>
      <c r="CN338" s="314" t="e">
        <f>IF($J338="",#N/A,SUM(CM$4:CM338))</f>
        <v>#N/A</v>
      </c>
      <c r="CO338" s="315" t="str">
        <f t="shared" si="601"/>
        <v/>
      </c>
      <c r="CP338" s="315" t="e">
        <f>IF($J338="",#N/A,SUM(CO$4:CO338))</f>
        <v>#N/A</v>
      </c>
      <c r="CQ338" s="315" t="e">
        <f>IF($J338="",#N/A,SUM(CO$4:CO338,CM$4:CM338,CK$4:CK338))</f>
        <v>#N/A</v>
      </c>
      <c r="CR338" s="304" t="str">
        <f t="shared" si="602"/>
        <v/>
      </c>
      <c r="CS338" s="313" t="e">
        <f>IF($J338="",#N/A,SUM(CR$4:CR338))</f>
        <v>#N/A</v>
      </c>
      <c r="CT338" s="314" t="str">
        <f t="shared" si="603"/>
        <v/>
      </c>
      <c r="CU338" s="314" t="e">
        <f>IF($J338="",#N/A,SUM(CT$4:CT338))</f>
        <v>#N/A</v>
      </c>
      <c r="CV338" s="315" t="str">
        <f t="shared" si="604"/>
        <v/>
      </c>
      <c r="CW338" s="315" t="e">
        <f>IF($J338="",#N/A,SUM(CV$4:CV338))</f>
        <v>#N/A</v>
      </c>
      <c r="CX338" s="315" t="e">
        <f>IF($J338="",#N/A,SUM(CV$4:CV338,CT$4:CT338,CR$4:CR338))</f>
        <v>#N/A</v>
      </c>
      <c r="CY338" s="304" t="str">
        <f t="shared" si="605"/>
        <v/>
      </c>
      <c r="CZ338" s="313" t="e">
        <f>IF($J338="",#N/A,SUM(CY$4:CY338))</f>
        <v>#N/A</v>
      </c>
      <c r="DA338" s="314" t="str">
        <f t="shared" si="606"/>
        <v/>
      </c>
      <c r="DB338" s="314" t="e">
        <f>IF($J338="",#N/A,SUM(DA$4:DA338))</f>
        <v>#N/A</v>
      </c>
      <c r="DC338" s="315" t="str">
        <f t="shared" si="607"/>
        <v/>
      </c>
      <c r="DD338" s="315" t="e">
        <f>IF($J338="",#N/A,SUM(DC$4:DC338))</f>
        <v>#N/A</v>
      </c>
      <c r="DE338" s="315" t="e">
        <f>IF($J338="",#N/A,SUM(DC$4:DC338,DA$4:DA338,CY$4:CY338))</f>
        <v>#N/A</v>
      </c>
      <c r="DF338" s="304" t="str">
        <f t="shared" si="608"/>
        <v/>
      </c>
      <c r="DG338" s="313" t="e">
        <f>IF($J338="",#N/A,SUM(DF$4:DF338))</f>
        <v>#N/A</v>
      </c>
      <c r="DH338" s="314" t="str">
        <f t="shared" si="609"/>
        <v/>
      </c>
      <c r="DI338" s="314" t="e">
        <f>IF($J338="",#N/A,SUM(DH$4:DH338))</f>
        <v>#N/A</v>
      </c>
      <c r="DJ338" s="315" t="str">
        <f t="shared" si="610"/>
        <v/>
      </c>
      <c r="DK338" s="315" t="e">
        <f>IF($J338="",#N/A,SUM(DJ$4:DJ338))</f>
        <v>#N/A</v>
      </c>
      <c r="DL338" s="315" t="e">
        <f>IF($J338="",#N/A,SUM(DJ$4:DJ338,DH$4:DH338,DF$4:DF338))</f>
        <v>#N/A</v>
      </c>
      <c r="DM338" s="304" t="str">
        <f t="shared" si="611"/>
        <v/>
      </c>
      <c r="DN338" s="313" t="e">
        <f>IF($J338="",#N/A,SUM(DM$4:DM338))</f>
        <v>#N/A</v>
      </c>
      <c r="DO338" s="314" t="str">
        <f t="shared" si="612"/>
        <v/>
      </c>
      <c r="DP338" s="314" t="e">
        <f>IF($J338="",#N/A,SUM(DO$4:DO338))</f>
        <v>#N/A</v>
      </c>
      <c r="DQ338" s="315" t="str">
        <f t="shared" si="613"/>
        <v/>
      </c>
      <c r="DR338" s="315" t="e">
        <f>IF($J338="",#N/A,SUM(DQ$4:DQ338))</f>
        <v>#N/A</v>
      </c>
      <c r="DS338" s="315" t="e">
        <f>IF($J338="",#N/A,SUM(DQ$4:DQ338,DO$4:DO338,DM$4:DM338))</f>
        <v>#N/A</v>
      </c>
      <c r="DT338" s="304" t="str">
        <f t="shared" si="614"/>
        <v/>
      </c>
      <c r="DU338" s="313" t="e">
        <f>IF($J338="",#N/A,SUM(DT$4:DT338))</f>
        <v>#N/A</v>
      </c>
      <c r="DV338" s="314" t="str">
        <f t="shared" si="615"/>
        <v/>
      </c>
      <c r="DW338" s="314" t="e">
        <f>IF($J338="",#N/A,SUM(DV$4:DV338))</f>
        <v>#N/A</v>
      </c>
      <c r="DX338" s="315" t="str">
        <f t="shared" si="616"/>
        <v/>
      </c>
      <c r="DY338" s="315" t="e">
        <f>IF($J338="",#N/A,SUM(DX$4:DX338))</f>
        <v>#N/A</v>
      </c>
      <c r="DZ338" s="315" t="e">
        <f>IF($J338="",#N/A,SUM(DX$4:DX338,DV$4:DV338,DT$4:DT338))</f>
        <v>#N/A</v>
      </c>
      <c r="EA338" s="304" t="str">
        <f t="shared" si="617"/>
        <v/>
      </c>
      <c r="EB338" s="313" t="e">
        <f>IF($J338="",#N/A,SUM(EA$4:EA338))</f>
        <v>#N/A</v>
      </c>
      <c r="EC338" s="314" t="str">
        <f t="shared" si="618"/>
        <v/>
      </c>
      <c r="ED338" s="314" t="e">
        <f>IF($J338="",#N/A,SUM(EC$4:EC338))</f>
        <v>#N/A</v>
      </c>
      <c r="EE338" s="315" t="str">
        <f t="shared" si="619"/>
        <v/>
      </c>
      <c r="EF338" s="315" t="e">
        <f>IF($J338="",#N/A,SUM(EE$4:EE338))</f>
        <v>#N/A</v>
      </c>
      <c r="EG338" s="315" t="e">
        <f>IF($J338="",#N/A,SUM(EE$4:EE338,EC$4:EC338,EA$4:EA338))</f>
        <v>#N/A</v>
      </c>
      <c r="EH338" s="130">
        <f t="shared" si="620"/>
        <v>-81.299999999999955</v>
      </c>
      <c r="EI338" s="63">
        <f>IF(EH338="",#N/A,SUM($EH$4:EH338))</f>
        <v>817.73764078297404</v>
      </c>
      <c r="EJ338" s="223" t="e">
        <f t="shared" si="621"/>
        <v>#N/A</v>
      </c>
      <c r="EK338" s="63" t="e">
        <f>IF($GZ338="",#N/A,SUM(EJ$4:EJ338))</f>
        <v>#N/A</v>
      </c>
      <c r="EL338" s="60">
        <f t="shared" si="651"/>
        <v>-0.79483795277899949</v>
      </c>
      <c r="EM338" s="60">
        <f>IF(EL338="",NA(),SUM($EL$4:EL338))</f>
        <v>29.835761602277003</v>
      </c>
      <c r="EN338" s="60" t="str">
        <f t="shared" si="622"/>
        <v/>
      </c>
      <c r="EO338" s="60" t="e">
        <f>IF(EN338="",NA(),SUM($EN$4:EN338))</f>
        <v>#N/A</v>
      </c>
      <c r="EP338" s="60" t="str">
        <f t="shared" si="623"/>
        <v/>
      </c>
      <c r="EQ338" s="60" t="e">
        <f>IF(EP338="",NA(),SUM($EP$4:EP338))</f>
        <v>#N/A</v>
      </c>
      <c r="ER338" s="60">
        <f t="shared" si="624"/>
        <v>-0.79483795277899949</v>
      </c>
      <c r="ES338" s="60">
        <f>IF(ER338="",NA(),SUM($ER$4:ER338))</f>
        <v>12.345548996223009</v>
      </c>
      <c r="ET338" s="60" t="str">
        <f t="shared" si="625"/>
        <v/>
      </c>
      <c r="EU338" s="60" t="e">
        <f>IF(ET338="",NA(),SUM($ET$4:ET338))</f>
        <v>#N/A</v>
      </c>
      <c r="EV338" s="60" t="str">
        <f t="shared" si="626"/>
        <v/>
      </c>
      <c r="EW338" s="60" t="e">
        <f>IF(EV338="",NA(),SUM($EV$4:EV338))</f>
        <v>#N/A</v>
      </c>
      <c r="EX338" s="60" t="str">
        <f t="shared" si="627"/>
        <v/>
      </c>
      <c r="EY338" s="60" t="e">
        <f>IF(EX338="",NA(),SUM($EX$4:EX338))</f>
        <v>#N/A</v>
      </c>
      <c r="EZ338" s="60" t="str">
        <f t="shared" si="628"/>
        <v/>
      </c>
      <c r="FA338" s="60" t="e">
        <f>IF(EZ338="",NA(),SUM($EZ$4:EZ338))</f>
        <v>#N/A</v>
      </c>
      <c r="FB338" s="246" t="str">
        <f t="shared" si="652"/>
        <v/>
      </c>
      <c r="FC338" s="246" t="e">
        <f>IF($FB338="",#N/A,SUM(FB$4:$FB338))</f>
        <v>#N/A</v>
      </c>
      <c r="FD338" s="60">
        <f t="shared" si="629"/>
        <v>0.15251503152954893</v>
      </c>
      <c r="FE338" s="60">
        <f>IF($FD338="",#N/A,SUM($FD$4:FD338))</f>
        <v>3.7370412226616776</v>
      </c>
      <c r="FF338" s="60" t="str">
        <f t="shared" si="630"/>
        <v/>
      </c>
      <c r="FG338" s="60" t="e">
        <f>IF($FF338="",#N/A,SUM($FF$4:FF338))</f>
        <v>#N/A</v>
      </c>
      <c r="FH338" s="60" t="str">
        <f t="shared" si="631"/>
        <v/>
      </c>
      <c r="FI338" s="60" t="e">
        <f>IF($FH338="",#N/A,SUM($FH$4:FH338))</f>
        <v>#N/A</v>
      </c>
      <c r="FJ338" s="60" t="str">
        <f t="shared" si="632"/>
        <v/>
      </c>
      <c r="FK338" s="60" t="e">
        <f>IF($FJ338="",#N/A,SUM($FJ$4:FJ338))</f>
        <v>#N/A</v>
      </c>
      <c r="FL338" s="60" t="str">
        <f t="shared" si="633"/>
        <v/>
      </c>
      <c r="FM338" s="60" t="e">
        <f>IF($FL338="",#N/A,SUM($FL$4:FL338))</f>
        <v>#N/A</v>
      </c>
      <c r="FN338" s="82">
        <f t="shared" si="634"/>
        <v>-0.64232292124945056</v>
      </c>
      <c r="FO338" s="82">
        <f>IF($FN338="",#N/A,SUM(FN$4:$FN338))</f>
        <v>50.766346353473232</v>
      </c>
      <c r="FP338" s="82">
        <f t="shared" si="653"/>
        <v>-0.79483795277899949</v>
      </c>
      <c r="FQ338" s="246">
        <f>IF($EH338="",#N/A,SUM($FP$4:FP338))</f>
        <v>49.424325546519974</v>
      </c>
      <c r="FR338" s="82">
        <f>IFERROR(FQ338/COUNTA($J$4:J338),#N/A)</f>
        <v>0.14753530013886559</v>
      </c>
      <c r="FS338" s="82">
        <f t="shared" si="554"/>
        <v>-5.6786873275504204E-2</v>
      </c>
      <c r="FT338" s="82">
        <f t="shared" si="555"/>
        <v>-0.39708162753508075</v>
      </c>
      <c r="FU338" s="338">
        <f t="shared" si="657"/>
        <v>26.343379866878898</v>
      </c>
      <c r="FV338" s="57" t="str">
        <f t="shared" si="560"/>
        <v>Dwn</v>
      </c>
      <c r="FW338" s="57" t="s">
        <v>2734</v>
      </c>
      <c r="FX338" s="57" t="str">
        <f t="shared" si="635"/>
        <v/>
      </c>
      <c r="FY338" s="57">
        <f t="shared" si="636"/>
        <v>1</v>
      </c>
      <c r="FZ338" s="57" t="str">
        <f t="shared" si="637"/>
        <v/>
      </c>
      <c r="GA338" s="57" t="str">
        <f t="shared" si="638"/>
        <v>Short</v>
      </c>
      <c r="GB338" s="57" t="str">
        <f t="shared" si="639"/>
        <v/>
      </c>
      <c r="GC338" s="57" t="str">
        <f t="shared" si="640"/>
        <v/>
      </c>
      <c r="GD338" s="57" t="str">
        <f t="shared" si="641"/>
        <v/>
      </c>
      <c r="GE338" s="62">
        <f t="shared" si="557"/>
        <v>113.65</v>
      </c>
      <c r="GF338" s="62" t="s">
        <v>2780</v>
      </c>
      <c r="GG338" s="199">
        <v>15</v>
      </c>
      <c r="GH338" s="207">
        <f t="shared" si="642"/>
        <v>1704.75</v>
      </c>
      <c r="GI338" s="199">
        <v>15</v>
      </c>
      <c r="GJ338" s="200">
        <v>119.07</v>
      </c>
      <c r="GK338" s="63">
        <f t="shared" si="643"/>
        <v>-81.299999999999955</v>
      </c>
      <c r="GL338" s="63">
        <f t="shared" si="558"/>
        <v>-65.700000000000045</v>
      </c>
      <c r="GM338" s="82" t="str">
        <f t="shared" si="644"/>
        <v/>
      </c>
      <c r="GN338" s="82">
        <f>IF($GZ338="",#N/A,SUM(GM$4:GM338))</f>
        <v>7.5880743004436724</v>
      </c>
      <c r="GO338" s="82" t="str">
        <f t="shared" si="645"/>
        <v/>
      </c>
      <c r="GP338" s="82">
        <f>IF($GZ338="",#N/A,SUM(GO$4:GO338))</f>
        <v>13.383689428827713</v>
      </c>
      <c r="GQ338" s="82">
        <f t="shared" si="646"/>
        <v>-0.64232292124945056</v>
      </c>
      <c r="GR338" s="82">
        <f>IF($GZ338="",#N/A,SUM(GQ$4:GQ338))</f>
        <v>29.16874566975951</v>
      </c>
      <c r="GS338" s="63" t="str">
        <f t="shared" si="654"/>
        <v/>
      </c>
      <c r="GT338" s="63" t="e">
        <f>IF($GZ338="",#N/A,SUM(GS$4:GS338))</f>
        <v>#N/A</v>
      </c>
      <c r="GU338" s="63" t="str">
        <f t="shared" si="655"/>
        <v/>
      </c>
      <c r="GV338" s="63" t="e">
        <f>IF($GZ338="",#N/A,SUM(GU$4:GU338))</f>
        <v>#N/A</v>
      </c>
      <c r="GW338" s="63" t="e">
        <f t="shared" si="656"/>
        <v>#N/A</v>
      </c>
      <c r="GX338" s="63" t="e">
        <f>IF($GZ338="",#N/A,SUM(GW$4:GW338))</f>
        <v>#N/A</v>
      </c>
      <c r="GY338" s="63" t="e">
        <f>IF(EJ338="",#N/A,SUM($EJ$4:EJ338))</f>
        <v>#N/A</v>
      </c>
      <c r="GZ338" s="159">
        <v>118.03</v>
      </c>
      <c r="HA338" s="63">
        <f t="shared" si="647"/>
        <v>15.599999999999909</v>
      </c>
      <c r="HB338" s="62" t="s">
        <v>2538</v>
      </c>
      <c r="HC338" s="60">
        <f>IFERROR(VLOOKUP(E338,Expectancy!$P$4:$S$19,1+C338,FALSE),"")</f>
        <v>0.3117803024854584</v>
      </c>
      <c r="HD338" s="82">
        <f t="shared" si="648"/>
        <v>-0.79483795277899949</v>
      </c>
      <c r="HE338" s="138">
        <f>IF(HD338="",#N/A,SUM($HD$4:HD338))</f>
        <v>8.5509456796410728</v>
      </c>
      <c r="HF338" s="85">
        <f>IF(HD338="",#N/A,IF(HB338="Skip",#N/A,SUM($HG$4:HG338)))</f>
        <v>130.16657921915566</v>
      </c>
      <c r="HG338" s="62">
        <f t="shared" si="649"/>
        <v>-81.299999999999955</v>
      </c>
      <c r="HH338" s="82">
        <f t="shared" si="650"/>
        <v>-0.64232292124945056</v>
      </c>
    </row>
    <row r="339" spans="1:216" x14ac:dyDescent="0.25">
      <c r="A339" s="465" t="s">
        <v>1586</v>
      </c>
      <c r="B339" s="466" t="s">
        <v>5243</v>
      </c>
      <c r="C339" s="467">
        <f t="shared" si="561"/>
        <v>3</v>
      </c>
      <c r="D339" s="468" t="str">
        <f>_xlfn.XLOOKUP(A339,[1]SP500!$A$2:$A$502,[1]SP500!$D$2:$D$502,"N")</f>
        <v>Y</v>
      </c>
      <c r="E339" s="465" t="str">
        <f>_xlfn.XLOOKUP(A339,[1]SP500!$A$2:$A$655,[1]SP500!$B$2:$B$655)</f>
        <v>XHB</v>
      </c>
      <c r="F339" s="59">
        <v>45706</v>
      </c>
      <c r="G339" s="57" t="str">
        <f t="shared" si="562"/>
        <v>BMO</v>
      </c>
      <c r="H339" s="57" t="str">
        <f t="shared" si="563"/>
        <v>s</v>
      </c>
      <c r="I339" s="159">
        <v>133.38999999999999</v>
      </c>
      <c r="J339" s="159">
        <v>130.94</v>
      </c>
      <c r="K339" s="61">
        <f t="shared" si="564"/>
        <v>-1.8367193942574321E-2</v>
      </c>
      <c r="L339" s="87">
        <f t="shared" si="565"/>
        <v>-31.849999999999682</v>
      </c>
      <c r="M339" s="130">
        <f t="shared" si="556"/>
        <v>-32.5</v>
      </c>
      <c r="N339" s="169" t="str">
        <f t="shared" si="566"/>
        <v/>
      </c>
      <c r="O339" s="169">
        <f>IF($J339="",#N/A,SUM($N$4:N339))</f>
        <v>453.10671935422465</v>
      </c>
      <c r="P339" s="174" t="str">
        <f t="shared" si="567"/>
        <v/>
      </c>
      <c r="Q339" s="174">
        <f>IF($J339="",#N/A,SUM($P$4:P339))</f>
        <v>203.86499224504303</v>
      </c>
      <c r="R339" s="178">
        <f t="shared" si="568"/>
        <v>-31.849999999999682</v>
      </c>
      <c r="S339" s="178">
        <f>IF($J339="",#N/A,SUM($R$4:R339))</f>
        <v>128.91592918370657</v>
      </c>
      <c r="T339" s="290" t="str">
        <f t="shared" si="569"/>
        <v/>
      </c>
      <c r="U339" s="290">
        <f>IF($J339="",#N/A,SUM($T$4:T339))</f>
        <v>18.325526374876258</v>
      </c>
      <c r="V339" s="291" t="str">
        <f t="shared" si="570"/>
        <v/>
      </c>
      <c r="W339" s="291">
        <f>IF($J339="",#N/A,SUM($V$4:V339))</f>
        <v>21.666151520722892</v>
      </c>
      <c r="X339" s="292">
        <f t="shared" si="571"/>
        <v>-0.30611989904290376</v>
      </c>
      <c r="Y339" s="292">
        <f>IF($J339="",#N/A,SUM($X$4:X339))</f>
        <v>9.1265277518779389</v>
      </c>
      <c r="Z339" s="304" t="str">
        <f t="shared" si="572"/>
        <v/>
      </c>
      <c r="AA339" s="313" t="e">
        <f>IF($J339="",#N/A,SUM(Z$4:Z339))</f>
        <v>#N/A</v>
      </c>
      <c r="AB339" s="314" t="str">
        <f t="shared" si="573"/>
        <v/>
      </c>
      <c r="AC339" s="314" t="e">
        <f>IF($J339="",#N/A,SUM(AB$4:AB339))</f>
        <v>#N/A</v>
      </c>
      <c r="AD339" s="315" t="str">
        <f t="shared" si="574"/>
        <v/>
      </c>
      <c r="AE339" s="315" t="e">
        <f>IF($J339="",#N/A,SUM(AD$4:AD339))</f>
        <v>#N/A</v>
      </c>
      <c r="AF339" s="315" t="e">
        <f>IF($J339="",#N/A,SUM(AD$4:AD339,AB$4:AB339,Z$4:Z339))</f>
        <v>#N/A</v>
      </c>
      <c r="AG339" s="304" t="str">
        <f t="shared" si="575"/>
        <v/>
      </c>
      <c r="AH339" s="313" t="e">
        <f>IF($J339="",#N/A,SUM(AG$4:AG339))</f>
        <v>#N/A</v>
      </c>
      <c r="AI339" s="314" t="str">
        <f t="shared" si="576"/>
        <v/>
      </c>
      <c r="AJ339" s="314" t="e">
        <f>IF($J339="",#N/A,SUM(AI$4:AI339))</f>
        <v>#N/A</v>
      </c>
      <c r="AK339" s="315" t="str">
        <f t="shared" si="577"/>
        <v/>
      </c>
      <c r="AL339" s="315" t="e">
        <f>IF($J339="",#N/A,SUM(AK$4:AK339))</f>
        <v>#N/A</v>
      </c>
      <c r="AM339" s="315" t="e">
        <f>IF($J339="",#N/A,SUM(AK$4:AK339,AI$4:AI339,AG$4:AG339))</f>
        <v>#N/A</v>
      </c>
      <c r="AN339" s="304" t="str">
        <f t="shared" si="578"/>
        <v/>
      </c>
      <c r="AO339" s="313" t="e">
        <f>IF($J339="",#N/A,SUM(AN$4:AN339))</f>
        <v>#N/A</v>
      </c>
      <c r="AP339" s="314" t="str">
        <f t="shared" si="579"/>
        <v/>
      </c>
      <c r="AQ339" s="314" t="e">
        <f>IF($J339="",#N/A,SUM(AP$4:AP339))</f>
        <v>#N/A</v>
      </c>
      <c r="AR339" s="315" t="str">
        <f t="shared" si="580"/>
        <v/>
      </c>
      <c r="AS339" s="315" t="e">
        <f>IF($J339="",#N/A,SUM(AR$4:AR339))</f>
        <v>#N/A</v>
      </c>
      <c r="AT339" s="315" t="e">
        <f>IF($J339="",#N/A,SUM(AR$4:AR339,AP$4:AP339,AN$4:AN339))</f>
        <v>#N/A</v>
      </c>
      <c r="AU339" s="304" t="str">
        <f t="shared" si="581"/>
        <v/>
      </c>
      <c r="AV339" s="313" t="e">
        <f>IF($J339="",#N/A,SUM(AU$4:AU339))</f>
        <v>#N/A</v>
      </c>
      <c r="AW339" s="314" t="str">
        <f t="shared" si="582"/>
        <v/>
      </c>
      <c r="AX339" s="314" t="e">
        <f>IF($J339="",#N/A,SUM(AW$4:AW339))</f>
        <v>#N/A</v>
      </c>
      <c r="AY339" s="315" t="str">
        <f t="shared" si="583"/>
        <v/>
      </c>
      <c r="AZ339" s="315" t="e">
        <f>IF($J339="",#N/A,SUM(AY$4:AY339))</f>
        <v>#N/A</v>
      </c>
      <c r="BA339" s="315" t="e">
        <f>IF($J339="",#N/A,SUM(AY$4:AY339,AW$4:AW339,AU$4:AU339))</f>
        <v>#N/A</v>
      </c>
      <c r="BB339" s="304" t="str">
        <f t="shared" si="584"/>
        <v/>
      </c>
      <c r="BC339" s="313" t="e">
        <f>IF($J339="",#N/A,SUM(BB$4:BB339))</f>
        <v>#N/A</v>
      </c>
      <c r="BD339" s="314" t="str">
        <f t="shared" si="585"/>
        <v/>
      </c>
      <c r="BE339" s="314" t="e">
        <f>IF($J339="",#N/A,SUM(BD$4:BD339))</f>
        <v>#N/A</v>
      </c>
      <c r="BF339" s="315" t="str">
        <f t="shared" si="586"/>
        <v/>
      </c>
      <c r="BG339" s="315" t="e">
        <f>IF($J339="",#N/A,SUM(BF$4:BF339))</f>
        <v>#N/A</v>
      </c>
      <c r="BH339" s="315" t="e">
        <f>IF($J339="",#N/A,SUM(BF$4:BF339,BD$4:BD339,BB$4:BB339))</f>
        <v>#N/A</v>
      </c>
      <c r="BI339" s="304" t="str">
        <f t="shared" si="587"/>
        <v/>
      </c>
      <c r="BJ339" s="313" t="e">
        <f>IF($J339="",#N/A,SUM(BI$4:BI339))</f>
        <v>#N/A</v>
      </c>
      <c r="BK339" s="314" t="str">
        <f t="shared" si="588"/>
        <v/>
      </c>
      <c r="BL339" s="314" t="e">
        <f>IF($J339="",#N/A,SUM(BK$4:BK339))</f>
        <v>#N/A</v>
      </c>
      <c r="BM339" s="315" t="str">
        <f t="shared" si="589"/>
        <v/>
      </c>
      <c r="BN339" s="315" t="e">
        <f>IF($J339="",#N/A,SUM(BM$4:BM339))</f>
        <v>#N/A</v>
      </c>
      <c r="BO339" s="315" t="e">
        <f>IF($J339="",#N/A,SUM(BM$4:BM339,BK$4:BK339,BI$4:BI339))</f>
        <v>#N/A</v>
      </c>
      <c r="BP339" s="304" t="str">
        <f t="shared" si="590"/>
        <v/>
      </c>
      <c r="BQ339" s="313" t="e">
        <f>IF($J339="",#N/A,SUM(BP$4:BP339))</f>
        <v>#N/A</v>
      </c>
      <c r="BR339" s="314" t="str">
        <f t="shared" si="591"/>
        <v/>
      </c>
      <c r="BS339" s="314" t="e">
        <f>IF($J339="",#N/A,SUM(BR$4:BR339))</f>
        <v>#N/A</v>
      </c>
      <c r="BT339" s="315" t="str">
        <f t="shared" si="592"/>
        <v/>
      </c>
      <c r="BU339" s="315" t="e">
        <f>IF($J339="",#N/A,SUM(BT$4:BT339))</f>
        <v>#N/A</v>
      </c>
      <c r="BV339" s="315" t="e">
        <f>IF($J339="",#N/A,SUM(BT$4:BT339,BR$4:BR339,BP$4:BP339))</f>
        <v>#N/A</v>
      </c>
      <c r="BW339" s="304" t="str">
        <f t="shared" si="593"/>
        <v/>
      </c>
      <c r="BX339" s="313" t="e">
        <f>IF($J339="",#N/A,SUM(BW$4:BW339))</f>
        <v>#N/A</v>
      </c>
      <c r="BY339" s="314" t="str">
        <f t="shared" si="594"/>
        <v/>
      </c>
      <c r="BZ339" s="314" t="e">
        <f>IF($J339="",#N/A,SUM(BY$4:BY339))</f>
        <v>#N/A</v>
      </c>
      <c r="CA339" s="315" t="str">
        <f t="shared" si="595"/>
        <v/>
      </c>
      <c r="CB339" s="315" t="e">
        <f>IF($J339="",#N/A,SUM(CA$4:CA339))</f>
        <v>#N/A</v>
      </c>
      <c r="CC339" s="315" t="e">
        <f>IF($J339="",#N/A,SUM(CA$4:CA339,BY$4:BY339,BW$4:BW339))</f>
        <v>#N/A</v>
      </c>
      <c r="CD339" s="304" t="str">
        <f t="shared" si="596"/>
        <v/>
      </c>
      <c r="CE339" s="313" t="e">
        <f>IF($J339="",#N/A,SUM(CD$4:CD339))</f>
        <v>#N/A</v>
      </c>
      <c r="CF339" s="314" t="str">
        <f t="shared" si="597"/>
        <v/>
      </c>
      <c r="CG339" s="314" t="e">
        <f>IF($J339="",#N/A,SUM(CF$4:CF339))</f>
        <v>#N/A</v>
      </c>
      <c r="CH339" s="315" t="str">
        <f t="shared" si="598"/>
        <v/>
      </c>
      <c r="CI339" s="315" t="e">
        <f>IF($J339="",#N/A,SUM(CH$4:CH339))</f>
        <v>#N/A</v>
      </c>
      <c r="CJ339" s="315" t="e">
        <f>IF($J339="",#N/A,SUM(CH$4:CH339,CF$4:CF339,CD$4:CD339))</f>
        <v>#N/A</v>
      </c>
      <c r="CK339" s="304" t="str">
        <f t="shared" si="599"/>
        <v/>
      </c>
      <c r="CL339" s="313" t="e">
        <f>IF($J339="",#N/A,SUM(CK$4:CK339))</f>
        <v>#N/A</v>
      </c>
      <c r="CM339" s="314" t="str">
        <f t="shared" si="600"/>
        <v/>
      </c>
      <c r="CN339" s="314" t="e">
        <f>IF($J339="",#N/A,SUM(CM$4:CM339))</f>
        <v>#N/A</v>
      </c>
      <c r="CO339" s="315" t="str">
        <f t="shared" si="601"/>
        <v/>
      </c>
      <c r="CP339" s="315" t="e">
        <f>IF($J339="",#N/A,SUM(CO$4:CO339))</f>
        <v>#N/A</v>
      </c>
      <c r="CQ339" s="315" t="e">
        <f>IF($J339="",#N/A,SUM(CO$4:CO339,CM$4:CM339,CK$4:CK339))</f>
        <v>#N/A</v>
      </c>
      <c r="CR339" s="304" t="str">
        <f t="shared" si="602"/>
        <v/>
      </c>
      <c r="CS339" s="313" t="e">
        <f>IF($J339="",#N/A,SUM(CR$4:CR339))</f>
        <v>#N/A</v>
      </c>
      <c r="CT339" s="314" t="str">
        <f t="shared" si="603"/>
        <v/>
      </c>
      <c r="CU339" s="314" t="e">
        <f>IF($J339="",#N/A,SUM(CT$4:CT339))</f>
        <v>#N/A</v>
      </c>
      <c r="CV339" s="315" t="str">
        <f t="shared" si="604"/>
        <v/>
      </c>
      <c r="CW339" s="315" t="e">
        <f>IF($J339="",#N/A,SUM(CV$4:CV339))</f>
        <v>#N/A</v>
      </c>
      <c r="CX339" s="315" t="e">
        <f>IF($J339="",#N/A,SUM(CV$4:CV339,CT$4:CT339,CR$4:CR339))</f>
        <v>#N/A</v>
      </c>
      <c r="CY339" s="304" t="str">
        <f t="shared" si="605"/>
        <v/>
      </c>
      <c r="CZ339" s="313" t="e">
        <f>IF($J339="",#N/A,SUM(CY$4:CY339))</f>
        <v>#N/A</v>
      </c>
      <c r="DA339" s="314" t="str">
        <f t="shared" si="606"/>
        <v/>
      </c>
      <c r="DB339" s="314" t="e">
        <f>IF($J339="",#N/A,SUM(DA$4:DA339))</f>
        <v>#N/A</v>
      </c>
      <c r="DC339" s="315" t="str">
        <f t="shared" si="607"/>
        <v/>
      </c>
      <c r="DD339" s="315" t="e">
        <f>IF($J339="",#N/A,SUM(DC$4:DC339))</f>
        <v>#N/A</v>
      </c>
      <c r="DE339" s="315" t="e">
        <f>IF($J339="",#N/A,SUM(DC$4:DC339,DA$4:DA339,CY$4:CY339))</f>
        <v>#N/A</v>
      </c>
      <c r="DF339" s="304" t="str">
        <f t="shared" si="608"/>
        <v/>
      </c>
      <c r="DG339" s="313" t="e">
        <f>IF($J339="",#N/A,SUM(DF$4:DF339))</f>
        <v>#N/A</v>
      </c>
      <c r="DH339" s="314" t="str">
        <f t="shared" si="609"/>
        <v/>
      </c>
      <c r="DI339" s="314" t="e">
        <f>IF($J339="",#N/A,SUM(DH$4:DH339))</f>
        <v>#N/A</v>
      </c>
      <c r="DJ339" s="315" t="str">
        <f t="shared" si="610"/>
        <v/>
      </c>
      <c r="DK339" s="315" t="e">
        <f>IF($J339="",#N/A,SUM(DJ$4:DJ339))</f>
        <v>#N/A</v>
      </c>
      <c r="DL339" s="315" t="e">
        <f>IF($J339="",#N/A,SUM(DJ$4:DJ339,DH$4:DH339,DF$4:DF339))</f>
        <v>#N/A</v>
      </c>
      <c r="DM339" s="304" t="str">
        <f t="shared" si="611"/>
        <v/>
      </c>
      <c r="DN339" s="313" t="e">
        <f>IF($J339="",#N/A,SUM(DM$4:DM339))</f>
        <v>#N/A</v>
      </c>
      <c r="DO339" s="314" t="str">
        <f t="shared" si="612"/>
        <v/>
      </c>
      <c r="DP339" s="314" t="e">
        <f>IF($J339="",#N/A,SUM(DO$4:DO339))</f>
        <v>#N/A</v>
      </c>
      <c r="DQ339" s="315" t="str">
        <f t="shared" si="613"/>
        <v/>
      </c>
      <c r="DR339" s="315" t="e">
        <f>IF($J339="",#N/A,SUM(DQ$4:DQ339))</f>
        <v>#N/A</v>
      </c>
      <c r="DS339" s="315" t="e">
        <f>IF($J339="",#N/A,SUM(DQ$4:DQ339,DO$4:DO339,DM$4:DM339))</f>
        <v>#N/A</v>
      </c>
      <c r="DT339" s="304" t="str">
        <f t="shared" si="614"/>
        <v/>
      </c>
      <c r="DU339" s="313" t="e">
        <f>IF($J339="",#N/A,SUM(DT$4:DT339))</f>
        <v>#N/A</v>
      </c>
      <c r="DV339" s="314" t="str">
        <f t="shared" si="615"/>
        <v/>
      </c>
      <c r="DW339" s="314" t="e">
        <f>IF($J339="",#N/A,SUM(DV$4:DV339))</f>
        <v>#N/A</v>
      </c>
      <c r="DX339" s="315" t="str">
        <f t="shared" si="616"/>
        <v/>
      </c>
      <c r="DY339" s="315" t="e">
        <f>IF($J339="",#N/A,SUM(DX$4:DX339))</f>
        <v>#N/A</v>
      </c>
      <c r="DZ339" s="315" t="e">
        <f>IF($J339="",#N/A,SUM(DX$4:DX339,DV$4:DV339,DT$4:DT339))</f>
        <v>#N/A</v>
      </c>
      <c r="EA339" s="304" t="str">
        <f t="shared" si="617"/>
        <v/>
      </c>
      <c r="EB339" s="313" t="e">
        <f>IF($J339="",#N/A,SUM(EA$4:EA339))</f>
        <v>#N/A</v>
      </c>
      <c r="EC339" s="314" t="str">
        <f t="shared" si="618"/>
        <v/>
      </c>
      <c r="ED339" s="314" t="e">
        <f>IF($J339="",#N/A,SUM(EC$4:EC339))</f>
        <v>#N/A</v>
      </c>
      <c r="EE339" s="315">
        <f t="shared" si="619"/>
        <v>-0.30611989904290376</v>
      </c>
      <c r="EF339" s="315" t="e">
        <f>IF($J339="",#N/A,SUM(EE$4:EE339))</f>
        <v>#N/A</v>
      </c>
      <c r="EG339" s="315" t="e">
        <f>IF($J339="",#N/A,SUM(EE$4:EE339,EC$4:EC339,EA$4:EA339))</f>
        <v>#N/A</v>
      </c>
      <c r="EH339" s="130">
        <f t="shared" si="620"/>
        <v>-31.849999999999682</v>
      </c>
      <c r="EI339" s="63">
        <f>IF(EH339="",#N/A,SUM($EH$4:EH339))</f>
        <v>785.88764078297436</v>
      </c>
      <c r="EJ339" s="223" t="e">
        <f t="shared" si="621"/>
        <v>#N/A</v>
      </c>
      <c r="EK339" s="63" t="e">
        <f>IF($GZ339="",#N/A,SUM(EJ$4:EJ339))</f>
        <v>#N/A</v>
      </c>
      <c r="EL339" s="60">
        <f t="shared" si="651"/>
        <v>-0.30611989904290376</v>
      </c>
      <c r="EM339" s="60">
        <f>IF(EL339="",NA(),SUM($EL$4:EL339))</f>
        <v>29.529641703234098</v>
      </c>
      <c r="EN339" s="60" t="str">
        <f t="shared" si="622"/>
        <v/>
      </c>
      <c r="EO339" s="60" t="e">
        <f>IF(EN339="",NA(),SUM($EN$4:EN339))</f>
        <v>#N/A</v>
      </c>
      <c r="EP339" s="60">
        <f t="shared" si="623"/>
        <v>-0.30611989904290376</v>
      </c>
      <c r="EQ339" s="60">
        <f>IF(EP339="",NA(),SUM($EP$4:EP339))</f>
        <v>6.8709219783982922</v>
      </c>
      <c r="ER339" s="60" t="str">
        <f t="shared" si="624"/>
        <v/>
      </c>
      <c r="ES339" s="60" t="e">
        <f>IF(ER339="",NA(),SUM($ER$4:ER339))</f>
        <v>#N/A</v>
      </c>
      <c r="ET339" s="60" t="str">
        <f t="shared" si="625"/>
        <v/>
      </c>
      <c r="EU339" s="60" t="e">
        <f>IF(ET339="",NA(),SUM($ET$4:ET339))</f>
        <v>#N/A</v>
      </c>
      <c r="EV339" s="60" t="str">
        <f t="shared" si="626"/>
        <v/>
      </c>
      <c r="EW339" s="60" t="e">
        <f>IF(EV339="",NA(),SUM($EV$4:EV339))</f>
        <v>#N/A</v>
      </c>
      <c r="EX339" s="60" t="str">
        <f t="shared" si="627"/>
        <v/>
      </c>
      <c r="EY339" s="60" t="e">
        <f>IF(EX339="",NA(),SUM($EX$4:EX339))</f>
        <v>#N/A</v>
      </c>
      <c r="EZ339" s="60" t="str">
        <f t="shared" si="628"/>
        <v/>
      </c>
      <c r="FA339" s="60" t="e">
        <f>IF(EZ339="",NA(),SUM($EZ$4:EZ339))</f>
        <v>#N/A</v>
      </c>
      <c r="FB339" s="246" t="str">
        <f t="shared" si="652"/>
        <v/>
      </c>
      <c r="FC339" s="246" t="e">
        <f>IF($FB339="",#N/A,SUM(FB$4:$FB339))</f>
        <v>#N/A</v>
      </c>
      <c r="FD339" s="60" t="str">
        <f t="shared" si="629"/>
        <v/>
      </c>
      <c r="FE339" s="60" t="e">
        <f>IF($FD339="",#N/A,SUM($FD$4:FD339))</f>
        <v>#N/A</v>
      </c>
      <c r="FF339" s="60" t="str">
        <f t="shared" si="630"/>
        <v/>
      </c>
      <c r="FG339" s="60" t="e">
        <f>IF($FF339="",#N/A,SUM($FF$4:FF339))</f>
        <v>#N/A</v>
      </c>
      <c r="FH339" s="60" t="str">
        <f t="shared" si="631"/>
        <v/>
      </c>
      <c r="FI339" s="60" t="e">
        <f>IF($FH339="",#N/A,SUM($FH$4:FH339))</f>
        <v>#N/A</v>
      </c>
      <c r="FJ339" s="60" t="str">
        <f t="shared" si="632"/>
        <v/>
      </c>
      <c r="FK339" s="60" t="e">
        <f>IF($FJ339="",#N/A,SUM($FJ$4:FJ339))</f>
        <v>#N/A</v>
      </c>
      <c r="FL339" s="60">
        <f t="shared" si="633"/>
        <v>-0.63098183272109454</v>
      </c>
      <c r="FM339" s="60">
        <f>IF($FL339="",#N/A,SUM($FL$4:FL339))</f>
        <v>-2.1521551419615275</v>
      </c>
      <c r="FN339" s="82">
        <f t="shared" si="634"/>
        <v>-0.93710173176399836</v>
      </c>
      <c r="FO339" s="82">
        <f>IF($FN339="",#N/A,SUM(FN$4:$FN339))</f>
        <v>49.829244621709236</v>
      </c>
      <c r="FP339" s="82">
        <f t="shared" si="653"/>
        <v>-0.30611989904290376</v>
      </c>
      <c r="FQ339" s="246">
        <f>IF($EH339="",#N/A,SUM($FP$4:FP339))</f>
        <v>49.118205647477069</v>
      </c>
      <c r="FR339" s="82">
        <f>IFERROR(FQ339/COUNTA($J$4:J339),#N/A)</f>
        <v>0.14618513585558651</v>
      </c>
      <c r="FS339" s="82">
        <f t="shared" si="554"/>
        <v>-8.2325400512308425E-2</v>
      </c>
      <c r="FT339" s="82">
        <f t="shared" si="555"/>
        <v>-0.3637394286344397</v>
      </c>
      <c r="FU339" s="338">
        <f t="shared" si="657"/>
        <v>26.655747110800235</v>
      </c>
      <c r="FV339" s="57" t="str">
        <f t="shared" si="560"/>
        <v>SW</v>
      </c>
      <c r="FW339" s="57" t="s">
        <v>2732</v>
      </c>
      <c r="FX339" s="57" t="str">
        <f t="shared" si="635"/>
        <v/>
      </c>
      <c r="FY339" s="57" t="str">
        <f t="shared" si="636"/>
        <v/>
      </c>
      <c r="FZ339" s="57" t="str">
        <f t="shared" si="637"/>
        <v/>
      </c>
      <c r="GA339" s="57" t="str">
        <f t="shared" si="638"/>
        <v>Long</v>
      </c>
      <c r="GB339" s="57" t="str">
        <f t="shared" si="639"/>
        <v/>
      </c>
      <c r="GC339" s="57" t="str">
        <f t="shared" si="640"/>
        <v/>
      </c>
      <c r="GD339" s="57">
        <f t="shared" si="641"/>
        <v>1</v>
      </c>
      <c r="GE339" s="62">
        <f t="shared" si="557"/>
        <v>133.38999999999999</v>
      </c>
      <c r="GF339" s="62" t="s">
        <v>2779</v>
      </c>
      <c r="GG339" s="199">
        <v>13</v>
      </c>
      <c r="GH339" s="207">
        <f t="shared" si="642"/>
        <v>1734.0699999999997</v>
      </c>
      <c r="GI339" s="199">
        <v>13</v>
      </c>
      <c r="GJ339" s="200">
        <v>128.44</v>
      </c>
      <c r="GK339" s="63">
        <f t="shared" si="643"/>
        <v>-64.349999999999682</v>
      </c>
      <c r="GL339" s="63">
        <f t="shared" si="558"/>
        <v>-97.499999999999773</v>
      </c>
      <c r="GM339" s="82">
        <f t="shared" si="644"/>
        <v>-0.93710173176399836</v>
      </c>
      <c r="GN339" s="82">
        <f>IF($GZ339="",#N/A,SUM(GM$4:GM339))</f>
        <v>6.6509725686796743</v>
      </c>
      <c r="GO339" s="82" t="str">
        <f t="shared" si="645"/>
        <v/>
      </c>
      <c r="GP339" s="82">
        <f>IF($GZ339="",#N/A,SUM(GO$4:GO339))</f>
        <v>13.383689428827713</v>
      </c>
      <c r="GQ339" s="82" t="str">
        <f t="shared" si="646"/>
        <v/>
      </c>
      <c r="GR339" s="82">
        <f>IF($GZ339="",#N/A,SUM(GQ$4:GQ339))</f>
        <v>29.16874566975951</v>
      </c>
      <c r="GS339" s="63" t="e">
        <f t="shared" si="654"/>
        <v>#N/A</v>
      </c>
      <c r="GT339" s="63" t="e">
        <f>IF($GZ339="",#N/A,SUM(GS$4:GS339))</f>
        <v>#N/A</v>
      </c>
      <c r="GU339" s="63" t="str">
        <f t="shared" si="655"/>
        <v/>
      </c>
      <c r="GV339" s="63" t="e">
        <f>IF($GZ339="",#N/A,SUM(GU$4:GU339))</f>
        <v>#N/A</v>
      </c>
      <c r="GW339" s="63" t="str">
        <f t="shared" si="656"/>
        <v/>
      </c>
      <c r="GX339" s="63" t="e">
        <f>IF($GZ339="",#N/A,SUM(GW$4:GW339))</f>
        <v>#N/A</v>
      </c>
      <c r="GY339" s="63" t="e">
        <f>IF(EJ339="",#N/A,SUM($EJ$4:EJ339))</f>
        <v>#N/A</v>
      </c>
      <c r="GZ339" s="159">
        <v>125.89</v>
      </c>
      <c r="HA339" s="63">
        <f t="shared" si="647"/>
        <v>-65.650000000000091</v>
      </c>
      <c r="HB339" s="62" t="s">
        <v>2538</v>
      </c>
      <c r="HC339" s="60">
        <f>IFERROR(VLOOKUP(E339,Expectancy!$P$4:$S$19,1+C339,FALSE),"")</f>
        <v>-0.10364858920521783</v>
      </c>
      <c r="HD339" s="82">
        <f t="shared" si="648"/>
        <v>-0.61848714296423724</v>
      </c>
      <c r="HE339" s="138">
        <f>IF(HD339="",#N/A,SUM($HD$4:HD339))</f>
        <v>7.9324585366768359</v>
      </c>
      <c r="HF339" s="85">
        <f>IF(HD339="",#N/A,IF(HB339="Skip",#N/A,SUM($HG$4:HG339)))</f>
        <v>65.816579219155983</v>
      </c>
      <c r="HG339" s="62">
        <f t="shared" si="649"/>
        <v>-64.349999999999682</v>
      </c>
      <c r="HH339" s="82">
        <f t="shared" si="650"/>
        <v>-0.93710173176399836</v>
      </c>
    </row>
    <row r="340" spans="1:216" x14ac:dyDescent="0.25">
      <c r="A340" s="57" t="s">
        <v>743</v>
      </c>
      <c r="B340" s="58" t="s">
        <v>5244</v>
      </c>
      <c r="C340" s="386">
        <f t="shared" si="561"/>
        <v>3</v>
      </c>
      <c r="D340" s="372" t="str">
        <f>_xlfn.XLOOKUP(A340,[1]SP500!$A$2:$A$502,[1]SP500!$D$2:$D$502,"N")</f>
        <v>Y</v>
      </c>
      <c r="E340" s="57" t="str">
        <f>_xlfn.XLOOKUP(A340,[1]SP500!$A$2:$A$655,[1]SP500!$B$2:$B$655)</f>
        <v>XLK</v>
      </c>
      <c r="F340" s="59">
        <v>45706</v>
      </c>
      <c r="G340" s="57" t="str">
        <f t="shared" si="562"/>
        <v>AMC</v>
      </c>
      <c r="H340" s="57" t="str">
        <f t="shared" si="563"/>
        <v>s</v>
      </c>
      <c r="I340" s="159">
        <v>111.06</v>
      </c>
      <c r="J340" s="159">
        <v>104.5</v>
      </c>
      <c r="K340" s="61">
        <f t="shared" si="564"/>
        <v>-5.906717089861338E-2</v>
      </c>
      <c r="L340" s="87">
        <f t="shared" si="565"/>
        <v>-98.400000000000091</v>
      </c>
      <c r="M340" s="130">
        <f t="shared" si="556"/>
        <v>2.7000000000000455</v>
      </c>
      <c r="N340" s="169" t="str">
        <f t="shared" si="566"/>
        <v/>
      </c>
      <c r="O340" s="169">
        <f>IF($J340="",#N/A,SUM($N$4:N340))</f>
        <v>453.10671935422465</v>
      </c>
      <c r="P340" s="174" t="str">
        <f t="shared" si="567"/>
        <v/>
      </c>
      <c r="Q340" s="174">
        <f>IF($J340="",#N/A,SUM($P$4:P340))</f>
        <v>203.86499224504303</v>
      </c>
      <c r="R340" s="178">
        <f t="shared" si="568"/>
        <v>-98.400000000000091</v>
      </c>
      <c r="S340" s="178">
        <f>IF($J340="",#N/A,SUM($R$4:R340))</f>
        <v>30.515929183706476</v>
      </c>
      <c r="T340" s="290" t="str">
        <f t="shared" si="569"/>
        <v/>
      </c>
      <c r="U340" s="290">
        <f>IF($J340="",#N/A,SUM($T$4:T340))</f>
        <v>18.325526374876258</v>
      </c>
      <c r="V340" s="291" t="str">
        <f t="shared" si="570"/>
        <v/>
      </c>
      <c r="W340" s="291">
        <f>IF($J340="",#N/A,SUM($V$4:V340))</f>
        <v>21.666151520722892</v>
      </c>
      <c r="X340" s="292">
        <f t="shared" si="571"/>
        <v>-0.98445284831022351</v>
      </c>
      <c r="Y340" s="292">
        <f>IF($J340="",#N/A,SUM($X$4:X340))</f>
        <v>8.1420749035677158</v>
      </c>
      <c r="Z340" s="304" t="str">
        <f t="shared" si="572"/>
        <v/>
      </c>
      <c r="AA340" s="313" t="e">
        <f>IF($J340="",#N/A,SUM(Z$4:Z340))</f>
        <v>#N/A</v>
      </c>
      <c r="AB340" s="314" t="str">
        <f t="shared" si="573"/>
        <v/>
      </c>
      <c r="AC340" s="314" t="e">
        <f>IF($J340="",#N/A,SUM(AB$4:AB340))</f>
        <v>#N/A</v>
      </c>
      <c r="AD340" s="315">
        <f t="shared" si="574"/>
        <v>-0.98445284831022351</v>
      </c>
      <c r="AE340" s="315" t="e">
        <f>IF($J340="",#N/A,SUM(AD$4:AD340))</f>
        <v>#N/A</v>
      </c>
      <c r="AF340" s="315" t="e">
        <f>IF($J340="",#N/A,SUM(AD$4:AD340,AB$4:AB340,Z$4:Z340))</f>
        <v>#N/A</v>
      </c>
      <c r="AG340" s="304" t="str">
        <f t="shared" si="575"/>
        <v/>
      </c>
      <c r="AH340" s="313" t="e">
        <f>IF($J340="",#N/A,SUM(AG$4:AG340))</f>
        <v>#N/A</v>
      </c>
      <c r="AI340" s="314" t="str">
        <f t="shared" si="576"/>
        <v/>
      </c>
      <c r="AJ340" s="314" t="e">
        <f>IF($J340="",#N/A,SUM(AI$4:AI340))</f>
        <v>#N/A</v>
      </c>
      <c r="AK340" s="315" t="str">
        <f t="shared" si="577"/>
        <v/>
      </c>
      <c r="AL340" s="315" t="e">
        <f>IF($J340="",#N/A,SUM(AK$4:AK340))</f>
        <v>#N/A</v>
      </c>
      <c r="AM340" s="315" t="e">
        <f>IF($J340="",#N/A,SUM(AK$4:AK340,AI$4:AI340,AG$4:AG340))</f>
        <v>#N/A</v>
      </c>
      <c r="AN340" s="304" t="str">
        <f t="shared" si="578"/>
        <v/>
      </c>
      <c r="AO340" s="313" t="e">
        <f>IF($J340="",#N/A,SUM(AN$4:AN340))</f>
        <v>#N/A</v>
      </c>
      <c r="AP340" s="314" t="str">
        <f t="shared" si="579"/>
        <v/>
      </c>
      <c r="AQ340" s="314" t="e">
        <f>IF($J340="",#N/A,SUM(AP$4:AP340))</f>
        <v>#N/A</v>
      </c>
      <c r="AR340" s="315" t="str">
        <f t="shared" si="580"/>
        <v/>
      </c>
      <c r="AS340" s="315" t="e">
        <f>IF($J340="",#N/A,SUM(AR$4:AR340))</f>
        <v>#N/A</v>
      </c>
      <c r="AT340" s="315" t="e">
        <f>IF($J340="",#N/A,SUM(AR$4:AR340,AP$4:AP340,AN$4:AN340))</f>
        <v>#N/A</v>
      </c>
      <c r="AU340" s="304" t="str">
        <f t="shared" si="581"/>
        <v/>
      </c>
      <c r="AV340" s="313" t="e">
        <f>IF($J340="",#N/A,SUM(AU$4:AU340))</f>
        <v>#N/A</v>
      </c>
      <c r="AW340" s="314" t="str">
        <f t="shared" si="582"/>
        <v/>
      </c>
      <c r="AX340" s="314" t="e">
        <f>IF($J340="",#N/A,SUM(AW$4:AW340))</f>
        <v>#N/A</v>
      </c>
      <c r="AY340" s="315" t="str">
        <f t="shared" si="583"/>
        <v/>
      </c>
      <c r="AZ340" s="315" t="e">
        <f>IF($J340="",#N/A,SUM(AY$4:AY340))</f>
        <v>#N/A</v>
      </c>
      <c r="BA340" s="315" t="e">
        <f>IF($J340="",#N/A,SUM(AY$4:AY340,AW$4:AW340,AU$4:AU340))</f>
        <v>#N/A</v>
      </c>
      <c r="BB340" s="304" t="str">
        <f t="shared" si="584"/>
        <v/>
      </c>
      <c r="BC340" s="313" t="e">
        <f>IF($J340="",#N/A,SUM(BB$4:BB340))</f>
        <v>#N/A</v>
      </c>
      <c r="BD340" s="314" t="str">
        <f t="shared" si="585"/>
        <v/>
      </c>
      <c r="BE340" s="314" t="e">
        <f>IF($J340="",#N/A,SUM(BD$4:BD340))</f>
        <v>#N/A</v>
      </c>
      <c r="BF340" s="315" t="str">
        <f t="shared" si="586"/>
        <v/>
      </c>
      <c r="BG340" s="315" t="e">
        <f>IF($J340="",#N/A,SUM(BF$4:BF340))</f>
        <v>#N/A</v>
      </c>
      <c r="BH340" s="315" t="e">
        <f>IF($J340="",#N/A,SUM(BF$4:BF340,BD$4:BD340,BB$4:BB340))</f>
        <v>#N/A</v>
      </c>
      <c r="BI340" s="304" t="str">
        <f t="shared" si="587"/>
        <v/>
      </c>
      <c r="BJ340" s="313" t="e">
        <f>IF($J340="",#N/A,SUM(BI$4:BI340))</f>
        <v>#N/A</v>
      </c>
      <c r="BK340" s="314" t="str">
        <f t="shared" si="588"/>
        <v/>
      </c>
      <c r="BL340" s="314" t="e">
        <f>IF($J340="",#N/A,SUM(BK$4:BK340))</f>
        <v>#N/A</v>
      </c>
      <c r="BM340" s="315" t="str">
        <f t="shared" si="589"/>
        <v/>
      </c>
      <c r="BN340" s="315" t="e">
        <f>IF($J340="",#N/A,SUM(BM$4:BM340))</f>
        <v>#N/A</v>
      </c>
      <c r="BO340" s="315" t="e">
        <f>IF($J340="",#N/A,SUM(BM$4:BM340,BK$4:BK340,BI$4:BI340))</f>
        <v>#N/A</v>
      </c>
      <c r="BP340" s="304" t="str">
        <f t="shared" si="590"/>
        <v/>
      </c>
      <c r="BQ340" s="313" t="e">
        <f>IF($J340="",#N/A,SUM(BP$4:BP340))</f>
        <v>#N/A</v>
      </c>
      <c r="BR340" s="314" t="str">
        <f t="shared" si="591"/>
        <v/>
      </c>
      <c r="BS340" s="314" t="e">
        <f>IF($J340="",#N/A,SUM(BR$4:BR340))</f>
        <v>#N/A</v>
      </c>
      <c r="BT340" s="315" t="str">
        <f t="shared" si="592"/>
        <v/>
      </c>
      <c r="BU340" s="315" t="e">
        <f>IF($J340="",#N/A,SUM(BT$4:BT340))</f>
        <v>#N/A</v>
      </c>
      <c r="BV340" s="315" t="e">
        <f>IF($J340="",#N/A,SUM(BT$4:BT340,BR$4:BR340,BP$4:BP340))</f>
        <v>#N/A</v>
      </c>
      <c r="BW340" s="304" t="str">
        <f t="shared" si="593"/>
        <v/>
      </c>
      <c r="BX340" s="313" t="e">
        <f>IF($J340="",#N/A,SUM(BW$4:BW340))</f>
        <v>#N/A</v>
      </c>
      <c r="BY340" s="314" t="str">
        <f t="shared" si="594"/>
        <v/>
      </c>
      <c r="BZ340" s="314" t="e">
        <f>IF($J340="",#N/A,SUM(BY$4:BY340))</f>
        <v>#N/A</v>
      </c>
      <c r="CA340" s="315" t="str">
        <f t="shared" si="595"/>
        <v/>
      </c>
      <c r="CB340" s="315" t="e">
        <f>IF($J340="",#N/A,SUM(CA$4:CA340))</f>
        <v>#N/A</v>
      </c>
      <c r="CC340" s="315" t="e">
        <f>IF($J340="",#N/A,SUM(CA$4:CA340,BY$4:BY340,BW$4:BW340))</f>
        <v>#N/A</v>
      </c>
      <c r="CD340" s="304" t="str">
        <f t="shared" si="596"/>
        <v/>
      </c>
      <c r="CE340" s="313" t="e">
        <f>IF($J340="",#N/A,SUM(CD$4:CD340))</f>
        <v>#N/A</v>
      </c>
      <c r="CF340" s="314" t="str">
        <f t="shared" si="597"/>
        <v/>
      </c>
      <c r="CG340" s="314" t="e">
        <f>IF($J340="",#N/A,SUM(CF$4:CF340))</f>
        <v>#N/A</v>
      </c>
      <c r="CH340" s="315" t="str">
        <f t="shared" si="598"/>
        <v/>
      </c>
      <c r="CI340" s="315" t="e">
        <f>IF($J340="",#N/A,SUM(CH$4:CH340))</f>
        <v>#N/A</v>
      </c>
      <c r="CJ340" s="315" t="e">
        <f>IF($J340="",#N/A,SUM(CH$4:CH340,CF$4:CF340,CD$4:CD340))</f>
        <v>#N/A</v>
      </c>
      <c r="CK340" s="304" t="str">
        <f t="shared" si="599"/>
        <v/>
      </c>
      <c r="CL340" s="313" t="e">
        <f>IF($J340="",#N/A,SUM(CK$4:CK340))</f>
        <v>#N/A</v>
      </c>
      <c r="CM340" s="314" t="str">
        <f t="shared" si="600"/>
        <v/>
      </c>
      <c r="CN340" s="314" t="e">
        <f>IF($J340="",#N/A,SUM(CM$4:CM340))</f>
        <v>#N/A</v>
      </c>
      <c r="CO340" s="315" t="str">
        <f t="shared" si="601"/>
        <v/>
      </c>
      <c r="CP340" s="315" t="e">
        <f>IF($J340="",#N/A,SUM(CO$4:CO340))</f>
        <v>#N/A</v>
      </c>
      <c r="CQ340" s="315" t="e">
        <f>IF($J340="",#N/A,SUM(CO$4:CO340,CM$4:CM340,CK$4:CK340))</f>
        <v>#N/A</v>
      </c>
      <c r="CR340" s="304" t="str">
        <f t="shared" si="602"/>
        <v/>
      </c>
      <c r="CS340" s="313" t="e">
        <f>IF($J340="",#N/A,SUM(CR$4:CR340))</f>
        <v>#N/A</v>
      </c>
      <c r="CT340" s="314" t="str">
        <f t="shared" si="603"/>
        <v/>
      </c>
      <c r="CU340" s="314" t="e">
        <f>IF($J340="",#N/A,SUM(CT$4:CT340))</f>
        <v>#N/A</v>
      </c>
      <c r="CV340" s="315" t="str">
        <f t="shared" si="604"/>
        <v/>
      </c>
      <c r="CW340" s="315" t="e">
        <f>IF($J340="",#N/A,SUM(CV$4:CV340))</f>
        <v>#N/A</v>
      </c>
      <c r="CX340" s="315" t="e">
        <f>IF($J340="",#N/A,SUM(CV$4:CV340,CT$4:CT340,CR$4:CR340))</f>
        <v>#N/A</v>
      </c>
      <c r="CY340" s="304" t="str">
        <f t="shared" si="605"/>
        <v/>
      </c>
      <c r="CZ340" s="313" t="e">
        <f>IF($J340="",#N/A,SUM(CY$4:CY340))</f>
        <v>#N/A</v>
      </c>
      <c r="DA340" s="314" t="str">
        <f t="shared" si="606"/>
        <v/>
      </c>
      <c r="DB340" s="314" t="e">
        <f>IF($J340="",#N/A,SUM(DA$4:DA340))</f>
        <v>#N/A</v>
      </c>
      <c r="DC340" s="315" t="str">
        <f t="shared" si="607"/>
        <v/>
      </c>
      <c r="DD340" s="315" t="e">
        <f>IF($J340="",#N/A,SUM(DC$4:DC340))</f>
        <v>#N/A</v>
      </c>
      <c r="DE340" s="315" t="e">
        <f>IF($J340="",#N/A,SUM(DC$4:DC340,DA$4:DA340,CY$4:CY340))</f>
        <v>#N/A</v>
      </c>
      <c r="DF340" s="304" t="str">
        <f t="shared" si="608"/>
        <v/>
      </c>
      <c r="DG340" s="313" t="e">
        <f>IF($J340="",#N/A,SUM(DF$4:DF340))</f>
        <v>#N/A</v>
      </c>
      <c r="DH340" s="314" t="str">
        <f t="shared" si="609"/>
        <v/>
      </c>
      <c r="DI340" s="314" t="e">
        <f>IF($J340="",#N/A,SUM(DH$4:DH340))</f>
        <v>#N/A</v>
      </c>
      <c r="DJ340" s="315" t="str">
        <f t="shared" si="610"/>
        <v/>
      </c>
      <c r="DK340" s="315" t="e">
        <f>IF($J340="",#N/A,SUM(DJ$4:DJ340))</f>
        <v>#N/A</v>
      </c>
      <c r="DL340" s="315" t="e">
        <f>IF($J340="",#N/A,SUM(DJ$4:DJ340,DH$4:DH340,DF$4:DF340))</f>
        <v>#N/A</v>
      </c>
      <c r="DM340" s="304" t="str">
        <f t="shared" si="611"/>
        <v/>
      </c>
      <c r="DN340" s="313" t="e">
        <f>IF($J340="",#N/A,SUM(DM$4:DM340))</f>
        <v>#N/A</v>
      </c>
      <c r="DO340" s="314" t="str">
        <f t="shared" si="612"/>
        <v/>
      </c>
      <c r="DP340" s="314" t="e">
        <f>IF($J340="",#N/A,SUM(DO$4:DO340))</f>
        <v>#N/A</v>
      </c>
      <c r="DQ340" s="315" t="str">
        <f t="shared" si="613"/>
        <v/>
      </c>
      <c r="DR340" s="315" t="e">
        <f>IF($J340="",#N/A,SUM(DQ$4:DQ340))</f>
        <v>#N/A</v>
      </c>
      <c r="DS340" s="315" t="e">
        <f>IF($J340="",#N/A,SUM(DQ$4:DQ340,DO$4:DO340,DM$4:DM340))</f>
        <v>#N/A</v>
      </c>
      <c r="DT340" s="304" t="str">
        <f t="shared" si="614"/>
        <v/>
      </c>
      <c r="DU340" s="313" t="e">
        <f>IF($J340="",#N/A,SUM(DT$4:DT340))</f>
        <v>#N/A</v>
      </c>
      <c r="DV340" s="314" t="str">
        <f t="shared" si="615"/>
        <v/>
      </c>
      <c r="DW340" s="314" t="e">
        <f>IF($J340="",#N/A,SUM(DV$4:DV340))</f>
        <v>#N/A</v>
      </c>
      <c r="DX340" s="315" t="str">
        <f t="shared" si="616"/>
        <v/>
      </c>
      <c r="DY340" s="315" t="e">
        <f>IF($J340="",#N/A,SUM(DX$4:DX340))</f>
        <v>#N/A</v>
      </c>
      <c r="DZ340" s="315" t="e">
        <f>IF($J340="",#N/A,SUM(DX$4:DX340,DV$4:DV340,DT$4:DT340))</f>
        <v>#N/A</v>
      </c>
      <c r="EA340" s="304" t="str">
        <f t="shared" si="617"/>
        <v/>
      </c>
      <c r="EB340" s="313" t="e">
        <f>IF($J340="",#N/A,SUM(EA$4:EA340))</f>
        <v>#N/A</v>
      </c>
      <c r="EC340" s="314" t="str">
        <f t="shared" si="618"/>
        <v/>
      </c>
      <c r="ED340" s="314" t="e">
        <f>IF($J340="",#N/A,SUM(EC$4:EC340))</f>
        <v>#N/A</v>
      </c>
      <c r="EE340" s="315" t="str">
        <f t="shared" si="619"/>
        <v/>
      </c>
      <c r="EF340" s="315" t="e">
        <f>IF($J340="",#N/A,SUM(EE$4:EE340))</f>
        <v>#N/A</v>
      </c>
      <c r="EG340" s="315" t="e">
        <f>IF($J340="",#N/A,SUM(EE$4:EE340,EC$4:EC340,EA$4:EA340))</f>
        <v>#N/A</v>
      </c>
      <c r="EH340" s="130">
        <f t="shared" si="620"/>
        <v>-98.400000000000091</v>
      </c>
      <c r="EI340" s="63">
        <f>IF(EH340="",#N/A,SUM($EH$4:EH340))</f>
        <v>687.48764078297427</v>
      </c>
      <c r="EJ340" s="223" t="e">
        <f t="shared" si="621"/>
        <v>#N/A</v>
      </c>
      <c r="EK340" s="63" t="e">
        <f>IF($GZ340="",#N/A,SUM(EJ$4:EJ340))</f>
        <v>#N/A</v>
      </c>
      <c r="EL340" s="60">
        <f t="shared" si="651"/>
        <v>-0.98445284831022351</v>
      </c>
      <c r="EM340" s="60">
        <f>IF(EL340="",NA(),SUM($EL$4:EL340))</f>
        <v>28.545188854923875</v>
      </c>
      <c r="EN340" s="60" t="str">
        <f t="shared" si="622"/>
        <v/>
      </c>
      <c r="EO340" s="60" t="e">
        <f>IF(EN340="",NA(),SUM($EN$4:EN340))</f>
        <v>#N/A</v>
      </c>
      <c r="EP340" s="60">
        <f t="shared" si="623"/>
        <v>-0.98445284831022351</v>
      </c>
      <c r="EQ340" s="60">
        <f>IF(EP340="",NA(),SUM($EP$4:EP340))</f>
        <v>5.8864691300880683</v>
      </c>
      <c r="ER340" s="60" t="str">
        <f t="shared" si="624"/>
        <v/>
      </c>
      <c r="ES340" s="60" t="e">
        <f>IF(ER340="",NA(),SUM($ER$4:ER340))</f>
        <v>#N/A</v>
      </c>
      <c r="ET340" s="60" t="str">
        <f t="shared" si="625"/>
        <v/>
      </c>
      <c r="EU340" s="60" t="e">
        <f>IF(ET340="",NA(),SUM($ET$4:ET340))</f>
        <v>#N/A</v>
      </c>
      <c r="EV340" s="60" t="str">
        <f t="shared" si="626"/>
        <v/>
      </c>
      <c r="EW340" s="60" t="e">
        <f>IF(EV340="",NA(),SUM($EV$4:EV340))</f>
        <v>#N/A</v>
      </c>
      <c r="EX340" s="60" t="str">
        <f t="shared" si="627"/>
        <v/>
      </c>
      <c r="EY340" s="60" t="e">
        <f>IF(EX340="",NA(),SUM($EX$4:EX340))</f>
        <v>#N/A</v>
      </c>
      <c r="EZ340" s="60" t="str">
        <f t="shared" si="628"/>
        <v/>
      </c>
      <c r="FA340" s="60" t="e">
        <f>IF(EZ340="",NA(),SUM($EZ$4:EZ340))</f>
        <v>#N/A</v>
      </c>
      <c r="FB340" s="246" t="str">
        <f t="shared" si="652"/>
        <v/>
      </c>
      <c r="FC340" s="246" t="e">
        <f>IF($FB340="",#N/A,SUM(FB$4:$FB340))</f>
        <v>#N/A</v>
      </c>
      <c r="FD340" s="60" t="str">
        <f t="shared" si="629"/>
        <v/>
      </c>
      <c r="FE340" s="60" t="e">
        <f>IF($FD340="",#N/A,SUM($FD$4:FD340))</f>
        <v>#N/A</v>
      </c>
      <c r="FF340" s="60" t="str">
        <f t="shared" si="630"/>
        <v/>
      </c>
      <c r="FG340" s="60" t="e">
        <f>IF($FF340="",#N/A,SUM($FF$4:FF340))</f>
        <v>#N/A</v>
      </c>
      <c r="FH340" s="60" t="str">
        <f t="shared" si="631"/>
        <v/>
      </c>
      <c r="FI340" s="60" t="e">
        <f>IF($FH340="",#N/A,SUM($FH$4:FH340))</f>
        <v>#N/A</v>
      </c>
      <c r="FJ340" s="60" t="str">
        <f t="shared" si="632"/>
        <v/>
      </c>
      <c r="FK340" s="60" t="e">
        <f>IF($FJ340="",#N/A,SUM($FJ$4:FJ340))</f>
        <v>#N/A</v>
      </c>
      <c r="FL340" s="60">
        <f t="shared" si="633"/>
        <v>-8.7040038417672605E-2</v>
      </c>
      <c r="FM340" s="60">
        <f>IF($FL340="",#N/A,SUM($FL$4:FL340))</f>
        <v>-2.2391951803792001</v>
      </c>
      <c r="FN340" s="82">
        <f t="shared" si="634"/>
        <v>-1.0714928867278961</v>
      </c>
      <c r="FO340" s="82">
        <f>IF($FN340="",#N/A,SUM(FN$4:$FN340))</f>
        <v>48.757751734981341</v>
      </c>
      <c r="FP340" s="82">
        <f t="shared" si="653"/>
        <v>-0.98445284831022351</v>
      </c>
      <c r="FQ340" s="246">
        <f>IF($EH340="",#N/A,SUM($FP$4:FP340))</f>
        <v>48.133752799166842</v>
      </c>
      <c r="FR340" s="82">
        <f>IFERROR(FQ340/COUNTA($J$4:J340),#N/A)</f>
        <v>0.14283012700049508</v>
      </c>
      <c r="FS340" s="82">
        <f t="shared" si="554"/>
        <v>-9.8985351723212031E-2</v>
      </c>
      <c r="FT340" s="82">
        <f t="shared" si="555"/>
        <v>-0.39036609176402776</v>
      </c>
      <c r="FU340" s="338">
        <f t="shared" si="657"/>
        <v>26.628734685084396</v>
      </c>
      <c r="FV340" s="57" t="str">
        <f t="shared" si="560"/>
        <v>SW</v>
      </c>
      <c r="FW340" s="57" t="s">
        <v>2732</v>
      </c>
      <c r="FX340" s="57" t="str">
        <f t="shared" si="635"/>
        <v/>
      </c>
      <c r="FY340" s="57" t="str">
        <f t="shared" si="636"/>
        <v/>
      </c>
      <c r="FZ340" s="57" t="str">
        <f t="shared" si="637"/>
        <v/>
      </c>
      <c r="GA340" s="57" t="str">
        <f t="shared" si="638"/>
        <v>Long</v>
      </c>
      <c r="GB340" s="57" t="str">
        <f t="shared" si="639"/>
        <v/>
      </c>
      <c r="GC340" s="57" t="str">
        <f t="shared" si="640"/>
        <v/>
      </c>
      <c r="GD340" s="57">
        <f t="shared" si="641"/>
        <v>1</v>
      </c>
      <c r="GE340" s="62">
        <f t="shared" si="557"/>
        <v>111.06</v>
      </c>
      <c r="GF340" s="62" t="s">
        <v>2779</v>
      </c>
      <c r="GG340" s="199">
        <v>15</v>
      </c>
      <c r="GH340" s="207">
        <f t="shared" si="642"/>
        <v>1665.9</v>
      </c>
      <c r="GI340" s="199">
        <v>15</v>
      </c>
      <c r="GJ340" s="200">
        <v>104.68</v>
      </c>
      <c r="GK340" s="63">
        <f t="shared" si="643"/>
        <v>-95.700000000000045</v>
      </c>
      <c r="GL340" s="63">
        <f t="shared" si="558"/>
        <v>-107.10000000000014</v>
      </c>
      <c r="GM340" s="82">
        <f t="shared" si="644"/>
        <v>-1.0714928867278961</v>
      </c>
      <c r="GN340" s="82">
        <f>IF($GZ340="",#N/A,SUM(GM$4:GM340))</f>
        <v>5.5794796819517778</v>
      </c>
      <c r="GO340" s="82" t="str">
        <f t="shared" si="645"/>
        <v/>
      </c>
      <c r="GP340" s="82">
        <f>IF($GZ340="",#N/A,SUM(GO$4:GO340))</f>
        <v>13.383689428827713</v>
      </c>
      <c r="GQ340" s="82" t="str">
        <f t="shared" si="646"/>
        <v/>
      </c>
      <c r="GR340" s="82">
        <f>IF($GZ340="",#N/A,SUM(GQ$4:GQ340))</f>
        <v>29.16874566975951</v>
      </c>
      <c r="GS340" s="63" t="e">
        <f t="shared" si="654"/>
        <v>#N/A</v>
      </c>
      <c r="GT340" s="63" t="e">
        <f>IF($GZ340="",#N/A,SUM(GS$4:GS340))</f>
        <v>#N/A</v>
      </c>
      <c r="GU340" s="63" t="str">
        <f t="shared" si="655"/>
        <v/>
      </c>
      <c r="GV340" s="63" t="e">
        <f>IF($GZ340="",#N/A,SUM(GU$4:GU340))</f>
        <v>#N/A</v>
      </c>
      <c r="GW340" s="63" t="str">
        <f t="shared" si="656"/>
        <v/>
      </c>
      <c r="GX340" s="63" t="e">
        <f>IF($GZ340="",#N/A,SUM(GW$4:GW340))</f>
        <v>#N/A</v>
      </c>
      <c r="GY340" s="63" t="e">
        <f>IF(EJ340="",#N/A,SUM($EJ$4:EJ340))</f>
        <v>#N/A</v>
      </c>
      <c r="GZ340" s="159">
        <v>103.92</v>
      </c>
      <c r="HA340" s="63">
        <f t="shared" si="647"/>
        <v>-8.7000000000000455</v>
      </c>
      <c r="HB340" s="62" t="s">
        <v>2538</v>
      </c>
      <c r="HC340" s="60">
        <f>IFERROR(VLOOKUP(E340,Expectancy!$P$4:$S$19,1+C340,FALSE),"")</f>
        <v>-0.17081772033279666</v>
      </c>
      <c r="HD340" s="82">
        <f t="shared" si="648"/>
        <v>-0.95744042259439377</v>
      </c>
      <c r="HE340" s="138">
        <f>IF(HD340="",#N/A,SUM($HD$4:HD340))</f>
        <v>6.9750181140824417</v>
      </c>
      <c r="HF340" s="85">
        <f>IF(HD340="",#N/A,IF(HB340="Skip",#N/A,SUM($HG$4:HG340)))</f>
        <v>-29.883420780844062</v>
      </c>
      <c r="HG340" s="63">
        <f t="shared" si="649"/>
        <v>-95.700000000000045</v>
      </c>
      <c r="HH340" s="82">
        <f t="shared" si="650"/>
        <v>-1.0714928867278961</v>
      </c>
    </row>
    <row r="341" spans="1:216" x14ac:dyDescent="0.25">
      <c r="A341" s="57" t="s">
        <v>1370</v>
      </c>
      <c r="B341" s="58" t="s">
        <v>5244</v>
      </c>
      <c r="C341" s="386">
        <f t="shared" si="561"/>
        <v>3</v>
      </c>
      <c r="D341" s="372" t="str">
        <f>_xlfn.XLOOKUP(A341,[1]SP500!$A$2:$A$502,[1]SP500!$D$2:$D$502,"N")</f>
        <v>Y</v>
      </c>
      <c r="E341" s="57" t="str">
        <f>_xlfn.XLOOKUP(A341,[1]SP500!$A$2:$A$655,[1]SP500!$B$2:$B$655)</f>
        <v>SMH</v>
      </c>
      <c r="F341" s="59">
        <v>45706</v>
      </c>
      <c r="G341" s="57" t="str">
        <f t="shared" si="562"/>
        <v>AMC</v>
      </c>
      <c r="H341" s="57" t="str">
        <f t="shared" si="563"/>
        <v>s</v>
      </c>
      <c r="I341" s="159">
        <v>300.43</v>
      </c>
      <c r="J341" s="159">
        <v>285.22000000000003</v>
      </c>
      <c r="K341" s="61">
        <f t="shared" si="564"/>
        <v>-5.0627434011250472E-2</v>
      </c>
      <c r="L341" s="87">
        <f t="shared" si="565"/>
        <v>-91.259999999999764</v>
      </c>
      <c r="M341" s="130">
        <f t="shared" si="556"/>
        <v>-1.3200000000001637</v>
      </c>
      <c r="N341" s="169" t="str">
        <f t="shared" si="566"/>
        <v/>
      </c>
      <c r="O341" s="169">
        <f>IF($J341="",#N/A,SUM($N$4:N341))</f>
        <v>453.10671935422465</v>
      </c>
      <c r="P341" s="174" t="str">
        <f t="shared" si="567"/>
        <v/>
      </c>
      <c r="Q341" s="174">
        <f>IF($J341="",#N/A,SUM($P$4:P341))</f>
        <v>203.86499224504303</v>
      </c>
      <c r="R341" s="178">
        <f t="shared" si="568"/>
        <v>-91.259999999999764</v>
      </c>
      <c r="S341" s="178">
        <f>IF($J341="",#N/A,SUM($R$4:R341))</f>
        <v>-60.744070816293288</v>
      </c>
      <c r="T341" s="290" t="str">
        <f t="shared" si="569"/>
        <v/>
      </c>
      <c r="U341" s="290">
        <f>IF($J341="",#N/A,SUM($T$4:T341))</f>
        <v>18.325526374876258</v>
      </c>
      <c r="V341" s="291" t="str">
        <f t="shared" si="570"/>
        <v/>
      </c>
      <c r="W341" s="291">
        <f>IF($J341="",#N/A,SUM($V$4:V341))</f>
        <v>21.666151520722892</v>
      </c>
      <c r="X341" s="292">
        <f t="shared" si="571"/>
        <v>-0.84379056685417353</v>
      </c>
      <c r="Y341" s="292">
        <f>IF($J341="",#N/A,SUM($X$4:X341))</f>
        <v>7.2982843367135422</v>
      </c>
      <c r="Z341" s="304" t="str">
        <f t="shared" si="572"/>
        <v/>
      </c>
      <c r="AA341" s="313" t="e">
        <f>IF($J341="",#N/A,SUM(Z$4:Z341))</f>
        <v>#N/A</v>
      </c>
      <c r="AB341" s="314" t="str">
        <f t="shared" si="573"/>
        <v/>
      </c>
      <c r="AC341" s="314" t="e">
        <f>IF($J341="",#N/A,SUM(AB$4:AB341))</f>
        <v>#N/A</v>
      </c>
      <c r="AD341" s="315" t="str">
        <f t="shared" si="574"/>
        <v/>
      </c>
      <c r="AE341" s="315" t="e">
        <f>IF($J341="",#N/A,SUM(AD$4:AD341))</f>
        <v>#N/A</v>
      </c>
      <c r="AF341" s="315" t="e">
        <f>IF($J341="",#N/A,SUM(AD$4:AD341,AB$4:AB341,Z$4:Z341))</f>
        <v>#N/A</v>
      </c>
      <c r="AG341" s="304" t="str">
        <f t="shared" si="575"/>
        <v/>
      </c>
      <c r="AH341" s="313" t="e">
        <f>IF($J341="",#N/A,SUM(AG$4:AG341))</f>
        <v>#N/A</v>
      </c>
      <c r="AI341" s="314" t="str">
        <f t="shared" si="576"/>
        <v/>
      </c>
      <c r="AJ341" s="314" t="e">
        <f>IF($J341="",#N/A,SUM(AI$4:AI341))</f>
        <v>#N/A</v>
      </c>
      <c r="AK341" s="315" t="str">
        <f t="shared" si="577"/>
        <v/>
      </c>
      <c r="AL341" s="315" t="e">
        <f>IF($J341="",#N/A,SUM(AK$4:AK341))</f>
        <v>#N/A</v>
      </c>
      <c r="AM341" s="315" t="e">
        <f>IF($J341="",#N/A,SUM(AK$4:AK341,AI$4:AI341,AG$4:AG341))</f>
        <v>#N/A</v>
      </c>
      <c r="AN341" s="304" t="str">
        <f t="shared" si="578"/>
        <v/>
      </c>
      <c r="AO341" s="313" t="e">
        <f>IF($J341="",#N/A,SUM(AN$4:AN341))</f>
        <v>#N/A</v>
      </c>
      <c r="AP341" s="314" t="str">
        <f t="shared" si="579"/>
        <v/>
      </c>
      <c r="AQ341" s="314" t="e">
        <f>IF($J341="",#N/A,SUM(AP$4:AP341))</f>
        <v>#N/A</v>
      </c>
      <c r="AR341" s="315" t="str">
        <f t="shared" si="580"/>
        <v/>
      </c>
      <c r="AS341" s="315" t="e">
        <f>IF($J341="",#N/A,SUM(AR$4:AR341))</f>
        <v>#N/A</v>
      </c>
      <c r="AT341" s="315" t="e">
        <f>IF($J341="",#N/A,SUM(AR$4:AR341,AP$4:AP341,AN$4:AN341))</f>
        <v>#N/A</v>
      </c>
      <c r="AU341" s="304" t="str">
        <f t="shared" si="581"/>
        <v/>
      </c>
      <c r="AV341" s="313" t="e">
        <f>IF($J341="",#N/A,SUM(AU$4:AU341))</f>
        <v>#N/A</v>
      </c>
      <c r="AW341" s="314" t="str">
        <f t="shared" si="582"/>
        <v/>
      </c>
      <c r="AX341" s="314" t="e">
        <f>IF($J341="",#N/A,SUM(AW$4:AW341))</f>
        <v>#N/A</v>
      </c>
      <c r="AY341" s="315" t="str">
        <f t="shared" si="583"/>
        <v/>
      </c>
      <c r="AZ341" s="315" t="e">
        <f>IF($J341="",#N/A,SUM(AY$4:AY341))</f>
        <v>#N/A</v>
      </c>
      <c r="BA341" s="315" t="e">
        <f>IF($J341="",#N/A,SUM(AY$4:AY341,AW$4:AW341,AU$4:AU341))</f>
        <v>#N/A</v>
      </c>
      <c r="BB341" s="304" t="str">
        <f t="shared" si="584"/>
        <v/>
      </c>
      <c r="BC341" s="313" t="e">
        <f>IF($J341="",#N/A,SUM(BB$4:BB341))</f>
        <v>#N/A</v>
      </c>
      <c r="BD341" s="314" t="str">
        <f t="shared" si="585"/>
        <v/>
      </c>
      <c r="BE341" s="314" t="e">
        <f>IF($J341="",#N/A,SUM(BD$4:BD341))</f>
        <v>#N/A</v>
      </c>
      <c r="BF341" s="315" t="str">
        <f t="shared" si="586"/>
        <v/>
      </c>
      <c r="BG341" s="315" t="e">
        <f>IF($J341="",#N/A,SUM(BF$4:BF341))</f>
        <v>#N/A</v>
      </c>
      <c r="BH341" s="315" t="e">
        <f>IF($J341="",#N/A,SUM(BF$4:BF341,BD$4:BD341,BB$4:BB341))</f>
        <v>#N/A</v>
      </c>
      <c r="BI341" s="304" t="str">
        <f t="shared" si="587"/>
        <v/>
      </c>
      <c r="BJ341" s="313" t="e">
        <f>IF($J341="",#N/A,SUM(BI$4:BI341))</f>
        <v>#N/A</v>
      </c>
      <c r="BK341" s="314" t="str">
        <f t="shared" si="588"/>
        <v/>
      </c>
      <c r="BL341" s="314" t="e">
        <f>IF($J341="",#N/A,SUM(BK$4:BK341))</f>
        <v>#N/A</v>
      </c>
      <c r="BM341" s="315" t="str">
        <f t="shared" si="589"/>
        <v/>
      </c>
      <c r="BN341" s="315" t="e">
        <f>IF($J341="",#N/A,SUM(BM$4:BM341))</f>
        <v>#N/A</v>
      </c>
      <c r="BO341" s="315" t="e">
        <f>IF($J341="",#N/A,SUM(BM$4:BM341,BK$4:BK341,BI$4:BI341))</f>
        <v>#N/A</v>
      </c>
      <c r="BP341" s="304" t="str">
        <f t="shared" si="590"/>
        <v/>
      </c>
      <c r="BQ341" s="313" t="e">
        <f>IF($J341="",#N/A,SUM(BP$4:BP341))</f>
        <v>#N/A</v>
      </c>
      <c r="BR341" s="314" t="str">
        <f t="shared" si="591"/>
        <v/>
      </c>
      <c r="BS341" s="314" t="e">
        <f>IF($J341="",#N/A,SUM(BR$4:BR341))</f>
        <v>#N/A</v>
      </c>
      <c r="BT341" s="315" t="str">
        <f t="shared" si="592"/>
        <v/>
      </c>
      <c r="BU341" s="315" t="e">
        <f>IF($J341="",#N/A,SUM(BT$4:BT341))</f>
        <v>#N/A</v>
      </c>
      <c r="BV341" s="315" t="e">
        <f>IF($J341="",#N/A,SUM(BT$4:BT341,BR$4:BR341,BP$4:BP341))</f>
        <v>#N/A</v>
      </c>
      <c r="BW341" s="304" t="str">
        <f t="shared" si="593"/>
        <v/>
      </c>
      <c r="BX341" s="313" t="e">
        <f>IF($J341="",#N/A,SUM(BW$4:BW341))</f>
        <v>#N/A</v>
      </c>
      <c r="BY341" s="314" t="str">
        <f t="shared" si="594"/>
        <v/>
      </c>
      <c r="BZ341" s="314" t="e">
        <f>IF($J341="",#N/A,SUM(BY$4:BY341))</f>
        <v>#N/A</v>
      </c>
      <c r="CA341" s="315" t="str">
        <f t="shared" si="595"/>
        <v/>
      </c>
      <c r="CB341" s="315" t="e">
        <f>IF($J341="",#N/A,SUM(CA$4:CA341))</f>
        <v>#N/A</v>
      </c>
      <c r="CC341" s="315" t="e">
        <f>IF($J341="",#N/A,SUM(CA$4:CA341,BY$4:BY341,BW$4:BW341))</f>
        <v>#N/A</v>
      </c>
      <c r="CD341" s="304" t="str">
        <f t="shared" si="596"/>
        <v/>
      </c>
      <c r="CE341" s="313" t="e">
        <f>IF($J341="",#N/A,SUM(CD$4:CD341))</f>
        <v>#N/A</v>
      </c>
      <c r="CF341" s="314" t="str">
        <f t="shared" si="597"/>
        <v/>
      </c>
      <c r="CG341" s="314" t="e">
        <f>IF($J341="",#N/A,SUM(CF$4:CF341))</f>
        <v>#N/A</v>
      </c>
      <c r="CH341" s="315" t="str">
        <f t="shared" si="598"/>
        <v/>
      </c>
      <c r="CI341" s="315" t="e">
        <f>IF($J341="",#N/A,SUM(CH$4:CH341))</f>
        <v>#N/A</v>
      </c>
      <c r="CJ341" s="315" t="e">
        <f>IF($J341="",#N/A,SUM(CH$4:CH341,CF$4:CF341,CD$4:CD341))</f>
        <v>#N/A</v>
      </c>
      <c r="CK341" s="304" t="str">
        <f t="shared" si="599"/>
        <v/>
      </c>
      <c r="CL341" s="313" t="e">
        <f>IF($J341="",#N/A,SUM(CK$4:CK341))</f>
        <v>#N/A</v>
      </c>
      <c r="CM341" s="314" t="str">
        <f t="shared" si="600"/>
        <v/>
      </c>
      <c r="CN341" s="314" t="e">
        <f>IF($J341="",#N/A,SUM(CM$4:CM341))</f>
        <v>#N/A</v>
      </c>
      <c r="CO341" s="315">
        <f t="shared" si="601"/>
        <v>-0.84379056685417353</v>
      </c>
      <c r="CP341" s="315" t="e">
        <f>IF($J341="",#N/A,SUM(CO$4:CO341))</f>
        <v>#N/A</v>
      </c>
      <c r="CQ341" s="315" t="e">
        <f>IF($J341="",#N/A,SUM(CO$4:CO341,CM$4:CM341,CK$4:CK341))</f>
        <v>#N/A</v>
      </c>
      <c r="CR341" s="304" t="str">
        <f t="shared" si="602"/>
        <v/>
      </c>
      <c r="CS341" s="313" t="e">
        <f>IF($J341="",#N/A,SUM(CR$4:CR341))</f>
        <v>#N/A</v>
      </c>
      <c r="CT341" s="314" t="str">
        <f t="shared" si="603"/>
        <v/>
      </c>
      <c r="CU341" s="314" t="e">
        <f>IF($J341="",#N/A,SUM(CT$4:CT341))</f>
        <v>#N/A</v>
      </c>
      <c r="CV341" s="315" t="str">
        <f t="shared" si="604"/>
        <v/>
      </c>
      <c r="CW341" s="315" t="e">
        <f>IF($J341="",#N/A,SUM(CV$4:CV341))</f>
        <v>#N/A</v>
      </c>
      <c r="CX341" s="315" t="e">
        <f>IF($J341="",#N/A,SUM(CV$4:CV341,CT$4:CT341,CR$4:CR341))</f>
        <v>#N/A</v>
      </c>
      <c r="CY341" s="304" t="str">
        <f t="shared" si="605"/>
        <v/>
      </c>
      <c r="CZ341" s="313" t="e">
        <f>IF($J341="",#N/A,SUM(CY$4:CY341))</f>
        <v>#N/A</v>
      </c>
      <c r="DA341" s="314" t="str">
        <f t="shared" si="606"/>
        <v/>
      </c>
      <c r="DB341" s="314" t="e">
        <f>IF($J341="",#N/A,SUM(DA$4:DA341))</f>
        <v>#N/A</v>
      </c>
      <c r="DC341" s="315" t="str">
        <f t="shared" si="607"/>
        <v/>
      </c>
      <c r="DD341" s="315" t="e">
        <f>IF($J341="",#N/A,SUM(DC$4:DC341))</f>
        <v>#N/A</v>
      </c>
      <c r="DE341" s="315" t="e">
        <f>IF($J341="",#N/A,SUM(DC$4:DC341,DA$4:DA341,CY$4:CY341))</f>
        <v>#N/A</v>
      </c>
      <c r="DF341" s="304" t="str">
        <f t="shared" si="608"/>
        <v/>
      </c>
      <c r="DG341" s="313" t="e">
        <f>IF($J341="",#N/A,SUM(DF$4:DF341))</f>
        <v>#N/A</v>
      </c>
      <c r="DH341" s="314" t="str">
        <f t="shared" si="609"/>
        <v/>
      </c>
      <c r="DI341" s="314" t="e">
        <f>IF($J341="",#N/A,SUM(DH$4:DH341))</f>
        <v>#N/A</v>
      </c>
      <c r="DJ341" s="315" t="str">
        <f t="shared" si="610"/>
        <v/>
      </c>
      <c r="DK341" s="315" t="e">
        <f>IF($J341="",#N/A,SUM(DJ$4:DJ341))</f>
        <v>#N/A</v>
      </c>
      <c r="DL341" s="315" t="e">
        <f>IF($J341="",#N/A,SUM(DJ$4:DJ341,DH$4:DH341,DF$4:DF341))</f>
        <v>#N/A</v>
      </c>
      <c r="DM341" s="304" t="str">
        <f t="shared" si="611"/>
        <v/>
      </c>
      <c r="DN341" s="313" t="e">
        <f>IF($J341="",#N/A,SUM(DM$4:DM341))</f>
        <v>#N/A</v>
      </c>
      <c r="DO341" s="314" t="str">
        <f t="shared" si="612"/>
        <v/>
      </c>
      <c r="DP341" s="314" t="e">
        <f>IF($J341="",#N/A,SUM(DO$4:DO341))</f>
        <v>#N/A</v>
      </c>
      <c r="DQ341" s="315" t="str">
        <f t="shared" si="613"/>
        <v/>
      </c>
      <c r="DR341" s="315" t="e">
        <f>IF($J341="",#N/A,SUM(DQ$4:DQ341))</f>
        <v>#N/A</v>
      </c>
      <c r="DS341" s="315" t="e">
        <f>IF($J341="",#N/A,SUM(DQ$4:DQ341,DO$4:DO341,DM$4:DM341))</f>
        <v>#N/A</v>
      </c>
      <c r="DT341" s="304" t="str">
        <f t="shared" si="614"/>
        <v/>
      </c>
      <c r="DU341" s="313" t="e">
        <f>IF($J341="",#N/A,SUM(DT$4:DT341))</f>
        <v>#N/A</v>
      </c>
      <c r="DV341" s="314" t="str">
        <f t="shared" si="615"/>
        <v/>
      </c>
      <c r="DW341" s="314" t="e">
        <f>IF($J341="",#N/A,SUM(DV$4:DV341))</f>
        <v>#N/A</v>
      </c>
      <c r="DX341" s="315" t="str">
        <f t="shared" si="616"/>
        <v/>
      </c>
      <c r="DY341" s="315" t="e">
        <f>IF($J341="",#N/A,SUM(DX$4:DX341))</f>
        <v>#N/A</v>
      </c>
      <c r="DZ341" s="315" t="e">
        <f>IF($J341="",#N/A,SUM(DX$4:DX341,DV$4:DV341,DT$4:DT341))</f>
        <v>#N/A</v>
      </c>
      <c r="EA341" s="304" t="str">
        <f t="shared" si="617"/>
        <v/>
      </c>
      <c r="EB341" s="313" t="e">
        <f>IF($J341="",#N/A,SUM(EA$4:EA341))</f>
        <v>#N/A</v>
      </c>
      <c r="EC341" s="314" t="str">
        <f t="shared" si="618"/>
        <v/>
      </c>
      <c r="ED341" s="314" t="e">
        <f>IF($J341="",#N/A,SUM(EC$4:EC341))</f>
        <v>#N/A</v>
      </c>
      <c r="EE341" s="315" t="str">
        <f t="shared" si="619"/>
        <v/>
      </c>
      <c r="EF341" s="315" t="e">
        <f>IF($J341="",#N/A,SUM(EE$4:EE341))</f>
        <v>#N/A</v>
      </c>
      <c r="EG341" s="315" t="e">
        <f>IF($J341="",#N/A,SUM(EE$4:EE341,EC$4:EC341,EA$4:EA341))</f>
        <v>#N/A</v>
      </c>
      <c r="EH341" s="130">
        <f t="shared" si="620"/>
        <v>-91.259999999999764</v>
      </c>
      <c r="EI341" s="63">
        <f>IF(EH341="",#N/A,SUM($EH$4:EH341))</f>
        <v>596.2276407829745</v>
      </c>
      <c r="EJ341" s="223" t="e">
        <f t="shared" si="621"/>
        <v>#N/A</v>
      </c>
      <c r="EK341" s="63" t="e">
        <f>IF($GZ341="",#N/A,SUM(EJ$4:EJ341))</f>
        <v>#N/A</v>
      </c>
      <c r="EL341" s="60">
        <f t="shared" si="651"/>
        <v>-0.84379056685417353</v>
      </c>
      <c r="EM341" s="60">
        <f>IF(EL341="",NA(),SUM($EL$4:EL341))</f>
        <v>27.701398288069701</v>
      </c>
      <c r="EN341" s="60" t="str">
        <f t="shared" si="622"/>
        <v/>
      </c>
      <c r="EO341" s="60" t="e">
        <f>IF(EN341="",NA(),SUM($EN$4:EN341))</f>
        <v>#N/A</v>
      </c>
      <c r="EP341" s="60">
        <f t="shared" si="623"/>
        <v>-0.84379056685417353</v>
      </c>
      <c r="EQ341" s="60">
        <f>IF(EP341="",NA(),SUM($EP$4:EP341))</f>
        <v>5.0426785632338946</v>
      </c>
      <c r="ER341" s="60" t="str">
        <f t="shared" si="624"/>
        <v/>
      </c>
      <c r="ES341" s="60" t="e">
        <f>IF(ER341="",NA(),SUM($ER$4:ER341))</f>
        <v>#N/A</v>
      </c>
      <c r="ET341" s="60" t="str">
        <f t="shared" si="625"/>
        <v/>
      </c>
      <c r="EU341" s="60" t="e">
        <f>IF(ET341="",NA(),SUM($ET$4:ET341))</f>
        <v>#N/A</v>
      </c>
      <c r="EV341" s="60" t="str">
        <f t="shared" si="626"/>
        <v/>
      </c>
      <c r="EW341" s="60" t="e">
        <f>IF(EV341="",NA(),SUM($EV$4:EV341))</f>
        <v>#N/A</v>
      </c>
      <c r="EX341" s="60" t="str">
        <f t="shared" si="627"/>
        <v/>
      </c>
      <c r="EY341" s="60" t="e">
        <f>IF(EX341="",NA(),SUM($EX$4:EX341))</f>
        <v>#N/A</v>
      </c>
      <c r="EZ341" s="60" t="str">
        <f t="shared" si="628"/>
        <v/>
      </c>
      <c r="FA341" s="60" t="e">
        <f>IF(EZ341="",NA(),SUM($EZ$4:EZ341))</f>
        <v>#N/A</v>
      </c>
      <c r="FB341" s="246" t="str">
        <f t="shared" si="652"/>
        <v/>
      </c>
      <c r="FC341" s="246" t="e">
        <f>IF($FB341="",#N/A,SUM(FB$4:$FB341))</f>
        <v>#N/A</v>
      </c>
      <c r="FD341" s="60" t="str">
        <f t="shared" si="629"/>
        <v/>
      </c>
      <c r="FE341" s="60" t="e">
        <f>IF($FD341="",#N/A,SUM($FD$4:FD341))</f>
        <v>#N/A</v>
      </c>
      <c r="FF341" s="60" t="str">
        <f t="shared" si="630"/>
        <v/>
      </c>
      <c r="FG341" s="60" t="e">
        <f>IF($FF341="",#N/A,SUM($FF$4:FF341))</f>
        <v>#N/A</v>
      </c>
      <c r="FH341" s="60" t="str">
        <f t="shared" si="631"/>
        <v/>
      </c>
      <c r="FI341" s="60" t="e">
        <f>IF($FH341="",#N/A,SUM($FH$4:FH341))</f>
        <v>#N/A</v>
      </c>
      <c r="FJ341" s="60" t="str">
        <f t="shared" si="632"/>
        <v/>
      </c>
      <c r="FK341" s="60" t="e">
        <f>IF($FJ341="",#N/A,SUM($FJ$4:FJ341))</f>
        <v>#N/A</v>
      </c>
      <c r="FL341" s="60">
        <f t="shared" si="633"/>
        <v>-0.62022212606375249</v>
      </c>
      <c r="FM341" s="60">
        <f>IF($FL341="",#N/A,SUM($FL$4:FL341))</f>
        <v>-2.8594173064429524</v>
      </c>
      <c r="FN341" s="82">
        <f t="shared" si="634"/>
        <v>-1.464012692917926</v>
      </c>
      <c r="FO341" s="82">
        <f>IF($FN341="",#N/A,SUM(FN$4:$FN341))</f>
        <v>47.293739042063415</v>
      </c>
      <c r="FP341" s="82">
        <f t="shared" si="653"/>
        <v>-0.84379056685417353</v>
      </c>
      <c r="FQ341" s="246">
        <f>IF($EH341="",#N/A,SUM($FP$4:FP341))</f>
        <v>47.289962232312668</v>
      </c>
      <c r="FR341" s="82">
        <f>IFERROR(FQ341/COUNTA($J$4:J341),#N/A)</f>
        <v>0.13991113086483037</v>
      </c>
      <c r="FS341" s="82">
        <f t="shared" si="554"/>
        <v>-0.13038661786215713</v>
      </c>
      <c r="FT341" s="82">
        <f t="shared" si="555"/>
        <v>-0.4559376601114582</v>
      </c>
      <c r="FU341" s="338">
        <f t="shared" si="657"/>
        <v>26.640939413862043</v>
      </c>
      <c r="FV341" s="57" t="str">
        <f t="shared" si="560"/>
        <v>SW</v>
      </c>
      <c r="FW341" s="57" t="s">
        <v>2732</v>
      </c>
      <c r="FX341" s="57" t="str">
        <f t="shared" si="635"/>
        <v/>
      </c>
      <c r="FY341" s="57" t="str">
        <f t="shared" si="636"/>
        <v/>
      </c>
      <c r="FZ341" s="57" t="str">
        <f t="shared" si="637"/>
        <v/>
      </c>
      <c r="GA341" s="57" t="str">
        <f t="shared" si="638"/>
        <v>Long</v>
      </c>
      <c r="GB341" s="57" t="str">
        <f t="shared" si="639"/>
        <v/>
      </c>
      <c r="GC341" s="57" t="str">
        <f t="shared" si="640"/>
        <v/>
      </c>
      <c r="GD341" s="57">
        <f t="shared" si="641"/>
        <v>1</v>
      </c>
      <c r="GE341" s="62">
        <f t="shared" si="557"/>
        <v>300.43</v>
      </c>
      <c r="GF341" s="62" t="s">
        <v>2779</v>
      </c>
      <c r="GG341" s="199">
        <v>6</v>
      </c>
      <c r="GH341" s="207">
        <f t="shared" si="642"/>
        <v>1802.58</v>
      </c>
      <c r="GI341" s="199">
        <v>6</v>
      </c>
      <c r="GJ341" s="200">
        <v>285</v>
      </c>
      <c r="GK341" s="63">
        <f t="shared" si="643"/>
        <v>-92.579999999999927</v>
      </c>
      <c r="GL341" s="63">
        <f t="shared" si="558"/>
        <v>-158.33999999999969</v>
      </c>
      <c r="GM341" s="82">
        <f t="shared" si="644"/>
        <v>-1.464012692917926</v>
      </c>
      <c r="GN341" s="82">
        <f>IF($GZ341="",#N/A,SUM(GM$4:GM341))</f>
        <v>4.1154669890338518</v>
      </c>
      <c r="GO341" s="82" t="str">
        <f t="shared" si="645"/>
        <v/>
      </c>
      <c r="GP341" s="82">
        <f>IF($GZ341="",#N/A,SUM(GO$4:GO341))</f>
        <v>13.383689428827713</v>
      </c>
      <c r="GQ341" s="82" t="str">
        <f t="shared" si="646"/>
        <v/>
      </c>
      <c r="GR341" s="82">
        <f>IF($GZ341="",#N/A,SUM(GQ$4:GQ341))</f>
        <v>29.16874566975951</v>
      </c>
      <c r="GS341" s="63" t="e">
        <f t="shared" si="654"/>
        <v>#N/A</v>
      </c>
      <c r="GT341" s="63" t="e">
        <f>IF($GZ341="",#N/A,SUM(GS$4:GS341))</f>
        <v>#N/A</v>
      </c>
      <c r="GU341" s="63" t="str">
        <f t="shared" si="655"/>
        <v/>
      </c>
      <c r="GV341" s="63" t="e">
        <f>IF($GZ341="",#N/A,SUM(GU$4:GU341))</f>
        <v>#N/A</v>
      </c>
      <c r="GW341" s="63" t="str">
        <f t="shared" si="656"/>
        <v/>
      </c>
      <c r="GX341" s="63" t="e">
        <f>IF($GZ341="",#N/A,SUM(GW$4:GW341))</f>
        <v>#N/A</v>
      </c>
      <c r="GY341" s="63" t="e">
        <f>IF(EJ341="",#N/A,SUM($EJ$4:EJ341))</f>
        <v>#N/A</v>
      </c>
      <c r="GZ341" s="159">
        <v>274.04000000000002</v>
      </c>
      <c r="HA341" s="63">
        <f t="shared" si="647"/>
        <v>-67.079999999999927</v>
      </c>
      <c r="HB341" s="62" t="s">
        <v>2538</v>
      </c>
      <c r="HC341" s="60">
        <f>IFERROR(VLOOKUP(E341,Expectancy!$P$4:$S$19,1+C341,FALSE),"")</f>
        <v>-0.16876070792161713</v>
      </c>
      <c r="HD341" s="82">
        <f t="shared" si="648"/>
        <v>-0.85599529563181598</v>
      </c>
      <c r="HE341" s="138">
        <f>IF(HD341="",#N/A,SUM($HD$4:HD341))</f>
        <v>6.1190228184506257</v>
      </c>
      <c r="HF341" s="85">
        <f>IF(HD341="",#N/A,IF(HB341="Skip",#N/A,SUM($HG$4:HG341)))</f>
        <v>-122.46342078084399</v>
      </c>
      <c r="HG341" s="63">
        <f t="shared" si="649"/>
        <v>-92.579999999999927</v>
      </c>
      <c r="HH341" s="82">
        <f t="shared" si="650"/>
        <v>-1.464012692917926</v>
      </c>
    </row>
    <row r="342" spans="1:216" x14ac:dyDescent="0.25">
      <c r="A342" s="57" t="s">
        <v>1487</v>
      </c>
      <c r="B342" s="58" t="s">
        <v>5244</v>
      </c>
      <c r="C342" s="386">
        <f t="shared" si="561"/>
        <v>1</v>
      </c>
      <c r="D342" s="372" t="str">
        <f>_xlfn.XLOOKUP(A342,[1]SP500!$A$2:$A$502,[1]SP500!$D$2:$D$502,"N")</f>
        <v>Y</v>
      </c>
      <c r="E342" s="57" t="str">
        <f>_xlfn.XLOOKUP(A342,[1]SP500!$A$2:$A$655,[1]SP500!$B$2:$B$655)</f>
        <v>XLE</v>
      </c>
      <c r="F342" s="59">
        <v>45706</v>
      </c>
      <c r="G342" s="57" t="str">
        <f t="shared" si="562"/>
        <v>AMC</v>
      </c>
      <c r="H342" s="57" t="str">
        <f t="shared" si="563"/>
        <v>s</v>
      </c>
      <c r="I342" s="159">
        <v>53.78</v>
      </c>
      <c r="J342" s="159">
        <v>54.97</v>
      </c>
      <c r="K342" s="61">
        <f t="shared" si="564"/>
        <v>2.212718482707322E-2</v>
      </c>
      <c r="L342" s="87">
        <f t="shared" si="565"/>
        <v>36.889999999999873</v>
      </c>
      <c r="M342" s="130">
        <f t="shared" si="556"/>
        <v>0</v>
      </c>
      <c r="N342" s="169">
        <f t="shared" si="566"/>
        <v>36.889999999999873</v>
      </c>
      <c r="O342" s="169">
        <f>IF($J342="",#N/A,SUM($N$4:N342))</f>
        <v>489.99671935422452</v>
      </c>
      <c r="P342" s="174" t="str">
        <f t="shared" si="567"/>
        <v/>
      </c>
      <c r="Q342" s="174">
        <f>IF($J342="",#N/A,SUM($P$4:P342))</f>
        <v>203.86499224504303</v>
      </c>
      <c r="R342" s="178" t="str">
        <f t="shared" si="568"/>
        <v/>
      </c>
      <c r="S342" s="178">
        <f>IF($J342="",#N/A,SUM($R$4:R342))</f>
        <v>-60.744070816293288</v>
      </c>
      <c r="T342" s="290">
        <f t="shared" si="569"/>
        <v>0.36878641378455307</v>
      </c>
      <c r="U342" s="290">
        <f>IF($J342="",#N/A,SUM($T$4:T342))</f>
        <v>18.69431278866081</v>
      </c>
      <c r="V342" s="291" t="str">
        <f t="shared" si="570"/>
        <v/>
      </c>
      <c r="W342" s="291">
        <f>IF($J342="",#N/A,SUM($V$4:V342))</f>
        <v>21.666151520722892</v>
      </c>
      <c r="X342" s="292" t="str">
        <f t="shared" si="571"/>
        <v/>
      </c>
      <c r="Y342" s="292">
        <f>IF($J342="",#N/A,SUM($X$4:X342))</f>
        <v>7.2982843367135422</v>
      </c>
      <c r="Z342" s="304" t="str">
        <f t="shared" si="572"/>
        <v/>
      </c>
      <c r="AA342" s="313" t="e">
        <f>IF($J342="",#N/A,SUM(Z$4:Z342))</f>
        <v>#N/A</v>
      </c>
      <c r="AB342" s="314" t="str">
        <f t="shared" si="573"/>
        <v/>
      </c>
      <c r="AC342" s="314" t="e">
        <f>IF($J342="",#N/A,SUM(AB$4:AB342))</f>
        <v>#N/A</v>
      </c>
      <c r="AD342" s="315" t="str">
        <f t="shared" si="574"/>
        <v/>
      </c>
      <c r="AE342" s="315" t="e">
        <f>IF($J342="",#N/A,SUM(AD$4:AD342))</f>
        <v>#N/A</v>
      </c>
      <c r="AF342" s="315" t="e">
        <f>IF($J342="",#N/A,SUM(AD$4:AD342,AB$4:AB342,Z$4:Z342))</f>
        <v>#N/A</v>
      </c>
      <c r="AG342" s="304" t="str">
        <f t="shared" si="575"/>
        <v/>
      </c>
      <c r="AH342" s="313" t="e">
        <f>IF($J342="",#N/A,SUM(AG$4:AG342))</f>
        <v>#N/A</v>
      </c>
      <c r="AI342" s="314" t="str">
        <f t="shared" si="576"/>
        <v/>
      </c>
      <c r="AJ342" s="314" t="e">
        <f>IF($J342="",#N/A,SUM(AI$4:AI342))</f>
        <v>#N/A</v>
      </c>
      <c r="AK342" s="315" t="str">
        <f t="shared" si="577"/>
        <v/>
      </c>
      <c r="AL342" s="315" t="e">
        <f>IF($J342="",#N/A,SUM(AK$4:AK342))</f>
        <v>#N/A</v>
      </c>
      <c r="AM342" s="315" t="e">
        <f>IF($J342="",#N/A,SUM(AK$4:AK342,AI$4:AI342,AG$4:AG342))</f>
        <v>#N/A</v>
      </c>
      <c r="AN342" s="304" t="str">
        <f t="shared" si="578"/>
        <v/>
      </c>
      <c r="AO342" s="313" t="e">
        <f>IF($J342="",#N/A,SUM(AN$4:AN342))</f>
        <v>#N/A</v>
      </c>
      <c r="AP342" s="314" t="str">
        <f t="shared" si="579"/>
        <v/>
      </c>
      <c r="AQ342" s="314" t="e">
        <f>IF($J342="",#N/A,SUM(AP$4:AP342))</f>
        <v>#N/A</v>
      </c>
      <c r="AR342" s="315" t="str">
        <f t="shared" si="580"/>
        <v/>
      </c>
      <c r="AS342" s="315" t="e">
        <f>IF($J342="",#N/A,SUM(AR$4:AR342))</f>
        <v>#N/A</v>
      </c>
      <c r="AT342" s="315" t="e">
        <f>IF($J342="",#N/A,SUM(AR$4:AR342,AP$4:AP342,AN$4:AN342))</f>
        <v>#N/A</v>
      </c>
      <c r="AU342" s="304" t="str">
        <f t="shared" si="581"/>
        <v/>
      </c>
      <c r="AV342" s="313" t="e">
        <f>IF($J342="",#N/A,SUM(AU$4:AU342))</f>
        <v>#N/A</v>
      </c>
      <c r="AW342" s="314" t="str">
        <f t="shared" si="582"/>
        <v/>
      </c>
      <c r="AX342" s="314" t="e">
        <f>IF($J342="",#N/A,SUM(AW$4:AW342))</f>
        <v>#N/A</v>
      </c>
      <c r="AY342" s="315" t="str">
        <f t="shared" si="583"/>
        <v/>
      </c>
      <c r="AZ342" s="315" t="e">
        <f>IF($J342="",#N/A,SUM(AY$4:AY342))</f>
        <v>#N/A</v>
      </c>
      <c r="BA342" s="315" t="e">
        <f>IF($J342="",#N/A,SUM(AY$4:AY342,AW$4:AW342,AU$4:AU342))</f>
        <v>#N/A</v>
      </c>
      <c r="BB342" s="304" t="str">
        <f t="shared" si="584"/>
        <v/>
      </c>
      <c r="BC342" s="313" t="e">
        <f>IF($J342="",#N/A,SUM(BB$4:BB342))</f>
        <v>#N/A</v>
      </c>
      <c r="BD342" s="314" t="str">
        <f t="shared" si="585"/>
        <v/>
      </c>
      <c r="BE342" s="314" t="e">
        <f>IF($J342="",#N/A,SUM(BD$4:BD342))</f>
        <v>#N/A</v>
      </c>
      <c r="BF342" s="315" t="str">
        <f t="shared" si="586"/>
        <v/>
      </c>
      <c r="BG342" s="315" t="e">
        <f>IF($J342="",#N/A,SUM(BF$4:BF342))</f>
        <v>#N/A</v>
      </c>
      <c r="BH342" s="315" t="e">
        <f>IF($J342="",#N/A,SUM(BF$4:BF342,BD$4:BD342,BB$4:BB342))</f>
        <v>#N/A</v>
      </c>
      <c r="BI342" s="304" t="str">
        <f t="shared" si="587"/>
        <v/>
      </c>
      <c r="BJ342" s="313" t="e">
        <f>IF($J342="",#N/A,SUM(BI$4:BI342))</f>
        <v>#N/A</v>
      </c>
      <c r="BK342" s="314" t="str">
        <f t="shared" si="588"/>
        <v/>
      </c>
      <c r="BL342" s="314" t="e">
        <f>IF($J342="",#N/A,SUM(BK$4:BK342))</f>
        <v>#N/A</v>
      </c>
      <c r="BM342" s="315" t="str">
        <f t="shared" si="589"/>
        <v/>
      </c>
      <c r="BN342" s="315" t="e">
        <f>IF($J342="",#N/A,SUM(BM$4:BM342))</f>
        <v>#N/A</v>
      </c>
      <c r="BO342" s="315" t="e">
        <f>IF($J342="",#N/A,SUM(BM$4:BM342,BK$4:BK342,BI$4:BI342))</f>
        <v>#N/A</v>
      </c>
      <c r="BP342" s="304" t="str">
        <f t="shared" si="590"/>
        <v/>
      </c>
      <c r="BQ342" s="313" t="e">
        <f>IF($J342="",#N/A,SUM(BP$4:BP342))</f>
        <v>#N/A</v>
      </c>
      <c r="BR342" s="314" t="str">
        <f t="shared" si="591"/>
        <v/>
      </c>
      <c r="BS342" s="314" t="e">
        <f>IF($J342="",#N/A,SUM(BR$4:BR342))</f>
        <v>#N/A</v>
      </c>
      <c r="BT342" s="315" t="str">
        <f t="shared" si="592"/>
        <v/>
      </c>
      <c r="BU342" s="315" t="e">
        <f>IF($J342="",#N/A,SUM(BT$4:BT342))</f>
        <v>#N/A</v>
      </c>
      <c r="BV342" s="315" t="e">
        <f>IF($J342="",#N/A,SUM(BT$4:BT342,BR$4:BR342,BP$4:BP342))</f>
        <v>#N/A</v>
      </c>
      <c r="BW342" s="304" t="str">
        <f t="shared" si="593"/>
        <v/>
      </c>
      <c r="BX342" s="313" t="e">
        <f>IF($J342="",#N/A,SUM(BW$4:BW342))</f>
        <v>#N/A</v>
      </c>
      <c r="BY342" s="314" t="str">
        <f t="shared" si="594"/>
        <v/>
      </c>
      <c r="BZ342" s="314" t="e">
        <f>IF($J342="",#N/A,SUM(BY$4:BY342))</f>
        <v>#N/A</v>
      </c>
      <c r="CA342" s="315" t="str">
        <f t="shared" si="595"/>
        <v/>
      </c>
      <c r="CB342" s="315" t="e">
        <f>IF($J342="",#N/A,SUM(CA$4:CA342))</f>
        <v>#N/A</v>
      </c>
      <c r="CC342" s="315" t="e">
        <f>IF($J342="",#N/A,SUM(CA$4:CA342,BY$4:BY342,BW$4:BW342))</f>
        <v>#N/A</v>
      </c>
      <c r="CD342" s="304" t="str">
        <f t="shared" si="596"/>
        <v/>
      </c>
      <c r="CE342" s="313" t="e">
        <f>IF($J342="",#N/A,SUM(CD$4:CD342))</f>
        <v>#N/A</v>
      </c>
      <c r="CF342" s="314" t="str">
        <f t="shared" si="597"/>
        <v/>
      </c>
      <c r="CG342" s="314" t="e">
        <f>IF($J342="",#N/A,SUM(CF$4:CF342))</f>
        <v>#N/A</v>
      </c>
      <c r="CH342" s="315" t="str">
        <f t="shared" si="598"/>
        <v/>
      </c>
      <c r="CI342" s="315" t="e">
        <f>IF($J342="",#N/A,SUM(CH$4:CH342))</f>
        <v>#N/A</v>
      </c>
      <c r="CJ342" s="315" t="e">
        <f>IF($J342="",#N/A,SUM(CH$4:CH342,CF$4:CF342,CD$4:CD342))</f>
        <v>#N/A</v>
      </c>
      <c r="CK342" s="304" t="str">
        <f t="shared" si="599"/>
        <v/>
      </c>
      <c r="CL342" s="313" t="e">
        <f>IF($J342="",#N/A,SUM(CK$4:CK342))</f>
        <v>#N/A</v>
      </c>
      <c r="CM342" s="314" t="str">
        <f t="shared" si="600"/>
        <v/>
      </c>
      <c r="CN342" s="314" t="e">
        <f>IF($J342="",#N/A,SUM(CM$4:CM342))</f>
        <v>#N/A</v>
      </c>
      <c r="CO342" s="315" t="str">
        <f t="shared" si="601"/>
        <v/>
      </c>
      <c r="CP342" s="315" t="e">
        <f>IF($J342="",#N/A,SUM(CO$4:CO342))</f>
        <v>#N/A</v>
      </c>
      <c r="CQ342" s="315" t="e">
        <f>IF($J342="",#N/A,SUM(CO$4:CO342,CM$4:CM342,CK$4:CK342))</f>
        <v>#N/A</v>
      </c>
      <c r="CR342" s="304">
        <f t="shared" si="602"/>
        <v>0.36878641378455307</v>
      </c>
      <c r="CS342" s="313" t="e">
        <f>IF($J342="",#N/A,SUM(CR$4:CR342))</f>
        <v>#N/A</v>
      </c>
      <c r="CT342" s="314" t="str">
        <f t="shared" si="603"/>
        <v/>
      </c>
      <c r="CU342" s="314" t="e">
        <f>IF($J342="",#N/A,SUM(CT$4:CT342))</f>
        <v>#N/A</v>
      </c>
      <c r="CV342" s="315" t="str">
        <f t="shared" si="604"/>
        <v/>
      </c>
      <c r="CW342" s="315" t="e">
        <f>IF($J342="",#N/A,SUM(CV$4:CV342))</f>
        <v>#N/A</v>
      </c>
      <c r="CX342" s="315" t="e">
        <f>IF($J342="",#N/A,SUM(CV$4:CV342,CT$4:CT342,CR$4:CR342))</f>
        <v>#N/A</v>
      </c>
      <c r="CY342" s="304" t="str">
        <f t="shared" si="605"/>
        <v/>
      </c>
      <c r="CZ342" s="313" t="e">
        <f>IF($J342="",#N/A,SUM(CY$4:CY342))</f>
        <v>#N/A</v>
      </c>
      <c r="DA342" s="314" t="str">
        <f t="shared" si="606"/>
        <v/>
      </c>
      <c r="DB342" s="314" t="e">
        <f>IF($J342="",#N/A,SUM(DA$4:DA342))</f>
        <v>#N/A</v>
      </c>
      <c r="DC342" s="315" t="str">
        <f t="shared" si="607"/>
        <v/>
      </c>
      <c r="DD342" s="315" t="e">
        <f>IF($J342="",#N/A,SUM(DC$4:DC342))</f>
        <v>#N/A</v>
      </c>
      <c r="DE342" s="315" t="e">
        <f>IF($J342="",#N/A,SUM(DC$4:DC342,DA$4:DA342,CY$4:CY342))</f>
        <v>#N/A</v>
      </c>
      <c r="DF342" s="304" t="str">
        <f t="shared" si="608"/>
        <v/>
      </c>
      <c r="DG342" s="313" t="e">
        <f>IF($J342="",#N/A,SUM(DF$4:DF342))</f>
        <v>#N/A</v>
      </c>
      <c r="DH342" s="314" t="str">
        <f t="shared" si="609"/>
        <v/>
      </c>
      <c r="DI342" s="314" t="e">
        <f>IF($J342="",#N/A,SUM(DH$4:DH342))</f>
        <v>#N/A</v>
      </c>
      <c r="DJ342" s="315" t="str">
        <f t="shared" si="610"/>
        <v/>
      </c>
      <c r="DK342" s="315" t="e">
        <f>IF($J342="",#N/A,SUM(DJ$4:DJ342))</f>
        <v>#N/A</v>
      </c>
      <c r="DL342" s="315" t="e">
        <f>IF($J342="",#N/A,SUM(DJ$4:DJ342,DH$4:DH342,DF$4:DF342))</f>
        <v>#N/A</v>
      </c>
      <c r="DM342" s="304" t="str">
        <f t="shared" si="611"/>
        <v/>
      </c>
      <c r="DN342" s="313" t="e">
        <f>IF($J342="",#N/A,SUM(DM$4:DM342))</f>
        <v>#N/A</v>
      </c>
      <c r="DO342" s="314" t="str">
        <f t="shared" si="612"/>
        <v/>
      </c>
      <c r="DP342" s="314" t="e">
        <f>IF($J342="",#N/A,SUM(DO$4:DO342))</f>
        <v>#N/A</v>
      </c>
      <c r="DQ342" s="315" t="str">
        <f t="shared" si="613"/>
        <v/>
      </c>
      <c r="DR342" s="315" t="e">
        <f>IF($J342="",#N/A,SUM(DQ$4:DQ342))</f>
        <v>#N/A</v>
      </c>
      <c r="DS342" s="315" t="e">
        <f>IF($J342="",#N/A,SUM(DQ$4:DQ342,DO$4:DO342,DM$4:DM342))</f>
        <v>#N/A</v>
      </c>
      <c r="DT342" s="304" t="str">
        <f t="shared" si="614"/>
        <v/>
      </c>
      <c r="DU342" s="313" t="e">
        <f>IF($J342="",#N/A,SUM(DT$4:DT342))</f>
        <v>#N/A</v>
      </c>
      <c r="DV342" s="314" t="str">
        <f t="shared" si="615"/>
        <v/>
      </c>
      <c r="DW342" s="314" t="e">
        <f>IF($J342="",#N/A,SUM(DV$4:DV342))</f>
        <v>#N/A</v>
      </c>
      <c r="DX342" s="315" t="str">
        <f t="shared" si="616"/>
        <v/>
      </c>
      <c r="DY342" s="315" t="e">
        <f>IF($J342="",#N/A,SUM(DX$4:DX342))</f>
        <v>#N/A</v>
      </c>
      <c r="DZ342" s="315" t="e">
        <f>IF($J342="",#N/A,SUM(DX$4:DX342,DV$4:DV342,DT$4:DT342))</f>
        <v>#N/A</v>
      </c>
      <c r="EA342" s="304" t="str">
        <f t="shared" si="617"/>
        <v/>
      </c>
      <c r="EB342" s="313" t="e">
        <f>IF($J342="",#N/A,SUM(EA$4:EA342))</f>
        <v>#N/A</v>
      </c>
      <c r="EC342" s="314" t="str">
        <f t="shared" si="618"/>
        <v/>
      </c>
      <c r="ED342" s="314" t="e">
        <f>IF($J342="",#N/A,SUM(EC$4:EC342))</f>
        <v>#N/A</v>
      </c>
      <c r="EE342" s="315" t="str">
        <f t="shared" si="619"/>
        <v/>
      </c>
      <c r="EF342" s="315" t="e">
        <f>IF($J342="",#N/A,SUM(EE$4:EE342))</f>
        <v>#N/A</v>
      </c>
      <c r="EG342" s="315" t="e">
        <f>IF($J342="",#N/A,SUM(EE$4:EE342,EC$4:EC342,EA$4:EA342))</f>
        <v>#N/A</v>
      </c>
      <c r="EH342" s="130">
        <f t="shared" si="620"/>
        <v>36.889999999999873</v>
      </c>
      <c r="EI342" s="63">
        <f>IF(EH342="",#N/A,SUM($EH$4:EH342))</f>
        <v>633.11764078297438</v>
      </c>
      <c r="EJ342" s="223" t="e">
        <f t="shared" si="621"/>
        <v>#N/A</v>
      </c>
      <c r="EK342" s="63" t="e">
        <f>IF($GZ342="",#N/A,SUM(EJ$4:EJ342))</f>
        <v>#N/A</v>
      </c>
      <c r="EL342" s="60">
        <f t="shared" si="651"/>
        <v>0.36878641378455307</v>
      </c>
      <c r="EM342" s="60">
        <f>IF(EL342="",NA(),SUM($EL$4:EL342))</f>
        <v>28.070184701854252</v>
      </c>
      <c r="EN342" s="60">
        <f t="shared" si="622"/>
        <v>0.36878641378455307</v>
      </c>
      <c r="EO342" s="60">
        <f>IF(EN342="",NA(),SUM($EN$4:EN342))</f>
        <v>10.681957142397344</v>
      </c>
      <c r="EP342" s="60" t="str">
        <f t="shared" si="623"/>
        <v/>
      </c>
      <c r="EQ342" s="60" t="e">
        <f>IF(EP342="",NA(),SUM($EP$4:EP342))</f>
        <v>#N/A</v>
      </c>
      <c r="ER342" s="60" t="str">
        <f t="shared" si="624"/>
        <v/>
      </c>
      <c r="ES342" s="60" t="e">
        <f>IF(ER342="",NA(),SUM($ER$4:ER342))</f>
        <v>#N/A</v>
      </c>
      <c r="ET342" s="60" t="str">
        <f t="shared" si="625"/>
        <v/>
      </c>
      <c r="EU342" s="60" t="e">
        <f>IF(ET342="",NA(),SUM($ET$4:ET342))</f>
        <v>#N/A</v>
      </c>
      <c r="EV342" s="60" t="str">
        <f t="shared" si="626"/>
        <v/>
      </c>
      <c r="EW342" s="60" t="e">
        <f>IF(EV342="",NA(),SUM($EV$4:EV342))</f>
        <v>#N/A</v>
      </c>
      <c r="EX342" s="60" t="str">
        <f t="shared" si="627"/>
        <v/>
      </c>
      <c r="EY342" s="60" t="e">
        <f>IF(EX342="",NA(),SUM($EX$4:EX342))</f>
        <v>#N/A</v>
      </c>
      <c r="EZ342" s="60" t="str">
        <f t="shared" si="628"/>
        <v/>
      </c>
      <c r="FA342" s="60" t="e">
        <f>IF(EZ342="",NA(),SUM($EZ$4:EZ342))</f>
        <v>#N/A</v>
      </c>
      <c r="FB342" s="246" t="str">
        <f t="shared" si="652"/>
        <v/>
      </c>
      <c r="FC342" s="246" t="e">
        <f>IF($FB342="",#N/A,SUM(FB$4:$FB342))</f>
        <v>#N/A</v>
      </c>
      <c r="FD342" s="60" t="str">
        <f t="shared" si="629"/>
        <v/>
      </c>
      <c r="FE342" s="60" t="e">
        <f>IF($FD342="",#N/A,SUM($FD$4:FD342))</f>
        <v>#N/A</v>
      </c>
      <c r="FF342" s="60">
        <f t="shared" si="630"/>
        <v>-0.22623032106111199</v>
      </c>
      <c r="FG342" s="60">
        <f>IF($FF342="",#N/A,SUM($FF$4:FF342))</f>
        <v>-6.6020995636270854</v>
      </c>
      <c r="FH342" s="60" t="str">
        <f t="shared" si="631"/>
        <v/>
      </c>
      <c r="FI342" s="60" t="e">
        <f>IF($FH342="",#N/A,SUM($FH$4:FH342))</f>
        <v>#N/A</v>
      </c>
      <c r="FJ342" s="60" t="str">
        <f t="shared" si="632"/>
        <v/>
      </c>
      <c r="FK342" s="60" t="e">
        <f>IF($FJ342="",#N/A,SUM($FJ$4:FJ342))</f>
        <v>#N/A</v>
      </c>
      <c r="FL342" s="60" t="str">
        <f t="shared" si="633"/>
        <v/>
      </c>
      <c r="FM342" s="60" t="e">
        <f>IF($FL342="",#N/A,SUM($FL$4:FL342))</f>
        <v>#N/A</v>
      </c>
      <c r="FN342" s="82">
        <f t="shared" si="634"/>
        <v>0.14255609272344108</v>
      </c>
      <c r="FO342" s="82">
        <f>IF($FN342="",#N/A,SUM(FN$4:$FN342))</f>
        <v>47.436295134786853</v>
      </c>
      <c r="FP342" s="82">
        <f t="shared" si="653"/>
        <v>0.36878641378455307</v>
      </c>
      <c r="FQ342" s="246">
        <f>IF($EH342="",#N/A,SUM($FP$4:FP342))</f>
        <v>47.658748646097223</v>
      </c>
      <c r="FR342" s="82">
        <f>IFERROR(FQ342/COUNTA($J$4:J342),#N/A)</f>
        <v>0.14058627919202721</v>
      </c>
      <c r="FS342" s="82">
        <f t="shared" si="554"/>
        <v>-0.12019134071428553</v>
      </c>
      <c r="FT342" s="82">
        <f t="shared" si="555"/>
        <v>-0.43947099023041802</v>
      </c>
      <c r="FU342" s="338">
        <f t="shared" si="657"/>
        <v>26.640939413862043</v>
      </c>
      <c r="FV342" s="57" t="str">
        <f t="shared" si="560"/>
        <v>Up</v>
      </c>
      <c r="FW342" s="57" t="s">
        <v>2733</v>
      </c>
      <c r="FX342" s="57">
        <f t="shared" si="635"/>
        <v>1</v>
      </c>
      <c r="FY342" s="57" t="str">
        <f t="shared" si="636"/>
        <v/>
      </c>
      <c r="FZ342" s="57" t="str">
        <f t="shared" si="637"/>
        <v/>
      </c>
      <c r="GA342" s="57" t="str">
        <f t="shared" si="638"/>
        <v>Long</v>
      </c>
      <c r="GB342" s="57" t="str">
        <f t="shared" si="639"/>
        <v/>
      </c>
      <c r="GC342" s="57" t="str">
        <f t="shared" si="640"/>
        <v/>
      </c>
      <c r="GD342" s="57" t="str">
        <f t="shared" si="641"/>
        <v/>
      </c>
      <c r="GE342" s="62">
        <f t="shared" si="557"/>
        <v>53.78</v>
      </c>
      <c r="GF342" s="62" t="s">
        <v>2779</v>
      </c>
      <c r="GG342" s="199">
        <v>31</v>
      </c>
      <c r="GH342" s="207">
        <f t="shared" si="642"/>
        <v>1667.18</v>
      </c>
      <c r="GI342" s="199">
        <v>31</v>
      </c>
      <c r="GJ342" s="200">
        <v>54.97</v>
      </c>
      <c r="GK342" s="63">
        <f t="shared" si="643"/>
        <v>36.889999999999873</v>
      </c>
      <c r="GL342" s="63">
        <f t="shared" si="558"/>
        <v>14.259999999999991</v>
      </c>
      <c r="GM342" s="82" t="str">
        <f t="shared" si="644"/>
        <v/>
      </c>
      <c r="GN342" s="82">
        <f>IF($GZ342="",#N/A,SUM(GM$4:GM342))</f>
        <v>4.1154669890338518</v>
      </c>
      <c r="GO342" s="82">
        <f t="shared" si="645"/>
        <v>0.14255609272344108</v>
      </c>
      <c r="GP342" s="82">
        <f>IF($GZ342="",#N/A,SUM(GO$4:GO342))</f>
        <v>13.526245521551154</v>
      </c>
      <c r="GQ342" s="82" t="str">
        <f t="shared" si="646"/>
        <v/>
      </c>
      <c r="GR342" s="82">
        <f>IF($GZ342="",#N/A,SUM(GQ$4:GQ342))</f>
        <v>29.16874566975951</v>
      </c>
      <c r="GS342" s="63" t="str">
        <f t="shared" si="654"/>
        <v/>
      </c>
      <c r="GT342" s="63" t="e">
        <f>IF($GZ342="",#N/A,SUM(GS$4:GS342))</f>
        <v>#N/A</v>
      </c>
      <c r="GU342" s="63" t="e">
        <f t="shared" si="655"/>
        <v>#N/A</v>
      </c>
      <c r="GV342" s="63" t="e">
        <f>IF($GZ342="",#N/A,SUM(GU$4:GU342))</f>
        <v>#N/A</v>
      </c>
      <c r="GW342" s="63" t="str">
        <f t="shared" si="656"/>
        <v/>
      </c>
      <c r="GX342" s="63" t="e">
        <f>IF($GZ342="",#N/A,SUM(GW$4:GW342))</f>
        <v>#N/A</v>
      </c>
      <c r="GY342" s="63" t="e">
        <f>IF(EJ342="",#N/A,SUM($EJ$4:EJ342))</f>
        <v>#N/A</v>
      </c>
      <c r="GZ342" s="159">
        <v>54.24</v>
      </c>
      <c r="HA342" s="63">
        <f t="shared" si="647"/>
        <v>-22.629999999999882</v>
      </c>
      <c r="HB342" s="62" t="s">
        <v>2538</v>
      </c>
      <c r="HC342" s="60">
        <f>IFERROR(VLOOKUP(E342,Expectancy!$P$4:$S$19,1+C342,FALSE),"")</f>
        <v>0.46466226518824072</v>
      </c>
      <c r="HD342" s="82">
        <f t="shared" si="648"/>
        <v>0.36878641378455307</v>
      </c>
      <c r="HE342" s="138">
        <f>IF(HD342="",#N/A,SUM($HD$4:HD342))</f>
        <v>6.487809232235179</v>
      </c>
      <c r="HF342" s="85">
        <f>IF(HD342="",#N/A,IF(HB342="Skip",#N/A,SUM($HG$4:HG342)))</f>
        <v>-85.573420780844117</v>
      </c>
      <c r="HG342" s="63">
        <f t="shared" si="649"/>
        <v>36.889999999999873</v>
      </c>
      <c r="HH342" s="82">
        <f t="shared" si="650"/>
        <v>0.14255609272344108</v>
      </c>
    </row>
    <row r="343" spans="1:216" x14ac:dyDescent="0.25">
      <c r="A343" s="57" t="s">
        <v>250</v>
      </c>
      <c r="B343" s="58" t="s">
        <v>5244</v>
      </c>
      <c r="C343" s="386">
        <f t="shared" si="561"/>
        <v>2</v>
      </c>
      <c r="D343" s="372" t="str">
        <f>_xlfn.XLOOKUP(A343,[1]SP500!$A$2:$A$502,[1]SP500!$D$2:$D$502,"N")</f>
        <v>Y</v>
      </c>
      <c r="E343" s="57" t="str">
        <f>_xlfn.XLOOKUP(A343,[1]SP500!$A$2:$A$655,[1]SP500!$B$2:$B$655)</f>
        <v>XLB</v>
      </c>
      <c r="F343" s="59">
        <v>45706</v>
      </c>
      <c r="G343" s="57" t="str">
        <f t="shared" si="562"/>
        <v>AMC</v>
      </c>
      <c r="H343" s="57" t="str">
        <f t="shared" si="563"/>
        <v>s</v>
      </c>
      <c r="I343" s="159">
        <v>86.45</v>
      </c>
      <c r="J343" s="159">
        <v>80.989999999999995</v>
      </c>
      <c r="K343" s="61">
        <f t="shared" si="564"/>
        <v>-6.3157894736842191E-2</v>
      </c>
      <c r="L343" s="87">
        <f t="shared" si="565"/>
        <v>103.74000000000001</v>
      </c>
      <c r="M343" s="130">
        <f t="shared" si="556"/>
        <v>0</v>
      </c>
      <c r="N343" s="169" t="str">
        <f t="shared" si="566"/>
        <v/>
      </c>
      <c r="O343" s="169">
        <f>IF($J343="",#N/A,SUM($N$4:N343))</f>
        <v>489.99671935422452</v>
      </c>
      <c r="P343" s="174">
        <f t="shared" si="567"/>
        <v>103.74000000000001</v>
      </c>
      <c r="Q343" s="174">
        <f>IF($J343="",#N/A,SUM($P$4:P343))</f>
        <v>307.60499224504304</v>
      </c>
      <c r="R343" s="178" t="str">
        <f t="shared" si="568"/>
        <v/>
      </c>
      <c r="S343" s="178">
        <f>IF($J343="",#N/A,SUM($R$4:R343))</f>
        <v>-60.744070816293288</v>
      </c>
      <c r="T343" s="290" t="str">
        <f t="shared" si="569"/>
        <v/>
      </c>
      <c r="U343" s="290">
        <f>IF($J343="",#N/A,SUM($T$4:T343))</f>
        <v>18.69431278866081</v>
      </c>
      <c r="V343" s="291">
        <f t="shared" si="570"/>
        <v>1.0526315789473686</v>
      </c>
      <c r="W343" s="291">
        <f>IF($J343="",#N/A,SUM($V$4:V343))</f>
        <v>22.718783099670262</v>
      </c>
      <c r="X343" s="292" t="str">
        <f t="shared" si="571"/>
        <v/>
      </c>
      <c r="Y343" s="292">
        <f>IF($J343="",#N/A,SUM($X$4:X343))</f>
        <v>7.2982843367135422</v>
      </c>
      <c r="Z343" s="304" t="str">
        <f t="shared" si="572"/>
        <v/>
      </c>
      <c r="AA343" s="313" t="e">
        <f>IF($J343="",#N/A,SUM(Z$4:Z343))</f>
        <v>#N/A</v>
      </c>
      <c r="AB343" s="314" t="str">
        <f t="shared" si="573"/>
        <v/>
      </c>
      <c r="AC343" s="314" t="e">
        <f>IF($J343="",#N/A,SUM(AB$4:AB343))</f>
        <v>#N/A</v>
      </c>
      <c r="AD343" s="315" t="str">
        <f t="shared" si="574"/>
        <v/>
      </c>
      <c r="AE343" s="315" t="e">
        <f>IF($J343="",#N/A,SUM(AD$4:AD343))</f>
        <v>#N/A</v>
      </c>
      <c r="AF343" s="315" t="e">
        <f>IF($J343="",#N/A,SUM(AD$4:AD343,AB$4:AB343,Z$4:Z343))</f>
        <v>#N/A</v>
      </c>
      <c r="AG343" s="304" t="str">
        <f t="shared" si="575"/>
        <v/>
      </c>
      <c r="AH343" s="313" t="e">
        <f>IF($J343="",#N/A,SUM(AG$4:AG343))</f>
        <v>#N/A</v>
      </c>
      <c r="AI343" s="314" t="str">
        <f t="shared" si="576"/>
        <v/>
      </c>
      <c r="AJ343" s="314" t="e">
        <f>IF($J343="",#N/A,SUM(AI$4:AI343))</f>
        <v>#N/A</v>
      </c>
      <c r="AK343" s="315" t="str">
        <f t="shared" si="577"/>
        <v/>
      </c>
      <c r="AL343" s="315" t="e">
        <f>IF($J343="",#N/A,SUM(AK$4:AK343))</f>
        <v>#N/A</v>
      </c>
      <c r="AM343" s="315" t="e">
        <f>IF($J343="",#N/A,SUM(AK$4:AK343,AI$4:AI343,AG$4:AG343))</f>
        <v>#N/A</v>
      </c>
      <c r="AN343" s="304" t="str">
        <f t="shared" si="578"/>
        <v/>
      </c>
      <c r="AO343" s="313" t="e">
        <f>IF($J343="",#N/A,SUM(AN$4:AN343))</f>
        <v>#N/A</v>
      </c>
      <c r="AP343" s="314" t="str">
        <f t="shared" si="579"/>
        <v/>
      </c>
      <c r="AQ343" s="314" t="e">
        <f>IF($J343="",#N/A,SUM(AP$4:AP343))</f>
        <v>#N/A</v>
      </c>
      <c r="AR343" s="315" t="str">
        <f t="shared" si="580"/>
        <v/>
      </c>
      <c r="AS343" s="315" t="e">
        <f>IF($J343="",#N/A,SUM(AR$4:AR343))</f>
        <v>#N/A</v>
      </c>
      <c r="AT343" s="315" t="e">
        <f>IF($J343="",#N/A,SUM(AR$4:AR343,AP$4:AP343,AN$4:AN343))</f>
        <v>#N/A</v>
      </c>
      <c r="AU343" s="304" t="str">
        <f t="shared" si="581"/>
        <v/>
      </c>
      <c r="AV343" s="313" t="e">
        <f>IF($J343="",#N/A,SUM(AU$4:AU343))</f>
        <v>#N/A</v>
      </c>
      <c r="AW343" s="314" t="str">
        <f t="shared" si="582"/>
        <v/>
      </c>
      <c r="AX343" s="314" t="e">
        <f>IF($J343="",#N/A,SUM(AW$4:AW343))</f>
        <v>#N/A</v>
      </c>
      <c r="AY343" s="315" t="str">
        <f t="shared" si="583"/>
        <v/>
      </c>
      <c r="AZ343" s="315" t="e">
        <f>IF($J343="",#N/A,SUM(AY$4:AY343))</f>
        <v>#N/A</v>
      </c>
      <c r="BA343" s="315" t="e">
        <f>IF($J343="",#N/A,SUM(AY$4:AY343,AW$4:AW343,AU$4:AU343))</f>
        <v>#N/A</v>
      </c>
      <c r="BB343" s="304" t="str">
        <f t="shared" si="584"/>
        <v/>
      </c>
      <c r="BC343" s="313" t="e">
        <f>IF($J343="",#N/A,SUM(BB$4:BB343))</f>
        <v>#N/A</v>
      </c>
      <c r="BD343" s="314" t="str">
        <f t="shared" si="585"/>
        <v/>
      </c>
      <c r="BE343" s="314" t="e">
        <f>IF($J343="",#N/A,SUM(BD$4:BD343))</f>
        <v>#N/A</v>
      </c>
      <c r="BF343" s="315" t="str">
        <f t="shared" si="586"/>
        <v/>
      </c>
      <c r="BG343" s="315" t="e">
        <f>IF($J343="",#N/A,SUM(BF$4:BF343))</f>
        <v>#N/A</v>
      </c>
      <c r="BH343" s="315" t="e">
        <f>IF($J343="",#N/A,SUM(BF$4:BF343,BD$4:BD343,BB$4:BB343))</f>
        <v>#N/A</v>
      </c>
      <c r="BI343" s="304" t="str">
        <f t="shared" si="587"/>
        <v/>
      </c>
      <c r="BJ343" s="313" t="e">
        <f>IF($J343="",#N/A,SUM(BI$4:BI343))</f>
        <v>#N/A</v>
      </c>
      <c r="BK343" s="314" t="str">
        <f t="shared" si="588"/>
        <v/>
      </c>
      <c r="BL343" s="314" t="e">
        <f>IF($J343="",#N/A,SUM(BK$4:BK343))</f>
        <v>#N/A</v>
      </c>
      <c r="BM343" s="315" t="str">
        <f t="shared" si="589"/>
        <v/>
      </c>
      <c r="BN343" s="315" t="e">
        <f>IF($J343="",#N/A,SUM(BM$4:BM343))</f>
        <v>#N/A</v>
      </c>
      <c r="BO343" s="315" t="e">
        <f>IF($J343="",#N/A,SUM(BM$4:BM343,BK$4:BK343,BI$4:BI343))</f>
        <v>#N/A</v>
      </c>
      <c r="BP343" s="304" t="str">
        <f t="shared" si="590"/>
        <v/>
      </c>
      <c r="BQ343" s="313" t="e">
        <f>IF($J343="",#N/A,SUM(BP$4:BP343))</f>
        <v>#N/A</v>
      </c>
      <c r="BR343" s="314" t="str">
        <f t="shared" si="591"/>
        <v/>
      </c>
      <c r="BS343" s="314" t="e">
        <f>IF($J343="",#N/A,SUM(BR$4:BR343))</f>
        <v>#N/A</v>
      </c>
      <c r="BT343" s="315" t="str">
        <f t="shared" si="592"/>
        <v/>
      </c>
      <c r="BU343" s="315" t="e">
        <f>IF($J343="",#N/A,SUM(BT$4:BT343))</f>
        <v>#N/A</v>
      </c>
      <c r="BV343" s="315" t="e">
        <f>IF($J343="",#N/A,SUM(BT$4:BT343,BR$4:BR343,BP$4:BP343))</f>
        <v>#N/A</v>
      </c>
      <c r="BW343" s="304" t="str">
        <f t="shared" si="593"/>
        <v/>
      </c>
      <c r="BX343" s="313" t="e">
        <f>IF($J343="",#N/A,SUM(BW$4:BW343))</f>
        <v>#N/A</v>
      </c>
      <c r="BY343" s="314" t="str">
        <f t="shared" si="594"/>
        <v/>
      </c>
      <c r="BZ343" s="314" t="e">
        <f>IF($J343="",#N/A,SUM(BY$4:BY343))</f>
        <v>#N/A</v>
      </c>
      <c r="CA343" s="315" t="str">
        <f t="shared" si="595"/>
        <v/>
      </c>
      <c r="CB343" s="315" t="e">
        <f>IF($J343="",#N/A,SUM(CA$4:CA343))</f>
        <v>#N/A</v>
      </c>
      <c r="CC343" s="315" t="e">
        <f>IF($J343="",#N/A,SUM(CA$4:CA343,BY$4:BY343,BW$4:BW343))</f>
        <v>#N/A</v>
      </c>
      <c r="CD343" s="304" t="str">
        <f t="shared" si="596"/>
        <v/>
      </c>
      <c r="CE343" s="313" t="e">
        <f>IF($J343="",#N/A,SUM(CD$4:CD343))</f>
        <v>#N/A</v>
      </c>
      <c r="CF343" s="314">
        <f t="shared" si="597"/>
        <v>1.0526315789473686</v>
      </c>
      <c r="CG343" s="314" t="e">
        <f>IF($J343="",#N/A,SUM(CF$4:CF343))</f>
        <v>#N/A</v>
      </c>
      <c r="CH343" s="315" t="str">
        <f t="shared" si="598"/>
        <v/>
      </c>
      <c r="CI343" s="315" t="e">
        <f>IF($J343="",#N/A,SUM(CH$4:CH343))</f>
        <v>#N/A</v>
      </c>
      <c r="CJ343" s="315" t="e">
        <f>IF($J343="",#N/A,SUM(CH$4:CH343,CF$4:CF343,CD$4:CD343))</f>
        <v>#N/A</v>
      </c>
      <c r="CK343" s="304" t="str">
        <f t="shared" si="599"/>
        <v/>
      </c>
      <c r="CL343" s="313" t="e">
        <f>IF($J343="",#N/A,SUM(CK$4:CK343))</f>
        <v>#N/A</v>
      </c>
      <c r="CM343" s="314" t="str">
        <f t="shared" si="600"/>
        <v/>
      </c>
      <c r="CN343" s="314" t="e">
        <f>IF($J343="",#N/A,SUM(CM$4:CM343))</f>
        <v>#N/A</v>
      </c>
      <c r="CO343" s="315" t="str">
        <f t="shared" si="601"/>
        <v/>
      </c>
      <c r="CP343" s="315" t="e">
        <f>IF($J343="",#N/A,SUM(CO$4:CO343))</f>
        <v>#N/A</v>
      </c>
      <c r="CQ343" s="315" t="e">
        <f>IF($J343="",#N/A,SUM(CO$4:CO343,CM$4:CM343,CK$4:CK343))</f>
        <v>#N/A</v>
      </c>
      <c r="CR343" s="304" t="str">
        <f t="shared" si="602"/>
        <v/>
      </c>
      <c r="CS343" s="313" t="e">
        <f>IF($J343="",#N/A,SUM(CR$4:CR343))</f>
        <v>#N/A</v>
      </c>
      <c r="CT343" s="314" t="str">
        <f t="shared" si="603"/>
        <v/>
      </c>
      <c r="CU343" s="314" t="e">
        <f>IF($J343="",#N/A,SUM(CT$4:CT343))</f>
        <v>#N/A</v>
      </c>
      <c r="CV343" s="315" t="str">
        <f t="shared" si="604"/>
        <v/>
      </c>
      <c r="CW343" s="315" t="e">
        <f>IF($J343="",#N/A,SUM(CV$4:CV343))</f>
        <v>#N/A</v>
      </c>
      <c r="CX343" s="315" t="e">
        <f>IF($J343="",#N/A,SUM(CV$4:CV343,CT$4:CT343,CR$4:CR343))</f>
        <v>#N/A</v>
      </c>
      <c r="CY343" s="304" t="str">
        <f t="shared" si="605"/>
        <v/>
      </c>
      <c r="CZ343" s="313" t="e">
        <f>IF($J343="",#N/A,SUM(CY$4:CY343))</f>
        <v>#N/A</v>
      </c>
      <c r="DA343" s="314" t="str">
        <f t="shared" si="606"/>
        <v/>
      </c>
      <c r="DB343" s="314" t="e">
        <f>IF($J343="",#N/A,SUM(DA$4:DA343))</f>
        <v>#N/A</v>
      </c>
      <c r="DC343" s="315" t="str">
        <f t="shared" si="607"/>
        <v/>
      </c>
      <c r="DD343" s="315" t="e">
        <f>IF($J343="",#N/A,SUM(DC$4:DC343))</f>
        <v>#N/A</v>
      </c>
      <c r="DE343" s="315" t="e">
        <f>IF($J343="",#N/A,SUM(DC$4:DC343,DA$4:DA343,CY$4:CY343))</f>
        <v>#N/A</v>
      </c>
      <c r="DF343" s="304" t="str">
        <f t="shared" si="608"/>
        <v/>
      </c>
      <c r="DG343" s="313" t="e">
        <f>IF($J343="",#N/A,SUM(DF$4:DF343))</f>
        <v>#N/A</v>
      </c>
      <c r="DH343" s="314" t="str">
        <f t="shared" si="609"/>
        <v/>
      </c>
      <c r="DI343" s="314" t="e">
        <f>IF($J343="",#N/A,SUM(DH$4:DH343))</f>
        <v>#N/A</v>
      </c>
      <c r="DJ343" s="315" t="str">
        <f t="shared" si="610"/>
        <v/>
      </c>
      <c r="DK343" s="315" t="e">
        <f>IF($J343="",#N/A,SUM(DJ$4:DJ343))</f>
        <v>#N/A</v>
      </c>
      <c r="DL343" s="315" t="e">
        <f>IF($J343="",#N/A,SUM(DJ$4:DJ343,DH$4:DH343,DF$4:DF343))</f>
        <v>#N/A</v>
      </c>
      <c r="DM343" s="304" t="str">
        <f t="shared" si="611"/>
        <v/>
      </c>
      <c r="DN343" s="313" t="e">
        <f>IF($J343="",#N/A,SUM(DM$4:DM343))</f>
        <v>#N/A</v>
      </c>
      <c r="DO343" s="314" t="str">
        <f t="shared" si="612"/>
        <v/>
      </c>
      <c r="DP343" s="314" t="e">
        <f>IF($J343="",#N/A,SUM(DO$4:DO343))</f>
        <v>#N/A</v>
      </c>
      <c r="DQ343" s="315" t="str">
        <f t="shared" si="613"/>
        <v/>
      </c>
      <c r="DR343" s="315" t="e">
        <f>IF($J343="",#N/A,SUM(DQ$4:DQ343))</f>
        <v>#N/A</v>
      </c>
      <c r="DS343" s="315" t="e">
        <f>IF($J343="",#N/A,SUM(DQ$4:DQ343,DO$4:DO343,DM$4:DM343))</f>
        <v>#N/A</v>
      </c>
      <c r="DT343" s="304" t="str">
        <f t="shared" si="614"/>
        <v/>
      </c>
      <c r="DU343" s="313" t="e">
        <f>IF($J343="",#N/A,SUM(DT$4:DT343))</f>
        <v>#N/A</v>
      </c>
      <c r="DV343" s="314" t="str">
        <f t="shared" si="615"/>
        <v/>
      </c>
      <c r="DW343" s="314" t="e">
        <f>IF($J343="",#N/A,SUM(DV$4:DV343))</f>
        <v>#N/A</v>
      </c>
      <c r="DX343" s="315" t="str">
        <f t="shared" si="616"/>
        <v/>
      </c>
      <c r="DY343" s="315" t="e">
        <f>IF($J343="",#N/A,SUM(DX$4:DX343))</f>
        <v>#N/A</v>
      </c>
      <c r="DZ343" s="315" t="e">
        <f>IF($J343="",#N/A,SUM(DX$4:DX343,DV$4:DV343,DT$4:DT343))</f>
        <v>#N/A</v>
      </c>
      <c r="EA343" s="304" t="str">
        <f t="shared" si="617"/>
        <v/>
      </c>
      <c r="EB343" s="313" t="e">
        <f>IF($J343="",#N/A,SUM(EA$4:EA343))</f>
        <v>#N/A</v>
      </c>
      <c r="EC343" s="314" t="str">
        <f t="shared" si="618"/>
        <v/>
      </c>
      <c r="ED343" s="314" t="e">
        <f>IF($J343="",#N/A,SUM(EC$4:EC343))</f>
        <v>#N/A</v>
      </c>
      <c r="EE343" s="315" t="str">
        <f t="shared" si="619"/>
        <v/>
      </c>
      <c r="EF343" s="315" t="e">
        <f>IF($J343="",#N/A,SUM(EE$4:EE343))</f>
        <v>#N/A</v>
      </c>
      <c r="EG343" s="315" t="e">
        <f>IF($J343="",#N/A,SUM(EE$4:EE343,EC$4:EC343,EA$4:EA343))</f>
        <v>#N/A</v>
      </c>
      <c r="EH343" s="130">
        <f t="shared" si="620"/>
        <v>103.74000000000001</v>
      </c>
      <c r="EI343" s="63">
        <f>IF(EH343="",#N/A,SUM($EH$4:EH343))</f>
        <v>736.85764078297439</v>
      </c>
      <c r="EJ343" s="223" t="e">
        <f t="shared" si="621"/>
        <v>#N/A</v>
      </c>
      <c r="EK343" s="63" t="e">
        <f>IF($GZ343="",#N/A,SUM(EJ$4:EJ343))</f>
        <v>#N/A</v>
      </c>
      <c r="EL343" s="60">
        <f t="shared" si="651"/>
        <v>1.0526315789473686</v>
      </c>
      <c r="EM343" s="60">
        <f>IF(EL343="",NA(),SUM($EL$4:EL343))</f>
        <v>29.122816280801622</v>
      </c>
      <c r="EN343" s="60" t="str">
        <f t="shared" si="622"/>
        <v/>
      </c>
      <c r="EO343" s="60" t="e">
        <f>IF(EN343="",NA(),SUM($EN$4:EN343))</f>
        <v>#N/A</v>
      </c>
      <c r="EP343" s="60" t="str">
        <f t="shared" si="623"/>
        <v/>
      </c>
      <c r="EQ343" s="60" t="e">
        <f>IF(EP343="",NA(),SUM($EP$4:EP343))</f>
        <v>#N/A</v>
      </c>
      <c r="ER343" s="60">
        <f t="shared" si="624"/>
        <v>1.0526315789473686</v>
      </c>
      <c r="ES343" s="60">
        <f>IF(ER343="",NA(),SUM($ER$4:ER343))</f>
        <v>13.398180575170377</v>
      </c>
      <c r="ET343" s="60" t="str">
        <f t="shared" si="625"/>
        <v/>
      </c>
      <c r="EU343" s="60" t="e">
        <f>IF(ET343="",NA(),SUM($ET$4:ET343))</f>
        <v>#N/A</v>
      </c>
      <c r="EV343" s="60" t="str">
        <f t="shared" si="626"/>
        <v/>
      </c>
      <c r="EW343" s="60" t="e">
        <f>IF(EV343="",NA(),SUM($EV$4:EV343))</f>
        <v>#N/A</v>
      </c>
      <c r="EX343" s="60" t="str">
        <f t="shared" si="627"/>
        <v/>
      </c>
      <c r="EY343" s="60" t="e">
        <f>IF(EX343="",NA(),SUM($EX$4:EX343))</f>
        <v>#N/A</v>
      </c>
      <c r="EZ343" s="60" t="str">
        <f t="shared" si="628"/>
        <v/>
      </c>
      <c r="FA343" s="60" t="e">
        <f>IF(EZ343="",NA(),SUM($EZ$4:EZ343))</f>
        <v>#N/A</v>
      </c>
      <c r="FB343" s="246">
        <f t="shared" si="652"/>
        <v>-0.19278966647387707</v>
      </c>
      <c r="FC343" s="246">
        <f>IF($FB343="",#N/A,SUM(FB$4:$FB343))</f>
        <v>3.5727632599010599</v>
      </c>
      <c r="FD343" s="60" t="str">
        <f t="shared" si="629"/>
        <v/>
      </c>
      <c r="FE343" s="60" t="e">
        <f>IF($FD343="",#N/A,SUM($FD$4:FD343))</f>
        <v>#N/A</v>
      </c>
      <c r="FF343" s="60" t="str">
        <f t="shared" si="630"/>
        <v/>
      </c>
      <c r="FG343" s="60" t="e">
        <f>IF($FF343="",#N/A,SUM($FF$4:FF343))</f>
        <v>#N/A</v>
      </c>
      <c r="FH343" s="60" t="str">
        <f t="shared" si="631"/>
        <v/>
      </c>
      <c r="FI343" s="60" t="e">
        <f>IF($FH343="",#N/A,SUM($FH$4:FH343))</f>
        <v>#N/A</v>
      </c>
      <c r="FJ343" s="60" t="str">
        <f t="shared" si="632"/>
        <v/>
      </c>
      <c r="FK343" s="60" t="e">
        <f>IF($FJ343="",#N/A,SUM($FJ$4:FJ343))</f>
        <v>#N/A</v>
      </c>
      <c r="FL343" s="60" t="str">
        <f t="shared" si="633"/>
        <v/>
      </c>
      <c r="FM343" s="60" t="e">
        <f>IF($FL343="",#N/A,SUM($FL$4:FL343))</f>
        <v>#N/A</v>
      </c>
      <c r="FN343" s="82">
        <f t="shared" si="634"/>
        <v>0.85984191247349151</v>
      </c>
      <c r="FO343" s="82">
        <f>IF($FN343="",#N/A,SUM(FN$4:$FN343))</f>
        <v>48.296137047260345</v>
      </c>
      <c r="FP343" s="82">
        <f t="shared" si="653"/>
        <v>1.0526315789473686</v>
      </c>
      <c r="FQ343" s="246">
        <f>IF($EH343="",#N/A,SUM($FP$4:FP343))</f>
        <v>48.711380225044593</v>
      </c>
      <c r="FR343" s="82">
        <f>IFERROR(FQ343/COUNTA($J$4:J343),#N/A)</f>
        <v>0.14326876536777822</v>
      </c>
      <c r="FS343" s="82">
        <f t="shared" si="554"/>
        <v>-0.13125388078539346</v>
      </c>
      <c r="FT343" s="82">
        <f t="shared" si="555"/>
        <v>-0.23510516689710642</v>
      </c>
      <c r="FU343" s="338">
        <f t="shared" si="657"/>
        <v>26.640939413862043</v>
      </c>
      <c r="FV343" s="57" t="str">
        <f t="shared" si="560"/>
        <v>Dwn</v>
      </c>
      <c r="FW343" s="57" t="s">
        <v>2733</v>
      </c>
      <c r="FX343" s="57" t="str">
        <f t="shared" si="635"/>
        <v/>
      </c>
      <c r="FY343" s="57" t="str">
        <f t="shared" si="636"/>
        <v/>
      </c>
      <c r="FZ343" s="57" t="str">
        <f t="shared" si="637"/>
        <v/>
      </c>
      <c r="GA343" s="57" t="str">
        <f t="shared" si="638"/>
        <v>Short</v>
      </c>
      <c r="GB343" s="57">
        <f t="shared" si="639"/>
        <v>1</v>
      </c>
      <c r="GC343" s="57" t="str">
        <f t="shared" si="640"/>
        <v/>
      </c>
      <c r="GD343" s="57" t="str">
        <f t="shared" si="641"/>
        <v/>
      </c>
      <c r="GE343" s="62">
        <f t="shared" si="557"/>
        <v>86.45</v>
      </c>
      <c r="GF343" s="62" t="s">
        <v>2780</v>
      </c>
      <c r="GG343" s="199">
        <v>19</v>
      </c>
      <c r="GH343" s="207">
        <f t="shared" si="642"/>
        <v>1642.55</v>
      </c>
      <c r="GI343" s="199">
        <v>19</v>
      </c>
      <c r="GJ343" s="200">
        <v>80.989999999999995</v>
      </c>
      <c r="GK343" s="63">
        <f t="shared" si="643"/>
        <v>103.74000000000001</v>
      </c>
      <c r="GL343" s="63">
        <f t="shared" si="558"/>
        <v>84.740000000000009</v>
      </c>
      <c r="GM343" s="82" t="str">
        <f t="shared" si="644"/>
        <v/>
      </c>
      <c r="GN343" s="82">
        <f>IF($GZ343="",#N/A,SUM(GM$4:GM343))</f>
        <v>4.1154669890338518</v>
      </c>
      <c r="GO343" s="82" t="str">
        <f t="shared" si="645"/>
        <v/>
      </c>
      <c r="GP343" s="82">
        <f>IF($GZ343="",#N/A,SUM(GO$4:GO343))</f>
        <v>13.526245521551154</v>
      </c>
      <c r="GQ343" s="82">
        <f t="shared" si="646"/>
        <v>0.85984191247349151</v>
      </c>
      <c r="GR343" s="82">
        <f>IF($GZ343="",#N/A,SUM(GQ$4:GQ343))</f>
        <v>30.028587582233001</v>
      </c>
      <c r="GS343" s="63" t="str">
        <f t="shared" si="654"/>
        <v/>
      </c>
      <c r="GT343" s="63" t="e">
        <f>IF($GZ343="",#N/A,SUM(GS$4:GS343))</f>
        <v>#N/A</v>
      </c>
      <c r="GU343" s="63" t="str">
        <f t="shared" si="655"/>
        <v/>
      </c>
      <c r="GV343" s="63" t="e">
        <f>IF($GZ343="",#N/A,SUM(GU$4:GU343))</f>
        <v>#N/A</v>
      </c>
      <c r="GW343" s="63" t="e">
        <f t="shared" si="656"/>
        <v>#N/A</v>
      </c>
      <c r="GX343" s="63" t="e">
        <f>IF($GZ343="",#N/A,SUM(GW$4:GW343))</f>
        <v>#N/A</v>
      </c>
      <c r="GY343" s="63" t="e">
        <f>IF(EJ343="",#N/A,SUM($EJ$4:EJ343))</f>
        <v>#N/A</v>
      </c>
      <c r="GZ343" s="159">
        <v>81.99</v>
      </c>
      <c r="HA343" s="63">
        <f t="shared" si="647"/>
        <v>-19</v>
      </c>
      <c r="HB343" s="62" t="s">
        <v>2538</v>
      </c>
      <c r="HC343" s="60">
        <f>IFERROR(VLOOKUP(E343,Expectancy!$P$4:$S$19,1+C343,FALSE),"")</f>
        <v>0.73529829292760662</v>
      </c>
      <c r="HD343" s="82">
        <f t="shared" si="648"/>
        <v>1.0526315789473686</v>
      </c>
      <c r="HE343" s="138">
        <f>IF(HD343="",#N/A,SUM($HD$4:HD343))</f>
        <v>7.5404408111825472</v>
      </c>
      <c r="HF343" s="85">
        <f>IF(HD343="",#N/A,IF(HB343="Skip",#N/A,SUM($HG$4:HG343)))</f>
        <v>18.166579219155892</v>
      </c>
      <c r="HG343" s="63">
        <f t="shared" si="649"/>
        <v>103.74000000000001</v>
      </c>
      <c r="HH343" s="82">
        <f t="shared" si="650"/>
        <v>0.85984191247349151</v>
      </c>
    </row>
    <row r="344" spans="1:216" x14ac:dyDescent="0.25">
      <c r="A344" s="57" t="s">
        <v>124</v>
      </c>
      <c r="B344" s="58" t="s">
        <v>5244</v>
      </c>
      <c r="C344" s="386">
        <f t="shared" si="561"/>
        <v>2</v>
      </c>
      <c r="D344" s="372" t="str">
        <f>_xlfn.XLOOKUP(A344,[1]SP500!$A$2:$A$502,[1]SP500!$D$2:$D$502,"N")</f>
        <v>N</v>
      </c>
      <c r="E344" s="57" t="str">
        <f>_xlfn.XLOOKUP(A344,[1]SP500!$A$2:$A$655,[1]SP500!$B$2:$B$655)</f>
        <v>XLB</v>
      </c>
      <c r="F344" s="59">
        <v>45706</v>
      </c>
      <c r="G344" s="57" t="str">
        <f t="shared" si="562"/>
        <v>AMC</v>
      </c>
      <c r="H344" s="57" t="str">
        <f t="shared" si="563"/>
        <v>s</v>
      </c>
      <c r="I344" s="159">
        <v>69.91</v>
      </c>
      <c r="J344" s="158">
        <v>55.4</v>
      </c>
      <c r="K344" s="61">
        <f t="shared" si="564"/>
        <v>-0.20755256758689741</v>
      </c>
      <c r="L344" s="87">
        <f t="shared" si="565"/>
        <v>348.24</v>
      </c>
      <c r="M344" s="130">
        <f t="shared" si="556"/>
        <v>-28.080000000000155</v>
      </c>
      <c r="N344" s="169" t="str">
        <f t="shared" si="566"/>
        <v/>
      </c>
      <c r="O344" s="169">
        <f>IF($J344="",#N/A,SUM($N$4:N344))</f>
        <v>489.99671935422452</v>
      </c>
      <c r="P344" s="174">
        <f t="shared" si="567"/>
        <v>348.24</v>
      </c>
      <c r="Q344" s="174">
        <f>IF($J344="",#N/A,SUM($P$4:P344))</f>
        <v>655.84499224504304</v>
      </c>
      <c r="R344" s="178" t="str">
        <f t="shared" si="568"/>
        <v/>
      </c>
      <c r="S344" s="178">
        <f>IF($J344="",#N/A,SUM($R$4:R344))</f>
        <v>-60.744070816293288</v>
      </c>
      <c r="T344" s="290" t="str">
        <f t="shared" si="569"/>
        <v/>
      </c>
      <c r="U344" s="290">
        <f>IF($J344="",#N/A,SUM($T$4:T344))</f>
        <v>18.69431278866081</v>
      </c>
      <c r="V344" s="291">
        <f t="shared" si="570"/>
        <v>3.4592094597816248</v>
      </c>
      <c r="W344" s="291">
        <f>IF($J344="",#N/A,SUM($V$4:V344))</f>
        <v>26.177992559451887</v>
      </c>
      <c r="X344" s="292" t="str">
        <f t="shared" si="571"/>
        <v/>
      </c>
      <c r="Y344" s="292">
        <f>IF($J344="",#N/A,SUM($X$4:X344))</f>
        <v>7.2982843367135422</v>
      </c>
      <c r="Z344" s="304" t="str">
        <f t="shared" si="572"/>
        <v/>
      </c>
      <c r="AA344" s="313" t="e">
        <f>IF($J344="",#N/A,SUM(Z$4:Z344))</f>
        <v>#N/A</v>
      </c>
      <c r="AB344" s="314" t="str">
        <f t="shared" si="573"/>
        <v/>
      </c>
      <c r="AC344" s="314" t="e">
        <f>IF($J344="",#N/A,SUM(AB$4:AB344))</f>
        <v>#N/A</v>
      </c>
      <c r="AD344" s="315" t="str">
        <f t="shared" si="574"/>
        <v/>
      </c>
      <c r="AE344" s="315" t="e">
        <f>IF($J344="",#N/A,SUM(AD$4:AD344))</f>
        <v>#N/A</v>
      </c>
      <c r="AF344" s="315" t="e">
        <f>IF($J344="",#N/A,SUM(AD$4:AD344,AB$4:AB344,Z$4:Z344))</f>
        <v>#N/A</v>
      </c>
      <c r="AG344" s="304" t="str">
        <f t="shared" si="575"/>
        <v/>
      </c>
      <c r="AH344" s="313" t="e">
        <f>IF($J344="",#N/A,SUM(AG$4:AG344))</f>
        <v>#N/A</v>
      </c>
      <c r="AI344" s="314" t="str">
        <f t="shared" si="576"/>
        <v/>
      </c>
      <c r="AJ344" s="314" t="e">
        <f>IF($J344="",#N/A,SUM(AI$4:AI344))</f>
        <v>#N/A</v>
      </c>
      <c r="AK344" s="315" t="str">
        <f t="shared" si="577"/>
        <v/>
      </c>
      <c r="AL344" s="315" t="e">
        <f>IF($J344="",#N/A,SUM(AK$4:AK344))</f>
        <v>#N/A</v>
      </c>
      <c r="AM344" s="315" t="e">
        <f>IF($J344="",#N/A,SUM(AK$4:AK344,AI$4:AI344,AG$4:AG344))</f>
        <v>#N/A</v>
      </c>
      <c r="AN344" s="304" t="str">
        <f t="shared" si="578"/>
        <v/>
      </c>
      <c r="AO344" s="313" t="e">
        <f>IF($J344="",#N/A,SUM(AN$4:AN344))</f>
        <v>#N/A</v>
      </c>
      <c r="AP344" s="314" t="str">
        <f t="shared" si="579"/>
        <v/>
      </c>
      <c r="AQ344" s="314" t="e">
        <f>IF($J344="",#N/A,SUM(AP$4:AP344))</f>
        <v>#N/A</v>
      </c>
      <c r="AR344" s="315" t="str">
        <f t="shared" si="580"/>
        <v/>
      </c>
      <c r="AS344" s="315" t="e">
        <f>IF($J344="",#N/A,SUM(AR$4:AR344))</f>
        <v>#N/A</v>
      </c>
      <c r="AT344" s="315" t="e">
        <f>IF($J344="",#N/A,SUM(AR$4:AR344,AP$4:AP344,AN$4:AN344))</f>
        <v>#N/A</v>
      </c>
      <c r="AU344" s="304" t="str">
        <f t="shared" si="581"/>
        <v/>
      </c>
      <c r="AV344" s="313" t="e">
        <f>IF($J344="",#N/A,SUM(AU$4:AU344))</f>
        <v>#N/A</v>
      </c>
      <c r="AW344" s="314" t="str">
        <f t="shared" si="582"/>
        <v/>
      </c>
      <c r="AX344" s="314" t="e">
        <f>IF($J344="",#N/A,SUM(AW$4:AW344))</f>
        <v>#N/A</v>
      </c>
      <c r="AY344" s="315" t="str">
        <f t="shared" si="583"/>
        <v/>
      </c>
      <c r="AZ344" s="315" t="e">
        <f>IF($J344="",#N/A,SUM(AY$4:AY344))</f>
        <v>#N/A</v>
      </c>
      <c r="BA344" s="315" t="e">
        <f>IF($J344="",#N/A,SUM(AY$4:AY344,AW$4:AW344,AU$4:AU344))</f>
        <v>#N/A</v>
      </c>
      <c r="BB344" s="304" t="str">
        <f t="shared" si="584"/>
        <v/>
      </c>
      <c r="BC344" s="313" t="e">
        <f>IF($J344="",#N/A,SUM(BB$4:BB344))</f>
        <v>#N/A</v>
      </c>
      <c r="BD344" s="314" t="str">
        <f t="shared" si="585"/>
        <v/>
      </c>
      <c r="BE344" s="314" t="e">
        <f>IF($J344="",#N/A,SUM(BD$4:BD344))</f>
        <v>#N/A</v>
      </c>
      <c r="BF344" s="315" t="str">
        <f t="shared" si="586"/>
        <v/>
      </c>
      <c r="BG344" s="315" t="e">
        <f>IF($J344="",#N/A,SUM(BF$4:BF344))</f>
        <v>#N/A</v>
      </c>
      <c r="BH344" s="315" t="e">
        <f>IF($J344="",#N/A,SUM(BF$4:BF344,BD$4:BD344,BB$4:BB344))</f>
        <v>#N/A</v>
      </c>
      <c r="BI344" s="304" t="str">
        <f t="shared" si="587"/>
        <v/>
      </c>
      <c r="BJ344" s="313" t="e">
        <f>IF($J344="",#N/A,SUM(BI$4:BI344))</f>
        <v>#N/A</v>
      </c>
      <c r="BK344" s="314" t="str">
        <f t="shared" si="588"/>
        <v/>
      </c>
      <c r="BL344" s="314" t="e">
        <f>IF($J344="",#N/A,SUM(BK$4:BK344))</f>
        <v>#N/A</v>
      </c>
      <c r="BM344" s="315" t="str">
        <f t="shared" si="589"/>
        <v/>
      </c>
      <c r="BN344" s="315" t="e">
        <f>IF($J344="",#N/A,SUM(BM$4:BM344))</f>
        <v>#N/A</v>
      </c>
      <c r="BO344" s="315" t="e">
        <f>IF($J344="",#N/A,SUM(BM$4:BM344,BK$4:BK344,BI$4:BI344))</f>
        <v>#N/A</v>
      </c>
      <c r="BP344" s="304" t="str">
        <f t="shared" si="590"/>
        <v/>
      </c>
      <c r="BQ344" s="313" t="e">
        <f>IF($J344="",#N/A,SUM(BP$4:BP344))</f>
        <v>#N/A</v>
      </c>
      <c r="BR344" s="314" t="str">
        <f t="shared" si="591"/>
        <v/>
      </c>
      <c r="BS344" s="314" t="e">
        <f>IF($J344="",#N/A,SUM(BR$4:BR344))</f>
        <v>#N/A</v>
      </c>
      <c r="BT344" s="315" t="str">
        <f t="shared" si="592"/>
        <v/>
      </c>
      <c r="BU344" s="315" t="e">
        <f>IF($J344="",#N/A,SUM(BT$4:BT344))</f>
        <v>#N/A</v>
      </c>
      <c r="BV344" s="315" t="e">
        <f>IF($J344="",#N/A,SUM(BT$4:BT344,BR$4:BR344,BP$4:BP344))</f>
        <v>#N/A</v>
      </c>
      <c r="BW344" s="304" t="str">
        <f t="shared" si="593"/>
        <v/>
      </c>
      <c r="BX344" s="313" t="e">
        <f>IF($J344="",#N/A,SUM(BW$4:BW344))</f>
        <v>#N/A</v>
      </c>
      <c r="BY344" s="314" t="str">
        <f t="shared" si="594"/>
        <v/>
      </c>
      <c r="BZ344" s="314" t="e">
        <f>IF($J344="",#N/A,SUM(BY$4:BY344))</f>
        <v>#N/A</v>
      </c>
      <c r="CA344" s="315" t="str">
        <f t="shared" si="595"/>
        <v/>
      </c>
      <c r="CB344" s="315" t="e">
        <f>IF($J344="",#N/A,SUM(CA$4:CA344))</f>
        <v>#N/A</v>
      </c>
      <c r="CC344" s="315" t="e">
        <f>IF($J344="",#N/A,SUM(CA$4:CA344,BY$4:BY344,BW$4:BW344))</f>
        <v>#N/A</v>
      </c>
      <c r="CD344" s="304" t="str">
        <f t="shared" si="596"/>
        <v/>
      </c>
      <c r="CE344" s="313" t="e">
        <f>IF($J344="",#N/A,SUM(CD$4:CD344))</f>
        <v>#N/A</v>
      </c>
      <c r="CF344" s="314">
        <f t="shared" si="597"/>
        <v>3.4592094597816248</v>
      </c>
      <c r="CG344" s="314" t="e">
        <f>IF($J344="",#N/A,SUM(CF$4:CF344))</f>
        <v>#N/A</v>
      </c>
      <c r="CH344" s="315" t="str">
        <f t="shared" si="598"/>
        <v/>
      </c>
      <c r="CI344" s="315" t="e">
        <f>IF($J344="",#N/A,SUM(CH$4:CH344))</f>
        <v>#N/A</v>
      </c>
      <c r="CJ344" s="315" t="e">
        <f>IF($J344="",#N/A,SUM(CH$4:CH344,CF$4:CF344,CD$4:CD344))</f>
        <v>#N/A</v>
      </c>
      <c r="CK344" s="304" t="str">
        <f t="shared" si="599"/>
        <v/>
      </c>
      <c r="CL344" s="313" t="e">
        <f>IF($J344="",#N/A,SUM(CK$4:CK344))</f>
        <v>#N/A</v>
      </c>
      <c r="CM344" s="314" t="str">
        <f t="shared" si="600"/>
        <v/>
      </c>
      <c r="CN344" s="314" t="e">
        <f>IF($J344="",#N/A,SUM(CM$4:CM344))</f>
        <v>#N/A</v>
      </c>
      <c r="CO344" s="315" t="str">
        <f t="shared" si="601"/>
        <v/>
      </c>
      <c r="CP344" s="315" t="e">
        <f>IF($J344="",#N/A,SUM(CO$4:CO344))</f>
        <v>#N/A</v>
      </c>
      <c r="CQ344" s="315" t="e">
        <f>IF($J344="",#N/A,SUM(CO$4:CO344,CM$4:CM344,CK$4:CK344))</f>
        <v>#N/A</v>
      </c>
      <c r="CR344" s="304" t="str">
        <f t="shared" si="602"/>
        <v/>
      </c>
      <c r="CS344" s="313" t="e">
        <f>IF($J344="",#N/A,SUM(CR$4:CR344))</f>
        <v>#N/A</v>
      </c>
      <c r="CT344" s="314" t="str">
        <f t="shared" si="603"/>
        <v/>
      </c>
      <c r="CU344" s="314" t="e">
        <f>IF($J344="",#N/A,SUM(CT$4:CT344))</f>
        <v>#N/A</v>
      </c>
      <c r="CV344" s="315" t="str">
        <f t="shared" si="604"/>
        <v/>
      </c>
      <c r="CW344" s="315" t="e">
        <f>IF($J344="",#N/A,SUM(CV$4:CV344))</f>
        <v>#N/A</v>
      </c>
      <c r="CX344" s="315" t="e">
        <f>IF($J344="",#N/A,SUM(CV$4:CV344,CT$4:CT344,CR$4:CR344))</f>
        <v>#N/A</v>
      </c>
      <c r="CY344" s="304" t="str">
        <f t="shared" si="605"/>
        <v/>
      </c>
      <c r="CZ344" s="313" t="e">
        <f>IF($J344="",#N/A,SUM(CY$4:CY344))</f>
        <v>#N/A</v>
      </c>
      <c r="DA344" s="314" t="str">
        <f t="shared" si="606"/>
        <v/>
      </c>
      <c r="DB344" s="314" t="e">
        <f>IF($J344="",#N/A,SUM(DA$4:DA344))</f>
        <v>#N/A</v>
      </c>
      <c r="DC344" s="315" t="str">
        <f t="shared" si="607"/>
        <v/>
      </c>
      <c r="DD344" s="315" t="e">
        <f>IF($J344="",#N/A,SUM(DC$4:DC344))</f>
        <v>#N/A</v>
      </c>
      <c r="DE344" s="315" t="e">
        <f>IF($J344="",#N/A,SUM(DC$4:DC344,DA$4:DA344,CY$4:CY344))</f>
        <v>#N/A</v>
      </c>
      <c r="DF344" s="304" t="str">
        <f t="shared" si="608"/>
        <v/>
      </c>
      <c r="DG344" s="313" t="e">
        <f>IF($J344="",#N/A,SUM(DF$4:DF344))</f>
        <v>#N/A</v>
      </c>
      <c r="DH344" s="314" t="str">
        <f t="shared" si="609"/>
        <v/>
      </c>
      <c r="DI344" s="314" t="e">
        <f>IF($J344="",#N/A,SUM(DH$4:DH344))</f>
        <v>#N/A</v>
      </c>
      <c r="DJ344" s="315" t="str">
        <f t="shared" si="610"/>
        <v/>
      </c>
      <c r="DK344" s="315" t="e">
        <f>IF($J344="",#N/A,SUM(DJ$4:DJ344))</f>
        <v>#N/A</v>
      </c>
      <c r="DL344" s="315" t="e">
        <f>IF($J344="",#N/A,SUM(DJ$4:DJ344,DH$4:DH344,DF$4:DF344))</f>
        <v>#N/A</v>
      </c>
      <c r="DM344" s="304" t="str">
        <f t="shared" si="611"/>
        <v/>
      </c>
      <c r="DN344" s="313" t="e">
        <f>IF($J344="",#N/A,SUM(DM$4:DM344))</f>
        <v>#N/A</v>
      </c>
      <c r="DO344" s="314" t="str">
        <f t="shared" si="612"/>
        <v/>
      </c>
      <c r="DP344" s="314" t="e">
        <f>IF($J344="",#N/A,SUM(DO$4:DO344))</f>
        <v>#N/A</v>
      </c>
      <c r="DQ344" s="315" t="str">
        <f t="shared" si="613"/>
        <v/>
      </c>
      <c r="DR344" s="315" t="e">
        <f>IF($J344="",#N/A,SUM(DQ$4:DQ344))</f>
        <v>#N/A</v>
      </c>
      <c r="DS344" s="315" t="e">
        <f>IF($J344="",#N/A,SUM(DQ$4:DQ344,DO$4:DO344,DM$4:DM344))</f>
        <v>#N/A</v>
      </c>
      <c r="DT344" s="304" t="str">
        <f t="shared" si="614"/>
        <v/>
      </c>
      <c r="DU344" s="313" t="e">
        <f>IF($J344="",#N/A,SUM(DT$4:DT344))</f>
        <v>#N/A</v>
      </c>
      <c r="DV344" s="314" t="str">
        <f t="shared" si="615"/>
        <v/>
      </c>
      <c r="DW344" s="314" t="e">
        <f>IF($J344="",#N/A,SUM(DV$4:DV344))</f>
        <v>#N/A</v>
      </c>
      <c r="DX344" s="315" t="str">
        <f t="shared" si="616"/>
        <v/>
      </c>
      <c r="DY344" s="315" t="e">
        <f>IF($J344="",#N/A,SUM(DX$4:DX344))</f>
        <v>#N/A</v>
      </c>
      <c r="DZ344" s="315" t="e">
        <f>IF($J344="",#N/A,SUM(DX$4:DX344,DV$4:DV344,DT$4:DT344))</f>
        <v>#N/A</v>
      </c>
      <c r="EA344" s="304" t="str">
        <f t="shared" si="617"/>
        <v/>
      </c>
      <c r="EB344" s="313" t="e">
        <f>IF($J344="",#N/A,SUM(EA$4:EA344))</f>
        <v>#N/A</v>
      </c>
      <c r="EC344" s="314" t="str">
        <f t="shared" si="618"/>
        <v/>
      </c>
      <c r="ED344" s="314" t="e">
        <f>IF($J344="",#N/A,SUM(EC$4:EC344))</f>
        <v>#N/A</v>
      </c>
      <c r="EE344" s="315" t="str">
        <f t="shared" si="619"/>
        <v/>
      </c>
      <c r="EF344" s="315" t="e">
        <f>IF($J344="",#N/A,SUM(EE$4:EE344))</f>
        <v>#N/A</v>
      </c>
      <c r="EG344" s="315" t="e">
        <f>IF($J344="",#N/A,SUM(EE$4:EE344,EC$4:EC344,EA$4:EA344))</f>
        <v>#N/A</v>
      </c>
      <c r="EH344" s="130">
        <f t="shared" si="620"/>
        <v>348.24</v>
      </c>
      <c r="EI344" s="63">
        <f>IF(EH344="",#N/A,SUM($EH$4:EH344))</f>
        <v>1085.0976407829744</v>
      </c>
      <c r="EJ344" s="223" t="e">
        <f t="shared" si="621"/>
        <v>#N/A</v>
      </c>
      <c r="EK344" s="63" t="e">
        <f>IF($GZ344="",#N/A,SUM(EJ$4:EJ344))</f>
        <v>#N/A</v>
      </c>
      <c r="EL344" s="60" t="str">
        <f t="shared" si="651"/>
        <v/>
      </c>
      <c r="EM344" s="60" t="e">
        <f>IF(EL344="",NA(),SUM($EL$4:EL344))</f>
        <v>#N/A</v>
      </c>
      <c r="EN344" s="60" t="str">
        <f t="shared" si="622"/>
        <v/>
      </c>
      <c r="EO344" s="60" t="e">
        <f>IF(EN344="",NA(),SUM($EN$4:EN344))</f>
        <v>#N/A</v>
      </c>
      <c r="EP344" s="60" t="str">
        <f t="shared" si="623"/>
        <v/>
      </c>
      <c r="EQ344" s="60" t="e">
        <f>IF(EP344="",NA(),SUM($EP$4:EP344))</f>
        <v>#N/A</v>
      </c>
      <c r="ER344" s="60" t="str">
        <f t="shared" si="624"/>
        <v/>
      </c>
      <c r="ES344" s="60" t="e">
        <f>IF(ER344="",NA(),SUM($ER$4:ER344))</f>
        <v>#N/A</v>
      </c>
      <c r="ET344" s="60">
        <f t="shared" si="625"/>
        <v>3.4592094597816248</v>
      </c>
      <c r="EU344" s="60">
        <f>IF(ET344="",NA(),SUM($ET$4:ET344))</f>
        <v>23.047773404024618</v>
      </c>
      <c r="EV344" s="60" t="str">
        <f t="shared" si="626"/>
        <v/>
      </c>
      <c r="EW344" s="60" t="e">
        <f>IF(EV344="",NA(),SUM($EV$4:EV344))</f>
        <v>#N/A</v>
      </c>
      <c r="EX344" s="60" t="str">
        <f t="shared" si="627"/>
        <v/>
      </c>
      <c r="EY344" s="60" t="e">
        <f>IF(EX344="",NA(),SUM($EX$4:EX344))</f>
        <v>#N/A</v>
      </c>
      <c r="EZ344" s="60">
        <f t="shared" si="628"/>
        <v>3.4592094597816248</v>
      </c>
      <c r="FA344" s="60">
        <f>IF(EZ344="",NA(),SUM($EZ$4:EZ344))</f>
        <v>12.779811984281505</v>
      </c>
      <c r="FB344" s="246">
        <f t="shared" si="652"/>
        <v>0.11681685977208778</v>
      </c>
      <c r="FC344" s="246">
        <f>IF($FB344="",#N/A,SUM(FB$4:$FB344))</f>
        <v>3.6895801196731477</v>
      </c>
      <c r="FD344" s="60" t="str">
        <f t="shared" si="629"/>
        <v/>
      </c>
      <c r="FE344" s="60" t="e">
        <f>IF($FD344="",#N/A,SUM($FD$4:FD344))</f>
        <v>#N/A</v>
      </c>
      <c r="FF344" s="60" t="str">
        <f t="shared" si="630"/>
        <v/>
      </c>
      <c r="FG344" s="60" t="e">
        <f>IF($FF344="",#N/A,SUM($FF$4:FF344))</f>
        <v>#N/A</v>
      </c>
      <c r="FH344" s="60" t="str">
        <f t="shared" si="631"/>
        <v/>
      </c>
      <c r="FI344" s="60" t="e">
        <f>IF($FH344="",#N/A,SUM($FH$4:FH344))</f>
        <v>#N/A</v>
      </c>
      <c r="FJ344" s="60" t="str">
        <f t="shared" si="632"/>
        <v/>
      </c>
      <c r="FK344" s="60" t="e">
        <f>IF($FJ344="",#N/A,SUM($FJ$4:FJ344))</f>
        <v>#N/A</v>
      </c>
      <c r="FL344" s="60" t="str">
        <f t="shared" si="633"/>
        <v/>
      </c>
      <c r="FM344" s="60" t="e">
        <f>IF($FL344="",#N/A,SUM($FL$4:FL344))</f>
        <v>#N/A</v>
      </c>
      <c r="FN344" s="82">
        <f t="shared" si="634"/>
        <v>3.5760263195537125</v>
      </c>
      <c r="FO344" s="82">
        <f>IF($FN344="",#N/A,SUM(FN$4:$FN344))</f>
        <v>51.872163366814057</v>
      </c>
      <c r="FP344" s="82">
        <f t="shared" si="653"/>
        <v>3.4592094597816248</v>
      </c>
      <c r="FQ344" s="246">
        <f>IF($EH344="",#N/A,SUM($FP$4:FP344))</f>
        <v>52.170589684826219</v>
      </c>
      <c r="FR344" s="82">
        <f>IFERROR(FQ344/COUNTA($J$4:J344),#N/A)</f>
        <v>0.15299293162705635</v>
      </c>
      <c r="FS344" s="82">
        <f t="shared" si="554"/>
        <v>-7.886700401977223E-2</v>
      </c>
      <c r="FT344" s="82">
        <f t="shared" si="555"/>
        <v>-5.2458576257550932E-2</v>
      </c>
      <c r="FU344" s="338">
        <f t="shared" si="657"/>
        <v>26.919869466787233</v>
      </c>
      <c r="FV344" s="57" t="str">
        <f t="shared" si="560"/>
        <v>Dwn</v>
      </c>
      <c r="FW344" s="57" t="s">
        <v>2733</v>
      </c>
      <c r="FX344" s="57" t="str">
        <f t="shared" si="635"/>
        <v/>
      </c>
      <c r="FY344" s="57" t="str">
        <f t="shared" si="636"/>
        <v/>
      </c>
      <c r="FZ344" s="57" t="str">
        <f t="shared" si="637"/>
        <v/>
      </c>
      <c r="GA344" s="57" t="str">
        <f t="shared" si="638"/>
        <v>Short</v>
      </c>
      <c r="GB344" s="57">
        <f t="shared" si="639"/>
        <v>1</v>
      </c>
      <c r="GC344" s="57" t="str">
        <f t="shared" si="640"/>
        <v/>
      </c>
      <c r="GD344" s="57" t="str">
        <f t="shared" si="641"/>
        <v/>
      </c>
      <c r="GE344" s="62">
        <f t="shared" si="557"/>
        <v>69.91</v>
      </c>
      <c r="GF344" s="62" t="s">
        <v>2780</v>
      </c>
      <c r="GG344" s="199">
        <v>24</v>
      </c>
      <c r="GH344" s="207">
        <f t="shared" si="642"/>
        <v>1677.84</v>
      </c>
      <c r="GI344" s="199">
        <v>24</v>
      </c>
      <c r="GJ344" s="200">
        <v>56.57</v>
      </c>
      <c r="GK344" s="63">
        <f t="shared" si="643"/>
        <v>320.15999999999985</v>
      </c>
      <c r="GL344" s="63">
        <f t="shared" si="558"/>
        <v>360</v>
      </c>
      <c r="GM344" s="82" t="str">
        <f t="shared" si="644"/>
        <v/>
      </c>
      <c r="GN344" s="82">
        <f>IF($GZ344="",#N/A,SUM(GM$4:GM344))</f>
        <v>4.1154669890338518</v>
      </c>
      <c r="GO344" s="82" t="str">
        <f t="shared" si="645"/>
        <v/>
      </c>
      <c r="GP344" s="82">
        <f>IF($GZ344="",#N/A,SUM(GO$4:GO344))</f>
        <v>13.526245521551154</v>
      </c>
      <c r="GQ344" s="82">
        <f t="shared" si="646"/>
        <v>3.5760263195537125</v>
      </c>
      <c r="GR344" s="82">
        <f>IF($GZ344="",#N/A,SUM(GQ$4:GQ344))</f>
        <v>33.604613901786713</v>
      </c>
      <c r="GS344" s="63" t="str">
        <f t="shared" si="654"/>
        <v/>
      </c>
      <c r="GT344" s="63" t="e">
        <f>IF($GZ344="",#N/A,SUM(GS$4:GS344))</f>
        <v>#N/A</v>
      </c>
      <c r="GU344" s="63" t="str">
        <f t="shared" si="655"/>
        <v/>
      </c>
      <c r="GV344" s="63" t="e">
        <f>IF($GZ344="",#N/A,SUM(GU$4:GU344))</f>
        <v>#N/A</v>
      </c>
      <c r="GW344" s="63" t="e">
        <f t="shared" si="656"/>
        <v>#N/A</v>
      </c>
      <c r="GX344" s="63" t="e">
        <f>IF($GZ344="",#N/A,SUM(GW$4:GW344))</f>
        <v>#N/A</v>
      </c>
      <c r="GY344" s="63" t="e">
        <f>IF(EJ344="",#N/A,SUM($EJ$4:EJ344))</f>
        <v>#N/A</v>
      </c>
      <c r="GZ344" s="159">
        <v>54.91</v>
      </c>
      <c r="HA344" s="63">
        <f t="shared" si="647"/>
        <v>11.759999999999991</v>
      </c>
      <c r="HB344" s="62" t="s">
        <v>2538</v>
      </c>
      <c r="HC344" s="60">
        <f>IFERROR(VLOOKUP(E344,Expectancy!$P$4:$S$19,1+C344,FALSE),"")</f>
        <v>0.73529829292760662</v>
      </c>
      <c r="HD344" s="82">
        <f t="shared" si="648"/>
        <v>3.1802794068564335</v>
      </c>
      <c r="HE344" s="138">
        <f>IF(HD344="",#N/A,SUM($HD$4:HD344))</f>
        <v>10.720720218038981</v>
      </c>
      <c r="HF344" s="85">
        <f>IF(HD344="",#N/A,IF(HB344="Skip",#N/A,SUM($HG$4:HG344)))</f>
        <v>338.32657921915575</v>
      </c>
      <c r="HG344" s="63">
        <f t="shared" si="649"/>
        <v>320.15999999999985</v>
      </c>
      <c r="HH344" s="82">
        <f t="shared" si="650"/>
        <v>3.5760263195537125</v>
      </c>
    </row>
    <row r="345" spans="1:216" x14ac:dyDescent="0.25">
      <c r="A345" s="465" t="s">
        <v>300</v>
      </c>
      <c r="B345" s="466" t="s">
        <v>5245</v>
      </c>
      <c r="C345" s="467">
        <f t="shared" si="561"/>
        <v>2</v>
      </c>
      <c r="D345" s="468" t="str">
        <f>_xlfn.XLOOKUP(A345,[1]SP500!$A$2:$A$502,[1]SP500!$D$2:$D$502,"N")</f>
        <v>Y</v>
      </c>
      <c r="E345" s="465" t="str">
        <f>_xlfn.XLOOKUP(A345,[1]SP500!$A$2:$A$655,[1]SP500!$B$2:$B$655)</f>
        <v>XLV</v>
      </c>
      <c r="F345" s="59">
        <v>45707</v>
      </c>
      <c r="G345" s="57" t="str">
        <f t="shared" si="562"/>
        <v>BMO</v>
      </c>
      <c r="H345" s="57" t="str">
        <f t="shared" si="563"/>
        <v>s</v>
      </c>
      <c r="I345" s="159">
        <v>154.38999999999999</v>
      </c>
      <c r="J345" s="159">
        <v>159.28</v>
      </c>
      <c r="K345" s="61">
        <f t="shared" si="564"/>
        <v>3.1673035818382121E-2</v>
      </c>
      <c r="L345" s="87">
        <f t="shared" si="565"/>
        <v>-53.789999999999964</v>
      </c>
      <c r="M345" s="130">
        <f t="shared" si="556"/>
        <v>0</v>
      </c>
      <c r="N345" s="169" t="str">
        <f t="shared" si="566"/>
        <v/>
      </c>
      <c r="O345" s="169">
        <f>IF($J345="",#N/A,SUM($N$4:N345))</f>
        <v>489.99671935422452</v>
      </c>
      <c r="P345" s="174">
        <f t="shared" si="567"/>
        <v>-53.789999999999964</v>
      </c>
      <c r="Q345" s="174">
        <f>IF($J345="",#N/A,SUM($P$4:P345))</f>
        <v>602.05499224504308</v>
      </c>
      <c r="R345" s="178" t="str">
        <f t="shared" si="568"/>
        <v/>
      </c>
      <c r="S345" s="178">
        <f>IF($J345="",#N/A,SUM($R$4:R345))</f>
        <v>-60.744070816293288</v>
      </c>
      <c r="T345" s="290" t="str">
        <f t="shared" si="569"/>
        <v/>
      </c>
      <c r="U345" s="290">
        <f>IF($J345="",#N/A,SUM($T$4:T345))</f>
        <v>18.69431278866081</v>
      </c>
      <c r="V345" s="291">
        <f t="shared" si="570"/>
        <v>-0.52788393030636671</v>
      </c>
      <c r="W345" s="291">
        <f>IF($J345="",#N/A,SUM($V$4:V345))</f>
        <v>25.650108629145521</v>
      </c>
      <c r="X345" s="292" t="str">
        <f t="shared" si="571"/>
        <v/>
      </c>
      <c r="Y345" s="292">
        <f>IF($J345="",#N/A,SUM($X$4:X345))</f>
        <v>7.2982843367135422</v>
      </c>
      <c r="Z345" s="304" t="str">
        <f t="shared" si="572"/>
        <v/>
      </c>
      <c r="AA345" s="313" t="e">
        <f>IF($J345="",#N/A,SUM(Z$4:Z345))</f>
        <v>#N/A</v>
      </c>
      <c r="AB345" s="314" t="str">
        <f t="shared" si="573"/>
        <v/>
      </c>
      <c r="AC345" s="314" t="e">
        <f>IF($J345="",#N/A,SUM(AB$4:AB345))</f>
        <v>#N/A</v>
      </c>
      <c r="AD345" s="315" t="str">
        <f t="shared" si="574"/>
        <v/>
      </c>
      <c r="AE345" s="315" t="e">
        <f>IF($J345="",#N/A,SUM(AD$4:AD345))</f>
        <v>#N/A</v>
      </c>
      <c r="AF345" s="315" t="e">
        <f>IF($J345="",#N/A,SUM(AD$4:AD345,AB$4:AB345,Z$4:Z345))</f>
        <v>#N/A</v>
      </c>
      <c r="AG345" s="304" t="str">
        <f t="shared" si="575"/>
        <v/>
      </c>
      <c r="AH345" s="313" t="e">
        <f>IF($J345="",#N/A,SUM(AG$4:AG345))</f>
        <v>#N/A</v>
      </c>
      <c r="AI345" s="314" t="str">
        <f t="shared" si="576"/>
        <v/>
      </c>
      <c r="AJ345" s="314" t="e">
        <f>IF($J345="",#N/A,SUM(AI$4:AI345))</f>
        <v>#N/A</v>
      </c>
      <c r="AK345" s="315" t="str">
        <f t="shared" si="577"/>
        <v/>
      </c>
      <c r="AL345" s="315" t="e">
        <f>IF($J345="",#N/A,SUM(AK$4:AK345))</f>
        <v>#N/A</v>
      </c>
      <c r="AM345" s="315" t="e">
        <f>IF($J345="",#N/A,SUM(AK$4:AK345,AI$4:AI345,AG$4:AG345))</f>
        <v>#N/A</v>
      </c>
      <c r="AN345" s="304" t="str">
        <f t="shared" si="578"/>
        <v/>
      </c>
      <c r="AO345" s="313" t="e">
        <f>IF($J345="",#N/A,SUM(AN$4:AN345))</f>
        <v>#N/A</v>
      </c>
      <c r="AP345" s="314" t="str">
        <f t="shared" si="579"/>
        <v/>
      </c>
      <c r="AQ345" s="314" t="e">
        <f>IF($J345="",#N/A,SUM(AP$4:AP345))</f>
        <v>#N/A</v>
      </c>
      <c r="AR345" s="315" t="str">
        <f t="shared" si="580"/>
        <v/>
      </c>
      <c r="AS345" s="315" t="e">
        <f>IF($J345="",#N/A,SUM(AR$4:AR345))</f>
        <v>#N/A</v>
      </c>
      <c r="AT345" s="315" t="e">
        <f>IF($J345="",#N/A,SUM(AR$4:AR345,AP$4:AP345,AN$4:AN345))</f>
        <v>#N/A</v>
      </c>
      <c r="AU345" s="304" t="str">
        <f t="shared" si="581"/>
        <v/>
      </c>
      <c r="AV345" s="313" t="e">
        <f>IF($J345="",#N/A,SUM(AU$4:AU345))</f>
        <v>#N/A</v>
      </c>
      <c r="AW345" s="314" t="str">
        <f t="shared" si="582"/>
        <v/>
      </c>
      <c r="AX345" s="314" t="e">
        <f>IF($J345="",#N/A,SUM(AW$4:AW345))</f>
        <v>#N/A</v>
      </c>
      <c r="AY345" s="315" t="str">
        <f t="shared" si="583"/>
        <v/>
      </c>
      <c r="AZ345" s="315" t="e">
        <f>IF($J345="",#N/A,SUM(AY$4:AY345))</f>
        <v>#N/A</v>
      </c>
      <c r="BA345" s="315" t="e">
        <f>IF($J345="",#N/A,SUM(AY$4:AY345,AW$4:AW345,AU$4:AU345))</f>
        <v>#N/A</v>
      </c>
      <c r="BB345" s="304" t="str">
        <f t="shared" si="584"/>
        <v/>
      </c>
      <c r="BC345" s="313" t="e">
        <f>IF($J345="",#N/A,SUM(BB$4:BB345))</f>
        <v>#N/A</v>
      </c>
      <c r="BD345" s="314" t="str">
        <f t="shared" si="585"/>
        <v/>
      </c>
      <c r="BE345" s="314" t="e">
        <f>IF($J345="",#N/A,SUM(BD$4:BD345))</f>
        <v>#N/A</v>
      </c>
      <c r="BF345" s="315" t="str">
        <f t="shared" si="586"/>
        <v/>
      </c>
      <c r="BG345" s="315" t="e">
        <f>IF($J345="",#N/A,SUM(BF$4:BF345))</f>
        <v>#N/A</v>
      </c>
      <c r="BH345" s="315" t="e">
        <f>IF($J345="",#N/A,SUM(BF$4:BF345,BD$4:BD345,BB$4:BB345))</f>
        <v>#N/A</v>
      </c>
      <c r="BI345" s="304" t="str">
        <f t="shared" si="587"/>
        <v/>
      </c>
      <c r="BJ345" s="313" t="e">
        <f>IF($J345="",#N/A,SUM(BI$4:BI345))</f>
        <v>#N/A</v>
      </c>
      <c r="BK345" s="314" t="str">
        <f t="shared" si="588"/>
        <v/>
      </c>
      <c r="BL345" s="314" t="e">
        <f>IF($J345="",#N/A,SUM(BK$4:BK345))</f>
        <v>#N/A</v>
      </c>
      <c r="BM345" s="315" t="str">
        <f t="shared" si="589"/>
        <v/>
      </c>
      <c r="BN345" s="315" t="e">
        <f>IF($J345="",#N/A,SUM(BM$4:BM345))</f>
        <v>#N/A</v>
      </c>
      <c r="BO345" s="315" t="e">
        <f>IF($J345="",#N/A,SUM(BM$4:BM345,BK$4:BK345,BI$4:BI345))</f>
        <v>#N/A</v>
      </c>
      <c r="BP345" s="304" t="str">
        <f t="shared" si="590"/>
        <v/>
      </c>
      <c r="BQ345" s="313" t="e">
        <f>IF($J345="",#N/A,SUM(BP$4:BP345))</f>
        <v>#N/A</v>
      </c>
      <c r="BR345" s="314" t="str">
        <f t="shared" si="591"/>
        <v/>
      </c>
      <c r="BS345" s="314" t="e">
        <f>IF($J345="",#N/A,SUM(BR$4:BR345))</f>
        <v>#N/A</v>
      </c>
      <c r="BT345" s="315" t="str">
        <f t="shared" si="592"/>
        <v/>
      </c>
      <c r="BU345" s="315" t="e">
        <f>IF($J345="",#N/A,SUM(BT$4:BT345))</f>
        <v>#N/A</v>
      </c>
      <c r="BV345" s="315" t="e">
        <f>IF($J345="",#N/A,SUM(BT$4:BT345,BR$4:BR345,BP$4:BP345))</f>
        <v>#N/A</v>
      </c>
      <c r="BW345" s="304" t="str">
        <f t="shared" si="593"/>
        <v/>
      </c>
      <c r="BX345" s="313" t="e">
        <f>IF($J345="",#N/A,SUM(BW$4:BW345))</f>
        <v>#N/A</v>
      </c>
      <c r="BY345" s="314">
        <f t="shared" si="594"/>
        <v>-0.52788393030636671</v>
      </c>
      <c r="BZ345" s="314" t="e">
        <f>IF($J345="",#N/A,SUM(BY$4:BY345))</f>
        <v>#N/A</v>
      </c>
      <c r="CA345" s="315" t="str">
        <f t="shared" si="595"/>
        <v/>
      </c>
      <c r="CB345" s="315" t="e">
        <f>IF($J345="",#N/A,SUM(CA$4:CA345))</f>
        <v>#N/A</v>
      </c>
      <c r="CC345" s="315" t="e">
        <f>IF($J345="",#N/A,SUM(CA$4:CA345,BY$4:BY345,BW$4:BW345))</f>
        <v>#N/A</v>
      </c>
      <c r="CD345" s="304" t="str">
        <f t="shared" si="596"/>
        <v/>
      </c>
      <c r="CE345" s="313" t="e">
        <f>IF($J345="",#N/A,SUM(CD$4:CD345))</f>
        <v>#N/A</v>
      </c>
      <c r="CF345" s="314" t="str">
        <f t="shared" si="597"/>
        <v/>
      </c>
      <c r="CG345" s="314" t="e">
        <f>IF($J345="",#N/A,SUM(CF$4:CF345))</f>
        <v>#N/A</v>
      </c>
      <c r="CH345" s="315" t="str">
        <f t="shared" si="598"/>
        <v/>
      </c>
      <c r="CI345" s="315" t="e">
        <f>IF($J345="",#N/A,SUM(CH$4:CH345))</f>
        <v>#N/A</v>
      </c>
      <c r="CJ345" s="315" t="e">
        <f>IF($J345="",#N/A,SUM(CH$4:CH345,CF$4:CF345,CD$4:CD345))</f>
        <v>#N/A</v>
      </c>
      <c r="CK345" s="304" t="str">
        <f t="shared" si="599"/>
        <v/>
      </c>
      <c r="CL345" s="313" t="e">
        <f>IF($J345="",#N/A,SUM(CK$4:CK345))</f>
        <v>#N/A</v>
      </c>
      <c r="CM345" s="314" t="str">
        <f t="shared" si="600"/>
        <v/>
      </c>
      <c r="CN345" s="314" t="e">
        <f>IF($J345="",#N/A,SUM(CM$4:CM345))</f>
        <v>#N/A</v>
      </c>
      <c r="CO345" s="315" t="str">
        <f t="shared" si="601"/>
        <v/>
      </c>
      <c r="CP345" s="315" t="e">
        <f>IF($J345="",#N/A,SUM(CO$4:CO345))</f>
        <v>#N/A</v>
      </c>
      <c r="CQ345" s="315" t="e">
        <f>IF($J345="",#N/A,SUM(CO$4:CO345,CM$4:CM345,CK$4:CK345))</f>
        <v>#N/A</v>
      </c>
      <c r="CR345" s="304" t="str">
        <f t="shared" si="602"/>
        <v/>
      </c>
      <c r="CS345" s="313" t="e">
        <f>IF($J345="",#N/A,SUM(CR$4:CR345))</f>
        <v>#N/A</v>
      </c>
      <c r="CT345" s="314" t="str">
        <f t="shared" si="603"/>
        <v/>
      </c>
      <c r="CU345" s="314" t="e">
        <f>IF($J345="",#N/A,SUM(CT$4:CT345))</f>
        <v>#N/A</v>
      </c>
      <c r="CV345" s="315" t="str">
        <f t="shared" si="604"/>
        <v/>
      </c>
      <c r="CW345" s="315" t="e">
        <f>IF($J345="",#N/A,SUM(CV$4:CV345))</f>
        <v>#N/A</v>
      </c>
      <c r="CX345" s="315" t="e">
        <f>IF($J345="",#N/A,SUM(CV$4:CV345,CT$4:CT345,CR$4:CR345))</f>
        <v>#N/A</v>
      </c>
      <c r="CY345" s="304" t="str">
        <f t="shared" si="605"/>
        <v/>
      </c>
      <c r="CZ345" s="313" t="e">
        <f>IF($J345="",#N/A,SUM(CY$4:CY345))</f>
        <v>#N/A</v>
      </c>
      <c r="DA345" s="314" t="str">
        <f t="shared" si="606"/>
        <v/>
      </c>
      <c r="DB345" s="314" t="e">
        <f>IF($J345="",#N/A,SUM(DA$4:DA345))</f>
        <v>#N/A</v>
      </c>
      <c r="DC345" s="315" t="str">
        <f t="shared" si="607"/>
        <v/>
      </c>
      <c r="DD345" s="315" t="e">
        <f>IF($J345="",#N/A,SUM(DC$4:DC345))</f>
        <v>#N/A</v>
      </c>
      <c r="DE345" s="315" t="e">
        <f>IF($J345="",#N/A,SUM(DC$4:DC345,DA$4:DA345,CY$4:CY345))</f>
        <v>#N/A</v>
      </c>
      <c r="DF345" s="304" t="str">
        <f t="shared" si="608"/>
        <v/>
      </c>
      <c r="DG345" s="313" t="e">
        <f>IF($J345="",#N/A,SUM(DF$4:DF345))</f>
        <v>#N/A</v>
      </c>
      <c r="DH345" s="314" t="str">
        <f t="shared" si="609"/>
        <v/>
      </c>
      <c r="DI345" s="314" t="e">
        <f>IF($J345="",#N/A,SUM(DH$4:DH345))</f>
        <v>#N/A</v>
      </c>
      <c r="DJ345" s="315" t="str">
        <f t="shared" si="610"/>
        <v/>
      </c>
      <c r="DK345" s="315" t="e">
        <f>IF($J345="",#N/A,SUM(DJ$4:DJ345))</f>
        <v>#N/A</v>
      </c>
      <c r="DL345" s="315" t="e">
        <f>IF($J345="",#N/A,SUM(DJ$4:DJ345,DH$4:DH345,DF$4:DF345))</f>
        <v>#N/A</v>
      </c>
      <c r="DM345" s="304" t="str">
        <f t="shared" si="611"/>
        <v/>
      </c>
      <c r="DN345" s="313" t="e">
        <f>IF($J345="",#N/A,SUM(DM$4:DM345))</f>
        <v>#N/A</v>
      </c>
      <c r="DO345" s="314" t="str">
        <f t="shared" si="612"/>
        <v/>
      </c>
      <c r="DP345" s="314" t="e">
        <f>IF($J345="",#N/A,SUM(DO$4:DO345))</f>
        <v>#N/A</v>
      </c>
      <c r="DQ345" s="315" t="str">
        <f t="shared" si="613"/>
        <v/>
      </c>
      <c r="DR345" s="315" t="e">
        <f>IF($J345="",#N/A,SUM(DQ$4:DQ345))</f>
        <v>#N/A</v>
      </c>
      <c r="DS345" s="315" t="e">
        <f>IF($J345="",#N/A,SUM(DQ$4:DQ345,DO$4:DO345,DM$4:DM345))</f>
        <v>#N/A</v>
      </c>
      <c r="DT345" s="304" t="str">
        <f t="shared" si="614"/>
        <v/>
      </c>
      <c r="DU345" s="313" t="e">
        <f>IF($J345="",#N/A,SUM(DT$4:DT345))</f>
        <v>#N/A</v>
      </c>
      <c r="DV345" s="314" t="str">
        <f t="shared" si="615"/>
        <v/>
      </c>
      <c r="DW345" s="314" t="e">
        <f>IF($J345="",#N/A,SUM(DV$4:DV345))</f>
        <v>#N/A</v>
      </c>
      <c r="DX345" s="315" t="str">
        <f t="shared" si="616"/>
        <v/>
      </c>
      <c r="DY345" s="315" t="e">
        <f>IF($J345="",#N/A,SUM(DX$4:DX345))</f>
        <v>#N/A</v>
      </c>
      <c r="DZ345" s="315" t="e">
        <f>IF($J345="",#N/A,SUM(DX$4:DX345,DV$4:DV345,DT$4:DT345))</f>
        <v>#N/A</v>
      </c>
      <c r="EA345" s="304" t="str">
        <f t="shared" si="617"/>
        <v/>
      </c>
      <c r="EB345" s="313" t="e">
        <f>IF($J345="",#N/A,SUM(EA$4:EA345))</f>
        <v>#N/A</v>
      </c>
      <c r="EC345" s="314" t="str">
        <f t="shared" si="618"/>
        <v/>
      </c>
      <c r="ED345" s="314" t="e">
        <f>IF($J345="",#N/A,SUM(EC$4:EC345))</f>
        <v>#N/A</v>
      </c>
      <c r="EE345" s="315" t="str">
        <f t="shared" si="619"/>
        <v/>
      </c>
      <c r="EF345" s="315" t="e">
        <f>IF($J345="",#N/A,SUM(EE$4:EE345))</f>
        <v>#N/A</v>
      </c>
      <c r="EG345" s="315" t="e">
        <f>IF($J345="",#N/A,SUM(EE$4:EE345,EC$4:EC345,EA$4:EA345))</f>
        <v>#N/A</v>
      </c>
      <c r="EH345" s="130">
        <f t="shared" si="620"/>
        <v>-53.789999999999964</v>
      </c>
      <c r="EI345" s="63">
        <f>IF(EH345="",#N/A,SUM($EH$4:EH345))</f>
        <v>1031.3076407829744</v>
      </c>
      <c r="EJ345" s="223" t="e">
        <f t="shared" si="621"/>
        <v>#N/A</v>
      </c>
      <c r="EK345" s="63" t="e">
        <f>IF($GZ345="",#N/A,SUM(EJ$4:EJ345))</f>
        <v>#N/A</v>
      </c>
      <c r="EL345" s="60">
        <f t="shared" si="651"/>
        <v>-0.52788393030636671</v>
      </c>
      <c r="EM345" s="60">
        <f>IF(EL345="",NA(),SUM($EL$4:EL345))</f>
        <v>28.594932350495256</v>
      </c>
      <c r="EN345" s="60" t="str">
        <f t="shared" si="622"/>
        <v/>
      </c>
      <c r="EO345" s="60" t="e">
        <f>IF(EN345="",NA(),SUM($EN$4:EN345))</f>
        <v>#N/A</v>
      </c>
      <c r="EP345" s="60" t="str">
        <f t="shared" si="623"/>
        <v/>
      </c>
      <c r="EQ345" s="60" t="e">
        <f>IF(EP345="",NA(),SUM($EP$4:EP345))</f>
        <v>#N/A</v>
      </c>
      <c r="ER345" s="60">
        <f t="shared" si="624"/>
        <v>-0.52788393030636671</v>
      </c>
      <c r="ES345" s="60">
        <f>IF(ER345="",NA(),SUM($ER$4:ER345))</f>
        <v>12.870296644864011</v>
      </c>
      <c r="ET345" s="60" t="str">
        <f t="shared" si="625"/>
        <v/>
      </c>
      <c r="EU345" s="60" t="e">
        <f>IF(ET345="",NA(),SUM($ET$4:ET345))</f>
        <v>#N/A</v>
      </c>
      <c r="EV345" s="60" t="str">
        <f t="shared" si="626"/>
        <v/>
      </c>
      <c r="EW345" s="60" t="e">
        <f>IF(EV345="",NA(),SUM($EV$4:EV345))</f>
        <v>#N/A</v>
      </c>
      <c r="EX345" s="60" t="str">
        <f t="shared" si="627"/>
        <v/>
      </c>
      <c r="EY345" s="60" t="e">
        <f>IF(EX345="",NA(),SUM($EX$4:EX345))</f>
        <v>#N/A</v>
      </c>
      <c r="EZ345" s="60" t="str">
        <f t="shared" si="628"/>
        <v/>
      </c>
      <c r="FA345" s="60" t="e">
        <f>IF(EZ345="",NA(),SUM($EZ$4:EZ345))</f>
        <v>#N/A</v>
      </c>
      <c r="FB345" s="246" t="str">
        <f t="shared" si="652"/>
        <v/>
      </c>
      <c r="FC345" s="246" t="e">
        <f>IF($FB345="",#N/A,SUM(FB$4:$FB345))</f>
        <v>#N/A</v>
      </c>
      <c r="FD345" s="60">
        <f t="shared" si="629"/>
        <v>-0.6174838612172644</v>
      </c>
      <c r="FE345" s="60">
        <f>IF($FD345="",#N/A,SUM($FD$4:FD345))</f>
        <v>3.1195573614444134</v>
      </c>
      <c r="FF345" s="60" t="str">
        <f t="shared" si="630"/>
        <v/>
      </c>
      <c r="FG345" s="60" t="e">
        <f>IF($FF345="",#N/A,SUM($FF$4:FF345))</f>
        <v>#N/A</v>
      </c>
      <c r="FH345" s="60" t="str">
        <f t="shared" si="631"/>
        <v/>
      </c>
      <c r="FI345" s="60" t="e">
        <f>IF($FH345="",#N/A,SUM($FH$4:FH345))</f>
        <v>#N/A</v>
      </c>
      <c r="FJ345" s="60" t="str">
        <f t="shared" si="632"/>
        <v/>
      </c>
      <c r="FK345" s="60" t="e">
        <f>IF($FJ345="",#N/A,SUM($FJ$4:FJ345))</f>
        <v>#N/A</v>
      </c>
      <c r="FL345" s="60" t="str">
        <f t="shared" si="633"/>
        <v/>
      </c>
      <c r="FM345" s="60" t="e">
        <f>IF($FL345="",#N/A,SUM($FL$4:FL345))</f>
        <v>#N/A</v>
      </c>
      <c r="FN345" s="82">
        <f t="shared" si="634"/>
        <v>-1.1453677915236311</v>
      </c>
      <c r="FO345" s="82">
        <f>IF($FN345="",#N/A,SUM(FN$4:$FN345))</f>
        <v>50.726795575290424</v>
      </c>
      <c r="FP345" s="82">
        <f t="shared" si="653"/>
        <v>-0.52788393030636671</v>
      </c>
      <c r="FQ345" s="246">
        <f>IF($EH345="",#N/A,SUM($FP$4:FP345))</f>
        <v>51.642705754519852</v>
      </c>
      <c r="FR345" s="82">
        <f>IFERROR(FQ345/COUNTA($J$4:J345),#N/A)</f>
        <v>0.15100206360970717</v>
      </c>
      <c r="FS345" s="82">
        <f t="shared" si="554"/>
        <v>-9.5105717346398111E-2</v>
      </c>
      <c r="FT345" s="82">
        <f t="shared" si="555"/>
        <v>-2.6427067239684163E-2</v>
      </c>
      <c r="FU345" s="338">
        <f t="shared" si="657"/>
        <v>26.919869466787233</v>
      </c>
      <c r="FV345" s="57" t="str">
        <f t="shared" si="560"/>
        <v>Dwn</v>
      </c>
      <c r="FW345" s="57" t="s">
        <v>2734</v>
      </c>
      <c r="FX345" s="57" t="str">
        <f t="shared" si="635"/>
        <v/>
      </c>
      <c r="FY345" s="57">
        <f t="shared" si="636"/>
        <v>1</v>
      </c>
      <c r="FZ345" s="57" t="str">
        <f t="shared" si="637"/>
        <v/>
      </c>
      <c r="GA345" s="57" t="str">
        <f t="shared" si="638"/>
        <v>Short</v>
      </c>
      <c r="GB345" s="57" t="str">
        <f t="shared" si="639"/>
        <v/>
      </c>
      <c r="GC345" s="57" t="str">
        <f t="shared" si="640"/>
        <v/>
      </c>
      <c r="GD345" s="57" t="str">
        <f t="shared" si="641"/>
        <v/>
      </c>
      <c r="GE345" s="62">
        <f t="shared" si="557"/>
        <v>154.38999999999999</v>
      </c>
      <c r="GF345" s="62" t="s">
        <v>2780</v>
      </c>
      <c r="GG345" s="199">
        <v>11</v>
      </c>
      <c r="GH345" s="207">
        <f t="shared" si="642"/>
        <v>1698.29</v>
      </c>
      <c r="GI345" s="199">
        <v>11</v>
      </c>
      <c r="GJ345" s="200">
        <v>159.28</v>
      </c>
      <c r="GK345" s="63">
        <f t="shared" si="643"/>
        <v>-53.789999999999964</v>
      </c>
      <c r="GL345" s="63">
        <f t="shared" si="558"/>
        <v>-116.71000000000004</v>
      </c>
      <c r="GM345" s="82" t="str">
        <f t="shared" si="644"/>
        <v/>
      </c>
      <c r="GN345" s="82">
        <f>IF($GZ345="",#N/A,SUM(GM$4:GM345))</f>
        <v>4.1154669890338518</v>
      </c>
      <c r="GO345" s="82" t="str">
        <f t="shared" si="645"/>
        <v/>
      </c>
      <c r="GP345" s="82">
        <f>IF($GZ345="",#N/A,SUM(GO$4:GO345))</f>
        <v>13.526245521551154</v>
      </c>
      <c r="GQ345" s="82">
        <f t="shared" si="646"/>
        <v>-1.1453677915236311</v>
      </c>
      <c r="GR345" s="82">
        <f>IF($GZ345="",#N/A,SUM(GQ$4:GQ345))</f>
        <v>32.459246110263081</v>
      </c>
      <c r="GS345" s="63" t="str">
        <f t="shared" si="654"/>
        <v/>
      </c>
      <c r="GT345" s="63" t="e">
        <f>IF($GZ345="",#N/A,SUM(GS$4:GS345))</f>
        <v>#N/A</v>
      </c>
      <c r="GU345" s="63" t="str">
        <f t="shared" si="655"/>
        <v/>
      </c>
      <c r="GV345" s="63" t="e">
        <f>IF($GZ345="",#N/A,SUM(GU$4:GU345))</f>
        <v>#N/A</v>
      </c>
      <c r="GW345" s="63" t="e">
        <f t="shared" si="656"/>
        <v>#N/A</v>
      </c>
      <c r="GX345" s="63" t="e">
        <f>IF($GZ345="",#N/A,SUM(GW$4:GW345))</f>
        <v>#N/A</v>
      </c>
      <c r="GY345" s="63" t="e">
        <f>IF(EJ345="",#N/A,SUM($EJ$4:EJ345))</f>
        <v>#N/A</v>
      </c>
      <c r="GZ345" s="158">
        <v>165</v>
      </c>
      <c r="HA345" s="63">
        <f t="shared" si="647"/>
        <v>-62.920000000000073</v>
      </c>
      <c r="HB345" s="62" t="s">
        <v>2538</v>
      </c>
      <c r="HC345" s="60">
        <f>IFERROR(VLOOKUP(E345,Expectancy!$P$4:$S$19,1+C345,FALSE),"")</f>
        <v>0.18997806194873415</v>
      </c>
      <c r="HD345" s="82">
        <f t="shared" si="648"/>
        <v>-0.52788393030636671</v>
      </c>
      <c r="HE345" s="138">
        <f>IF(HD345="",#N/A,SUM($HD$4:HD345))</f>
        <v>10.192836287732614</v>
      </c>
      <c r="HF345" s="85">
        <f>IF(HD345="",#N/A,IF(HB345="Skip",#N/A,SUM($HG$4:HG345)))</f>
        <v>284.53657921915578</v>
      </c>
      <c r="HG345" s="63">
        <f t="shared" si="649"/>
        <v>-53.789999999999964</v>
      </c>
      <c r="HH345" s="82">
        <f t="shared" si="650"/>
        <v>-1.1453677915236311</v>
      </c>
    </row>
    <row r="346" spans="1:216" x14ac:dyDescent="0.25">
      <c r="A346" s="57" t="s">
        <v>288</v>
      </c>
      <c r="B346" s="58" t="s">
        <v>5245</v>
      </c>
      <c r="C346" s="386">
        <f t="shared" si="561"/>
        <v>3</v>
      </c>
      <c r="D346" s="372" t="str">
        <f>_xlfn.XLOOKUP(A346,[1]SP500!$A$2:$A$502,[1]SP500!$D$2:$D$502,"N")</f>
        <v>Y</v>
      </c>
      <c r="E346" s="57" t="str">
        <f>_xlfn.XLOOKUP(A346,[1]SP500!$A$2:$A$655,[1]SP500!$B$2:$B$655)</f>
        <v>XLK</v>
      </c>
      <c r="F346" s="59">
        <v>45707</v>
      </c>
      <c r="G346" s="57" t="str">
        <f t="shared" si="562"/>
        <v>BMO</v>
      </c>
      <c r="H346" s="57" t="str">
        <f t="shared" si="563"/>
        <v>s</v>
      </c>
      <c r="I346" s="159">
        <v>75.14</v>
      </c>
      <c r="J346" s="159">
        <v>75.92</v>
      </c>
      <c r="K346" s="61">
        <f t="shared" si="564"/>
        <v>1.0380622837370257E-2</v>
      </c>
      <c r="L346" s="87">
        <f t="shared" si="565"/>
        <v>17.940000000000055</v>
      </c>
      <c r="M346" s="130">
        <f t="shared" si="556"/>
        <v>-9.6600000000000819</v>
      </c>
      <c r="N346" s="169" t="str">
        <f t="shared" si="566"/>
        <v/>
      </c>
      <c r="O346" s="169">
        <f>IF($J346="",#N/A,SUM($N$4:N346))</f>
        <v>489.99671935422452</v>
      </c>
      <c r="P346" s="174" t="str">
        <f t="shared" si="567"/>
        <v/>
      </c>
      <c r="Q346" s="174">
        <f>IF($J346="",#N/A,SUM($P$4:P346))</f>
        <v>602.05499224504308</v>
      </c>
      <c r="R346" s="178">
        <f t="shared" si="568"/>
        <v>17.940000000000055</v>
      </c>
      <c r="S346" s="178">
        <f>IF($J346="",#N/A,SUM($R$4:R346))</f>
        <v>-42.804070816293233</v>
      </c>
      <c r="T346" s="290" t="str">
        <f t="shared" si="569"/>
        <v/>
      </c>
      <c r="U346" s="290">
        <f>IF($J346="",#N/A,SUM($T$4:T346))</f>
        <v>18.69431278866081</v>
      </c>
      <c r="V346" s="291" t="str">
        <f t="shared" si="570"/>
        <v/>
      </c>
      <c r="W346" s="291">
        <f>IF($J346="",#N/A,SUM($V$4:V346))</f>
        <v>25.650108629145521</v>
      </c>
      <c r="X346" s="292">
        <f t="shared" si="571"/>
        <v>0.17301038062283788</v>
      </c>
      <c r="Y346" s="292">
        <f>IF($J346="",#N/A,SUM($X$4:X346))</f>
        <v>7.47129471733638</v>
      </c>
      <c r="Z346" s="304" t="str">
        <f t="shared" si="572"/>
        <v/>
      </c>
      <c r="AA346" s="313" t="e">
        <f>IF($J346="",#N/A,SUM(Z$4:Z346))</f>
        <v>#N/A</v>
      </c>
      <c r="AB346" s="314" t="str">
        <f t="shared" si="573"/>
        <v/>
      </c>
      <c r="AC346" s="314" t="e">
        <f>IF($J346="",#N/A,SUM(AB$4:AB346))</f>
        <v>#N/A</v>
      </c>
      <c r="AD346" s="315">
        <f t="shared" si="574"/>
        <v>0.17301038062283788</v>
      </c>
      <c r="AE346" s="315" t="e">
        <f>IF($J346="",#N/A,SUM(AD$4:AD346))</f>
        <v>#N/A</v>
      </c>
      <c r="AF346" s="315" t="e">
        <f>IF($J346="",#N/A,SUM(AD$4:AD346,AB$4:AB346,Z$4:Z346))</f>
        <v>#N/A</v>
      </c>
      <c r="AG346" s="304" t="str">
        <f t="shared" si="575"/>
        <v/>
      </c>
      <c r="AH346" s="313" t="e">
        <f>IF($J346="",#N/A,SUM(AG$4:AG346))</f>
        <v>#N/A</v>
      </c>
      <c r="AI346" s="314" t="str">
        <f t="shared" si="576"/>
        <v/>
      </c>
      <c r="AJ346" s="314" t="e">
        <f>IF($J346="",#N/A,SUM(AI$4:AI346))</f>
        <v>#N/A</v>
      </c>
      <c r="AK346" s="315" t="str">
        <f t="shared" si="577"/>
        <v/>
      </c>
      <c r="AL346" s="315" t="e">
        <f>IF($J346="",#N/A,SUM(AK$4:AK346))</f>
        <v>#N/A</v>
      </c>
      <c r="AM346" s="315" t="e">
        <f>IF($J346="",#N/A,SUM(AK$4:AK346,AI$4:AI346,AG$4:AG346))</f>
        <v>#N/A</v>
      </c>
      <c r="AN346" s="304" t="str">
        <f t="shared" si="578"/>
        <v/>
      </c>
      <c r="AO346" s="313" t="e">
        <f>IF($J346="",#N/A,SUM(AN$4:AN346))</f>
        <v>#N/A</v>
      </c>
      <c r="AP346" s="314" t="str">
        <f t="shared" si="579"/>
        <v/>
      </c>
      <c r="AQ346" s="314" t="e">
        <f>IF($J346="",#N/A,SUM(AP$4:AP346))</f>
        <v>#N/A</v>
      </c>
      <c r="AR346" s="315" t="str">
        <f t="shared" si="580"/>
        <v/>
      </c>
      <c r="AS346" s="315" t="e">
        <f>IF($J346="",#N/A,SUM(AR$4:AR346))</f>
        <v>#N/A</v>
      </c>
      <c r="AT346" s="315" t="e">
        <f>IF($J346="",#N/A,SUM(AR$4:AR346,AP$4:AP346,AN$4:AN346))</f>
        <v>#N/A</v>
      </c>
      <c r="AU346" s="304" t="str">
        <f t="shared" si="581"/>
        <v/>
      </c>
      <c r="AV346" s="313" t="e">
        <f>IF($J346="",#N/A,SUM(AU$4:AU346))</f>
        <v>#N/A</v>
      </c>
      <c r="AW346" s="314" t="str">
        <f t="shared" si="582"/>
        <v/>
      </c>
      <c r="AX346" s="314" t="e">
        <f>IF($J346="",#N/A,SUM(AW$4:AW346))</f>
        <v>#N/A</v>
      </c>
      <c r="AY346" s="315" t="str">
        <f t="shared" si="583"/>
        <v/>
      </c>
      <c r="AZ346" s="315" t="e">
        <f>IF($J346="",#N/A,SUM(AY$4:AY346))</f>
        <v>#N/A</v>
      </c>
      <c r="BA346" s="315" t="e">
        <f>IF($J346="",#N/A,SUM(AY$4:AY346,AW$4:AW346,AU$4:AU346))</f>
        <v>#N/A</v>
      </c>
      <c r="BB346" s="304" t="str">
        <f t="shared" si="584"/>
        <v/>
      </c>
      <c r="BC346" s="313" t="e">
        <f>IF($J346="",#N/A,SUM(BB$4:BB346))</f>
        <v>#N/A</v>
      </c>
      <c r="BD346" s="314" t="str">
        <f t="shared" si="585"/>
        <v/>
      </c>
      <c r="BE346" s="314" t="e">
        <f>IF($J346="",#N/A,SUM(BD$4:BD346))</f>
        <v>#N/A</v>
      </c>
      <c r="BF346" s="315" t="str">
        <f t="shared" si="586"/>
        <v/>
      </c>
      <c r="BG346" s="315" t="e">
        <f>IF($J346="",#N/A,SUM(BF$4:BF346))</f>
        <v>#N/A</v>
      </c>
      <c r="BH346" s="315" t="e">
        <f>IF($J346="",#N/A,SUM(BF$4:BF346,BD$4:BD346,BB$4:BB346))</f>
        <v>#N/A</v>
      </c>
      <c r="BI346" s="304" t="str">
        <f t="shared" si="587"/>
        <v/>
      </c>
      <c r="BJ346" s="313" t="e">
        <f>IF($J346="",#N/A,SUM(BI$4:BI346))</f>
        <v>#N/A</v>
      </c>
      <c r="BK346" s="314" t="str">
        <f t="shared" si="588"/>
        <v/>
      </c>
      <c r="BL346" s="314" t="e">
        <f>IF($J346="",#N/A,SUM(BK$4:BK346))</f>
        <v>#N/A</v>
      </c>
      <c r="BM346" s="315" t="str">
        <f t="shared" si="589"/>
        <v/>
      </c>
      <c r="BN346" s="315" t="e">
        <f>IF($J346="",#N/A,SUM(BM$4:BM346))</f>
        <v>#N/A</v>
      </c>
      <c r="BO346" s="315" t="e">
        <f>IF($J346="",#N/A,SUM(BM$4:BM346,BK$4:BK346,BI$4:BI346))</f>
        <v>#N/A</v>
      </c>
      <c r="BP346" s="304" t="str">
        <f t="shared" si="590"/>
        <v/>
      </c>
      <c r="BQ346" s="313" t="e">
        <f>IF($J346="",#N/A,SUM(BP$4:BP346))</f>
        <v>#N/A</v>
      </c>
      <c r="BR346" s="314" t="str">
        <f t="shared" si="591"/>
        <v/>
      </c>
      <c r="BS346" s="314" t="e">
        <f>IF($J346="",#N/A,SUM(BR$4:BR346))</f>
        <v>#N/A</v>
      </c>
      <c r="BT346" s="315" t="str">
        <f t="shared" si="592"/>
        <v/>
      </c>
      <c r="BU346" s="315" t="e">
        <f>IF($J346="",#N/A,SUM(BT$4:BT346))</f>
        <v>#N/A</v>
      </c>
      <c r="BV346" s="315" t="e">
        <f>IF($J346="",#N/A,SUM(BT$4:BT346,BR$4:BR346,BP$4:BP346))</f>
        <v>#N/A</v>
      </c>
      <c r="BW346" s="304" t="str">
        <f t="shared" si="593"/>
        <v/>
      </c>
      <c r="BX346" s="313" t="e">
        <f>IF($J346="",#N/A,SUM(BW$4:BW346))</f>
        <v>#N/A</v>
      </c>
      <c r="BY346" s="314" t="str">
        <f t="shared" si="594"/>
        <v/>
      </c>
      <c r="BZ346" s="314" t="e">
        <f>IF($J346="",#N/A,SUM(BY$4:BY346))</f>
        <v>#N/A</v>
      </c>
      <c r="CA346" s="315" t="str">
        <f t="shared" si="595"/>
        <v/>
      </c>
      <c r="CB346" s="315" t="e">
        <f>IF($J346="",#N/A,SUM(CA$4:CA346))</f>
        <v>#N/A</v>
      </c>
      <c r="CC346" s="315" t="e">
        <f>IF($J346="",#N/A,SUM(CA$4:CA346,BY$4:BY346,BW$4:BW346))</f>
        <v>#N/A</v>
      </c>
      <c r="CD346" s="304" t="str">
        <f t="shared" si="596"/>
        <v/>
      </c>
      <c r="CE346" s="313" t="e">
        <f>IF($J346="",#N/A,SUM(CD$4:CD346))</f>
        <v>#N/A</v>
      </c>
      <c r="CF346" s="314" t="str">
        <f t="shared" si="597"/>
        <v/>
      </c>
      <c r="CG346" s="314" t="e">
        <f>IF($J346="",#N/A,SUM(CF$4:CF346))</f>
        <v>#N/A</v>
      </c>
      <c r="CH346" s="315" t="str">
        <f t="shared" si="598"/>
        <v/>
      </c>
      <c r="CI346" s="315" t="e">
        <f>IF($J346="",#N/A,SUM(CH$4:CH346))</f>
        <v>#N/A</v>
      </c>
      <c r="CJ346" s="315" t="e">
        <f>IF($J346="",#N/A,SUM(CH$4:CH346,CF$4:CF346,CD$4:CD346))</f>
        <v>#N/A</v>
      </c>
      <c r="CK346" s="304" t="str">
        <f t="shared" si="599"/>
        <v/>
      </c>
      <c r="CL346" s="313" t="e">
        <f>IF($J346="",#N/A,SUM(CK$4:CK346))</f>
        <v>#N/A</v>
      </c>
      <c r="CM346" s="314" t="str">
        <f t="shared" si="600"/>
        <v/>
      </c>
      <c r="CN346" s="314" t="e">
        <f>IF($J346="",#N/A,SUM(CM$4:CM346))</f>
        <v>#N/A</v>
      </c>
      <c r="CO346" s="315" t="str">
        <f t="shared" si="601"/>
        <v/>
      </c>
      <c r="CP346" s="315" t="e">
        <f>IF($J346="",#N/A,SUM(CO$4:CO346))</f>
        <v>#N/A</v>
      </c>
      <c r="CQ346" s="315" t="e">
        <f>IF($J346="",#N/A,SUM(CO$4:CO346,CM$4:CM346,CK$4:CK346))</f>
        <v>#N/A</v>
      </c>
      <c r="CR346" s="304" t="str">
        <f t="shared" si="602"/>
        <v/>
      </c>
      <c r="CS346" s="313" t="e">
        <f>IF($J346="",#N/A,SUM(CR$4:CR346))</f>
        <v>#N/A</v>
      </c>
      <c r="CT346" s="314" t="str">
        <f t="shared" si="603"/>
        <v/>
      </c>
      <c r="CU346" s="314" t="e">
        <f>IF($J346="",#N/A,SUM(CT$4:CT346))</f>
        <v>#N/A</v>
      </c>
      <c r="CV346" s="315" t="str">
        <f t="shared" si="604"/>
        <v/>
      </c>
      <c r="CW346" s="315" t="e">
        <f>IF($J346="",#N/A,SUM(CV$4:CV346))</f>
        <v>#N/A</v>
      </c>
      <c r="CX346" s="315" t="e">
        <f>IF($J346="",#N/A,SUM(CV$4:CV346,CT$4:CT346,CR$4:CR346))</f>
        <v>#N/A</v>
      </c>
      <c r="CY346" s="304" t="str">
        <f t="shared" si="605"/>
        <v/>
      </c>
      <c r="CZ346" s="313" t="e">
        <f>IF($J346="",#N/A,SUM(CY$4:CY346))</f>
        <v>#N/A</v>
      </c>
      <c r="DA346" s="314" t="str">
        <f t="shared" si="606"/>
        <v/>
      </c>
      <c r="DB346" s="314" t="e">
        <f>IF($J346="",#N/A,SUM(DA$4:DA346))</f>
        <v>#N/A</v>
      </c>
      <c r="DC346" s="315" t="str">
        <f t="shared" si="607"/>
        <v/>
      </c>
      <c r="DD346" s="315" t="e">
        <f>IF($J346="",#N/A,SUM(DC$4:DC346))</f>
        <v>#N/A</v>
      </c>
      <c r="DE346" s="315" t="e">
        <f>IF($J346="",#N/A,SUM(DC$4:DC346,DA$4:DA346,CY$4:CY346))</f>
        <v>#N/A</v>
      </c>
      <c r="DF346" s="304" t="str">
        <f t="shared" si="608"/>
        <v/>
      </c>
      <c r="DG346" s="313" t="e">
        <f>IF($J346="",#N/A,SUM(DF$4:DF346))</f>
        <v>#N/A</v>
      </c>
      <c r="DH346" s="314" t="str">
        <f t="shared" si="609"/>
        <v/>
      </c>
      <c r="DI346" s="314" t="e">
        <f>IF($J346="",#N/A,SUM(DH$4:DH346))</f>
        <v>#N/A</v>
      </c>
      <c r="DJ346" s="315" t="str">
        <f t="shared" si="610"/>
        <v/>
      </c>
      <c r="DK346" s="315" t="e">
        <f>IF($J346="",#N/A,SUM(DJ$4:DJ346))</f>
        <v>#N/A</v>
      </c>
      <c r="DL346" s="315" t="e">
        <f>IF($J346="",#N/A,SUM(DJ$4:DJ346,DH$4:DH346,DF$4:DF346))</f>
        <v>#N/A</v>
      </c>
      <c r="DM346" s="304" t="str">
        <f t="shared" si="611"/>
        <v/>
      </c>
      <c r="DN346" s="313" t="e">
        <f>IF($J346="",#N/A,SUM(DM$4:DM346))</f>
        <v>#N/A</v>
      </c>
      <c r="DO346" s="314" t="str">
        <f t="shared" si="612"/>
        <v/>
      </c>
      <c r="DP346" s="314" t="e">
        <f>IF($J346="",#N/A,SUM(DO$4:DO346))</f>
        <v>#N/A</v>
      </c>
      <c r="DQ346" s="315" t="str">
        <f t="shared" si="613"/>
        <v/>
      </c>
      <c r="DR346" s="315" t="e">
        <f>IF($J346="",#N/A,SUM(DQ$4:DQ346))</f>
        <v>#N/A</v>
      </c>
      <c r="DS346" s="315" t="e">
        <f>IF($J346="",#N/A,SUM(DQ$4:DQ346,DO$4:DO346,DM$4:DM346))</f>
        <v>#N/A</v>
      </c>
      <c r="DT346" s="304" t="str">
        <f t="shared" si="614"/>
        <v/>
      </c>
      <c r="DU346" s="313" t="e">
        <f>IF($J346="",#N/A,SUM(DT$4:DT346))</f>
        <v>#N/A</v>
      </c>
      <c r="DV346" s="314" t="str">
        <f t="shared" si="615"/>
        <v/>
      </c>
      <c r="DW346" s="314" t="e">
        <f>IF($J346="",#N/A,SUM(DV$4:DV346))</f>
        <v>#N/A</v>
      </c>
      <c r="DX346" s="315" t="str">
        <f t="shared" si="616"/>
        <v/>
      </c>
      <c r="DY346" s="315" t="e">
        <f>IF($J346="",#N/A,SUM(DX$4:DX346))</f>
        <v>#N/A</v>
      </c>
      <c r="DZ346" s="315" t="e">
        <f>IF($J346="",#N/A,SUM(DX$4:DX346,DV$4:DV346,DT$4:DT346))</f>
        <v>#N/A</v>
      </c>
      <c r="EA346" s="304" t="str">
        <f t="shared" si="617"/>
        <v/>
      </c>
      <c r="EB346" s="313" t="e">
        <f>IF($J346="",#N/A,SUM(EA$4:EA346))</f>
        <v>#N/A</v>
      </c>
      <c r="EC346" s="314" t="str">
        <f t="shared" si="618"/>
        <v/>
      </c>
      <c r="ED346" s="314" t="e">
        <f>IF($J346="",#N/A,SUM(EC$4:EC346))</f>
        <v>#N/A</v>
      </c>
      <c r="EE346" s="315" t="str">
        <f t="shared" si="619"/>
        <v/>
      </c>
      <c r="EF346" s="315" t="e">
        <f>IF($J346="",#N/A,SUM(EE$4:EE346))</f>
        <v>#N/A</v>
      </c>
      <c r="EG346" s="315" t="e">
        <f>IF($J346="",#N/A,SUM(EE$4:EE346,EC$4:EC346,EA$4:EA346))</f>
        <v>#N/A</v>
      </c>
      <c r="EH346" s="130">
        <f t="shared" si="620"/>
        <v>17.940000000000055</v>
      </c>
      <c r="EI346" s="63">
        <f>IF(EH346="",#N/A,SUM($EH$4:EH346))</f>
        <v>1049.2476407829745</v>
      </c>
      <c r="EJ346" s="223" t="e">
        <f t="shared" si="621"/>
        <v>#N/A</v>
      </c>
      <c r="EK346" s="63" t="e">
        <f>IF($GZ346="",#N/A,SUM(EJ$4:EJ346))</f>
        <v>#N/A</v>
      </c>
      <c r="EL346" s="60">
        <f t="shared" si="651"/>
        <v>0.17301038062283788</v>
      </c>
      <c r="EM346" s="60">
        <f>IF(EL346="",NA(),SUM($EL$4:EL346))</f>
        <v>28.767942731118094</v>
      </c>
      <c r="EN346" s="60" t="str">
        <f t="shared" si="622"/>
        <v/>
      </c>
      <c r="EO346" s="60" t="e">
        <f>IF(EN346="",NA(),SUM($EN$4:EN346))</f>
        <v>#N/A</v>
      </c>
      <c r="EP346" s="60">
        <f t="shared" si="623"/>
        <v>0.17301038062283788</v>
      </c>
      <c r="EQ346" s="60">
        <f>IF(EP346="",NA(),SUM($EP$4:EP346))</f>
        <v>5.2156889438567324</v>
      </c>
      <c r="ER346" s="60" t="str">
        <f t="shared" si="624"/>
        <v/>
      </c>
      <c r="ES346" s="60" t="e">
        <f>IF(ER346="",NA(),SUM($ER$4:ER346))</f>
        <v>#N/A</v>
      </c>
      <c r="ET346" s="60" t="str">
        <f t="shared" si="625"/>
        <v/>
      </c>
      <c r="EU346" s="60" t="e">
        <f>IF(ET346="",NA(),SUM($ET$4:ET346))</f>
        <v>#N/A</v>
      </c>
      <c r="EV346" s="60" t="str">
        <f t="shared" si="626"/>
        <v/>
      </c>
      <c r="EW346" s="60" t="e">
        <f>IF(EV346="",NA(),SUM($EV$4:EV346))</f>
        <v>#N/A</v>
      </c>
      <c r="EX346" s="60" t="str">
        <f t="shared" si="627"/>
        <v/>
      </c>
      <c r="EY346" s="60" t="e">
        <f>IF(EX346="",NA(),SUM($EX$4:EX346))</f>
        <v>#N/A</v>
      </c>
      <c r="EZ346" s="60" t="str">
        <f t="shared" si="628"/>
        <v/>
      </c>
      <c r="FA346" s="60" t="e">
        <f>IF(EZ346="",NA(),SUM($EZ$4:EZ346))</f>
        <v>#N/A</v>
      </c>
      <c r="FB346" s="246" t="str">
        <f t="shared" si="652"/>
        <v/>
      </c>
      <c r="FC346" s="246" t="e">
        <f>IF($FB346="",#N/A,SUM(FB$4:$FB346))</f>
        <v>#N/A</v>
      </c>
      <c r="FD346" s="60" t="str">
        <f t="shared" si="629"/>
        <v/>
      </c>
      <c r="FE346" s="60" t="e">
        <f>IF($FD346="",#N/A,SUM($FD$4:FD346))</f>
        <v>#N/A</v>
      </c>
      <c r="FF346" s="60" t="str">
        <f t="shared" si="630"/>
        <v/>
      </c>
      <c r="FG346" s="60" t="e">
        <f>IF($FF346="",#N/A,SUM($FF$4:FF346))</f>
        <v>#N/A</v>
      </c>
      <c r="FH346" s="60" t="str">
        <f t="shared" si="631"/>
        <v/>
      </c>
      <c r="FI346" s="60" t="e">
        <f>IF($FH346="",#N/A,SUM($FH$4:FH346))</f>
        <v>#N/A</v>
      </c>
      <c r="FJ346" s="60">
        <f t="shared" si="632"/>
        <v>-7.7632863099992871E-2</v>
      </c>
      <c r="FK346" s="60">
        <f>IF($FJ346="",#N/A,SUM($FJ$4:FJ346))</f>
        <v>-0.40103290433673833</v>
      </c>
      <c r="FL346" s="60" t="str">
        <f t="shared" si="633"/>
        <v/>
      </c>
      <c r="FM346" s="60" t="e">
        <f>IF($FL346="",#N/A,SUM($FL$4:FL346))</f>
        <v>#N/A</v>
      </c>
      <c r="FN346" s="82">
        <f t="shared" si="634"/>
        <v>9.5377517522845012E-2</v>
      </c>
      <c r="FO346" s="82">
        <f>IF($FN346="",#N/A,SUM(FN$4:$FN346))</f>
        <v>50.822173092813266</v>
      </c>
      <c r="FP346" s="82">
        <f t="shared" si="653"/>
        <v>0.17301038062283788</v>
      </c>
      <c r="FQ346" s="246">
        <f>IF($EH346="",#N/A,SUM($FP$4:FP346))</f>
        <v>51.815716135142694</v>
      </c>
      <c r="FR346" s="82">
        <f>IFERROR(FQ346/COUNTA($J$4:J346),#N/A)</f>
        <v>0.15106622779924983</v>
      </c>
      <c r="FS346" s="82">
        <f t="shared" si="554"/>
        <v>-0.12564550973394134</v>
      </c>
      <c r="FT346" s="82">
        <f t="shared" si="555"/>
        <v>3.2443738513511844E-2</v>
      </c>
      <c r="FU346" s="338">
        <f t="shared" si="657"/>
        <v>27.01302890250723</v>
      </c>
      <c r="FV346" s="57" t="str">
        <f t="shared" si="560"/>
        <v>SW</v>
      </c>
      <c r="FW346" s="57" t="s">
        <v>2732</v>
      </c>
      <c r="FX346" s="57" t="str">
        <f t="shared" si="635"/>
        <v/>
      </c>
      <c r="FY346" s="57" t="str">
        <f t="shared" si="636"/>
        <v/>
      </c>
      <c r="FZ346" s="57">
        <f t="shared" si="637"/>
        <v>1</v>
      </c>
      <c r="GA346" s="57" t="str">
        <f t="shared" si="638"/>
        <v>Long</v>
      </c>
      <c r="GB346" s="57" t="str">
        <f t="shared" si="639"/>
        <v/>
      </c>
      <c r="GC346" s="57" t="str">
        <f t="shared" si="640"/>
        <v/>
      </c>
      <c r="GD346" s="57" t="str">
        <f t="shared" si="641"/>
        <v/>
      </c>
      <c r="GE346" s="62">
        <f t="shared" si="557"/>
        <v>75.14</v>
      </c>
      <c r="GF346" s="62" t="s">
        <v>2779</v>
      </c>
      <c r="GG346" s="199">
        <v>23</v>
      </c>
      <c r="GH346" s="207">
        <f t="shared" si="642"/>
        <v>1728.22</v>
      </c>
      <c r="GI346" s="199">
        <v>23</v>
      </c>
      <c r="GJ346" s="200">
        <v>75.5</v>
      </c>
      <c r="GK346" s="63">
        <f t="shared" si="643"/>
        <v>8.2799999999999727</v>
      </c>
      <c r="GL346" s="63">
        <f t="shared" si="558"/>
        <v>9.8899999999998727</v>
      </c>
      <c r="GM346" s="82">
        <f t="shared" si="644"/>
        <v>9.5377517522845012E-2</v>
      </c>
      <c r="GN346" s="82">
        <f>IF($GZ346="",#N/A,SUM(GM$4:GM346))</f>
        <v>4.2108445065566968</v>
      </c>
      <c r="GO346" s="82" t="str">
        <f t="shared" si="645"/>
        <v/>
      </c>
      <c r="GP346" s="82">
        <f>IF($GZ346="",#N/A,SUM(GO$4:GO346))</f>
        <v>13.526245521551154</v>
      </c>
      <c r="GQ346" s="82" t="str">
        <f t="shared" si="646"/>
        <v/>
      </c>
      <c r="GR346" s="82">
        <f>IF($GZ346="",#N/A,SUM(GQ$4:GQ346))</f>
        <v>32.459246110263081</v>
      </c>
      <c r="GS346" s="63" t="e">
        <f t="shared" si="654"/>
        <v>#N/A</v>
      </c>
      <c r="GT346" s="63" t="e">
        <f>IF($GZ346="",#N/A,SUM(GS$4:GS346))</f>
        <v>#N/A</v>
      </c>
      <c r="GU346" s="63" t="str">
        <f t="shared" si="655"/>
        <v/>
      </c>
      <c r="GV346" s="63" t="e">
        <f>IF($GZ346="",#N/A,SUM(GU$4:GU346))</f>
        <v>#N/A</v>
      </c>
      <c r="GW346" s="63" t="str">
        <f t="shared" si="656"/>
        <v/>
      </c>
      <c r="GX346" s="63" t="e">
        <f>IF($GZ346="",#N/A,SUM(GW$4:GW346))</f>
        <v>#N/A</v>
      </c>
      <c r="GY346" s="63" t="e">
        <f>IF(EJ346="",#N/A,SUM($EJ$4:EJ346))</f>
        <v>#N/A</v>
      </c>
      <c r="GZ346" s="159">
        <v>75.569999999999993</v>
      </c>
      <c r="HA346" s="63">
        <f t="shared" si="647"/>
        <v>-8.0500000000001819</v>
      </c>
      <c r="HB346" s="62" t="s">
        <v>2538</v>
      </c>
      <c r="HC346" s="60">
        <f>IFERROR(VLOOKUP(E346,Expectancy!$P$4:$S$19,1+C346,FALSE),"")</f>
        <v>-0.17081772033279666</v>
      </c>
      <c r="HD346" s="82">
        <f t="shared" si="648"/>
        <v>7.9850944902847748E-2</v>
      </c>
      <c r="HE346" s="138">
        <f>IF(HD346="",#N/A,SUM($HD$4:HD346))</f>
        <v>10.272687232635462</v>
      </c>
      <c r="HF346" s="85">
        <f>IF(HD346="",#N/A,IF(HB346="Skip",#N/A,SUM($HG$4:HG346)))</f>
        <v>292.81657921915576</v>
      </c>
      <c r="HG346" s="63">
        <f t="shared" si="649"/>
        <v>8.2799999999999727</v>
      </c>
      <c r="HH346" s="82">
        <f t="shared" si="650"/>
        <v>9.5377517522845012E-2</v>
      </c>
    </row>
    <row r="347" spans="1:216" x14ac:dyDescent="0.25">
      <c r="A347" s="57" t="s">
        <v>1151</v>
      </c>
      <c r="B347" s="58" t="s">
        <v>5245</v>
      </c>
      <c r="C347" s="386">
        <f t="shared" si="561"/>
        <v>3</v>
      </c>
      <c r="D347" s="372" t="str">
        <f>_xlfn.XLOOKUP(A347,[1]SP500!$A$2:$A$502,[1]SP500!$D$2:$D$502,"N")</f>
        <v>Y</v>
      </c>
      <c r="E347" s="57" t="str">
        <f>_xlfn.XLOOKUP(A347,[1]SP500!$A$2:$A$655,[1]SP500!$B$2:$B$655)</f>
        <v>SMH</v>
      </c>
      <c r="F347" s="59">
        <v>45707</v>
      </c>
      <c r="G347" s="57" t="str">
        <f t="shared" si="562"/>
        <v>BMO</v>
      </c>
      <c r="H347" s="57" t="str">
        <f t="shared" si="563"/>
        <v>s</v>
      </c>
      <c r="I347" s="159">
        <v>220.22</v>
      </c>
      <c r="J347" s="159">
        <v>230.02</v>
      </c>
      <c r="K347" s="61">
        <f t="shared" si="564"/>
        <v>4.4500953591862735E-2</v>
      </c>
      <c r="L347" s="87">
        <f t="shared" si="565"/>
        <v>78.400000000000091</v>
      </c>
      <c r="M347" s="130">
        <f t="shared" si="556"/>
        <v>-2.7200000000000273</v>
      </c>
      <c r="N347" s="169" t="str">
        <f t="shared" si="566"/>
        <v/>
      </c>
      <c r="O347" s="169">
        <f>IF($J347="",#N/A,SUM($N$4:N347))</f>
        <v>489.99671935422452</v>
      </c>
      <c r="P347" s="174" t="str">
        <f t="shared" si="567"/>
        <v/>
      </c>
      <c r="Q347" s="174">
        <f>IF($J347="",#N/A,SUM($P$4:P347))</f>
        <v>602.05499224504308</v>
      </c>
      <c r="R347" s="178">
        <f t="shared" si="568"/>
        <v>78.400000000000091</v>
      </c>
      <c r="S347" s="178">
        <f>IF($J347="",#N/A,SUM($R$4:R347))</f>
        <v>35.595929183706858</v>
      </c>
      <c r="T347" s="290" t="str">
        <f t="shared" si="569"/>
        <v/>
      </c>
      <c r="U347" s="290">
        <f>IF($J347="",#N/A,SUM($T$4:T347))</f>
        <v>18.69431278866081</v>
      </c>
      <c r="V347" s="291" t="str">
        <f t="shared" si="570"/>
        <v/>
      </c>
      <c r="W347" s="291">
        <f>IF($J347="",#N/A,SUM($V$4:V347))</f>
        <v>25.650108629145521</v>
      </c>
      <c r="X347" s="292">
        <f t="shared" si="571"/>
        <v>0.74168255986437903</v>
      </c>
      <c r="Y347" s="292">
        <f>IF($J347="",#N/A,SUM($X$4:X347))</f>
        <v>8.2129772772007588</v>
      </c>
      <c r="Z347" s="304" t="str">
        <f t="shared" si="572"/>
        <v/>
      </c>
      <c r="AA347" s="313" t="e">
        <f>IF($J347="",#N/A,SUM(Z$4:Z347))</f>
        <v>#N/A</v>
      </c>
      <c r="AB347" s="314" t="str">
        <f t="shared" si="573"/>
        <v/>
      </c>
      <c r="AC347" s="314" t="e">
        <f>IF($J347="",#N/A,SUM(AB$4:AB347))</f>
        <v>#N/A</v>
      </c>
      <c r="AD347" s="315" t="str">
        <f t="shared" si="574"/>
        <v/>
      </c>
      <c r="AE347" s="315" t="e">
        <f>IF($J347="",#N/A,SUM(AD$4:AD347))</f>
        <v>#N/A</v>
      </c>
      <c r="AF347" s="315" t="e">
        <f>IF($J347="",#N/A,SUM(AD$4:AD347,AB$4:AB347,Z$4:Z347))</f>
        <v>#N/A</v>
      </c>
      <c r="AG347" s="304" t="str">
        <f t="shared" si="575"/>
        <v/>
      </c>
      <c r="AH347" s="313" t="e">
        <f>IF($J347="",#N/A,SUM(AG$4:AG347))</f>
        <v>#N/A</v>
      </c>
      <c r="AI347" s="314" t="str">
        <f t="shared" si="576"/>
        <v/>
      </c>
      <c r="AJ347" s="314" t="e">
        <f>IF($J347="",#N/A,SUM(AI$4:AI347))</f>
        <v>#N/A</v>
      </c>
      <c r="AK347" s="315" t="str">
        <f t="shared" si="577"/>
        <v/>
      </c>
      <c r="AL347" s="315" t="e">
        <f>IF($J347="",#N/A,SUM(AK$4:AK347))</f>
        <v>#N/A</v>
      </c>
      <c r="AM347" s="315" t="e">
        <f>IF($J347="",#N/A,SUM(AK$4:AK347,AI$4:AI347,AG$4:AG347))</f>
        <v>#N/A</v>
      </c>
      <c r="AN347" s="304" t="str">
        <f t="shared" si="578"/>
        <v/>
      </c>
      <c r="AO347" s="313" t="e">
        <f>IF($J347="",#N/A,SUM(AN$4:AN347))</f>
        <v>#N/A</v>
      </c>
      <c r="AP347" s="314" t="str">
        <f t="shared" si="579"/>
        <v/>
      </c>
      <c r="AQ347" s="314" t="e">
        <f>IF($J347="",#N/A,SUM(AP$4:AP347))</f>
        <v>#N/A</v>
      </c>
      <c r="AR347" s="315" t="str">
        <f t="shared" si="580"/>
        <v/>
      </c>
      <c r="AS347" s="315" t="e">
        <f>IF($J347="",#N/A,SUM(AR$4:AR347))</f>
        <v>#N/A</v>
      </c>
      <c r="AT347" s="315" t="e">
        <f>IF($J347="",#N/A,SUM(AR$4:AR347,AP$4:AP347,AN$4:AN347))</f>
        <v>#N/A</v>
      </c>
      <c r="AU347" s="304" t="str">
        <f t="shared" si="581"/>
        <v/>
      </c>
      <c r="AV347" s="313" t="e">
        <f>IF($J347="",#N/A,SUM(AU$4:AU347))</f>
        <v>#N/A</v>
      </c>
      <c r="AW347" s="314" t="str">
        <f t="shared" si="582"/>
        <v/>
      </c>
      <c r="AX347" s="314" t="e">
        <f>IF($J347="",#N/A,SUM(AW$4:AW347))</f>
        <v>#N/A</v>
      </c>
      <c r="AY347" s="315" t="str">
        <f t="shared" si="583"/>
        <v/>
      </c>
      <c r="AZ347" s="315" t="e">
        <f>IF($J347="",#N/A,SUM(AY$4:AY347))</f>
        <v>#N/A</v>
      </c>
      <c r="BA347" s="315" t="e">
        <f>IF($J347="",#N/A,SUM(AY$4:AY347,AW$4:AW347,AU$4:AU347))</f>
        <v>#N/A</v>
      </c>
      <c r="BB347" s="304" t="str">
        <f t="shared" si="584"/>
        <v/>
      </c>
      <c r="BC347" s="313" t="e">
        <f>IF($J347="",#N/A,SUM(BB$4:BB347))</f>
        <v>#N/A</v>
      </c>
      <c r="BD347" s="314" t="str">
        <f t="shared" si="585"/>
        <v/>
      </c>
      <c r="BE347" s="314" t="e">
        <f>IF($J347="",#N/A,SUM(BD$4:BD347))</f>
        <v>#N/A</v>
      </c>
      <c r="BF347" s="315" t="str">
        <f t="shared" si="586"/>
        <v/>
      </c>
      <c r="BG347" s="315" t="e">
        <f>IF($J347="",#N/A,SUM(BF$4:BF347))</f>
        <v>#N/A</v>
      </c>
      <c r="BH347" s="315" t="e">
        <f>IF($J347="",#N/A,SUM(BF$4:BF347,BD$4:BD347,BB$4:BB347))</f>
        <v>#N/A</v>
      </c>
      <c r="BI347" s="304" t="str">
        <f t="shared" si="587"/>
        <v/>
      </c>
      <c r="BJ347" s="313" t="e">
        <f>IF($J347="",#N/A,SUM(BI$4:BI347))</f>
        <v>#N/A</v>
      </c>
      <c r="BK347" s="314" t="str">
        <f t="shared" si="588"/>
        <v/>
      </c>
      <c r="BL347" s="314" t="e">
        <f>IF($J347="",#N/A,SUM(BK$4:BK347))</f>
        <v>#N/A</v>
      </c>
      <c r="BM347" s="315" t="str">
        <f t="shared" si="589"/>
        <v/>
      </c>
      <c r="BN347" s="315" t="e">
        <f>IF($J347="",#N/A,SUM(BM$4:BM347))</f>
        <v>#N/A</v>
      </c>
      <c r="BO347" s="315" t="e">
        <f>IF($J347="",#N/A,SUM(BM$4:BM347,BK$4:BK347,BI$4:BI347))</f>
        <v>#N/A</v>
      </c>
      <c r="BP347" s="304" t="str">
        <f t="shared" si="590"/>
        <v/>
      </c>
      <c r="BQ347" s="313" t="e">
        <f>IF($J347="",#N/A,SUM(BP$4:BP347))</f>
        <v>#N/A</v>
      </c>
      <c r="BR347" s="314" t="str">
        <f t="shared" si="591"/>
        <v/>
      </c>
      <c r="BS347" s="314" t="e">
        <f>IF($J347="",#N/A,SUM(BR$4:BR347))</f>
        <v>#N/A</v>
      </c>
      <c r="BT347" s="315" t="str">
        <f t="shared" si="592"/>
        <v/>
      </c>
      <c r="BU347" s="315" t="e">
        <f>IF($J347="",#N/A,SUM(BT$4:BT347))</f>
        <v>#N/A</v>
      </c>
      <c r="BV347" s="315" t="e">
        <f>IF($J347="",#N/A,SUM(BT$4:BT347,BR$4:BR347,BP$4:BP347))</f>
        <v>#N/A</v>
      </c>
      <c r="BW347" s="304" t="str">
        <f t="shared" si="593"/>
        <v/>
      </c>
      <c r="BX347" s="313" t="e">
        <f>IF($J347="",#N/A,SUM(BW$4:BW347))</f>
        <v>#N/A</v>
      </c>
      <c r="BY347" s="314" t="str">
        <f t="shared" si="594"/>
        <v/>
      </c>
      <c r="BZ347" s="314" t="e">
        <f>IF($J347="",#N/A,SUM(BY$4:BY347))</f>
        <v>#N/A</v>
      </c>
      <c r="CA347" s="315" t="str">
        <f t="shared" si="595"/>
        <v/>
      </c>
      <c r="CB347" s="315" t="e">
        <f>IF($J347="",#N/A,SUM(CA$4:CA347))</f>
        <v>#N/A</v>
      </c>
      <c r="CC347" s="315" t="e">
        <f>IF($J347="",#N/A,SUM(CA$4:CA347,BY$4:BY347,BW$4:BW347))</f>
        <v>#N/A</v>
      </c>
      <c r="CD347" s="304" t="str">
        <f t="shared" si="596"/>
        <v/>
      </c>
      <c r="CE347" s="313" t="e">
        <f>IF($J347="",#N/A,SUM(CD$4:CD347))</f>
        <v>#N/A</v>
      </c>
      <c r="CF347" s="314" t="str">
        <f t="shared" si="597"/>
        <v/>
      </c>
      <c r="CG347" s="314" t="e">
        <f>IF($J347="",#N/A,SUM(CF$4:CF347))</f>
        <v>#N/A</v>
      </c>
      <c r="CH347" s="315" t="str">
        <f t="shared" si="598"/>
        <v/>
      </c>
      <c r="CI347" s="315" t="e">
        <f>IF($J347="",#N/A,SUM(CH$4:CH347))</f>
        <v>#N/A</v>
      </c>
      <c r="CJ347" s="315" t="e">
        <f>IF($J347="",#N/A,SUM(CH$4:CH347,CF$4:CF347,CD$4:CD347))</f>
        <v>#N/A</v>
      </c>
      <c r="CK347" s="304" t="str">
        <f t="shared" si="599"/>
        <v/>
      </c>
      <c r="CL347" s="313" t="e">
        <f>IF($J347="",#N/A,SUM(CK$4:CK347))</f>
        <v>#N/A</v>
      </c>
      <c r="CM347" s="314" t="str">
        <f t="shared" si="600"/>
        <v/>
      </c>
      <c r="CN347" s="314" t="e">
        <f>IF($J347="",#N/A,SUM(CM$4:CM347))</f>
        <v>#N/A</v>
      </c>
      <c r="CO347" s="315">
        <f t="shared" si="601"/>
        <v>0.74168255986437903</v>
      </c>
      <c r="CP347" s="315" t="e">
        <f>IF($J347="",#N/A,SUM(CO$4:CO347))</f>
        <v>#N/A</v>
      </c>
      <c r="CQ347" s="315" t="e">
        <f>IF($J347="",#N/A,SUM(CO$4:CO347,CM$4:CM347,CK$4:CK347))</f>
        <v>#N/A</v>
      </c>
      <c r="CR347" s="304" t="str">
        <f t="shared" si="602"/>
        <v/>
      </c>
      <c r="CS347" s="313" t="e">
        <f>IF($J347="",#N/A,SUM(CR$4:CR347))</f>
        <v>#N/A</v>
      </c>
      <c r="CT347" s="314" t="str">
        <f t="shared" si="603"/>
        <v/>
      </c>
      <c r="CU347" s="314" t="e">
        <f>IF($J347="",#N/A,SUM(CT$4:CT347))</f>
        <v>#N/A</v>
      </c>
      <c r="CV347" s="315" t="str">
        <f t="shared" si="604"/>
        <v/>
      </c>
      <c r="CW347" s="315" t="e">
        <f>IF($J347="",#N/A,SUM(CV$4:CV347))</f>
        <v>#N/A</v>
      </c>
      <c r="CX347" s="315" t="e">
        <f>IF($J347="",#N/A,SUM(CV$4:CV347,CT$4:CT347,CR$4:CR347))</f>
        <v>#N/A</v>
      </c>
      <c r="CY347" s="304" t="str">
        <f t="shared" si="605"/>
        <v/>
      </c>
      <c r="CZ347" s="313" t="e">
        <f>IF($J347="",#N/A,SUM(CY$4:CY347))</f>
        <v>#N/A</v>
      </c>
      <c r="DA347" s="314" t="str">
        <f t="shared" si="606"/>
        <v/>
      </c>
      <c r="DB347" s="314" t="e">
        <f>IF($J347="",#N/A,SUM(DA$4:DA347))</f>
        <v>#N/A</v>
      </c>
      <c r="DC347" s="315" t="str">
        <f t="shared" si="607"/>
        <v/>
      </c>
      <c r="DD347" s="315" t="e">
        <f>IF($J347="",#N/A,SUM(DC$4:DC347))</f>
        <v>#N/A</v>
      </c>
      <c r="DE347" s="315" t="e">
        <f>IF($J347="",#N/A,SUM(DC$4:DC347,DA$4:DA347,CY$4:CY347))</f>
        <v>#N/A</v>
      </c>
      <c r="DF347" s="304" t="str">
        <f t="shared" si="608"/>
        <v/>
      </c>
      <c r="DG347" s="313" t="e">
        <f>IF($J347="",#N/A,SUM(DF$4:DF347))</f>
        <v>#N/A</v>
      </c>
      <c r="DH347" s="314" t="str">
        <f t="shared" si="609"/>
        <v/>
      </c>
      <c r="DI347" s="314" t="e">
        <f>IF($J347="",#N/A,SUM(DH$4:DH347))</f>
        <v>#N/A</v>
      </c>
      <c r="DJ347" s="315" t="str">
        <f t="shared" si="610"/>
        <v/>
      </c>
      <c r="DK347" s="315" t="e">
        <f>IF($J347="",#N/A,SUM(DJ$4:DJ347))</f>
        <v>#N/A</v>
      </c>
      <c r="DL347" s="315" t="e">
        <f>IF($J347="",#N/A,SUM(DJ$4:DJ347,DH$4:DH347,DF$4:DF347))</f>
        <v>#N/A</v>
      </c>
      <c r="DM347" s="304" t="str">
        <f t="shared" si="611"/>
        <v/>
      </c>
      <c r="DN347" s="313" t="e">
        <f>IF($J347="",#N/A,SUM(DM$4:DM347))</f>
        <v>#N/A</v>
      </c>
      <c r="DO347" s="314" t="str">
        <f t="shared" si="612"/>
        <v/>
      </c>
      <c r="DP347" s="314" t="e">
        <f>IF($J347="",#N/A,SUM(DO$4:DO347))</f>
        <v>#N/A</v>
      </c>
      <c r="DQ347" s="315" t="str">
        <f t="shared" si="613"/>
        <v/>
      </c>
      <c r="DR347" s="315" t="e">
        <f>IF($J347="",#N/A,SUM(DQ$4:DQ347))</f>
        <v>#N/A</v>
      </c>
      <c r="DS347" s="315" t="e">
        <f>IF($J347="",#N/A,SUM(DQ$4:DQ347,DO$4:DO347,DM$4:DM347))</f>
        <v>#N/A</v>
      </c>
      <c r="DT347" s="304" t="str">
        <f t="shared" si="614"/>
        <v/>
      </c>
      <c r="DU347" s="313" t="e">
        <f>IF($J347="",#N/A,SUM(DT$4:DT347))</f>
        <v>#N/A</v>
      </c>
      <c r="DV347" s="314" t="str">
        <f t="shared" si="615"/>
        <v/>
      </c>
      <c r="DW347" s="314" t="e">
        <f>IF($J347="",#N/A,SUM(DV$4:DV347))</f>
        <v>#N/A</v>
      </c>
      <c r="DX347" s="315" t="str">
        <f t="shared" si="616"/>
        <v/>
      </c>
      <c r="DY347" s="315" t="e">
        <f>IF($J347="",#N/A,SUM(DX$4:DX347))</f>
        <v>#N/A</v>
      </c>
      <c r="DZ347" s="315" t="e">
        <f>IF($J347="",#N/A,SUM(DX$4:DX347,DV$4:DV347,DT$4:DT347))</f>
        <v>#N/A</v>
      </c>
      <c r="EA347" s="304" t="str">
        <f t="shared" si="617"/>
        <v/>
      </c>
      <c r="EB347" s="313" t="e">
        <f>IF($J347="",#N/A,SUM(EA$4:EA347))</f>
        <v>#N/A</v>
      </c>
      <c r="EC347" s="314" t="str">
        <f t="shared" si="618"/>
        <v/>
      </c>
      <c r="ED347" s="314" t="e">
        <f>IF($J347="",#N/A,SUM(EC$4:EC347))</f>
        <v>#N/A</v>
      </c>
      <c r="EE347" s="315" t="str">
        <f t="shared" si="619"/>
        <v/>
      </c>
      <c r="EF347" s="315" t="e">
        <f>IF($J347="",#N/A,SUM(EE$4:EE347))</f>
        <v>#N/A</v>
      </c>
      <c r="EG347" s="315" t="e">
        <f>IF($J347="",#N/A,SUM(EE$4:EE347,EC$4:EC347,EA$4:EA347))</f>
        <v>#N/A</v>
      </c>
      <c r="EH347" s="130">
        <f t="shared" si="620"/>
        <v>78.400000000000091</v>
      </c>
      <c r="EI347" s="63">
        <f>IF(EH347="",#N/A,SUM($EH$4:EH347))</f>
        <v>1127.6476407829746</v>
      </c>
      <c r="EJ347" s="223" t="e">
        <f t="shared" si="621"/>
        <v>#N/A</v>
      </c>
      <c r="EK347" s="63" t="e">
        <f>IF($GZ347="",#N/A,SUM(EJ$4:EJ347))</f>
        <v>#N/A</v>
      </c>
      <c r="EL347" s="60">
        <f t="shared" si="651"/>
        <v>0.74168255986437903</v>
      </c>
      <c r="EM347" s="60">
        <f>IF(EL347="",NA(),SUM($EL$4:EL347))</f>
        <v>29.509625290982473</v>
      </c>
      <c r="EN347" s="60" t="str">
        <f t="shared" si="622"/>
        <v/>
      </c>
      <c r="EO347" s="60" t="e">
        <f>IF(EN347="",NA(),SUM($EN$4:EN347))</f>
        <v>#N/A</v>
      </c>
      <c r="EP347" s="60">
        <f t="shared" si="623"/>
        <v>0.74168255986437903</v>
      </c>
      <c r="EQ347" s="60">
        <f>IF(EP347="",NA(),SUM($EP$4:EP347))</f>
        <v>5.9573715037211112</v>
      </c>
      <c r="ER347" s="60" t="str">
        <f t="shared" si="624"/>
        <v/>
      </c>
      <c r="ES347" s="60" t="e">
        <f>IF(ER347="",NA(),SUM($ER$4:ER347))</f>
        <v>#N/A</v>
      </c>
      <c r="ET347" s="60" t="str">
        <f t="shared" si="625"/>
        <v/>
      </c>
      <c r="EU347" s="60" t="e">
        <f>IF(ET347="",NA(),SUM($ET$4:ET347))</f>
        <v>#N/A</v>
      </c>
      <c r="EV347" s="60" t="str">
        <f t="shared" si="626"/>
        <v/>
      </c>
      <c r="EW347" s="60" t="e">
        <f>IF(EV347="",NA(),SUM($EV$4:EV347))</f>
        <v>#N/A</v>
      </c>
      <c r="EX347" s="60" t="str">
        <f t="shared" si="627"/>
        <v/>
      </c>
      <c r="EY347" s="60" t="e">
        <f>IF(EX347="",NA(),SUM($EX$4:EX347))</f>
        <v>#N/A</v>
      </c>
      <c r="EZ347" s="60" t="str">
        <f t="shared" si="628"/>
        <v/>
      </c>
      <c r="FA347" s="60" t="e">
        <f>IF(EZ347="",NA(),SUM($EZ$4:EZ347))</f>
        <v>#N/A</v>
      </c>
      <c r="FB347" s="246" t="str">
        <f t="shared" si="652"/>
        <v/>
      </c>
      <c r="FC347" s="246" t="e">
        <f>IF($FB347="",#N/A,SUM(FB$4:$FB347))</f>
        <v>#N/A</v>
      </c>
      <c r="FD347" s="60" t="str">
        <f t="shared" si="629"/>
        <v/>
      </c>
      <c r="FE347" s="60" t="e">
        <f>IF($FD347="",#N/A,SUM($FD$4:FD347))</f>
        <v>#N/A</v>
      </c>
      <c r="FF347" s="60" t="str">
        <f t="shared" si="630"/>
        <v/>
      </c>
      <c r="FG347" s="60" t="e">
        <f>IF($FF347="",#N/A,SUM($FF$4:FF347))</f>
        <v>#N/A</v>
      </c>
      <c r="FH347" s="60" t="str">
        <f t="shared" si="631"/>
        <v/>
      </c>
      <c r="FI347" s="60" t="e">
        <f>IF($FH347="",#N/A,SUM($FH$4:FH347))</f>
        <v>#N/A</v>
      </c>
      <c r="FJ347" s="60">
        <f t="shared" si="632"/>
        <v>0.88093724457360723</v>
      </c>
      <c r="FK347" s="60">
        <f>IF($FJ347="",#N/A,SUM($FJ$4:FJ347))</f>
        <v>0.4799043402368689</v>
      </c>
      <c r="FL347" s="60" t="str">
        <f t="shared" si="633"/>
        <v/>
      </c>
      <c r="FM347" s="60" t="e">
        <f>IF($FL347="",#N/A,SUM($FL$4:FL347))</f>
        <v>#N/A</v>
      </c>
      <c r="FN347" s="82">
        <f t="shared" si="634"/>
        <v>1.6226198044379863</v>
      </c>
      <c r="FO347" s="82">
        <f>IF($FN347="",#N/A,SUM(FN$4:$FN347))</f>
        <v>52.444792897251254</v>
      </c>
      <c r="FP347" s="82">
        <f t="shared" si="653"/>
        <v>0.74168255986437903</v>
      </c>
      <c r="FQ347" s="246">
        <f>IF($EH347="",#N/A,SUM($FP$4:FP347))</f>
        <v>52.557398695007073</v>
      </c>
      <c r="FR347" s="82">
        <f>IFERROR(FQ347/COUNTA($J$4:J347),#N/A)</f>
        <v>0.15278313574129962</v>
      </c>
      <c r="FS347" s="82">
        <f t="shared" si="554"/>
        <v>-0.11326554520086674</v>
      </c>
      <c r="FT347" s="82">
        <f t="shared" si="555"/>
        <v>5.4958732500548418E-2</v>
      </c>
      <c r="FU347" s="338">
        <f t="shared" si="657"/>
        <v>27.038760746420891</v>
      </c>
      <c r="FV347" s="57" t="str">
        <f t="shared" si="560"/>
        <v>SW</v>
      </c>
      <c r="FW347" s="57" t="s">
        <v>2732</v>
      </c>
      <c r="FX347" s="57" t="str">
        <f t="shared" si="635"/>
        <v/>
      </c>
      <c r="FY347" s="57" t="str">
        <f t="shared" si="636"/>
        <v/>
      </c>
      <c r="FZ347" s="57">
        <f t="shared" si="637"/>
        <v>1</v>
      </c>
      <c r="GA347" s="57" t="str">
        <f t="shared" si="638"/>
        <v>Long</v>
      </c>
      <c r="GB347" s="57" t="str">
        <f t="shared" si="639"/>
        <v/>
      </c>
      <c r="GC347" s="57" t="str">
        <f t="shared" si="640"/>
        <v/>
      </c>
      <c r="GD347" s="57" t="str">
        <f t="shared" si="641"/>
        <v/>
      </c>
      <c r="GE347" s="62">
        <f t="shared" si="557"/>
        <v>220.22</v>
      </c>
      <c r="GF347" s="62" t="s">
        <v>2779</v>
      </c>
      <c r="GG347" s="199">
        <v>8</v>
      </c>
      <c r="GH347" s="207">
        <f t="shared" si="642"/>
        <v>1761.76</v>
      </c>
      <c r="GI347" s="199">
        <v>8</v>
      </c>
      <c r="GJ347" s="200">
        <v>229.68</v>
      </c>
      <c r="GK347" s="63">
        <f t="shared" si="643"/>
        <v>75.680000000000064</v>
      </c>
      <c r="GL347" s="63">
        <f t="shared" si="558"/>
        <v>171.51999999999998</v>
      </c>
      <c r="GM347" s="82">
        <f t="shared" si="644"/>
        <v>1.6226198044379863</v>
      </c>
      <c r="GN347" s="82">
        <f>IF($GZ347="",#N/A,SUM(GM$4:GM347))</f>
        <v>5.8334643109946835</v>
      </c>
      <c r="GO347" s="82" t="str">
        <f t="shared" si="645"/>
        <v/>
      </c>
      <c r="GP347" s="82">
        <f>IF($GZ347="",#N/A,SUM(GO$4:GO347))</f>
        <v>13.526245521551154</v>
      </c>
      <c r="GQ347" s="82" t="str">
        <f t="shared" si="646"/>
        <v/>
      </c>
      <c r="GR347" s="82">
        <f>IF($GZ347="",#N/A,SUM(GQ$4:GQ347))</f>
        <v>32.459246110263081</v>
      </c>
      <c r="GS347" s="63" t="e">
        <f t="shared" si="654"/>
        <v>#N/A</v>
      </c>
      <c r="GT347" s="63" t="e">
        <f>IF($GZ347="",#N/A,SUM(GS$4:GS347))</f>
        <v>#N/A</v>
      </c>
      <c r="GU347" s="63" t="str">
        <f t="shared" si="655"/>
        <v/>
      </c>
      <c r="GV347" s="63" t="e">
        <f>IF($GZ347="",#N/A,SUM(GU$4:GU347))</f>
        <v>#N/A</v>
      </c>
      <c r="GW347" s="63" t="str">
        <f t="shared" si="656"/>
        <v/>
      </c>
      <c r="GX347" s="63" t="e">
        <f>IF($GZ347="",#N/A,SUM(GW$4:GW347))</f>
        <v>#N/A</v>
      </c>
      <c r="GY347" s="63" t="e">
        <f>IF(EJ347="",#N/A,SUM($EJ$4:EJ347))</f>
        <v>#N/A</v>
      </c>
      <c r="GZ347" s="159">
        <v>241.66</v>
      </c>
      <c r="HA347" s="63">
        <f t="shared" si="647"/>
        <v>93.119999999999891</v>
      </c>
      <c r="HB347" s="62" t="s">
        <v>2538</v>
      </c>
      <c r="HC347" s="60">
        <f>IFERROR(VLOOKUP(E347,Expectancy!$P$4:$S$19,1+C347,FALSE),"")</f>
        <v>-0.16876070792161713</v>
      </c>
      <c r="HD347" s="82">
        <f t="shared" si="648"/>
        <v>0.71595071595071658</v>
      </c>
      <c r="HE347" s="138">
        <f>IF(HD347="",#N/A,SUM($HD$4:HD347))</f>
        <v>10.988637948586179</v>
      </c>
      <c r="HF347" s="85">
        <f>IF(HD347="",#N/A,IF(HB347="Skip",#N/A,SUM($HG$4:HG347)))</f>
        <v>368.49657921915582</v>
      </c>
      <c r="HG347" s="63">
        <f t="shared" si="649"/>
        <v>75.680000000000064</v>
      </c>
      <c r="HH347" s="82">
        <f t="shared" si="650"/>
        <v>1.6226198044379863</v>
      </c>
    </row>
    <row r="348" spans="1:216" x14ac:dyDescent="0.25">
      <c r="A348" s="57" t="s">
        <v>1443</v>
      </c>
      <c r="B348" s="58" t="s">
        <v>5245</v>
      </c>
      <c r="C348" s="386">
        <f t="shared" si="561"/>
        <v>3</v>
      </c>
      <c r="D348" s="372" t="str">
        <f>_xlfn.XLOOKUP(A348,[1]SP500!$A$2:$A$502,[1]SP500!$D$2:$D$502,"N")</f>
        <v>Y</v>
      </c>
      <c r="E348" s="57" t="str">
        <f>_xlfn.XLOOKUP(A348,[1]SP500!$A$2:$A$655,[1]SP500!$B$2:$B$655)</f>
        <v>XLY</v>
      </c>
      <c r="F348" s="59">
        <v>45707</v>
      </c>
      <c r="G348" s="57" t="str">
        <f t="shared" si="562"/>
        <v>BMO</v>
      </c>
      <c r="H348" s="57" t="str">
        <f t="shared" si="563"/>
        <v>s</v>
      </c>
      <c r="I348" s="158">
        <v>214.78</v>
      </c>
      <c r="J348" s="159">
        <v>238</v>
      </c>
      <c r="K348" s="61">
        <f t="shared" si="564"/>
        <v>0.10811062482540273</v>
      </c>
      <c r="L348" s="87">
        <f t="shared" si="565"/>
        <v>185.76</v>
      </c>
      <c r="M348" s="130">
        <f t="shared" si="556"/>
        <v>-38</v>
      </c>
      <c r="N348" s="169" t="str">
        <f t="shared" si="566"/>
        <v/>
      </c>
      <c r="O348" s="169">
        <f>IF($J348="",#N/A,SUM($N$4:N348))</f>
        <v>489.99671935422452</v>
      </c>
      <c r="P348" s="174" t="str">
        <f t="shared" si="567"/>
        <v/>
      </c>
      <c r="Q348" s="174">
        <f>IF($J348="",#N/A,SUM($P$4:P348))</f>
        <v>602.05499224504308</v>
      </c>
      <c r="R348" s="178">
        <f t="shared" si="568"/>
        <v>185.76</v>
      </c>
      <c r="S348" s="178">
        <f>IF($J348="",#N/A,SUM($R$4:R348))</f>
        <v>221.35592918370685</v>
      </c>
      <c r="T348" s="290" t="str">
        <f t="shared" si="569"/>
        <v/>
      </c>
      <c r="U348" s="290">
        <f>IF($J348="",#N/A,SUM($T$4:T348))</f>
        <v>18.69431278866081</v>
      </c>
      <c r="V348" s="291" t="str">
        <f t="shared" si="570"/>
        <v/>
      </c>
      <c r="W348" s="291">
        <f>IF($J348="",#N/A,SUM($V$4:V348))</f>
        <v>25.650108629145521</v>
      </c>
      <c r="X348" s="292">
        <f t="shared" si="571"/>
        <v>1.8018437470900457</v>
      </c>
      <c r="Y348" s="292">
        <f>IF($J348="",#N/A,SUM($X$4:X348))</f>
        <v>10.014821024290804</v>
      </c>
      <c r="Z348" s="304" t="str">
        <f t="shared" si="572"/>
        <v/>
      </c>
      <c r="AA348" s="313" t="e">
        <f>IF($J348="",#N/A,SUM(Z$4:Z348))</f>
        <v>#N/A</v>
      </c>
      <c r="AB348" s="314" t="str">
        <f t="shared" si="573"/>
        <v/>
      </c>
      <c r="AC348" s="314" t="e">
        <f>IF($J348="",#N/A,SUM(AB$4:AB348))</f>
        <v>#N/A</v>
      </c>
      <c r="AD348" s="315" t="str">
        <f t="shared" si="574"/>
        <v/>
      </c>
      <c r="AE348" s="315" t="e">
        <f>IF($J348="",#N/A,SUM(AD$4:AD348))</f>
        <v>#N/A</v>
      </c>
      <c r="AF348" s="315" t="e">
        <f>IF($J348="",#N/A,SUM(AD$4:AD348,AB$4:AB348,Z$4:Z348))</f>
        <v>#N/A</v>
      </c>
      <c r="AG348" s="304" t="str">
        <f t="shared" si="575"/>
        <v/>
      </c>
      <c r="AH348" s="313" t="e">
        <f>IF($J348="",#N/A,SUM(AG$4:AG348))</f>
        <v>#N/A</v>
      </c>
      <c r="AI348" s="314" t="str">
        <f t="shared" si="576"/>
        <v/>
      </c>
      <c r="AJ348" s="314" t="e">
        <f>IF($J348="",#N/A,SUM(AI$4:AI348))</f>
        <v>#N/A</v>
      </c>
      <c r="AK348" s="315" t="str">
        <f t="shared" si="577"/>
        <v/>
      </c>
      <c r="AL348" s="315" t="e">
        <f>IF($J348="",#N/A,SUM(AK$4:AK348))</f>
        <v>#N/A</v>
      </c>
      <c r="AM348" s="315" t="e">
        <f>IF($J348="",#N/A,SUM(AK$4:AK348,AI$4:AI348,AG$4:AG348))</f>
        <v>#N/A</v>
      </c>
      <c r="AN348" s="304" t="str">
        <f t="shared" si="578"/>
        <v/>
      </c>
      <c r="AO348" s="313" t="e">
        <f>IF($J348="",#N/A,SUM(AN$4:AN348))</f>
        <v>#N/A</v>
      </c>
      <c r="AP348" s="314" t="str">
        <f t="shared" si="579"/>
        <v/>
      </c>
      <c r="AQ348" s="314" t="e">
        <f>IF($J348="",#N/A,SUM(AP$4:AP348))</f>
        <v>#N/A</v>
      </c>
      <c r="AR348" s="315">
        <f t="shared" si="580"/>
        <v>1.8018437470900457</v>
      </c>
      <c r="AS348" s="315" t="e">
        <f>IF($J348="",#N/A,SUM(AR$4:AR348))</f>
        <v>#N/A</v>
      </c>
      <c r="AT348" s="315" t="e">
        <f>IF($J348="",#N/A,SUM(AR$4:AR348,AP$4:AP348,AN$4:AN348))</f>
        <v>#N/A</v>
      </c>
      <c r="AU348" s="304" t="str">
        <f t="shared" si="581"/>
        <v/>
      </c>
      <c r="AV348" s="313" t="e">
        <f>IF($J348="",#N/A,SUM(AU$4:AU348))</f>
        <v>#N/A</v>
      </c>
      <c r="AW348" s="314" t="str">
        <f t="shared" si="582"/>
        <v/>
      </c>
      <c r="AX348" s="314" t="e">
        <f>IF($J348="",#N/A,SUM(AW$4:AW348))</f>
        <v>#N/A</v>
      </c>
      <c r="AY348" s="315" t="str">
        <f t="shared" si="583"/>
        <v/>
      </c>
      <c r="AZ348" s="315" t="e">
        <f>IF($J348="",#N/A,SUM(AY$4:AY348))</f>
        <v>#N/A</v>
      </c>
      <c r="BA348" s="315" t="e">
        <f>IF($J348="",#N/A,SUM(AY$4:AY348,AW$4:AW348,AU$4:AU348))</f>
        <v>#N/A</v>
      </c>
      <c r="BB348" s="304" t="str">
        <f t="shared" si="584"/>
        <v/>
      </c>
      <c r="BC348" s="313" t="e">
        <f>IF($J348="",#N/A,SUM(BB$4:BB348))</f>
        <v>#N/A</v>
      </c>
      <c r="BD348" s="314" t="str">
        <f t="shared" si="585"/>
        <v/>
      </c>
      <c r="BE348" s="314" t="e">
        <f>IF($J348="",#N/A,SUM(BD$4:BD348))</f>
        <v>#N/A</v>
      </c>
      <c r="BF348" s="315" t="str">
        <f t="shared" si="586"/>
        <v/>
      </c>
      <c r="BG348" s="315" t="e">
        <f>IF($J348="",#N/A,SUM(BF$4:BF348))</f>
        <v>#N/A</v>
      </c>
      <c r="BH348" s="315" t="e">
        <f>IF($J348="",#N/A,SUM(BF$4:BF348,BD$4:BD348,BB$4:BB348))</f>
        <v>#N/A</v>
      </c>
      <c r="BI348" s="304" t="str">
        <f t="shared" si="587"/>
        <v/>
      </c>
      <c r="BJ348" s="313" t="e">
        <f>IF($J348="",#N/A,SUM(BI$4:BI348))</f>
        <v>#N/A</v>
      </c>
      <c r="BK348" s="314" t="str">
        <f t="shared" si="588"/>
        <v/>
      </c>
      <c r="BL348" s="314" t="e">
        <f>IF($J348="",#N/A,SUM(BK$4:BK348))</f>
        <v>#N/A</v>
      </c>
      <c r="BM348" s="315" t="str">
        <f t="shared" si="589"/>
        <v/>
      </c>
      <c r="BN348" s="315" t="e">
        <f>IF($J348="",#N/A,SUM(BM$4:BM348))</f>
        <v>#N/A</v>
      </c>
      <c r="BO348" s="315" t="e">
        <f>IF($J348="",#N/A,SUM(BM$4:BM348,BK$4:BK348,BI$4:BI348))</f>
        <v>#N/A</v>
      </c>
      <c r="BP348" s="304" t="str">
        <f t="shared" si="590"/>
        <v/>
      </c>
      <c r="BQ348" s="313" t="e">
        <f>IF($J348="",#N/A,SUM(BP$4:BP348))</f>
        <v>#N/A</v>
      </c>
      <c r="BR348" s="314" t="str">
        <f t="shared" si="591"/>
        <v/>
      </c>
      <c r="BS348" s="314" t="e">
        <f>IF($J348="",#N/A,SUM(BR$4:BR348))</f>
        <v>#N/A</v>
      </c>
      <c r="BT348" s="315" t="str">
        <f t="shared" si="592"/>
        <v/>
      </c>
      <c r="BU348" s="315" t="e">
        <f>IF($J348="",#N/A,SUM(BT$4:BT348))</f>
        <v>#N/A</v>
      </c>
      <c r="BV348" s="315" t="e">
        <f>IF($J348="",#N/A,SUM(BT$4:BT348,BR$4:BR348,BP$4:BP348))</f>
        <v>#N/A</v>
      </c>
      <c r="BW348" s="304" t="str">
        <f t="shared" si="593"/>
        <v/>
      </c>
      <c r="BX348" s="313" t="e">
        <f>IF($J348="",#N/A,SUM(BW$4:BW348))</f>
        <v>#N/A</v>
      </c>
      <c r="BY348" s="314" t="str">
        <f t="shared" si="594"/>
        <v/>
      </c>
      <c r="BZ348" s="314" t="e">
        <f>IF($J348="",#N/A,SUM(BY$4:BY348))</f>
        <v>#N/A</v>
      </c>
      <c r="CA348" s="315" t="str">
        <f t="shared" si="595"/>
        <v/>
      </c>
      <c r="CB348" s="315" t="e">
        <f>IF($J348="",#N/A,SUM(CA$4:CA348))</f>
        <v>#N/A</v>
      </c>
      <c r="CC348" s="315" t="e">
        <f>IF($J348="",#N/A,SUM(CA$4:CA348,BY$4:BY348,BW$4:BW348))</f>
        <v>#N/A</v>
      </c>
      <c r="CD348" s="304" t="str">
        <f t="shared" si="596"/>
        <v/>
      </c>
      <c r="CE348" s="313" t="e">
        <f>IF($J348="",#N/A,SUM(CD$4:CD348))</f>
        <v>#N/A</v>
      </c>
      <c r="CF348" s="314" t="str">
        <f t="shared" si="597"/>
        <v/>
      </c>
      <c r="CG348" s="314" t="e">
        <f>IF($J348="",#N/A,SUM(CF$4:CF348))</f>
        <v>#N/A</v>
      </c>
      <c r="CH348" s="315" t="str">
        <f t="shared" si="598"/>
        <v/>
      </c>
      <c r="CI348" s="315" t="e">
        <f>IF($J348="",#N/A,SUM(CH$4:CH348))</f>
        <v>#N/A</v>
      </c>
      <c r="CJ348" s="315" t="e">
        <f>IF($J348="",#N/A,SUM(CH$4:CH348,CF$4:CF348,CD$4:CD348))</f>
        <v>#N/A</v>
      </c>
      <c r="CK348" s="304" t="str">
        <f t="shared" si="599"/>
        <v/>
      </c>
      <c r="CL348" s="313" t="e">
        <f>IF($J348="",#N/A,SUM(CK$4:CK348))</f>
        <v>#N/A</v>
      </c>
      <c r="CM348" s="314" t="str">
        <f t="shared" si="600"/>
        <v/>
      </c>
      <c r="CN348" s="314" t="e">
        <f>IF($J348="",#N/A,SUM(CM$4:CM348))</f>
        <v>#N/A</v>
      </c>
      <c r="CO348" s="315" t="str">
        <f t="shared" si="601"/>
        <v/>
      </c>
      <c r="CP348" s="315" t="e">
        <f>IF($J348="",#N/A,SUM(CO$4:CO348))</f>
        <v>#N/A</v>
      </c>
      <c r="CQ348" s="315" t="e">
        <f>IF($J348="",#N/A,SUM(CO$4:CO348,CM$4:CM348,CK$4:CK348))</f>
        <v>#N/A</v>
      </c>
      <c r="CR348" s="304" t="str">
        <f t="shared" si="602"/>
        <v/>
      </c>
      <c r="CS348" s="313" t="e">
        <f>IF($J348="",#N/A,SUM(CR$4:CR348))</f>
        <v>#N/A</v>
      </c>
      <c r="CT348" s="314" t="str">
        <f t="shared" si="603"/>
        <v/>
      </c>
      <c r="CU348" s="314" t="e">
        <f>IF($J348="",#N/A,SUM(CT$4:CT348))</f>
        <v>#N/A</v>
      </c>
      <c r="CV348" s="315" t="str">
        <f t="shared" si="604"/>
        <v/>
      </c>
      <c r="CW348" s="315" t="e">
        <f>IF($J348="",#N/A,SUM(CV$4:CV348))</f>
        <v>#N/A</v>
      </c>
      <c r="CX348" s="315" t="e">
        <f>IF($J348="",#N/A,SUM(CV$4:CV348,CT$4:CT348,CR$4:CR348))</f>
        <v>#N/A</v>
      </c>
      <c r="CY348" s="304" t="str">
        <f t="shared" si="605"/>
        <v/>
      </c>
      <c r="CZ348" s="313" t="e">
        <f>IF($J348="",#N/A,SUM(CY$4:CY348))</f>
        <v>#N/A</v>
      </c>
      <c r="DA348" s="314" t="str">
        <f t="shared" si="606"/>
        <v/>
      </c>
      <c r="DB348" s="314" t="e">
        <f>IF($J348="",#N/A,SUM(DA$4:DA348))</f>
        <v>#N/A</v>
      </c>
      <c r="DC348" s="315" t="str">
        <f t="shared" si="607"/>
        <v/>
      </c>
      <c r="DD348" s="315" t="e">
        <f>IF($J348="",#N/A,SUM(DC$4:DC348))</f>
        <v>#N/A</v>
      </c>
      <c r="DE348" s="315" t="e">
        <f>IF($J348="",#N/A,SUM(DC$4:DC348,DA$4:DA348,CY$4:CY348))</f>
        <v>#N/A</v>
      </c>
      <c r="DF348" s="304" t="str">
        <f t="shared" si="608"/>
        <v/>
      </c>
      <c r="DG348" s="313" t="e">
        <f>IF($J348="",#N/A,SUM(DF$4:DF348))</f>
        <v>#N/A</v>
      </c>
      <c r="DH348" s="314" t="str">
        <f t="shared" si="609"/>
        <v/>
      </c>
      <c r="DI348" s="314" t="e">
        <f>IF($J348="",#N/A,SUM(DH$4:DH348))</f>
        <v>#N/A</v>
      </c>
      <c r="DJ348" s="315" t="str">
        <f t="shared" si="610"/>
        <v/>
      </c>
      <c r="DK348" s="315" t="e">
        <f>IF($J348="",#N/A,SUM(DJ$4:DJ348))</f>
        <v>#N/A</v>
      </c>
      <c r="DL348" s="315" t="e">
        <f>IF($J348="",#N/A,SUM(DJ$4:DJ348,DH$4:DH348,DF$4:DF348))</f>
        <v>#N/A</v>
      </c>
      <c r="DM348" s="304" t="str">
        <f t="shared" si="611"/>
        <v/>
      </c>
      <c r="DN348" s="313" t="e">
        <f>IF($J348="",#N/A,SUM(DM$4:DM348))</f>
        <v>#N/A</v>
      </c>
      <c r="DO348" s="314" t="str">
        <f t="shared" si="612"/>
        <v/>
      </c>
      <c r="DP348" s="314" t="e">
        <f>IF($J348="",#N/A,SUM(DO$4:DO348))</f>
        <v>#N/A</v>
      </c>
      <c r="DQ348" s="315" t="str">
        <f t="shared" si="613"/>
        <v/>
      </c>
      <c r="DR348" s="315" t="e">
        <f>IF($J348="",#N/A,SUM(DQ$4:DQ348))</f>
        <v>#N/A</v>
      </c>
      <c r="DS348" s="315" t="e">
        <f>IF($J348="",#N/A,SUM(DQ$4:DQ348,DO$4:DO348,DM$4:DM348))</f>
        <v>#N/A</v>
      </c>
      <c r="DT348" s="304" t="str">
        <f t="shared" si="614"/>
        <v/>
      </c>
      <c r="DU348" s="313" t="e">
        <f>IF($J348="",#N/A,SUM(DT$4:DT348))</f>
        <v>#N/A</v>
      </c>
      <c r="DV348" s="314" t="str">
        <f t="shared" si="615"/>
        <v/>
      </c>
      <c r="DW348" s="314" t="e">
        <f>IF($J348="",#N/A,SUM(DV$4:DV348))</f>
        <v>#N/A</v>
      </c>
      <c r="DX348" s="315" t="str">
        <f t="shared" si="616"/>
        <v/>
      </c>
      <c r="DY348" s="315" t="e">
        <f>IF($J348="",#N/A,SUM(DX$4:DX348))</f>
        <v>#N/A</v>
      </c>
      <c r="DZ348" s="315" t="e">
        <f>IF($J348="",#N/A,SUM(DX$4:DX348,DV$4:DV348,DT$4:DT348))</f>
        <v>#N/A</v>
      </c>
      <c r="EA348" s="304" t="str">
        <f t="shared" si="617"/>
        <v/>
      </c>
      <c r="EB348" s="313" t="e">
        <f>IF($J348="",#N/A,SUM(EA$4:EA348))</f>
        <v>#N/A</v>
      </c>
      <c r="EC348" s="314" t="str">
        <f t="shared" si="618"/>
        <v/>
      </c>
      <c r="ED348" s="314" t="e">
        <f>IF($J348="",#N/A,SUM(EC$4:EC348))</f>
        <v>#N/A</v>
      </c>
      <c r="EE348" s="315" t="str">
        <f t="shared" si="619"/>
        <v/>
      </c>
      <c r="EF348" s="315" t="e">
        <f>IF($J348="",#N/A,SUM(EE$4:EE348))</f>
        <v>#N/A</v>
      </c>
      <c r="EG348" s="315" t="e">
        <f>IF($J348="",#N/A,SUM(EE$4:EE348,EC$4:EC348,EA$4:EA348))</f>
        <v>#N/A</v>
      </c>
      <c r="EH348" s="130">
        <f t="shared" si="620"/>
        <v>185.76</v>
      </c>
      <c r="EI348" s="63">
        <f>IF(EH348="",#N/A,SUM($EH$4:EH348))</f>
        <v>1313.4076407829746</v>
      </c>
      <c r="EJ348" s="223" t="e">
        <f t="shared" si="621"/>
        <v>#N/A</v>
      </c>
      <c r="EK348" s="63" t="e">
        <f>IF($GZ348="",#N/A,SUM(EJ$4:EJ348))</f>
        <v>#N/A</v>
      </c>
      <c r="EL348" s="60">
        <f t="shared" si="651"/>
        <v>1.8018437470900457</v>
      </c>
      <c r="EM348" s="60">
        <f>IF(EL348="",NA(),SUM($EL$4:EL348))</f>
        <v>31.31146903807252</v>
      </c>
      <c r="EN348" s="60" t="str">
        <f t="shared" si="622"/>
        <v/>
      </c>
      <c r="EO348" s="60" t="e">
        <f>IF(EN348="",NA(),SUM($EN$4:EN348))</f>
        <v>#N/A</v>
      </c>
      <c r="EP348" s="60">
        <f t="shared" si="623"/>
        <v>1.8018437470900457</v>
      </c>
      <c r="EQ348" s="60">
        <f>IF(EP348="",NA(),SUM($EP$4:EP348))</f>
        <v>7.7592152508111569</v>
      </c>
      <c r="ER348" s="60" t="str">
        <f t="shared" si="624"/>
        <v/>
      </c>
      <c r="ES348" s="60" t="e">
        <f>IF(ER348="",NA(),SUM($ER$4:ER348))</f>
        <v>#N/A</v>
      </c>
      <c r="ET348" s="60" t="str">
        <f t="shared" si="625"/>
        <v/>
      </c>
      <c r="EU348" s="60" t="e">
        <f>IF(ET348="",NA(),SUM($ET$4:ET348))</f>
        <v>#N/A</v>
      </c>
      <c r="EV348" s="60" t="str">
        <f t="shared" si="626"/>
        <v/>
      </c>
      <c r="EW348" s="60" t="e">
        <f>IF(EV348="",NA(),SUM($EV$4:EV348))</f>
        <v>#N/A</v>
      </c>
      <c r="EX348" s="60" t="str">
        <f t="shared" si="627"/>
        <v/>
      </c>
      <c r="EY348" s="60" t="e">
        <f>IF(EX348="",NA(),SUM($EX$4:EX348))</f>
        <v>#N/A</v>
      </c>
      <c r="EZ348" s="60" t="str">
        <f t="shared" si="628"/>
        <v/>
      </c>
      <c r="FA348" s="60" t="e">
        <f>IF(EZ348="",NA(),SUM($EZ$4:EZ348))</f>
        <v>#N/A</v>
      </c>
      <c r="FB348" s="246" t="str">
        <f t="shared" si="652"/>
        <v/>
      </c>
      <c r="FC348" s="246" t="e">
        <f>IF($FB348="",#N/A,SUM(FB$4:$FB348))</f>
        <v>#N/A</v>
      </c>
      <c r="FD348" s="60" t="str">
        <f t="shared" si="629"/>
        <v/>
      </c>
      <c r="FE348" s="60" t="e">
        <f>IF($FD348="",#N/A,SUM($FD$4:FD348))</f>
        <v>#N/A</v>
      </c>
      <c r="FF348" s="60" t="str">
        <f t="shared" si="630"/>
        <v/>
      </c>
      <c r="FG348" s="60" t="e">
        <f>IF($FF348="",#N/A,SUM($FF$4:FF348))</f>
        <v>#N/A</v>
      </c>
      <c r="FH348" s="60" t="str">
        <f t="shared" si="631"/>
        <v/>
      </c>
      <c r="FI348" s="60" t="e">
        <f>IF($FH348="",#N/A,SUM($FH$4:FH348))</f>
        <v>#N/A</v>
      </c>
      <c r="FJ348" s="60">
        <f t="shared" si="632"/>
        <v>0.30496321817673966</v>
      </c>
      <c r="FK348" s="60">
        <f>IF($FJ348="",#N/A,SUM($FJ$4:FJ348))</f>
        <v>0.78486755841360856</v>
      </c>
      <c r="FL348" s="60" t="str">
        <f t="shared" si="633"/>
        <v/>
      </c>
      <c r="FM348" s="60" t="e">
        <f>IF($FL348="",#N/A,SUM($FL$4:FL348))</f>
        <v>#N/A</v>
      </c>
      <c r="FN348" s="82">
        <f t="shared" si="634"/>
        <v>2.1068069652667853</v>
      </c>
      <c r="FO348" s="82">
        <f>IF($FN348="",#N/A,SUM(FN$4:$FN348))</f>
        <v>54.551599862518039</v>
      </c>
      <c r="FP348" s="82">
        <f t="shared" si="653"/>
        <v>1.8018437470900457</v>
      </c>
      <c r="FQ348" s="246">
        <f>IF($EH348="",#N/A,SUM($FP$4:FP348))</f>
        <v>54.35924244209712</v>
      </c>
      <c r="FR348" s="82">
        <f>IFERROR(FQ348/COUNTA($J$4:J348),#N/A)</f>
        <v>0.15756302157129601</v>
      </c>
      <c r="FS348" s="82">
        <f t="shared" si="554"/>
        <v>-0.10032986475985467</v>
      </c>
      <c r="FT348" s="82">
        <f t="shared" si="555"/>
        <v>4.599164290598793E-2</v>
      </c>
      <c r="FU348" s="338">
        <f t="shared" si="657"/>
        <v>27.407354966863515</v>
      </c>
      <c r="FV348" s="57" t="str">
        <f t="shared" si="560"/>
        <v>SW</v>
      </c>
      <c r="FW348" s="57" t="s">
        <v>2732</v>
      </c>
      <c r="FX348" s="57" t="str">
        <f t="shared" si="635"/>
        <v/>
      </c>
      <c r="FY348" s="57" t="str">
        <f t="shared" si="636"/>
        <v/>
      </c>
      <c r="FZ348" s="57">
        <f t="shared" si="637"/>
        <v>1</v>
      </c>
      <c r="GA348" s="57" t="str">
        <f t="shared" si="638"/>
        <v>Long</v>
      </c>
      <c r="GB348" s="57" t="str">
        <f t="shared" si="639"/>
        <v/>
      </c>
      <c r="GC348" s="57" t="str">
        <f t="shared" si="640"/>
        <v/>
      </c>
      <c r="GD348" s="57" t="str">
        <f t="shared" si="641"/>
        <v/>
      </c>
      <c r="GE348" s="62">
        <f t="shared" si="557"/>
        <v>214.78</v>
      </c>
      <c r="GF348" s="62" t="s">
        <v>2779</v>
      </c>
      <c r="GG348" s="199">
        <v>8</v>
      </c>
      <c r="GH348" s="207">
        <f t="shared" si="642"/>
        <v>1718.24</v>
      </c>
      <c r="GI348" s="199">
        <v>8</v>
      </c>
      <c r="GJ348" s="200">
        <v>233.25</v>
      </c>
      <c r="GK348" s="63">
        <f t="shared" si="643"/>
        <v>147.76</v>
      </c>
      <c r="GL348" s="63">
        <f t="shared" si="558"/>
        <v>217.20000000000005</v>
      </c>
      <c r="GM348" s="82">
        <f t="shared" si="644"/>
        <v>2.1068069652667853</v>
      </c>
      <c r="GN348" s="82">
        <f>IF($GZ348="",#N/A,SUM(GM$4:GM348))</f>
        <v>7.9402712762614689</v>
      </c>
      <c r="GO348" s="82" t="str">
        <f t="shared" si="645"/>
        <v/>
      </c>
      <c r="GP348" s="82">
        <f>IF($GZ348="",#N/A,SUM(GO$4:GO348))</f>
        <v>13.526245521551154</v>
      </c>
      <c r="GQ348" s="82" t="str">
        <f t="shared" si="646"/>
        <v/>
      </c>
      <c r="GR348" s="82">
        <f>IF($GZ348="",#N/A,SUM(GQ$4:GQ348))</f>
        <v>32.459246110263081</v>
      </c>
      <c r="GS348" s="63" t="e">
        <f t="shared" si="654"/>
        <v>#N/A</v>
      </c>
      <c r="GT348" s="63" t="e">
        <f>IF($GZ348="",#N/A,SUM(GS$4:GS348))</f>
        <v>#N/A</v>
      </c>
      <c r="GU348" s="63" t="str">
        <f t="shared" si="655"/>
        <v/>
      </c>
      <c r="GV348" s="63" t="e">
        <f>IF($GZ348="",#N/A,SUM(GU$4:GU348))</f>
        <v>#N/A</v>
      </c>
      <c r="GW348" s="63" t="str">
        <f t="shared" si="656"/>
        <v/>
      </c>
      <c r="GX348" s="63" t="e">
        <f>IF($GZ348="",#N/A,SUM(GW$4:GW348))</f>
        <v>#N/A</v>
      </c>
      <c r="GY348" s="63" t="e">
        <f>IF(EJ348="",#N/A,SUM($EJ$4:EJ348))</f>
        <v>#N/A</v>
      </c>
      <c r="GZ348" s="159">
        <v>241.93</v>
      </c>
      <c r="HA348" s="63">
        <f t="shared" si="647"/>
        <v>31.440000000000055</v>
      </c>
      <c r="HB348" s="62" t="s">
        <v>2538</v>
      </c>
      <c r="HC348" s="60">
        <f>IFERROR(VLOOKUP(E348,Expectancy!$P$4:$S$19,1+C348,FALSE),"")</f>
        <v>0.48685636958953199</v>
      </c>
      <c r="HD348" s="82">
        <f t="shared" si="648"/>
        <v>1.4332495266474221</v>
      </c>
      <c r="HE348" s="138">
        <f>IF(HD348="",#N/A,SUM($HD$4:HD348))</f>
        <v>12.421887475233602</v>
      </c>
      <c r="HF348" s="85">
        <f>IF(HD348="",#N/A,IF(HB348="Skip",#N/A,SUM($HG$4:HG348)))</f>
        <v>516.25657921915581</v>
      </c>
      <c r="HG348" s="63">
        <f t="shared" si="649"/>
        <v>147.76</v>
      </c>
      <c r="HH348" s="82">
        <f t="shared" si="650"/>
        <v>2.1068069652667853</v>
      </c>
    </row>
    <row r="349" spans="1:216" x14ac:dyDescent="0.25">
      <c r="A349" s="57" t="s">
        <v>1566</v>
      </c>
      <c r="B349" s="58" t="s">
        <v>5246</v>
      </c>
      <c r="C349" s="386">
        <f t="shared" si="561"/>
        <v>3</v>
      </c>
      <c r="D349" s="372" t="str">
        <f>_xlfn.XLOOKUP(A349,[1]SP500!$A$2:$A$502,[1]SP500!$D$2:$D$502,"N")</f>
        <v>Y</v>
      </c>
      <c r="E349" s="57" t="str">
        <f>_xlfn.XLOOKUP(A349,[1]SP500!$A$2:$A$655,[1]SP500!$B$2:$B$655)</f>
        <v>XLB</v>
      </c>
      <c r="F349" s="59">
        <v>45707</v>
      </c>
      <c r="G349" s="57" t="str">
        <f t="shared" si="562"/>
        <v>AMC</v>
      </c>
      <c r="H349" s="57" t="str">
        <f t="shared" si="563"/>
        <v>o</v>
      </c>
      <c r="I349" s="159">
        <v>83.81</v>
      </c>
      <c r="J349" s="159">
        <v>82.81</v>
      </c>
      <c r="K349" s="61">
        <f t="shared" si="564"/>
        <v>-1.1931750387781888E-2</v>
      </c>
      <c r="L349" s="87">
        <f t="shared" si="565"/>
        <v>-19.687388139840095</v>
      </c>
      <c r="M349" s="210" t="e">
        <f t="shared" si="556"/>
        <v>#N/A</v>
      </c>
      <c r="N349" s="169" t="str">
        <f t="shared" si="566"/>
        <v/>
      </c>
      <c r="O349" s="169">
        <f>IF($J349="",#N/A,SUM($N$4:N349))</f>
        <v>489.99671935422452</v>
      </c>
      <c r="P349" s="174" t="str">
        <f t="shared" si="567"/>
        <v/>
      </c>
      <c r="Q349" s="174">
        <f>IF($J349="",#N/A,SUM($P$4:P349))</f>
        <v>602.05499224504308</v>
      </c>
      <c r="R349" s="178">
        <f t="shared" si="568"/>
        <v>-19.687388139840095</v>
      </c>
      <c r="S349" s="178">
        <f>IF($J349="",#N/A,SUM($R$4:R349))</f>
        <v>201.66854104386675</v>
      </c>
      <c r="T349" s="290" t="str">
        <f t="shared" si="569"/>
        <v/>
      </c>
      <c r="U349" s="290">
        <f>IF($J349="",#N/A,SUM($T$4:T349))</f>
        <v>18.69431278866081</v>
      </c>
      <c r="V349" s="291" t="str">
        <f t="shared" si="570"/>
        <v/>
      </c>
      <c r="W349" s="291">
        <f>IF($J349="",#N/A,SUM($V$4:V349))</f>
        <v>25.650108629145521</v>
      </c>
      <c r="X349" s="292">
        <f t="shared" si="571"/>
        <v>-0.19886250646303127</v>
      </c>
      <c r="Y349" s="292">
        <f>IF($J349="",#N/A,SUM($X$4:X349))</f>
        <v>9.815958517827772</v>
      </c>
      <c r="Z349" s="304" t="str">
        <f t="shared" si="572"/>
        <v/>
      </c>
      <c r="AA349" s="313" t="e">
        <f>IF($J349="",#N/A,SUM(Z$4:Z349))</f>
        <v>#N/A</v>
      </c>
      <c r="AB349" s="314" t="str">
        <f t="shared" si="573"/>
        <v/>
      </c>
      <c r="AC349" s="314" t="e">
        <f>IF($J349="",#N/A,SUM(AB$4:AB349))</f>
        <v>#N/A</v>
      </c>
      <c r="AD349" s="315" t="str">
        <f t="shared" si="574"/>
        <v/>
      </c>
      <c r="AE349" s="315" t="e">
        <f>IF($J349="",#N/A,SUM(AD$4:AD349))</f>
        <v>#N/A</v>
      </c>
      <c r="AF349" s="315" t="e">
        <f>IF($J349="",#N/A,SUM(AD$4:AD349,AB$4:AB349,Z$4:Z349))</f>
        <v>#N/A</v>
      </c>
      <c r="AG349" s="304" t="str">
        <f t="shared" si="575"/>
        <v/>
      </c>
      <c r="AH349" s="313" t="e">
        <f>IF($J349="",#N/A,SUM(AG$4:AG349))</f>
        <v>#N/A</v>
      </c>
      <c r="AI349" s="314" t="str">
        <f t="shared" si="576"/>
        <v/>
      </c>
      <c r="AJ349" s="314" t="e">
        <f>IF($J349="",#N/A,SUM(AI$4:AI349))</f>
        <v>#N/A</v>
      </c>
      <c r="AK349" s="315" t="str">
        <f t="shared" si="577"/>
        <v/>
      </c>
      <c r="AL349" s="315" t="e">
        <f>IF($J349="",#N/A,SUM(AK$4:AK349))</f>
        <v>#N/A</v>
      </c>
      <c r="AM349" s="315" t="e">
        <f>IF($J349="",#N/A,SUM(AK$4:AK349,AI$4:AI349,AG$4:AG349))</f>
        <v>#N/A</v>
      </c>
      <c r="AN349" s="304" t="str">
        <f t="shared" si="578"/>
        <v/>
      </c>
      <c r="AO349" s="313" t="e">
        <f>IF($J349="",#N/A,SUM(AN$4:AN349))</f>
        <v>#N/A</v>
      </c>
      <c r="AP349" s="314" t="str">
        <f t="shared" si="579"/>
        <v/>
      </c>
      <c r="AQ349" s="314" t="e">
        <f>IF($J349="",#N/A,SUM(AP$4:AP349))</f>
        <v>#N/A</v>
      </c>
      <c r="AR349" s="315" t="str">
        <f t="shared" si="580"/>
        <v/>
      </c>
      <c r="AS349" s="315" t="e">
        <f>IF($J349="",#N/A,SUM(AR$4:AR349))</f>
        <v>#N/A</v>
      </c>
      <c r="AT349" s="315" t="e">
        <f>IF($J349="",#N/A,SUM(AR$4:AR349,AP$4:AP349,AN$4:AN349))</f>
        <v>#N/A</v>
      </c>
      <c r="AU349" s="304" t="str">
        <f t="shared" si="581"/>
        <v/>
      </c>
      <c r="AV349" s="313" t="e">
        <f>IF($J349="",#N/A,SUM(AU$4:AU349))</f>
        <v>#N/A</v>
      </c>
      <c r="AW349" s="314" t="str">
        <f t="shared" si="582"/>
        <v/>
      </c>
      <c r="AX349" s="314" t="e">
        <f>IF($J349="",#N/A,SUM(AW$4:AW349))</f>
        <v>#N/A</v>
      </c>
      <c r="AY349" s="315" t="str">
        <f t="shared" si="583"/>
        <v/>
      </c>
      <c r="AZ349" s="315" t="e">
        <f>IF($J349="",#N/A,SUM(AY$4:AY349))</f>
        <v>#N/A</v>
      </c>
      <c r="BA349" s="315" t="e">
        <f>IF($J349="",#N/A,SUM(AY$4:AY349,AW$4:AW349,AU$4:AU349))</f>
        <v>#N/A</v>
      </c>
      <c r="BB349" s="304" t="str">
        <f t="shared" si="584"/>
        <v/>
      </c>
      <c r="BC349" s="313" t="e">
        <f>IF($J349="",#N/A,SUM(BB$4:BB349))</f>
        <v>#N/A</v>
      </c>
      <c r="BD349" s="314" t="str">
        <f t="shared" si="585"/>
        <v/>
      </c>
      <c r="BE349" s="314" t="e">
        <f>IF($J349="",#N/A,SUM(BD$4:BD349))</f>
        <v>#N/A</v>
      </c>
      <c r="BF349" s="315" t="str">
        <f t="shared" si="586"/>
        <v/>
      </c>
      <c r="BG349" s="315" t="e">
        <f>IF($J349="",#N/A,SUM(BF$4:BF349))</f>
        <v>#N/A</v>
      </c>
      <c r="BH349" s="315" t="e">
        <f>IF($J349="",#N/A,SUM(BF$4:BF349,BD$4:BD349,BB$4:BB349))</f>
        <v>#N/A</v>
      </c>
      <c r="BI349" s="304" t="str">
        <f t="shared" si="587"/>
        <v/>
      </c>
      <c r="BJ349" s="313" t="e">
        <f>IF($J349="",#N/A,SUM(BI$4:BI349))</f>
        <v>#N/A</v>
      </c>
      <c r="BK349" s="314" t="str">
        <f t="shared" si="588"/>
        <v/>
      </c>
      <c r="BL349" s="314" t="e">
        <f>IF($J349="",#N/A,SUM(BK$4:BK349))</f>
        <v>#N/A</v>
      </c>
      <c r="BM349" s="315" t="str">
        <f t="shared" si="589"/>
        <v/>
      </c>
      <c r="BN349" s="315" t="e">
        <f>IF($J349="",#N/A,SUM(BM$4:BM349))</f>
        <v>#N/A</v>
      </c>
      <c r="BO349" s="315" t="e">
        <f>IF($J349="",#N/A,SUM(BM$4:BM349,BK$4:BK349,BI$4:BI349))</f>
        <v>#N/A</v>
      </c>
      <c r="BP349" s="304" t="str">
        <f t="shared" si="590"/>
        <v/>
      </c>
      <c r="BQ349" s="313" t="e">
        <f>IF($J349="",#N/A,SUM(BP$4:BP349))</f>
        <v>#N/A</v>
      </c>
      <c r="BR349" s="314" t="str">
        <f t="shared" si="591"/>
        <v/>
      </c>
      <c r="BS349" s="314" t="e">
        <f>IF($J349="",#N/A,SUM(BR$4:BR349))</f>
        <v>#N/A</v>
      </c>
      <c r="BT349" s="315" t="str">
        <f t="shared" si="592"/>
        <v/>
      </c>
      <c r="BU349" s="315" t="e">
        <f>IF($J349="",#N/A,SUM(BT$4:BT349))</f>
        <v>#N/A</v>
      </c>
      <c r="BV349" s="315" t="e">
        <f>IF($J349="",#N/A,SUM(BT$4:BT349,BR$4:BR349,BP$4:BP349))</f>
        <v>#N/A</v>
      </c>
      <c r="BW349" s="304" t="str">
        <f t="shared" si="593"/>
        <v/>
      </c>
      <c r="BX349" s="313" t="e">
        <f>IF($J349="",#N/A,SUM(BW$4:BW349))</f>
        <v>#N/A</v>
      </c>
      <c r="BY349" s="314" t="str">
        <f t="shared" si="594"/>
        <v/>
      </c>
      <c r="BZ349" s="314" t="e">
        <f>IF($J349="",#N/A,SUM(BY$4:BY349))</f>
        <v>#N/A</v>
      </c>
      <c r="CA349" s="315" t="str">
        <f t="shared" si="595"/>
        <v/>
      </c>
      <c r="CB349" s="315" t="e">
        <f>IF($J349="",#N/A,SUM(CA$4:CA349))</f>
        <v>#N/A</v>
      </c>
      <c r="CC349" s="315" t="e">
        <f>IF($J349="",#N/A,SUM(CA$4:CA349,BY$4:BY349,BW$4:BW349))</f>
        <v>#N/A</v>
      </c>
      <c r="CD349" s="304" t="str">
        <f t="shared" si="596"/>
        <v/>
      </c>
      <c r="CE349" s="313" t="e">
        <f>IF($J349="",#N/A,SUM(CD$4:CD349))</f>
        <v>#N/A</v>
      </c>
      <c r="CF349" s="314" t="str">
        <f t="shared" si="597"/>
        <v/>
      </c>
      <c r="CG349" s="314" t="e">
        <f>IF($J349="",#N/A,SUM(CF$4:CF349))</f>
        <v>#N/A</v>
      </c>
      <c r="CH349" s="315">
        <f t="shared" si="598"/>
        <v>-0.19886250646303127</v>
      </c>
      <c r="CI349" s="315" t="e">
        <f>IF($J349="",#N/A,SUM(CH$4:CH349))</f>
        <v>#N/A</v>
      </c>
      <c r="CJ349" s="315" t="e">
        <f>IF($J349="",#N/A,SUM(CH$4:CH349,CF$4:CF349,CD$4:CD349))</f>
        <v>#N/A</v>
      </c>
      <c r="CK349" s="304" t="str">
        <f t="shared" si="599"/>
        <v/>
      </c>
      <c r="CL349" s="313" t="e">
        <f>IF($J349="",#N/A,SUM(CK$4:CK349))</f>
        <v>#N/A</v>
      </c>
      <c r="CM349" s="314" t="str">
        <f t="shared" si="600"/>
        <v/>
      </c>
      <c r="CN349" s="314" t="e">
        <f>IF($J349="",#N/A,SUM(CM$4:CM349))</f>
        <v>#N/A</v>
      </c>
      <c r="CO349" s="315" t="str">
        <f t="shared" si="601"/>
        <v/>
      </c>
      <c r="CP349" s="315" t="e">
        <f>IF($J349="",#N/A,SUM(CO$4:CO349))</f>
        <v>#N/A</v>
      </c>
      <c r="CQ349" s="315" t="e">
        <f>IF($J349="",#N/A,SUM(CO$4:CO349,CM$4:CM349,CK$4:CK349))</f>
        <v>#N/A</v>
      </c>
      <c r="CR349" s="304" t="str">
        <f t="shared" si="602"/>
        <v/>
      </c>
      <c r="CS349" s="313" t="e">
        <f>IF($J349="",#N/A,SUM(CR$4:CR349))</f>
        <v>#N/A</v>
      </c>
      <c r="CT349" s="314" t="str">
        <f t="shared" si="603"/>
        <v/>
      </c>
      <c r="CU349" s="314" t="e">
        <f>IF($J349="",#N/A,SUM(CT$4:CT349))</f>
        <v>#N/A</v>
      </c>
      <c r="CV349" s="315" t="str">
        <f t="shared" si="604"/>
        <v/>
      </c>
      <c r="CW349" s="315" t="e">
        <f>IF($J349="",#N/A,SUM(CV$4:CV349))</f>
        <v>#N/A</v>
      </c>
      <c r="CX349" s="315" t="e">
        <f>IF($J349="",#N/A,SUM(CV$4:CV349,CT$4:CT349,CR$4:CR349))</f>
        <v>#N/A</v>
      </c>
      <c r="CY349" s="304" t="str">
        <f t="shared" si="605"/>
        <v/>
      </c>
      <c r="CZ349" s="313" t="e">
        <f>IF($J349="",#N/A,SUM(CY$4:CY349))</f>
        <v>#N/A</v>
      </c>
      <c r="DA349" s="314" t="str">
        <f t="shared" si="606"/>
        <v/>
      </c>
      <c r="DB349" s="314" t="e">
        <f>IF($J349="",#N/A,SUM(DA$4:DA349))</f>
        <v>#N/A</v>
      </c>
      <c r="DC349" s="315" t="str">
        <f t="shared" si="607"/>
        <v/>
      </c>
      <c r="DD349" s="315" t="e">
        <f>IF($J349="",#N/A,SUM(DC$4:DC349))</f>
        <v>#N/A</v>
      </c>
      <c r="DE349" s="315" t="e">
        <f>IF($J349="",#N/A,SUM(DC$4:DC349,DA$4:DA349,CY$4:CY349))</f>
        <v>#N/A</v>
      </c>
      <c r="DF349" s="304" t="str">
        <f t="shared" si="608"/>
        <v/>
      </c>
      <c r="DG349" s="313" t="e">
        <f>IF($J349="",#N/A,SUM(DF$4:DF349))</f>
        <v>#N/A</v>
      </c>
      <c r="DH349" s="314" t="str">
        <f t="shared" si="609"/>
        <v/>
      </c>
      <c r="DI349" s="314" t="e">
        <f>IF($J349="",#N/A,SUM(DH$4:DH349))</f>
        <v>#N/A</v>
      </c>
      <c r="DJ349" s="315" t="str">
        <f t="shared" si="610"/>
        <v/>
      </c>
      <c r="DK349" s="315" t="e">
        <f>IF($J349="",#N/A,SUM(DJ$4:DJ349))</f>
        <v>#N/A</v>
      </c>
      <c r="DL349" s="315" t="e">
        <f>IF($J349="",#N/A,SUM(DJ$4:DJ349,DH$4:DH349,DF$4:DF349))</f>
        <v>#N/A</v>
      </c>
      <c r="DM349" s="304" t="str">
        <f t="shared" si="611"/>
        <v/>
      </c>
      <c r="DN349" s="313" t="e">
        <f>IF($J349="",#N/A,SUM(DM$4:DM349))</f>
        <v>#N/A</v>
      </c>
      <c r="DO349" s="314" t="str">
        <f t="shared" si="612"/>
        <v/>
      </c>
      <c r="DP349" s="314" t="e">
        <f>IF($J349="",#N/A,SUM(DO$4:DO349))</f>
        <v>#N/A</v>
      </c>
      <c r="DQ349" s="315" t="str">
        <f t="shared" si="613"/>
        <v/>
      </c>
      <c r="DR349" s="315" t="e">
        <f>IF($J349="",#N/A,SUM(DQ$4:DQ349))</f>
        <v>#N/A</v>
      </c>
      <c r="DS349" s="315" t="e">
        <f>IF($J349="",#N/A,SUM(DQ$4:DQ349,DO$4:DO349,DM$4:DM349))</f>
        <v>#N/A</v>
      </c>
      <c r="DT349" s="304" t="str">
        <f t="shared" si="614"/>
        <v/>
      </c>
      <c r="DU349" s="313" t="e">
        <f>IF($J349="",#N/A,SUM(DT$4:DT349))</f>
        <v>#N/A</v>
      </c>
      <c r="DV349" s="314" t="str">
        <f t="shared" si="615"/>
        <v/>
      </c>
      <c r="DW349" s="314" t="e">
        <f>IF($J349="",#N/A,SUM(DV$4:DV349))</f>
        <v>#N/A</v>
      </c>
      <c r="DX349" s="315" t="str">
        <f t="shared" si="616"/>
        <v/>
      </c>
      <c r="DY349" s="315" t="e">
        <f>IF($J349="",#N/A,SUM(DX$4:DX349))</f>
        <v>#N/A</v>
      </c>
      <c r="DZ349" s="315" t="e">
        <f>IF($J349="",#N/A,SUM(DX$4:DX349,DV$4:DV349,DT$4:DT349))</f>
        <v>#N/A</v>
      </c>
      <c r="EA349" s="304" t="str">
        <f t="shared" si="617"/>
        <v/>
      </c>
      <c r="EB349" s="313" t="e">
        <f>IF($J349="",#N/A,SUM(EA$4:EA349))</f>
        <v>#N/A</v>
      </c>
      <c r="EC349" s="314" t="str">
        <f t="shared" si="618"/>
        <v/>
      </c>
      <c r="ED349" s="314" t="e">
        <f>IF($J349="",#N/A,SUM(EC$4:EC349))</f>
        <v>#N/A</v>
      </c>
      <c r="EE349" s="315" t="str">
        <f t="shared" si="619"/>
        <v/>
      </c>
      <c r="EF349" s="315" t="e">
        <f>IF($J349="",#N/A,SUM(EE$4:EE349))</f>
        <v>#N/A</v>
      </c>
      <c r="EG349" s="315" t="e">
        <f>IF($J349="",#N/A,SUM(EE$4:EE349,EC$4:EC349,EA$4:EA349))</f>
        <v>#N/A</v>
      </c>
      <c r="EH349" s="130">
        <f t="shared" si="620"/>
        <v>-19.687388139840095</v>
      </c>
      <c r="EI349" s="63">
        <f>IF(EH349="",#N/A,SUM($EH$4:EH349))</f>
        <v>1293.7202526431345</v>
      </c>
      <c r="EJ349" s="223" t="e">
        <f t="shared" si="621"/>
        <v>#N/A</v>
      </c>
      <c r="EK349" s="63" t="e">
        <f>IF($GZ349="",#N/A,SUM(EJ$4:EJ349))</f>
        <v>#N/A</v>
      </c>
      <c r="EL349" s="60">
        <f t="shared" si="651"/>
        <v>-0.19886250646303127</v>
      </c>
      <c r="EM349" s="60">
        <f>IF(EL349="",NA(),SUM($EL$4:EL349))</f>
        <v>31.11260653160949</v>
      </c>
      <c r="EN349" s="60" t="str">
        <f t="shared" si="622"/>
        <v/>
      </c>
      <c r="EO349" s="60" t="e">
        <f>IF(EN349="",NA(),SUM($EN$4:EN349))</f>
        <v>#N/A</v>
      </c>
      <c r="EP349" s="60">
        <f t="shared" si="623"/>
        <v>-0.19886250646303127</v>
      </c>
      <c r="EQ349" s="60">
        <f>IF(EP349="",NA(),SUM($EP$4:EP349))</f>
        <v>7.5603527443481253</v>
      </c>
      <c r="ER349" s="60" t="str">
        <f t="shared" si="624"/>
        <v/>
      </c>
      <c r="ES349" s="60" t="e">
        <f>IF(ER349="",NA(),SUM($ER$4:ER349))</f>
        <v>#N/A</v>
      </c>
      <c r="ET349" s="60" t="str">
        <f t="shared" si="625"/>
        <v/>
      </c>
      <c r="EU349" s="60" t="e">
        <f>IF(ET349="",NA(),SUM($ET$4:ET349))</f>
        <v>#N/A</v>
      </c>
      <c r="EV349" s="60" t="str">
        <f t="shared" si="626"/>
        <v/>
      </c>
      <c r="EW349" s="60" t="e">
        <f>IF(EV349="",NA(),SUM($EV$4:EV349))</f>
        <v>#N/A</v>
      </c>
      <c r="EX349" s="60" t="str">
        <f t="shared" si="627"/>
        <v/>
      </c>
      <c r="EY349" s="60" t="e">
        <f>IF(EX349="",NA(),SUM($EX$4:EX349))</f>
        <v>#N/A</v>
      </c>
      <c r="EZ349" s="60" t="str">
        <f t="shared" si="628"/>
        <v/>
      </c>
      <c r="FA349" s="60" t="e">
        <f>IF(EZ349="",NA(),SUM($EZ$4:EZ349))</f>
        <v>#N/A</v>
      </c>
      <c r="FB349" s="246" t="str">
        <f t="shared" si="652"/>
        <v/>
      </c>
      <c r="FC349" s="246" t="e">
        <f>IF($FB349="",#N/A,SUM(FB$4:$FB349))</f>
        <v>#N/A</v>
      </c>
      <c r="FD349" s="60" t="str">
        <f t="shared" si="629"/>
        <v/>
      </c>
      <c r="FE349" s="60" t="e">
        <f>IF($FD349="",#N/A,SUM($FD$4:FD349))</f>
        <v>#N/A</v>
      </c>
      <c r="FF349" s="60" t="str">
        <f t="shared" si="630"/>
        <v/>
      </c>
      <c r="FG349" s="60" t="e">
        <f>IF($FF349="",#N/A,SUM($FF$4:FF349))</f>
        <v>#N/A</v>
      </c>
      <c r="FH349" s="60" t="str">
        <f t="shared" si="631"/>
        <v/>
      </c>
      <c r="FI349" s="60" t="e">
        <f>IF($FH349="",#N/A,SUM($FH$4:FH349))</f>
        <v>#N/A</v>
      </c>
      <c r="FJ349" s="60" t="str">
        <f t="shared" si="632"/>
        <v/>
      </c>
      <c r="FK349" s="60" t="e">
        <f>IF($FJ349="",#N/A,SUM($FJ$4:FJ349))</f>
        <v>#N/A</v>
      </c>
      <c r="FL349" s="60">
        <f t="shared" si="633"/>
        <v>-0.50709939148073047</v>
      </c>
      <c r="FM349" s="60">
        <f>IF($FL349="",#N/A,SUM($FL$4:FL349))</f>
        <v>-3.3665166979236831</v>
      </c>
      <c r="FN349" s="82">
        <f t="shared" si="634"/>
        <v>-0.70596189794376174</v>
      </c>
      <c r="FO349" s="82">
        <f>IF($FN349="",#N/A,SUM(FN$4:$FN349))</f>
        <v>53.84563796457428</v>
      </c>
      <c r="FP349" s="82">
        <f t="shared" si="653"/>
        <v>-0.19886250646303127</v>
      </c>
      <c r="FQ349" s="246">
        <f>IF($EH349="",#N/A,SUM($FP$4:FP349))</f>
        <v>54.16037993563409</v>
      </c>
      <c r="FR349" s="82">
        <f>IFERROR(FQ349/COUNTA($J$4:J349),#N/A)</f>
        <v>0.15653288998738177</v>
      </c>
      <c r="FS349" s="82">
        <f t="shared" si="554"/>
        <v>-8.6934714132971602E-2</v>
      </c>
      <c r="FT349" s="82">
        <f t="shared" si="555"/>
        <v>7.2153746905711108E-2</v>
      </c>
      <c r="FU349" s="273"/>
      <c r="FV349" s="57" t="str">
        <f t="shared" si="560"/>
        <v>SW</v>
      </c>
      <c r="FW349" s="57" t="s">
        <v>2732</v>
      </c>
      <c r="FX349" s="57" t="str">
        <f t="shared" si="635"/>
        <v/>
      </c>
      <c r="FY349" s="57" t="str">
        <f t="shared" si="636"/>
        <v/>
      </c>
      <c r="FZ349" s="57" t="str">
        <f t="shared" si="637"/>
        <v/>
      </c>
      <c r="GA349" s="57" t="str">
        <f t="shared" si="638"/>
        <v>Long</v>
      </c>
      <c r="GB349" s="57" t="str">
        <f t="shared" si="639"/>
        <v/>
      </c>
      <c r="GC349" s="57" t="str">
        <f t="shared" si="640"/>
        <v/>
      </c>
      <c r="GD349" s="57">
        <f t="shared" si="641"/>
        <v>1</v>
      </c>
      <c r="GE349" s="62">
        <f t="shared" si="557"/>
        <v>83.81</v>
      </c>
      <c r="GF349" s="62" t="s">
        <v>2779</v>
      </c>
      <c r="GG349" s="99">
        <f>IF(I349="","",1650/I349)</f>
        <v>19.687388139840113</v>
      </c>
      <c r="GH349" s="207">
        <f t="shared" si="642"/>
        <v>1650</v>
      </c>
      <c r="GI349" s="99">
        <f>GG349</f>
        <v>19.687388139840113</v>
      </c>
      <c r="GJ349" s="98">
        <f>J349</f>
        <v>82.81</v>
      </c>
      <c r="GK349" s="63">
        <f t="shared" si="643"/>
        <v>-19.687388139840095</v>
      </c>
      <c r="GL349" s="63">
        <f t="shared" si="558"/>
        <v>-69.890227896432407</v>
      </c>
      <c r="GM349" s="82">
        <f t="shared" si="644"/>
        <v>-0.70596189794376174</v>
      </c>
      <c r="GN349" s="82">
        <f>IF($GZ349="",#N/A,SUM(GM$4:GM349))</f>
        <v>7.2343093783177075</v>
      </c>
      <c r="GO349" s="82" t="str">
        <f t="shared" si="645"/>
        <v/>
      </c>
      <c r="GP349" s="82">
        <f>IF($GZ349="",#N/A,SUM(GO$4:GO349))</f>
        <v>13.526245521551154</v>
      </c>
      <c r="GQ349" s="82" t="str">
        <f t="shared" si="646"/>
        <v/>
      </c>
      <c r="GR349" s="82">
        <f>IF($GZ349="",#N/A,SUM(GQ$4:GQ349))</f>
        <v>32.459246110263081</v>
      </c>
      <c r="GS349" s="63" t="e">
        <f t="shared" si="654"/>
        <v>#N/A</v>
      </c>
      <c r="GT349" s="63" t="e">
        <f>IF($GZ349="",#N/A,SUM(GS$4:GS349))</f>
        <v>#N/A</v>
      </c>
      <c r="GU349" s="63" t="str">
        <f t="shared" si="655"/>
        <v/>
      </c>
      <c r="GV349" s="63" t="e">
        <f>IF($GZ349="",#N/A,SUM(GU$4:GU349))</f>
        <v>#N/A</v>
      </c>
      <c r="GW349" s="63" t="str">
        <f t="shared" si="656"/>
        <v/>
      </c>
      <c r="GX349" s="63" t="e">
        <f>IF($GZ349="",#N/A,SUM(GW$4:GW349))</f>
        <v>#N/A</v>
      </c>
      <c r="GY349" s="63" t="e">
        <f>IF(EJ349="",#N/A,SUM($EJ$4:EJ349))</f>
        <v>#N/A</v>
      </c>
      <c r="GZ349" s="159">
        <v>80.260000000000005</v>
      </c>
      <c r="HA349" s="63">
        <f t="shared" si="647"/>
        <v>-50.202839756592311</v>
      </c>
      <c r="HB349" s="62" t="s">
        <v>4970</v>
      </c>
      <c r="HC349" s="60">
        <f>IFERROR(VLOOKUP(E349,Expectancy!$P$4:$S$19,1+C349,FALSE),"")</f>
        <v>-0.22212962098938482</v>
      </c>
      <c r="HD349" s="99" t="str">
        <f t="shared" si="648"/>
        <v/>
      </c>
      <c r="HE349" s="500" t="e">
        <f>IF(HD349="",#N/A,SUM($HD$4:HD349))</f>
        <v>#N/A</v>
      </c>
      <c r="HF349" s="501" t="e">
        <f>IF(HD349="",#N/A,IF(HB349="Skip",#N/A,SUM($HG$4:HG349)))</f>
        <v>#N/A</v>
      </c>
      <c r="HG349" s="502" t="str">
        <f t="shared" si="649"/>
        <v/>
      </c>
      <c r="HH349" s="82">
        <f t="shared" si="650"/>
        <v>-0.70596189794376174</v>
      </c>
    </row>
    <row r="350" spans="1:216" x14ac:dyDescent="0.25">
      <c r="A350" s="465" t="s">
        <v>1261</v>
      </c>
      <c r="B350" s="466" t="s">
        <v>5246</v>
      </c>
      <c r="C350" s="467">
        <f t="shared" si="561"/>
        <v>2</v>
      </c>
      <c r="D350" s="468" t="str">
        <f>_xlfn.XLOOKUP(A350,[1]SP500!$A$2:$A$502,[1]SP500!$D$2:$D$502,"N")</f>
        <v>Y</v>
      </c>
      <c r="E350" s="465" t="str">
        <f>_xlfn.XLOOKUP(A350,[1]SP500!$A$2:$A$655,[1]SP500!$B$2:$B$655)</f>
        <v>XLI</v>
      </c>
      <c r="F350" s="59">
        <v>45707</v>
      </c>
      <c r="G350" s="57" t="str">
        <f t="shared" si="562"/>
        <v>AMC</v>
      </c>
      <c r="H350" s="57" t="str">
        <f t="shared" si="563"/>
        <v>s</v>
      </c>
      <c r="I350" s="159">
        <v>217.73</v>
      </c>
      <c r="J350" s="159">
        <v>211.76</v>
      </c>
      <c r="K350" s="61">
        <f t="shared" si="564"/>
        <v>-2.741928076057502E-2</v>
      </c>
      <c r="L350" s="87">
        <f t="shared" si="565"/>
        <v>47.759999999999991</v>
      </c>
      <c r="M350" s="130">
        <f t="shared" si="556"/>
        <v>0</v>
      </c>
      <c r="N350" s="169" t="str">
        <f t="shared" si="566"/>
        <v/>
      </c>
      <c r="O350" s="169">
        <f>IF($J350="",#N/A,SUM($N$4:N350))</f>
        <v>489.99671935422452</v>
      </c>
      <c r="P350" s="174">
        <f t="shared" si="567"/>
        <v>47.759999999999991</v>
      </c>
      <c r="Q350" s="174">
        <f>IF($J350="",#N/A,SUM($P$4:P350))</f>
        <v>649.81499224504307</v>
      </c>
      <c r="R350" s="178" t="str">
        <f t="shared" si="568"/>
        <v/>
      </c>
      <c r="S350" s="178">
        <f>IF($J350="",#N/A,SUM($R$4:R350))</f>
        <v>201.66854104386675</v>
      </c>
      <c r="T350" s="290" t="str">
        <f t="shared" si="569"/>
        <v/>
      </c>
      <c r="U350" s="290">
        <f>IF($J350="",#N/A,SUM($T$4:T350))</f>
        <v>18.69431278866081</v>
      </c>
      <c r="V350" s="291">
        <f t="shared" si="570"/>
        <v>0.45698801267625033</v>
      </c>
      <c r="W350" s="291">
        <f>IF($J350="",#N/A,SUM($V$4:V350))</f>
        <v>26.107096641821773</v>
      </c>
      <c r="X350" s="292" t="str">
        <f t="shared" si="571"/>
        <v/>
      </c>
      <c r="Y350" s="292">
        <f>IF($J350="",#N/A,SUM($X$4:X350))</f>
        <v>9.815958517827772</v>
      </c>
      <c r="Z350" s="304" t="str">
        <f t="shared" si="572"/>
        <v/>
      </c>
      <c r="AA350" s="313" t="e">
        <f>IF($J350="",#N/A,SUM(Z$4:Z350))</f>
        <v>#N/A</v>
      </c>
      <c r="AB350" s="314" t="str">
        <f t="shared" si="573"/>
        <v/>
      </c>
      <c r="AC350" s="314" t="e">
        <f>IF($J350="",#N/A,SUM(AB$4:AB350))</f>
        <v>#N/A</v>
      </c>
      <c r="AD350" s="315" t="str">
        <f t="shared" si="574"/>
        <v/>
      </c>
      <c r="AE350" s="315" t="e">
        <f>IF($J350="",#N/A,SUM(AD$4:AD350))</f>
        <v>#N/A</v>
      </c>
      <c r="AF350" s="315" t="e">
        <f>IF($J350="",#N/A,SUM(AD$4:AD350,AB$4:AB350,Z$4:Z350))</f>
        <v>#N/A</v>
      </c>
      <c r="AG350" s="304" t="str">
        <f t="shared" si="575"/>
        <v/>
      </c>
      <c r="AH350" s="313" t="e">
        <f>IF($J350="",#N/A,SUM(AG$4:AG350))</f>
        <v>#N/A</v>
      </c>
      <c r="AI350" s="314" t="str">
        <f t="shared" si="576"/>
        <v/>
      </c>
      <c r="AJ350" s="314" t="e">
        <f>IF($J350="",#N/A,SUM(AI$4:AI350))</f>
        <v>#N/A</v>
      </c>
      <c r="AK350" s="315" t="str">
        <f t="shared" si="577"/>
        <v/>
      </c>
      <c r="AL350" s="315" t="e">
        <f>IF($J350="",#N/A,SUM(AK$4:AK350))</f>
        <v>#N/A</v>
      </c>
      <c r="AM350" s="315" t="e">
        <f>IF($J350="",#N/A,SUM(AK$4:AK350,AI$4:AI350,AG$4:AG350))</f>
        <v>#N/A</v>
      </c>
      <c r="AN350" s="304" t="str">
        <f t="shared" si="578"/>
        <v/>
      </c>
      <c r="AO350" s="313" t="e">
        <f>IF($J350="",#N/A,SUM(AN$4:AN350))</f>
        <v>#N/A</v>
      </c>
      <c r="AP350" s="314" t="str">
        <f t="shared" si="579"/>
        <v/>
      </c>
      <c r="AQ350" s="314" t="e">
        <f>IF($J350="",#N/A,SUM(AP$4:AP350))</f>
        <v>#N/A</v>
      </c>
      <c r="AR350" s="315" t="str">
        <f t="shared" si="580"/>
        <v/>
      </c>
      <c r="AS350" s="315" t="e">
        <f>IF($J350="",#N/A,SUM(AR$4:AR350))</f>
        <v>#N/A</v>
      </c>
      <c r="AT350" s="315" t="e">
        <f>IF($J350="",#N/A,SUM(AR$4:AR350,AP$4:AP350,AN$4:AN350))</f>
        <v>#N/A</v>
      </c>
      <c r="AU350" s="304" t="str">
        <f t="shared" si="581"/>
        <v/>
      </c>
      <c r="AV350" s="313" t="e">
        <f>IF($J350="",#N/A,SUM(AU$4:AU350))</f>
        <v>#N/A</v>
      </c>
      <c r="AW350" s="314" t="str">
        <f t="shared" si="582"/>
        <v/>
      </c>
      <c r="AX350" s="314" t="e">
        <f>IF($J350="",#N/A,SUM(AW$4:AW350))</f>
        <v>#N/A</v>
      </c>
      <c r="AY350" s="315" t="str">
        <f t="shared" si="583"/>
        <v/>
      </c>
      <c r="AZ350" s="315" t="e">
        <f>IF($J350="",#N/A,SUM(AY$4:AY350))</f>
        <v>#N/A</v>
      </c>
      <c r="BA350" s="315" t="e">
        <f>IF($J350="",#N/A,SUM(AY$4:AY350,AW$4:AW350,AU$4:AU350))</f>
        <v>#N/A</v>
      </c>
      <c r="BB350" s="304" t="str">
        <f t="shared" si="584"/>
        <v/>
      </c>
      <c r="BC350" s="313" t="e">
        <f>IF($J350="",#N/A,SUM(BB$4:BB350))</f>
        <v>#N/A</v>
      </c>
      <c r="BD350" s="314" t="str">
        <f t="shared" si="585"/>
        <v/>
      </c>
      <c r="BE350" s="314" t="e">
        <f>IF($J350="",#N/A,SUM(BD$4:BD350))</f>
        <v>#N/A</v>
      </c>
      <c r="BF350" s="315" t="str">
        <f t="shared" si="586"/>
        <v/>
      </c>
      <c r="BG350" s="315" t="e">
        <f>IF($J350="",#N/A,SUM(BF$4:BF350))</f>
        <v>#N/A</v>
      </c>
      <c r="BH350" s="315" t="e">
        <f>IF($J350="",#N/A,SUM(BF$4:BF350,BD$4:BD350,BB$4:BB350))</f>
        <v>#N/A</v>
      </c>
      <c r="BI350" s="304" t="str">
        <f t="shared" si="587"/>
        <v/>
      </c>
      <c r="BJ350" s="313" t="e">
        <f>IF($J350="",#N/A,SUM(BI$4:BI350))</f>
        <v>#N/A</v>
      </c>
      <c r="BK350" s="314" t="str">
        <f t="shared" si="588"/>
        <v/>
      </c>
      <c r="BL350" s="314" t="e">
        <f>IF($J350="",#N/A,SUM(BK$4:BK350))</f>
        <v>#N/A</v>
      </c>
      <c r="BM350" s="315" t="str">
        <f t="shared" si="589"/>
        <v/>
      </c>
      <c r="BN350" s="315" t="e">
        <f>IF($J350="",#N/A,SUM(BM$4:BM350))</f>
        <v>#N/A</v>
      </c>
      <c r="BO350" s="315" t="e">
        <f>IF($J350="",#N/A,SUM(BM$4:BM350,BK$4:BK350,BI$4:BI350))</f>
        <v>#N/A</v>
      </c>
      <c r="BP350" s="304" t="str">
        <f t="shared" si="590"/>
        <v/>
      </c>
      <c r="BQ350" s="313" t="e">
        <f>IF($J350="",#N/A,SUM(BP$4:BP350))</f>
        <v>#N/A</v>
      </c>
      <c r="BR350" s="314">
        <f t="shared" si="591"/>
        <v>0.45698801267625033</v>
      </c>
      <c r="BS350" s="314" t="e">
        <f>IF($J350="",#N/A,SUM(BR$4:BR350))</f>
        <v>#N/A</v>
      </c>
      <c r="BT350" s="315" t="str">
        <f t="shared" si="592"/>
        <v/>
      </c>
      <c r="BU350" s="315" t="e">
        <f>IF($J350="",#N/A,SUM(BT$4:BT350))</f>
        <v>#N/A</v>
      </c>
      <c r="BV350" s="315" t="e">
        <f>IF($J350="",#N/A,SUM(BT$4:BT350,BR$4:BR350,BP$4:BP350))</f>
        <v>#N/A</v>
      </c>
      <c r="BW350" s="304" t="str">
        <f t="shared" si="593"/>
        <v/>
      </c>
      <c r="BX350" s="313" t="e">
        <f>IF($J350="",#N/A,SUM(BW$4:BW350))</f>
        <v>#N/A</v>
      </c>
      <c r="BY350" s="314" t="str">
        <f t="shared" si="594"/>
        <v/>
      </c>
      <c r="BZ350" s="314" t="e">
        <f>IF($J350="",#N/A,SUM(BY$4:BY350))</f>
        <v>#N/A</v>
      </c>
      <c r="CA350" s="315" t="str">
        <f t="shared" si="595"/>
        <v/>
      </c>
      <c r="CB350" s="315" t="e">
        <f>IF($J350="",#N/A,SUM(CA$4:CA350))</f>
        <v>#N/A</v>
      </c>
      <c r="CC350" s="315" t="e">
        <f>IF($J350="",#N/A,SUM(CA$4:CA350,BY$4:BY350,BW$4:BW350))</f>
        <v>#N/A</v>
      </c>
      <c r="CD350" s="304" t="str">
        <f t="shared" si="596"/>
        <v/>
      </c>
      <c r="CE350" s="313" t="e">
        <f>IF($J350="",#N/A,SUM(CD$4:CD350))</f>
        <v>#N/A</v>
      </c>
      <c r="CF350" s="314" t="str">
        <f t="shared" si="597"/>
        <v/>
      </c>
      <c r="CG350" s="314" t="e">
        <f>IF($J350="",#N/A,SUM(CF$4:CF350))</f>
        <v>#N/A</v>
      </c>
      <c r="CH350" s="315" t="str">
        <f t="shared" si="598"/>
        <v/>
      </c>
      <c r="CI350" s="315" t="e">
        <f>IF($J350="",#N/A,SUM(CH$4:CH350))</f>
        <v>#N/A</v>
      </c>
      <c r="CJ350" s="315" t="e">
        <f>IF($J350="",#N/A,SUM(CH$4:CH350,CF$4:CF350,CD$4:CD350))</f>
        <v>#N/A</v>
      </c>
      <c r="CK350" s="304" t="str">
        <f t="shared" si="599"/>
        <v/>
      </c>
      <c r="CL350" s="313" t="e">
        <f>IF($J350="",#N/A,SUM(CK$4:CK350))</f>
        <v>#N/A</v>
      </c>
      <c r="CM350" s="314" t="str">
        <f t="shared" si="600"/>
        <v/>
      </c>
      <c r="CN350" s="314" t="e">
        <f>IF($J350="",#N/A,SUM(CM$4:CM350))</f>
        <v>#N/A</v>
      </c>
      <c r="CO350" s="315" t="str">
        <f t="shared" si="601"/>
        <v/>
      </c>
      <c r="CP350" s="315" t="e">
        <f>IF($J350="",#N/A,SUM(CO$4:CO350))</f>
        <v>#N/A</v>
      </c>
      <c r="CQ350" s="315" t="e">
        <f>IF($J350="",#N/A,SUM(CO$4:CO350,CM$4:CM350,CK$4:CK350))</f>
        <v>#N/A</v>
      </c>
      <c r="CR350" s="304" t="str">
        <f t="shared" si="602"/>
        <v/>
      </c>
      <c r="CS350" s="313" t="e">
        <f>IF($J350="",#N/A,SUM(CR$4:CR350))</f>
        <v>#N/A</v>
      </c>
      <c r="CT350" s="314" t="str">
        <f t="shared" si="603"/>
        <v/>
      </c>
      <c r="CU350" s="314" t="e">
        <f>IF($J350="",#N/A,SUM(CT$4:CT350))</f>
        <v>#N/A</v>
      </c>
      <c r="CV350" s="315" t="str">
        <f t="shared" si="604"/>
        <v/>
      </c>
      <c r="CW350" s="315" t="e">
        <f>IF($J350="",#N/A,SUM(CV$4:CV350))</f>
        <v>#N/A</v>
      </c>
      <c r="CX350" s="315" t="e">
        <f>IF($J350="",#N/A,SUM(CV$4:CV350,CT$4:CT350,CR$4:CR350))</f>
        <v>#N/A</v>
      </c>
      <c r="CY350" s="304" t="str">
        <f t="shared" si="605"/>
        <v/>
      </c>
      <c r="CZ350" s="313" t="e">
        <f>IF($J350="",#N/A,SUM(CY$4:CY350))</f>
        <v>#N/A</v>
      </c>
      <c r="DA350" s="314" t="str">
        <f t="shared" si="606"/>
        <v/>
      </c>
      <c r="DB350" s="314" t="e">
        <f>IF($J350="",#N/A,SUM(DA$4:DA350))</f>
        <v>#N/A</v>
      </c>
      <c r="DC350" s="315" t="str">
        <f t="shared" si="607"/>
        <v/>
      </c>
      <c r="DD350" s="315" t="e">
        <f>IF($J350="",#N/A,SUM(DC$4:DC350))</f>
        <v>#N/A</v>
      </c>
      <c r="DE350" s="315" t="e">
        <f>IF($J350="",#N/A,SUM(DC$4:DC350,DA$4:DA350,CY$4:CY350))</f>
        <v>#N/A</v>
      </c>
      <c r="DF350" s="304" t="str">
        <f t="shared" si="608"/>
        <v/>
      </c>
      <c r="DG350" s="313" t="e">
        <f>IF($J350="",#N/A,SUM(DF$4:DF350))</f>
        <v>#N/A</v>
      </c>
      <c r="DH350" s="314" t="str">
        <f t="shared" si="609"/>
        <v/>
      </c>
      <c r="DI350" s="314" t="e">
        <f>IF($J350="",#N/A,SUM(DH$4:DH350))</f>
        <v>#N/A</v>
      </c>
      <c r="DJ350" s="315" t="str">
        <f t="shared" si="610"/>
        <v/>
      </c>
      <c r="DK350" s="315" t="e">
        <f>IF($J350="",#N/A,SUM(DJ$4:DJ350))</f>
        <v>#N/A</v>
      </c>
      <c r="DL350" s="315" t="e">
        <f>IF($J350="",#N/A,SUM(DJ$4:DJ350,DH$4:DH350,DF$4:DF350))</f>
        <v>#N/A</v>
      </c>
      <c r="DM350" s="304" t="str">
        <f t="shared" si="611"/>
        <v/>
      </c>
      <c r="DN350" s="313" t="e">
        <f>IF($J350="",#N/A,SUM(DM$4:DM350))</f>
        <v>#N/A</v>
      </c>
      <c r="DO350" s="314" t="str">
        <f t="shared" si="612"/>
        <v/>
      </c>
      <c r="DP350" s="314" t="e">
        <f>IF($J350="",#N/A,SUM(DO$4:DO350))</f>
        <v>#N/A</v>
      </c>
      <c r="DQ350" s="315" t="str">
        <f t="shared" si="613"/>
        <v/>
      </c>
      <c r="DR350" s="315" t="e">
        <f>IF($J350="",#N/A,SUM(DQ$4:DQ350))</f>
        <v>#N/A</v>
      </c>
      <c r="DS350" s="315" t="e">
        <f>IF($J350="",#N/A,SUM(DQ$4:DQ350,DO$4:DO350,DM$4:DM350))</f>
        <v>#N/A</v>
      </c>
      <c r="DT350" s="304" t="str">
        <f t="shared" si="614"/>
        <v/>
      </c>
      <c r="DU350" s="313" t="e">
        <f>IF($J350="",#N/A,SUM(DT$4:DT350))</f>
        <v>#N/A</v>
      </c>
      <c r="DV350" s="314" t="str">
        <f t="shared" si="615"/>
        <v/>
      </c>
      <c r="DW350" s="314" t="e">
        <f>IF($J350="",#N/A,SUM(DV$4:DV350))</f>
        <v>#N/A</v>
      </c>
      <c r="DX350" s="315" t="str">
        <f t="shared" si="616"/>
        <v/>
      </c>
      <c r="DY350" s="315" t="e">
        <f>IF($J350="",#N/A,SUM(DX$4:DX350))</f>
        <v>#N/A</v>
      </c>
      <c r="DZ350" s="315" t="e">
        <f>IF($J350="",#N/A,SUM(DX$4:DX350,DV$4:DV350,DT$4:DT350))</f>
        <v>#N/A</v>
      </c>
      <c r="EA350" s="304" t="str">
        <f t="shared" si="617"/>
        <v/>
      </c>
      <c r="EB350" s="313" t="e">
        <f>IF($J350="",#N/A,SUM(EA$4:EA350))</f>
        <v>#N/A</v>
      </c>
      <c r="EC350" s="314" t="str">
        <f t="shared" si="618"/>
        <v/>
      </c>
      <c r="ED350" s="314" t="e">
        <f>IF($J350="",#N/A,SUM(EC$4:EC350))</f>
        <v>#N/A</v>
      </c>
      <c r="EE350" s="315" t="str">
        <f t="shared" si="619"/>
        <v/>
      </c>
      <c r="EF350" s="315" t="e">
        <f>IF($J350="",#N/A,SUM(EE$4:EE350))</f>
        <v>#N/A</v>
      </c>
      <c r="EG350" s="315" t="e">
        <f>IF($J350="",#N/A,SUM(EE$4:EE350,EC$4:EC350,EA$4:EA350))</f>
        <v>#N/A</v>
      </c>
      <c r="EH350" s="130">
        <f t="shared" si="620"/>
        <v>47.759999999999991</v>
      </c>
      <c r="EI350" s="63">
        <f>IF(EH350="",#N/A,SUM($EH$4:EH350))</f>
        <v>1341.4802526431345</v>
      </c>
      <c r="EJ350" s="223" t="e">
        <f t="shared" si="621"/>
        <v>#N/A</v>
      </c>
      <c r="EK350" s="63" t="e">
        <f>IF($GZ350="",#N/A,SUM(EJ$4:EJ350))</f>
        <v>#N/A</v>
      </c>
      <c r="EL350" s="60">
        <f t="shared" si="651"/>
        <v>0.45698801267625033</v>
      </c>
      <c r="EM350" s="60">
        <f>IF(EL350="",NA(),SUM($EL$4:EL350))</f>
        <v>31.569594544285742</v>
      </c>
      <c r="EN350" s="60" t="str">
        <f t="shared" si="622"/>
        <v/>
      </c>
      <c r="EO350" s="60" t="e">
        <f>IF(EN350="",NA(),SUM($EN$4:EN350))</f>
        <v>#N/A</v>
      </c>
      <c r="EP350" s="60" t="str">
        <f t="shared" si="623"/>
        <v/>
      </c>
      <c r="EQ350" s="60" t="e">
        <f>IF(EP350="",NA(),SUM($EP$4:EP350))</f>
        <v>#N/A</v>
      </c>
      <c r="ER350" s="60">
        <f t="shared" si="624"/>
        <v>0.45698801267625033</v>
      </c>
      <c r="ES350" s="60">
        <f>IF(ER350="",NA(),SUM($ER$4:ER350))</f>
        <v>13.327284657540261</v>
      </c>
      <c r="ET350" s="60" t="str">
        <f t="shared" si="625"/>
        <v/>
      </c>
      <c r="EU350" s="60" t="e">
        <f>IF(ET350="",NA(),SUM($ET$4:ET350))</f>
        <v>#N/A</v>
      </c>
      <c r="EV350" s="60" t="str">
        <f t="shared" si="626"/>
        <v/>
      </c>
      <c r="EW350" s="60" t="e">
        <f>IF(EV350="",NA(),SUM($EV$4:EV350))</f>
        <v>#N/A</v>
      </c>
      <c r="EX350" s="60" t="str">
        <f t="shared" si="627"/>
        <v/>
      </c>
      <c r="EY350" s="60" t="e">
        <f>IF(EX350="",NA(),SUM($EX$4:EX350))</f>
        <v>#N/A</v>
      </c>
      <c r="EZ350" s="60" t="str">
        <f t="shared" si="628"/>
        <v/>
      </c>
      <c r="FA350" s="60" t="e">
        <f>IF(EZ350="",NA(),SUM($EZ$4:EZ350))</f>
        <v>#N/A</v>
      </c>
      <c r="FB350" s="246">
        <f t="shared" si="652"/>
        <v>-0.51210214485831063</v>
      </c>
      <c r="FC350" s="246">
        <f>IF($FB350="",#N/A,SUM(FB$4:$FB350))</f>
        <v>3.177477974814837</v>
      </c>
      <c r="FD350" s="60" t="str">
        <f t="shared" si="629"/>
        <v/>
      </c>
      <c r="FE350" s="60" t="e">
        <f>IF($FD350="",#N/A,SUM($FD$4:FD350))</f>
        <v>#N/A</v>
      </c>
      <c r="FF350" s="60" t="str">
        <f t="shared" si="630"/>
        <v/>
      </c>
      <c r="FG350" s="60" t="e">
        <f>IF($FF350="",#N/A,SUM($FF$4:FF350))</f>
        <v>#N/A</v>
      </c>
      <c r="FH350" s="60" t="str">
        <f t="shared" si="631"/>
        <v/>
      </c>
      <c r="FI350" s="60" t="e">
        <f>IF($FH350="",#N/A,SUM($FH$4:FH350))</f>
        <v>#N/A</v>
      </c>
      <c r="FJ350" s="60" t="str">
        <f t="shared" si="632"/>
        <v/>
      </c>
      <c r="FK350" s="60" t="e">
        <f>IF($FJ350="",#N/A,SUM($FJ$4:FJ350))</f>
        <v>#N/A</v>
      </c>
      <c r="FL350" s="60" t="str">
        <f t="shared" si="633"/>
        <v/>
      </c>
      <c r="FM350" s="60" t="e">
        <f>IF($FL350="",#N/A,SUM($FL$4:FL350))</f>
        <v>#N/A</v>
      </c>
      <c r="FN350" s="82">
        <f t="shared" si="634"/>
        <v>-5.5114132182060266E-2</v>
      </c>
      <c r="FO350" s="82">
        <f>IF($FN350="",#N/A,SUM(FN$4:$FN350))</f>
        <v>53.790523832392218</v>
      </c>
      <c r="FP350" s="82">
        <f t="shared" si="653"/>
        <v>0.45698801267625033</v>
      </c>
      <c r="FQ350" s="246">
        <f>IF($EH350="",#N/A,SUM($FP$4:FP350))</f>
        <v>54.617367948310338</v>
      </c>
      <c r="FR350" s="82">
        <f>IFERROR(FQ350/COUNTA($J$4:J350),#N/A)</f>
        <v>0.15739875489426611</v>
      </c>
      <c r="FS350" s="82">
        <f t="shared" si="554"/>
        <v>-5.1976515798852034E-2</v>
      </c>
      <c r="FT350" s="82">
        <f t="shared" si="555"/>
        <v>7.843570256206249E-2</v>
      </c>
      <c r="FU350" s="338">
        <f t="shared" ref="FU350:FU366" si="658">IF(AND(HB350="MOC",GZ350=""),#N/A,IFERROR(FQ350-HE350,FQ350-0))-14.53</f>
        <v>27.208492460400485</v>
      </c>
      <c r="FV350" s="57" t="str">
        <f t="shared" si="560"/>
        <v>Dwn</v>
      </c>
      <c r="FW350" s="57" t="s">
        <v>2733</v>
      </c>
      <c r="FX350" s="57" t="str">
        <f t="shared" si="635"/>
        <v/>
      </c>
      <c r="FY350" s="57" t="str">
        <f t="shared" si="636"/>
        <v/>
      </c>
      <c r="FZ350" s="57" t="str">
        <f t="shared" si="637"/>
        <v/>
      </c>
      <c r="GA350" s="57" t="str">
        <f t="shared" si="638"/>
        <v>Short</v>
      </c>
      <c r="GB350" s="57">
        <f t="shared" si="639"/>
        <v>1</v>
      </c>
      <c r="GC350" s="57" t="str">
        <f t="shared" si="640"/>
        <v/>
      </c>
      <c r="GD350" s="57" t="str">
        <f t="shared" si="641"/>
        <v/>
      </c>
      <c r="GE350" s="62">
        <f t="shared" si="557"/>
        <v>217.73</v>
      </c>
      <c r="GF350" s="62" t="s">
        <v>2780</v>
      </c>
      <c r="GG350" s="199">
        <v>8</v>
      </c>
      <c r="GH350" s="207">
        <f t="shared" si="642"/>
        <v>1741.84</v>
      </c>
      <c r="GI350" s="199">
        <v>8</v>
      </c>
      <c r="GJ350" s="200">
        <v>211.76</v>
      </c>
      <c r="GK350" s="63">
        <f t="shared" si="643"/>
        <v>47.759999999999991</v>
      </c>
      <c r="GL350" s="63">
        <f t="shared" si="558"/>
        <v>-5.7599999999999909</v>
      </c>
      <c r="GM350" s="82" t="str">
        <f t="shared" si="644"/>
        <v/>
      </c>
      <c r="GN350" s="82">
        <f>IF($GZ350="",#N/A,SUM(GM$4:GM350))</f>
        <v>7.2343093783177075</v>
      </c>
      <c r="GO350" s="82" t="str">
        <f t="shared" si="645"/>
        <v/>
      </c>
      <c r="GP350" s="82">
        <f>IF($GZ350="",#N/A,SUM(GO$4:GO350))</f>
        <v>13.526245521551154</v>
      </c>
      <c r="GQ350" s="82">
        <f t="shared" si="646"/>
        <v>-5.5114132182060266E-2</v>
      </c>
      <c r="GR350" s="82">
        <f>IF($GZ350="",#N/A,SUM(GQ$4:GQ350))</f>
        <v>32.404131978081018</v>
      </c>
      <c r="GS350" s="63" t="str">
        <f t="shared" si="654"/>
        <v/>
      </c>
      <c r="GT350" s="63" t="e">
        <f>IF($GZ350="",#N/A,SUM(GS$4:GS350))</f>
        <v>#N/A</v>
      </c>
      <c r="GU350" s="63" t="str">
        <f t="shared" si="655"/>
        <v/>
      </c>
      <c r="GV350" s="63" t="e">
        <f>IF($GZ350="",#N/A,SUM(GU$4:GU350))</f>
        <v>#N/A</v>
      </c>
      <c r="GW350" s="63" t="e">
        <f t="shared" si="656"/>
        <v>#N/A</v>
      </c>
      <c r="GX350" s="63" t="e">
        <f>IF($GZ350="",#N/A,SUM(GW$4:GW350))</f>
        <v>#N/A</v>
      </c>
      <c r="GY350" s="63" t="e">
        <f>IF(EJ350="",#N/A,SUM($EJ$4:EJ350))</f>
        <v>#N/A</v>
      </c>
      <c r="GZ350" s="159">
        <v>218.45</v>
      </c>
      <c r="HA350" s="63">
        <f t="shared" si="647"/>
        <v>-53.519999999999982</v>
      </c>
      <c r="HB350" s="62" t="s">
        <v>2538</v>
      </c>
      <c r="HC350" s="60">
        <f>IFERROR(VLOOKUP(E350,Expectancy!$P$4:$S$19,1+C350,FALSE),"")</f>
        <v>0.3117803024854584</v>
      </c>
      <c r="HD350" s="82">
        <f t="shared" si="648"/>
        <v>0.45698801267625033</v>
      </c>
      <c r="HE350" s="138">
        <f>IF(HD350="",#N/A,SUM($HD$4:HD350))</f>
        <v>12.878875487909852</v>
      </c>
      <c r="HF350" s="85">
        <f>IF(HD350="",#N/A,IF(HB350="Skip",#N/A,SUM($HG$4:HG350)))</f>
        <v>564.0165792191558</v>
      </c>
      <c r="HG350" s="63">
        <f t="shared" si="649"/>
        <v>47.759999999999991</v>
      </c>
      <c r="HH350" s="82">
        <f t="shared" si="650"/>
        <v>-5.5114132182060266E-2</v>
      </c>
    </row>
    <row r="351" spans="1:216" x14ac:dyDescent="0.25">
      <c r="A351" s="57" t="s">
        <v>441</v>
      </c>
      <c r="B351" s="58" t="s">
        <v>5246</v>
      </c>
      <c r="C351" s="386">
        <f t="shared" si="561"/>
        <v>3</v>
      </c>
      <c r="D351" s="372" t="str">
        <f>_xlfn.XLOOKUP(A351,[1]SP500!$A$2:$A$502,[1]SP500!$D$2:$D$502,"N")</f>
        <v>N</v>
      </c>
      <c r="E351" s="57" t="str">
        <f>_xlfn.XLOOKUP(A351,[1]SP500!$A$2:$A$655,[1]SP500!$B$2:$B$655)</f>
        <v>IGV</v>
      </c>
      <c r="F351" s="59">
        <v>45707</v>
      </c>
      <c r="G351" s="57" t="str">
        <f t="shared" si="562"/>
        <v>AMC</v>
      </c>
      <c r="H351" s="57" t="str">
        <f t="shared" si="563"/>
        <v>s</v>
      </c>
      <c r="I351" s="159">
        <v>27.04</v>
      </c>
      <c r="J351" s="159">
        <v>31.77</v>
      </c>
      <c r="K351" s="61">
        <f t="shared" si="564"/>
        <v>0.1749260355029586</v>
      </c>
      <c r="L351" s="87">
        <f t="shared" si="565"/>
        <v>288.52999999999997</v>
      </c>
      <c r="M351" s="130">
        <f t="shared" si="556"/>
        <v>-46.970000000000027</v>
      </c>
      <c r="N351" s="169" t="str">
        <f t="shared" si="566"/>
        <v/>
      </c>
      <c r="O351" s="169">
        <f>IF($J351="",#N/A,SUM($N$4:N351))</f>
        <v>489.99671935422452</v>
      </c>
      <c r="P351" s="174" t="str">
        <f t="shared" si="567"/>
        <v/>
      </c>
      <c r="Q351" s="174">
        <f>IF($J351="",#N/A,SUM($P$4:P351))</f>
        <v>649.81499224504307</v>
      </c>
      <c r="R351" s="178">
        <f t="shared" si="568"/>
        <v>288.52999999999997</v>
      </c>
      <c r="S351" s="178">
        <f>IF($J351="",#N/A,SUM($R$4:R351))</f>
        <v>490.19854104386673</v>
      </c>
      <c r="T351" s="290" t="str">
        <f t="shared" si="569"/>
        <v/>
      </c>
      <c r="U351" s="290">
        <f>IF($J351="",#N/A,SUM($T$4:T351))</f>
        <v>18.69431278866081</v>
      </c>
      <c r="V351" s="291" t="str">
        <f t="shared" si="570"/>
        <v/>
      </c>
      <c r="W351" s="291">
        <f>IF($J351="",#N/A,SUM($V$4:V351))</f>
        <v>26.107096641821773</v>
      </c>
      <c r="X351" s="292">
        <f t="shared" si="571"/>
        <v>2.9154339250493098</v>
      </c>
      <c r="Y351" s="292">
        <f>IF($J351="",#N/A,SUM($X$4:X351))</f>
        <v>12.731392442877082</v>
      </c>
      <c r="Z351" s="304" t="str">
        <f t="shared" si="572"/>
        <v/>
      </c>
      <c r="AA351" s="313" t="e">
        <f>IF($J351="",#N/A,SUM(Z$4:Z351))</f>
        <v>#N/A</v>
      </c>
      <c r="AB351" s="314" t="str">
        <f t="shared" si="573"/>
        <v/>
      </c>
      <c r="AC351" s="314" t="e">
        <f>IF($J351="",#N/A,SUM(AB$4:AB351))</f>
        <v>#N/A</v>
      </c>
      <c r="AD351" s="315" t="str">
        <f t="shared" si="574"/>
        <v/>
      </c>
      <c r="AE351" s="315" t="e">
        <f>IF($J351="",#N/A,SUM(AD$4:AD351))</f>
        <v>#N/A</v>
      </c>
      <c r="AF351" s="315" t="e">
        <f>IF($J351="",#N/A,SUM(AD$4:AD351,AB$4:AB351,Z$4:Z351))</f>
        <v>#N/A</v>
      </c>
      <c r="AG351" s="304" t="str">
        <f t="shared" si="575"/>
        <v/>
      </c>
      <c r="AH351" s="313" t="e">
        <f>IF($J351="",#N/A,SUM(AG$4:AG351))</f>
        <v>#N/A</v>
      </c>
      <c r="AI351" s="314" t="str">
        <f t="shared" si="576"/>
        <v/>
      </c>
      <c r="AJ351" s="314" t="e">
        <f>IF($J351="",#N/A,SUM(AI$4:AI351))</f>
        <v>#N/A</v>
      </c>
      <c r="AK351" s="315">
        <f t="shared" si="577"/>
        <v>2.9154339250493098</v>
      </c>
      <c r="AL351" s="315" t="e">
        <f>IF($J351="",#N/A,SUM(AK$4:AK351))</f>
        <v>#N/A</v>
      </c>
      <c r="AM351" s="315" t="e">
        <f>IF($J351="",#N/A,SUM(AK$4:AK351,AI$4:AI351,AG$4:AG351))</f>
        <v>#N/A</v>
      </c>
      <c r="AN351" s="304" t="str">
        <f t="shared" si="578"/>
        <v/>
      </c>
      <c r="AO351" s="313" t="e">
        <f>IF($J351="",#N/A,SUM(AN$4:AN351))</f>
        <v>#N/A</v>
      </c>
      <c r="AP351" s="314" t="str">
        <f t="shared" si="579"/>
        <v/>
      </c>
      <c r="AQ351" s="314" t="e">
        <f>IF($J351="",#N/A,SUM(AP$4:AP351))</f>
        <v>#N/A</v>
      </c>
      <c r="AR351" s="315" t="str">
        <f t="shared" si="580"/>
        <v/>
      </c>
      <c r="AS351" s="315" t="e">
        <f>IF($J351="",#N/A,SUM(AR$4:AR351))</f>
        <v>#N/A</v>
      </c>
      <c r="AT351" s="315" t="e">
        <f>IF($J351="",#N/A,SUM(AR$4:AR351,AP$4:AP351,AN$4:AN351))</f>
        <v>#N/A</v>
      </c>
      <c r="AU351" s="304" t="str">
        <f t="shared" si="581"/>
        <v/>
      </c>
      <c r="AV351" s="313" t="e">
        <f>IF($J351="",#N/A,SUM(AU$4:AU351))</f>
        <v>#N/A</v>
      </c>
      <c r="AW351" s="314" t="str">
        <f t="shared" si="582"/>
        <v/>
      </c>
      <c r="AX351" s="314" t="e">
        <f>IF($J351="",#N/A,SUM(AW$4:AW351))</f>
        <v>#N/A</v>
      </c>
      <c r="AY351" s="315" t="str">
        <f t="shared" si="583"/>
        <v/>
      </c>
      <c r="AZ351" s="315" t="e">
        <f>IF($J351="",#N/A,SUM(AY$4:AY351))</f>
        <v>#N/A</v>
      </c>
      <c r="BA351" s="315" t="e">
        <f>IF($J351="",#N/A,SUM(AY$4:AY351,AW$4:AW351,AU$4:AU351))</f>
        <v>#N/A</v>
      </c>
      <c r="BB351" s="304" t="str">
        <f t="shared" si="584"/>
        <v/>
      </c>
      <c r="BC351" s="313" t="e">
        <f>IF($J351="",#N/A,SUM(BB$4:BB351))</f>
        <v>#N/A</v>
      </c>
      <c r="BD351" s="314" t="str">
        <f t="shared" si="585"/>
        <v/>
      </c>
      <c r="BE351" s="314" t="e">
        <f>IF($J351="",#N/A,SUM(BD$4:BD351))</f>
        <v>#N/A</v>
      </c>
      <c r="BF351" s="315" t="str">
        <f t="shared" si="586"/>
        <v/>
      </c>
      <c r="BG351" s="315" t="e">
        <f>IF($J351="",#N/A,SUM(BF$4:BF351))</f>
        <v>#N/A</v>
      </c>
      <c r="BH351" s="315" t="e">
        <f>IF($J351="",#N/A,SUM(BF$4:BF351,BD$4:BD351,BB$4:BB351))</f>
        <v>#N/A</v>
      </c>
      <c r="BI351" s="304" t="str">
        <f t="shared" si="587"/>
        <v/>
      </c>
      <c r="BJ351" s="313" t="e">
        <f>IF($J351="",#N/A,SUM(BI$4:BI351))</f>
        <v>#N/A</v>
      </c>
      <c r="BK351" s="314" t="str">
        <f t="shared" si="588"/>
        <v/>
      </c>
      <c r="BL351" s="314" t="e">
        <f>IF($J351="",#N/A,SUM(BK$4:BK351))</f>
        <v>#N/A</v>
      </c>
      <c r="BM351" s="315" t="str">
        <f t="shared" si="589"/>
        <v/>
      </c>
      <c r="BN351" s="315" t="e">
        <f>IF($J351="",#N/A,SUM(BM$4:BM351))</f>
        <v>#N/A</v>
      </c>
      <c r="BO351" s="315" t="e">
        <f>IF($J351="",#N/A,SUM(BM$4:BM351,BK$4:BK351,BI$4:BI351))</f>
        <v>#N/A</v>
      </c>
      <c r="BP351" s="304" t="str">
        <f t="shared" si="590"/>
        <v/>
      </c>
      <c r="BQ351" s="313" t="e">
        <f>IF($J351="",#N/A,SUM(BP$4:BP351))</f>
        <v>#N/A</v>
      </c>
      <c r="BR351" s="314" t="str">
        <f t="shared" si="591"/>
        <v/>
      </c>
      <c r="BS351" s="314" t="e">
        <f>IF($J351="",#N/A,SUM(BR$4:BR351))</f>
        <v>#N/A</v>
      </c>
      <c r="BT351" s="315" t="str">
        <f t="shared" si="592"/>
        <v/>
      </c>
      <c r="BU351" s="315" t="e">
        <f>IF($J351="",#N/A,SUM(BT$4:BT351))</f>
        <v>#N/A</v>
      </c>
      <c r="BV351" s="315" t="e">
        <f>IF($J351="",#N/A,SUM(BT$4:BT351,BR$4:BR351,BP$4:BP351))</f>
        <v>#N/A</v>
      </c>
      <c r="BW351" s="304" t="str">
        <f t="shared" si="593"/>
        <v/>
      </c>
      <c r="BX351" s="313" t="e">
        <f>IF($J351="",#N/A,SUM(BW$4:BW351))</f>
        <v>#N/A</v>
      </c>
      <c r="BY351" s="314" t="str">
        <f t="shared" si="594"/>
        <v/>
      </c>
      <c r="BZ351" s="314" t="e">
        <f>IF($J351="",#N/A,SUM(BY$4:BY351))</f>
        <v>#N/A</v>
      </c>
      <c r="CA351" s="315" t="str">
        <f t="shared" si="595"/>
        <v/>
      </c>
      <c r="CB351" s="315" t="e">
        <f>IF($J351="",#N/A,SUM(CA$4:CA351))</f>
        <v>#N/A</v>
      </c>
      <c r="CC351" s="315" t="e">
        <f>IF($J351="",#N/A,SUM(CA$4:CA351,BY$4:BY351,BW$4:BW351))</f>
        <v>#N/A</v>
      </c>
      <c r="CD351" s="304" t="str">
        <f t="shared" si="596"/>
        <v/>
      </c>
      <c r="CE351" s="313" t="e">
        <f>IF($J351="",#N/A,SUM(CD$4:CD351))</f>
        <v>#N/A</v>
      </c>
      <c r="CF351" s="314" t="str">
        <f t="shared" si="597"/>
        <v/>
      </c>
      <c r="CG351" s="314" t="e">
        <f>IF($J351="",#N/A,SUM(CF$4:CF351))</f>
        <v>#N/A</v>
      </c>
      <c r="CH351" s="315" t="str">
        <f t="shared" si="598"/>
        <v/>
      </c>
      <c r="CI351" s="315" t="e">
        <f>IF($J351="",#N/A,SUM(CH$4:CH351))</f>
        <v>#N/A</v>
      </c>
      <c r="CJ351" s="315" t="e">
        <f>IF($J351="",#N/A,SUM(CH$4:CH351,CF$4:CF351,CD$4:CD351))</f>
        <v>#N/A</v>
      </c>
      <c r="CK351" s="304" t="str">
        <f t="shared" si="599"/>
        <v/>
      </c>
      <c r="CL351" s="313" t="e">
        <f>IF($J351="",#N/A,SUM(CK$4:CK351))</f>
        <v>#N/A</v>
      </c>
      <c r="CM351" s="314" t="str">
        <f t="shared" si="600"/>
        <v/>
      </c>
      <c r="CN351" s="314" t="e">
        <f>IF($J351="",#N/A,SUM(CM$4:CM351))</f>
        <v>#N/A</v>
      </c>
      <c r="CO351" s="315" t="str">
        <f t="shared" si="601"/>
        <v/>
      </c>
      <c r="CP351" s="315" t="e">
        <f>IF($J351="",#N/A,SUM(CO$4:CO351))</f>
        <v>#N/A</v>
      </c>
      <c r="CQ351" s="315" t="e">
        <f>IF($J351="",#N/A,SUM(CO$4:CO351,CM$4:CM351,CK$4:CK351))</f>
        <v>#N/A</v>
      </c>
      <c r="CR351" s="304" t="str">
        <f t="shared" si="602"/>
        <v/>
      </c>
      <c r="CS351" s="313" t="e">
        <f>IF($J351="",#N/A,SUM(CR$4:CR351))</f>
        <v>#N/A</v>
      </c>
      <c r="CT351" s="314" t="str">
        <f t="shared" si="603"/>
        <v/>
      </c>
      <c r="CU351" s="314" t="e">
        <f>IF($J351="",#N/A,SUM(CT$4:CT351))</f>
        <v>#N/A</v>
      </c>
      <c r="CV351" s="315" t="str">
        <f t="shared" si="604"/>
        <v/>
      </c>
      <c r="CW351" s="315" t="e">
        <f>IF($J351="",#N/A,SUM(CV$4:CV351))</f>
        <v>#N/A</v>
      </c>
      <c r="CX351" s="315" t="e">
        <f>IF($J351="",#N/A,SUM(CV$4:CV351,CT$4:CT351,CR$4:CR351))</f>
        <v>#N/A</v>
      </c>
      <c r="CY351" s="304" t="str">
        <f t="shared" si="605"/>
        <v/>
      </c>
      <c r="CZ351" s="313" t="e">
        <f>IF($J351="",#N/A,SUM(CY$4:CY351))</f>
        <v>#N/A</v>
      </c>
      <c r="DA351" s="314" t="str">
        <f t="shared" si="606"/>
        <v/>
      </c>
      <c r="DB351" s="314" t="e">
        <f>IF($J351="",#N/A,SUM(DA$4:DA351))</f>
        <v>#N/A</v>
      </c>
      <c r="DC351" s="315" t="str">
        <f t="shared" si="607"/>
        <v/>
      </c>
      <c r="DD351" s="315" t="e">
        <f>IF($J351="",#N/A,SUM(DC$4:DC351))</f>
        <v>#N/A</v>
      </c>
      <c r="DE351" s="315" t="e">
        <f>IF($J351="",#N/A,SUM(DC$4:DC351,DA$4:DA351,CY$4:CY351))</f>
        <v>#N/A</v>
      </c>
      <c r="DF351" s="304" t="str">
        <f t="shared" si="608"/>
        <v/>
      </c>
      <c r="DG351" s="313" t="e">
        <f>IF($J351="",#N/A,SUM(DF$4:DF351))</f>
        <v>#N/A</v>
      </c>
      <c r="DH351" s="314" t="str">
        <f t="shared" si="609"/>
        <v/>
      </c>
      <c r="DI351" s="314" t="e">
        <f>IF($J351="",#N/A,SUM(DH$4:DH351))</f>
        <v>#N/A</v>
      </c>
      <c r="DJ351" s="315" t="str">
        <f t="shared" si="610"/>
        <v/>
      </c>
      <c r="DK351" s="315" t="e">
        <f>IF($J351="",#N/A,SUM(DJ$4:DJ351))</f>
        <v>#N/A</v>
      </c>
      <c r="DL351" s="315" t="e">
        <f>IF($J351="",#N/A,SUM(DJ$4:DJ351,DH$4:DH351,DF$4:DF351))</f>
        <v>#N/A</v>
      </c>
      <c r="DM351" s="304" t="str">
        <f t="shared" si="611"/>
        <v/>
      </c>
      <c r="DN351" s="313" t="e">
        <f>IF($J351="",#N/A,SUM(DM$4:DM351))</f>
        <v>#N/A</v>
      </c>
      <c r="DO351" s="314" t="str">
        <f t="shared" si="612"/>
        <v/>
      </c>
      <c r="DP351" s="314" t="e">
        <f>IF($J351="",#N/A,SUM(DO$4:DO351))</f>
        <v>#N/A</v>
      </c>
      <c r="DQ351" s="315" t="str">
        <f t="shared" si="613"/>
        <v/>
      </c>
      <c r="DR351" s="315" t="e">
        <f>IF($J351="",#N/A,SUM(DQ$4:DQ351))</f>
        <v>#N/A</v>
      </c>
      <c r="DS351" s="315" t="e">
        <f>IF($J351="",#N/A,SUM(DQ$4:DQ351,DO$4:DO351,DM$4:DM351))</f>
        <v>#N/A</v>
      </c>
      <c r="DT351" s="304" t="str">
        <f t="shared" si="614"/>
        <v/>
      </c>
      <c r="DU351" s="313" t="e">
        <f>IF($J351="",#N/A,SUM(DT$4:DT351))</f>
        <v>#N/A</v>
      </c>
      <c r="DV351" s="314" t="str">
        <f t="shared" si="615"/>
        <v/>
      </c>
      <c r="DW351" s="314" t="e">
        <f>IF($J351="",#N/A,SUM(DV$4:DV351))</f>
        <v>#N/A</v>
      </c>
      <c r="DX351" s="315" t="str">
        <f t="shared" si="616"/>
        <v/>
      </c>
      <c r="DY351" s="315" t="e">
        <f>IF($J351="",#N/A,SUM(DX$4:DX351))</f>
        <v>#N/A</v>
      </c>
      <c r="DZ351" s="315" t="e">
        <f>IF($J351="",#N/A,SUM(DX$4:DX351,DV$4:DV351,DT$4:DT351))</f>
        <v>#N/A</v>
      </c>
      <c r="EA351" s="304" t="str">
        <f t="shared" si="617"/>
        <v/>
      </c>
      <c r="EB351" s="313" t="e">
        <f>IF($J351="",#N/A,SUM(EA$4:EA351))</f>
        <v>#N/A</v>
      </c>
      <c r="EC351" s="314" t="str">
        <f t="shared" si="618"/>
        <v/>
      </c>
      <c r="ED351" s="314" t="e">
        <f>IF($J351="",#N/A,SUM(EC$4:EC351))</f>
        <v>#N/A</v>
      </c>
      <c r="EE351" s="315" t="str">
        <f t="shared" si="619"/>
        <v/>
      </c>
      <c r="EF351" s="315" t="e">
        <f>IF($J351="",#N/A,SUM(EE$4:EE351))</f>
        <v>#N/A</v>
      </c>
      <c r="EG351" s="315" t="e">
        <f>IF($J351="",#N/A,SUM(EE$4:EE351,EC$4:EC351,EA$4:EA351))</f>
        <v>#N/A</v>
      </c>
      <c r="EH351" s="130">
        <f t="shared" si="620"/>
        <v>288.52999999999997</v>
      </c>
      <c r="EI351" s="63">
        <f>IF(EH351="",#N/A,SUM($EH$4:EH351))</f>
        <v>1630.0102526431344</v>
      </c>
      <c r="EJ351" s="223" t="e">
        <f t="shared" si="621"/>
        <v>#N/A</v>
      </c>
      <c r="EK351" s="63" t="e">
        <f>IF($GZ351="",#N/A,SUM(EJ$4:EJ351))</f>
        <v>#N/A</v>
      </c>
      <c r="EL351" s="60" t="str">
        <f t="shared" si="651"/>
        <v/>
      </c>
      <c r="EM351" s="60" t="e">
        <f>IF(EL351="",NA(),SUM($EL$4:EL351))</f>
        <v>#N/A</v>
      </c>
      <c r="EN351" s="60" t="str">
        <f t="shared" si="622"/>
        <v/>
      </c>
      <c r="EO351" s="60" t="e">
        <f>IF(EN351="",NA(),SUM($EN$4:EN351))</f>
        <v>#N/A</v>
      </c>
      <c r="EP351" s="60" t="str">
        <f t="shared" si="623"/>
        <v/>
      </c>
      <c r="EQ351" s="60" t="e">
        <f>IF(EP351="",NA(),SUM($EP$4:EP351))</f>
        <v>#N/A</v>
      </c>
      <c r="ER351" s="60" t="str">
        <f t="shared" si="624"/>
        <v/>
      </c>
      <c r="ES351" s="60" t="e">
        <f>IF(ER351="",NA(),SUM($ER$4:ER351))</f>
        <v>#N/A</v>
      </c>
      <c r="ET351" s="60">
        <f t="shared" si="625"/>
        <v>2.9154339250493098</v>
      </c>
      <c r="EU351" s="60">
        <f>IF(ET351="",NA(),SUM($ET$4:ET351))</f>
        <v>25.963207329073928</v>
      </c>
      <c r="EV351" s="60" t="str">
        <f t="shared" si="626"/>
        <v/>
      </c>
      <c r="EW351" s="60" t="e">
        <f>IF(EV351="",NA(),SUM($EV$4:EV351))</f>
        <v>#N/A</v>
      </c>
      <c r="EX351" s="60">
        <f t="shared" si="627"/>
        <v>2.9154339250493098</v>
      </c>
      <c r="EY351" s="60">
        <f>IF(EX351="",NA(),SUM($EX$4:EX351))</f>
        <v>5.1710396985289524</v>
      </c>
      <c r="EZ351" s="60" t="str">
        <f t="shared" si="628"/>
        <v/>
      </c>
      <c r="FA351" s="60" t="e">
        <f>IF(EZ351="",NA(),SUM($EZ$4:EZ351))</f>
        <v>#N/A</v>
      </c>
      <c r="FB351" s="246" t="str">
        <f t="shared" si="652"/>
        <v/>
      </c>
      <c r="FC351" s="246" t="e">
        <f>IF($FB351="",#N/A,SUM(FB$4:$FB351))</f>
        <v>#N/A</v>
      </c>
      <c r="FD351" s="60" t="str">
        <f t="shared" si="629"/>
        <v/>
      </c>
      <c r="FE351" s="60" t="e">
        <f>IF($FD351="",#N/A,SUM($FD$4:FD351))</f>
        <v>#N/A</v>
      </c>
      <c r="FF351" s="60" t="str">
        <f t="shared" si="630"/>
        <v/>
      </c>
      <c r="FG351" s="60" t="e">
        <f>IF($FF351="",#N/A,SUM($FF$4:FF351))</f>
        <v>#N/A</v>
      </c>
      <c r="FH351" s="60" t="str">
        <f t="shared" si="631"/>
        <v/>
      </c>
      <c r="FI351" s="60" t="e">
        <f>IF($FH351="",#N/A,SUM($FH$4:FH351))</f>
        <v>#N/A</v>
      </c>
      <c r="FJ351" s="60">
        <f t="shared" si="632"/>
        <v>-1.1279585798816558</v>
      </c>
      <c r="FK351" s="60">
        <f>IF($FJ351="",#N/A,SUM($FJ$4:FJ351))</f>
        <v>-0.34309102146804726</v>
      </c>
      <c r="FL351" s="60" t="str">
        <f t="shared" si="633"/>
        <v/>
      </c>
      <c r="FM351" s="60" t="e">
        <f>IF($FL351="",#N/A,SUM($FL$4:FL351))</f>
        <v>#N/A</v>
      </c>
      <c r="FN351" s="82">
        <f t="shared" si="634"/>
        <v>1.7874753451676539</v>
      </c>
      <c r="FO351" s="82">
        <f>IF($FN351="",#N/A,SUM(FN$4:$FN351))</f>
        <v>55.577999177559875</v>
      </c>
      <c r="FP351" s="82">
        <f t="shared" si="653"/>
        <v>2.9154339250493098</v>
      </c>
      <c r="FQ351" s="246">
        <f>IF($EH351="",#N/A,SUM($FP$4:FP351))</f>
        <v>57.532801873359645</v>
      </c>
      <c r="FR351" s="82">
        <f>IFERROR(FQ351/COUNTA($J$4:J351),#N/A)</f>
        <v>0.16532414331425185</v>
      </c>
      <c r="FS351" s="82">
        <f t="shared" si="554"/>
        <v>2.298640083288234E-2</v>
      </c>
      <c r="FT351" s="82">
        <f t="shared" si="555"/>
        <v>0.16227798302882859</v>
      </c>
      <c r="FU351" s="338">
        <f t="shared" si="658"/>
        <v>27.683097983082931</v>
      </c>
      <c r="FV351" s="57" t="str">
        <f t="shared" si="560"/>
        <v>SW</v>
      </c>
      <c r="FW351" s="57" t="s">
        <v>2732</v>
      </c>
      <c r="FX351" s="57" t="str">
        <f t="shared" si="635"/>
        <v/>
      </c>
      <c r="FY351" s="57" t="str">
        <f t="shared" si="636"/>
        <v/>
      </c>
      <c r="FZ351" s="57">
        <f t="shared" si="637"/>
        <v>1</v>
      </c>
      <c r="GA351" s="57" t="str">
        <f t="shared" si="638"/>
        <v>Long</v>
      </c>
      <c r="GB351" s="57" t="str">
        <f t="shared" si="639"/>
        <v/>
      </c>
      <c r="GC351" s="57" t="str">
        <f t="shared" si="640"/>
        <v/>
      </c>
      <c r="GD351" s="57" t="str">
        <f t="shared" si="641"/>
        <v/>
      </c>
      <c r="GE351" s="62">
        <f t="shared" si="557"/>
        <v>27.04</v>
      </c>
      <c r="GF351" s="62" t="s">
        <v>2779</v>
      </c>
      <c r="GG351" s="199">
        <v>61</v>
      </c>
      <c r="GH351" s="207">
        <f t="shared" si="642"/>
        <v>1649.44</v>
      </c>
      <c r="GI351" s="199">
        <v>61</v>
      </c>
      <c r="GJ351" s="200">
        <v>31</v>
      </c>
      <c r="GK351" s="63">
        <f t="shared" si="643"/>
        <v>241.55999999999995</v>
      </c>
      <c r="GL351" s="63">
        <f t="shared" si="558"/>
        <v>176.90000000000009</v>
      </c>
      <c r="GM351" s="82">
        <f t="shared" si="644"/>
        <v>1.7874753451676539</v>
      </c>
      <c r="GN351" s="82">
        <f>IF($GZ351="",#N/A,SUM(GM$4:GM351))</f>
        <v>9.0217847234853608</v>
      </c>
      <c r="GO351" s="82" t="str">
        <f t="shared" si="645"/>
        <v/>
      </c>
      <c r="GP351" s="82">
        <f>IF($GZ351="",#N/A,SUM(GO$4:GO351))</f>
        <v>13.526245521551154</v>
      </c>
      <c r="GQ351" s="82" t="str">
        <f t="shared" si="646"/>
        <v/>
      </c>
      <c r="GR351" s="82">
        <f>IF($GZ351="",#N/A,SUM(GQ$4:GQ351))</f>
        <v>32.404131978081018</v>
      </c>
      <c r="GS351" s="63" t="e">
        <f t="shared" si="654"/>
        <v>#N/A</v>
      </c>
      <c r="GT351" s="63" t="e">
        <f>IF($GZ351="",#N/A,SUM(GS$4:GS351))</f>
        <v>#N/A</v>
      </c>
      <c r="GU351" s="63" t="str">
        <f t="shared" si="655"/>
        <v/>
      </c>
      <c r="GV351" s="63" t="e">
        <f>IF($GZ351="",#N/A,SUM(GU$4:GU351))</f>
        <v>#N/A</v>
      </c>
      <c r="GW351" s="63" t="str">
        <f t="shared" si="656"/>
        <v/>
      </c>
      <c r="GX351" s="63" t="e">
        <f>IF($GZ351="",#N/A,SUM(GW$4:GW351))</f>
        <v>#N/A</v>
      </c>
      <c r="GY351" s="63" t="e">
        <f>IF(EJ351="",#N/A,SUM($EJ$4:EJ351))</f>
        <v>#N/A</v>
      </c>
      <c r="GZ351" s="159">
        <v>29.94</v>
      </c>
      <c r="HA351" s="63">
        <f t="shared" si="647"/>
        <v>-111.62999999999988</v>
      </c>
      <c r="HB351" s="62" t="s">
        <v>2538</v>
      </c>
      <c r="HC351" s="60">
        <f>IFERROR(VLOOKUP(E351,Expectancy!$P$4:$S$19,1+C351,FALSE),"")</f>
        <v>0.27741610538114203</v>
      </c>
      <c r="HD351" s="82">
        <f t="shared" si="648"/>
        <v>2.4408284023668636</v>
      </c>
      <c r="HE351" s="138">
        <f>IF(HD351="",#N/A,SUM($HD$4:HD351))</f>
        <v>15.319703890276715</v>
      </c>
      <c r="HF351" s="85">
        <f>IF(HD351="",#N/A,IF(HB351="Skip",#N/A,SUM($HG$4:HG351)))</f>
        <v>805.57657921915575</v>
      </c>
      <c r="HG351" s="63">
        <f t="shared" si="649"/>
        <v>241.55999999999995</v>
      </c>
      <c r="HH351" s="82">
        <f t="shared" si="650"/>
        <v>1.7874753451676539</v>
      </c>
    </row>
    <row r="352" spans="1:216" x14ac:dyDescent="0.25">
      <c r="A352" s="57" t="s">
        <v>3158</v>
      </c>
      <c r="B352" s="58" t="s">
        <v>5246</v>
      </c>
      <c r="C352" s="386">
        <f t="shared" si="561"/>
        <v>1</v>
      </c>
      <c r="D352" s="372" t="str">
        <f>_xlfn.XLOOKUP(A352,[1]SP500!$A$2:$A$502,[1]SP500!$D$2:$D$502,"N")</f>
        <v>N</v>
      </c>
      <c r="E352" s="57" t="str">
        <f>_xlfn.XLOOKUP(A352,[1]SP500!$A$2:$A$655,[1]SP500!$B$2:$B$655)</f>
        <v>IGV</v>
      </c>
      <c r="F352" s="59">
        <v>45707</v>
      </c>
      <c r="G352" s="57" t="str">
        <f t="shared" si="562"/>
        <v>AMC</v>
      </c>
      <c r="H352" s="57" t="str">
        <f t="shared" si="563"/>
        <v>s</v>
      </c>
      <c r="I352" s="158">
        <v>47</v>
      </c>
      <c r="J352" s="159">
        <v>43.38</v>
      </c>
      <c r="K352" s="61">
        <f t="shared" si="564"/>
        <v>-7.702127659574462E-2</v>
      </c>
      <c r="L352" s="87">
        <f t="shared" si="565"/>
        <v>-130.31999999999994</v>
      </c>
      <c r="M352" s="130">
        <f t="shared" si="556"/>
        <v>-16.9200000000003</v>
      </c>
      <c r="N352" s="169">
        <f t="shared" si="566"/>
        <v>-130.31999999999994</v>
      </c>
      <c r="O352" s="169">
        <f>IF($J352="",#N/A,SUM($N$4:N352))</f>
        <v>359.67671935422459</v>
      </c>
      <c r="P352" s="174" t="str">
        <f t="shared" si="567"/>
        <v/>
      </c>
      <c r="Q352" s="174">
        <f>IF($J352="",#N/A,SUM($P$4:P352))</f>
        <v>649.81499224504307</v>
      </c>
      <c r="R352" s="178" t="str">
        <f t="shared" si="568"/>
        <v/>
      </c>
      <c r="S352" s="178">
        <f>IF($J352="",#N/A,SUM($R$4:R352))</f>
        <v>490.19854104386673</v>
      </c>
      <c r="T352" s="290">
        <f t="shared" si="569"/>
        <v>-1.2836879432624109</v>
      </c>
      <c r="U352" s="290">
        <f>IF($J352="",#N/A,SUM($T$4:T352))</f>
        <v>17.410624845398399</v>
      </c>
      <c r="V352" s="291" t="str">
        <f t="shared" si="570"/>
        <v/>
      </c>
      <c r="W352" s="291">
        <f>IF($J352="",#N/A,SUM($V$4:V352))</f>
        <v>26.107096641821773</v>
      </c>
      <c r="X352" s="292" t="str">
        <f t="shared" si="571"/>
        <v/>
      </c>
      <c r="Y352" s="292">
        <f>IF($J352="",#N/A,SUM($X$4:X352))</f>
        <v>12.731392442877082</v>
      </c>
      <c r="Z352" s="304" t="str">
        <f t="shared" si="572"/>
        <v/>
      </c>
      <c r="AA352" s="313" t="e">
        <f>IF($J352="",#N/A,SUM(Z$4:Z352))</f>
        <v>#N/A</v>
      </c>
      <c r="AB352" s="314" t="str">
        <f t="shared" si="573"/>
        <v/>
      </c>
      <c r="AC352" s="314" t="e">
        <f>IF($J352="",#N/A,SUM(AB$4:AB352))</f>
        <v>#N/A</v>
      </c>
      <c r="AD352" s="315" t="str">
        <f t="shared" si="574"/>
        <v/>
      </c>
      <c r="AE352" s="315" t="e">
        <f>IF($J352="",#N/A,SUM(AD$4:AD352))</f>
        <v>#N/A</v>
      </c>
      <c r="AF352" s="315" t="e">
        <f>IF($J352="",#N/A,SUM(AD$4:AD352,AB$4:AB352,Z$4:Z352))</f>
        <v>#N/A</v>
      </c>
      <c r="AG352" s="304">
        <f t="shared" si="575"/>
        <v>-1.2836879432624109</v>
      </c>
      <c r="AH352" s="313" t="e">
        <f>IF($J352="",#N/A,SUM(AG$4:AG352))</f>
        <v>#N/A</v>
      </c>
      <c r="AI352" s="314" t="str">
        <f t="shared" si="576"/>
        <v/>
      </c>
      <c r="AJ352" s="314" t="e">
        <f>IF($J352="",#N/A,SUM(AI$4:AI352))</f>
        <v>#N/A</v>
      </c>
      <c r="AK352" s="315" t="str">
        <f t="shared" si="577"/>
        <v/>
      </c>
      <c r="AL352" s="315" t="e">
        <f>IF($J352="",#N/A,SUM(AK$4:AK352))</f>
        <v>#N/A</v>
      </c>
      <c r="AM352" s="315" t="e">
        <f>IF($J352="",#N/A,SUM(AK$4:AK352,AI$4:AI352,AG$4:AG352))</f>
        <v>#N/A</v>
      </c>
      <c r="AN352" s="304" t="str">
        <f t="shared" si="578"/>
        <v/>
      </c>
      <c r="AO352" s="313" t="e">
        <f>IF($J352="",#N/A,SUM(AN$4:AN352))</f>
        <v>#N/A</v>
      </c>
      <c r="AP352" s="314" t="str">
        <f t="shared" si="579"/>
        <v/>
      </c>
      <c r="AQ352" s="314" t="e">
        <f>IF($J352="",#N/A,SUM(AP$4:AP352))</f>
        <v>#N/A</v>
      </c>
      <c r="AR352" s="315" t="str">
        <f t="shared" si="580"/>
        <v/>
      </c>
      <c r="AS352" s="315" t="e">
        <f>IF($J352="",#N/A,SUM(AR$4:AR352))</f>
        <v>#N/A</v>
      </c>
      <c r="AT352" s="315" t="e">
        <f>IF($J352="",#N/A,SUM(AR$4:AR352,AP$4:AP352,AN$4:AN352))</f>
        <v>#N/A</v>
      </c>
      <c r="AU352" s="304" t="str">
        <f t="shared" si="581"/>
        <v/>
      </c>
      <c r="AV352" s="313" t="e">
        <f>IF($J352="",#N/A,SUM(AU$4:AU352))</f>
        <v>#N/A</v>
      </c>
      <c r="AW352" s="314" t="str">
        <f t="shared" si="582"/>
        <v/>
      </c>
      <c r="AX352" s="314" t="e">
        <f>IF($J352="",#N/A,SUM(AW$4:AW352))</f>
        <v>#N/A</v>
      </c>
      <c r="AY352" s="315" t="str">
        <f t="shared" si="583"/>
        <v/>
      </c>
      <c r="AZ352" s="315" t="e">
        <f>IF($J352="",#N/A,SUM(AY$4:AY352))</f>
        <v>#N/A</v>
      </c>
      <c r="BA352" s="315" t="e">
        <f>IF($J352="",#N/A,SUM(AY$4:AY352,AW$4:AW352,AU$4:AU352))</f>
        <v>#N/A</v>
      </c>
      <c r="BB352" s="304" t="str">
        <f t="shared" si="584"/>
        <v/>
      </c>
      <c r="BC352" s="313" t="e">
        <f>IF($J352="",#N/A,SUM(BB$4:BB352))</f>
        <v>#N/A</v>
      </c>
      <c r="BD352" s="314" t="str">
        <f t="shared" si="585"/>
        <v/>
      </c>
      <c r="BE352" s="314" t="e">
        <f>IF($J352="",#N/A,SUM(BD$4:BD352))</f>
        <v>#N/A</v>
      </c>
      <c r="BF352" s="315" t="str">
        <f t="shared" si="586"/>
        <v/>
      </c>
      <c r="BG352" s="315" t="e">
        <f>IF($J352="",#N/A,SUM(BF$4:BF352))</f>
        <v>#N/A</v>
      </c>
      <c r="BH352" s="315" t="e">
        <f>IF($J352="",#N/A,SUM(BF$4:BF352,BD$4:BD352,BB$4:BB352))</f>
        <v>#N/A</v>
      </c>
      <c r="BI352" s="304" t="str">
        <f t="shared" si="587"/>
        <v/>
      </c>
      <c r="BJ352" s="313" t="e">
        <f>IF($J352="",#N/A,SUM(BI$4:BI352))</f>
        <v>#N/A</v>
      </c>
      <c r="BK352" s="314" t="str">
        <f t="shared" si="588"/>
        <v/>
      </c>
      <c r="BL352" s="314" t="e">
        <f>IF($J352="",#N/A,SUM(BK$4:BK352))</f>
        <v>#N/A</v>
      </c>
      <c r="BM352" s="315" t="str">
        <f t="shared" si="589"/>
        <v/>
      </c>
      <c r="BN352" s="315" t="e">
        <f>IF($J352="",#N/A,SUM(BM$4:BM352))</f>
        <v>#N/A</v>
      </c>
      <c r="BO352" s="315" t="e">
        <f>IF($J352="",#N/A,SUM(BM$4:BM352,BK$4:BK352,BI$4:BI352))</f>
        <v>#N/A</v>
      </c>
      <c r="BP352" s="304" t="str">
        <f t="shared" si="590"/>
        <v/>
      </c>
      <c r="BQ352" s="313" t="e">
        <f>IF($J352="",#N/A,SUM(BP$4:BP352))</f>
        <v>#N/A</v>
      </c>
      <c r="BR352" s="314" t="str">
        <f t="shared" si="591"/>
        <v/>
      </c>
      <c r="BS352" s="314" t="e">
        <f>IF($J352="",#N/A,SUM(BR$4:BR352))</f>
        <v>#N/A</v>
      </c>
      <c r="BT352" s="315" t="str">
        <f t="shared" si="592"/>
        <v/>
      </c>
      <c r="BU352" s="315" t="e">
        <f>IF($J352="",#N/A,SUM(BT$4:BT352))</f>
        <v>#N/A</v>
      </c>
      <c r="BV352" s="315" t="e">
        <f>IF($J352="",#N/A,SUM(BT$4:BT352,BR$4:BR352,BP$4:BP352))</f>
        <v>#N/A</v>
      </c>
      <c r="BW352" s="304" t="str">
        <f t="shared" si="593"/>
        <v/>
      </c>
      <c r="BX352" s="313" t="e">
        <f>IF($J352="",#N/A,SUM(BW$4:BW352))</f>
        <v>#N/A</v>
      </c>
      <c r="BY352" s="314" t="str">
        <f t="shared" si="594"/>
        <v/>
      </c>
      <c r="BZ352" s="314" t="e">
        <f>IF($J352="",#N/A,SUM(BY$4:BY352))</f>
        <v>#N/A</v>
      </c>
      <c r="CA352" s="315" t="str">
        <f t="shared" si="595"/>
        <v/>
      </c>
      <c r="CB352" s="315" t="e">
        <f>IF($J352="",#N/A,SUM(CA$4:CA352))</f>
        <v>#N/A</v>
      </c>
      <c r="CC352" s="315" t="e">
        <f>IF($J352="",#N/A,SUM(CA$4:CA352,BY$4:BY352,BW$4:BW352))</f>
        <v>#N/A</v>
      </c>
      <c r="CD352" s="304" t="str">
        <f t="shared" si="596"/>
        <v/>
      </c>
      <c r="CE352" s="313" t="e">
        <f>IF($J352="",#N/A,SUM(CD$4:CD352))</f>
        <v>#N/A</v>
      </c>
      <c r="CF352" s="314" t="str">
        <f t="shared" si="597"/>
        <v/>
      </c>
      <c r="CG352" s="314" t="e">
        <f>IF($J352="",#N/A,SUM(CF$4:CF352))</f>
        <v>#N/A</v>
      </c>
      <c r="CH352" s="315" t="str">
        <f t="shared" si="598"/>
        <v/>
      </c>
      <c r="CI352" s="315" t="e">
        <f>IF($J352="",#N/A,SUM(CH$4:CH352))</f>
        <v>#N/A</v>
      </c>
      <c r="CJ352" s="315" t="e">
        <f>IF($J352="",#N/A,SUM(CH$4:CH352,CF$4:CF352,CD$4:CD352))</f>
        <v>#N/A</v>
      </c>
      <c r="CK352" s="304" t="str">
        <f t="shared" si="599"/>
        <v/>
      </c>
      <c r="CL352" s="313" t="e">
        <f>IF($J352="",#N/A,SUM(CK$4:CK352))</f>
        <v>#N/A</v>
      </c>
      <c r="CM352" s="314" t="str">
        <f t="shared" si="600"/>
        <v/>
      </c>
      <c r="CN352" s="314" t="e">
        <f>IF($J352="",#N/A,SUM(CM$4:CM352))</f>
        <v>#N/A</v>
      </c>
      <c r="CO352" s="315" t="str">
        <f t="shared" si="601"/>
        <v/>
      </c>
      <c r="CP352" s="315" t="e">
        <f>IF($J352="",#N/A,SUM(CO$4:CO352))</f>
        <v>#N/A</v>
      </c>
      <c r="CQ352" s="315" t="e">
        <f>IF($J352="",#N/A,SUM(CO$4:CO352,CM$4:CM352,CK$4:CK352))</f>
        <v>#N/A</v>
      </c>
      <c r="CR352" s="304" t="str">
        <f t="shared" si="602"/>
        <v/>
      </c>
      <c r="CS352" s="313" t="e">
        <f>IF($J352="",#N/A,SUM(CR$4:CR352))</f>
        <v>#N/A</v>
      </c>
      <c r="CT352" s="314" t="str">
        <f t="shared" si="603"/>
        <v/>
      </c>
      <c r="CU352" s="314" t="e">
        <f>IF($J352="",#N/A,SUM(CT$4:CT352))</f>
        <v>#N/A</v>
      </c>
      <c r="CV352" s="315" t="str">
        <f t="shared" si="604"/>
        <v/>
      </c>
      <c r="CW352" s="315" t="e">
        <f>IF($J352="",#N/A,SUM(CV$4:CV352))</f>
        <v>#N/A</v>
      </c>
      <c r="CX352" s="315" t="e">
        <f>IF($J352="",#N/A,SUM(CV$4:CV352,CT$4:CT352,CR$4:CR352))</f>
        <v>#N/A</v>
      </c>
      <c r="CY352" s="304" t="str">
        <f t="shared" si="605"/>
        <v/>
      </c>
      <c r="CZ352" s="313" t="e">
        <f>IF($J352="",#N/A,SUM(CY$4:CY352))</f>
        <v>#N/A</v>
      </c>
      <c r="DA352" s="314" t="str">
        <f t="shared" si="606"/>
        <v/>
      </c>
      <c r="DB352" s="314" t="e">
        <f>IF($J352="",#N/A,SUM(DA$4:DA352))</f>
        <v>#N/A</v>
      </c>
      <c r="DC352" s="315" t="str">
        <f t="shared" si="607"/>
        <v/>
      </c>
      <c r="DD352" s="315" t="e">
        <f>IF($J352="",#N/A,SUM(DC$4:DC352))</f>
        <v>#N/A</v>
      </c>
      <c r="DE352" s="315" t="e">
        <f>IF($J352="",#N/A,SUM(DC$4:DC352,DA$4:DA352,CY$4:CY352))</f>
        <v>#N/A</v>
      </c>
      <c r="DF352" s="304" t="str">
        <f t="shared" si="608"/>
        <v/>
      </c>
      <c r="DG352" s="313" t="e">
        <f>IF($J352="",#N/A,SUM(DF$4:DF352))</f>
        <v>#N/A</v>
      </c>
      <c r="DH352" s="314" t="str">
        <f t="shared" si="609"/>
        <v/>
      </c>
      <c r="DI352" s="314" t="e">
        <f>IF($J352="",#N/A,SUM(DH$4:DH352))</f>
        <v>#N/A</v>
      </c>
      <c r="DJ352" s="315" t="str">
        <f t="shared" si="610"/>
        <v/>
      </c>
      <c r="DK352" s="315" t="e">
        <f>IF($J352="",#N/A,SUM(DJ$4:DJ352))</f>
        <v>#N/A</v>
      </c>
      <c r="DL352" s="315" t="e">
        <f>IF($J352="",#N/A,SUM(DJ$4:DJ352,DH$4:DH352,DF$4:DF352))</f>
        <v>#N/A</v>
      </c>
      <c r="DM352" s="304" t="str">
        <f t="shared" si="611"/>
        <v/>
      </c>
      <c r="DN352" s="313" t="e">
        <f>IF($J352="",#N/A,SUM(DM$4:DM352))</f>
        <v>#N/A</v>
      </c>
      <c r="DO352" s="314" t="str">
        <f t="shared" si="612"/>
        <v/>
      </c>
      <c r="DP352" s="314" t="e">
        <f>IF($J352="",#N/A,SUM(DO$4:DO352))</f>
        <v>#N/A</v>
      </c>
      <c r="DQ352" s="315" t="str">
        <f t="shared" si="613"/>
        <v/>
      </c>
      <c r="DR352" s="315" t="e">
        <f>IF($J352="",#N/A,SUM(DQ$4:DQ352))</f>
        <v>#N/A</v>
      </c>
      <c r="DS352" s="315" t="e">
        <f>IF($J352="",#N/A,SUM(DQ$4:DQ352,DO$4:DO352,DM$4:DM352))</f>
        <v>#N/A</v>
      </c>
      <c r="DT352" s="304" t="str">
        <f t="shared" si="614"/>
        <v/>
      </c>
      <c r="DU352" s="313" t="e">
        <f>IF($J352="",#N/A,SUM(DT$4:DT352))</f>
        <v>#N/A</v>
      </c>
      <c r="DV352" s="314" t="str">
        <f t="shared" si="615"/>
        <v/>
      </c>
      <c r="DW352" s="314" t="e">
        <f>IF($J352="",#N/A,SUM(DV$4:DV352))</f>
        <v>#N/A</v>
      </c>
      <c r="DX352" s="315" t="str">
        <f t="shared" si="616"/>
        <v/>
      </c>
      <c r="DY352" s="315" t="e">
        <f>IF($J352="",#N/A,SUM(DX$4:DX352))</f>
        <v>#N/A</v>
      </c>
      <c r="DZ352" s="315" t="e">
        <f>IF($J352="",#N/A,SUM(DX$4:DX352,DV$4:DV352,DT$4:DT352))</f>
        <v>#N/A</v>
      </c>
      <c r="EA352" s="304" t="str">
        <f t="shared" si="617"/>
        <v/>
      </c>
      <c r="EB352" s="313" t="e">
        <f>IF($J352="",#N/A,SUM(EA$4:EA352))</f>
        <v>#N/A</v>
      </c>
      <c r="EC352" s="314" t="str">
        <f t="shared" si="618"/>
        <v/>
      </c>
      <c r="ED352" s="314" t="e">
        <f>IF($J352="",#N/A,SUM(EC$4:EC352))</f>
        <v>#N/A</v>
      </c>
      <c r="EE352" s="315" t="str">
        <f t="shared" si="619"/>
        <v/>
      </c>
      <c r="EF352" s="315" t="e">
        <f>IF($J352="",#N/A,SUM(EE$4:EE352))</f>
        <v>#N/A</v>
      </c>
      <c r="EG352" s="315" t="e">
        <f>IF($J352="",#N/A,SUM(EE$4:EE352,EC$4:EC352,EA$4:EA352))</f>
        <v>#N/A</v>
      </c>
      <c r="EH352" s="130">
        <f t="shared" si="620"/>
        <v>-130.31999999999994</v>
      </c>
      <c r="EI352" s="63">
        <f>IF(EH352="",#N/A,SUM($EH$4:EH352))</f>
        <v>1499.6902526431345</v>
      </c>
      <c r="EJ352" s="223" t="e">
        <f t="shared" si="621"/>
        <v>#N/A</v>
      </c>
      <c r="EK352" s="63" t="e">
        <f>IF($GZ352="",#N/A,SUM(EJ$4:EJ352))</f>
        <v>#N/A</v>
      </c>
      <c r="EL352" s="60" t="str">
        <f t="shared" si="651"/>
        <v/>
      </c>
      <c r="EM352" s="60" t="e">
        <f>IF(EL352="",NA(),SUM($EL$4:EL352))</f>
        <v>#N/A</v>
      </c>
      <c r="EN352" s="60" t="str">
        <f t="shared" si="622"/>
        <v/>
      </c>
      <c r="EO352" s="60" t="e">
        <f>IF(EN352="",NA(),SUM($EN$4:EN352))</f>
        <v>#N/A</v>
      </c>
      <c r="EP352" s="60" t="str">
        <f t="shared" si="623"/>
        <v/>
      </c>
      <c r="EQ352" s="60" t="e">
        <f>IF(EP352="",NA(),SUM($EP$4:EP352))</f>
        <v>#N/A</v>
      </c>
      <c r="ER352" s="60" t="str">
        <f t="shared" si="624"/>
        <v/>
      </c>
      <c r="ES352" s="60" t="e">
        <f>IF(ER352="",NA(),SUM($ER$4:ER352))</f>
        <v>#N/A</v>
      </c>
      <c r="ET352" s="60">
        <f t="shared" si="625"/>
        <v>-1.2836879432624109</v>
      </c>
      <c r="EU352" s="60">
        <f>IF(ET352="",NA(),SUM($ET$4:ET352))</f>
        <v>24.679519385811517</v>
      </c>
      <c r="EV352" s="60">
        <f t="shared" si="626"/>
        <v>-1.2836879432624109</v>
      </c>
      <c r="EW352" s="60">
        <f>IF(EV352="",NA(),SUM($EV$4:EV352))</f>
        <v>6.7286677030010615</v>
      </c>
      <c r="EX352" s="60" t="str">
        <f t="shared" si="627"/>
        <v/>
      </c>
      <c r="EY352" s="60" t="e">
        <f>IF(EX352="",NA(),SUM($EX$4:EX352))</f>
        <v>#N/A</v>
      </c>
      <c r="EZ352" s="60" t="str">
        <f t="shared" si="628"/>
        <v/>
      </c>
      <c r="FA352" s="60" t="e">
        <f>IF(EZ352="",NA(),SUM($EZ$4:EZ352))</f>
        <v>#N/A</v>
      </c>
      <c r="FB352" s="246" t="str">
        <f t="shared" si="652"/>
        <v/>
      </c>
      <c r="FC352" s="246" t="e">
        <f>IF($FB352="",#N/A,SUM(FB$4:$FB352))</f>
        <v>#N/A</v>
      </c>
      <c r="FD352" s="60" t="str">
        <f t="shared" si="629"/>
        <v/>
      </c>
      <c r="FE352" s="60" t="e">
        <f>IF($FD352="",#N/A,SUM($FD$4:FD352))</f>
        <v>#N/A</v>
      </c>
      <c r="FF352" s="60" t="str">
        <f t="shared" si="630"/>
        <v/>
      </c>
      <c r="FG352" s="60" t="e">
        <f>IF($FF352="",#N/A,SUM($FF$4:FF352))</f>
        <v>#N/A</v>
      </c>
      <c r="FH352" s="60">
        <f t="shared" si="631"/>
        <v>0.31205673758865093</v>
      </c>
      <c r="FI352" s="60">
        <f>IF($FH352="",#N/A,SUM($FH$4:FH352))</f>
        <v>1.7460890341060751</v>
      </c>
      <c r="FJ352" s="60" t="str">
        <f t="shared" si="632"/>
        <v/>
      </c>
      <c r="FK352" s="60" t="e">
        <f>IF($FJ352="",#N/A,SUM($FJ$4:FJ352))</f>
        <v>#N/A</v>
      </c>
      <c r="FL352" s="60" t="str">
        <f t="shared" si="633"/>
        <v/>
      </c>
      <c r="FM352" s="60" t="e">
        <f>IF($FL352="",#N/A,SUM($FL$4:FL352))</f>
        <v>#N/A</v>
      </c>
      <c r="FN352" s="82">
        <f t="shared" si="634"/>
        <v>-0.97163120567375993</v>
      </c>
      <c r="FO352" s="82">
        <f>IF($FN352="",#N/A,SUM(FN$4:$FN352))</f>
        <v>54.606367971886115</v>
      </c>
      <c r="FP352" s="82">
        <f t="shared" si="653"/>
        <v>-1.2836879432624109</v>
      </c>
      <c r="FQ352" s="246">
        <f>IF($EH352="",#N/A,SUM($FP$4:FP352))</f>
        <v>56.249113930097238</v>
      </c>
      <c r="FR352" s="82">
        <f>IFERROR(FQ352/COUNTA($J$4:J352),#N/A)</f>
        <v>0.16117224621804366</v>
      </c>
      <c r="FS352" s="82">
        <f t="shared" si="554"/>
        <v>-8.976666208466497E-3</v>
      </c>
      <c r="FT352" s="82">
        <f t="shared" si="555"/>
        <v>9.5550118844136306E-2</v>
      </c>
      <c r="FU352" s="338">
        <f t="shared" si="658"/>
        <v>27.849764649749602</v>
      </c>
      <c r="FV352" s="57" t="str">
        <f t="shared" si="560"/>
        <v>Up</v>
      </c>
      <c r="FW352" s="57" t="s">
        <v>2734</v>
      </c>
      <c r="FX352" s="57" t="str">
        <f t="shared" si="635"/>
        <v/>
      </c>
      <c r="FY352" s="57" t="str">
        <f t="shared" si="636"/>
        <v/>
      </c>
      <c r="FZ352" s="57" t="str">
        <f t="shared" si="637"/>
        <v/>
      </c>
      <c r="GA352" s="57" t="str">
        <f t="shared" si="638"/>
        <v>Long</v>
      </c>
      <c r="GB352" s="57" t="str">
        <f t="shared" si="639"/>
        <v/>
      </c>
      <c r="GC352" s="57">
        <f t="shared" si="640"/>
        <v>1</v>
      </c>
      <c r="GD352" s="57" t="str">
        <f t="shared" si="641"/>
        <v/>
      </c>
      <c r="GE352" s="62">
        <f t="shared" si="557"/>
        <v>47</v>
      </c>
      <c r="GF352" s="62" t="s">
        <v>2779</v>
      </c>
      <c r="GG352" s="199">
        <v>36</v>
      </c>
      <c r="GH352" s="207">
        <f t="shared" si="642"/>
        <v>1692</v>
      </c>
      <c r="GI352" s="199">
        <v>36</v>
      </c>
      <c r="GJ352" s="200">
        <v>42.91</v>
      </c>
      <c r="GK352" s="63">
        <f t="shared" si="643"/>
        <v>-147.24000000000024</v>
      </c>
      <c r="GL352" s="63">
        <f t="shared" si="558"/>
        <v>-98.6400000000001</v>
      </c>
      <c r="GM352" s="82" t="str">
        <f t="shared" si="644"/>
        <v/>
      </c>
      <c r="GN352" s="82">
        <f>IF($GZ352="",#N/A,SUM(GM$4:GM352))</f>
        <v>9.0217847234853608</v>
      </c>
      <c r="GO352" s="82">
        <f t="shared" si="645"/>
        <v>-0.97163120567375993</v>
      </c>
      <c r="GP352" s="82">
        <f>IF($GZ352="",#N/A,SUM(GO$4:GO352))</f>
        <v>12.554614315877394</v>
      </c>
      <c r="GQ352" s="82" t="str">
        <f t="shared" si="646"/>
        <v/>
      </c>
      <c r="GR352" s="82">
        <f>IF($GZ352="",#N/A,SUM(GQ$4:GQ352))</f>
        <v>32.404131978081018</v>
      </c>
      <c r="GS352" s="63" t="str">
        <f t="shared" si="654"/>
        <v/>
      </c>
      <c r="GT352" s="63" t="e">
        <f>IF($GZ352="",#N/A,SUM(GS$4:GS352))</f>
        <v>#N/A</v>
      </c>
      <c r="GU352" s="63" t="e">
        <f t="shared" si="655"/>
        <v>#N/A</v>
      </c>
      <c r="GV352" s="63" t="e">
        <f>IF($GZ352="",#N/A,SUM(GU$4:GU352))</f>
        <v>#N/A</v>
      </c>
      <c r="GW352" s="63" t="str">
        <f t="shared" si="656"/>
        <v/>
      </c>
      <c r="GX352" s="63" t="e">
        <f>IF($GZ352="",#N/A,SUM(GW$4:GW352))</f>
        <v>#N/A</v>
      </c>
      <c r="GY352" s="63" t="e">
        <f>IF(EJ352="",#N/A,SUM($EJ$4:EJ352))</f>
        <v>#N/A</v>
      </c>
      <c r="GZ352" s="159">
        <v>44.26</v>
      </c>
      <c r="HA352" s="63">
        <f t="shared" si="647"/>
        <v>31.679999999999836</v>
      </c>
      <c r="HB352" s="62" t="s">
        <v>2538</v>
      </c>
      <c r="HC352" s="60">
        <f>IFERROR(VLOOKUP(E352,Expectancy!$P$4:$S$19,1+C352,FALSE),"")</f>
        <v>1.0051961559281768</v>
      </c>
      <c r="HD352" s="82">
        <f t="shared" si="648"/>
        <v>-1.4503546099290805</v>
      </c>
      <c r="HE352" s="138">
        <f>IF(HD352="",#N/A,SUM($HD$4:HD352))</f>
        <v>13.869349280347635</v>
      </c>
      <c r="HF352" s="85">
        <f>IF(HD352="",#N/A,IF(HB352="Skip",#N/A,SUM($HG$4:HG352)))</f>
        <v>658.33657921915551</v>
      </c>
      <c r="HG352" s="63">
        <f t="shared" si="649"/>
        <v>-147.24000000000024</v>
      </c>
      <c r="HH352" s="82">
        <f t="shared" si="650"/>
        <v>-0.97163120567375993</v>
      </c>
    </row>
    <row r="353" spans="1:216" x14ac:dyDescent="0.25">
      <c r="A353" s="57" t="s">
        <v>850</v>
      </c>
      <c r="B353" s="58" t="s">
        <v>5247</v>
      </c>
      <c r="C353" s="386">
        <f t="shared" si="561"/>
        <v>2</v>
      </c>
      <c r="D353" s="372" t="str">
        <f>_xlfn.XLOOKUP(A353,[1]SP500!$A$2:$A$502,[1]SP500!$D$2:$D$502,"N")</f>
        <v>Y</v>
      </c>
      <c r="E353" s="57" t="str">
        <f>_xlfn.XLOOKUP(A353,[1]SP500!$A$2:$A$655,[1]SP500!$B$2:$B$655)</f>
        <v>XLV</v>
      </c>
      <c r="F353" s="59">
        <v>45708</v>
      </c>
      <c r="G353" s="57" t="str">
        <f t="shared" si="562"/>
        <v>BMO</v>
      </c>
      <c r="H353" s="57" t="str">
        <f t="shared" si="563"/>
        <v>s</v>
      </c>
      <c r="I353" s="159">
        <v>30.82</v>
      </c>
      <c r="J353" s="159">
        <v>33.284999999999997</v>
      </c>
      <c r="K353" s="61">
        <f t="shared" si="564"/>
        <v>7.9980532121998585E-2</v>
      </c>
      <c r="L353" s="87">
        <f t="shared" si="565"/>
        <v>-130.64499999999975</v>
      </c>
      <c r="M353" s="130">
        <f t="shared" si="556"/>
        <v>4.5049999999996544</v>
      </c>
      <c r="N353" s="169" t="str">
        <f t="shared" si="566"/>
        <v/>
      </c>
      <c r="O353" s="169">
        <f>IF($J353="",#N/A,SUM($N$4:N353))</f>
        <v>359.67671935422459</v>
      </c>
      <c r="P353" s="174">
        <f t="shared" si="567"/>
        <v>-130.64499999999975</v>
      </c>
      <c r="Q353" s="174">
        <f>IF($J353="",#N/A,SUM($P$4:P353))</f>
        <v>519.16999224504332</v>
      </c>
      <c r="R353" s="178" t="str">
        <f t="shared" si="568"/>
        <v/>
      </c>
      <c r="S353" s="178">
        <f>IF($J353="",#N/A,SUM($R$4:R353))</f>
        <v>490.19854104386673</v>
      </c>
      <c r="T353" s="290" t="str">
        <f t="shared" si="569"/>
        <v/>
      </c>
      <c r="U353" s="290">
        <f>IF($J353="",#N/A,SUM($T$4:T353))</f>
        <v>17.410624845398399</v>
      </c>
      <c r="V353" s="291">
        <f t="shared" si="570"/>
        <v>-1.3330088686999759</v>
      </c>
      <c r="W353" s="291">
        <f>IF($J353="",#N/A,SUM($V$4:V353))</f>
        <v>24.774087773121796</v>
      </c>
      <c r="X353" s="292" t="str">
        <f t="shared" si="571"/>
        <v/>
      </c>
      <c r="Y353" s="292">
        <f>IF($J353="",#N/A,SUM($X$4:X353))</f>
        <v>12.731392442877082</v>
      </c>
      <c r="Z353" s="304" t="str">
        <f t="shared" si="572"/>
        <v/>
      </c>
      <c r="AA353" s="313" t="e">
        <f>IF($J353="",#N/A,SUM(Z$4:Z353))</f>
        <v>#N/A</v>
      </c>
      <c r="AB353" s="314" t="str">
        <f t="shared" si="573"/>
        <v/>
      </c>
      <c r="AC353" s="314" t="e">
        <f>IF($J353="",#N/A,SUM(AB$4:AB353))</f>
        <v>#N/A</v>
      </c>
      <c r="AD353" s="315" t="str">
        <f t="shared" si="574"/>
        <v/>
      </c>
      <c r="AE353" s="315" t="e">
        <f>IF($J353="",#N/A,SUM(AD$4:AD353))</f>
        <v>#N/A</v>
      </c>
      <c r="AF353" s="315" t="e">
        <f>IF($J353="",#N/A,SUM(AD$4:AD353,AB$4:AB353,Z$4:Z353))</f>
        <v>#N/A</v>
      </c>
      <c r="AG353" s="304" t="str">
        <f t="shared" si="575"/>
        <v/>
      </c>
      <c r="AH353" s="313" t="e">
        <f>IF($J353="",#N/A,SUM(AG$4:AG353))</f>
        <v>#N/A</v>
      </c>
      <c r="AI353" s="314" t="str">
        <f t="shared" si="576"/>
        <v/>
      </c>
      <c r="AJ353" s="314" t="e">
        <f>IF($J353="",#N/A,SUM(AI$4:AI353))</f>
        <v>#N/A</v>
      </c>
      <c r="AK353" s="315" t="str">
        <f t="shared" si="577"/>
        <v/>
      </c>
      <c r="AL353" s="315" t="e">
        <f>IF($J353="",#N/A,SUM(AK$4:AK353))</f>
        <v>#N/A</v>
      </c>
      <c r="AM353" s="315" t="e">
        <f>IF($J353="",#N/A,SUM(AK$4:AK353,AI$4:AI353,AG$4:AG353))</f>
        <v>#N/A</v>
      </c>
      <c r="AN353" s="304" t="str">
        <f t="shared" si="578"/>
        <v/>
      </c>
      <c r="AO353" s="313" t="e">
        <f>IF($J353="",#N/A,SUM(AN$4:AN353))</f>
        <v>#N/A</v>
      </c>
      <c r="AP353" s="314" t="str">
        <f t="shared" si="579"/>
        <v/>
      </c>
      <c r="AQ353" s="314" t="e">
        <f>IF($J353="",#N/A,SUM(AP$4:AP353))</f>
        <v>#N/A</v>
      </c>
      <c r="AR353" s="315" t="str">
        <f t="shared" si="580"/>
        <v/>
      </c>
      <c r="AS353" s="315" t="e">
        <f>IF($J353="",#N/A,SUM(AR$4:AR353))</f>
        <v>#N/A</v>
      </c>
      <c r="AT353" s="315" t="e">
        <f>IF($J353="",#N/A,SUM(AR$4:AR353,AP$4:AP353,AN$4:AN353))</f>
        <v>#N/A</v>
      </c>
      <c r="AU353" s="304" t="str">
        <f t="shared" si="581"/>
        <v/>
      </c>
      <c r="AV353" s="313" t="e">
        <f>IF($J353="",#N/A,SUM(AU$4:AU353))</f>
        <v>#N/A</v>
      </c>
      <c r="AW353" s="314" t="str">
        <f t="shared" si="582"/>
        <v/>
      </c>
      <c r="AX353" s="314" t="e">
        <f>IF($J353="",#N/A,SUM(AW$4:AW353))</f>
        <v>#N/A</v>
      </c>
      <c r="AY353" s="315" t="str">
        <f t="shared" si="583"/>
        <v/>
      </c>
      <c r="AZ353" s="315" t="e">
        <f>IF($J353="",#N/A,SUM(AY$4:AY353))</f>
        <v>#N/A</v>
      </c>
      <c r="BA353" s="315" t="e">
        <f>IF($J353="",#N/A,SUM(AY$4:AY353,AW$4:AW353,AU$4:AU353))</f>
        <v>#N/A</v>
      </c>
      <c r="BB353" s="304" t="str">
        <f t="shared" si="584"/>
        <v/>
      </c>
      <c r="BC353" s="313" t="e">
        <f>IF($J353="",#N/A,SUM(BB$4:BB353))</f>
        <v>#N/A</v>
      </c>
      <c r="BD353" s="314" t="str">
        <f t="shared" si="585"/>
        <v/>
      </c>
      <c r="BE353" s="314" t="e">
        <f>IF($J353="",#N/A,SUM(BD$4:BD353))</f>
        <v>#N/A</v>
      </c>
      <c r="BF353" s="315" t="str">
        <f t="shared" si="586"/>
        <v/>
      </c>
      <c r="BG353" s="315" t="e">
        <f>IF($J353="",#N/A,SUM(BF$4:BF353))</f>
        <v>#N/A</v>
      </c>
      <c r="BH353" s="315" t="e">
        <f>IF($J353="",#N/A,SUM(BF$4:BF353,BD$4:BD353,BB$4:BB353))</f>
        <v>#N/A</v>
      </c>
      <c r="BI353" s="304" t="str">
        <f t="shared" si="587"/>
        <v/>
      </c>
      <c r="BJ353" s="313" t="e">
        <f>IF($J353="",#N/A,SUM(BI$4:BI353))</f>
        <v>#N/A</v>
      </c>
      <c r="BK353" s="314" t="str">
        <f t="shared" si="588"/>
        <v/>
      </c>
      <c r="BL353" s="314" t="e">
        <f>IF($J353="",#N/A,SUM(BK$4:BK353))</f>
        <v>#N/A</v>
      </c>
      <c r="BM353" s="315" t="str">
        <f t="shared" si="589"/>
        <v/>
      </c>
      <c r="BN353" s="315" t="e">
        <f>IF($J353="",#N/A,SUM(BM$4:BM353))</f>
        <v>#N/A</v>
      </c>
      <c r="BO353" s="315" t="e">
        <f>IF($J353="",#N/A,SUM(BM$4:BM353,BK$4:BK353,BI$4:BI353))</f>
        <v>#N/A</v>
      </c>
      <c r="BP353" s="304" t="str">
        <f t="shared" si="590"/>
        <v/>
      </c>
      <c r="BQ353" s="313" t="e">
        <f>IF($J353="",#N/A,SUM(BP$4:BP353))</f>
        <v>#N/A</v>
      </c>
      <c r="BR353" s="314" t="str">
        <f t="shared" si="591"/>
        <v/>
      </c>
      <c r="BS353" s="314" t="e">
        <f>IF($J353="",#N/A,SUM(BR$4:BR353))</f>
        <v>#N/A</v>
      </c>
      <c r="BT353" s="315" t="str">
        <f t="shared" si="592"/>
        <v/>
      </c>
      <c r="BU353" s="315" t="e">
        <f>IF($J353="",#N/A,SUM(BT$4:BT353))</f>
        <v>#N/A</v>
      </c>
      <c r="BV353" s="315" t="e">
        <f>IF($J353="",#N/A,SUM(BT$4:BT353,BR$4:BR353,BP$4:BP353))</f>
        <v>#N/A</v>
      </c>
      <c r="BW353" s="304" t="str">
        <f t="shared" si="593"/>
        <v/>
      </c>
      <c r="BX353" s="313" t="e">
        <f>IF($J353="",#N/A,SUM(BW$4:BW353))</f>
        <v>#N/A</v>
      </c>
      <c r="BY353" s="314">
        <f t="shared" si="594"/>
        <v>-1.3330088686999759</v>
      </c>
      <c r="BZ353" s="314" t="e">
        <f>IF($J353="",#N/A,SUM(BY$4:BY353))</f>
        <v>#N/A</v>
      </c>
      <c r="CA353" s="315" t="str">
        <f t="shared" si="595"/>
        <v/>
      </c>
      <c r="CB353" s="315" t="e">
        <f>IF($J353="",#N/A,SUM(CA$4:CA353))</f>
        <v>#N/A</v>
      </c>
      <c r="CC353" s="315" t="e">
        <f>IF($J353="",#N/A,SUM(CA$4:CA353,BY$4:BY353,BW$4:BW353))</f>
        <v>#N/A</v>
      </c>
      <c r="CD353" s="304" t="str">
        <f t="shared" si="596"/>
        <v/>
      </c>
      <c r="CE353" s="313" t="e">
        <f>IF($J353="",#N/A,SUM(CD$4:CD353))</f>
        <v>#N/A</v>
      </c>
      <c r="CF353" s="314" t="str">
        <f t="shared" si="597"/>
        <v/>
      </c>
      <c r="CG353" s="314" t="e">
        <f>IF($J353="",#N/A,SUM(CF$4:CF353))</f>
        <v>#N/A</v>
      </c>
      <c r="CH353" s="315" t="str">
        <f t="shared" si="598"/>
        <v/>
      </c>
      <c r="CI353" s="315" t="e">
        <f>IF($J353="",#N/A,SUM(CH$4:CH353))</f>
        <v>#N/A</v>
      </c>
      <c r="CJ353" s="315" t="e">
        <f>IF($J353="",#N/A,SUM(CH$4:CH353,CF$4:CF353,CD$4:CD353))</f>
        <v>#N/A</v>
      </c>
      <c r="CK353" s="304" t="str">
        <f t="shared" si="599"/>
        <v/>
      </c>
      <c r="CL353" s="313" t="e">
        <f>IF($J353="",#N/A,SUM(CK$4:CK353))</f>
        <v>#N/A</v>
      </c>
      <c r="CM353" s="314" t="str">
        <f t="shared" si="600"/>
        <v/>
      </c>
      <c r="CN353" s="314" t="e">
        <f>IF($J353="",#N/A,SUM(CM$4:CM353))</f>
        <v>#N/A</v>
      </c>
      <c r="CO353" s="315" t="str">
        <f t="shared" si="601"/>
        <v/>
      </c>
      <c r="CP353" s="315" t="e">
        <f>IF($J353="",#N/A,SUM(CO$4:CO353))</f>
        <v>#N/A</v>
      </c>
      <c r="CQ353" s="315" t="e">
        <f>IF($J353="",#N/A,SUM(CO$4:CO353,CM$4:CM353,CK$4:CK353))</f>
        <v>#N/A</v>
      </c>
      <c r="CR353" s="304" t="str">
        <f t="shared" si="602"/>
        <v/>
      </c>
      <c r="CS353" s="313" t="e">
        <f>IF($J353="",#N/A,SUM(CR$4:CR353))</f>
        <v>#N/A</v>
      </c>
      <c r="CT353" s="314" t="str">
        <f t="shared" si="603"/>
        <v/>
      </c>
      <c r="CU353" s="314" t="e">
        <f>IF($J353="",#N/A,SUM(CT$4:CT353))</f>
        <v>#N/A</v>
      </c>
      <c r="CV353" s="315" t="str">
        <f t="shared" si="604"/>
        <v/>
      </c>
      <c r="CW353" s="315" t="e">
        <f>IF($J353="",#N/A,SUM(CV$4:CV353))</f>
        <v>#N/A</v>
      </c>
      <c r="CX353" s="315" t="e">
        <f>IF($J353="",#N/A,SUM(CV$4:CV353,CT$4:CT353,CR$4:CR353))</f>
        <v>#N/A</v>
      </c>
      <c r="CY353" s="304" t="str">
        <f t="shared" si="605"/>
        <v/>
      </c>
      <c r="CZ353" s="313" t="e">
        <f>IF($J353="",#N/A,SUM(CY$4:CY353))</f>
        <v>#N/A</v>
      </c>
      <c r="DA353" s="314" t="str">
        <f t="shared" si="606"/>
        <v/>
      </c>
      <c r="DB353" s="314" t="e">
        <f>IF($J353="",#N/A,SUM(DA$4:DA353))</f>
        <v>#N/A</v>
      </c>
      <c r="DC353" s="315" t="str">
        <f t="shared" si="607"/>
        <v/>
      </c>
      <c r="DD353" s="315" t="e">
        <f>IF($J353="",#N/A,SUM(DC$4:DC353))</f>
        <v>#N/A</v>
      </c>
      <c r="DE353" s="315" t="e">
        <f>IF($J353="",#N/A,SUM(DC$4:DC353,DA$4:DA353,CY$4:CY353))</f>
        <v>#N/A</v>
      </c>
      <c r="DF353" s="304" t="str">
        <f t="shared" si="608"/>
        <v/>
      </c>
      <c r="DG353" s="313" t="e">
        <f>IF($J353="",#N/A,SUM(DF$4:DF353))</f>
        <v>#N/A</v>
      </c>
      <c r="DH353" s="314" t="str">
        <f t="shared" si="609"/>
        <v/>
      </c>
      <c r="DI353" s="314" t="e">
        <f>IF($J353="",#N/A,SUM(DH$4:DH353))</f>
        <v>#N/A</v>
      </c>
      <c r="DJ353" s="315" t="str">
        <f t="shared" si="610"/>
        <v/>
      </c>
      <c r="DK353" s="315" t="e">
        <f>IF($J353="",#N/A,SUM(DJ$4:DJ353))</f>
        <v>#N/A</v>
      </c>
      <c r="DL353" s="315" t="e">
        <f>IF($J353="",#N/A,SUM(DJ$4:DJ353,DH$4:DH353,DF$4:DF353))</f>
        <v>#N/A</v>
      </c>
      <c r="DM353" s="304" t="str">
        <f t="shared" si="611"/>
        <v/>
      </c>
      <c r="DN353" s="313" t="e">
        <f>IF($J353="",#N/A,SUM(DM$4:DM353))</f>
        <v>#N/A</v>
      </c>
      <c r="DO353" s="314" t="str">
        <f t="shared" si="612"/>
        <v/>
      </c>
      <c r="DP353" s="314" t="e">
        <f>IF($J353="",#N/A,SUM(DO$4:DO353))</f>
        <v>#N/A</v>
      </c>
      <c r="DQ353" s="315" t="str">
        <f t="shared" si="613"/>
        <v/>
      </c>
      <c r="DR353" s="315" t="e">
        <f>IF($J353="",#N/A,SUM(DQ$4:DQ353))</f>
        <v>#N/A</v>
      </c>
      <c r="DS353" s="315" t="e">
        <f>IF($J353="",#N/A,SUM(DQ$4:DQ353,DO$4:DO353,DM$4:DM353))</f>
        <v>#N/A</v>
      </c>
      <c r="DT353" s="304" t="str">
        <f t="shared" si="614"/>
        <v/>
      </c>
      <c r="DU353" s="313" t="e">
        <f>IF($J353="",#N/A,SUM(DT$4:DT353))</f>
        <v>#N/A</v>
      </c>
      <c r="DV353" s="314" t="str">
        <f t="shared" si="615"/>
        <v/>
      </c>
      <c r="DW353" s="314" t="e">
        <f>IF($J353="",#N/A,SUM(DV$4:DV353))</f>
        <v>#N/A</v>
      </c>
      <c r="DX353" s="315" t="str">
        <f t="shared" si="616"/>
        <v/>
      </c>
      <c r="DY353" s="315" t="e">
        <f>IF($J353="",#N/A,SUM(DX$4:DX353))</f>
        <v>#N/A</v>
      </c>
      <c r="DZ353" s="315" t="e">
        <f>IF($J353="",#N/A,SUM(DX$4:DX353,DV$4:DV353,DT$4:DT353))</f>
        <v>#N/A</v>
      </c>
      <c r="EA353" s="304" t="str">
        <f t="shared" si="617"/>
        <v/>
      </c>
      <c r="EB353" s="313" t="e">
        <f>IF($J353="",#N/A,SUM(EA$4:EA353))</f>
        <v>#N/A</v>
      </c>
      <c r="EC353" s="314" t="str">
        <f t="shared" si="618"/>
        <v/>
      </c>
      <c r="ED353" s="314" t="e">
        <f>IF($J353="",#N/A,SUM(EC$4:EC353))</f>
        <v>#N/A</v>
      </c>
      <c r="EE353" s="315" t="str">
        <f t="shared" si="619"/>
        <v/>
      </c>
      <c r="EF353" s="315" t="e">
        <f>IF($J353="",#N/A,SUM(EE$4:EE353))</f>
        <v>#N/A</v>
      </c>
      <c r="EG353" s="315" t="e">
        <f>IF($J353="",#N/A,SUM(EE$4:EE353,EC$4:EC353,EA$4:EA353))</f>
        <v>#N/A</v>
      </c>
      <c r="EH353" s="130">
        <f t="shared" si="620"/>
        <v>-130.64499999999975</v>
      </c>
      <c r="EI353" s="63">
        <f>IF(EH353="",#N/A,SUM($EH$4:EH353))</f>
        <v>1369.0452526431347</v>
      </c>
      <c r="EJ353" s="223" t="e">
        <f t="shared" si="621"/>
        <v>#N/A</v>
      </c>
      <c r="EK353" s="63" t="e">
        <f>IF($GZ353="",#N/A,SUM(EJ$4:EJ353))</f>
        <v>#N/A</v>
      </c>
      <c r="EL353" s="60">
        <f t="shared" si="651"/>
        <v>-1.3330088686999759</v>
      </c>
      <c r="EM353" s="60">
        <f>IF(EL353="",NA(),SUM($EL$4:EL353))</f>
        <v>30.236585675585765</v>
      </c>
      <c r="EN353" s="60" t="str">
        <f t="shared" si="622"/>
        <v/>
      </c>
      <c r="EO353" s="60" t="e">
        <f>IF(EN353="",NA(),SUM($EN$4:EN353))</f>
        <v>#N/A</v>
      </c>
      <c r="EP353" s="60" t="str">
        <f t="shared" si="623"/>
        <v/>
      </c>
      <c r="EQ353" s="60" t="e">
        <f>IF(EP353="",NA(),SUM($EP$4:EP353))</f>
        <v>#N/A</v>
      </c>
      <c r="ER353" s="60">
        <f t="shared" si="624"/>
        <v>-1.3330088686999759</v>
      </c>
      <c r="ES353" s="60">
        <f>IF(ER353="",NA(),SUM($ER$4:ER353))</f>
        <v>11.994275788840286</v>
      </c>
      <c r="ET353" s="60" t="str">
        <f t="shared" si="625"/>
        <v/>
      </c>
      <c r="EU353" s="60" t="e">
        <f>IF(ET353="",NA(),SUM($ET$4:ET353))</f>
        <v>#N/A</v>
      </c>
      <c r="EV353" s="60" t="str">
        <f t="shared" si="626"/>
        <v/>
      </c>
      <c r="EW353" s="60" t="e">
        <f>IF(EV353="",NA(),SUM($EV$4:EV353))</f>
        <v>#N/A</v>
      </c>
      <c r="EX353" s="60" t="str">
        <f t="shared" si="627"/>
        <v/>
      </c>
      <c r="EY353" s="60" t="e">
        <f>IF(EX353="",NA(),SUM($EX$4:EX353))</f>
        <v>#N/A</v>
      </c>
      <c r="EZ353" s="60" t="str">
        <f t="shared" si="628"/>
        <v/>
      </c>
      <c r="FA353" s="60" t="e">
        <f>IF(EZ353="",NA(),SUM($EZ$4:EZ353))</f>
        <v>#N/A</v>
      </c>
      <c r="FB353" s="246" t="str">
        <f t="shared" si="652"/>
        <v/>
      </c>
      <c r="FC353" s="246" t="e">
        <f>IF($FB353="",#N/A,SUM(FB$4:$FB353))</f>
        <v>#N/A</v>
      </c>
      <c r="FD353" s="60">
        <f t="shared" si="629"/>
        <v>-8.3820030283367153E-2</v>
      </c>
      <c r="FE353" s="60">
        <f>IF($FD353="",#N/A,SUM($FD$4:FD353))</f>
        <v>3.0357373311610463</v>
      </c>
      <c r="FF353" s="60" t="str">
        <f t="shared" si="630"/>
        <v/>
      </c>
      <c r="FG353" s="60" t="e">
        <f>IF($FF353="",#N/A,SUM($FF$4:FF353))</f>
        <v>#N/A</v>
      </c>
      <c r="FH353" s="60" t="str">
        <f t="shared" si="631"/>
        <v/>
      </c>
      <c r="FI353" s="60" t="e">
        <f>IF($FH353="",#N/A,SUM($FH$4:FH353))</f>
        <v>#N/A</v>
      </c>
      <c r="FJ353" s="60" t="str">
        <f t="shared" si="632"/>
        <v/>
      </c>
      <c r="FK353" s="60" t="e">
        <f>IF($FJ353="",#N/A,SUM($FJ$4:FJ353))</f>
        <v>#N/A</v>
      </c>
      <c r="FL353" s="60" t="str">
        <f t="shared" si="633"/>
        <v/>
      </c>
      <c r="FM353" s="60" t="e">
        <f>IF($FL353="",#N/A,SUM($FL$4:FL353))</f>
        <v>#N/A</v>
      </c>
      <c r="FN353" s="82">
        <f t="shared" si="634"/>
        <v>-1.4168288989833431</v>
      </c>
      <c r="FO353" s="82">
        <f>IF($FN353="",#N/A,SUM(FN$4:$FN353))</f>
        <v>53.189539072902775</v>
      </c>
      <c r="FP353" s="82">
        <f t="shared" si="653"/>
        <v>-1.3330088686999759</v>
      </c>
      <c r="FQ353" s="246">
        <f>IF($EH353="",#N/A,SUM($FP$4:FP353))</f>
        <v>54.916105061397261</v>
      </c>
      <c r="FR353" s="82">
        <f>IFERROR(FQ353/COUNTA($J$4:J353),#N/A)</f>
        <v>0.15690315731827789</v>
      </c>
      <c r="FS353" s="82">
        <f t="shared" si="554"/>
        <v>-2.1696208481673977E-2</v>
      </c>
      <c r="FT353" s="82">
        <f t="shared" si="555"/>
        <v>9.8031025035254515E-2</v>
      </c>
      <c r="FU353" s="338">
        <f t="shared" si="658"/>
        <v>27.803798826690986</v>
      </c>
      <c r="FV353" s="57" t="str">
        <f t="shared" si="560"/>
        <v>Dwn</v>
      </c>
      <c r="FW353" s="57" t="s">
        <v>2734</v>
      </c>
      <c r="FX353" s="57" t="str">
        <f t="shared" si="635"/>
        <v/>
      </c>
      <c r="FY353" s="57">
        <f t="shared" si="636"/>
        <v>1</v>
      </c>
      <c r="FZ353" s="57" t="str">
        <f t="shared" si="637"/>
        <v/>
      </c>
      <c r="GA353" s="57" t="str">
        <f t="shared" si="638"/>
        <v>Short</v>
      </c>
      <c r="GB353" s="57" t="str">
        <f t="shared" si="639"/>
        <v/>
      </c>
      <c r="GC353" s="57" t="str">
        <f t="shared" si="640"/>
        <v/>
      </c>
      <c r="GD353" s="57" t="str">
        <f t="shared" si="641"/>
        <v/>
      </c>
      <c r="GE353" s="62">
        <f t="shared" si="557"/>
        <v>30.82</v>
      </c>
      <c r="GF353" s="62" t="s">
        <v>2780</v>
      </c>
      <c r="GG353" s="199">
        <v>53</v>
      </c>
      <c r="GH353" s="207">
        <f t="shared" si="642"/>
        <v>1633.46</v>
      </c>
      <c r="GI353" s="199">
        <v>53</v>
      </c>
      <c r="GJ353" s="200">
        <v>33.200000000000003</v>
      </c>
      <c r="GK353" s="63">
        <f t="shared" si="643"/>
        <v>-126.1400000000001</v>
      </c>
      <c r="GL353" s="63">
        <f t="shared" si="558"/>
        <v>-138.8599999999999</v>
      </c>
      <c r="GM353" s="82" t="str">
        <f t="shared" si="644"/>
        <v/>
      </c>
      <c r="GN353" s="82">
        <f>IF($GZ353="",#N/A,SUM(GM$4:GM353))</f>
        <v>9.0217847234853608</v>
      </c>
      <c r="GO353" s="82" t="str">
        <f t="shared" si="645"/>
        <v/>
      </c>
      <c r="GP353" s="82">
        <f>IF($GZ353="",#N/A,SUM(GO$4:GO353))</f>
        <v>12.554614315877394</v>
      </c>
      <c r="GQ353" s="82">
        <f t="shared" si="646"/>
        <v>-1.4168288989833431</v>
      </c>
      <c r="GR353" s="82">
        <f>IF($GZ353="",#N/A,SUM(GQ$4:GQ353))</f>
        <v>30.987303079097675</v>
      </c>
      <c r="GS353" s="63" t="str">
        <f t="shared" si="654"/>
        <v/>
      </c>
      <c r="GT353" s="63" t="e">
        <f>IF($GZ353="",#N/A,SUM(GS$4:GS353))</f>
        <v>#N/A</v>
      </c>
      <c r="GU353" s="63" t="str">
        <f t="shared" si="655"/>
        <v/>
      </c>
      <c r="GV353" s="63" t="e">
        <f>IF($GZ353="",#N/A,SUM(GU$4:GU353))</f>
        <v>#N/A</v>
      </c>
      <c r="GW353" s="63" t="e">
        <f t="shared" si="656"/>
        <v>#N/A</v>
      </c>
      <c r="GX353" s="63" t="e">
        <f>IF($GZ353="",#N/A,SUM(GW$4:GW353))</f>
        <v>#N/A</v>
      </c>
      <c r="GY353" s="63" t="e">
        <f>IF(EJ353="",#N/A,SUM($EJ$4:EJ353))</f>
        <v>#N/A</v>
      </c>
      <c r="GZ353" s="159">
        <v>33.44</v>
      </c>
      <c r="HA353" s="63">
        <f t="shared" si="647"/>
        <v>-8.2150000000001455</v>
      </c>
      <c r="HB353" s="62" t="s">
        <v>2538</v>
      </c>
      <c r="HC353" s="60">
        <f>IFERROR(VLOOKUP(E353,Expectancy!$P$4:$S$19,1+C353,FALSE),"")</f>
        <v>0.18997806194873415</v>
      </c>
      <c r="HD353" s="82">
        <f t="shared" si="648"/>
        <v>-1.2870430456413595</v>
      </c>
      <c r="HE353" s="138">
        <f>IF(HD353="",#N/A,SUM($HD$4:HD353))</f>
        <v>12.582306234706275</v>
      </c>
      <c r="HF353" s="85">
        <f>IF(HD353="",#N/A,IF(HB353="Skip",#N/A,SUM($HG$4:HG353)))</f>
        <v>532.19657921915541</v>
      </c>
      <c r="HG353" s="63">
        <f t="shared" si="649"/>
        <v>-126.1400000000001</v>
      </c>
      <c r="HH353" s="82">
        <f t="shared" si="650"/>
        <v>-1.4168288989833431</v>
      </c>
    </row>
    <row r="354" spans="1:216" x14ac:dyDescent="0.25">
      <c r="A354" s="57" t="s">
        <v>1085</v>
      </c>
      <c r="B354" s="58" t="s">
        <v>5247</v>
      </c>
      <c r="C354" s="386">
        <f t="shared" si="561"/>
        <v>1</v>
      </c>
      <c r="D354" s="372" t="str">
        <f>_xlfn.XLOOKUP(A354,[1]SP500!$A$2:$A$502,[1]SP500!$D$2:$D$502,"N")</f>
        <v>Y</v>
      </c>
      <c r="E354" s="57" t="str">
        <f>_xlfn.XLOOKUP(A354,[1]SP500!$A$2:$A$655,[1]SP500!$B$2:$B$655)</f>
        <v>XLP</v>
      </c>
      <c r="F354" s="59">
        <v>45708</v>
      </c>
      <c r="G354" s="57" t="str">
        <f t="shared" si="562"/>
        <v>BMO</v>
      </c>
      <c r="H354" s="57" t="str">
        <f t="shared" si="563"/>
        <v>s</v>
      </c>
      <c r="I354" s="158">
        <v>104</v>
      </c>
      <c r="J354" s="159">
        <v>98.78</v>
      </c>
      <c r="K354" s="61">
        <f t="shared" si="564"/>
        <v>-5.0192307692307682E-2</v>
      </c>
      <c r="L354" s="87">
        <f t="shared" si="565"/>
        <v>-83.519999999999982</v>
      </c>
      <c r="M354" s="130">
        <f t="shared" si="556"/>
        <v>3.5199999999999818</v>
      </c>
      <c r="N354" s="169">
        <f t="shared" si="566"/>
        <v>-83.519999999999982</v>
      </c>
      <c r="O354" s="169">
        <f>IF($J354="",#N/A,SUM($N$4:N354))</f>
        <v>276.15671935422461</v>
      </c>
      <c r="P354" s="174" t="str">
        <f t="shared" si="567"/>
        <v/>
      </c>
      <c r="Q354" s="174">
        <f>IF($J354="",#N/A,SUM($P$4:P354))</f>
        <v>519.16999224504332</v>
      </c>
      <c r="R354" s="178" t="str">
        <f t="shared" si="568"/>
        <v/>
      </c>
      <c r="S354" s="178">
        <f>IF($J354="",#N/A,SUM($R$4:R354))</f>
        <v>490.19854104386673</v>
      </c>
      <c r="T354" s="290">
        <f t="shared" si="569"/>
        <v>-0.83653846153846134</v>
      </c>
      <c r="U354" s="290">
        <f>IF($J354="",#N/A,SUM($T$4:T354))</f>
        <v>16.574086383859939</v>
      </c>
      <c r="V354" s="291" t="str">
        <f t="shared" si="570"/>
        <v/>
      </c>
      <c r="W354" s="291">
        <f>IF($J354="",#N/A,SUM($V$4:V354))</f>
        <v>24.774087773121796</v>
      </c>
      <c r="X354" s="292" t="str">
        <f t="shared" si="571"/>
        <v/>
      </c>
      <c r="Y354" s="292">
        <f>IF($J354="",#N/A,SUM($X$4:X354))</f>
        <v>12.731392442877082</v>
      </c>
      <c r="Z354" s="304" t="str">
        <f t="shared" si="572"/>
        <v/>
      </c>
      <c r="AA354" s="313" t="e">
        <f>IF($J354="",#N/A,SUM(Z$4:Z354))</f>
        <v>#N/A</v>
      </c>
      <c r="AB354" s="314" t="str">
        <f t="shared" si="573"/>
        <v/>
      </c>
      <c r="AC354" s="314" t="e">
        <f>IF($J354="",#N/A,SUM(AB$4:AB354))</f>
        <v>#N/A</v>
      </c>
      <c r="AD354" s="315" t="str">
        <f t="shared" si="574"/>
        <v/>
      </c>
      <c r="AE354" s="315" t="e">
        <f>IF($J354="",#N/A,SUM(AD$4:AD354))</f>
        <v>#N/A</v>
      </c>
      <c r="AF354" s="315" t="e">
        <f>IF($J354="",#N/A,SUM(AD$4:AD354,AB$4:AB354,Z$4:Z354))</f>
        <v>#N/A</v>
      </c>
      <c r="AG354" s="304" t="str">
        <f t="shared" si="575"/>
        <v/>
      </c>
      <c r="AH354" s="313" t="e">
        <f>IF($J354="",#N/A,SUM(AG$4:AG354))</f>
        <v>#N/A</v>
      </c>
      <c r="AI354" s="314" t="str">
        <f t="shared" si="576"/>
        <v/>
      </c>
      <c r="AJ354" s="314" t="e">
        <f>IF($J354="",#N/A,SUM(AI$4:AI354))</f>
        <v>#N/A</v>
      </c>
      <c r="AK354" s="315" t="str">
        <f t="shared" si="577"/>
        <v/>
      </c>
      <c r="AL354" s="315" t="e">
        <f>IF($J354="",#N/A,SUM(AK$4:AK354))</f>
        <v>#N/A</v>
      </c>
      <c r="AM354" s="315" t="e">
        <f>IF($J354="",#N/A,SUM(AK$4:AK354,AI$4:AI354,AG$4:AG354))</f>
        <v>#N/A</v>
      </c>
      <c r="AN354" s="304" t="str">
        <f t="shared" si="578"/>
        <v/>
      </c>
      <c r="AO354" s="313" t="e">
        <f>IF($J354="",#N/A,SUM(AN$4:AN354))</f>
        <v>#N/A</v>
      </c>
      <c r="AP354" s="314" t="str">
        <f t="shared" si="579"/>
        <v/>
      </c>
      <c r="AQ354" s="314" t="e">
        <f>IF($J354="",#N/A,SUM(AP$4:AP354))</f>
        <v>#N/A</v>
      </c>
      <c r="AR354" s="315" t="str">
        <f t="shared" si="580"/>
        <v/>
      </c>
      <c r="AS354" s="315" t="e">
        <f>IF($J354="",#N/A,SUM(AR$4:AR354))</f>
        <v>#N/A</v>
      </c>
      <c r="AT354" s="315" t="e">
        <f>IF($J354="",#N/A,SUM(AR$4:AR354,AP$4:AP354,AN$4:AN354))</f>
        <v>#N/A</v>
      </c>
      <c r="AU354" s="304">
        <f t="shared" si="581"/>
        <v>-0.83653846153846134</v>
      </c>
      <c r="AV354" s="313" t="e">
        <f>IF($J354="",#N/A,SUM(AU$4:AU354))</f>
        <v>#N/A</v>
      </c>
      <c r="AW354" s="314" t="str">
        <f t="shared" si="582"/>
        <v/>
      </c>
      <c r="AX354" s="314" t="e">
        <f>IF($J354="",#N/A,SUM(AW$4:AW354))</f>
        <v>#N/A</v>
      </c>
      <c r="AY354" s="315" t="str">
        <f t="shared" si="583"/>
        <v/>
      </c>
      <c r="AZ354" s="315" t="e">
        <f>IF($J354="",#N/A,SUM(AY$4:AY354))</f>
        <v>#N/A</v>
      </c>
      <c r="BA354" s="315" t="e">
        <f>IF($J354="",#N/A,SUM(AY$4:AY354,AW$4:AW354,AU$4:AU354))</f>
        <v>#N/A</v>
      </c>
      <c r="BB354" s="304" t="str">
        <f t="shared" si="584"/>
        <v/>
      </c>
      <c r="BC354" s="313" t="e">
        <f>IF($J354="",#N/A,SUM(BB$4:BB354))</f>
        <v>#N/A</v>
      </c>
      <c r="BD354" s="314" t="str">
        <f t="shared" si="585"/>
        <v/>
      </c>
      <c r="BE354" s="314" t="e">
        <f>IF($J354="",#N/A,SUM(BD$4:BD354))</f>
        <v>#N/A</v>
      </c>
      <c r="BF354" s="315" t="str">
        <f t="shared" si="586"/>
        <v/>
      </c>
      <c r="BG354" s="315" t="e">
        <f>IF($J354="",#N/A,SUM(BF$4:BF354))</f>
        <v>#N/A</v>
      </c>
      <c r="BH354" s="315" t="e">
        <f>IF($J354="",#N/A,SUM(BF$4:BF354,BD$4:BD354,BB$4:BB354))</f>
        <v>#N/A</v>
      </c>
      <c r="BI354" s="304" t="str">
        <f t="shared" si="587"/>
        <v/>
      </c>
      <c r="BJ354" s="313" t="e">
        <f>IF($J354="",#N/A,SUM(BI$4:BI354))</f>
        <v>#N/A</v>
      </c>
      <c r="BK354" s="314" t="str">
        <f t="shared" si="588"/>
        <v/>
      </c>
      <c r="BL354" s="314" t="e">
        <f>IF($J354="",#N/A,SUM(BK$4:BK354))</f>
        <v>#N/A</v>
      </c>
      <c r="BM354" s="315" t="str">
        <f t="shared" si="589"/>
        <v/>
      </c>
      <c r="BN354" s="315" t="e">
        <f>IF($J354="",#N/A,SUM(BM$4:BM354))</f>
        <v>#N/A</v>
      </c>
      <c r="BO354" s="315" t="e">
        <f>IF($J354="",#N/A,SUM(BM$4:BM354,BK$4:BK354,BI$4:BI354))</f>
        <v>#N/A</v>
      </c>
      <c r="BP354" s="304" t="str">
        <f t="shared" si="590"/>
        <v/>
      </c>
      <c r="BQ354" s="313" t="e">
        <f>IF($J354="",#N/A,SUM(BP$4:BP354))</f>
        <v>#N/A</v>
      </c>
      <c r="BR354" s="314" t="str">
        <f t="shared" si="591"/>
        <v/>
      </c>
      <c r="BS354" s="314" t="e">
        <f>IF($J354="",#N/A,SUM(BR$4:BR354))</f>
        <v>#N/A</v>
      </c>
      <c r="BT354" s="315" t="str">
        <f t="shared" si="592"/>
        <v/>
      </c>
      <c r="BU354" s="315" t="e">
        <f>IF($J354="",#N/A,SUM(BT$4:BT354))</f>
        <v>#N/A</v>
      </c>
      <c r="BV354" s="315" t="e">
        <f>IF($J354="",#N/A,SUM(BT$4:BT354,BR$4:BR354,BP$4:BP354))</f>
        <v>#N/A</v>
      </c>
      <c r="BW354" s="304" t="str">
        <f t="shared" si="593"/>
        <v/>
      </c>
      <c r="BX354" s="313" t="e">
        <f>IF($J354="",#N/A,SUM(BW$4:BW354))</f>
        <v>#N/A</v>
      </c>
      <c r="BY354" s="314" t="str">
        <f t="shared" si="594"/>
        <v/>
      </c>
      <c r="BZ354" s="314" t="e">
        <f>IF($J354="",#N/A,SUM(BY$4:BY354))</f>
        <v>#N/A</v>
      </c>
      <c r="CA354" s="315" t="str">
        <f t="shared" si="595"/>
        <v/>
      </c>
      <c r="CB354" s="315" t="e">
        <f>IF($J354="",#N/A,SUM(CA$4:CA354))</f>
        <v>#N/A</v>
      </c>
      <c r="CC354" s="315" t="e">
        <f>IF($J354="",#N/A,SUM(CA$4:CA354,BY$4:BY354,BW$4:BW354))</f>
        <v>#N/A</v>
      </c>
      <c r="CD354" s="304" t="str">
        <f t="shared" si="596"/>
        <v/>
      </c>
      <c r="CE354" s="313" t="e">
        <f>IF($J354="",#N/A,SUM(CD$4:CD354))</f>
        <v>#N/A</v>
      </c>
      <c r="CF354" s="314" t="str">
        <f t="shared" si="597"/>
        <v/>
      </c>
      <c r="CG354" s="314" t="e">
        <f>IF($J354="",#N/A,SUM(CF$4:CF354))</f>
        <v>#N/A</v>
      </c>
      <c r="CH354" s="315" t="str">
        <f t="shared" si="598"/>
        <v/>
      </c>
      <c r="CI354" s="315" t="e">
        <f>IF($J354="",#N/A,SUM(CH$4:CH354))</f>
        <v>#N/A</v>
      </c>
      <c r="CJ354" s="315" t="e">
        <f>IF($J354="",#N/A,SUM(CH$4:CH354,CF$4:CF354,CD$4:CD354))</f>
        <v>#N/A</v>
      </c>
      <c r="CK354" s="304" t="str">
        <f t="shared" si="599"/>
        <v/>
      </c>
      <c r="CL354" s="313" t="e">
        <f>IF($J354="",#N/A,SUM(CK$4:CK354))</f>
        <v>#N/A</v>
      </c>
      <c r="CM354" s="314" t="str">
        <f t="shared" si="600"/>
        <v/>
      </c>
      <c r="CN354" s="314" t="e">
        <f>IF($J354="",#N/A,SUM(CM$4:CM354))</f>
        <v>#N/A</v>
      </c>
      <c r="CO354" s="315" t="str">
        <f t="shared" si="601"/>
        <v/>
      </c>
      <c r="CP354" s="315" t="e">
        <f>IF($J354="",#N/A,SUM(CO$4:CO354))</f>
        <v>#N/A</v>
      </c>
      <c r="CQ354" s="315" t="e">
        <f>IF($J354="",#N/A,SUM(CO$4:CO354,CM$4:CM354,CK$4:CK354))</f>
        <v>#N/A</v>
      </c>
      <c r="CR354" s="304" t="str">
        <f t="shared" si="602"/>
        <v/>
      </c>
      <c r="CS354" s="313" t="e">
        <f>IF($J354="",#N/A,SUM(CR$4:CR354))</f>
        <v>#N/A</v>
      </c>
      <c r="CT354" s="314" t="str">
        <f t="shared" si="603"/>
        <v/>
      </c>
      <c r="CU354" s="314" t="e">
        <f>IF($J354="",#N/A,SUM(CT$4:CT354))</f>
        <v>#N/A</v>
      </c>
      <c r="CV354" s="315" t="str">
        <f t="shared" si="604"/>
        <v/>
      </c>
      <c r="CW354" s="315" t="e">
        <f>IF($J354="",#N/A,SUM(CV$4:CV354))</f>
        <v>#N/A</v>
      </c>
      <c r="CX354" s="315" t="e">
        <f>IF($J354="",#N/A,SUM(CV$4:CV354,CT$4:CT354,CR$4:CR354))</f>
        <v>#N/A</v>
      </c>
      <c r="CY354" s="304" t="str">
        <f t="shared" si="605"/>
        <v/>
      </c>
      <c r="CZ354" s="313" t="e">
        <f>IF($J354="",#N/A,SUM(CY$4:CY354))</f>
        <v>#N/A</v>
      </c>
      <c r="DA354" s="314" t="str">
        <f t="shared" si="606"/>
        <v/>
      </c>
      <c r="DB354" s="314" t="e">
        <f>IF($J354="",#N/A,SUM(DA$4:DA354))</f>
        <v>#N/A</v>
      </c>
      <c r="DC354" s="315" t="str">
        <f t="shared" si="607"/>
        <v/>
      </c>
      <c r="DD354" s="315" t="e">
        <f>IF($J354="",#N/A,SUM(DC$4:DC354))</f>
        <v>#N/A</v>
      </c>
      <c r="DE354" s="315" t="e">
        <f>IF($J354="",#N/A,SUM(DC$4:DC354,DA$4:DA354,CY$4:CY354))</f>
        <v>#N/A</v>
      </c>
      <c r="DF354" s="304" t="str">
        <f t="shared" si="608"/>
        <v/>
      </c>
      <c r="DG354" s="313" t="e">
        <f>IF($J354="",#N/A,SUM(DF$4:DF354))</f>
        <v>#N/A</v>
      </c>
      <c r="DH354" s="314" t="str">
        <f t="shared" si="609"/>
        <v/>
      </c>
      <c r="DI354" s="314" t="e">
        <f>IF($J354="",#N/A,SUM(DH$4:DH354))</f>
        <v>#N/A</v>
      </c>
      <c r="DJ354" s="315" t="str">
        <f t="shared" si="610"/>
        <v/>
      </c>
      <c r="DK354" s="315" t="e">
        <f>IF($J354="",#N/A,SUM(DJ$4:DJ354))</f>
        <v>#N/A</v>
      </c>
      <c r="DL354" s="315" t="e">
        <f>IF($J354="",#N/A,SUM(DJ$4:DJ354,DH$4:DH354,DF$4:DF354))</f>
        <v>#N/A</v>
      </c>
      <c r="DM354" s="304" t="str">
        <f t="shared" si="611"/>
        <v/>
      </c>
      <c r="DN354" s="313" t="e">
        <f>IF($J354="",#N/A,SUM(DM$4:DM354))</f>
        <v>#N/A</v>
      </c>
      <c r="DO354" s="314" t="str">
        <f t="shared" si="612"/>
        <v/>
      </c>
      <c r="DP354" s="314" t="e">
        <f>IF($J354="",#N/A,SUM(DO$4:DO354))</f>
        <v>#N/A</v>
      </c>
      <c r="DQ354" s="315" t="str">
        <f t="shared" si="613"/>
        <v/>
      </c>
      <c r="DR354" s="315" t="e">
        <f>IF($J354="",#N/A,SUM(DQ$4:DQ354))</f>
        <v>#N/A</v>
      </c>
      <c r="DS354" s="315" t="e">
        <f>IF($J354="",#N/A,SUM(DQ$4:DQ354,DO$4:DO354,DM$4:DM354))</f>
        <v>#N/A</v>
      </c>
      <c r="DT354" s="304" t="str">
        <f t="shared" si="614"/>
        <v/>
      </c>
      <c r="DU354" s="313" t="e">
        <f>IF($J354="",#N/A,SUM(DT$4:DT354))</f>
        <v>#N/A</v>
      </c>
      <c r="DV354" s="314" t="str">
        <f t="shared" si="615"/>
        <v/>
      </c>
      <c r="DW354" s="314" t="e">
        <f>IF($J354="",#N/A,SUM(DV$4:DV354))</f>
        <v>#N/A</v>
      </c>
      <c r="DX354" s="315" t="str">
        <f t="shared" si="616"/>
        <v/>
      </c>
      <c r="DY354" s="315" t="e">
        <f>IF($J354="",#N/A,SUM(DX$4:DX354))</f>
        <v>#N/A</v>
      </c>
      <c r="DZ354" s="315" t="e">
        <f>IF($J354="",#N/A,SUM(DX$4:DX354,DV$4:DV354,DT$4:DT354))</f>
        <v>#N/A</v>
      </c>
      <c r="EA354" s="304" t="str">
        <f t="shared" si="617"/>
        <v/>
      </c>
      <c r="EB354" s="313" t="e">
        <f>IF($J354="",#N/A,SUM(EA$4:EA354))</f>
        <v>#N/A</v>
      </c>
      <c r="EC354" s="314" t="str">
        <f t="shared" si="618"/>
        <v/>
      </c>
      <c r="ED354" s="314" t="e">
        <f>IF($J354="",#N/A,SUM(EC$4:EC354))</f>
        <v>#N/A</v>
      </c>
      <c r="EE354" s="315" t="str">
        <f t="shared" si="619"/>
        <v/>
      </c>
      <c r="EF354" s="315" t="e">
        <f>IF($J354="",#N/A,SUM(EE$4:EE354))</f>
        <v>#N/A</v>
      </c>
      <c r="EG354" s="315" t="e">
        <f>IF($J354="",#N/A,SUM(EE$4:EE354,EC$4:EC354,EA$4:EA354))</f>
        <v>#N/A</v>
      </c>
      <c r="EH354" s="130">
        <f t="shared" si="620"/>
        <v>-83.519999999999982</v>
      </c>
      <c r="EI354" s="63">
        <f>IF(EH354="",#N/A,SUM($EH$4:EH354))</f>
        <v>1285.5252526431348</v>
      </c>
      <c r="EJ354" s="223" t="e">
        <f t="shared" si="621"/>
        <v>#N/A</v>
      </c>
      <c r="EK354" s="63" t="e">
        <f>IF($GZ354="",#N/A,SUM(EJ$4:EJ354))</f>
        <v>#N/A</v>
      </c>
      <c r="EL354" s="60">
        <f t="shared" si="651"/>
        <v>-0.83653846153846134</v>
      </c>
      <c r="EM354" s="60">
        <f>IF(EL354="",NA(),SUM($EL$4:EL354))</f>
        <v>29.400047214047305</v>
      </c>
      <c r="EN354" s="60">
        <f t="shared" si="622"/>
        <v>-0.83653846153846134</v>
      </c>
      <c r="EO354" s="60">
        <f>IF(EN354="",NA(),SUM($EN$4:EN354))</f>
        <v>9.8454186808588826</v>
      </c>
      <c r="EP354" s="60" t="str">
        <f t="shared" si="623"/>
        <v/>
      </c>
      <c r="EQ354" s="60" t="e">
        <f>IF(EP354="",NA(),SUM($EP$4:EP354))</f>
        <v>#N/A</v>
      </c>
      <c r="ER354" s="60" t="str">
        <f t="shared" si="624"/>
        <v/>
      </c>
      <c r="ES354" s="60" t="e">
        <f>IF(ER354="",NA(),SUM($ER$4:ER354))</f>
        <v>#N/A</v>
      </c>
      <c r="ET354" s="60" t="str">
        <f t="shared" si="625"/>
        <v/>
      </c>
      <c r="EU354" s="60" t="e">
        <f>IF(ET354="",NA(),SUM($ET$4:ET354))</f>
        <v>#N/A</v>
      </c>
      <c r="EV354" s="60" t="str">
        <f t="shared" si="626"/>
        <v/>
      </c>
      <c r="EW354" s="60" t="e">
        <f>IF(EV354="",NA(),SUM($EV$4:EV354))</f>
        <v>#N/A</v>
      </c>
      <c r="EX354" s="60" t="str">
        <f t="shared" si="627"/>
        <v/>
      </c>
      <c r="EY354" s="60" t="e">
        <f>IF(EX354="",NA(),SUM($EX$4:EX354))</f>
        <v>#N/A</v>
      </c>
      <c r="EZ354" s="60" t="str">
        <f t="shared" si="628"/>
        <v/>
      </c>
      <c r="FA354" s="60" t="e">
        <f>IF(EZ354="",NA(),SUM($EZ$4:EZ354))</f>
        <v>#N/A</v>
      </c>
      <c r="FB354" s="246" t="str">
        <f t="shared" si="652"/>
        <v/>
      </c>
      <c r="FC354" s="246" t="e">
        <f>IF($FB354="",#N/A,SUM(FB$4:$FB354))</f>
        <v>#N/A</v>
      </c>
      <c r="FD354" s="60" t="str">
        <f t="shared" si="629"/>
        <v/>
      </c>
      <c r="FE354" s="60" t="e">
        <f>IF($FD354="",#N/A,SUM($FD$4:FD354))</f>
        <v>#N/A</v>
      </c>
      <c r="FF354" s="60" t="str">
        <f t="shared" si="630"/>
        <v/>
      </c>
      <c r="FG354" s="60" t="e">
        <f>IF($FF354="",#N/A,SUM($FF$4:FF354))</f>
        <v>#N/A</v>
      </c>
      <c r="FH354" s="60">
        <f t="shared" si="631"/>
        <v>-0.25160256410256532</v>
      </c>
      <c r="FI354" s="60">
        <f>IF($FH354="",#N/A,SUM($FH$4:FH354))</f>
        <v>1.4944864700035096</v>
      </c>
      <c r="FJ354" s="60" t="str">
        <f t="shared" si="632"/>
        <v/>
      </c>
      <c r="FK354" s="60" t="e">
        <f>IF($FJ354="",#N/A,SUM($FJ$4:FJ354))</f>
        <v>#N/A</v>
      </c>
      <c r="FL354" s="60" t="str">
        <f t="shared" si="633"/>
        <v/>
      </c>
      <c r="FM354" s="60" t="e">
        <f>IF($FL354="",#N/A,SUM($FL$4:FL354))</f>
        <v>#N/A</v>
      </c>
      <c r="FN354" s="82">
        <f t="shared" si="634"/>
        <v>-1.0881410256410267</v>
      </c>
      <c r="FO354" s="82">
        <f>IF($FN354="",#N/A,SUM(FN$4:$FN354))</f>
        <v>52.101398047261746</v>
      </c>
      <c r="FP354" s="82">
        <f t="shared" si="653"/>
        <v>-0.83653846153846134</v>
      </c>
      <c r="FQ354" s="246">
        <f>IF($EH354="",#N/A,SUM($FP$4:FP354))</f>
        <v>54.079566599858801</v>
      </c>
      <c r="FR354" s="82">
        <f>IFERROR(FQ354/COUNTA($J$4:J354),#N/A)</f>
        <v>0.15407283931583704</v>
      </c>
      <c r="FS354" s="82">
        <f t="shared" si="554"/>
        <v>-3.6898357233632169E-2</v>
      </c>
      <c r="FT354" s="82">
        <f t="shared" si="555"/>
        <v>0.15139504476491311</v>
      </c>
      <c r="FU354" s="338">
        <f t="shared" si="658"/>
        <v>27.768542416434578</v>
      </c>
      <c r="FV354" s="57" t="str">
        <f t="shared" ref="FV354:FV385" si="659">IF(FW354="Down","Dwn",IF(FW354="Up","Up",IF(AND(FW354="",K354=""),"",IF(AND(K354&lt;0,FW354="Yes"),"Dwn",IF(AND(K354&gt;0,FW354="Yes"),"Up",IF(AND(K354&lt;0,FW354="No"),"Up",IF(AND(K354&gt;0,FW354="No"),"Dwn",IF(FW354="NA","SW","err"))))))))</f>
        <v>Up</v>
      </c>
      <c r="FW354" s="57" t="s">
        <v>2734</v>
      </c>
      <c r="FX354" s="57" t="str">
        <f t="shared" si="635"/>
        <v/>
      </c>
      <c r="FY354" s="57" t="str">
        <f t="shared" si="636"/>
        <v/>
      </c>
      <c r="FZ354" s="57" t="str">
        <f t="shared" si="637"/>
        <v/>
      </c>
      <c r="GA354" s="57" t="str">
        <f t="shared" si="638"/>
        <v>Long</v>
      </c>
      <c r="GB354" s="57" t="str">
        <f t="shared" si="639"/>
        <v/>
      </c>
      <c r="GC354" s="57">
        <f t="shared" si="640"/>
        <v>1</v>
      </c>
      <c r="GD354" s="57" t="str">
        <f t="shared" si="641"/>
        <v/>
      </c>
      <c r="GE354" s="62">
        <f t="shared" si="557"/>
        <v>104</v>
      </c>
      <c r="GF354" s="62" t="s">
        <v>2779</v>
      </c>
      <c r="GG354" s="199">
        <v>16</v>
      </c>
      <c r="GH354" s="207">
        <f t="shared" si="642"/>
        <v>1664</v>
      </c>
      <c r="GI354" s="199">
        <v>16</v>
      </c>
      <c r="GJ354" s="200">
        <v>99</v>
      </c>
      <c r="GK354" s="63">
        <f t="shared" si="643"/>
        <v>-80</v>
      </c>
      <c r="GL354" s="63">
        <f t="shared" si="558"/>
        <v>-108.6400000000001</v>
      </c>
      <c r="GM354" s="82" t="str">
        <f t="shared" si="644"/>
        <v/>
      </c>
      <c r="GN354" s="82">
        <f>IF($GZ354="",#N/A,SUM(GM$4:GM354))</f>
        <v>9.0217847234853608</v>
      </c>
      <c r="GO354" s="82">
        <f t="shared" si="645"/>
        <v>-1.0881410256410267</v>
      </c>
      <c r="GP354" s="82">
        <f>IF($GZ354="",#N/A,SUM(GO$4:GO354))</f>
        <v>11.466473290236367</v>
      </c>
      <c r="GQ354" s="82" t="str">
        <f t="shared" si="646"/>
        <v/>
      </c>
      <c r="GR354" s="82">
        <f>IF($GZ354="",#N/A,SUM(GQ$4:GQ354))</f>
        <v>30.987303079097675</v>
      </c>
      <c r="GS354" s="63" t="str">
        <f t="shared" si="654"/>
        <v/>
      </c>
      <c r="GT354" s="63" t="e">
        <f>IF($GZ354="",#N/A,SUM(GS$4:GS354))</f>
        <v>#N/A</v>
      </c>
      <c r="GU354" s="63" t="e">
        <f t="shared" si="655"/>
        <v>#N/A</v>
      </c>
      <c r="GV354" s="63" t="e">
        <f>IF($GZ354="",#N/A,SUM(GU$4:GU354))</f>
        <v>#N/A</v>
      </c>
      <c r="GW354" s="63" t="str">
        <f t="shared" si="656"/>
        <v/>
      </c>
      <c r="GX354" s="63" t="e">
        <f>IF($GZ354="",#N/A,SUM(GW$4:GW354))</f>
        <v>#N/A</v>
      </c>
      <c r="GY354" s="63" t="e">
        <f>IF(EJ354="",#N/A,SUM($EJ$4:EJ354))</f>
        <v>#N/A</v>
      </c>
      <c r="GZ354" s="159">
        <v>97.21</v>
      </c>
      <c r="HA354" s="63">
        <f t="shared" si="647"/>
        <v>-25.120000000000118</v>
      </c>
      <c r="HB354" s="62" t="s">
        <v>2538</v>
      </c>
      <c r="HC354" s="60">
        <f>IFERROR(VLOOKUP(E354,Expectancy!$P$4:$S$19,1+C354,FALSE),"")</f>
        <v>0.264760236699845</v>
      </c>
      <c r="HD354" s="82">
        <f t="shared" si="648"/>
        <v>-0.80128205128205121</v>
      </c>
      <c r="HE354" s="138">
        <f>IF(HD354="",#N/A,SUM($HD$4:HD354))</f>
        <v>11.781024183424224</v>
      </c>
      <c r="HF354" s="85">
        <f>IF(HD354="",#N/A,IF(HB354="Skip",#N/A,SUM($HG$4:HG354)))</f>
        <v>452.19657921915541</v>
      </c>
      <c r="HG354" s="63">
        <f t="shared" si="649"/>
        <v>-80</v>
      </c>
      <c r="HH354" s="82">
        <f t="shared" si="650"/>
        <v>-1.0881410256410267</v>
      </c>
    </row>
    <row r="355" spans="1:216" x14ac:dyDescent="0.25">
      <c r="A355" s="57" t="s">
        <v>1415</v>
      </c>
      <c r="B355" s="58" t="s">
        <v>5247</v>
      </c>
      <c r="C355" s="386">
        <f t="shared" si="561"/>
        <v>3</v>
      </c>
      <c r="D355" s="372" t="str">
        <f>_xlfn.XLOOKUP(A355,[1]SP500!$A$2:$A$502,[1]SP500!$D$2:$D$502,"N")</f>
        <v>Y</v>
      </c>
      <c r="E355" s="57" t="str">
        <f>_xlfn.XLOOKUP(A355,[1]SP500!$A$2:$A$655,[1]SP500!$B$2:$B$655)</f>
        <v>XLI</v>
      </c>
      <c r="F355" s="59">
        <v>45708</v>
      </c>
      <c r="G355" s="57" t="str">
        <f t="shared" si="562"/>
        <v>BMO</v>
      </c>
      <c r="H355" s="57" t="str">
        <f t="shared" si="563"/>
        <v>s</v>
      </c>
      <c r="I355" s="159">
        <v>292.07</v>
      </c>
      <c r="J355" s="159">
        <v>307.58</v>
      </c>
      <c r="K355" s="61">
        <f t="shared" si="564"/>
        <v>5.3103708015201805E-2</v>
      </c>
      <c r="L355" s="87">
        <f t="shared" si="565"/>
        <v>93.059999999999945</v>
      </c>
      <c r="M355" s="130">
        <f t="shared" si="556"/>
        <v>-15.360000000000127</v>
      </c>
      <c r="N355" s="169" t="str">
        <f t="shared" si="566"/>
        <v/>
      </c>
      <c r="O355" s="169">
        <f>IF($J355="",#N/A,SUM($N$4:N355))</f>
        <v>276.15671935422461</v>
      </c>
      <c r="P355" s="174" t="str">
        <f t="shared" si="567"/>
        <v/>
      </c>
      <c r="Q355" s="174">
        <f>IF($J355="",#N/A,SUM($P$4:P355))</f>
        <v>519.16999224504332</v>
      </c>
      <c r="R355" s="178">
        <f t="shared" si="568"/>
        <v>93.059999999999945</v>
      </c>
      <c r="S355" s="178">
        <f>IF($J355="",#N/A,SUM($R$4:R355))</f>
        <v>583.25854104386667</v>
      </c>
      <c r="T355" s="290" t="str">
        <f t="shared" si="569"/>
        <v/>
      </c>
      <c r="U355" s="290">
        <f>IF($J355="",#N/A,SUM($T$4:T355))</f>
        <v>16.574086383859939</v>
      </c>
      <c r="V355" s="291" t="str">
        <f t="shared" si="570"/>
        <v/>
      </c>
      <c r="W355" s="291">
        <f>IF($J355="",#N/A,SUM($V$4:V355))</f>
        <v>24.774087773121796</v>
      </c>
      <c r="X355" s="292">
        <f t="shared" si="571"/>
        <v>0.88506180025336334</v>
      </c>
      <c r="Y355" s="292">
        <f>IF($J355="",#N/A,SUM($X$4:X355))</f>
        <v>13.616454243130445</v>
      </c>
      <c r="Z355" s="304" t="str">
        <f t="shared" si="572"/>
        <v/>
      </c>
      <c r="AA355" s="313" t="e">
        <f>IF($J355="",#N/A,SUM(Z$4:Z355))</f>
        <v>#N/A</v>
      </c>
      <c r="AB355" s="314" t="str">
        <f t="shared" si="573"/>
        <v/>
      </c>
      <c r="AC355" s="314" t="e">
        <f>IF($J355="",#N/A,SUM(AB$4:AB355))</f>
        <v>#N/A</v>
      </c>
      <c r="AD355" s="315" t="str">
        <f t="shared" si="574"/>
        <v/>
      </c>
      <c r="AE355" s="315" t="e">
        <f>IF($J355="",#N/A,SUM(AD$4:AD355))</f>
        <v>#N/A</v>
      </c>
      <c r="AF355" s="315" t="e">
        <f>IF($J355="",#N/A,SUM(AD$4:AD355,AB$4:AB355,Z$4:Z355))</f>
        <v>#N/A</v>
      </c>
      <c r="AG355" s="304" t="str">
        <f t="shared" si="575"/>
        <v/>
      </c>
      <c r="AH355" s="313" t="e">
        <f>IF($J355="",#N/A,SUM(AG$4:AG355))</f>
        <v>#N/A</v>
      </c>
      <c r="AI355" s="314" t="str">
        <f t="shared" si="576"/>
        <v/>
      </c>
      <c r="AJ355" s="314" t="e">
        <f>IF($J355="",#N/A,SUM(AI$4:AI355))</f>
        <v>#N/A</v>
      </c>
      <c r="AK355" s="315" t="str">
        <f t="shared" si="577"/>
        <v/>
      </c>
      <c r="AL355" s="315" t="e">
        <f>IF($J355="",#N/A,SUM(AK$4:AK355))</f>
        <v>#N/A</v>
      </c>
      <c r="AM355" s="315" t="e">
        <f>IF($J355="",#N/A,SUM(AK$4:AK355,AI$4:AI355,AG$4:AG355))</f>
        <v>#N/A</v>
      </c>
      <c r="AN355" s="304" t="str">
        <f t="shared" si="578"/>
        <v/>
      </c>
      <c r="AO355" s="313" t="e">
        <f>IF($J355="",#N/A,SUM(AN$4:AN355))</f>
        <v>#N/A</v>
      </c>
      <c r="AP355" s="314" t="str">
        <f t="shared" si="579"/>
        <v/>
      </c>
      <c r="AQ355" s="314" t="e">
        <f>IF($J355="",#N/A,SUM(AP$4:AP355))</f>
        <v>#N/A</v>
      </c>
      <c r="AR355" s="315" t="str">
        <f t="shared" si="580"/>
        <v/>
      </c>
      <c r="AS355" s="315" t="e">
        <f>IF($J355="",#N/A,SUM(AR$4:AR355))</f>
        <v>#N/A</v>
      </c>
      <c r="AT355" s="315" t="e">
        <f>IF($J355="",#N/A,SUM(AR$4:AR355,AP$4:AP355,AN$4:AN355))</f>
        <v>#N/A</v>
      </c>
      <c r="AU355" s="304" t="str">
        <f t="shared" si="581"/>
        <v/>
      </c>
      <c r="AV355" s="313" t="e">
        <f>IF($J355="",#N/A,SUM(AU$4:AU355))</f>
        <v>#N/A</v>
      </c>
      <c r="AW355" s="314" t="str">
        <f t="shared" si="582"/>
        <v/>
      </c>
      <c r="AX355" s="314" t="e">
        <f>IF($J355="",#N/A,SUM(AW$4:AW355))</f>
        <v>#N/A</v>
      </c>
      <c r="AY355" s="315" t="str">
        <f t="shared" si="583"/>
        <v/>
      </c>
      <c r="AZ355" s="315" t="e">
        <f>IF($J355="",#N/A,SUM(AY$4:AY355))</f>
        <v>#N/A</v>
      </c>
      <c r="BA355" s="315" t="e">
        <f>IF($J355="",#N/A,SUM(AY$4:AY355,AW$4:AW355,AU$4:AU355))</f>
        <v>#N/A</v>
      </c>
      <c r="BB355" s="304" t="str">
        <f t="shared" si="584"/>
        <v/>
      </c>
      <c r="BC355" s="313" t="e">
        <f>IF($J355="",#N/A,SUM(BB$4:BB355))</f>
        <v>#N/A</v>
      </c>
      <c r="BD355" s="314" t="str">
        <f t="shared" si="585"/>
        <v/>
      </c>
      <c r="BE355" s="314" t="e">
        <f>IF($J355="",#N/A,SUM(BD$4:BD355))</f>
        <v>#N/A</v>
      </c>
      <c r="BF355" s="315" t="str">
        <f t="shared" si="586"/>
        <v/>
      </c>
      <c r="BG355" s="315" t="e">
        <f>IF($J355="",#N/A,SUM(BF$4:BF355))</f>
        <v>#N/A</v>
      </c>
      <c r="BH355" s="315" t="e">
        <f>IF($J355="",#N/A,SUM(BF$4:BF355,BD$4:BD355,BB$4:BB355))</f>
        <v>#N/A</v>
      </c>
      <c r="BI355" s="304" t="str">
        <f t="shared" si="587"/>
        <v/>
      </c>
      <c r="BJ355" s="313" t="e">
        <f>IF($J355="",#N/A,SUM(BI$4:BI355))</f>
        <v>#N/A</v>
      </c>
      <c r="BK355" s="314" t="str">
        <f t="shared" si="588"/>
        <v/>
      </c>
      <c r="BL355" s="314" t="e">
        <f>IF($J355="",#N/A,SUM(BK$4:BK355))</f>
        <v>#N/A</v>
      </c>
      <c r="BM355" s="315" t="str">
        <f t="shared" si="589"/>
        <v/>
      </c>
      <c r="BN355" s="315" t="e">
        <f>IF($J355="",#N/A,SUM(BM$4:BM355))</f>
        <v>#N/A</v>
      </c>
      <c r="BO355" s="315" t="e">
        <f>IF($J355="",#N/A,SUM(BM$4:BM355,BK$4:BK355,BI$4:BI355))</f>
        <v>#N/A</v>
      </c>
      <c r="BP355" s="304" t="str">
        <f t="shared" si="590"/>
        <v/>
      </c>
      <c r="BQ355" s="313" t="e">
        <f>IF($J355="",#N/A,SUM(BP$4:BP355))</f>
        <v>#N/A</v>
      </c>
      <c r="BR355" s="314" t="str">
        <f t="shared" si="591"/>
        <v/>
      </c>
      <c r="BS355" s="314" t="e">
        <f>IF($J355="",#N/A,SUM(BR$4:BR355))</f>
        <v>#N/A</v>
      </c>
      <c r="BT355" s="315">
        <f t="shared" si="592"/>
        <v>0.88506180025336334</v>
      </c>
      <c r="BU355" s="315" t="e">
        <f>IF($J355="",#N/A,SUM(BT$4:BT355))</f>
        <v>#N/A</v>
      </c>
      <c r="BV355" s="315" t="e">
        <f>IF($J355="",#N/A,SUM(BT$4:BT355,BR$4:BR355,BP$4:BP355))</f>
        <v>#N/A</v>
      </c>
      <c r="BW355" s="304" t="str">
        <f t="shared" si="593"/>
        <v/>
      </c>
      <c r="BX355" s="313" t="e">
        <f>IF($J355="",#N/A,SUM(BW$4:BW355))</f>
        <v>#N/A</v>
      </c>
      <c r="BY355" s="314" t="str">
        <f t="shared" si="594"/>
        <v/>
      </c>
      <c r="BZ355" s="314" t="e">
        <f>IF($J355="",#N/A,SUM(BY$4:BY355))</f>
        <v>#N/A</v>
      </c>
      <c r="CA355" s="315" t="str">
        <f t="shared" si="595"/>
        <v/>
      </c>
      <c r="CB355" s="315" t="e">
        <f>IF($J355="",#N/A,SUM(CA$4:CA355))</f>
        <v>#N/A</v>
      </c>
      <c r="CC355" s="315" t="e">
        <f>IF($J355="",#N/A,SUM(CA$4:CA355,BY$4:BY355,BW$4:BW355))</f>
        <v>#N/A</v>
      </c>
      <c r="CD355" s="304" t="str">
        <f t="shared" si="596"/>
        <v/>
      </c>
      <c r="CE355" s="313" t="e">
        <f>IF($J355="",#N/A,SUM(CD$4:CD355))</f>
        <v>#N/A</v>
      </c>
      <c r="CF355" s="314" t="str">
        <f t="shared" si="597"/>
        <v/>
      </c>
      <c r="CG355" s="314" t="e">
        <f>IF($J355="",#N/A,SUM(CF$4:CF355))</f>
        <v>#N/A</v>
      </c>
      <c r="CH355" s="315" t="str">
        <f t="shared" si="598"/>
        <v/>
      </c>
      <c r="CI355" s="315" t="e">
        <f>IF($J355="",#N/A,SUM(CH$4:CH355))</f>
        <v>#N/A</v>
      </c>
      <c r="CJ355" s="315" t="e">
        <f>IF($J355="",#N/A,SUM(CH$4:CH355,CF$4:CF355,CD$4:CD355))</f>
        <v>#N/A</v>
      </c>
      <c r="CK355" s="304" t="str">
        <f t="shared" si="599"/>
        <v/>
      </c>
      <c r="CL355" s="313" t="e">
        <f>IF($J355="",#N/A,SUM(CK$4:CK355))</f>
        <v>#N/A</v>
      </c>
      <c r="CM355" s="314" t="str">
        <f t="shared" si="600"/>
        <v/>
      </c>
      <c r="CN355" s="314" t="e">
        <f>IF($J355="",#N/A,SUM(CM$4:CM355))</f>
        <v>#N/A</v>
      </c>
      <c r="CO355" s="315" t="str">
        <f t="shared" si="601"/>
        <v/>
      </c>
      <c r="CP355" s="315" t="e">
        <f>IF($J355="",#N/A,SUM(CO$4:CO355))</f>
        <v>#N/A</v>
      </c>
      <c r="CQ355" s="315" t="e">
        <f>IF($J355="",#N/A,SUM(CO$4:CO355,CM$4:CM355,CK$4:CK355))</f>
        <v>#N/A</v>
      </c>
      <c r="CR355" s="304" t="str">
        <f t="shared" si="602"/>
        <v/>
      </c>
      <c r="CS355" s="313" t="e">
        <f>IF($J355="",#N/A,SUM(CR$4:CR355))</f>
        <v>#N/A</v>
      </c>
      <c r="CT355" s="314" t="str">
        <f t="shared" si="603"/>
        <v/>
      </c>
      <c r="CU355" s="314" t="e">
        <f>IF($J355="",#N/A,SUM(CT$4:CT355))</f>
        <v>#N/A</v>
      </c>
      <c r="CV355" s="315" t="str">
        <f t="shared" si="604"/>
        <v/>
      </c>
      <c r="CW355" s="315" t="e">
        <f>IF($J355="",#N/A,SUM(CV$4:CV355))</f>
        <v>#N/A</v>
      </c>
      <c r="CX355" s="315" t="e">
        <f>IF($J355="",#N/A,SUM(CV$4:CV355,CT$4:CT355,CR$4:CR355))</f>
        <v>#N/A</v>
      </c>
      <c r="CY355" s="304" t="str">
        <f t="shared" si="605"/>
        <v/>
      </c>
      <c r="CZ355" s="313" t="e">
        <f>IF($J355="",#N/A,SUM(CY$4:CY355))</f>
        <v>#N/A</v>
      </c>
      <c r="DA355" s="314" t="str">
        <f t="shared" si="606"/>
        <v/>
      </c>
      <c r="DB355" s="314" t="e">
        <f>IF($J355="",#N/A,SUM(DA$4:DA355))</f>
        <v>#N/A</v>
      </c>
      <c r="DC355" s="315" t="str">
        <f t="shared" si="607"/>
        <v/>
      </c>
      <c r="DD355" s="315" t="e">
        <f>IF($J355="",#N/A,SUM(DC$4:DC355))</f>
        <v>#N/A</v>
      </c>
      <c r="DE355" s="315" t="e">
        <f>IF($J355="",#N/A,SUM(DC$4:DC355,DA$4:DA355,CY$4:CY355))</f>
        <v>#N/A</v>
      </c>
      <c r="DF355" s="304" t="str">
        <f t="shared" si="608"/>
        <v/>
      </c>
      <c r="DG355" s="313" t="e">
        <f>IF($J355="",#N/A,SUM(DF$4:DF355))</f>
        <v>#N/A</v>
      </c>
      <c r="DH355" s="314" t="str">
        <f t="shared" si="609"/>
        <v/>
      </c>
      <c r="DI355" s="314" t="e">
        <f>IF($J355="",#N/A,SUM(DH$4:DH355))</f>
        <v>#N/A</v>
      </c>
      <c r="DJ355" s="315" t="str">
        <f t="shared" si="610"/>
        <v/>
      </c>
      <c r="DK355" s="315" t="e">
        <f>IF($J355="",#N/A,SUM(DJ$4:DJ355))</f>
        <v>#N/A</v>
      </c>
      <c r="DL355" s="315" t="e">
        <f>IF($J355="",#N/A,SUM(DJ$4:DJ355,DH$4:DH355,DF$4:DF355))</f>
        <v>#N/A</v>
      </c>
      <c r="DM355" s="304" t="str">
        <f t="shared" si="611"/>
        <v/>
      </c>
      <c r="DN355" s="313" t="e">
        <f>IF($J355="",#N/A,SUM(DM$4:DM355))</f>
        <v>#N/A</v>
      </c>
      <c r="DO355" s="314" t="str">
        <f t="shared" si="612"/>
        <v/>
      </c>
      <c r="DP355" s="314" t="e">
        <f>IF($J355="",#N/A,SUM(DO$4:DO355))</f>
        <v>#N/A</v>
      </c>
      <c r="DQ355" s="315" t="str">
        <f t="shared" si="613"/>
        <v/>
      </c>
      <c r="DR355" s="315" t="e">
        <f>IF($J355="",#N/A,SUM(DQ$4:DQ355))</f>
        <v>#N/A</v>
      </c>
      <c r="DS355" s="315" t="e">
        <f>IF($J355="",#N/A,SUM(DQ$4:DQ355,DO$4:DO355,DM$4:DM355))</f>
        <v>#N/A</v>
      </c>
      <c r="DT355" s="304" t="str">
        <f t="shared" si="614"/>
        <v/>
      </c>
      <c r="DU355" s="313" t="e">
        <f>IF($J355="",#N/A,SUM(DT$4:DT355))</f>
        <v>#N/A</v>
      </c>
      <c r="DV355" s="314" t="str">
        <f t="shared" si="615"/>
        <v/>
      </c>
      <c r="DW355" s="314" t="e">
        <f>IF($J355="",#N/A,SUM(DV$4:DV355))</f>
        <v>#N/A</v>
      </c>
      <c r="DX355" s="315" t="str">
        <f t="shared" si="616"/>
        <v/>
      </c>
      <c r="DY355" s="315" t="e">
        <f>IF($J355="",#N/A,SUM(DX$4:DX355))</f>
        <v>#N/A</v>
      </c>
      <c r="DZ355" s="315" t="e">
        <f>IF($J355="",#N/A,SUM(DX$4:DX355,DV$4:DV355,DT$4:DT355))</f>
        <v>#N/A</v>
      </c>
      <c r="EA355" s="304" t="str">
        <f t="shared" si="617"/>
        <v/>
      </c>
      <c r="EB355" s="313" t="e">
        <f>IF($J355="",#N/A,SUM(EA$4:EA355))</f>
        <v>#N/A</v>
      </c>
      <c r="EC355" s="314" t="str">
        <f t="shared" si="618"/>
        <v/>
      </c>
      <c r="ED355" s="314" t="e">
        <f>IF($J355="",#N/A,SUM(EC$4:EC355))</f>
        <v>#N/A</v>
      </c>
      <c r="EE355" s="315" t="str">
        <f t="shared" si="619"/>
        <v/>
      </c>
      <c r="EF355" s="315" t="e">
        <f>IF($J355="",#N/A,SUM(EE$4:EE355))</f>
        <v>#N/A</v>
      </c>
      <c r="EG355" s="315" t="e">
        <f>IF($J355="",#N/A,SUM(EE$4:EE355,EC$4:EC355,EA$4:EA355))</f>
        <v>#N/A</v>
      </c>
      <c r="EH355" s="130">
        <f t="shared" si="620"/>
        <v>93.059999999999945</v>
      </c>
      <c r="EI355" s="63">
        <f>IF(EH355="",#N/A,SUM($EH$4:EH355))</f>
        <v>1378.5852526431347</v>
      </c>
      <c r="EJ355" s="223" t="e">
        <f t="shared" si="621"/>
        <v>#N/A</v>
      </c>
      <c r="EK355" s="63" t="e">
        <f>IF($GZ355="",#N/A,SUM(EJ$4:EJ355))</f>
        <v>#N/A</v>
      </c>
      <c r="EL355" s="60">
        <f t="shared" si="651"/>
        <v>0.88506180025336334</v>
      </c>
      <c r="EM355" s="60">
        <f>IF(EL355="",NA(),SUM($EL$4:EL355))</f>
        <v>30.285109014300669</v>
      </c>
      <c r="EN355" s="60" t="str">
        <f t="shared" si="622"/>
        <v/>
      </c>
      <c r="EO355" s="60" t="e">
        <f>IF(EN355="",NA(),SUM($EN$4:EN355))</f>
        <v>#N/A</v>
      </c>
      <c r="EP355" s="60">
        <f t="shared" si="623"/>
        <v>0.88506180025336334</v>
      </c>
      <c r="EQ355" s="60">
        <f>IF(EP355="",NA(),SUM($EP$4:EP355))</f>
        <v>8.4454145446014888</v>
      </c>
      <c r="ER355" s="60" t="str">
        <f t="shared" si="624"/>
        <v/>
      </c>
      <c r="ES355" s="60" t="e">
        <f>IF(ER355="",NA(),SUM($ER$4:ER355))</f>
        <v>#N/A</v>
      </c>
      <c r="ET355" s="60" t="str">
        <f t="shared" si="625"/>
        <v/>
      </c>
      <c r="EU355" s="60" t="e">
        <f>IF(ET355="",NA(),SUM($ET$4:ET355))</f>
        <v>#N/A</v>
      </c>
      <c r="EV355" s="60" t="str">
        <f t="shared" si="626"/>
        <v/>
      </c>
      <c r="EW355" s="60" t="e">
        <f>IF(EV355="",NA(),SUM($EV$4:EV355))</f>
        <v>#N/A</v>
      </c>
      <c r="EX355" s="60" t="str">
        <f t="shared" si="627"/>
        <v/>
      </c>
      <c r="EY355" s="60" t="e">
        <f>IF(EX355="",NA(),SUM($EX$4:EX355))</f>
        <v>#N/A</v>
      </c>
      <c r="EZ355" s="60" t="str">
        <f t="shared" si="628"/>
        <v/>
      </c>
      <c r="FA355" s="60" t="e">
        <f>IF(EZ355="",NA(),SUM($EZ$4:EZ355))</f>
        <v>#N/A</v>
      </c>
      <c r="FB355" s="246" t="str">
        <f t="shared" si="652"/>
        <v/>
      </c>
      <c r="FC355" s="246" t="e">
        <f>IF($FB355="",#N/A,SUM(FB$4:$FB355))</f>
        <v>#N/A</v>
      </c>
      <c r="FD355" s="60" t="str">
        <f t="shared" si="629"/>
        <v/>
      </c>
      <c r="FE355" s="60" t="e">
        <f>IF($FD355="",#N/A,SUM($FD$4:FD355))</f>
        <v>#N/A</v>
      </c>
      <c r="FF355" s="60" t="str">
        <f t="shared" si="630"/>
        <v/>
      </c>
      <c r="FG355" s="60" t="e">
        <f>IF($FF355="",#N/A,SUM($FF$4:FF355))</f>
        <v>#N/A</v>
      </c>
      <c r="FH355" s="60" t="str">
        <f t="shared" si="631"/>
        <v/>
      </c>
      <c r="FI355" s="60" t="e">
        <f>IF($FH355="",#N/A,SUM($FH$4:FH355))</f>
        <v>#N/A</v>
      </c>
      <c r="FJ355" s="60">
        <f t="shared" si="632"/>
        <v>-1.5076294495611782</v>
      </c>
      <c r="FK355" s="60">
        <f>IF($FJ355="",#N/A,SUM($FJ$4:FJ355))</f>
        <v>-1.8507204710292253</v>
      </c>
      <c r="FL355" s="60" t="str">
        <f t="shared" si="633"/>
        <v/>
      </c>
      <c r="FM355" s="60" t="e">
        <f>IF($FL355="",#N/A,SUM($FL$4:FL355))</f>
        <v>#N/A</v>
      </c>
      <c r="FN355" s="82">
        <f t="shared" si="634"/>
        <v>-0.62256764930781472</v>
      </c>
      <c r="FO355" s="82">
        <f>IF($FN355="",#N/A,SUM(FN$4:$FN355))</f>
        <v>51.478830397953928</v>
      </c>
      <c r="FP355" s="82">
        <f t="shared" si="653"/>
        <v>0.88506180025336334</v>
      </c>
      <c r="FQ355" s="246">
        <f>IF($EH355="",#N/A,SUM($FP$4:FP355))</f>
        <v>54.964628400112161</v>
      </c>
      <c r="FR355" s="82">
        <f>IFERROR(FQ355/COUNTA($J$4:J355),#N/A)</f>
        <v>0.15614951250031864</v>
      </c>
      <c r="FS355" s="82">
        <f t="shared" si="554"/>
        <v>-3.8227986413276224E-2</v>
      </c>
      <c r="FT355" s="82">
        <f t="shared" si="555"/>
        <v>0.22134455293759259</v>
      </c>
      <c r="FU355" s="338">
        <f t="shared" si="658"/>
        <v>27.914626117830359</v>
      </c>
      <c r="FV355" s="57" t="str">
        <f t="shared" si="659"/>
        <v>SW</v>
      </c>
      <c r="FW355" s="57" t="s">
        <v>2732</v>
      </c>
      <c r="FX355" s="57" t="str">
        <f t="shared" si="635"/>
        <v/>
      </c>
      <c r="FY355" s="57" t="str">
        <f t="shared" si="636"/>
        <v/>
      </c>
      <c r="FZ355" s="57">
        <f t="shared" si="637"/>
        <v>1</v>
      </c>
      <c r="GA355" s="57" t="str">
        <f t="shared" si="638"/>
        <v>Long</v>
      </c>
      <c r="GB355" s="57" t="str">
        <f t="shared" si="639"/>
        <v/>
      </c>
      <c r="GC355" s="57" t="str">
        <f t="shared" si="640"/>
        <v/>
      </c>
      <c r="GD355" s="57" t="str">
        <f t="shared" si="641"/>
        <v/>
      </c>
      <c r="GE355" s="62">
        <f t="shared" si="557"/>
        <v>292.07</v>
      </c>
      <c r="GF355" s="62" t="s">
        <v>2779</v>
      </c>
      <c r="GG355" s="199">
        <v>6</v>
      </c>
      <c r="GH355" s="207">
        <f t="shared" si="642"/>
        <v>1752.42</v>
      </c>
      <c r="GI355" s="199">
        <v>6</v>
      </c>
      <c r="GJ355" s="200">
        <v>305.02</v>
      </c>
      <c r="GK355" s="63">
        <f t="shared" si="643"/>
        <v>77.699999999999818</v>
      </c>
      <c r="GL355" s="63">
        <f t="shared" si="558"/>
        <v>-65.460000000000036</v>
      </c>
      <c r="GM355" s="82">
        <f t="shared" si="644"/>
        <v>-0.62256764930781472</v>
      </c>
      <c r="GN355" s="82">
        <f>IF($GZ355="",#N/A,SUM(GM$4:GM355))</f>
        <v>8.399217074177546</v>
      </c>
      <c r="GO355" s="82" t="str">
        <f t="shared" si="645"/>
        <v/>
      </c>
      <c r="GP355" s="82">
        <f>IF($GZ355="",#N/A,SUM(GO$4:GO355))</f>
        <v>11.466473290236367</v>
      </c>
      <c r="GQ355" s="82" t="str">
        <f t="shared" si="646"/>
        <v/>
      </c>
      <c r="GR355" s="82">
        <f>IF($GZ355="",#N/A,SUM(GQ$4:GQ355))</f>
        <v>30.987303079097675</v>
      </c>
      <c r="GS355" s="63" t="e">
        <f t="shared" si="654"/>
        <v>#N/A</v>
      </c>
      <c r="GT355" s="63" t="e">
        <f>IF($GZ355="",#N/A,SUM(GS$4:GS355))</f>
        <v>#N/A</v>
      </c>
      <c r="GU355" s="63" t="str">
        <f t="shared" si="655"/>
        <v/>
      </c>
      <c r="GV355" s="63" t="e">
        <f>IF($GZ355="",#N/A,SUM(GU$4:GU355))</f>
        <v>#N/A</v>
      </c>
      <c r="GW355" s="63" t="str">
        <f t="shared" si="656"/>
        <v/>
      </c>
      <c r="GX355" s="63" t="e">
        <f>IF($GZ355="",#N/A,SUM(GW$4:GW355))</f>
        <v>#N/A</v>
      </c>
      <c r="GY355" s="63" t="e">
        <f>IF(EJ355="",#N/A,SUM($EJ$4:EJ355))</f>
        <v>#N/A</v>
      </c>
      <c r="GZ355" s="159">
        <v>281.16000000000003</v>
      </c>
      <c r="HA355" s="63">
        <f t="shared" si="647"/>
        <v>-158.51999999999998</v>
      </c>
      <c r="HB355" s="62" t="s">
        <v>2538</v>
      </c>
      <c r="HC355" s="60">
        <f>IFERROR(VLOOKUP(E355,Expectancy!$P$4:$S$19,1+C355,FALSE),"")</f>
        <v>2.40735201201209E-2</v>
      </c>
      <c r="HD355" s="82">
        <f t="shared" si="648"/>
        <v>0.73897809885757804</v>
      </c>
      <c r="HE355" s="138">
        <f>IF(HD355="",#N/A,SUM($HD$4:HD355))</f>
        <v>12.520002282281801</v>
      </c>
      <c r="HF355" s="85">
        <f>IF(HD355="",#N/A,IF(HB355="Skip",#N/A,SUM($HG$4:HG355)))</f>
        <v>529.89657921915523</v>
      </c>
      <c r="HG355" s="63">
        <f t="shared" si="649"/>
        <v>77.699999999999818</v>
      </c>
      <c r="HH355" s="82">
        <f t="shared" si="650"/>
        <v>-0.62256764930781472</v>
      </c>
    </row>
    <row r="356" spans="1:216" x14ac:dyDescent="0.25">
      <c r="A356" s="57" t="s">
        <v>164</v>
      </c>
      <c r="B356" s="58" t="s">
        <v>5247</v>
      </c>
      <c r="C356" s="386">
        <f t="shared" si="561"/>
        <v>3</v>
      </c>
      <c r="D356" s="372" t="str">
        <f>_xlfn.XLOOKUP(A356,[1]SP500!$A$2:$A$502,[1]SP500!$D$2:$D$502,"N")</f>
        <v>Y</v>
      </c>
      <c r="E356" s="57" t="str">
        <f>_xlfn.XLOOKUP(A356,[1]SP500!$A$2:$A$655,[1]SP500!$B$2:$B$655)</f>
        <v>XLE</v>
      </c>
      <c r="F356" s="59">
        <v>45708</v>
      </c>
      <c r="G356" s="57" t="str">
        <f t="shared" si="562"/>
        <v>BMO</v>
      </c>
      <c r="H356" s="57" t="str">
        <f t="shared" si="563"/>
        <v>s</v>
      </c>
      <c r="I356" s="159">
        <v>210.29</v>
      </c>
      <c r="J356" s="159">
        <v>201.77</v>
      </c>
      <c r="K356" s="61">
        <f t="shared" si="564"/>
        <v>-4.0515478624756206E-2</v>
      </c>
      <c r="L356" s="87">
        <f t="shared" si="565"/>
        <v>-68.159999999999854</v>
      </c>
      <c r="M356" s="130">
        <f t="shared" si="556"/>
        <v>0</v>
      </c>
      <c r="N356" s="169" t="str">
        <f t="shared" si="566"/>
        <v/>
      </c>
      <c r="O356" s="169">
        <f>IF($J356="",#N/A,SUM($N$4:N356))</f>
        <v>276.15671935422461</v>
      </c>
      <c r="P356" s="174" t="str">
        <f t="shared" si="567"/>
        <v/>
      </c>
      <c r="Q356" s="174">
        <f>IF($J356="",#N/A,SUM($P$4:P356))</f>
        <v>519.16999224504332</v>
      </c>
      <c r="R356" s="178">
        <f t="shared" si="568"/>
        <v>-68.159999999999854</v>
      </c>
      <c r="S356" s="178">
        <f>IF($J356="",#N/A,SUM($R$4:R356))</f>
        <v>515.09854104386682</v>
      </c>
      <c r="T356" s="290" t="str">
        <f t="shared" si="569"/>
        <v/>
      </c>
      <c r="U356" s="290">
        <f>IF($J356="",#N/A,SUM($T$4:T356))</f>
        <v>16.574086383859939</v>
      </c>
      <c r="V356" s="291" t="str">
        <f t="shared" si="570"/>
        <v/>
      </c>
      <c r="W356" s="291">
        <f>IF($J356="",#N/A,SUM($V$4:V356))</f>
        <v>24.774087773121796</v>
      </c>
      <c r="X356" s="292">
        <f t="shared" si="571"/>
        <v>-0.67525797707927016</v>
      </c>
      <c r="Y356" s="292">
        <f>IF($J356="",#N/A,SUM($X$4:X356))</f>
        <v>12.941196266051175</v>
      </c>
      <c r="Z356" s="304" t="str">
        <f t="shared" si="572"/>
        <v/>
      </c>
      <c r="AA356" s="313" t="e">
        <f>IF($J356="",#N/A,SUM(Z$4:Z356))</f>
        <v>#N/A</v>
      </c>
      <c r="AB356" s="314" t="str">
        <f t="shared" si="573"/>
        <v/>
      </c>
      <c r="AC356" s="314" t="e">
        <f>IF($J356="",#N/A,SUM(AB$4:AB356))</f>
        <v>#N/A</v>
      </c>
      <c r="AD356" s="315" t="str">
        <f t="shared" si="574"/>
        <v/>
      </c>
      <c r="AE356" s="315" t="e">
        <f>IF($J356="",#N/A,SUM(AD$4:AD356))</f>
        <v>#N/A</v>
      </c>
      <c r="AF356" s="315" t="e">
        <f>IF($J356="",#N/A,SUM(AD$4:AD356,AB$4:AB356,Z$4:Z356))</f>
        <v>#N/A</v>
      </c>
      <c r="AG356" s="304" t="str">
        <f t="shared" si="575"/>
        <v/>
      </c>
      <c r="AH356" s="313" t="e">
        <f>IF($J356="",#N/A,SUM(AG$4:AG356))</f>
        <v>#N/A</v>
      </c>
      <c r="AI356" s="314" t="str">
        <f t="shared" si="576"/>
        <v/>
      </c>
      <c r="AJ356" s="314" t="e">
        <f>IF($J356="",#N/A,SUM(AI$4:AI356))</f>
        <v>#N/A</v>
      </c>
      <c r="AK356" s="315" t="str">
        <f t="shared" si="577"/>
        <v/>
      </c>
      <c r="AL356" s="315" t="e">
        <f>IF($J356="",#N/A,SUM(AK$4:AK356))</f>
        <v>#N/A</v>
      </c>
      <c r="AM356" s="315" t="e">
        <f>IF($J356="",#N/A,SUM(AK$4:AK356,AI$4:AI356,AG$4:AG356))</f>
        <v>#N/A</v>
      </c>
      <c r="AN356" s="304" t="str">
        <f t="shared" si="578"/>
        <v/>
      </c>
      <c r="AO356" s="313" t="e">
        <f>IF($J356="",#N/A,SUM(AN$4:AN356))</f>
        <v>#N/A</v>
      </c>
      <c r="AP356" s="314" t="str">
        <f t="shared" si="579"/>
        <v/>
      </c>
      <c r="AQ356" s="314" t="e">
        <f>IF($J356="",#N/A,SUM(AP$4:AP356))</f>
        <v>#N/A</v>
      </c>
      <c r="AR356" s="315" t="str">
        <f t="shared" si="580"/>
        <v/>
      </c>
      <c r="AS356" s="315" t="e">
        <f>IF($J356="",#N/A,SUM(AR$4:AR356))</f>
        <v>#N/A</v>
      </c>
      <c r="AT356" s="315" t="e">
        <f>IF($J356="",#N/A,SUM(AR$4:AR356,AP$4:AP356,AN$4:AN356))</f>
        <v>#N/A</v>
      </c>
      <c r="AU356" s="304" t="str">
        <f t="shared" si="581"/>
        <v/>
      </c>
      <c r="AV356" s="313" t="e">
        <f>IF($J356="",#N/A,SUM(AU$4:AU356))</f>
        <v>#N/A</v>
      </c>
      <c r="AW356" s="314" t="str">
        <f t="shared" si="582"/>
        <v/>
      </c>
      <c r="AX356" s="314" t="e">
        <f>IF($J356="",#N/A,SUM(AW$4:AW356))</f>
        <v>#N/A</v>
      </c>
      <c r="AY356" s="315" t="str">
        <f t="shared" si="583"/>
        <v/>
      </c>
      <c r="AZ356" s="315" t="e">
        <f>IF($J356="",#N/A,SUM(AY$4:AY356))</f>
        <v>#N/A</v>
      </c>
      <c r="BA356" s="315" t="e">
        <f>IF($J356="",#N/A,SUM(AY$4:AY356,AW$4:AW356,AU$4:AU356))</f>
        <v>#N/A</v>
      </c>
      <c r="BB356" s="304" t="str">
        <f t="shared" si="584"/>
        <v/>
      </c>
      <c r="BC356" s="313" t="e">
        <f>IF($J356="",#N/A,SUM(BB$4:BB356))</f>
        <v>#N/A</v>
      </c>
      <c r="BD356" s="314" t="str">
        <f t="shared" si="585"/>
        <v/>
      </c>
      <c r="BE356" s="314" t="e">
        <f>IF($J356="",#N/A,SUM(BD$4:BD356))</f>
        <v>#N/A</v>
      </c>
      <c r="BF356" s="315" t="str">
        <f t="shared" si="586"/>
        <v/>
      </c>
      <c r="BG356" s="315" t="e">
        <f>IF($J356="",#N/A,SUM(BF$4:BF356))</f>
        <v>#N/A</v>
      </c>
      <c r="BH356" s="315" t="e">
        <f>IF($J356="",#N/A,SUM(BF$4:BF356,BD$4:BD356,BB$4:BB356))</f>
        <v>#N/A</v>
      </c>
      <c r="BI356" s="304" t="str">
        <f t="shared" si="587"/>
        <v/>
      </c>
      <c r="BJ356" s="313" t="e">
        <f>IF($J356="",#N/A,SUM(BI$4:BI356))</f>
        <v>#N/A</v>
      </c>
      <c r="BK356" s="314" t="str">
        <f t="shared" si="588"/>
        <v/>
      </c>
      <c r="BL356" s="314" t="e">
        <f>IF($J356="",#N/A,SUM(BK$4:BK356))</f>
        <v>#N/A</v>
      </c>
      <c r="BM356" s="315" t="str">
        <f t="shared" si="589"/>
        <v/>
      </c>
      <c r="BN356" s="315" t="e">
        <f>IF($J356="",#N/A,SUM(BM$4:BM356))</f>
        <v>#N/A</v>
      </c>
      <c r="BO356" s="315" t="e">
        <f>IF($J356="",#N/A,SUM(BM$4:BM356,BK$4:BK356,BI$4:BI356))</f>
        <v>#N/A</v>
      </c>
      <c r="BP356" s="304" t="str">
        <f t="shared" si="590"/>
        <v/>
      </c>
      <c r="BQ356" s="313" t="e">
        <f>IF($J356="",#N/A,SUM(BP$4:BP356))</f>
        <v>#N/A</v>
      </c>
      <c r="BR356" s="314" t="str">
        <f t="shared" si="591"/>
        <v/>
      </c>
      <c r="BS356" s="314" t="e">
        <f>IF($J356="",#N/A,SUM(BR$4:BR356))</f>
        <v>#N/A</v>
      </c>
      <c r="BT356" s="315" t="str">
        <f t="shared" si="592"/>
        <v/>
      </c>
      <c r="BU356" s="315" t="e">
        <f>IF($J356="",#N/A,SUM(BT$4:BT356))</f>
        <v>#N/A</v>
      </c>
      <c r="BV356" s="315" t="e">
        <f>IF($J356="",#N/A,SUM(BT$4:BT356,BR$4:BR356,BP$4:BP356))</f>
        <v>#N/A</v>
      </c>
      <c r="BW356" s="304" t="str">
        <f t="shared" si="593"/>
        <v/>
      </c>
      <c r="BX356" s="313" t="e">
        <f>IF($J356="",#N/A,SUM(BW$4:BW356))</f>
        <v>#N/A</v>
      </c>
      <c r="BY356" s="314" t="str">
        <f t="shared" si="594"/>
        <v/>
      </c>
      <c r="BZ356" s="314" t="e">
        <f>IF($J356="",#N/A,SUM(BY$4:BY356))</f>
        <v>#N/A</v>
      </c>
      <c r="CA356" s="315" t="str">
        <f t="shared" si="595"/>
        <v/>
      </c>
      <c r="CB356" s="315" t="e">
        <f>IF($J356="",#N/A,SUM(CA$4:CA356))</f>
        <v>#N/A</v>
      </c>
      <c r="CC356" s="315" t="e">
        <f>IF($J356="",#N/A,SUM(CA$4:CA356,BY$4:BY356,BW$4:BW356))</f>
        <v>#N/A</v>
      </c>
      <c r="CD356" s="304" t="str">
        <f t="shared" si="596"/>
        <v/>
      </c>
      <c r="CE356" s="313" t="e">
        <f>IF($J356="",#N/A,SUM(CD$4:CD356))</f>
        <v>#N/A</v>
      </c>
      <c r="CF356" s="314" t="str">
        <f t="shared" si="597"/>
        <v/>
      </c>
      <c r="CG356" s="314" t="e">
        <f>IF($J356="",#N/A,SUM(CF$4:CF356))</f>
        <v>#N/A</v>
      </c>
      <c r="CH356" s="315" t="str">
        <f t="shared" si="598"/>
        <v/>
      </c>
      <c r="CI356" s="315" t="e">
        <f>IF($J356="",#N/A,SUM(CH$4:CH356))</f>
        <v>#N/A</v>
      </c>
      <c r="CJ356" s="315" t="e">
        <f>IF($J356="",#N/A,SUM(CH$4:CH356,CF$4:CF356,CD$4:CD356))</f>
        <v>#N/A</v>
      </c>
      <c r="CK356" s="304" t="str">
        <f t="shared" si="599"/>
        <v/>
      </c>
      <c r="CL356" s="313" t="e">
        <f>IF($J356="",#N/A,SUM(CK$4:CK356))</f>
        <v>#N/A</v>
      </c>
      <c r="CM356" s="314" t="str">
        <f t="shared" si="600"/>
        <v/>
      </c>
      <c r="CN356" s="314" t="e">
        <f>IF($J356="",#N/A,SUM(CM$4:CM356))</f>
        <v>#N/A</v>
      </c>
      <c r="CO356" s="315" t="str">
        <f t="shared" si="601"/>
        <v/>
      </c>
      <c r="CP356" s="315" t="e">
        <f>IF($J356="",#N/A,SUM(CO$4:CO356))</f>
        <v>#N/A</v>
      </c>
      <c r="CQ356" s="315" t="e">
        <f>IF($J356="",#N/A,SUM(CO$4:CO356,CM$4:CM356,CK$4:CK356))</f>
        <v>#N/A</v>
      </c>
      <c r="CR356" s="304" t="str">
        <f t="shared" si="602"/>
        <v/>
      </c>
      <c r="CS356" s="313" t="e">
        <f>IF($J356="",#N/A,SUM(CR$4:CR356))</f>
        <v>#N/A</v>
      </c>
      <c r="CT356" s="314" t="str">
        <f t="shared" si="603"/>
        <v/>
      </c>
      <c r="CU356" s="314" t="e">
        <f>IF($J356="",#N/A,SUM(CT$4:CT356))</f>
        <v>#N/A</v>
      </c>
      <c r="CV356" s="315">
        <f t="shared" si="604"/>
        <v>-0.67525797707927016</v>
      </c>
      <c r="CW356" s="315" t="e">
        <f>IF($J356="",#N/A,SUM(CV$4:CV356))</f>
        <v>#N/A</v>
      </c>
      <c r="CX356" s="315" t="e">
        <f>IF($J356="",#N/A,SUM(CV$4:CV356,CT$4:CT356,CR$4:CR356))</f>
        <v>#N/A</v>
      </c>
      <c r="CY356" s="304" t="str">
        <f t="shared" si="605"/>
        <v/>
      </c>
      <c r="CZ356" s="313" t="e">
        <f>IF($J356="",#N/A,SUM(CY$4:CY356))</f>
        <v>#N/A</v>
      </c>
      <c r="DA356" s="314" t="str">
        <f t="shared" si="606"/>
        <v/>
      </c>
      <c r="DB356" s="314" t="e">
        <f>IF($J356="",#N/A,SUM(DA$4:DA356))</f>
        <v>#N/A</v>
      </c>
      <c r="DC356" s="315" t="str">
        <f t="shared" si="607"/>
        <v/>
      </c>
      <c r="DD356" s="315" t="e">
        <f>IF($J356="",#N/A,SUM(DC$4:DC356))</f>
        <v>#N/A</v>
      </c>
      <c r="DE356" s="315" t="e">
        <f>IF($J356="",#N/A,SUM(DC$4:DC356,DA$4:DA356,CY$4:CY356))</f>
        <v>#N/A</v>
      </c>
      <c r="DF356" s="304" t="str">
        <f t="shared" si="608"/>
        <v/>
      </c>
      <c r="DG356" s="313" t="e">
        <f>IF($J356="",#N/A,SUM(DF$4:DF356))</f>
        <v>#N/A</v>
      </c>
      <c r="DH356" s="314" t="str">
        <f t="shared" si="609"/>
        <v/>
      </c>
      <c r="DI356" s="314" t="e">
        <f>IF($J356="",#N/A,SUM(DH$4:DH356))</f>
        <v>#N/A</v>
      </c>
      <c r="DJ356" s="315" t="str">
        <f t="shared" si="610"/>
        <v/>
      </c>
      <c r="DK356" s="315" t="e">
        <f>IF($J356="",#N/A,SUM(DJ$4:DJ356))</f>
        <v>#N/A</v>
      </c>
      <c r="DL356" s="315" t="e">
        <f>IF($J356="",#N/A,SUM(DJ$4:DJ356,DH$4:DH356,DF$4:DF356))</f>
        <v>#N/A</v>
      </c>
      <c r="DM356" s="304" t="str">
        <f t="shared" si="611"/>
        <v/>
      </c>
      <c r="DN356" s="313" t="e">
        <f>IF($J356="",#N/A,SUM(DM$4:DM356))</f>
        <v>#N/A</v>
      </c>
      <c r="DO356" s="314" t="str">
        <f t="shared" si="612"/>
        <v/>
      </c>
      <c r="DP356" s="314" t="e">
        <f>IF($J356="",#N/A,SUM(DO$4:DO356))</f>
        <v>#N/A</v>
      </c>
      <c r="DQ356" s="315" t="str">
        <f t="shared" si="613"/>
        <v/>
      </c>
      <c r="DR356" s="315" t="e">
        <f>IF($J356="",#N/A,SUM(DQ$4:DQ356))</f>
        <v>#N/A</v>
      </c>
      <c r="DS356" s="315" t="e">
        <f>IF($J356="",#N/A,SUM(DQ$4:DQ356,DO$4:DO356,DM$4:DM356))</f>
        <v>#N/A</v>
      </c>
      <c r="DT356" s="304" t="str">
        <f t="shared" si="614"/>
        <v/>
      </c>
      <c r="DU356" s="313" t="e">
        <f>IF($J356="",#N/A,SUM(DT$4:DT356))</f>
        <v>#N/A</v>
      </c>
      <c r="DV356" s="314" t="str">
        <f t="shared" si="615"/>
        <v/>
      </c>
      <c r="DW356" s="314" t="e">
        <f>IF($J356="",#N/A,SUM(DV$4:DV356))</f>
        <v>#N/A</v>
      </c>
      <c r="DX356" s="315" t="str">
        <f t="shared" si="616"/>
        <v/>
      </c>
      <c r="DY356" s="315" t="e">
        <f>IF($J356="",#N/A,SUM(DX$4:DX356))</f>
        <v>#N/A</v>
      </c>
      <c r="DZ356" s="315" t="e">
        <f>IF($J356="",#N/A,SUM(DX$4:DX356,DV$4:DV356,DT$4:DT356))</f>
        <v>#N/A</v>
      </c>
      <c r="EA356" s="304" t="str">
        <f t="shared" si="617"/>
        <v/>
      </c>
      <c r="EB356" s="313" t="e">
        <f>IF($J356="",#N/A,SUM(EA$4:EA356))</f>
        <v>#N/A</v>
      </c>
      <c r="EC356" s="314" t="str">
        <f t="shared" si="618"/>
        <v/>
      </c>
      <c r="ED356" s="314" t="e">
        <f>IF($J356="",#N/A,SUM(EC$4:EC356))</f>
        <v>#N/A</v>
      </c>
      <c r="EE356" s="315" t="str">
        <f t="shared" si="619"/>
        <v/>
      </c>
      <c r="EF356" s="315" t="e">
        <f>IF($J356="",#N/A,SUM(EE$4:EE356))</f>
        <v>#N/A</v>
      </c>
      <c r="EG356" s="315" t="e">
        <f>IF($J356="",#N/A,SUM(EE$4:EE356,EC$4:EC356,EA$4:EA356))</f>
        <v>#N/A</v>
      </c>
      <c r="EH356" s="130">
        <f t="shared" si="620"/>
        <v>-68.159999999999854</v>
      </c>
      <c r="EI356" s="63">
        <f>IF(EH356="",#N/A,SUM($EH$4:EH356))</f>
        <v>1310.4252526431349</v>
      </c>
      <c r="EJ356" s="223" t="e">
        <f t="shared" si="621"/>
        <v>#N/A</v>
      </c>
      <c r="EK356" s="63" t="e">
        <f>IF($GZ356="",#N/A,SUM(EJ$4:EJ356))</f>
        <v>#N/A</v>
      </c>
      <c r="EL356" s="60">
        <f t="shared" si="651"/>
        <v>-0.67525797707927016</v>
      </c>
      <c r="EM356" s="60">
        <f>IF(EL356="",NA(),SUM($EL$4:EL356))</f>
        <v>29.6098510372214</v>
      </c>
      <c r="EN356" s="60" t="str">
        <f t="shared" si="622"/>
        <v/>
      </c>
      <c r="EO356" s="60" t="e">
        <f>IF(EN356="",NA(),SUM($EN$4:EN356))</f>
        <v>#N/A</v>
      </c>
      <c r="EP356" s="60">
        <f t="shared" si="623"/>
        <v>-0.67525797707927016</v>
      </c>
      <c r="EQ356" s="60">
        <f>IF(EP356="",NA(),SUM($EP$4:EP356))</f>
        <v>7.7701565675222186</v>
      </c>
      <c r="ER356" s="60" t="str">
        <f t="shared" si="624"/>
        <v/>
      </c>
      <c r="ES356" s="60" t="e">
        <f>IF(ER356="",NA(),SUM($ER$4:ER356))</f>
        <v>#N/A</v>
      </c>
      <c r="ET356" s="60" t="str">
        <f t="shared" si="625"/>
        <v/>
      </c>
      <c r="EU356" s="60" t="e">
        <f>IF(ET356="",NA(),SUM($ET$4:ET356))</f>
        <v>#N/A</v>
      </c>
      <c r="EV356" s="60" t="str">
        <f t="shared" si="626"/>
        <v/>
      </c>
      <c r="EW356" s="60" t="e">
        <f>IF(EV356="",NA(),SUM($EV$4:EV356))</f>
        <v>#N/A</v>
      </c>
      <c r="EX356" s="60" t="str">
        <f t="shared" si="627"/>
        <v/>
      </c>
      <c r="EY356" s="60" t="e">
        <f>IF(EX356="",NA(),SUM($EX$4:EX356))</f>
        <v>#N/A</v>
      </c>
      <c r="EZ356" s="60" t="str">
        <f t="shared" si="628"/>
        <v/>
      </c>
      <c r="FA356" s="60" t="e">
        <f>IF(EZ356="",NA(),SUM($EZ$4:EZ356))</f>
        <v>#N/A</v>
      </c>
      <c r="FB356" s="246" t="str">
        <f t="shared" si="652"/>
        <v/>
      </c>
      <c r="FC356" s="246" t="e">
        <f>IF($FB356="",#N/A,SUM(FB$4:$FB356))</f>
        <v>#N/A</v>
      </c>
      <c r="FD356" s="60" t="str">
        <f t="shared" si="629"/>
        <v/>
      </c>
      <c r="FE356" s="60" t="e">
        <f>IF($FD356="",#N/A,SUM($FD$4:FD356))</f>
        <v>#N/A</v>
      </c>
      <c r="FF356" s="60" t="str">
        <f t="shared" si="630"/>
        <v/>
      </c>
      <c r="FG356" s="60" t="e">
        <f>IF($FF356="",#N/A,SUM($FF$4:FF356))</f>
        <v>#N/A</v>
      </c>
      <c r="FH356" s="60" t="str">
        <f t="shared" si="631"/>
        <v/>
      </c>
      <c r="FI356" s="60" t="e">
        <f>IF($FH356="",#N/A,SUM($FH$4:FH356))</f>
        <v>#N/A</v>
      </c>
      <c r="FJ356" s="60" t="str">
        <f t="shared" si="632"/>
        <v/>
      </c>
      <c r="FK356" s="60" t="e">
        <f>IF($FJ356="",#N/A,SUM($FJ$4:FJ356))</f>
        <v>#N/A</v>
      </c>
      <c r="FL356" s="60">
        <f t="shared" si="633"/>
        <v>0.23221899915988864</v>
      </c>
      <c r="FM356" s="60">
        <f>IF($FL356="",#N/A,SUM($FL$4:FL356))</f>
        <v>-3.1342976987637945</v>
      </c>
      <c r="FN356" s="82">
        <f t="shared" si="634"/>
        <v>-0.44303897791938152</v>
      </c>
      <c r="FO356" s="82">
        <f>IF($FN356="",#N/A,SUM(FN$4:$FN356))</f>
        <v>51.035791420034549</v>
      </c>
      <c r="FP356" s="82">
        <f t="shared" si="653"/>
        <v>-0.67525797707927016</v>
      </c>
      <c r="FQ356" s="246">
        <f>IF($EH356="",#N/A,SUM($FP$4:FP356))</f>
        <v>54.289370423032892</v>
      </c>
      <c r="FR356" s="82">
        <f>IFERROR(FQ356/COUNTA($J$4:J356),#N/A)</f>
        <v>0.15379425049017817</v>
      </c>
      <c r="FS356" s="82">
        <f t="shared" si="554"/>
        <v>-4.1700311223011967E-2</v>
      </c>
      <c r="FT356" s="82">
        <f t="shared" si="555"/>
        <v>0.22696087674458768</v>
      </c>
      <c r="FU356" s="338">
        <f t="shared" si="658"/>
        <v>27.914626117830359</v>
      </c>
      <c r="FV356" s="57" t="str">
        <f t="shared" si="659"/>
        <v>SW</v>
      </c>
      <c r="FW356" s="57" t="s">
        <v>2732</v>
      </c>
      <c r="FX356" s="57" t="str">
        <f t="shared" si="635"/>
        <v/>
      </c>
      <c r="FY356" s="57" t="str">
        <f t="shared" si="636"/>
        <v/>
      </c>
      <c r="FZ356" s="57" t="str">
        <f t="shared" si="637"/>
        <v/>
      </c>
      <c r="GA356" s="57" t="str">
        <f t="shared" si="638"/>
        <v>Long</v>
      </c>
      <c r="GB356" s="57" t="str">
        <f t="shared" si="639"/>
        <v/>
      </c>
      <c r="GC356" s="57" t="str">
        <f t="shared" si="640"/>
        <v/>
      </c>
      <c r="GD356" s="57">
        <f t="shared" si="641"/>
        <v>1</v>
      </c>
      <c r="GE356" s="62">
        <f t="shared" si="557"/>
        <v>210.29</v>
      </c>
      <c r="GF356" s="62" t="s">
        <v>2779</v>
      </c>
      <c r="GG356" s="199">
        <v>8</v>
      </c>
      <c r="GH356" s="207">
        <f t="shared" si="642"/>
        <v>1682.32</v>
      </c>
      <c r="GI356" s="199">
        <v>8</v>
      </c>
      <c r="GJ356" s="200">
        <v>201.77</v>
      </c>
      <c r="GK356" s="63">
        <f t="shared" si="643"/>
        <v>-68.159999999999854</v>
      </c>
      <c r="GL356" s="63">
        <f t="shared" si="558"/>
        <v>-44.720000000000027</v>
      </c>
      <c r="GM356" s="82">
        <f t="shared" si="644"/>
        <v>-0.44303897791938152</v>
      </c>
      <c r="GN356" s="82">
        <f>IF($GZ356="",#N/A,SUM(GM$4:GM356))</f>
        <v>7.9561780962581645</v>
      </c>
      <c r="GO356" s="82" t="str">
        <f t="shared" si="645"/>
        <v/>
      </c>
      <c r="GP356" s="82">
        <f>IF($GZ356="",#N/A,SUM(GO$4:GO356))</f>
        <v>11.466473290236367</v>
      </c>
      <c r="GQ356" s="82" t="str">
        <f t="shared" si="646"/>
        <v/>
      </c>
      <c r="GR356" s="82">
        <f>IF($GZ356="",#N/A,SUM(GQ$4:GQ356))</f>
        <v>30.987303079097675</v>
      </c>
      <c r="GS356" s="63" t="e">
        <f t="shared" si="654"/>
        <v>#N/A</v>
      </c>
      <c r="GT356" s="63" t="e">
        <f>IF($GZ356="",#N/A,SUM(GS$4:GS356))</f>
        <v>#N/A</v>
      </c>
      <c r="GU356" s="63" t="str">
        <f t="shared" si="655"/>
        <v/>
      </c>
      <c r="GV356" s="63" t="e">
        <f>IF($GZ356="",#N/A,SUM(GU$4:GU356))</f>
        <v>#N/A</v>
      </c>
      <c r="GW356" s="63" t="str">
        <f t="shared" si="656"/>
        <v/>
      </c>
      <c r="GX356" s="63" t="e">
        <f>IF($GZ356="",#N/A,SUM(GW$4:GW356))</f>
        <v>#N/A</v>
      </c>
      <c r="GY356" s="63" t="e">
        <f>IF(EJ356="",#N/A,SUM($EJ$4:EJ356))</f>
        <v>#N/A</v>
      </c>
      <c r="GZ356" s="159">
        <v>204.7</v>
      </c>
      <c r="HA356" s="63">
        <f t="shared" si="647"/>
        <v>23.439999999999827</v>
      </c>
      <c r="HB356" s="62" t="s">
        <v>2538</v>
      </c>
      <c r="HC356" s="60">
        <f>IFERROR(VLOOKUP(E356,Expectancy!$P$4:$S$19,1+C356,FALSE),"")</f>
        <v>-0.14347628028912107</v>
      </c>
      <c r="HD356" s="82">
        <f t="shared" si="648"/>
        <v>-0.67525797707927016</v>
      </c>
      <c r="HE356" s="138">
        <f>IF(HD356="",#N/A,SUM($HD$4:HD356))</f>
        <v>11.844744305202532</v>
      </c>
      <c r="HF356" s="85">
        <f>IF(HD356="",#N/A,IF(HB356="Skip",#N/A,SUM($HG$4:HG356)))</f>
        <v>461.73657921915537</v>
      </c>
      <c r="HG356" s="63">
        <f t="shared" si="649"/>
        <v>-68.159999999999854</v>
      </c>
      <c r="HH356" s="82">
        <f t="shared" si="650"/>
        <v>-0.44303897791938152</v>
      </c>
    </row>
    <row r="357" spans="1:216" x14ac:dyDescent="0.25">
      <c r="A357" s="57" t="s">
        <v>198</v>
      </c>
      <c r="B357" s="58" t="s">
        <v>5247</v>
      </c>
      <c r="C357" s="386">
        <f t="shared" si="561"/>
        <v>2</v>
      </c>
      <c r="D357" s="372" t="str">
        <f>_xlfn.XLOOKUP(A357,[1]SP500!$A$2:$A$502,[1]SP500!$D$2:$D$502,"N")</f>
        <v>Y</v>
      </c>
      <c r="E357" s="57" t="str">
        <f>_xlfn.XLOOKUP(A357,[1]SP500!$A$2:$A$655,[1]SP500!$B$2:$B$655)</f>
        <v>XHB</v>
      </c>
      <c r="F357" s="59">
        <v>45708</v>
      </c>
      <c r="G357" s="57" t="str">
        <f t="shared" si="562"/>
        <v>BMO</v>
      </c>
      <c r="H357" s="57" t="str">
        <f t="shared" si="563"/>
        <v>s</v>
      </c>
      <c r="I357" s="159">
        <v>144.79</v>
      </c>
      <c r="J357" s="159">
        <v>145.15</v>
      </c>
      <c r="K357" s="61">
        <f t="shared" si="564"/>
        <v>2.4863595552179962E-3</v>
      </c>
      <c r="L357" s="87">
        <f t="shared" si="565"/>
        <v>-3.9600000000002638</v>
      </c>
      <c r="M357" s="130">
        <f t="shared" si="556"/>
        <v>-12.319999999999936</v>
      </c>
      <c r="N357" s="169" t="str">
        <f t="shared" si="566"/>
        <v/>
      </c>
      <c r="O357" s="169">
        <f>IF($J357="",#N/A,SUM($N$4:N357))</f>
        <v>276.15671935422461</v>
      </c>
      <c r="P357" s="174">
        <f t="shared" si="567"/>
        <v>-3.9600000000002638</v>
      </c>
      <c r="Q357" s="174">
        <f>IF($J357="",#N/A,SUM($P$4:P357))</f>
        <v>515.20999224504305</v>
      </c>
      <c r="R357" s="178" t="str">
        <f t="shared" si="568"/>
        <v/>
      </c>
      <c r="S357" s="178">
        <f>IF($J357="",#N/A,SUM($R$4:R357))</f>
        <v>515.09854104386682</v>
      </c>
      <c r="T357" s="290" t="str">
        <f t="shared" si="569"/>
        <v/>
      </c>
      <c r="U357" s="290">
        <f>IF($J357="",#N/A,SUM($T$4:T357))</f>
        <v>16.574086383859939</v>
      </c>
      <c r="V357" s="291">
        <f t="shared" si="570"/>
        <v>-4.1439325920301126E-2</v>
      </c>
      <c r="W357" s="291">
        <f>IF($J357="",#N/A,SUM($V$4:V357))</f>
        <v>24.732648447201495</v>
      </c>
      <c r="X357" s="292" t="str">
        <f t="shared" si="571"/>
        <v/>
      </c>
      <c r="Y357" s="292">
        <f>IF($J357="",#N/A,SUM($X$4:X357))</f>
        <v>12.941196266051175</v>
      </c>
      <c r="Z357" s="304" t="str">
        <f t="shared" si="572"/>
        <v/>
      </c>
      <c r="AA357" s="313" t="e">
        <f>IF($J357="",#N/A,SUM(Z$4:Z357))</f>
        <v>#N/A</v>
      </c>
      <c r="AB357" s="314" t="str">
        <f t="shared" si="573"/>
        <v/>
      </c>
      <c r="AC357" s="314" t="e">
        <f>IF($J357="",#N/A,SUM(AB$4:AB357))</f>
        <v>#N/A</v>
      </c>
      <c r="AD357" s="315" t="str">
        <f t="shared" si="574"/>
        <v/>
      </c>
      <c r="AE357" s="315" t="e">
        <f>IF($J357="",#N/A,SUM(AD$4:AD357))</f>
        <v>#N/A</v>
      </c>
      <c r="AF357" s="315" t="e">
        <f>IF($J357="",#N/A,SUM(AD$4:AD357,AB$4:AB357,Z$4:Z357))</f>
        <v>#N/A</v>
      </c>
      <c r="AG357" s="304" t="str">
        <f t="shared" si="575"/>
        <v/>
      </c>
      <c r="AH357" s="313" t="e">
        <f>IF($J357="",#N/A,SUM(AG$4:AG357))</f>
        <v>#N/A</v>
      </c>
      <c r="AI357" s="314" t="str">
        <f t="shared" si="576"/>
        <v/>
      </c>
      <c r="AJ357" s="314" t="e">
        <f>IF($J357="",#N/A,SUM(AI$4:AI357))</f>
        <v>#N/A</v>
      </c>
      <c r="AK357" s="315" t="str">
        <f t="shared" si="577"/>
        <v/>
      </c>
      <c r="AL357" s="315" t="e">
        <f>IF($J357="",#N/A,SUM(AK$4:AK357))</f>
        <v>#N/A</v>
      </c>
      <c r="AM357" s="315" t="e">
        <f>IF($J357="",#N/A,SUM(AK$4:AK357,AI$4:AI357,AG$4:AG357))</f>
        <v>#N/A</v>
      </c>
      <c r="AN357" s="304" t="str">
        <f t="shared" si="578"/>
        <v/>
      </c>
      <c r="AO357" s="313" t="e">
        <f>IF($J357="",#N/A,SUM(AN$4:AN357))</f>
        <v>#N/A</v>
      </c>
      <c r="AP357" s="314" t="str">
        <f t="shared" si="579"/>
        <v/>
      </c>
      <c r="AQ357" s="314" t="e">
        <f>IF($J357="",#N/A,SUM(AP$4:AP357))</f>
        <v>#N/A</v>
      </c>
      <c r="AR357" s="315" t="str">
        <f t="shared" si="580"/>
        <v/>
      </c>
      <c r="AS357" s="315" t="e">
        <f>IF($J357="",#N/A,SUM(AR$4:AR357))</f>
        <v>#N/A</v>
      </c>
      <c r="AT357" s="315" t="e">
        <f>IF($J357="",#N/A,SUM(AR$4:AR357,AP$4:AP357,AN$4:AN357))</f>
        <v>#N/A</v>
      </c>
      <c r="AU357" s="304" t="str">
        <f t="shared" si="581"/>
        <v/>
      </c>
      <c r="AV357" s="313" t="e">
        <f>IF($J357="",#N/A,SUM(AU$4:AU357))</f>
        <v>#N/A</v>
      </c>
      <c r="AW357" s="314" t="str">
        <f t="shared" si="582"/>
        <v/>
      </c>
      <c r="AX357" s="314" t="e">
        <f>IF($J357="",#N/A,SUM(AW$4:AW357))</f>
        <v>#N/A</v>
      </c>
      <c r="AY357" s="315" t="str">
        <f t="shared" si="583"/>
        <v/>
      </c>
      <c r="AZ357" s="315" t="e">
        <f>IF($J357="",#N/A,SUM(AY$4:AY357))</f>
        <v>#N/A</v>
      </c>
      <c r="BA357" s="315" t="e">
        <f>IF($J357="",#N/A,SUM(AY$4:AY357,AW$4:AW357,AU$4:AU357))</f>
        <v>#N/A</v>
      </c>
      <c r="BB357" s="304" t="str">
        <f t="shared" si="584"/>
        <v/>
      </c>
      <c r="BC357" s="313" t="e">
        <f>IF($J357="",#N/A,SUM(BB$4:BB357))</f>
        <v>#N/A</v>
      </c>
      <c r="BD357" s="314" t="str">
        <f t="shared" si="585"/>
        <v/>
      </c>
      <c r="BE357" s="314" t="e">
        <f>IF($J357="",#N/A,SUM(BD$4:BD357))</f>
        <v>#N/A</v>
      </c>
      <c r="BF357" s="315" t="str">
        <f t="shared" si="586"/>
        <v/>
      </c>
      <c r="BG357" s="315" t="e">
        <f>IF($J357="",#N/A,SUM(BF$4:BF357))</f>
        <v>#N/A</v>
      </c>
      <c r="BH357" s="315" t="e">
        <f>IF($J357="",#N/A,SUM(BF$4:BF357,BD$4:BD357,BB$4:BB357))</f>
        <v>#N/A</v>
      </c>
      <c r="BI357" s="304" t="str">
        <f t="shared" si="587"/>
        <v/>
      </c>
      <c r="BJ357" s="313" t="e">
        <f>IF($J357="",#N/A,SUM(BI$4:BI357))</f>
        <v>#N/A</v>
      </c>
      <c r="BK357" s="314" t="str">
        <f t="shared" si="588"/>
        <v/>
      </c>
      <c r="BL357" s="314" t="e">
        <f>IF($J357="",#N/A,SUM(BK$4:BK357))</f>
        <v>#N/A</v>
      </c>
      <c r="BM357" s="315" t="str">
        <f t="shared" si="589"/>
        <v/>
      </c>
      <c r="BN357" s="315" t="e">
        <f>IF($J357="",#N/A,SUM(BM$4:BM357))</f>
        <v>#N/A</v>
      </c>
      <c r="BO357" s="315" t="e">
        <f>IF($J357="",#N/A,SUM(BM$4:BM357,BK$4:BK357,BI$4:BI357))</f>
        <v>#N/A</v>
      </c>
      <c r="BP357" s="304" t="str">
        <f t="shared" si="590"/>
        <v/>
      </c>
      <c r="BQ357" s="313" t="e">
        <f>IF($J357="",#N/A,SUM(BP$4:BP357))</f>
        <v>#N/A</v>
      </c>
      <c r="BR357" s="314" t="str">
        <f t="shared" si="591"/>
        <v/>
      </c>
      <c r="BS357" s="314" t="e">
        <f>IF($J357="",#N/A,SUM(BR$4:BR357))</f>
        <v>#N/A</v>
      </c>
      <c r="BT357" s="315" t="str">
        <f t="shared" si="592"/>
        <v/>
      </c>
      <c r="BU357" s="315" t="e">
        <f>IF($J357="",#N/A,SUM(BT$4:BT357))</f>
        <v>#N/A</v>
      </c>
      <c r="BV357" s="315" t="e">
        <f>IF($J357="",#N/A,SUM(BT$4:BT357,BR$4:BR357,BP$4:BP357))</f>
        <v>#N/A</v>
      </c>
      <c r="BW357" s="304" t="str">
        <f t="shared" si="593"/>
        <v/>
      </c>
      <c r="BX357" s="313" t="e">
        <f>IF($J357="",#N/A,SUM(BW$4:BW357))</f>
        <v>#N/A</v>
      </c>
      <c r="BY357" s="314" t="str">
        <f t="shared" si="594"/>
        <v/>
      </c>
      <c r="BZ357" s="314" t="e">
        <f>IF($J357="",#N/A,SUM(BY$4:BY357))</f>
        <v>#N/A</v>
      </c>
      <c r="CA357" s="315" t="str">
        <f t="shared" si="595"/>
        <v/>
      </c>
      <c r="CB357" s="315" t="e">
        <f>IF($J357="",#N/A,SUM(CA$4:CA357))</f>
        <v>#N/A</v>
      </c>
      <c r="CC357" s="315" t="e">
        <f>IF($J357="",#N/A,SUM(CA$4:CA357,BY$4:BY357,BW$4:BW357))</f>
        <v>#N/A</v>
      </c>
      <c r="CD357" s="304" t="str">
        <f t="shared" si="596"/>
        <v/>
      </c>
      <c r="CE357" s="313" t="e">
        <f>IF($J357="",#N/A,SUM(CD$4:CD357))</f>
        <v>#N/A</v>
      </c>
      <c r="CF357" s="314" t="str">
        <f t="shared" si="597"/>
        <v/>
      </c>
      <c r="CG357" s="314" t="e">
        <f>IF($J357="",#N/A,SUM(CF$4:CF357))</f>
        <v>#N/A</v>
      </c>
      <c r="CH357" s="315" t="str">
        <f t="shared" si="598"/>
        <v/>
      </c>
      <c r="CI357" s="315" t="e">
        <f>IF($J357="",#N/A,SUM(CH$4:CH357))</f>
        <v>#N/A</v>
      </c>
      <c r="CJ357" s="315" t="e">
        <f>IF($J357="",#N/A,SUM(CH$4:CH357,CF$4:CF357,CD$4:CD357))</f>
        <v>#N/A</v>
      </c>
      <c r="CK357" s="304" t="str">
        <f t="shared" si="599"/>
        <v/>
      </c>
      <c r="CL357" s="313" t="e">
        <f>IF($J357="",#N/A,SUM(CK$4:CK357))</f>
        <v>#N/A</v>
      </c>
      <c r="CM357" s="314" t="str">
        <f t="shared" si="600"/>
        <v/>
      </c>
      <c r="CN357" s="314" t="e">
        <f>IF($J357="",#N/A,SUM(CM$4:CM357))</f>
        <v>#N/A</v>
      </c>
      <c r="CO357" s="315" t="str">
        <f t="shared" si="601"/>
        <v/>
      </c>
      <c r="CP357" s="315" t="e">
        <f>IF($J357="",#N/A,SUM(CO$4:CO357))</f>
        <v>#N/A</v>
      </c>
      <c r="CQ357" s="315" t="e">
        <f>IF($J357="",#N/A,SUM(CO$4:CO357,CM$4:CM357,CK$4:CK357))</f>
        <v>#N/A</v>
      </c>
      <c r="CR357" s="304" t="str">
        <f t="shared" si="602"/>
        <v/>
      </c>
      <c r="CS357" s="313" t="e">
        <f>IF($J357="",#N/A,SUM(CR$4:CR357))</f>
        <v>#N/A</v>
      </c>
      <c r="CT357" s="314" t="str">
        <f t="shared" si="603"/>
        <v/>
      </c>
      <c r="CU357" s="314" t="e">
        <f>IF($J357="",#N/A,SUM(CT$4:CT357))</f>
        <v>#N/A</v>
      </c>
      <c r="CV357" s="315" t="str">
        <f t="shared" si="604"/>
        <v/>
      </c>
      <c r="CW357" s="315" t="e">
        <f>IF($J357="",#N/A,SUM(CV$4:CV357))</f>
        <v>#N/A</v>
      </c>
      <c r="CX357" s="315" t="e">
        <f>IF($J357="",#N/A,SUM(CV$4:CV357,CT$4:CT357,CR$4:CR357))</f>
        <v>#N/A</v>
      </c>
      <c r="CY357" s="304" t="str">
        <f t="shared" si="605"/>
        <v/>
      </c>
      <c r="CZ357" s="313" t="e">
        <f>IF($J357="",#N/A,SUM(CY$4:CY357))</f>
        <v>#N/A</v>
      </c>
      <c r="DA357" s="314" t="str">
        <f t="shared" si="606"/>
        <v/>
      </c>
      <c r="DB357" s="314" t="e">
        <f>IF($J357="",#N/A,SUM(DA$4:DA357))</f>
        <v>#N/A</v>
      </c>
      <c r="DC357" s="315" t="str">
        <f t="shared" si="607"/>
        <v/>
      </c>
      <c r="DD357" s="315" t="e">
        <f>IF($J357="",#N/A,SUM(DC$4:DC357))</f>
        <v>#N/A</v>
      </c>
      <c r="DE357" s="315" t="e">
        <f>IF($J357="",#N/A,SUM(DC$4:DC357,DA$4:DA357,CY$4:CY357))</f>
        <v>#N/A</v>
      </c>
      <c r="DF357" s="304" t="str">
        <f t="shared" si="608"/>
        <v/>
      </c>
      <c r="DG357" s="313" t="e">
        <f>IF($J357="",#N/A,SUM(DF$4:DF357))</f>
        <v>#N/A</v>
      </c>
      <c r="DH357" s="314" t="str">
        <f t="shared" si="609"/>
        <v/>
      </c>
      <c r="DI357" s="314" t="e">
        <f>IF($J357="",#N/A,SUM(DH$4:DH357))</f>
        <v>#N/A</v>
      </c>
      <c r="DJ357" s="315" t="str">
        <f t="shared" si="610"/>
        <v/>
      </c>
      <c r="DK357" s="315" t="e">
        <f>IF($J357="",#N/A,SUM(DJ$4:DJ357))</f>
        <v>#N/A</v>
      </c>
      <c r="DL357" s="315" t="e">
        <f>IF($J357="",#N/A,SUM(DJ$4:DJ357,DH$4:DH357,DF$4:DF357))</f>
        <v>#N/A</v>
      </c>
      <c r="DM357" s="304" t="str">
        <f t="shared" si="611"/>
        <v/>
      </c>
      <c r="DN357" s="313" t="e">
        <f>IF($J357="",#N/A,SUM(DM$4:DM357))</f>
        <v>#N/A</v>
      </c>
      <c r="DO357" s="314" t="str">
        <f t="shared" si="612"/>
        <v/>
      </c>
      <c r="DP357" s="314" t="e">
        <f>IF($J357="",#N/A,SUM(DO$4:DO357))</f>
        <v>#N/A</v>
      </c>
      <c r="DQ357" s="315" t="str">
        <f t="shared" si="613"/>
        <v/>
      </c>
      <c r="DR357" s="315" t="e">
        <f>IF($J357="",#N/A,SUM(DQ$4:DQ357))</f>
        <v>#N/A</v>
      </c>
      <c r="DS357" s="315" t="e">
        <f>IF($J357="",#N/A,SUM(DQ$4:DQ357,DO$4:DO357,DM$4:DM357))</f>
        <v>#N/A</v>
      </c>
      <c r="DT357" s="304" t="str">
        <f t="shared" si="614"/>
        <v/>
      </c>
      <c r="DU357" s="313" t="e">
        <f>IF($J357="",#N/A,SUM(DT$4:DT357))</f>
        <v>#N/A</v>
      </c>
      <c r="DV357" s="314" t="str">
        <f t="shared" si="615"/>
        <v/>
      </c>
      <c r="DW357" s="314" t="e">
        <f>IF($J357="",#N/A,SUM(DV$4:DV357))</f>
        <v>#N/A</v>
      </c>
      <c r="DX357" s="315" t="str">
        <f t="shared" si="616"/>
        <v/>
      </c>
      <c r="DY357" s="315" t="e">
        <f>IF($J357="",#N/A,SUM(DX$4:DX357))</f>
        <v>#N/A</v>
      </c>
      <c r="DZ357" s="315" t="e">
        <f>IF($J357="",#N/A,SUM(DX$4:DX357,DV$4:DV357,DT$4:DT357))</f>
        <v>#N/A</v>
      </c>
      <c r="EA357" s="304" t="str">
        <f t="shared" si="617"/>
        <v/>
      </c>
      <c r="EB357" s="313" t="e">
        <f>IF($J357="",#N/A,SUM(EA$4:EA357))</f>
        <v>#N/A</v>
      </c>
      <c r="EC357" s="314">
        <f t="shared" si="618"/>
        <v>-4.1439325920301126E-2</v>
      </c>
      <c r="ED357" s="314" t="e">
        <f>IF($J357="",#N/A,SUM(EC$4:EC357))</f>
        <v>#N/A</v>
      </c>
      <c r="EE357" s="315" t="str">
        <f t="shared" si="619"/>
        <v/>
      </c>
      <c r="EF357" s="315" t="e">
        <f>IF($J357="",#N/A,SUM(EE$4:EE357))</f>
        <v>#N/A</v>
      </c>
      <c r="EG357" s="315" t="e">
        <f>IF($J357="",#N/A,SUM(EE$4:EE357,EC$4:EC357,EA$4:EA357))</f>
        <v>#N/A</v>
      </c>
      <c r="EH357" s="130">
        <f t="shared" si="620"/>
        <v>-3.9600000000002638</v>
      </c>
      <c r="EI357" s="63">
        <f>IF(EH357="",#N/A,SUM($EH$4:EH357))</f>
        <v>1306.4652526431346</v>
      </c>
      <c r="EJ357" s="223" t="e">
        <f t="shared" si="621"/>
        <v>#N/A</v>
      </c>
      <c r="EK357" s="63" t="e">
        <f>IF($GZ357="",#N/A,SUM(EJ$4:EJ357))</f>
        <v>#N/A</v>
      </c>
      <c r="EL357" s="60">
        <f t="shared" si="651"/>
        <v>-4.1439325920301126E-2</v>
      </c>
      <c r="EM357" s="60">
        <f>IF(EL357="",NA(),SUM($EL$4:EL357))</f>
        <v>29.568411711301099</v>
      </c>
      <c r="EN357" s="60" t="str">
        <f t="shared" si="622"/>
        <v/>
      </c>
      <c r="EO357" s="60" t="e">
        <f>IF(EN357="",NA(),SUM($EN$4:EN357))</f>
        <v>#N/A</v>
      </c>
      <c r="EP357" s="60" t="str">
        <f t="shared" si="623"/>
        <v/>
      </c>
      <c r="EQ357" s="60" t="e">
        <f>IF(EP357="",NA(),SUM($EP$4:EP357))</f>
        <v>#N/A</v>
      </c>
      <c r="ER357" s="60">
        <f t="shared" si="624"/>
        <v>-4.1439325920301126E-2</v>
      </c>
      <c r="ES357" s="60">
        <f>IF(ER357="",NA(),SUM($ER$4:ER357))</f>
        <v>11.952836462919985</v>
      </c>
      <c r="ET357" s="60" t="str">
        <f t="shared" si="625"/>
        <v/>
      </c>
      <c r="EU357" s="60" t="e">
        <f>IF(ET357="",NA(),SUM($ET$4:ET357))</f>
        <v>#N/A</v>
      </c>
      <c r="EV357" s="60" t="str">
        <f t="shared" si="626"/>
        <v/>
      </c>
      <c r="EW357" s="60" t="e">
        <f>IF(EV357="",NA(),SUM($EV$4:EV357))</f>
        <v>#N/A</v>
      </c>
      <c r="EX357" s="60" t="str">
        <f t="shared" si="627"/>
        <v/>
      </c>
      <c r="EY357" s="60" t="e">
        <f>IF(EX357="",NA(),SUM($EX$4:EX357))</f>
        <v>#N/A</v>
      </c>
      <c r="EZ357" s="60" t="str">
        <f t="shared" si="628"/>
        <v/>
      </c>
      <c r="FA357" s="60" t="e">
        <f>IF(EZ357="",NA(),SUM($EZ$4:EZ357))</f>
        <v>#N/A</v>
      </c>
      <c r="FB357" s="246" t="str">
        <f t="shared" si="652"/>
        <v/>
      </c>
      <c r="FC357" s="246" t="e">
        <f>IF($FB357="",#N/A,SUM(FB$4:$FB357))</f>
        <v>#N/A</v>
      </c>
      <c r="FD357" s="60">
        <f t="shared" si="629"/>
        <v>8.7483021387297882E-2</v>
      </c>
      <c r="FE357" s="60">
        <f>IF($FD357="",#N/A,SUM($FD$4:FD357))</f>
        <v>3.1232203525483442</v>
      </c>
      <c r="FF357" s="60" t="str">
        <f t="shared" si="630"/>
        <v/>
      </c>
      <c r="FG357" s="60" t="e">
        <f>IF($FF357="",#N/A,SUM($FF$4:FF357))</f>
        <v>#N/A</v>
      </c>
      <c r="FH357" s="60" t="str">
        <f t="shared" si="631"/>
        <v/>
      </c>
      <c r="FI357" s="60" t="e">
        <f>IF($FH357="",#N/A,SUM($FH$4:FH357))</f>
        <v>#N/A</v>
      </c>
      <c r="FJ357" s="60" t="str">
        <f t="shared" si="632"/>
        <v/>
      </c>
      <c r="FK357" s="60" t="e">
        <f>IF($FJ357="",#N/A,SUM($FJ$4:FJ357))</f>
        <v>#N/A</v>
      </c>
      <c r="FL357" s="60" t="str">
        <f t="shared" si="633"/>
        <v/>
      </c>
      <c r="FM357" s="60" t="e">
        <f>IF($FL357="",#N/A,SUM($FL$4:FL357))</f>
        <v>#N/A</v>
      </c>
      <c r="FN357" s="82">
        <f t="shared" si="634"/>
        <v>4.6043695466996756E-2</v>
      </c>
      <c r="FO357" s="82">
        <f>IF($FN357="",#N/A,SUM(FN$4:$FN357))</f>
        <v>51.081835115501548</v>
      </c>
      <c r="FP357" s="82">
        <f t="shared" si="653"/>
        <v>-4.1439325920301126E-2</v>
      </c>
      <c r="FQ357" s="246">
        <f>IF($EH357="",#N/A,SUM($FP$4:FP357))</f>
        <v>54.247931097112591</v>
      </c>
      <c r="FR357" s="82">
        <f>IFERROR(FQ357/COUNTA($J$4:J357),#N/A)</f>
        <v>0.15324274321218245</v>
      </c>
      <c r="FS357" s="82">
        <f t="shared" si="554"/>
        <v>-4.5656176916401281E-2</v>
      </c>
      <c r="FT357" s="82">
        <f t="shared" si="555"/>
        <v>0.17248483943791315</v>
      </c>
      <c r="FU357" s="338">
        <f t="shared" si="658"/>
        <v>28.043548465137953</v>
      </c>
      <c r="FV357" s="57" t="str">
        <f t="shared" si="659"/>
        <v>Dwn</v>
      </c>
      <c r="FW357" s="57" t="s">
        <v>2734</v>
      </c>
      <c r="FX357" s="57" t="str">
        <f t="shared" si="635"/>
        <v/>
      </c>
      <c r="FY357" s="57">
        <f t="shared" si="636"/>
        <v>1</v>
      </c>
      <c r="FZ357" s="57" t="str">
        <f t="shared" si="637"/>
        <v/>
      </c>
      <c r="GA357" s="57" t="str">
        <f t="shared" si="638"/>
        <v>Short</v>
      </c>
      <c r="GB357" s="57" t="str">
        <f t="shared" si="639"/>
        <v/>
      </c>
      <c r="GC357" s="57" t="str">
        <f t="shared" si="640"/>
        <v/>
      </c>
      <c r="GD357" s="57" t="str">
        <f t="shared" si="641"/>
        <v/>
      </c>
      <c r="GE357" s="62">
        <f t="shared" si="557"/>
        <v>144.79</v>
      </c>
      <c r="GF357" s="62" t="s">
        <v>2780</v>
      </c>
      <c r="GG357" s="199">
        <v>11</v>
      </c>
      <c r="GH357" s="207">
        <f t="shared" si="642"/>
        <v>1592.6899999999998</v>
      </c>
      <c r="GI357" s="199">
        <v>11</v>
      </c>
      <c r="GJ357" s="200">
        <v>146.27000000000001</v>
      </c>
      <c r="GK357" s="63">
        <f t="shared" si="643"/>
        <v>-16.2800000000002</v>
      </c>
      <c r="GL357" s="63">
        <f t="shared" si="558"/>
        <v>4.3999999999998636</v>
      </c>
      <c r="GM357" s="82" t="str">
        <f t="shared" si="644"/>
        <v/>
      </c>
      <c r="GN357" s="82">
        <f>IF($GZ357="",#N/A,SUM(GM$4:GM357))</f>
        <v>7.9561780962581645</v>
      </c>
      <c r="GO357" s="82" t="str">
        <f t="shared" si="645"/>
        <v/>
      </c>
      <c r="GP357" s="82">
        <f>IF($GZ357="",#N/A,SUM(GO$4:GO357))</f>
        <v>11.466473290236367</v>
      </c>
      <c r="GQ357" s="82">
        <f t="shared" si="646"/>
        <v>4.6043695466996756E-2</v>
      </c>
      <c r="GR357" s="82">
        <f>IF($GZ357="",#N/A,SUM(GQ$4:GQ357))</f>
        <v>31.03334677456467</v>
      </c>
      <c r="GS357" s="63" t="str">
        <f t="shared" si="654"/>
        <v/>
      </c>
      <c r="GT357" s="63" t="e">
        <f>IF($GZ357="",#N/A,SUM(GS$4:GS357))</f>
        <v>#N/A</v>
      </c>
      <c r="GU357" s="63" t="str">
        <f t="shared" si="655"/>
        <v/>
      </c>
      <c r="GV357" s="63" t="e">
        <f>IF($GZ357="",#N/A,SUM(GU$4:GU357))</f>
        <v>#N/A</v>
      </c>
      <c r="GW357" s="63" t="e">
        <f t="shared" si="656"/>
        <v>#N/A</v>
      </c>
      <c r="GX357" s="63" t="e">
        <f>IF($GZ357="",#N/A,SUM(GW$4:GW357))</f>
        <v>#N/A</v>
      </c>
      <c r="GY357" s="63" t="e">
        <f>IF(EJ357="",#N/A,SUM($EJ$4:EJ357))</f>
        <v>#N/A</v>
      </c>
      <c r="GZ357" s="159">
        <v>144.38999999999999</v>
      </c>
      <c r="HA357" s="63">
        <f t="shared" si="647"/>
        <v>8.3600000000001273</v>
      </c>
      <c r="HB357" s="62" t="s">
        <v>2538</v>
      </c>
      <c r="HC357" s="60">
        <f>IFERROR(VLOOKUP(E357,Expectancy!$P$4:$S$19,1+C357,FALSE),"")</f>
        <v>0.17536249656639069</v>
      </c>
      <c r="HD357" s="82">
        <f t="shared" si="648"/>
        <v>-0.17036167322789539</v>
      </c>
      <c r="HE357" s="138">
        <f>IF(HD357="",#N/A,SUM($HD$4:HD357))</f>
        <v>11.674382631974638</v>
      </c>
      <c r="HF357" s="85">
        <f>IF(HD357="",#N/A,IF(HB357="Skip",#N/A,SUM($HG$4:HG357)))</f>
        <v>445.45657921915517</v>
      </c>
      <c r="HG357" s="63">
        <f t="shared" si="649"/>
        <v>-16.2800000000002</v>
      </c>
      <c r="HH357" s="82">
        <f t="shared" si="650"/>
        <v>4.6043695466996756E-2</v>
      </c>
    </row>
    <row r="358" spans="1:216" x14ac:dyDescent="0.25">
      <c r="A358" s="465" t="s">
        <v>1575</v>
      </c>
      <c r="B358" s="466" t="s">
        <v>5247</v>
      </c>
      <c r="C358" s="467">
        <f t="shared" si="561"/>
        <v>3</v>
      </c>
      <c r="D358" s="468" t="str">
        <f>_xlfn.XLOOKUP(A358,[1]SP500!$A$2:$A$502,[1]SP500!$D$2:$D$502,"N")</f>
        <v>Y</v>
      </c>
      <c r="E358" s="465" t="str">
        <f>_xlfn.XLOOKUP(A358,[1]SP500!$A$2:$A$655,[1]SP500!$B$2:$B$655)</f>
        <v>XLY</v>
      </c>
      <c r="F358" s="59">
        <v>45708</v>
      </c>
      <c r="G358" s="57" t="str">
        <f t="shared" si="562"/>
        <v>BMO</v>
      </c>
      <c r="H358" s="57" t="str">
        <f t="shared" si="563"/>
        <v>s</v>
      </c>
      <c r="I358" s="159">
        <v>340.87</v>
      </c>
      <c r="J358" s="159">
        <v>357.89</v>
      </c>
      <c r="K358" s="61">
        <f t="shared" si="564"/>
        <v>4.9931058761404586E-2</v>
      </c>
      <c r="L358" s="87">
        <f t="shared" si="565"/>
        <v>85.099999999999909</v>
      </c>
      <c r="M358" s="130">
        <f t="shared" si="556"/>
        <v>0</v>
      </c>
      <c r="N358" s="169" t="str">
        <f t="shared" si="566"/>
        <v/>
      </c>
      <c r="O358" s="169">
        <f>IF($J358="",#N/A,SUM($N$4:N358))</f>
        <v>276.15671935422461</v>
      </c>
      <c r="P358" s="174" t="str">
        <f t="shared" si="567"/>
        <v/>
      </c>
      <c r="Q358" s="174">
        <f>IF($J358="",#N/A,SUM($P$4:P358))</f>
        <v>515.20999224504305</v>
      </c>
      <c r="R358" s="178">
        <f t="shared" si="568"/>
        <v>85.099999999999909</v>
      </c>
      <c r="S358" s="178">
        <f>IF($J358="",#N/A,SUM($R$4:R358))</f>
        <v>600.19854104386673</v>
      </c>
      <c r="T358" s="290" t="str">
        <f t="shared" si="569"/>
        <v/>
      </c>
      <c r="U358" s="290">
        <f>IF($J358="",#N/A,SUM($T$4:T358))</f>
        <v>16.574086383859939</v>
      </c>
      <c r="V358" s="291" t="str">
        <f t="shared" si="570"/>
        <v/>
      </c>
      <c r="W358" s="291">
        <f>IF($J358="",#N/A,SUM($V$4:V358))</f>
        <v>24.732648447201495</v>
      </c>
      <c r="X358" s="292">
        <f t="shared" si="571"/>
        <v>0.83218431269007653</v>
      </c>
      <c r="Y358" s="292">
        <f>IF($J358="",#N/A,SUM($X$4:X358))</f>
        <v>13.773380578741252</v>
      </c>
      <c r="Z358" s="304" t="str">
        <f t="shared" si="572"/>
        <v/>
      </c>
      <c r="AA358" s="313" t="e">
        <f>IF($J358="",#N/A,SUM(Z$4:Z358))</f>
        <v>#N/A</v>
      </c>
      <c r="AB358" s="314" t="str">
        <f t="shared" si="573"/>
        <v/>
      </c>
      <c r="AC358" s="314" t="e">
        <f>IF($J358="",#N/A,SUM(AB$4:AB358))</f>
        <v>#N/A</v>
      </c>
      <c r="AD358" s="315" t="str">
        <f t="shared" si="574"/>
        <v/>
      </c>
      <c r="AE358" s="315" t="e">
        <f>IF($J358="",#N/A,SUM(AD$4:AD358))</f>
        <v>#N/A</v>
      </c>
      <c r="AF358" s="315" t="e">
        <f>IF($J358="",#N/A,SUM(AD$4:AD358,AB$4:AB358,Z$4:Z358))</f>
        <v>#N/A</v>
      </c>
      <c r="AG358" s="304" t="str">
        <f t="shared" si="575"/>
        <v/>
      </c>
      <c r="AH358" s="313" t="e">
        <f>IF($J358="",#N/A,SUM(AG$4:AG358))</f>
        <v>#N/A</v>
      </c>
      <c r="AI358" s="314" t="str">
        <f t="shared" si="576"/>
        <v/>
      </c>
      <c r="AJ358" s="314" t="e">
        <f>IF($J358="",#N/A,SUM(AI$4:AI358))</f>
        <v>#N/A</v>
      </c>
      <c r="AK358" s="315" t="str">
        <f t="shared" si="577"/>
        <v/>
      </c>
      <c r="AL358" s="315" t="e">
        <f>IF($J358="",#N/A,SUM(AK$4:AK358))</f>
        <v>#N/A</v>
      </c>
      <c r="AM358" s="315" t="e">
        <f>IF($J358="",#N/A,SUM(AK$4:AK358,AI$4:AI358,AG$4:AG358))</f>
        <v>#N/A</v>
      </c>
      <c r="AN358" s="304" t="str">
        <f t="shared" si="578"/>
        <v/>
      </c>
      <c r="AO358" s="313" t="e">
        <f>IF($J358="",#N/A,SUM(AN$4:AN358))</f>
        <v>#N/A</v>
      </c>
      <c r="AP358" s="314" t="str">
        <f t="shared" si="579"/>
        <v/>
      </c>
      <c r="AQ358" s="314" t="e">
        <f>IF($J358="",#N/A,SUM(AP$4:AP358))</f>
        <v>#N/A</v>
      </c>
      <c r="AR358" s="315">
        <f t="shared" si="580"/>
        <v>0.83218431269007653</v>
      </c>
      <c r="AS358" s="315" t="e">
        <f>IF($J358="",#N/A,SUM(AR$4:AR358))</f>
        <v>#N/A</v>
      </c>
      <c r="AT358" s="315" t="e">
        <f>IF($J358="",#N/A,SUM(AR$4:AR358,AP$4:AP358,AN$4:AN358))</f>
        <v>#N/A</v>
      </c>
      <c r="AU358" s="304" t="str">
        <f t="shared" si="581"/>
        <v/>
      </c>
      <c r="AV358" s="313" t="e">
        <f>IF($J358="",#N/A,SUM(AU$4:AU358))</f>
        <v>#N/A</v>
      </c>
      <c r="AW358" s="314" t="str">
        <f t="shared" si="582"/>
        <v/>
      </c>
      <c r="AX358" s="314" t="e">
        <f>IF($J358="",#N/A,SUM(AW$4:AW358))</f>
        <v>#N/A</v>
      </c>
      <c r="AY358" s="315" t="str">
        <f t="shared" si="583"/>
        <v/>
      </c>
      <c r="AZ358" s="315" t="e">
        <f>IF($J358="",#N/A,SUM(AY$4:AY358))</f>
        <v>#N/A</v>
      </c>
      <c r="BA358" s="315" t="e">
        <f>IF($J358="",#N/A,SUM(AY$4:AY358,AW$4:AW358,AU$4:AU358))</f>
        <v>#N/A</v>
      </c>
      <c r="BB358" s="304" t="str">
        <f t="shared" si="584"/>
        <v/>
      </c>
      <c r="BC358" s="313" t="e">
        <f>IF($J358="",#N/A,SUM(BB$4:BB358))</f>
        <v>#N/A</v>
      </c>
      <c r="BD358" s="314" t="str">
        <f t="shared" si="585"/>
        <v/>
      </c>
      <c r="BE358" s="314" t="e">
        <f>IF($J358="",#N/A,SUM(BD$4:BD358))</f>
        <v>#N/A</v>
      </c>
      <c r="BF358" s="315" t="str">
        <f t="shared" si="586"/>
        <v/>
      </c>
      <c r="BG358" s="315" t="e">
        <f>IF($J358="",#N/A,SUM(BF$4:BF358))</f>
        <v>#N/A</v>
      </c>
      <c r="BH358" s="315" t="e">
        <f>IF($J358="",#N/A,SUM(BF$4:BF358,BD$4:BD358,BB$4:BB358))</f>
        <v>#N/A</v>
      </c>
      <c r="BI358" s="304" t="str">
        <f t="shared" si="587"/>
        <v/>
      </c>
      <c r="BJ358" s="313" t="e">
        <f>IF($J358="",#N/A,SUM(BI$4:BI358))</f>
        <v>#N/A</v>
      </c>
      <c r="BK358" s="314" t="str">
        <f t="shared" si="588"/>
        <v/>
      </c>
      <c r="BL358" s="314" t="e">
        <f>IF($J358="",#N/A,SUM(BK$4:BK358))</f>
        <v>#N/A</v>
      </c>
      <c r="BM358" s="315" t="str">
        <f t="shared" si="589"/>
        <v/>
      </c>
      <c r="BN358" s="315" t="e">
        <f>IF($J358="",#N/A,SUM(BM$4:BM358))</f>
        <v>#N/A</v>
      </c>
      <c r="BO358" s="315" t="e">
        <f>IF($J358="",#N/A,SUM(BM$4:BM358,BK$4:BK358,BI$4:BI358))</f>
        <v>#N/A</v>
      </c>
      <c r="BP358" s="304" t="str">
        <f t="shared" si="590"/>
        <v/>
      </c>
      <c r="BQ358" s="313" t="e">
        <f>IF($J358="",#N/A,SUM(BP$4:BP358))</f>
        <v>#N/A</v>
      </c>
      <c r="BR358" s="314" t="str">
        <f t="shared" si="591"/>
        <v/>
      </c>
      <c r="BS358" s="314" t="e">
        <f>IF($J358="",#N/A,SUM(BR$4:BR358))</f>
        <v>#N/A</v>
      </c>
      <c r="BT358" s="315" t="str">
        <f t="shared" si="592"/>
        <v/>
      </c>
      <c r="BU358" s="315" t="e">
        <f>IF($J358="",#N/A,SUM(BT$4:BT358))</f>
        <v>#N/A</v>
      </c>
      <c r="BV358" s="315" t="e">
        <f>IF($J358="",#N/A,SUM(BT$4:BT358,BR$4:BR358,BP$4:BP358))</f>
        <v>#N/A</v>
      </c>
      <c r="BW358" s="304" t="str">
        <f t="shared" si="593"/>
        <v/>
      </c>
      <c r="BX358" s="313" t="e">
        <f>IF($J358="",#N/A,SUM(BW$4:BW358))</f>
        <v>#N/A</v>
      </c>
      <c r="BY358" s="314" t="str">
        <f t="shared" si="594"/>
        <v/>
      </c>
      <c r="BZ358" s="314" t="e">
        <f>IF($J358="",#N/A,SUM(BY$4:BY358))</f>
        <v>#N/A</v>
      </c>
      <c r="CA358" s="315" t="str">
        <f t="shared" si="595"/>
        <v/>
      </c>
      <c r="CB358" s="315" t="e">
        <f>IF($J358="",#N/A,SUM(CA$4:CA358))</f>
        <v>#N/A</v>
      </c>
      <c r="CC358" s="315" t="e">
        <f>IF($J358="",#N/A,SUM(CA$4:CA358,BY$4:BY358,BW$4:BW358))</f>
        <v>#N/A</v>
      </c>
      <c r="CD358" s="304" t="str">
        <f t="shared" si="596"/>
        <v/>
      </c>
      <c r="CE358" s="313" t="e">
        <f>IF($J358="",#N/A,SUM(CD$4:CD358))</f>
        <v>#N/A</v>
      </c>
      <c r="CF358" s="314" t="str">
        <f t="shared" si="597"/>
        <v/>
      </c>
      <c r="CG358" s="314" t="e">
        <f>IF($J358="",#N/A,SUM(CF$4:CF358))</f>
        <v>#N/A</v>
      </c>
      <c r="CH358" s="315" t="str">
        <f t="shared" si="598"/>
        <v/>
      </c>
      <c r="CI358" s="315" t="e">
        <f>IF($J358="",#N/A,SUM(CH$4:CH358))</f>
        <v>#N/A</v>
      </c>
      <c r="CJ358" s="315" t="e">
        <f>IF($J358="",#N/A,SUM(CH$4:CH358,CF$4:CF358,CD$4:CD358))</f>
        <v>#N/A</v>
      </c>
      <c r="CK358" s="304" t="str">
        <f t="shared" si="599"/>
        <v/>
      </c>
      <c r="CL358" s="313" t="e">
        <f>IF($J358="",#N/A,SUM(CK$4:CK358))</f>
        <v>#N/A</v>
      </c>
      <c r="CM358" s="314" t="str">
        <f t="shared" si="600"/>
        <v/>
      </c>
      <c r="CN358" s="314" t="e">
        <f>IF($J358="",#N/A,SUM(CM$4:CM358))</f>
        <v>#N/A</v>
      </c>
      <c r="CO358" s="315" t="str">
        <f t="shared" si="601"/>
        <v/>
      </c>
      <c r="CP358" s="315" t="e">
        <f>IF($J358="",#N/A,SUM(CO$4:CO358))</f>
        <v>#N/A</v>
      </c>
      <c r="CQ358" s="315" t="e">
        <f>IF($J358="",#N/A,SUM(CO$4:CO358,CM$4:CM358,CK$4:CK358))</f>
        <v>#N/A</v>
      </c>
      <c r="CR358" s="304" t="str">
        <f t="shared" si="602"/>
        <v/>
      </c>
      <c r="CS358" s="313" t="e">
        <f>IF($J358="",#N/A,SUM(CR$4:CR358))</f>
        <v>#N/A</v>
      </c>
      <c r="CT358" s="314" t="str">
        <f t="shared" si="603"/>
        <v/>
      </c>
      <c r="CU358" s="314" t="e">
        <f>IF($J358="",#N/A,SUM(CT$4:CT358))</f>
        <v>#N/A</v>
      </c>
      <c r="CV358" s="315" t="str">
        <f t="shared" si="604"/>
        <v/>
      </c>
      <c r="CW358" s="315" t="e">
        <f>IF($J358="",#N/A,SUM(CV$4:CV358))</f>
        <v>#N/A</v>
      </c>
      <c r="CX358" s="315" t="e">
        <f>IF($J358="",#N/A,SUM(CV$4:CV358,CT$4:CT358,CR$4:CR358))</f>
        <v>#N/A</v>
      </c>
      <c r="CY358" s="304" t="str">
        <f t="shared" si="605"/>
        <v/>
      </c>
      <c r="CZ358" s="313" t="e">
        <f>IF($J358="",#N/A,SUM(CY$4:CY358))</f>
        <v>#N/A</v>
      </c>
      <c r="DA358" s="314" t="str">
        <f t="shared" si="606"/>
        <v/>
      </c>
      <c r="DB358" s="314" t="e">
        <f>IF($J358="",#N/A,SUM(DA$4:DA358))</f>
        <v>#N/A</v>
      </c>
      <c r="DC358" s="315" t="str">
        <f t="shared" si="607"/>
        <v/>
      </c>
      <c r="DD358" s="315" t="e">
        <f>IF($J358="",#N/A,SUM(DC$4:DC358))</f>
        <v>#N/A</v>
      </c>
      <c r="DE358" s="315" t="e">
        <f>IF($J358="",#N/A,SUM(DC$4:DC358,DA$4:DA358,CY$4:CY358))</f>
        <v>#N/A</v>
      </c>
      <c r="DF358" s="304" t="str">
        <f t="shared" si="608"/>
        <v/>
      </c>
      <c r="DG358" s="313" t="e">
        <f>IF($J358="",#N/A,SUM(DF$4:DF358))</f>
        <v>#N/A</v>
      </c>
      <c r="DH358" s="314" t="str">
        <f t="shared" si="609"/>
        <v/>
      </c>
      <c r="DI358" s="314" t="e">
        <f>IF($J358="",#N/A,SUM(DH$4:DH358))</f>
        <v>#N/A</v>
      </c>
      <c r="DJ358" s="315" t="str">
        <f t="shared" si="610"/>
        <v/>
      </c>
      <c r="DK358" s="315" t="e">
        <f>IF($J358="",#N/A,SUM(DJ$4:DJ358))</f>
        <v>#N/A</v>
      </c>
      <c r="DL358" s="315" t="e">
        <f>IF($J358="",#N/A,SUM(DJ$4:DJ358,DH$4:DH358,DF$4:DF358))</f>
        <v>#N/A</v>
      </c>
      <c r="DM358" s="304" t="str">
        <f t="shared" si="611"/>
        <v/>
      </c>
      <c r="DN358" s="313" t="e">
        <f>IF($J358="",#N/A,SUM(DM$4:DM358))</f>
        <v>#N/A</v>
      </c>
      <c r="DO358" s="314" t="str">
        <f t="shared" si="612"/>
        <v/>
      </c>
      <c r="DP358" s="314" t="e">
        <f>IF($J358="",#N/A,SUM(DO$4:DO358))</f>
        <v>#N/A</v>
      </c>
      <c r="DQ358" s="315" t="str">
        <f t="shared" si="613"/>
        <v/>
      </c>
      <c r="DR358" s="315" t="e">
        <f>IF($J358="",#N/A,SUM(DQ$4:DQ358))</f>
        <v>#N/A</v>
      </c>
      <c r="DS358" s="315" t="e">
        <f>IF($J358="",#N/A,SUM(DQ$4:DQ358,DO$4:DO358,DM$4:DM358))</f>
        <v>#N/A</v>
      </c>
      <c r="DT358" s="304" t="str">
        <f t="shared" si="614"/>
        <v/>
      </c>
      <c r="DU358" s="313" t="e">
        <f>IF($J358="",#N/A,SUM(DT$4:DT358))</f>
        <v>#N/A</v>
      </c>
      <c r="DV358" s="314" t="str">
        <f t="shared" si="615"/>
        <v/>
      </c>
      <c r="DW358" s="314" t="e">
        <f>IF($J358="",#N/A,SUM(DV$4:DV358))</f>
        <v>#N/A</v>
      </c>
      <c r="DX358" s="315" t="str">
        <f t="shared" si="616"/>
        <v/>
      </c>
      <c r="DY358" s="315" t="e">
        <f>IF($J358="",#N/A,SUM(DX$4:DX358))</f>
        <v>#N/A</v>
      </c>
      <c r="DZ358" s="315" t="e">
        <f>IF($J358="",#N/A,SUM(DX$4:DX358,DV$4:DV358,DT$4:DT358))</f>
        <v>#N/A</v>
      </c>
      <c r="EA358" s="304" t="str">
        <f t="shared" si="617"/>
        <v/>
      </c>
      <c r="EB358" s="313" t="e">
        <f>IF($J358="",#N/A,SUM(EA$4:EA358))</f>
        <v>#N/A</v>
      </c>
      <c r="EC358" s="314" t="str">
        <f t="shared" si="618"/>
        <v/>
      </c>
      <c r="ED358" s="314" t="e">
        <f>IF($J358="",#N/A,SUM(EC$4:EC358))</f>
        <v>#N/A</v>
      </c>
      <c r="EE358" s="315" t="str">
        <f t="shared" si="619"/>
        <v/>
      </c>
      <c r="EF358" s="315" t="e">
        <f>IF($J358="",#N/A,SUM(EE$4:EE358))</f>
        <v>#N/A</v>
      </c>
      <c r="EG358" s="315" t="e">
        <f>IF($J358="",#N/A,SUM(EE$4:EE358,EC$4:EC358,EA$4:EA358))</f>
        <v>#N/A</v>
      </c>
      <c r="EH358" s="130">
        <f t="shared" si="620"/>
        <v>85.099999999999909</v>
      </c>
      <c r="EI358" s="63">
        <f>IF(EH358="",#N/A,SUM($EH$4:EH358))</f>
        <v>1391.5652526431345</v>
      </c>
      <c r="EJ358" s="223" t="e">
        <f t="shared" si="621"/>
        <v>#N/A</v>
      </c>
      <c r="EK358" s="63" t="e">
        <f>IF($GZ358="",#N/A,SUM(EJ$4:EJ358))</f>
        <v>#N/A</v>
      </c>
      <c r="EL358" s="60">
        <f t="shared" si="651"/>
        <v>0.83218431269007653</v>
      </c>
      <c r="EM358" s="60">
        <f>IF(EL358="",NA(),SUM($EL$4:EL358))</f>
        <v>30.400596023991177</v>
      </c>
      <c r="EN358" s="60" t="str">
        <f t="shared" si="622"/>
        <v/>
      </c>
      <c r="EO358" s="60" t="e">
        <f>IF(EN358="",NA(),SUM($EN$4:EN358))</f>
        <v>#N/A</v>
      </c>
      <c r="EP358" s="60">
        <f t="shared" si="623"/>
        <v>0.83218431269007653</v>
      </c>
      <c r="EQ358" s="60">
        <f>IF(EP358="",NA(),SUM($EP$4:EP358))</f>
        <v>8.6023408802122958</v>
      </c>
      <c r="ER358" s="60" t="str">
        <f t="shared" si="624"/>
        <v/>
      </c>
      <c r="ES358" s="60" t="e">
        <f>IF(ER358="",NA(),SUM($ER$4:ER358))</f>
        <v>#N/A</v>
      </c>
      <c r="ET358" s="60" t="str">
        <f t="shared" si="625"/>
        <v/>
      </c>
      <c r="EU358" s="60" t="e">
        <f>IF(ET358="",NA(),SUM($ET$4:ET358))</f>
        <v>#N/A</v>
      </c>
      <c r="EV358" s="60" t="str">
        <f t="shared" si="626"/>
        <v/>
      </c>
      <c r="EW358" s="60" t="e">
        <f>IF(EV358="",NA(),SUM($EV$4:EV358))</f>
        <v>#N/A</v>
      </c>
      <c r="EX358" s="60" t="str">
        <f t="shared" si="627"/>
        <v/>
      </c>
      <c r="EY358" s="60" t="e">
        <f>IF(EX358="",NA(),SUM($EX$4:EX358))</f>
        <v>#N/A</v>
      </c>
      <c r="EZ358" s="60" t="str">
        <f t="shared" si="628"/>
        <v/>
      </c>
      <c r="FA358" s="60" t="e">
        <f>IF(EZ358="",NA(),SUM($EZ$4:EZ358))</f>
        <v>#N/A</v>
      </c>
      <c r="FB358" s="246" t="str">
        <f t="shared" si="652"/>
        <v/>
      </c>
      <c r="FC358" s="246" t="e">
        <f>IF($FB358="",#N/A,SUM(FB$4:$FB358))</f>
        <v>#N/A</v>
      </c>
      <c r="FD358" s="60" t="str">
        <f t="shared" si="629"/>
        <v/>
      </c>
      <c r="FE358" s="60" t="e">
        <f>IF($FD358="",#N/A,SUM($FD$4:FD358))</f>
        <v>#N/A</v>
      </c>
      <c r="FF358" s="60" t="str">
        <f t="shared" si="630"/>
        <v/>
      </c>
      <c r="FG358" s="60" t="e">
        <f>IF($FF358="",#N/A,SUM($FF$4:FF358))</f>
        <v>#N/A</v>
      </c>
      <c r="FH358" s="60" t="str">
        <f t="shared" si="631"/>
        <v/>
      </c>
      <c r="FI358" s="60" t="e">
        <f>IF($FH358="",#N/A,SUM($FH$4:FH358))</f>
        <v>#N/A</v>
      </c>
      <c r="FJ358" s="60">
        <f t="shared" si="632"/>
        <v>-0.66349830336100679</v>
      </c>
      <c r="FK358" s="60">
        <f>IF($FJ358="",#N/A,SUM($FJ$4:FJ358))</f>
        <v>-2.514218774390232</v>
      </c>
      <c r="FL358" s="60" t="str">
        <f t="shared" si="633"/>
        <v/>
      </c>
      <c r="FM358" s="60" t="e">
        <f>IF($FL358="",#N/A,SUM($FL$4:FL358))</f>
        <v>#N/A</v>
      </c>
      <c r="FN358" s="82">
        <f t="shared" si="634"/>
        <v>0.16868600932906974</v>
      </c>
      <c r="FO358" s="82">
        <f>IF($FN358="",#N/A,SUM(FN$4:$FN358))</f>
        <v>51.25052112483062</v>
      </c>
      <c r="FP358" s="82">
        <f t="shared" si="653"/>
        <v>0.83218431269007653</v>
      </c>
      <c r="FQ358" s="246">
        <f>IF($EH358="",#N/A,SUM($FP$4:FP358))</f>
        <v>55.080115409802666</v>
      </c>
      <c r="FR358" s="82">
        <f>IFERROR(FQ358/COUNTA($J$4:J358),#N/A)</f>
        <v>0.15515525467550045</v>
      </c>
      <c r="FS358" s="82">
        <f t="shared" si="554"/>
        <v>-1.4652177346672773E-2</v>
      </c>
      <c r="FT358" s="82">
        <f t="shared" si="555"/>
        <v>0.18070955530391217</v>
      </c>
      <c r="FU358" s="338">
        <f t="shared" si="658"/>
        <v>28.043548465137953</v>
      </c>
      <c r="FV358" s="57" t="str">
        <f t="shared" si="659"/>
        <v>SW</v>
      </c>
      <c r="FW358" s="57" t="s">
        <v>2732</v>
      </c>
      <c r="FX358" s="57" t="str">
        <f t="shared" si="635"/>
        <v/>
      </c>
      <c r="FY358" s="57" t="str">
        <f t="shared" si="636"/>
        <v/>
      </c>
      <c r="FZ358" s="57">
        <f t="shared" si="637"/>
        <v>1</v>
      </c>
      <c r="GA358" s="57" t="str">
        <f t="shared" si="638"/>
        <v>Long</v>
      </c>
      <c r="GB358" s="57" t="str">
        <f t="shared" si="639"/>
        <v/>
      </c>
      <c r="GC358" s="57" t="str">
        <f t="shared" si="640"/>
        <v/>
      </c>
      <c r="GD358" s="57" t="str">
        <f t="shared" si="641"/>
        <v/>
      </c>
      <c r="GE358" s="62">
        <f t="shared" si="557"/>
        <v>340.87</v>
      </c>
      <c r="GF358" s="62" t="s">
        <v>2779</v>
      </c>
      <c r="GG358" s="199">
        <v>5</v>
      </c>
      <c r="GH358" s="207">
        <f t="shared" si="642"/>
        <v>1704.35</v>
      </c>
      <c r="GI358" s="199">
        <v>5</v>
      </c>
      <c r="GJ358" s="200">
        <v>357.89</v>
      </c>
      <c r="GK358" s="63">
        <f t="shared" si="643"/>
        <v>85.099999999999909</v>
      </c>
      <c r="GL358" s="63">
        <f t="shared" si="558"/>
        <v>17.25</v>
      </c>
      <c r="GM358" s="82">
        <f t="shared" si="644"/>
        <v>0.16868600932906974</v>
      </c>
      <c r="GN358" s="82">
        <f>IF($GZ358="",#N/A,SUM(GM$4:GM358))</f>
        <v>8.1248641055872337</v>
      </c>
      <c r="GO358" s="82" t="str">
        <f t="shared" si="645"/>
        <v/>
      </c>
      <c r="GP358" s="82">
        <f>IF($GZ358="",#N/A,SUM(GO$4:GO358))</f>
        <v>11.466473290236367</v>
      </c>
      <c r="GQ358" s="82" t="str">
        <f t="shared" si="646"/>
        <v/>
      </c>
      <c r="GR358" s="82">
        <f>IF($GZ358="",#N/A,SUM(GQ$4:GQ358))</f>
        <v>31.03334677456467</v>
      </c>
      <c r="GS358" s="63" t="e">
        <f t="shared" si="654"/>
        <v>#N/A</v>
      </c>
      <c r="GT358" s="63" t="e">
        <f>IF($GZ358="",#N/A,SUM(GS$4:GS358))</f>
        <v>#N/A</v>
      </c>
      <c r="GU358" s="63" t="str">
        <f t="shared" si="655"/>
        <v/>
      </c>
      <c r="GV358" s="63" t="e">
        <f>IF($GZ358="",#N/A,SUM(GU$4:GU358))</f>
        <v>#N/A</v>
      </c>
      <c r="GW358" s="63" t="str">
        <f t="shared" si="656"/>
        <v/>
      </c>
      <c r="GX358" s="63" t="e">
        <f>IF($GZ358="",#N/A,SUM(GW$4:GW358))</f>
        <v>#N/A</v>
      </c>
      <c r="GY358" s="63" t="e">
        <f>IF(EJ358="",#N/A,SUM($EJ$4:EJ358))</f>
        <v>#N/A</v>
      </c>
      <c r="GZ358" s="159">
        <v>344.32</v>
      </c>
      <c r="HA358" s="63">
        <f t="shared" si="647"/>
        <v>-67.849999999999909</v>
      </c>
      <c r="HB358" s="62" t="s">
        <v>2538</v>
      </c>
      <c r="HC358" s="60">
        <f>IFERROR(VLOOKUP(E358,Expectancy!$P$4:$S$19,1+C358,FALSE),"")</f>
        <v>0.48685636958953199</v>
      </c>
      <c r="HD358" s="82">
        <f t="shared" si="648"/>
        <v>0.83218431269007653</v>
      </c>
      <c r="HE358" s="138">
        <f>IF(HD358="",#N/A,SUM($HD$4:HD358))</f>
        <v>12.506566944664714</v>
      </c>
      <c r="HF358" s="85">
        <f>IF(HD358="",#N/A,IF(HB358="Skip",#N/A,SUM($HG$4:HG358)))</f>
        <v>530.55657921915508</v>
      </c>
      <c r="HG358" s="63">
        <f t="shared" si="649"/>
        <v>85.099999999999909</v>
      </c>
      <c r="HH358" s="82">
        <f t="shared" si="650"/>
        <v>0.16868600932906974</v>
      </c>
    </row>
    <row r="359" spans="1:216" x14ac:dyDescent="0.25">
      <c r="A359" s="465" t="s">
        <v>527</v>
      </c>
      <c r="B359" s="466" t="s">
        <v>5247</v>
      </c>
      <c r="C359" s="467">
        <f t="shared" si="561"/>
        <v>1</v>
      </c>
      <c r="D359" s="468" t="str">
        <f>_xlfn.XLOOKUP(A359,[1]SP500!$A$2:$A$502,[1]SP500!$D$2:$D$502,"N")</f>
        <v>Y</v>
      </c>
      <c r="E359" s="465" t="str">
        <f>_xlfn.XLOOKUP(A359,[1]SP500!$A$2:$A$655,[1]SP500!$B$2:$B$655)</f>
        <v>XLK</v>
      </c>
      <c r="F359" s="59">
        <v>45708</v>
      </c>
      <c r="G359" s="57" t="str">
        <f t="shared" si="562"/>
        <v>BMO</v>
      </c>
      <c r="H359" s="57" t="str">
        <f t="shared" si="563"/>
        <v>s</v>
      </c>
      <c r="I359" s="159">
        <v>258.11</v>
      </c>
      <c r="J359" s="159">
        <v>235.34</v>
      </c>
      <c r="K359" s="61">
        <f t="shared" si="564"/>
        <v>-8.8218201541978264E-2</v>
      </c>
      <c r="L359" s="87">
        <f t="shared" si="565"/>
        <v>-136.62000000000012</v>
      </c>
      <c r="M359" s="130">
        <f t="shared" si="556"/>
        <v>0</v>
      </c>
      <c r="N359" s="169">
        <f t="shared" si="566"/>
        <v>-136.62000000000012</v>
      </c>
      <c r="O359" s="169">
        <f>IF($J359="",#N/A,SUM($N$4:N359))</f>
        <v>139.53671935422449</v>
      </c>
      <c r="P359" s="174" t="str">
        <f t="shared" si="567"/>
        <v/>
      </c>
      <c r="Q359" s="174">
        <f>IF($J359="",#N/A,SUM($P$4:P359))</f>
        <v>515.20999224504305</v>
      </c>
      <c r="R359" s="178" t="str">
        <f t="shared" si="568"/>
        <v/>
      </c>
      <c r="S359" s="178">
        <f>IF($J359="",#N/A,SUM($R$4:R359))</f>
        <v>600.19854104386673</v>
      </c>
      <c r="T359" s="290">
        <f t="shared" si="569"/>
        <v>-1.4703033590329717</v>
      </c>
      <c r="U359" s="290">
        <f>IF($J359="",#N/A,SUM($T$4:T359))</f>
        <v>15.103783024826967</v>
      </c>
      <c r="V359" s="291" t="str">
        <f t="shared" si="570"/>
        <v/>
      </c>
      <c r="W359" s="291">
        <f>IF($J359="",#N/A,SUM($V$4:V359))</f>
        <v>24.732648447201495</v>
      </c>
      <c r="X359" s="292" t="str">
        <f t="shared" si="571"/>
        <v/>
      </c>
      <c r="Y359" s="292">
        <f>IF($J359="",#N/A,SUM($X$4:X359))</f>
        <v>13.773380578741252</v>
      </c>
      <c r="Z359" s="304">
        <f t="shared" si="572"/>
        <v>-1.4703033590329717</v>
      </c>
      <c r="AA359" s="313" t="e">
        <f>IF($J359="",#N/A,SUM(Z$4:Z359))</f>
        <v>#N/A</v>
      </c>
      <c r="AB359" s="314" t="str">
        <f t="shared" si="573"/>
        <v/>
      </c>
      <c r="AC359" s="314" t="e">
        <f>IF($J359="",#N/A,SUM(AB$4:AB359))</f>
        <v>#N/A</v>
      </c>
      <c r="AD359" s="315" t="str">
        <f t="shared" si="574"/>
        <v/>
      </c>
      <c r="AE359" s="315" t="e">
        <f>IF($J359="",#N/A,SUM(AD$4:AD359))</f>
        <v>#N/A</v>
      </c>
      <c r="AF359" s="315" t="e">
        <f>IF($J359="",#N/A,SUM(AD$4:AD359,AB$4:AB359,Z$4:Z359))</f>
        <v>#N/A</v>
      </c>
      <c r="AG359" s="304" t="str">
        <f t="shared" si="575"/>
        <v/>
      </c>
      <c r="AH359" s="313" t="e">
        <f>IF($J359="",#N/A,SUM(AG$4:AG359))</f>
        <v>#N/A</v>
      </c>
      <c r="AI359" s="314" t="str">
        <f t="shared" si="576"/>
        <v/>
      </c>
      <c r="AJ359" s="314" t="e">
        <f>IF($J359="",#N/A,SUM(AI$4:AI359))</f>
        <v>#N/A</v>
      </c>
      <c r="AK359" s="315" t="str">
        <f t="shared" si="577"/>
        <v/>
      </c>
      <c r="AL359" s="315" t="e">
        <f>IF($J359="",#N/A,SUM(AK$4:AK359))</f>
        <v>#N/A</v>
      </c>
      <c r="AM359" s="315" t="e">
        <f>IF($J359="",#N/A,SUM(AK$4:AK359,AI$4:AI359,AG$4:AG359))</f>
        <v>#N/A</v>
      </c>
      <c r="AN359" s="304" t="str">
        <f t="shared" si="578"/>
        <v/>
      </c>
      <c r="AO359" s="313" t="e">
        <f>IF($J359="",#N/A,SUM(AN$4:AN359))</f>
        <v>#N/A</v>
      </c>
      <c r="AP359" s="314" t="str">
        <f t="shared" si="579"/>
        <v/>
      </c>
      <c r="AQ359" s="314" t="e">
        <f>IF($J359="",#N/A,SUM(AP$4:AP359))</f>
        <v>#N/A</v>
      </c>
      <c r="AR359" s="315" t="str">
        <f t="shared" si="580"/>
        <v/>
      </c>
      <c r="AS359" s="315" t="e">
        <f>IF($J359="",#N/A,SUM(AR$4:AR359))</f>
        <v>#N/A</v>
      </c>
      <c r="AT359" s="315" t="e">
        <f>IF($J359="",#N/A,SUM(AR$4:AR359,AP$4:AP359,AN$4:AN359))</f>
        <v>#N/A</v>
      </c>
      <c r="AU359" s="304" t="str">
        <f t="shared" si="581"/>
        <v/>
      </c>
      <c r="AV359" s="313" t="e">
        <f>IF($J359="",#N/A,SUM(AU$4:AU359))</f>
        <v>#N/A</v>
      </c>
      <c r="AW359" s="314" t="str">
        <f t="shared" si="582"/>
        <v/>
      </c>
      <c r="AX359" s="314" t="e">
        <f>IF($J359="",#N/A,SUM(AW$4:AW359))</f>
        <v>#N/A</v>
      </c>
      <c r="AY359" s="315" t="str">
        <f t="shared" si="583"/>
        <v/>
      </c>
      <c r="AZ359" s="315" t="e">
        <f>IF($J359="",#N/A,SUM(AY$4:AY359))</f>
        <v>#N/A</v>
      </c>
      <c r="BA359" s="315" t="e">
        <f>IF($J359="",#N/A,SUM(AY$4:AY359,AW$4:AW359,AU$4:AU359))</f>
        <v>#N/A</v>
      </c>
      <c r="BB359" s="304" t="str">
        <f t="shared" si="584"/>
        <v/>
      </c>
      <c r="BC359" s="313" t="e">
        <f>IF($J359="",#N/A,SUM(BB$4:BB359))</f>
        <v>#N/A</v>
      </c>
      <c r="BD359" s="314" t="str">
        <f t="shared" si="585"/>
        <v/>
      </c>
      <c r="BE359" s="314" t="e">
        <f>IF($J359="",#N/A,SUM(BD$4:BD359))</f>
        <v>#N/A</v>
      </c>
      <c r="BF359" s="315" t="str">
        <f t="shared" si="586"/>
        <v/>
      </c>
      <c r="BG359" s="315" t="e">
        <f>IF($J359="",#N/A,SUM(BF$4:BF359))</f>
        <v>#N/A</v>
      </c>
      <c r="BH359" s="315" t="e">
        <f>IF($J359="",#N/A,SUM(BF$4:BF359,BD$4:BD359,BB$4:BB359))</f>
        <v>#N/A</v>
      </c>
      <c r="BI359" s="304" t="str">
        <f t="shared" si="587"/>
        <v/>
      </c>
      <c r="BJ359" s="313" t="e">
        <f>IF($J359="",#N/A,SUM(BI$4:BI359))</f>
        <v>#N/A</v>
      </c>
      <c r="BK359" s="314" t="str">
        <f t="shared" si="588"/>
        <v/>
      </c>
      <c r="BL359" s="314" t="e">
        <f>IF($J359="",#N/A,SUM(BK$4:BK359))</f>
        <v>#N/A</v>
      </c>
      <c r="BM359" s="315" t="str">
        <f t="shared" si="589"/>
        <v/>
      </c>
      <c r="BN359" s="315" t="e">
        <f>IF($J359="",#N/A,SUM(BM$4:BM359))</f>
        <v>#N/A</v>
      </c>
      <c r="BO359" s="315" t="e">
        <f>IF($J359="",#N/A,SUM(BM$4:BM359,BK$4:BK359,BI$4:BI359))</f>
        <v>#N/A</v>
      </c>
      <c r="BP359" s="304" t="str">
        <f t="shared" si="590"/>
        <v/>
      </c>
      <c r="BQ359" s="313" t="e">
        <f>IF($J359="",#N/A,SUM(BP$4:BP359))</f>
        <v>#N/A</v>
      </c>
      <c r="BR359" s="314" t="str">
        <f t="shared" si="591"/>
        <v/>
      </c>
      <c r="BS359" s="314" t="e">
        <f>IF($J359="",#N/A,SUM(BR$4:BR359))</f>
        <v>#N/A</v>
      </c>
      <c r="BT359" s="315" t="str">
        <f t="shared" si="592"/>
        <v/>
      </c>
      <c r="BU359" s="315" t="e">
        <f>IF($J359="",#N/A,SUM(BT$4:BT359))</f>
        <v>#N/A</v>
      </c>
      <c r="BV359" s="315" t="e">
        <f>IF($J359="",#N/A,SUM(BT$4:BT359,BR$4:BR359,BP$4:BP359))</f>
        <v>#N/A</v>
      </c>
      <c r="BW359" s="304" t="str">
        <f t="shared" si="593"/>
        <v/>
      </c>
      <c r="BX359" s="313" t="e">
        <f>IF($J359="",#N/A,SUM(BW$4:BW359))</f>
        <v>#N/A</v>
      </c>
      <c r="BY359" s="314" t="str">
        <f t="shared" si="594"/>
        <v/>
      </c>
      <c r="BZ359" s="314" t="e">
        <f>IF($J359="",#N/A,SUM(BY$4:BY359))</f>
        <v>#N/A</v>
      </c>
      <c r="CA359" s="315" t="str">
        <f t="shared" si="595"/>
        <v/>
      </c>
      <c r="CB359" s="315" t="e">
        <f>IF($J359="",#N/A,SUM(CA$4:CA359))</f>
        <v>#N/A</v>
      </c>
      <c r="CC359" s="315" t="e">
        <f>IF($J359="",#N/A,SUM(CA$4:CA359,BY$4:BY359,BW$4:BW359))</f>
        <v>#N/A</v>
      </c>
      <c r="CD359" s="304" t="str">
        <f t="shared" si="596"/>
        <v/>
      </c>
      <c r="CE359" s="313" t="e">
        <f>IF($J359="",#N/A,SUM(CD$4:CD359))</f>
        <v>#N/A</v>
      </c>
      <c r="CF359" s="314" t="str">
        <f t="shared" si="597"/>
        <v/>
      </c>
      <c r="CG359" s="314" t="e">
        <f>IF($J359="",#N/A,SUM(CF$4:CF359))</f>
        <v>#N/A</v>
      </c>
      <c r="CH359" s="315" t="str">
        <f t="shared" si="598"/>
        <v/>
      </c>
      <c r="CI359" s="315" t="e">
        <f>IF($J359="",#N/A,SUM(CH$4:CH359))</f>
        <v>#N/A</v>
      </c>
      <c r="CJ359" s="315" t="e">
        <f>IF($J359="",#N/A,SUM(CH$4:CH359,CF$4:CF359,CD$4:CD359))</f>
        <v>#N/A</v>
      </c>
      <c r="CK359" s="304" t="str">
        <f t="shared" si="599"/>
        <v/>
      </c>
      <c r="CL359" s="313" t="e">
        <f>IF($J359="",#N/A,SUM(CK$4:CK359))</f>
        <v>#N/A</v>
      </c>
      <c r="CM359" s="314" t="str">
        <f t="shared" si="600"/>
        <v/>
      </c>
      <c r="CN359" s="314" t="e">
        <f>IF($J359="",#N/A,SUM(CM$4:CM359))</f>
        <v>#N/A</v>
      </c>
      <c r="CO359" s="315" t="str">
        <f t="shared" si="601"/>
        <v/>
      </c>
      <c r="CP359" s="315" t="e">
        <f>IF($J359="",#N/A,SUM(CO$4:CO359))</f>
        <v>#N/A</v>
      </c>
      <c r="CQ359" s="315" t="e">
        <f>IF($J359="",#N/A,SUM(CO$4:CO359,CM$4:CM359,CK$4:CK359))</f>
        <v>#N/A</v>
      </c>
      <c r="CR359" s="304" t="str">
        <f t="shared" si="602"/>
        <v/>
      </c>
      <c r="CS359" s="313" t="e">
        <f>IF($J359="",#N/A,SUM(CR$4:CR359))</f>
        <v>#N/A</v>
      </c>
      <c r="CT359" s="314" t="str">
        <f t="shared" si="603"/>
        <v/>
      </c>
      <c r="CU359" s="314" t="e">
        <f>IF($J359="",#N/A,SUM(CT$4:CT359))</f>
        <v>#N/A</v>
      </c>
      <c r="CV359" s="315" t="str">
        <f t="shared" si="604"/>
        <v/>
      </c>
      <c r="CW359" s="315" t="e">
        <f>IF($J359="",#N/A,SUM(CV$4:CV359))</f>
        <v>#N/A</v>
      </c>
      <c r="CX359" s="315" t="e">
        <f>IF($J359="",#N/A,SUM(CV$4:CV359,CT$4:CT359,CR$4:CR359))</f>
        <v>#N/A</v>
      </c>
      <c r="CY359" s="304" t="str">
        <f t="shared" si="605"/>
        <v/>
      </c>
      <c r="CZ359" s="313" t="e">
        <f>IF($J359="",#N/A,SUM(CY$4:CY359))</f>
        <v>#N/A</v>
      </c>
      <c r="DA359" s="314" t="str">
        <f t="shared" si="606"/>
        <v/>
      </c>
      <c r="DB359" s="314" t="e">
        <f>IF($J359="",#N/A,SUM(DA$4:DA359))</f>
        <v>#N/A</v>
      </c>
      <c r="DC359" s="315" t="str">
        <f t="shared" si="607"/>
        <v/>
      </c>
      <c r="DD359" s="315" t="e">
        <f>IF($J359="",#N/A,SUM(DC$4:DC359))</f>
        <v>#N/A</v>
      </c>
      <c r="DE359" s="315" t="e">
        <f>IF($J359="",#N/A,SUM(DC$4:DC359,DA$4:DA359,CY$4:CY359))</f>
        <v>#N/A</v>
      </c>
      <c r="DF359" s="304" t="str">
        <f t="shared" si="608"/>
        <v/>
      </c>
      <c r="DG359" s="313" t="e">
        <f>IF($J359="",#N/A,SUM(DF$4:DF359))</f>
        <v>#N/A</v>
      </c>
      <c r="DH359" s="314" t="str">
        <f t="shared" si="609"/>
        <v/>
      </c>
      <c r="DI359" s="314" t="e">
        <f>IF($J359="",#N/A,SUM(DH$4:DH359))</f>
        <v>#N/A</v>
      </c>
      <c r="DJ359" s="315" t="str">
        <f t="shared" si="610"/>
        <v/>
      </c>
      <c r="DK359" s="315" t="e">
        <f>IF($J359="",#N/A,SUM(DJ$4:DJ359))</f>
        <v>#N/A</v>
      </c>
      <c r="DL359" s="315" t="e">
        <f>IF($J359="",#N/A,SUM(DJ$4:DJ359,DH$4:DH359,DF$4:DF359))</f>
        <v>#N/A</v>
      </c>
      <c r="DM359" s="304" t="str">
        <f t="shared" si="611"/>
        <v/>
      </c>
      <c r="DN359" s="313" t="e">
        <f>IF($J359="",#N/A,SUM(DM$4:DM359))</f>
        <v>#N/A</v>
      </c>
      <c r="DO359" s="314" t="str">
        <f t="shared" si="612"/>
        <v/>
      </c>
      <c r="DP359" s="314" t="e">
        <f>IF($J359="",#N/A,SUM(DO$4:DO359))</f>
        <v>#N/A</v>
      </c>
      <c r="DQ359" s="315" t="str">
        <f t="shared" si="613"/>
        <v/>
      </c>
      <c r="DR359" s="315" t="e">
        <f>IF($J359="",#N/A,SUM(DQ$4:DQ359))</f>
        <v>#N/A</v>
      </c>
      <c r="DS359" s="315" t="e">
        <f>IF($J359="",#N/A,SUM(DQ$4:DQ359,DO$4:DO359,DM$4:DM359))</f>
        <v>#N/A</v>
      </c>
      <c r="DT359" s="304" t="str">
        <f t="shared" si="614"/>
        <v/>
      </c>
      <c r="DU359" s="313" t="e">
        <f>IF($J359="",#N/A,SUM(DT$4:DT359))</f>
        <v>#N/A</v>
      </c>
      <c r="DV359" s="314" t="str">
        <f t="shared" si="615"/>
        <v/>
      </c>
      <c r="DW359" s="314" t="e">
        <f>IF($J359="",#N/A,SUM(DV$4:DV359))</f>
        <v>#N/A</v>
      </c>
      <c r="DX359" s="315" t="str">
        <f t="shared" si="616"/>
        <v/>
      </c>
      <c r="DY359" s="315" t="e">
        <f>IF($J359="",#N/A,SUM(DX$4:DX359))</f>
        <v>#N/A</v>
      </c>
      <c r="DZ359" s="315" t="e">
        <f>IF($J359="",#N/A,SUM(DX$4:DX359,DV$4:DV359,DT$4:DT359))</f>
        <v>#N/A</v>
      </c>
      <c r="EA359" s="304" t="str">
        <f t="shared" si="617"/>
        <v/>
      </c>
      <c r="EB359" s="313" t="e">
        <f>IF($J359="",#N/A,SUM(EA$4:EA359))</f>
        <v>#N/A</v>
      </c>
      <c r="EC359" s="314" t="str">
        <f t="shared" si="618"/>
        <v/>
      </c>
      <c r="ED359" s="314" t="e">
        <f>IF($J359="",#N/A,SUM(EC$4:EC359))</f>
        <v>#N/A</v>
      </c>
      <c r="EE359" s="315" t="str">
        <f t="shared" si="619"/>
        <v/>
      </c>
      <c r="EF359" s="315" t="e">
        <f>IF($J359="",#N/A,SUM(EE$4:EE359))</f>
        <v>#N/A</v>
      </c>
      <c r="EG359" s="315" t="e">
        <f>IF($J359="",#N/A,SUM(EE$4:EE359,EC$4:EC359,EA$4:EA359))</f>
        <v>#N/A</v>
      </c>
      <c r="EH359" s="130">
        <f t="shared" si="620"/>
        <v>-136.62000000000012</v>
      </c>
      <c r="EI359" s="63">
        <f>IF(EH359="",#N/A,SUM($EH$4:EH359))</f>
        <v>1254.9452526431344</v>
      </c>
      <c r="EJ359" s="223" t="e">
        <f t="shared" si="621"/>
        <v>#N/A</v>
      </c>
      <c r="EK359" s="63" t="e">
        <f>IF($GZ359="",#N/A,SUM(EJ$4:EJ359))</f>
        <v>#N/A</v>
      </c>
      <c r="EL359" s="60">
        <f t="shared" si="651"/>
        <v>-1.4703033590329717</v>
      </c>
      <c r="EM359" s="60">
        <f>IF(EL359="",NA(),SUM($EL$4:EL359))</f>
        <v>28.930292664958206</v>
      </c>
      <c r="EN359" s="60">
        <f t="shared" si="622"/>
        <v>-1.4703033590329717</v>
      </c>
      <c r="EO359" s="60">
        <f>IF(EN359="",NA(),SUM($EN$4:EN359))</f>
        <v>8.3751153218259109</v>
      </c>
      <c r="EP359" s="60" t="str">
        <f t="shared" si="623"/>
        <v/>
      </c>
      <c r="EQ359" s="60" t="e">
        <f>IF(EP359="",NA(),SUM($EP$4:EP359))</f>
        <v>#N/A</v>
      </c>
      <c r="ER359" s="60" t="str">
        <f t="shared" si="624"/>
        <v/>
      </c>
      <c r="ES359" s="60" t="e">
        <f>IF(ER359="",NA(),SUM($ER$4:ER359))</f>
        <v>#N/A</v>
      </c>
      <c r="ET359" s="60" t="str">
        <f t="shared" si="625"/>
        <v/>
      </c>
      <c r="EU359" s="60" t="e">
        <f>IF(ET359="",NA(),SUM($ET$4:ET359))</f>
        <v>#N/A</v>
      </c>
      <c r="EV359" s="60" t="str">
        <f t="shared" si="626"/>
        <v/>
      </c>
      <c r="EW359" s="60" t="e">
        <f>IF(EV359="",NA(),SUM($EV$4:EV359))</f>
        <v>#N/A</v>
      </c>
      <c r="EX359" s="60" t="str">
        <f t="shared" si="627"/>
        <v/>
      </c>
      <c r="EY359" s="60" t="e">
        <f>IF(EX359="",NA(),SUM($EX$4:EX359))</f>
        <v>#N/A</v>
      </c>
      <c r="EZ359" s="60" t="str">
        <f t="shared" si="628"/>
        <v/>
      </c>
      <c r="FA359" s="60" t="e">
        <f>IF(EZ359="",NA(),SUM($EZ$4:EZ359))</f>
        <v>#N/A</v>
      </c>
      <c r="FB359" s="246" t="str">
        <f t="shared" si="652"/>
        <v/>
      </c>
      <c r="FC359" s="246" t="e">
        <f>IF($FB359="",#N/A,SUM(FB$4:$FB359))</f>
        <v>#N/A</v>
      </c>
      <c r="FD359" s="60" t="str">
        <f t="shared" si="629"/>
        <v/>
      </c>
      <c r="FE359" s="60" t="e">
        <f>IF($FD359="",#N/A,SUM($FD$4:FD359))</f>
        <v>#N/A</v>
      </c>
      <c r="FF359" s="60" t="str">
        <f t="shared" si="630"/>
        <v/>
      </c>
      <c r="FG359" s="60" t="e">
        <f>IF($FF359="",#N/A,SUM($FF$4:FF359))</f>
        <v>#N/A</v>
      </c>
      <c r="FH359" s="60">
        <f t="shared" si="631"/>
        <v>-0.66315395244921271</v>
      </c>
      <c r="FI359" s="60">
        <f>IF($FH359="",#N/A,SUM($FH$4:FH359))</f>
        <v>0.83133251755429693</v>
      </c>
      <c r="FJ359" s="60" t="str">
        <f t="shared" si="632"/>
        <v/>
      </c>
      <c r="FK359" s="60" t="e">
        <f>IF($FJ359="",#N/A,SUM($FJ$4:FJ359))</f>
        <v>#N/A</v>
      </c>
      <c r="FL359" s="60" t="str">
        <f t="shared" si="633"/>
        <v/>
      </c>
      <c r="FM359" s="60" t="e">
        <f>IF($FL359="",#N/A,SUM($FL$4:FL359))</f>
        <v>#N/A</v>
      </c>
      <c r="FN359" s="82">
        <f t="shared" si="634"/>
        <v>-2.1334573114821844</v>
      </c>
      <c r="FO359" s="82">
        <f>IF($FN359="",#N/A,SUM(FN$4:$FN359))</f>
        <v>49.117063813348437</v>
      </c>
      <c r="FP359" s="82">
        <f t="shared" si="653"/>
        <v>-1.4703033590329717</v>
      </c>
      <c r="FQ359" s="246">
        <f>IF($EH359="",#N/A,SUM($FP$4:FP359))</f>
        <v>53.60981205076969</v>
      </c>
      <c r="FR359" s="82">
        <f>IFERROR(FQ359/COUNTA($J$4:J359),#N/A)</f>
        <v>0.15058935969317327</v>
      </c>
      <c r="FS359" s="82">
        <f t="shared" si="554"/>
        <v>-5.8128919887551263E-2</v>
      </c>
      <c r="FT359" s="82">
        <f t="shared" si="555"/>
        <v>0.12467297471894767</v>
      </c>
      <c r="FU359" s="338">
        <f t="shared" si="658"/>
        <v>28.043548465137945</v>
      </c>
      <c r="FV359" s="57" t="str">
        <f t="shared" si="659"/>
        <v>Up</v>
      </c>
      <c r="FW359" s="57" t="s">
        <v>2734</v>
      </c>
      <c r="FX359" s="57" t="str">
        <f t="shared" si="635"/>
        <v/>
      </c>
      <c r="FY359" s="57" t="str">
        <f t="shared" si="636"/>
        <v/>
      </c>
      <c r="FZ359" s="57" t="str">
        <f t="shared" si="637"/>
        <v/>
      </c>
      <c r="GA359" s="57" t="str">
        <f t="shared" si="638"/>
        <v>Long</v>
      </c>
      <c r="GB359" s="57" t="str">
        <f t="shared" si="639"/>
        <v/>
      </c>
      <c r="GC359" s="57">
        <f t="shared" si="640"/>
        <v>1</v>
      </c>
      <c r="GD359" s="57" t="str">
        <f t="shared" si="641"/>
        <v/>
      </c>
      <c r="GE359" s="62">
        <f t="shared" si="557"/>
        <v>258.11</v>
      </c>
      <c r="GF359" s="62" t="s">
        <v>2779</v>
      </c>
      <c r="GG359" s="199">
        <v>6</v>
      </c>
      <c r="GH359" s="207">
        <f t="shared" si="642"/>
        <v>1548.66</v>
      </c>
      <c r="GI359" s="199">
        <v>6</v>
      </c>
      <c r="GJ359" s="200">
        <v>235.34</v>
      </c>
      <c r="GK359" s="63">
        <f t="shared" si="643"/>
        <v>-136.62000000000012</v>
      </c>
      <c r="GL359" s="63">
        <f t="shared" si="558"/>
        <v>-198.24</v>
      </c>
      <c r="GM359" s="82" t="str">
        <f t="shared" si="644"/>
        <v/>
      </c>
      <c r="GN359" s="82">
        <f>IF($GZ359="",#N/A,SUM(GM$4:GM359))</f>
        <v>8.1248641055872337</v>
      </c>
      <c r="GO359" s="82">
        <f t="shared" si="645"/>
        <v>-2.1334573114821844</v>
      </c>
      <c r="GP359" s="82">
        <f>IF($GZ359="",#N/A,SUM(GO$4:GO359))</f>
        <v>9.3330159787541831</v>
      </c>
      <c r="GQ359" s="82" t="str">
        <f t="shared" si="646"/>
        <v/>
      </c>
      <c r="GR359" s="82">
        <f>IF($GZ359="",#N/A,SUM(GQ$4:GQ359))</f>
        <v>31.03334677456467</v>
      </c>
      <c r="GS359" s="63" t="str">
        <f t="shared" si="654"/>
        <v/>
      </c>
      <c r="GT359" s="63" t="e">
        <f>IF($GZ359="",#N/A,SUM(GS$4:GS359))</f>
        <v>#N/A</v>
      </c>
      <c r="GU359" s="63" t="e">
        <f t="shared" si="655"/>
        <v>#N/A</v>
      </c>
      <c r="GV359" s="63" t="e">
        <f>IF($GZ359="",#N/A,SUM(GU$4:GU359))</f>
        <v>#N/A</v>
      </c>
      <c r="GW359" s="63" t="str">
        <f t="shared" si="656"/>
        <v/>
      </c>
      <c r="GX359" s="63" t="e">
        <f>IF($GZ359="",#N/A,SUM(GW$4:GW359))</f>
        <v>#N/A</v>
      </c>
      <c r="GY359" s="63" t="e">
        <f>IF(EJ359="",#N/A,SUM($EJ$4:EJ359))</f>
        <v>#N/A</v>
      </c>
      <c r="GZ359" s="159">
        <v>225.07</v>
      </c>
      <c r="HA359" s="63">
        <f t="shared" si="647"/>
        <v>-61.619999999999891</v>
      </c>
      <c r="HB359" s="62" t="s">
        <v>2538</v>
      </c>
      <c r="HC359" s="60">
        <f>IFERROR(VLOOKUP(E359,Expectancy!$P$4:$S$19,1+C359,FALSE),"")</f>
        <v>0.35290544702120547</v>
      </c>
      <c r="HD359" s="82">
        <f t="shared" si="648"/>
        <v>-1.4703033590329717</v>
      </c>
      <c r="HE359" s="138">
        <f>IF(HD359="",#N/A,SUM($HD$4:HD359))</f>
        <v>11.036263585631742</v>
      </c>
      <c r="HF359" s="85">
        <f>IF(HD359="",#N/A,IF(HB359="Skip",#N/A,SUM($HG$4:HG359)))</f>
        <v>393.93657921915496</v>
      </c>
      <c r="HG359" s="63">
        <f t="shared" si="649"/>
        <v>-136.62000000000012</v>
      </c>
      <c r="HH359" s="82">
        <f t="shared" si="650"/>
        <v>-2.1334573114821844</v>
      </c>
    </row>
    <row r="360" spans="1:216" x14ac:dyDescent="0.25">
      <c r="A360" s="57" t="s">
        <v>1598</v>
      </c>
      <c r="B360" s="58" t="s">
        <v>5247</v>
      </c>
      <c r="C360" s="386">
        <f t="shared" si="561"/>
        <v>3</v>
      </c>
      <c r="D360" s="372" t="str">
        <f>_xlfn.XLOOKUP(A360,[1]SP500!$A$2:$A$502,[1]SP500!$D$2:$D$502,"N")</f>
        <v>Y</v>
      </c>
      <c r="E360" s="57" t="str">
        <f>_xlfn.XLOOKUP(A360,[1]SP500!$A$2:$A$655,[1]SP500!$B$2:$B$655)</f>
        <v>XLY</v>
      </c>
      <c r="F360" s="59">
        <v>45708</v>
      </c>
      <c r="G360" s="57" t="str">
        <f t="shared" si="562"/>
        <v>BMO</v>
      </c>
      <c r="H360" s="57" t="str">
        <f t="shared" si="563"/>
        <v>s</v>
      </c>
      <c r="I360" s="159">
        <v>39.4</v>
      </c>
      <c r="J360" s="159">
        <v>40.619999999999997</v>
      </c>
      <c r="K360" s="61">
        <f t="shared" si="564"/>
        <v>3.0964467005076116E-2</v>
      </c>
      <c r="L360" s="87">
        <f t="shared" si="565"/>
        <v>51.240000000000009</v>
      </c>
      <c r="M360" s="130">
        <f t="shared" si="556"/>
        <v>11.759999999999991</v>
      </c>
      <c r="N360" s="169" t="str">
        <f t="shared" si="566"/>
        <v/>
      </c>
      <c r="O360" s="169">
        <f>IF($J360="",#N/A,SUM($N$4:N360))</f>
        <v>139.53671935422449</v>
      </c>
      <c r="P360" s="174" t="str">
        <f t="shared" si="567"/>
        <v/>
      </c>
      <c r="Q360" s="174">
        <f>IF($J360="",#N/A,SUM($P$4:P360))</f>
        <v>515.20999224504305</v>
      </c>
      <c r="R360" s="178">
        <f t="shared" si="568"/>
        <v>51.240000000000009</v>
      </c>
      <c r="S360" s="178">
        <f>IF($J360="",#N/A,SUM($R$4:R360))</f>
        <v>651.43854104386673</v>
      </c>
      <c r="T360" s="290" t="str">
        <f t="shared" si="569"/>
        <v/>
      </c>
      <c r="U360" s="290">
        <f>IF($J360="",#N/A,SUM($T$4:T360))</f>
        <v>15.103783024826967</v>
      </c>
      <c r="V360" s="291" t="str">
        <f t="shared" si="570"/>
        <v/>
      </c>
      <c r="W360" s="291">
        <f>IF($J360="",#N/A,SUM($V$4:V360))</f>
        <v>24.732648447201495</v>
      </c>
      <c r="X360" s="292">
        <f t="shared" si="571"/>
        <v>0.51607445008460251</v>
      </c>
      <c r="Y360" s="292">
        <f>IF($J360="",#N/A,SUM($X$4:X360))</f>
        <v>14.289455028825854</v>
      </c>
      <c r="Z360" s="304" t="str">
        <f t="shared" si="572"/>
        <v/>
      </c>
      <c r="AA360" s="313" t="e">
        <f>IF($J360="",#N/A,SUM(Z$4:Z360))</f>
        <v>#N/A</v>
      </c>
      <c r="AB360" s="314" t="str">
        <f t="shared" si="573"/>
        <v/>
      </c>
      <c r="AC360" s="314" t="e">
        <f>IF($J360="",#N/A,SUM(AB$4:AB360))</f>
        <v>#N/A</v>
      </c>
      <c r="AD360" s="315" t="str">
        <f t="shared" si="574"/>
        <v/>
      </c>
      <c r="AE360" s="315" t="e">
        <f>IF($J360="",#N/A,SUM(AD$4:AD360))</f>
        <v>#N/A</v>
      </c>
      <c r="AF360" s="315" t="e">
        <f>IF($J360="",#N/A,SUM(AD$4:AD360,AB$4:AB360,Z$4:Z360))</f>
        <v>#N/A</v>
      </c>
      <c r="AG360" s="304" t="str">
        <f t="shared" si="575"/>
        <v/>
      </c>
      <c r="AH360" s="313" t="e">
        <f>IF($J360="",#N/A,SUM(AG$4:AG360))</f>
        <v>#N/A</v>
      </c>
      <c r="AI360" s="314" t="str">
        <f t="shared" si="576"/>
        <v/>
      </c>
      <c r="AJ360" s="314" t="e">
        <f>IF($J360="",#N/A,SUM(AI$4:AI360))</f>
        <v>#N/A</v>
      </c>
      <c r="AK360" s="315" t="str">
        <f t="shared" si="577"/>
        <v/>
      </c>
      <c r="AL360" s="315" t="e">
        <f>IF($J360="",#N/A,SUM(AK$4:AK360))</f>
        <v>#N/A</v>
      </c>
      <c r="AM360" s="315" t="e">
        <f>IF($J360="",#N/A,SUM(AK$4:AK360,AI$4:AI360,AG$4:AG360))</f>
        <v>#N/A</v>
      </c>
      <c r="AN360" s="304" t="str">
        <f t="shared" si="578"/>
        <v/>
      </c>
      <c r="AO360" s="313" t="e">
        <f>IF($J360="",#N/A,SUM(AN$4:AN360))</f>
        <v>#N/A</v>
      </c>
      <c r="AP360" s="314" t="str">
        <f t="shared" si="579"/>
        <v/>
      </c>
      <c r="AQ360" s="314" t="e">
        <f>IF($J360="",#N/A,SUM(AP$4:AP360))</f>
        <v>#N/A</v>
      </c>
      <c r="AR360" s="315">
        <f t="shared" si="580"/>
        <v>0.51607445008460251</v>
      </c>
      <c r="AS360" s="315" t="e">
        <f>IF($J360="",#N/A,SUM(AR$4:AR360))</f>
        <v>#N/A</v>
      </c>
      <c r="AT360" s="315" t="e">
        <f>IF($J360="",#N/A,SUM(AR$4:AR360,AP$4:AP360,AN$4:AN360))</f>
        <v>#N/A</v>
      </c>
      <c r="AU360" s="304" t="str">
        <f t="shared" si="581"/>
        <v/>
      </c>
      <c r="AV360" s="313" t="e">
        <f>IF($J360="",#N/A,SUM(AU$4:AU360))</f>
        <v>#N/A</v>
      </c>
      <c r="AW360" s="314" t="str">
        <f t="shared" si="582"/>
        <v/>
      </c>
      <c r="AX360" s="314" t="e">
        <f>IF($J360="",#N/A,SUM(AW$4:AW360))</f>
        <v>#N/A</v>
      </c>
      <c r="AY360" s="315" t="str">
        <f t="shared" si="583"/>
        <v/>
      </c>
      <c r="AZ360" s="315" t="e">
        <f>IF($J360="",#N/A,SUM(AY$4:AY360))</f>
        <v>#N/A</v>
      </c>
      <c r="BA360" s="315" t="e">
        <f>IF($J360="",#N/A,SUM(AY$4:AY360,AW$4:AW360,AU$4:AU360))</f>
        <v>#N/A</v>
      </c>
      <c r="BB360" s="304" t="str">
        <f t="shared" si="584"/>
        <v/>
      </c>
      <c r="BC360" s="313" t="e">
        <f>IF($J360="",#N/A,SUM(BB$4:BB360))</f>
        <v>#N/A</v>
      </c>
      <c r="BD360" s="314" t="str">
        <f t="shared" si="585"/>
        <v/>
      </c>
      <c r="BE360" s="314" t="e">
        <f>IF($J360="",#N/A,SUM(BD$4:BD360))</f>
        <v>#N/A</v>
      </c>
      <c r="BF360" s="315" t="str">
        <f t="shared" si="586"/>
        <v/>
      </c>
      <c r="BG360" s="315" t="e">
        <f>IF($J360="",#N/A,SUM(BF$4:BF360))</f>
        <v>#N/A</v>
      </c>
      <c r="BH360" s="315" t="e">
        <f>IF($J360="",#N/A,SUM(BF$4:BF360,BD$4:BD360,BB$4:BB360))</f>
        <v>#N/A</v>
      </c>
      <c r="BI360" s="304" t="str">
        <f t="shared" si="587"/>
        <v/>
      </c>
      <c r="BJ360" s="313" t="e">
        <f>IF($J360="",#N/A,SUM(BI$4:BI360))</f>
        <v>#N/A</v>
      </c>
      <c r="BK360" s="314" t="str">
        <f t="shared" si="588"/>
        <v/>
      </c>
      <c r="BL360" s="314" t="e">
        <f>IF($J360="",#N/A,SUM(BK$4:BK360))</f>
        <v>#N/A</v>
      </c>
      <c r="BM360" s="315" t="str">
        <f t="shared" si="589"/>
        <v/>
      </c>
      <c r="BN360" s="315" t="e">
        <f>IF($J360="",#N/A,SUM(BM$4:BM360))</f>
        <v>#N/A</v>
      </c>
      <c r="BO360" s="315" t="e">
        <f>IF($J360="",#N/A,SUM(BM$4:BM360,BK$4:BK360,BI$4:BI360))</f>
        <v>#N/A</v>
      </c>
      <c r="BP360" s="304" t="str">
        <f t="shared" si="590"/>
        <v/>
      </c>
      <c r="BQ360" s="313" t="e">
        <f>IF($J360="",#N/A,SUM(BP$4:BP360))</f>
        <v>#N/A</v>
      </c>
      <c r="BR360" s="314" t="str">
        <f t="shared" si="591"/>
        <v/>
      </c>
      <c r="BS360" s="314" t="e">
        <f>IF($J360="",#N/A,SUM(BR$4:BR360))</f>
        <v>#N/A</v>
      </c>
      <c r="BT360" s="315" t="str">
        <f t="shared" si="592"/>
        <v/>
      </c>
      <c r="BU360" s="315" t="e">
        <f>IF($J360="",#N/A,SUM(BT$4:BT360))</f>
        <v>#N/A</v>
      </c>
      <c r="BV360" s="315" t="e">
        <f>IF($J360="",#N/A,SUM(BT$4:BT360,BR$4:BR360,BP$4:BP360))</f>
        <v>#N/A</v>
      </c>
      <c r="BW360" s="304" t="str">
        <f t="shared" si="593"/>
        <v/>
      </c>
      <c r="BX360" s="313" t="e">
        <f>IF($J360="",#N/A,SUM(BW$4:BW360))</f>
        <v>#N/A</v>
      </c>
      <c r="BY360" s="314" t="str">
        <f t="shared" si="594"/>
        <v/>
      </c>
      <c r="BZ360" s="314" t="e">
        <f>IF($J360="",#N/A,SUM(BY$4:BY360))</f>
        <v>#N/A</v>
      </c>
      <c r="CA360" s="315" t="str">
        <f t="shared" si="595"/>
        <v/>
      </c>
      <c r="CB360" s="315" t="e">
        <f>IF($J360="",#N/A,SUM(CA$4:CA360))</f>
        <v>#N/A</v>
      </c>
      <c r="CC360" s="315" t="e">
        <f>IF($J360="",#N/A,SUM(CA$4:CA360,BY$4:BY360,BW$4:BW360))</f>
        <v>#N/A</v>
      </c>
      <c r="CD360" s="304" t="str">
        <f t="shared" si="596"/>
        <v/>
      </c>
      <c r="CE360" s="313" t="e">
        <f>IF($J360="",#N/A,SUM(CD$4:CD360))</f>
        <v>#N/A</v>
      </c>
      <c r="CF360" s="314" t="str">
        <f t="shared" si="597"/>
        <v/>
      </c>
      <c r="CG360" s="314" t="e">
        <f>IF($J360="",#N/A,SUM(CF$4:CF360))</f>
        <v>#N/A</v>
      </c>
      <c r="CH360" s="315" t="str">
        <f t="shared" si="598"/>
        <v/>
      </c>
      <c r="CI360" s="315" t="e">
        <f>IF($J360="",#N/A,SUM(CH$4:CH360))</f>
        <v>#N/A</v>
      </c>
      <c r="CJ360" s="315" t="e">
        <f>IF($J360="",#N/A,SUM(CH$4:CH360,CF$4:CF360,CD$4:CD360))</f>
        <v>#N/A</v>
      </c>
      <c r="CK360" s="304" t="str">
        <f t="shared" si="599"/>
        <v/>
      </c>
      <c r="CL360" s="313" t="e">
        <f>IF($J360="",#N/A,SUM(CK$4:CK360))</f>
        <v>#N/A</v>
      </c>
      <c r="CM360" s="314" t="str">
        <f t="shared" si="600"/>
        <v/>
      </c>
      <c r="CN360" s="314" t="e">
        <f>IF($J360="",#N/A,SUM(CM$4:CM360))</f>
        <v>#N/A</v>
      </c>
      <c r="CO360" s="315" t="str">
        <f t="shared" si="601"/>
        <v/>
      </c>
      <c r="CP360" s="315" t="e">
        <f>IF($J360="",#N/A,SUM(CO$4:CO360))</f>
        <v>#N/A</v>
      </c>
      <c r="CQ360" s="315" t="e">
        <f>IF($J360="",#N/A,SUM(CO$4:CO360,CM$4:CM360,CK$4:CK360))</f>
        <v>#N/A</v>
      </c>
      <c r="CR360" s="304" t="str">
        <f t="shared" si="602"/>
        <v/>
      </c>
      <c r="CS360" s="313" t="e">
        <f>IF($J360="",#N/A,SUM(CR$4:CR360))</f>
        <v>#N/A</v>
      </c>
      <c r="CT360" s="314" t="str">
        <f t="shared" si="603"/>
        <v/>
      </c>
      <c r="CU360" s="314" t="e">
        <f>IF($J360="",#N/A,SUM(CT$4:CT360))</f>
        <v>#N/A</v>
      </c>
      <c r="CV360" s="315" t="str">
        <f t="shared" si="604"/>
        <v/>
      </c>
      <c r="CW360" s="315" t="e">
        <f>IF($J360="",#N/A,SUM(CV$4:CV360))</f>
        <v>#N/A</v>
      </c>
      <c r="CX360" s="315" t="e">
        <f>IF($J360="",#N/A,SUM(CV$4:CV360,CT$4:CT360,CR$4:CR360))</f>
        <v>#N/A</v>
      </c>
      <c r="CY360" s="304" t="str">
        <f t="shared" si="605"/>
        <v/>
      </c>
      <c r="CZ360" s="313" t="e">
        <f>IF($J360="",#N/A,SUM(CY$4:CY360))</f>
        <v>#N/A</v>
      </c>
      <c r="DA360" s="314" t="str">
        <f t="shared" si="606"/>
        <v/>
      </c>
      <c r="DB360" s="314" t="e">
        <f>IF($J360="",#N/A,SUM(DA$4:DA360))</f>
        <v>#N/A</v>
      </c>
      <c r="DC360" s="315" t="str">
        <f t="shared" si="607"/>
        <v/>
      </c>
      <c r="DD360" s="315" t="e">
        <f>IF($J360="",#N/A,SUM(DC$4:DC360))</f>
        <v>#N/A</v>
      </c>
      <c r="DE360" s="315" t="e">
        <f>IF($J360="",#N/A,SUM(DC$4:DC360,DA$4:DA360,CY$4:CY360))</f>
        <v>#N/A</v>
      </c>
      <c r="DF360" s="304" t="str">
        <f t="shared" si="608"/>
        <v/>
      </c>
      <c r="DG360" s="313" t="e">
        <f>IF($J360="",#N/A,SUM(DF$4:DF360))</f>
        <v>#N/A</v>
      </c>
      <c r="DH360" s="314" t="str">
        <f t="shared" si="609"/>
        <v/>
      </c>
      <c r="DI360" s="314" t="e">
        <f>IF($J360="",#N/A,SUM(DH$4:DH360))</f>
        <v>#N/A</v>
      </c>
      <c r="DJ360" s="315" t="str">
        <f t="shared" si="610"/>
        <v/>
      </c>
      <c r="DK360" s="315" t="e">
        <f>IF($J360="",#N/A,SUM(DJ$4:DJ360))</f>
        <v>#N/A</v>
      </c>
      <c r="DL360" s="315" t="e">
        <f>IF($J360="",#N/A,SUM(DJ$4:DJ360,DH$4:DH360,DF$4:DF360))</f>
        <v>#N/A</v>
      </c>
      <c r="DM360" s="304" t="str">
        <f t="shared" si="611"/>
        <v/>
      </c>
      <c r="DN360" s="313" t="e">
        <f>IF($J360="",#N/A,SUM(DM$4:DM360))</f>
        <v>#N/A</v>
      </c>
      <c r="DO360" s="314" t="str">
        <f t="shared" si="612"/>
        <v/>
      </c>
      <c r="DP360" s="314" t="e">
        <f>IF($J360="",#N/A,SUM(DO$4:DO360))</f>
        <v>#N/A</v>
      </c>
      <c r="DQ360" s="315" t="str">
        <f t="shared" si="613"/>
        <v/>
      </c>
      <c r="DR360" s="315" t="e">
        <f>IF($J360="",#N/A,SUM(DQ$4:DQ360))</f>
        <v>#N/A</v>
      </c>
      <c r="DS360" s="315" t="e">
        <f>IF($J360="",#N/A,SUM(DQ$4:DQ360,DO$4:DO360,DM$4:DM360))</f>
        <v>#N/A</v>
      </c>
      <c r="DT360" s="304" t="str">
        <f t="shared" si="614"/>
        <v/>
      </c>
      <c r="DU360" s="313" t="e">
        <f>IF($J360="",#N/A,SUM(DT$4:DT360))</f>
        <v>#N/A</v>
      </c>
      <c r="DV360" s="314" t="str">
        <f t="shared" si="615"/>
        <v/>
      </c>
      <c r="DW360" s="314" t="e">
        <f>IF($J360="",#N/A,SUM(DV$4:DV360))</f>
        <v>#N/A</v>
      </c>
      <c r="DX360" s="315" t="str">
        <f t="shared" si="616"/>
        <v/>
      </c>
      <c r="DY360" s="315" t="e">
        <f>IF($J360="",#N/A,SUM(DX$4:DX360))</f>
        <v>#N/A</v>
      </c>
      <c r="DZ360" s="315" t="e">
        <f>IF($J360="",#N/A,SUM(DX$4:DX360,DV$4:DV360,DT$4:DT360))</f>
        <v>#N/A</v>
      </c>
      <c r="EA360" s="304" t="str">
        <f t="shared" si="617"/>
        <v/>
      </c>
      <c r="EB360" s="313" t="e">
        <f>IF($J360="",#N/A,SUM(EA$4:EA360))</f>
        <v>#N/A</v>
      </c>
      <c r="EC360" s="314" t="str">
        <f t="shared" si="618"/>
        <v/>
      </c>
      <c r="ED360" s="314" t="e">
        <f>IF($J360="",#N/A,SUM(EC$4:EC360))</f>
        <v>#N/A</v>
      </c>
      <c r="EE360" s="315" t="str">
        <f t="shared" si="619"/>
        <v/>
      </c>
      <c r="EF360" s="315" t="e">
        <f>IF($J360="",#N/A,SUM(EE$4:EE360))</f>
        <v>#N/A</v>
      </c>
      <c r="EG360" s="315" t="e">
        <f>IF($J360="",#N/A,SUM(EE$4:EE360,EC$4:EC360,EA$4:EA360))</f>
        <v>#N/A</v>
      </c>
      <c r="EH360" s="130">
        <f t="shared" si="620"/>
        <v>51.240000000000009</v>
      </c>
      <c r="EI360" s="63">
        <f>IF(EH360="",#N/A,SUM($EH$4:EH360))</f>
        <v>1306.1852526431344</v>
      </c>
      <c r="EJ360" s="223" t="e">
        <f t="shared" si="621"/>
        <v>#N/A</v>
      </c>
      <c r="EK360" s="63" t="e">
        <f>IF($GZ360="",#N/A,SUM(EJ$4:EJ360))</f>
        <v>#N/A</v>
      </c>
      <c r="EL360" s="60">
        <f t="shared" si="651"/>
        <v>0.51607445008460251</v>
      </c>
      <c r="EM360" s="60">
        <f>IF(EL360="",NA(),SUM($EL$4:EL360))</f>
        <v>29.446367115042808</v>
      </c>
      <c r="EN360" s="60" t="str">
        <f t="shared" si="622"/>
        <v/>
      </c>
      <c r="EO360" s="60" t="e">
        <f>IF(EN360="",NA(),SUM($EN$4:EN360))</f>
        <v>#N/A</v>
      </c>
      <c r="EP360" s="60">
        <f t="shared" si="623"/>
        <v>0.51607445008460251</v>
      </c>
      <c r="EQ360" s="60">
        <f>IF(EP360="",NA(),SUM($EP$4:EP360))</f>
        <v>9.118415330296898</v>
      </c>
      <c r="ER360" s="60" t="str">
        <f t="shared" si="624"/>
        <v/>
      </c>
      <c r="ES360" s="60" t="e">
        <f>IF(ER360="",NA(),SUM($ER$4:ER360))</f>
        <v>#N/A</v>
      </c>
      <c r="ET360" s="60" t="str">
        <f t="shared" si="625"/>
        <v/>
      </c>
      <c r="EU360" s="60" t="e">
        <f>IF(ET360="",NA(),SUM($ET$4:ET360))</f>
        <v>#N/A</v>
      </c>
      <c r="EV360" s="60" t="str">
        <f t="shared" si="626"/>
        <v/>
      </c>
      <c r="EW360" s="60" t="e">
        <f>IF(EV360="",NA(),SUM($EV$4:EV360))</f>
        <v>#N/A</v>
      </c>
      <c r="EX360" s="60" t="str">
        <f t="shared" si="627"/>
        <v/>
      </c>
      <c r="EY360" s="60" t="e">
        <f>IF(EX360="",NA(),SUM($EX$4:EX360))</f>
        <v>#N/A</v>
      </c>
      <c r="EZ360" s="60" t="str">
        <f t="shared" si="628"/>
        <v/>
      </c>
      <c r="FA360" s="60" t="e">
        <f>IF(EZ360="",NA(),SUM($EZ$4:EZ360))</f>
        <v>#N/A</v>
      </c>
      <c r="FB360" s="246" t="str">
        <f t="shared" si="652"/>
        <v/>
      </c>
      <c r="FC360" s="246" t="e">
        <f>IF($FB360="",#N/A,SUM(FB$4:$FB360))</f>
        <v>#N/A</v>
      </c>
      <c r="FD360" s="60" t="str">
        <f t="shared" si="629"/>
        <v/>
      </c>
      <c r="FE360" s="60" t="e">
        <f>IF($FD360="",#N/A,SUM($FD$4:FD360))</f>
        <v>#N/A</v>
      </c>
      <c r="FF360" s="60" t="str">
        <f t="shared" si="630"/>
        <v/>
      </c>
      <c r="FG360" s="60" t="e">
        <f>IF($FF360="",#N/A,SUM($FF$4:FF360))</f>
        <v>#N/A</v>
      </c>
      <c r="FH360" s="60" t="str">
        <f t="shared" si="631"/>
        <v/>
      </c>
      <c r="FI360" s="60" t="e">
        <f>IF($FH360="",#N/A,SUM($FH$4:FH360))</f>
        <v>#N/A</v>
      </c>
      <c r="FJ360" s="60">
        <f t="shared" si="632"/>
        <v>0.47800338409475496</v>
      </c>
      <c r="FK360" s="60">
        <f>IF($FJ360="",#N/A,SUM($FJ$4:FJ360))</f>
        <v>-2.0362153902954772</v>
      </c>
      <c r="FL360" s="60" t="str">
        <f t="shared" si="633"/>
        <v/>
      </c>
      <c r="FM360" s="60" t="e">
        <f>IF($FL360="",#N/A,SUM($FL$4:FL360))</f>
        <v>#N/A</v>
      </c>
      <c r="FN360" s="82">
        <f t="shared" si="634"/>
        <v>0.99407783417935747</v>
      </c>
      <c r="FO360" s="82">
        <f>IF($FN360="",#N/A,SUM(FN$4:$FN360))</f>
        <v>50.111141647527795</v>
      </c>
      <c r="FP360" s="82">
        <f t="shared" si="653"/>
        <v>0.51607445008460251</v>
      </c>
      <c r="FQ360" s="246">
        <f>IF($EH360="",#N/A,SUM($FP$4:FP360))</f>
        <v>54.125886500854293</v>
      </c>
      <c r="FR360" s="82">
        <f>IFERROR(FQ360/COUNTA($J$4:J360),#N/A)</f>
        <v>0.15161312745337338</v>
      </c>
      <c r="FS360" s="82">
        <f t="shared" si="554"/>
        <v>-7.2682009372606162E-3</v>
      </c>
      <c r="FT360" s="82">
        <f t="shared" si="555"/>
        <v>0.1801541526289509</v>
      </c>
      <c r="FU360" s="338">
        <f t="shared" si="658"/>
        <v>27.925105148725088</v>
      </c>
      <c r="FV360" s="57" t="str">
        <f t="shared" si="659"/>
        <v>SW</v>
      </c>
      <c r="FW360" s="57" t="s">
        <v>2732</v>
      </c>
      <c r="FX360" s="57" t="str">
        <f t="shared" si="635"/>
        <v/>
      </c>
      <c r="FY360" s="57" t="str">
        <f t="shared" si="636"/>
        <v/>
      </c>
      <c r="FZ360" s="57">
        <f t="shared" si="637"/>
        <v>1</v>
      </c>
      <c r="GA360" s="57" t="str">
        <f t="shared" si="638"/>
        <v>Long</v>
      </c>
      <c r="GB360" s="57" t="str">
        <f t="shared" si="639"/>
        <v/>
      </c>
      <c r="GC360" s="57" t="str">
        <f t="shared" si="640"/>
        <v/>
      </c>
      <c r="GD360" s="57" t="str">
        <f t="shared" si="641"/>
        <v/>
      </c>
      <c r="GE360" s="62">
        <f t="shared" si="557"/>
        <v>39.4</v>
      </c>
      <c r="GF360" s="62" t="s">
        <v>2779</v>
      </c>
      <c r="GG360" s="199">
        <v>42</v>
      </c>
      <c r="GH360" s="207">
        <f t="shared" si="642"/>
        <v>1654.8</v>
      </c>
      <c r="GI360" s="199">
        <v>42</v>
      </c>
      <c r="GJ360" s="200">
        <v>40.9</v>
      </c>
      <c r="GK360" s="63">
        <f t="shared" si="643"/>
        <v>63</v>
      </c>
      <c r="GL360" s="63">
        <f t="shared" si="558"/>
        <v>98.700000000000045</v>
      </c>
      <c r="GM360" s="82">
        <f t="shared" si="644"/>
        <v>0.99407783417935747</v>
      </c>
      <c r="GN360" s="82">
        <f>IF($GZ360="",#N/A,SUM(GM$4:GM360))</f>
        <v>9.1189419397665912</v>
      </c>
      <c r="GO360" s="82" t="str">
        <f t="shared" si="645"/>
        <v/>
      </c>
      <c r="GP360" s="82">
        <f>IF($GZ360="",#N/A,SUM(GO$4:GO360))</f>
        <v>9.3330159787541831</v>
      </c>
      <c r="GQ360" s="82" t="str">
        <f t="shared" si="646"/>
        <v/>
      </c>
      <c r="GR360" s="82">
        <f>IF($GZ360="",#N/A,SUM(GQ$4:GQ360))</f>
        <v>31.03334677456467</v>
      </c>
      <c r="GS360" s="63" t="e">
        <f t="shared" si="654"/>
        <v>#N/A</v>
      </c>
      <c r="GT360" s="63" t="e">
        <f>IF($GZ360="",#N/A,SUM(GS$4:GS360))</f>
        <v>#N/A</v>
      </c>
      <c r="GU360" s="63" t="str">
        <f t="shared" si="655"/>
        <v/>
      </c>
      <c r="GV360" s="63" t="e">
        <f>IF($GZ360="",#N/A,SUM(GU$4:GU360))</f>
        <v>#N/A</v>
      </c>
      <c r="GW360" s="63" t="str">
        <f t="shared" si="656"/>
        <v/>
      </c>
      <c r="GX360" s="63" t="e">
        <f>IF($GZ360="",#N/A,SUM(GW$4:GW360))</f>
        <v>#N/A</v>
      </c>
      <c r="GY360" s="63" t="e">
        <f>IF(EJ360="",#N/A,SUM($EJ$4:EJ360))</f>
        <v>#N/A</v>
      </c>
      <c r="GZ360" s="159">
        <v>41.75</v>
      </c>
      <c r="HA360" s="63">
        <f t="shared" si="647"/>
        <v>47.460000000000036</v>
      </c>
      <c r="HB360" s="62" t="s">
        <v>2538</v>
      </c>
      <c r="HC360" s="60">
        <f>IFERROR(VLOOKUP(E360,Expectancy!$P$4:$S$19,1+C360,FALSE),"")</f>
        <v>0.48685636958953199</v>
      </c>
      <c r="HD360" s="82">
        <f t="shared" si="648"/>
        <v>0.63451776649746194</v>
      </c>
      <c r="HE360" s="138">
        <f>IF(HD360="",#N/A,SUM($HD$4:HD360))</f>
        <v>11.670781352129204</v>
      </c>
      <c r="HF360" s="85">
        <f>IF(HD360="",#N/A,IF(HB360="Skip",#N/A,SUM($HG$4:HG360)))</f>
        <v>456.93657921915496</v>
      </c>
      <c r="HG360" s="63">
        <f t="shared" si="649"/>
        <v>63</v>
      </c>
      <c r="HH360" s="82">
        <f t="shared" si="650"/>
        <v>0.99407783417935747</v>
      </c>
    </row>
    <row r="361" spans="1:216" x14ac:dyDescent="0.25">
      <c r="A361" s="57" t="s">
        <v>1603</v>
      </c>
      <c r="B361" s="58" t="s">
        <v>5247</v>
      </c>
      <c r="C361" s="386">
        <f t="shared" si="561"/>
        <v>2</v>
      </c>
      <c r="D361" s="372" t="str">
        <f>_xlfn.XLOOKUP(A361,[1]SP500!$A$2:$A$502,[1]SP500!$D$2:$D$502,"N")</f>
        <v>Y</v>
      </c>
      <c r="E361" s="57" t="str">
        <f>_xlfn.XLOOKUP(A361,[1]SP500!$A$2:$A$655,[1]SP500!$B$2:$B$655)</f>
        <v>XLY</v>
      </c>
      <c r="F361" s="59">
        <v>45708</v>
      </c>
      <c r="G361" s="57" t="str">
        <f t="shared" si="562"/>
        <v>BMO</v>
      </c>
      <c r="H361" s="57" t="str">
        <f t="shared" si="563"/>
        <v>s</v>
      </c>
      <c r="I361" s="159">
        <v>61.14</v>
      </c>
      <c r="J361" s="159">
        <v>64.099999999999994</v>
      </c>
      <c r="K361" s="61">
        <f t="shared" si="564"/>
        <v>4.8413477265292666E-2</v>
      </c>
      <c r="L361" s="87">
        <f t="shared" si="565"/>
        <v>-79.919999999999845</v>
      </c>
      <c r="M361" s="130">
        <f t="shared" si="556"/>
        <v>-2.9700000000000273</v>
      </c>
      <c r="N361" s="169" t="str">
        <f t="shared" si="566"/>
        <v/>
      </c>
      <c r="O361" s="169">
        <f>IF($J361="",#N/A,SUM($N$4:N361))</f>
        <v>139.53671935422449</v>
      </c>
      <c r="P361" s="174">
        <f t="shared" si="567"/>
        <v>-79.919999999999845</v>
      </c>
      <c r="Q361" s="174">
        <f>IF($J361="",#N/A,SUM($P$4:P361))</f>
        <v>435.28999224504321</v>
      </c>
      <c r="R361" s="178" t="str">
        <f t="shared" si="568"/>
        <v/>
      </c>
      <c r="S361" s="178">
        <f>IF($J361="",#N/A,SUM($R$4:R361))</f>
        <v>651.43854104386673</v>
      </c>
      <c r="T361" s="290" t="str">
        <f t="shared" si="569"/>
        <v/>
      </c>
      <c r="U361" s="290">
        <f>IF($J361="",#N/A,SUM($T$4:T361))</f>
        <v>15.103783024826967</v>
      </c>
      <c r="V361" s="291">
        <f t="shared" si="570"/>
        <v>-0.80689128775487806</v>
      </c>
      <c r="W361" s="291">
        <f>IF($J361="",#N/A,SUM($V$4:V361))</f>
        <v>23.925757159446615</v>
      </c>
      <c r="X361" s="292" t="str">
        <f t="shared" si="571"/>
        <v/>
      </c>
      <c r="Y361" s="292">
        <f>IF($J361="",#N/A,SUM($X$4:X361))</f>
        <v>14.289455028825854</v>
      </c>
      <c r="Z361" s="304" t="str">
        <f t="shared" si="572"/>
        <v/>
      </c>
      <c r="AA361" s="313" t="e">
        <f>IF($J361="",#N/A,SUM(Z$4:Z361))</f>
        <v>#N/A</v>
      </c>
      <c r="AB361" s="314" t="str">
        <f t="shared" si="573"/>
        <v/>
      </c>
      <c r="AC361" s="314" t="e">
        <f>IF($J361="",#N/A,SUM(AB$4:AB361))</f>
        <v>#N/A</v>
      </c>
      <c r="AD361" s="315" t="str">
        <f t="shared" si="574"/>
        <v/>
      </c>
      <c r="AE361" s="315" t="e">
        <f>IF($J361="",#N/A,SUM(AD$4:AD361))</f>
        <v>#N/A</v>
      </c>
      <c r="AF361" s="315" t="e">
        <f>IF($J361="",#N/A,SUM(AD$4:AD361,AB$4:AB361,Z$4:Z361))</f>
        <v>#N/A</v>
      </c>
      <c r="AG361" s="304" t="str">
        <f t="shared" si="575"/>
        <v/>
      </c>
      <c r="AH361" s="313" t="e">
        <f>IF($J361="",#N/A,SUM(AG$4:AG361))</f>
        <v>#N/A</v>
      </c>
      <c r="AI361" s="314" t="str">
        <f t="shared" si="576"/>
        <v/>
      </c>
      <c r="AJ361" s="314" t="e">
        <f>IF($J361="",#N/A,SUM(AI$4:AI361))</f>
        <v>#N/A</v>
      </c>
      <c r="AK361" s="315" t="str">
        <f t="shared" si="577"/>
        <v/>
      </c>
      <c r="AL361" s="315" t="e">
        <f>IF($J361="",#N/A,SUM(AK$4:AK361))</f>
        <v>#N/A</v>
      </c>
      <c r="AM361" s="315" t="e">
        <f>IF($J361="",#N/A,SUM(AK$4:AK361,AI$4:AI361,AG$4:AG361))</f>
        <v>#N/A</v>
      </c>
      <c r="AN361" s="304" t="str">
        <f t="shared" si="578"/>
        <v/>
      </c>
      <c r="AO361" s="313" t="e">
        <f>IF($J361="",#N/A,SUM(AN$4:AN361))</f>
        <v>#N/A</v>
      </c>
      <c r="AP361" s="314">
        <f t="shared" si="579"/>
        <v>-0.80689128775487806</v>
      </c>
      <c r="AQ361" s="314" t="e">
        <f>IF($J361="",#N/A,SUM(AP$4:AP361))</f>
        <v>#N/A</v>
      </c>
      <c r="AR361" s="315" t="str">
        <f t="shared" si="580"/>
        <v/>
      </c>
      <c r="AS361" s="315" t="e">
        <f>IF($J361="",#N/A,SUM(AR$4:AR361))</f>
        <v>#N/A</v>
      </c>
      <c r="AT361" s="315" t="e">
        <f>IF($J361="",#N/A,SUM(AR$4:AR361,AP$4:AP361,AN$4:AN361))</f>
        <v>#N/A</v>
      </c>
      <c r="AU361" s="304" t="str">
        <f t="shared" si="581"/>
        <v/>
      </c>
      <c r="AV361" s="313" t="e">
        <f>IF($J361="",#N/A,SUM(AU$4:AU361))</f>
        <v>#N/A</v>
      </c>
      <c r="AW361" s="314" t="str">
        <f t="shared" si="582"/>
        <v/>
      </c>
      <c r="AX361" s="314" t="e">
        <f>IF($J361="",#N/A,SUM(AW$4:AW361))</f>
        <v>#N/A</v>
      </c>
      <c r="AY361" s="315" t="str">
        <f t="shared" si="583"/>
        <v/>
      </c>
      <c r="AZ361" s="315" t="e">
        <f>IF($J361="",#N/A,SUM(AY$4:AY361))</f>
        <v>#N/A</v>
      </c>
      <c r="BA361" s="315" t="e">
        <f>IF($J361="",#N/A,SUM(AY$4:AY361,AW$4:AW361,AU$4:AU361))</f>
        <v>#N/A</v>
      </c>
      <c r="BB361" s="304" t="str">
        <f t="shared" si="584"/>
        <v/>
      </c>
      <c r="BC361" s="313" t="e">
        <f>IF($J361="",#N/A,SUM(BB$4:BB361))</f>
        <v>#N/A</v>
      </c>
      <c r="BD361" s="314" t="str">
        <f t="shared" si="585"/>
        <v/>
      </c>
      <c r="BE361" s="314" t="e">
        <f>IF($J361="",#N/A,SUM(BD$4:BD361))</f>
        <v>#N/A</v>
      </c>
      <c r="BF361" s="315" t="str">
        <f t="shared" si="586"/>
        <v/>
      </c>
      <c r="BG361" s="315" t="e">
        <f>IF($J361="",#N/A,SUM(BF$4:BF361))</f>
        <v>#N/A</v>
      </c>
      <c r="BH361" s="315" t="e">
        <f>IF($J361="",#N/A,SUM(BF$4:BF361,BD$4:BD361,BB$4:BB361))</f>
        <v>#N/A</v>
      </c>
      <c r="BI361" s="304" t="str">
        <f t="shared" si="587"/>
        <v/>
      </c>
      <c r="BJ361" s="313" t="e">
        <f>IF($J361="",#N/A,SUM(BI$4:BI361))</f>
        <v>#N/A</v>
      </c>
      <c r="BK361" s="314" t="str">
        <f t="shared" si="588"/>
        <v/>
      </c>
      <c r="BL361" s="314" t="e">
        <f>IF($J361="",#N/A,SUM(BK$4:BK361))</f>
        <v>#N/A</v>
      </c>
      <c r="BM361" s="315" t="str">
        <f t="shared" si="589"/>
        <v/>
      </c>
      <c r="BN361" s="315" t="e">
        <f>IF($J361="",#N/A,SUM(BM$4:BM361))</f>
        <v>#N/A</v>
      </c>
      <c r="BO361" s="315" t="e">
        <f>IF($J361="",#N/A,SUM(BM$4:BM361,BK$4:BK361,BI$4:BI361))</f>
        <v>#N/A</v>
      </c>
      <c r="BP361" s="304" t="str">
        <f t="shared" si="590"/>
        <v/>
      </c>
      <c r="BQ361" s="313" t="e">
        <f>IF($J361="",#N/A,SUM(BP$4:BP361))</f>
        <v>#N/A</v>
      </c>
      <c r="BR361" s="314" t="str">
        <f t="shared" si="591"/>
        <v/>
      </c>
      <c r="BS361" s="314" t="e">
        <f>IF($J361="",#N/A,SUM(BR$4:BR361))</f>
        <v>#N/A</v>
      </c>
      <c r="BT361" s="315" t="str">
        <f t="shared" si="592"/>
        <v/>
      </c>
      <c r="BU361" s="315" t="e">
        <f>IF($J361="",#N/A,SUM(BT$4:BT361))</f>
        <v>#N/A</v>
      </c>
      <c r="BV361" s="315" t="e">
        <f>IF($J361="",#N/A,SUM(BT$4:BT361,BR$4:BR361,BP$4:BP361))</f>
        <v>#N/A</v>
      </c>
      <c r="BW361" s="304" t="str">
        <f t="shared" si="593"/>
        <v/>
      </c>
      <c r="BX361" s="313" t="e">
        <f>IF($J361="",#N/A,SUM(BW$4:BW361))</f>
        <v>#N/A</v>
      </c>
      <c r="BY361" s="314" t="str">
        <f t="shared" si="594"/>
        <v/>
      </c>
      <c r="BZ361" s="314" t="e">
        <f>IF($J361="",#N/A,SUM(BY$4:BY361))</f>
        <v>#N/A</v>
      </c>
      <c r="CA361" s="315" t="str">
        <f t="shared" si="595"/>
        <v/>
      </c>
      <c r="CB361" s="315" t="e">
        <f>IF($J361="",#N/A,SUM(CA$4:CA361))</f>
        <v>#N/A</v>
      </c>
      <c r="CC361" s="315" t="e">
        <f>IF($J361="",#N/A,SUM(CA$4:CA361,BY$4:BY361,BW$4:BW361))</f>
        <v>#N/A</v>
      </c>
      <c r="CD361" s="304" t="str">
        <f t="shared" si="596"/>
        <v/>
      </c>
      <c r="CE361" s="313" t="e">
        <f>IF($J361="",#N/A,SUM(CD$4:CD361))</f>
        <v>#N/A</v>
      </c>
      <c r="CF361" s="314" t="str">
        <f t="shared" si="597"/>
        <v/>
      </c>
      <c r="CG361" s="314" t="e">
        <f>IF($J361="",#N/A,SUM(CF$4:CF361))</f>
        <v>#N/A</v>
      </c>
      <c r="CH361" s="315" t="str">
        <f t="shared" si="598"/>
        <v/>
      </c>
      <c r="CI361" s="315" t="e">
        <f>IF($J361="",#N/A,SUM(CH$4:CH361))</f>
        <v>#N/A</v>
      </c>
      <c r="CJ361" s="315" t="e">
        <f>IF($J361="",#N/A,SUM(CH$4:CH361,CF$4:CF361,CD$4:CD361))</f>
        <v>#N/A</v>
      </c>
      <c r="CK361" s="304" t="str">
        <f t="shared" si="599"/>
        <v/>
      </c>
      <c r="CL361" s="313" t="e">
        <f>IF($J361="",#N/A,SUM(CK$4:CK361))</f>
        <v>#N/A</v>
      </c>
      <c r="CM361" s="314" t="str">
        <f t="shared" si="600"/>
        <v/>
      </c>
      <c r="CN361" s="314" t="e">
        <f>IF($J361="",#N/A,SUM(CM$4:CM361))</f>
        <v>#N/A</v>
      </c>
      <c r="CO361" s="315" t="str">
        <f t="shared" si="601"/>
        <v/>
      </c>
      <c r="CP361" s="315" t="e">
        <f>IF($J361="",#N/A,SUM(CO$4:CO361))</f>
        <v>#N/A</v>
      </c>
      <c r="CQ361" s="315" t="e">
        <f>IF($J361="",#N/A,SUM(CO$4:CO361,CM$4:CM361,CK$4:CK361))</f>
        <v>#N/A</v>
      </c>
      <c r="CR361" s="304" t="str">
        <f t="shared" si="602"/>
        <v/>
      </c>
      <c r="CS361" s="313" t="e">
        <f>IF($J361="",#N/A,SUM(CR$4:CR361))</f>
        <v>#N/A</v>
      </c>
      <c r="CT361" s="314" t="str">
        <f t="shared" si="603"/>
        <v/>
      </c>
      <c r="CU361" s="314" t="e">
        <f>IF($J361="",#N/A,SUM(CT$4:CT361))</f>
        <v>#N/A</v>
      </c>
      <c r="CV361" s="315" t="str">
        <f t="shared" si="604"/>
        <v/>
      </c>
      <c r="CW361" s="315" t="e">
        <f>IF($J361="",#N/A,SUM(CV$4:CV361))</f>
        <v>#N/A</v>
      </c>
      <c r="CX361" s="315" t="e">
        <f>IF($J361="",#N/A,SUM(CV$4:CV361,CT$4:CT361,CR$4:CR361))</f>
        <v>#N/A</v>
      </c>
      <c r="CY361" s="304" t="str">
        <f t="shared" si="605"/>
        <v/>
      </c>
      <c r="CZ361" s="313" t="e">
        <f>IF($J361="",#N/A,SUM(CY$4:CY361))</f>
        <v>#N/A</v>
      </c>
      <c r="DA361" s="314" t="str">
        <f t="shared" si="606"/>
        <v/>
      </c>
      <c r="DB361" s="314" t="e">
        <f>IF($J361="",#N/A,SUM(DA$4:DA361))</f>
        <v>#N/A</v>
      </c>
      <c r="DC361" s="315" t="str">
        <f t="shared" si="607"/>
        <v/>
      </c>
      <c r="DD361" s="315" t="e">
        <f>IF($J361="",#N/A,SUM(DC$4:DC361))</f>
        <v>#N/A</v>
      </c>
      <c r="DE361" s="315" t="e">
        <f>IF($J361="",#N/A,SUM(DC$4:DC361,DA$4:DA361,CY$4:CY361))</f>
        <v>#N/A</v>
      </c>
      <c r="DF361" s="304" t="str">
        <f t="shared" si="608"/>
        <v/>
      </c>
      <c r="DG361" s="313" t="e">
        <f>IF($J361="",#N/A,SUM(DF$4:DF361))</f>
        <v>#N/A</v>
      </c>
      <c r="DH361" s="314" t="str">
        <f t="shared" si="609"/>
        <v/>
      </c>
      <c r="DI361" s="314" t="e">
        <f>IF($J361="",#N/A,SUM(DH$4:DH361))</f>
        <v>#N/A</v>
      </c>
      <c r="DJ361" s="315" t="str">
        <f t="shared" si="610"/>
        <v/>
      </c>
      <c r="DK361" s="315" t="e">
        <f>IF($J361="",#N/A,SUM(DJ$4:DJ361))</f>
        <v>#N/A</v>
      </c>
      <c r="DL361" s="315" t="e">
        <f>IF($J361="",#N/A,SUM(DJ$4:DJ361,DH$4:DH361,DF$4:DF361))</f>
        <v>#N/A</v>
      </c>
      <c r="DM361" s="304" t="str">
        <f t="shared" si="611"/>
        <v/>
      </c>
      <c r="DN361" s="313" t="e">
        <f>IF($J361="",#N/A,SUM(DM$4:DM361))</f>
        <v>#N/A</v>
      </c>
      <c r="DO361" s="314" t="str">
        <f t="shared" si="612"/>
        <v/>
      </c>
      <c r="DP361" s="314" t="e">
        <f>IF($J361="",#N/A,SUM(DO$4:DO361))</f>
        <v>#N/A</v>
      </c>
      <c r="DQ361" s="315" t="str">
        <f t="shared" si="613"/>
        <v/>
      </c>
      <c r="DR361" s="315" t="e">
        <f>IF($J361="",#N/A,SUM(DQ$4:DQ361))</f>
        <v>#N/A</v>
      </c>
      <c r="DS361" s="315" t="e">
        <f>IF($J361="",#N/A,SUM(DQ$4:DQ361,DO$4:DO361,DM$4:DM361))</f>
        <v>#N/A</v>
      </c>
      <c r="DT361" s="304" t="str">
        <f t="shared" si="614"/>
        <v/>
      </c>
      <c r="DU361" s="313" t="e">
        <f>IF($J361="",#N/A,SUM(DT$4:DT361))</f>
        <v>#N/A</v>
      </c>
      <c r="DV361" s="314" t="str">
        <f t="shared" si="615"/>
        <v/>
      </c>
      <c r="DW361" s="314" t="e">
        <f>IF($J361="",#N/A,SUM(DV$4:DV361))</f>
        <v>#N/A</v>
      </c>
      <c r="DX361" s="315" t="str">
        <f t="shared" si="616"/>
        <v/>
      </c>
      <c r="DY361" s="315" t="e">
        <f>IF($J361="",#N/A,SUM(DX$4:DX361))</f>
        <v>#N/A</v>
      </c>
      <c r="DZ361" s="315" t="e">
        <f>IF($J361="",#N/A,SUM(DX$4:DX361,DV$4:DV361,DT$4:DT361))</f>
        <v>#N/A</v>
      </c>
      <c r="EA361" s="304" t="str">
        <f t="shared" si="617"/>
        <v/>
      </c>
      <c r="EB361" s="313" t="e">
        <f>IF($J361="",#N/A,SUM(EA$4:EA361))</f>
        <v>#N/A</v>
      </c>
      <c r="EC361" s="314" t="str">
        <f t="shared" si="618"/>
        <v/>
      </c>
      <c r="ED361" s="314" t="e">
        <f>IF($J361="",#N/A,SUM(EC$4:EC361))</f>
        <v>#N/A</v>
      </c>
      <c r="EE361" s="315" t="str">
        <f t="shared" si="619"/>
        <v/>
      </c>
      <c r="EF361" s="315" t="e">
        <f>IF($J361="",#N/A,SUM(EE$4:EE361))</f>
        <v>#N/A</v>
      </c>
      <c r="EG361" s="315" t="e">
        <f>IF($J361="",#N/A,SUM(EE$4:EE361,EC$4:EC361,EA$4:EA361))</f>
        <v>#N/A</v>
      </c>
      <c r="EH361" s="130">
        <f t="shared" si="620"/>
        <v>-79.919999999999845</v>
      </c>
      <c r="EI361" s="63">
        <f>IF(EH361="",#N/A,SUM($EH$4:EH361))</f>
        <v>1226.2652526431345</v>
      </c>
      <c r="EJ361" s="223" t="e">
        <f t="shared" si="621"/>
        <v>#N/A</v>
      </c>
      <c r="EK361" s="63" t="e">
        <f>IF($GZ361="",#N/A,SUM(EJ$4:EJ361))</f>
        <v>#N/A</v>
      </c>
      <c r="EL361" s="60">
        <f t="shared" si="651"/>
        <v>-0.80689128775487806</v>
      </c>
      <c r="EM361" s="60">
        <f>IF(EL361="",NA(),SUM($EL$4:EL361))</f>
        <v>28.639475827287928</v>
      </c>
      <c r="EN361" s="60" t="str">
        <f t="shared" si="622"/>
        <v/>
      </c>
      <c r="EO361" s="60" t="e">
        <f>IF(EN361="",NA(),SUM($EN$4:EN361))</f>
        <v>#N/A</v>
      </c>
      <c r="EP361" s="60" t="str">
        <f t="shared" si="623"/>
        <v/>
      </c>
      <c r="EQ361" s="60" t="e">
        <f>IF(EP361="",NA(),SUM($EP$4:EP361))</f>
        <v>#N/A</v>
      </c>
      <c r="ER361" s="60">
        <f t="shared" si="624"/>
        <v>-0.80689128775487806</v>
      </c>
      <c r="ES361" s="60">
        <f>IF(ER361="",NA(),SUM($ER$4:ER361))</f>
        <v>11.145945175165107</v>
      </c>
      <c r="ET361" s="60" t="str">
        <f t="shared" si="625"/>
        <v/>
      </c>
      <c r="EU361" s="60" t="e">
        <f>IF(ET361="",NA(),SUM($ET$4:ET361))</f>
        <v>#N/A</v>
      </c>
      <c r="EV361" s="60" t="str">
        <f t="shared" si="626"/>
        <v/>
      </c>
      <c r="EW361" s="60" t="e">
        <f>IF(EV361="",NA(),SUM($EV$4:EV361))</f>
        <v>#N/A</v>
      </c>
      <c r="EX361" s="60" t="str">
        <f t="shared" si="627"/>
        <v/>
      </c>
      <c r="EY361" s="60" t="e">
        <f>IF(EX361="",NA(),SUM($EX$4:EX361))</f>
        <v>#N/A</v>
      </c>
      <c r="EZ361" s="60" t="str">
        <f t="shared" si="628"/>
        <v/>
      </c>
      <c r="FA361" s="60" t="e">
        <f>IF(EZ361="",NA(),SUM($EZ$4:EZ361))</f>
        <v>#N/A</v>
      </c>
      <c r="FB361" s="246" t="str">
        <f t="shared" si="652"/>
        <v/>
      </c>
      <c r="FC361" s="246" t="e">
        <f>IF($FB361="",#N/A,SUM(FB$4:$FB361))</f>
        <v>#N/A</v>
      </c>
      <c r="FD361" s="60">
        <f t="shared" si="629"/>
        <v>-1.3520881038054768</v>
      </c>
      <c r="FE361" s="60">
        <f>IF($FD361="",#N/A,SUM($FD$4:FD361))</f>
        <v>1.7711322487428673</v>
      </c>
      <c r="FF361" s="60" t="str">
        <f t="shared" si="630"/>
        <v/>
      </c>
      <c r="FG361" s="60" t="e">
        <f>IF($FF361="",#N/A,SUM($FF$4:FF361))</f>
        <v>#N/A</v>
      </c>
      <c r="FH361" s="60" t="str">
        <f t="shared" si="631"/>
        <v/>
      </c>
      <c r="FI361" s="60" t="e">
        <f>IF($FH361="",#N/A,SUM($FH$4:FH361))</f>
        <v>#N/A</v>
      </c>
      <c r="FJ361" s="60" t="str">
        <f t="shared" si="632"/>
        <v/>
      </c>
      <c r="FK361" s="60" t="e">
        <f>IF($FJ361="",#N/A,SUM($FJ$4:FJ361))</f>
        <v>#N/A</v>
      </c>
      <c r="FL361" s="60" t="str">
        <f t="shared" si="633"/>
        <v/>
      </c>
      <c r="FM361" s="60" t="e">
        <f>IF($FL361="",#N/A,SUM($FL$4:FL361))</f>
        <v>#N/A</v>
      </c>
      <c r="FN361" s="82">
        <f t="shared" si="634"/>
        <v>-2.1589793915603548</v>
      </c>
      <c r="FO361" s="82">
        <f>IF($FN361="",#N/A,SUM(FN$4:$FN361))</f>
        <v>47.952162255967437</v>
      </c>
      <c r="FP361" s="82">
        <f t="shared" si="653"/>
        <v>-0.80689128775487806</v>
      </c>
      <c r="FQ361" s="246">
        <f>IF($EH361="",#N/A,SUM($FP$4:FP361))</f>
        <v>53.318995213099413</v>
      </c>
      <c r="FR361" s="82">
        <f>IFERROR(FQ361/COUNTA($J$4:J361),#N/A)</f>
        <v>0.14893574081871344</v>
      </c>
      <c r="FS361" s="82">
        <f t="shared" si="554"/>
        <v>-0.1277216906946019</v>
      </c>
      <c r="FT361" s="82">
        <f t="shared" si="555"/>
        <v>0.12399326855201764</v>
      </c>
      <c r="FU361" s="338">
        <f t="shared" si="658"/>
        <v>27.955090973607867</v>
      </c>
      <c r="FV361" s="57" t="str">
        <f t="shared" si="659"/>
        <v>Dwn</v>
      </c>
      <c r="FW361" s="57" t="s">
        <v>2734</v>
      </c>
      <c r="FX361" s="57" t="str">
        <f t="shared" si="635"/>
        <v/>
      </c>
      <c r="FY361" s="57">
        <f t="shared" si="636"/>
        <v>1</v>
      </c>
      <c r="FZ361" s="57" t="str">
        <f t="shared" si="637"/>
        <v/>
      </c>
      <c r="GA361" s="57" t="str">
        <f t="shared" si="638"/>
        <v>Short</v>
      </c>
      <c r="GB361" s="57" t="str">
        <f t="shared" si="639"/>
        <v/>
      </c>
      <c r="GC361" s="57" t="str">
        <f t="shared" si="640"/>
        <v/>
      </c>
      <c r="GD361" s="57" t="str">
        <f t="shared" si="641"/>
        <v/>
      </c>
      <c r="GE361" s="62">
        <f t="shared" si="557"/>
        <v>61.14</v>
      </c>
      <c r="GF361" s="62" t="s">
        <v>2780</v>
      </c>
      <c r="GG361" s="199">
        <v>27</v>
      </c>
      <c r="GH361" s="207">
        <f t="shared" si="642"/>
        <v>1650.78</v>
      </c>
      <c r="GI361" s="199">
        <v>27</v>
      </c>
      <c r="GJ361" s="200">
        <v>64.209999999999994</v>
      </c>
      <c r="GK361" s="63">
        <f t="shared" si="643"/>
        <v>-82.889999999999873</v>
      </c>
      <c r="GL361" s="63">
        <f t="shared" si="558"/>
        <v>-213.84000000000015</v>
      </c>
      <c r="GM361" s="82" t="str">
        <f t="shared" si="644"/>
        <v/>
      </c>
      <c r="GN361" s="82">
        <f>IF($GZ361="",#N/A,SUM(GM$4:GM361))</f>
        <v>9.1189419397665912</v>
      </c>
      <c r="GO361" s="82" t="str">
        <f t="shared" si="645"/>
        <v/>
      </c>
      <c r="GP361" s="82">
        <f>IF($GZ361="",#N/A,SUM(GO$4:GO361))</f>
        <v>9.3330159787541831</v>
      </c>
      <c r="GQ361" s="82">
        <f t="shared" si="646"/>
        <v>-2.1589793915603548</v>
      </c>
      <c r="GR361" s="82">
        <f>IF($GZ361="",#N/A,SUM(GQ$4:GQ361))</f>
        <v>28.874367383004316</v>
      </c>
      <c r="GS361" s="63" t="str">
        <f t="shared" si="654"/>
        <v/>
      </c>
      <c r="GT361" s="63" t="e">
        <f>IF($GZ361="",#N/A,SUM(GS$4:GS361))</f>
        <v>#N/A</v>
      </c>
      <c r="GU361" s="63" t="str">
        <f t="shared" si="655"/>
        <v/>
      </c>
      <c r="GV361" s="63" t="e">
        <f>IF($GZ361="",#N/A,SUM(GU$4:GU361))</f>
        <v>#N/A</v>
      </c>
      <c r="GW361" s="63" t="e">
        <f t="shared" si="656"/>
        <v>#N/A</v>
      </c>
      <c r="GX361" s="63" t="e">
        <f>IF($GZ361="",#N/A,SUM(GW$4:GW361))</f>
        <v>#N/A</v>
      </c>
      <c r="GY361" s="63" t="e">
        <f>IF(EJ361="",#N/A,SUM($EJ$4:EJ361))</f>
        <v>#N/A</v>
      </c>
      <c r="GZ361" s="159">
        <v>69.06</v>
      </c>
      <c r="HA361" s="63">
        <f t="shared" si="647"/>
        <v>-133.9200000000003</v>
      </c>
      <c r="HB361" s="62" t="s">
        <v>2538</v>
      </c>
      <c r="HC361" s="60">
        <f>IFERROR(VLOOKUP(E361,Expectancy!$P$4:$S$19,1+C361,FALSE),"")</f>
        <v>-9.4786290791818092E-2</v>
      </c>
      <c r="HD361" s="82">
        <f t="shared" si="648"/>
        <v>-0.83687711263766096</v>
      </c>
      <c r="HE361" s="138">
        <f>IF(HD361="",#N/A,SUM($HD$4:HD361))</f>
        <v>10.833904239491543</v>
      </c>
      <c r="HF361" s="85">
        <f>IF(HD361="",#N/A,IF(HB361="Skip",#N/A,SUM($HG$4:HG361)))</f>
        <v>374.04657921915509</v>
      </c>
      <c r="HG361" s="63">
        <f t="shared" si="649"/>
        <v>-82.889999999999873</v>
      </c>
      <c r="HH361" s="82">
        <f t="shared" si="650"/>
        <v>-2.1589793915603548</v>
      </c>
    </row>
    <row r="362" spans="1:216" x14ac:dyDescent="0.25">
      <c r="A362" s="57" t="s">
        <v>3288</v>
      </c>
      <c r="B362" s="58" t="s">
        <v>5247</v>
      </c>
      <c r="C362" s="386">
        <f t="shared" si="561"/>
        <v>3</v>
      </c>
      <c r="D362" s="372" t="str">
        <f>_xlfn.XLOOKUP(A362,[1]SP500!$A$2:$A$502,[1]SP500!$D$2:$D$502,"N")</f>
        <v>N</v>
      </c>
      <c r="E362" s="57" t="str">
        <f>_xlfn.XLOOKUP(A362,[1]SP500!$A$2:$A$655,[1]SP500!$B$2:$B$655)</f>
        <v>IGV</v>
      </c>
      <c r="F362" s="59">
        <v>45708</v>
      </c>
      <c r="G362" s="57" t="str">
        <f t="shared" si="562"/>
        <v>BMO</v>
      </c>
      <c r="H362" s="57" t="str">
        <f t="shared" si="563"/>
        <v>s</v>
      </c>
      <c r="I362" s="159">
        <v>21.47</v>
      </c>
      <c r="J362" s="159">
        <v>24.68</v>
      </c>
      <c r="K362" s="61">
        <f t="shared" si="564"/>
        <v>0.14951094550535635</v>
      </c>
      <c r="L362" s="87">
        <f t="shared" si="565"/>
        <v>250.38000000000011</v>
      </c>
      <c r="M362" s="130">
        <f t="shared" si="556"/>
        <v>24.960000000000036</v>
      </c>
      <c r="N362" s="169" t="str">
        <f t="shared" si="566"/>
        <v/>
      </c>
      <c r="O362" s="169">
        <f>IF($J362="",#N/A,SUM($N$4:N362))</f>
        <v>139.53671935422449</v>
      </c>
      <c r="P362" s="174" t="str">
        <f t="shared" si="567"/>
        <v/>
      </c>
      <c r="Q362" s="174">
        <f>IF($J362="",#N/A,SUM($P$4:P362))</f>
        <v>435.28999224504321</v>
      </c>
      <c r="R362" s="178">
        <f t="shared" si="568"/>
        <v>250.38000000000011</v>
      </c>
      <c r="S362" s="178">
        <f>IF($J362="",#N/A,SUM($R$4:R362))</f>
        <v>901.81854104386684</v>
      </c>
      <c r="T362" s="290" t="str">
        <f t="shared" si="569"/>
        <v/>
      </c>
      <c r="U362" s="290">
        <f>IF($J362="",#N/A,SUM($T$4:T362))</f>
        <v>15.103783024826967</v>
      </c>
      <c r="V362" s="291" t="str">
        <f t="shared" si="570"/>
        <v/>
      </c>
      <c r="W362" s="291">
        <f>IF($J362="",#N/A,SUM($V$4:V362))</f>
        <v>23.925757159446615</v>
      </c>
      <c r="X362" s="292">
        <f t="shared" si="571"/>
        <v>2.4918490917559399</v>
      </c>
      <c r="Y362" s="292">
        <f>IF($J362="",#N/A,SUM($X$4:X362))</f>
        <v>16.781304120581794</v>
      </c>
      <c r="Z362" s="304" t="str">
        <f t="shared" si="572"/>
        <v/>
      </c>
      <c r="AA362" s="313" t="e">
        <f>IF($J362="",#N/A,SUM(Z$4:Z362))</f>
        <v>#N/A</v>
      </c>
      <c r="AB362" s="314" t="str">
        <f t="shared" si="573"/>
        <v/>
      </c>
      <c r="AC362" s="314" t="e">
        <f>IF($J362="",#N/A,SUM(AB$4:AB362))</f>
        <v>#N/A</v>
      </c>
      <c r="AD362" s="315" t="str">
        <f t="shared" si="574"/>
        <v/>
      </c>
      <c r="AE362" s="315" t="e">
        <f>IF($J362="",#N/A,SUM(AD$4:AD362))</f>
        <v>#N/A</v>
      </c>
      <c r="AF362" s="315" t="e">
        <f>IF($J362="",#N/A,SUM(AD$4:AD362,AB$4:AB362,Z$4:Z362))</f>
        <v>#N/A</v>
      </c>
      <c r="AG362" s="304" t="str">
        <f t="shared" si="575"/>
        <v/>
      </c>
      <c r="AH362" s="313" t="e">
        <f>IF($J362="",#N/A,SUM(AG$4:AG362))</f>
        <v>#N/A</v>
      </c>
      <c r="AI362" s="314" t="str">
        <f t="shared" si="576"/>
        <v/>
      </c>
      <c r="AJ362" s="314" t="e">
        <f>IF($J362="",#N/A,SUM(AI$4:AI362))</f>
        <v>#N/A</v>
      </c>
      <c r="AK362" s="315">
        <f t="shared" si="577"/>
        <v>2.4918490917559399</v>
      </c>
      <c r="AL362" s="315" t="e">
        <f>IF($J362="",#N/A,SUM(AK$4:AK362))</f>
        <v>#N/A</v>
      </c>
      <c r="AM362" s="315" t="e">
        <f>IF($J362="",#N/A,SUM(AK$4:AK362,AI$4:AI362,AG$4:AG362))</f>
        <v>#N/A</v>
      </c>
      <c r="AN362" s="304" t="str">
        <f t="shared" si="578"/>
        <v/>
      </c>
      <c r="AO362" s="313" t="e">
        <f>IF($J362="",#N/A,SUM(AN$4:AN362))</f>
        <v>#N/A</v>
      </c>
      <c r="AP362" s="314" t="str">
        <f t="shared" si="579"/>
        <v/>
      </c>
      <c r="AQ362" s="314" t="e">
        <f>IF($J362="",#N/A,SUM(AP$4:AP362))</f>
        <v>#N/A</v>
      </c>
      <c r="AR362" s="315" t="str">
        <f t="shared" si="580"/>
        <v/>
      </c>
      <c r="AS362" s="315" t="e">
        <f>IF($J362="",#N/A,SUM(AR$4:AR362))</f>
        <v>#N/A</v>
      </c>
      <c r="AT362" s="315" t="e">
        <f>IF($J362="",#N/A,SUM(AR$4:AR362,AP$4:AP362,AN$4:AN362))</f>
        <v>#N/A</v>
      </c>
      <c r="AU362" s="304" t="str">
        <f t="shared" si="581"/>
        <v/>
      </c>
      <c r="AV362" s="313" t="e">
        <f>IF($J362="",#N/A,SUM(AU$4:AU362))</f>
        <v>#N/A</v>
      </c>
      <c r="AW362" s="314" t="str">
        <f t="shared" si="582"/>
        <v/>
      </c>
      <c r="AX362" s="314" t="e">
        <f>IF($J362="",#N/A,SUM(AW$4:AW362))</f>
        <v>#N/A</v>
      </c>
      <c r="AY362" s="315" t="str">
        <f t="shared" si="583"/>
        <v/>
      </c>
      <c r="AZ362" s="315" t="e">
        <f>IF($J362="",#N/A,SUM(AY$4:AY362))</f>
        <v>#N/A</v>
      </c>
      <c r="BA362" s="315" t="e">
        <f>IF($J362="",#N/A,SUM(AY$4:AY362,AW$4:AW362,AU$4:AU362))</f>
        <v>#N/A</v>
      </c>
      <c r="BB362" s="304" t="str">
        <f t="shared" si="584"/>
        <v/>
      </c>
      <c r="BC362" s="313" t="e">
        <f>IF($J362="",#N/A,SUM(BB$4:BB362))</f>
        <v>#N/A</v>
      </c>
      <c r="BD362" s="314" t="str">
        <f t="shared" si="585"/>
        <v/>
      </c>
      <c r="BE362" s="314" t="e">
        <f>IF($J362="",#N/A,SUM(BD$4:BD362))</f>
        <v>#N/A</v>
      </c>
      <c r="BF362" s="315" t="str">
        <f t="shared" si="586"/>
        <v/>
      </c>
      <c r="BG362" s="315" t="e">
        <f>IF($J362="",#N/A,SUM(BF$4:BF362))</f>
        <v>#N/A</v>
      </c>
      <c r="BH362" s="315" t="e">
        <f>IF($J362="",#N/A,SUM(BF$4:BF362,BD$4:BD362,BB$4:BB362))</f>
        <v>#N/A</v>
      </c>
      <c r="BI362" s="304" t="str">
        <f t="shared" si="587"/>
        <v/>
      </c>
      <c r="BJ362" s="313" t="e">
        <f>IF($J362="",#N/A,SUM(BI$4:BI362))</f>
        <v>#N/A</v>
      </c>
      <c r="BK362" s="314" t="str">
        <f t="shared" si="588"/>
        <v/>
      </c>
      <c r="BL362" s="314" t="e">
        <f>IF($J362="",#N/A,SUM(BK$4:BK362))</f>
        <v>#N/A</v>
      </c>
      <c r="BM362" s="315" t="str">
        <f t="shared" si="589"/>
        <v/>
      </c>
      <c r="BN362" s="315" t="e">
        <f>IF($J362="",#N/A,SUM(BM$4:BM362))</f>
        <v>#N/A</v>
      </c>
      <c r="BO362" s="315" t="e">
        <f>IF($J362="",#N/A,SUM(BM$4:BM362,BK$4:BK362,BI$4:BI362))</f>
        <v>#N/A</v>
      </c>
      <c r="BP362" s="304" t="str">
        <f t="shared" si="590"/>
        <v/>
      </c>
      <c r="BQ362" s="313" t="e">
        <f>IF($J362="",#N/A,SUM(BP$4:BP362))</f>
        <v>#N/A</v>
      </c>
      <c r="BR362" s="314" t="str">
        <f t="shared" si="591"/>
        <v/>
      </c>
      <c r="BS362" s="314" t="e">
        <f>IF($J362="",#N/A,SUM(BR$4:BR362))</f>
        <v>#N/A</v>
      </c>
      <c r="BT362" s="315" t="str">
        <f t="shared" si="592"/>
        <v/>
      </c>
      <c r="BU362" s="315" t="e">
        <f>IF($J362="",#N/A,SUM(BT$4:BT362))</f>
        <v>#N/A</v>
      </c>
      <c r="BV362" s="315" t="e">
        <f>IF($J362="",#N/A,SUM(BT$4:BT362,BR$4:BR362,BP$4:BP362))</f>
        <v>#N/A</v>
      </c>
      <c r="BW362" s="304" t="str">
        <f t="shared" si="593"/>
        <v/>
      </c>
      <c r="BX362" s="313" t="e">
        <f>IF($J362="",#N/A,SUM(BW$4:BW362))</f>
        <v>#N/A</v>
      </c>
      <c r="BY362" s="314" t="str">
        <f t="shared" si="594"/>
        <v/>
      </c>
      <c r="BZ362" s="314" t="e">
        <f>IF($J362="",#N/A,SUM(BY$4:BY362))</f>
        <v>#N/A</v>
      </c>
      <c r="CA362" s="315" t="str">
        <f t="shared" si="595"/>
        <v/>
      </c>
      <c r="CB362" s="315" t="e">
        <f>IF($J362="",#N/A,SUM(CA$4:CA362))</f>
        <v>#N/A</v>
      </c>
      <c r="CC362" s="315" t="e">
        <f>IF($J362="",#N/A,SUM(CA$4:CA362,BY$4:BY362,BW$4:BW362))</f>
        <v>#N/A</v>
      </c>
      <c r="CD362" s="304" t="str">
        <f t="shared" si="596"/>
        <v/>
      </c>
      <c r="CE362" s="313" t="e">
        <f>IF($J362="",#N/A,SUM(CD$4:CD362))</f>
        <v>#N/A</v>
      </c>
      <c r="CF362" s="314" t="str">
        <f t="shared" si="597"/>
        <v/>
      </c>
      <c r="CG362" s="314" t="e">
        <f>IF($J362="",#N/A,SUM(CF$4:CF362))</f>
        <v>#N/A</v>
      </c>
      <c r="CH362" s="315" t="str">
        <f t="shared" si="598"/>
        <v/>
      </c>
      <c r="CI362" s="315" t="e">
        <f>IF($J362="",#N/A,SUM(CH$4:CH362))</f>
        <v>#N/A</v>
      </c>
      <c r="CJ362" s="315" t="e">
        <f>IF($J362="",#N/A,SUM(CH$4:CH362,CF$4:CF362,CD$4:CD362))</f>
        <v>#N/A</v>
      </c>
      <c r="CK362" s="304" t="str">
        <f t="shared" si="599"/>
        <v/>
      </c>
      <c r="CL362" s="313" t="e">
        <f>IF($J362="",#N/A,SUM(CK$4:CK362))</f>
        <v>#N/A</v>
      </c>
      <c r="CM362" s="314" t="str">
        <f t="shared" si="600"/>
        <v/>
      </c>
      <c r="CN362" s="314" t="e">
        <f>IF($J362="",#N/A,SUM(CM$4:CM362))</f>
        <v>#N/A</v>
      </c>
      <c r="CO362" s="315" t="str">
        <f t="shared" si="601"/>
        <v/>
      </c>
      <c r="CP362" s="315" t="e">
        <f>IF($J362="",#N/A,SUM(CO$4:CO362))</f>
        <v>#N/A</v>
      </c>
      <c r="CQ362" s="315" t="e">
        <f>IF($J362="",#N/A,SUM(CO$4:CO362,CM$4:CM362,CK$4:CK362))</f>
        <v>#N/A</v>
      </c>
      <c r="CR362" s="304" t="str">
        <f t="shared" si="602"/>
        <v/>
      </c>
      <c r="CS362" s="313" t="e">
        <f>IF($J362="",#N/A,SUM(CR$4:CR362))</f>
        <v>#N/A</v>
      </c>
      <c r="CT362" s="314" t="str">
        <f t="shared" si="603"/>
        <v/>
      </c>
      <c r="CU362" s="314" t="e">
        <f>IF($J362="",#N/A,SUM(CT$4:CT362))</f>
        <v>#N/A</v>
      </c>
      <c r="CV362" s="315" t="str">
        <f t="shared" si="604"/>
        <v/>
      </c>
      <c r="CW362" s="315" t="e">
        <f>IF($J362="",#N/A,SUM(CV$4:CV362))</f>
        <v>#N/A</v>
      </c>
      <c r="CX362" s="315" t="e">
        <f>IF($J362="",#N/A,SUM(CV$4:CV362,CT$4:CT362,CR$4:CR362))</f>
        <v>#N/A</v>
      </c>
      <c r="CY362" s="304" t="str">
        <f t="shared" si="605"/>
        <v/>
      </c>
      <c r="CZ362" s="313" t="e">
        <f>IF($J362="",#N/A,SUM(CY$4:CY362))</f>
        <v>#N/A</v>
      </c>
      <c r="DA362" s="314" t="str">
        <f t="shared" si="606"/>
        <v/>
      </c>
      <c r="DB362" s="314" t="e">
        <f>IF($J362="",#N/A,SUM(DA$4:DA362))</f>
        <v>#N/A</v>
      </c>
      <c r="DC362" s="315" t="str">
        <f t="shared" si="607"/>
        <v/>
      </c>
      <c r="DD362" s="315" t="e">
        <f>IF($J362="",#N/A,SUM(DC$4:DC362))</f>
        <v>#N/A</v>
      </c>
      <c r="DE362" s="315" t="e">
        <f>IF($J362="",#N/A,SUM(DC$4:DC362,DA$4:DA362,CY$4:CY362))</f>
        <v>#N/A</v>
      </c>
      <c r="DF362" s="304" t="str">
        <f t="shared" si="608"/>
        <v/>
      </c>
      <c r="DG362" s="313" t="e">
        <f>IF($J362="",#N/A,SUM(DF$4:DF362))</f>
        <v>#N/A</v>
      </c>
      <c r="DH362" s="314" t="str">
        <f t="shared" si="609"/>
        <v/>
      </c>
      <c r="DI362" s="314" t="e">
        <f>IF($J362="",#N/A,SUM(DH$4:DH362))</f>
        <v>#N/A</v>
      </c>
      <c r="DJ362" s="315" t="str">
        <f t="shared" si="610"/>
        <v/>
      </c>
      <c r="DK362" s="315" t="e">
        <f>IF($J362="",#N/A,SUM(DJ$4:DJ362))</f>
        <v>#N/A</v>
      </c>
      <c r="DL362" s="315" t="e">
        <f>IF($J362="",#N/A,SUM(DJ$4:DJ362,DH$4:DH362,DF$4:DF362))</f>
        <v>#N/A</v>
      </c>
      <c r="DM362" s="304" t="str">
        <f t="shared" si="611"/>
        <v/>
      </c>
      <c r="DN362" s="313" t="e">
        <f>IF($J362="",#N/A,SUM(DM$4:DM362))</f>
        <v>#N/A</v>
      </c>
      <c r="DO362" s="314" t="str">
        <f t="shared" si="612"/>
        <v/>
      </c>
      <c r="DP362" s="314" t="e">
        <f>IF($J362="",#N/A,SUM(DO$4:DO362))</f>
        <v>#N/A</v>
      </c>
      <c r="DQ362" s="315" t="str">
        <f t="shared" si="613"/>
        <v/>
      </c>
      <c r="DR362" s="315" t="e">
        <f>IF($J362="",#N/A,SUM(DQ$4:DQ362))</f>
        <v>#N/A</v>
      </c>
      <c r="DS362" s="315" t="e">
        <f>IF($J362="",#N/A,SUM(DQ$4:DQ362,DO$4:DO362,DM$4:DM362))</f>
        <v>#N/A</v>
      </c>
      <c r="DT362" s="304" t="str">
        <f t="shared" si="614"/>
        <v/>
      </c>
      <c r="DU362" s="313" t="e">
        <f>IF($J362="",#N/A,SUM(DT$4:DT362))</f>
        <v>#N/A</v>
      </c>
      <c r="DV362" s="314" t="str">
        <f t="shared" si="615"/>
        <v/>
      </c>
      <c r="DW362" s="314" t="e">
        <f>IF($J362="",#N/A,SUM(DV$4:DV362))</f>
        <v>#N/A</v>
      </c>
      <c r="DX362" s="315" t="str">
        <f t="shared" si="616"/>
        <v/>
      </c>
      <c r="DY362" s="315" t="e">
        <f>IF($J362="",#N/A,SUM(DX$4:DX362))</f>
        <v>#N/A</v>
      </c>
      <c r="DZ362" s="315" t="e">
        <f>IF($J362="",#N/A,SUM(DX$4:DX362,DV$4:DV362,DT$4:DT362))</f>
        <v>#N/A</v>
      </c>
      <c r="EA362" s="304" t="str">
        <f t="shared" si="617"/>
        <v/>
      </c>
      <c r="EB362" s="313" t="e">
        <f>IF($J362="",#N/A,SUM(EA$4:EA362))</f>
        <v>#N/A</v>
      </c>
      <c r="EC362" s="314" t="str">
        <f t="shared" si="618"/>
        <v/>
      </c>
      <c r="ED362" s="314" t="e">
        <f>IF($J362="",#N/A,SUM(EC$4:EC362))</f>
        <v>#N/A</v>
      </c>
      <c r="EE362" s="315" t="str">
        <f t="shared" si="619"/>
        <v/>
      </c>
      <c r="EF362" s="315" t="e">
        <f>IF($J362="",#N/A,SUM(EE$4:EE362))</f>
        <v>#N/A</v>
      </c>
      <c r="EG362" s="315" t="e">
        <f>IF($J362="",#N/A,SUM(EE$4:EE362,EC$4:EC362,EA$4:EA362))</f>
        <v>#N/A</v>
      </c>
      <c r="EH362" s="130">
        <f t="shared" si="620"/>
        <v>250.38000000000011</v>
      </c>
      <c r="EI362" s="63">
        <f>IF(EH362="",#N/A,SUM($EH$4:EH362))</f>
        <v>1476.6452526431347</v>
      </c>
      <c r="EJ362" s="223" t="e">
        <f t="shared" si="621"/>
        <v>#N/A</v>
      </c>
      <c r="EK362" s="63" t="e">
        <f>IF($GZ362="",#N/A,SUM(EJ$4:EJ362))</f>
        <v>#N/A</v>
      </c>
      <c r="EL362" s="60" t="str">
        <f t="shared" si="651"/>
        <v/>
      </c>
      <c r="EM362" s="60" t="e">
        <f>IF(EL362="",NA(),SUM($EL$4:EL362))</f>
        <v>#N/A</v>
      </c>
      <c r="EN362" s="60" t="str">
        <f t="shared" si="622"/>
        <v/>
      </c>
      <c r="EO362" s="60" t="e">
        <f>IF(EN362="",NA(),SUM($EN$4:EN362))</f>
        <v>#N/A</v>
      </c>
      <c r="EP362" s="60" t="str">
        <f t="shared" si="623"/>
        <v/>
      </c>
      <c r="EQ362" s="60" t="e">
        <f>IF(EP362="",NA(),SUM($EP$4:EP362))</f>
        <v>#N/A</v>
      </c>
      <c r="ER362" s="60" t="str">
        <f t="shared" si="624"/>
        <v/>
      </c>
      <c r="ES362" s="60" t="e">
        <f>IF(ER362="",NA(),SUM($ER$4:ER362))</f>
        <v>#N/A</v>
      </c>
      <c r="ET362" s="60">
        <f t="shared" si="625"/>
        <v>2.4918490917559399</v>
      </c>
      <c r="EU362" s="60">
        <f>IF(ET362="",NA(),SUM($ET$4:ET362))</f>
        <v>27.171368477567455</v>
      </c>
      <c r="EV362" s="60" t="str">
        <f t="shared" si="626"/>
        <v/>
      </c>
      <c r="EW362" s="60" t="e">
        <f>IF(EV362="",NA(),SUM($EV$4:EV362))</f>
        <v>#N/A</v>
      </c>
      <c r="EX362" s="60">
        <f t="shared" si="627"/>
        <v>2.4918490917559399</v>
      </c>
      <c r="EY362" s="60">
        <f>IF(EX362="",NA(),SUM($EX$4:EX362))</f>
        <v>7.6628887902848923</v>
      </c>
      <c r="EZ362" s="60" t="str">
        <f t="shared" si="628"/>
        <v/>
      </c>
      <c r="FA362" s="60" t="e">
        <f>IF(EZ362="",NA(),SUM($EZ$4:EZ362))</f>
        <v>#N/A</v>
      </c>
      <c r="FB362" s="246" t="str">
        <f t="shared" si="652"/>
        <v/>
      </c>
      <c r="FC362" s="246" t="e">
        <f>IF($FB362="",#N/A,SUM(FB$4:$FB362))</f>
        <v>#N/A</v>
      </c>
      <c r="FD362" s="60" t="str">
        <f t="shared" si="629"/>
        <v/>
      </c>
      <c r="FE362" s="60" t="e">
        <f>IF($FD362="",#N/A,SUM($FD$4:FD362))</f>
        <v>#N/A</v>
      </c>
      <c r="FF362" s="60" t="str">
        <f t="shared" si="630"/>
        <v/>
      </c>
      <c r="FG362" s="60" t="e">
        <f>IF($FF362="",#N/A,SUM($FF$4:FF362))</f>
        <v>#N/A</v>
      </c>
      <c r="FH362" s="60" t="str">
        <f t="shared" si="631"/>
        <v/>
      </c>
      <c r="FI362" s="60" t="e">
        <f>IF($FH362="",#N/A,SUM($FH$4:FH362))</f>
        <v>#N/A</v>
      </c>
      <c r="FJ362" s="60">
        <f t="shared" si="632"/>
        <v>2.5772395590746786</v>
      </c>
      <c r="FK362" s="60">
        <f>IF($FJ362="",#N/A,SUM($FJ$4:FJ362))</f>
        <v>0.54102416877920145</v>
      </c>
      <c r="FL362" s="60" t="str">
        <f t="shared" si="633"/>
        <v/>
      </c>
      <c r="FM362" s="60" t="e">
        <f>IF($FL362="",#N/A,SUM($FL$4:FL362))</f>
        <v>#N/A</v>
      </c>
      <c r="FN362" s="82">
        <f t="shared" si="634"/>
        <v>5.0690886508306185</v>
      </c>
      <c r="FO362" s="82">
        <f>IF($FN362="",#N/A,SUM(FN$4:$FN362))</f>
        <v>53.021250906798059</v>
      </c>
      <c r="FP362" s="82">
        <f t="shared" si="653"/>
        <v>2.4918490917559399</v>
      </c>
      <c r="FQ362" s="246">
        <f>IF($EH362="",#N/A,SUM($FP$4:FP362))</f>
        <v>55.810844304855351</v>
      </c>
      <c r="FR362" s="82">
        <f>IFERROR(FQ362/COUNTA($J$4:J362),#N/A)</f>
        <v>0.15546196185196476</v>
      </c>
      <c r="FS362" s="82">
        <f t="shared" si="554"/>
        <v>-8.6240464900424307E-2</v>
      </c>
      <c r="FT362" s="82">
        <f t="shared" si="555"/>
        <v>0.25546075033341509</v>
      </c>
      <c r="FU362" s="338">
        <f t="shared" si="658"/>
        <v>27.706682341407898</v>
      </c>
      <c r="FV362" s="57" t="str">
        <f t="shared" si="659"/>
        <v>SW</v>
      </c>
      <c r="FW362" s="57" t="s">
        <v>2732</v>
      </c>
      <c r="FX362" s="57" t="str">
        <f t="shared" si="635"/>
        <v/>
      </c>
      <c r="FY362" s="57" t="str">
        <f t="shared" si="636"/>
        <v/>
      </c>
      <c r="FZ362" s="57">
        <f t="shared" si="637"/>
        <v>1</v>
      </c>
      <c r="GA362" s="57" t="str">
        <f t="shared" si="638"/>
        <v>Long</v>
      </c>
      <c r="GB362" s="57" t="str">
        <f t="shared" si="639"/>
        <v/>
      </c>
      <c r="GC362" s="57" t="str">
        <f t="shared" si="640"/>
        <v/>
      </c>
      <c r="GD362" s="57" t="str">
        <f t="shared" si="641"/>
        <v/>
      </c>
      <c r="GE362" s="62">
        <f t="shared" si="557"/>
        <v>21.47</v>
      </c>
      <c r="GF362" s="62" t="s">
        <v>2779</v>
      </c>
      <c r="GG362" s="199">
        <v>78</v>
      </c>
      <c r="GH362" s="207">
        <f t="shared" si="642"/>
        <v>1674.6599999999999</v>
      </c>
      <c r="GI362" s="199">
        <v>78</v>
      </c>
      <c r="GJ362" s="200">
        <v>25</v>
      </c>
      <c r="GK362" s="63">
        <f t="shared" si="643"/>
        <v>275.34000000000015</v>
      </c>
      <c r="GL362" s="63">
        <f t="shared" si="558"/>
        <v>509.34000000000015</v>
      </c>
      <c r="GM362" s="82">
        <f t="shared" si="644"/>
        <v>5.0690886508306185</v>
      </c>
      <c r="GN362" s="82">
        <f>IF($GZ362="",#N/A,SUM(GM$4:GM362))</f>
        <v>14.18803059059721</v>
      </c>
      <c r="GO362" s="82" t="str">
        <f t="shared" si="645"/>
        <v/>
      </c>
      <c r="GP362" s="82">
        <f>IF($GZ362="",#N/A,SUM(GO$4:GO362))</f>
        <v>9.3330159787541831</v>
      </c>
      <c r="GQ362" s="82" t="str">
        <f t="shared" si="646"/>
        <v/>
      </c>
      <c r="GR362" s="82">
        <f>IF($GZ362="",#N/A,SUM(GQ$4:GQ362))</f>
        <v>28.874367383004316</v>
      </c>
      <c r="GS362" s="63" t="e">
        <f t="shared" si="654"/>
        <v>#N/A</v>
      </c>
      <c r="GT362" s="63" t="e">
        <f>IF($GZ362="",#N/A,SUM(GS$4:GS362))</f>
        <v>#N/A</v>
      </c>
      <c r="GU362" s="63" t="str">
        <f t="shared" si="655"/>
        <v/>
      </c>
      <c r="GV362" s="63" t="e">
        <f>IF($GZ362="",#N/A,SUM(GU$4:GU362))</f>
        <v>#N/A</v>
      </c>
      <c r="GW362" s="63" t="str">
        <f t="shared" si="656"/>
        <v/>
      </c>
      <c r="GX362" s="63" t="e">
        <f>IF($GZ362="",#N/A,SUM(GW$4:GW362))</f>
        <v>#N/A</v>
      </c>
      <c r="GY362" s="63" t="e">
        <f>IF(EJ362="",#N/A,SUM($EJ$4:EJ362))</f>
        <v>#N/A</v>
      </c>
      <c r="GZ362" s="159">
        <v>28</v>
      </c>
      <c r="HA362" s="63">
        <f t="shared" si="647"/>
        <v>258.96000000000004</v>
      </c>
      <c r="HB362" s="62" t="s">
        <v>2538</v>
      </c>
      <c r="HC362" s="60">
        <f>IFERROR(VLOOKUP(E362,Expectancy!$P$4:$S$19,1+C362,FALSE),"")</f>
        <v>0.27741610538114203</v>
      </c>
      <c r="HD362" s="82">
        <f t="shared" si="648"/>
        <v>2.7402577239559092</v>
      </c>
      <c r="HE362" s="138">
        <f>IF(HD362="",#N/A,SUM($HD$4:HD362))</f>
        <v>13.574161963447452</v>
      </c>
      <c r="HF362" s="85">
        <f>IF(HD362="",#N/A,IF(HB362="Skip",#N/A,SUM($HG$4:HG362)))</f>
        <v>649.38657921915524</v>
      </c>
      <c r="HG362" s="63">
        <f t="shared" si="649"/>
        <v>275.34000000000015</v>
      </c>
      <c r="HH362" s="82">
        <f t="shared" si="650"/>
        <v>5.0690886508306185</v>
      </c>
    </row>
    <row r="363" spans="1:216" x14ac:dyDescent="0.25">
      <c r="A363" s="57" t="s">
        <v>873</v>
      </c>
      <c r="B363" s="58" t="s">
        <v>5248</v>
      </c>
      <c r="C363" s="386">
        <f t="shared" si="561"/>
        <v>1</v>
      </c>
      <c r="D363" s="372" t="str">
        <f>_xlfn.XLOOKUP(A363,[1]SP500!$A$2:$A$502,[1]SP500!$D$2:$D$502,"N")</f>
        <v>Y</v>
      </c>
      <c r="E363" s="57" t="str">
        <f>_xlfn.XLOOKUP(A363,[1]SP500!$A$2:$A$655,[1]SP500!$B$2:$B$655)</f>
        <v>XLC</v>
      </c>
      <c r="F363" s="59">
        <v>45708</v>
      </c>
      <c r="G363" s="57" t="str">
        <f t="shared" si="562"/>
        <v>AMC</v>
      </c>
      <c r="H363" s="57" t="str">
        <f t="shared" si="563"/>
        <v>s</v>
      </c>
      <c r="I363" s="159">
        <v>152.32</v>
      </c>
      <c r="J363" s="159">
        <v>156.77000000000001</v>
      </c>
      <c r="K363" s="61">
        <f t="shared" si="564"/>
        <v>2.9214810924369863E-2</v>
      </c>
      <c r="L363" s="87">
        <f t="shared" si="565"/>
        <v>48.950000000000045</v>
      </c>
      <c r="M363" s="130">
        <f t="shared" si="556"/>
        <v>0</v>
      </c>
      <c r="N363" s="169">
        <f t="shared" si="566"/>
        <v>48.950000000000045</v>
      </c>
      <c r="O363" s="169">
        <f>IF($J363="",#N/A,SUM($N$4:N363))</f>
        <v>188.48671935422453</v>
      </c>
      <c r="P363" s="174" t="str">
        <f t="shared" si="567"/>
        <v/>
      </c>
      <c r="Q363" s="174">
        <f>IF($J363="",#N/A,SUM($P$4:P363))</f>
        <v>435.28999224504321</v>
      </c>
      <c r="R363" s="178" t="str">
        <f t="shared" si="568"/>
        <v/>
      </c>
      <c r="S363" s="178">
        <f>IF($J363="",#N/A,SUM($R$4:R363))</f>
        <v>901.81854104386684</v>
      </c>
      <c r="T363" s="290">
        <f t="shared" si="569"/>
        <v>0.4869135154061629</v>
      </c>
      <c r="U363" s="290">
        <f>IF($J363="",#N/A,SUM($T$4:T363))</f>
        <v>15.590696540233131</v>
      </c>
      <c r="V363" s="291" t="str">
        <f t="shared" si="570"/>
        <v/>
      </c>
      <c r="W363" s="291">
        <f>IF($J363="",#N/A,SUM($V$4:V363))</f>
        <v>23.925757159446615</v>
      </c>
      <c r="X363" s="292" t="str">
        <f t="shared" si="571"/>
        <v/>
      </c>
      <c r="Y363" s="292">
        <f>IF($J363="",#N/A,SUM($X$4:X363))</f>
        <v>16.781304120581794</v>
      </c>
      <c r="Z363" s="304" t="str">
        <f t="shared" si="572"/>
        <v/>
      </c>
      <c r="AA363" s="313" t="e">
        <f>IF($J363="",#N/A,SUM(Z$4:Z363))</f>
        <v>#N/A</v>
      </c>
      <c r="AB363" s="314" t="str">
        <f t="shared" si="573"/>
        <v/>
      </c>
      <c r="AC363" s="314" t="e">
        <f>IF($J363="",#N/A,SUM(AB$4:AB363))</f>
        <v>#N/A</v>
      </c>
      <c r="AD363" s="315" t="str">
        <f t="shared" si="574"/>
        <v/>
      </c>
      <c r="AE363" s="315" t="e">
        <f>IF($J363="",#N/A,SUM(AD$4:AD363))</f>
        <v>#N/A</v>
      </c>
      <c r="AF363" s="315" t="e">
        <f>IF($J363="",#N/A,SUM(AD$4:AD363,AB$4:AB363,Z$4:Z363))</f>
        <v>#N/A</v>
      </c>
      <c r="AG363" s="304" t="str">
        <f t="shared" si="575"/>
        <v/>
      </c>
      <c r="AH363" s="313" t="e">
        <f>IF($J363="",#N/A,SUM(AG$4:AG363))</f>
        <v>#N/A</v>
      </c>
      <c r="AI363" s="314" t="str">
        <f t="shared" si="576"/>
        <v/>
      </c>
      <c r="AJ363" s="314" t="e">
        <f>IF($J363="",#N/A,SUM(AI$4:AI363))</f>
        <v>#N/A</v>
      </c>
      <c r="AK363" s="315" t="str">
        <f t="shared" si="577"/>
        <v/>
      </c>
      <c r="AL363" s="315" t="e">
        <f>IF($J363="",#N/A,SUM(AK$4:AK363))</f>
        <v>#N/A</v>
      </c>
      <c r="AM363" s="315" t="e">
        <f>IF($J363="",#N/A,SUM(AK$4:AK363,AI$4:AI363,AG$4:AG363))</f>
        <v>#N/A</v>
      </c>
      <c r="AN363" s="304" t="str">
        <f t="shared" si="578"/>
        <v/>
      </c>
      <c r="AO363" s="313" t="e">
        <f>IF($J363="",#N/A,SUM(AN$4:AN363))</f>
        <v>#N/A</v>
      </c>
      <c r="AP363" s="314" t="str">
        <f t="shared" si="579"/>
        <v/>
      </c>
      <c r="AQ363" s="314" t="e">
        <f>IF($J363="",#N/A,SUM(AP$4:AP363))</f>
        <v>#N/A</v>
      </c>
      <c r="AR363" s="315" t="str">
        <f t="shared" si="580"/>
        <v/>
      </c>
      <c r="AS363" s="315" t="e">
        <f>IF($J363="",#N/A,SUM(AR$4:AR363))</f>
        <v>#N/A</v>
      </c>
      <c r="AT363" s="315" t="e">
        <f>IF($J363="",#N/A,SUM(AR$4:AR363,AP$4:AP363,AN$4:AN363))</f>
        <v>#N/A</v>
      </c>
      <c r="AU363" s="304" t="str">
        <f t="shared" si="581"/>
        <v/>
      </c>
      <c r="AV363" s="313" t="e">
        <f>IF($J363="",#N/A,SUM(AU$4:AU363))</f>
        <v>#N/A</v>
      </c>
      <c r="AW363" s="314" t="str">
        <f t="shared" si="582"/>
        <v/>
      </c>
      <c r="AX363" s="314" t="e">
        <f>IF($J363="",#N/A,SUM(AW$4:AW363))</f>
        <v>#N/A</v>
      </c>
      <c r="AY363" s="315" t="str">
        <f t="shared" si="583"/>
        <v/>
      </c>
      <c r="AZ363" s="315" t="e">
        <f>IF($J363="",#N/A,SUM(AY$4:AY363))</f>
        <v>#N/A</v>
      </c>
      <c r="BA363" s="315" t="e">
        <f>IF($J363="",#N/A,SUM(AY$4:AY363,AW$4:AW363,AU$4:AU363))</f>
        <v>#N/A</v>
      </c>
      <c r="BB363" s="304">
        <f t="shared" si="584"/>
        <v>0.4869135154061629</v>
      </c>
      <c r="BC363" s="313" t="e">
        <f>IF($J363="",#N/A,SUM(BB$4:BB363))</f>
        <v>#N/A</v>
      </c>
      <c r="BD363" s="314" t="str">
        <f t="shared" si="585"/>
        <v/>
      </c>
      <c r="BE363" s="314" t="e">
        <f>IF($J363="",#N/A,SUM(BD$4:BD363))</f>
        <v>#N/A</v>
      </c>
      <c r="BF363" s="315" t="str">
        <f t="shared" si="586"/>
        <v/>
      </c>
      <c r="BG363" s="315" t="e">
        <f>IF($J363="",#N/A,SUM(BF$4:BF363))</f>
        <v>#N/A</v>
      </c>
      <c r="BH363" s="315" t="e">
        <f>IF($J363="",#N/A,SUM(BF$4:BF363,BD$4:BD363,BB$4:BB363))</f>
        <v>#N/A</v>
      </c>
      <c r="BI363" s="304" t="str">
        <f t="shared" si="587"/>
        <v/>
      </c>
      <c r="BJ363" s="313" t="e">
        <f>IF($J363="",#N/A,SUM(BI$4:BI363))</f>
        <v>#N/A</v>
      </c>
      <c r="BK363" s="314" t="str">
        <f t="shared" si="588"/>
        <v/>
      </c>
      <c r="BL363" s="314" t="e">
        <f>IF($J363="",#N/A,SUM(BK$4:BK363))</f>
        <v>#N/A</v>
      </c>
      <c r="BM363" s="315" t="str">
        <f t="shared" si="589"/>
        <v/>
      </c>
      <c r="BN363" s="315" t="e">
        <f>IF($J363="",#N/A,SUM(BM$4:BM363))</f>
        <v>#N/A</v>
      </c>
      <c r="BO363" s="315" t="e">
        <f>IF($J363="",#N/A,SUM(BM$4:BM363,BK$4:BK363,BI$4:BI363))</f>
        <v>#N/A</v>
      </c>
      <c r="BP363" s="304" t="str">
        <f t="shared" si="590"/>
        <v/>
      </c>
      <c r="BQ363" s="313" t="e">
        <f>IF($J363="",#N/A,SUM(BP$4:BP363))</f>
        <v>#N/A</v>
      </c>
      <c r="BR363" s="314" t="str">
        <f t="shared" si="591"/>
        <v/>
      </c>
      <c r="BS363" s="314" t="e">
        <f>IF($J363="",#N/A,SUM(BR$4:BR363))</f>
        <v>#N/A</v>
      </c>
      <c r="BT363" s="315" t="str">
        <f t="shared" si="592"/>
        <v/>
      </c>
      <c r="BU363" s="315" t="e">
        <f>IF($J363="",#N/A,SUM(BT$4:BT363))</f>
        <v>#N/A</v>
      </c>
      <c r="BV363" s="315" t="e">
        <f>IF($J363="",#N/A,SUM(BT$4:BT363,BR$4:BR363,BP$4:BP363))</f>
        <v>#N/A</v>
      </c>
      <c r="BW363" s="304" t="str">
        <f t="shared" si="593"/>
        <v/>
      </c>
      <c r="BX363" s="313" t="e">
        <f>IF($J363="",#N/A,SUM(BW$4:BW363))</f>
        <v>#N/A</v>
      </c>
      <c r="BY363" s="314" t="str">
        <f t="shared" si="594"/>
        <v/>
      </c>
      <c r="BZ363" s="314" t="e">
        <f>IF($J363="",#N/A,SUM(BY$4:BY363))</f>
        <v>#N/A</v>
      </c>
      <c r="CA363" s="315" t="str">
        <f t="shared" si="595"/>
        <v/>
      </c>
      <c r="CB363" s="315" t="e">
        <f>IF($J363="",#N/A,SUM(CA$4:CA363))</f>
        <v>#N/A</v>
      </c>
      <c r="CC363" s="315" t="e">
        <f>IF($J363="",#N/A,SUM(CA$4:CA363,BY$4:BY363,BW$4:BW363))</f>
        <v>#N/A</v>
      </c>
      <c r="CD363" s="304" t="str">
        <f t="shared" si="596"/>
        <v/>
      </c>
      <c r="CE363" s="313" t="e">
        <f>IF($J363="",#N/A,SUM(CD$4:CD363))</f>
        <v>#N/A</v>
      </c>
      <c r="CF363" s="314" t="str">
        <f t="shared" si="597"/>
        <v/>
      </c>
      <c r="CG363" s="314" t="e">
        <f>IF($J363="",#N/A,SUM(CF$4:CF363))</f>
        <v>#N/A</v>
      </c>
      <c r="CH363" s="315" t="str">
        <f t="shared" si="598"/>
        <v/>
      </c>
      <c r="CI363" s="315" t="e">
        <f>IF($J363="",#N/A,SUM(CH$4:CH363))</f>
        <v>#N/A</v>
      </c>
      <c r="CJ363" s="315" t="e">
        <f>IF($J363="",#N/A,SUM(CH$4:CH363,CF$4:CF363,CD$4:CD363))</f>
        <v>#N/A</v>
      </c>
      <c r="CK363" s="304" t="str">
        <f t="shared" si="599"/>
        <v/>
      </c>
      <c r="CL363" s="313" t="e">
        <f>IF($J363="",#N/A,SUM(CK$4:CK363))</f>
        <v>#N/A</v>
      </c>
      <c r="CM363" s="314" t="str">
        <f t="shared" si="600"/>
        <v/>
      </c>
      <c r="CN363" s="314" t="e">
        <f>IF($J363="",#N/A,SUM(CM$4:CM363))</f>
        <v>#N/A</v>
      </c>
      <c r="CO363" s="315" t="str">
        <f t="shared" si="601"/>
        <v/>
      </c>
      <c r="CP363" s="315" t="e">
        <f>IF($J363="",#N/A,SUM(CO$4:CO363))</f>
        <v>#N/A</v>
      </c>
      <c r="CQ363" s="315" t="e">
        <f>IF($J363="",#N/A,SUM(CO$4:CO363,CM$4:CM363,CK$4:CK363))</f>
        <v>#N/A</v>
      </c>
      <c r="CR363" s="304" t="str">
        <f t="shared" si="602"/>
        <v/>
      </c>
      <c r="CS363" s="313" t="e">
        <f>IF($J363="",#N/A,SUM(CR$4:CR363))</f>
        <v>#N/A</v>
      </c>
      <c r="CT363" s="314" t="str">
        <f t="shared" si="603"/>
        <v/>
      </c>
      <c r="CU363" s="314" t="e">
        <f>IF($J363="",#N/A,SUM(CT$4:CT363))</f>
        <v>#N/A</v>
      </c>
      <c r="CV363" s="315" t="str">
        <f t="shared" si="604"/>
        <v/>
      </c>
      <c r="CW363" s="315" t="e">
        <f>IF($J363="",#N/A,SUM(CV$4:CV363))</f>
        <v>#N/A</v>
      </c>
      <c r="CX363" s="315" t="e">
        <f>IF($J363="",#N/A,SUM(CV$4:CV363,CT$4:CT363,CR$4:CR363))</f>
        <v>#N/A</v>
      </c>
      <c r="CY363" s="304" t="str">
        <f t="shared" si="605"/>
        <v/>
      </c>
      <c r="CZ363" s="313" t="e">
        <f>IF($J363="",#N/A,SUM(CY$4:CY363))</f>
        <v>#N/A</v>
      </c>
      <c r="DA363" s="314" t="str">
        <f t="shared" si="606"/>
        <v/>
      </c>
      <c r="DB363" s="314" t="e">
        <f>IF($J363="",#N/A,SUM(DA$4:DA363))</f>
        <v>#N/A</v>
      </c>
      <c r="DC363" s="315" t="str">
        <f t="shared" si="607"/>
        <v/>
      </c>
      <c r="DD363" s="315" t="e">
        <f>IF($J363="",#N/A,SUM(DC$4:DC363))</f>
        <v>#N/A</v>
      </c>
      <c r="DE363" s="315" t="e">
        <f>IF($J363="",#N/A,SUM(DC$4:DC363,DA$4:DA363,CY$4:CY363))</f>
        <v>#N/A</v>
      </c>
      <c r="DF363" s="304" t="str">
        <f t="shared" si="608"/>
        <v/>
      </c>
      <c r="DG363" s="313" t="e">
        <f>IF($J363="",#N/A,SUM(DF$4:DF363))</f>
        <v>#N/A</v>
      </c>
      <c r="DH363" s="314" t="str">
        <f t="shared" si="609"/>
        <v/>
      </c>
      <c r="DI363" s="314" t="e">
        <f>IF($J363="",#N/A,SUM(DH$4:DH363))</f>
        <v>#N/A</v>
      </c>
      <c r="DJ363" s="315" t="str">
        <f t="shared" si="610"/>
        <v/>
      </c>
      <c r="DK363" s="315" t="e">
        <f>IF($J363="",#N/A,SUM(DJ$4:DJ363))</f>
        <v>#N/A</v>
      </c>
      <c r="DL363" s="315" t="e">
        <f>IF($J363="",#N/A,SUM(DJ$4:DJ363,DH$4:DH363,DF$4:DF363))</f>
        <v>#N/A</v>
      </c>
      <c r="DM363" s="304" t="str">
        <f t="shared" si="611"/>
        <v/>
      </c>
      <c r="DN363" s="313" t="e">
        <f>IF($J363="",#N/A,SUM(DM$4:DM363))</f>
        <v>#N/A</v>
      </c>
      <c r="DO363" s="314" t="str">
        <f t="shared" si="612"/>
        <v/>
      </c>
      <c r="DP363" s="314" t="e">
        <f>IF($J363="",#N/A,SUM(DO$4:DO363))</f>
        <v>#N/A</v>
      </c>
      <c r="DQ363" s="315" t="str">
        <f t="shared" si="613"/>
        <v/>
      </c>
      <c r="DR363" s="315" t="e">
        <f>IF($J363="",#N/A,SUM(DQ$4:DQ363))</f>
        <v>#N/A</v>
      </c>
      <c r="DS363" s="315" t="e">
        <f>IF($J363="",#N/A,SUM(DQ$4:DQ363,DO$4:DO363,DM$4:DM363))</f>
        <v>#N/A</v>
      </c>
      <c r="DT363" s="304" t="str">
        <f t="shared" si="614"/>
        <v/>
      </c>
      <c r="DU363" s="313" t="e">
        <f>IF($J363="",#N/A,SUM(DT$4:DT363))</f>
        <v>#N/A</v>
      </c>
      <c r="DV363" s="314" t="str">
        <f t="shared" si="615"/>
        <v/>
      </c>
      <c r="DW363" s="314" t="e">
        <f>IF($J363="",#N/A,SUM(DV$4:DV363))</f>
        <v>#N/A</v>
      </c>
      <c r="DX363" s="315" t="str">
        <f t="shared" si="616"/>
        <v/>
      </c>
      <c r="DY363" s="315" t="e">
        <f>IF($J363="",#N/A,SUM(DX$4:DX363))</f>
        <v>#N/A</v>
      </c>
      <c r="DZ363" s="315" t="e">
        <f>IF($J363="",#N/A,SUM(DX$4:DX363,DV$4:DV363,DT$4:DT363))</f>
        <v>#N/A</v>
      </c>
      <c r="EA363" s="304" t="str">
        <f t="shared" si="617"/>
        <v/>
      </c>
      <c r="EB363" s="313" t="e">
        <f>IF($J363="",#N/A,SUM(EA$4:EA363))</f>
        <v>#N/A</v>
      </c>
      <c r="EC363" s="314" t="str">
        <f t="shared" si="618"/>
        <v/>
      </c>
      <c r="ED363" s="314" t="e">
        <f>IF($J363="",#N/A,SUM(EC$4:EC363))</f>
        <v>#N/A</v>
      </c>
      <c r="EE363" s="315" t="str">
        <f t="shared" si="619"/>
        <v/>
      </c>
      <c r="EF363" s="315" t="e">
        <f>IF($J363="",#N/A,SUM(EE$4:EE363))</f>
        <v>#N/A</v>
      </c>
      <c r="EG363" s="315" t="e">
        <f>IF($J363="",#N/A,SUM(EE$4:EE363,EC$4:EC363,EA$4:EA363))</f>
        <v>#N/A</v>
      </c>
      <c r="EH363" s="130">
        <f t="shared" si="620"/>
        <v>48.950000000000045</v>
      </c>
      <c r="EI363" s="63">
        <f>IF(EH363="",#N/A,SUM($EH$4:EH363))</f>
        <v>1525.5952526431347</v>
      </c>
      <c r="EJ363" s="223" t="e">
        <f t="shared" si="621"/>
        <v>#N/A</v>
      </c>
      <c r="EK363" s="63" t="e">
        <f>IF($GZ363="",#N/A,SUM(EJ$4:EJ363))</f>
        <v>#N/A</v>
      </c>
      <c r="EL363" s="60">
        <f t="shared" si="651"/>
        <v>0.4869135154061629</v>
      </c>
      <c r="EM363" s="60">
        <f>IF(EL363="",NA(),SUM($EL$4:EL363))</f>
        <v>29.12638934269409</v>
      </c>
      <c r="EN363" s="60">
        <f t="shared" si="622"/>
        <v>0.4869135154061629</v>
      </c>
      <c r="EO363" s="60">
        <f>IF(EN363="",NA(),SUM($EN$4:EN363))</f>
        <v>8.8620288372320744</v>
      </c>
      <c r="EP363" s="60" t="str">
        <f t="shared" si="623"/>
        <v/>
      </c>
      <c r="EQ363" s="60" t="e">
        <f>IF(EP363="",NA(),SUM($EP$4:EP363))</f>
        <v>#N/A</v>
      </c>
      <c r="ER363" s="60" t="str">
        <f t="shared" si="624"/>
        <v/>
      </c>
      <c r="ES363" s="60" t="e">
        <f>IF(ER363="",NA(),SUM($ER$4:ER363))</f>
        <v>#N/A</v>
      </c>
      <c r="ET363" s="60" t="str">
        <f t="shared" si="625"/>
        <v/>
      </c>
      <c r="EU363" s="60" t="e">
        <f>IF(ET363="",NA(),SUM($ET$4:ET363))</f>
        <v>#N/A</v>
      </c>
      <c r="EV363" s="60" t="str">
        <f t="shared" si="626"/>
        <v/>
      </c>
      <c r="EW363" s="60" t="e">
        <f>IF(EV363="",NA(),SUM($EV$4:EV363))</f>
        <v>#N/A</v>
      </c>
      <c r="EX363" s="60" t="str">
        <f t="shared" si="627"/>
        <v/>
      </c>
      <c r="EY363" s="60" t="e">
        <f>IF(EX363="",NA(),SUM($EX$4:EX363))</f>
        <v>#N/A</v>
      </c>
      <c r="EZ363" s="60" t="str">
        <f t="shared" si="628"/>
        <v/>
      </c>
      <c r="FA363" s="60" t="e">
        <f>IF(EZ363="",NA(),SUM($EZ$4:EZ363))</f>
        <v>#N/A</v>
      </c>
      <c r="FB363" s="246" t="str">
        <f t="shared" si="652"/>
        <v/>
      </c>
      <c r="FC363" s="246" t="e">
        <f>IF($FB363="",#N/A,SUM(FB$4:$FB363))</f>
        <v>#N/A</v>
      </c>
      <c r="FD363" s="60" t="str">
        <f t="shared" si="629"/>
        <v/>
      </c>
      <c r="FE363" s="60" t="e">
        <f>IF($FD363="",#N/A,SUM($FD$4:FD363))</f>
        <v>#N/A</v>
      </c>
      <c r="FF363" s="60">
        <f t="shared" si="630"/>
        <v>-0.80641631652661006</v>
      </c>
      <c r="FG363" s="60">
        <f>IF($FF363="",#N/A,SUM($FF$4:FF363))</f>
        <v>-7.4085158801536952</v>
      </c>
      <c r="FH363" s="60" t="str">
        <f t="shared" si="631"/>
        <v/>
      </c>
      <c r="FI363" s="60" t="e">
        <f>IF($FH363="",#N/A,SUM($FH$4:FH363))</f>
        <v>#N/A</v>
      </c>
      <c r="FJ363" s="60" t="str">
        <f t="shared" si="632"/>
        <v/>
      </c>
      <c r="FK363" s="60" t="e">
        <f>IF($FJ363="",#N/A,SUM($FJ$4:FJ363))</f>
        <v>#N/A</v>
      </c>
      <c r="FL363" s="60" t="str">
        <f t="shared" si="633"/>
        <v/>
      </c>
      <c r="FM363" s="60" t="e">
        <f>IF($FL363="",#N/A,SUM($FL$4:FL363))</f>
        <v>#N/A</v>
      </c>
      <c r="FN363" s="82">
        <f t="shared" si="634"/>
        <v>-0.3195028011204471</v>
      </c>
      <c r="FO363" s="82">
        <f>IF($FN363="",#N/A,SUM(FN$4:$FN363))</f>
        <v>52.701748105677609</v>
      </c>
      <c r="FP363" s="82">
        <f t="shared" si="653"/>
        <v>0.4869135154061629</v>
      </c>
      <c r="FQ363" s="246">
        <f>IF($EH363="",#N/A,SUM($FP$4:FP363))</f>
        <v>56.297757820261516</v>
      </c>
      <c r="FR363" s="82">
        <f>IFERROR(FQ363/COUNTA($J$4:J363),#N/A)</f>
        <v>0.15638266061183753</v>
      </c>
      <c r="FS363" s="82">
        <f t="shared" si="554"/>
        <v>-6.1072168292709533E-2</v>
      </c>
      <c r="FT363" s="82">
        <f t="shared" si="555"/>
        <v>0.28718208691137792</v>
      </c>
      <c r="FU363" s="338">
        <f t="shared" si="658"/>
        <v>27.706682341407898</v>
      </c>
      <c r="FV363" s="57" t="str">
        <f t="shared" si="659"/>
        <v>Up</v>
      </c>
      <c r="FW363" s="57" t="s">
        <v>2733</v>
      </c>
      <c r="FX363" s="57">
        <f t="shared" si="635"/>
        <v>1</v>
      </c>
      <c r="FY363" s="57" t="str">
        <f t="shared" si="636"/>
        <v/>
      </c>
      <c r="FZ363" s="57" t="str">
        <f t="shared" si="637"/>
        <v/>
      </c>
      <c r="GA363" s="57" t="str">
        <f t="shared" si="638"/>
        <v>Long</v>
      </c>
      <c r="GB363" s="57" t="str">
        <f t="shared" si="639"/>
        <v/>
      </c>
      <c r="GC363" s="57" t="str">
        <f t="shared" si="640"/>
        <v/>
      </c>
      <c r="GD363" s="57" t="str">
        <f t="shared" si="641"/>
        <v/>
      </c>
      <c r="GE363" s="62">
        <f t="shared" si="557"/>
        <v>152.32</v>
      </c>
      <c r="GF363" s="62" t="s">
        <v>2779</v>
      </c>
      <c r="GG363" s="199">
        <v>11</v>
      </c>
      <c r="GH363" s="207">
        <f t="shared" si="642"/>
        <v>1675.52</v>
      </c>
      <c r="GI363" s="199">
        <v>11</v>
      </c>
      <c r="GJ363" s="200">
        <v>156.77000000000001</v>
      </c>
      <c r="GK363" s="63">
        <f t="shared" si="643"/>
        <v>48.950000000000045</v>
      </c>
      <c r="GL363" s="63">
        <f t="shared" si="558"/>
        <v>-32.119999999999891</v>
      </c>
      <c r="GM363" s="82" t="str">
        <f t="shared" si="644"/>
        <v/>
      </c>
      <c r="GN363" s="82">
        <f>IF($GZ363="",#N/A,SUM(GM$4:GM363))</f>
        <v>14.18803059059721</v>
      </c>
      <c r="GO363" s="82">
        <f t="shared" si="645"/>
        <v>-0.3195028011204471</v>
      </c>
      <c r="GP363" s="82">
        <f>IF($GZ363="",#N/A,SUM(GO$4:GO363))</f>
        <v>9.0135131776337367</v>
      </c>
      <c r="GQ363" s="82" t="str">
        <f t="shared" si="646"/>
        <v/>
      </c>
      <c r="GR363" s="82">
        <f>IF($GZ363="",#N/A,SUM(GQ$4:GQ363))</f>
        <v>28.874367383004316</v>
      </c>
      <c r="GS363" s="63" t="str">
        <f t="shared" si="654"/>
        <v/>
      </c>
      <c r="GT363" s="63" t="e">
        <f>IF($GZ363="",#N/A,SUM(GS$4:GS363))</f>
        <v>#N/A</v>
      </c>
      <c r="GU363" s="63" t="e">
        <f t="shared" si="655"/>
        <v>#N/A</v>
      </c>
      <c r="GV363" s="63" t="e">
        <f>IF($GZ363="",#N/A,SUM(GU$4:GU363))</f>
        <v>#N/A</v>
      </c>
      <c r="GW363" s="63" t="str">
        <f t="shared" si="656"/>
        <v/>
      </c>
      <c r="GX363" s="63" t="e">
        <f>IF($GZ363="",#N/A,SUM(GW$4:GW363))</f>
        <v>#N/A</v>
      </c>
      <c r="GY363" s="63" t="e">
        <f>IF(EJ363="",#N/A,SUM($EJ$4:EJ363))</f>
        <v>#N/A</v>
      </c>
      <c r="GZ363" s="159">
        <v>149.4</v>
      </c>
      <c r="HA363" s="63">
        <f t="shared" si="647"/>
        <v>-81.069999999999936</v>
      </c>
      <c r="HB363" s="62" t="s">
        <v>2538</v>
      </c>
      <c r="HC363" s="60">
        <f>IFERROR(VLOOKUP(E363,Expectancy!$P$4:$S$19,1+C363,FALSE),"")</f>
        <v>0.43526476867969371</v>
      </c>
      <c r="HD363" s="82">
        <f t="shared" si="648"/>
        <v>0.4869135154061629</v>
      </c>
      <c r="HE363" s="138">
        <f>IF(HD363="",#N/A,SUM($HD$4:HD363))</f>
        <v>14.061075478853615</v>
      </c>
      <c r="HF363" s="85">
        <f>IF(HD363="",#N/A,IF(HB363="Skip",#N/A,SUM($HG$4:HG363)))</f>
        <v>698.33657921915528</v>
      </c>
      <c r="HG363" s="63">
        <f t="shared" si="649"/>
        <v>48.950000000000045</v>
      </c>
      <c r="HH363" s="82">
        <f t="shared" si="650"/>
        <v>-0.3195028011204471</v>
      </c>
    </row>
    <row r="364" spans="1:216" x14ac:dyDescent="0.25">
      <c r="A364" s="57" t="s">
        <v>667</v>
      </c>
      <c r="B364" s="58" t="s">
        <v>5248</v>
      </c>
      <c r="C364" s="386">
        <f t="shared" si="561"/>
        <v>1</v>
      </c>
      <c r="D364" s="372" t="str">
        <f>_xlfn.XLOOKUP(A364,[1]SP500!$A$2:$A$502,[1]SP500!$D$2:$D$502,"N")</f>
        <v>Y</v>
      </c>
      <c r="E364" s="57" t="str">
        <f>_xlfn.XLOOKUP(A364,[1]SP500!$A$2:$A$655,[1]SP500!$B$2:$B$655)</f>
        <v>XLV</v>
      </c>
      <c r="F364" s="59">
        <v>45708</v>
      </c>
      <c r="G364" s="57" t="str">
        <f t="shared" si="562"/>
        <v>AMC</v>
      </c>
      <c r="H364" s="57" t="str">
        <f t="shared" si="563"/>
        <v>s</v>
      </c>
      <c r="I364" s="159">
        <v>288.29000000000002</v>
      </c>
      <c r="J364" s="159">
        <v>276.35000000000002</v>
      </c>
      <c r="K364" s="61">
        <f t="shared" si="564"/>
        <v>-4.1416629088764777E-2</v>
      </c>
      <c r="L364" s="87">
        <f t="shared" si="565"/>
        <v>-71.6400000000001</v>
      </c>
      <c r="M364" s="130">
        <f t="shared" si="556"/>
        <v>0</v>
      </c>
      <c r="N364" s="169">
        <f t="shared" si="566"/>
        <v>-71.6400000000001</v>
      </c>
      <c r="O364" s="169">
        <f>IF($J364="",#N/A,SUM($N$4:N364))</f>
        <v>116.84671935422443</v>
      </c>
      <c r="P364" s="174" t="str">
        <f t="shared" si="567"/>
        <v/>
      </c>
      <c r="Q364" s="174">
        <f>IF($J364="",#N/A,SUM($P$4:P364))</f>
        <v>435.28999224504321</v>
      </c>
      <c r="R364" s="178" t="str">
        <f t="shared" si="568"/>
        <v/>
      </c>
      <c r="S364" s="178">
        <f>IF($J364="",#N/A,SUM($R$4:R364))</f>
        <v>901.81854104386684</v>
      </c>
      <c r="T364" s="290">
        <f t="shared" si="569"/>
        <v>-0.69027715147941404</v>
      </c>
      <c r="U364" s="290">
        <f>IF($J364="",#N/A,SUM($T$4:T364))</f>
        <v>14.900419388753717</v>
      </c>
      <c r="V364" s="291" t="str">
        <f t="shared" si="570"/>
        <v/>
      </c>
      <c r="W364" s="291">
        <f>IF($J364="",#N/A,SUM($V$4:V364))</f>
        <v>23.925757159446615</v>
      </c>
      <c r="X364" s="292" t="str">
        <f t="shared" si="571"/>
        <v/>
      </c>
      <c r="Y364" s="292">
        <f>IF($J364="",#N/A,SUM($X$4:X364))</f>
        <v>16.781304120581794</v>
      </c>
      <c r="Z364" s="304" t="str">
        <f t="shared" si="572"/>
        <v/>
      </c>
      <c r="AA364" s="313" t="e">
        <f>IF($J364="",#N/A,SUM(Z$4:Z364))</f>
        <v>#N/A</v>
      </c>
      <c r="AB364" s="314" t="str">
        <f t="shared" si="573"/>
        <v/>
      </c>
      <c r="AC364" s="314" t="e">
        <f>IF($J364="",#N/A,SUM(AB$4:AB364))</f>
        <v>#N/A</v>
      </c>
      <c r="AD364" s="315" t="str">
        <f t="shared" si="574"/>
        <v/>
      </c>
      <c r="AE364" s="315" t="e">
        <f>IF($J364="",#N/A,SUM(AD$4:AD364))</f>
        <v>#N/A</v>
      </c>
      <c r="AF364" s="315" t="e">
        <f>IF($J364="",#N/A,SUM(AD$4:AD364,AB$4:AB364,Z$4:Z364))</f>
        <v>#N/A</v>
      </c>
      <c r="AG364" s="304" t="str">
        <f t="shared" si="575"/>
        <v/>
      </c>
      <c r="AH364" s="313" t="e">
        <f>IF($J364="",#N/A,SUM(AG$4:AG364))</f>
        <v>#N/A</v>
      </c>
      <c r="AI364" s="314" t="str">
        <f t="shared" si="576"/>
        <v/>
      </c>
      <c r="AJ364" s="314" t="e">
        <f>IF($J364="",#N/A,SUM(AI$4:AI364))</f>
        <v>#N/A</v>
      </c>
      <c r="AK364" s="315" t="str">
        <f t="shared" si="577"/>
        <v/>
      </c>
      <c r="AL364" s="315" t="e">
        <f>IF($J364="",#N/A,SUM(AK$4:AK364))</f>
        <v>#N/A</v>
      </c>
      <c r="AM364" s="315" t="e">
        <f>IF($J364="",#N/A,SUM(AK$4:AK364,AI$4:AI364,AG$4:AG364))</f>
        <v>#N/A</v>
      </c>
      <c r="AN364" s="304" t="str">
        <f t="shared" si="578"/>
        <v/>
      </c>
      <c r="AO364" s="313" t="e">
        <f>IF($J364="",#N/A,SUM(AN$4:AN364))</f>
        <v>#N/A</v>
      </c>
      <c r="AP364" s="314" t="str">
        <f t="shared" si="579"/>
        <v/>
      </c>
      <c r="AQ364" s="314" t="e">
        <f>IF($J364="",#N/A,SUM(AP$4:AP364))</f>
        <v>#N/A</v>
      </c>
      <c r="AR364" s="315" t="str">
        <f t="shared" si="580"/>
        <v/>
      </c>
      <c r="AS364" s="315" t="e">
        <f>IF($J364="",#N/A,SUM(AR$4:AR364))</f>
        <v>#N/A</v>
      </c>
      <c r="AT364" s="315" t="e">
        <f>IF($J364="",#N/A,SUM(AR$4:AR364,AP$4:AP364,AN$4:AN364))</f>
        <v>#N/A</v>
      </c>
      <c r="AU364" s="304" t="str">
        <f t="shared" si="581"/>
        <v/>
      </c>
      <c r="AV364" s="313" t="e">
        <f>IF($J364="",#N/A,SUM(AU$4:AU364))</f>
        <v>#N/A</v>
      </c>
      <c r="AW364" s="314" t="str">
        <f t="shared" si="582"/>
        <v/>
      </c>
      <c r="AX364" s="314" t="e">
        <f>IF($J364="",#N/A,SUM(AW$4:AW364))</f>
        <v>#N/A</v>
      </c>
      <c r="AY364" s="315" t="str">
        <f t="shared" si="583"/>
        <v/>
      </c>
      <c r="AZ364" s="315" t="e">
        <f>IF($J364="",#N/A,SUM(AY$4:AY364))</f>
        <v>#N/A</v>
      </c>
      <c r="BA364" s="315" t="e">
        <f>IF($J364="",#N/A,SUM(AY$4:AY364,AW$4:AW364,AU$4:AU364))</f>
        <v>#N/A</v>
      </c>
      <c r="BB364" s="304" t="str">
        <f t="shared" si="584"/>
        <v/>
      </c>
      <c r="BC364" s="313" t="e">
        <f>IF($J364="",#N/A,SUM(BB$4:BB364))</f>
        <v>#N/A</v>
      </c>
      <c r="BD364" s="314" t="str">
        <f t="shared" si="585"/>
        <v/>
      </c>
      <c r="BE364" s="314" t="e">
        <f>IF($J364="",#N/A,SUM(BD$4:BD364))</f>
        <v>#N/A</v>
      </c>
      <c r="BF364" s="315" t="str">
        <f t="shared" si="586"/>
        <v/>
      </c>
      <c r="BG364" s="315" t="e">
        <f>IF($J364="",#N/A,SUM(BF$4:BF364))</f>
        <v>#N/A</v>
      </c>
      <c r="BH364" s="315" t="e">
        <f>IF($J364="",#N/A,SUM(BF$4:BF364,BD$4:BD364,BB$4:BB364))</f>
        <v>#N/A</v>
      </c>
      <c r="BI364" s="304" t="str">
        <f t="shared" si="587"/>
        <v/>
      </c>
      <c r="BJ364" s="313" t="e">
        <f>IF($J364="",#N/A,SUM(BI$4:BI364))</f>
        <v>#N/A</v>
      </c>
      <c r="BK364" s="314" t="str">
        <f t="shared" si="588"/>
        <v/>
      </c>
      <c r="BL364" s="314" t="e">
        <f>IF($J364="",#N/A,SUM(BK$4:BK364))</f>
        <v>#N/A</v>
      </c>
      <c r="BM364" s="315" t="str">
        <f t="shared" si="589"/>
        <v/>
      </c>
      <c r="BN364" s="315" t="e">
        <f>IF($J364="",#N/A,SUM(BM$4:BM364))</f>
        <v>#N/A</v>
      </c>
      <c r="BO364" s="315" t="e">
        <f>IF($J364="",#N/A,SUM(BM$4:BM364,BK$4:BK364,BI$4:BI364))</f>
        <v>#N/A</v>
      </c>
      <c r="BP364" s="304" t="str">
        <f t="shared" si="590"/>
        <v/>
      </c>
      <c r="BQ364" s="313" t="e">
        <f>IF($J364="",#N/A,SUM(BP$4:BP364))</f>
        <v>#N/A</v>
      </c>
      <c r="BR364" s="314" t="str">
        <f t="shared" si="591"/>
        <v/>
      </c>
      <c r="BS364" s="314" t="e">
        <f>IF($J364="",#N/A,SUM(BR$4:BR364))</f>
        <v>#N/A</v>
      </c>
      <c r="BT364" s="315" t="str">
        <f t="shared" si="592"/>
        <v/>
      </c>
      <c r="BU364" s="315" t="e">
        <f>IF($J364="",#N/A,SUM(BT$4:BT364))</f>
        <v>#N/A</v>
      </c>
      <c r="BV364" s="315" t="e">
        <f>IF($J364="",#N/A,SUM(BT$4:BT364,BR$4:BR364,BP$4:BP364))</f>
        <v>#N/A</v>
      </c>
      <c r="BW364" s="304">
        <f t="shared" si="593"/>
        <v>-0.69027715147941404</v>
      </c>
      <c r="BX364" s="313" t="e">
        <f>IF($J364="",#N/A,SUM(BW$4:BW364))</f>
        <v>#N/A</v>
      </c>
      <c r="BY364" s="314" t="str">
        <f t="shared" si="594"/>
        <v/>
      </c>
      <c r="BZ364" s="314" t="e">
        <f>IF($J364="",#N/A,SUM(BY$4:BY364))</f>
        <v>#N/A</v>
      </c>
      <c r="CA364" s="315" t="str">
        <f t="shared" si="595"/>
        <v/>
      </c>
      <c r="CB364" s="315" t="e">
        <f>IF($J364="",#N/A,SUM(CA$4:CA364))</f>
        <v>#N/A</v>
      </c>
      <c r="CC364" s="315" t="e">
        <f>IF($J364="",#N/A,SUM(CA$4:CA364,BY$4:BY364,BW$4:BW364))</f>
        <v>#N/A</v>
      </c>
      <c r="CD364" s="304" t="str">
        <f t="shared" si="596"/>
        <v/>
      </c>
      <c r="CE364" s="313" t="e">
        <f>IF($J364="",#N/A,SUM(CD$4:CD364))</f>
        <v>#N/A</v>
      </c>
      <c r="CF364" s="314" t="str">
        <f t="shared" si="597"/>
        <v/>
      </c>
      <c r="CG364" s="314" t="e">
        <f>IF($J364="",#N/A,SUM(CF$4:CF364))</f>
        <v>#N/A</v>
      </c>
      <c r="CH364" s="315" t="str">
        <f t="shared" si="598"/>
        <v/>
      </c>
      <c r="CI364" s="315" t="e">
        <f>IF($J364="",#N/A,SUM(CH$4:CH364))</f>
        <v>#N/A</v>
      </c>
      <c r="CJ364" s="315" t="e">
        <f>IF($J364="",#N/A,SUM(CH$4:CH364,CF$4:CF364,CD$4:CD364))</f>
        <v>#N/A</v>
      </c>
      <c r="CK364" s="304" t="str">
        <f t="shared" si="599"/>
        <v/>
      </c>
      <c r="CL364" s="313" t="e">
        <f>IF($J364="",#N/A,SUM(CK$4:CK364))</f>
        <v>#N/A</v>
      </c>
      <c r="CM364" s="314" t="str">
        <f t="shared" si="600"/>
        <v/>
      </c>
      <c r="CN364" s="314" t="e">
        <f>IF($J364="",#N/A,SUM(CM$4:CM364))</f>
        <v>#N/A</v>
      </c>
      <c r="CO364" s="315" t="str">
        <f t="shared" si="601"/>
        <v/>
      </c>
      <c r="CP364" s="315" t="e">
        <f>IF($J364="",#N/A,SUM(CO$4:CO364))</f>
        <v>#N/A</v>
      </c>
      <c r="CQ364" s="315" t="e">
        <f>IF($J364="",#N/A,SUM(CO$4:CO364,CM$4:CM364,CK$4:CK364))</f>
        <v>#N/A</v>
      </c>
      <c r="CR364" s="304" t="str">
        <f t="shared" si="602"/>
        <v/>
      </c>
      <c r="CS364" s="313" t="e">
        <f>IF($J364="",#N/A,SUM(CR$4:CR364))</f>
        <v>#N/A</v>
      </c>
      <c r="CT364" s="314" t="str">
        <f t="shared" si="603"/>
        <v/>
      </c>
      <c r="CU364" s="314" t="e">
        <f>IF($J364="",#N/A,SUM(CT$4:CT364))</f>
        <v>#N/A</v>
      </c>
      <c r="CV364" s="315" t="str">
        <f t="shared" si="604"/>
        <v/>
      </c>
      <c r="CW364" s="315" t="e">
        <f>IF($J364="",#N/A,SUM(CV$4:CV364))</f>
        <v>#N/A</v>
      </c>
      <c r="CX364" s="315" t="e">
        <f>IF($J364="",#N/A,SUM(CV$4:CV364,CT$4:CT364,CR$4:CR364))</f>
        <v>#N/A</v>
      </c>
      <c r="CY364" s="304" t="str">
        <f t="shared" si="605"/>
        <v/>
      </c>
      <c r="CZ364" s="313" t="e">
        <f>IF($J364="",#N/A,SUM(CY$4:CY364))</f>
        <v>#N/A</v>
      </c>
      <c r="DA364" s="314" t="str">
        <f t="shared" si="606"/>
        <v/>
      </c>
      <c r="DB364" s="314" t="e">
        <f>IF($J364="",#N/A,SUM(DA$4:DA364))</f>
        <v>#N/A</v>
      </c>
      <c r="DC364" s="315" t="str">
        <f t="shared" si="607"/>
        <v/>
      </c>
      <c r="DD364" s="315" t="e">
        <f>IF($J364="",#N/A,SUM(DC$4:DC364))</f>
        <v>#N/A</v>
      </c>
      <c r="DE364" s="315" t="e">
        <f>IF($J364="",#N/A,SUM(DC$4:DC364,DA$4:DA364,CY$4:CY364))</f>
        <v>#N/A</v>
      </c>
      <c r="DF364" s="304" t="str">
        <f t="shared" si="608"/>
        <v/>
      </c>
      <c r="DG364" s="313" t="e">
        <f>IF($J364="",#N/A,SUM(DF$4:DF364))</f>
        <v>#N/A</v>
      </c>
      <c r="DH364" s="314" t="str">
        <f t="shared" si="609"/>
        <v/>
      </c>
      <c r="DI364" s="314" t="e">
        <f>IF($J364="",#N/A,SUM(DH$4:DH364))</f>
        <v>#N/A</v>
      </c>
      <c r="DJ364" s="315" t="str">
        <f t="shared" si="610"/>
        <v/>
      </c>
      <c r="DK364" s="315" t="e">
        <f>IF($J364="",#N/A,SUM(DJ$4:DJ364))</f>
        <v>#N/A</v>
      </c>
      <c r="DL364" s="315" t="e">
        <f>IF($J364="",#N/A,SUM(DJ$4:DJ364,DH$4:DH364,DF$4:DF364))</f>
        <v>#N/A</v>
      </c>
      <c r="DM364" s="304" t="str">
        <f t="shared" si="611"/>
        <v/>
      </c>
      <c r="DN364" s="313" t="e">
        <f>IF($J364="",#N/A,SUM(DM$4:DM364))</f>
        <v>#N/A</v>
      </c>
      <c r="DO364" s="314" t="str">
        <f t="shared" si="612"/>
        <v/>
      </c>
      <c r="DP364" s="314" t="e">
        <f>IF($J364="",#N/A,SUM(DO$4:DO364))</f>
        <v>#N/A</v>
      </c>
      <c r="DQ364" s="315" t="str">
        <f t="shared" si="613"/>
        <v/>
      </c>
      <c r="DR364" s="315" t="e">
        <f>IF($J364="",#N/A,SUM(DQ$4:DQ364))</f>
        <v>#N/A</v>
      </c>
      <c r="DS364" s="315" t="e">
        <f>IF($J364="",#N/A,SUM(DQ$4:DQ364,DO$4:DO364,DM$4:DM364))</f>
        <v>#N/A</v>
      </c>
      <c r="DT364" s="304" t="str">
        <f t="shared" si="614"/>
        <v/>
      </c>
      <c r="DU364" s="313" t="e">
        <f>IF($J364="",#N/A,SUM(DT$4:DT364))</f>
        <v>#N/A</v>
      </c>
      <c r="DV364" s="314" t="str">
        <f t="shared" si="615"/>
        <v/>
      </c>
      <c r="DW364" s="314" t="e">
        <f>IF($J364="",#N/A,SUM(DV$4:DV364))</f>
        <v>#N/A</v>
      </c>
      <c r="DX364" s="315" t="str">
        <f t="shared" si="616"/>
        <v/>
      </c>
      <c r="DY364" s="315" t="e">
        <f>IF($J364="",#N/A,SUM(DX$4:DX364))</f>
        <v>#N/A</v>
      </c>
      <c r="DZ364" s="315" t="e">
        <f>IF($J364="",#N/A,SUM(DX$4:DX364,DV$4:DV364,DT$4:DT364))</f>
        <v>#N/A</v>
      </c>
      <c r="EA364" s="304" t="str">
        <f t="shared" si="617"/>
        <v/>
      </c>
      <c r="EB364" s="313" t="e">
        <f>IF($J364="",#N/A,SUM(EA$4:EA364))</f>
        <v>#N/A</v>
      </c>
      <c r="EC364" s="314" t="str">
        <f t="shared" si="618"/>
        <v/>
      </c>
      <c r="ED364" s="314" t="e">
        <f>IF($J364="",#N/A,SUM(EC$4:EC364))</f>
        <v>#N/A</v>
      </c>
      <c r="EE364" s="315" t="str">
        <f t="shared" si="619"/>
        <v/>
      </c>
      <c r="EF364" s="315" t="e">
        <f>IF($J364="",#N/A,SUM(EE$4:EE364))</f>
        <v>#N/A</v>
      </c>
      <c r="EG364" s="315" t="e">
        <f>IF($J364="",#N/A,SUM(EE$4:EE364,EC$4:EC364,EA$4:EA364))</f>
        <v>#N/A</v>
      </c>
      <c r="EH364" s="130">
        <f t="shared" si="620"/>
        <v>-71.6400000000001</v>
      </c>
      <c r="EI364" s="63">
        <f>IF(EH364="",#N/A,SUM($EH$4:EH364))</f>
        <v>1453.9552526431346</v>
      </c>
      <c r="EJ364" s="223" t="e">
        <f t="shared" si="621"/>
        <v>#N/A</v>
      </c>
      <c r="EK364" s="63" t="e">
        <f>IF($GZ364="",#N/A,SUM(EJ$4:EJ364))</f>
        <v>#N/A</v>
      </c>
      <c r="EL364" s="60">
        <f t="shared" si="651"/>
        <v>-0.69027715147941404</v>
      </c>
      <c r="EM364" s="60">
        <f>IF(EL364="",NA(),SUM($EL$4:EL364))</f>
        <v>28.436112191214676</v>
      </c>
      <c r="EN364" s="60">
        <f t="shared" si="622"/>
        <v>-0.69027715147941404</v>
      </c>
      <c r="EO364" s="60">
        <f>IF(EN364="",NA(),SUM($EN$4:EN364))</f>
        <v>8.1717516857526604</v>
      </c>
      <c r="EP364" s="60" t="str">
        <f t="shared" si="623"/>
        <v/>
      </c>
      <c r="EQ364" s="60" t="e">
        <f>IF(EP364="",NA(),SUM($EP$4:EP364))</f>
        <v>#N/A</v>
      </c>
      <c r="ER364" s="60" t="str">
        <f t="shared" si="624"/>
        <v/>
      </c>
      <c r="ES364" s="60" t="e">
        <f>IF(ER364="",NA(),SUM($ER$4:ER364))</f>
        <v>#N/A</v>
      </c>
      <c r="ET364" s="60" t="str">
        <f t="shared" si="625"/>
        <v/>
      </c>
      <c r="EU364" s="60" t="e">
        <f>IF(ET364="",NA(),SUM($ET$4:ET364))</f>
        <v>#N/A</v>
      </c>
      <c r="EV364" s="60" t="str">
        <f t="shared" si="626"/>
        <v/>
      </c>
      <c r="EW364" s="60" t="e">
        <f>IF(EV364="",NA(),SUM($EV$4:EV364))</f>
        <v>#N/A</v>
      </c>
      <c r="EX364" s="60" t="str">
        <f t="shared" si="627"/>
        <v/>
      </c>
      <c r="EY364" s="60" t="e">
        <f>IF(EX364="",NA(),SUM($EX$4:EX364))</f>
        <v>#N/A</v>
      </c>
      <c r="EZ364" s="60" t="str">
        <f t="shared" si="628"/>
        <v/>
      </c>
      <c r="FA364" s="60" t="e">
        <f>IF(EZ364="",NA(),SUM($EZ$4:EZ364))</f>
        <v>#N/A</v>
      </c>
      <c r="FB364" s="246" t="str">
        <f t="shared" si="652"/>
        <v/>
      </c>
      <c r="FC364" s="246" t="e">
        <f>IF($FB364="",#N/A,SUM(FB$4:$FB364))</f>
        <v>#N/A</v>
      </c>
      <c r="FD364" s="60" t="str">
        <f t="shared" si="629"/>
        <v/>
      </c>
      <c r="FE364" s="60" t="e">
        <f>IF($FD364="",#N/A,SUM($FD$4:FD364))</f>
        <v>#N/A</v>
      </c>
      <c r="FF364" s="60" t="str">
        <f t="shared" si="630"/>
        <v/>
      </c>
      <c r="FG364" s="60" t="e">
        <f>IF($FF364="",#N/A,SUM($FF$4:FF364))</f>
        <v>#N/A</v>
      </c>
      <c r="FH364" s="60">
        <f t="shared" si="631"/>
        <v>0.37288841097506026</v>
      </c>
      <c r="FI364" s="60">
        <f>IF($FH364="",#N/A,SUM($FH$4:FH364))</f>
        <v>1.2042209285293572</v>
      </c>
      <c r="FJ364" s="60" t="str">
        <f t="shared" si="632"/>
        <v/>
      </c>
      <c r="FK364" s="60" t="e">
        <f>IF($FJ364="",#N/A,SUM($FJ$4:FJ364))</f>
        <v>#N/A</v>
      </c>
      <c r="FL364" s="60" t="str">
        <f t="shared" si="633"/>
        <v/>
      </c>
      <c r="FM364" s="60" t="e">
        <f>IF($FL364="",#N/A,SUM($FL$4:FL364))</f>
        <v>#N/A</v>
      </c>
      <c r="FN364" s="82">
        <f t="shared" si="634"/>
        <v>-0.31738874050435378</v>
      </c>
      <c r="FO364" s="82">
        <f>IF($FN364="",#N/A,SUM(FN$4:$FN364))</f>
        <v>52.384359365173253</v>
      </c>
      <c r="FP364" s="82">
        <f t="shared" si="653"/>
        <v>-0.69027715147941404</v>
      </c>
      <c r="FQ364" s="246">
        <f>IF($EH364="",#N/A,SUM($FP$4:FP364))</f>
        <v>55.607480668782102</v>
      </c>
      <c r="FR364" s="82">
        <f>IFERROR(FQ364/COUNTA($J$4:J364),#N/A)</f>
        <v>0.1540373425728036</v>
      </c>
      <c r="FS364" s="82">
        <f t="shared" si="554"/>
        <v>-5.208421389111919E-2</v>
      </c>
      <c r="FT364" s="82">
        <f t="shared" si="555"/>
        <v>0.29894911478461039</v>
      </c>
      <c r="FU364" s="338">
        <f t="shared" si="658"/>
        <v>27.706682341407898</v>
      </c>
      <c r="FV364" s="57" t="str">
        <f t="shared" si="659"/>
        <v>Up</v>
      </c>
      <c r="FW364" s="57" t="s">
        <v>2734</v>
      </c>
      <c r="FX364" s="57" t="str">
        <f t="shared" si="635"/>
        <v/>
      </c>
      <c r="FY364" s="57" t="str">
        <f t="shared" si="636"/>
        <v/>
      </c>
      <c r="FZ364" s="57" t="str">
        <f t="shared" si="637"/>
        <v/>
      </c>
      <c r="GA364" s="57" t="str">
        <f t="shared" si="638"/>
        <v>Long</v>
      </c>
      <c r="GB364" s="57" t="str">
        <f t="shared" si="639"/>
        <v/>
      </c>
      <c r="GC364" s="57">
        <f t="shared" si="640"/>
        <v>1</v>
      </c>
      <c r="GD364" s="57" t="str">
        <f t="shared" si="641"/>
        <v/>
      </c>
      <c r="GE364" s="62">
        <f t="shared" si="557"/>
        <v>288.29000000000002</v>
      </c>
      <c r="GF364" s="62" t="s">
        <v>2779</v>
      </c>
      <c r="GG364" s="199">
        <v>6</v>
      </c>
      <c r="GH364" s="207">
        <f t="shared" si="642"/>
        <v>1729.7400000000002</v>
      </c>
      <c r="GI364" s="199">
        <v>6</v>
      </c>
      <c r="GJ364" s="200">
        <v>276.35000000000002</v>
      </c>
      <c r="GK364" s="63">
        <f t="shared" si="643"/>
        <v>-71.6400000000001</v>
      </c>
      <c r="GL364" s="63">
        <f t="shared" si="558"/>
        <v>-32.940000000000055</v>
      </c>
      <c r="GM364" s="82" t="str">
        <f t="shared" si="644"/>
        <v/>
      </c>
      <c r="GN364" s="82">
        <f>IF($GZ364="",#N/A,SUM(GM$4:GM364))</f>
        <v>14.18803059059721</v>
      </c>
      <c r="GO364" s="82">
        <f t="shared" si="645"/>
        <v>-0.31738874050435378</v>
      </c>
      <c r="GP364" s="82">
        <f>IF($GZ364="",#N/A,SUM(GO$4:GO364))</f>
        <v>8.6961244371293827</v>
      </c>
      <c r="GQ364" s="82" t="str">
        <f t="shared" si="646"/>
        <v/>
      </c>
      <c r="GR364" s="82">
        <f>IF($GZ364="",#N/A,SUM(GQ$4:GQ364))</f>
        <v>28.874367383004316</v>
      </c>
      <c r="GS364" s="63" t="str">
        <f t="shared" si="654"/>
        <v/>
      </c>
      <c r="GT364" s="63" t="e">
        <f>IF($GZ364="",#N/A,SUM(GS$4:GS364))</f>
        <v>#N/A</v>
      </c>
      <c r="GU364" s="63" t="e">
        <f t="shared" si="655"/>
        <v>#N/A</v>
      </c>
      <c r="GV364" s="63" t="e">
        <f>IF($GZ364="",#N/A,SUM(GU$4:GU364))</f>
        <v>#N/A</v>
      </c>
      <c r="GW364" s="63" t="str">
        <f t="shared" si="656"/>
        <v/>
      </c>
      <c r="GX364" s="63" t="e">
        <f>IF($GZ364="",#N/A,SUM(GW$4:GW364))</f>
        <v>#N/A</v>
      </c>
      <c r="GY364" s="63" t="e">
        <f>IF(EJ364="",#N/A,SUM($EJ$4:EJ364))</f>
        <v>#N/A</v>
      </c>
      <c r="GZ364" s="159">
        <v>282.8</v>
      </c>
      <c r="HA364" s="63">
        <f t="shared" si="647"/>
        <v>38.700000000000045</v>
      </c>
      <c r="HB364" s="62" t="s">
        <v>2538</v>
      </c>
      <c r="HC364" s="60">
        <f>IFERROR(VLOOKUP(E364,Expectancy!$P$4:$S$19,1+C364,FALSE),"")</f>
        <v>-0.45514116799985843</v>
      </c>
      <c r="HD364" s="82">
        <f t="shared" si="648"/>
        <v>-0.69027715147941404</v>
      </c>
      <c r="HE364" s="138">
        <f>IF(HD364="",#N/A,SUM($HD$4:HD364))</f>
        <v>13.370798327374201</v>
      </c>
      <c r="HF364" s="85">
        <f>IF(HD364="",#N/A,IF(HB364="Skip",#N/A,SUM($HG$4:HG364)))</f>
        <v>626.69657921915518</v>
      </c>
      <c r="HG364" s="63">
        <f t="shared" si="649"/>
        <v>-71.6400000000001</v>
      </c>
      <c r="HH364" s="82">
        <f t="shared" si="650"/>
        <v>-0.31738874050435378</v>
      </c>
    </row>
    <row r="365" spans="1:216" x14ac:dyDescent="0.25">
      <c r="A365" s="57" t="s">
        <v>659</v>
      </c>
      <c r="B365" s="58" t="s">
        <v>5248</v>
      </c>
      <c r="C365" s="386">
        <f t="shared" si="561"/>
        <v>3</v>
      </c>
      <c r="D365" s="372" t="str">
        <f>_xlfn.XLOOKUP(A365,[1]SP500!$A$2:$A$502,[1]SP500!$D$2:$D$502,"N")</f>
        <v>Y</v>
      </c>
      <c r="E365" s="57" t="str">
        <f>_xlfn.XLOOKUP(A365,[1]SP500!$A$2:$A$655,[1]SP500!$B$2:$B$655)</f>
        <v>XLK</v>
      </c>
      <c r="F365" s="59">
        <v>45708</v>
      </c>
      <c r="G365" s="57" t="str">
        <f t="shared" si="562"/>
        <v>AMC</v>
      </c>
      <c r="H365" s="57" t="str">
        <f t="shared" si="563"/>
        <v>o</v>
      </c>
      <c r="I365" s="159">
        <v>98.03</v>
      </c>
      <c r="J365" s="159">
        <v>89</v>
      </c>
      <c r="K365" s="61">
        <f t="shared" si="564"/>
        <v>-9.2114658777925129E-2</v>
      </c>
      <c r="L365" s="87">
        <f t="shared" si="565"/>
        <v>-153.51</v>
      </c>
      <c r="M365" s="130" t="e">
        <f t="shared" si="556"/>
        <v>#N/A</v>
      </c>
      <c r="N365" s="169" t="str">
        <f t="shared" si="566"/>
        <v/>
      </c>
      <c r="O365" s="169">
        <f>IF($J365="",#N/A,SUM($N$4:N365))</f>
        <v>116.84671935422443</v>
      </c>
      <c r="P365" s="174" t="str">
        <f t="shared" si="567"/>
        <v/>
      </c>
      <c r="Q365" s="174">
        <f>IF($J365="",#N/A,SUM($P$4:P365))</f>
        <v>435.28999224504321</v>
      </c>
      <c r="R365" s="178">
        <f t="shared" si="568"/>
        <v>-153.51</v>
      </c>
      <c r="S365" s="178">
        <f>IF($J365="",#N/A,SUM($R$4:R365))</f>
        <v>748.30854104386685</v>
      </c>
      <c r="T365" s="290" t="str">
        <f t="shared" si="569"/>
        <v/>
      </c>
      <c r="U365" s="290">
        <f>IF($J365="",#N/A,SUM($T$4:T365))</f>
        <v>14.900419388753717</v>
      </c>
      <c r="V365" s="291" t="str">
        <f t="shared" si="570"/>
        <v/>
      </c>
      <c r="W365" s="291">
        <f>IF($J365="",#N/A,SUM($V$4:V365))</f>
        <v>23.925757159446615</v>
      </c>
      <c r="X365" s="292">
        <f t="shared" si="571"/>
        <v>-1.5352443129654187</v>
      </c>
      <c r="Y365" s="292">
        <f>IF($J365="",#N/A,SUM($X$4:X365))</f>
        <v>15.246059807616374</v>
      </c>
      <c r="Z365" s="304" t="str">
        <f t="shared" si="572"/>
        <v/>
      </c>
      <c r="AA365" s="313" t="e">
        <f>IF($J365="",#N/A,SUM(Z$4:Z365))</f>
        <v>#N/A</v>
      </c>
      <c r="AB365" s="314" t="str">
        <f t="shared" si="573"/>
        <v/>
      </c>
      <c r="AC365" s="314" t="e">
        <f>IF($J365="",#N/A,SUM(AB$4:AB365))</f>
        <v>#N/A</v>
      </c>
      <c r="AD365" s="315">
        <f t="shared" si="574"/>
        <v>-1.5352443129654187</v>
      </c>
      <c r="AE365" s="315" t="e">
        <f>IF($J365="",#N/A,SUM(AD$4:AD365))</f>
        <v>#N/A</v>
      </c>
      <c r="AF365" s="315" t="e">
        <f>IF($J365="",#N/A,SUM(AD$4:AD365,AB$4:AB365,Z$4:Z365))</f>
        <v>#N/A</v>
      </c>
      <c r="AG365" s="304" t="str">
        <f t="shared" si="575"/>
        <v/>
      </c>
      <c r="AH365" s="313" t="e">
        <f>IF($J365="",#N/A,SUM(AG$4:AG365))</f>
        <v>#N/A</v>
      </c>
      <c r="AI365" s="314" t="str">
        <f t="shared" si="576"/>
        <v/>
      </c>
      <c r="AJ365" s="314" t="e">
        <f>IF($J365="",#N/A,SUM(AI$4:AI365))</f>
        <v>#N/A</v>
      </c>
      <c r="AK365" s="315" t="str">
        <f t="shared" si="577"/>
        <v/>
      </c>
      <c r="AL365" s="315" t="e">
        <f>IF($J365="",#N/A,SUM(AK$4:AK365))</f>
        <v>#N/A</v>
      </c>
      <c r="AM365" s="315" t="e">
        <f>IF($J365="",#N/A,SUM(AK$4:AK365,AI$4:AI365,AG$4:AG365))</f>
        <v>#N/A</v>
      </c>
      <c r="AN365" s="304" t="str">
        <f t="shared" si="578"/>
        <v/>
      </c>
      <c r="AO365" s="313" t="e">
        <f>IF($J365="",#N/A,SUM(AN$4:AN365))</f>
        <v>#N/A</v>
      </c>
      <c r="AP365" s="314" t="str">
        <f t="shared" si="579"/>
        <v/>
      </c>
      <c r="AQ365" s="314" t="e">
        <f>IF($J365="",#N/A,SUM(AP$4:AP365))</f>
        <v>#N/A</v>
      </c>
      <c r="AR365" s="315" t="str">
        <f t="shared" si="580"/>
        <v/>
      </c>
      <c r="AS365" s="315" t="e">
        <f>IF($J365="",#N/A,SUM(AR$4:AR365))</f>
        <v>#N/A</v>
      </c>
      <c r="AT365" s="315" t="e">
        <f>IF($J365="",#N/A,SUM(AR$4:AR365,AP$4:AP365,AN$4:AN365))</f>
        <v>#N/A</v>
      </c>
      <c r="AU365" s="304" t="str">
        <f t="shared" si="581"/>
        <v/>
      </c>
      <c r="AV365" s="313" t="e">
        <f>IF($J365="",#N/A,SUM(AU$4:AU365))</f>
        <v>#N/A</v>
      </c>
      <c r="AW365" s="314" t="str">
        <f t="shared" si="582"/>
        <v/>
      </c>
      <c r="AX365" s="314" t="e">
        <f>IF($J365="",#N/A,SUM(AW$4:AW365))</f>
        <v>#N/A</v>
      </c>
      <c r="AY365" s="315" t="str">
        <f t="shared" si="583"/>
        <v/>
      </c>
      <c r="AZ365" s="315" t="e">
        <f>IF($J365="",#N/A,SUM(AY$4:AY365))</f>
        <v>#N/A</v>
      </c>
      <c r="BA365" s="315" t="e">
        <f>IF($J365="",#N/A,SUM(AY$4:AY365,AW$4:AW365,AU$4:AU365))</f>
        <v>#N/A</v>
      </c>
      <c r="BB365" s="304" t="str">
        <f t="shared" si="584"/>
        <v/>
      </c>
      <c r="BC365" s="313" t="e">
        <f>IF($J365="",#N/A,SUM(BB$4:BB365))</f>
        <v>#N/A</v>
      </c>
      <c r="BD365" s="314" t="str">
        <f t="shared" si="585"/>
        <v/>
      </c>
      <c r="BE365" s="314" t="e">
        <f>IF($J365="",#N/A,SUM(BD$4:BD365))</f>
        <v>#N/A</v>
      </c>
      <c r="BF365" s="315" t="str">
        <f t="shared" si="586"/>
        <v/>
      </c>
      <c r="BG365" s="315" t="e">
        <f>IF($J365="",#N/A,SUM(BF$4:BF365))</f>
        <v>#N/A</v>
      </c>
      <c r="BH365" s="315" t="e">
        <f>IF($J365="",#N/A,SUM(BF$4:BF365,BD$4:BD365,BB$4:BB365))</f>
        <v>#N/A</v>
      </c>
      <c r="BI365" s="304" t="str">
        <f t="shared" si="587"/>
        <v/>
      </c>
      <c r="BJ365" s="313" t="e">
        <f>IF($J365="",#N/A,SUM(BI$4:BI365))</f>
        <v>#N/A</v>
      </c>
      <c r="BK365" s="314" t="str">
        <f t="shared" si="588"/>
        <v/>
      </c>
      <c r="BL365" s="314" t="e">
        <f>IF($J365="",#N/A,SUM(BK$4:BK365))</f>
        <v>#N/A</v>
      </c>
      <c r="BM365" s="315" t="str">
        <f t="shared" si="589"/>
        <v/>
      </c>
      <c r="BN365" s="315" t="e">
        <f>IF($J365="",#N/A,SUM(BM$4:BM365))</f>
        <v>#N/A</v>
      </c>
      <c r="BO365" s="315" t="e">
        <f>IF($J365="",#N/A,SUM(BM$4:BM365,BK$4:BK365,BI$4:BI365))</f>
        <v>#N/A</v>
      </c>
      <c r="BP365" s="304" t="str">
        <f t="shared" si="590"/>
        <v/>
      </c>
      <c r="BQ365" s="313" t="e">
        <f>IF($J365="",#N/A,SUM(BP$4:BP365))</f>
        <v>#N/A</v>
      </c>
      <c r="BR365" s="314" t="str">
        <f t="shared" si="591"/>
        <v/>
      </c>
      <c r="BS365" s="314" t="e">
        <f>IF($J365="",#N/A,SUM(BR$4:BR365))</f>
        <v>#N/A</v>
      </c>
      <c r="BT365" s="315" t="str">
        <f t="shared" si="592"/>
        <v/>
      </c>
      <c r="BU365" s="315" t="e">
        <f>IF($J365="",#N/A,SUM(BT$4:BT365))</f>
        <v>#N/A</v>
      </c>
      <c r="BV365" s="315" t="e">
        <f>IF($J365="",#N/A,SUM(BT$4:BT365,BR$4:BR365,BP$4:BP365))</f>
        <v>#N/A</v>
      </c>
      <c r="BW365" s="304" t="str">
        <f t="shared" si="593"/>
        <v/>
      </c>
      <c r="BX365" s="313" t="e">
        <f>IF($J365="",#N/A,SUM(BW$4:BW365))</f>
        <v>#N/A</v>
      </c>
      <c r="BY365" s="314" t="str">
        <f t="shared" si="594"/>
        <v/>
      </c>
      <c r="BZ365" s="314" t="e">
        <f>IF($J365="",#N/A,SUM(BY$4:BY365))</f>
        <v>#N/A</v>
      </c>
      <c r="CA365" s="315" t="str">
        <f t="shared" si="595"/>
        <v/>
      </c>
      <c r="CB365" s="315" t="e">
        <f>IF($J365="",#N/A,SUM(CA$4:CA365))</f>
        <v>#N/A</v>
      </c>
      <c r="CC365" s="315" t="e">
        <f>IF($J365="",#N/A,SUM(CA$4:CA365,BY$4:BY365,BW$4:BW365))</f>
        <v>#N/A</v>
      </c>
      <c r="CD365" s="304" t="str">
        <f t="shared" si="596"/>
        <v/>
      </c>
      <c r="CE365" s="313" t="e">
        <f>IF($J365="",#N/A,SUM(CD$4:CD365))</f>
        <v>#N/A</v>
      </c>
      <c r="CF365" s="314" t="str">
        <f t="shared" si="597"/>
        <v/>
      </c>
      <c r="CG365" s="314" t="e">
        <f>IF($J365="",#N/A,SUM(CF$4:CF365))</f>
        <v>#N/A</v>
      </c>
      <c r="CH365" s="315" t="str">
        <f t="shared" si="598"/>
        <v/>
      </c>
      <c r="CI365" s="315" t="e">
        <f>IF($J365="",#N/A,SUM(CH$4:CH365))</f>
        <v>#N/A</v>
      </c>
      <c r="CJ365" s="315" t="e">
        <f>IF($J365="",#N/A,SUM(CH$4:CH365,CF$4:CF365,CD$4:CD365))</f>
        <v>#N/A</v>
      </c>
      <c r="CK365" s="304" t="str">
        <f t="shared" si="599"/>
        <v/>
      </c>
      <c r="CL365" s="313" t="e">
        <f>IF($J365="",#N/A,SUM(CK$4:CK365))</f>
        <v>#N/A</v>
      </c>
      <c r="CM365" s="314" t="str">
        <f t="shared" si="600"/>
        <v/>
      </c>
      <c r="CN365" s="314" t="e">
        <f>IF($J365="",#N/A,SUM(CM$4:CM365))</f>
        <v>#N/A</v>
      </c>
      <c r="CO365" s="315" t="str">
        <f t="shared" si="601"/>
        <v/>
      </c>
      <c r="CP365" s="315" t="e">
        <f>IF($J365="",#N/A,SUM(CO$4:CO365))</f>
        <v>#N/A</v>
      </c>
      <c r="CQ365" s="315" t="e">
        <f>IF($J365="",#N/A,SUM(CO$4:CO365,CM$4:CM365,CK$4:CK365))</f>
        <v>#N/A</v>
      </c>
      <c r="CR365" s="304" t="str">
        <f t="shared" si="602"/>
        <v/>
      </c>
      <c r="CS365" s="313" t="e">
        <f>IF($J365="",#N/A,SUM(CR$4:CR365))</f>
        <v>#N/A</v>
      </c>
      <c r="CT365" s="314" t="str">
        <f t="shared" si="603"/>
        <v/>
      </c>
      <c r="CU365" s="314" t="e">
        <f>IF($J365="",#N/A,SUM(CT$4:CT365))</f>
        <v>#N/A</v>
      </c>
      <c r="CV365" s="315" t="str">
        <f t="shared" si="604"/>
        <v/>
      </c>
      <c r="CW365" s="315" t="e">
        <f>IF($J365="",#N/A,SUM(CV$4:CV365))</f>
        <v>#N/A</v>
      </c>
      <c r="CX365" s="315" t="e">
        <f>IF($J365="",#N/A,SUM(CV$4:CV365,CT$4:CT365,CR$4:CR365))</f>
        <v>#N/A</v>
      </c>
      <c r="CY365" s="304" t="str">
        <f t="shared" si="605"/>
        <v/>
      </c>
      <c r="CZ365" s="313" t="e">
        <f>IF($J365="",#N/A,SUM(CY$4:CY365))</f>
        <v>#N/A</v>
      </c>
      <c r="DA365" s="314" t="str">
        <f t="shared" si="606"/>
        <v/>
      </c>
      <c r="DB365" s="314" t="e">
        <f>IF($J365="",#N/A,SUM(DA$4:DA365))</f>
        <v>#N/A</v>
      </c>
      <c r="DC365" s="315" t="str">
        <f t="shared" si="607"/>
        <v/>
      </c>
      <c r="DD365" s="315" t="e">
        <f>IF($J365="",#N/A,SUM(DC$4:DC365))</f>
        <v>#N/A</v>
      </c>
      <c r="DE365" s="315" t="e">
        <f>IF($J365="",#N/A,SUM(DC$4:DC365,DA$4:DA365,CY$4:CY365))</f>
        <v>#N/A</v>
      </c>
      <c r="DF365" s="304" t="str">
        <f t="shared" si="608"/>
        <v/>
      </c>
      <c r="DG365" s="313" t="e">
        <f>IF($J365="",#N/A,SUM(DF$4:DF365))</f>
        <v>#N/A</v>
      </c>
      <c r="DH365" s="314" t="str">
        <f t="shared" si="609"/>
        <v/>
      </c>
      <c r="DI365" s="314" t="e">
        <f>IF($J365="",#N/A,SUM(DH$4:DH365))</f>
        <v>#N/A</v>
      </c>
      <c r="DJ365" s="315" t="str">
        <f t="shared" si="610"/>
        <v/>
      </c>
      <c r="DK365" s="315" t="e">
        <f>IF($J365="",#N/A,SUM(DJ$4:DJ365))</f>
        <v>#N/A</v>
      </c>
      <c r="DL365" s="315" t="e">
        <f>IF($J365="",#N/A,SUM(DJ$4:DJ365,DH$4:DH365,DF$4:DF365))</f>
        <v>#N/A</v>
      </c>
      <c r="DM365" s="304" t="str">
        <f t="shared" si="611"/>
        <v/>
      </c>
      <c r="DN365" s="313" t="e">
        <f>IF($J365="",#N/A,SUM(DM$4:DM365))</f>
        <v>#N/A</v>
      </c>
      <c r="DO365" s="314" t="str">
        <f t="shared" si="612"/>
        <v/>
      </c>
      <c r="DP365" s="314" t="e">
        <f>IF($J365="",#N/A,SUM(DO$4:DO365))</f>
        <v>#N/A</v>
      </c>
      <c r="DQ365" s="315" t="str">
        <f t="shared" si="613"/>
        <v/>
      </c>
      <c r="DR365" s="315" t="e">
        <f>IF($J365="",#N/A,SUM(DQ$4:DQ365))</f>
        <v>#N/A</v>
      </c>
      <c r="DS365" s="315" t="e">
        <f>IF($J365="",#N/A,SUM(DQ$4:DQ365,DO$4:DO365,DM$4:DM365))</f>
        <v>#N/A</v>
      </c>
      <c r="DT365" s="304" t="str">
        <f t="shared" si="614"/>
        <v/>
      </c>
      <c r="DU365" s="313" t="e">
        <f>IF($J365="",#N/A,SUM(DT$4:DT365))</f>
        <v>#N/A</v>
      </c>
      <c r="DV365" s="314" t="str">
        <f t="shared" si="615"/>
        <v/>
      </c>
      <c r="DW365" s="314" t="e">
        <f>IF($J365="",#N/A,SUM(DV$4:DV365))</f>
        <v>#N/A</v>
      </c>
      <c r="DX365" s="315" t="str">
        <f t="shared" si="616"/>
        <v/>
      </c>
      <c r="DY365" s="315" t="e">
        <f>IF($J365="",#N/A,SUM(DX$4:DX365))</f>
        <v>#N/A</v>
      </c>
      <c r="DZ365" s="315" t="e">
        <f>IF($J365="",#N/A,SUM(DX$4:DX365,DV$4:DV365,DT$4:DT365))</f>
        <v>#N/A</v>
      </c>
      <c r="EA365" s="304" t="str">
        <f t="shared" si="617"/>
        <v/>
      </c>
      <c r="EB365" s="313" t="e">
        <f>IF($J365="",#N/A,SUM(EA$4:EA365))</f>
        <v>#N/A</v>
      </c>
      <c r="EC365" s="314" t="str">
        <f t="shared" si="618"/>
        <v/>
      </c>
      <c r="ED365" s="314" t="e">
        <f>IF($J365="",#N/A,SUM(EC$4:EC365))</f>
        <v>#N/A</v>
      </c>
      <c r="EE365" s="315" t="str">
        <f t="shared" si="619"/>
        <v/>
      </c>
      <c r="EF365" s="315" t="e">
        <f>IF($J365="",#N/A,SUM(EE$4:EE365))</f>
        <v>#N/A</v>
      </c>
      <c r="EG365" s="315" t="e">
        <f>IF($J365="",#N/A,SUM(EE$4:EE365,EC$4:EC365,EA$4:EA365))</f>
        <v>#N/A</v>
      </c>
      <c r="EH365" s="130">
        <f t="shared" si="620"/>
        <v>-153.51</v>
      </c>
      <c r="EI365" s="63">
        <f>IF(EH365="",#N/A,SUM($EH$4:EH365))</f>
        <v>1300.4452526431346</v>
      </c>
      <c r="EJ365" s="223" t="e">
        <f t="shared" si="621"/>
        <v>#N/A</v>
      </c>
      <c r="EK365" s="63" t="e">
        <f>IF($GZ365="",#N/A,SUM(EJ$4:EJ365))</f>
        <v>#N/A</v>
      </c>
      <c r="EL365" s="60">
        <f t="shared" si="651"/>
        <v>-1.5352443129654187</v>
      </c>
      <c r="EM365" s="60">
        <f>IF(EL365="",NA(),SUM($EL$4:EL365))</f>
        <v>26.900867878249258</v>
      </c>
      <c r="EN365" s="60" t="str">
        <f t="shared" si="622"/>
        <v/>
      </c>
      <c r="EO365" s="60" t="e">
        <f>IF(EN365="",NA(),SUM($EN$4:EN365))</f>
        <v>#N/A</v>
      </c>
      <c r="EP365" s="60">
        <f t="shared" si="623"/>
        <v>-1.5352443129654187</v>
      </c>
      <c r="EQ365" s="60">
        <f>IF(EP365="",NA(),SUM($EP$4:EP365))</f>
        <v>7.5831710173314795</v>
      </c>
      <c r="ER365" s="60" t="str">
        <f t="shared" si="624"/>
        <v/>
      </c>
      <c r="ES365" s="60" t="e">
        <f>IF(ER365="",NA(),SUM($ER$4:ER365))</f>
        <v>#N/A</v>
      </c>
      <c r="ET365" s="60" t="str">
        <f t="shared" si="625"/>
        <v/>
      </c>
      <c r="EU365" s="60" t="e">
        <f>IF(ET365="",NA(),SUM($ET$4:ET365))</f>
        <v>#N/A</v>
      </c>
      <c r="EV365" s="60" t="str">
        <f t="shared" si="626"/>
        <v/>
      </c>
      <c r="EW365" s="60" t="e">
        <f>IF(EV365="",NA(),SUM($EV$4:EV365))</f>
        <v>#N/A</v>
      </c>
      <c r="EX365" s="60" t="str">
        <f t="shared" si="627"/>
        <v/>
      </c>
      <c r="EY365" s="60" t="e">
        <f>IF(EX365="",NA(),SUM($EX$4:EX365))</f>
        <v>#N/A</v>
      </c>
      <c r="EZ365" s="60" t="str">
        <f t="shared" si="628"/>
        <v/>
      </c>
      <c r="FA365" s="60" t="e">
        <f>IF(EZ365="",NA(),SUM($EZ$4:EZ365))</f>
        <v>#N/A</v>
      </c>
      <c r="FB365" s="246" t="str">
        <f t="shared" si="652"/>
        <v/>
      </c>
      <c r="FC365" s="246" t="e">
        <f>IF($FB365="",#N/A,SUM(FB$4:$FB365))</f>
        <v>#N/A</v>
      </c>
      <c r="FD365" s="60" t="str">
        <f t="shared" si="629"/>
        <v/>
      </c>
      <c r="FE365" s="60" t="e">
        <f>IF($FD365="",#N/A,SUM($FD$4:FD365))</f>
        <v>#N/A</v>
      </c>
      <c r="FF365" s="60" t="str">
        <f t="shared" si="630"/>
        <v/>
      </c>
      <c r="FG365" s="60" t="e">
        <f>IF($FF365="",#N/A,SUM($FF$4:FF365))</f>
        <v>#N/A</v>
      </c>
      <c r="FH365" s="60" t="str">
        <f t="shared" si="631"/>
        <v/>
      </c>
      <c r="FI365" s="60" t="e">
        <f>IF($FH365="",#N/A,SUM($FH$4:FH365))</f>
        <v>#N/A</v>
      </c>
      <c r="FJ365" s="60" t="str">
        <f t="shared" si="632"/>
        <v/>
      </c>
      <c r="FK365" s="60" t="e">
        <f>IF($FJ365="",#N/A,SUM($FJ$4:FJ365))</f>
        <v>#N/A</v>
      </c>
      <c r="FL365" s="60">
        <f t="shared" si="633"/>
        <v>-2.0860960930327446</v>
      </c>
      <c r="FM365" s="60">
        <f>IF($FL365="",#N/A,SUM($FL$4:FL365))</f>
        <v>-5.2203937917965391</v>
      </c>
      <c r="FN365" s="82">
        <f t="shared" si="634"/>
        <v>-3.6213404059981631</v>
      </c>
      <c r="FO365" s="82">
        <f>IF($FN365="",#N/A,SUM(FN$4:$FN365))</f>
        <v>48.763018959175092</v>
      </c>
      <c r="FP365" s="82">
        <f t="shared" si="653"/>
        <v>-1.5352443129654187</v>
      </c>
      <c r="FQ365" s="246">
        <f>IF($EH365="",#N/A,SUM($FP$4:FP365))</f>
        <v>54.072236355816685</v>
      </c>
      <c r="FR365" s="82">
        <f>IFERROR(FQ365/COUNTA($J$4:J365),#N/A)</f>
        <v>0.14937081866247703</v>
      </c>
      <c r="FS365" s="82">
        <f t="shared" si="554"/>
        <v>-7.6413374749017035E-2</v>
      </c>
      <c r="FT365" s="82">
        <f t="shared" si="555"/>
        <v>0.27129096494016069</v>
      </c>
      <c r="FU365" s="338">
        <f t="shared" si="658"/>
        <v>28.387596347324461</v>
      </c>
      <c r="FV365" s="57" t="str">
        <f t="shared" si="659"/>
        <v>SW</v>
      </c>
      <c r="FW365" s="57" t="s">
        <v>2732</v>
      </c>
      <c r="FX365" s="57" t="str">
        <f t="shared" si="635"/>
        <v/>
      </c>
      <c r="FY365" s="57" t="str">
        <f t="shared" si="636"/>
        <v/>
      </c>
      <c r="FZ365" s="57" t="str">
        <f t="shared" si="637"/>
        <v/>
      </c>
      <c r="GA365" s="57" t="str">
        <f t="shared" si="638"/>
        <v>Long</v>
      </c>
      <c r="GB365" s="57" t="str">
        <f t="shared" si="639"/>
        <v/>
      </c>
      <c r="GC365" s="57" t="str">
        <f t="shared" si="640"/>
        <v/>
      </c>
      <c r="GD365" s="57">
        <f t="shared" si="641"/>
        <v>1</v>
      </c>
      <c r="GE365" s="62">
        <f t="shared" si="557"/>
        <v>98.03</v>
      </c>
      <c r="GF365" s="62" t="s">
        <v>2779</v>
      </c>
      <c r="GG365" s="199">
        <v>17</v>
      </c>
      <c r="GH365" s="207">
        <f t="shared" si="642"/>
        <v>1666.51</v>
      </c>
      <c r="GI365" s="199">
        <v>17</v>
      </c>
      <c r="GJ365" s="200">
        <v>84.995000000000005</v>
      </c>
      <c r="GK365" s="63">
        <f t="shared" si="643"/>
        <v>-221.59500000000003</v>
      </c>
      <c r="GL365" s="63">
        <f t="shared" si="558"/>
        <v>-362.09999999999991</v>
      </c>
      <c r="GM365" s="82">
        <f t="shared" si="644"/>
        <v>-3.6213404059981631</v>
      </c>
      <c r="GN365" s="82">
        <f>IF($GZ365="",#N/A,SUM(GM$4:GM365))</f>
        <v>10.566690184599047</v>
      </c>
      <c r="GO365" s="82" t="str">
        <f t="shared" si="645"/>
        <v/>
      </c>
      <c r="GP365" s="82">
        <f>IF($GZ365="",#N/A,SUM(GO$4:GO365))</f>
        <v>8.6961244371293827</v>
      </c>
      <c r="GQ365" s="82" t="str">
        <f t="shared" si="646"/>
        <v/>
      </c>
      <c r="GR365" s="82">
        <f>IF($GZ365="",#N/A,SUM(GQ$4:GQ365))</f>
        <v>28.874367383004316</v>
      </c>
      <c r="GS365" s="63" t="e">
        <f t="shared" si="654"/>
        <v>#N/A</v>
      </c>
      <c r="GT365" s="63" t="e">
        <f>IF($GZ365="",#N/A,SUM(GS$4:GS365))</f>
        <v>#N/A</v>
      </c>
      <c r="GU365" s="63" t="str">
        <f t="shared" si="655"/>
        <v/>
      </c>
      <c r="GV365" s="63" t="e">
        <f>IF($GZ365="",#N/A,SUM(GU$4:GU365))</f>
        <v>#N/A</v>
      </c>
      <c r="GW365" s="63" t="str">
        <f t="shared" si="656"/>
        <v/>
      </c>
      <c r="GX365" s="63" t="e">
        <f>IF($GZ365="",#N/A,SUM(GW$4:GW365))</f>
        <v>#N/A</v>
      </c>
      <c r="GY365" s="63" t="e">
        <f>IF(EJ365="",#N/A,SUM($EJ$4:EJ365))</f>
        <v>#N/A</v>
      </c>
      <c r="GZ365" s="159">
        <v>76.73</v>
      </c>
      <c r="HA365" s="63">
        <f t="shared" si="647"/>
        <v>-208.58999999999992</v>
      </c>
      <c r="HB365" s="62" t="s">
        <v>4734</v>
      </c>
      <c r="HC365" s="60">
        <f>IFERROR(VLOOKUP(E365,Expectancy!$P$4:$S$19,1+C365,FALSE),"")</f>
        <v>-0.17081772033279666</v>
      </c>
      <c r="HD365" s="82">
        <f t="shared" si="648"/>
        <v>-2.2161583188819751</v>
      </c>
      <c r="HE365" s="138">
        <f>IF(HD365="",#N/A,SUM($HD$4:HD365))</f>
        <v>11.154640008492226</v>
      </c>
      <c r="HF365" s="85">
        <f>IF(HD365="",#N/A,IF(HB365="Skip",#N/A,SUM($HG$4:HG365)))</f>
        <v>405.10157921915516</v>
      </c>
      <c r="HG365" s="63">
        <f t="shared" si="649"/>
        <v>-221.59500000000003</v>
      </c>
      <c r="HH365" s="82">
        <f t="shared" si="650"/>
        <v>-3.6213404059981631</v>
      </c>
    </row>
    <row r="366" spans="1:216" x14ac:dyDescent="0.25">
      <c r="A366" s="57" t="s">
        <v>683</v>
      </c>
      <c r="B366" s="58" t="s">
        <v>5248</v>
      </c>
      <c r="C366" s="386">
        <f t="shared" si="561"/>
        <v>1</v>
      </c>
      <c r="D366" s="372" t="str">
        <f>_xlfn.XLOOKUP(A366,[1]SP500!$A$2:$A$502,[1]SP500!$D$2:$D$502,"N")</f>
        <v>N</v>
      </c>
      <c r="E366" s="57" t="str">
        <f>_xlfn.XLOOKUP(A366,[1]SP500!$A$2:$A$655,[1]SP500!$B$2:$B$655)</f>
        <v>IGV</v>
      </c>
      <c r="F366" s="227">
        <v>45708</v>
      </c>
      <c r="G366" s="57" t="str">
        <f t="shared" si="562"/>
        <v>AMC</v>
      </c>
      <c r="H366" s="57" t="str">
        <f t="shared" si="563"/>
        <v>s</v>
      </c>
      <c r="I366" s="159">
        <v>31.88</v>
      </c>
      <c r="J366" s="159">
        <v>29.53</v>
      </c>
      <c r="K366" s="61">
        <f t="shared" si="564"/>
        <v>-7.3713927227101572E-2</v>
      </c>
      <c r="L366" s="87">
        <f t="shared" si="565"/>
        <v>-122.20000000000005</v>
      </c>
      <c r="M366" s="130">
        <f t="shared" si="556"/>
        <v>-1.5599999999999454</v>
      </c>
      <c r="N366" s="169">
        <f t="shared" si="566"/>
        <v>-122.20000000000005</v>
      </c>
      <c r="O366" s="169">
        <f>IF($J366="",#N/A,SUM($N$4:N366))</f>
        <v>-5.3532806457756124</v>
      </c>
      <c r="P366" s="174" t="str">
        <f t="shared" si="567"/>
        <v/>
      </c>
      <c r="Q366" s="174">
        <f>IF($J366="",#N/A,SUM($P$4:P366))</f>
        <v>435.28999224504321</v>
      </c>
      <c r="R366" s="178" t="str">
        <f t="shared" si="568"/>
        <v/>
      </c>
      <c r="S366" s="178">
        <f>IF($J366="",#N/A,SUM($R$4:R366))</f>
        <v>748.30854104386685</v>
      </c>
      <c r="T366" s="290">
        <f t="shared" si="569"/>
        <v>-1.2285654537850277</v>
      </c>
      <c r="U366" s="290">
        <f>IF($J366="",#N/A,SUM($T$4:T366))</f>
        <v>13.67185393496869</v>
      </c>
      <c r="V366" s="291" t="str">
        <f t="shared" si="570"/>
        <v/>
      </c>
      <c r="W366" s="291">
        <f>IF($J366="",#N/A,SUM($V$4:V366))</f>
        <v>23.925757159446615</v>
      </c>
      <c r="X366" s="292" t="str">
        <f t="shared" si="571"/>
        <v/>
      </c>
      <c r="Y366" s="292">
        <f>IF($J366="",#N/A,SUM($X$4:X366))</f>
        <v>15.246059807616374</v>
      </c>
      <c r="Z366" s="304" t="str">
        <f t="shared" si="572"/>
        <v/>
      </c>
      <c r="AA366" s="313" t="e">
        <f>IF($J366="",#N/A,SUM(Z$4:Z366))</f>
        <v>#N/A</v>
      </c>
      <c r="AB366" s="314" t="str">
        <f t="shared" si="573"/>
        <v/>
      </c>
      <c r="AC366" s="314" t="e">
        <f>IF($J366="",#N/A,SUM(AB$4:AB366))</f>
        <v>#N/A</v>
      </c>
      <c r="AD366" s="315" t="str">
        <f t="shared" si="574"/>
        <v/>
      </c>
      <c r="AE366" s="315" t="e">
        <f>IF($J366="",#N/A,SUM(AD$4:AD366))</f>
        <v>#N/A</v>
      </c>
      <c r="AF366" s="315" t="e">
        <f>IF($J366="",#N/A,SUM(AD$4:AD366,AB$4:AB366,Z$4:Z366))</f>
        <v>#N/A</v>
      </c>
      <c r="AG366" s="304">
        <f t="shared" si="575"/>
        <v>-1.2285654537850277</v>
      </c>
      <c r="AH366" s="313" t="e">
        <f>IF($J366="",#N/A,SUM(AG$4:AG366))</f>
        <v>#N/A</v>
      </c>
      <c r="AI366" s="314" t="str">
        <f t="shared" si="576"/>
        <v/>
      </c>
      <c r="AJ366" s="314" t="e">
        <f>IF($J366="",#N/A,SUM(AI$4:AI366))</f>
        <v>#N/A</v>
      </c>
      <c r="AK366" s="315" t="str">
        <f t="shared" si="577"/>
        <v/>
      </c>
      <c r="AL366" s="315" t="e">
        <f>IF($J366="",#N/A,SUM(AK$4:AK366))</f>
        <v>#N/A</v>
      </c>
      <c r="AM366" s="315" t="e">
        <f>IF($J366="",#N/A,SUM(AK$4:AK366,AI$4:AI366,AG$4:AG366))</f>
        <v>#N/A</v>
      </c>
      <c r="AN366" s="304" t="str">
        <f t="shared" si="578"/>
        <v/>
      </c>
      <c r="AO366" s="313" t="e">
        <f>IF($J366="",#N/A,SUM(AN$4:AN366))</f>
        <v>#N/A</v>
      </c>
      <c r="AP366" s="314" t="str">
        <f t="shared" si="579"/>
        <v/>
      </c>
      <c r="AQ366" s="314" t="e">
        <f>IF($J366="",#N/A,SUM(AP$4:AP366))</f>
        <v>#N/A</v>
      </c>
      <c r="AR366" s="315" t="str">
        <f t="shared" si="580"/>
        <v/>
      </c>
      <c r="AS366" s="315" t="e">
        <f>IF($J366="",#N/A,SUM(AR$4:AR366))</f>
        <v>#N/A</v>
      </c>
      <c r="AT366" s="315" t="e">
        <f>IF($J366="",#N/A,SUM(AR$4:AR366,AP$4:AP366,AN$4:AN366))</f>
        <v>#N/A</v>
      </c>
      <c r="AU366" s="304" t="str">
        <f t="shared" si="581"/>
        <v/>
      </c>
      <c r="AV366" s="313" t="e">
        <f>IF($J366="",#N/A,SUM(AU$4:AU366))</f>
        <v>#N/A</v>
      </c>
      <c r="AW366" s="314" t="str">
        <f t="shared" si="582"/>
        <v/>
      </c>
      <c r="AX366" s="314" t="e">
        <f>IF($J366="",#N/A,SUM(AW$4:AW366))</f>
        <v>#N/A</v>
      </c>
      <c r="AY366" s="315" t="str">
        <f t="shared" si="583"/>
        <v/>
      </c>
      <c r="AZ366" s="315" t="e">
        <f>IF($J366="",#N/A,SUM(AY$4:AY366))</f>
        <v>#N/A</v>
      </c>
      <c r="BA366" s="315" t="e">
        <f>IF($J366="",#N/A,SUM(AY$4:AY366,AW$4:AW366,AU$4:AU366))</f>
        <v>#N/A</v>
      </c>
      <c r="BB366" s="304" t="str">
        <f t="shared" si="584"/>
        <v/>
      </c>
      <c r="BC366" s="313" t="e">
        <f>IF($J366="",#N/A,SUM(BB$4:BB366))</f>
        <v>#N/A</v>
      </c>
      <c r="BD366" s="314" t="str">
        <f t="shared" si="585"/>
        <v/>
      </c>
      <c r="BE366" s="314" t="e">
        <f>IF($J366="",#N/A,SUM(BD$4:BD366))</f>
        <v>#N/A</v>
      </c>
      <c r="BF366" s="315" t="str">
        <f t="shared" si="586"/>
        <v/>
      </c>
      <c r="BG366" s="315" t="e">
        <f>IF($J366="",#N/A,SUM(BF$4:BF366))</f>
        <v>#N/A</v>
      </c>
      <c r="BH366" s="315" t="e">
        <f>IF($J366="",#N/A,SUM(BF$4:BF366,BD$4:BD366,BB$4:BB366))</f>
        <v>#N/A</v>
      </c>
      <c r="BI366" s="304" t="str">
        <f t="shared" si="587"/>
        <v/>
      </c>
      <c r="BJ366" s="313" t="e">
        <f>IF($J366="",#N/A,SUM(BI$4:BI366))</f>
        <v>#N/A</v>
      </c>
      <c r="BK366" s="314" t="str">
        <f t="shared" si="588"/>
        <v/>
      </c>
      <c r="BL366" s="314" t="e">
        <f>IF($J366="",#N/A,SUM(BK$4:BK366))</f>
        <v>#N/A</v>
      </c>
      <c r="BM366" s="315" t="str">
        <f t="shared" si="589"/>
        <v/>
      </c>
      <c r="BN366" s="315" t="e">
        <f>IF($J366="",#N/A,SUM(BM$4:BM366))</f>
        <v>#N/A</v>
      </c>
      <c r="BO366" s="315" t="e">
        <f>IF($J366="",#N/A,SUM(BM$4:BM366,BK$4:BK366,BI$4:BI366))</f>
        <v>#N/A</v>
      </c>
      <c r="BP366" s="304" t="str">
        <f t="shared" si="590"/>
        <v/>
      </c>
      <c r="BQ366" s="313" t="e">
        <f>IF($J366="",#N/A,SUM(BP$4:BP366))</f>
        <v>#N/A</v>
      </c>
      <c r="BR366" s="314" t="str">
        <f t="shared" si="591"/>
        <v/>
      </c>
      <c r="BS366" s="314" t="e">
        <f>IF($J366="",#N/A,SUM(BR$4:BR366))</f>
        <v>#N/A</v>
      </c>
      <c r="BT366" s="315" t="str">
        <f t="shared" si="592"/>
        <v/>
      </c>
      <c r="BU366" s="315" t="e">
        <f>IF($J366="",#N/A,SUM(BT$4:BT366))</f>
        <v>#N/A</v>
      </c>
      <c r="BV366" s="315" t="e">
        <f>IF($J366="",#N/A,SUM(BT$4:BT366,BR$4:BR366,BP$4:BP366))</f>
        <v>#N/A</v>
      </c>
      <c r="BW366" s="304" t="str">
        <f t="shared" si="593"/>
        <v/>
      </c>
      <c r="BX366" s="313" t="e">
        <f>IF($J366="",#N/A,SUM(BW$4:BW366))</f>
        <v>#N/A</v>
      </c>
      <c r="BY366" s="314" t="str">
        <f t="shared" si="594"/>
        <v/>
      </c>
      <c r="BZ366" s="314" t="e">
        <f>IF($J366="",#N/A,SUM(BY$4:BY366))</f>
        <v>#N/A</v>
      </c>
      <c r="CA366" s="315" t="str">
        <f t="shared" si="595"/>
        <v/>
      </c>
      <c r="CB366" s="315" t="e">
        <f>IF($J366="",#N/A,SUM(CA$4:CA366))</f>
        <v>#N/A</v>
      </c>
      <c r="CC366" s="315" t="e">
        <f>IF($J366="",#N/A,SUM(CA$4:CA366,BY$4:BY366,BW$4:BW366))</f>
        <v>#N/A</v>
      </c>
      <c r="CD366" s="304" t="str">
        <f t="shared" si="596"/>
        <v/>
      </c>
      <c r="CE366" s="313" t="e">
        <f>IF($J366="",#N/A,SUM(CD$4:CD366))</f>
        <v>#N/A</v>
      </c>
      <c r="CF366" s="314" t="str">
        <f t="shared" si="597"/>
        <v/>
      </c>
      <c r="CG366" s="314" t="e">
        <f>IF($J366="",#N/A,SUM(CF$4:CF366))</f>
        <v>#N/A</v>
      </c>
      <c r="CH366" s="315" t="str">
        <f t="shared" si="598"/>
        <v/>
      </c>
      <c r="CI366" s="315" t="e">
        <f>IF($J366="",#N/A,SUM(CH$4:CH366))</f>
        <v>#N/A</v>
      </c>
      <c r="CJ366" s="315" t="e">
        <f>IF($J366="",#N/A,SUM(CH$4:CH366,CF$4:CF366,CD$4:CD366))</f>
        <v>#N/A</v>
      </c>
      <c r="CK366" s="304" t="str">
        <f t="shared" si="599"/>
        <v/>
      </c>
      <c r="CL366" s="313" t="e">
        <f>IF($J366="",#N/A,SUM(CK$4:CK366))</f>
        <v>#N/A</v>
      </c>
      <c r="CM366" s="314" t="str">
        <f t="shared" si="600"/>
        <v/>
      </c>
      <c r="CN366" s="314" t="e">
        <f>IF($J366="",#N/A,SUM(CM$4:CM366))</f>
        <v>#N/A</v>
      </c>
      <c r="CO366" s="315" t="str">
        <f t="shared" si="601"/>
        <v/>
      </c>
      <c r="CP366" s="315" t="e">
        <f>IF($J366="",#N/A,SUM(CO$4:CO366))</f>
        <v>#N/A</v>
      </c>
      <c r="CQ366" s="315" t="e">
        <f>IF($J366="",#N/A,SUM(CO$4:CO366,CM$4:CM366,CK$4:CK366))</f>
        <v>#N/A</v>
      </c>
      <c r="CR366" s="304" t="str">
        <f t="shared" si="602"/>
        <v/>
      </c>
      <c r="CS366" s="313" t="e">
        <f>IF($J366="",#N/A,SUM(CR$4:CR366))</f>
        <v>#N/A</v>
      </c>
      <c r="CT366" s="314" t="str">
        <f t="shared" si="603"/>
        <v/>
      </c>
      <c r="CU366" s="314" t="e">
        <f>IF($J366="",#N/A,SUM(CT$4:CT366))</f>
        <v>#N/A</v>
      </c>
      <c r="CV366" s="315" t="str">
        <f t="shared" si="604"/>
        <v/>
      </c>
      <c r="CW366" s="315" t="e">
        <f>IF($J366="",#N/A,SUM(CV$4:CV366))</f>
        <v>#N/A</v>
      </c>
      <c r="CX366" s="315" t="e">
        <f>IF($J366="",#N/A,SUM(CV$4:CV366,CT$4:CT366,CR$4:CR366))</f>
        <v>#N/A</v>
      </c>
      <c r="CY366" s="304" t="str">
        <f t="shared" si="605"/>
        <v/>
      </c>
      <c r="CZ366" s="313" t="e">
        <f>IF($J366="",#N/A,SUM(CY$4:CY366))</f>
        <v>#N/A</v>
      </c>
      <c r="DA366" s="314" t="str">
        <f t="shared" si="606"/>
        <v/>
      </c>
      <c r="DB366" s="314" t="e">
        <f>IF($J366="",#N/A,SUM(DA$4:DA366))</f>
        <v>#N/A</v>
      </c>
      <c r="DC366" s="315" t="str">
        <f t="shared" si="607"/>
        <v/>
      </c>
      <c r="DD366" s="315" t="e">
        <f>IF($J366="",#N/A,SUM(DC$4:DC366))</f>
        <v>#N/A</v>
      </c>
      <c r="DE366" s="315" t="e">
        <f>IF($J366="",#N/A,SUM(DC$4:DC366,DA$4:DA366,CY$4:CY366))</f>
        <v>#N/A</v>
      </c>
      <c r="DF366" s="304" t="str">
        <f t="shared" si="608"/>
        <v/>
      </c>
      <c r="DG366" s="313" t="e">
        <f>IF($J366="",#N/A,SUM(DF$4:DF366))</f>
        <v>#N/A</v>
      </c>
      <c r="DH366" s="314" t="str">
        <f t="shared" si="609"/>
        <v/>
      </c>
      <c r="DI366" s="314" t="e">
        <f>IF($J366="",#N/A,SUM(DH$4:DH366))</f>
        <v>#N/A</v>
      </c>
      <c r="DJ366" s="315" t="str">
        <f t="shared" si="610"/>
        <v/>
      </c>
      <c r="DK366" s="315" t="e">
        <f>IF($J366="",#N/A,SUM(DJ$4:DJ366))</f>
        <v>#N/A</v>
      </c>
      <c r="DL366" s="315" t="e">
        <f>IF($J366="",#N/A,SUM(DJ$4:DJ366,DH$4:DH366,DF$4:DF366))</f>
        <v>#N/A</v>
      </c>
      <c r="DM366" s="304" t="str">
        <f t="shared" si="611"/>
        <v/>
      </c>
      <c r="DN366" s="313" t="e">
        <f>IF($J366="",#N/A,SUM(DM$4:DM366))</f>
        <v>#N/A</v>
      </c>
      <c r="DO366" s="314" t="str">
        <f t="shared" si="612"/>
        <v/>
      </c>
      <c r="DP366" s="314" t="e">
        <f>IF($J366="",#N/A,SUM(DO$4:DO366))</f>
        <v>#N/A</v>
      </c>
      <c r="DQ366" s="315" t="str">
        <f t="shared" si="613"/>
        <v/>
      </c>
      <c r="DR366" s="315" t="e">
        <f>IF($J366="",#N/A,SUM(DQ$4:DQ366))</f>
        <v>#N/A</v>
      </c>
      <c r="DS366" s="315" t="e">
        <f>IF($J366="",#N/A,SUM(DQ$4:DQ366,DO$4:DO366,DM$4:DM366))</f>
        <v>#N/A</v>
      </c>
      <c r="DT366" s="304" t="str">
        <f t="shared" si="614"/>
        <v/>
      </c>
      <c r="DU366" s="313" t="e">
        <f>IF($J366="",#N/A,SUM(DT$4:DT366))</f>
        <v>#N/A</v>
      </c>
      <c r="DV366" s="314" t="str">
        <f t="shared" si="615"/>
        <v/>
      </c>
      <c r="DW366" s="314" t="e">
        <f>IF($J366="",#N/A,SUM(DV$4:DV366))</f>
        <v>#N/A</v>
      </c>
      <c r="DX366" s="315" t="str">
        <f t="shared" si="616"/>
        <v/>
      </c>
      <c r="DY366" s="315" t="e">
        <f>IF($J366="",#N/A,SUM(DX$4:DX366))</f>
        <v>#N/A</v>
      </c>
      <c r="DZ366" s="315" t="e">
        <f>IF($J366="",#N/A,SUM(DX$4:DX366,DV$4:DV366,DT$4:DT366))</f>
        <v>#N/A</v>
      </c>
      <c r="EA366" s="304" t="str">
        <f t="shared" si="617"/>
        <v/>
      </c>
      <c r="EB366" s="313" t="e">
        <f>IF($J366="",#N/A,SUM(EA$4:EA366))</f>
        <v>#N/A</v>
      </c>
      <c r="EC366" s="314" t="str">
        <f t="shared" si="618"/>
        <v/>
      </c>
      <c r="ED366" s="314" t="e">
        <f>IF($J366="",#N/A,SUM(EC$4:EC366))</f>
        <v>#N/A</v>
      </c>
      <c r="EE366" s="315" t="str">
        <f t="shared" si="619"/>
        <v/>
      </c>
      <c r="EF366" s="315" t="e">
        <f>IF($J366="",#N/A,SUM(EE$4:EE366))</f>
        <v>#N/A</v>
      </c>
      <c r="EG366" s="315" t="e">
        <f>IF($J366="",#N/A,SUM(EE$4:EE366,EC$4:EC366,EA$4:EA366))</f>
        <v>#N/A</v>
      </c>
      <c r="EH366" s="130">
        <f t="shared" si="620"/>
        <v>-122.20000000000005</v>
      </c>
      <c r="EI366" s="63">
        <f>IF(EH366="",#N/A,SUM($EH$4:EH366))</f>
        <v>1178.2452526431346</v>
      </c>
      <c r="EJ366" s="223" t="e">
        <f t="shared" si="621"/>
        <v>#N/A</v>
      </c>
      <c r="EK366" s="63" t="e">
        <f>IF($GZ366="",#N/A,SUM(EJ$4:EJ366))</f>
        <v>#N/A</v>
      </c>
      <c r="EL366" s="60" t="str">
        <f t="shared" si="651"/>
        <v/>
      </c>
      <c r="EM366" s="60" t="e">
        <f>IF(EL366="",NA(),SUM($EL$4:EL366))</f>
        <v>#N/A</v>
      </c>
      <c r="EN366" s="60" t="str">
        <f t="shared" si="622"/>
        <v/>
      </c>
      <c r="EO366" s="60" t="e">
        <f>IF(EN366="",NA(),SUM($EN$4:EN366))</f>
        <v>#N/A</v>
      </c>
      <c r="EP366" s="60" t="str">
        <f t="shared" si="623"/>
        <v/>
      </c>
      <c r="EQ366" s="60" t="e">
        <f>IF(EP366="",NA(),SUM($EP$4:EP366))</f>
        <v>#N/A</v>
      </c>
      <c r="ER366" s="60" t="str">
        <f t="shared" si="624"/>
        <v/>
      </c>
      <c r="ES366" s="60" t="e">
        <f>IF(ER366="",NA(),SUM($ER$4:ER366))</f>
        <v>#N/A</v>
      </c>
      <c r="ET366" s="60">
        <f t="shared" si="625"/>
        <v>-1.2285654537850277</v>
      </c>
      <c r="EU366" s="60">
        <f>IF(ET366="",NA(),SUM($ET$4:ET366))</f>
        <v>25.942803023782428</v>
      </c>
      <c r="EV366" s="60">
        <f t="shared" si="626"/>
        <v>-1.2285654537850277</v>
      </c>
      <c r="EW366" s="60">
        <f>IF(EV366="",NA(),SUM($EV$4:EV366))</f>
        <v>5.5001022492160336</v>
      </c>
      <c r="EX366" s="60" t="str">
        <f t="shared" si="627"/>
        <v/>
      </c>
      <c r="EY366" s="60" t="e">
        <f>IF(EX366="",NA(),SUM($EX$4:EX366))</f>
        <v>#N/A</v>
      </c>
      <c r="EZ366" s="60" t="str">
        <f t="shared" si="628"/>
        <v/>
      </c>
      <c r="FA366" s="60" t="e">
        <f>IF(EZ366="",NA(),SUM($EZ$4:EZ366))</f>
        <v>#N/A</v>
      </c>
      <c r="FB366" s="246" t="str">
        <f t="shared" si="652"/>
        <v/>
      </c>
      <c r="FC366" s="246" t="e">
        <f>IF($FB366="",#N/A,SUM(FB$4:$FB366))</f>
        <v>#N/A</v>
      </c>
      <c r="FD366" s="60" t="str">
        <f t="shared" si="629"/>
        <v/>
      </c>
      <c r="FE366" s="60" t="e">
        <f>IF($FD366="",#N/A,SUM($FD$4:FD366))</f>
        <v>#N/A</v>
      </c>
      <c r="FF366" s="60" t="str">
        <f t="shared" si="630"/>
        <v/>
      </c>
      <c r="FG366" s="60" t="e">
        <f>IF($FF366="",#N/A,SUM($FF$4:FF366))</f>
        <v>#N/A</v>
      </c>
      <c r="FH366" s="60">
        <f t="shared" si="631"/>
        <v>-1.4638226683396061</v>
      </c>
      <c r="FI366" s="60">
        <f>IF($FH366="",#N/A,SUM($FH$4:FH366))</f>
        <v>-0.25960173981024881</v>
      </c>
      <c r="FJ366" s="60" t="str">
        <f t="shared" si="632"/>
        <v/>
      </c>
      <c r="FK366" s="60" t="e">
        <f>IF($FJ366="",#N/A,SUM($FJ$4:FJ366))</f>
        <v>#N/A</v>
      </c>
      <c r="FL366" s="60" t="str">
        <f t="shared" si="633"/>
        <v/>
      </c>
      <c r="FM366" s="60" t="e">
        <f>IF($FL366="",#N/A,SUM($FL$4:FL366))</f>
        <v>#N/A</v>
      </c>
      <c r="FN366" s="82">
        <f t="shared" si="634"/>
        <v>-2.6923881221246337</v>
      </c>
      <c r="FO366" s="82">
        <f>IF($FN366="",#N/A,SUM(FN$4:$FN366))</f>
        <v>46.070630837050459</v>
      </c>
      <c r="FP366" s="82">
        <f t="shared" si="653"/>
        <v>-1.2285654537850277</v>
      </c>
      <c r="FQ366" s="246">
        <f>IF($EH366="",#N/A,SUM($FP$4:FP366))</f>
        <v>52.843670902031654</v>
      </c>
      <c r="FR366" s="82">
        <f>IFERROR(FQ366/COUNTA($J$4:J366),#N/A)</f>
        <v>0.14557485096978418</v>
      </c>
      <c r="FS366" s="82">
        <f t="shared" si="554"/>
        <v>-0.11689465666134936</v>
      </c>
      <c r="FT366" s="82">
        <f t="shared" si="555"/>
        <v>0.20739689023737726</v>
      </c>
      <c r="FU366" s="338">
        <f t="shared" si="658"/>
        <v>28.403280161628089</v>
      </c>
      <c r="FV366" s="57" t="str">
        <f t="shared" si="659"/>
        <v>Up</v>
      </c>
      <c r="FW366" s="57" t="s">
        <v>2734</v>
      </c>
      <c r="FX366" s="57" t="str">
        <f t="shared" si="635"/>
        <v/>
      </c>
      <c r="FY366" s="57" t="str">
        <f t="shared" si="636"/>
        <v/>
      </c>
      <c r="FZ366" s="57" t="str">
        <f t="shared" si="637"/>
        <v/>
      </c>
      <c r="GA366" s="57" t="str">
        <f t="shared" si="638"/>
        <v>Long</v>
      </c>
      <c r="GB366" s="57" t="str">
        <f t="shared" si="639"/>
        <v/>
      </c>
      <c r="GC366" s="57">
        <f t="shared" si="640"/>
        <v>1</v>
      </c>
      <c r="GD366" s="57" t="str">
        <f t="shared" si="641"/>
        <v/>
      </c>
      <c r="GE366" s="62">
        <f t="shared" si="557"/>
        <v>31.88</v>
      </c>
      <c r="GF366" s="62" t="s">
        <v>2779</v>
      </c>
      <c r="GG366" s="199">
        <v>52</v>
      </c>
      <c r="GH366" s="207">
        <f t="shared" si="642"/>
        <v>1657.76</v>
      </c>
      <c r="GI366" s="199">
        <v>52</v>
      </c>
      <c r="GJ366" s="200">
        <v>29.5</v>
      </c>
      <c r="GK366" s="63">
        <f t="shared" si="643"/>
        <v>-123.75999999999999</v>
      </c>
      <c r="GL366" s="63">
        <f t="shared" si="558"/>
        <v>-267.79999999999995</v>
      </c>
      <c r="GM366" s="82" t="str">
        <f t="shared" si="644"/>
        <v/>
      </c>
      <c r="GN366" s="82">
        <f>IF($GZ366="",#N/A,SUM(GM$4:GM366))</f>
        <v>10.566690184599047</v>
      </c>
      <c r="GO366" s="82">
        <f t="shared" si="645"/>
        <v>-2.6923881221246337</v>
      </c>
      <c r="GP366" s="82">
        <f>IF($GZ366="",#N/A,SUM(GO$4:GO366))</f>
        <v>6.0037363150047494</v>
      </c>
      <c r="GQ366" s="82" t="str">
        <f t="shared" si="646"/>
        <v/>
      </c>
      <c r="GR366" s="82">
        <f>IF($GZ366="",#N/A,SUM(GQ$4:GQ366))</f>
        <v>28.874367383004316</v>
      </c>
      <c r="GS366" s="63" t="str">
        <f t="shared" si="654"/>
        <v/>
      </c>
      <c r="GT366" s="63" t="e">
        <f>IF($GZ366="",#N/A,SUM(GS$4:GS366))</f>
        <v>#N/A</v>
      </c>
      <c r="GU366" s="63" t="e">
        <f t="shared" si="655"/>
        <v>#N/A</v>
      </c>
      <c r="GV366" s="63" t="e">
        <f>IF($GZ366="",#N/A,SUM(GU$4:GU366))</f>
        <v>#N/A</v>
      </c>
      <c r="GW366" s="63" t="str">
        <f t="shared" si="656"/>
        <v/>
      </c>
      <c r="GX366" s="63" t="e">
        <f>IF($GZ366="",#N/A,SUM(GW$4:GW366))</f>
        <v>#N/A</v>
      </c>
      <c r="GY366" s="63" t="e">
        <f>IF(EJ366="",#N/A,SUM($EJ$4:EJ366))</f>
        <v>#N/A</v>
      </c>
      <c r="GZ366" s="159">
        <v>26.73</v>
      </c>
      <c r="HA366" s="63">
        <f t="shared" si="647"/>
        <v>-145.59999999999991</v>
      </c>
      <c r="HB366" s="62" t="s">
        <v>2538</v>
      </c>
      <c r="HC366" s="60">
        <f>IFERROR(VLOOKUP(E366,Expectancy!$P$4:$S$19,1+C366,FALSE),"")</f>
        <v>1.0051961559281768</v>
      </c>
      <c r="HD366" s="82">
        <f t="shared" si="648"/>
        <v>-1.2442492680886659</v>
      </c>
      <c r="HE366" s="138">
        <f>IF(HD366="",#N/A,SUM($HD$4:HD366))</f>
        <v>9.9103907404035603</v>
      </c>
      <c r="HF366" s="85">
        <f>IF(HD366="",#N/A,IF(HB366="Skip",#N/A,SUM($HG$4:HG366)))</f>
        <v>281.34157921915516</v>
      </c>
      <c r="HG366" s="63">
        <f t="shared" si="649"/>
        <v>-123.75999999999999</v>
      </c>
      <c r="HH366" s="82">
        <f t="shared" si="650"/>
        <v>-2.6923881221246337</v>
      </c>
    </row>
    <row r="367" spans="1:216" x14ac:dyDescent="0.25">
      <c r="A367" s="57" t="s">
        <v>1131</v>
      </c>
      <c r="B367" s="58" t="str" cm="1">
        <f t="array" ref="B367">IFERROR(_xlfn.XLOOKUP(A367,Earnings!$B$2:$B$9985,LEFT(Earnings!$C$2:$C$9985,37)),"Can't Find Date***")</f>
        <v>on 2/20/25, 4:15 PM After Market East</v>
      </c>
      <c r="C367" s="386">
        <f t="shared" si="561"/>
        <v>3</v>
      </c>
      <c r="D367" s="372" t="str">
        <f>_xlfn.XLOOKUP(A367,[1]SP500!$A$2:$A$502,[1]SP500!$D$2:$D$502,"N")</f>
        <v>Y</v>
      </c>
      <c r="E367" s="57" t="str">
        <f>_xlfn.XLOOKUP(A367,[1]SP500!$A$2:$A$655,[1]SP500!$B$2:$B$655)</f>
        <v>XLI</v>
      </c>
      <c r="F367" s="59">
        <v>45708</v>
      </c>
      <c r="G367" s="57" t="str">
        <f t="shared" si="562"/>
        <v>AMC</v>
      </c>
      <c r="H367" s="57" t="str">
        <f t="shared" si="563"/>
        <v>o</v>
      </c>
      <c r="I367" s="159">
        <v>58.22</v>
      </c>
      <c r="J367" s="159">
        <v>58.73</v>
      </c>
      <c r="K367" s="61">
        <f t="shared" si="564"/>
        <v>8.7598763311576445E-3</v>
      </c>
      <c r="L367" s="87">
        <f t="shared" si="565"/>
        <v>14.453795946410082</v>
      </c>
      <c r="M367" s="210" t="e">
        <f t="shared" si="556"/>
        <v>#N/A</v>
      </c>
      <c r="N367" s="169" t="str">
        <f t="shared" si="566"/>
        <v/>
      </c>
      <c r="O367" s="169">
        <f>IF($J367="",#N/A,SUM($N$4:N367))</f>
        <v>-5.3532806457756124</v>
      </c>
      <c r="P367" s="174" t="str">
        <f t="shared" si="567"/>
        <v/>
      </c>
      <c r="Q367" s="174">
        <f>IF($J367="",#N/A,SUM($P$4:P367))</f>
        <v>435.28999224504321</v>
      </c>
      <c r="R367" s="178">
        <f t="shared" si="568"/>
        <v>14.453795946410082</v>
      </c>
      <c r="S367" s="178">
        <f>IF($J367="",#N/A,SUM($R$4:R367))</f>
        <v>762.76233699027694</v>
      </c>
      <c r="T367" s="290" t="str">
        <f t="shared" si="569"/>
        <v/>
      </c>
      <c r="U367" s="290">
        <f>IF($J367="",#N/A,SUM($T$4:T367))</f>
        <v>13.67185393496869</v>
      </c>
      <c r="V367" s="291" t="str">
        <f t="shared" si="570"/>
        <v/>
      </c>
      <c r="W367" s="291">
        <f>IF($J367="",#N/A,SUM($V$4:V367))</f>
        <v>23.925757159446615</v>
      </c>
      <c r="X367" s="292">
        <f t="shared" si="571"/>
        <v>0.1459979388526271</v>
      </c>
      <c r="Y367" s="292">
        <f>IF($J367="",#N/A,SUM($X$4:X367))</f>
        <v>15.392057746469002</v>
      </c>
      <c r="Z367" s="304" t="str">
        <f t="shared" si="572"/>
        <v/>
      </c>
      <c r="AA367" s="313" t="e">
        <f>IF($J367="",#N/A,SUM(Z$4:Z367))</f>
        <v>#N/A</v>
      </c>
      <c r="AB367" s="314" t="str">
        <f t="shared" si="573"/>
        <v/>
      </c>
      <c r="AC367" s="314" t="e">
        <f>IF($J367="",#N/A,SUM(AB$4:AB367))</f>
        <v>#N/A</v>
      </c>
      <c r="AD367" s="315" t="str">
        <f t="shared" si="574"/>
        <v/>
      </c>
      <c r="AE367" s="315" t="e">
        <f>IF($J367="",#N/A,SUM(AD$4:AD367))</f>
        <v>#N/A</v>
      </c>
      <c r="AF367" s="315" t="e">
        <f>IF($J367="",#N/A,SUM(AD$4:AD367,AB$4:AB367,Z$4:Z367))</f>
        <v>#N/A</v>
      </c>
      <c r="AG367" s="304" t="str">
        <f t="shared" si="575"/>
        <v/>
      </c>
      <c r="AH367" s="313" t="e">
        <f>IF($J367="",#N/A,SUM(AG$4:AG367))</f>
        <v>#N/A</v>
      </c>
      <c r="AI367" s="314" t="str">
        <f t="shared" si="576"/>
        <v/>
      </c>
      <c r="AJ367" s="314" t="e">
        <f>IF($J367="",#N/A,SUM(AI$4:AI367))</f>
        <v>#N/A</v>
      </c>
      <c r="AK367" s="315" t="str">
        <f t="shared" si="577"/>
        <v/>
      </c>
      <c r="AL367" s="315" t="e">
        <f>IF($J367="",#N/A,SUM(AK$4:AK367))</f>
        <v>#N/A</v>
      </c>
      <c r="AM367" s="315" t="e">
        <f>IF($J367="",#N/A,SUM(AK$4:AK367,AI$4:AI367,AG$4:AG367))</f>
        <v>#N/A</v>
      </c>
      <c r="AN367" s="304" t="str">
        <f t="shared" si="578"/>
        <v/>
      </c>
      <c r="AO367" s="313" t="e">
        <f>IF($J367="",#N/A,SUM(AN$4:AN367))</f>
        <v>#N/A</v>
      </c>
      <c r="AP367" s="314" t="str">
        <f t="shared" si="579"/>
        <v/>
      </c>
      <c r="AQ367" s="314" t="e">
        <f>IF($J367="",#N/A,SUM(AP$4:AP367))</f>
        <v>#N/A</v>
      </c>
      <c r="AR367" s="315" t="str">
        <f t="shared" si="580"/>
        <v/>
      </c>
      <c r="AS367" s="315" t="e">
        <f>IF($J367="",#N/A,SUM(AR$4:AR367))</f>
        <v>#N/A</v>
      </c>
      <c r="AT367" s="315" t="e">
        <f>IF($J367="",#N/A,SUM(AR$4:AR367,AP$4:AP367,AN$4:AN367))</f>
        <v>#N/A</v>
      </c>
      <c r="AU367" s="304" t="str">
        <f t="shared" si="581"/>
        <v/>
      </c>
      <c r="AV367" s="313" t="e">
        <f>IF($J367="",#N/A,SUM(AU$4:AU367))</f>
        <v>#N/A</v>
      </c>
      <c r="AW367" s="314" t="str">
        <f t="shared" si="582"/>
        <v/>
      </c>
      <c r="AX367" s="314" t="e">
        <f>IF($J367="",#N/A,SUM(AW$4:AW367))</f>
        <v>#N/A</v>
      </c>
      <c r="AY367" s="315" t="str">
        <f t="shared" si="583"/>
        <v/>
      </c>
      <c r="AZ367" s="315" t="e">
        <f>IF($J367="",#N/A,SUM(AY$4:AY367))</f>
        <v>#N/A</v>
      </c>
      <c r="BA367" s="315" t="e">
        <f>IF($J367="",#N/A,SUM(AY$4:AY367,AW$4:AW367,AU$4:AU367))</f>
        <v>#N/A</v>
      </c>
      <c r="BB367" s="304" t="str">
        <f t="shared" si="584"/>
        <v/>
      </c>
      <c r="BC367" s="313" t="e">
        <f>IF($J367="",#N/A,SUM(BB$4:BB367))</f>
        <v>#N/A</v>
      </c>
      <c r="BD367" s="314" t="str">
        <f t="shared" si="585"/>
        <v/>
      </c>
      <c r="BE367" s="314" t="e">
        <f>IF($J367="",#N/A,SUM(BD$4:BD367))</f>
        <v>#N/A</v>
      </c>
      <c r="BF367" s="315" t="str">
        <f t="shared" si="586"/>
        <v/>
      </c>
      <c r="BG367" s="315" t="e">
        <f>IF($J367="",#N/A,SUM(BF$4:BF367))</f>
        <v>#N/A</v>
      </c>
      <c r="BH367" s="315" t="e">
        <f>IF($J367="",#N/A,SUM(BF$4:BF367,BD$4:BD367,BB$4:BB367))</f>
        <v>#N/A</v>
      </c>
      <c r="BI367" s="304" t="str">
        <f t="shared" si="587"/>
        <v/>
      </c>
      <c r="BJ367" s="313" t="e">
        <f>IF($J367="",#N/A,SUM(BI$4:BI367))</f>
        <v>#N/A</v>
      </c>
      <c r="BK367" s="314" t="str">
        <f t="shared" si="588"/>
        <v/>
      </c>
      <c r="BL367" s="314" t="e">
        <f>IF($J367="",#N/A,SUM(BK$4:BK367))</f>
        <v>#N/A</v>
      </c>
      <c r="BM367" s="315" t="str">
        <f t="shared" si="589"/>
        <v/>
      </c>
      <c r="BN367" s="315" t="e">
        <f>IF($J367="",#N/A,SUM(BM$4:BM367))</f>
        <v>#N/A</v>
      </c>
      <c r="BO367" s="315" t="e">
        <f>IF($J367="",#N/A,SUM(BM$4:BM367,BK$4:BK367,BI$4:BI367))</f>
        <v>#N/A</v>
      </c>
      <c r="BP367" s="304" t="str">
        <f t="shared" si="590"/>
        <v/>
      </c>
      <c r="BQ367" s="313" t="e">
        <f>IF($J367="",#N/A,SUM(BP$4:BP367))</f>
        <v>#N/A</v>
      </c>
      <c r="BR367" s="314" t="str">
        <f t="shared" si="591"/>
        <v/>
      </c>
      <c r="BS367" s="314" t="e">
        <f>IF($J367="",#N/A,SUM(BR$4:BR367))</f>
        <v>#N/A</v>
      </c>
      <c r="BT367" s="315">
        <f t="shared" si="592"/>
        <v>0.1459979388526271</v>
      </c>
      <c r="BU367" s="315" t="e">
        <f>IF($J367="",#N/A,SUM(BT$4:BT367))</f>
        <v>#N/A</v>
      </c>
      <c r="BV367" s="315" t="e">
        <f>IF($J367="",#N/A,SUM(BT$4:BT367,BR$4:BR367,BP$4:BP367))</f>
        <v>#N/A</v>
      </c>
      <c r="BW367" s="304" t="str">
        <f t="shared" si="593"/>
        <v/>
      </c>
      <c r="BX367" s="313" t="e">
        <f>IF($J367="",#N/A,SUM(BW$4:BW367))</f>
        <v>#N/A</v>
      </c>
      <c r="BY367" s="314" t="str">
        <f t="shared" si="594"/>
        <v/>
      </c>
      <c r="BZ367" s="314" t="e">
        <f>IF($J367="",#N/A,SUM(BY$4:BY367))</f>
        <v>#N/A</v>
      </c>
      <c r="CA367" s="315" t="str">
        <f t="shared" si="595"/>
        <v/>
      </c>
      <c r="CB367" s="315" t="e">
        <f>IF($J367="",#N/A,SUM(CA$4:CA367))</f>
        <v>#N/A</v>
      </c>
      <c r="CC367" s="315" t="e">
        <f>IF($J367="",#N/A,SUM(CA$4:CA367,BY$4:BY367,BW$4:BW367))</f>
        <v>#N/A</v>
      </c>
      <c r="CD367" s="304" t="str">
        <f t="shared" si="596"/>
        <v/>
      </c>
      <c r="CE367" s="313" t="e">
        <f>IF($J367="",#N/A,SUM(CD$4:CD367))</f>
        <v>#N/A</v>
      </c>
      <c r="CF367" s="314" t="str">
        <f t="shared" si="597"/>
        <v/>
      </c>
      <c r="CG367" s="314" t="e">
        <f>IF($J367="",#N/A,SUM(CF$4:CF367))</f>
        <v>#N/A</v>
      </c>
      <c r="CH367" s="315" t="str">
        <f t="shared" si="598"/>
        <v/>
      </c>
      <c r="CI367" s="315" t="e">
        <f>IF($J367="",#N/A,SUM(CH$4:CH367))</f>
        <v>#N/A</v>
      </c>
      <c r="CJ367" s="315" t="e">
        <f>IF($J367="",#N/A,SUM(CH$4:CH367,CF$4:CF367,CD$4:CD367))</f>
        <v>#N/A</v>
      </c>
      <c r="CK367" s="304" t="str">
        <f t="shared" si="599"/>
        <v/>
      </c>
      <c r="CL367" s="313" t="e">
        <f>IF($J367="",#N/A,SUM(CK$4:CK367))</f>
        <v>#N/A</v>
      </c>
      <c r="CM367" s="314" t="str">
        <f t="shared" si="600"/>
        <v/>
      </c>
      <c r="CN367" s="314" t="e">
        <f>IF($J367="",#N/A,SUM(CM$4:CM367))</f>
        <v>#N/A</v>
      </c>
      <c r="CO367" s="315" t="str">
        <f t="shared" si="601"/>
        <v/>
      </c>
      <c r="CP367" s="315" t="e">
        <f>IF($J367="",#N/A,SUM(CO$4:CO367))</f>
        <v>#N/A</v>
      </c>
      <c r="CQ367" s="315" t="e">
        <f>IF($J367="",#N/A,SUM(CO$4:CO367,CM$4:CM367,CK$4:CK367))</f>
        <v>#N/A</v>
      </c>
      <c r="CR367" s="304" t="str">
        <f t="shared" si="602"/>
        <v/>
      </c>
      <c r="CS367" s="313" t="e">
        <f>IF($J367="",#N/A,SUM(CR$4:CR367))</f>
        <v>#N/A</v>
      </c>
      <c r="CT367" s="314" t="str">
        <f t="shared" si="603"/>
        <v/>
      </c>
      <c r="CU367" s="314" t="e">
        <f>IF($J367="",#N/A,SUM(CT$4:CT367))</f>
        <v>#N/A</v>
      </c>
      <c r="CV367" s="315" t="str">
        <f t="shared" si="604"/>
        <v/>
      </c>
      <c r="CW367" s="315" t="e">
        <f>IF($J367="",#N/A,SUM(CV$4:CV367))</f>
        <v>#N/A</v>
      </c>
      <c r="CX367" s="315" t="e">
        <f>IF($J367="",#N/A,SUM(CV$4:CV367,CT$4:CT367,CR$4:CR367))</f>
        <v>#N/A</v>
      </c>
      <c r="CY367" s="304" t="str">
        <f t="shared" si="605"/>
        <v/>
      </c>
      <c r="CZ367" s="313" t="e">
        <f>IF($J367="",#N/A,SUM(CY$4:CY367))</f>
        <v>#N/A</v>
      </c>
      <c r="DA367" s="314" t="str">
        <f t="shared" si="606"/>
        <v/>
      </c>
      <c r="DB367" s="314" t="e">
        <f>IF($J367="",#N/A,SUM(DA$4:DA367))</f>
        <v>#N/A</v>
      </c>
      <c r="DC367" s="315" t="str">
        <f t="shared" si="607"/>
        <v/>
      </c>
      <c r="DD367" s="315" t="e">
        <f>IF($J367="",#N/A,SUM(DC$4:DC367))</f>
        <v>#N/A</v>
      </c>
      <c r="DE367" s="315" t="e">
        <f>IF($J367="",#N/A,SUM(DC$4:DC367,DA$4:DA367,CY$4:CY367))</f>
        <v>#N/A</v>
      </c>
      <c r="DF367" s="304" t="str">
        <f t="shared" si="608"/>
        <v/>
      </c>
      <c r="DG367" s="313" t="e">
        <f>IF($J367="",#N/A,SUM(DF$4:DF367))</f>
        <v>#N/A</v>
      </c>
      <c r="DH367" s="314" t="str">
        <f t="shared" si="609"/>
        <v/>
      </c>
      <c r="DI367" s="314" t="e">
        <f>IF($J367="",#N/A,SUM(DH$4:DH367))</f>
        <v>#N/A</v>
      </c>
      <c r="DJ367" s="315" t="str">
        <f t="shared" si="610"/>
        <v/>
      </c>
      <c r="DK367" s="315" t="e">
        <f>IF($J367="",#N/A,SUM(DJ$4:DJ367))</f>
        <v>#N/A</v>
      </c>
      <c r="DL367" s="315" t="e">
        <f>IF($J367="",#N/A,SUM(DJ$4:DJ367,DH$4:DH367,DF$4:DF367))</f>
        <v>#N/A</v>
      </c>
      <c r="DM367" s="304" t="str">
        <f t="shared" si="611"/>
        <v/>
      </c>
      <c r="DN367" s="313" t="e">
        <f>IF($J367="",#N/A,SUM(DM$4:DM367))</f>
        <v>#N/A</v>
      </c>
      <c r="DO367" s="314" t="str">
        <f t="shared" si="612"/>
        <v/>
      </c>
      <c r="DP367" s="314" t="e">
        <f>IF($J367="",#N/A,SUM(DO$4:DO367))</f>
        <v>#N/A</v>
      </c>
      <c r="DQ367" s="315" t="str">
        <f t="shared" si="613"/>
        <v/>
      </c>
      <c r="DR367" s="315" t="e">
        <f>IF($J367="",#N/A,SUM(DQ$4:DQ367))</f>
        <v>#N/A</v>
      </c>
      <c r="DS367" s="315" t="e">
        <f>IF($J367="",#N/A,SUM(DQ$4:DQ367,DO$4:DO367,DM$4:DM367))</f>
        <v>#N/A</v>
      </c>
      <c r="DT367" s="304" t="str">
        <f t="shared" si="614"/>
        <v/>
      </c>
      <c r="DU367" s="313" t="e">
        <f>IF($J367="",#N/A,SUM(DT$4:DT367))</f>
        <v>#N/A</v>
      </c>
      <c r="DV367" s="314" t="str">
        <f t="shared" si="615"/>
        <v/>
      </c>
      <c r="DW367" s="314" t="e">
        <f>IF($J367="",#N/A,SUM(DV$4:DV367))</f>
        <v>#N/A</v>
      </c>
      <c r="DX367" s="315" t="str">
        <f t="shared" si="616"/>
        <v/>
      </c>
      <c r="DY367" s="315" t="e">
        <f>IF($J367="",#N/A,SUM(DX$4:DX367))</f>
        <v>#N/A</v>
      </c>
      <c r="DZ367" s="315" t="e">
        <f>IF($J367="",#N/A,SUM(DX$4:DX367,DV$4:DV367,DT$4:DT367))</f>
        <v>#N/A</v>
      </c>
      <c r="EA367" s="304" t="str">
        <f t="shared" si="617"/>
        <v/>
      </c>
      <c r="EB367" s="313" t="e">
        <f>IF($J367="",#N/A,SUM(EA$4:EA367))</f>
        <v>#N/A</v>
      </c>
      <c r="EC367" s="314" t="str">
        <f t="shared" si="618"/>
        <v/>
      </c>
      <c r="ED367" s="314" t="e">
        <f>IF($J367="",#N/A,SUM(EC$4:EC367))</f>
        <v>#N/A</v>
      </c>
      <c r="EE367" s="315" t="str">
        <f t="shared" si="619"/>
        <v/>
      </c>
      <c r="EF367" s="315" t="e">
        <f>IF($J367="",#N/A,SUM(EE$4:EE367))</f>
        <v>#N/A</v>
      </c>
      <c r="EG367" s="315" t="e">
        <f>IF($J367="",#N/A,SUM(EE$4:EE367,EC$4:EC367,EA$4:EA367))</f>
        <v>#N/A</v>
      </c>
      <c r="EH367" s="130">
        <f t="shared" si="620"/>
        <v>14.453795946410082</v>
      </c>
      <c r="EI367" s="63">
        <f>IF(EH367="",#N/A,SUM($EH$4:EH367))</f>
        <v>1192.6990485895446</v>
      </c>
      <c r="EJ367" s="223" t="e">
        <f t="shared" si="621"/>
        <v>#N/A</v>
      </c>
      <c r="EK367" s="63" t="e">
        <f>IF($GZ367="",#N/A,SUM(EJ$4:EJ367))</f>
        <v>#N/A</v>
      </c>
      <c r="EL367" s="60">
        <f t="shared" si="651"/>
        <v>0.1459979388526271</v>
      </c>
      <c r="EM367" s="60">
        <f>IF(EL367="",NA(),SUM($EL$4:EL367))</f>
        <v>27.046865817101885</v>
      </c>
      <c r="EN367" s="60" t="str">
        <f t="shared" si="622"/>
        <v/>
      </c>
      <c r="EO367" s="60" t="e">
        <f>IF(EN367="",NA(),SUM($EN$4:EN367))</f>
        <v>#N/A</v>
      </c>
      <c r="EP367" s="60">
        <f t="shared" si="623"/>
        <v>0.1459979388526271</v>
      </c>
      <c r="EQ367" s="60">
        <f>IF(EP367="",NA(),SUM($EP$4:EP367))</f>
        <v>7.7291689561841066</v>
      </c>
      <c r="ER367" s="60" t="str">
        <f t="shared" si="624"/>
        <v/>
      </c>
      <c r="ES367" s="60" t="e">
        <f>IF(ER367="",NA(),SUM($ER$4:ER367))</f>
        <v>#N/A</v>
      </c>
      <c r="ET367" s="60" t="str">
        <f t="shared" si="625"/>
        <v/>
      </c>
      <c r="EU367" s="60" t="e">
        <f>IF(ET367="",NA(),SUM($ET$4:ET367))</f>
        <v>#N/A</v>
      </c>
      <c r="EV367" s="60" t="str">
        <f t="shared" si="626"/>
        <v/>
      </c>
      <c r="EW367" s="60" t="e">
        <f>IF(EV367="",NA(),SUM($EV$4:EV367))</f>
        <v>#N/A</v>
      </c>
      <c r="EX367" s="60" t="str">
        <f t="shared" si="627"/>
        <v/>
      </c>
      <c r="EY367" s="60" t="e">
        <f>IF(EX367="",NA(),SUM($EX$4:EX367))</f>
        <v>#N/A</v>
      </c>
      <c r="EZ367" s="60" t="str">
        <f t="shared" si="628"/>
        <v/>
      </c>
      <c r="FA367" s="60" t="e">
        <f>IF(EZ367="",NA(),SUM($EZ$4:EZ367))</f>
        <v>#N/A</v>
      </c>
      <c r="FB367" s="246" t="str">
        <f t="shared" si="652"/>
        <v/>
      </c>
      <c r="FC367" s="246" t="e">
        <f>IF($FB367="",#N/A,SUM(FB$4:$FB367))</f>
        <v>#N/A</v>
      </c>
      <c r="FD367" s="60" t="str">
        <f t="shared" si="629"/>
        <v/>
      </c>
      <c r="FE367" s="60" t="e">
        <f>IF($FD367="",#N/A,SUM($FD$4:FD367))</f>
        <v>#N/A</v>
      </c>
      <c r="FF367" s="60" t="str">
        <f t="shared" si="630"/>
        <v/>
      </c>
      <c r="FG367" s="60" t="e">
        <f>IF($FF367="",#N/A,SUM($FF$4:FF367))</f>
        <v>#N/A</v>
      </c>
      <c r="FH367" s="60" t="str">
        <f t="shared" si="631"/>
        <v/>
      </c>
      <c r="FI367" s="60" t="e">
        <f>IF($FH367="",#N/A,SUM($FH$4:FH367))</f>
        <v>#N/A</v>
      </c>
      <c r="FJ367" s="60">
        <f t="shared" si="632"/>
        <v>-0.61261880224435916</v>
      </c>
      <c r="FK367" s="60">
        <f>IF($FJ367="",#N/A,SUM($FJ$4:FJ367))</f>
        <v>-7.1594633465157709E-2</v>
      </c>
      <c r="FL367" s="60" t="str">
        <f t="shared" si="633"/>
        <v/>
      </c>
      <c r="FM367" s="60" t="e">
        <f>IF($FL367="",#N/A,SUM($FL$4:FL367))</f>
        <v>#N/A</v>
      </c>
      <c r="FN367" s="82">
        <f t="shared" si="634"/>
        <v>-0.46662086339173209</v>
      </c>
      <c r="FO367" s="82">
        <f>IF($FN367="",#N/A,SUM(FN$4:$FN367))</f>
        <v>45.604009973658727</v>
      </c>
      <c r="FP367" s="82">
        <f t="shared" si="653"/>
        <v>0.1459979388526271</v>
      </c>
      <c r="FQ367" s="246">
        <f>IF($EH367="",#N/A,SUM($FP$4:FP367))</f>
        <v>52.989668840884278</v>
      </c>
      <c r="FR367" s="82">
        <f>IFERROR(FQ367/COUNTA($J$4:J367),#N/A)</f>
        <v>0.14557601329913264</v>
      </c>
      <c r="FS367" s="82">
        <f t="shared" si="554"/>
        <v>-0.11311709121946791</v>
      </c>
      <c r="FT367" s="82">
        <f t="shared" si="555"/>
        <v>0.1711315446335874</v>
      </c>
      <c r="FU367" s="273"/>
      <c r="FV367" s="57" t="str">
        <f t="shared" si="659"/>
        <v>SW</v>
      </c>
      <c r="FW367" s="57" t="s">
        <v>2732</v>
      </c>
      <c r="FX367" s="57" t="str">
        <f t="shared" si="635"/>
        <v/>
      </c>
      <c r="FY367" s="57" t="str">
        <f t="shared" si="636"/>
        <v/>
      </c>
      <c r="FZ367" s="57">
        <f t="shared" si="637"/>
        <v>1</v>
      </c>
      <c r="GA367" s="57" t="str">
        <f t="shared" si="638"/>
        <v>Long</v>
      </c>
      <c r="GB367" s="57" t="str">
        <f t="shared" si="639"/>
        <v/>
      </c>
      <c r="GC367" s="57" t="str">
        <f t="shared" si="640"/>
        <v/>
      </c>
      <c r="GD367" s="57" t="str">
        <f t="shared" si="641"/>
        <v/>
      </c>
      <c r="GE367" s="62">
        <f t="shared" si="557"/>
        <v>58.22</v>
      </c>
      <c r="GF367" s="62" t="s">
        <v>2779</v>
      </c>
      <c r="GG367" s="99">
        <f>IF(I367="","",1650/I367)</f>
        <v>28.340776365510134</v>
      </c>
      <c r="GH367" s="207">
        <f t="shared" si="642"/>
        <v>1650</v>
      </c>
      <c r="GI367" s="99">
        <f>GG367</f>
        <v>28.340776365510134</v>
      </c>
      <c r="GJ367" s="98">
        <f>J367</f>
        <v>58.73</v>
      </c>
      <c r="GK367" s="63">
        <f t="shared" si="643"/>
        <v>14.453795946410082</v>
      </c>
      <c r="GL367" s="63">
        <f t="shared" si="558"/>
        <v>-46.195465475781475</v>
      </c>
      <c r="GM367" s="82">
        <f t="shared" si="644"/>
        <v>-0.46662086339173209</v>
      </c>
      <c r="GN367" s="82">
        <f>IF($GZ367="",#N/A,SUM(GM$4:GM367))</f>
        <v>10.100069321207314</v>
      </c>
      <c r="GO367" s="82" t="str">
        <f t="shared" si="645"/>
        <v/>
      </c>
      <c r="GP367" s="82">
        <f>IF($GZ367="",#N/A,SUM(GO$4:GO367))</f>
        <v>6.0037363150047494</v>
      </c>
      <c r="GQ367" s="82" t="str">
        <f t="shared" si="646"/>
        <v/>
      </c>
      <c r="GR367" s="82">
        <f>IF($GZ367="",#N/A,SUM(GQ$4:GQ367))</f>
        <v>28.874367383004316</v>
      </c>
      <c r="GS367" s="63" t="e">
        <f t="shared" si="654"/>
        <v>#N/A</v>
      </c>
      <c r="GT367" s="63" t="e">
        <f>IF($GZ367="",#N/A,SUM(GS$4:GS367))</f>
        <v>#N/A</v>
      </c>
      <c r="GU367" s="63" t="str">
        <f t="shared" si="655"/>
        <v/>
      </c>
      <c r="GV367" s="63" t="e">
        <f>IF($GZ367="",#N/A,SUM(GU$4:GU367))</f>
        <v>#N/A</v>
      </c>
      <c r="GW367" s="63" t="str">
        <f t="shared" si="656"/>
        <v/>
      </c>
      <c r="GX367" s="63" t="e">
        <f>IF($GZ367="",#N/A,SUM(GW$4:GW367))</f>
        <v>#N/A</v>
      </c>
      <c r="GY367" s="63" t="e">
        <f>IF(EJ367="",#N/A,SUM($EJ$4:EJ367))</f>
        <v>#N/A</v>
      </c>
      <c r="GZ367" s="159">
        <v>56.59</v>
      </c>
      <c r="HA367" s="63">
        <f t="shared" si="647"/>
        <v>-60.649261422191557</v>
      </c>
      <c r="HB367" s="62" t="s">
        <v>4970</v>
      </c>
      <c r="HC367" s="60">
        <f>IFERROR(VLOOKUP(E367,Expectancy!$P$4:$S$19,1+C367,FALSE),"")</f>
        <v>2.40735201201209E-2</v>
      </c>
      <c r="HD367" s="99" t="str">
        <f t="shared" si="648"/>
        <v/>
      </c>
      <c r="HE367" s="500" t="e">
        <f>IF(HD367="",#N/A,SUM($HD$4:HD367))</f>
        <v>#N/A</v>
      </c>
      <c r="HF367" s="501" t="e">
        <f>IF(HD367="",#N/A,IF(HB367="Skip",#N/A,SUM($HG$4:HG367)))</f>
        <v>#N/A</v>
      </c>
      <c r="HG367" s="502" t="str">
        <f t="shared" si="649"/>
        <v/>
      </c>
      <c r="HH367" s="82">
        <f t="shared" si="650"/>
        <v>-0.46662086339173209</v>
      </c>
    </row>
    <row r="368" spans="1:216" x14ac:dyDescent="0.25">
      <c r="A368" s="57" t="s">
        <v>881</v>
      </c>
      <c r="B368" s="58" t="s">
        <v>5249</v>
      </c>
      <c r="C368" s="386">
        <f t="shared" si="561"/>
        <v>3</v>
      </c>
      <c r="D368" s="372" t="str">
        <f>_xlfn.XLOOKUP(A368,[1]SP500!$A$2:$A$502,[1]SP500!$D$2:$D$502,"N")</f>
        <v>Y</v>
      </c>
      <c r="E368" s="57" t="str">
        <f>_xlfn.XLOOKUP(A368,[1]SP500!$A$2:$A$655,[1]SP500!$B$2:$B$655)</f>
        <v>XLY</v>
      </c>
      <c r="F368" s="59">
        <v>45713</v>
      </c>
      <c r="G368" s="57" t="str">
        <f t="shared" si="562"/>
        <v>BMO</v>
      </c>
      <c r="H368" s="57" t="str">
        <f t="shared" si="563"/>
        <v>s</v>
      </c>
      <c r="I368" s="159">
        <v>382.42</v>
      </c>
      <c r="J368" s="159">
        <v>385</v>
      </c>
      <c r="K368" s="61">
        <f t="shared" si="564"/>
        <v>6.7465090737931699E-3</v>
      </c>
      <c r="L368" s="87">
        <f t="shared" si="565"/>
        <v>10.319999999999936</v>
      </c>
      <c r="M368" s="130">
        <f t="shared" si="556"/>
        <v>4</v>
      </c>
      <c r="N368" s="169" t="str">
        <f t="shared" si="566"/>
        <v/>
      </c>
      <c r="O368" s="169">
        <f>IF($J368="",#N/A,SUM($N$4:N368))</f>
        <v>-5.3532806457756124</v>
      </c>
      <c r="P368" s="174" t="str">
        <f t="shared" si="567"/>
        <v/>
      </c>
      <c r="Q368" s="174">
        <f>IF($J368="",#N/A,SUM($P$4:P368))</f>
        <v>435.28999224504321</v>
      </c>
      <c r="R368" s="178">
        <f t="shared" si="568"/>
        <v>10.319999999999936</v>
      </c>
      <c r="S368" s="178">
        <f>IF($J368="",#N/A,SUM($R$4:R368))</f>
        <v>773.08233699027687</v>
      </c>
      <c r="T368" s="290" t="str">
        <f t="shared" si="569"/>
        <v/>
      </c>
      <c r="U368" s="290">
        <f>IF($J368="",#N/A,SUM($T$4:T368))</f>
        <v>13.67185393496869</v>
      </c>
      <c r="V368" s="291" t="str">
        <f t="shared" si="570"/>
        <v/>
      </c>
      <c r="W368" s="291">
        <f>IF($J368="",#N/A,SUM($V$4:V368))</f>
        <v>23.925757159446615</v>
      </c>
      <c r="X368" s="292">
        <f t="shared" si="571"/>
        <v>0.11244181789655283</v>
      </c>
      <c r="Y368" s="292">
        <f>IF($J368="",#N/A,SUM($X$4:X368))</f>
        <v>15.504499564365554</v>
      </c>
      <c r="Z368" s="304" t="str">
        <f t="shared" si="572"/>
        <v/>
      </c>
      <c r="AA368" s="313" t="e">
        <f>IF($J368="",#N/A,SUM(Z$4:Z368))</f>
        <v>#N/A</v>
      </c>
      <c r="AB368" s="314" t="str">
        <f t="shared" si="573"/>
        <v/>
      </c>
      <c r="AC368" s="314" t="e">
        <f>IF($J368="",#N/A,SUM(AB$4:AB368))</f>
        <v>#N/A</v>
      </c>
      <c r="AD368" s="315" t="str">
        <f t="shared" si="574"/>
        <v/>
      </c>
      <c r="AE368" s="315" t="e">
        <f>IF($J368="",#N/A,SUM(AD$4:AD368))</f>
        <v>#N/A</v>
      </c>
      <c r="AF368" s="315" t="e">
        <f>IF($J368="",#N/A,SUM(AD$4:AD368,AB$4:AB368,Z$4:Z368))</f>
        <v>#N/A</v>
      </c>
      <c r="AG368" s="304" t="str">
        <f t="shared" si="575"/>
        <v/>
      </c>
      <c r="AH368" s="313" t="e">
        <f>IF($J368="",#N/A,SUM(AG$4:AG368))</f>
        <v>#N/A</v>
      </c>
      <c r="AI368" s="314" t="str">
        <f t="shared" si="576"/>
        <v/>
      </c>
      <c r="AJ368" s="314" t="e">
        <f>IF($J368="",#N/A,SUM(AI$4:AI368))</f>
        <v>#N/A</v>
      </c>
      <c r="AK368" s="315" t="str">
        <f t="shared" si="577"/>
        <v/>
      </c>
      <c r="AL368" s="315" t="e">
        <f>IF($J368="",#N/A,SUM(AK$4:AK368))</f>
        <v>#N/A</v>
      </c>
      <c r="AM368" s="315" t="e">
        <f>IF($J368="",#N/A,SUM(AK$4:AK368,AI$4:AI368,AG$4:AG368))</f>
        <v>#N/A</v>
      </c>
      <c r="AN368" s="304" t="str">
        <f t="shared" si="578"/>
        <v/>
      </c>
      <c r="AO368" s="313" t="e">
        <f>IF($J368="",#N/A,SUM(AN$4:AN368))</f>
        <v>#N/A</v>
      </c>
      <c r="AP368" s="314" t="str">
        <f t="shared" si="579"/>
        <v/>
      </c>
      <c r="AQ368" s="314" t="e">
        <f>IF($J368="",#N/A,SUM(AP$4:AP368))</f>
        <v>#N/A</v>
      </c>
      <c r="AR368" s="315">
        <f t="shared" si="580"/>
        <v>0.11244181789655283</v>
      </c>
      <c r="AS368" s="315" t="e">
        <f>IF($J368="",#N/A,SUM(AR$4:AR368))</f>
        <v>#N/A</v>
      </c>
      <c r="AT368" s="315" t="e">
        <f>IF($J368="",#N/A,SUM(AR$4:AR368,AP$4:AP368,AN$4:AN368))</f>
        <v>#N/A</v>
      </c>
      <c r="AU368" s="304" t="str">
        <f t="shared" si="581"/>
        <v/>
      </c>
      <c r="AV368" s="313" t="e">
        <f>IF($J368="",#N/A,SUM(AU$4:AU368))</f>
        <v>#N/A</v>
      </c>
      <c r="AW368" s="314" t="str">
        <f t="shared" si="582"/>
        <v/>
      </c>
      <c r="AX368" s="314" t="e">
        <f>IF($J368="",#N/A,SUM(AW$4:AW368))</f>
        <v>#N/A</v>
      </c>
      <c r="AY368" s="315" t="str">
        <f t="shared" si="583"/>
        <v/>
      </c>
      <c r="AZ368" s="315" t="e">
        <f>IF($J368="",#N/A,SUM(AY$4:AY368))</f>
        <v>#N/A</v>
      </c>
      <c r="BA368" s="315" t="e">
        <f>IF($J368="",#N/A,SUM(AY$4:AY368,AW$4:AW368,AU$4:AU368))</f>
        <v>#N/A</v>
      </c>
      <c r="BB368" s="304" t="str">
        <f t="shared" si="584"/>
        <v/>
      </c>
      <c r="BC368" s="313" t="e">
        <f>IF($J368="",#N/A,SUM(BB$4:BB368))</f>
        <v>#N/A</v>
      </c>
      <c r="BD368" s="314" t="str">
        <f t="shared" si="585"/>
        <v/>
      </c>
      <c r="BE368" s="314" t="e">
        <f>IF($J368="",#N/A,SUM(BD$4:BD368))</f>
        <v>#N/A</v>
      </c>
      <c r="BF368" s="315" t="str">
        <f t="shared" si="586"/>
        <v/>
      </c>
      <c r="BG368" s="315" t="e">
        <f>IF($J368="",#N/A,SUM(BF$4:BF368))</f>
        <v>#N/A</v>
      </c>
      <c r="BH368" s="315" t="e">
        <f>IF($J368="",#N/A,SUM(BF$4:BF368,BD$4:BD368,BB$4:BB368))</f>
        <v>#N/A</v>
      </c>
      <c r="BI368" s="304" t="str">
        <f t="shared" si="587"/>
        <v/>
      </c>
      <c r="BJ368" s="313" t="e">
        <f>IF($J368="",#N/A,SUM(BI$4:BI368))</f>
        <v>#N/A</v>
      </c>
      <c r="BK368" s="314" t="str">
        <f t="shared" si="588"/>
        <v/>
      </c>
      <c r="BL368" s="314" t="e">
        <f>IF($J368="",#N/A,SUM(BK$4:BK368))</f>
        <v>#N/A</v>
      </c>
      <c r="BM368" s="315" t="str">
        <f t="shared" si="589"/>
        <v/>
      </c>
      <c r="BN368" s="315" t="e">
        <f>IF($J368="",#N/A,SUM(BM$4:BM368))</f>
        <v>#N/A</v>
      </c>
      <c r="BO368" s="315" t="e">
        <f>IF($J368="",#N/A,SUM(BM$4:BM368,BK$4:BK368,BI$4:BI368))</f>
        <v>#N/A</v>
      </c>
      <c r="BP368" s="304" t="str">
        <f t="shared" si="590"/>
        <v/>
      </c>
      <c r="BQ368" s="313" t="e">
        <f>IF($J368="",#N/A,SUM(BP$4:BP368))</f>
        <v>#N/A</v>
      </c>
      <c r="BR368" s="314" t="str">
        <f t="shared" si="591"/>
        <v/>
      </c>
      <c r="BS368" s="314" t="e">
        <f>IF($J368="",#N/A,SUM(BR$4:BR368))</f>
        <v>#N/A</v>
      </c>
      <c r="BT368" s="315" t="str">
        <f t="shared" si="592"/>
        <v/>
      </c>
      <c r="BU368" s="315" t="e">
        <f>IF($J368="",#N/A,SUM(BT$4:BT368))</f>
        <v>#N/A</v>
      </c>
      <c r="BV368" s="315" t="e">
        <f>IF($J368="",#N/A,SUM(BT$4:BT368,BR$4:BR368,BP$4:BP368))</f>
        <v>#N/A</v>
      </c>
      <c r="BW368" s="304" t="str">
        <f t="shared" si="593"/>
        <v/>
      </c>
      <c r="BX368" s="313" t="e">
        <f>IF($J368="",#N/A,SUM(BW$4:BW368))</f>
        <v>#N/A</v>
      </c>
      <c r="BY368" s="314" t="str">
        <f t="shared" si="594"/>
        <v/>
      </c>
      <c r="BZ368" s="314" t="e">
        <f>IF($J368="",#N/A,SUM(BY$4:BY368))</f>
        <v>#N/A</v>
      </c>
      <c r="CA368" s="315" t="str">
        <f t="shared" si="595"/>
        <v/>
      </c>
      <c r="CB368" s="315" t="e">
        <f>IF($J368="",#N/A,SUM(CA$4:CA368))</f>
        <v>#N/A</v>
      </c>
      <c r="CC368" s="315" t="e">
        <f>IF($J368="",#N/A,SUM(CA$4:CA368,BY$4:BY368,BW$4:BW368))</f>
        <v>#N/A</v>
      </c>
      <c r="CD368" s="304" t="str">
        <f t="shared" si="596"/>
        <v/>
      </c>
      <c r="CE368" s="313" t="e">
        <f>IF($J368="",#N/A,SUM(CD$4:CD368))</f>
        <v>#N/A</v>
      </c>
      <c r="CF368" s="314" t="str">
        <f t="shared" si="597"/>
        <v/>
      </c>
      <c r="CG368" s="314" t="e">
        <f>IF($J368="",#N/A,SUM(CF$4:CF368))</f>
        <v>#N/A</v>
      </c>
      <c r="CH368" s="315" t="str">
        <f t="shared" si="598"/>
        <v/>
      </c>
      <c r="CI368" s="315" t="e">
        <f>IF($J368="",#N/A,SUM(CH$4:CH368))</f>
        <v>#N/A</v>
      </c>
      <c r="CJ368" s="315" t="e">
        <f>IF($J368="",#N/A,SUM(CH$4:CH368,CF$4:CF368,CD$4:CD368))</f>
        <v>#N/A</v>
      </c>
      <c r="CK368" s="304" t="str">
        <f t="shared" si="599"/>
        <v/>
      </c>
      <c r="CL368" s="313" t="e">
        <f>IF($J368="",#N/A,SUM(CK$4:CK368))</f>
        <v>#N/A</v>
      </c>
      <c r="CM368" s="314" t="str">
        <f t="shared" si="600"/>
        <v/>
      </c>
      <c r="CN368" s="314" t="e">
        <f>IF($J368="",#N/A,SUM(CM$4:CM368))</f>
        <v>#N/A</v>
      </c>
      <c r="CO368" s="315" t="str">
        <f t="shared" si="601"/>
        <v/>
      </c>
      <c r="CP368" s="315" t="e">
        <f>IF($J368="",#N/A,SUM(CO$4:CO368))</f>
        <v>#N/A</v>
      </c>
      <c r="CQ368" s="315" t="e">
        <f>IF($J368="",#N/A,SUM(CO$4:CO368,CM$4:CM368,CK$4:CK368))</f>
        <v>#N/A</v>
      </c>
      <c r="CR368" s="304" t="str">
        <f t="shared" si="602"/>
        <v/>
      </c>
      <c r="CS368" s="313" t="e">
        <f>IF($J368="",#N/A,SUM(CR$4:CR368))</f>
        <v>#N/A</v>
      </c>
      <c r="CT368" s="314" t="str">
        <f t="shared" si="603"/>
        <v/>
      </c>
      <c r="CU368" s="314" t="e">
        <f>IF($J368="",#N/A,SUM(CT$4:CT368))</f>
        <v>#N/A</v>
      </c>
      <c r="CV368" s="315" t="str">
        <f t="shared" si="604"/>
        <v/>
      </c>
      <c r="CW368" s="315" t="e">
        <f>IF($J368="",#N/A,SUM(CV$4:CV368))</f>
        <v>#N/A</v>
      </c>
      <c r="CX368" s="315" t="e">
        <f>IF($J368="",#N/A,SUM(CV$4:CV368,CT$4:CT368,CR$4:CR368))</f>
        <v>#N/A</v>
      </c>
      <c r="CY368" s="304" t="str">
        <f t="shared" si="605"/>
        <v/>
      </c>
      <c r="CZ368" s="313" t="e">
        <f>IF($J368="",#N/A,SUM(CY$4:CY368))</f>
        <v>#N/A</v>
      </c>
      <c r="DA368" s="314" t="str">
        <f t="shared" si="606"/>
        <v/>
      </c>
      <c r="DB368" s="314" t="e">
        <f>IF($J368="",#N/A,SUM(DA$4:DA368))</f>
        <v>#N/A</v>
      </c>
      <c r="DC368" s="315" t="str">
        <f t="shared" si="607"/>
        <v/>
      </c>
      <c r="DD368" s="315" t="e">
        <f>IF($J368="",#N/A,SUM(DC$4:DC368))</f>
        <v>#N/A</v>
      </c>
      <c r="DE368" s="315" t="e">
        <f>IF($J368="",#N/A,SUM(DC$4:DC368,DA$4:DA368,CY$4:CY368))</f>
        <v>#N/A</v>
      </c>
      <c r="DF368" s="304" t="str">
        <f t="shared" si="608"/>
        <v/>
      </c>
      <c r="DG368" s="313" t="e">
        <f>IF($J368="",#N/A,SUM(DF$4:DF368))</f>
        <v>#N/A</v>
      </c>
      <c r="DH368" s="314" t="str">
        <f t="shared" si="609"/>
        <v/>
      </c>
      <c r="DI368" s="314" t="e">
        <f>IF($J368="",#N/A,SUM(DH$4:DH368))</f>
        <v>#N/A</v>
      </c>
      <c r="DJ368" s="315" t="str">
        <f t="shared" si="610"/>
        <v/>
      </c>
      <c r="DK368" s="315" t="e">
        <f>IF($J368="",#N/A,SUM(DJ$4:DJ368))</f>
        <v>#N/A</v>
      </c>
      <c r="DL368" s="315" t="e">
        <f>IF($J368="",#N/A,SUM(DJ$4:DJ368,DH$4:DH368,DF$4:DF368))</f>
        <v>#N/A</v>
      </c>
      <c r="DM368" s="304" t="str">
        <f t="shared" si="611"/>
        <v/>
      </c>
      <c r="DN368" s="313" t="e">
        <f>IF($J368="",#N/A,SUM(DM$4:DM368))</f>
        <v>#N/A</v>
      </c>
      <c r="DO368" s="314" t="str">
        <f t="shared" si="612"/>
        <v/>
      </c>
      <c r="DP368" s="314" t="e">
        <f>IF($J368="",#N/A,SUM(DO$4:DO368))</f>
        <v>#N/A</v>
      </c>
      <c r="DQ368" s="315" t="str">
        <f t="shared" si="613"/>
        <v/>
      </c>
      <c r="DR368" s="315" t="e">
        <f>IF($J368="",#N/A,SUM(DQ$4:DQ368))</f>
        <v>#N/A</v>
      </c>
      <c r="DS368" s="315" t="e">
        <f>IF($J368="",#N/A,SUM(DQ$4:DQ368,DO$4:DO368,DM$4:DM368))</f>
        <v>#N/A</v>
      </c>
      <c r="DT368" s="304" t="str">
        <f t="shared" si="614"/>
        <v/>
      </c>
      <c r="DU368" s="313" t="e">
        <f>IF($J368="",#N/A,SUM(DT$4:DT368))</f>
        <v>#N/A</v>
      </c>
      <c r="DV368" s="314" t="str">
        <f t="shared" si="615"/>
        <v/>
      </c>
      <c r="DW368" s="314" t="e">
        <f>IF($J368="",#N/A,SUM(DV$4:DV368))</f>
        <v>#N/A</v>
      </c>
      <c r="DX368" s="315" t="str">
        <f t="shared" si="616"/>
        <v/>
      </c>
      <c r="DY368" s="315" t="e">
        <f>IF($J368="",#N/A,SUM(DX$4:DX368))</f>
        <v>#N/A</v>
      </c>
      <c r="DZ368" s="315" t="e">
        <f>IF($J368="",#N/A,SUM(DX$4:DX368,DV$4:DV368,DT$4:DT368))</f>
        <v>#N/A</v>
      </c>
      <c r="EA368" s="304" t="str">
        <f t="shared" si="617"/>
        <v/>
      </c>
      <c r="EB368" s="313" t="e">
        <f>IF($J368="",#N/A,SUM(EA$4:EA368))</f>
        <v>#N/A</v>
      </c>
      <c r="EC368" s="314" t="str">
        <f t="shared" si="618"/>
        <v/>
      </c>
      <c r="ED368" s="314" t="e">
        <f>IF($J368="",#N/A,SUM(EC$4:EC368))</f>
        <v>#N/A</v>
      </c>
      <c r="EE368" s="315" t="str">
        <f t="shared" si="619"/>
        <v/>
      </c>
      <c r="EF368" s="315" t="e">
        <f>IF($J368="",#N/A,SUM(EE$4:EE368))</f>
        <v>#N/A</v>
      </c>
      <c r="EG368" s="315" t="e">
        <f>IF($J368="",#N/A,SUM(EE$4:EE368,EC$4:EC368,EA$4:EA368))</f>
        <v>#N/A</v>
      </c>
      <c r="EH368" s="130">
        <f t="shared" si="620"/>
        <v>10.319999999999936</v>
      </c>
      <c r="EI368" s="63">
        <f>IF(EH368="",#N/A,SUM($EH$4:EH368))</f>
        <v>1203.0190485895446</v>
      </c>
      <c r="EJ368" s="223" t="e">
        <f t="shared" si="621"/>
        <v>#N/A</v>
      </c>
      <c r="EK368" s="63" t="e">
        <f>IF($GZ368="",#N/A,SUM(EJ$4:EJ368))</f>
        <v>#N/A</v>
      </c>
      <c r="EL368" s="60">
        <f t="shared" si="651"/>
        <v>0.11244181789655283</v>
      </c>
      <c r="EM368" s="60">
        <f>IF(EL368="",NA(),SUM($EL$4:EL368))</f>
        <v>27.159307634998438</v>
      </c>
      <c r="EN368" s="60" t="str">
        <f t="shared" si="622"/>
        <v/>
      </c>
      <c r="EO368" s="60" t="e">
        <f>IF(EN368="",NA(),SUM($EN$4:EN368))</f>
        <v>#N/A</v>
      </c>
      <c r="EP368" s="60">
        <f t="shared" si="623"/>
        <v>0.11244181789655283</v>
      </c>
      <c r="EQ368" s="60">
        <f>IF(EP368="",NA(),SUM($EP$4:EP368))</f>
        <v>7.8416107740806593</v>
      </c>
      <c r="ER368" s="60" t="str">
        <f t="shared" si="624"/>
        <v/>
      </c>
      <c r="ES368" s="60" t="e">
        <f>IF(ER368="",NA(),SUM($ER$4:ER368))</f>
        <v>#N/A</v>
      </c>
      <c r="ET368" s="60" t="str">
        <f t="shared" si="625"/>
        <v/>
      </c>
      <c r="EU368" s="60" t="e">
        <f>IF(ET368="",NA(),SUM($ET$4:ET368))</f>
        <v>#N/A</v>
      </c>
      <c r="EV368" s="60" t="str">
        <f t="shared" si="626"/>
        <v/>
      </c>
      <c r="EW368" s="60" t="e">
        <f>IF(EV368="",NA(),SUM($EV$4:EV368))</f>
        <v>#N/A</v>
      </c>
      <c r="EX368" s="60" t="str">
        <f t="shared" si="627"/>
        <v/>
      </c>
      <c r="EY368" s="60" t="e">
        <f>IF(EX368="",NA(),SUM($EX$4:EX368))</f>
        <v>#N/A</v>
      </c>
      <c r="EZ368" s="60" t="str">
        <f t="shared" si="628"/>
        <v/>
      </c>
      <c r="FA368" s="60" t="e">
        <f>IF(EZ368="",NA(),SUM($EZ$4:EZ368))</f>
        <v>#N/A</v>
      </c>
      <c r="FB368" s="246" t="str">
        <f t="shared" si="652"/>
        <v/>
      </c>
      <c r="FC368" s="246" t="e">
        <f>IF($FB368="",#N/A,SUM(FB$4:$FB368))</f>
        <v>#N/A</v>
      </c>
      <c r="FD368" s="60" t="str">
        <f t="shared" si="629"/>
        <v/>
      </c>
      <c r="FE368" s="60" t="e">
        <f>IF($FD368="",#N/A,SUM($FD$4:FD368))</f>
        <v>#N/A</v>
      </c>
      <c r="FF368" s="60" t="str">
        <f t="shared" si="630"/>
        <v/>
      </c>
      <c r="FG368" s="60" t="e">
        <f>IF($FF368="",#N/A,SUM($FF$4:FF368))</f>
        <v>#N/A</v>
      </c>
      <c r="FH368" s="60" t="str">
        <f t="shared" si="631"/>
        <v/>
      </c>
      <c r="FI368" s="60" t="e">
        <f>IF($FH368="",#N/A,SUM($FH$4:FH368))</f>
        <v>#N/A</v>
      </c>
      <c r="FJ368" s="60">
        <f t="shared" si="632"/>
        <v>0.36129560866760896</v>
      </c>
      <c r="FK368" s="60">
        <f>IF($FJ368="",#N/A,SUM($FJ$4:FJ368))</f>
        <v>0.28970097520245125</v>
      </c>
      <c r="FL368" s="60" t="str">
        <f t="shared" si="633"/>
        <v/>
      </c>
      <c r="FM368" s="60" t="e">
        <f>IF($FL368="",#N/A,SUM($FL$4:FL368))</f>
        <v>#N/A</v>
      </c>
      <c r="FN368" s="82">
        <f t="shared" si="634"/>
        <v>0.47373742656416179</v>
      </c>
      <c r="FO368" s="82">
        <f>IF($FN368="",#N/A,SUM(FN$4:$FN368))</f>
        <v>46.07774740022289</v>
      </c>
      <c r="FP368" s="82">
        <f t="shared" si="653"/>
        <v>0.11244181789655283</v>
      </c>
      <c r="FQ368" s="246">
        <f>IF($EH368="",#N/A,SUM($FP$4:FP368))</f>
        <v>53.10211065878083</v>
      </c>
      <c r="FR368" s="82">
        <f>IFERROR(FQ368/COUNTA($J$4:J368),#N/A)</f>
        <v>0.14548523468159133</v>
      </c>
      <c r="FS368" s="82">
        <f t="shared" si="554"/>
        <v>-2.9737974773828457E-2</v>
      </c>
      <c r="FT368" s="82">
        <f t="shared" si="555"/>
        <v>3.7260838958184481E-2</v>
      </c>
      <c r="FU368" s="338">
        <f t="shared" ref="FU368:FU397" si="660">IF(AND(HB368="MOC",GZ368=""),#N/A,IFERROR(FQ368-HE368,FQ368-0))-14.53</f>
        <v>28.505696000520814</v>
      </c>
      <c r="FV368" s="57" t="str">
        <f t="shared" si="659"/>
        <v>SW</v>
      </c>
      <c r="FW368" s="57" t="s">
        <v>2732</v>
      </c>
      <c r="FX368" s="57" t="str">
        <f t="shared" si="635"/>
        <v/>
      </c>
      <c r="FY368" s="57" t="str">
        <f t="shared" si="636"/>
        <v/>
      </c>
      <c r="FZ368" s="57">
        <f t="shared" si="637"/>
        <v>1</v>
      </c>
      <c r="GA368" s="57" t="str">
        <f t="shared" si="638"/>
        <v>Long</v>
      </c>
      <c r="GB368" s="57" t="str">
        <f t="shared" si="639"/>
        <v/>
      </c>
      <c r="GC368" s="57" t="str">
        <f t="shared" si="640"/>
        <v/>
      </c>
      <c r="GD368" s="57" t="str">
        <f t="shared" si="641"/>
        <v/>
      </c>
      <c r="GE368" s="62">
        <f t="shared" si="557"/>
        <v>382.42</v>
      </c>
      <c r="GF368" s="62" t="s">
        <v>2779</v>
      </c>
      <c r="GG368" s="199">
        <v>4</v>
      </c>
      <c r="GH368" s="207">
        <f t="shared" si="642"/>
        <v>1529.68</v>
      </c>
      <c r="GI368" s="199">
        <v>4</v>
      </c>
      <c r="GJ368" s="200">
        <v>386</v>
      </c>
      <c r="GK368" s="63">
        <f t="shared" si="643"/>
        <v>14.319999999999936</v>
      </c>
      <c r="GL368" s="63">
        <f t="shared" si="558"/>
        <v>43.480000000000018</v>
      </c>
      <c r="GM368" s="82">
        <f t="shared" si="644"/>
        <v>0.47373742656416179</v>
      </c>
      <c r="GN368" s="82">
        <f>IF($GZ368="",#N/A,SUM(GM$4:GM368))</f>
        <v>10.573806747771476</v>
      </c>
      <c r="GO368" s="82" t="str">
        <f t="shared" si="645"/>
        <v/>
      </c>
      <c r="GP368" s="82">
        <f>IF($GZ368="",#N/A,SUM(GO$4:GO368))</f>
        <v>6.0037363150047494</v>
      </c>
      <c r="GQ368" s="82" t="str">
        <f t="shared" si="646"/>
        <v/>
      </c>
      <c r="GR368" s="82">
        <f>IF($GZ368="",#N/A,SUM(GQ$4:GQ368))</f>
        <v>28.874367383004316</v>
      </c>
      <c r="GS368" s="63" t="e">
        <f t="shared" si="654"/>
        <v>#N/A</v>
      </c>
      <c r="GT368" s="63" t="e">
        <f>IF($GZ368="",#N/A,SUM(GS$4:GS368))</f>
        <v>#N/A</v>
      </c>
      <c r="GU368" s="63" t="str">
        <f t="shared" si="655"/>
        <v/>
      </c>
      <c r="GV368" s="63" t="e">
        <f>IF($GZ368="",#N/A,SUM(GU$4:GU368))</f>
        <v>#N/A</v>
      </c>
      <c r="GW368" s="63" t="str">
        <f t="shared" si="656"/>
        <v/>
      </c>
      <c r="GX368" s="63" t="e">
        <f>IF($GZ368="",#N/A,SUM(GW$4:GW368))</f>
        <v>#N/A</v>
      </c>
      <c r="GY368" s="63" t="e">
        <f>IF(EJ368="",#N/A,SUM($EJ$4:EJ368))</f>
        <v>#N/A</v>
      </c>
      <c r="GZ368" s="159">
        <v>393.29</v>
      </c>
      <c r="HA368" s="63">
        <f t="shared" si="647"/>
        <v>33.160000000000082</v>
      </c>
      <c r="HB368" s="62" t="s">
        <v>2538</v>
      </c>
      <c r="HC368" s="60">
        <f>IFERROR(VLOOKUP(E368,Expectancy!$P$4:$S$19,1+C368,FALSE),"")</f>
        <v>0.48685636958953199</v>
      </c>
      <c r="HD368" s="82">
        <f t="shared" si="648"/>
        <v>0.15602391785645731</v>
      </c>
      <c r="HE368" s="138">
        <f>IF(HD368="",#N/A,SUM($HD$4:HD368))</f>
        <v>10.066414658260017</v>
      </c>
      <c r="HF368" s="85">
        <f>IF(HD368="",#N/A,IF(HB368="Skip",#N/A,SUM($HG$4:HG368)))</f>
        <v>295.6615792191551</v>
      </c>
      <c r="HG368" s="63">
        <f t="shared" si="649"/>
        <v>14.319999999999936</v>
      </c>
      <c r="HH368" s="82">
        <f t="shared" si="650"/>
        <v>0.47373742656416179</v>
      </c>
    </row>
    <row r="369" spans="1:216" x14ac:dyDescent="0.25">
      <c r="A369" s="57" t="s">
        <v>1434</v>
      </c>
      <c r="B369" s="58" t="s">
        <v>5249</v>
      </c>
      <c r="C369" s="386">
        <f t="shared" si="561"/>
        <v>3</v>
      </c>
      <c r="D369" s="372" t="str">
        <f>_xlfn.XLOOKUP(A369,[1]SP500!$A$2:$A$502,[1]SP500!$D$2:$D$502,"N")</f>
        <v>Y</v>
      </c>
      <c r="E369" s="57" t="str">
        <f>_xlfn.XLOOKUP(A369,[1]SP500!$A$2:$A$655,[1]SP500!$B$2:$B$655)</f>
        <v>XLP</v>
      </c>
      <c r="F369" s="59">
        <v>45713</v>
      </c>
      <c r="G369" s="57" t="str">
        <f t="shared" si="562"/>
        <v>BMO</v>
      </c>
      <c r="H369" s="57" t="str">
        <f t="shared" si="563"/>
        <v>s</v>
      </c>
      <c r="I369" s="159">
        <v>34.119999999999997</v>
      </c>
      <c r="J369" s="159">
        <v>34.92</v>
      </c>
      <c r="K369" s="61">
        <f t="shared" si="564"/>
        <v>2.3446658851113841E-2</v>
      </c>
      <c r="L369" s="87">
        <f t="shared" si="565"/>
        <v>38.400000000000318</v>
      </c>
      <c r="M369" s="130">
        <f t="shared" si="556"/>
        <v>0</v>
      </c>
      <c r="N369" s="169" t="str">
        <f t="shared" si="566"/>
        <v/>
      </c>
      <c r="O369" s="169">
        <f>IF($J369="",#N/A,SUM($N$4:N369))</f>
        <v>-5.3532806457756124</v>
      </c>
      <c r="P369" s="174" t="str">
        <f t="shared" si="567"/>
        <v/>
      </c>
      <c r="Q369" s="174">
        <f>IF($J369="",#N/A,SUM($P$4:P369))</f>
        <v>435.28999224504321</v>
      </c>
      <c r="R369" s="178">
        <f t="shared" si="568"/>
        <v>38.400000000000318</v>
      </c>
      <c r="S369" s="178">
        <f>IF($J369="",#N/A,SUM($R$4:R369))</f>
        <v>811.48233699027719</v>
      </c>
      <c r="T369" s="290" t="str">
        <f t="shared" si="569"/>
        <v/>
      </c>
      <c r="U369" s="290">
        <f>IF($J369="",#N/A,SUM($T$4:T369))</f>
        <v>13.67185393496869</v>
      </c>
      <c r="V369" s="291" t="str">
        <f t="shared" si="570"/>
        <v/>
      </c>
      <c r="W369" s="291">
        <f>IF($J369="",#N/A,SUM($V$4:V369))</f>
        <v>23.925757159446615</v>
      </c>
      <c r="X369" s="292">
        <f t="shared" si="571"/>
        <v>0.39077764751856525</v>
      </c>
      <c r="Y369" s="292">
        <f>IF($J369="",#N/A,SUM($X$4:X369))</f>
        <v>15.895277211884119</v>
      </c>
      <c r="Z369" s="304" t="str">
        <f t="shared" si="572"/>
        <v/>
      </c>
      <c r="AA369" s="313" t="e">
        <f>IF($J369="",#N/A,SUM(Z$4:Z369))</f>
        <v>#N/A</v>
      </c>
      <c r="AB369" s="314" t="str">
        <f t="shared" si="573"/>
        <v/>
      </c>
      <c r="AC369" s="314" t="e">
        <f>IF($J369="",#N/A,SUM(AB$4:AB369))</f>
        <v>#N/A</v>
      </c>
      <c r="AD369" s="315" t="str">
        <f t="shared" si="574"/>
        <v/>
      </c>
      <c r="AE369" s="315" t="e">
        <f>IF($J369="",#N/A,SUM(AD$4:AD369))</f>
        <v>#N/A</v>
      </c>
      <c r="AF369" s="315" t="e">
        <f>IF($J369="",#N/A,SUM(AD$4:AD369,AB$4:AB369,Z$4:Z369))</f>
        <v>#N/A</v>
      </c>
      <c r="AG369" s="304" t="str">
        <f t="shared" si="575"/>
        <v/>
      </c>
      <c r="AH369" s="313" t="e">
        <f>IF($J369="",#N/A,SUM(AG$4:AG369))</f>
        <v>#N/A</v>
      </c>
      <c r="AI369" s="314" t="str">
        <f t="shared" si="576"/>
        <v/>
      </c>
      <c r="AJ369" s="314" t="e">
        <f>IF($J369="",#N/A,SUM(AI$4:AI369))</f>
        <v>#N/A</v>
      </c>
      <c r="AK369" s="315" t="str">
        <f t="shared" si="577"/>
        <v/>
      </c>
      <c r="AL369" s="315" t="e">
        <f>IF($J369="",#N/A,SUM(AK$4:AK369))</f>
        <v>#N/A</v>
      </c>
      <c r="AM369" s="315" t="e">
        <f>IF($J369="",#N/A,SUM(AK$4:AK369,AI$4:AI369,AG$4:AG369))</f>
        <v>#N/A</v>
      </c>
      <c r="AN369" s="304" t="str">
        <f t="shared" si="578"/>
        <v/>
      </c>
      <c r="AO369" s="313" t="e">
        <f>IF($J369="",#N/A,SUM(AN$4:AN369))</f>
        <v>#N/A</v>
      </c>
      <c r="AP369" s="314" t="str">
        <f t="shared" si="579"/>
        <v/>
      </c>
      <c r="AQ369" s="314" t="e">
        <f>IF($J369="",#N/A,SUM(AP$4:AP369))</f>
        <v>#N/A</v>
      </c>
      <c r="AR369" s="315" t="str">
        <f t="shared" si="580"/>
        <v/>
      </c>
      <c r="AS369" s="315" t="e">
        <f>IF($J369="",#N/A,SUM(AR$4:AR369))</f>
        <v>#N/A</v>
      </c>
      <c r="AT369" s="315" t="e">
        <f>IF($J369="",#N/A,SUM(AR$4:AR369,AP$4:AP369,AN$4:AN369))</f>
        <v>#N/A</v>
      </c>
      <c r="AU369" s="304" t="str">
        <f t="shared" si="581"/>
        <v/>
      </c>
      <c r="AV369" s="313" t="e">
        <f>IF($J369="",#N/A,SUM(AU$4:AU369))</f>
        <v>#N/A</v>
      </c>
      <c r="AW369" s="314" t="str">
        <f t="shared" si="582"/>
        <v/>
      </c>
      <c r="AX369" s="314" t="e">
        <f>IF($J369="",#N/A,SUM(AW$4:AW369))</f>
        <v>#N/A</v>
      </c>
      <c r="AY369" s="315">
        <f t="shared" si="583"/>
        <v>0.39077764751856525</v>
      </c>
      <c r="AZ369" s="315" t="e">
        <f>IF($J369="",#N/A,SUM(AY$4:AY369))</f>
        <v>#N/A</v>
      </c>
      <c r="BA369" s="315" t="e">
        <f>IF($J369="",#N/A,SUM(AY$4:AY369,AW$4:AW369,AU$4:AU369))</f>
        <v>#N/A</v>
      </c>
      <c r="BB369" s="304" t="str">
        <f t="shared" si="584"/>
        <v/>
      </c>
      <c r="BC369" s="313" t="e">
        <f>IF($J369="",#N/A,SUM(BB$4:BB369))</f>
        <v>#N/A</v>
      </c>
      <c r="BD369" s="314" t="str">
        <f t="shared" si="585"/>
        <v/>
      </c>
      <c r="BE369" s="314" t="e">
        <f>IF($J369="",#N/A,SUM(BD$4:BD369))</f>
        <v>#N/A</v>
      </c>
      <c r="BF369" s="315" t="str">
        <f t="shared" si="586"/>
        <v/>
      </c>
      <c r="BG369" s="315" t="e">
        <f>IF($J369="",#N/A,SUM(BF$4:BF369))</f>
        <v>#N/A</v>
      </c>
      <c r="BH369" s="315" t="e">
        <f>IF($J369="",#N/A,SUM(BF$4:BF369,BD$4:BD369,BB$4:BB369))</f>
        <v>#N/A</v>
      </c>
      <c r="BI369" s="304" t="str">
        <f t="shared" si="587"/>
        <v/>
      </c>
      <c r="BJ369" s="313" t="e">
        <f>IF($J369="",#N/A,SUM(BI$4:BI369))</f>
        <v>#N/A</v>
      </c>
      <c r="BK369" s="314" t="str">
        <f t="shared" si="588"/>
        <v/>
      </c>
      <c r="BL369" s="314" t="e">
        <f>IF($J369="",#N/A,SUM(BK$4:BK369))</f>
        <v>#N/A</v>
      </c>
      <c r="BM369" s="315" t="str">
        <f t="shared" si="589"/>
        <v/>
      </c>
      <c r="BN369" s="315" t="e">
        <f>IF($J369="",#N/A,SUM(BM$4:BM369))</f>
        <v>#N/A</v>
      </c>
      <c r="BO369" s="315" t="e">
        <f>IF($J369="",#N/A,SUM(BM$4:BM369,BK$4:BK369,BI$4:BI369))</f>
        <v>#N/A</v>
      </c>
      <c r="BP369" s="304" t="str">
        <f t="shared" si="590"/>
        <v/>
      </c>
      <c r="BQ369" s="313" t="e">
        <f>IF($J369="",#N/A,SUM(BP$4:BP369))</f>
        <v>#N/A</v>
      </c>
      <c r="BR369" s="314" t="str">
        <f t="shared" si="591"/>
        <v/>
      </c>
      <c r="BS369" s="314" t="e">
        <f>IF($J369="",#N/A,SUM(BR$4:BR369))</f>
        <v>#N/A</v>
      </c>
      <c r="BT369" s="315" t="str">
        <f t="shared" si="592"/>
        <v/>
      </c>
      <c r="BU369" s="315" t="e">
        <f>IF($J369="",#N/A,SUM(BT$4:BT369))</f>
        <v>#N/A</v>
      </c>
      <c r="BV369" s="315" t="e">
        <f>IF($J369="",#N/A,SUM(BT$4:BT369,BR$4:BR369,BP$4:BP369))</f>
        <v>#N/A</v>
      </c>
      <c r="BW369" s="304" t="str">
        <f t="shared" si="593"/>
        <v/>
      </c>
      <c r="BX369" s="313" t="e">
        <f>IF($J369="",#N/A,SUM(BW$4:BW369))</f>
        <v>#N/A</v>
      </c>
      <c r="BY369" s="314" t="str">
        <f t="shared" si="594"/>
        <v/>
      </c>
      <c r="BZ369" s="314" t="e">
        <f>IF($J369="",#N/A,SUM(BY$4:BY369))</f>
        <v>#N/A</v>
      </c>
      <c r="CA369" s="315" t="str">
        <f t="shared" si="595"/>
        <v/>
      </c>
      <c r="CB369" s="315" t="e">
        <f>IF($J369="",#N/A,SUM(CA$4:CA369))</f>
        <v>#N/A</v>
      </c>
      <c r="CC369" s="315" t="e">
        <f>IF($J369="",#N/A,SUM(CA$4:CA369,BY$4:BY369,BW$4:BW369))</f>
        <v>#N/A</v>
      </c>
      <c r="CD369" s="304" t="str">
        <f t="shared" si="596"/>
        <v/>
      </c>
      <c r="CE369" s="313" t="e">
        <f>IF($J369="",#N/A,SUM(CD$4:CD369))</f>
        <v>#N/A</v>
      </c>
      <c r="CF369" s="314" t="str">
        <f t="shared" si="597"/>
        <v/>
      </c>
      <c r="CG369" s="314" t="e">
        <f>IF($J369="",#N/A,SUM(CF$4:CF369))</f>
        <v>#N/A</v>
      </c>
      <c r="CH369" s="315" t="str">
        <f t="shared" si="598"/>
        <v/>
      </c>
      <c r="CI369" s="315" t="e">
        <f>IF($J369="",#N/A,SUM(CH$4:CH369))</f>
        <v>#N/A</v>
      </c>
      <c r="CJ369" s="315" t="e">
        <f>IF($J369="",#N/A,SUM(CH$4:CH369,CF$4:CF369,CD$4:CD369))</f>
        <v>#N/A</v>
      </c>
      <c r="CK369" s="304" t="str">
        <f t="shared" si="599"/>
        <v/>
      </c>
      <c r="CL369" s="313" t="e">
        <f>IF($J369="",#N/A,SUM(CK$4:CK369))</f>
        <v>#N/A</v>
      </c>
      <c r="CM369" s="314" t="str">
        <f t="shared" si="600"/>
        <v/>
      </c>
      <c r="CN369" s="314" t="e">
        <f>IF($J369="",#N/A,SUM(CM$4:CM369))</f>
        <v>#N/A</v>
      </c>
      <c r="CO369" s="315" t="str">
        <f t="shared" si="601"/>
        <v/>
      </c>
      <c r="CP369" s="315" t="e">
        <f>IF($J369="",#N/A,SUM(CO$4:CO369))</f>
        <v>#N/A</v>
      </c>
      <c r="CQ369" s="315" t="e">
        <f>IF($J369="",#N/A,SUM(CO$4:CO369,CM$4:CM369,CK$4:CK369))</f>
        <v>#N/A</v>
      </c>
      <c r="CR369" s="304" t="str">
        <f t="shared" si="602"/>
        <v/>
      </c>
      <c r="CS369" s="313" t="e">
        <f>IF($J369="",#N/A,SUM(CR$4:CR369))</f>
        <v>#N/A</v>
      </c>
      <c r="CT369" s="314" t="str">
        <f t="shared" si="603"/>
        <v/>
      </c>
      <c r="CU369" s="314" t="e">
        <f>IF($J369="",#N/A,SUM(CT$4:CT369))</f>
        <v>#N/A</v>
      </c>
      <c r="CV369" s="315" t="str">
        <f t="shared" si="604"/>
        <v/>
      </c>
      <c r="CW369" s="315" t="e">
        <f>IF($J369="",#N/A,SUM(CV$4:CV369))</f>
        <v>#N/A</v>
      </c>
      <c r="CX369" s="315" t="e">
        <f>IF($J369="",#N/A,SUM(CV$4:CV369,CT$4:CT369,CR$4:CR369))</f>
        <v>#N/A</v>
      </c>
      <c r="CY369" s="304" t="str">
        <f t="shared" si="605"/>
        <v/>
      </c>
      <c r="CZ369" s="313" t="e">
        <f>IF($J369="",#N/A,SUM(CY$4:CY369))</f>
        <v>#N/A</v>
      </c>
      <c r="DA369" s="314" t="str">
        <f t="shared" si="606"/>
        <v/>
      </c>
      <c r="DB369" s="314" t="e">
        <f>IF($J369="",#N/A,SUM(DA$4:DA369))</f>
        <v>#N/A</v>
      </c>
      <c r="DC369" s="315" t="str">
        <f t="shared" si="607"/>
        <v/>
      </c>
      <c r="DD369" s="315" t="e">
        <f>IF($J369="",#N/A,SUM(DC$4:DC369))</f>
        <v>#N/A</v>
      </c>
      <c r="DE369" s="315" t="e">
        <f>IF($J369="",#N/A,SUM(DC$4:DC369,DA$4:DA369,CY$4:CY369))</f>
        <v>#N/A</v>
      </c>
      <c r="DF369" s="304" t="str">
        <f t="shared" si="608"/>
        <v/>
      </c>
      <c r="DG369" s="313" t="e">
        <f>IF($J369="",#N/A,SUM(DF$4:DF369))</f>
        <v>#N/A</v>
      </c>
      <c r="DH369" s="314" t="str">
        <f t="shared" si="609"/>
        <v/>
      </c>
      <c r="DI369" s="314" t="e">
        <f>IF($J369="",#N/A,SUM(DH$4:DH369))</f>
        <v>#N/A</v>
      </c>
      <c r="DJ369" s="315" t="str">
        <f t="shared" si="610"/>
        <v/>
      </c>
      <c r="DK369" s="315" t="e">
        <f>IF($J369="",#N/A,SUM(DJ$4:DJ369))</f>
        <v>#N/A</v>
      </c>
      <c r="DL369" s="315" t="e">
        <f>IF($J369="",#N/A,SUM(DJ$4:DJ369,DH$4:DH369,DF$4:DF369))</f>
        <v>#N/A</v>
      </c>
      <c r="DM369" s="304" t="str">
        <f t="shared" si="611"/>
        <v/>
      </c>
      <c r="DN369" s="313" t="e">
        <f>IF($J369="",#N/A,SUM(DM$4:DM369))</f>
        <v>#N/A</v>
      </c>
      <c r="DO369" s="314" t="str">
        <f t="shared" si="612"/>
        <v/>
      </c>
      <c r="DP369" s="314" t="e">
        <f>IF($J369="",#N/A,SUM(DO$4:DO369))</f>
        <v>#N/A</v>
      </c>
      <c r="DQ369" s="315" t="str">
        <f t="shared" si="613"/>
        <v/>
      </c>
      <c r="DR369" s="315" t="e">
        <f>IF($J369="",#N/A,SUM(DQ$4:DQ369))</f>
        <v>#N/A</v>
      </c>
      <c r="DS369" s="315" t="e">
        <f>IF($J369="",#N/A,SUM(DQ$4:DQ369,DO$4:DO369,DM$4:DM369))</f>
        <v>#N/A</v>
      </c>
      <c r="DT369" s="304" t="str">
        <f t="shared" si="614"/>
        <v/>
      </c>
      <c r="DU369" s="313" t="e">
        <f>IF($J369="",#N/A,SUM(DT$4:DT369))</f>
        <v>#N/A</v>
      </c>
      <c r="DV369" s="314" t="str">
        <f t="shared" si="615"/>
        <v/>
      </c>
      <c r="DW369" s="314" t="e">
        <f>IF($J369="",#N/A,SUM(DV$4:DV369))</f>
        <v>#N/A</v>
      </c>
      <c r="DX369" s="315" t="str">
        <f t="shared" si="616"/>
        <v/>
      </c>
      <c r="DY369" s="315" t="e">
        <f>IF($J369="",#N/A,SUM(DX$4:DX369))</f>
        <v>#N/A</v>
      </c>
      <c r="DZ369" s="315" t="e">
        <f>IF($J369="",#N/A,SUM(DX$4:DX369,DV$4:DV369,DT$4:DT369))</f>
        <v>#N/A</v>
      </c>
      <c r="EA369" s="304" t="str">
        <f t="shared" si="617"/>
        <v/>
      </c>
      <c r="EB369" s="313" t="e">
        <f>IF($J369="",#N/A,SUM(EA$4:EA369))</f>
        <v>#N/A</v>
      </c>
      <c r="EC369" s="314" t="str">
        <f t="shared" si="618"/>
        <v/>
      </c>
      <c r="ED369" s="314" t="e">
        <f>IF($J369="",#N/A,SUM(EC$4:EC369))</f>
        <v>#N/A</v>
      </c>
      <c r="EE369" s="315" t="str">
        <f t="shared" si="619"/>
        <v/>
      </c>
      <c r="EF369" s="315" t="e">
        <f>IF($J369="",#N/A,SUM(EE$4:EE369))</f>
        <v>#N/A</v>
      </c>
      <c r="EG369" s="315" t="e">
        <f>IF($J369="",#N/A,SUM(EE$4:EE369,EC$4:EC369,EA$4:EA369))</f>
        <v>#N/A</v>
      </c>
      <c r="EH369" s="130">
        <f t="shared" si="620"/>
        <v>38.400000000000318</v>
      </c>
      <c r="EI369" s="63">
        <f>IF(EH369="",#N/A,SUM($EH$4:EH369))</f>
        <v>1241.4190485895449</v>
      </c>
      <c r="EJ369" s="223" t="e">
        <f t="shared" si="621"/>
        <v>#N/A</v>
      </c>
      <c r="EK369" s="63" t="e">
        <f>IF($GZ369="",#N/A,SUM(EJ$4:EJ369))</f>
        <v>#N/A</v>
      </c>
      <c r="EL369" s="60">
        <f t="shared" si="651"/>
        <v>0.39077764751856525</v>
      </c>
      <c r="EM369" s="60">
        <f>IF(EL369="",NA(),SUM($EL$4:EL369))</f>
        <v>27.550085282517003</v>
      </c>
      <c r="EN369" s="60" t="str">
        <f t="shared" si="622"/>
        <v/>
      </c>
      <c r="EO369" s="60" t="e">
        <f>IF(EN369="",NA(),SUM($EN$4:EN369))</f>
        <v>#N/A</v>
      </c>
      <c r="EP369" s="60">
        <f t="shared" si="623"/>
        <v>0.39077764751856525</v>
      </c>
      <c r="EQ369" s="60">
        <f>IF(EP369="",NA(),SUM($EP$4:EP369))</f>
        <v>8.2323884215992251</v>
      </c>
      <c r="ER369" s="60" t="str">
        <f t="shared" si="624"/>
        <v/>
      </c>
      <c r="ES369" s="60" t="e">
        <f>IF(ER369="",NA(),SUM($ER$4:ER369))</f>
        <v>#N/A</v>
      </c>
      <c r="ET369" s="60" t="str">
        <f t="shared" si="625"/>
        <v/>
      </c>
      <c r="EU369" s="60" t="e">
        <f>IF(ET369="",NA(),SUM($ET$4:ET369))</f>
        <v>#N/A</v>
      </c>
      <c r="EV369" s="60" t="str">
        <f t="shared" si="626"/>
        <v/>
      </c>
      <c r="EW369" s="60" t="e">
        <f>IF(EV369="",NA(),SUM($EV$4:EV369))</f>
        <v>#N/A</v>
      </c>
      <c r="EX369" s="60" t="str">
        <f t="shared" si="627"/>
        <v/>
      </c>
      <c r="EY369" s="60" t="e">
        <f>IF(EX369="",NA(),SUM($EX$4:EX369))</f>
        <v>#N/A</v>
      </c>
      <c r="EZ369" s="60" t="str">
        <f t="shared" si="628"/>
        <v/>
      </c>
      <c r="FA369" s="60" t="e">
        <f>IF(EZ369="",NA(),SUM($EZ$4:EZ369))</f>
        <v>#N/A</v>
      </c>
      <c r="FB369" s="246" t="str">
        <f t="shared" si="652"/>
        <v/>
      </c>
      <c r="FC369" s="246" t="e">
        <f>IF($FB369="",#N/A,SUM(FB$4:$FB369))</f>
        <v>#N/A</v>
      </c>
      <c r="FD369" s="60" t="str">
        <f t="shared" si="629"/>
        <v/>
      </c>
      <c r="FE369" s="60" t="e">
        <f>IF($FD369="",#N/A,SUM($FD$4:FD369))</f>
        <v>#N/A</v>
      </c>
      <c r="FF369" s="60" t="str">
        <f t="shared" si="630"/>
        <v/>
      </c>
      <c r="FG369" s="60" t="e">
        <f>IF($FF369="",#N/A,SUM($FF$4:FF369))</f>
        <v>#N/A</v>
      </c>
      <c r="FH369" s="60" t="str">
        <f t="shared" si="631"/>
        <v/>
      </c>
      <c r="FI369" s="60" t="e">
        <f>IF($FH369="",#N/A,SUM($FH$4:FH369))</f>
        <v>#N/A</v>
      </c>
      <c r="FJ369" s="60">
        <f t="shared" si="632"/>
        <v>9.7694411879621357E-3</v>
      </c>
      <c r="FK369" s="60">
        <f>IF($FJ369="",#N/A,SUM($FJ$4:FJ369))</f>
        <v>0.29947041639041339</v>
      </c>
      <c r="FL369" s="60" t="str">
        <f t="shared" si="633"/>
        <v/>
      </c>
      <c r="FM369" s="60" t="e">
        <f>IF($FL369="",#N/A,SUM($FL$4:FL369))</f>
        <v>#N/A</v>
      </c>
      <c r="FN369" s="82">
        <f t="shared" si="634"/>
        <v>0.40054708870652739</v>
      </c>
      <c r="FO369" s="82">
        <f>IF($FN369="",#N/A,SUM(FN$4:$FN369))</f>
        <v>46.478294488929414</v>
      </c>
      <c r="FP369" s="82">
        <f t="shared" si="653"/>
        <v>0.39077764751856525</v>
      </c>
      <c r="FQ369" s="246">
        <f>IF($EH369="",#N/A,SUM($FP$4:FP369))</f>
        <v>53.492888306299399</v>
      </c>
      <c r="FR369" s="82">
        <f>IFERROR(FQ369/COUNTA($J$4:J369),#N/A)</f>
        <v>0.14615543253087268</v>
      </c>
      <c r="FS369" s="82">
        <f t="shared" si="554"/>
        <v>2.166843006881436E-4</v>
      </c>
      <c r="FT369" s="82">
        <f t="shared" si="555"/>
        <v>7.4007302071181863E-2</v>
      </c>
      <c r="FU369" s="338">
        <f t="shared" si="660"/>
        <v>28.505696000520814</v>
      </c>
      <c r="FV369" s="57" t="str">
        <f t="shared" si="659"/>
        <v>SW</v>
      </c>
      <c r="FW369" s="57" t="s">
        <v>2732</v>
      </c>
      <c r="FX369" s="57" t="str">
        <f t="shared" si="635"/>
        <v/>
      </c>
      <c r="FY369" s="57" t="str">
        <f t="shared" si="636"/>
        <v/>
      </c>
      <c r="FZ369" s="57">
        <f t="shared" si="637"/>
        <v>1</v>
      </c>
      <c r="GA369" s="57" t="str">
        <f t="shared" si="638"/>
        <v>Long</v>
      </c>
      <c r="GB369" s="57" t="str">
        <f t="shared" si="639"/>
        <v/>
      </c>
      <c r="GC369" s="57" t="str">
        <f t="shared" si="640"/>
        <v/>
      </c>
      <c r="GD369" s="57" t="str">
        <f t="shared" si="641"/>
        <v/>
      </c>
      <c r="GE369" s="62">
        <f t="shared" si="557"/>
        <v>34.119999999999997</v>
      </c>
      <c r="GF369" s="62" t="s">
        <v>2779</v>
      </c>
      <c r="GG369" s="199">
        <v>48</v>
      </c>
      <c r="GH369" s="207">
        <f t="shared" si="642"/>
        <v>1637.7599999999998</v>
      </c>
      <c r="GI369" s="199">
        <v>48</v>
      </c>
      <c r="GJ369" s="200">
        <v>34.92</v>
      </c>
      <c r="GK369" s="63">
        <f t="shared" si="643"/>
        <v>38.400000000000318</v>
      </c>
      <c r="GL369" s="63">
        <f t="shared" si="558"/>
        <v>39.360000000000127</v>
      </c>
      <c r="GM369" s="82">
        <f t="shared" si="644"/>
        <v>0.40054708870652739</v>
      </c>
      <c r="GN369" s="82">
        <f>IF($GZ369="",#N/A,SUM(GM$4:GM369))</f>
        <v>10.974353836478004</v>
      </c>
      <c r="GO369" s="82" t="str">
        <f t="shared" si="645"/>
        <v/>
      </c>
      <c r="GP369" s="82">
        <f>IF($GZ369="",#N/A,SUM(GO$4:GO369))</f>
        <v>6.0037363150047494</v>
      </c>
      <c r="GQ369" s="82" t="str">
        <f t="shared" si="646"/>
        <v/>
      </c>
      <c r="GR369" s="82">
        <f>IF($GZ369="",#N/A,SUM(GQ$4:GQ369))</f>
        <v>28.874367383004316</v>
      </c>
      <c r="GS369" s="63" t="e">
        <f t="shared" si="654"/>
        <v>#N/A</v>
      </c>
      <c r="GT369" s="63" t="e">
        <f>IF($GZ369="",#N/A,SUM(GS$4:GS369))</f>
        <v>#N/A</v>
      </c>
      <c r="GU369" s="63" t="str">
        <f t="shared" si="655"/>
        <v/>
      </c>
      <c r="GV369" s="63" t="e">
        <f>IF($GZ369="",#N/A,SUM(GU$4:GU369))</f>
        <v>#N/A</v>
      </c>
      <c r="GW369" s="63" t="str">
        <f t="shared" si="656"/>
        <v/>
      </c>
      <c r="GX369" s="63" t="e">
        <f>IF($GZ369="",#N/A,SUM(GW$4:GW369))</f>
        <v>#N/A</v>
      </c>
      <c r="GY369" s="63" t="e">
        <f>IF(EJ369="",#N/A,SUM($EJ$4:EJ369))</f>
        <v>#N/A</v>
      </c>
      <c r="GZ369" s="159">
        <v>34.94</v>
      </c>
      <c r="HA369" s="63">
        <f t="shared" si="647"/>
        <v>0.95999999999980901</v>
      </c>
      <c r="HB369" s="62" t="s">
        <v>2538</v>
      </c>
      <c r="HC369" s="60">
        <f>IFERROR(VLOOKUP(E369,Expectancy!$P$4:$S$19,1+C369,FALSE),"")</f>
        <v>0.40561946259505821</v>
      </c>
      <c r="HD369" s="82">
        <f t="shared" si="648"/>
        <v>0.39077764751856525</v>
      </c>
      <c r="HE369" s="138">
        <f>IF(HD369="",#N/A,SUM($HD$4:HD369))</f>
        <v>10.457192305778582</v>
      </c>
      <c r="HF369" s="85">
        <f>IF(HD369="",#N/A,IF(HB369="Skip",#N/A,SUM($HG$4:HG369)))</f>
        <v>334.06157921915542</v>
      </c>
      <c r="HG369" s="63">
        <f t="shared" si="649"/>
        <v>38.400000000000318</v>
      </c>
      <c r="HH369" s="82">
        <f t="shared" si="650"/>
        <v>0.40054708870652739</v>
      </c>
    </row>
    <row r="370" spans="1:216" x14ac:dyDescent="0.25">
      <c r="A370" s="57" t="s">
        <v>1591</v>
      </c>
      <c r="B370" s="58" t="s">
        <v>5249</v>
      </c>
      <c r="C370" s="386">
        <f t="shared" si="561"/>
        <v>3</v>
      </c>
      <c r="D370" s="372" t="str">
        <f>_xlfn.XLOOKUP(A370,[1]SP500!$A$2:$A$502,[1]SP500!$D$2:$D$502,"N")</f>
        <v>Y</v>
      </c>
      <c r="E370" s="57" t="str">
        <f>_xlfn.XLOOKUP(A370,[1]SP500!$A$2:$A$655,[1]SP500!$B$2:$B$655)</f>
        <v>XLY</v>
      </c>
      <c r="F370" s="59">
        <v>45713</v>
      </c>
      <c r="G370" s="57" t="str">
        <f t="shared" si="562"/>
        <v>BMO</v>
      </c>
      <c r="H370" s="57" t="str">
        <f t="shared" si="563"/>
        <v>s</v>
      </c>
      <c r="I370" s="159">
        <v>24.85</v>
      </c>
      <c r="J370" s="159">
        <v>25.04</v>
      </c>
      <c r="K370" s="61">
        <f t="shared" si="564"/>
        <v>7.645875251508962E-3</v>
      </c>
      <c r="L370" s="87">
        <f t="shared" si="565"/>
        <v>12.349999999999909</v>
      </c>
      <c r="M370" s="130">
        <f t="shared" si="556"/>
        <v>0</v>
      </c>
      <c r="N370" s="169" t="str">
        <f t="shared" si="566"/>
        <v/>
      </c>
      <c r="O370" s="169">
        <f>IF($J370="",#N/A,SUM($N$4:N370))</f>
        <v>-5.3532806457756124</v>
      </c>
      <c r="P370" s="174" t="str">
        <f t="shared" si="567"/>
        <v/>
      </c>
      <c r="Q370" s="174">
        <f>IF($J370="",#N/A,SUM($P$4:P370))</f>
        <v>435.28999224504321</v>
      </c>
      <c r="R370" s="178">
        <f t="shared" si="568"/>
        <v>12.349999999999909</v>
      </c>
      <c r="S370" s="178">
        <f>IF($J370="",#N/A,SUM($R$4:R370))</f>
        <v>823.8323369902771</v>
      </c>
      <c r="T370" s="290" t="str">
        <f t="shared" si="569"/>
        <v/>
      </c>
      <c r="U370" s="290">
        <f>IF($J370="",#N/A,SUM($T$4:T370))</f>
        <v>13.67185393496869</v>
      </c>
      <c r="V370" s="291" t="str">
        <f t="shared" si="570"/>
        <v/>
      </c>
      <c r="W370" s="291">
        <f>IF($J370="",#N/A,SUM($V$4:V370))</f>
        <v>23.925757159446615</v>
      </c>
      <c r="X370" s="292">
        <f t="shared" si="571"/>
        <v>0.12743125419181664</v>
      </c>
      <c r="Y370" s="292">
        <f>IF($J370="",#N/A,SUM($X$4:X370))</f>
        <v>16.022708466075937</v>
      </c>
      <c r="Z370" s="304" t="str">
        <f t="shared" si="572"/>
        <v/>
      </c>
      <c r="AA370" s="313" t="e">
        <f>IF($J370="",#N/A,SUM(Z$4:Z370))</f>
        <v>#N/A</v>
      </c>
      <c r="AB370" s="314" t="str">
        <f t="shared" si="573"/>
        <v/>
      </c>
      <c r="AC370" s="314" t="e">
        <f>IF($J370="",#N/A,SUM(AB$4:AB370))</f>
        <v>#N/A</v>
      </c>
      <c r="AD370" s="315" t="str">
        <f t="shared" si="574"/>
        <v/>
      </c>
      <c r="AE370" s="315" t="e">
        <f>IF($J370="",#N/A,SUM(AD$4:AD370))</f>
        <v>#N/A</v>
      </c>
      <c r="AF370" s="315" t="e">
        <f>IF($J370="",#N/A,SUM(AD$4:AD370,AB$4:AB370,Z$4:Z370))</f>
        <v>#N/A</v>
      </c>
      <c r="AG370" s="304" t="str">
        <f t="shared" si="575"/>
        <v/>
      </c>
      <c r="AH370" s="313" t="e">
        <f>IF($J370="",#N/A,SUM(AG$4:AG370))</f>
        <v>#N/A</v>
      </c>
      <c r="AI370" s="314" t="str">
        <f t="shared" si="576"/>
        <v/>
      </c>
      <c r="AJ370" s="314" t="e">
        <f>IF($J370="",#N/A,SUM(AI$4:AI370))</f>
        <v>#N/A</v>
      </c>
      <c r="AK370" s="315" t="str">
        <f t="shared" si="577"/>
        <v/>
      </c>
      <c r="AL370" s="315" t="e">
        <f>IF($J370="",#N/A,SUM(AK$4:AK370))</f>
        <v>#N/A</v>
      </c>
      <c r="AM370" s="315" t="e">
        <f>IF($J370="",#N/A,SUM(AK$4:AK370,AI$4:AI370,AG$4:AG370))</f>
        <v>#N/A</v>
      </c>
      <c r="AN370" s="304" t="str">
        <f t="shared" si="578"/>
        <v/>
      </c>
      <c r="AO370" s="313" t="e">
        <f>IF($J370="",#N/A,SUM(AN$4:AN370))</f>
        <v>#N/A</v>
      </c>
      <c r="AP370" s="314" t="str">
        <f t="shared" si="579"/>
        <v/>
      </c>
      <c r="AQ370" s="314" t="e">
        <f>IF($J370="",#N/A,SUM(AP$4:AP370))</f>
        <v>#N/A</v>
      </c>
      <c r="AR370" s="315">
        <f t="shared" si="580"/>
        <v>0.12743125419181664</v>
      </c>
      <c r="AS370" s="315" t="e">
        <f>IF($J370="",#N/A,SUM(AR$4:AR370))</f>
        <v>#N/A</v>
      </c>
      <c r="AT370" s="315" t="e">
        <f>IF($J370="",#N/A,SUM(AR$4:AR370,AP$4:AP370,AN$4:AN370))</f>
        <v>#N/A</v>
      </c>
      <c r="AU370" s="304" t="str">
        <f t="shared" si="581"/>
        <v/>
      </c>
      <c r="AV370" s="313" t="e">
        <f>IF($J370="",#N/A,SUM(AU$4:AU370))</f>
        <v>#N/A</v>
      </c>
      <c r="AW370" s="314" t="str">
        <f t="shared" si="582"/>
        <v/>
      </c>
      <c r="AX370" s="314" t="e">
        <f>IF($J370="",#N/A,SUM(AW$4:AW370))</f>
        <v>#N/A</v>
      </c>
      <c r="AY370" s="315" t="str">
        <f t="shared" si="583"/>
        <v/>
      </c>
      <c r="AZ370" s="315" t="e">
        <f>IF($J370="",#N/A,SUM(AY$4:AY370))</f>
        <v>#N/A</v>
      </c>
      <c r="BA370" s="315" t="e">
        <f>IF($J370="",#N/A,SUM(AY$4:AY370,AW$4:AW370,AU$4:AU370))</f>
        <v>#N/A</v>
      </c>
      <c r="BB370" s="304" t="str">
        <f t="shared" si="584"/>
        <v/>
      </c>
      <c r="BC370" s="313" t="e">
        <f>IF($J370="",#N/A,SUM(BB$4:BB370))</f>
        <v>#N/A</v>
      </c>
      <c r="BD370" s="314" t="str">
        <f t="shared" si="585"/>
        <v/>
      </c>
      <c r="BE370" s="314" t="e">
        <f>IF($J370="",#N/A,SUM(BD$4:BD370))</f>
        <v>#N/A</v>
      </c>
      <c r="BF370" s="315" t="str">
        <f t="shared" si="586"/>
        <v/>
      </c>
      <c r="BG370" s="315" t="e">
        <f>IF($J370="",#N/A,SUM(BF$4:BF370))</f>
        <v>#N/A</v>
      </c>
      <c r="BH370" s="315" t="e">
        <f>IF($J370="",#N/A,SUM(BF$4:BF370,BD$4:BD370,BB$4:BB370))</f>
        <v>#N/A</v>
      </c>
      <c r="BI370" s="304" t="str">
        <f t="shared" si="587"/>
        <v/>
      </c>
      <c r="BJ370" s="313" t="e">
        <f>IF($J370="",#N/A,SUM(BI$4:BI370))</f>
        <v>#N/A</v>
      </c>
      <c r="BK370" s="314" t="str">
        <f t="shared" si="588"/>
        <v/>
      </c>
      <c r="BL370" s="314" t="e">
        <f>IF($J370="",#N/A,SUM(BK$4:BK370))</f>
        <v>#N/A</v>
      </c>
      <c r="BM370" s="315" t="str">
        <f t="shared" si="589"/>
        <v/>
      </c>
      <c r="BN370" s="315" t="e">
        <f>IF($J370="",#N/A,SUM(BM$4:BM370))</f>
        <v>#N/A</v>
      </c>
      <c r="BO370" s="315" t="e">
        <f>IF($J370="",#N/A,SUM(BM$4:BM370,BK$4:BK370,BI$4:BI370))</f>
        <v>#N/A</v>
      </c>
      <c r="BP370" s="304" t="str">
        <f t="shared" si="590"/>
        <v/>
      </c>
      <c r="BQ370" s="313" t="e">
        <f>IF($J370="",#N/A,SUM(BP$4:BP370))</f>
        <v>#N/A</v>
      </c>
      <c r="BR370" s="314" t="str">
        <f t="shared" si="591"/>
        <v/>
      </c>
      <c r="BS370" s="314" t="e">
        <f>IF($J370="",#N/A,SUM(BR$4:BR370))</f>
        <v>#N/A</v>
      </c>
      <c r="BT370" s="315" t="str">
        <f t="shared" si="592"/>
        <v/>
      </c>
      <c r="BU370" s="315" t="e">
        <f>IF($J370="",#N/A,SUM(BT$4:BT370))</f>
        <v>#N/A</v>
      </c>
      <c r="BV370" s="315" t="e">
        <f>IF($J370="",#N/A,SUM(BT$4:BT370,BR$4:BR370,BP$4:BP370))</f>
        <v>#N/A</v>
      </c>
      <c r="BW370" s="304" t="str">
        <f t="shared" si="593"/>
        <v/>
      </c>
      <c r="BX370" s="313" t="e">
        <f>IF($J370="",#N/A,SUM(BW$4:BW370))</f>
        <v>#N/A</v>
      </c>
      <c r="BY370" s="314" t="str">
        <f t="shared" si="594"/>
        <v/>
      </c>
      <c r="BZ370" s="314" t="e">
        <f>IF($J370="",#N/A,SUM(BY$4:BY370))</f>
        <v>#N/A</v>
      </c>
      <c r="CA370" s="315" t="str">
        <f t="shared" si="595"/>
        <v/>
      </c>
      <c r="CB370" s="315" t="e">
        <f>IF($J370="",#N/A,SUM(CA$4:CA370))</f>
        <v>#N/A</v>
      </c>
      <c r="CC370" s="315" t="e">
        <f>IF($J370="",#N/A,SUM(CA$4:CA370,BY$4:BY370,BW$4:BW370))</f>
        <v>#N/A</v>
      </c>
      <c r="CD370" s="304" t="str">
        <f t="shared" si="596"/>
        <v/>
      </c>
      <c r="CE370" s="313" t="e">
        <f>IF($J370="",#N/A,SUM(CD$4:CD370))</f>
        <v>#N/A</v>
      </c>
      <c r="CF370" s="314" t="str">
        <f t="shared" si="597"/>
        <v/>
      </c>
      <c r="CG370" s="314" t="e">
        <f>IF($J370="",#N/A,SUM(CF$4:CF370))</f>
        <v>#N/A</v>
      </c>
      <c r="CH370" s="315" t="str">
        <f t="shared" si="598"/>
        <v/>
      </c>
      <c r="CI370" s="315" t="e">
        <f>IF($J370="",#N/A,SUM(CH$4:CH370))</f>
        <v>#N/A</v>
      </c>
      <c r="CJ370" s="315" t="e">
        <f>IF($J370="",#N/A,SUM(CH$4:CH370,CF$4:CF370,CD$4:CD370))</f>
        <v>#N/A</v>
      </c>
      <c r="CK370" s="304" t="str">
        <f t="shared" si="599"/>
        <v/>
      </c>
      <c r="CL370" s="313" t="e">
        <f>IF($J370="",#N/A,SUM(CK$4:CK370))</f>
        <v>#N/A</v>
      </c>
      <c r="CM370" s="314" t="str">
        <f t="shared" si="600"/>
        <v/>
      </c>
      <c r="CN370" s="314" t="e">
        <f>IF($J370="",#N/A,SUM(CM$4:CM370))</f>
        <v>#N/A</v>
      </c>
      <c r="CO370" s="315" t="str">
        <f t="shared" si="601"/>
        <v/>
      </c>
      <c r="CP370" s="315" t="e">
        <f>IF($J370="",#N/A,SUM(CO$4:CO370))</f>
        <v>#N/A</v>
      </c>
      <c r="CQ370" s="315" t="e">
        <f>IF($J370="",#N/A,SUM(CO$4:CO370,CM$4:CM370,CK$4:CK370))</f>
        <v>#N/A</v>
      </c>
      <c r="CR370" s="304" t="str">
        <f t="shared" si="602"/>
        <v/>
      </c>
      <c r="CS370" s="313" t="e">
        <f>IF($J370="",#N/A,SUM(CR$4:CR370))</f>
        <v>#N/A</v>
      </c>
      <c r="CT370" s="314" t="str">
        <f t="shared" si="603"/>
        <v/>
      </c>
      <c r="CU370" s="314" t="e">
        <f>IF($J370="",#N/A,SUM(CT$4:CT370))</f>
        <v>#N/A</v>
      </c>
      <c r="CV370" s="315" t="str">
        <f t="shared" si="604"/>
        <v/>
      </c>
      <c r="CW370" s="315" t="e">
        <f>IF($J370="",#N/A,SUM(CV$4:CV370))</f>
        <v>#N/A</v>
      </c>
      <c r="CX370" s="315" t="e">
        <f>IF($J370="",#N/A,SUM(CV$4:CV370,CT$4:CT370,CR$4:CR370))</f>
        <v>#N/A</v>
      </c>
      <c r="CY370" s="304" t="str">
        <f t="shared" si="605"/>
        <v/>
      </c>
      <c r="CZ370" s="313" t="e">
        <f>IF($J370="",#N/A,SUM(CY$4:CY370))</f>
        <v>#N/A</v>
      </c>
      <c r="DA370" s="314" t="str">
        <f t="shared" si="606"/>
        <v/>
      </c>
      <c r="DB370" s="314" t="e">
        <f>IF($J370="",#N/A,SUM(DA$4:DA370))</f>
        <v>#N/A</v>
      </c>
      <c r="DC370" s="315" t="str">
        <f t="shared" si="607"/>
        <v/>
      </c>
      <c r="DD370" s="315" t="e">
        <f>IF($J370="",#N/A,SUM(DC$4:DC370))</f>
        <v>#N/A</v>
      </c>
      <c r="DE370" s="315" t="e">
        <f>IF($J370="",#N/A,SUM(DC$4:DC370,DA$4:DA370,CY$4:CY370))</f>
        <v>#N/A</v>
      </c>
      <c r="DF370" s="304" t="str">
        <f t="shared" si="608"/>
        <v/>
      </c>
      <c r="DG370" s="313" t="e">
        <f>IF($J370="",#N/A,SUM(DF$4:DF370))</f>
        <v>#N/A</v>
      </c>
      <c r="DH370" s="314" t="str">
        <f t="shared" si="609"/>
        <v/>
      </c>
      <c r="DI370" s="314" t="e">
        <f>IF($J370="",#N/A,SUM(DH$4:DH370))</f>
        <v>#N/A</v>
      </c>
      <c r="DJ370" s="315" t="str">
        <f t="shared" si="610"/>
        <v/>
      </c>
      <c r="DK370" s="315" t="e">
        <f>IF($J370="",#N/A,SUM(DJ$4:DJ370))</f>
        <v>#N/A</v>
      </c>
      <c r="DL370" s="315" t="e">
        <f>IF($J370="",#N/A,SUM(DJ$4:DJ370,DH$4:DH370,DF$4:DF370))</f>
        <v>#N/A</v>
      </c>
      <c r="DM370" s="304" t="str">
        <f t="shared" si="611"/>
        <v/>
      </c>
      <c r="DN370" s="313" t="e">
        <f>IF($J370="",#N/A,SUM(DM$4:DM370))</f>
        <v>#N/A</v>
      </c>
      <c r="DO370" s="314" t="str">
        <f t="shared" si="612"/>
        <v/>
      </c>
      <c r="DP370" s="314" t="e">
        <f>IF($J370="",#N/A,SUM(DO$4:DO370))</f>
        <v>#N/A</v>
      </c>
      <c r="DQ370" s="315" t="str">
        <f t="shared" si="613"/>
        <v/>
      </c>
      <c r="DR370" s="315" t="e">
        <f>IF($J370="",#N/A,SUM(DQ$4:DQ370))</f>
        <v>#N/A</v>
      </c>
      <c r="DS370" s="315" t="e">
        <f>IF($J370="",#N/A,SUM(DQ$4:DQ370,DO$4:DO370,DM$4:DM370))</f>
        <v>#N/A</v>
      </c>
      <c r="DT370" s="304" t="str">
        <f t="shared" si="614"/>
        <v/>
      </c>
      <c r="DU370" s="313" t="e">
        <f>IF($J370="",#N/A,SUM(DT$4:DT370))</f>
        <v>#N/A</v>
      </c>
      <c r="DV370" s="314" t="str">
        <f t="shared" si="615"/>
        <v/>
      </c>
      <c r="DW370" s="314" t="e">
        <f>IF($J370="",#N/A,SUM(DV$4:DV370))</f>
        <v>#N/A</v>
      </c>
      <c r="DX370" s="315" t="str">
        <f t="shared" si="616"/>
        <v/>
      </c>
      <c r="DY370" s="315" t="e">
        <f>IF($J370="",#N/A,SUM(DX$4:DX370))</f>
        <v>#N/A</v>
      </c>
      <c r="DZ370" s="315" t="e">
        <f>IF($J370="",#N/A,SUM(DX$4:DX370,DV$4:DV370,DT$4:DT370))</f>
        <v>#N/A</v>
      </c>
      <c r="EA370" s="304" t="str">
        <f t="shared" si="617"/>
        <v/>
      </c>
      <c r="EB370" s="313" t="e">
        <f>IF($J370="",#N/A,SUM(EA$4:EA370))</f>
        <v>#N/A</v>
      </c>
      <c r="EC370" s="314" t="str">
        <f t="shared" si="618"/>
        <v/>
      </c>
      <c r="ED370" s="314" t="e">
        <f>IF($J370="",#N/A,SUM(EC$4:EC370))</f>
        <v>#N/A</v>
      </c>
      <c r="EE370" s="315" t="str">
        <f t="shared" si="619"/>
        <v/>
      </c>
      <c r="EF370" s="315" t="e">
        <f>IF($J370="",#N/A,SUM(EE$4:EE370))</f>
        <v>#N/A</v>
      </c>
      <c r="EG370" s="315" t="e">
        <f>IF($J370="",#N/A,SUM(EE$4:EE370,EC$4:EC370,EA$4:EA370))</f>
        <v>#N/A</v>
      </c>
      <c r="EH370" s="130">
        <f t="shared" si="620"/>
        <v>12.349999999999909</v>
      </c>
      <c r="EI370" s="63">
        <f>IF(EH370="",#N/A,SUM($EH$4:EH370))</f>
        <v>1253.7690485895448</v>
      </c>
      <c r="EJ370" s="223" t="e">
        <f t="shared" si="621"/>
        <v>#N/A</v>
      </c>
      <c r="EK370" s="63" t="e">
        <f>IF($GZ370="",#N/A,SUM(EJ$4:EJ370))</f>
        <v>#N/A</v>
      </c>
      <c r="EL370" s="60">
        <f t="shared" si="651"/>
        <v>0.12743125419181664</v>
      </c>
      <c r="EM370" s="60">
        <f>IF(EL370="",NA(),SUM($EL$4:EL370))</f>
        <v>27.677516536708819</v>
      </c>
      <c r="EN370" s="60" t="str">
        <f t="shared" si="622"/>
        <v/>
      </c>
      <c r="EO370" s="60" t="e">
        <f>IF(EN370="",NA(),SUM($EN$4:EN370))</f>
        <v>#N/A</v>
      </c>
      <c r="EP370" s="60">
        <f t="shared" si="623"/>
        <v>0.12743125419181664</v>
      </c>
      <c r="EQ370" s="60">
        <f>IF(EP370="",NA(),SUM($EP$4:EP370))</f>
        <v>8.3598196757910426</v>
      </c>
      <c r="ER370" s="60" t="str">
        <f t="shared" si="624"/>
        <v/>
      </c>
      <c r="ES370" s="60" t="e">
        <f>IF(ER370="",NA(),SUM($ER$4:ER370))</f>
        <v>#N/A</v>
      </c>
      <c r="ET370" s="60" t="str">
        <f t="shared" si="625"/>
        <v/>
      </c>
      <c r="EU370" s="60" t="e">
        <f>IF(ET370="",NA(),SUM($ET$4:ET370))</f>
        <v>#N/A</v>
      </c>
      <c r="EV370" s="60" t="str">
        <f t="shared" si="626"/>
        <v/>
      </c>
      <c r="EW370" s="60" t="e">
        <f>IF(EV370="",NA(),SUM($EV$4:EV370))</f>
        <v>#N/A</v>
      </c>
      <c r="EX370" s="60" t="str">
        <f t="shared" si="627"/>
        <v/>
      </c>
      <c r="EY370" s="60" t="e">
        <f>IF(EX370="",NA(),SUM($EX$4:EX370))</f>
        <v>#N/A</v>
      </c>
      <c r="EZ370" s="60" t="str">
        <f t="shared" si="628"/>
        <v/>
      </c>
      <c r="FA370" s="60" t="e">
        <f>IF(EZ370="",NA(),SUM($EZ$4:EZ370))</f>
        <v>#N/A</v>
      </c>
      <c r="FB370" s="246" t="str">
        <f t="shared" si="652"/>
        <v/>
      </c>
      <c r="FC370" s="246" t="e">
        <f>IF($FB370="",#N/A,SUM(FB$4:$FB370))</f>
        <v>#N/A</v>
      </c>
      <c r="FD370" s="60" t="str">
        <f t="shared" si="629"/>
        <v/>
      </c>
      <c r="FE370" s="60" t="e">
        <f>IF($FD370="",#N/A,SUM($FD$4:FD370))</f>
        <v>#N/A</v>
      </c>
      <c r="FF370" s="60" t="str">
        <f t="shared" si="630"/>
        <v/>
      </c>
      <c r="FG370" s="60" t="e">
        <f>IF($FF370="",#N/A,SUM($FF$4:FF370))</f>
        <v>#N/A</v>
      </c>
      <c r="FH370" s="60" t="str">
        <f t="shared" si="631"/>
        <v/>
      </c>
      <c r="FI370" s="60" t="e">
        <f>IF($FH370="",#N/A,SUM($FH$4:FH370))</f>
        <v>#N/A</v>
      </c>
      <c r="FJ370" s="60">
        <f t="shared" si="632"/>
        <v>-0.30181086519114692</v>
      </c>
      <c r="FK370" s="60">
        <f>IF($FJ370="",#N/A,SUM($FJ$4:FJ370))</f>
        <v>-2.34044880073353E-3</v>
      </c>
      <c r="FL370" s="60" t="str">
        <f t="shared" si="633"/>
        <v/>
      </c>
      <c r="FM370" s="60" t="e">
        <f>IF($FL370="",#N/A,SUM($FL$4:FL370))</f>
        <v>#N/A</v>
      </c>
      <c r="FN370" s="82">
        <f t="shared" si="634"/>
        <v>-0.17437961099933028</v>
      </c>
      <c r="FO370" s="82">
        <f>IF($FN370="",#N/A,SUM(FN$4:$FN370))</f>
        <v>46.303914877930083</v>
      </c>
      <c r="FP370" s="82">
        <f t="shared" si="653"/>
        <v>0.12743125419181664</v>
      </c>
      <c r="FQ370" s="246">
        <f>IF($EH370="",#N/A,SUM($FP$4:FP370))</f>
        <v>53.620319560491218</v>
      </c>
      <c r="FR370" s="82">
        <f>IFERROR(FQ370/COUNTA($J$4:J370),#N/A)</f>
        <v>0.14610441297136573</v>
      </c>
      <c r="FS370" s="82">
        <f t="shared" si="554"/>
        <v>2.6338742499585236E-2</v>
      </c>
      <c r="FT370" s="82">
        <f t="shared" si="555"/>
        <v>7.2184137013940983E-2</v>
      </c>
      <c r="FU370" s="338">
        <f t="shared" si="660"/>
        <v>28.505696000520814</v>
      </c>
      <c r="FV370" s="57" t="str">
        <f t="shared" si="659"/>
        <v>SW</v>
      </c>
      <c r="FW370" s="57" t="s">
        <v>2732</v>
      </c>
      <c r="FX370" s="57" t="str">
        <f t="shared" si="635"/>
        <v/>
      </c>
      <c r="FY370" s="57" t="str">
        <f t="shared" si="636"/>
        <v/>
      </c>
      <c r="FZ370" s="57">
        <f t="shared" si="637"/>
        <v>1</v>
      </c>
      <c r="GA370" s="57" t="str">
        <f t="shared" si="638"/>
        <v>Long</v>
      </c>
      <c r="GB370" s="57" t="str">
        <f t="shared" si="639"/>
        <v/>
      </c>
      <c r="GC370" s="57" t="str">
        <f t="shared" si="640"/>
        <v/>
      </c>
      <c r="GD370" s="57" t="str">
        <f t="shared" si="641"/>
        <v/>
      </c>
      <c r="GE370" s="62">
        <f t="shared" si="557"/>
        <v>24.85</v>
      </c>
      <c r="GF370" s="62" t="s">
        <v>2779</v>
      </c>
      <c r="GG370" s="199">
        <v>65</v>
      </c>
      <c r="GH370" s="207">
        <f t="shared" si="642"/>
        <v>1615.25</v>
      </c>
      <c r="GI370" s="199">
        <v>65</v>
      </c>
      <c r="GJ370" s="200">
        <v>25.04</v>
      </c>
      <c r="GK370" s="63">
        <f t="shared" si="643"/>
        <v>12.349999999999909</v>
      </c>
      <c r="GL370" s="63">
        <f t="shared" si="558"/>
        <v>-16.900000000000091</v>
      </c>
      <c r="GM370" s="82">
        <f t="shared" si="644"/>
        <v>-0.17437961099933028</v>
      </c>
      <c r="GN370" s="82">
        <f>IF($GZ370="",#N/A,SUM(GM$4:GM370))</f>
        <v>10.799974225478675</v>
      </c>
      <c r="GO370" s="82" t="str">
        <f t="shared" si="645"/>
        <v/>
      </c>
      <c r="GP370" s="82">
        <f>IF($GZ370="",#N/A,SUM(GO$4:GO370))</f>
        <v>6.0037363150047494</v>
      </c>
      <c r="GQ370" s="82" t="str">
        <f t="shared" si="646"/>
        <v/>
      </c>
      <c r="GR370" s="82">
        <f>IF($GZ370="",#N/A,SUM(GQ$4:GQ370))</f>
        <v>28.874367383004316</v>
      </c>
      <c r="GS370" s="63" t="e">
        <f t="shared" si="654"/>
        <v>#N/A</v>
      </c>
      <c r="GT370" s="63" t="e">
        <f>IF($GZ370="",#N/A,SUM(GS$4:GS370))</f>
        <v>#N/A</v>
      </c>
      <c r="GU370" s="63" t="str">
        <f t="shared" si="655"/>
        <v/>
      </c>
      <c r="GV370" s="63" t="e">
        <f>IF($GZ370="",#N/A,SUM(GU$4:GU370))</f>
        <v>#N/A</v>
      </c>
      <c r="GW370" s="63" t="str">
        <f t="shared" si="656"/>
        <v/>
      </c>
      <c r="GX370" s="63" t="e">
        <f>IF($GZ370="",#N/A,SUM(GW$4:GW370))</f>
        <v>#N/A</v>
      </c>
      <c r="GY370" s="63" t="e">
        <f>IF(EJ370="",#N/A,SUM($EJ$4:EJ370))</f>
        <v>#N/A</v>
      </c>
      <c r="GZ370" s="159">
        <v>24.59</v>
      </c>
      <c r="HA370" s="63">
        <f t="shared" si="647"/>
        <v>-29.25</v>
      </c>
      <c r="HB370" s="62" t="s">
        <v>2538</v>
      </c>
      <c r="HC370" s="60">
        <f>IFERROR(VLOOKUP(E370,Expectancy!$P$4:$S$19,1+C370,FALSE),"")</f>
        <v>0.48685636958953199</v>
      </c>
      <c r="HD370" s="82">
        <f t="shared" si="648"/>
        <v>0.12743125419181664</v>
      </c>
      <c r="HE370" s="138">
        <f>IF(HD370="",#N/A,SUM($HD$4:HD370))</f>
        <v>10.584623559970399</v>
      </c>
      <c r="HF370" s="85">
        <f>IF(HD370="",#N/A,IF(HB370="Skip",#N/A,SUM($HG$4:HG370)))</f>
        <v>346.41157921915533</v>
      </c>
      <c r="HG370" s="63">
        <f t="shared" si="649"/>
        <v>12.349999999999909</v>
      </c>
      <c r="HH370" s="82">
        <f t="shared" si="650"/>
        <v>-0.17437961099933028</v>
      </c>
    </row>
    <row r="371" spans="1:216" x14ac:dyDescent="0.25">
      <c r="A371" s="57" t="s">
        <v>163</v>
      </c>
      <c r="B371" s="58" t="s">
        <v>5249</v>
      </c>
      <c r="C371" s="386">
        <f t="shared" si="561"/>
        <v>3</v>
      </c>
      <c r="D371" s="372" t="str">
        <f>_xlfn.XLOOKUP(A371,[1]SP500!$A$2:$A$502,[1]SP500!$D$2:$D$502,"N")</f>
        <v>Y</v>
      </c>
      <c r="E371" s="57" t="str">
        <f>_xlfn.XLOOKUP(A371,[1]SP500!$A$2:$A$655,[1]SP500!$B$2:$B$655)</f>
        <v>XLV</v>
      </c>
      <c r="F371" s="59">
        <v>45713</v>
      </c>
      <c r="G371" s="57" t="str">
        <f t="shared" si="562"/>
        <v>BMO</v>
      </c>
      <c r="H371" s="57" t="str">
        <f t="shared" si="563"/>
        <v>s</v>
      </c>
      <c r="I371" s="159">
        <v>77.64</v>
      </c>
      <c r="J371" s="159">
        <v>80.56</v>
      </c>
      <c r="K371" s="61">
        <f t="shared" si="564"/>
        <v>3.7609479649665142E-2</v>
      </c>
      <c r="L371" s="87">
        <f t="shared" si="565"/>
        <v>61.319999999999936</v>
      </c>
      <c r="M371" s="130">
        <f t="shared" si="556"/>
        <v>0</v>
      </c>
      <c r="N371" s="169" t="str">
        <f t="shared" si="566"/>
        <v/>
      </c>
      <c r="O371" s="169">
        <f>IF($J371="",#N/A,SUM($N$4:N371))</f>
        <v>-5.3532806457756124</v>
      </c>
      <c r="P371" s="174" t="str">
        <f t="shared" si="567"/>
        <v/>
      </c>
      <c r="Q371" s="174">
        <f>IF($J371="",#N/A,SUM($P$4:P371))</f>
        <v>435.28999224504321</v>
      </c>
      <c r="R371" s="178">
        <f t="shared" si="568"/>
        <v>61.319999999999936</v>
      </c>
      <c r="S371" s="178">
        <f>IF($J371="",#N/A,SUM($R$4:R371))</f>
        <v>885.15233699027704</v>
      </c>
      <c r="T371" s="290" t="str">
        <f t="shared" si="569"/>
        <v/>
      </c>
      <c r="U371" s="290">
        <f>IF($J371="",#N/A,SUM($T$4:T371))</f>
        <v>13.67185393496869</v>
      </c>
      <c r="V371" s="291" t="str">
        <f t="shared" si="570"/>
        <v/>
      </c>
      <c r="W371" s="291">
        <f>IF($J371="",#N/A,SUM($V$4:V371))</f>
        <v>23.925757159446615</v>
      </c>
      <c r="X371" s="292">
        <f t="shared" si="571"/>
        <v>0.62682466082775135</v>
      </c>
      <c r="Y371" s="292">
        <f>IF($J371="",#N/A,SUM($X$4:X371))</f>
        <v>16.649533126903687</v>
      </c>
      <c r="Z371" s="304" t="str">
        <f t="shared" si="572"/>
        <v/>
      </c>
      <c r="AA371" s="313" t="e">
        <f>IF($J371="",#N/A,SUM(Z$4:Z371))</f>
        <v>#N/A</v>
      </c>
      <c r="AB371" s="314" t="str">
        <f t="shared" si="573"/>
        <v/>
      </c>
      <c r="AC371" s="314" t="e">
        <f>IF($J371="",#N/A,SUM(AB$4:AB371))</f>
        <v>#N/A</v>
      </c>
      <c r="AD371" s="315" t="str">
        <f t="shared" si="574"/>
        <v/>
      </c>
      <c r="AE371" s="315" t="e">
        <f>IF($J371="",#N/A,SUM(AD$4:AD371))</f>
        <v>#N/A</v>
      </c>
      <c r="AF371" s="315" t="e">
        <f>IF($J371="",#N/A,SUM(AD$4:AD371,AB$4:AB371,Z$4:Z371))</f>
        <v>#N/A</v>
      </c>
      <c r="AG371" s="304" t="str">
        <f t="shared" si="575"/>
        <v/>
      </c>
      <c r="AH371" s="313" t="e">
        <f>IF($J371="",#N/A,SUM(AG$4:AG371))</f>
        <v>#N/A</v>
      </c>
      <c r="AI371" s="314" t="str">
        <f t="shared" si="576"/>
        <v/>
      </c>
      <c r="AJ371" s="314" t="e">
        <f>IF($J371="",#N/A,SUM(AI$4:AI371))</f>
        <v>#N/A</v>
      </c>
      <c r="AK371" s="315" t="str">
        <f t="shared" si="577"/>
        <v/>
      </c>
      <c r="AL371" s="315" t="e">
        <f>IF($J371="",#N/A,SUM(AK$4:AK371))</f>
        <v>#N/A</v>
      </c>
      <c r="AM371" s="315" t="e">
        <f>IF($J371="",#N/A,SUM(AK$4:AK371,AI$4:AI371,AG$4:AG371))</f>
        <v>#N/A</v>
      </c>
      <c r="AN371" s="304" t="str">
        <f t="shared" si="578"/>
        <v/>
      </c>
      <c r="AO371" s="313" t="e">
        <f>IF($J371="",#N/A,SUM(AN$4:AN371))</f>
        <v>#N/A</v>
      </c>
      <c r="AP371" s="314" t="str">
        <f t="shared" si="579"/>
        <v/>
      </c>
      <c r="AQ371" s="314" t="e">
        <f>IF($J371="",#N/A,SUM(AP$4:AP371))</f>
        <v>#N/A</v>
      </c>
      <c r="AR371" s="315" t="str">
        <f t="shared" si="580"/>
        <v/>
      </c>
      <c r="AS371" s="315" t="e">
        <f>IF($J371="",#N/A,SUM(AR$4:AR371))</f>
        <v>#N/A</v>
      </c>
      <c r="AT371" s="315" t="e">
        <f>IF($J371="",#N/A,SUM(AR$4:AR371,AP$4:AP371,AN$4:AN371))</f>
        <v>#N/A</v>
      </c>
      <c r="AU371" s="304" t="str">
        <f t="shared" si="581"/>
        <v/>
      </c>
      <c r="AV371" s="313" t="e">
        <f>IF($J371="",#N/A,SUM(AU$4:AU371))</f>
        <v>#N/A</v>
      </c>
      <c r="AW371" s="314" t="str">
        <f t="shared" si="582"/>
        <v/>
      </c>
      <c r="AX371" s="314" t="e">
        <f>IF($J371="",#N/A,SUM(AW$4:AW371))</f>
        <v>#N/A</v>
      </c>
      <c r="AY371" s="315" t="str">
        <f t="shared" si="583"/>
        <v/>
      </c>
      <c r="AZ371" s="315" t="e">
        <f>IF($J371="",#N/A,SUM(AY$4:AY371))</f>
        <v>#N/A</v>
      </c>
      <c r="BA371" s="315" t="e">
        <f>IF($J371="",#N/A,SUM(AY$4:AY371,AW$4:AW371,AU$4:AU371))</f>
        <v>#N/A</v>
      </c>
      <c r="BB371" s="304" t="str">
        <f t="shared" si="584"/>
        <v/>
      </c>
      <c r="BC371" s="313" t="e">
        <f>IF($J371="",#N/A,SUM(BB$4:BB371))</f>
        <v>#N/A</v>
      </c>
      <c r="BD371" s="314" t="str">
        <f t="shared" si="585"/>
        <v/>
      </c>
      <c r="BE371" s="314" t="e">
        <f>IF($J371="",#N/A,SUM(BD$4:BD371))</f>
        <v>#N/A</v>
      </c>
      <c r="BF371" s="315" t="str">
        <f t="shared" si="586"/>
        <v/>
      </c>
      <c r="BG371" s="315" t="e">
        <f>IF($J371="",#N/A,SUM(BF$4:BF371))</f>
        <v>#N/A</v>
      </c>
      <c r="BH371" s="315" t="e">
        <f>IF($J371="",#N/A,SUM(BF$4:BF371,BD$4:BD371,BB$4:BB371))</f>
        <v>#N/A</v>
      </c>
      <c r="BI371" s="304" t="str">
        <f t="shared" si="587"/>
        <v/>
      </c>
      <c r="BJ371" s="313" t="e">
        <f>IF($J371="",#N/A,SUM(BI$4:BI371))</f>
        <v>#N/A</v>
      </c>
      <c r="BK371" s="314" t="str">
        <f t="shared" si="588"/>
        <v/>
      </c>
      <c r="BL371" s="314" t="e">
        <f>IF($J371="",#N/A,SUM(BK$4:BK371))</f>
        <v>#N/A</v>
      </c>
      <c r="BM371" s="315" t="str">
        <f t="shared" si="589"/>
        <v/>
      </c>
      <c r="BN371" s="315" t="e">
        <f>IF($J371="",#N/A,SUM(BM$4:BM371))</f>
        <v>#N/A</v>
      </c>
      <c r="BO371" s="315" t="e">
        <f>IF($J371="",#N/A,SUM(BM$4:BM371,BK$4:BK371,BI$4:BI371))</f>
        <v>#N/A</v>
      </c>
      <c r="BP371" s="304" t="str">
        <f t="shared" si="590"/>
        <v/>
      </c>
      <c r="BQ371" s="313" t="e">
        <f>IF($J371="",#N/A,SUM(BP$4:BP371))</f>
        <v>#N/A</v>
      </c>
      <c r="BR371" s="314" t="str">
        <f t="shared" si="591"/>
        <v/>
      </c>
      <c r="BS371" s="314" t="e">
        <f>IF($J371="",#N/A,SUM(BR$4:BR371))</f>
        <v>#N/A</v>
      </c>
      <c r="BT371" s="315" t="str">
        <f t="shared" si="592"/>
        <v/>
      </c>
      <c r="BU371" s="315" t="e">
        <f>IF($J371="",#N/A,SUM(BT$4:BT371))</f>
        <v>#N/A</v>
      </c>
      <c r="BV371" s="315" t="e">
        <f>IF($J371="",#N/A,SUM(BT$4:BT371,BR$4:BR371,BP$4:BP371))</f>
        <v>#N/A</v>
      </c>
      <c r="BW371" s="304" t="str">
        <f t="shared" si="593"/>
        <v/>
      </c>
      <c r="BX371" s="313" t="e">
        <f>IF($J371="",#N/A,SUM(BW$4:BW371))</f>
        <v>#N/A</v>
      </c>
      <c r="BY371" s="314" t="str">
        <f t="shared" si="594"/>
        <v/>
      </c>
      <c r="BZ371" s="314" t="e">
        <f>IF($J371="",#N/A,SUM(BY$4:BY371))</f>
        <v>#N/A</v>
      </c>
      <c r="CA371" s="315">
        <f t="shared" si="595"/>
        <v>0.62682466082775135</v>
      </c>
      <c r="CB371" s="315" t="e">
        <f>IF($J371="",#N/A,SUM(CA$4:CA371))</f>
        <v>#N/A</v>
      </c>
      <c r="CC371" s="315" t="e">
        <f>IF($J371="",#N/A,SUM(CA$4:CA371,BY$4:BY371,BW$4:BW371))</f>
        <v>#N/A</v>
      </c>
      <c r="CD371" s="304" t="str">
        <f t="shared" si="596"/>
        <v/>
      </c>
      <c r="CE371" s="313" t="e">
        <f>IF($J371="",#N/A,SUM(CD$4:CD371))</f>
        <v>#N/A</v>
      </c>
      <c r="CF371" s="314" t="str">
        <f t="shared" si="597"/>
        <v/>
      </c>
      <c r="CG371" s="314" t="e">
        <f>IF($J371="",#N/A,SUM(CF$4:CF371))</f>
        <v>#N/A</v>
      </c>
      <c r="CH371" s="315" t="str">
        <f t="shared" si="598"/>
        <v/>
      </c>
      <c r="CI371" s="315" t="e">
        <f>IF($J371="",#N/A,SUM(CH$4:CH371))</f>
        <v>#N/A</v>
      </c>
      <c r="CJ371" s="315" t="e">
        <f>IF($J371="",#N/A,SUM(CH$4:CH371,CF$4:CF371,CD$4:CD371))</f>
        <v>#N/A</v>
      </c>
      <c r="CK371" s="304" t="str">
        <f t="shared" si="599"/>
        <v/>
      </c>
      <c r="CL371" s="313" t="e">
        <f>IF($J371="",#N/A,SUM(CK$4:CK371))</f>
        <v>#N/A</v>
      </c>
      <c r="CM371" s="314" t="str">
        <f t="shared" si="600"/>
        <v/>
      </c>
      <c r="CN371" s="314" t="e">
        <f>IF($J371="",#N/A,SUM(CM$4:CM371))</f>
        <v>#N/A</v>
      </c>
      <c r="CO371" s="315" t="str">
        <f t="shared" si="601"/>
        <v/>
      </c>
      <c r="CP371" s="315" t="e">
        <f>IF($J371="",#N/A,SUM(CO$4:CO371))</f>
        <v>#N/A</v>
      </c>
      <c r="CQ371" s="315" t="e">
        <f>IF($J371="",#N/A,SUM(CO$4:CO371,CM$4:CM371,CK$4:CK371))</f>
        <v>#N/A</v>
      </c>
      <c r="CR371" s="304" t="str">
        <f t="shared" si="602"/>
        <v/>
      </c>
      <c r="CS371" s="313" t="e">
        <f>IF($J371="",#N/A,SUM(CR$4:CR371))</f>
        <v>#N/A</v>
      </c>
      <c r="CT371" s="314" t="str">
        <f t="shared" si="603"/>
        <v/>
      </c>
      <c r="CU371" s="314" t="e">
        <f>IF($J371="",#N/A,SUM(CT$4:CT371))</f>
        <v>#N/A</v>
      </c>
      <c r="CV371" s="315" t="str">
        <f t="shared" si="604"/>
        <v/>
      </c>
      <c r="CW371" s="315" t="e">
        <f>IF($J371="",#N/A,SUM(CV$4:CV371))</f>
        <v>#N/A</v>
      </c>
      <c r="CX371" s="315" t="e">
        <f>IF($J371="",#N/A,SUM(CV$4:CV371,CT$4:CT371,CR$4:CR371))</f>
        <v>#N/A</v>
      </c>
      <c r="CY371" s="304" t="str">
        <f t="shared" si="605"/>
        <v/>
      </c>
      <c r="CZ371" s="313" t="e">
        <f>IF($J371="",#N/A,SUM(CY$4:CY371))</f>
        <v>#N/A</v>
      </c>
      <c r="DA371" s="314" t="str">
        <f t="shared" si="606"/>
        <v/>
      </c>
      <c r="DB371" s="314" t="e">
        <f>IF($J371="",#N/A,SUM(DA$4:DA371))</f>
        <v>#N/A</v>
      </c>
      <c r="DC371" s="315" t="str">
        <f t="shared" si="607"/>
        <v/>
      </c>
      <c r="DD371" s="315" t="e">
        <f>IF($J371="",#N/A,SUM(DC$4:DC371))</f>
        <v>#N/A</v>
      </c>
      <c r="DE371" s="315" t="e">
        <f>IF($J371="",#N/A,SUM(DC$4:DC371,DA$4:DA371,CY$4:CY371))</f>
        <v>#N/A</v>
      </c>
      <c r="DF371" s="304" t="str">
        <f t="shared" si="608"/>
        <v/>
      </c>
      <c r="DG371" s="313" t="e">
        <f>IF($J371="",#N/A,SUM(DF$4:DF371))</f>
        <v>#N/A</v>
      </c>
      <c r="DH371" s="314" t="str">
        <f t="shared" si="609"/>
        <v/>
      </c>
      <c r="DI371" s="314" t="e">
        <f>IF($J371="",#N/A,SUM(DH$4:DH371))</f>
        <v>#N/A</v>
      </c>
      <c r="DJ371" s="315" t="str">
        <f t="shared" si="610"/>
        <v/>
      </c>
      <c r="DK371" s="315" t="e">
        <f>IF($J371="",#N/A,SUM(DJ$4:DJ371))</f>
        <v>#N/A</v>
      </c>
      <c r="DL371" s="315" t="e">
        <f>IF($J371="",#N/A,SUM(DJ$4:DJ371,DH$4:DH371,DF$4:DF371))</f>
        <v>#N/A</v>
      </c>
      <c r="DM371" s="304" t="str">
        <f t="shared" si="611"/>
        <v/>
      </c>
      <c r="DN371" s="313" t="e">
        <f>IF($J371="",#N/A,SUM(DM$4:DM371))</f>
        <v>#N/A</v>
      </c>
      <c r="DO371" s="314" t="str">
        <f t="shared" si="612"/>
        <v/>
      </c>
      <c r="DP371" s="314" t="e">
        <f>IF($J371="",#N/A,SUM(DO$4:DO371))</f>
        <v>#N/A</v>
      </c>
      <c r="DQ371" s="315" t="str">
        <f t="shared" si="613"/>
        <v/>
      </c>
      <c r="DR371" s="315" t="e">
        <f>IF($J371="",#N/A,SUM(DQ$4:DQ371))</f>
        <v>#N/A</v>
      </c>
      <c r="DS371" s="315" t="e">
        <f>IF($J371="",#N/A,SUM(DQ$4:DQ371,DO$4:DO371,DM$4:DM371))</f>
        <v>#N/A</v>
      </c>
      <c r="DT371" s="304" t="str">
        <f t="shared" si="614"/>
        <v/>
      </c>
      <c r="DU371" s="313" t="e">
        <f>IF($J371="",#N/A,SUM(DT$4:DT371))</f>
        <v>#N/A</v>
      </c>
      <c r="DV371" s="314" t="str">
        <f t="shared" si="615"/>
        <v/>
      </c>
      <c r="DW371" s="314" t="e">
        <f>IF($J371="",#N/A,SUM(DV$4:DV371))</f>
        <v>#N/A</v>
      </c>
      <c r="DX371" s="315" t="str">
        <f t="shared" si="616"/>
        <v/>
      </c>
      <c r="DY371" s="315" t="e">
        <f>IF($J371="",#N/A,SUM(DX$4:DX371))</f>
        <v>#N/A</v>
      </c>
      <c r="DZ371" s="315" t="e">
        <f>IF($J371="",#N/A,SUM(DX$4:DX371,DV$4:DV371,DT$4:DT371))</f>
        <v>#N/A</v>
      </c>
      <c r="EA371" s="304" t="str">
        <f t="shared" si="617"/>
        <v/>
      </c>
      <c r="EB371" s="313" t="e">
        <f>IF($J371="",#N/A,SUM(EA$4:EA371))</f>
        <v>#N/A</v>
      </c>
      <c r="EC371" s="314" t="str">
        <f t="shared" si="618"/>
        <v/>
      </c>
      <c r="ED371" s="314" t="e">
        <f>IF($J371="",#N/A,SUM(EC$4:EC371))</f>
        <v>#N/A</v>
      </c>
      <c r="EE371" s="315" t="str">
        <f t="shared" si="619"/>
        <v/>
      </c>
      <c r="EF371" s="315" t="e">
        <f>IF($J371="",#N/A,SUM(EE$4:EE371))</f>
        <v>#N/A</v>
      </c>
      <c r="EG371" s="315" t="e">
        <f>IF($J371="",#N/A,SUM(EE$4:EE371,EC$4:EC371,EA$4:EA371))</f>
        <v>#N/A</v>
      </c>
      <c r="EH371" s="130">
        <f t="shared" si="620"/>
        <v>61.319999999999936</v>
      </c>
      <c r="EI371" s="63">
        <f>IF(EH371="",#N/A,SUM($EH$4:EH371))</f>
        <v>1315.0890485895447</v>
      </c>
      <c r="EJ371" s="223" t="e">
        <f t="shared" si="621"/>
        <v>#N/A</v>
      </c>
      <c r="EK371" s="63" t="e">
        <f>IF($GZ371="",#N/A,SUM(EJ$4:EJ371))</f>
        <v>#N/A</v>
      </c>
      <c r="EL371" s="60">
        <f t="shared" si="651"/>
        <v>0.62682466082775135</v>
      </c>
      <c r="EM371" s="60">
        <f>IF(EL371="",NA(),SUM($EL$4:EL371))</f>
        <v>28.304341197536569</v>
      </c>
      <c r="EN371" s="60" t="str">
        <f t="shared" si="622"/>
        <v/>
      </c>
      <c r="EO371" s="60" t="e">
        <f>IF(EN371="",NA(),SUM($EN$4:EN371))</f>
        <v>#N/A</v>
      </c>
      <c r="EP371" s="60">
        <f t="shared" si="623"/>
        <v>0.62682466082775135</v>
      </c>
      <c r="EQ371" s="60">
        <f>IF(EP371="",NA(),SUM($EP$4:EP371))</f>
        <v>8.9866443366187934</v>
      </c>
      <c r="ER371" s="60" t="str">
        <f t="shared" si="624"/>
        <v/>
      </c>
      <c r="ES371" s="60" t="e">
        <f>IF(ER371="",NA(),SUM($ER$4:ER371))</f>
        <v>#N/A</v>
      </c>
      <c r="ET371" s="60" t="str">
        <f t="shared" si="625"/>
        <v/>
      </c>
      <c r="EU371" s="60" t="e">
        <f>IF(ET371="",NA(),SUM($ET$4:ET371))</f>
        <v>#N/A</v>
      </c>
      <c r="EV371" s="60" t="str">
        <f t="shared" si="626"/>
        <v/>
      </c>
      <c r="EW371" s="60" t="e">
        <f>IF(EV371="",NA(),SUM($EV$4:EV371))</f>
        <v>#N/A</v>
      </c>
      <c r="EX371" s="60" t="str">
        <f t="shared" si="627"/>
        <v/>
      </c>
      <c r="EY371" s="60" t="e">
        <f>IF(EX371="",NA(),SUM($EX$4:EX371))</f>
        <v>#N/A</v>
      </c>
      <c r="EZ371" s="60" t="str">
        <f t="shared" si="628"/>
        <v/>
      </c>
      <c r="FA371" s="60" t="e">
        <f>IF(EZ371="",NA(),SUM($EZ$4:EZ371))</f>
        <v>#N/A</v>
      </c>
      <c r="FB371" s="246" t="str">
        <f t="shared" si="652"/>
        <v/>
      </c>
      <c r="FC371" s="246" t="e">
        <f>IF($FB371="",#N/A,SUM(FB$4:$FB371))</f>
        <v>#N/A</v>
      </c>
      <c r="FD371" s="60" t="str">
        <f t="shared" si="629"/>
        <v/>
      </c>
      <c r="FE371" s="60" t="e">
        <f>IF($FD371="",#N/A,SUM($FD$4:FD371))</f>
        <v>#N/A</v>
      </c>
      <c r="FF371" s="60" t="str">
        <f t="shared" si="630"/>
        <v/>
      </c>
      <c r="FG371" s="60" t="e">
        <f>IF($FF371="",#N/A,SUM($FF$4:FF371))</f>
        <v>#N/A</v>
      </c>
      <c r="FH371" s="60" t="str">
        <f t="shared" si="631"/>
        <v/>
      </c>
      <c r="FI371" s="60" t="e">
        <f>IF($FH371="",#N/A,SUM($FH$4:FH371))</f>
        <v>#N/A</v>
      </c>
      <c r="FJ371" s="60">
        <f t="shared" si="632"/>
        <v>-1.0175167439464212</v>
      </c>
      <c r="FK371" s="60">
        <f>IF($FJ371="",#N/A,SUM($FJ$4:FJ371))</f>
        <v>-1.0198571927471547</v>
      </c>
      <c r="FL371" s="60" t="str">
        <f t="shared" si="633"/>
        <v/>
      </c>
      <c r="FM371" s="60" t="e">
        <f>IF($FL371="",#N/A,SUM($FL$4:FL371))</f>
        <v>#N/A</v>
      </c>
      <c r="FN371" s="82">
        <f t="shared" si="634"/>
        <v>-0.39069208311866993</v>
      </c>
      <c r="FO371" s="82">
        <f>IF($FN371="",#N/A,SUM(FN$4:$FN371))</f>
        <v>45.913222794811411</v>
      </c>
      <c r="FP371" s="82">
        <f t="shared" si="653"/>
        <v>0.62682466082775135</v>
      </c>
      <c r="FQ371" s="246">
        <f>IF($EH371="",#N/A,SUM($FP$4:FP371))</f>
        <v>54.247144221318969</v>
      </c>
      <c r="FR371" s="82">
        <f>IFERROR(FQ371/COUNTA($J$4:J371),#N/A)</f>
        <v>0.1474107179927146</v>
      </c>
      <c r="FS371" s="82">
        <f t="shared" si="554"/>
        <v>6.4850430980281426E-2</v>
      </c>
      <c r="FT371" s="82">
        <f t="shared" si="555"/>
        <v>6.7589821052475824E-2</v>
      </c>
      <c r="FU371" s="338">
        <f t="shared" si="660"/>
        <v>28.505696000520814</v>
      </c>
      <c r="FV371" s="57" t="str">
        <f t="shared" si="659"/>
        <v>SW</v>
      </c>
      <c r="FW371" s="57" t="s">
        <v>2732</v>
      </c>
      <c r="FX371" s="57" t="str">
        <f t="shared" si="635"/>
        <v/>
      </c>
      <c r="FY371" s="57" t="str">
        <f t="shared" si="636"/>
        <v/>
      </c>
      <c r="FZ371" s="57">
        <f t="shared" si="637"/>
        <v>1</v>
      </c>
      <c r="GA371" s="57" t="str">
        <f t="shared" si="638"/>
        <v>Long</v>
      </c>
      <c r="GB371" s="57" t="str">
        <f t="shared" si="639"/>
        <v/>
      </c>
      <c r="GC371" s="57" t="str">
        <f t="shared" si="640"/>
        <v/>
      </c>
      <c r="GD371" s="57" t="str">
        <f t="shared" si="641"/>
        <v/>
      </c>
      <c r="GE371" s="62">
        <f t="shared" si="557"/>
        <v>77.64</v>
      </c>
      <c r="GF371" s="62" t="s">
        <v>2779</v>
      </c>
      <c r="GG371" s="199">
        <v>21</v>
      </c>
      <c r="GH371" s="207">
        <f t="shared" si="642"/>
        <v>1630.44</v>
      </c>
      <c r="GI371" s="199">
        <v>21</v>
      </c>
      <c r="GJ371" s="200">
        <v>80.56</v>
      </c>
      <c r="GK371" s="63">
        <f t="shared" si="643"/>
        <v>61.319999999999936</v>
      </c>
      <c r="GL371" s="63">
        <f t="shared" si="558"/>
        <v>-38.220000000000255</v>
      </c>
      <c r="GM371" s="82">
        <f t="shared" si="644"/>
        <v>-0.39069208311866993</v>
      </c>
      <c r="GN371" s="82">
        <f>IF($GZ371="",#N/A,SUM(GM$4:GM371))</f>
        <v>10.409282142360004</v>
      </c>
      <c r="GO371" s="82" t="str">
        <f t="shared" si="645"/>
        <v/>
      </c>
      <c r="GP371" s="82">
        <f>IF($GZ371="",#N/A,SUM(GO$4:GO371))</f>
        <v>6.0037363150047494</v>
      </c>
      <c r="GQ371" s="82" t="str">
        <f t="shared" si="646"/>
        <v/>
      </c>
      <c r="GR371" s="82">
        <f>IF($GZ371="",#N/A,SUM(GQ$4:GQ371))</f>
        <v>28.874367383004316</v>
      </c>
      <c r="GS371" s="63" t="e">
        <f t="shared" si="654"/>
        <v>#N/A</v>
      </c>
      <c r="GT371" s="63" t="e">
        <f>IF($GZ371="",#N/A,SUM(GS$4:GS371))</f>
        <v>#N/A</v>
      </c>
      <c r="GU371" s="63" t="str">
        <f t="shared" si="655"/>
        <v/>
      </c>
      <c r="GV371" s="63" t="e">
        <f>IF($GZ371="",#N/A,SUM(GU$4:GU371))</f>
        <v>#N/A</v>
      </c>
      <c r="GW371" s="63" t="str">
        <f t="shared" si="656"/>
        <v/>
      </c>
      <c r="GX371" s="63" t="e">
        <f>IF($GZ371="",#N/A,SUM(GW$4:GW371))</f>
        <v>#N/A</v>
      </c>
      <c r="GY371" s="63" t="e">
        <f>IF(EJ371="",#N/A,SUM($EJ$4:EJ371))</f>
        <v>#N/A</v>
      </c>
      <c r="GZ371" s="159">
        <v>75.819999999999993</v>
      </c>
      <c r="HA371" s="63">
        <f t="shared" si="647"/>
        <v>-99.540000000000191</v>
      </c>
      <c r="HB371" s="62" t="s">
        <v>2538</v>
      </c>
      <c r="HC371" s="60">
        <f>IFERROR(VLOOKUP(E371,Expectancy!$P$4:$S$19,1+C371,FALSE),"")</f>
        <v>-0.15084750675779673</v>
      </c>
      <c r="HD371" s="82">
        <f t="shared" si="648"/>
        <v>0.62682466082775135</v>
      </c>
      <c r="HE371" s="138">
        <f>IF(HD371="",#N/A,SUM($HD$4:HD371))</f>
        <v>11.21144822079815</v>
      </c>
      <c r="HF371" s="85">
        <f>IF(HD371="",#N/A,IF(HB371="Skip",#N/A,SUM($HG$4:HG371)))</f>
        <v>407.73157921915526</v>
      </c>
      <c r="HG371" s="63">
        <f t="shared" si="649"/>
        <v>61.319999999999936</v>
      </c>
      <c r="HH371" s="82">
        <f t="shared" si="650"/>
        <v>-0.39069208311866993</v>
      </c>
    </row>
    <row r="372" spans="1:216" x14ac:dyDescent="0.25">
      <c r="A372" s="57" t="s">
        <v>1126</v>
      </c>
      <c r="B372" s="58" t="str" cm="1">
        <f t="array" ref="B372">IFERROR(_xlfn.XLOOKUP(A372,Earnings!$B$2:$B$9985,LEFT(Earnings!$C$2:$C$9985,37)),"Can't Find Date***")</f>
        <v>on 2/25/25, 4:00 PM After Market East</v>
      </c>
      <c r="C372" s="386">
        <f t="shared" si="561"/>
        <v>2</v>
      </c>
      <c r="D372" s="372" t="str">
        <f>_xlfn.XLOOKUP(A372,[1]SP500!$A$2:$A$502,[1]SP500!$D$2:$D$502,"N")</f>
        <v>Y</v>
      </c>
      <c r="E372" s="57" t="str">
        <f>_xlfn.XLOOKUP(A372,[1]SP500!$A$2:$A$655,[1]SP500!$B$2:$B$655)</f>
        <v>IGV</v>
      </c>
      <c r="F372" s="59">
        <v>45713</v>
      </c>
      <c r="G372" s="57" t="str">
        <f t="shared" si="562"/>
        <v>AMC</v>
      </c>
      <c r="H372" s="57" t="str">
        <f t="shared" si="563"/>
        <v>s</v>
      </c>
      <c r="I372" s="159">
        <v>555.63</v>
      </c>
      <c r="J372" s="158">
        <v>635.5</v>
      </c>
      <c r="K372" s="61">
        <f t="shared" si="564"/>
        <v>0.14374673793711643</v>
      </c>
      <c r="L372" s="87">
        <f t="shared" si="565"/>
        <v>-239.61000000000013</v>
      </c>
      <c r="M372" s="130">
        <f t="shared" si="556"/>
        <v>0</v>
      </c>
      <c r="N372" s="169" t="str">
        <f t="shared" si="566"/>
        <v/>
      </c>
      <c r="O372" s="169">
        <f>IF($J372="",#N/A,SUM($N$4:N372))</f>
        <v>-5.3532806457756124</v>
      </c>
      <c r="P372" s="174">
        <f t="shared" si="567"/>
        <v>-239.61000000000013</v>
      </c>
      <c r="Q372" s="174">
        <f>IF($J372="",#N/A,SUM($P$4:P372))</f>
        <v>195.67999224504308</v>
      </c>
      <c r="R372" s="178" t="str">
        <f t="shared" si="568"/>
        <v/>
      </c>
      <c r="S372" s="178">
        <f>IF($J372="",#N/A,SUM($R$4:R372))</f>
        <v>885.15233699027704</v>
      </c>
      <c r="T372" s="290" t="str">
        <f t="shared" si="569"/>
        <v/>
      </c>
      <c r="U372" s="290">
        <f>IF($J372="",#N/A,SUM($T$4:T372))</f>
        <v>13.67185393496869</v>
      </c>
      <c r="V372" s="291">
        <f t="shared" si="570"/>
        <v>-2.3957789656186086</v>
      </c>
      <c r="W372" s="291">
        <f>IF($J372="",#N/A,SUM($V$4:V372))</f>
        <v>21.529978193828008</v>
      </c>
      <c r="X372" s="292" t="str">
        <f t="shared" si="571"/>
        <v/>
      </c>
      <c r="Y372" s="292">
        <f>IF($J372="",#N/A,SUM($X$4:X372))</f>
        <v>16.649533126903687</v>
      </c>
      <c r="Z372" s="304" t="str">
        <f t="shared" si="572"/>
        <v/>
      </c>
      <c r="AA372" s="313" t="e">
        <f>IF($J372="",#N/A,SUM(Z$4:Z372))</f>
        <v>#N/A</v>
      </c>
      <c r="AB372" s="314" t="str">
        <f t="shared" si="573"/>
        <v/>
      </c>
      <c r="AC372" s="314" t="e">
        <f>IF($J372="",#N/A,SUM(AB$4:AB372))</f>
        <v>#N/A</v>
      </c>
      <c r="AD372" s="315" t="str">
        <f t="shared" si="574"/>
        <v/>
      </c>
      <c r="AE372" s="315" t="e">
        <f>IF($J372="",#N/A,SUM(AD$4:AD372))</f>
        <v>#N/A</v>
      </c>
      <c r="AF372" s="315" t="e">
        <f>IF($J372="",#N/A,SUM(AD$4:AD372,AB$4:AB372,Z$4:Z372))</f>
        <v>#N/A</v>
      </c>
      <c r="AG372" s="304" t="str">
        <f t="shared" si="575"/>
        <v/>
      </c>
      <c r="AH372" s="313" t="e">
        <f>IF($J372="",#N/A,SUM(AG$4:AG372))</f>
        <v>#N/A</v>
      </c>
      <c r="AI372" s="314">
        <f t="shared" si="576"/>
        <v>-2.3957789656186086</v>
      </c>
      <c r="AJ372" s="314" t="e">
        <f>IF($J372="",#N/A,SUM(AI$4:AI372))</f>
        <v>#N/A</v>
      </c>
      <c r="AK372" s="315" t="str">
        <f t="shared" si="577"/>
        <v/>
      </c>
      <c r="AL372" s="315" t="e">
        <f>IF($J372="",#N/A,SUM(AK$4:AK372))</f>
        <v>#N/A</v>
      </c>
      <c r="AM372" s="315" t="e">
        <f>IF($J372="",#N/A,SUM(AK$4:AK372,AI$4:AI372,AG$4:AG372))</f>
        <v>#N/A</v>
      </c>
      <c r="AN372" s="304" t="str">
        <f t="shared" si="578"/>
        <v/>
      </c>
      <c r="AO372" s="313" t="e">
        <f>IF($J372="",#N/A,SUM(AN$4:AN372))</f>
        <v>#N/A</v>
      </c>
      <c r="AP372" s="314" t="str">
        <f t="shared" si="579"/>
        <v/>
      </c>
      <c r="AQ372" s="314" t="e">
        <f>IF($J372="",#N/A,SUM(AP$4:AP372))</f>
        <v>#N/A</v>
      </c>
      <c r="AR372" s="315" t="str">
        <f t="shared" si="580"/>
        <v/>
      </c>
      <c r="AS372" s="315" t="e">
        <f>IF($J372="",#N/A,SUM(AR$4:AR372))</f>
        <v>#N/A</v>
      </c>
      <c r="AT372" s="315" t="e">
        <f>IF($J372="",#N/A,SUM(AR$4:AR372,AP$4:AP372,AN$4:AN372))</f>
        <v>#N/A</v>
      </c>
      <c r="AU372" s="304" t="str">
        <f t="shared" si="581"/>
        <v/>
      </c>
      <c r="AV372" s="313" t="e">
        <f>IF($J372="",#N/A,SUM(AU$4:AU372))</f>
        <v>#N/A</v>
      </c>
      <c r="AW372" s="314" t="str">
        <f t="shared" si="582"/>
        <v/>
      </c>
      <c r="AX372" s="314" t="e">
        <f>IF($J372="",#N/A,SUM(AW$4:AW372))</f>
        <v>#N/A</v>
      </c>
      <c r="AY372" s="315" t="str">
        <f t="shared" si="583"/>
        <v/>
      </c>
      <c r="AZ372" s="315" t="e">
        <f>IF($J372="",#N/A,SUM(AY$4:AY372))</f>
        <v>#N/A</v>
      </c>
      <c r="BA372" s="315" t="e">
        <f>IF($J372="",#N/A,SUM(AY$4:AY372,AW$4:AW372,AU$4:AU372))</f>
        <v>#N/A</v>
      </c>
      <c r="BB372" s="304" t="str">
        <f t="shared" si="584"/>
        <v/>
      </c>
      <c r="BC372" s="313" t="e">
        <f>IF($J372="",#N/A,SUM(BB$4:BB372))</f>
        <v>#N/A</v>
      </c>
      <c r="BD372" s="314" t="str">
        <f t="shared" si="585"/>
        <v/>
      </c>
      <c r="BE372" s="314" t="e">
        <f>IF($J372="",#N/A,SUM(BD$4:BD372))</f>
        <v>#N/A</v>
      </c>
      <c r="BF372" s="315" t="str">
        <f t="shared" si="586"/>
        <v/>
      </c>
      <c r="BG372" s="315" t="e">
        <f>IF($J372="",#N/A,SUM(BF$4:BF372))</f>
        <v>#N/A</v>
      </c>
      <c r="BH372" s="315" t="e">
        <f>IF($J372="",#N/A,SUM(BF$4:BF372,BD$4:BD372,BB$4:BB372))</f>
        <v>#N/A</v>
      </c>
      <c r="BI372" s="304" t="str">
        <f t="shared" si="587"/>
        <v/>
      </c>
      <c r="BJ372" s="313" t="e">
        <f>IF($J372="",#N/A,SUM(BI$4:BI372))</f>
        <v>#N/A</v>
      </c>
      <c r="BK372" s="314" t="str">
        <f t="shared" si="588"/>
        <v/>
      </c>
      <c r="BL372" s="314" t="e">
        <f>IF($J372="",#N/A,SUM(BK$4:BK372))</f>
        <v>#N/A</v>
      </c>
      <c r="BM372" s="315" t="str">
        <f t="shared" si="589"/>
        <v/>
      </c>
      <c r="BN372" s="315" t="e">
        <f>IF($J372="",#N/A,SUM(BM$4:BM372))</f>
        <v>#N/A</v>
      </c>
      <c r="BO372" s="315" t="e">
        <f>IF($J372="",#N/A,SUM(BM$4:BM372,BK$4:BK372,BI$4:BI372))</f>
        <v>#N/A</v>
      </c>
      <c r="BP372" s="304" t="str">
        <f t="shared" si="590"/>
        <v/>
      </c>
      <c r="BQ372" s="313" t="e">
        <f>IF($J372="",#N/A,SUM(BP$4:BP372))</f>
        <v>#N/A</v>
      </c>
      <c r="BR372" s="314" t="str">
        <f t="shared" si="591"/>
        <v/>
      </c>
      <c r="BS372" s="314" t="e">
        <f>IF($J372="",#N/A,SUM(BR$4:BR372))</f>
        <v>#N/A</v>
      </c>
      <c r="BT372" s="315" t="str">
        <f t="shared" si="592"/>
        <v/>
      </c>
      <c r="BU372" s="315" t="e">
        <f>IF($J372="",#N/A,SUM(BT$4:BT372))</f>
        <v>#N/A</v>
      </c>
      <c r="BV372" s="315" t="e">
        <f>IF($J372="",#N/A,SUM(BT$4:BT372,BR$4:BR372,BP$4:BP372))</f>
        <v>#N/A</v>
      </c>
      <c r="BW372" s="304" t="str">
        <f t="shared" si="593"/>
        <v/>
      </c>
      <c r="BX372" s="313" t="e">
        <f>IF($J372="",#N/A,SUM(BW$4:BW372))</f>
        <v>#N/A</v>
      </c>
      <c r="BY372" s="314" t="str">
        <f t="shared" si="594"/>
        <v/>
      </c>
      <c r="BZ372" s="314" t="e">
        <f>IF($J372="",#N/A,SUM(BY$4:BY372))</f>
        <v>#N/A</v>
      </c>
      <c r="CA372" s="315" t="str">
        <f t="shared" si="595"/>
        <v/>
      </c>
      <c r="CB372" s="315" t="e">
        <f>IF($J372="",#N/A,SUM(CA$4:CA372))</f>
        <v>#N/A</v>
      </c>
      <c r="CC372" s="315" t="e">
        <f>IF($J372="",#N/A,SUM(CA$4:CA372,BY$4:BY372,BW$4:BW372))</f>
        <v>#N/A</v>
      </c>
      <c r="CD372" s="304" t="str">
        <f t="shared" si="596"/>
        <v/>
      </c>
      <c r="CE372" s="313" t="e">
        <f>IF($J372="",#N/A,SUM(CD$4:CD372))</f>
        <v>#N/A</v>
      </c>
      <c r="CF372" s="314" t="str">
        <f t="shared" si="597"/>
        <v/>
      </c>
      <c r="CG372" s="314" t="e">
        <f>IF($J372="",#N/A,SUM(CF$4:CF372))</f>
        <v>#N/A</v>
      </c>
      <c r="CH372" s="315" t="str">
        <f t="shared" si="598"/>
        <v/>
      </c>
      <c r="CI372" s="315" t="e">
        <f>IF($J372="",#N/A,SUM(CH$4:CH372))</f>
        <v>#N/A</v>
      </c>
      <c r="CJ372" s="315" t="e">
        <f>IF($J372="",#N/A,SUM(CH$4:CH372,CF$4:CF372,CD$4:CD372))</f>
        <v>#N/A</v>
      </c>
      <c r="CK372" s="304" t="str">
        <f t="shared" si="599"/>
        <v/>
      </c>
      <c r="CL372" s="313" t="e">
        <f>IF($J372="",#N/A,SUM(CK$4:CK372))</f>
        <v>#N/A</v>
      </c>
      <c r="CM372" s="314" t="str">
        <f t="shared" si="600"/>
        <v/>
      </c>
      <c r="CN372" s="314" t="e">
        <f>IF($J372="",#N/A,SUM(CM$4:CM372))</f>
        <v>#N/A</v>
      </c>
      <c r="CO372" s="315" t="str">
        <f t="shared" si="601"/>
        <v/>
      </c>
      <c r="CP372" s="315" t="e">
        <f>IF($J372="",#N/A,SUM(CO$4:CO372))</f>
        <v>#N/A</v>
      </c>
      <c r="CQ372" s="315" t="e">
        <f>IF($J372="",#N/A,SUM(CO$4:CO372,CM$4:CM372,CK$4:CK372))</f>
        <v>#N/A</v>
      </c>
      <c r="CR372" s="304" t="str">
        <f t="shared" si="602"/>
        <v/>
      </c>
      <c r="CS372" s="313" t="e">
        <f>IF($J372="",#N/A,SUM(CR$4:CR372))</f>
        <v>#N/A</v>
      </c>
      <c r="CT372" s="314" t="str">
        <f t="shared" si="603"/>
        <v/>
      </c>
      <c r="CU372" s="314" t="e">
        <f>IF($J372="",#N/A,SUM(CT$4:CT372))</f>
        <v>#N/A</v>
      </c>
      <c r="CV372" s="315" t="str">
        <f t="shared" si="604"/>
        <v/>
      </c>
      <c r="CW372" s="315" t="e">
        <f>IF($J372="",#N/A,SUM(CV$4:CV372))</f>
        <v>#N/A</v>
      </c>
      <c r="CX372" s="315" t="e">
        <f>IF($J372="",#N/A,SUM(CV$4:CV372,CT$4:CT372,CR$4:CR372))</f>
        <v>#N/A</v>
      </c>
      <c r="CY372" s="304" t="str">
        <f t="shared" si="605"/>
        <v/>
      </c>
      <c r="CZ372" s="313" t="e">
        <f>IF($J372="",#N/A,SUM(CY$4:CY372))</f>
        <v>#N/A</v>
      </c>
      <c r="DA372" s="314" t="str">
        <f t="shared" si="606"/>
        <v/>
      </c>
      <c r="DB372" s="314" t="e">
        <f>IF($J372="",#N/A,SUM(DA$4:DA372))</f>
        <v>#N/A</v>
      </c>
      <c r="DC372" s="315" t="str">
        <f t="shared" si="607"/>
        <v/>
      </c>
      <c r="DD372" s="315" t="e">
        <f>IF($J372="",#N/A,SUM(DC$4:DC372))</f>
        <v>#N/A</v>
      </c>
      <c r="DE372" s="315" t="e">
        <f>IF($J372="",#N/A,SUM(DC$4:DC372,DA$4:DA372,CY$4:CY372))</f>
        <v>#N/A</v>
      </c>
      <c r="DF372" s="304" t="str">
        <f t="shared" si="608"/>
        <v/>
      </c>
      <c r="DG372" s="313" t="e">
        <f>IF($J372="",#N/A,SUM(DF$4:DF372))</f>
        <v>#N/A</v>
      </c>
      <c r="DH372" s="314" t="str">
        <f t="shared" si="609"/>
        <v/>
      </c>
      <c r="DI372" s="314" t="e">
        <f>IF($J372="",#N/A,SUM(DH$4:DH372))</f>
        <v>#N/A</v>
      </c>
      <c r="DJ372" s="315" t="str">
        <f t="shared" si="610"/>
        <v/>
      </c>
      <c r="DK372" s="315" t="e">
        <f>IF($J372="",#N/A,SUM(DJ$4:DJ372))</f>
        <v>#N/A</v>
      </c>
      <c r="DL372" s="315" t="e">
        <f>IF($J372="",#N/A,SUM(DJ$4:DJ372,DH$4:DH372,DF$4:DF372))</f>
        <v>#N/A</v>
      </c>
      <c r="DM372" s="304" t="str">
        <f t="shared" si="611"/>
        <v/>
      </c>
      <c r="DN372" s="313" t="e">
        <f>IF($J372="",#N/A,SUM(DM$4:DM372))</f>
        <v>#N/A</v>
      </c>
      <c r="DO372" s="314" t="str">
        <f t="shared" si="612"/>
        <v/>
      </c>
      <c r="DP372" s="314" t="e">
        <f>IF($J372="",#N/A,SUM(DO$4:DO372))</f>
        <v>#N/A</v>
      </c>
      <c r="DQ372" s="315" t="str">
        <f t="shared" si="613"/>
        <v/>
      </c>
      <c r="DR372" s="315" t="e">
        <f>IF($J372="",#N/A,SUM(DQ$4:DQ372))</f>
        <v>#N/A</v>
      </c>
      <c r="DS372" s="315" t="e">
        <f>IF($J372="",#N/A,SUM(DQ$4:DQ372,DO$4:DO372,DM$4:DM372))</f>
        <v>#N/A</v>
      </c>
      <c r="DT372" s="304" t="str">
        <f t="shared" si="614"/>
        <v/>
      </c>
      <c r="DU372" s="313" t="e">
        <f>IF($J372="",#N/A,SUM(DT$4:DT372))</f>
        <v>#N/A</v>
      </c>
      <c r="DV372" s="314" t="str">
        <f t="shared" si="615"/>
        <v/>
      </c>
      <c r="DW372" s="314" t="e">
        <f>IF($J372="",#N/A,SUM(DV$4:DV372))</f>
        <v>#N/A</v>
      </c>
      <c r="DX372" s="315" t="str">
        <f t="shared" si="616"/>
        <v/>
      </c>
      <c r="DY372" s="315" t="e">
        <f>IF($J372="",#N/A,SUM(DX$4:DX372))</f>
        <v>#N/A</v>
      </c>
      <c r="DZ372" s="315" t="e">
        <f>IF($J372="",#N/A,SUM(DX$4:DX372,DV$4:DV372,DT$4:DT372))</f>
        <v>#N/A</v>
      </c>
      <c r="EA372" s="304" t="str">
        <f t="shared" si="617"/>
        <v/>
      </c>
      <c r="EB372" s="313" t="e">
        <f>IF($J372="",#N/A,SUM(EA$4:EA372))</f>
        <v>#N/A</v>
      </c>
      <c r="EC372" s="314" t="str">
        <f t="shared" si="618"/>
        <v/>
      </c>
      <c r="ED372" s="314" t="e">
        <f>IF($J372="",#N/A,SUM(EC$4:EC372))</f>
        <v>#N/A</v>
      </c>
      <c r="EE372" s="315" t="str">
        <f t="shared" si="619"/>
        <v/>
      </c>
      <c r="EF372" s="315" t="e">
        <f>IF($J372="",#N/A,SUM(EE$4:EE372))</f>
        <v>#N/A</v>
      </c>
      <c r="EG372" s="315" t="e">
        <f>IF($J372="",#N/A,SUM(EE$4:EE372,EC$4:EC372,EA$4:EA372))</f>
        <v>#N/A</v>
      </c>
      <c r="EH372" s="130">
        <f t="shared" si="620"/>
        <v>-239.61000000000013</v>
      </c>
      <c r="EI372" s="63">
        <f>IF(EH372="",#N/A,SUM($EH$4:EH372))</f>
        <v>1075.4790485895446</v>
      </c>
      <c r="EJ372" s="223" t="e">
        <f t="shared" si="621"/>
        <v>#N/A</v>
      </c>
      <c r="EK372" s="63" t="e">
        <f>IF($GZ372="",#N/A,SUM(EJ$4:EJ372))</f>
        <v>#N/A</v>
      </c>
      <c r="EL372" s="60">
        <f t="shared" si="651"/>
        <v>-2.3957789656186086</v>
      </c>
      <c r="EM372" s="60">
        <f>IF(EL372="",NA(),SUM($EL$4:EL372))</f>
        <v>25.908562231917962</v>
      </c>
      <c r="EN372" s="60" t="str">
        <f t="shared" si="622"/>
        <v/>
      </c>
      <c r="EO372" s="60" t="e">
        <f>IF(EN372="",NA(),SUM($EN$4:EN372))</f>
        <v>#N/A</v>
      </c>
      <c r="EP372" s="60" t="str">
        <f t="shared" si="623"/>
        <v/>
      </c>
      <c r="EQ372" s="60" t="e">
        <f>IF(EP372="",NA(),SUM($EP$4:EP372))</f>
        <v>#N/A</v>
      </c>
      <c r="ER372" s="60">
        <f t="shared" si="624"/>
        <v>-2.3957789656186086</v>
      </c>
      <c r="ES372" s="60">
        <f>IF(ER372="",NA(),SUM($ER$4:ER372))</f>
        <v>8.7501662095464976</v>
      </c>
      <c r="ET372" s="60" t="str">
        <f t="shared" si="625"/>
        <v/>
      </c>
      <c r="EU372" s="60" t="e">
        <f>IF(ET372="",NA(),SUM($ET$4:ET372))</f>
        <v>#N/A</v>
      </c>
      <c r="EV372" s="60" t="str">
        <f t="shared" si="626"/>
        <v/>
      </c>
      <c r="EW372" s="60" t="e">
        <f>IF(EV372="",NA(),SUM($EV$4:EV372))</f>
        <v>#N/A</v>
      </c>
      <c r="EX372" s="60" t="str">
        <f t="shared" si="627"/>
        <v/>
      </c>
      <c r="EY372" s="60" t="e">
        <f>IF(EX372="",NA(),SUM($EX$4:EX372))</f>
        <v>#N/A</v>
      </c>
      <c r="EZ372" s="60" t="str">
        <f t="shared" si="628"/>
        <v/>
      </c>
      <c r="FA372" s="60" t="e">
        <f>IF(EZ372="",NA(),SUM($EZ$4:EZ372))</f>
        <v>#N/A</v>
      </c>
      <c r="FB372" s="246" t="str">
        <f t="shared" si="652"/>
        <v/>
      </c>
      <c r="FC372" s="246" t="e">
        <f>IF($FB372="",#N/A,SUM(FB$4:$FB372))</f>
        <v>#N/A</v>
      </c>
      <c r="FD372" s="60">
        <f t="shared" si="629"/>
        <v>0.29965984558069225</v>
      </c>
      <c r="FE372" s="60">
        <f>IF($FD372="",#N/A,SUM($FD$4:FD372))</f>
        <v>2.0707920943235596</v>
      </c>
      <c r="FF372" s="60" t="str">
        <f t="shared" si="630"/>
        <v/>
      </c>
      <c r="FG372" s="60" t="e">
        <f>IF($FF372="",#N/A,SUM($FF$4:FF372))</f>
        <v>#N/A</v>
      </c>
      <c r="FH372" s="60" t="str">
        <f t="shared" si="631"/>
        <v/>
      </c>
      <c r="FI372" s="60" t="e">
        <f>IF($FH372="",#N/A,SUM($FH$4:FH372))</f>
        <v>#N/A</v>
      </c>
      <c r="FJ372" s="60" t="str">
        <f t="shared" si="632"/>
        <v/>
      </c>
      <c r="FK372" s="60" t="e">
        <f>IF($FJ372="",#N/A,SUM($FJ$4:FJ372))</f>
        <v>#N/A</v>
      </c>
      <c r="FL372" s="60" t="str">
        <f t="shared" si="633"/>
        <v/>
      </c>
      <c r="FM372" s="60" t="e">
        <f>IF($FL372="",#N/A,SUM($FL$4:FL372))</f>
        <v>#N/A</v>
      </c>
      <c r="FN372" s="82">
        <f t="shared" si="634"/>
        <v>-2.0961191200379163</v>
      </c>
      <c r="FO372" s="82">
        <f>IF($FN372="",#N/A,SUM(FN$4:$FN372))</f>
        <v>43.817103674773492</v>
      </c>
      <c r="FP372" s="82">
        <f t="shared" si="653"/>
        <v>-2.3957789656186086</v>
      </c>
      <c r="FQ372" s="246">
        <f>IF($EH372="",#N/A,SUM($FP$4:FP372))</f>
        <v>51.851365255700358</v>
      </c>
      <c r="FR372" s="82">
        <f>IFERROR(FQ372/COUNTA($J$4:J372),#N/A)</f>
        <v>0.14051860502899827</v>
      </c>
      <c r="FS372" s="82">
        <f t="shared" si="554"/>
        <v>1.3358697464139908E-2</v>
      </c>
      <c r="FT372" s="82">
        <f t="shared" si="555"/>
        <v>-0.10031508745587046</v>
      </c>
      <c r="FU372" s="338">
        <f t="shared" si="660"/>
        <v>28.505696000520814</v>
      </c>
      <c r="FV372" s="57" t="str">
        <f t="shared" si="659"/>
        <v>Dwn</v>
      </c>
      <c r="FW372" s="57" t="s">
        <v>2734</v>
      </c>
      <c r="FX372" s="57" t="str">
        <f t="shared" si="635"/>
        <v/>
      </c>
      <c r="FY372" s="57">
        <f t="shared" si="636"/>
        <v>1</v>
      </c>
      <c r="FZ372" s="57" t="str">
        <f t="shared" si="637"/>
        <v/>
      </c>
      <c r="GA372" s="57" t="str">
        <f t="shared" si="638"/>
        <v>Short</v>
      </c>
      <c r="GB372" s="57" t="str">
        <f t="shared" si="639"/>
        <v/>
      </c>
      <c r="GC372" s="57" t="str">
        <f t="shared" si="640"/>
        <v/>
      </c>
      <c r="GD372" s="57" t="str">
        <f t="shared" si="641"/>
        <v/>
      </c>
      <c r="GE372" s="62">
        <f t="shared" si="557"/>
        <v>555.63</v>
      </c>
      <c r="GF372" s="62" t="s">
        <v>2780</v>
      </c>
      <c r="GG372" s="199">
        <v>3</v>
      </c>
      <c r="GH372" s="207">
        <f t="shared" si="642"/>
        <v>1666.8899999999999</v>
      </c>
      <c r="GI372" s="199">
        <v>3</v>
      </c>
      <c r="GJ372" s="200">
        <v>635.5</v>
      </c>
      <c r="GK372" s="63">
        <f t="shared" si="643"/>
        <v>-239.61000000000013</v>
      </c>
      <c r="GL372" s="63">
        <f t="shared" si="558"/>
        <v>-209.6400000000001</v>
      </c>
      <c r="GM372" s="82" t="str">
        <f t="shared" si="644"/>
        <v/>
      </c>
      <c r="GN372" s="82">
        <f>IF($GZ372="",#N/A,SUM(GM$4:GM372))</f>
        <v>10.409282142360004</v>
      </c>
      <c r="GO372" s="82" t="str">
        <f t="shared" si="645"/>
        <v/>
      </c>
      <c r="GP372" s="82">
        <f>IF($GZ372="",#N/A,SUM(GO$4:GO372))</f>
        <v>6.0037363150047494</v>
      </c>
      <c r="GQ372" s="82">
        <f t="shared" si="646"/>
        <v>-2.0961191200379163</v>
      </c>
      <c r="GR372" s="82">
        <f>IF($GZ372="",#N/A,SUM(GQ$4:GQ372))</f>
        <v>26.7782482629664</v>
      </c>
      <c r="GS372" s="63" t="str">
        <f t="shared" si="654"/>
        <v/>
      </c>
      <c r="GT372" s="63" t="e">
        <f>IF($GZ372="",#N/A,SUM(GS$4:GS372))</f>
        <v>#N/A</v>
      </c>
      <c r="GU372" s="63" t="str">
        <f t="shared" si="655"/>
        <v/>
      </c>
      <c r="GV372" s="63" t="e">
        <f>IF($GZ372="",#N/A,SUM(GU$4:GU372))</f>
        <v>#N/A</v>
      </c>
      <c r="GW372" s="63" t="e">
        <f t="shared" si="656"/>
        <v>#N/A</v>
      </c>
      <c r="GX372" s="63" t="e">
        <f>IF($GZ372="",#N/A,SUM(GW$4:GW372))</f>
        <v>#N/A</v>
      </c>
      <c r="GY372" s="63" t="e">
        <f>IF(EJ372="",#N/A,SUM($EJ$4:EJ372))</f>
        <v>#N/A</v>
      </c>
      <c r="GZ372" s="159">
        <v>625.51</v>
      </c>
      <c r="HA372" s="63">
        <f t="shared" si="647"/>
        <v>29.970000000000027</v>
      </c>
      <c r="HB372" s="62" t="s">
        <v>2538</v>
      </c>
      <c r="HC372" s="60">
        <f>IFERROR(VLOOKUP(E372,Expectancy!$P$4:$S$19,1+C372,FALSE),"")</f>
        <v>0.78642334455186147</v>
      </c>
      <c r="HD372" s="82">
        <f t="shared" si="648"/>
        <v>-2.3957789656186086</v>
      </c>
      <c r="HE372" s="138">
        <f>IF(HD372="",#N/A,SUM($HD$4:HD372))</f>
        <v>8.8156692551795413</v>
      </c>
      <c r="HF372" s="85">
        <f>IF(HD372="",#N/A,IF(HB372="Skip",#N/A,SUM($HG$4:HG372)))</f>
        <v>168.12157921915514</v>
      </c>
      <c r="HG372" s="63">
        <f t="shared" si="649"/>
        <v>-239.61000000000013</v>
      </c>
      <c r="HH372" s="82">
        <f t="shared" si="650"/>
        <v>-2.0961191200379163</v>
      </c>
    </row>
    <row r="373" spans="1:216" x14ac:dyDescent="0.25">
      <c r="A373" s="57" t="s">
        <v>657</v>
      </c>
      <c r="B373" s="58" t="str" cm="1">
        <f t="array" ref="B373">IFERROR(_xlfn.XLOOKUP(A373,Earnings!$B$2:$B$9985,LEFT(Earnings!$C$2:$C$9985,37)),"Can't Find Date***")</f>
        <v>on 2/25/25, 4:01 PM After Market East</v>
      </c>
      <c r="C373" s="386">
        <f t="shared" si="561"/>
        <v>3</v>
      </c>
      <c r="D373" s="372" t="str">
        <f>_xlfn.XLOOKUP(A373,[1]SP500!$A$2:$A$502,[1]SP500!$D$2:$D$502,"N")</f>
        <v>Y</v>
      </c>
      <c r="E373" s="57" t="str">
        <f>_xlfn.XLOOKUP(A373,[1]SP500!$A$2:$A$655,[1]SP500!$B$2:$B$655)</f>
        <v>XLI</v>
      </c>
      <c r="F373" s="59">
        <v>45713</v>
      </c>
      <c r="G373" s="57" t="str">
        <f t="shared" si="562"/>
        <v>AMC</v>
      </c>
      <c r="H373" s="57" t="str">
        <f t="shared" si="563"/>
        <v>s</v>
      </c>
      <c r="I373" s="159">
        <v>496.65</v>
      </c>
      <c r="J373" s="159">
        <v>584.95000000000005</v>
      </c>
      <c r="K373" s="61">
        <f t="shared" si="564"/>
        <v>0.17779120104701515</v>
      </c>
      <c r="L373" s="87">
        <f t="shared" si="565"/>
        <v>264.90000000000032</v>
      </c>
      <c r="M373" s="130">
        <f t="shared" si="556"/>
        <v>0</v>
      </c>
      <c r="N373" s="169" t="str">
        <f t="shared" si="566"/>
        <v/>
      </c>
      <c r="O373" s="169">
        <f>IF($J373="",#N/A,SUM($N$4:N373))</f>
        <v>-5.3532806457756124</v>
      </c>
      <c r="P373" s="174" t="str">
        <f t="shared" si="567"/>
        <v/>
      </c>
      <c r="Q373" s="174">
        <f>IF($J373="",#N/A,SUM($P$4:P373))</f>
        <v>195.67999224504308</v>
      </c>
      <c r="R373" s="178">
        <f t="shared" si="568"/>
        <v>264.90000000000032</v>
      </c>
      <c r="S373" s="178">
        <f>IF($J373="",#N/A,SUM($R$4:R373))</f>
        <v>1150.0523369902774</v>
      </c>
      <c r="T373" s="290" t="str">
        <f t="shared" si="569"/>
        <v/>
      </c>
      <c r="U373" s="290">
        <f>IF($J373="",#N/A,SUM($T$4:T373))</f>
        <v>13.67185393496869</v>
      </c>
      <c r="V373" s="291" t="str">
        <f t="shared" si="570"/>
        <v/>
      </c>
      <c r="W373" s="291">
        <f>IF($J373="",#N/A,SUM($V$4:V373))</f>
        <v>21.529978193828008</v>
      </c>
      <c r="X373" s="292">
        <f t="shared" si="571"/>
        <v>2.9631866841169203</v>
      </c>
      <c r="Y373" s="292">
        <f>IF($J373="",#N/A,SUM($X$4:X373))</f>
        <v>19.612719811020607</v>
      </c>
      <c r="Z373" s="304" t="str">
        <f t="shared" si="572"/>
        <v/>
      </c>
      <c r="AA373" s="313" t="e">
        <f>IF($J373="",#N/A,SUM(Z$4:Z373))</f>
        <v>#N/A</v>
      </c>
      <c r="AB373" s="314" t="str">
        <f t="shared" si="573"/>
        <v/>
      </c>
      <c r="AC373" s="314" t="e">
        <f>IF($J373="",#N/A,SUM(AB$4:AB373))</f>
        <v>#N/A</v>
      </c>
      <c r="AD373" s="315" t="str">
        <f t="shared" si="574"/>
        <v/>
      </c>
      <c r="AE373" s="315" t="e">
        <f>IF($J373="",#N/A,SUM(AD$4:AD373))</f>
        <v>#N/A</v>
      </c>
      <c r="AF373" s="315" t="e">
        <f>IF($J373="",#N/A,SUM(AD$4:AD373,AB$4:AB373,Z$4:Z373))</f>
        <v>#N/A</v>
      </c>
      <c r="AG373" s="304" t="str">
        <f t="shared" si="575"/>
        <v/>
      </c>
      <c r="AH373" s="313" t="e">
        <f>IF($J373="",#N/A,SUM(AG$4:AG373))</f>
        <v>#N/A</v>
      </c>
      <c r="AI373" s="314" t="str">
        <f t="shared" si="576"/>
        <v/>
      </c>
      <c r="AJ373" s="314" t="e">
        <f>IF($J373="",#N/A,SUM(AI$4:AI373))</f>
        <v>#N/A</v>
      </c>
      <c r="AK373" s="315" t="str">
        <f t="shared" si="577"/>
        <v/>
      </c>
      <c r="AL373" s="315" t="e">
        <f>IF($J373="",#N/A,SUM(AK$4:AK373))</f>
        <v>#N/A</v>
      </c>
      <c r="AM373" s="315" t="e">
        <f>IF($J373="",#N/A,SUM(AK$4:AK373,AI$4:AI373,AG$4:AG373))</f>
        <v>#N/A</v>
      </c>
      <c r="AN373" s="304" t="str">
        <f t="shared" si="578"/>
        <v/>
      </c>
      <c r="AO373" s="313" t="e">
        <f>IF($J373="",#N/A,SUM(AN$4:AN373))</f>
        <v>#N/A</v>
      </c>
      <c r="AP373" s="314" t="str">
        <f t="shared" si="579"/>
        <v/>
      </c>
      <c r="AQ373" s="314" t="e">
        <f>IF($J373="",#N/A,SUM(AP$4:AP373))</f>
        <v>#N/A</v>
      </c>
      <c r="AR373" s="315" t="str">
        <f t="shared" si="580"/>
        <v/>
      </c>
      <c r="AS373" s="315" t="e">
        <f>IF($J373="",#N/A,SUM(AR$4:AR373))</f>
        <v>#N/A</v>
      </c>
      <c r="AT373" s="315" t="e">
        <f>IF($J373="",#N/A,SUM(AR$4:AR373,AP$4:AP373,AN$4:AN373))</f>
        <v>#N/A</v>
      </c>
      <c r="AU373" s="304" t="str">
        <f t="shared" si="581"/>
        <v/>
      </c>
      <c r="AV373" s="313" t="e">
        <f>IF($J373="",#N/A,SUM(AU$4:AU373))</f>
        <v>#N/A</v>
      </c>
      <c r="AW373" s="314" t="str">
        <f t="shared" si="582"/>
        <v/>
      </c>
      <c r="AX373" s="314" t="e">
        <f>IF($J373="",#N/A,SUM(AW$4:AW373))</f>
        <v>#N/A</v>
      </c>
      <c r="AY373" s="315" t="str">
        <f t="shared" si="583"/>
        <v/>
      </c>
      <c r="AZ373" s="315" t="e">
        <f>IF($J373="",#N/A,SUM(AY$4:AY373))</f>
        <v>#N/A</v>
      </c>
      <c r="BA373" s="315" t="e">
        <f>IF($J373="",#N/A,SUM(AY$4:AY373,AW$4:AW373,AU$4:AU373))</f>
        <v>#N/A</v>
      </c>
      <c r="BB373" s="304" t="str">
        <f t="shared" si="584"/>
        <v/>
      </c>
      <c r="BC373" s="313" t="e">
        <f>IF($J373="",#N/A,SUM(BB$4:BB373))</f>
        <v>#N/A</v>
      </c>
      <c r="BD373" s="314" t="str">
        <f t="shared" si="585"/>
        <v/>
      </c>
      <c r="BE373" s="314" t="e">
        <f>IF($J373="",#N/A,SUM(BD$4:BD373))</f>
        <v>#N/A</v>
      </c>
      <c r="BF373" s="315" t="str">
        <f t="shared" si="586"/>
        <v/>
      </c>
      <c r="BG373" s="315" t="e">
        <f>IF($J373="",#N/A,SUM(BF$4:BF373))</f>
        <v>#N/A</v>
      </c>
      <c r="BH373" s="315" t="e">
        <f>IF($J373="",#N/A,SUM(BF$4:BF373,BD$4:BD373,BB$4:BB373))</f>
        <v>#N/A</v>
      </c>
      <c r="BI373" s="304" t="str">
        <f t="shared" si="587"/>
        <v/>
      </c>
      <c r="BJ373" s="313" t="e">
        <f>IF($J373="",#N/A,SUM(BI$4:BI373))</f>
        <v>#N/A</v>
      </c>
      <c r="BK373" s="314" t="str">
        <f t="shared" si="588"/>
        <v/>
      </c>
      <c r="BL373" s="314" t="e">
        <f>IF($J373="",#N/A,SUM(BK$4:BK373))</f>
        <v>#N/A</v>
      </c>
      <c r="BM373" s="315" t="str">
        <f t="shared" si="589"/>
        <v/>
      </c>
      <c r="BN373" s="315" t="e">
        <f>IF($J373="",#N/A,SUM(BM$4:BM373))</f>
        <v>#N/A</v>
      </c>
      <c r="BO373" s="315" t="e">
        <f>IF($J373="",#N/A,SUM(BM$4:BM373,BK$4:BK373,BI$4:BI373))</f>
        <v>#N/A</v>
      </c>
      <c r="BP373" s="304" t="str">
        <f t="shared" si="590"/>
        <v/>
      </c>
      <c r="BQ373" s="313" t="e">
        <f>IF($J373="",#N/A,SUM(BP$4:BP373))</f>
        <v>#N/A</v>
      </c>
      <c r="BR373" s="314" t="str">
        <f t="shared" si="591"/>
        <v/>
      </c>
      <c r="BS373" s="314" t="e">
        <f>IF($J373="",#N/A,SUM(BR$4:BR373))</f>
        <v>#N/A</v>
      </c>
      <c r="BT373" s="315">
        <f t="shared" si="592"/>
        <v>2.9631866841169203</v>
      </c>
      <c r="BU373" s="315" t="e">
        <f>IF($J373="",#N/A,SUM(BT$4:BT373))</f>
        <v>#N/A</v>
      </c>
      <c r="BV373" s="315" t="e">
        <f>IF($J373="",#N/A,SUM(BT$4:BT373,BR$4:BR373,BP$4:BP373))</f>
        <v>#N/A</v>
      </c>
      <c r="BW373" s="304" t="str">
        <f t="shared" si="593"/>
        <v/>
      </c>
      <c r="BX373" s="313" t="e">
        <f>IF($J373="",#N/A,SUM(BW$4:BW373))</f>
        <v>#N/A</v>
      </c>
      <c r="BY373" s="314" t="str">
        <f t="shared" si="594"/>
        <v/>
      </c>
      <c r="BZ373" s="314" t="e">
        <f>IF($J373="",#N/A,SUM(BY$4:BY373))</f>
        <v>#N/A</v>
      </c>
      <c r="CA373" s="315" t="str">
        <f t="shared" si="595"/>
        <v/>
      </c>
      <c r="CB373" s="315" t="e">
        <f>IF($J373="",#N/A,SUM(CA$4:CA373))</f>
        <v>#N/A</v>
      </c>
      <c r="CC373" s="315" t="e">
        <f>IF($J373="",#N/A,SUM(CA$4:CA373,BY$4:BY373,BW$4:BW373))</f>
        <v>#N/A</v>
      </c>
      <c r="CD373" s="304" t="str">
        <f t="shared" si="596"/>
        <v/>
      </c>
      <c r="CE373" s="313" t="e">
        <f>IF($J373="",#N/A,SUM(CD$4:CD373))</f>
        <v>#N/A</v>
      </c>
      <c r="CF373" s="314" t="str">
        <f t="shared" si="597"/>
        <v/>
      </c>
      <c r="CG373" s="314" t="e">
        <f>IF($J373="",#N/A,SUM(CF$4:CF373))</f>
        <v>#N/A</v>
      </c>
      <c r="CH373" s="315" t="str">
        <f t="shared" si="598"/>
        <v/>
      </c>
      <c r="CI373" s="315" t="e">
        <f>IF($J373="",#N/A,SUM(CH$4:CH373))</f>
        <v>#N/A</v>
      </c>
      <c r="CJ373" s="315" t="e">
        <f>IF($J373="",#N/A,SUM(CH$4:CH373,CF$4:CF373,CD$4:CD373))</f>
        <v>#N/A</v>
      </c>
      <c r="CK373" s="304" t="str">
        <f t="shared" si="599"/>
        <v/>
      </c>
      <c r="CL373" s="313" t="e">
        <f>IF($J373="",#N/A,SUM(CK$4:CK373))</f>
        <v>#N/A</v>
      </c>
      <c r="CM373" s="314" t="str">
        <f t="shared" si="600"/>
        <v/>
      </c>
      <c r="CN373" s="314" t="e">
        <f>IF($J373="",#N/A,SUM(CM$4:CM373))</f>
        <v>#N/A</v>
      </c>
      <c r="CO373" s="315" t="str">
        <f t="shared" si="601"/>
        <v/>
      </c>
      <c r="CP373" s="315" t="e">
        <f>IF($J373="",#N/A,SUM(CO$4:CO373))</f>
        <v>#N/A</v>
      </c>
      <c r="CQ373" s="315" t="e">
        <f>IF($J373="",#N/A,SUM(CO$4:CO373,CM$4:CM373,CK$4:CK373))</f>
        <v>#N/A</v>
      </c>
      <c r="CR373" s="304" t="str">
        <f t="shared" si="602"/>
        <v/>
      </c>
      <c r="CS373" s="313" t="e">
        <f>IF($J373="",#N/A,SUM(CR$4:CR373))</f>
        <v>#N/A</v>
      </c>
      <c r="CT373" s="314" t="str">
        <f t="shared" si="603"/>
        <v/>
      </c>
      <c r="CU373" s="314" t="e">
        <f>IF($J373="",#N/A,SUM(CT$4:CT373))</f>
        <v>#N/A</v>
      </c>
      <c r="CV373" s="315" t="str">
        <f t="shared" si="604"/>
        <v/>
      </c>
      <c r="CW373" s="315" t="e">
        <f>IF($J373="",#N/A,SUM(CV$4:CV373))</f>
        <v>#N/A</v>
      </c>
      <c r="CX373" s="315" t="e">
        <f>IF($J373="",#N/A,SUM(CV$4:CV373,CT$4:CT373,CR$4:CR373))</f>
        <v>#N/A</v>
      </c>
      <c r="CY373" s="304" t="str">
        <f t="shared" si="605"/>
        <v/>
      </c>
      <c r="CZ373" s="313" t="e">
        <f>IF($J373="",#N/A,SUM(CY$4:CY373))</f>
        <v>#N/A</v>
      </c>
      <c r="DA373" s="314" t="str">
        <f t="shared" si="606"/>
        <v/>
      </c>
      <c r="DB373" s="314" t="e">
        <f>IF($J373="",#N/A,SUM(DA$4:DA373))</f>
        <v>#N/A</v>
      </c>
      <c r="DC373" s="315" t="str">
        <f t="shared" si="607"/>
        <v/>
      </c>
      <c r="DD373" s="315" t="e">
        <f>IF($J373="",#N/A,SUM(DC$4:DC373))</f>
        <v>#N/A</v>
      </c>
      <c r="DE373" s="315" t="e">
        <f>IF($J373="",#N/A,SUM(DC$4:DC373,DA$4:DA373,CY$4:CY373))</f>
        <v>#N/A</v>
      </c>
      <c r="DF373" s="304" t="str">
        <f t="shared" si="608"/>
        <v/>
      </c>
      <c r="DG373" s="313" t="e">
        <f>IF($J373="",#N/A,SUM(DF$4:DF373))</f>
        <v>#N/A</v>
      </c>
      <c r="DH373" s="314" t="str">
        <f t="shared" si="609"/>
        <v/>
      </c>
      <c r="DI373" s="314" t="e">
        <f>IF($J373="",#N/A,SUM(DH$4:DH373))</f>
        <v>#N/A</v>
      </c>
      <c r="DJ373" s="315" t="str">
        <f t="shared" si="610"/>
        <v/>
      </c>
      <c r="DK373" s="315" t="e">
        <f>IF($J373="",#N/A,SUM(DJ$4:DJ373))</f>
        <v>#N/A</v>
      </c>
      <c r="DL373" s="315" t="e">
        <f>IF($J373="",#N/A,SUM(DJ$4:DJ373,DH$4:DH373,DF$4:DF373))</f>
        <v>#N/A</v>
      </c>
      <c r="DM373" s="304" t="str">
        <f t="shared" si="611"/>
        <v/>
      </c>
      <c r="DN373" s="313" t="e">
        <f>IF($J373="",#N/A,SUM(DM$4:DM373))</f>
        <v>#N/A</v>
      </c>
      <c r="DO373" s="314" t="str">
        <f t="shared" si="612"/>
        <v/>
      </c>
      <c r="DP373" s="314" t="e">
        <f>IF($J373="",#N/A,SUM(DO$4:DO373))</f>
        <v>#N/A</v>
      </c>
      <c r="DQ373" s="315" t="str">
        <f t="shared" si="613"/>
        <v/>
      </c>
      <c r="DR373" s="315" t="e">
        <f>IF($J373="",#N/A,SUM(DQ$4:DQ373))</f>
        <v>#N/A</v>
      </c>
      <c r="DS373" s="315" t="e">
        <f>IF($J373="",#N/A,SUM(DQ$4:DQ373,DO$4:DO373,DM$4:DM373))</f>
        <v>#N/A</v>
      </c>
      <c r="DT373" s="304" t="str">
        <f t="shared" si="614"/>
        <v/>
      </c>
      <c r="DU373" s="313" t="e">
        <f>IF($J373="",#N/A,SUM(DT$4:DT373))</f>
        <v>#N/A</v>
      </c>
      <c r="DV373" s="314" t="str">
        <f t="shared" si="615"/>
        <v/>
      </c>
      <c r="DW373" s="314" t="e">
        <f>IF($J373="",#N/A,SUM(DV$4:DV373))</f>
        <v>#N/A</v>
      </c>
      <c r="DX373" s="315" t="str">
        <f t="shared" si="616"/>
        <v/>
      </c>
      <c r="DY373" s="315" t="e">
        <f>IF($J373="",#N/A,SUM(DX$4:DX373))</f>
        <v>#N/A</v>
      </c>
      <c r="DZ373" s="315" t="e">
        <f>IF($J373="",#N/A,SUM(DX$4:DX373,DV$4:DV373,DT$4:DT373))</f>
        <v>#N/A</v>
      </c>
      <c r="EA373" s="304" t="str">
        <f t="shared" si="617"/>
        <v/>
      </c>
      <c r="EB373" s="313" t="e">
        <f>IF($J373="",#N/A,SUM(EA$4:EA373))</f>
        <v>#N/A</v>
      </c>
      <c r="EC373" s="314" t="str">
        <f t="shared" si="618"/>
        <v/>
      </c>
      <c r="ED373" s="314" t="e">
        <f>IF($J373="",#N/A,SUM(EC$4:EC373))</f>
        <v>#N/A</v>
      </c>
      <c r="EE373" s="315" t="str">
        <f t="shared" si="619"/>
        <v/>
      </c>
      <c r="EF373" s="315" t="e">
        <f>IF($J373="",#N/A,SUM(EE$4:EE373))</f>
        <v>#N/A</v>
      </c>
      <c r="EG373" s="315" t="e">
        <f>IF($J373="",#N/A,SUM(EE$4:EE373,EC$4:EC373,EA$4:EA373))</f>
        <v>#N/A</v>
      </c>
      <c r="EH373" s="130">
        <f t="shared" si="620"/>
        <v>264.90000000000032</v>
      </c>
      <c r="EI373" s="63">
        <f>IF(EH373="",#N/A,SUM($EH$4:EH373))</f>
        <v>1340.3790485895449</v>
      </c>
      <c r="EJ373" s="223" t="e">
        <f t="shared" si="621"/>
        <v>#N/A</v>
      </c>
      <c r="EK373" s="63" t="e">
        <f>IF($GZ373="",#N/A,SUM(EJ$4:EJ373))</f>
        <v>#N/A</v>
      </c>
      <c r="EL373" s="60">
        <f t="shared" si="651"/>
        <v>2.9631866841169203</v>
      </c>
      <c r="EM373" s="60">
        <f>IF(EL373="",NA(),SUM($EL$4:EL373))</f>
        <v>28.871748916034882</v>
      </c>
      <c r="EN373" s="60" t="str">
        <f t="shared" si="622"/>
        <v/>
      </c>
      <c r="EO373" s="60" t="e">
        <f>IF(EN373="",NA(),SUM($EN$4:EN373))</f>
        <v>#N/A</v>
      </c>
      <c r="EP373" s="60">
        <f t="shared" si="623"/>
        <v>2.9631866841169203</v>
      </c>
      <c r="EQ373" s="60">
        <f>IF(EP373="",NA(),SUM($EP$4:EP373))</f>
        <v>11.949831020735713</v>
      </c>
      <c r="ER373" s="60" t="str">
        <f t="shared" si="624"/>
        <v/>
      </c>
      <c r="ES373" s="60" t="e">
        <f>IF(ER373="",NA(),SUM($ER$4:ER373))</f>
        <v>#N/A</v>
      </c>
      <c r="ET373" s="60" t="str">
        <f t="shared" si="625"/>
        <v/>
      </c>
      <c r="EU373" s="60" t="e">
        <f>IF(ET373="",NA(),SUM($ET$4:ET373))</f>
        <v>#N/A</v>
      </c>
      <c r="EV373" s="60" t="str">
        <f t="shared" si="626"/>
        <v/>
      </c>
      <c r="EW373" s="60" t="e">
        <f>IF(EV373="",NA(),SUM($EV$4:EV373))</f>
        <v>#N/A</v>
      </c>
      <c r="EX373" s="60" t="str">
        <f t="shared" si="627"/>
        <v/>
      </c>
      <c r="EY373" s="60" t="e">
        <f>IF(EX373="",NA(),SUM($EX$4:EX373))</f>
        <v>#N/A</v>
      </c>
      <c r="EZ373" s="60" t="str">
        <f t="shared" si="628"/>
        <v/>
      </c>
      <c r="FA373" s="60" t="e">
        <f>IF(EZ373="",NA(),SUM($EZ$4:EZ373))</f>
        <v>#N/A</v>
      </c>
      <c r="FB373" s="246" t="str">
        <f t="shared" si="652"/>
        <v/>
      </c>
      <c r="FC373" s="246" t="e">
        <f>IF($FB373="",#N/A,SUM(FB$4:$FB373))</f>
        <v>#N/A</v>
      </c>
      <c r="FD373" s="60" t="str">
        <f t="shared" si="629"/>
        <v/>
      </c>
      <c r="FE373" s="60" t="e">
        <f>IF($FD373="",#N/A,SUM($FD$4:FD373))</f>
        <v>#N/A</v>
      </c>
      <c r="FF373" s="60" t="str">
        <f t="shared" si="630"/>
        <v/>
      </c>
      <c r="FG373" s="60" t="e">
        <f>IF($FF373="",#N/A,SUM($FF$4:FF373))</f>
        <v>#N/A</v>
      </c>
      <c r="FH373" s="60" t="str">
        <f t="shared" si="631"/>
        <v/>
      </c>
      <c r="FI373" s="60" t="e">
        <f>IF($FH373="",#N/A,SUM($FH$4:FH373))</f>
        <v>#N/A</v>
      </c>
      <c r="FJ373" s="60">
        <f t="shared" si="632"/>
        <v>-0.42115507231786653</v>
      </c>
      <c r="FK373" s="60">
        <f>IF($FJ373="",#N/A,SUM($FJ$4:FJ373))</f>
        <v>-1.4410122650650212</v>
      </c>
      <c r="FL373" s="60" t="str">
        <f t="shared" si="633"/>
        <v/>
      </c>
      <c r="FM373" s="60" t="e">
        <f>IF($FL373="",#N/A,SUM($FL$4:FL373))</f>
        <v>#N/A</v>
      </c>
      <c r="FN373" s="82">
        <f t="shared" si="634"/>
        <v>2.5420316117990538</v>
      </c>
      <c r="FO373" s="82">
        <f>IF($FN373="",#N/A,SUM(FN$4:$FN373))</f>
        <v>46.359135286572545</v>
      </c>
      <c r="FP373" s="82">
        <f t="shared" si="653"/>
        <v>2.9631866841169203</v>
      </c>
      <c r="FQ373" s="246">
        <f>IF($EH373="",#N/A,SUM($FP$4:FP373))</f>
        <v>54.814551939817278</v>
      </c>
      <c r="FR373" s="82">
        <f>IFERROR(FQ373/COUNTA($J$4:J373),#N/A)</f>
        <v>0.14814743767518182</v>
      </c>
      <c r="FS373" s="82">
        <f t="shared" si="554"/>
        <v>3.210201140739713E-2</v>
      </c>
      <c r="FT373" s="82">
        <f t="shared" si="555"/>
        <v>2.616688016732752E-2</v>
      </c>
      <c r="FU373" s="338">
        <f t="shared" si="660"/>
        <v>28.505696000520814</v>
      </c>
      <c r="FV373" s="57" t="str">
        <f t="shared" si="659"/>
        <v>SW</v>
      </c>
      <c r="FW373" s="57" t="s">
        <v>2732</v>
      </c>
      <c r="FX373" s="57" t="str">
        <f t="shared" si="635"/>
        <v/>
      </c>
      <c r="FY373" s="57" t="str">
        <f t="shared" si="636"/>
        <v/>
      </c>
      <c r="FZ373" s="57">
        <f t="shared" si="637"/>
        <v>1</v>
      </c>
      <c r="GA373" s="57" t="str">
        <f t="shared" si="638"/>
        <v>Long</v>
      </c>
      <c r="GB373" s="57" t="str">
        <f t="shared" si="639"/>
        <v/>
      </c>
      <c r="GC373" s="57" t="str">
        <f t="shared" si="640"/>
        <v/>
      </c>
      <c r="GD373" s="57" t="str">
        <f t="shared" si="641"/>
        <v/>
      </c>
      <c r="GE373" s="62">
        <f t="shared" si="557"/>
        <v>496.65</v>
      </c>
      <c r="GF373" s="62" t="s">
        <v>2779</v>
      </c>
      <c r="GG373" s="199">
        <v>3</v>
      </c>
      <c r="GH373" s="207">
        <f t="shared" si="642"/>
        <v>1489.9499999999998</v>
      </c>
      <c r="GI373" s="199">
        <v>3</v>
      </c>
      <c r="GJ373" s="200">
        <v>584.95000000000005</v>
      </c>
      <c r="GK373" s="63">
        <f t="shared" si="643"/>
        <v>264.90000000000032</v>
      </c>
      <c r="GL373" s="63">
        <f t="shared" si="558"/>
        <v>227.25</v>
      </c>
      <c r="GM373" s="82">
        <f t="shared" si="644"/>
        <v>2.5420316117990538</v>
      </c>
      <c r="GN373" s="82">
        <f>IF($GZ373="",#N/A,SUM(GM$4:GM373))</f>
        <v>12.951313754159058</v>
      </c>
      <c r="GO373" s="82" t="str">
        <f t="shared" si="645"/>
        <v/>
      </c>
      <c r="GP373" s="82">
        <f>IF($GZ373="",#N/A,SUM(GO$4:GO373))</f>
        <v>6.0037363150047494</v>
      </c>
      <c r="GQ373" s="82" t="str">
        <f t="shared" si="646"/>
        <v/>
      </c>
      <c r="GR373" s="82">
        <f>IF($GZ373="",#N/A,SUM(GQ$4:GQ373))</f>
        <v>26.7782482629664</v>
      </c>
      <c r="GS373" s="63" t="e">
        <f t="shared" si="654"/>
        <v>#N/A</v>
      </c>
      <c r="GT373" s="63" t="e">
        <f>IF($GZ373="",#N/A,SUM(GS$4:GS373))</f>
        <v>#N/A</v>
      </c>
      <c r="GU373" s="63" t="str">
        <f t="shared" si="655"/>
        <v/>
      </c>
      <c r="GV373" s="63" t="e">
        <f>IF($GZ373="",#N/A,SUM(GU$4:GU373))</f>
        <v>#N/A</v>
      </c>
      <c r="GW373" s="63" t="str">
        <f t="shared" si="656"/>
        <v/>
      </c>
      <c r="GX373" s="63" t="e">
        <f>IF($GZ373="",#N/A,SUM(GW$4:GW373))</f>
        <v>#N/A</v>
      </c>
      <c r="GY373" s="63" t="e">
        <f>IF(EJ373="",#N/A,SUM($EJ$4:EJ373))</f>
        <v>#N/A</v>
      </c>
      <c r="GZ373" s="159">
        <v>572.4</v>
      </c>
      <c r="HA373" s="63">
        <f t="shared" si="647"/>
        <v>-37.650000000000318</v>
      </c>
      <c r="HB373" s="62" t="s">
        <v>2538</v>
      </c>
      <c r="HC373" s="60">
        <f>IFERROR(VLOOKUP(E373,Expectancy!$P$4:$S$19,1+C373,FALSE),"")</f>
        <v>2.40735201201209E-2</v>
      </c>
      <c r="HD373" s="82">
        <f t="shared" si="648"/>
        <v>2.9631866841169203</v>
      </c>
      <c r="HE373" s="138">
        <f>IF(HD373="",#N/A,SUM($HD$4:HD373))</f>
        <v>11.778855939296461</v>
      </c>
      <c r="HF373" s="85">
        <f>IF(HD373="",#N/A,IF(HB373="Skip",#N/A,SUM($HG$4:HG373)))</f>
        <v>433.02157921915546</v>
      </c>
      <c r="HG373" s="63">
        <f t="shared" si="649"/>
        <v>264.90000000000032</v>
      </c>
      <c r="HH373" s="82">
        <f t="shared" si="650"/>
        <v>2.5420316117990538</v>
      </c>
    </row>
    <row r="374" spans="1:216" x14ac:dyDescent="0.25">
      <c r="A374" s="57" t="s">
        <v>1537</v>
      </c>
      <c r="B374" s="58" t="str" cm="1">
        <f t="array" ref="B374">IFERROR(_xlfn.XLOOKUP(A374,Earnings!$B$2:$B$9985,LEFT(Earnings!$C$2:$C$9985,37)),"Can't Find Date***")</f>
        <v>on 2/25/25, 4:05 PM After Market East</v>
      </c>
      <c r="C374" s="386">
        <f t="shared" si="561"/>
        <v>2</v>
      </c>
      <c r="D374" s="372" t="str">
        <f>_xlfn.XLOOKUP(A374,[1]SP500!$A$2:$A$502,[1]SP500!$D$2:$D$502,"N")</f>
        <v>Y</v>
      </c>
      <c r="E374" s="57" t="str">
        <f>_xlfn.XLOOKUP(A374,[1]SP500!$A$2:$A$655,[1]SP500!$B$2:$B$655)</f>
        <v>XLK</v>
      </c>
      <c r="F374" s="59">
        <v>45713</v>
      </c>
      <c r="G374" s="57" t="str">
        <f t="shared" si="562"/>
        <v>AMC</v>
      </c>
      <c r="H374" s="57" t="str">
        <f t="shared" si="563"/>
        <v>s</v>
      </c>
      <c r="I374" s="159">
        <v>147.46</v>
      </c>
      <c r="J374" s="159">
        <v>154.655</v>
      </c>
      <c r="K374" s="61">
        <f t="shared" si="564"/>
        <v>4.8792892987928882E-2</v>
      </c>
      <c r="L374" s="87">
        <f t="shared" si="565"/>
        <v>-79.144999999999754</v>
      </c>
      <c r="M374" s="130">
        <f t="shared" si="556"/>
        <v>-3.7950000000000728</v>
      </c>
      <c r="N374" s="169" t="str">
        <f t="shared" si="566"/>
        <v/>
      </c>
      <c r="O374" s="169">
        <f>IF($J374="",#N/A,SUM($N$4:N374))</f>
        <v>-5.3532806457756124</v>
      </c>
      <c r="P374" s="174">
        <f t="shared" si="567"/>
        <v>-79.144999999999754</v>
      </c>
      <c r="Q374" s="174">
        <f>IF($J374="",#N/A,SUM($P$4:P374))</f>
        <v>116.53499224504333</v>
      </c>
      <c r="R374" s="178" t="str">
        <f t="shared" si="568"/>
        <v/>
      </c>
      <c r="S374" s="178">
        <f>IF($J374="",#N/A,SUM($R$4:R374))</f>
        <v>1150.0523369902774</v>
      </c>
      <c r="T374" s="290" t="str">
        <f t="shared" si="569"/>
        <v/>
      </c>
      <c r="U374" s="290">
        <f>IF($J374="",#N/A,SUM($T$4:T374))</f>
        <v>13.67185393496869</v>
      </c>
      <c r="V374" s="291">
        <f t="shared" si="570"/>
        <v>-0.81321488313214618</v>
      </c>
      <c r="W374" s="291">
        <f>IF($J374="",#N/A,SUM($V$4:V374))</f>
        <v>20.71676331069586</v>
      </c>
      <c r="X374" s="292" t="str">
        <f t="shared" si="571"/>
        <v/>
      </c>
      <c r="Y374" s="292">
        <f>IF($J374="",#N/A,SUM($X$4:X374))</f>
        <v>19.612719811020607</v>
      </c>
      <c r="Z374" s="304" t="str">
        <f t="shared" si="572"/>
        <v/>
      </c>
      <c r="AA374" s="313" t="e">
        <f>IF($J374="",#N/A,SUM(Z$4:Z374))</f>
        <v>#N/A</v>
      </c>
      <c r="AB374" s="314">
        <f t="shared" si="573"/>
        <v>-0.81321488313214618</v>
      </c>
      <c r="AC374" s="314" t="e">
        <f>IF($J374="",#N/A,SUM(AB$4:AB374))</f>
        <v>#N/A</v>
      </c>
      <c r="AD374" s="315" t="str">
        <f t="shared" si="574"/>
        <v/>
      </c>
      <c r="AE374" s="315" t="e">
        <f>IF($J374="",#N/A,SUM(AD$4:AD374))</f>
        <v>#N/A</v>
      </c>
      <c r="AF374" s="315" t="e">
        <f>IF($J374="",#N/A,SUM(AD$4:AD374,AB$4:AB374,Z$4:Z374))</f>
        <v>#N/A</v>
      </c>
      <c r="AG374" s="304" t="str">
        <f t="shared" si="575"/>
        <v/>
      </c>
      <c r="AH374" s="313" t="e">
        <f>IF($J374="",#N/A,SUM(AG$4:AG374))</f>
        <v>#N/A</v>
      </c>
      <c r="AI374" s="314" t="str">
        <f t="shared" si="576"/>
        <v/>
      </c>
      <c r="AJ374" s="314" t="e">
        <f>IF($J374="",#N/A,SUM(AI$4:AI374))</f>
        <v>#N/A</v>
      </c>
      <c r="AK374" s="315" t="str">
        <f t="shared" si="577"/>
        <v/>
      </c>
      <c r="AL374" s="315" t="e">
        <f>IF($J374="",#N/A,SUM(AK$4:AK374))</f>
        <v>#N/A</v>
      </c>
      <c r="AM374" s="315" t="e">
        <f>IF($J374="",#N/A,SUM(AK$4:AK374,AI$4:AI374,AG$4:AG374))</f>
        <v>#N/A</v>
      </c>
      <c r="AN374" s="304" t="str">
        <f t="shared" si="578"/>
        <v/>
      </c>
      <c r="AO374" s="313" t="e">
        <f>IF($J374="",#N/A,SUM(AN$4:AN374))</f>
        <v>#N/A</v>
      </c>
      <c r="AP374" s="314" t="str">
        <f t="shared" si="579"/>
        <v/>
      </c>
      <c r="AQ374" s="314" t="e">
        <f>IF($J374="",#N/A,SUM(AP$4:AP374))</f>
        <v>#N/A</v>
      </c>
      <c r="AR374" s="315" t="str">
        <f t="shared" si="580"/>
        <v/>
      </c>
      <c r="AS374" s="315" t="e">
        <f>IF($J374="",#N/A,SUM(AR$4:AR374))</f>
        <v>#N/A</v>
      </c>
      <c r="AT374" s="315" t="e">
        <f>IF($J374="",#N/A,SUM(AR$4:AR374,AP$4:AP374,AN$4:AN374))</f>
        <v>#N/A</v>
      </c>
      <c r="AU374" s="304" t="str">
        <f t="shared" si="581"/>
        <v/>
      </c>
      <c r="AV374" s="313" t="e">
        <f>IF($J374="",#N/A,SUM(AU$4:AU374))</f>
        <v>#N/A</v>
      </c>
      <c r="AW374" s="314" t="str">
        <f t="shared" si="582"/>
        <v/>
      </c>
      <c r="AX374" s="314" t="e">
        <f>IF($J374="",#N/A,SUM(AW$4:AW374))</f>
        <v>#N/A</v>
      </c>
      <c r="AY374" s="315" t="str">
        <f t="shared" si="583"/>
        <v/>
      </c>
      <c r="AZ374" s="315" t="e">
        <f>IF($J374="",#N/A,SUM(AY$4:AY374))</f>
        <v>#N/A</v>
      </c>
      <c r="BA374" s="315" t="e">
        <f>IF($J374="",#N/A,SUM(AY$4:AY374,AW$4:AW374,AU$4:AU374))</f>
        <v>#N/A</v>
      </c>
      <c r="BB374" s="304" t="str">
        <f t="shared" si="584"/>
        <v/>
      </c>
      <c r="BC374" s="313" t="e">
        <f>IF($J374="",#N/A,SUM(BB$4:BB374))</f>
        <v>#N/A</v>
      </c>
      <c r="BD374" s="314" t="str">
        <f t="shared" si="585"/>
        <v/>
      </c>
      <c r="BE374" s="314" t="e">
        <f>IF($J374="",#N/A,SUM(BD$4:BD374))</f>
        <v>#N/A</v>
      </c>
      <c r="BF374" s="315" t="str">
        <f t="shared" si="586"/>
        <v/>
      </c>
      <c r="BG374" s="315" t="e">
        <f>IF($J374="",#N/A,SUM(BF$4:BF374))</f>
        <v>#N/A</v>
      </c>
      <c r="BH374" s="315" t="e">
        <f>IF($J374="",#N/A,SUM(BF$4:BF374,BD$4:BD374,BB$4:BB374))</f>
        <v>#N/A</v>
      </c>
      <c r="BI374" s="304" t="str">
        <f t="shared" si="587"/>
        <v/>
      </c>
      <c r="BJ374" s="313" t="e">
        <f>IF($J374="",#N/A,SUM(BI$4:BI374))</f>
        <v>#N/A</v>
      </c>
      <c r="BK374" s="314" t="str">
        <f t="shared" si="588"/>
        <v/>
      </c>
      <c r="BL374" s="314" t="e">
        <f>IF($J374="",#N/A,SUM(BK$4:BK374))</f>
        <v>#N/A</v>
      </c>
      <c r="BM374" s="315" t="str">
        <f t="shared" si="589"/>
        <v/>
      </c>
      <c r="BN374" s="315" t="e">
        <f>IF($J374="",#N/A,SUM(BM$4:BM374))</f>
        <v>#N/A</v>
      </c>
      <c r="BO374" s="315" t="e">
        <f>IF($J374="",#N/A,SUM(BM$4:BM374,BK$4:BK374,BI$4:BI374))</f>
        <v>#N/A</v>
      </c>
      <c r="BP374" s="304" t="str">
        <f t="shared" si="590"/>
        <v/>
      </c>
      <c r="BQ374" s="313" t="e">
        <f>IF($J374="",#N/A,SUM(BP$4:BP374))</f>
        <v>#N/A</v>
      </c>
      <c r="BR374" s="314" t="str">
        <f t="shared" si="591"/>
        <v/>
      </c>
      <c r="BS374" s="314" t="e">
        <f>IF($J374="",#N/A,SUM(BR$4:BR374))</f>
        <v>#N/A</v>
      </c>
      <c r="BT374" s="315" t="str">
        <f t="shared" si="592"/>
        <v/>
      </c>
      <c r="BU374" s="315" t="e">
        <f>IF($J374="",#N/A,SUM(BT$4:BT374))</f>
        <v>#N/A</v>
      </c>
      <c r="BV374" s="315" t="e">
        <f>IF($J374="",#N/A,SUM(BT$4:BT374,BR$4:BR374,BP$4:BP374))</f>
        <v>#N/A</v>
      </c>
      <c r="BW374" s="304" t="str">
        <f t="shared" si="593"/>
        <v/>
      </c>
      <c r="BX374" s="313" t="e">
        <f>IF($J374="",#N/A,SUM(BW$4:BW374))</f>
        <v>#N/A</v>
      </c>
      <c r="BY374" s="314" t="str">
        <f t="shared" si="594"/>
        <v/>
      </c>
      <c r="BZ374" s="314" t="e">
        <f>IF($J374="",#N/A,SUM(BY$4:BY374))</f>
        <v>#N/A</v>
      </c>
      <c r="CA374" s="315" t="str">
        <f t="shared" si="595"/>
        <v/>
      </c>
      <c r="CB374" s="315" t="e">
        <f>IF($J374="",#N/A,SUM(CA$4:CA374))</f>
        <v>#N/A</v>
      </c>
      <c r="CC374" s="315" t="e">
        <f>IF($J374="",#N/A,SUM(CA$4:CA374,BY$4:BY374,BW$4:BW374))</f>
        <v>#N/A</v>
      </c>
      <c r="CD374" s="304" t="str">
        <f t="shared" si="596"/>
        <v/>
      </c>
      <c r="CE374" s="313" t="e">
        <f>IF($J374="",#N/A,SUM(CD$4:CD374))</f>
        <v>#N/A</v>
      </c>
      <c r="CF374" s="314" t="str">
        <f t="shared" si="597"/>
        <v/>
      </c>
      <c r="CG374" s="314" t="e">
        <f>IF($J374="",#N/A,SUM(CF$4:CF374))</f>
        <v>#N/A</v>
      </c>
      <c r="CH374" s="315" t="str">
        <f t="shared" si="598"/>
        <v/>
      </c>
      <c r="CI374" s="315" t="e">
        <f>IF($J374="",#N/A,SUM(CH$4:CH374))</f>
        <v>#N/A</v>
      </c>
      <c r="CJ374" s="315" t="e">
        <f>IF($J374="",#N/A,SUM(CH$4:CH374,CF$4:CF374,CD$4:CD374))</f>
        <v>#N/A</v>
      </c>
      <c r="CK374" s="304" t="str">
        <f t="shared" si="599"/>
        <v/>
      </c>
      <c r="CL374" s="313" t="e">
        <f>IF($J374="",#N/A,SUM(CK$4:CK374))</f>
        <v>#N/A</v>
      </c>
      <c r="CM374" s="314" t="str">
        <f t="shared" si="600"/>
        <v/>
      </c>
      <c r="CN374" s="314" t="e">
        <f>IF($J374="",#N/A,SUM(CM$4:CM374))</f>
        <v>#N/A</v>
      </c>
      <c r="CO374" s="315" t="str">
        <f t="shared" si="601"/>
        <v/>
      </c>
      <c r="CP374" s="315" t="e">
        <f>IF($J374="",#N/A,SUM(CO$4:CO374))</f>
        <v>#N/A</v>
      </c>
      <c r="CQ374" s="315" t="e">
        <f>IF($J374="",#N/A,SUM(CO$4:CO374,CM$4:CM374,CK$4:CK374))</f>
        <v>#N/A</v>
      </c>
      <c r="CR374" s="304" t="str">
        <f t="shared" si="602"/>
        <v/>
      </c>
      <c r="CS374" s="313" t="e">
        <f>IF($J374="",#N/A,SUM(CR$4:CR374))</f>
        <v>#N/A</v>
      </c>
      <c r="CT374" s="314" t="str">
        <f t="shared" si="603"/>
        <v/>
      </c>
      <c r="CU374" s="314" t="e">
        <f>IF($J374="",#N/A,SUM(CT$4:CT374))</f>
        <v>#N/A</v>
      </c>
      <c r="CV374" s="315" t="str">
        <f t="shared" si="604"/>
        <v/>
      </c>
      <c r="CW374" s="315" t="e">
        <f>IF($J374="",#N/A,SUM(CV$4:CV374))</f>
        <v>#N/A</v>
      </c>
      <c r="CX374" s="315" t="e">
        <f>IF($J374="",#N/A,SUM(CV$4:CV374,CT$4:CT374,CR$4:CR374))</f>
        <v>#N/A</v>
      </c>
      <c r="CY374" s="304" t="str">
        <f t="shared" si="605"/>
        <v/>
      </c>
      <c r="CZ374" s="313" t="e">
        <f>IF($J374="",#N/A,SUM(CY$4:CY374))</f>
        <v>#N/A</v>
      </c>
      <c r="DA374" s="314" t="str">
        <f t="shared" si="606"/>
        <v/>
      </c>
      <c r="DB374" s="314" t="e">
        <f>IF($J374="",#N/A,SUM(DA$4:DA374))</f>
        <v>#N/A</v>
      </c>
      <c r="DC374" s="315" t="str">
        <f t="shared" si="607"/>
        <v/>
      </c>
      <c r="DD374" s="315" t="e">
        <f>IF($J374="",#N/A,SUM(DC$4:DC374))</f>
        <v>#N/A</v>
      </c>
      <c r="DE374" s="315" t="e">
        <f>IF($J374="",#N/A,SUM(DC$4:DC374,DA$4:DA374,CY$4:CY374))</f>
        <v>#N/A</v>
      </c>
      <c r="DF374" s="304" t="str">
        <f t="shared" si="608"/>
        <v/>
      </c>
      <c r="DG374" s="313" t="e">
        <f>IF($J374="",#N/A,SUM(DF$4:DF374))</f>
        <v>#N/A</v>
      </c>
      <c r="DH374" s="314" t="str">
        <f t="shared" si="609"/>
        <v/>
      </c>
      <c r="DI374" s="314" t="e">
        <f>IF($J374="",#N/A,SUM(DH$4:DH374))</f>
        <v>#N/A</v>
      </c>
      <c r="DJ374" s="315" t="str">
        <f t="shared" si="610"/>
        <v/>
      </c>
      <c r="DK374" s="315" t="e">
        <f>IF($J374="",#N/A,SUM(DJ$4:DJ374))</f>
        <v>#N/A</v>
      </c>
      <c r="DL374" s="315" t="e">
        <f>IF($J374="",#N/A,SUM(DJ$4:DJ374,DH$4:DH374,DF$4:DF374))</f>
        <v>#N/A</v>
      </c>
      <c r="DM374" s="304" t="str">
        <f t="shared" si="611"/>
        <v/>
      </c>
      <c r="DN374" s="313" t="e">
        <f>IF($J374="",#N/A,SUM(DM$4:DM374))</f>
        <v>#N/A</v>
      </c>
      <c r="DO374" s="314" t="str">
        <f t="shared" si="612"/>
        <v/>
      </c>
      <c r="DP374" s="314" t="e">
        <f>IF($J374="",#N/A,SUM(DO$4:DO374))</f>
        <v>#N/A</v>
      </c>
      <c r="DQ374" s="315" t="str">
        <f t="shared" si="613"/>
        <v/>
      </c>
      <c r="DR374" s="315" t="e">
        <f>IF($J374="",#N/A,SUM(DQ$4:DQ374))</f>
        <v>#N/A</v>
      </c>
      <c r="DS374" s="315" t="e">
        <f>IF($J374="",#N/A,SUM(DQ$4:DQ374,DO$4:DO374,DM$4:DM374))</f>
        <v>#N/A</v>
      </c>
      <c r="DT374" s="304" t="str">
        <f t="shared" si="614"/>
        <v/>
      </c>
      <c r="DU374" s="313" t="e">
        <f>IF($J374="",#N/A,SUM(DT$4:DT374))</f>
        <v>#N/A</v>
      </c>
      <c r="DV374" s="314" t="str">
        <f t="shared" si="615"/>
        <v/>
      </c>
      <c r="DW374" s="314" t="e">
        <f>IF($J374="",#N/A,SUM(DV$4:DV374))</f>
        <v>#N/A</v>
      </c>
      <c r="DX374" s="315" t="str">
        <f t="shared" si="616"/>
        <v/>
      </c>
      <c r="DY374" s="315" t="e">
        <f>IF($J374="",#N/A,SUM(DX$4:DX374))</f>
        <v>#N/A</v>
      </c>
      <c r="DZ374" s="315" t="e">
        <f>IF($J374="",#N/A,SUM(DX$4:DX374,DV$4:DV374,DT$4:DT374))</f>
        <v>#N/A</v>
      </c>
      <c r="EA374" s="304" t="str">
        <f t="shared" si="617"/>
        <v/>
      </c>
      <c r="EB374" s="313" t="e">
        <f>IF($J374="",#N/A,SUM(EA$4:EA374))</f>
        <v>#N/A</v>
      </c>
      <c r="EC374" s="314" t="str">
        <f t="shared" si="618"/>
        <v/>
      </c>
      <c r="ED374" s="314" t="e">
        <f>IF($J374="",#N/A,SUM(EC$4:EC374))</f>
        <v>#N/A</v>
      </c>
      <c r="EE374" s="315" t="str">
        <f t="shared" si="619"/>
        <v/>
      </c>
      <c r="EF374" s="315" t="e">
        <f>IF($J374="",#N/A,SUM(EE$4:EE374))</f>
        <v>#N/A</v>
      </c>
      <c r="EG374" s="315" t="e">
        <f>IF($J374="",#N/A,SUM(EE$4:EE374,EC$4:EC374,EA$4:EA374))</f>
        <v>#N/A</v>
      </c>
      <c r="EH374" s="130">
        <f t="shared" si="620"/>
        <v>-79.144999999999754</v>
      </c>
      <c r="EI374" s="63">
        <f>IF(EH374="",#N/A,SUM($EH$4:EH374))</f>
        <v>1261.2340485895452</v>
      </c>
      <c r="EJ374" s="223" t="e">
        <f t="shared" si="621"/>
        <v>#N/A</v>
      </c>
      <c r="EK374" s="63" t="e">
        <f>IF($GZ374="",#N/A,SUM(EJ$4:EJ374))</f>
        <v>#N/A</v>
      </c>
      <c r="EL374" s="60">
        <f t="shared" si="651"/>
        <v>-0.81321488313214618</v>
      </c>
      <c r="EM374" s="60">
        <f>IF(EL374="",NA(),SUM($EL$4:EL374))</f>
        <v>28.058534032902735</v>
      </c>
      <c r="EN374" s="60" t="str">
        <f t="shared" si="622"/>
        <v/>
      </c>
      <c r="EO374" s="60" t="e">
        <f>IF(EN374="",NA(),SUM($EN$4:EN374))</f>
        <v>#N/A</v>
      </c>
      <c r="EP374" s="60" t="str">
        <f t="shared" si="623"/>
        <v/>
      </c>
      <c r="EQ374" s="60" t="e">
        <f>IF(EP374="",NA(),SUM($EP$4:EP374))</f>
        <v>#N/A</v>
      </c>
      <c r="ER374" s="60">
        <f t="shared" si="624"/>
        <v>-0.81321488313214618</v>
      </c>
      <c r="ES374" s="60">
        <f>IF(ER374="",NA(),SUM($ER$4:ER374))</f>
        <v>7.9369513264143512</v>
      </c>
      <c r="ET374" s="60" t="str">
        <f t="shared" si="625"/>
        <v/>
      </c>
      <c r="EU374" s="60" t="e">
        <f>IF(ET374="",NA(),SUM($ET$4:ET374))</f>
        <v>#N/A</v>
      </c>
      <c r="EV374" s="60" t="str">
        <f t="shared" si="626"/>
        <v/>
      </c>
      <c r="EW374" s="60" t="e">
        <f>IF(EV374="",NA(),SUM($EV$4:EV374))</f>
        <v>#N/A</v>
      </c>
      <c r="EX374" s="60" t="str">
        <f t="shared" si="627"/>
        <v/>
      </c>
      <c r="EY374" s="60" t="e">
        <f>IF(EX374="",NA(),SUM($EX$4:EX374))</f>
        <v>#N/A</v>
      </c>
      <c r="EZ374" s="60" t="str">
        <f t="shared" si="628"/>
        <v/>
      </c>
      <c r="FA374" s="60" t="e">
        <f>IF(EZ374="",NA(),SUM($EZ$4:EZ374))</f>
        <v>#N/A</v>
      </c>
      <c r="FB374" s="246" t="str">
        <f t="shared" si="652"/>
        <v/>
      </c>
      <c r="FC374" s="246" t="e">
        <f>IF($FB374="",#N/A,SUM(FB$4:$FB374))</f>
        <v>#N/A</v>
      </c>
      <c r="FD374" s="60">
        <f t="shared" si="629"/>
        <v>-0.2469596274695971</v>
      </c>
      <c r="FE374" s="60">
        <f>IF($FD374="",#N/A,SUM($FD$4:FD374))</f>
        <v>1.8238324668539625</v>
      </c>
      <c r="FF374" s="60" t="str">
        <f t="shared" si="630"/>
        <v/>
      </c>
      <c r="FG374" s="60" t="e">
        <f>IF($FF374="",#N/A,SUM($FF$4:FF374))</f>
        <v>#N/A</v>
      </c>
      <c r="FH374" s="60" t="str">
        <f t="shared" si="631"/>
        <v/>
      </c>
      <c r="FI374" s="60" t="e">
        <f>IF($FH374="",#N/A,SUM($FH$4:FH374))</f>
        <v>#N/A</v>
      </c>
      <c r="FJ374" s="60" t="str">
        <f t="shared" si="632"/>
        <v/>
      </c>
      <c r="FK374" s="60" t="e">
        <f>IF($FJ374="",#N/A,SUM($FJ$4:FJ374))</f>
        <v>#N/A</v>
      </c>
      <c r="FL374" s="60" t="str">
        <f t="shared" si="633"/>
        <v/>
      </c>
      <c r="FM374" s="60" t="e">
        <f>IF($FL374="",#N/A,SUM($FL$4:FL374))</f>
        <v>#N/A</v>
      </c>
      <c r="FN374" s="82">
        <f t="shared" si="634"/>
        <v>-1.0601745106017433</v>
      </c>
      <c r="FO374" s="82">
        <f>IF($FN374="",#N/A,SUM(FN$4:$FN374))</f>
        <v>45.298960775970805</v>
      </c>
      <c r="FP374" s="82">
        <f t="shared" si="653"/>
        <v>-0.81321488313214618</v>
      </c>
      <c r="FQ374" s="246">
        <f>IF($EH374="",#N/A,SUM($FP$4:FP374))</f>
        <v>54.001337056685131</v>
      </c>
      <c r="FR374" s="82">
        <f>IFERROR(FQ374/COUNTA($J$4:J374),#N/A)</f>
        <v>0.14555616457327528</v>
      </c>
      <c r="FS374" s="82">
        <f t="shared" si="554"/>
        <v>3.2896015873876368E-2</v>
      </c>
      <c r="FT374" s="82">
        <f t="shared" si="555"/>
        <v>-2.464123566500831E-2</v>
      </c>
      <c r="FU374" s="338">
        <f t="shared" si="660"/>
        <v>28.544689625910749</v>
      </c>
      <c r="FV374" s="57" t="str">
        <f t="shared" si="659"/>
        <v>Dwn</v>
      </c>
      <c r="FW374" s="57" t="s">
        <v>2734</v>
      </c>
      <c r="FX374" s="57" t="str">
        <f t="shared" si="635"/>
        <v/>
      </c>
      <c r="FY374" s="57">
        <f t="shared" si="636"/>
        <v>1</v>
      </c>
      <c r="FZ374" s="57" t="str">
        <f t="shared" si="637"/>
        <v/>
      </c>
      <c r="GA374" s="57" t="str">
        <f t="shared" si="638"/>
        <v>Short</v>
      </c>
      <c r="GB374" s="57" t="str">
        <f t="shared" si="639"/>
        <v/>
      </c>
      <c r="GC374" s="57" t="str">
        <f t="shared" si="640"/>
        <v/>
      </c>
      <c r="GD374" s="57" t="str">
        <f t="shared" si="641"/>
        <v/>
      </c>
      <c r="GE374" s="62">
        <f t="shared" si="557"/>
        <v>147.46</v>
      </c>
      <c r="GF374" s="62" t="s">
        <v>2780</v>
      </c>
      <c r="GG374" s="199">
        <v>11</v>
      </c>
      <c r="GH374" s="207">
        <f t="shared" si="642"/>
        <v>1622.0600000000002</v>
      </c>
      <c r="GI374" s="199">
        <v>11</v>
      </c>
      <c r="GJ374" s="200">
        <v>155</v>
      </c>
      <c r="GK374" s="63">
        <f t="shared" si="643"/>
        <v>-82.939999999999827</v>
      </c>
      <c r="GL374" s="63">
        <f t="shared" si="558"/>
        <v>-103.17999999999984</v>
      </c>
      <c r="GM374" s="82" t="str">
        <f t="shared" si="644"/>
        <v/>
      </c>
      <c r="GN374" s="82">
        <f>IF($GZ374="",#N/A,SUM(GM$4:GM374))</f>
        <v>12.951313754159058</v>
      </c>
      <c r="GO374" s="82" t="str">
        <f t="shared" si="645"/>
        <v/>
      </c>
      <c r="GP374" s="82">
        <f>IF($GZ374="",#N/A,SUM(GO$4:GO374))</f>
        <v>6.0037363150047494</v>
      </c>
      <c r="GQ374" s="82">
        <f t="shared" si="646"/>
        <v>-1.0601745106017433</v>
      </c>
      <c r="GR374" s="82">
        <f>IF($GZ374="",#N/A,SUM(GQ$4:GQ374))</f>
        <v>25.718073752364656</v>
      </c>
      <c r="GS374" s="63" t="str">
        <f t="shared" si="654"/>
        <v/>
      </c>
      <c r="GT374" s="63" t="e">
        <f>IF($GZ374="",#N/A,SUM(GS$4:GS374))</f>
        <v>#N/A</v>
      </c>
      <c r="GU374" s="63" t="str">
        <f t="shared" si="655"/>
        <v/>
      </c>
      <c r="GV374" s="63" t="e">
        <f>IF($GZ374="",#N/A,SUM(GU$4:GU374))</f>
        <v>#N/A</v>
      </c>
      <c r="GW374" s="63" t="e">
        <f t="shared" si="656"/>
        <v>#N/A</v>
      </c>
      <c r="GX374" s="63" t="e">
        <f>IF($GZ374="",#N/A,SUM(GW$4:GW374))</f>
        <v>#N/A</v>
      </c>
      <c r="GY374" s="63" t="e">
        <f>IF(EJ374="",#N/A,SUM($EJ$4:EJ374))</f>
        <v>#N/A</v>
      </c>
      <c r="GZ374" s="159">
        <v>156.84</v>
      </c>
      <c r="HA374" s="63">
        <f t="shared" si="647"/>
        <v>-24.035000000000082</v>
      </c>
      <c r="HB374" s="62" t="s">
        <v>2538</v>
      </c>
      <c r="HC374" s="60">
        <f>IFERROR(VLOOKUP(E374,Expectancy!$P$4:$S$19,1+C374,FALSE),"")</f>
        <v>1.1895734332751575</v>
      </c>
      <c r="HD374" s="82">
        <f t="shared" si="648"/>
        <v>-0.85220850852208319</v>
      </c>
      <c r="HE374" s="138">
        <f>IF(HD374="",#N/A,SUM($HD$4:HD374))</f>
        <v>10.926647430774377</v>
      </c>
      <c r="HF374" s="85">
        <f>IF(HD374="",#N/A,IF(HB374="Skip",#N/A,SUM($HG$4:HG374)))</f>
        <v>350.08157921915563</v>
      </c>
      <c r="HG374" s="63">
        <f t="shared" si="649"/>
        <v>-82.939999999999827</v>
      </c>
      <c r="HH374" s="82">
        <f t="shared" si="650"/>
        <v>-1.0601745106017433</v>
      </c>
    </row>
    <row r="375" spans="1:216" x14ac:dyDescent="0.25">
      <c r="A375" s="57" t="s">
        <v>1606</v>
      </c>
      <c r="B375" s="58" t="str" cm="1">
        <f t="array" ref="B375">IFERROR(_xlfn.XLOOKUP(A375,Earnings!$B$2:$B$9985,LEFT(Earnings!$C$2:$C$9985,37)),"Can't Find Date***")</f>
        <v>on 2/25/25, 4:00 PM After Market East</v>
      </c>
      <c r="C375" s="386">
        <f t="shared" si="561"/>
        <v>3</v>
      </c>
      <c r="D375" s="372" t="str">
        <f>_xlfn.XLOOKUP(A375,[1]SP500!$A$2:$A$502,[1]SP500!$D$2:$D$502,"N")</f>
        <v>Y</v>
      </c>
      <c r="E375" s="57" t="str">
        <f>_xlfn.XLOOKUP(A375,[1]SP500!$A$2:$A$655,[1]SP500!$B$2:$B$655)</f>
        <v>XLY</v>
      </c>
      <c r="F375" s="59">
        <v>45713</v>
      </c>
      <c r="G375" s="57" t="str">
        <f t="shared" si="562"/>
        <v>AMC</v>
      </c>
      <c r="H375" s="57" t="str">
        <f t="shared" si="563"/>
        <v>s</v>
      </c>
      <c r="I375" s="159">
        <v>34.869999999999997</v>
      </c>
      <c r="J375" s="159">
        <v>35.79</v>
      </c>
      <c r="K375" s="61">
        <f t="shared" si="564"/>
        <v>2.6383710926297727E-2</v>
      </c>
      <c r="L375" s="87">
        <f t="shared" si="565"/>
        <v>44.160000000000309</v>
      </c>
      <c r="M375" s="130">
        <f t="shared" si="556"/>
        <v>-4.3199999999999363</v>
      </c>
      <c r="N375" s="169" t="str">
        <f t="shared" si="566"/>
        <v/>
      </c>
      <c r="O375" s="169">
        <f>IF($J375="",#N/A,SUM($N$4:N375))</f>
        <v>-5.3532806457756124</v>
      </c>
      <c r="P375" s="174" t="str">
        <f t="shared" si="567"/>
        <v/>
      </c>
      <c r="Q375" s="174">
        <f>IF($J375="",#N/A,SUM($P$4:P375))</f>
        <v>116.53499224504333</v>
      </c>
      <c r="R375" s="178">
        <f t="shared" si="568"/>
        <v>44.160000000000309</v>
      </c>
      <c r="S375" s="178">
        <f>IF($J375="",#N/A,SUM($R$4:R375))</f>
        <v>1194.2123369902777</v>
      </c>
      <c r="T375" s="290" t="str">
        <f t="shared" si="569"/>
        <v/>
      </c>
      <c r="U375" s="290">
        <f>IF($J375="",#N/A,SUM($T$4:T375))</f>
        <v>13.67185393496869</v>
      </c>
      <c r="V375" s="291" t="str">
        <f t="shared" si="570"/>
        <v/>
      </c>
      <c r="W375" s="291">
        <f>IF($J375="",#N/A,SUM($V$4:V375))</f>
        <v>20.71676331069586</v>
      </c>
      <c r="X375" s="292">
        <f t="shared" si="571"/>
        <v>0.43972851543829777</v>
      </c>
      <c r="Y375" s="292">
        <f>IF($J375="",#N/A,SUM($X$4:X375))</f>
        <v>20.052448326458904</v>
      </c>
      <c r="Z375" s="304" t="str">
        <f t="shared" si="572"/>
        <v/>
      </c>
      <c r="AA375" s="313" t="e">
        <f>IF($J375="",#N/A,SUM(Z$4:Z375))</f>
        <v>#N/A</v>
      </c>
      <c r="AB375" s="314" t="str">
        <f t="shared" si="573"/>
        <v/>
      </c>
      <c r="AC375" s="314" t="e">
        <f>IF($J375="",#N/A,SUM(AB$4:AB375))</f>
        <v>#N/A</v>
      </c>
      <c r="AD375" s="315" t="str">
        <f t="shared" si="574"/>
        <v/>
      </c>
      <c r="AE375" s="315" t="e">
        <f>IF($J375="",#N/A,SUM(AD$4:AD375))</f>
        <v>#N/A</v>
      </c>
      <c r="AF375" s="315" t="e">
        <f>IF($J375="",#N/A,SUM(AD$4:AD375,AB$4:AB375,Z$4:Z375))</f>
        <v>#N/A</v>
      </c>
      <c r="AG375" s="304" t="str">
        <f t="shared" si="575"/>
        <v/>
      </c>
      <c r="AH375" s="313" t="e">
        <f>IF($J375="",#N/A,SUM(AG$4:AG375))</f>
        <v>#N/A</v>
      </c>
      <c r="AI375" s="314" t="str">
        <f t="shared" si="576"/>
        <v/>
      </c>
      <c r="AJ375" s="314" t="e">
        <f>IF($J375="",#N/A,SUM(AI$4:AI375))</f>
        <v>#N/A</v>
      </c>
      <c r="AK375" s="315" t="str">
        <f t="shared" si="577"/>
        <v/>
      </c>
      <c r="AL375" s="315" t="e">
        <f>IF($J375="",#N/A,SUM(AK$4:AK375))</f>
        <v>#N/A</v>
      </c>
      <c r="AM375" s="315" t="e">
        <f>IF($J375="",#N/A,SUM(AK$4:AK375,AI$4:AI375,AG$4:AG375))</f>
        <v>#N/A</v>
      </c>
      <c r="AN375" s="304" t="str">
        <f t="shared" si="578"/>
        <v/>
      </c>
      <c r="AO375" s="313" t="e">
        <f>IF($J375="",#N/A,SUM(AN$4:AN375))</f>
        <v>#N/A</v>
      </c>
      <c r="AP375" s="314" t="str">
        <f t="shared" si="579"/>
        <v/>
      </c>
      <c r="AQ375" s="314" t="e">
        <f>IF($J375="",#N/A,SUM(AP$4:AP375))</f>
        <v>#N/A</v>
      </c>
      <c r="AR375" s="315">
        <f t="shared" si="580"/>
        <v>0.43972851543829777</v>
      </c>
      <c r="AS375" s="315" t="e">
        <f>IF($J375="",#N/A,SUM(AR$4:AR375))</f>
        <v>#N/A</v>
      </c>
      <c r="AT375" s="315" t="e">
        <f>IF($J375="",#N/A,SUM(AR$4:AR375,AP$4:AP375,AN$4:AN375))</f>
        <v>#N/A</v>
      </c>
      <c r="AU375" s="304" t="str">
        <f t="shared" si="581"/>
        <v/>
      </c>
      <c r="AV375" s="313" t="e">
        <f>IF($J375="",#N/A,SUM(AU$4:AU375))</f>
        <v>#N/A</v>
      </c>
      <c r="AW375" s="314" t="str">
        <f t="shared" si="582"/>
        <v/>
      </c>
      <c r="AX375" s="314" t="e">
        <f>IF($J375="",#N/A,SUM(AW$4:AW375))</f>
        <v>#N/A</v>
      </c>
      <c r="AY375" s="315" t="str">
        <f t="shared" si="583"/>
        <v/>
      </c>
      <c r="AZ375" s="315" t="e">
        <f>IF($J375="",#N/A,SUM(AY$4:AY375))</f>
        <v>#N/A</v>
      </c>
      <c r="BA375" s="315" t="e">
        <f>IF($J375="",#N/A,SUM(AY$4:AY375,AW$4:AW375,AU$4:AU375))</f>
        <v>#N/A</v>
      </c>
      <c r="BB375" s="304" t="str">
        <f t="shared" si="584"/>
        <v/>
      </c>
      <c r="BC375" s="313" t="e">
        <f>IF($J375="",#N/A,SUM(BB$4:BB375))</f>
        <v>#N/A</v>
      </c>
      <c r="BD375" s="314" t="str">
        <f t="shared" si="585"/>
        <v/>
      </c>
      <c r="BE375" s="314" t="e">
        <f>IF($J375="",#N/A,SUM(BD$4:BD375))</f>
        <v>#N/A</v>
      </c>
      <c r="BF375" s="315" t="str">
        <f t="shared" si="586"/>
        <v/>
      </c>
      <c r="BG375" s="315" t="e">
        <f>IF($J375="",#N/A,SUM(BF$4:BF375))</f>
        <v>#N/A</v>
      </c>
      <c r="BH375" s="315" t="e">
        <f>IF($J375="",#N/A,SUM(BF$4:BF375,BD$4:BD375,BB$4:BB375))</f>
        <v>#N/A</v>
      </c>
      <c r="BI375" s="304" t="str">
        <f t="shared" si="587"/>
        <v/>
      </c>
      <c r="BJ375" s="313" t="e">
        <f>IF($J375="",#N/A,SUM(BI$4:BI375))</f>
        <v>#N/A</v>
      </c>
      <c r="BK375" s="314" t="str">
        <f t="shared" si="588"/>
        <v/>
      </c>
      <c r="BL375" s="314" t="e">
        <f>IF($J375="",#N/A,SUM(BK$4:BK375))</f>
        <v>#N/A</v>
      </c>
      <c r="BM375" s="315" t="str">
        <f t="shared" si="589"/>
        <v/>
      </c>
      <c r="BN375" s="315" t="e">
        <f>IF($J375="",#N/A,SUM(BM$4:BM375))</f>
        <v>#N/A</v>
      </c>
      <c r="BO375" s="315" t="e">
        <f>IF($J375="",#N/A,SUM(BM$4:BM375,BK$4:BK375,BI$4:BI375))</f>
        <v>#N/A</v>
      </c>
      <c r="BP375" s="304" t="str">
        <f t="shared" si="590"/>
        <v/>
      </c>
      <c r="BQ375" s="313" t="e">
        <f>IF($J375="",#N/A,SUM(BP$4:BP375))</f>
        <v>#N/A</v>
      </c>
      <c r="BR375" s="314" t="str">
        <f t="shared" si="591"/>
        <v/>
      </c>
      <c r="BS375" s="314" t="e">
        <f>IF($J375="",#N/A,SUM(BR$4:BR375))</f>
        <v>#N/A</v>
      </c>
      <c r="BT375" s="315" t="str">
        <f t="shared" si="592"/>
        <v/>
      </c>
      <c r="BU375" s="315" t="e">
        <f>IF($J375="",#N/A,SUM(BT$4:BT375))</f>
        <v>#N/A</v>
      </c>
      <c r="BV375" s="315" t="e">
        <f>IF($J375="",#N/A,SUM(BT$4:BT375,BR$4:BR375,BP$4:BP375))</f>
        <v>#N/A</v>
      </c>
      <c r="BW375" s="304" t="str">
        <f t="shared" si="593"/>
        <v/>
      </c>
      <c r="BX375" s="313" t="e">
        <f>IF($J375="",#N/A,SUM(BW$4:BW375))</f>
        <v>#N/A</v>
      </c>
      <c r="BY375" s="314" t="str">
        <f t="shared" si="594"/>
        <v/>
      </c>
      <c r="BZ375" s="314" t="e">
        <f>IF($J375="",#N/A,SUM(BY$4:BY375))</f>
        <v>#N/A</v>
      </c>
      <c r="CA375" s="315" t="str">
        <f t="shared" si="595"/>
        <v/>
      </c>
      <c r="CB375" s="315" t="e">
        <f>IF($J375="",#N/A,SUM(CA$4:CA375))</f>
        <v>#N/A</v>
      </c>
      <c r="CC375" s="315" t="e">
        <f>IF($J375="",#N/A,SUM(CA$4:CA375,BY$4:BY375,BW$4:BW375))</f>
        <v>#N/A</v>
      </c>
      <c r="CD375" s="304" t="str">
        <f t="shared" si="596"/>
        <v/>
      </c>
      <c r="CE375" s="313" t="e">
        <f>IF($J375="",#N/A,SUM(CD$4:CD375))</f>
        <v>#N/A</v>
      </c>
      <c r="CF375" s="314" t="str">
        <f t="shared" si="597"/>
        <v/>
      </c>
      <c r="CG375" s="314" t="e">
        <f>IF($J375="",#N/A,SUM(CF$4:CF375))</f>
        <v>#N/A</v>
      </c>
      <c r="CH375" s="315" t="str">
        <f t="shared" si="598"/>
        <v/>
      </c>
      <c r="CI375" s="315" t="e">
        <f>IF($J375="",#N/A,SUM(CH$4:CH375))</f>
        <v>#N/A</v>
      </c>
      <c r="CJ375" s="315" t="e">
        <f>IF($J375="",#N/A,SUM(CH$4:CH375,CF$4:CF375,CD$4:CD375))</f>
        <v>#N/A</v>
      </c>
      <c r="CK375" s="304" t="str">
        <f t="shared" si="599"/>
        <v/>
      </c>
      <c r="CL375" s="313" t="e">
        <f>IF($J375="",#N/A,SUM(CK$4:CK375))</f>
        <v>#N/A</v>
      </c>
      <c r="CM375" s="314" t="str">
        <f t="shared" si="600"/>
        <v/>
      </c>
      <c r="CN375" s="314" t="e">
        <f>IF($J375="",#N/A,SUM(CM$4:CM375))</f>
        <v>#N/A</v>
      </c>
      <c r="CO375" s="315" t="str">
        <f t="shared" si="601"/>
        <v/>
      </c>
      <c r="CP375" s="315" t="e">
        <f>IF($J375="",#N/A,SUM(CO$4:CO375))</f>
        <v>#N/A</v>
      </c>
      <c r="CQ375" s="315" t="e">
        <f>IF($J375="",#N/A,SUM(CO$4:CO375,CM$4:CM375,CK$4:CK375))</f>
        <v>#N/A</v>
      </c>
      <c r="CR375" s="304" t="str">
        <f t="shared" si="602"/>
        <v/>
      </c>
      <c r="CS375" s="313" t="e">
        <f>IF($J375="",#N/A,SUM(CR$4:CR375))</f>
        <v>#N/A</v>
      </c>
      <c r="CT375" s="314" t="str">
        <f t="shared" si="603"/>
        <v/>
      </c>
      <c r="CU375" s="314" t="e">
        <f>IF($J375="",#N/A,SUM(CT$4:CT375))</f>
        <v>#N/A</v>
      </c>
      <c r="CV375" s="315" t="str">
        <f t="shared" si="604"/>
        <v/>
      </c>
      <c r="CW375" s="315" t="e">
        <f>IF($J375="",#N/A,SUM(CV$4:CV375))</f>
        <v>#N/A</v>
      </c>
      <c r="CX375" s="315" t="e">
        <f>IF($J375="",#N/A,SUM(CV$4:CV375,CT$4:CT375,CR$4:CR375))</f>
        <v>#N/A</v>
      </c>
      <c r="CY375" s="304" t="str">
        <f t="shared" si="605"/>
        <v/>
      </c>
      <c r="CZ375" s="313" t="e">
        <f>IF($J375="",#N/A,SUM(CY$4:CY375))</f>
        <v>#N/A</v>
      </c>
      <c r="DA375" s="314" t="str">
        <f t="shared" si="606"/>
        <v/>
      </c>
      <c r="DB375" s="314" t="e">
        <f>IF($J375="",#N/A,SUM(DA$4:DA375))</f>
        <v>#N/A</v>
      </c>
      <c r="DC375" s="315" t="str">
        <f t="shared" si="607"/>
        <v/>
      </c>
      <c r="DD375" s="315" t="e">
        <f>IF($J375="",#N/A,SUM(DC$4:DC375))</f>
        <v>#N/A</v>
      </c>
      <c r="DE375" s="315" t="e">
        <f>IF($J375="",#N/A,SUM(DC$4:DC375,DA$4:DA375,CY$4:CY375))</f>
        <v>#N/A</v>
      </c>
      <c r="DF375" s="304" t="str">
        <f t="shared" si="608"/>
        <v/>
      </c>
      <c r="DG375" s="313" t="e">
        <f>IF($J375="",#N/A,SUM(DF$4:DF375))</f>
        <v>#N/A</v>
      </c>
      <c r="DH375" s="314" t="str">
        <f t="shared" si="609"/>
        <v/>
      </c>
      <c r="DI375" s="314" t="e">
        <f>IF($J375="",#N/A,SUM(DH$4:DH375))</f>
        <v>#N/A</v>
      </c>
      <c r="DJ375" s="315" t="str">
        <f t="shared" si="610"/>
        <v/>
      </c>
      <c r="DK375" s="315" t="e">
        <f>IF($J375="",#N/A,SUM(DJ$4:DJ375))</f>
        <v>#N/A</v>
      </c>
      <c r="DL375" s="315" t="e">
        <f>IF($J375="",#N/A,SUM(DJ$4:DJ375,DH$4:DH375,DF$4:DF375))</f>
        <v>#N/A</v>
      </c>
      <c r="DM375" s="304" t="str">
        <f t="shared" si="611"/>
        <v/>
      </c>
      <c r="DN375" s="313" t="e">
        <f>IF($J375="",#N/A,SUM(DM$4:DM375))</f>
        <v>#N/A</v>
      </c>
      <c r="DO375" s="314" t="str">
        <f t="shared" si="612"/>
        <v/>
      </c>
      <c r="DP375" s="314" t="e">
        <f>IF($J375="",#N/A,SUM(DO$4:DO375))</f>
        <v>#N/A</v>
      </c>
      <c r="DQ375" s="315" t="str">
        <f t="shared" si="613"/>
        <v/>
      </c>
      <c r="DR375" s="315" t="e">
        <f>IF($J375="",#N/A,SUM(DQ$4:DQ375))</f>
        <v>#N/A</v>
      </c>
      <c r="DS375" s="315" t="e">
        <f>IF($J375="",#N/A,SUM(DQ$4:DQ375,DO$4:DO375,DM$4:DM375))</f>
        <v>#N/A</v>
      </c>
      <c r="DT375" s="304" t="str">
        <f t="shared" si="614"/>
        <v/>
      </c>
      <c r="DU375" s="313" t="e">
        <f>IF($J375="",#N/A,SUM(DT$4:DT375))</f>
        <v>#N/A</v>
      </c>
      <c r="DV375" s="314" t="str">
        <f t="shared" si="615"/>
        <v/>
      </c>
      <c r="DW375" s="314" t="e">
        <f>IF($J375="",#N/A,SUM(DV$4:DV375))</f>
        <v>#N/A</v>
      </c>
      <c r="DX375" s="315" t="str">
        <f t="shared" si="616"/>
        <v/>
      </c>
      <c r="DY375" s="315" t="e">
        <f>IF($J375="",#N/A,SUM(DX$4:DX375))</f>
        <v>#N/A</v>
      </c>
      <c r="DZ375" s="315" t="e">
        <f>IF($J375="",#N/A,SUM(DX$4:DX375,DV$4:DV375,DT$4:DT375))</f>
        <v>#N/A</v>
      </c>
      <c r="EA375" s="304" t="str">
        <f t="shared" si="617"/>
        <v/>
      </c>
      <c r="EB375" s="313" t="e">
        <f>IF($J375="",#N/A,SUM(EA$4:EA375))</f>
        <v>#N/A</v>
      </c>
      <c r="EC375" s="314" t="str">
        <f t="shared" si="618"/>
        <v/>
      </c>
      <c r="ED375" s="314" t="e">
        <f>IF($J375="",#N/A,SUM(EC$4:EC375))</f>
        <v>#N/A</v>
      </c>
      <c r="EE375" s="315" t="str">
        <f t="shared" si="619"/>
        <v/>
      </c>
      <c r="EF375" s="315" t="e">
        <f>IF($J375="",#N/A,SUM(EE$4:EE375))</f>
        <v>#N/A</v>
      </c>
      <c r="EG375" s="315" t="e">
        <f>IF($J375="",#N/A,SUM(EE$4:EE375,EC$4:EC375,EA$4:EA375))</f>
        <v>#N/A</v>
      </c>
      <c r="EH375" s="130">
        <f t="shared" si="620"/>
        <v>44.160000000000309</v>
      </c>
      <c r="EI375" s="63">
        <f>IF(EH375="",#N/A,SUM($EH$4:EH375))</f>
        <v>1305.3940485895455</v>
      </c>
      <c r="EJ375" s="223" t="e">
        <f t="shared" si="621"/>
        <v>#N/A</v>
      </c>
      <c r="EK375" s="63" t="e">
        <f>IF($GZ375="",#N/A,SUM(EJ$4:EJ375))</f>
        <v>#N/A</v>
      </c>
      <c r="EL375" s="60">
        <f t="shared" si="651"/>
        <v>0.43972851543829777</v>
      </c>
      <c r="EM375" s="60">
        <f>IF(EL375="",NA(),SUM($EL$4:EL375))</f>
        <v>28.498262548341032</v>
      </c>
      <c r="EN375" s="60" t="str">
        <f t="shared" si="622"/>
        <v/>
      </c>
      <c r="EO375" s="60" t="e">
        <f>IF(EN375="",NA(),SUM($EN$4:EN375))</f>
        <v>#N/A</v>
      </c>
      <c r="EP375" s="60">
        <f t="shared" si="623"/>
        <v>0.43972851543829777</v>
      </c>
      <c r="EQ375" s="60">
        <f>IF(EP375="",NA(),SUM($EP$4:EP375))</f>
        <v>12.38955953617401</v>
      </c>
      <c r="ER375" s="60" t="str">
        <f t="shared" si="624"/>
        <v/>
      </c>
      <c r="ES375" s="60" t="e">
        <f>IF(ER375="",NA(),SUM($ER$4:ER375))</f>
        <v>#N/A</v>
      </c>
      <c r="ET375" s="60" t="str">
        <f t="shared" si="625"/>
        <v/>
      </c>
      <c r="EU375" s="60" t="e">
        <f>IF(ET375="",NA(),SUM($ET$4:ET375))</f>
        <v>#N/A</v>
      </c>
      <c r="EV375" s="60" t="str">
        <f t="shared" si="626"/>
        <v/>
      </c>
      <c r="EW375" s="60" t="e">
        <f>IF(EV375="",NA(),SUM($EV$4:EV375))</f>
        <v>#N/A</v>
      </c>
      <c r="EX375" s="60" t="str">
        <f t="shared" si="627"/>
        <v/>
      </c>
      <c r="EY375" s="60" t="e">
        <f>IF(EX375="",NA(),SUM($EX$4:EX375))</f>
        <v>#N/A</v>
      </c>
      <c r="EZ375" s="60" t="str">
        <f t="shared" si="628"/>
        <v/>
      </c>
      <c r="FA375" s="60" t="e">
        <f>IF(EZ375="",NA(),SUM($EZ$4:EZ375))</f>
        <v>#N/A</v>
      </c>
      <c r="FB375" s="246" t="str">
        <f t="shared" si="652"/>
        <v/>
      </c>
      <c r="FC375" s="246" t="e">
        <f>IF($FB375="",#N/A,SUM(FB$4:$FB375))</f>
        <v>#N/A</v>
      </c>
      <c r="FD375" s="60" t="str">
        <f t="shared" si="629"/>
        <v/>
      </c>
      <c r="FE375" s="60" t="e">
        <f>IF($FD375="",#N/A,SUM($FD$4:FD375))</f>
        <v>#N/A</v>
      </c>
      <c r="FF375" s="60" t="str">
        <f t="shared" si="630"/>
        <v/>
      </c>
      <c r="FG375" s="60" t="e">
        <f>IF($FF375="",#N/A,SUM($FF$4:FF375))</f>
        <v>#N/A</v>
      </c>
      <c r="FH375" s="60" t="str">
        <f t="shared" si="631"/>
        <v/>
      </c>
      <c r="FI375" s="60" t="e">
        <f>IF($FH375="",#N/A,SUM($FH$4:FH375))</f>
        <v>#N/A</v>
      </c>
      <c r="FJ375" s="60">
        <f t="shared" si="632"/>
        <v>-0.5878979065098936</v>
      </c>
      <c r="FK375" s="60">
        <f>IF($FJ375="",#N/A,SUM($FJ$4:FJ375))</f>
        <v>-2.0289101715749149</v>
      </c>
      <c r="FL375" s="60" t="str">
        <f t="shared" si="633"/>
        <v/>
      </c>
      <c r="FM375" s="60" t="e">
        <f>IF($FL375="",#N/A,SUM($FL$4:FL375))</f>
        <v>#N/A</v>
      </c>
      <c r="FN375" s="82">
        <f t="shared" si="634"/>
        <v>-0.14816939107159585</v>
      </c>
      <c r="FO375" s="82">
        <f>IF($FN375="",#N/A,SUM(FN$4:$FN375))</f>
        <v>45.150791384899208</v>
      </c>
      <c r="FP375" s="82">
        <f t="shared" si="653"/>
        <v>0.43972851543829777</v>
      </c>
      <c r="FQ375" s="246">
        <f>IF($EH375="",#N/A,SUM($FP$4:FP375))</f>
        <v>54.441065572123428</v>
      </c>
      <c r="FR375" s="82">
        <f>IFERROR(FQ375/COUNTA($J$4:J375),#N/A)</f>
        <v>0.14634695046269738</v>
      </c>
      <c r="FS375" s="82">
        <f t="shared" si="554"/>
        <v>3.5691803757293028E-2</v>
      </c>
      <c r="FT375" s="82">
        <f t="shared" si="555"/>
        <v>-0.12366945204944869</v>
      </c>
      <c r="FU375" s="338">
        <f t="shared" si="660"/>
        <v>28.58770654589928</v>
      </c>
      <c r="FV375" s="57" t="str">
        <f t="shared" si="659"/>
        <v>SW</v>
      </c>
      <c r="FW375" s="57" t="s">
        <v>2732</v>
      </c>
      <c r="FX375" s="57" t="str">
        <f t="shared" si="635"/>
        <v/>
      </c>
      <c r="FY375" s="57" t="str">
        <f t="shared" si="636"/>
        <v/>
      </c>
      <c r="FZ375" s="57">
        <f t="shared" si="637"/>
        <v>1</v>
      </c>
      <c r="GA375" s="57" t="str">
        <f t="shared" si="638"/>
        <v>Long</v>
      </c>
      <c r="GB375" s="57" t="str">
        <f t="shared" si="639"/>
        <v/>
      </c>
      <c r="GC375" s="57" t="str">
        <f t="shared" si="640"/>
        <v/>
      </c>
      <c r="GD375" s="57" t="str">
        <f t="shared" si="641"/>
        <v/>
      </c>
      <c r="GE375" s="62">
        <f t="shared" si="557"/>
        <v>34.869999999999997</v>
      </c>
      <c r="GF375" s="62" t="s">
        <v>2779</v>
      </c>
      <c r="GG375" s="199">
        <v>48</v>
      </c>
      <c r="GH375" s="207">
        <f t="shared" si="642"/>
        <v>1673.7599999999998</v>
      </c>
      <c r="GI375" s="199">
        <v>48</v>
      </c>
      <c r="GJ375" s="200">
        <v>35.700000000000003</v>
      </c>
      <c r="GK375" s="63">
        <f t="shared" si="643"/>
        <v>39.840000000000373</v>
      </c>
      <c r="GL375" s="63">
        <f t="shared" si="558"/>
        <v>-14.879999999999654</v>
      </c>
      <c r="GM375" s="82">
        <f t="shared" si="644"/>
        <v>-0.14816939107159585</v>
      </c>
      <c r="GN375" s="82">
        <f>IF($GZ375="",#N/A,SUM(GM$4:GM375))</f>
        <v>12.803144363087462</v>
      </c>
      <c r="GO375" s="82" t="str">
        <f t="shared" si="645"/>
        <v/>
      </c>
      <c r="GP375" s="82">
        <f>IF($GZ375="",#N/A,SUM(GO$4:GO375))</f>
        <v>6.0037363150047494</v>
      </c>
      <c r="GQ375" s="82" t="str">
        <f t="shared" si="646"/>
        <v/>
      </c>
      <c r="GR375" s="82">
        <f>IF($GZ375="",#N/A,SUM(GQ$4:GQ375))</f>
        <v>25.718073752364656</v>
      </c>
      <c r="GS375" s="63" t="e">
        <f t="shared" si="654"/>
        <v>#N/A</v>
      </c>
      <c r="GT375" s="63" t="e">
        <f>IF($GZ375="",#N/A,SUM(GS$4:GS375))</f>
        <v>#N/A</v>
      </c>
      <c r="GU375" s="63" t="str">
        <f t="shared" si="655"/>
        <v/>
      </c>
      <c r="GV375" s="63" t="e">
        <f>IF($GZ375="",#N/A,SUM(GU$4:GU375))</f>
        <v>#N/A</v>
      </c>
      <c r="GW375" s="63" t="str">
        <f t="shared" si="656"/>
        <v/>
      </c>
      <c r="GX375" s="63" t="e">
        <f>IF($GZ375="",#N/A,SUM(GW$4:GW375))</f>
        <v>#N/A</v>
      </c>
      <c r="GY375" s="63" t="e">
        <f>IF(EJ375="",#N/A,SUM($EJ$4:EJ375))</f>
        <v>#N/A</v>
      </c>
      <c r="GZ375" s="159">
        <v>34.56</v>
      </c>
      <c r="HA375" s="63">
        <f t="shared" si="647"/>
        <v>-59.039999999999964</v>
      </c>
      <c r="HB375" s="62" t="s">
        <v>2538</v>
      </c>
      <c r="HC375" s="60">
        <f>IFERROR(VLOOKUP(E375,Expectancy!$P$4:$S$19,1+C375,FALSE),"")</f>
        <v>0.48685636958953199</v>
      </c>
      <c r="HD375" s="82">
        <f t="shared" si="648"/>
        <v>0.39671159544976953</v>
      </c>
      <c r="HE375" s="138">
        <f>IF(HD375="",#N/A,SUM($HD$4:HD375))</f>
        <v>11.323359026224146</v>
      </c>
      <c r="HF375" s="85">
        <f>IF(HD375="",#N/A,IF(HB375="Skip",#N/A,SUM($HG$4:HG375)))</f>
        <v>389.921579219156</v>
      </c>
      <c r="HG375" s="63">
        <f t="shared" si="649"/>
        <v>39.840000000000373</v>
      </c>
      <c r="HH375" s="82">
        <f t="shared" si="650"/>
        <v>-0.14816939107159585</v>
      </c>
    </row>
    <row r="376" spans="1:216" x14ac:dyDescent="0.25">
      <c r="A376" s="57" t="s">
        <v>872</v>
      </c>
      <c r="B376" s="58" t="str" cm="1">
        <f t="array" ref="B376">IFERROR(_xlfn.XLOOKUP(A376,Earnings!$B$2:$B$9985,LEFT(Earnings!$C$2:$C$9985,37)),"Can't Find Date***")</f>
        <v>on 2/25/25, 4:05 PM After Market East</v>
      </c>
      <c r="C376" s="386">
        <f t="shared" si="561"/>
        <v>3</v>
      </c>
      <c r="D376" s="372" t="str">
        <f>_xlfn.XLOOKUP(A376,[1]SP500!$A$2:$A$502,[1]SP500!$D$2:$D$502,"N")</f>
        <v>N</v>
      </c>
      <c r="E376" s="57" t="str">
        <f>_xlfn.XLOOKUP(A376,[1]SP500!$A$2:$A$655,[1]SP500!$B$2:$B$655)</f>
        <v>IGV</v>
      </c>
      <c r="F376" s="59">
        <v>45713</v>
      </c>
      <c r="G376" s="57" t="str">
        <f t="shared" si="562"/>
        <v>AMC</v>
      </c>
      <c r="H376" s="57" t="str">
        <f t="shared" si="563"/>
        <v>s</v>
      </c>
      <c r="I376" s="158">
        <v>20.6</v>
      </c>
      <c r="J376" s="159">
        <v>20.48</v>
      </c>
      <c r="K376" s="61">
        <f t="shared" si="564"/>
        <v>-5.8252427184466498E-3</v>
      </c>
      <c r="L376" s="87">
        <f t="shared" si="565"/>
        <v>-9.5999999999999091</v>
      </c>
      <c r="M376" s="130">
        <f t="shared" si="556"/>
        <v>25.599999999999909</v>
      </c>
      <c r="N376" s="169" t="str">
        <f t="shared" si="566"/>
        <v/>
      </c>
      <c r="O376" s="169">
        <f>IF($J376="",#N/A,SUM($N$4:N376))</f>
        <v>-5.3532806457756124</v>
      </c>
      <c r="P376" s="174" t="str">
        <f t="shared" si="567"/>
        <v/>
      </c>
      <c r="Q376" s="174">
        <f>IF($J376="",#N/A,SUM($P$4:P376))</f>
        <v>116.53499224504333</v>
      </c>
      <c r="R376" s="178">
        <f t="shared" si="568"/>
        <v>-9.5999999999999091</v>
      </c>
      <c r="S376" s="178">
        <f>IF($J376="",#N/A,SUM($R$4:R376))</f>
        <v>1184.6123369902778</v>
      </c>
      <c r="T376" s="290" t="str">
        <f t="shared" si="569"/>
        <v/>
      </c>
      <c r="U376" s="290">
        <f>IF($J376="",#N/A,SUM($T$4:T376))</f>
        <v>13.67185393496869</v>
      </c>
      <c r="V376" s="291" t="str">
        <f t="shared" si="570"/>
        <v/>
      </c>
      <c r="W376" s="291">
        <f>IF($J376="",#N/A,SUM($V$4:V376))</f>
        <v>20.71676331069586</v>
      </c>
      <c r="X376" s="292">
        <f t="shared" si="571"/>
        <v>-9.7087378640775782E-2</v>
      </c>
      <c r="Y376" s="292">
        <f>IF($J376="",#N/A,SUM($X$4:X376))</f>
        <v>19.955360947818129</v>
      </c>
      <c r="Z376" s="304" t="str">
        <f t="shared" si="572"/>
        <v/>
      </c>
      <c r="AA376" s="313" t="e">
        <f>IF($J376="",#N/A,SUM(Z$4:Z376))</f>
        <v>#N/A</v>
      </c>
      <c r="AB376" s="314" t="str">
        <f t="shared" si="573"/>
        <v/>
      </c>
      <c r="AC376" s="314" t="e">
        <f>IF($J376="",#N/A,SUM(AB$4:AB376))</f>
        <v>#N/A</v>
      </c>
      <c r="AD376" s="315" t="str">
        <f t="shared" si="574"/>
        <v/>
      </c>
      <c r="AE376" s="315" t="e">
        <f>IF($J376="",#N/A,SUM(AD$4:AD376))</f>
        <v>#N/A</v>
      </c>
      <c r="AF376" s="315" t="e">
        <f>IF($J376="",#N/A,SUM(AD$4:AD376,AB$4:AB376,Z$4:Z376))</f>
        <v>#N/A</v>
      </c>
      <c r="AG376" s="304" t="str">
        <f t="shared" si="575"/>
        <v/>
      </c>
      <c r="AH376" s="313" t="e">
        <f>IF($J376="",#N/A,SUM(AG$4:AG376))</f>
        <v>#N/A</v>
      </c>
      <c r="AI376" s="314" t="str">
        <f t="shared" si="576"/>
        <v/>
      </c>
      <c r="AJ376" s="314" t="e">
        <f>IF($J376="",#N/A,SUM(AI$4:AI376))</f>
        <v>#N/A</v>
      </c>
      <c r="AK376" s="315">
        <f t="shared" si="577"/>
        <v>-9.7087378640775782E-2</v>
      </c>
      <c r="AL376" s="315" t="e">
        <f>IF($J376="",#N/A,SUM(AK$4:AK376))</f>
        <v>#N/A</v>
      </c>
      <c r="AM376" s="315" t="e">
        <f>IF($J376="",#N/A,SUM(AK$4:AK376,AI$4:AI376,AG$4:AG376))</f>
        <v>#N/A</v>
      </c>
      <c r="AN376" s="304" t="str">
        <f t="shared" si="578"/>
        <v/>
      </c>
      <c r="AO376" s="313" t="e">
        <f>IF($J376="",#N/A,SUM(AN$4:AN376))</f>
        <v>#N/A</v>
      </c>
      <c r="AP376" s="314" t="str">
        <f t="shared" si="579"/>
        <v/>
      </c>
      <c r="AQ376" s="314" t="e">
        <f>IF($J376="",#N/A,SUM(AP$4:AP376))</f>
        <v>#N/A</v>
      </c>
      <c r="AR376" s="315" t="str">
        <f t="shared" si="580"/>
        <v/>
      </c>
      <c r="AS376" s="315" t="e">
        <f>IF($J376="",#N/A,SUM(AR$4:AR376))</f>
        <v>#N/A</v>
      </c>
      <c r="AT376" s="315" t="e">
        <f>IF($J376="",#N/A,SUM(AR$4:AR376,AP$4:AP376,AN$4:AN376))</f>
        <v>#N/A</v>
      </c>
      <c r="AU376" s="304" t="str">
        <f t="shared" si="581"/>
        <v/>
      </c>
      <c r="AV376" s="313" t="e">
        <f>IF($J376="",#N/A,SUM(AU$4:AU376))</f>
        <v>#N/A</v>
      </c>
      <c r="AW376" s="314" t="str">
        <f t="shared" si="582"/>
        <v/>
      </c>
      <c r="AX376" s="314" t="e">
        <f>IF($J376="",#N/A,SUM(AW$4:AW376))</f>
        <v>#N/A</v>
      </c>
      <c r="AY376" s="315" t="str">
        <f t="shared" si="583"/>
        <v/>
      </c>
      <c r="AZ376" s="315" t="e">
        <f>IF($J376="",#N/A,SUM(AY$4:AY376))</f>
        <v>#N/A</v>
      </c>
      <c r="BA376" s="315" t="e">
        <f>IF($J376="",#N/A,SUM(AY$4:AY376,AW$4:AW376,AU$4:AU376))</f>
        <v>#N/A</v>
      </c>
      <c r="BB376" s="304" t="str">
        <f t="shared" si="584"/>
        <v/>
      </c>
      <c r="BC376" s="313" t="e">
        <f>IF($J376="",#N/A,SUM(BB$4:BB376))</f>
        <v>#N/A</v>
      </c>
      <c r="BD376" s="314" t="str">
        <f t="shared" si="585"/>
        <v/>
      </c>
      <c r="BE376" s="314" t="e">
        <f>IF($J376="",#N/A,SUM(BD$4:BD376))</f>
        <v>#N/A</v>
      </c>
      <c r="BF376" s="315" t="str">
        <f t="shared" si="586"/>
        <v/>
      </c>
      <c r="BG376" s="315" t="e">
        <f>IF($J376="",#N/A,SUM(BF$4:BF376))</f>
        <v>#N/A</v>
      </c>
      <c r="BH376" s="315" t="e">
        <f>IF($J376="",#N/A,SUM(BF$4:BF376,BD$4:BD376,BB$4:BB376))</f>
        <v>#N/A</v>
      </c>
      <c r="BI376" s="304" t="str">
        <f t="shared" si="587"/>
        <v/>
      </c>
      <c r="BJ376" s="313" t="e">
        <f>IF($J376="",#N/A,SUM(BI$4:BI376))</f>
        <v>#N/A</v>
      </c>
      <c r="BK376" s="314" t="str">
        <f t="shared" si="588"/>
        <v/>
      </c>
      <c r="BL376" s="314" t="e">
        <f>IF($J376="",#N/A,SUM(BK$4:BK376))</f>
        <v>#N/A</v>
      </c>
      <c r="BM376" s="315" t="str">
        <f t="shared" si="589"/>
        <v/>
      </c>
      <c r="BN376" s="315" t="e">
        <f>IF($J376="",#N/A,SUM(BM$4:BM376))</f>
        <v>#N/A</v>
      </c>
      <c r="BO376" s="315" t="e">
        <f>IF($J376="",#N/A,SUM(BM$4:BM376,BK$4:BK376,BI$4:BI376))</f>
        <v>#N/A</v>
      </c>
      <c r="BP376" s="304" t="str">
        <f t="shared" si="590"/>
        <v/>
      </c>
      <c r="BQ376" s="313" t="e">
        <f>IF($J376="",#N/A,SUM(BP$4:BP376))</f>
        <v>#N/A</v>
      </c>
      <c r="BR376" s="314" t="str">
        <f t="shared" si="591"/>
        <v/>
      </c>
      <c r="BS376" s="314" t="e">
        <f>IF($J376="",#N/A,SUM(BR$4:BR376))</f>
        <v>#N/A</v>
      </c>
      <c r="BT376" s="315" t="str">
        <f t="shared" si="592"/>
        <v/>
      </c>
      <c r="BU376" s="315" t="e">
        <f>IF($J376="",#N/A,SUM(BT$4:BT376))</f>
        <v>#N/A</v>
      </c>
      <c r="BV376" s="315" t="e">
        <f>IF($J376="",#N/A,SUM(BT$4:BT376,BR$4:BR376,BP$4:BP376))</f>
        <v>#N/A</v>
      </c>
      <c r="BW376" s="304" t="str">
        <f t="shared" si="593"/>
        <v/>
      </c>
      <c r="BX376" s="313" t="e">
        <f>IF($J376="",#N/A,SUM(BW$4:BW376))</f>
        <v>#N/A</v>
      </c>
      <c r="BY376" s="314" t="str">
        <f t="shared" si="594"/>
        <v/>
      </c>
      <c r="BZ376" s="314" t="e">
        <f>IF($J376="",#N/A,SUM(BY$4:BY376))</f>
        <v>#N/A</v>
      </c>
      <c r="CA376" s="315" t="str">
        <f t="shared" si="595"/>
        <v/>
      </c>
      <c r="CB376" s="315" t="e">
        <f>IF($J376="",#N/A,SUM(CA$4:CA376))</f>
        <v>#N/A</v>
      </c>
      <c r="CC376" s="315" t="e">
        <f>IF($J376="",#N/A,SUM(CA$4:CA376,BY$4:BY376,BW$4:BW376))</f>
        <v>#N/A</v>
      </c>
      <c r="CD376" s="304" t="str">
        <f t="shared" si="596"/>
        <v/>
      </c>
      <c r="CE376" s="313" t="e">
        <f>IF($J376="",#N/A,SUM(CD$4:CD376))</f>
        <v>#N/A</v>
      </c>
      <c r="CF376" s="314" t="str">
        <f t="shared" si="597"/>
        <v/>
      </c>
      <c r="CG376" s="314" t="e">
        <f>IF($J376="",#N/A,SUM(CF$4:CF376))</f>
        <v>#N/A</v>
      </c>
      <c r="CH376" s="315" t="str">
        <f t="shared" si="598"/>
        <v/>
      </c>
      <c r="CI376" s="315" t="e">
        <f>IF($J376="",#N/A,SUM(CH$4:CH376))</f>
        <v>#N/A</v>
      </c>
      <c r="CJ376" s="315" t="e">
        <f>IF($J376="",#N/A,SUM(CH$4:CH376,CF$4:CF376,CD$4:CD376))</f>
        <v>#N/A</v>
      </c>
      <c r="CK376" s="304" t="str">
        <f t="shared" si="599"/>
        <v/>
      </c>
      <c r="CL376" s="313" t="e">
        <f>IF($J376="",#N/A,SUM(CK$4:CK376))</f>
        <v>#N/A</v>
      </c>
      <c r="CM376" s="314" t="str">
        <f t="shared" si="600"/>
        <v/>
      </c>
      <c r="CN376" s="314" t="e">
        <f>IF($J376="",#N/A,SUM(CM$4:CM376))</f>
        <v>#N/A</v>
      </c>
      <c r="CO376" s="315" t="str">
        <f t="shared" si="601"/>
        <v/>
      </c>
      <c r="CP376" s="315" t="e">
        <f>IF($J376="",#N/A,SUM(CO$4:CO376))</f>
        <v>#N/A</v>
      </c>
      <c r="CQ376" s="315" t="e">
        <f>IF($J376="",#N/A,SUM(CO$4:CO376,CM$4:CM376,CK$4:CK376))</f>
        <v>#N/A</v>
      </c>
      <c r="CR376" s="304" t="str">
        <f t="shared" si="602"/>
        <v/>
      </c>
      <c r="CS376" s="313" t="e">
        <f>IF($J376="",#N/A,SUM(CR$4:CR376))</f>
        <v>#N/A</v>
      </c>
      <c r="CT376" s="314" t="str">
        <f t="shared" si="603"/>
        <v/>
      </c>
      <c r="CU376" s="314" t="e">
        <f>IF($J376="",#N/A,SUM(CT$4:CT376))</f>
        <v>#N/A</v>
      </c>
      <c r="CV376" s="315" t="str">
        <f t="shared" si="604"/>
        <v/>
      </c>
      <c r="CW376" s="315" t="e">
        <f>IF($J376="",#N/A,SUM(CV$4:CV376))</f>
        <v>#N/A</v>
      </c>
      <c r="CX376" s="315" t="e">
        <f>IF($J376="",#N/A,SUM(CV$4:CV376,CT$4:CT376,CR$4:CR376))</f>
        <v>#N/A</v>
      </c>
      <c r="CY376" s="304" t="str">
        <f t="shared" si="605"/>
        <v/>
      </c>
      <c r="CZ376" s="313" t="e">
        <f>IF($J376="",#N/A,SUM(CY$4:CY376))</f>
        <v>#N/A</v>
      </c>
      <c r="DA376" s="314" t="str">
        <f t="shared" si="606"/>
        <v/>
      </c>
      <c r="DB376" s="314" t="e">
        <f>IF($J376="",#N/A,SUM(DA$4:DA376))</f>
        <v>#N/A</v>
      </c>
      <c r="DC376" s="315" t="str">
        <f t="shared" si="607"/>
        <v/>
      </c>
      <c r="DD376" s="315" t="e">
        <f>IF($J376="",#N/A,SUM(DC$4:DC376))</f>
        <v>#N/A</v>
      </c>
      <c r="DE376" s="315" t="e">
        <f>IF($J376="",#N/A,SUM(DC$4:DC376,DA$4:DA376,CY$4:CY376))</f>
        <v>#N/A</v>
      </c>
      <c r="DF376" s="304" t="str">
        <f t="shared" si="608"/>
        <v/>
      </c>
      <c r="DG376" s="313" t="e">
        <f>IF($J376="",#N/A,SUM(DF$4:DF376))</f>
        <v>#N/A</v>
      </c>
      <c r="DH376" s="314" t="str">
        <f t="shared" si="609"/>
        <v/>
      </c>
      <c r="DI376" s="314" t="e">
        <f>IF($J376="",#N/A,SUM(DH$4:DH376))</f>
        <v>#N/A</v>
      </c>
      <c r="DJ376" s="315" t="str">
        <f t="shared" si="610"/>
        <v/>
      </c>
      <c r="DK376" s="315" t="e">
        <f>IF($J376="",#N/A,SUM(DJ$4:DJ376))</f>
        <v>#N/A</v>
      </c>
      <c r="DL376" s="315" t="e">
        <f>IF($J376="",#N/A,SUM(DJ$4:DJ376,DH$4:DH376,DF$4:DF376))</f>
        <v>#N/A</v>
      </c>
      <c r="DM376" s="304" t="str">
        <f t="shared" si="611"/>
        <v/>
      </c>
      <c r="DN376" s="313" t="e">
        <f>IF($J376="",#N/A,SUM(DM$4:DM376))</f>
        <v>#N/A</v>
      </c>
      <c r="DO376" s="314" t="str">
        <f t="shared" si="612"/>
        <v/>
      </c>
      <c r="DP376" s="314" t="e">
        <f>IF($J376="",#N/A,SUM(DO$4:DO376))</f>
        <v>#N/A</v>
      </c>
      <c r="DQ376" s="315" t="str">
        <f t="shared" si="613"/>
        <v/>
      </c>
      <c r="DR376" s="315" t="e">
        <f>IF($J376="",#N/A,SUM(DQ$4:DQ376))</f>
        <v>#N/A</v>
      </c>
      <c r="DS376" s="315" t="e">
        <f>IF($J376="",#N/A,SUM(DQ$4:DQ376,DO$4:DO376,DM$4:DM376))</f>
        <v>#N/A</v>
      </c>
      <c r="DT376" s="304" t="str">
        <f t="shared" si="614"/>
        <v/>
      </c>
      <c r="DU376" s="313" t="e">
        <f>IF($J376="",#N/A,SUM(DT$4:DT376))</f>
        <v>#N/A</v>
      </c>
      <c r="DV376" s="314" t="str">
        <f t="shared" si="615"/>
        <v/>
      </c>
      <c r="DW376" s="314" t="e">
        <f>IF($J376="",#N/A,SUM(DV$4:DV376))</f>
        <v>#N/A</v>
      </c>
      <c r="DX376" s="315" t="str">
        <f t="shared" si="616"/>
        <v/>
      </c>
      <c r="DY376" s="315" t="e">
        <f>IF($J376="",#N/A,SUM(DX$4:DX376))</f>
        <v>#N/A</v>
      </c>
      <c r="DZ376" s="315" t="e">
        <f>IF($J376="",#N/A,SUM(DX$4:DX376,DV$4:DV376,DT$4:DT376))</f>
        <v>#N/A</v>
      </c>
      <c r="EA376" s="304" t="str">
        <f t="shared" si="617"/>
        <v/>
      </c>
      <c r="EB376" s="313" t="e">
        <f>IF($J376="",#N/A,SUM(EA$4:EA376))</f>
        <v>#N/A</v>
      </c>
      <c r="EC376" s="314" t="str">
        <f t="shared" si="618"/>
        <v/>
      </c>
      <c r="ED376" s="314" t="e">
        <f>IF($J376="",#N/A,SUM(EC$4:EC376))</f>
        <v>#N/A</v>
      </c>
      <c r="EE376" s="315" t="str">
        <f t="shared" si="619"/>
        <v/>
      </c>
      <c r="EF376" s="315" t="e">
        <f>IF($J376="",#N/A,SUM(EE$4:EE376))</f>
        <v>#N/A</v>
      </c>
      <c r="EG376" s="315" t="e">
        <f>IF($J376="",#N/A,SUM(EE$4:EE376,EC$4:EC376,EA$4:EA376))</f>
        <v>#N/A</v>
      </c>
      <c r="EH376" s="130">
        <f t="shared" si="620"/>
        <v>-9.5999999999999091</v>
      </c>
      <c r="EI376" s="63">
        <f>IF(EH376="",#N/A,SUM($EH$4:EH376))</f>
        <v>1295.7940485895456</v>
      </c>
      <c r="EJ376" s="223" t="e">
        <f t="shared" si="621"/>
        <v>#N/A</v>
      </c>
      <c r="EK376" s="63" t="e">
        <f>IF($GZ376="",#N/A,SUM(EJ$4:EJ376))</f>
        <v>#N/A</v>
      </c>
      <c r="EL376" s="60" t="str">
        <f t="shared" si="651"/>
        <v/>
      </c>
      <c r="EM376" s="60" t="e">
        <f>IF(EL376="",NA(),SUM($EL$4:EL376))</f>
        <v>#N/A</v>
      </c>
      <c r="EN376" s="60" t="str">
        <f t="shared" si="622"/>
        <v/>
      </c>
      <c r="EO376" s="60" t="e">
        <f>IF(EN376="",NA(),SUM($EN$4:EN376))</f>
        <v>#N/A</v>
      </c>
      <c r="EP376" s="60" t="str">
        <f t="shared" si="623"/>
        <v/>
      </c>
      <c r="EQ376" s="60" t="e">
        <f>IF(EP376="",NA(),SUM($EP$4:EP376))</f>
        <v>#N/A</v>
      </c>
      <c r="ER376" s="60" t="str">
        <f t="shared" si="624"/>
        <v/>
      </c>
      <c r="ES376" s="60" t="e">
        <f>IF(ER376="",NA(),SUM($ER$4:ER376))</f>
        <v>#N/A</v>
      </c>
      <c r="ET376" s="60">
        <f t="shared" si="625"/>
        <v>-9.7087378640775782E-2</v>
      </c>
      <c r="EU376" s="60">
        <f>IF(ET376="",NA(),SUM($ET$4:ET376))</f>
        <v>25.845715645141652</v>
      </c>
      <c r="EV376" s="60" t="str">
        <f t="shared" si="626"/>
        <v/>
      </c>
      <c r="EW376" s="60" t="e">
        <f>IF(EV376="",NA(),SUM($EV$4:EV376))</f>
        <v>#N/A</v>
      </c>
      <c r="EX376" s="60">
        <f t="shared" si="627"/>
        <v>-9.7087378640775782E-2</v>
      </c>
      <c r="EY376" s="60">
        <f>IF(EX376="",NA(),SUM($EX$4:EX376))</f>
        <v>7.5658014116441166</v>
      </c>
      <c r="EZ376" s="60" t="str">
        <f t="shared" si="628"/>
        <v/>
      </c>
      <c r="FA376" s="60" t="e">
        <f>IF(EZ376="",NA(),SUM($EZ$4:EZ376))</f>
        <v>#N/A</v>
      </c>
      <c r="FB376" s="246" t="str">
        <f t="shared" si="652"/>
        <v/>
      </c>
      <c r="FC376" s="246" t="e">
        <f>IF($FB376="",#N/A,SUM(FB$4:$FB376))</f>
        <v>#N/A</v>
      </c>
      <c r="FD376" s="60" t="str">
        <f t="shared" si="629"/>
        <v/>
      </c>
      <c r="FE376" s="60" t="e">
        <f>IF($FD376="",#N/A,SUM($FD$4:FD376))</f>
        <v>#N/A</v>
      </c>
      <c r="FF376" s="60" t="str">
        <f t="shared" si="630"/>
        <v/>
      </c>
      <c r="FG376" s="60" t="e">
        <f>IF($FF376="",#N/A,SUM($FF$4:FF376))</f>
        <v>#N/A</v>
      </c>
      <c r="FH376" s="60" t="str">
        <f t="shared" si="631"/>
        <v/>
      </c>
      <c r="FI376" s="60" t="e">
        <f>IF($FH376="",#N/A,SUM($FH$4:FH376))</f>
        <v>#N/A</v>
      </c>
      <c r="FJ376" s="60" t="str">
        <f t="shared" si="632"/>
        <v/>
      </c>
      <c r="FK376" s="60" t="e">
        <f>IF($FJ376="",#N/A,SUM($FJ$4:FJ376))</f>
        <v>#N/A</v>
      </c>
      <c r="FL376" s="60">
        <f t="shared" si="633"/>
        <v>-2.1925566343042089</v>
      </c>
      <c r="FM376" s="60">
        <f>IF($FL376="",#N/A,SUM($FL$4:FL376))</f>
        <v>-7.4129504261007479</v>
      </c>
      <c r="FN376" s="82">
        <f t="shared" si="634"/>
        <v>-2.2896440129449847</v>
      </c>
      <c r="FO376" s="82">
        <f>IF($FN376="",#N/A,SUM(FN$4:$FN376))</f>
        <v>42.861147371954225</v>
      </c>
      <c r="FP376" s="82">
        <f t="shared" si="653"/>
        <v>-9.7087378640775782E-2</v>
      </c>
      <c r="FQ376" s="246">
        <f>IF($EH376="",#N/A,SUM($FP$4:FP376))</f>
        <v>54.343978193482648</v>
      </c>
      <c r="FR376" s="82">
        <f>IFERROR(FQ376/COUNTA($J$4:J376),#N/A)</f>
        <v>0.14569431151067735</v>
      </c>
      <c r="FS376" s="82">
        <f t="shared" si="554"/>
        <v>1.7362517916874366E-2</v>
      </c>
      <c r="FT376" s="82">
        <f t="shared" si="555"/>
        <v>-7.6205429464583571E-2</v>
      </c>
      <c r="FU376" s="338">
        <f t="shared" si="660"/>
        <v>28.328806869523874</v>
      </c>
      <c r="FV376" s="57" t="str">
        <f t="shared" si="659"/>
        <v>SW</v>
      </c>
      <c r="FW376" s="57" t="s">
        <v>2732</v>
      </c>
      <c r="FX376" s="57" t="str">
        <f t="shared" si="635"/>
        <v/>
      </c>
      <c r="FY376" s="57" t="str">
        <f t="shared" si="636"/>
        <v/>
      </c>
      <c r="FZ376" s="57" t="str">
        <f t="shared" si="637"/>
        <v/>
      </c>
      <c r="GA376" s="57" t="str">
        <f t="shared" si="638"/>
        <v>Long</v>
      </c>
      <c r="GB376" s="57" t="str">
        <f t="shared" si="639"/>
        <v/>
      </c>
      <c r="GC376" s="57" t="str">
        <f t="shared" si="640"/>
        <v/>
      </c>
      <c r="GD376" s="57">
        <f t="shared" si="641"/>
        <v>1</v>
      </c>
      <c r="GE376" s="62">
        <f t="shared" si="557"/>
        <v>20.6</v>
      </c>
      <c r="GF376" s="62" t="s">
        <v>2779</v>
      </c>
      <c r="GG376" s="199">
        <v>80</v>
      </c>
      <c r="GH376" s="207">
        <f t="shared" si="642"/>
        <v>1648</v>
      </c>
      <c r="GI376" s="199">
        <v>80</v>
      </c>
      <c r="GJ376" s="200">
        <v>20.8</v>
      </c>
      <c r="GK376" s="63">
        <f t="shared" si="643"/>
        <v>16</v>
      </c>
      <c r="GL376" s="63">
        <f t="shared" si="558"/>
        <v>-226.40000000000009</v>
      </c>
      <c r="GM376" s="82">
        <f t="shared" si="644"/>
        <v>-2.2896440129449847</v>
      </c>
      <c r="GN376" s="82">
        <f>IF($GZ376="",#N/A,SUM(GM$4:GM376))</f>
        <v>10.513500350142477</v>
      </c>
      <c r="GO376" s="82" t="str">
        <f t="shared" si="645"/>
        <v/>
      </c>
      <c r="GP376" s="82">
        <f>IF($GZ376="",#N/A,SUM(GO$4:GO376))</f>
        <v>6.0037363150047494</v>
      </c>
      <c r="GQ376" s="82" t="str">
        <f t="shared" si="646"/>
        <v/>
      </c>
      <c r="GR376" s="82">
        <f>IF($GZ376="",#N/A,SUM(GQ$4:GQ376))</f>
        <v>25.718073752364656</v>
      </c>
      <c r="GS376" s="63" t="e">
        <f t="shared" si="654"/>
        <v>#N/A</v>
      </c>
      <c r="GT376" s="63" t="e">
        <f>IF($GZ376="",#N/A,SUM(GS$4:GS376))</f>
        <v>#N/A</v>
      </c>
      <c r="GU376" s="63" t="str">
        <f t="shared" si="655"/>
        <v/>
      </c>
      <c r="GV376" s="63" t="e">
        <f>IF($GZ376="",#N/A,SUM(GU$4:GU376))</f>
        <v>#N/A</v>
      </c>
      <c r="GW376" s="63" t="str">
        <f t="shared" si="656"/>
        <v/>
      </c>
      <c r="GX376" s="63" t="e">
        <f>IF($GZ376="",#N/A,SUM(GW$4:GW376))</f>
        <v>#N/A</v>
      </c>
      <c r="GY376" s="63" t="e">
        <f>IF(EJ376="",#N/A,SUM($EJ$4:EJ376))</f>
        <v>#N/A</v>
      </c>
      <c r="GZ376" s="159">
        <v>17.77</v>
      </c>
      <c r="HA376" s="63">
        <f t="shared" si="647"/>
        <v>-216.80000000000018</v>
      </c>
      <c r="HB376" s="62" t="s">
        <v>2538</v>
      </c>
      <c r="HC376" s="60">
        <f>IFERROR(VLOOKUP(E376,Expectancy!$P$4:$S$19,1+C376,FALSE),"")</f>
        <v>0.27741610538114203</v>
      </c>
      <c r="HD376" s="82">
        <f t="shared" si="648"/>
        <v>0.16181229773462785</v>
      </c>
      <c r="HE376" s="138">
        <f>IF(HD376="",#N/A,SUM($HD$4:HD376))</f>
        <v>11.485171323958774</v>
      </c>
      <c r="HF376" s="85">
        <f>IF(HD376="",#N/A,IF(HB376="Skip",#N/A,SUM($HG$4:HG376)))</f>
        <v>405.921579219156</v>
      </c>
      <c r="HG376" s="63">
        <f t="shared" si="649"/>
        <v>16</v>
      </c>
      <c r="HH376" s="82">
        <f t="shared" si="650"/>
        <v>-2.2896440129449847</v>
      </c>
    </row>
    <row r="377" spans="1:216" x14ac:dyDescent="0.25">
      <c r="A377" s="465" t="s">
        <v>1441</v>
      </c>
      <c r="B377" s="58" t="str" cm="1">
        <f t="array" ref="B377">IFERROR(_xlfn.XLOOKUP(A377,Earnings!$B$2:$B$9985,LEFT(Earnings!$C$2:$C$9985,37)),"Can't Find Date***")</f>
        <v>on 2/26/25, 7:15 AM Before Market Eas</v>
      </c>
      <c r="C377" s="386">
        <f t="shared" si="561"/>
        <v>1</v>
      </c>
      <c r="D377" s="468" t="str">
        <f>_xlfn.XLOOKUP(A377,[1]SP500!$A$2:$A$502,[1]SP500!$D$2:$D$502,"N")</f>
        <v>Y</v>
      </c>
      <c r="E377" s="465" t="str">
        <f>_xlfn.XLOOKUP(A377,[1]SP500!$A$2:$A$655,[1]SP500!$B$2:$B$655)</f>
        <v>XLI</v>
      </c>
      <c r="F377" s="59">
        <v>45714</v>
      </c>
      <c r="G377" s="57" t="str">
        <f t="shared" si="562"/>
        <v>BMO</v>
      </c>
      <c r="H377" s="57" t="str">
        <f t="shared" si="563"/>
        <v>s</v>
      </c>
      <c r="I377" s="159">
        <v>299.72000000000003</v>
      </c>
      <c r="J377" s="159">
        <v>263.97000000000003</v>
      </c>
      <c r="K377" s="61">
        <f t="shared" si="564"/>
        <v>-0.11927799279327371</v>
      </c>
      <c r="L377" s="87">
        <f t="shared" si="565"/>
        <v>-178.75</v>
      </c>
      <c r="M377" s="130">
        <f t="shared" si="556"/>
        <v>0</v>
      </c>
      <c r="N377" s="169">
        <f t="shared" si="566"/>
        <v>-178.75</v>
      </c>
      <c r="O377" s="169">
        <f>IF($J377="",#N/A,SUM($N$4:N377))</f>
        <v>-184.10328064577561</v>
      </c>
      <c r="P377" s="174" t="str">
        <f t="shared" si="567"/>
        <v/>
      </c>
      <c r="Q377" s="174">
        <f>IF($J377="",#N/A,SUM($P$4:P377))</f>
        <v>116.53499224504333</v>
      </c>
      <c r="R377" s="178" t="str">
        <f t="shared" si="568"/>
        <v/>
      </c>
      <c r="S377" s="178">
        <f>IF($J377="",#N/A,SUM($R$4:R377))</f>
        <v>1184.6123369902778</v>
      </c>
      <c r="T377" s="290">
        <f t="shared" si="569"/>
        <v>-1.9879665465545617</v>
      </c>
      <c r="U377" s="290">
        <f>IF($J377="",#N/A,SUM($T$4:T377))</f>
        <v>11.683887388414128</v>
      </c>
      <c r="V377" s="291" t="str">
        <f t="shared" si="570"/>
        <v/>
      </c>
      <c r="W377" s="291">
        <f>IF($J377="",#N/A,SUM($V$4:V377))</f>
        <v>20.71676331069586</v>
      </c>
      <c r="X377" s="292" t="str">
        <f t="shared" si="571"/>
        <v/>
      </c>
      <c r="Y377" s="292">
        <f>IF($J377="",#N/A,SUM($X$4:X377))</f>
        <v>19.955360947818129</v>
      </c>
      <c r="Z377" s="304" t="str">
        <f t="shared" si="572"/>
        <v/>
      </c>
      <c r="AA377" s="313" t="e">
        <f>IF($J377="",#N/A,SUM(Z$4:Z377))</f>
        <v>#N/A</v>
      </c>
      <c r="AB377" s="314" t="str">
        <f t="shared" si="573"/>
        <v/>
      </c>
      <c r="AC377" s="314" t="e">
        <f>IF($J377="",#N/A,SUM(AB$4:AB377))</f>
        <v>#N/A</v>
      </c>
      <c r="AD377" s="315" t="str">
        <f t="shared" si="574"/>
        <v/>
      </c>
      <c r="AE377" s="315" t="e">
        <f>IF($J377="",#N/A,SUM(AD$4:AD377))</f>
        <v>#N/A</v>
      </c>
      <c r="AF377" s="315" t="e">
        <f>IF($J377="",#N/A,SUM(AD$4:AD377,AB$4:AB377,Z$4:Z377))</f>
        <v>#N/A</v>
      </c>
      <c r="AG377" s="304" t="str">
        <f t="shared" si="575"/>
        <v/>
      </c>
      <c r="AH377" s="313" t="e">
        <f>IF($J377="",#N/A,SUM(AG$4:AG377))</f>
        <v>#N/A</v>
      </c>
      <c r="AI377" s="314" t="str">
        <f t="shared" si="576"/>
        <v/>
      </c>
      <c r="AJ377" s="314" t="e">
        <f>IF($J377="",#N/A,SUM(AI$4:AI377))</f>
        <v>#N/A</v>
      </c>
      <c r="AK377" s="315" t="str">
        <f t="shared" si="577"/>
        <v/>
      </c>
      <c r="AL377" s="315" t="e">
        <f>IF($J377="",#N/A,SUM(AK$4:AK377))</f>
        <v>#N/A</v>
      </c>
      <c r="AM377" s="315" t="e">
        <f>IF($J377="",#N/A,SUM(AK$4:AK377,AI$4:AI377,AG$4:AG377))</f>
        <v>#N/A</v>
      </c>
      <c r="AN377" s="304" t="str">
        <f t="shared" si="578"/>
        <v/>
      </c>
      <c r="AO377" s="313" t="e">
        <f>IF($J377="",#N/A,SUM(AN$4:AN377))</f>
        <v>#N/A</v>
      </c>
      <c r="AP377" s="314" t="str">
        <f t="shared" si="579"/>
        <v/>
      </c>
      <c r="AQ377" s="314" t="e">
        <f>IF($J377="",#N/A,SUM(AP$4:AP377))</f>
        <v>#N/A</v>
      </c>
      <c r="AR377" s="315" t="str">
        <f t="shared" si="580"/>
        <v/>
      </c>
      <c r="AS377" s="315" t="e">
        <f>IF($J377="",#N/A,SUM(AR$4:AR377))</f>
        <v>#N/A</v>
      </c>
      <c r="AT377" s="315" t="e">
        <f>IF($J377="",#N/A,SUM(AR$4:AR377,AP$4:AP377,AN$4:AN377))</f>
        <v>#N/A</v>
      </c>
      <c r="AU377" s="304" t="str">
        <f t="shared" si="581"/>
        <v/>
      </c>
      <c r="AV377" s="313" t="e">
        <f>IF($J377="",#N/A,SUM(AU$4:AU377))</f>
        <v>#N/A</v>
      </c>
      <c r="AW377" s="314" t="str">
        <f t="shared" si="582"/>
        <v/>
      </c>
      <c r="AX377" s="314" t="e">
        <f>IF($J377="",#N/A,SUM(AW$4:AW377))</f>
        <v>#N/A</v>
      </c>
      <c r="AY377" s="315" t="str">
        <f t="shared" si="583"/>
        <v/>
      </c>
      <c r="AZ377" s="315" t="e">
        <f>IF($J377="",#N/A,SUM(AY$4:AY377))</f>
        <v>#N/A</v>
      </c>
      <c r="BA377" s="315" t="e">
        <f>IF($J377="",#N/A,SUM(AY$4:AY377,AW$4:AW377,AU$4:AU377))</f>
        <v>#N/A</v>
      </c>
      <c r="BB377" s="304" t="str">
        <f t="shared" si="584"/>
        <v/>
      </c>
      <c r="BC377" s="313" t="e">
        <f>IF($J377="",#N/A,SUM(BB$4:BB377))</f>
        <v>#N/A</v>
      </c>
      <c r="BD377" s="314" t="str">
        <f t="shared" si="585"/>
        <v/>
      </c>
      <c r="BE377" s="314" t="e">
        <f>IF($J377="",#N/A,SUM(BD$4:BD377))</f>
        <v>#N/A</v>
      </c>
      <c r="BF377" s="315" t="str">
        <f t="shared" si="586"/>
        <v/>
      </c>
      <c r="BG377" s="315" t="e">
        <f>IF($J377="",#N/A,SUM(BF$4:BF377))</f>
        <v>#N/A</v>
      </c>
      <c r="BH377" s="315" t="e">
        <f>IF($J377="",#N/A,SUM(BF$4:BF377,BD$4:BD377,BB$4:BB377))</f>
        <v>#N/A</v>
      </c>
      <c r="BI377" s="304" t="str">
        <f t="shared" si="587"/>
        <v/>
      </c>
      <c r="BJ377" s="313" t="e">
        <f>IF($J377="",#N/A,SUM(BI$4:BI377))</f>
        <v>#N/A</v>
      </c>
      <c r="BK377" s="314" t="str">
        <f t="shared" si="588"/>
        <v/>
      </c>
      <c r="BL377" s="314" t="e">
        <f>IF($J377="",#N/A,SUM(BK$4:BK377))</f>
        <v>#N/A</v>
      </c>
      <c r="BM377" s="315" t="str">
        <f t="shared" si="589"/>
        <v/>
      </c>
      <c r="BN377" s="315" t="e">
        <f>IF($J377="",#N/A,SUM(BM$4:BM377))</f>
        <v>#N/A</v>
      </c>
      <c r="BO377" s="315" t="e">
        <f>IF($J377="",#N/A,SUM(BM$4:BM377,BK$4:BK377,BI$4:BI377))</f>
        <v>#N/A</v>
      </c>
      <c r="BP377" s="304">
        <f t="shared" si="590"/>
        <v>-1.9879665465545617</v>
      </c>
      <c r="BQ377" s="313" t="e">
        <f>IF($J377="",#N/A,SUM(BP$4:BP377))</f>
        <v>#N/A</v>
      </c>
      <c r="BR377" s="314" t="str">
        <f t="shared" si="591"/>
        <v/>
      </c>
      <c r="BS377" s="314" t="e">
        <f>IF($J377="",#N/A,SUM(BR$4:BR377))</f>
        <v>#N/A</v>
      </c>
      <c r="BT377" s="315" t="str">
        <f t="shared" si="592"/>
        <v/>
      </c>
      <c r="BU377" s="315" t="e">
        <f>IF($J377="",#N/A,SUM(BT$4:BT377))</f>
        <v>#N/A</v>
      </c>
      <c r="BV377" s="315" t="e">
        <f>IF($J377="",#N/A,SUM(BT$4:BT377,BR$4:BR377,BP$4:BP377))</f>
        <v>#N/A</v>
      </c>
      <c r="BW377" s="304" t="str">
        <f t="shared" si="593"/>
        <v/>
      </c>
      <c r="BX377" s="313" t="e">
        <f>IF($J377="",#N/A,SUM(BW$4:BW377))</f>
        <v>#N/A</v>
      </c>
      <c r="BY377" s="314" t="str">
        <f t="shared" si="594"/>
        <v/>
      </c>
      <c r="BZ377" s="314" t="e">
        <f>IF($J377="",#N/A,SUM(BY$4:BY377))</f>
        <v>#N/A</v>
      </c>
      <c r="CA377" s="315" t="str">
        <f t="shared" si="595"/>
        <v/>
      </c>
      <c r="CB377" s="315" t="e">
        <f>IF($J377="",#N/A,SUM(CA$4:CA377))</f>
        <v>#N/A</v>
      </c>
      <c r="CC377" s="315" t="e">
        <f>IF($J377="",#N/A,SUM(CA$4:CA377,BY$4:BY377,BW$4:BW377))</f>
        <v>#N/A</v>
      </c>
      <c r="CD377" s="304" t="str">
        <f t="shared" si="596"/>
        <v/>
      </c>
      <c r="CE377" s="313" t="e">
        <f>IF($J377="",#N/A,SUM(CD$4:CD377))</f>
        <v>#N/A</v>
      </c>
      <c r="CF377" s="314" t="str">
        <f t="shared" si="597"/>
        <v/>
      </c>
      <c r="CG377" s="314" t="e">
        <f>IF($J377="",#N/A,SUM(CF$4:CF377))</f>
        <v>#N/A</v>
      </c>
      <c r="CH377" s="315" t="str">
        <f t="shared" si="598"/>
        <v/>
      </c>
      <c r="CI377" s="315" t="e">
        <f>IF($J377="",#N/A,SUM(CH$4:CH377))</f>
        <v>#N/A</v>
      </c>
      <c r="CJ377" s="315" t="e">
        <f>IF($J377="",#N/A,SUM(CH$4:CH377,CF$4:CF377,CD$4:CD377))</f>
        <v>#N/A</v>
      </c>
      <c r="CK377" s="304" t="str">
        <f t="shared" si="599"/>
        <v/>
      </c>
      <c r="CL377" s="313" t="e">
        <f>IF($J377="",#N/A,SUM(CK$4:CK377))</f>
        <v>#N/A</v>
      </c>
      <c r="CM377" s="314" t="str">
        <f t="shared" si="600"/>
        <v/>
      </c>
      <c r="CN377" s="314" t="e">
        <f>IF($J377="",#N/A,SUM(CM$4:CM377))</f>
        <v>#N/A</v>
      </c>
      <c r="CO377" s="315" t="str">
        <f t="shared" si="601"/>
        <v/>
      </c>
      <c r="CP377" s="315" t="e">
        <f>IF($J377="",#N/A,SUM(CO$4:CO377))</f>
        <v>#N/A</v>
      </c>
      <c r="CQ377" s="315" t="e">
        <f>IF($J377="",#N/A,SUM(CO$4:CO377,CM$4:CM377,CK$4:CK377))</f>
        <v>#N/A</v>
      </c>
      <c r="CR377" s="304" t="str">
        <f t="shared" si="602"/>
        <v/>
      </c>
      <c r="CS377" s="313" t="e">
        <f>IF($J377="",#N/A,SUM(CR$4:CR377))</f>
        <v>#N/A</v>
      </c>
      <c r="CT377" s="314" t="str">
        <f t="shared" si="603"/>
        <v/>
      </c>
      <c r="CU377" s="314" t="e">
        <f>IF($J377="",#N/A,SUM(CT$4:CT377))</f>
        <v>#N/A</v>
      </c>
      <c r="CV377" s="315" t="str">
        <f t="shared" si="604"/>
        <v/>
      </c>
      <c r="CW377" s="315" t="e">
        <f>IF($J377="",#N/A,SUM(CV$4:CV377))</f>
        <v>#N/A</v>
      </c>
      <c r="CX377" s="315" t="e">
        <f>IF($J377="",#N/A,SUM(CV$4:CV377,CT$4:CT377,CR$4:CR377))</f>
        <v>#N/A</v>
      </c>
      <c r="CY377" s="304" t="str">
        <f t="shared" si="605"/>
        <v/>
      </c>
      <c r="CZ377" s="313" t="e">
        <f>IF($J377="",#N/A,SUM(CY$4:CY377))</f>
        <v>#N/A</v>
      </c>
      <c r="DA377" s="314" t="str">
        <f t="shared" si="606"/>
        <v/>
      </c>
      <c r="DB377" s="314" t="e">
        <f>IF($J377="",#N/A,SUM(DA$4:DA377))</f>
        <v>#N/A</v>
      </c>
      <c r="DC377" s="315" t="str">
        <f t="shared" si="607"/>
        <v/>
      </c>
      <c r="DD377" s="315" t="e">
        <f>IF($J377="",#N/A,SUM(DC$4:DC377))</f>
        <v>#N/A</v>
      </c>
      <c r="DE377" s="315" t="e">
        <f>IF($J377="",#N/A,SUM(DC$4:DC377,DA$4:DA377,CY$4:CY377))</f>
        <v>#N/A</v>
      </c>
      <c r="DF377" s="304" t="str">
        <f t="shared" si="608"/>
        <v/>
      </c>
      <c r="DG377" s="313" t="e">
        <f>IF($J377="",#N/A,SUM(DF$4:DF377))</f>
        <v>#N/A</v>
      </c>
      <c r="DH377" s="314" t="str">
        <f t="shared" si="609"/>
        <v/>
      </c>
      <c r="DI377" s="314" t="e">
        <f>IF($J377="",#N/A,SUM(DH$4:DH377))</f>
        <v>#N/A</v>
      </c>
      <c r="DJ377" s="315" t="str">
        <f t="shared" si="610"/>
        <v/>
      </c>
      <c r="DK377" s="315" t="e">
        <f>IF($J377="",#N/A,SUM(DJ$4:DJ377))</f>
        <v>#N/A</v>
      </c>
      <c r="DL377" s="315" t="e">
        <f>IF($J377="",#N/A,SUM(DJ$4:DJ377,DH$4:DH377,DF$4:DF377))</f>
        <v>#N/A</v>
      </c>
      <c r="DM377" s="304" t="str">
        <f t="shared" si="611"/>
        <v/>
      </c>
      <c r="DN377" s="313" t="e">
        <f>IF($J377="",#N/A,SUM(DM$4:DM377))</f>
        <v>#N/A</v>
      </c>
      <c r="DO377" s="314" t="str">
        <f t="shared" si="612"/>
        <v/>
      </c>
      <c r="DP377" s="314" t="e">
        <f>IF($J377="",#N/A,SUM(DO$4:DO377))</f>
        <v>#N/A</v>
      </c>
      <c r="DQ377" s="315" t="str">
        <f t="shared" si="613"/>
        <v/>
      </c>
      <c r="DR377" s="315" t="e">
        <f>IF($J377="",#N/A,SUM(DQ$4:DQ377))</f>
        <v>#N/A</v>
      </c>
      <c r="DS377" s="315" t="e">
        <f>IF($J377="",#N/A,SUM(DQ$4:DQ377,DO$4:DO377,DM$4:DM377))</f>
        <v>#N/A</v>
      </c>
      <c r="DT377" s="304" t="str">
        <f t="shared" si="614"/>
        <v/>
      </c>
      <c r="DU377" s="313" t="e">
        <f>IF($J377="",#N/A,SUM(DT$4:DT377))</f>
        <v>#N/A</v>
      </c>
      <c r="DV377" s="314" t="str">
        <f t="shared" si="615"/>
        <v/>
      </c>
      <c r="DW377" s="314" t="e">
        <f>IF($J377="",#N/A,SUM(DV$4:DV377))</f>
        <v>#N/A</v>
      </c>
      <c r="DX377" s="315" t="str">
        <f t="shared" si="616"/>
        <v/>
      </c>
      <c r="DY377" s="315" t="e">
        <f>IF($J377="",#N/A,SUM(DX$4:DX377))</f>
        <v>#N/A</v>
      </c>
      <c r="DZ377" s="315" t="e">
        <f>IF($J377="",#N/A,SUM(DX$4:DX377,DV$4:DV377,DT$4:DT377))</f>
        <v>#N/A</v>
      </c>
      <c r="EA377" s="304" t="str">
        <f t="shared" si="617"/>
        <v/>
      </c>
      <c r="EB377" s="313" t="e">
        <f>IF($J377="",#N/A,SUM(EA$4:EA377))</f>
        <v>#N/A</v>
      </c>
      <c r="EC377" s="314" t="str">
        <f t="shared" si="618"/>
        <v/>
      </c>
      <c r="ED377" s="314" t="e">
        <f>IF($J377="",#N/A,SUM(EC$4:EC377))</f>
        <v>#N/A</v>
      </c>
      <c r="EE377" s="315" t="str">
        <f t="shared" si="619"/>
        <v/>
      </c>
      <c r="EF377" s="315" t="e">
        <f>IF($J377="",#N/A,SUM(EE$4:EE377))</f>
        <v>#N/A</v>
      </c>
      <c r="EG377" s="315" t="e">
        <f>IF($J377="",#N/A,SUM(EE$4:EE377,EC$4:EC377,EA$4:EA377))</f>
        <v>#N/A</v>
      </c>
      <c r="EH377" s="130">
        <f t="shared" si="620"/>
        <v>-178.75</v>
      </c>
      <c r="EI377" s="63">
        <f>IF(EH377="",#N/A,SUM($EH$4:EH377))</f>
        <v>1117.0440485895456</v>
      </c>
      <c r="EJ377" s="223" t="e">
        <f t="shared" si="621"/>
        <v>#N/A</v>
      </c>
      <c r="EK377" s="63" t="e">
        <f>IF($GZ377="",#N/A,SUM(EJ$4:EJ377))</f>
        <v>#N/A</v>
      </c>
      <c r="EL377" s="60">
        <f t="shared" si="651"/>
        <v>-1.9879665465545617</v>
      </c>
      <c r="EM377" s="60">
        <f>IF(EL377="",NA(),SUM($EL$4:EL377))</f>
        <v>26.510296001786472</v>
      </c>
      <c r="EN377" s="60">
        <f t="shared" si="622"/>
        <v>-1.9879665465545617</v>
      </c>
      <c r="EO377" s="60">
        <f>IF(EN377="",NA(),SUM($EN$4:EN377))</f>
        <v>6.1837851391980987</v>
      </c>
      <c r="EP377" s="60" t="str">
        <f t="shared" si="623"/>
        <v/>
      </c>
      <c r="EQ377" s="60" t="e">
        <f>IF(EP377="",NA(),SUM($EP$4:EP377))</f>
        <v>#N/A</v>
      </c>
      <c r="ER377" s="60" t="str">
        <f t="shared" si="624"/>
        <v/>
      </c>
      <c r="ES377" s="60" t="e">
        <f>IF(ER377="",NA(),SUM($ER$4:ER377))</f>
        <v>#N/A</v>
      </c>
      <c r="ET377" s="60" t="str">
        <f t="shared" si="625"/>
        <v/>
      </c>
      <c r="EU377" s="60" t="e">
        <f>IF(ET377="",NA(),SUM($ET$4:ET377))</f>
        <v>#N/A</v>
      </c>
      <c r="EV377" s="60" t="str">
        <f t="shared" si="626"/>
        <v/>
      </c>
      <c r="EW377" s="60" t="e">
        <f>IF(EV377="",NA(),SUM($EV$4:EV377))</f>
        <v>#N/A</v>
      </c>
      <c r="EX377" s="60" t="str">
        <f t="shared" si="627"/>
        <v/>
      </c>
      <c r="EY377" s="60" t="e">
        <f>IF(EX377="",NA(),SUM($EX$4:EX377))</f>
        <v>#N/A</v>
      </c>
      <c r="EZ377" s="60" t="str">
        <f t="shared" si="628"/>
        <v/>
      </c>
      <c r="FA377" s="60" t="e">
        <f>IF(EZ377="",NA(),SUM($EZ$4:EZ377))</f>
        <v>#N/A</v>
      </c>
      <c r="FB377" s="246" t="str">
        <f t="shared" si="652"/>
        <v/>
      </c>
      <c r="FC377" s="246" t="e">
        <f>IF($FB377="",#N/A,SUM(FB$4:$FB377))</f>
        <v>#N/A</v>
      </c>
      <c r="FD377" s="60" t="str">
        <f t="shared" si="629"/>
        <v/>
      </c>
      <c r="FE377" s="60" t="e">
        <f>IF($FD377="",#N/A,SUM($FD$4:FD377))</f>
        <v>#N/A</v>
      </c>
      <c r="FF377" s="60" t="str">
        <f t="shared" si="630"/>
        <v/>
      </c>
      <c r="FG377" s="60" t="e">
        <f>IF($FF377="",#N/A,SUM($FF$4:FF377))</f>
        <v>#N/A</v>
      </c>
      <c r="FH377" s="60">
        <f t="shared" si="631"/>
        <v>1.3379153876951788</v>
      </c>
      <c r="FI377" s="60">
        <f>IF($FH377="",#N/A,SUM($FH$4:FH377))</f>
        <v>1.07831364788493</v>
      </c>
      <c r="FJ377" s="60" t="str">
        <f t="shared" si="632"/>
        <v/>
      </c>
      <c r="FK377" s="60" t="e">
        <f>IF($FJ377="",#N/A,SUM($FJ$4:FJ377))</f>
        <v>#N/A</v>
      </c>
      <c r="FL377" s="60" t="str">
        <f t="shared" si="633"/>
        <v/>
      </c>
      <c r="FM377" s="60" t="e">
        <f>IF($FL377="",#N/A,SUM($FL$4:FL377))</f>
        <v>#N/A</v>
      </c>
      <c r="FN377" s="82">
        <f t="shared" si="634"/>
        <v>-0.6500511588593828</v>
      </c>
      <c r="FO377" s="82">
        <f>IF($FN377="",#N/A,SUM(FN$4:$FN377))</f>
        <v>42.211096213094841</v>
      </c>
      <c r="FP377" s="82">
        <f t="shared" si="653"/>
        <v>-1.9879665465545617</v>
      </c>
      <c r="FQ377" s="246">
        <f>IF($EH377="",#N/A,SUM($FP$4:FP377))</f>
        <v>52.356011646928089</v>
      </c>
      <c r="FR377" s="82">
        <f>IFERROR(FQ377/COUNTA($J$4:J377),#N/A)</f>
        <v>0.13998933595435317</v>
      </c>
      <c r="FS377" s="82">
        <f t="shared" ref="FS377:FS440" si="661">IFERROR(($FQ377-$FQ328)/COUNTA($J328:$J377),#N/A)</f>
        <v>-3.0086986241314832E-2</v>
      </c>
      <c r="FT377" s="82">
        <f t="shared" ref="FT377:FT440" si="662">IFERROR(($FQ377-$FQ353)/COUNTA($J353:$J377),#N/A)</f>
        <v>-0.10240373657876688</v>
      </c>
      <c r="FU377" s="338">
        <f t="shared" si="660"/>
        <v>28.328806869523874</v>
      </c>
      <c r="FV377" s="57" t="str">
        <f t="shared" si="659"/>
        <v>Up</v>
      </c>
      <c r="FW377" s="57" t="s">
        <v>2734</v>
      </c>
      <c r="FX377" s="57" t="str">
        <f t="shared" si="635"/>
        <v/>
      </c>
      <c r="FY377" s="57" t="str">
        <f t="shared" si="636"/>
        <v/>
      </c>
      <c r="FZ377" s="57" t="str">
        <f t="shared" si="637"/>
        <v/>
      </c>
      <c r="GA377" s="57" t="str">
        <f t="shared" si="638"/>
        <v>Long</v>
      </c>
      <c r="GB377" s="57" t="str">
        <f t="shared" si="639"/>
        <v/>
      </c>
      <c r="GC377" s="57">
        <f t="shared" si="640"/>
        <v>1</v>
      </c>
      <c r="GD377" s="57" t="str">
        <f t="shared" si="641"/>
        <v/>
      </c>
      <c r="GE377" s="62">
        <f t="shared" si="557"/>
        <v>299.72000000000003</v>
      </c>
      <c r="GF377" s="62" t="s">
        <v>2779</v>
      </c>
      <c r="GG377" s="199">
        <v>5</v>
      </c>
      <c r="GH377" s="207">
        <f t="shared" si="642"/>
        <v>1498.6000000000001</v>
      </c>
      <c r="GI377" s="199">
        <v>5</v>
      </c>
      <c r="GJ377" s="200">
        <v>263.97000000000003</v>
      </c>
      <c r="GK377" s="63">
        <f t="shared" si="643"/>
        <v>-178.75</v>
      </c>
      <c r="GL377" s="63">
        <f t="shared" si="558"/>
        <v>-58.450000000000273</v>
      </c>
      <c r="GM377" s="82" t="str">
        <f t="shared" si="644"/>
        <v/>
      </c>
      <c r="GN377" s="82">
        <f>IF($GZ377="",#N/A,SUM(GM$4:GM377))</f>
        <v>10.513500350142477</v>
      </c>
      <c r="GO377" s="82">
        <f t="shared" si="645"/>
        <v>-0.6500511588593828</v>
      </c>
      <c r="GP377" s="82">
        <f>IF($GZ377="",#N/A,SUM(GO$4:GO377))</f>
        <v>5.3536851561453664</v>
      </c>
      <c r="GQ377" s="82" t="str">
        <f t="shared" si="646"/>
        <v/>
      </c>
      <c r="GR377" s="82">
        <f>IF($GZ377="",#N/A,SUM(GQ$4:GQ377))</f>
        <v>25.718073752364656</v>
      </c>
      <c r="GS377" s="63" t="str">
        <f t="shared" si="654"/>
        <v/>
      </c>
      <c r="GT377" s="63" t="e">
        <f>IF($GZ377="",#N/A,SUM(GS$4:GS377))</f>
        <v>#N/A</v>
      </c>
      <c r="GU377" s="63" t="e">
        <f t="shared" si="655"/>
        <v>#N/A</v>
      </c>
      <c r="GV377" s="63" t="e">
        <f>IF($GZ377="",#N/A,SUM(GU$4:GU377))</f>
        <v>#N/A</v>
      </c>
      <c r="GW377" s="63" t="str">
        <f t="shared" si="656"/>
        <v/>
      </c>
      <c r="GX377" s="63" t="e">
        <f>IF($GZ377="",#N/A,SUM(GW$4:GW377))</f>
        <v>#N/A</v>
      </c>
      <c r="GY377" s="63" t="e">
        <f>IF(EJ377="",#N/A,SUM($EJ$4:EJ377))</f>
        <v>#N/A</v>
      </c>
      <c r="GZ377" s="159">
        <v>288.02999999999997</v>
      </c>
      <c r="HA377" s="63">
        <f t="shared" si="647"/>
        <v>120.29999999999973</v>
      </c>
      <c r="HB377" s="62" t="s">
        <v>2538</v>
      </c>
      <c r="HC377" s="60">
        <f>IFERROR(VLOOKUP(E377,Expectancy!$P$4:$S$19,1+C377,FALSE),"")</f>
        <v>-4.1762476788754908E-2</v>
      </c>
      <c r="HD377" s="82">
        <f t="shared" si="648"/>
        <v>-1.9879665465545617</v>
      </c>
      <c r="HE377" s="138">
        <f>IF(HD377="",#N/A,SUM($HD$4:HD377))</f>
        <v>9.4972047774042121</v>
      </c>
      <c r="HF377" s="85">
        <f>IF(HD377="",#N/A,IF(HB377="Skip",#N/A,SUM($HG$4:HG377)))</f>
        <v>227.171579219156</v>
      </c>
      <c r="HG377" s="63">
        <f t="shared" si="649"/>
        <v>-178.75</v>
      </c>
      <c r="HH377" s="82">
        <f t="shared" si="650"/>
        <v>-0.6500511588593828</v>
      </c>
    </row>
    <row r="378" spans="1:216" x14ac:dyDescent="0.25">
      <c r="A378" s="57" t="s">
        <v>1079</v>
      </c>
      <c r="B378" s="58" t="str" cm="1">
        <f t="array" ref="B378">IFERROR(_xlfn.XLOOKUP(A378,Earnings!$B$2:$B$9985,LEFT(Earnings!$C$2:$C$9985,37)),"Can't Find Date***")</f>
        <v>on 2/26/25, 6:00 AM Before Market Eas</v>
      </c>
      <c r="C378" s="386">
        <f t="shared" si="561"/>
        <v>3</v>
      </c>
      <c r="D378" s="372" t="str">
        <f>_xlfn.XLOOKUP(A378,[1]SP500!$A$2:$A$502,[1]SP500!$D$2:$D$502,"N")</f>
        <v>Y</v>
      </c>
      <c r="E378" s="57" t="str">
        <f>_xlfn.XLOOKUP(A378,[1]SP500!$A$2:$A$655,[1]SP500!$B$2:$B$655)</f>
        <v>XLY</v>
      </c>
      <c r="F378" s="59">
        <v>45714</v>
      </c>
      <c r="G378" s="57" t="str">
        <f t="shared" si="562"/>
        <v>BMO</v>
      </c>
      <c r="H378" s="57" t="str">
        <f t="shared" si="563"/>
        <v>s</v>
      </c>
      <c r="I378" s="159">
        <v>242.39</v>
      </c>
      <c r="J378" s="159">
        <v>251.93</v>
      </c>
      <c r="K378" s="61">
        <f t="shared" si="564"/>
        <v>3.9358059325879866E-2</v>
      </c>
      <c r="L378" s="87">
        <f t="shared" si="565"/>
        <v>66.779999999999973</v>
      </c>
      <c r="M378" s="130">
        <f t="shared" si="556"/>
        <v>0.49000000000000909</v>
      </c>
      <c r="N378" s="169" t="str">
        <f t="shared" si="566"/>
        <v/>
      </c>
      <c r="O378" s="169">
        <f>IF($J378="",#N/A,SUM($N$4:N378))</f>
        <v>-184.10328064577561</v>
      </c>
      <c r="P378" s="174" t="str">
        <f t="shared" si="567"/>
        <v/>
      </c>
      <c r="Q378" s="174">
        <f>IF($J378="",#N/A,SUM($P$4:P378))</f>
        <v>116.53499224504333</v>
      </c>
      <c r="R378" s="178">
        <f t="shared" si="568"/>
        <v>66.779999999999973</v>
      </c>
      <c r="S378" s="178">
        <f>IF($J378="",#N/A,SUM($R$4:R378))</f>
        <v>1251.3923369902777</v>
      </c>
      <c r="T378" s="290" t="str">
        <f t="shared" si="569"/>
        <v/>
      </c>
      <c r="U378" s="290">
        <f>IF($J378="",#N/A,SUM($T$4:T378))</f>
        <v>11.683887388414128</v>
      </c>
      <c r="V378" s="291" t="str">
        <f t="shared" si="570"/>
        <v/>
      </c>
      <c r="W378" s="291">
        <f>IF($J378="",#N/A,SUM($V$4:V378))</f>
        <v>20.71676331069586</v>
      </c>
      <c r="X378" s="292">
        <f t="shared" si="571"/>
        <v>0.6559676554313294</v>
      </c>
      <c r="Y378" s="292">
        <f>IF($J378="",#N/A,SUM($X$4:X378))</f>
        <v>20.611328603249458</v>
      </c>
      <c r="Z378" s="304" t="str">
        <f t="shared" si="572"/>
        <v/>
      </c>
      <c r="AA378" s="313" t="e">
        <f>IF($J378="",#N/A,SUM(Z$4:Z378))</f>
        <v>#N/A</v>
      </c>
      <c r="AB378" s="314" t="str">
        <f t="shared" si="573"/>
        <v/>
      </c>
      <c r="AC378" s="314" t="e">
        <f>IF($J378="",#N/A,SUM(AB$4:AB378))</f>
        <v>#N/A</v>
      </c>
      <c r="AD378" s="315" t="str">
        <f t="shared" si="574"/>
        <v/>
      </c>
      <c r="AE378" s="315" t="e">
        <f>IF($J378="",#N/A,SUM(AD$4:AD378))</f>
        <v>#N/A</v>
      </c>
      <c r="AF378" s="315" t="e">
        <f>IF($J378="",#N/A,SUM(AD$4:AD378,AB$4:AB378,Z$4:Z378))</f>
        <v>#N/A</v>
      </c>
      <c r="AG378" s="304" t="str">
        <f t="shared" si="575"/>
        <v/>
      </c>
      <c r="AH378" s="313" t="e">
        <f>IF($J378="",#N/A,SUM(AG$4:AG378))</f>
        <v>#N/A</v>
      </c>
      <c r="AI378" s="314" t="str">
        <f t="shared" si="576"/>
        <v/>
      </c>
      <c r="AJ378" s="314" t="e">
        <f>IF($J378="",#N/A,SUM(AI$4:AI378))</f>
        <v>#N/A</v>
      </c>
      <c r="AK378" s="315" t="str">
        <f t="shared" si="577"/>
        <v/>
      </c>
      <c r="AL378" s="315" t="e">
        <f>IF($J378="",#N/A,SUM(AK$4:AK378))</f>
        <v>#N/A</v>
      </c>
      <c r="AM378" s="315" t="e">
        <f>IF($J378="",#N/A,SUM(AK$4:AK378,AI$4:AI378,AG$4:AG378))</f>
        <v>#N/A</v>
      </c>
      <c r="AN378" s="304" t="str">
        <f t="shared" si="578"/>
        <v/>
      </c>
      <c r="AO378" s="313" t="e">
        <f>IF($J378="",#N/A,SUM(AN$4:AN378))</f>
        <v>#N/A</v>
      </c>
      <c r="AP378" s="314" t="str">
        <f t="shared" si="579"/>
        <v/>
      </c>
      <c r="AQ378" s="314" t="e">
        <f>IF($J378="",#N/A,SUM(AP$4:AP378))</f>
        <v>#N/A</v>
      </c>
      <c r="AR378" s="315">
        <f t="shared" si="580"/>
        <v>0.6559676554313294</v>
      </c>
      <c r="AS378" s="315" t="e">
        <f>IF($J378="",#N/A,SUM(AR$4:AR378))</f>
        <v>#N/A</v>
      </c>
      <c r="AT378" s="315" t="e">
        <f>IF($J378="",#N/A,SUM(AR$4:AR378,AP$4:AP378,AN$4:AN378))</f>
        <v>#N/A</v>
      </c>
      <c r="AU378" s="304" t="str">
        <f t="shared" si="581"/>
        <v/>
      </c>
      <c r="AV378" s="313" t="e">
        <f>IF($J378="",#N/A,SUM(AU$4:AU378))</f>
        <v>#N/A</v>
      </c>
      <c r="AW378" s="314" t="str">
        <f t="shared" si="582"/>
        <v/>
      </c>
      <c r="AX378" s="314" t="e">
        <f>IF($J378="",#N/A,SUM(AW$4:AW378))</f>
        <v>#N/A</v>
      </c>
      <c r="AY378" s="315" t="str">
        <f t="shared" si="583"/>
        <v/>
      </c>
      <c r="AZ378" s="315" t="e">
        <f>IF($J378="",#N/A,SUM(AY$4:AY378))</f>
        <v>#N/A</v>
      </c>
      <c r="BA378" s="315" t="e">
        <f>IF($J378="",#N/A,SUM(AY$4:AY378,AW$4:AW378,AU$4:AU378))</f>
        <v>#N/A</v>
      </c>
      <c r="BB378" s="304" t="str">
        <f t="shared" si="584"/>
        <v/>
      </c>
      <c r="BC378" s="313" t="e">
        <f>IF($J378="",#N/A,SUM(BB$4:BB378))</f>
        <v>#N/A</v>
      </c>
      <c r="BD378" s="314" t="str">
        <f t="shared" si="585"/>
        <v/>
      </c>
      <c r="BE378" s="314" t="e">
        <f>IF($J378="",#N/A,SUM(BD$4:BD378))</f>
        <v>#N/A</v>
      </c>
      <c r="BF378" s="315" t="str">
        <f t="shared" si="586"/>
        <v/>
      </c>
      <c r="BG378" s="315" t="e">
        <f>IF($J378="",#N/A,SUM(BF$4:BF378))</f>
        <v>#N/A</v>
      </c>
      <c r="BH378" s="315" t="e">
        <f>IF($J378="",#N/A,SUM(BF$4:BF378,BD$4:BD378,BB$4:BB378))</f>
        <v>#N/A</v>
      </c>
      <c r="BI378" s="304" t="str">
        <f t="shared" si="587"/>
        <v/>
      </c>
      <c r="BJ378" s="313" t="e">
        <f>IF($J378="",#N/A,SUM(BI$4:BI378))</f>
        <v>#N/A</v>
      </c>
      <c r="BK378" s="314" t="str">
        <f t="shared" si="588"/>
        <v/>
      </c>
      <c r="BL378" s="314" t="e">
        <f>IF($J378="",#N/A,SUM(BK$4:BK378))</f>
        <v>#N/A</v>
      </c>
      <c r="BM378" s="315" t="str">
        <f t="shared" si="589"/>
        <v/>
      </c>
      <c r="BN378" s="315" t="e">
        <f>IF($J378="",#N/A,SUM(BM$4:BM378))</f>
        <v>#N/A</v>
      </c>
      <c r="BO378" s="315" t="e">
        <f>IF($J378="",#N/A,SUM(BM$4:BM378,BK$4:BK378,BI$4:BI378))</f>
        <v>#N/A</v>
      </c>
      <c r="BP378" s="304" t="str">
        <f t="shared" si="590"/>
        <v/>
      </c>
      <c r="BQ378" s="313" t="e">
        <f>IF($J378="",#N/A,SUM(BP$4:BP378))</f>
        <v>#N/A</v>
      </c>
      <c r="BR378" s="314" t="str">
        <f t="shared" si="591"/>
        <v/>
      </c>
      <c r="BS378" s="314" t="e">
        <f>IF($J378="",#N/A,SUM(BR$4:BR378))</f>
        <v>#N/A</v>
      </c>
      <c r="BT378" s="315" t="str">
        <f t="shared" si="592"/>
        <v/>
      </c>
      <c r="BU378" s="315" t="e">
        <f>IF($J378="",#N/A,SUM(BT$4:BT378))</f>
        <v>#N/A</v>
      </c>
      <c r="BV378" s="315" t="e">
        <f>IF($J378="",#N/A,SUM(BT$4:BT378,BR$4:BR378,BP$4:BP378))</f>
        <v>#N/A</v>
      </c>
      <c r="BW378" s="304" t="str">
        <f t="shared" si="593"/>
        <v/>
      </c>
      <c r="BX378" s="313" t="e">
        <f>IF($J378="",#N/A,SUM(BW$4:BW378))</f>
        <v>#N/A</v>
      </c>
      <c r="BY378" s="314" t="str">
        <f t="shared" si="594"/>
        <v/>
      </c>
      <c r="BZ378" s="314" t="e">
        <f>IF($J378="",#N/A,SUM(BY$4:BY378))</f>
        <v>#N/A</v>
      </c>
      <c r="CA378" s="315" t="str">
        <f t="shared" si="595"/>
        <v/>
      </c>
      <c r="CB378" s="315" t="e">
        <f>IF($J378="",#N/A,SUM(CA$4:CA378))</f>
        <v>#N/A</v>
      </c>
      <c r="CC378" s="315" t="e">
        <f>IF($J378="",#N/A,SUM(CA$4:CA378,BY$4:BY378,BW$4:BW378))</f>
        <v>#N/A</v>
      </c>
      <c r="CD378" s="304" t="str">
        <f t="shared" si="596"/>
        <v/>
      </c>
      <c r="CE378" s="313" t="e">
        <f>IF($J378="",#N/A,SUM(CD$4:CD378))</f>
        <v>#N/A</v>
      </c>
      <c r="CF378" s="314" t="str">
        <f t="shared" si="597"/>
        <v/>
      </c>
      <c r="CG378" s="314" t="e">
        <f>IF($J378="",#N/A,SUM(CF$4:CF378))</f>
        <v>#N/A</v>
      </c>
      <c r="CH378" s="315" t="str">
        <f t="shared" si="598"/>
        <v/>
      </c>
      <c r="CI378" s="315" t="e">
        <f>IF($J378="",#N/A,SUM(CH$4:CH378))</f>
        <v>#N/A</v>
      </c>
      <c r="CJ378" s="315" t="e">
        <f>IF($J378="",#N/A,SUM(CH$4:CH378,CF$4:CF378,CD$4:CD378))</f>
        <v>#N/A</v>
      </c>
      <c r="CK378" s="304" t="str">
        <f t="shared" si="599"/>
        <v/>
      </c>
      <c r="CL378" s="313" t="e">
        <f>IF($J378="",#N/A,SUM(CK$4:CK378))</f>
        <v>#N/A</v>
      </c>
      <c r="CM378" s="314" t="str">
        <f t="shared" si="600"/>
        <v/>
      </c>
      <c r="CN378" s="314" t="e">
        <f>IF($J378="",#N/A,SUM(CM$4:CM378))</f>
        <v>#N/A</v>
      </c>
      <c r="CO378" s="315" t="str">
        <f t="shared" si="601"/>
        <v/>
      </c>
      <c r="CP378" s="315" t="e">
        <f>IF($J378="",#N/A,SUM(CO$4:CO378))</f>
        <v>#N/A</v>
      </c>
      <c r="CQ378" s="315" t="e">
        <f>IF($J378="",#N/A,SUM(CO$4:CO378,CM$4:CM378,CK$4:CK378))</f>
        <v>#N/A</v>
      </c>
      <c r="CR378" s="304" t="str">
        <f t="shared" si="602"/>
        <v/>
      </c>
      <c r="CS378" s="313" t="e">
        <f>IF($J378="",#N/A,SUM(CR$4:CR378))</f>
        <v>#N/A</v>
      </c>
      <c r="CT378" s="314" t="str">
        <f t="shared" si="603"/>
        <v/>
      </c>
      <c r="CU378" s="314" t="e">
        <f>IF($J378="",#N/A,SUM(CT$4:CT378))</f>
        <v>#N/A</v>
      </c>
      <c r="CV378" s="315" t="str">
        <f t="shared" si="604"/>
        <v/>
      </c>
      <c r="CW378" s="315" t="e">
        <f>IF($J378="",#N/A,SUM(CV$4:CV378))</f>
        <v>#N/A</v>
      </c>
      <c r="CX378" s="315" t="e">
        <f>IF($J378="",#N/A,SUM(CV$4:CV378,CT$4:CT378,CR$4:CR378))</f>
        <v>#N/A</v>
      </c>
      <c r="CY378" s="304" t="str">
        <f t="shared" si="605"/>
        <v/>
      </c>
      <c r="CZ378" s="313" t="e">
        <f>IF($J378="",#N/A,SUM(CY$4:CY378))</f>
        <v>#N/A</v>
      </c>
      <c r="DA378" s="314" t="str">
        <f t="shared" si="606"/>
        <v/>
      </c>
      <c r="DB378" s="314" t="e">
        <f>IF($J378="",#N/A,SUM(DA$4:DA378))</f>
        <v>#N/A</v>
      </c>
      <c r="DC378" s="315" t="str">
        <f t="shared" si="607"/>
        <v/>
      </c>
      <c r="DD378" s="315" t="e">
        <f>IF($J378="",#N/A,SUM(DC$4:DC378))</f>
        <v>#N/A</v>
      </c>
      <c r="DE378" s="315" t="e">
        <f>IF($J378="",#N/A,SUM(DC$4:DC378,DA$4:DA378,CY$4:CY378))</f>
        <v>#N/A</v>
      </c>
      <c r="DF378" s="304" t="str">
        <f t="shared" si="608"/>
        <v/>
      </c>
      <c r="DG378" s="313" t="e">
        <f>IF($J378="",#N/A,SUM(DF$4:DF378))</f>
        <v>#N/A</v>
      </c>
      <c r="DH378" s="314" t="str">
        <f t="shared" si="609"/>
        <v/>
      </c>
      <c r="DI378" s="314" t="e">
        <f>IF($J378="",#N/A,SUM(DH$4:DH378))</f>
        <v>#N/A</v>
      </c>
      <c r="DJ378" s="315" t="str">
        <f t="shared" si="610"/>
        <v/>
      </c>
      <c r="DK378" s="315" t="e">
        <f>IF($J378="",#N/A,SUM(DJ$4:DJ378))</f>
        <v>#N/A</v>
      </c>
      <c r="DL378" s="315" t="e">
        <f>IF($J378="",#N/A,SUM(DJ$4:DJ378,DH$4:DH378,DF$4:DF378))</f>
        <v>#N/A</v>
      </c>
      <c r="DM378" s="304" t="str">
        <f t="shared" si="611"/>
        <v/>
      </c>
      <c r="DN378" s="313" t="e">
        <f>IF($J378="",#N/A,SUM(DM$4:DM378))</f>
        <v>#N/A</v>
      </c>
      <c r="DO378" s="314" t="str">
        <f t="shared" si="612"/>
        <v/>
      </c>
      <c r="DP378" s="314" t="e">
        <f>IF($J378="",#N/A,SUM(DO$4:DO378))</f>
        <v>#N/A</v>
      </c>
      <c r="DQ378" s="315" t="str">
        <f t="shared" si="613"/>
        <v/>
      </c>
      <c r="DR378" s="315" t="e">
        <f>IF($J378="",#N/A,SUM(DQ$4:DQ378))</f>
        <v>#N/A</v>
      </c>
      <c r="DS378" s="315" t="e">
        <f>IF($J378="",#N/A,SUM(DQ$4:DQ378,DO$4:DO378,DM$4:DM378))</f>
        <v>#N/A</v>
      </c>
      <c r="DT378" s="304" t="str">
        <f t="shared" si="614"/>
        <v/>
      </c>
      <c r="DU378" s="313" t="e">
        <f>IF($J378="",#N/A,SUM(DT$4:DT378))</f>
        <v>#N/A</v>
      </c>
      <c r="DV378" s="314" t="str">
        <f t="shared" si="615"/>
        <v/>
      </c>
      <c r="DW378" s="314" t="e">
        <f>IF($J378="",#N/A,SUM(DV$4:DV378))</f>
        <v>#N/A</v>
      </c>
      <c r="DX378" s="315" t="str">
        <f t="shared" si="616"/>
        <v/>
      </c>
      <c r="DY378" s="315" t="e">
        <f>IF($J378="",#N/A,SUM(DX$4:DX378))</f>
        <v>#N/A</v>
      </c>
      <c r="DZ378" s="315" t="e">
        <f>IF($J378="",#N/A,SUM(DX$4:DX378,DV$4:DV378,DT$4:DT378))</f>
        <v>#N/A</v>
      </c>
      <c r="EA378" s="304" t="str">
        <f t="shared" si="617"/>
        <v/>
      </c>
      <c r="EB378" s="313" t="e">
        <f>IF($J378="",#N/A,SUM(EA$4:EA378))</f>
        <v>#N/A</v>
      </c>
      <c r="EC378" s="314" t="str">
        <f t="shared" si="618"/>
        <v/>
      </c>
      <c r="ED378" s="314" t="e">
        <f>IF($J378="",#N/A,SUM(EC$4:EC378))</f>
        <v>#N/A</v>
      </c>
      <c r="EE378" s="315" t="str">
        <f t="shared" si="619"/>
        <v/>
      </c>
      <c r="EF378" s="315" t="e">
        <f>IF($J378="",#N/A,SUM(EE$4:EE378))</f>
        <v>#N/A</v>
      </c>
      <c r="EG378" s="315" t="e">
        <f>IF($J378="",#N/A,SUM(EE$4:EE378,EC$4:EC378,EA$4:EA378))</f>
        <v>#N/A</v>
      </c>
      <c r="EH378" s="130">
        <f t="shared" si="620"/>
        <v>66.779999999999973</v>
      </c>
      <c r="EI378" s="63">
        <f>IF(EH378="",#N/A,SUM($EH$4:EH378))</f>
        <v>1183.8240485895456</v>
      </c>
      <c r="EJ378" s="223" t="e">
        <f t="shared" si="621"/>
        <v>#N/A</v>
      </c>
      <c r="EK378" s="63" t="e">
        <f>IF($GZ378="",#N/A,SUM(EJ$4:EJ378))</f>
        <v>#N/A</v>
      </c>
      <c r="EL378" s="60">
        <f t="shared" si="651"/>
        <v>0.6559676554313294</v>
      </c>
      <c r="EM378" s="60">
        <f>IF(EL378="",NA(),SUM($EL$4:EL378))</f>
        <v>27.166263657217801</v>
      </c>
      <c r="EN378" s="60" t="str">
        <f t="shared" si="622"/>
        <v/>
      </c>
      <c r="EO378" s="60" t="e">
        <f>IF(EN378="",NA(),SUM($EN$4:EN378))</f>
        <v>#N/A</v>
      </c>
      <c r="EP378" s="60">
        <f t="shared" si="623"/>
        <v>0.6559676554313294</v>
      </c>
      <c r="EQ378" s="60">
        <f>IF(EP378="",NA(),SUM($EP$4:EP378))</f>
        <v>13.045527191605339</v>
      </c>
      <c r="ER378" s="60" t="str">
        <f t="shared" si="624"/>
        <v/>
      </c>
      <c r="ES378" s="60" t="e">
        <f>IF(ER378="",NA(),SUM($ER$4:ER378))</f>
        <v>#N/A</v>
      </c>
      <c r="ET378" s="60" t="str">
        <f t="shared" si="625"/>
        <v/>
      </c>
      <c r="EU378" s="60" t="e">
        <f>IF(ET378="",NA(),SUM($ET$4:ET378))</f>
        <v>#N/A</v>
      </c>
      <c r="EV378" s="60" t="str">
        <f t="shared" si="626"/>
        <v/>
      </c>
      <c r="EW378" s="60" t="e">
        <f>IF(EV378="",NA(),SUM($EV$4:EV378))</f>
        <v>#N/A</v>
      </c>
      <c r="EX378" s="60" t="str">
        <f t="shared" si="627"/>
        <v/>
      </c>
      <c r="EY378" s="60" t="e">
        <f>IF(EX378="",NA(),SUM($EX$4:EX378))</f>
        <v>#N/A</v>
      </c>
      <c r="EZ378" s="60" t="str">
        <f t="shared" si="628"/>
        <v/>
      </c>
      <c r="FA378" s="60" t="e">
        <f>IF(EZ378="",NA(),SUM($EZ$4:EZ378))</f>
        <v>#N/A</v>
      </c>
      <c r="FB378" s="246" t="str">
        <f t="shared" si="652"/>
        <v/>
      </c>
      <c r="FC378" s="246" t="e">
        <f>IF($FB378="",#N/A,SUM(FB$4:$FB378))</f>
        <v>#N/A</v>
      </c>
      <c r="FD378" s="60" t="str">
        <f t="shared" si="629"/>
        <v/>
      </c>
      <c r="FE378" s="60" t="e">
        <f>IF($FD378="",#N/A,SUM($FD$4:FD378))</f>
        <v>#N/A</v>
      </c>
      <c r="FF378" s="60" t="str">
        <f t="shared" si="630"/>
        <v/>
      </c>
      <c r="FG378" s="60" t="e">
        <f>IF($FF378="",#N/A,SUM($FF$4:FF378))</f>
        <v>#N/A</v>
      </c>
      <c r="FH378" s="60" t="str">
        <f t="shared" si="631"/>
        <v/>
      </c>
      <c r="FI378" s="60" t="e">
        <f>IF($FH378="",#N/A,SUM($FH$4:FH378))</f>
        <v>#N/A</v>
      </c>
      <c r="FJ378" s="60">
        <f t="shared" si="632"/>
        <v>-0.33417220182350738</v>
      </c>
      <c r="FK378" s="60">
        <f>IF($FJ378="",#N/A,SUM($FJ$4:FJ378))</f>
        <v>-2.3630823733984223</v>
      </c>
      <c r="FL378" s="60" t="str">
        <f t="shared" si="633"/>
        <v/>
      </c>
      <c r="FM378" s="60" t="e">
        <f>IF($FL378="",#N/A,SUM($FL$4:FL378))</f>
        <v>#N/A</v>
      </c>
      <c r="FN378" s="82">
        <f t="shared" si="634"/>
        <v>0.32179545360782202</v>
      </c>
      <c r="FO378" s="82">
        <f>IF($FN378="",#N/A,SUM(FN$4:$FN378))</f>
        <v>42.53289166670266</v>
      </c>
      <c r="FP378" s="82">
        <f t="shared" si="653"/>
        <v>0.6559676554313294</v>
      </c>
      <c r="FQ378" s="246">
        <f>IF($EH378="",#N/A,SUM($FP$4:FP378))</f>
        <v>53.011979302359421</v>
      </c>
      <c r="FR378" s="82">
        <f>IFERROR(FQ378/COUNTA($J$4:J378),#N/A)</f>
        <v>0.14136527813962513</v>
      </c>
      <c r="FS378" s="82">
        <f t="shared" si="661"/>
        <v>1.0932997336870471E-2</v>
      </c>
      <c r="FT378" s="82">
        <f t="shared" si="662"/>
        <v>-4.2703491899975174E-2</v>
      </c>
      <c r="FU378" s="338">
        <f t="shared" si="660"/>
        <v>28.323993689662224</v>
      </c>
      <c r="FV378" s="57" t="str">
        <f t="shared" si="659"/>
        <v>SW</v>
      </c>
      <c r="FW378" s="57" t="s">
        <v>2732</v>
      </c>
      <c r="FX378" s="57" t="str">
        <f t="shared" si="635"/>
        <v/>
      </c>
      <c r="FY378" s="57" t="str">
        <f t="shared" si="636"/>
        <v/>
      </c>
      <c r="FZ378" s="57">
        <f t="shared" si="637"/>
        <v>1</v>
      </c>
      <c r="GA378" s="57" t="str">
        <f t="shared" si="638"/>
        <v>Long</v>
      </c>
      <c r="GB378" s="57" t="str">
        <f t="shared" si="639"/>
        <v/>
      </c>
      <c r="GC378" s="57" t="str">
        <f t="shared" si="640"/>
        <v/>
      </c>
      <c r="GD378" s="57" t="str">
        <f t="shared" si="641"/>
        <v/>
      </c>
      <c r="GE378" s="62">
        <f t="shared" si="557"/>
        <v>242.39</v>
      </c>
      <c r="GF378" s="62" t="s">
        <v>2779</v>
      </c>
      <c r="GG378" s="199">
        <v>7</v>
      </c>
      <c r="GH378" s="207">
        <f t="shared" si="642"/>
        <v>1696.73</v>
      </c>
      <c r="GI378" s="199">
        <v>7</v>
      </c>
      <c r="GJ378" s="200">
        <v>252</v>
      </c>
      <c r="GK378" s="63">
        <f t="shared" si="643"/>
        <v>67.269999999999982</v>
      </c>
      <c r="GL378" s="63">
        <f t="shared" si="558"/>
        <v>32.759999999999991</v>
      </c>
      <c r="GM378" s="82">
        <f t="shared" si="644"/>
        <v>0.32179545360782202</v>
      </c>
      <c r="GN378" s="82">
        <f>IF($GZ378="",#N/A,SUM(GM$4:GM378))</f>
        <v>10.835295803750299</v>
      </c>
      <c r="GO378" s="82" t="str">
        <f t="shared" si="645"/>
        <v/>
      </c>
      <c r="GP378" s="82">
        <f>IF($GZ378="",#N/A,SUM(GO$4:GO378))</f>
        <v>5.3536851561453664</v>
      </c>
      <c r="GQ378" s="82" t="str">
        <f t="shared" si="646"/>
        <v/>
      </c>
      <c r="GR378" s="82">
        <f>IF($GZ378="",#N/A,SUM(GQ$4:GQ378))</f>
        <v>25.718073752364656</v>
      </c>
      <c r="GS378" s="63" t="e">
        <f t="shared" si="654"/>
        <v>#N/A</v>
      </c>
      <c r="GT378" s="63" t="e">
        <f>IF($GZ378="",#N/A,SUM(GS$4:GS378))</f>
        <v>#N/A</v>
      </c>
      <c r="GU378" s="63" t="str">
        <f t="shared" si="655"/>
        <v/>
      </c>
      <c r="GV378" s="63" t="e">
        <f>IF($GZ378="",#N/A,SUM(GU$4:GU378))</f>
        <v>#N/A</v>
      </c>
      <c r="GW378" s="63" t="str">
        <f t="shared" si="656"/>
        <v/>
      </c>
      <c r="GX378" s="63" t="e">
        <f>IF($GZ378="",#N/A,SUM(GW$4:GW378))</f>
        <v>#N/A</v>
      </c>
      <c r="GY378" s="63" t="e">
        <f>IF(EJ378="",#N/A,SUM($EJ$4:EJ378))</f>
        <v>#N/A</v>
      </c>
      <c r="GZ378" s="159">
        <v>247.07</v>
      </c>
      <c r="HA378" s="63">
        <f t="shared" si="647"/>
        <v>-34.019999999999982</v>
      </c>
      <c r="HB378" s="62" t="s">
        <v>2538</v>
      </c>
      <c r="HC378" s="60">
        <f>IFERROR(VLOOKUP(E378,Expectancy!$P$4:$S$19,1+C378,FALSE),"")</f>
        <v>0.48685636958953199</v>
      </c>
      <c r="HD378" s="82">
        <f t="shared" si="648"/>
        <v>0.66078083529298504</v>
      </c>
      <c r="HE378" s="138">
        <f>IF(HD378="",#N/A,SUM($HD$4:HD378))</f>
        <v>10.157985612697198</v>
      </c>
      <c r="HF378" s="85">
        <f>IF(HD378="",#N/A,IF(HB378="Skip",#N/A,SUM($HG$4:HG378)))</f>
        <v>294.44157921915598</v>
      </c>
      <c r="HG378" s="63">
        <f t="shared" si="649"/>
        <v>67.269999999999982</v>
      </c>
      <c r="HH378" s="82">
        <f t="shared" si="650"/>
        <v>0.32179545360782202</v>
      </c>
    </row>
    <row r="379" spans="1:216" x14ac:dyDescent="0.25">
      <c r="A379" s="57" t="s">
        <v>1105</v>
      </c>
      <c r="B379" s="58" t="str" cm="1">
        <f t="array" ref="B379">IFERROR(_xlfn.XLOOKUP(A379,Earnings!$B$2:$B$9985,LEFT(Earnings!$C$2:$C$9985,37)),"Can't Find Date***")</f>
        <v>on 2/26/25, 7:30 AM Before Market Eas</v>
      </c>
      <c r="C379" s="386">
        <f t="shared" si="561"/>
        <v>3</v>
      </c>
      <c r="D379" s="372" t="str">
        <f>_xlfn.XLOOKUP(A379,[1]SP500!$A$2:$A$502,[1]SP500!$D$2:$D$502,"N")</f>
        <v>Y</v>
      </c>
      <c r="E379" s="57" t="str">
        <f>_xlfn.XLOOKUP(A379,[1]SP500!$A$2:$A$655,[1]SP500!$B$2:$B$655)</f>
        <v>XLY</v>
      </c>
      <c r="F379" s="59">
        <v>45714</v>
      </c>
      <c r="G379" s="57" t="str">
        <f t="shared" si="562"/>
        <v>BMO</v>
      </c>
      <c r="H379" s="57" t="str">
        <f t="shared" si="563"/>
        <v>s</v>
      </c>
      <c r="I379" s="158">
        <v>122.7</v>
      </c>
      <c r="J379" s="159">
        <v>125.88</v>
      </c>
      <c r="K379" s="61">
        <f t="shared" si="564"/>
        <v>2.5916870415647861E-2</v>
      </c>
      <c r="L379" s="87">
        <f t="shared" si="565"/>
        <v>41.339999999999918</v>
      </c>
      <c r="M379" s="130">
        <f t="shared" si="556"/>
        <v>-24.180000000000064</v>
      </c>
      <c r="N379" s="169" t="str">
        <f t="shared" si="566"/>
        <v/>
      </c>
      <c r="O379" s="169">
        <f>IF($J379="",#N/A,SUM($N$4:N379))</f>
        <v>-184.10328064577561</v>
      </c>
      <c r="P379" s="174" t="str">
        <f t="shared" si="567"/>
        <v/>
      </c>
      <c r="Q379" s="174">
        <f>IF($J379="",#N/A,SUM($P$4:P379))</f>
        <v>116.53499224504333</v>
      </c>
      <c r="R379" s="178">
        <f t="shared" si="568"/>
        <v>41.339999999999918</v>
      </c>
      <c r="S379" s="178">
        <f>IF($J379="",#N/A,SUM($R$4:R379))</f>
        <v>1292.7323369902776</v>
      </c>
      <c r="T379" s="290" t="str">
        <f t="shared" si="569"/>
        <v/>
      </c>
      <c r="U379" s="290">
        <f>IF($J379="",#N/A,SUM($T$4:T379))</f>
        <v>11.683887388414128</v>
      </c>
      <c r="V379" s="291" t="str">
        <f t="shared" si="570"/>
        <v/>
      </c>
      <c r="W379" s="291">
        <f>IF($J379="",#N/A,SUM($V$4:V379))</f>
        <v>20.71676331069586</v>
      </c>
      <c r="X379" s="292">
        <f t="shared" si="571"/>
        <v>0.4319478402607978</v>
      </c>
      <c r="Y379" s="292">
        <f>IF($J379="",#N/A,SUM($X$4:X379))</f>
        <v>21.043276443510255</v>
      </c>
      <c r="Z379" s="304" t="str">
        <f t="shared" si="572"/>
        <v/>
      </c>
      <c r="AA379" s="313" t="e">
        <f>IF($J379="",#N/A,SUM(Z$4:Z379))</f>
        <v>#N/A</v>
      </c>
      <c r="AB379" s="314" t="str">
        <f t="shared" si="573"/>
        <v/>
      </c>
      <c r="AC379" s="314" t="e">
        <f>IF($J379="",#N/A,SUM(AB$4:AB379))</f>
        <v>#N/A</v>
      </c>
      <c r="AD379" s="315" t="str">
        <f t="shared" si="574"/>
        <v/>
      </c>
      <c r="AE379" s="315" t="e">
        <f>IF($J379="",#N/A,SUM(AD$4:AD379))</f>
        <v>#N/A</v>
      </c>
      <c r="AF379" s="315" t="e">
        <f>IF($J379="",#N/A,SUM(AD$4:AD379,AB$4:AB379,Z$4:Z379))</f>
        <v>#N/A</v>
      </c>
      <c r="AG379" s="304" t="str">
        <f t="shared" si="575"/>
        <v/>
      </c>
      <c r="AH379" s="313" t="e">
        <f>IF($J379="",#N/A,SUM(AG$4:AG379))</f>
        <v>#N/A</v>
      </c>
      <c r="AI379" s="314" t="str">
        <f t="shared" si="576"/>
        <v/>
      </c>
      <c r="AJ379" s="314" t="e">
        <f>IF($J379="",#N/A,SUM(AI$4:AI379))</f>
        <v>#N/A</v>
      </c>
      <c r="AK379" s="315" t="str">
        <f t="shared" si="577"/>
        <v/>
      </c>
      <c r="AL379" s="315" t="e">
        <f>IF($J379="",#N/A,SUM(AK$4:AK379))</f>
        <v>#N/A</v>
      </c>
      <c r="AM379" s="315" t="e">
        <f>IF($J379="",#N/A,SUM(AK$4:AK379,AI$4:AI379,AG$4:AG379))</f>
        <v>#N/A</v>
      </c>
      <c r="AN379" s="304" t="str">
        <f t="shared" si="578"/>
        <v/>
      </c>
      <c r="AO379" s="313" t="e">
        <f>IF($J379="",#N/A,SUM(AN$4:AN379))</f>
        <v>#N/A</v>
      </c>
      <c r="AP379" s="314" t="str">
        <f t="shared" si="579"/>
        <v/>
      </c>
      <c r="AQ379" s="314" t="e">
        <f>IF($J379="",#N/A,SUM(AP$4:AP379))</f>
        <v>#N/A</v>
      </c>
      <c r="AR379" s="315">
        <f t="shared" si="580"/>
        <v>0.4319478402607978</v>
      </c>
      <c r="AS379" s="315" t="e">
        <f>IF($J379="",#N/A,SUM(AR$4:AR379))</f>
        <v>#N/A</v>
      </c>
      <c r="AT379" s="315" t="e">
        <f>IF($J379="",#N/A,SUM(AR$4:AR379,AP$4:AP379,AN$4:AN379))</f>
        <v>#N/A</v>
      </c>
      <c r="AU379" s="304" t="str">
        <f t="shared" si="581"/>
        <v/>
      </c>
      <c r="AV379" s="313" t="e">
        <f>IF($J379="",#N/A,SUM(AU$4:AU379))</f>
        <v>#N/A</v>
      </c>
      <c r="AW379" s="314" t="str">
        <f t="shared" si="582"/>
        <v/>
      </c>
      <c r="AX379" s="314" t="e">
        <f>IF($J379="",#N/A,SUM(AW$4:AW379))</f>
        <v>#N/A</v>
      </c>
      <c r="AY379" s="315" t="str">
        <f t="shared" si="583"/>
        <v/>
      </c>
      <c r="AZ379" s="315" t="e">
        <f>IF($J379="",#N/A,SUM(AY$4:AY379))</f>
        <v>#N/A</v>
      </c>
      <c r="BA379" s="315" t="e">
        <f>IF($J379="",#N/A,SUM(AY$4:AY379,AW$4:AW379,AU$4:AU379))</f>
        <v>#N/A</v>
      </c>
      <c r="BB379" s="304" t="str">
        <f t="shared" si="584"/>
        <v/>
      </c>
      <c r="BC379" s="313" t="e">
        <f>IF($J379="",#N/A,SUM(BB$4:BB379))</f>
        <v>#N/A</v>
      </c>
      <c r="BD379" s="314" t="str">
        <f t="shared" si="585"/>
        <v/>
      </c>
      <c r="BE379" s="314" t="e">
        <f>IF($J379="",#N/A,SUM(BD$4:BD379))</f>
        <v>#N/A</v>
      </c>
      <c r="BF379" s="315" t="str">
        <f t="shared" si="586"/>
        <v/>
      </c>
      <c r="BG379" s="315" t="e">
        <f>IF($J379="",#N/A,SUM(BF$4:BF379))</f>
        <v>#N/A</v>
      </c>
      <c r="BH379" s="315" t="e">
        <f>IF($J379="",#N/A,SUM(BF$4:BF379,BD$4:BD379,BB$4:BB379))</f>
        <v>#N/A</v>
      </c>
      <c r="BI379" s="304" t="str">
        <f t="shared" si="587"/>
        <v/>
      </c>
      <c r="BJ379" s="313" t="e">
        <f>IF($J379="",#N/A,SUM(BI$4:BI379))</f>
        <v>#N/A</v>
      </c>
      <c r="BK379" s="314" t="str">
        <f t="shared" si="588"/>
        <v/>
      </c>
      <c r="BL379" s="314" t="e">
        <f>IF($J379="",#N/A,SUM(BK$4:BK379))</f>
        <v>#N/A</v>
      </c>
      <c r="BM379" s="315" t="str">
        <f t="shared" si="589"/>
        <v/>
      </c>
      <c r="BN379" s="315" t="e">
        <f>IF($J379="",#N/A,SUM(BM$4:BM379))</f>
        <v>#N/A</v>
      </c>
      <c r="BO379" s="315" t="e">
        <f>IF($J379="",#N/A,SUM(BM$4:BM379,BK$4:BK379,BI$4:BI379))</f>
        <v>#N/A</v>
      </c>
      <c r="BP379" s="304" t="str">
        <f t="shared" si="590"/>
        <v/>
      </c>
      <c r="BQ379" s="313" t="e">
        <f>IF($J379="",#N/A,SUM(BP$4:BP379))</f>
        <v>#N/A</v>
      </c>
      <c r="BR379" s="314" t="str">
        <f t="shared" si="591"/>
        <v/>
      </c>
      <c r="BS379" s="314" t="e">
        <f>IF($J379="",#N/A,SUM(BR$4:BR379))</f>
        <v>#N/A</v>
      </c>
      <c r="BT379" s="315" t="str">
        <f t="shared" si="592"/>
        <v/>
      </c>
      <c r="BU379" s="315" t="e">
        <f>IF($J379="",#N/A,SUM(BT$4:BT379))</f>
        <v>#N/A</v>
      </c>
      <c r="BV379" s="315" t="e">
        <f>IF($J379="",#N/A,SUM(BT$4:BT379,BR$4:BR379,BP$4:BP379))</f>
        <v>#N/A</v>
      </c>
      <c r="BW379" s="304" t="str">
        <f t="shared" si="593"/>
        <v/>
      </c>
      <c r="BX379" s="313" t="e">
        <f>IF($J379="",#N/A,SUM(BW$4:BW379))</f>
        <v>#N/A</v>
      </c>
      <c r="BY379" s="314" t="str">
        <f t="shared" si="594"/>
        <v/>
      </c>
      <c r="BZ379" s="314" t="e">
        <f>IF($J379="",#N/A,SUM(BY$4:BY379))</f>
        <v>#N/A</v>
      </c>
      <c r="CA379" s="315" t="str">
        <f t="shared" si="595"/>
        <v/>
      </c>
      <c r="CB379" s="315" t="e">
        <f>IF($J379="",#N/A,SUM(CA$4:CA379))</f>
        <v>#N/A</v>
      </c>
      <c r="CC379" s="315" t="e">
        <f>IF($J379="",#N/A,SUM(CA$4:CA379,BY$4:BY379,BW$4:BW379))</f>
        <v>#N/A</v>
      </c>
      <c r="CD379" s="304" t="str">
        <f t="shared" si="596"/>
        <v/>
      </c>
      <c r="CE379" s="313" t="e">
        <f>IF($J379="",#N/A,SUM(CD$4:CD379))</f>
        <v>#N/A</v>
      </c>
      <c r="CF379" s="314" t="str">
        <f t="shared" si="597"/>
        <v/>
      </c>
      <c r="CG379" s="314" t="e">
        <f>IF($J379="",#N/A,SUM(CF$4:CF379))</f>
        <v>#N/A</v>
      </c>
      <c r="CH379" s="315" t="str">
        <f t="shared" si="598"/>
        <v/>
      </c>
      <c r="CI379" s="315" t="e">
        <f>IF($J379="",#N/A,SUM(CH$4:CH379))</f>
        <v>#N/A</v>
      </c>
      <c r="CJ379" s="315" t="e">
        <f>IF($J379="",#N/A,SUM(CH$4:CH379,CF$4:CF379,CD$4:CD379))</f>
        <v>#N/A</v>
      </c>
      <c r="CK379" s="304" t="str">
        <f t="shared" si="599"/>
        <v/>
      </c>
      <c r="CL379" s="313" t="e">
        <f>IF($J379="",#N/A,SUM(CK$4:CK379))</f>
        <v>#N/A</v>
      </c>
      <c r="CM379" s="314" t="str">
        <f t="shared" si="600"/>
        <v/>
      </c>
      <c r="CN379" s="314" t="e">
        <f>IF($J379="",#N/A,SUM(CM$4:CM379))</f>
        <v>#N/A</v>
      </c>
      <c r="CO379" s="315" t="str">
        <f t="shared" si="601"/>
        <v/>
      </c>
      <c r="CP379" s="315" t="e">
        <f>IF($J379="",#N/A,SUM(CO$4:CO379))</f>
        <v>#N/A</v>
      </c>
      <c r="CQ379" s="315" t="e">
        <f>IF($J379="",#N/A,SUM(CO$4:CO379,CM$4:CM379,CK$4:CK379))</f>
        <v>#N/A</v>
      </c>
      <c r="CR379" s="304" t="str">
        <f t="shared" si="602"/>
        <v/>
      </c>
      <c r="CS379" s="313" t="e">
        <f>IF($J379="",#N/A,SUM(CR$4:CR379))</f>
        <v>#N/A</v>
      </c>
      <c r="CT379" s="314" t="str">
        <f t="shared" si="603"/>
        <v/>
      </c>
      <c r="CU379" s="314" t="e">
        <f>IF($J379="",#N/A,SUM(CT$4:CT379))</f>
        <v>#N/A</v>
      </c>
      <c r="CV379" s="315" t="str">
        <f t="shared" si="604"/>
        <v/>
      </c>
      <c r="CW379" s="315" t="e">
        <f>IF($J379="",#N/A,SUM(CV$4:CV379))</f>
        <v>#N/A</v>
      </c>
      <c r="CX379" s="315" t="e">
        <f>IF($J379="",#N/A,SUM(CV$4:CV379,CT$4:CT379,CR$4:CR379))</f>
        <v>#N/A</v>
      </c>
      <c r="CY379" s="304" t="str">
        <f t="shared" si="605"/>
        <v/>
      </c>
      <c r="CZ379" s="313" t="e">
        <f>IF($J379="",#N/A,SUM(CY$4:CY379))</f>
        <v>#N/A</v>
      </c>
      <c r="DA379" s="314" t="str">
        <f t="shared" si="606"/>
        <v/>
      </c>
      <c r="DB379" s="314" t="e">
        <f>IF($J379="",#N/A,SUM(DA$4:DA379))</f>
        <v>#N/A</v>
      </c>
      <c r="DC379" s="315" t="str">
        <f t="shared" si="607"/>
        <v/>
      </c>
      <c r="DD379" s="315" t="e">
        <f>IF($J379="",#N/A,SUM(DC$4:DC379))</f>
        <v>#N/A</v>
      </c>
      <c r="DE379" s="315" t="e">
        <f>IF($J379="",#N/A,SUM(DC$4:DC379,DA$4:DA379,CY$4:CY379))</f>
        <v>#N/A</v>
      </c>
      <c r="DF379" s="304" t="str">
        <f t="shared" si="608"/>
        <v/>
      </c>
      <c r="DG379" s="313" t="e">
        <f>IF($J379="",#N/A,SUM(DF$4:DF379))</f>
        <v>#N/A</v>
      </c>
      <c r="DH379" s="314" t="str">
        <f t="shared" si="609"/>
        <v/>
      </c>
      <c r="DI379" s="314" t="e">
        <f>IF($J379="",#N/A,SUM(DH$4:DH379))</f>
        <v>#N/A</v>
      </c>
      <c r="DJ379" s="315" t="str">
        <f t="shared" si="610"/>
        <v/>
      </c>
      <c r="DK379" s="315" t="e">
        <f>IF($J379="",#N/A,SUM(DJ$4:DJ379))</f>
        <v>#N/A</v>
      </c>
      <c r="DL379" s="315" t="e">
        <f>IF($J379="",#N/A,SUM(DJ$4:DJ379,DH$4:DH379,DF$4:DF379))</f>
        <v>#N/A</v>
      </c>
      <c r="DM379" s="304" t="str">
        <f t="shared" si="611"/>
        <v/>
      </c>
      <c r="DN379" s="313" t="e">
        <f>IF($J379="",#N/A,SUM(DM$4:DM379))</f>
        <v>#N/A</v>
      </c>
      <c r="DO379" s="314" t="str">
        <f t="shared" si="612"/>
        <v/>
      </c>
      <c r="DP379" s="314" t="e">
        <f>IF($J379="",#N/A,SUM(DO$4:DO379))</f>
        <v>#N/A</v>
      </c>
      <c r="DQ379" s="315" t="str">
        <f t="shared" si="613"/>
        <v/>
      </c>
      <c r="DR379" s="315" t="e">
        <f>IF($J379="",#N/A,SUM(DQ$4:DQ379))</f>
        <v>#N/A</v>
      </c>
      <c r="DS379" s="315" t="e">
        <f>IF($J379="",#N/A,SUM(DQ$4:DQ379,DO$4:DO379,DM$4:DM379))</f>
        <v>#N/A</v>
      </c>
      <c r="DT379" s="304" t="str">
        <f t="shared" si="614"/>
        <v/>
      </c>
      <c r="DU379" s="313" t="e">
        <f>IF($J379="",#N/A,SUM(DT$4:DT379))</f>
        <v>#N/A</v>
      </c>
      <c r="DV379" s="314" t="str">
        <f t="shared" si="615"/>
        <v/>
      </c>
      <c r="DW379" s="314" t="e">
        <f>IF($J379="",#N/A,SUM(DV$4:DV379))</f>
        <v>#N/A</v>
      </c>
      <c r="DX379" s="315" t="str">
        <f t="shared" si="616"/>
        <v/>
      </c>
      <c r="DY379" s="315" t="e">
        <f>IF($J379="",#N/A,SUM(DX$4:DX379))</f>
        <v>#N/A</v>
      </c>
      <c r="DZ379" s="315" t="e">
        <f>IF($J379="",#N/A,SUM(DX$4:DX379,DV$4:DV379,DT$4:DT379))</f>
        <v>#N/A</v>
      </c>
      <c r="EA379" s="304" t="str">
        <f t="shared" si="617"/>
        <v/>
      </c>
      <c r="EB379" s="313" t="e">
        <f>IF($J379="",#N/A,SUM(EA$4:EA379))</f>
        <v>#N/A</v>
      </c>
      <c r="EC379" s="314" t="str">
        <f t="shared" si="618"/>
        <v/>
      </c>
      <c r="ED379" s="314" t="e">
        <f>IF($J379="",#N/A,SUM(EC$4:EC379))</f>
        <v>#N/A</v>
      </c>
      <c r="EE379" s="315" t="str">
        <f t="shared" si="619"/>
        <v/>
      </c>
      <c r="EF379" s="315" t="e">
        <f>IF($J379="",#N/A,SUM(EE$4:EE379))</f>
        <v>#N/A</v>
      </c>
      <c r="EG379" s="315" t="e">
        <f>IF($J379="",#N/A,SUM(EE$4:EE379,EC$4:EC379,EA$4:EA379))</f>
        <v>#N/A</v>
      </c>
      <c r="EH379" s="130">
        <f t="shared" si="620"/>
        <v>41.339999999999918</v>
      </c>
      <c r="EI379" s="63">
        <f>IF(EH379="",#N/A,SUM($EH$4:EH379))</f>
        <v>1225.1640485895455</v>
      </c>
      <c r="EJ379" s="223" t="e">
        <f t="shared" si="621"/>
        <v>#N/A</v>
      </c>
      <c r="EK379" s="63" t="e">
        <f>IF($GZ379="",#N/A,SUM(EJ$4:EJ379))</f>
        <v>#N/A</v>
      </c>
      <c r="EL379" s="60">
        <f t="shared" si="651"/>
        <v>0.4319478402607978</v>
      </c>
      <c r="EM379" s="60">
        <f>IF(EL379="",NA(),SUM($EL$4:EL379))</f>
        <v>27.598211497478598</v>
      </c>
      <c r="EN379" s="60" t="str">
        <f t="shared" si="622"/>
        <v/>
      </c>
      <c r="EO379" s="60" t="e">
        <f>IF(EN379="",NA(),SUM($EN$4:EN379))</f>
        <v>#N/A</v>
      </c>
      <c r="EP379" s="60">
        <f t="shared" si="623"/>
        <v>0.4319478402607978</v>
      </c>
      <c r="EQ379" s="60">
        <f>IF(EP379="",NA(),SUM($EP$4:EP379))</f>
        <v>13.477475031866136</v>
      </c>
      <c r="ER379" s="60" t="str">
        <f t="shared" si="624"/>
        <v/>
      </c>
      <c r="ES379" s="60" t="e">
        <f>IF(ER379="",NA(),SUM($ER$4:ER379))</f>
        <v>#N/A</v>
      </c>
      <c r="ET379" s="60" t="str">
        <f t="shared" si="625"/>
        <v/>
      </c>
      <c r="EU379" s="60" t="e">
        <f>IF(ET379="",NA(),SUM($ET$4:ET379))</f>
        <v>#N/A</v>
      </c>
      <c r="EV379" s="60" t="str">
        <f t="shared" si="626"/>
        <v/>
      </c>
      <c r="EW379" s="60" t="e">
        <f>IF(EV379="",NA(),SUM($EV$4:EV379))</f>
        <v>#N/A</v>
      </c>
      <c r="EX379" s="60" t="str">
        <f t="shared" si="627"/>
        <v/>
      </c>
      <c r="EY379" s="60" t="e">
        <f>IF(EX379="",NA(),SUM($EX$4:EX379))</f>
        <v>#N/A</v>
      </c>
      <c r="EZ379" s="60" t="str">
        <f t="shared" si="628"/>
        <v/>
      </c>
      <c r="FA379" s="60" t="e">
        <f>IF(EZ379="",NA(),SUM($EZ$4:EZ379))</f>
        <v>#N/A</v>
      </c>
      <c r="FB379" s="246" t="str">
        <f t="shared" si="652"/>
        <v/>
      </c>
      <c r="FC379" s="246" t="e">
        <f>IF($FB379="",#N/A,SUM(FB$4:$FB379))</f>
        <v>#N/A</v>
      </c>
      <c r="FD379" s="60" t="str">
        <f t="shared" si="629"/>
        <v/>
      </c>
      <c r="FE379" s="60" t="e">
        <f>IF($FD379="",#N/A,SUM($FD$4:FD379))</f>
        <v>#N/A</v>
      </c>
      <c r="FF379" s="60" t="str">
        <f t="shared" si="630"/>
        <v/>
      </c>
      <c r="FG379" s="60" t="e">
        <f>IF($FF379="",#N/A,SUM($FF$4:FF379))</f>
        <v>#N/A</v>
      </c>
      <c r="FH379" s="60" t="str">
        <f t="shared" si="631"/>
        <v/>
      </c>
      <c r="FI379" s="60" t="e">
        <f>IF($FH379="",#N/A,SUM($FH$4:FH379))</f>
        <v>#N/A</v>
      </c>
      <c r="FJ379" s="60">
        <f t="shared" si="632"/>
        <v>-0.13447432762836309</v>
      </c>
      <c r="FK379" s="60">
        <f>IF($FJ379="",#N/A,SUM($FJ$4:FJ379))</f>
        <v>-2.4975567010267854</v>
      </c>
      <c r="FL379" s="60" t="str">
        <f t="shared" si="633"/>
        <v/>
      </c>
      <c r="FM379" s="60" t="e">
        <f>IF($FL379="",#N/A,SUM($FL$4:FL379))</f>
        <v>#N/A</v>
      </c>
      <c r="FN379" s="82">
        <f t="shared" si="634"/>
        <v>0.29747351263243471</v>
      </c>
      <c r="FO379" s="82">
        <f>IF($FN379="",#N/A,SUM(FN$4:$FN379))</f>
        <v>42.830365179335097</v>
      </c>
      <c r="FP379" s="82">
        <f t="shared" si="653"/>
        <v>0.4319478402607978</v>
      </c>
      <c r="FQ379" s="246">
        <f>IF($EH379="",#N/A,SUM($FP$4:FP379))</f>
        <v>53.443927142620218</v>
      </c>
      <c r="FR379" s="82">
        <f>IFERROR(FQ379/COUNTA($J$4:J379),#N/A)</f>
        <v>0.14213810410271335</v>
      </c>
      <c r="FS379" s="82">
        <f t="shared" si="661"/>
        <v>6.2984733237684901E-2</v>
      </c>
      <c r="FT379" s="82">
        <f t="shared" si="662"/>
        <v>-6.0828050299677729E-2</v>
      </c>
      <c r="FU379" s="338">
        <f t="shared" si="660"/>
        <v>28.576642426418537</v>
      </c>
      <c r="FV379" s="57" t="str">
        <f t="shared" si="659"/>
        <v>SW</v>
      </c>
      <c r="FW379" s="57" t="s">
        <v>2732</v>
      </c>
      <c r="FX379" s="57" t="str">
        <f t="shared" si="635"/>
        <v/>
      </c>
      <c r="FY379" s="57" t="str">
        <f t="shared" si="636"/>
        <v/>
      </c>
      <c r="FZ379" s="57">
        <f t="shared" si="637"/>
        <v>1</v>
      </c>
      <c r="GA379" s="57" t="str">
        <f t="shared" si="638"/>
        <v>Long</v>
      </c>
      <c r="GB379" s="57" t="str">
        <f t="shared" si="639"/>
        <v/>
      </c>
      <c r="GC379" s="57" t="str">
        <f t="shared" si="640"/>
        <v/>
      </c>
      <c r="GD379" s="57" t="str">
        <f t="shared" si="641"/>
        <v/>
      </c>
      <c r="GE379" s="62">
        <f t="shared" si="557"/>
        <v>122.7</v>
      </c>
      <c r="GF379" s="62" t="s">
        <v>2779</v>
      </c>
      <c r="GG379" s="199">
        <v>13</v>
      </c>
      <c r="GH379" s="207">
        <f t="shared" si="642"/>
        <v>1595.1000000000001</v>
      </c>
      <c r="GI379" s="199">
        <v>13</v>
      </c>
      <c r="GJ379" s="200">
        <v>124.02</v>
      </c>
      <c r="GK379" s="63">
        <f t="shared" si="643"/>
        <v>17.159999999999854</v>
      </c>
      <c r="GL379" s="63">
        <f t="shared" si="558"/>
        <v>28.4699999999998</v>
      </c>
      <c r="GM379" s="82">
        <f t="shared" si="644"/>
        <v>0.29747351263243471</v>
      </c>
      <c r="GN379" s="82">
        <f>IF($GZ379="",#N/A,SUM(GM$4:GM379))</f>
        <v>11.132769316382733</v>
      </c>
      <c r="GO379" s="82" t="str">
        <f t="shared" si="645"/>
        <v/>
      </c>
      <c r="GP379" s="82">
        <f>IF($GZ379="",#N/A,SUM(GO$4:GO379))</f>
        <v>5.3536851561453664</v>
      </c>
      <c r="GQ379" s="82" t="str">
        <f t="shared" si="646"/>
        <v/>
      </c>
      <c r="GR379" s="82">
        <f>IF($GZ379="",#N/A,SUM(GQ$4:GQ379))</f>
        <v>25.718073752364656</v>
      </c>
      <c r="GS379" s="63" t="e">
        <f t="shared" si="654"/>
        <v>#N/A</v>
      </c>
      <c r="GT379" s="63" t="e">
        <f>IF($GZ379="",#N/A,SUM(GS$4:GS379))</f>
        <v>#N/A</v>
      </c>
      <c r="GU379" s="63" t="str">
        <f t="shared" si="655"/>
        <v/>
      </c>
      <c r="GV379" s="63" t="e">
        <f>IF($GZ379="",#N/A,SUM(GU$4:GU379))</f>
        <v>#N/A</v>
      </c>
      <c r="GW379" s="63" t="str">
        <f t="shared" si="656"/>
        <v/>
      </c>
      <c r="GX379" s="63" t="e">
        <f>IF($GZ379="",#N/A,SUM(GW$4:GW379))</f>
        <v>#N/A</v>
      </c>
      <c r="GY379" s="63" t="e">
        <f>IF(EJ379="",#N/A,SUM($EJ$4:EJ379))</f>
        <v>#N/A</v>
      </c>
      <c r="GZ379" s="159">
        <v>124.89</v>
      </c>
      <c r="HA379" s="63">
        <f t="shared" si="647"/>
        <v>-12.870000000000118</v>
      </c>
      <c r="HB379" s="62" t="s">
        <v>2538</v>
      </c>
      <c r="HC379" s="60">
        <f>IFERROR(VLOOKUP(E379,Expectancy!$P$4:$S$19,1+C379,FALSE),"")</f>
        <v>0.48685636958953199</v>
      </c>
      <c r="HD379" s="82">
        <f t="shared" si="648"/>
        <v>0.17929910350448094</v>
      </c>
      <c r="HE379" s="138">
        <f>IF(HD379="",#N/A,SUM($HD$4:HD379))</f>
        <v>10.33728471620168</v>
      </c>
      <c r="HF379" s="85">
        <f>IF(HD379="",#N/A,IF(HB379="Skip",#N/A,SUM($HG$4:HG379)))</f>
        <v>311.60157921915584</v>
      </c>
      <c r="HG379" s="63">
        <f t="shared" si="649"/>
        <v>17.159999999999854</v>
      </c>
      <c r="HH379" s="82">
        <f t="shared" si="650"/>
        <v>0.29747351263243471</v>
      </c>
    </row>
    <row r="380" spans="1:216" x14ac:dyDescent="0.25">
      <c r="A380" s="57" t="s">
        <v>3320</v>
      </c>
      <c r="B380" s="58" t="str" cm="1">
        <f t="array" ref="B380">IFERROR(_xlfn.XLOOKUP(A380,Earnings!$B$2:$B$9985,LEFT(Earnings!$C$2:$C$9985,37)),"Can't Find Date***")</f>
        <v>on 2/26/25, 4:01 PM After Market East</v>
      </c>
      <c r="C380" s="386">
        <f t="shared" si="561"/>
        <v>3</v>
      </c>
      <c r="D380" s="372" t="str">
        <f>_xlfn.XLOOKUP(A380,[1]SP500!$A$2:$A$502,[1]SP500!$D$2:$D$502,"N")</f>
        <v>N</v>
      </c>
      <c r="E380" s="57" t="str">
        <f>_xlfn.XLOOKUP(A380,[1]SP500!$A$2:$A$655,[1]SP500!$B$2:$B$655)</f>
        <v>IGV</v>
      </c>
      <c r="F380" s="59">
        <v>45714</v>
      </c>
      <c r="G380" s="57" t="str">
        <f t="shared" si="562"/>
        <v>AMC</v>
      </c>
      <c r="H380" s="57" t="str">
        <f t="shared" si="563"/>
        <v>s</v>
      </c>
      <c r="I380" s="159">
        <v>69.349999999999994</v>
      </c>
      <c r="J380" s="159">
        <v>79.900000000000006</v>
      </c>
      <c r="K380" s="61">
        <f t="shared" si="564"/>
        <v>0.15212689257390069</v>
      </c>
      <c r="L380" s="87">
        <f t="shared" si="565"/>
        <v>253.20000000000027</v>
      </c>
      <c r="M380" s="130">
        <f t="shared" si="556"/>
        <v>-4.7999999999999545</v>
      </c>
      <c r="N380" s="169" t="str">
        <f t="shared" si="566"/>
        <v/>
      </c>
      <c r="O380" s="169">
        <f>IF($J380="",#N/A,SUM($N$4:N380))</f>
        <v>-184.10328064577561</v>
      </c>
      <c r="P380" s="174" t="str">
        <f t="shared" si="567"/>
        <v/>
      </c>
      <c r="Q380" s="174">
        <f>IF($J380="",#N/A,SUM($P$4:P380))</f>
        <v>116.53499224504333</v>
      </c>
      <c r="R380" s="178">
        <f t="shared" si="568"/>
        <v>253.20000000000027</v>
      </c>
      <c r="S380" s="178">
        <f>IF($J380="",#N/A,SUM($R$4:R380))</f>
        <v>1545.9323369902779</v>
      </c>
      <c r="T380" s="290" t="str">
        <f t="shared" si="569"/>
        <v/>
      </c>
      <c r="U380" s="290">
        <f>IF($J380="",#N/A,SUM($T$4:T380))</f>
        <v>11.683887388414128</v>
      </c>
      <c r="V380" s="291" t="str">
        <f t="shared" si="570"/>
        <v/>
      </c>
      <c r="W380" s="291">
        <f>IF($J380="",#N/A,SUM($V$4:V380))</f>
        <v>20.71676331069586</v>
      </c>
      <c r="X380" s="292">
        <f t="shared" si="571"/>
        <v>2.5354482095650113</v>
      </c>
      <c r="Y380" s="292">
        <f>IF($J380="",#N/A,SUM($X$4:X380))</f>
        <v>23.578724653075266</v>
      </c>
      <c r="Z380" s="304" t="str">
        <f t="shared" si="572"/>
        <v/>
      </c>
      <c r="AA380" s="313" t="e">
        <f>IF($J380="",#N/A,SUM(Z$4:Z380))</f>
        <v>#N/A</v>
      </c>
      <c r="AB380" s="314" t="str">
        <f t="shared" si="573"/>
        <v/>
      </c>
      <c r="AC380" s="314" t="e">
        <f>IF($J380="",#N/A,SUM(AB$4:AB380))</f>
        <v>#N/A</v>
      </c>
      <c r="AD380" s="315" t="str">
        <f t="shared" si="574"/>
        <v/>
      </c>
      <c r="AE380" s="315" t="e">
        <f>IF($J380="",#N/A,SUM(AD$4:AD380))</f>
        <v>#N/A</v>
      </c>
      <c r="AF380" s="315" t="e">
        <f>IF($J380="",#N/A,SUM(AD$4:AD380,AB$4:AB380,Z$4:Z380))</f>
        <v>#N/A</v>
      </c>
      <c r="AG380" s="304" t="str">
        <f t="shared" si="575"/>
        <v/>
      </c>
      <c r="AH380" s="313" t="e">
        <f>IF($J380="",#N/A,SUM(AG$4:AG380))</f>
        <v>#N/A</v>
      </c>
      <c r="AI380" s="314" t="str">
        <f t="shared" si="576"/>
        <v/>
      </c>
      <c r="AJ380" s="314" t="e">
        <f>IF($J380="",#N/A,SUM(AI$4:AI380))</f>
        <v>#N/A</v>
      </c>
      <c r="AK380" s="315">
        <f t="shared" si="577"/>
        <v>2.5354482095650113</v>
      </c>
      <c r="AL380" s="315" t="e">
        <f>IF($J380="",#N/A,SUM(AK$4:AK380))</f>
        <v>#N/A</v>
      </c>
      <c r="AM380" s="315" t="e">
        <f>IF($J380="",#N/A,SUM(AK$4:AK380,AI$4:AI380,AG$4:AG380))</f>
        <v>#N/A</v>
      </c>
      <c r="AN380" s="304" t="str">
        <f t="shared" si="578"/>
        <v/>
      </c>
      <c r="AO380" s="313" t="e">
        <f>IF($J380="",#N/A,SUM(AN$4:AN380))</f>
        <v>#N/A</v>
      </c>
      <c r="AP380" s="314" t="str">
        <f t="shared" si="579"/>
        <v/>
      </c>
      <c r="AQ380" s="314" t="e">
        <f>IF($J380="",#N/A,SUM(AP$4:AP380))</f>
        <v>#N/A</v>
      </c>
      <c r="AR380" s="315" t="str">
        <f t="shared" si="580"/>
        <v/>
      </c>
      <c r="AS380" s="315" t="e">
        <f>IF($J380="",#N/A,SUM(AR$4:AR380))</f>
        <v>#N/A</v>
      </c>
      <c r="AT380" s="315" t="e">
        <f>IF($J380="",#N/A,SUM(AR$4:AR380,AP$4:AP380,AN$4:AN380))</f>
        <v>#N/A</v>
      </c>
      <c r="AU380" s="304" t="str">
        <f t="shared" si="581"/>
        <v/>
      </c>
      <c r="AV380" s="313" t="e">
        <f>IF($J380="",#N/A,SUM(AU$4:AU380))</f>
        <v>#N/A</v>
      </c>
      <c r="AW380" s="314" t="str">
        <f t="shared" si="582"/>
        <v/>
      </c>
      <c r="AX380" s="314" t="e">
        <f>IF($J380="",#N/A,SUM(AW$4:AW380))</f>
        <v>#N/A</v>
      </c>
      <c r="AY380" s="315" t="str">
        <f t="shared" si="583"/>
        <v/>
      </c>
      <c r="AZ380" s="315" t="e">
        <f>IF($J380="",#N/A,SUM(AY$4:AY380))</f>
        <v>#N/A</v>
      </c>
      <c r="BA380" s="315" t="e">
        <f>IF($J380="",#N/A,SUM(AY$4:AY380,AW$4:AW380,AU$4:AU380))</f>
        <v>#N/A</v>
      </c>
      <c r="BB380" s="304" t="str">
        <f t="shared" si="584"/>
        <v/>
      </c>
      <c r="BC380" s="313" t="e">
        <f>IF($J380="",#N/A,SUM(BB$4:BB380))</f>
        <v>#N/A</v>
      </c>
      <c r="BD380" s="314" t="str">
        <f t="shared" si="585"/>
        <v/>
      </c>
      <c r="BE380" s="314" t="e">
        <f>IF($J380="",#N/A,SUM(BD$4:BD380))</f>
        <v>#N/A</v>
      </c>
      <c r="BF380" s="315" t="str">
        <f t="shared" si="586"/>
        <v/>
      </c>
      <c r="BG380" s="315" t="e">
        <f>IF($J380="",#N/A,SUM(BF$4:BF380))</f>
        <v>#N/A</v>
      </c>
      <c r="BH380" s="315" t="e">
        <f>IF($J380="",#N/A,SUM(BF$4:BF380,BD$4:BD380,BB$4:BB380))</f>
        <v>#N/A</v>
      </c>
      <c r="BI380" s="304" t="str">
        <f t="shared" si="587"/>
        <v/>
      </c>
      <c r="BJ380" s="313" t="e">
        <f>IF($J380="",#N/A,SUM(BI$4:BI380))</f>
        <v>#N/A</v>
      </c>
      <c r="BK380" s="314" t="str">
        <f t="shared" si="588"/>
        <v/>
      </c>
      <c r="BL380" s="314" t="e">
        <f>IF($J380="",#N/A,SUM(BK$4:BK380))</f>
        <v>#N/A</v>
      </c>
      <c r="BM380" s="315" t="str">
        <f t="shared" si="589"/>
        <v/>
      </c>
      <c r="BN380" s="315" t="e">
        <f>IF($J380="",#N/A,SUM(BM$4:BM380))</f>
        <v>#N/A</v>
      </c>
      <c r="BO380" s="315" t="e">
        <f>IF($J380="",#N/A,SUM(BM$4:BM380,BK$4:BK380,BI$4:BI380))</f>
        <v>#N/A</v>
      </c>
      <c r="BP380" s="304" t="str">
        <f t="shared" si="590"/>
        <v/>
      </c>
      <c r="BQ380" s="313" t="e">
        <f>IF($J380="",#N/A,SUM(BP$4:BP380))</f>
        <v>#N/A</v>
      </c>
      <c r="BR380" s="314" t="str">
        <f t="shared" si="591"/>
        <v/>
      </c>
      <c r="BS380" s="314" t="e">
        <f>IF($J380="",#N/A,SUM(BR$4:BR380))</f>
        <v>#N/A</v>
      </c>
      <c r="BT380" s="315" t="str">
        <f t="shared" si="592"/>
        <v/>
      </c>
      <c r="BU380" s="315" t="e">
        <f>IF($J380="",#N/A,SUM(BT$4:BT380))</f>
        <v>#N/A</v>
      </c>
      <c r="BV380" s="315" t="e">
        <f>IF($J380="",#N/A,SUM(BT$4:BT380,BR$4:BR380,BP$4:BP380))</f>
        <v>#N/A</v>
      </c>
      <c r="BW380" s="304" t="str">
        <f t="shared" si="593"/>
        <v/>
      </c>
      <c r="BX380" s="313" t="e">
        <f>IF($J380="",#N/A,SUM(BW$4:BW380))</f>
        <v>#N/A</v>
      </c>
      <c r="BY380" s="314" t="str">
        <f t="shared" si="594"/>
        <v/>
      </c>
      <c r="BZ380" s="314" t="e">
        <f>IF($J380="",#N/A,SUM(BY$4:BY380))</f>
        <v>#N/A</v>
      </c>
      <c r="CA380" s="315" t="str">
        <f t="shared" si="595"/>
        <v/>
      </c>
      <c r="CB380" s="315" t="e">
        <f>IF($J380="",#N/A,SUM(CA$4:CA380))</f>
        <v>#N/A</v>
      </c>
      <c r="CC380" s="315" t="e">
        <f>IF($J380="",#N/A,SUM(CA$4:CA380,BY$4:BY380,BW$4:BW380))</f>
        <v>#N/A</v>
      </c>
      <c r="CD380" s="304" t="str">
        <f t="shared" si="596"/>
        <v/>
      </c>
      <c r="CE380" s="313" t="e">
        <f>IF($J380="",#N/A,SUM(CD$4:CD380))</f>
        <v>#N/A</v>
      </c>
      <c r="CF380" s="314" t="str">
        <f t="shared" si="597"/>
        <v/>
      </c>
      <c r="CG380" s="314" t="e">
        <f>IF($J380="",#N/A,SUM(CF$4:CF380))</f>
        <v>#N/A</v>
      </c>
      <c r="CH380" s="315" t="str">
        <f t="shared" si="598"/>
        <v/>
      </c>
      <c r="CI380" s="315" t="e">
        <f>IF($J380="",#N/A,SUM(CH$4:CH380))</f>
        <v>#N/A</v>
      </c>
      <c r="CJ380" s="315" t="e">
        <f>IF($J380="",#N/A,SUM(CH$4:CH380,CF$4:CF380,CD$4:CD380))</f>
        <v>#N/A</v>
      </c>
      <c r="CK380" s="304" t="str">
        <f t="shared" si="599"/>
        <v/>
      </c>
      <c r="CL380" s="313" t="e">
        <f>IF($J380="",#N/A,SUM(CK$4:CK380))</f>
        <v>#N/A</v>
      </c>
      <c r="CM380" s="314" t="str">
        <f t="shared" si="600"/>
        <v/>
      </c>
      <c r="CN380" s="314" t="e">
        <f>IF($J380="",#N/A,SUM(CM$4:CM380))</f>
        <v>#N/A</v>
      </c>
      <c r="CO380" s="315" t="str">
        <f t="shared" si="601"/>
        <v/>
      </c>
      <c r="CP380" s="315" t="e">
        <f>IF($J380="",#N/A,SUM(CO$4:CO380))</f>
        <v>#N/A</v>
      </c>
      <c r="CQ380" s="315" t="e">
        <f>IF($J380="",#N/A,SUM(CO$4:CO380,CM$4:CM380,CK$4:CK380))</f>
        <v>#N/A</v>
      </c>
      <c r="CR380" s="304" t="str">
        <f t="shared" si="602"/>
        <v/>
      </c>
      <c r="CS380" s="313" t="e">
        <f>IF($J380="",#N/A,SUM(CR$4:CR380))</f>
        <v>#N/A</v>
      </c>
      <c r="CT380" s="314" t="str">
        <f t="shared" si="603"/>
        <v/>
      </c>
      <c r="CU380" s="314" t="e">
        <f>IF($J380="",#N/A,SUM(CT$4:CT380))</f>
        <v>#N/A</v>
      </c>
      <c r="CV380" s="315" t="str">
        <f t="shared" si="604"/>
        <v/>
      </c>
      <c r="CW380" s="315" t="e">
        <f>IF($J380="",#N/A,SUM(CV$4:CV380))</f>
        <v>#N/A</v>
      </c>
      <c r="CX380" s="315" t="e">
        <f>IF($J380="",#N/A,SUM(CV$4:CV380,CT$4:CT380,CR$4:CR380))</f>
        <v>#N/A</v>
      </c>
      <c r="CY380" s="304" t="str">
        <f t="shared" si="605"/>
        <v/>
      </c>
      <c r="CZ380" s="313" t="e">
        <f>IF($J380="",#N/A,SUM(CY$4:CY380))</f>
        <v>#N/A</v>
      </c>
      <c r="DA380" s="314" t="str">
        <f t="shared" si="606"/>
        <v/>
      </c>
      <c r="DB380" s="314" t="e">
        <f>IF($J380="",#N/A,SUM(DA$4:DA380))</f>
        <v>#N/A</v>
      </c>
      <c r="DC380" s="315" t="str">
        <f t="shared" si="607"/>
        <v/>
      </c>
      <c r="DD380" s="315" t="e">
        <f>IF($J380="",#N/A,SUM(DC$4:DC380))</f>
        <v>#N/A</v>
      </c>
      <c r="DE380" s="315" t="e">
        <f>IF($J380="",#N/A,SUM(DC$4:DC380,DA$4:DA380,CY$4:CY380))</f>
        <v>#N/A</v>
      </c>
      <c r="DF380" s="304" t="str">
        <f t="shared" si="608"/>
        <v/>
      </c>
      <c r="DG380" s="313" t="e">
        <f>IF($J380="",#N/A,SUM(DF$4:DF380))</f>
        <v>#N/A</v>
      </c>
      <c r="DH380" s="314" t="str">
        <f t="shared" si="609"/>
        <v/>
      </c>
      <c r="DI380" s="314" t="e">
        <f>IF($J380="",#N/A,SUM(DH$4:DH380))</f>
        <v>#N/A</v>
      </c>
      <c r="DJ380" s="315" t="str">
        <f t="shared" si="610"/>
        <v/>
      </c>
      <c r="DK380" s="315" t="e">
        <f>IF($J380="",#N/A,SUM(DJ$4:DJ380))</f>
        <v>#N/A</v>
      </c>
      <c r="DL380" s="315" t="e">
        <f>IF($J380="",#N/A,SUM(DJ$4:DJ380,DH$4:DH380,DF$4:DF380))</f>
        <v>#N/A</v>
      </c>
      <c r="DM380" s="304" t="str">
        <f t="shared" si="611"/>
        <v/>
      </c>
      <c r="DN380" s="313" t="e">
        <f>IF($J380="",#N/A,SUM(DM$4:DM380))</f>
        <v>#N/A</v>
      </c>
      <c r="DO380" s="314" t="str">
        <f t="shared" si="612"/>
        <v/>
      </c>
      <c r="DP380" s="314" t="e">
        <f>IF($J380="",#N/A,SUM(DO$4:DO380))</f>
        <v>#N/A</v>
      </c>
      <c r="DQ380" s="315" t="str">
        <f t="shared" si="613"/>
        <v/>
      </c>
      <c r="DR380" s="315" t="e">
        <f>IF($J380="",#N/A,SUM(DQ$4:DQ380))</f>
        <v>#N/A</v>
      </c>
      <c r="DS380" s="315" t="e">
        <f>IF($J380="",#N/A,SUM(DQ$4:DQ380,DO$4:DO380,DM$4:DM380))</f>
        <v>#N/A</v>
      </c>
      <c r="DT380" s="304" t="str">
        <f t="shared" si="614"/>
        <v/>
      </c>
      <c r="DU380" s="313" t="e">
        <f>IF($J380="",#N/A,SUM(DT$4:DT380))</f>
        <v>#N/A</v>
      </c>
      <c r="DV380" s="314" t="str">
        <f t="shared" si="615"/>
        <v/>
      </c>
      <c r="DW380" s="314" t="e">
        <f>IF($J380="",#N/A,SUM(DV$4:DV380))</f>
        <v>#N/A</v>
      </c>
      <c r="DX380" s="315" t="str">
        <f t="shared" si="616"/>
        <v/>
      </c>
      <c r="DY380" s="315" t="e">
        <f>IF($J380="",#N/A,SUM(DX$4:DX380))</f>
        <v>#N/A</v>
      </c>
      <c r="DZ380" s="315" t="e">
        <f>IF($J380="",#N/A,SUM(DX$4:DX380,DV$4:DV380,DT$4:DT380))</f>
        <v>#N/A</v>
      </c>
      <c r="EA380" s="304" t="str">
        <f t="shared" si="617"/>
        <v/>
      </c>
      <c r="EB380" s="313" t="e">
        <f>IF($J380="",#N/A,SUM(EA$4:EA380))</f>
        <v>#N/A</v>
      </c>
      <c r="EC380" s="314" t="str">
        <f t="shared" si="618"/>
        <v/>
      </c>
      <c r="ED380" s="314" t="e">
        <f>IF($J380="",#N/A,SUM(EC$4:EC380))</f>
        <v>#N/A</v>
      </c>
      <c r="EE380" s="315" t="str">
        <f t="shared" si="619"/>
        <v/>
      </c>
      <c r="EF380" s="315" t="e">
        <f>IF($J380="",#N/A,SUM(EE$4:EE380))</f>
        <v>#N/A</v>
      </c>
      <c r="EG380" s="315" t="e">
        <f>IF($J380="",#N/A,SUM(EE$4:EE380,EC$4:EC380,EA$4:EA380))</f>
        <v>#N/A</v>
      </c>
      <c r="EH380" s="130">
        <f t="shared" si="620"/>
        <v>253.20000000000027</v>
      </c>
      <c r="EI380" s="63">
        <f>IF(EH380="",#N/A,SUM($EH$4:EH380))</f>
        <v>1478.3640485895457</v>
      </c>
      <c r="EJ380" s="223" t="e">
        <f t="shared" si="621"/>
        <v>#N/A</v>
      </c>
      <c r="EK380" s="63" t="e">
        <f>IF($GZ380="",#N/A,SUM(EJ$4:EJ380))</f>
        <v>#N/A</v>
      </c>
      <c r="EL380" s="60" t="str">
        <f t="shared" si="651"/>
        <v/>
      </c>
      <c r="EM380" s="60" t="e">
        <f>IF(EL380="",NA(),SUM($EL$4:EL380))</f>
        <v>#N/A</v>
      </c>
      <c r="EN380" s="60" t="str">
        <f t="shared" si="622"/>
        <v/>
      </c>
      <c r="EO380" s="60" t="e">
        <f>IF(EN380="",NA(),SUM($EN$4:EN380))</f>
        <v>#N/A</v>
      </c>
      <c r="EP380" s="60" t="str">
        <f t="shared" si="623"/>
        <v/>
      </c>
      <c r="EQ380" s="60" t="e">
        <f>IF(EP380="",NA(),SUM($EP$4:EP380))</f>
        <v>#N/A</v>
      </c>
      <c r="ER380" s="60" t="str">
        <f t="shared" si="624"/>
        <v/>
      </c>
      <c r="ES380" s="60" t="e">
        <f>IF(ER380="",NA(),SUM($ER$4:ER380))</f>
        <v>#N/A</v>
      </c>
      <c r="ET380" s="60">
        <f t="shared" si="625"/>
        <v>2.5354482095650113</v>
      </c>
      <c r="EU380" s="60">
        <f>IF(ET380="",NA(),SUM($ET$4:ET380))</f>
        <v>28.381163854706664</v>
      </c>
      <c r="EV380" s="60" t="str">
        <f t="shared" si="626"/>
        <v/>
      </c>
      <c r="EW380" s="60" t="e">
        <f>IF(EV380="",NA(),SUM($EV$4:EV380))</f>
        <v>#N/A</v>
      </c>
      <c r="EX380" s="60">
        <f t="shared" si="627"/>
        <v>2.5354482095650113</v>
      </c>
      <c r="EY380" s="60">
        <f>IF(EX380="",NA(),SUM($EX$4:EX380))</f>
        <v>10.101249621209128</v>
      </c>
      <c r="EZ380" s="60" t="str">
        <f t="shared" si="628"/>
        <v/>
      </c>
      <c r="FA380" s="60" t="e">
        <f>IF(EZ380="",NA(),SUM($EZ$4:EZ380))</f>
        <v>#N/A</v>
      </c>
      <c r="FB380" s="246" t="str">
        <f t="shared" si="652"/>
        <v/>
      </c>
      <c r="FC380" s="246" t="e">
        <f>IF($FB380="",#N/A,SUM(FB$4:$FB380))</f>
        <v>#N/A</v>
      </c>
      <c r="FD380" s="60" t="str">
        <f t="shared" si="629"/>
        <v/>
      </c>
      <c r="FE380" s="60" t="e">
        <f>IF($FD380="",#N/A,SUM($FD$4:FD380))</f>
        <v>#N/A</v>
      </c>
      <c r="FF380" s="60" t="str">
        <f t="shared" si="630"/>
        <v/>
      </c>
      <c r="FG380" s="60" t="e">
        <f>IF($FF380="",#N/A,SUM($FF$4:FF380))</f>
        <v>#N/A</v>
      </c>
      <c r="FH380" s="60" t="str">
        <f t="shared" si="631"/>
        <v/>
      </c>
      <c r="FI380" s="60" t="e">
        <f>IF($FH380="",#N/A,SUM($FH$4:FH380))</f>
        <v>#N/A</v>
      </c>
      <c r="FJ380" s="60">
        <f t="shared" si="632"/>
        <v>-0.80749819754866725</v>
      </c>
      <c r="FK380" s="60">
        <f>IF($FJ380="",#N/A,SUM($FJ$4:FJ380))</f>
        <v>-3.3050548985754524</v>
      </c>
      <c r="FL380" s="60" t="str">
        <f t="shared" si="633"/>
        <v/>
      </c>
      <c r="FM380" s="60" t="e">
        <f>IF($FL380="",#N/A,SUM($FL$4:FL380))</f>
        <v>#N/A</v>
      </c>
      <c r="FN380" s="82">
        <f t="shared" si="634"/>
        <v>1.727950012016344</v>
      </c>
      <c r="FO380" s="82">
        <f>IF($FN380="",#N/A,SUM(FN$4:$FN380))</f>
        <v>44.55831519135144</v>
      </c>
      <c r="FP380" s="82">
        <f t="shared" si="653"/>
        <v>2.5354482095650113</v>
      </c>
      <c r="FQ380" s="246">
        <f>IF($EH380="",#N/A,SUM($FP$4:FP380))</f>
        <v>55.97937535218523</v>
      </c>
      <c r="FR380" s="82">
        <f>IFERROR(FQ380/COUNTA($J$4:J380),#N/A)</f>
        <v>0.14848640676972211</v>
      </c>
      <c r="FS380" s="82">
        <f t="shared" si="661"/>
        <v>0.13096721551025767</v>
      </c>
      <c r="FT380" s="82">
        <f t="shared" si="662"/>
        <v>6.7600197166093501E-2</v>
      </c>
      <c r="FU380" s="338">
        <f t="shared" si="660"/>
        <v>28.624707795320248</v>
      </c>
      <c r="FV380" s="57" t="str">
        <f t="shared" si="659"/>
        <v>SW</v>
      </c>
      <c r="FW380" s="57" t="s">
        <v>2732</v>
      </c>
      <c r="FX380" s="57" t="str">
        <f t="shared" si="635"/>
        <v/>
      </c>
      <c r="FY380" s="57" t="str">
        <f t="shared" si="636"/>
        <v/>
      </c>
      <c r="FZ380" s="57">
        <f t="shared" si="637"/>
        <v>1</v>
      </c>
      <c r="GA380" s="57" t="str">
        <f t="shared" si="638"/>
        <v>Long</v>
      </c>
      <c r="GB380" s="57" t="str">
        <f t="shared" si="639"/>
        <v/>
      </c>
      <c r="GC380" s="57" t="str">
        <f t="shared" si="640"/>
        <v/>
      </c>
      <c r="GD380" s="57" t="str">
        <f t="shared" si="641"/>
        <v/>
      </c>
      <c r="GE380" s="62">
        <f t="shared" si="557"/>
        <v>69.349999999999994</v>
      </c>
      <c r="GF380" s="62" t="s">
        <v>2779</v>
      </c>
      <c r="GG380" s="199">
        <v>24</v>
      </c>
      <c r="GH380" s="207">
        <f t="shared" si="642"/>
        <v>1664.3999999999999</v>
      </c>
      <c r="GI380" s="199">
        <v>24</v>
      </c>
      <c r="GJ380" s="200">
        <v>79.7</v>
      </c>
      <c r="GK380" s="63">
        <f t="shared" si="643"/>
        <v>248.40000000000032</v>
      </c>
      <c r="GL380" s="63">
        <f t="shared" si="558"/>
        <v>172.56000000000017</v>
      </c>
      <c r="GM380" s="82">
        <f t="shared" si="644"/>
        <v>1.727950012016344</v>
      </c>
      <c r="GN380" s="82">
        <f>IF($GZ380="",#N/A,SUM(GM$4:GM380))</f>
        <v>12.860719328399076</v>
      </c>
      <c r="GO380" s="82" t="str">
        <f t="shared" si="645"/>
        <v/>
      </c>
      <c r="GP380" s="82">
        <f>IF($GZ380="",#N/A,SUM(GO$4:GO380))</f>
        <v>5.3536851561453664</v>
      </c>
      <c r="GQ380" s="82" t="str">
        <f t="shared" si="646"/>
        <v/>
      </c>
      <c r="GR380" s="82">
        <f>IF($GZ380="",#N/A,SUM(GQ$4:GQ380))</f>
        <v>25.718073752364656</v>
      </c>
      <c r="GS380" s="63" t="e">
        <f t="shared" si="654"/>
        <v>#N/A</v>
      </c>
      <c r="GT380" s="63" t="e">
        <f>IF($GZ380="",#N/A,SUM(GS$4:GS380))</f>
        <v>#N/A</v>
      </c>
      <c r="GU380" s="63" t="str">
        <f t="shared" si="655"/>
        <v/>
      </c>
      <c r="GV380" s="63" t="e">
        <f>IF($GZ380="",#N/A,SUM(GU$4:GU380))</f>
        <v>#N/A</v>
      </c>
      <c r="GW380" s="63" t="str">
        <f t="shared" si="656"/>
        <v/>
      </c>
      <c r="GX380" s="63" t="e">
        <f>IF($GZ380="",#N/A,SUM(GW$4:GW380))</f>
        <v>#N/A</v>
      </c>
      <c r="GY380" s="63" t="e">
        <f>IF(EJ380="",#N/A,SUM($EJ$4:EJ380))</f>
        <v>#N/A</v>
      </c>
      <c r="GZ380" s="159">
        <v>76.540000000000006</v>
      </c>
      <c r="HA380" s="63">
        <f t="shared" si="647"/>
        <v>-80.6400000000001</v>
      </c>
      <c r="HB380" s="62" t="s">
        <v>2538</v>
      </c>
      <c r="HC380" s="60">
        <f>IFERROR(VLOOKUP(E380,Expectancy!$P$4:$S$19,1+C380,FALSE),"")</f>
        <v>0.27741610538114203</v>
      </c>
      <c r="HD380" s="82">
        <f t="shared" si="648"/>
        <v>2.4873828406633054</v>
      </c>
      <c r="HE380" s="138">
        <f>IF(HD380="",#N/A,SUM($HD$4:HD380))</f>
        <v>12.824667556864984</v>
      </c>
      <c r="HF380" s="85">
        <f>IF(HD380="",#N/A,IF(HB380="Skip",#N/A,SUM($HG$4:HG380)))</f>
        <v>560.00157921915616</v>
      </c>
      <c r="HG380" s="63">
        <f t="shared" si="649"/>
        <v>248.40000000000032</v>
      </c>
      <c r="HH380" s="82">
        <f t="shared" si="650"/>
        <v>1.727950012016344</v>
      </c>
    </row>
    <row r="381" spans="1:216" x14ac:dyDescent="0.25">
      <c r="A381" s="465" t="s">
        <v>859</v>
      </c>
      <c r="B381" s="466" t="str" cm="1">
        <f t="array" ref="B381">IFERROR(_xlfn.XLOOKUP(A381,Earnings!$B$2:$B$9985,LEFT(Earnings!$C$2:$C$9985,37)),"Can't Find Date***")</f>
        <v>on 2/26/25, 4:00 PM After Market East</v>
      </c>
      <c r="C381" s="467">
        <f t="shared" si="561"/>
        <v>3</v>
      </c>
      <c r="D381" s="468" t="str">
        <f>_xlfn.XLOOKUP(A381,[1]SP500!$A$2:$A$502,[1]SP500!$D$2:$D$502,"N")</f>
        <v>Y</v>
      </c>
      <c r="E381" s="465" t="str">
        <f>_xlfn.XLOOKUP(A381,[1]SP500!$A$2:$A$655,[1]SP500!$B$2:$B$655)</f>
        <v>XLC</v>
      </c>
      <c r="F381" s="59">
        <v>45714</v>
      </c>
      <c r="G381" s="57" t="str">
        <f t="shared" si="562"/>
        <v>AMC</v>
      </c>
      <c r="H381" s="57" t="str">
        <f t="shared" si="563"/>
        <v>s</v>
      </c>
      <c r="I381" s="158">
        <v>11.22</v>
      </c>
      <c r="J381" s="159">
        <v>10.95</v>
      </c>
      <c r="K381" s="61">
        <f t="shared" si="564"/>
        <v>-2.4064171122994773E-2</v>
      </c>
      <c r="L381" s="87">
        <f t="shared" si="565"/>
        <v>-37.800000000000182</v>
      </c>
      <c r="M381" s="130">
        <f t="shared" si="556"/>
        <v>0</v>
      </c>
      <c r="N381" s="169" t="str">
        <f t="shared" si="566"/>
        <v/>
      </c>
      <c r="O381" s="169">
        <f>IF($J381="",#N/A,SUM($N$4:N381))</f>
        <v>-184.10328064577561</v>
      </c>
      <c r="P381" s="174" t="str">
        <f t="shared" si="567"/>
        <v/>
      </c>
      <c r="Q381" s="174">
        <f>IF($J381="",#N/A,SUM($P$4:P381))</f>
        <v>116.53499224504333</v>
      </c>
      <c r="R381" s="178">
        <f t="shared" si="568"/>
        <v>-37.800000000000182</v>
      </c>
      <c r="S381" s="178">
        <f>IF($J381="",#N/A,SUM($R$4:R381))</f>
        <v>1508.1323369902777</v>
      </c>
      <c r="T381" s="290" t="str">
        <f t="shared" si="569"/>
        <v/>
      </c>
      <c r="U381" s="290">
        <f>IF($J381="",#N/A,SUM($T$4:T381))</f>
        <v>11.683887388414128</v>
      </c>
      <c r="V381" s="291" t="str">
        <f t="shared" si="570"/>
        <v/>
      </c>
      <c r="W381" s="291">
        <f>IF($J381="",#N/A,SUM($V$4:V381))</f>
        <v>20.71676331069586</v>
      </c>
      <c r="X381" s="292">
        <f t="shared" si="571"/>
        <v>-0.40106951871657948</v>
      </c>
      <c r="Y381" s="292">
        <f>IF($J381="",#N/A,SUM($X$4:X381))</f>
        <v>23.177655134358687</v>
      </c>
      <c r="Z381" s="304" t="str">
        <f t="shared" si="572"/>
        <v/>
      </c>
      <c r="AA381" s="313" t="e">
        <f>IF($J381="",#N/A,SUM(Z$4:Z381))</f>
        <v>#N/A</v>
      </c>
      <c r="AB381" s="314" t="str">
        <f t="shared" si="573"/>
        <v/>
      </c>
      <c r="AC381" s="314" t="e">
        <f>IF($J381="",#N/A,SUM(AB$4:AB381))</f>
        <v>#N/A</v>
      </c>
      <c r="AD381" s="315" t="str">
        <f t="shared" si="574"/>
        <v/>
      </c>
      <c r="AE381" s="315" t="e">
        <f>IF($J381="",#N/A,SUM(AD$4:AD381))</f>
        <v>#N/A</v>
      </c>
      <c r="AF381" s="315" t="e">
        <f>IF($J381="",#N/A,SUM(AD$4:AD381,AB$4:AB381,Z$4:Z381))</f>
        <v>#N/A</v>
      </c>
      <c r="AG381" s="304" t="str">
        <f t="shared" si="575"/>
        <v/>
      </c>
      <c r="AH381" s="313" t="e">
        <f>IF($J381="",#N/A,SUM(AG$4:AG381))</f>
        <v>#N/A</v>
      </c>
      <c r="AI381" s="314" t="str">
        <f t="shared" si="576"/>
        <v/>
      </c>
      <c r="AJ381" s="314" t="e">
        <f>IF($J381="",#N/A,SUM(AI$4:AI381))</f>
        <v>#N/A</v>
      </c>
      <c r="AK381" s="315" t="str">
        <f t="shared" si="577"/>
        <v/>
      </c>
      <c r="AL381" s="315" t="e">
        <f>IF($J381="",#N/A,SUM(AK$4:AK381))</f>
        <v>#N/A</v>
      </c>
      <c r="AM381" s="315" t="e">
        <f>IF($J381="",#N/A,SUM(AK$4:AK381,AI$4:AI381,AG$4:AG381))</f>
        <v>#N/A</v>
      </c>
      <c r="AN381" s="304" t="str">
        <f t="shared" si="578"/>
        <v/>
      </c>
      <c r="AO381" s="313" t="e">
        <f>IF($J381="",#N/A,SUM(AN$4:AN381))</f>
        <v>#N/A</v>
      </c>
      <c r="AP381" s="314" t="str">
        <f t="shared" si="579"/>
        <v/>
      </c>
      <c r="AQ381" s="314" t="e">
        <f>IF($J381="",#N/A,SUM(AP$4:AP381))</f>
        <v>#N/A</v>
      </c>
      <c r="AR381" s="315" t="str">
        <f t="shared" si="580"/>
        <v/>
      </c>
      <c r="AS381" s="315" t="e">
        <f>IF($J381="",#N/A,SUM(AR$4:AR381))</f>
        <v>#N/A</v>
      </c>
      <c r="AT381" s="315" t="e">
        <f>IF($J381="",#N/A,SUM(AR$4:AR381,AP$4:AP381,AN$4:AN381))</f>
        <v>#N/A</v>
      </c>
      <c r="AU381" s="304" t="str">
        <f t="shared" si="581"/>
        <v/>
      </c>
      <c r="AV381" s="313" t="e">
        <f>IF($J381="",#N/A,SUM(AU$4:AU381))</f>
        <v>#N/A</v>
      </c>
      <c r="AW381" s="314" t="str">
        <f t="shared" si="582"/>
        <v/>
      </c>
      <c r="AX381" s="314" t="e">
        <f>IF($J381="",#N/A,SUM(AW$4:AW381))</f>
        <v>#N/A</v>
      </c>
      <c r="AY381" s="315" t="str">
        <f t="shared" si="583"/>
        <v/>
      </c>
      <c r="AZ381" s="315" t="e">
        <f>IF($J381="",#N/A,SUM(AY$4:AY381))</f>
        <v>#N/A</v>
      </c>
      <c r="BA381" s="315" t="e">
        <f>IF($J381="",#N/A,SUM(AY$4:AY381,AW$4:AW381,AU$4:AU381))</f>
        <v>#N/A</v>
      </c>
      <c r="BB381" s="304" t="str">
        <f t="shared" si="584"/>
        <v/>
      </c>
      <c r="BC381" s="313" t="e">
        <f>IF($J381="",#N/A,SUM(BB$4:BB381))</f>
        <v>#N/A</v>
      </c>
      <c r="BD381" s="314" t="str">
        <f t="shared" si="585"/>
        <v/>
      </c>
      <c r="BE381" s="314" t="e">
        <f>IF($J381="",#N/A,SUM(BD$4:BD381))</f>
        <v>#N/A</v>
      </c>
      <c r="BF381" s="315">
        <f t="shared" si="586"/>
        <v>-0.40106951871657948</v>
      </c>
      <c r="BG381" s="315" t="e">
        <f>IF($J381="",#N/A,SUM(BF$4:BF381))</f>
        <v>#N/A</v>
      </c>
      <c r="BH381" s="315" t="e">
        <f>IF($J381="",#N/A,SUM(BF$4:BF381,BD$4:BD381,BB$4:BB381))</f>
        <v>#N/A</v>
      </c>
      <c r="BI381" s="304" t="str">
        <f t="shared" si="587"/>
        <v/>
      </c>
      <c r="BJ381" s="313" t="e">
        <f>IF($J381="",#N/A,SUM(BI$4:BI381))</f>
        <v>#N/A</v>
      </c>
      <c r="BK381" s="314" t="str">
        <f t="shared" si="588"/>
        <v/>
      </c>
      <c r="BL381" s="314" t="e">
        <f>IF($J381="",#N/A,SUM(BK$4:BK381))</f>
        <v>#N/A</v>
      </c>
      <c r="BM381" s="315" t="str">
        <f t="shared" si="589"/>
        <v/>
      </c>
      <c r="BN381" s="315" t="e">
        <f>IF($J381="",#N/A,SUM(BM$4:BM381))</f>
        <v>#N/A</v>
      </c>
      <c r="BO381" s="315" t="e">
        <f>IF($J381="",#N/A,SUM(BM$4:BM381,BK$4:BK381,BI$4:BI381))</f>
        <v>#N/A</v>
      </c>
      <c r="BP381" s="304" t="str">
        <f t="shared" si="590"/>
        <v/>
      </c>
      <c r="BQ381" s="313" t="e">
        <f>IF($J381="",#N/A,SUM(BP$4:BP381))</f>
        <v>#N/A</v>
      </c>
      <c r="BR381" s="314" t="str">
        <f t="shared" si="591"/>
        <v/>
      </c>
      <c r="BS381" s="314" t="e">
        <f>IF($J381="",#N/A,SUM(BR$4:BR381))</f>
        <v>#N/A</v>
      </c>
      <c r="BT381" s="315" t="str">
        <f t="shared" si="592"/>
        <v/>
      </c>
      <c r="BU381" s="315" t="e">
        <f>IF($J381="",#N/A,SUM(BT$4:BT381))</f>
        <v>#N/A</v>
      </c>
      <c r="BV381" s="315" t="e">
        <f>IF($J381="",#N/A,SUM(BT$4:BT381,BR$4:BR381,BP$4:BP381))</f>
        <v>#N/A</v>
      </c>
      <c r="BW381" s="304" t="str">
        <f t="shared" si="593"/>
        <v/>
      </c>
      <c r="BX381" s="313" t="e">
        <f>IF($J381="",#N/A,SUM(BW$4:BW381))</f>
        <v>#N/A</v>
      </c>
      <c r="BY381" s="314" t="str">
        <f t="shared" si="594"/>
        <v/>
      </c>
      <c r="BZ381" s="314" t="e">
        <f>IF($J381="",#N/A,SUM(BY$4:BY381))</f>
        <v>#N/A</v>
      </c>
      <c r="CA381" s="315" t="str">
        <f t="shared" si="595"/>
        <v/>
      </c>
      <c r="CB381" s="315" t="e">
        <f>IF($J381="",#N/A,SUM(CA$4:CA381))</f>
        <v>#N/A</v>
      </c>
      <c r="CC381" s="315" t="e">
        <f>IF($J381="",#N/A,SUM(CA$4:CA381,BY$4:BY381,BW$4:BW381))</f>
        <v>#N/A</v>
      </c>
      <c r="CD381" s="304" t="str">
        <f t="shared" si="596"/>
        <v/>
      </c>
      <c r="CE381" s="313" t="e">
        <f>IF($J381="",#N/A,SUM(CD$4:CD381))</f>
        <v>#N/A</v>
      </c>
      <c r="CF381" s="314" t="str">
        <f t="shared" si="597"/>
        <v/>
      </c>
      <c r="CG381" s="314" t="e">
        <f>IF($J381="",#N/A,SUM(CF$4:CF381))</f>
        <v>#N/A</v>
      </c>
      <c r="CH381" s="315" t="str">
        <f t="shared" si="598"/>
        <v/>
      </c>
      <c r="CI381" s="315" t="e">
        <f>IF($J381="",#N/A,SUM(CH$4:CH381))</f>
        <v>#N/A</v>
      </c>
      <c r="CJ381" s="315" t="e">
        <f>IF($J381="",#N/A,SUM(CH$4:CH381,CF$4:CF381,CD$4:CD381))</f>
        <v>#N/A</v>
      </c>
      <c r="CK381" s="304" t="str">
        <f t="shared" si="599"/>
        <v/>
      </c>
      <c r="CL381" s="313" t="e">
        <f>IF($J381="",#N/A,SUM(CK$4:CK381))</f>
        <v>#N/A</v>
      </c>
      <c r="CM381" s="314" t="str">
        <f t="shared" si="600"/>
        <v/>
      </c>
      <c r="CN381" s="314" t="e">
        <f>IF($J381="",#N/A,SUM(CM$4:CM381))</f>
        <v>#N/A</v>
      </c>
      <c r="CO381" s="315" t="str">
        <f t="shared" si="601"/>
        <v/>
      </c>
      <c r="CP381" s="315" t="e">
        <f>IF($J381="",#N/A,SUM(CO$4:CO381))</f>
        <v>#N/A</v>
      </c>
      <c r="CQ381" s="315" t="e">
        <f>IF($J381="",#N/A,SUM(CO$4:CO381,CM$4:CM381,CK$4:CK381))</f>
        <v>#N/A</v>
      </c>
      <c r="CR381" s="304" t="str">
        <f t="shared" si="602"/>
        <v/>
      </c>
      <c r="CS381" s="313" t="e">
        <f>IF($J381="",#N/A,SUM(CR$4:CR381))</f>
        <v>#N/A</v>
      </c>
      <c r="CT381" s="314" t="str">
        <f t="shared" si="603"/>
        <v/>
      </c>
      <c r="CU381" s="314" t="e">
        <f>IF($J381="",#N/A,SUM(CT$4:CT381))</f>
        <v>#N/A</v>
      </c>
      <c r="CV381" s="315" t="str">
        <f t="shared" si="604"/>
        <v/>
      </c>
      <c r="CW381" s="315" t="e">
        <f>IF($J381="",#N/A,SUM(CV$4:CV381))</f>
        <v>#N/A</v>
      </c>
      <c r="CX381" s="315" t="e">
        <f>IF($J381="",#N/A,SUM(CV$4:CV381,CT$4:CT381,CR$4:CR381))</f>
        <v>#N/A</v>
      </c>
      <c r="CY381" s="304" t="str">
        <f t="shared" si="605"/>
        <v/>
      </c>
      <c r="CZ381" s="313" t="e">
        <f>IF($J381="",#N/A,SUM(CY$4:CY381))</f>
        <v>#N/A</v>
      </c>
      <c r="DA381" s="314" t="str">
        <f t="shared" si="606"/>
        <v/>
      </c>
      <c r="DB381" s="314" t="e">
        <f>IF($J381="",#N/A,SUM(DA$4:DA381))</f>
        <v>#N/A</v>
      </c>
      <c r="DC381" s="315" t="str">
        <f t="shared" si="607"/>
        <v/>
      </c>
      <c r="DD381" s="315" t="e">
        <f>IF($J381="",#N/A,SUM(DC$4:DC381))</f>
        <v>#N/A</v>
      </c>
      <c r="DE381" s="315" t="e">
        <f>IF($J381="",#N/A,SUM(DC$4:DC381,DA$4:DA381,CY$4:CY381))</f>
        <v>#N/A</v>
      </c>
      <c r="DF381" s="304" t="str">
        <f t="shared" si="608"/>
        <v/>
      </c>
      <c r="DG381" s="313" t="e">
        <f>IF($J381="",#N/A,SUM(DF$4:DF381))</f>
        <v>#N/A</v>
      </c>
      <c r="DH381" s="314" t="str">
        <f t="shared" si="609"/>
        <v/>
      </c>
      <c r="DI381" s="314" t="e">
        <f>IF($J381="",#N/A,SUM(DH$4:DH381))</f>
        <v>#N/A</v>
      </c>
      <c r="DJ381" s="315" t="str">
        <f t="shared" si="610"/>
        <v/>
      </c>
      <c r="DK381" s="315" t="e">
        <f>IF($J381="",#N/A,SUM(DJ$4:DJ381))</f>
        <v>#N/A</v>
      </c>
      <c r="DL381" s="315" t="e">
        <f>IF($J381="",#N/A,SUM(DJ$4:DJ381,DH$4:DH381,DF$4:DF381))</f>
        <v>#N/A</v>
      </c>
      <c r="DM381" s="304" t="str">
        <f t="shared" si="611"/>
        <v/>
      </c>
      <c r="DN381" s="313" t="e">
        <f>IF($J381="",#N/A,SUM(DM$4:DM381))</f>
        <v>#N/A</v>
      </c>
      <c r="DO381" s="314" t="str">
        <f t="shared" si="612"/>
        <v/>
      </c>
      <c r="DP381" s="314" t="e">
        <f>IF($J381="",#N/A,SUM(DO$4:DO381))</f>
        <v>#N/A</v>
      </c>
      <c r="DQ381" s="315" t="str">
        <f t="shared" si="613"/>
        <v/>
      </c>
      <c r="DR381" s="315" t="e">
        <f>IF($J381="",#N/A,SUM(DQ$4:DQ381))</f>
        <v>#N/A</v>
      </c>
      <c r="DS381" s="315" t="e">
        <f>IF($J381="",#N/A,SUM(DQ$4:DQ381,DO$4:DO381,DM$4:DM381))</f>
        <v>#N/A</v>
      </c>
      <c r="DT381" s="304" t="str">
        <f t="shared" si="614"/>
        <v/>
      </c>
      <c r="DU381" s="313" t="e">
        <f>IF($J381="",#N/A,SUM(DT$4:DT381))</f>
        <v>#N/A</v>
      </c>
      <c r="DV381" s="314" t="str">
        <f t="shared" si="615"/>
        <v/>
      </c>
      <c r="DW381" s="314" t="e">
        <f>IF($J381="",#N/A,SUM(DV$4:DV381))</f>
        <v>#N/A</v>
      </c>
      <c r="DX381" s="315" t="str">
        <f t="shared" si="616"/>
        <v/>
      </c>
      <c r="DY381" s="315" t="e">
        <f>IF($J381="",#N/A,SUM(DX$4:DX381))</f>
        <v>#N/A</v>
      </c>
      <c r="DZ381" s="315" t="e">
        <f>IF($J381="",#N/A,SUM(DX$4:DX381,DV$4:DV381,DT$4:DT381))</f>
        <v>#N/A</v>
      </c>
      <c r="EA381" s="304" t="str">
        <f t="shared" si="617"/>
        <v/>
      </c>
      <c r="EB381" s="313" t="e">
        <f>IF($J381="",#N/A,SUM(EA$4:EA381))</f>
        <v>#N/A</v>
      </c>
      <c r="EC381" s="314" t="str">
        <f t="shared" si="618"/>
        <v/>
      </c>
      <c r="ED381" s="314" t="e">
        <f>IF($J381="",#N/A,SUM(EC$4:EC381))</f>
        <v>#N/A</v>
      </c>
      <c r="EE381" s="315" t="str">
        <f t="shared" si="619"/>
        <v/>
      </c>
      <c r="EF381" s="315" t="e">
        <f>IF($J381="",#N/A,SUM(EE$4:EE381))</f>
        <v>#N/A</v>
      </c>
      <c r="EG381" s="315" t="e">
        <f>IF($J381="",#N/A,SUM(EE$4:EE381,EC$4:EC381,EA$4:EA381))</f>
        <v>#N/A</v>
      </c>
      <c r="EH381" s="130">
        <f t="shared" si="620"/>
        <v>-37.800000000000182</v>
      </c>
      <c r="EI381" s="63">
        <f>IF(EH381="",#N/A,SUM($EH$4:EH381))</f>
        <v>1440.5640485895456</v>
      </c>
      <c r="EJ381" s="223" t="e">
        <f t="shared" si="621"/>
        <v>#N/A</v>
      </c>
      <c r="EK381" s="63" t="e">
        <f>IF($GZ381="",#N/A,SUM(EJ$4:EJ381))</f>
        <v>#N/A</v>
      </c>
      <c r="EL381" s="60">
        <f t="shared" si="651"/>
        <v>-0.40106951871657948</v>
      </c>
      <c r="EM381" s="60">
        <f>IF(EL381="",NA(),SUM($EL$4:EL381))</f>
        <v>27.197141978762019</v>
      </c>
      <c r="EN381" s="60" t="str">
        <f t="shared" si="622"/>
        <v/>
      </c>
      <c r="EO381" s="60" t="e">
        <f>IF(EN381="",NA(),SUM($EN$4:EN381))</f>
        <v>#N/A</v>
      </c>
      <c r="EP381" s="60">
        <f t="shared" si="623"/>
        <v>-0.40106951871657948</v>
      </c>
      <c r="EQ381" s="60">
        <f>IF(EP381="",NA(),SUM($EP$4:EP381))</f>
        <v>13.076405513149558</v>
      </c>
      <c r="ER381" s="60" t="str">
        <f t="shared" si="624"/>
        <v/>
      </c>
      <c r="ES381" s="60" t="e">
        <f>IF(ER381="",NA(),SUM($ER$4:ER381))</f>
        <v>#N/A</v>
      </c>
      <c r="ET381" s="60" t="str">
        <f t="shared" si="625"/>
        <v/>
      </c>
      <c r="EU381" s="60" t="e">
        <f>IF(ET381="",NA(),SUM($ET$4:ET381))</f>
        <v>#N/A</v>
      </c>
      <c r="EV381" s="60" t="str">
        <f t="shared" si="626"/>
        <v/>
      </c>
      <c r="EW381" s="60" t="e">
        <f>IF(EV381="",NA(),SUM($EV$4:EV381))</f>
        <v>#N/A</v>
      </c>
      <c r="EX381" s="60" t="str">
        <f t="shared" si="627"/>
        <v/>
      </c>
      <c r="EY381" s="60" t="e">
        <f>IF(EX381="",NA(),SUM($EX$4:EX381))</f>
        <v>#N/A</v>
      </c>
      <c r="EZ381" s="60" t="str">
        <f t="shared" si="628"/>
        <v/>
      </c>
      <c r="FA381" s="60" t="e">
        <f>IF(EZ381="",NA(),SUM($EZ$4:EZ381))</f>
        <v>#N/A</v>
      </c>
      <c r="FB381" s="246" t="str">
        <f t="shared" si="652"/>
        <v/>
      </c>
      <c r="FC381" s="246" t="e">
        <f>IF($FB381="",#N/A,SUM(FB$4:$FB381))</f>
        <v>#N/A</v>
      </c>
      <c r="FD381" s="60" t="str">
        <f t="shared" si="629"/>
        <v/>
      </c>
      <c r="FE381" s="60" t="e">
        <f>IF($FD381="",#N/A,SUM($FD$4:FD381))</f>
        <v>#N/A</v>
      </c>
      <c r="FF381" s="60" t="str">
        <f t="shared" si="630"/>
        <v/>
      </c>
      <c r="FG381" s="60" t="e">
        <f>IF($FF381="",#N/A,SUM($FF$4:FF381))</f>
        <v>#N/A</v>
      </c>
      <c r="FH381" s="60" t="str">
        <f t="shared" si="631"/>
        <v/>
      </c>
      <c r="FI381" s="60" t="e">
        <f>IF($FH381="",#N/A,SUM($FH$4:FH381))</f>
        <v>#N/A</v>
      </c>
      <c r="FJ381" s="60" t="str">
        <f t="shared" si="632"/>
        <v/>
      </c>
      <c r="FK381" s="60" t="e">
        <f>IF($FJ381="",#N/A,SUM($FJ$4:FJ381))</f>
        <v>#N/A</v>
      </c>
      <c r="FL381" s="60">
        <f t="shared" si="633"/>
        <v>0.43077837195484397</v>
      </c>
      <c r="FM381" s="60">
        <f>IF($FL381="",#N/A,SUM($FL$4:FL381))</f>
        <v>-6.982172054145904</v>
      </c>
      <c r="FN381" s="82">
        <f t="shared" si="634"/>
        <v>2.970885323826452E-2</v>
      </c>
      <c r="FO381" s="82">
        <f>IF($FN381="",#N/A,SUM(FN$4:$FN381))</f>
        <v>44.588024044589702</v>
      </c>
      <c r="FP381" s="82">
        <f t="shared" si="653"/>
        <v>-0.40106951871657948</v>
      </c>
      <c r="FQ381" s="246">
        <f>IF($EH381="",#N/A,SUM($FP$4:FP381))</f>
        <v>55.578305833468647</v>
      </c>
      <c r="FR381" s="82">
        <f>IFERROR(FQ381/COUNTA($J$4:J381),#N/A)</f>
        <v>0.14703255511499641</v>
      </c>
      <c r="FS381" s="82">
        <f t="shared" si="661"/>
        <v>0.13925914658100894</v>
      </c>
      <c r="FT381" s="82">
        <f t="shared" si="662"/>
        <v>5.3214989454242245E-2</v>
      </c>
      <c r="FU381" s="338">
        <f t="shared" si="660"/>
        <v>28.624707795320241</v>
      </c>
      <c r="FV381" s="57" t="str">
        <f t="shared" si="659"/>
        <v>SW</v>
      </c>
      <c r="FW381" s="57" t="s">
        <v>2732</v>
      </c>
      <c r="FX381" s="57" t="str">
        <f t="shared" si="635"/>
        <v/>
      </c>
      <c r="FY381" s="57" t="str">
        <f t="shared" si="636"/>
        <v/>
      </c>
      <c r="FZ381" s="57" t="str">
        <f t="shared" si="637"/>
        <v/>
      </c>
      <c r="GA381" s="57" t="str">
        <f t="shared" si="638"/>
        <v>Long</v>
      </c>
      <c r="GB381" s="57" t="str">
        <f t="shared" si="639"/>
        <v/>
      </c>
      <c r="GC381" s="57" t="str">
        <f t="shared" si="640"/>
        <v/>
      </c>
      <c r="GD381" s="57">
        <f t="shared" si="641"/>
        <v>1</v>
      </c>
      <c r="GE381" s="62">
        <f t="shared" si="557"/>
        <v>11.22</v>
      </c>
      <c r="GF381" s="62" t="s">
        <v>2779</v>
      </c>
      <c r="GG381" s="199">
        <v>140</v>
      </c>
      <c r="GH381" s="207">
        <f t="shared" si="642"/>
        <v>1570.8000000000002</v>
      </c>
      <c r="GI381" s="199">
        <v>140</v>
      </c>
      <c r="GJ381" s="200">
        <v>10.95</v>
      </c>
      <c r="GK381" s="63">
        <f t="shared" si="643"/>
        <v>-37.800000000000182</v>
      </c>
      <c r="GL381" s="63">
        <f t="shared" si="558"/>
        <v>2.7999999999999545</v>
      </c>
      <c r="GM381" s="82">
        <f t="shared" si="644"/>
        <v>2.970885323826452E-2</v>
      </c>
      <c r="GN381" s="82">
        <f>IF($GZ381="",#N/A,SUM(GM$4:GM381))</f>
        <v>12.890428181637342</v>
      </c>
      <c r="GO381" s="82" t="str">
        <f t="shared" si="645"/>
        <v/>
      </c>
      <c r="GP381" s="82">
        <f>IF($GZ381="",#N/A,SUM(GO$4:GO381))</f>
        <v>5.3536851561453664</v>
      </c>
      <c r="GQ381" s="82" t="str">
        <f t="shared" si="646"/>
        <v/>
      </c>
      <c r="GR381" s="82">
        <f>IF($GZ381="",#N/A,SUM(GQ$4:GQ381))</f>
        <v>25.718073752364656</v>
      </c>
      <c r="GS381" s="63" t="e">
        <f t="shared" si="654"/>
        <v>#N/A</v>
      </c>
      <c r="GT381" s="63" t="e">
        <f>IF($GZ381="",#N/A,SUM(GS$4:GS381))</f>
        <v>#N/A</v>
      </c>
      <c r="GU381" s="63" t="str">
        <f t="shared" si="655"/>
        <v/>
      </c>
      <c r="GV381" s="63" t="e">
        <f>IF($GZ381="",#N/A,SUM(GU$4:GU381))</f>
        <v>#N/A</v>
      </c>
      <c r="GW381" s="63" t="str">
        <f t="shared" si="656"/>
        <v/>
      </c>
      <c r="GX381" s="63" t="e">
        <f>IF($GZ381="",#N/A,SUM(GW$4:GW381))</f>
        <v>#N/A</v>
      </c>
      <c r="GY381" s="63" t="e">
        <f>IF(EJ381="",#N/A,SUM($EJ$4:EJ381))</f>
        <v>#N/A</v>
      </c>
      <c r="GZ381" s="159">
        <v>11.24</v>
      </c>
      <c r="HA381" s="63">
        <f t="shared" si="647"/>
        <v>40.600000000000136</v>
      </c>
      <c r="HB381" s="62" t="s">
        <v>2538</v>
      </c>
      <c r="HC381" s="60">
        <f>IFERROR(VLOOKUP(E381,Expectancy!$P$4:$S$19,1+C381,FALSE),"")</f>
        <v>0.70195709060766942</v>
      </c>
      <c r="HD381" s="82">
        <f t="shared" si="648"/>
        <v>-0.40106951871657948</v>
      </c>
      <c r="HE381" s="138">
        <f>IF(HD381="",#N/A,SUM($HD$4:HD381))</f>
        <v>12.423598038148405</v>
      </c>
      <c r="HF381" s="85">
        <f>IF(HD381="",#N/A,IF(HB381="Skip",#N/A,SUM($HG$4:HG381)))</f>
        <v>522.20157921915597</v>
      </c>
      <c r="HG381" s="63">
        <f t="shared" si="649"/>
        <v>-37.800000000000182</v>
      </c>
      <c r="HH381" s="82">
        <f t="shared" si="650"/>
        <v>2.970885323826452E-2</v>
      </c>
    </row>
    <row r="382" spans="1:216" x14ac:dyDescent="0.25">
      <c r="A382" s="57" t="s">
        <v>1215</v>
      </c>
      <c r="B382" s="58" t="str" cm="1">
        <f t="array" ref="B382">IFERROR(_xlfn.XLOOKUP(A382,Earnings!$B$2:$B$9985,LEFT(Earnings!$C$2:$C$9985,37)),"Can't Find Date***")</f>
        <v>on 2/26/25, 4:05 PM After Market East</v>
      </c>
      <c r="C382" s="386">
        <f t="shared" si="561"/>
        <v>3</v>
      </c>
      <c r="D382" s="372" t="str">
        <f>_xlfn.XLOOKUP(A382,[1]SP500!$A$2:$A$502,[1]SP500!$D$2:$D$502,"N")</f>
        <v>Y</v>
      </c>
      <c r="E382" s="57" t="str">
        <f>_xlfn.XLOOKUP(A382,[1]SP500!$A$2:$A$655,[1]SP500!$B$2:$B$655)</f>
        <v>SMH</v>
      </c>
      <c r="F382" s="59">
        <v>45714</v>
      </c>
      <c r="G382" s="57" t="str">
        <f t="shared" si="562"/>
        <v>AMC</v>
      </c>
      <c r="H382" s="57" t="str">
        <f t="shared" si="563"/>
        <v>s</v>
      </c>
      <c r="I382" s="159">
        <v>470.46</v>
      </c>
      <c r="J382" s="159">
        <v>481.5</v>
      </c>
      <c r="K382" s="61">
        <f t="shared" si="564"/>
        <v>2.3466394592526509E-2</v>
      </c>
      <c r="L382" s="87">
        <f t="shared" si="565"/>
        <v>33.120000000000118</v>
      </c>
      <c r="M382" s="130">
        <f t="shared" ref="M382:M445" si="663">IF(L382="","",IF(HG382="",#N/A,IF(HB382="Open",HG382-L382,#N/A)))</f>
        <v>0</v>
      </c>
      <c r="N382" s="169" t="str">
        <f t="shared" si="566"/>
        <v/>
      </c>
      <c r="O382" s="169">
        <f>IF($J382="",#N/A,SUM($N$4:N382))</f>
        <v>-184.10328064577561</v>
      </c>
      <c r="P382" s="174" t="str">
        <f t="shared" si="567"/>
        <v/>
      </c>
      <c r="Q382" s="174">
        <f>IF($J382="",#N/A,SUM($P$4:P382))</f>
        <v>116.53499224504333</v>
      </c>
      <c r="R382" s="178">
        <f t="shared" si="568"/>
        <v>33.120000000000118</v>
      </c>
      <c r="S382" s="178">
        <f>IF($J382="",#N/A,SUM($R$4:R382))</f>
        <v>1541.2523369902779</v>
      </c>
      <c r="T382" s="290" t="str">
        <f t="shared" si="569"/>
        <v/>
      </c>
      <c r="U382" s="290">
        <f>IF($J382="",#N/A,SUM($T$4:T382))</f>
        <v>11.683887388414128</v>
      </c>
      <c r="V382" s="291" t="str">
        <f t="shared" si="570"/>
        <v/>
      </c>
      <c r="W382" s="291">
        <f>IF($J382="",#N/A,SUM($V$4:V382))</f>
        <v>20.71676331069586</v>
      </c>
      <c r="X382" s="292">
        <f t="shared" si="571"/>
        <v>0.39110657654210917</v>
      </c>
      <c r="Y382" s="292">
        <f>IF($J382="",#N/A,SUM($X$4:X382))</f>
        <v>23.568761710900798</v>
      </c>
      <c r="Z382" s="304" t="str">
        <f t="shared" si="572"/>
        <v/>
      </c>
      <c r="AA382" s="313" t="e">
        <f>IF($J382="",#N/A,SUM(Z$4:Z382))</f>
        <v>#N/A</v>
      </c>
      <c r="AB382" s="314" t="str">
        <f t="shared" si="573"/>
        <v/>
      </c>
      <c r="AC382" s="314" t="e">
        <f>IF($J382="",#N/A,SUM(AB$4:AB382))</f>
        <v>#N/A</v>
      </c>
      <c r="AD382" s="315" t="str">
        <f t="shared" si="574"/>
        <v/>
      </c>
      <c r="AE382" s="315" t="e">
        <f>IF($J382="",#N/A,SUM(AD$4:AD382))</f>
        <v>#N/A</v>
      </c>
      <c r="AF382" s="315" t="e">
        <f>IF($J382="",#N/A,SUM(AD$4:AD382,AB$4:AB382,Z$4:Z382))</f>
        <v>#N/A</v>
      </c>
      <c r="AG382" s="304" t="str">
        <f t="shared" si="575"/>
        <v/>
      </c>
      <c r="AH382" s="313" t="e">
        <f>IF($J382="",#N/A,SUM(AG$4:AG382))</f>
        <v>#N/A</v>
      </c>
      <c r="AI382" s="314" t="str">
        <f t="shared" si="576"/>
        <v/>
      </c>
      <c r="AJ382" s="314" t="e">
        <f>IF($J382="",#N/A,SUM(AI$4:AI382))</f>
        <v>#N/A</v>
      </c>
      <c r="AK382" s="315" t="str">
        <f t="shared" si="577"/>
        <v/>
      </c>
      <c r="AL382" s="315" t="e">
        <f>IF($J382="",#N/A,SUM(AK$4:AK382))</f>
        <v>#N/A</v>
      </c>
      <c r="AM382" s="315" t="e">
        <f>IF($J382="",#N/A,SUM(AK$4:AK382,AI$4:AI382,AG$4:AG382))</f>
        <v>#N/A</v>
      </c>
      <c r="AN382" s="304" t="str">
        <f t="shared" si="578"/>
        <v/>
      </c>
      <c r="AO382" s="313" t="e">
        <f>IF($J382="",#N/A,SUM(AN$4:AN382))</f>
        <v>#N/A</v>
      </c>
      <c r="AP382" s="314" t="str">
        <f t="shared" si="579"/>
        <v/>
      </c>
      <c r="AQ382" s="314" t="e">
        <f>IF($J382="",#N/A,SUM(AP$4:AP382))</f>
        <v>#N/A</v>
      </c>
      <c r="AR382" s="315" t="str">
        <f t="shared" si="580"/>
        <v/>
      </c>
      <c r="AS382" s="315" t="e">
        <f>IF($J382="",#N/A,SUM(AR$4:AR382))</f>
        <v>#N/A</v>
      </c>
      <c r="AT382" s="315" t="e">
        <f>IF($J382="",#N/A,SUM(AR$4:AR382,AP$4:AP382,AN$4:AN382))</f>
        <v>#N/A</v>
      </c>
      <c r="AU382" s="304" t="str">
        <f t="shared" si="581"/>
        <v/>
      </c>
      <c r="AV382" s="313" t="e">
        <f>IF($J382="",#N/A,SUM(AU$4:AU382))</f>
        <v>#N/A</v>
      </c>
      <c r="AW382" s="314" t="str">
        <f t="shared" si="582"/>
        <v/>
      </c>
      <c r="AX382" s="314" t="e">
        <f>IF($J382="",#N/A,SUM(AW$4:AW382))</f>
        <v>#N/A</v>
      </c>
      <c r="AY382" s="315" t="str">
        <f t="shared" si="583"/>
        <v/>
      </c>
      <c r="AZ382" s="315" t="e">
        <f>IF($J382="",#N/A,SUM(AY$4:AY382))</f>
        <v>#N/A</v>
      </c>
      <c r="BA382" s="315" t="e">
        <f>IF($J382="",#N/A,SUM(AY$4:AY382,AW$4:AW382,AU$4:AU382))</f>
        <v>#N/A</v>
      </c>
      <c r="BB382" s="304" t="str">
        <f t="shared" si="584"/>
        <v/>
      </c>
      <c r="BC382" s="313" t="e">
        <f>IF($J382="",#N/A,SUM(BB$4:BB382))</f>
        <v>#N/A</v>
      </c>
      <c r="BD382" s="314" t="str">
        <f t="shared" si="585"/>
        <v/>
      </c>
      <c r="BE382" s="314" t="e">
        <f>IF($J382="",#N/A,SUM(BD$4:BD382))</f>
        <v>#N/A</v>
      </c>
      <c r="BF382" s="315" t="str">
        <f t="shared" si="586"/>
        <v/>
      </c>
      <c r="BG382" s="315" t="e">
        <f>IF($J382="",#N/A,SUM(BF$4:BF382))</f>
        <v>#N/A</v>
      </c>
      <c r="BH382" s="315" t="e">
        <f>IF($J382="",#N/A,SUM(BF$4:BF382,BD$4:BD382,BB$4:BB382))</f>
        <v>#N/A</v>
      </c>
      <c r="BI382" s="304" t="str">
        <f t="shared" si="587"/>
        <v/>
      </c>
      <c r="BJ382" s="313" t="e">
        <f>IF($J382="",#N/A,SUM(BI$4:BI382))</f>
        <v>#N/A</v>
      </c>
      <c r="BK382" s="314" t="str">
        <f t="shared" si="588"/>
        <v/>
      </c>
      <c r="BL382" s="314" t="e">
        <f>IF($J382="",#N/A,SUM(BK$4:BK382))</f>
        <v>#N/A</v>
      </c>
      <c r="BM382" s="315" t="str">
        <f t="shared" si="589"/>
        <v/>
      </c>
      <c r="BN382" s="315" t="e">
        <f>IF($J382="",#N/A,SUM(BM$4:BM382))</f>
        <v>#N/A</v>
      </c>
      <c r="BO382" s="315" t="e">
        <f>IF($J382="",#N/A,SUM(BM$4:BM382,BK$4:BK382,BI$4:BI382))</f>
        <v>#N/A</v>
      </c>
      <c r="BP382" s="304" t="str">
        <f t="shared" si="590"/>
        <v/>
      </c>
      <c r="BQ382" s="313" t="e">
        <f>IF($J382="",#N/A,SUM(BP$4:BP382))</f>
        <v>#N/A</v>
      </c>
      <c r="BR382" s="314" t="str">
        <f t="shared" si="591"/>
        <v/>
      </c>
      <c r="BS382" s="314" t="e">
        <f>IF($J382="",#N/A,SUM(BR$4:BR382))</f>
        <v>#N/A</v>
      </c>
      <c r="BT382" s="315" t="str">
        <f t="shared" si="592"/>
        <v/>
      </c>
      <c r="BU382" s="315" t="e">
        <f>IF($J382="",#N/A,SUM(BT$4:BT382))</f>
        <v>#N/A</v>
      </c>
      <c r="BV382" s="315" t="e">
        <f>IF($J382="",#N/A,SUM(BT$4:BT382,BR$4:BR382,BP$4:BP382))</f>
        <v>#N/A</v>
      </c>
      <c r="BW382" s="304" t="str">
        <f t="shared" si="593"/>
        <v/>
      </c>
      <c r="BX382" s="313" t="e">
        <f>IF($J382="",#N/A,SUM(BW$4:BW382))</f>
        <v>#N/A</v>
      </c>
      <c r="BY382" s="314" t="str">
        <f t="shared" si="594"/>
        <v/>
      </c>
      <c r="BZ382" s="314" t="e">
        <f>IF($J382="",#N/A,SUM(BY$4:BY382))</f>
        <v>#N/A</v>
      </c>
      <c r="CA382" s="315" t="str">
        <f t="shared" si="595"/>
        <v/>
      </c>
      <c r="CB382" s="315" t="e">
        <f>IF($J382="",#N/A,SUM(CA$4:CA382))</f>
        <v>#N/A</v>
      </c>
      <c r="CC382" s="315" t="e">
        <f>IF($J382="",#N/A,SUM(CA$4:CA382,BY$4:BY382,BW$4:BW382))</f>
        <v>#N/A</v>
      </c>
      <c r="CD382" s="304" t="str">
        <f t="shared" si="596"/>
        <v/>
      </c>
      <c r="CE382" s="313" t="e">
        <f>IF($J382="",#N/A,SUM(CD$4:CD382))</f>
        <v>#N/A</v>
      </c>
      <c r="CF382" s="314" t="str">
        <f t="shared" si="597"/>
        <v/>
      </c>
      <c r="CG382" s="314" t="e">
        <f>IF($J382="",#N/A,SUM(CF$4:CF382))</f>
        <v>#N/A</v>
      </c>
      <c r="CH382" s="315" t="str">
        <f t="shared" si="598"/>
        <v/>
      </c>
      <c r="CI382" s="315" t="e">
        <f>IF($J382="",#N/A,SUM(CH$4:CH382))</f>
        <v>#N/A</v>
      </c>
      <c r="CJ382" s="315" t="e">
        <f>IF($J382="",#N/A,SUM(CH$4:CH382,CF$4:CF382,CD$4:CD382))</f>
        <v>#N/A</v>
      </c>
      <c r="CK382" s="304" t="str">
        <f t="shared" si="599"/>
        <v/>
      </c>
      <c r="CL382" s="313" t="e">
        <f>IF($J382="",#N/A,SUM(CK$4:CK382))</f>
        <v>#N/A</v>
      </c>
      <c r="CM382" s="314" t="str">
        <f t="shared" si="600"/>
        <v/>
      </c>
      <c r="CN382" s="314" t="e">
        <f>IF($J382="",#N/A,SUM(CM$4:CM382))</f>
        <v>#N/A</v>
      </c>
      <c r="CO382" s="315">
        <f t="shared" si="601"/>
        <v>0.39110657654210917</v>
      </c>
      <c r="CP382" s="315" t="e">
        <f>IF($J382="",#N/A,SUM(CO$4:CO382))</f>
        <v>#N/A</v>
      </c>
      <c r="CQ382" s="315" t="e">
        <f>IF($J382="",#N/A,SUM(CO$4:CO382,CM$4:CM382,CK$4:CK382))</f>
        <v>#N/A</v>
      </c>
      <c r="CR382" s="304" t="str">
        <f t="shared" si="602"/>
        <v/>
      </c>
      <c r="CS382" s="313" t="e">
        <f>IF($J382="",#N/A,SUM(CR$4:CR382))</f>
        <v>#N/A</v>
      </c>
      <c r="CT382" s="314" t="str">
        <f t="shared" si="603"/>
        <v/>
      </c>
      <c r="CU382" s="314" t="e">
        <f>IF($J382="",#N/A,SUM(CT$4:CT382))</f>
        <v>#N/A</v>
      </c>
      <c r="CV382" s="315" t="str">
        <f t="shared" si="604"/>
        <v/>
      </c>
      <c r="CW382" s="315" t="e">
        <f>IF($J382="",#N/A,SUM(CV$4:CV382))</f>
        <v>#N/A</v>
      </c>
      <c r="CX382" s="315" t="e">
        <f>IF($J382="",#N/A,SUM(CV$4:CV382,CT$4:CT382,CR$4:CR382))</f>
        <v>#N/A</v>
      </c>
      <c r="CY382" s="304" t="str">
        <f t="shared" si="605"/>
        <v/>
      </c>
      <c r="CZ382" s="313" t="e">
        <f>IF($J382="",#N/A,SUM(CY$4:CY382))</f>
        <v>#N/A</v>
      </c>
      <c r="DA382" s="314" t="str">
        <f t="shared" si="606"/>
        <v/>
      </c>
      <c r="DB382" s="314" t="e">
        <f>IF($J382="",#N/A,SUM(DA$4:DA382))</f>
        <v>#N/A</v>
      </c>
      <c r="DC382" s="315" t="str">
        <f t="shared" si="607"/>
        <v/>
      </c>
      <c r="DD382" s="315" t="e">
        <f>IF($J382="",#N/A,SUM(DC$4:DC382))</f>
        <v>#N/A</v>
      </c>
      <c r="DE382" s="315" t="e">
        <f>IF($J382="",#N/A,SUM(DC$4:DC382,DA$4:DA382,CY$4:CY382))</f>
        <v>#N/A</v>
      </c>
      <c r="DF382" s="304" t="str">
        <f t="shared" si="608"/>
        <v/>
      </c>
      <c r="DG382" s="313" t="e">
        <f>IF($J382="",#N/A,SUM(DF$4:DF382))</f>
        <v>#N/A</v>
      </c>
      <c r="DH382" s="314" t="str">
        <f t="shared" si="609"/>
        <v/>
      </c>
      <c r="DI382" s="314" t="e">
        <f>IF($J382="",#N/A,SUM(DH$4:DH382))</f>
        <v>#N/A</v>
      </c>
      <c r="DJ382" s="315" t="str">
        <f t="shared" si="610"/>
        <v/>
      </c>
      <c r="DK382" s="315" t="e">
        <f>IF($J382="",#N/A,SUM(DJ$4:DJ382))</f>
        <v>#N/A</v>
      </c>
      <c r="DL382" s="315" t="e">
        <f>IF($J382="",#N/A,SUM(DJ$4:DJ382,DH$4:DH382,DF$4:DF382))</f>
        <v>#N/A</v>
      </c>
      <c r="DM382" s="304" t="str">
        <f t="shared" si="611"/>
        <v/>
      </c>
      <c r="DN382" s="313" t="e">
        <f>IF($J382="",#N/A,SUM(DM$4:DM382))</f>
        <v>#N/A</v>
      </c>
      <c r="DO382" s="314" t="str">
        <f t="shared" si="612"/>
        <v/>
      </c>
      <c r="DP382" s="314" t="e">
        <f>IF($J382="",#N/A,SUM(DO$4:DO382))</f>
        <v>#N/A</v>
      </c>
      <c r="DQ382" s="315" t="str">
        <f t="shared" si="613"/>
        <v/>
      </c>
      <c r="DR382" s="315" t="e">
        <f>IF($J382="",#N/A,SUM(DQ$4:DQ382))</f>
        <v>#N/A</v>
      </c>
      <c r="DS382" s="315" t="e">
        <f>IF($J382="",#N/A,SUM(DQ$4:DQ382,DO$4:DO382,DM$4:DM382))</f>
        <v>#N/A</v>
      </c>
      <c r="DT382" s="304" t="str">
        <f t="shared" si="614"/>
        <v/>
      </c>
      <c r="DU382" s="313" t="e">
        <f>IF($J382="",#N/A,SUM(DT$4:DT382))</f>
        <v>#N/A</v>
      </c>
      <c r="DV382" s="314" t="str">
        <f t="shared" si="615"/>
        <v/>
      </c>
      <c r="DW382" s="314" t="e">
        <f>IF($J382="",#N/A,SUM(DV$4:DV382))</f>
        <v>#N/A</v>
      </c>
      <c r="DX382" s="315" t="str">
        <f t="shared" si="616"/>
        <v/>
      </c>
      <c r="DY382" s="315" t="e">
        <f>IF($J382="",#N/A,SUM(DX$4:DX382))</f>
        <v>#N/A</v>
      </c>
      <c r="DZ382" s="315" t="e">
        <f>IF($J382="",#N/A,SUM(DX$4:DX382,DV$4:DV382,DT$4:DT382))</f>
        <v>#N/A</v>
      </c>
      <c r="EA382" s="304" t="str">
        <f t="shared" si="617"/>
        <v/>
      </c>
      <c r="EB382" s="313" t="e">
        <f>IF($J382="",#N/A,SUM(EA$4:EA382))</f>
        <v>#N/A</v>
      </c>
      <c r="EC382" s="314" t="str">
        <f t="shared" si="618"/>
        <v/>
      </c>
      <c r="ED382" s="314" t="e">
        <f>IF($J382="",#N/A,SUM(EC$4:EC382))</f>
        <v>#N/A</v>
      </c>
      <c r="EE382" s="315" t="str">
        <f t="shared" si="619"/>
        <v/>
      </c>
      <c r="EF382" s="315" t="e">
        <f>IF($J382="",#N/A,SUM(EE$4:EE382))</f>
        <v>#N/A</v>
      </c>
      <c r="EG382" s="315" t="e">
        <f>IF($J382="",#N/A,SUM(EE$4:EE382,EC$4:EC382,EA$4:EA382))</f>
        <v>#N/A</v>
      </c>
      <c r="EH382" s="130">
        <f t="shared" si="620"/>
        <v>33.120000000000118</v>
      </c>
      <c r="EI382" s="63">
        <f>IF(EH382="",#N/A,SUM($EH$4:EH382))</f>
        <v>1473.6840485895457</v>
      </c>
      <c r="EJ382" s="223" t="e">
        <f t="shared" si="621"/>
        <v>#N/A</v>
      </c>
      <c r="EK382" s="63" t="e">
        <f>IF($GZ382="",#N/A,SUM(EJ$4:EJ382))</f>
        <v>#N/A</v>
      </c>
      <c r="EL382" s="60">
        <f t="shared" si="651"/>
        <v>0.39110657654210917</v>
      </c>
      <c r="EM382" s="60">
        <f>IF(EL382="",NA(),SUM($EL$4:EL382))</f>
        <v>27.58824855530413</v>
      </c>
      <c r="EN382" s="60" t="str">
        <f t="shared" si="622"/>
        <v/>
      </c>
      <c r="EO382" s="60" t="e">
        <f>IF(EN382="",NA(),SUM($EN$4:EN382))</f>
        <v>#N/A</v>
      </c>
      <c r="EP382" s="60">
        <f t="shared" si="623"/>
        <v>0.39110657654210917</v>
      </c>
      <c r="EQ382" s="60">
        <f>IF(EP382="",NA(),SUM($EP$4:EP382))</f>
        <v>13.467512089691667</v>
      </c>
      <c r="ER382" s="60" t="str">
        <f t="shared" si="624"/>
        <v/>
      </c>
      <c r="ES382" s="60" t="e">
        <f>IF(ER382="",NA(),SUM($ER$4:ER382))</f>
        <v>#N/A</v>
      </c>
      <c r="ET382" s="60" t="str">
        <f t="shared" si="625"/>
        <v/>
      </c>
      <c r="EU382" s="60" t="e">
        <f>IF(ET382="",NA(),SUM($ET$4:ET382))</f>
        <v>#N/A</v>
      </c>
      <c r="EV382" s="60" t="str">
        <f t="shared" si="626"/>
        <v/>
      </c>
      <c r="EW382" s="60" t="e">
        <f>IF(EV382="",NA(),SUM($EV$4:EV382))</f>
        <v>#N/A</v>
      </c>
      <c r="EX382" s="60" t="str">
        <f t="shared" si="627"/>
        <v/>
      </c>
      <c r="EY382" s="60" t="e">
        <f>IF(EX382="",NA(),SUM($EX$4:EX382))</f>
        <v>#N/A</v>
      </c>
      <c r="EZ382" s="60" t="str">
        <f t="shared" si="628"/>
        <v/>
      </c>
      <c r="FA382" s="60" t="e">
        <f>IF(EZ382="",NA(),SUM($EZ$4:EZ382))</f>
        <v>#N/A</v>
      </c>
      <c r="FB382" s="246" t="str">
        <f t="shared" si="652"/>
        <v/>
      </c>
      <c r="FC382" s="246" t="e">
        <f>IF($FB382="",#N/A,SUM(FB$4:$FB382))</f>
        <v>#N/A</v>
      </c>
      <c r="FD382" s="60" t="str">
        <f t="shared" si="629"/>
        <v/>
      </c>
      <c r="FE382" s="60" t="e">
        <f>IF($FD382="",#N/A,SUM($FD$4:FD382))</f>
        <v>#N/A</v>
      </c>
      <c r="FF382" s="60" t="str">
        <f t="shared" si="630"/>
        <v/>
      </c>
      <c r="FG382" s="60" t="e">
        <f>IF($FF382="",#N/A,SUM($FF$4:FF382))</f>
        <v>#N/A</v>
      </c>
      <c r="FH382" s="60" t="str">
        <f t="shared" si="631"/>
        <v/>
      </c>
      <c r="FI382" s="60" t="e">
        <f>IF($FH382="",#N/A,SUM($FH$4:FH382))</f>
        <v>#N/A</v>
      </c>
      <c r="FJ382" s="60">
        <f t="shared" si="632"/>
        <v>-0.94907112188071396</v>
      </c>
      <c r="FK382" s="60">
        <f>IF($FJ382="",#N/A,SUM($FJ$4:FJ382))</f>
        <v>-4.2541260204561659</v>
      </c>
      <c r="FL382" s="60" t="str">
        <f t="shared" si="633"/>
        <v/>
      </c>
      <c r="FM382" s="60" t="e">
        <f>IF($FL382="",#N/A,SUM($FL$4:FL382))</f>
        <v>#N/A</v>
      </c>
      <c r="FN382" s="82">
        <f t="shared" si="634"/>
        <v>-0.55796454533860484</v>
      </c>
      <c r="FO382" s="82">
        <f>IF($FN382="",#N/A,SUM(FN$4:$FN382))</f>
        <v>44.030059499251095</v>
      </c>
      <c r="FP382" s="82">
        <f t="shared" si="653"/>
        <v>0.39110657654210917</v>
      </c>
      <c r="FQ382" s="246">
        <f>IF($EH382="",#N/A,SUM($FP$4:FP382))</f>
        <v>55.969412410010754</v>
      </c>
      <c r="FR382" s="82">
        <f>IFERROR(FQ382/COUNTA($J$4:J382),#N/A)</f>
        <v>0.14767654989448747</v>
      </c>
      <c r="FS382" s="82">
        <f t="shared" si="661"/>
        <v>0.12067204597691983</v>
      </c>
      <c r="FT382" s="82">
        <f t="shared" si="662"/>
        <v>3.5571880008323543E-2</v>
      </c>
      <c r="FU382" s="338">
        <f t="shared" si="660"/>
        <v>28.624707795320241</v>
      </c>
      <c r="FV382" s="57" t="str">
        <f t="shared" si="659"/>
        <v>SW</v>
      </c>
      <c r="FW382" s="57" t="s">
        <v>2732</v>
      </c>
      <c r="FX382" s="57" t="str">
        <f t="shared" si="635"/>
        <v/>
      </c>
      <c r="FY382" s="57" t="str">
        <f t="shared" si="636"/>
        <v/>
      </c>
      <c r="FZ382" s="57">
        <f t="shared" si="637"/>
        <v>1</v>
      </c>
      <c r="GA382" s="57" t="str">
        <f t="shared" si="638"/>
        <v>Long</v>
      </c>
      <c r="GB382" s="57" t="str">
        <f t="shared" si="639"/>
        <v/>
      </c>
      <c r="GC382" s="57" t="str">
        <f t="shared" si="640"/>
        <v/>
      </c>
      <c r="GD382" s="57" t="str">
        <f t="shared" si="641"/>
        <v/>
      </c>
      <c r="GE382" s="62">
        <f t="shared" ref="GE382:GE442" si="664">IF(I382="","",I382)</f>
        <v>470.46</v>
      </c>
      <c r="GF382" s="62" t="s">
        <v>2779</v>
      </c>
      <c r="GG382" s="199">
        <v>3</v>
      </c>
      <c r="GH382" s="207">
        <f t="shared" si="642"/>
        <v>1411.3799999999999</v>
      </c>
      <c r="GI382" s="199">
        <v>3</v>
      </c>
      <c r="GJ382" s="200">
        <v>481.5</v>
      </c>
      <c r="GK382" s="63">
        <f t="shared" si="643"/>
        <v>33.120000000000118</v>
      </c>
      <c r="GL382" s="63">
        <f t="shared" ref="GL382:GL448" si="665">IF($GZ382="","",IF($GF382="Long",(($GZ382*$GI382)-$GH382),($GH382-($GZ382*$GI382))))</f>
        <v>-47.25</v>
      </c>
      <c r="GM382" s="82">
        <f t="shared" si="644"/>
        <v>-0.55796454533860484</v>
      </c>
      <c r="GN382" s="82">
        <f>IF($GZ382="",#N/A,SUM(GM$4:GM382))</f>
        <v>12.332463636298737</v>
      </c>
      <c r="GO382" s="82" t="str">
        <f t="shared" si="645"/>
        <v/>
      </c>
      <c r="GP382" s="82">
        <f>IF($GZ382="",#N/A,SUM(GO$4:GO382))</f>
        <v>5.3536851561453664</v>
      </c>
      <c r="GQ382" s="82" t="str">
        <f t="shared" si="646"/>
        <v/>
      </c>
      <c r="GR382" s="82">
        <f>IF($GZ382="",#N/A,SUM(GQ$4:GQ382))</f>
        <v>25.718073752364656</v>
      </c>
      <c r="GS382" s="63" t="e">
        <f t="shared" si="654"/>
        <v>#N/A</v>
      </c>
      <c r="GT382" s="63" t="e">
        <f>IF($GZ382="",#N/A,SUM(GS$4:GS382))</f>
        <v>#N/A</v>
      </c>
      <c r="GU382" s="63" t="str">
        <f t="shared" si="655"/>
        <v/>
      </c>
      <c r="GV382" s="63" t="e">
        <f>IF($GZ382="",#N/A,SUM(GU$4:GU382))</f>
        <v>#N/A</v>
      </c>
      <c r="GW382" s="63" t="str">
        <f t="shared" si="656"/>
        <v/>
      </c>
      <c r="GX382" s="63" t="e">
        <f>IF($GZ382="",#N/A,SUM(GW$4:GW382))</f>
        <v>#N/A</v>
      </c>
      <c r="GY382" s="63" t="e">
        <f>IF(EJ382="",#N/A,SUM($EJ$4:EJ382))</f>
        <v>#N/A</v>
      </c>
      <c r="GZ382" s="159">
        <v>454.71</v>
      </c>
      <c r="HA382" s="63">
        <f t="shared" si="647"/>
        <v>-80.370000000000118</v>
      </c>
      <c r="HB382" s="62" t="s">
        <v>2538</v>
      </c>
      <c r="HC382" s="60">
        <f>IFERROR(VLOOKUP(E382,Expectancy!$P$4:$S$19,1+C382,FALSE),"")</f>
        <v>-0.16876070792161713</v>
      </c>
      <c r="HD382" s="82">
        <f t="shared" si="648"/>
        <v>0.39110657654210917</v>
      </c>
      <c r="HE382" s="138">
        <f>IF(HD382="",#N/A,SUM($HD$4:HD382))</f>
        <v>12.814704614690514</v>
      </c>
      <c r="HF382" s="85">
        <f>IF(HD382="",#N/A,IF(HB382="Skip",#N/A,SUM($HG$4:HG382)))</f>
        <v>555.32157921915609</v>
      </c>
      <c r="HG382" s="63">
        <f t="shared" si="649"/>
        <v>33.120000000000118</v>
      </c>
      <c r="HH382" s="82">
        <f t="shared" si="650"/>
        <v>-0.55796454533860484</v>
      </c>
    </row>
    <row r="383" spans="1:216" x14ac:dyDescent="0.25">
      <c r="A383" s="57" t="s">
        <v>1109</v>
      </c>
      <c r="B383" s="58" t="str" cm="1">
        <f t="array" ref="B383">IFERROR(_xlfn.XLOOKUP(A383,Earnings!$B$2:$B$9985,LEFT(Earnings!$C$2:$C$9985,37)),"Can't Find Date***")</f>
        <v>on 2/26/25, 4:20 PM After Market East</v>
      </c>
      <c r="C383" s="386">
        <f t="shared" si="561"/>
        <v>3</v>
      </c>
      <c r="D383" s="372" t="str">
        <f>_xlfn.XLOOKUP(A383,[1]SP500!$A$2:$A$502,[1]SP500!$D$2:$D$502,"N")</f>
        <v>Y</v>
      </c>
      <c r="E383" s="57" t="str">
        <f>_xlfn.XLOOKUP(A383,[1]SP500!$A$2:$A$655,[1]SP500!$B$2:$B$655)</f>
        <v>SMH</v>
      </c>
      <c r="F383" s="59">
        <v>45714</v>
      </c>
      <c r="G383" s="57" t="str">
        <f t="shared" si="562"/>
        <v>AMC</v>
      </c>
      <c r="H383" s="57" t="str">
        <f t="shared" si="563"/>
        <v>s</v>
      </c>
      <c r="I383" s="159">
        <v>131.28</v>
      </c>
      <c r="J383" s="159">
        <v>135</v>
      </c>
      <c r="K383" s="61">
        <f t="shared" si="564"/>
        <v>2.8336380255941492E-2</v>
      </c>
      <c r="L383" s="87">
        <f t="shared" si="565"/>
        <v>44.639999999999873</v>
      </c>
      <c r="M383" s="130">
        <f t="shared" si="663"/>
        <v>0</v>
      </c>
      <c r="N383" s="169" t="str">
        <f t="shared" si="566"/>
        <v/>
      </c>
      <c r="O383" s="169">
        <f>IF($J383="",#N/A,SUM($N$4:N383))</f>
        <v>-184.10328064577561</v>
      </c>
      <c r="P383" s="174" t="str">
        <f t="shared" si="567"/>
        <v/>
      </c>
      <c r="Q383" s="174">
        <f>IF($J383="",#N/A,SUM($P$4:P383))</f>
        <v>116.53499224504333</v>
      </c>
      <c r="R383" s="178">
        <f t="shared" si="568"/>
        <v>44.639999999999873</v>
      </c>
      <c r="S383" s="178">
        <f>IF($J383="",#N/A,SUM($R$4:R383))</f>
        <v>1585.8923369902777</v>
      </c>
      <c r="T383" s="290" t="str">
        <f t="shared" si="569"/>
        <v/>
      </c>
      <c r="U383" s="290">
        <f>IF($J383="",#N/A,SUM($T$4:T383))</f>
        <v>11.683887388414128</v>
      </c>
      <c r="V383" s="291" t="str">
        <f t="shared" si="570"/>
        <v/>
      </c>
      <c r="W383" s="291">
        <f>IF($J383="",#N/A,SUM($V$4:V383))</f>
        <v>20.71676331069586</v>
      </c>
      <c r="X383" s="292">
        <f t="shared" si="571"/>
        <v>0.4722730042656903</v>
      </c>
      <c r="Y383" s="292">
        <f>IF($J383="",#N/A,SUM($X$4:X383))</f>
        <v>24.041034715166489</v>
      </c>
      <c r="Z383" s="304" t="str">
        <f t="shared" si="572"/>
        <v/>
      </c>
      <c r="AA383" s="313" t="e">
        <f>IF($J383="",#N/A,SUM(Z$4:Z383))</f>
        <v>#N/A</v>
      </c>
      <c r="AB383" s="314" t="str">
        <f t="shared" si="573"/>
        <v/>
      </c>
      <c r="AC383" s="314" t="e">
        <f>IF($J383="",#N/A,SUM(AB$4:AB383))</f>
        <v>#N/A</v>
      </c>
      <c r="AD383" s="315" t="str">
        <f t="shared" si="574"/>
        <v/>
      </c>
      <c r="AE383" s="315" t="e">
        <f>IF($J383="",#N/A,SUM(AD$4:AD383))</f>
        <v>#N/A</v>
      </c>
      <c r="AF383" s="315" t="e">
        <f>IF($J383="",#N/A,SUM(AD$4:AD383,AB$4:AB383,Z$4:Z383))</f>
        <v>#N/A</v>
      </c>
      <c r="AG383" s="304" t="str">
        <f t="shared" si="575"/>
        <v/>
      </c>
      <c r="AH383" s="313" t="e">
        <f>IF($J383="",#N/A,SUM(AG$4:AG383))</f>
        <v>#N/A</v>
      </c>
      <c r="AI383" s="314" t="str">
        <f t="shared" si="576"/>
        <v/>
      </c>
      <c r="AJ383" s="314" t="e">
        <f>IF($J383="",#N/A,SUM(AI$4:AI383))</f>
        <v>#N/A</v>
      </c>
      <c r="AK383" s="315" t="str">
        <f t="shared" si="577"/>
        <v/>
      </c>
      <c r="AL383" s="315" t="e">
        <f>IF($J383="",#N/A,SUM(AK$4:AK383))</f>
        <v>#N/A</v>
      </c>
      <c r="AM383" s="315" t="e">
        <f>IF($J383="",#N/A,SUM(AK$4:AK383,AI$4:AI383,AG$4:AG383))</f>
        <v>#N/A</v>
      </c>
      <c r="AN383" s="304" t="str">
        <f t="shared" si="578"/>
        <v/>
      </c>
      <c r="AO383" s="313" t="e">
        <f>IF($J383="",#N/A,SUM(AN$4:AN383))</f>
        <v>#N/A</v>
      </c>
      <c r="AP383" s="314" t="str">
        <f t="shared" si="579"/>
        <v/>
      </c>
      <c r="AQ383" s="314" t="e">
        <f>IF($J383="",#N/A,SUM(AP$4:AP383))</f>
        <v>#N/A</v>
      </c>
      <c r="AR383" s="315" t="str">
        <f t="shared" si="580"/>
        <v/>
      </c>
      <c r="AS383" s="315" t="e">
        <f>IF($J383="",#N/A,SUM(AR$4:AR383))</f>
        <v>#N/A</v>
      </c>
      <c r="AT383" s="315" t="e">
        <f>IF($J383="",#N/A,SUM(AR$4:AR383,AP$4:AP383,AN$4:AN383))</f>
        <v>#N/A</v>
      </c>
      <c r="AU383" s="304" t="str">
        <f t="shared" si="581"/>
        <v/>
      </c>
      <c r="AV383" s="313" t="e">
        <f>IF($J383="",#N/A,SUM(AU$4:AU383))</f>
        <v>#N/A</v>
      </c>
      <c r="AW383" s="314" t="str">
        <f t="shared" si="582"/>
        <v/>
      </c>
      <c r="AX383" s="314" t="e">
        <f>IF($J383="",#N/A,SUM(AW$4:AW383))</f>
        <v>#N/A</v>
      </c>
      <c r="AY383" s="315" t="str">
        <f t="shared" si="583"/>
        <v/>
      </c>
      <c r="AZ383" s="315" t="e">
        <f>IF($J383="",#N/A,SUM(AY$4:AY383))</f>
        <v>#N/A</v>
      </c>
      <c r="BA383" s="315" t="e">
        <f>IF($J383="",#N/A,SUM(AY$4:AY383,AW$4:AW383,AU$4:AU383))</f>
        <v>#N/A</v>
      </c>
      <c r="BB383" s="304" t="str">
        <f t="shared" si="584"/>
        <v/>
      </c>
      <c r="BC383" s="313" t="e">
        <f>IF($J383="",#N/A,SUM(BB$4:BB383))</f>
        <v>#N/A</v>
      </c>
      <c r="BD383" s="314" t="str">
        <f t="shared" si="585"/>
        <v/>
      </c>
      <c r="BE383" s="314" t="e">
        <f>IF($J383="",#N/A,SUM(BD$4:BD383))</f>
        <v>#N/A</v>
      </c>
      <c r="BF383" s="315" t="str">
        <f t="shared" si="586"/>
        <v/>
      </c>
      <c r="BG383" s="315" t="e">
        <f>IF($J383="",#N/A,SUM(BF$4:BF383))</f>
        <v>#N/A</v>
      </c>
      <c r="BH383" s="315" t="e">
        <f>IF($J383="",#N/A,SUM(BF$4:BF383,BD$4:BD383,BB$4:BB383))</f>
        <v>#N/A</v>
      </c>
      <c r="BI383" s="304" t="str">
        <f t="shared" si="587"/>
        <v/>
      </c>
      <c r="BJ383" s="313" t="e">
        <f>IF($J383="",#N/A,SUM(BI$4:BI383))</f>
        <v>#N/A</v>
      </c>
      <c r="BK383" s="314" t="str">
        <f t="shared" si="588"/>
        <v/>
      </c>
      <c r="BL383" s="314" t="e">
        <f>IF($J383="",#N/A,SUM(BK$4:BK383))</f>
        <v>#N/A</v>
      </c>
      <c r="BM383" s="315" t="str">
        <f t="shared" si="589"/>
        <v/>
      </c>
      <c r="BN383" s="315" t="e">
        <f>IF($J383="",#N/A,SUM(BM$4:BM383))</f>
        <v>#N/A</v>
      </c>
      <c r="BO383" s="315" t="e">
        <f>IF($J383="",#N/A,SUM(BM$4:BM383,BK$4:BK383,BI$4:BI383))</f>
        <v>#N/A</v>
      </c>
      <c r="BP383" s="304" t="str">
        <f t="shared" si="590"/>
        <v/>
      </c>
      <c r="BQ383" s="313" t="e">
        <f>IF($J383="",#N/A,SUM(BP$4:BP383))</f>
        <v>#N/A</v>
      </c>
      <c r="BR383" s="314" t="str">
        <f t="shared" si="591"/>
        <v/>
      </c>
      <c r="BS383" s="314" t="e">
        <f>IF($J383="",#N/A,SUM(BR$4:BR383))</f>
        <v>#N/A</v>
      </c>
      <c r="BT383" s="315" t="str">
        <f t="shared" si="592"/>
        <v/>
      </c>
      <c r="BU383" s="315" t="e">
        <f>IF($J383="",#N/A,SUM(BT$4:BT383))</f>
        <v>#N/A</v>
      </c>
      <c r="BV383" s="315" t="e">
        <f>IF($J383="",#N/A,SUM(BT$4:BT383,BR$4:BR383,BP$4:BP383))</f>
        <v>#N/A</v>
      </c>
      <c r="BW383" s="304" t="str">
        <f t="shared" si="593"/>
        <v/>
      </c>
      <c r="BX383" s="313" t="e">
        <f>IF($J383="",#N/A,SUM(BW$4:BW383))</f>
        <v>#N/A</v>
      </c>
      <c r="BY383" s="314" t="str">
        <f t="shared" si="594"/>
        <v/>
      </c>
      <c r="BZ383" s="314" t="e">
        <f>IF($J383="",#N/A,SUM(BY$4:BY383))</f>
        <v>#N/A</v>
      </c>
      <c r="CA383" s="315" t="str">
        <f t="shared" si="595"/>
        <v/>
      </c>
      <c r="CB383" s="315" t="e">
        <f>IF($J383="",#N/A,SUM(CA$4:CA383))</f>
        <v>#N/A</v>
      </c>
      <c r="CC383" s="315" t="e">
        <f>IF($J383="",#N/A,SUM(CA$4:CA383,BY$4:BY383,BW$4:BW383))</f>
        <v>#N/A</v>
      </c>
      <c r="CD383" s="304" t="str">
        <f t="shared" si="596"/>
        <v/>
      </c>
      <c r="CE383" s="313" t="e">
        <f>IF($J383="",#N/A,SUM(CD$4:CD383))</f>
        <v>#N/A</v>
      </c>
      <c r="CF383" s="314" t="str">
        <f t="shared" si="597"/>
        <v/>
      </c>
      <c r="CG383" s="314" t="e">
        <f>IF($J383="",#N/A,SUM(CF$4:CF383))</f>
        <v>#N/A</v>
      </c>
      <c r="CH383" s="315" t="str">
        <f t="shared" si="598"/>
        <v/>
      </c>
      <c r="CI383" s="315" t="e">
        <f>IF($J383="",#N/A,SUM(CH$4:CH383))</f>
        <v>#N/A</v>
      </c>
      <c r="CJ383" s="315" t="e">
        <f>IF($J383="",#N/A,SUM(CH$4:CH383,CF$4:CF383,CD$4:CD383))</f>
        <v>#N/A</v>
      </c>
      <c r="CK383" s="304" t="str">
        <f t="shared" si="599"/>
        <v/>
      </c>
      <c r="CL383" s="313" t="e">
        <f>IF($J383="",#N/A,SUM(CK$4:CK383))</f>
        <v>#N/A</v>
      </c>
      <c r="CM383" s="314" t="str">
        <f t="shared" si="600"/>
        <v/>
      </c>
      <c r="CN383" s="314" t="e">
        <f>IF($J383="",#N/A,SUM(CM$4:CM383))</f>
        <v>#N/A</v>
      </c>
      <c r="CO383" s="315">
        <f t="shared" si="601"/>
        <v>0.4722730042656903</v>
      </c>
      <c r="CP383" s="315" t="e">
        <f>IF($J383="",#N/A,SUM(CO$4:CO383))</f>
        <v>#N/A</v>
      </c>
      <c r="CQ383" s="315" t="e">
        <f>IF($J383="",#N/A,SUM(CO$4:CO383,CM$4:CM383,CK$4:CK383))</f>
        <v>#N/A</v>
      </c>
      <c r="CR383" s="304" t="str">
        <f t="shared" si="602"/>
        <v/>
      </c>
      <c r="CS383" s="313" t="e">
        <f>IF($J383="",#N/A,SUM(CR$4:CR383))</f>
        <v>#N/A</v>
      </c>
      <c r="CT383" s="314" t="str">
        <f t="shared" si="603"/>
        <v/>
      </c>
      <c r="CU383" s="314" t="e">
        <f>IF($J383="",#N/A,SUM(CT$4:CT383))</f>
        <v>#N/A</v>
      </c>
      <c r="CV383" s="315" t="str">
        <f t="shared" si="604"/>
        <v/>
      </c>
      <c r="CW383" s="315" t="e">
        <f>IF($J383="",#N/A,SUM(CV$4:CV383))</f>
        <v>#N/A</v>
      </c>
      <c r="CX383" s="315" t="e">
        <f>IF($J383="",#N/A,SUM(CV$4:CV383,CT$4:CT383,CR$4:CR383))</f>
        <v>#N/A</v>
      </c>
      <c r="CY383" s="304" t="str">
        <f t="shared" si="605"/>
        <v/>
      </c>
      <c r="CZ383" s="313" t="e">
        <f>IF($J383="",#N/A,SUM(CY$4:CY383))</f>
        <v>#N/A</v>
      </c>
      <c r="DA383" s="314" t="str">
        <f t="shared" si="606"/>
        <v/>
      </c>
      <c r="DB383" s="314" t="e">
        <f>IF($J383="",#N/A,SUM(DA$4:DA383))</f>
        <v>#N/A</v>
      </c>
      <c r="DC383" s="315" t="str">
        <f t="shared" si="607"/>
        <v/>
      </c>
      <c r="DD383" s="315" t="e">
        <f>IF($J383="",#N/A,SUM(DC$4:DC383))</f>
        <v>#N/A</v>
      </c>
      <c r="DE383" s="315" t="e">
        <f>IF($J383="",#N/A,SUM(DC$4:DC383,DA$4:DA383,CY$4:CY383))</f>
        <v>#N/A</v>
      </c>
      <c r="DF383" s="304" t="str">
        <f t="shared" si="608"/>
        <v/>
      </c>
      <c r="DG383" s="313" t="e">
        <f>IF($J383="",#N/A,SUM(DF$4:DF383))</f>
        <v>#N/A</v>
      </c>
      <c r="DH383" s="314" t="str">
        <f t="shared" si="609"/>
        <v/>
      </c>
      <c r="DI383" s="314" t="e">
        <f>IF($J383="",#N/A,SUM(DH$4:DH383))</f>
        <v>#N/A</v>
      </c>
      <c r="DJ383" s="315" t="str">
        <f t="shared" si="610"/>
        <v/>
      </c>
      <c r="DK383" s="315" t="e">
        <f>IF($J383="",#N/A,SUM(DJ$4:DJ383))</f>
        <v>#N/A</v>
      </c>
      <c r="DL383" s="315" t="e">
        <f>IF($J383="",#N/A,SUM(DJ$4:DJ383,DH$4:DH383,DF$4:DF383))</f>
        <v>#N/A</v>
      </c>
      <c r="DM383" s="304" t="str">
        <f t="shared" si="611"/>
        <v/>
      </c>
      <c r="DN383" s="313" t="e">
        <f>IF($J383="",#N/A,SUM(DM$4:DM383))</f>
        <v>#N/A</v>
      </c>
      <c r="DO383" s="314" t="str">
        <f t="shared" si="612"/>
        <v/>
      </c>
      <c r="DP383" s="314" t="e">
        <f>IF($J383="",#N/A,SUM(DO$4:DO383))</f>
        <v>#N/A</v>
      </c>
      <c r="DQ383" s="315" t="str">
        <f t="shared" si="613"/>
        <v/>
      </c>
      <c r="DR383" s="315" t="e">
        <f>IF($J383="",#N/A,SUM(DQ$4:DQ383))</f>
        <v>#N/A</v>
      </c>
      <c r="DS383" s="315" t="e">
        <f>IF($J383="",#N/A,SUM(DQ$4:DQ383,DO$4:DO383,DM$4:DM383))</f>
        <v>#N/A</v>
      </c>
      <c r="DT383" s="304" t="str">
        <f t="shared" si="614"/>
        <v/>
      </c>
      <c r="DU383" s="313" t="e">
        <f>IF($J383="",#N/A,SUM(DT$4:DT383))</f>
        <v>#N/A</v>
      </c>
      <c r="DV383" s="314" t="str">
        <f t="shared" si="615"/>
        <v/>
      </c>
      <c r="DW383" s="314" t="e">
        <f>IF($J383="",#N/A,SUM(DV$4:DV383))</f>
        <v>#N/A</v>
      </c>
      <c r="DX383" s="315" t="str">
        <f t="shared" si="616"/>
        <v/>
      </c>
      <c r="DY383" s="315" t="e">
        <f>IF($J383="",#N/A,SUM(DX$4:DX383))</f>
        <v>#N/A</v>
      </c>
      <c r="DZ383" s="315" t="e">
        <f>IF($J383="",#N/A,SUM(DX$4:DX383,DV$4:DV383,DT$4:DT383))</f>
        <v>#N/A</v>
      </c>
      <c r="EA383" s="304" t="str">
        <f t="shared" si="617"/>
        <v/>
      </c>
      <c r="EB383" s="313" t="e">
        <f>IF($J383="",#N/A,SUM(EA$4:EA383))</f>
        <v>#N/A</v>
      </c>
      <c r="EC383" s="314" t="str">
        <f t="shared" si="618"/>
        <v/>
      </c>
      <c r="ED383" s="314" t="e">
        <f>IF($J383="",#N/A,SUM(EC$4:EC383))</f>
        <v>#N/A</v>
      </c>
      <c r="EE383" s="315" t="str">
        <f t="shared" si="619"/>
        <v/>
      </c>
      <c r="EF383" s="315" t="e">
        <f>IF($J383="",#N/A,SUM(EE$4:EE383))</f>
        <v>#N/A</v>
      </c>
      <c r="EG383" s="315" t="e">
        <f>IF($J383="",#N/A,SUM(EE$4:EE383,EC$4:EC383,EA$4:EA383))</f>
        <v>#N/A</v>
      </c>
      <c r="EH383" s="130">
        <f t="shared" si="620"/>
        <v>44.639999999999873</v>
      </c>
      <c r="EI383" s="63">
        <f>IF(EH383="",#N/A,SUM($EH$4:EH383))</f>
        <v>1518.3240485895456</v>
      </c>
      <c r="EJ383" s="223" t="e">
        <f t="shared" si="621"/>
        <v>#N/A</v>
      </c>
      <c r="EK383" s="63" t="e">
        <f>IF($GZ383="",#N/A,SUM(EJ$4:EJ383))</f>
        <v>#N/A</v>
      </c>
      <c r="EL383" s="60">
        <f t="shared" si="651"/>
        <v>0.4722730042656903</v>
      </c>
      <c r="EM383" s="60">
        <f>IF(EL383="",NA(),SUM($EL$4:EL383))</f>
        <v>28.060521559569821</v>
      </c>
      <c r="EN383" s="60" t="str">
        <f t="shared" si="622"/>
        <v/>
      </c>
      <c r="EO383" s="60" t="e">
        <f>IF(EN383="",NA(),SUM($EN$4:EN383))</f>
        <v>#N/A</v>
      </c>
      <c r="EP383" s="60">
        <f t="shared" si="623"/>
        <v>0.4722730042656903</v>
      </c>
      <c r="EQ383" s="60">
        <f>IF(EP383="",NA(),SUM($EP$4:EP383))</f>
        <v>13.939785093957356</v>
      </c>
      <c r="ER383" s="60" t="str">
        <f t="shared" si="624"/>
        <v/>
      </c>
      <c r="ES383" s="60" t="e">
        <f>IF(ER383="",NA(),SUM($ER$4:ER383))</f>
        <v>#N/A</v>
      </c>
      <c r="ET383" s="60" t="str">
        <f t="shared" si="625"/>
        <v/>
      </c>
      <c r="EU383" s="60" t="e">
        <f>IF(ET383="",NA(),SUM($ET$4:ET383))</f>
        <v>#N/A</v>
      </c>
      <c r="EV383" s="60" t="str">
        <f t="shared" si="626"/>
        <v/>
      </c>
      <c r="EW383" s="60" t="e">
        <f>IF(EV383="",NA(),SUM($EV$4:EV383))</f>
        <v>#N/A</v>
      </c>
      <c r="EX383" s="60" t="str">
        <f t="shared" si="627"/>
        <v/>
      </c>
      <c r="EY383" s="60" t="e">
        <f>IF(EX383="",NA(),SUM($EX$4:EX383))</f>
        <v>#N/A</v>
      </c>
      <c r="EZ383" s="60" t="str">
        <f t="shared" si="628"/>
        <v/>
      </c>
      <c r="FA383" s="60" t="e">
        <f>IF(EZ383="",NA(),SUM($EZ$4:EZ383))</f>
        <v>#N/A</v>
      </c>
      <c r="FB383" s="246" t="str">
        <f t="shared" si="652"/>
        <v/>
      </c>
      <c r="FC383" s="246" t="e">
        <f>IF($FB383="",#N/A,SUM(FB$4:$FB383))</f>
        <v>#N/A</v>
      </c>
      <c r="FD383" s="60" t="str">
        <f t="shared" si="629"/>
        <v/>
      </c>
      <c r="FE383" s="60" t="e">
        <f>IF($FD383="",#N/A,SUM($FD$4:FD383))</f>
        <v>#N/A</v>
      </c>
      <c r="FF383" s="60" t="str">
        <f t="shared" si="630"/>
        <v/>
      </c>
      <c r="FG383" s="60" t="e">
        <f>IF($FF383="",#N/A,SUM($FF$4:FF383))</f>
        <v>#N/A</v>
      </c>
      <c r="FH383" s="60" t="str">
        <f t="shared" si="631"/>
        <v/>
      </c>
      <c r="FI383" s="60" t="e">
        <f>IF($FH383="",#N/A,SUM($FH$4:FH383))</f>
        <v>#N/A</v>
      </c>
      <c r="FJ383" s="60">
        <f t="shared" si="632"/>
        <v>-1.8852833638025572</v>
      </c>
      <c r="FK383" s="60">
        <f>IF($FJ383="",#N/A,SUM($FJ$4:FJ383))</f>
        <v>-6.1394093842587232</v>
      </c>
      <c r="FL383" s="60" t="str">
        <f t="shared" si="633"/>
        <v/>
      </c>
      <c r="FM383" s="60" t="e">
        <f>IF($FL383="",#N/A,SUM($FL$4:FL383))</f>
        <v>#N/A</v>
      </c>
      <c r="FN383" s="82">
        <f t="shared" si="634"/>
        <v>-1.413010359536867</v>
      </c>
      <c r="FO383" s="82">
        <f>IF($FN383="",#N/A,SUM(FN$4:$FN383))</f>
        <v>42.617049139714226</v>
      </c>
      <c r="FP383" s="82">
        <f t="shared" si="653"/>
        <v>0.4722730042656903</v>
      </c>
      <c r="FQ383" s="246">
        <f>IF($EH383="",#N/A,SUM($FP$4:FP383))</f>
        <v>56.441685414276442</v>
      </c>
      <c r="FR383" s="82">
        <f>IFERROR(FQ383/COUNTA($J$4:J383),#N/A)</f>
        <v>0.14853075109020117</v>
      </c>
      <c r="FS383" s="82">
        <f t="shared" si="661"/>
        <v>0.11758617774143161</v>
      </c>
      <c r="FT383" s="82">
        <f t="shared" si="662"/>
        <v>0.11327493454027007</v>
      </c>
      <c r="FU383" s="338">
        <f t="shared" si="660"/>
        <v>28.624707795320234</v>
      </c>
      <c r="FV383" s="57" t="str">
        <f t="shared" si="659"/>
        <v>SW</v>
      </c>
      <c r="FW383" s="57" t="s">
        <v>2732</v>
      </c>
      <c r="FX383" s="57" t="str">
        <f t="shared" si="635"/>
        <v/>
      </c>
      <c r="FY383" s="57" t="str">
        <f t="shared" si="636"/>
        <v/>
      </c>
      <c r="FZ383" s="57">
        <f t="shared" si="637"/>
        <v>1</v>
      </c>
      <c r="GA383" s="57" t="str">
        <f t="shared" si="638"/>
        <v>Long</v>
      </c>
      <c r="GB383" s="57" t="str">
        <f t="shared" si="639"/>
        <v/>
      </c>
      <c r="GC383" s="57" t="str">
        <f t="shared" si="640"/>
        <v/>
      </c>
      <c r="GD383" s="57" t="str">
        <f t="shared" si="641"/>
        <v/>
      </c>
      <c r="GE383" s="62">
        <f t="shared" si="664"/>
        <v>131.28</v>
      </c>
      <c r="GF383" s="62" t="s">
        <v>2779</v>
      </c>
      <c r="GG383" s="199">
        <v>12</v>
      </c>
      <c r="GH383" s="207">
        <f t="shared" si="642"/>
        <v>1575.3600000000001</v>
      </c>
      <c r="GI383" s="199">
        <v>12</v>
      </c>
      <c r="GJ383" s="200">
        <v>135</v>
      </c>
      <c r="GK383" s="63">
        <f t="shared" si="643"/>
        <v>44.639999999999873</v>
      </c>
      <c r="GL383" s="63">
        <f t="shared" si="665"/>
        <v>-133.55999999999995</v>
      </c>
      <c r="GM383" s="82">
        <f t="shared" si="644"/>
        <v>-1.413010359536867</v>
      </c>
      <c r="GN383" s="82">
        <f>IF($GZ383="",#N/A,SUM(GM$4:GM383))</f>
        <v>10.919453276761869</v>
      </c>
      <c r="GO383" s="82" t="str">
        <f t="shared" si="645"/>
        <v/>
      </c>
      <c r="GP383" s="82">
        <f>IF($GZ383="",#N/A,SUM(GO$4:GO383))</f>
        <v>5.3536851561453664</v>
      </c>
      <c r="GQ383" s="82" t="str">
        <f t="shared" si="646"/>
        <v/>
      </c>
      <c r="GR383" s="82">
        <f>IF($GZ383="",#N/A,SUM(GQ$4:GQ383))</f>
        <v>25.718073752364656</v>
      </c>
      <c r="GS383" s="63" t="e">
        <f t="shared" si="654"/>
        <v>#N/A</v>
      </c>
      <c r="GT383" s="63" t="e">
        <f>IF($GZ383="",#N/A,SUM(GS$4:GS383))</f>
        <v>#N/A</v>
      </c>
      <c r="GU383" s="63" t="str">
        <f t="shared" si="655"/>
        <v/>
      </c>
      <c r="GV383" s="63" t="e">
        <f>IF($GZ383="",#N/A,SUM(GU$4:GU383))</f>
        <v>#N/A</v>
      </c>
      <c r="GW383" s="63" t="str">
        <f t="shared" si="656"/>
        <v/>
      </c>
      <c r="GX383" s="63" t="e">
        <f>IF($GZ383="",#N/A,SUM(GW$4:GW383))</f>
        <v>#N/A</v>
      </c>
      <c r="GY383" s="63" t="e">
        <f>IF(EJ383="",#N/A,SUM($EJ$4:EJ383))</f>
        <v>#N/A</v>
      </c>
      <c r="GZ383" s="159">
        <v>120.15</v>
      </c>
      <c r="HA383" s="63">
        <f t="shared" si="647"/>
        <v>-178.19999999999982</v>
      </c>
      <c r="HB383" s="62" t="s">
        <v>2538</v>
      </c>
      <c r="HC383" s="60">
        <f>IFERROR(VLOOKUP(E383,Expectancy!$P$4:$S$19,1+C383,FALSE),"")</f>
        <v>-0.16876070792161713</v>
      </c>
      <c r="HD383" s="82">
        <f t="shared" si="648"/>
        <v>0.4722730042656903</v>
      </c>
      <c r="HE383" s="138">
        <f>IF(HD383="",#N/A,SUM($HD$4:HD383))</f>
        <v>13.286977618956204</v>
      </c>
      <c r="HF383" s="85">
        <f>IF(HD383="",#N/A,IF(HB383="Skip",#N/A,SUM($HG$4:HG383)))</f>
        <v>599.96157921915596</v>
      </c>
      <c r="HG383" s="63">
        <f t="shared" si="649"/>
        <v>44.639999999999873</v>
      </c>
      <c r="HH383" s="82">
        <f t="shared" si="650"/>
        <v>-1.413010359536867</v>
      </c>
    </row>
    <row r="384" spans="1:216" x14ac:dyDescent="0.25">
      <c r="A384" s="57" t="s">
        <v>1188</v>
      </c>
      <c r="B384" s="58" t="str" cm="1">
        <f t="array" ref="B384">IFERROR(_xlfn.XLOOKUP(A384,Earnings!$B$2:$B$9985,LEFT(Earnings!$C$2:$C$9985,37)),"Can't Find Date***")</f>
        <v>on 2/26/25, 4:01 PM After Market East</v>
      </c>
      <c r="C384" s="386">
        <f t="shared" si="561"/>
        <v>3</v>
      </c>
      <c r="D384" s="372" t="str">
        <f>_xlfn.XLOOKUP(A384,[1]SP500!$A$2:$A$502,[1]SP500!$D$2:$D$502,"N")</f>
        <v>Y</v>
      </c>
      <c r="E384" s="57" t="str">
        <f>_xlfn.XLOOKUP(A384,[1]SP500!$A$2:$A$655,[1]SP500!$B$2:$B$655)</f>
        <v>IGV</v>
      </c>
      <c r="F384" s="59">
        <v>45714</v>
      </c>
      <c r="G384" s="57" t="str">
        <f t="shared" si="562"/>
        <v>AMC</v>
      </c>
      <c r="H384" s="57" t="str">
        <f t="shared" si="563"/>
        <v>s</v>
      </c>
      <c r="I384" s="159">
        <v>307.33</v>
      </c>
      <c r="J384" s="159">
        <v>296.33999999999997</v>
      </c>
      <c r="K384" s="61">
        <f t="shared" si="564"/>
        <v>-3.575960693716855E-2</v>
      </c>
      <c r="L384" s="87">
        <f t="shared" si="565"/>
        <v>-54.950000000000045</v>
      </c>
      <c r="M384" s="130">
        <f t="shared" si="663"/>
        <v>0</v>
      </c>
      <c r="N384" s="169" t="str">
        <f t="shared" si="566"/>
        <v/>
      </c>
      <c r="O384" s="169">
        <f>IF($J384="",#N/A,SUM($N$4:N384))</f>
        <v>-184.10328064577561</v>
      </c>
      <c r="P384" s="174" t="str">
        <f t="shared" si="567"/>
        <v/>
      </c>
      <c r="Q384" s="174">
        <f>IF($J384="",#N/A,SUM($P$4:P384))</f>
        <v>116.53499224504333</v>
      </c>
      <c r="R384" s="178">
        <f t="shared" si="568"/>
        <v>-54.950000000000045</v>
      </c>
      <c r="S384" s="178">
        <f>IF($J384="",#N/A,SUM($R$4:R384))</f>
        <v>1530.9423369902777</v>
      </c>
      <c r="T384" s="290" t="str">
        <f t="shared" si="569"/>
        <v/>
      </c>
      <c r="U384" s="290">
        <f>IF($J384="",#N/A,SUM($T$4:T384))</f>
        <v>11.683887388414128</v>
      </c>
      <c r="V384" s="291" t="str">
        <f t="shared" si="570"/>
        <v/>
      </c>
      <c r="W384" s="291">
        <f>IF($J384="",#N/A,SUM($V$4:V384))</f>
        <v>20.71676331069586</v>
      </c>
      <c r="X384" s="292">
        <f t="shared" si="571"/>
        <v>-0.59599344895280915</v>
      </c>
      <c r="Y384" s="292">
        <f>IF($J384="",#N/A,SUM($X$4:X384))</f>
        <v>23.445041266213678</v>
      </c>
      <c r="Z384" s="304" t="str">
        <f t="shared" si="572"/>
        <v/>
      </c>
      <c r="AA384" s="313" t="e">
        <f>IF($J384="",#N/A,SUM(Z$4:Z384))</f>
        <v>#N/A</v>
      </c>
      <c r="AB384" s="314" t="str">
        <f t="shared" si="573"/>
        <v/>
      </c>
      <c r="AC384" s="314" t="e">
        <f>IF($J384="",#N/A,SUM(AB$4:AB384))</f>
        <v>#N/A</v>
      </c>
      <c r="AD384" s="315" t="str">
        <f t="shared" si="574"/>
        <v/>
      </c>
      <c r="AE384" s="315" t="e">
        <f>IF($J384="",#N/A,SUM(AD$4:AD384))</f>
        <v>#N/A</v>
      </c>
      <c r="AF384" s="315" t="e">
        <f>IF($J384="",#N/A,SUM(AD$4:AD384,AB$4:AB384,Z$4:Z384))</f>
        <v>#N/A</v>
      </c>
      <c r="AG384" s="304" t="str">
        <f t="shared" si="575"/>
        <v/>
      </c>
      <c r="AH384" s="313" t="e">
        <f>IF($J384="",#N/A,SUM(AG$4:AG384))</f>
        <v>#N/A</v>
      </c>
      <c r="AI384" s="314" t="str">
        <f t="shared" si="576"/>
        <v/>
      </c>
      <c r="AJ384" s="314" t="e">
        <f>IF($J384="",#N/A,SUM(AI$4:AI384))</f>
        <v>#N/A</v>
      </c>
      <c r="AK384" s="315">
        <f t="shared" si="577"/>
        <v>-0.59599344895280915</v>
      </c>
      <c r="AL384" s="315" t="e">
        <f>IF($J384="",#N/A,SUM(AK$4:AK384))</f>
        <v>#N/A</v>
      </c>
      <c r="AM384" s="315" t="e">
        <f>IF($J384="",#N/A,SUM(AK$4:AK384,AI$4:AI384,AG$4:AG384))</f>
        <v>#N/A</v>
      </c>
      <c r="AN384" s="304" t="str">
        <f t="shared" si="578"/>
        <v/>
      </c>
      <c r="AO384" s="313" t="e">
        <f>IF($J384="",#N/A,SUM(AN$4:AN384))</f>
        <v>#N/A</v>
      </c>
      <c r="AP384" s="314" t="str">
        <f t="shared" si="579"/>
        <v/>
      </c>
      <c r="AQ384" s="314" t="e">
        <f>IF($J384="",#N/A,SUM(AP$4:AP384))</f>
        <v>#N/A</v>
      </c>
      <c r="AR384" s="315" t="str">
        <f t="shared" si="580"/>
        <v/>
      </c>
      <c r="AS384" s="315" t="e">
        <f>IF($J384="",#N/A,SUM(AR$4:AR384))</f>
        <v>#N/A</v>
      </c>
      <c r="AT384" s="315" t="e">
        <f>IF($J384="",#N/A,SUM(AR$4:AR384,AP$4:AP384,AN$4:AN384))</f>
        <v>#N/A</v>
      </c>
      <c r="AU384" s="304" t="str">
        <f t="shared" si="581"/>
        <v/>
      </c>
      <c r="AV384" s="313" t="e">
        <f>IF($J384="",#N/A,SUM(AU$4:AU384))</f>
        <v>#N/A</v>
      </c>
      <c r="AW384" s="314" t="str">
        <f t="shared" si="582"/>
        <v/>
      </c>
      <c r="AX384" s="314" t="e">
        <f>IF($J384="",#N/A,SUM(AW$4:AW384))</f>
        <v>#N/A</v>
      </c>
      <c r="AY384" s="315" t="str">
        <f t="shared" si="583"/>
        <v/>
      </c>
      <c r="AZ384" s="315" t="e">
        <f>IF($J384="",#N/A,SUM(AY$4:AY384))</f>
        <v>#N/A</v>
      </c>
      <c r="BA384" s="315" t="e">
        <f>IF($J384="",#N/A,SUM(AY$4:AY384,AW$4:AW384,AU$4:AU384))</f>
        <v>#N/A</v>
      </c>
      <c r="BB384" s="304" t="str">
        <f t="shared" si="584"/>
        <v/>
      </c>
      <c r="BC384" s="313" t="e">
        <f>IF($J384="",#N/A,SUM(BB$4:BB384))</f>
        <v>#N/A</v>
      </c>
      <c r="BD384" s="314" t="str">
        <f t="shared" si="585"/>
        <v/>
      </c>
      <c r="BE384" s="314" t="e">
        <f>IF($J384="",#N/A,SUM(BD$4:BD384))</f>
        <v>#N/A</v>
      </c>
      <c r="BF384" s="315" t="str">
        <f t="shared" si="586"/>
        <v/>
      </c>
      <c r="BG384" s="315" t="e">
        <f>IF($J384="",#N/A,SUM(BF$4:BF384))</f>
        <v>#N/A</v>
      </c>
      <c r="BH384" s="315" t="e">
        <f>IF($J384="",#N/A,SUM(BF$4:BF384,BD$4:BD384,BB$4:BB384))</f>
        <v>#N/A</v>
      </c>
      <c r="BI384" s="304" t="str">
        <f t="shared" si="587"/>
        <v/>
      </c>
      <c r="BJ384" s="313" t="e">
        <f>IF($J384="",#N/A,SUM(BI$4:BI384))</f>
        <v>#N/A</v>
      </c>
      <c r="BK384" s="314" t="str">
        <f t="shared" si="588"/>
        <v/>
      </c>
      <c r="BL384" s="314" t="e">
        <f>IF($J384="",#N/A,SUM(BK$4:BK384))</f>
        <v>#N/A</v>
      </c>
      <c r="BM384" s="315" t="str">
        <f t="shared" si="589"/>
        <v/>
      </c>
      <c r="BN384" s="315" t="e">
        <f>IF($J384="",#N/A,SUM(BM$4:BM384))</f>
        <v>#N/A</v>
      </c>
      <c r="BO384" s="315" t="e">
        <f>IF($J384="",#N/A,SUM(BM$4:BM384,BK$4:BK384,BI$4:BI384))</f>
        <v>#N/A</v>
      </c>
      <c r="BP384" s="304" t="str">
        <f t="shared" si="590"/>
        <v/>
      </c>
      <c r="BQ384" s="313" t="e">
        <f>IF($J384="",#N/A,SUM(BP$4:BP384))</f>
        <v>#N/A</v>
      </c>
      <c r="BR384" s="314" t="str">
        <f t="shared" si="591"/>
        <v/>
      </c>
      <c r="BS384" s="314" t="e">
        <f>IF($J384="",#N/A,SUM(BR$4:BR384))</f>
        <v>#N/A</v>
      </c>
      <c r="BT384" s="315" t="str">
        <f t="shared" si="592"/>
        <v/>
      </c>
      <c r="BU384" s="315" t="e">
        <f>IF($J384="",#N/A,SUM(BT$4:BT384))</f>
        <v>#N/A</v>
      </c>
      <c r="BV384" s="315" t="e">
        <f>IF($J384="",#N/A,SUM(BT$4:BT384,BR$4:BR384,BP$4:BP384))</f>
        <v>#N/A</v>
      </c>
      <c r="BW384" s="304" t="str">
        <f t="shared" si="593"/>
        <v/>
      </c>
      <c r="BX384" s="313" t="e">
        <f>IF($J384="",#N/A,SUM(BW$4:BW384))</f>
        <v>#N/A</v>
      </c>
      <c r="BY384" s="314" t="str">
        <f t="shared" si="594"/>
        <v/>
      </c>
      <c r="BZ384" s="314" t="e">
        <f>IF($J384="",#N/A,SUM(BY$4:BY384))</f>
        <v>#N/A</v>
      </c>
      <c r="CA384" s="315" t="str">
        <f t="shared" si="595"/>
        <v/>
      </c>
      <c r="CB384" s="315" t="e">
        <f>IF($J384="",#N/A,SUM(CA$4:CA384))</f>
        <v>#N/A</v>
      </c>
      <c r="CC384" s="315" t="e">
        <f>IF($J384="",#N/A,SUM(CA$4:CA384,BY$4:BY384,BW$4:BW384))</f>
        <v>#N/A</v>
      </c>
      <c r="CD384" s="304" t="str">
        <f t="shared" si="596"/>
        <v/>
      </c>
      <c r="CE384" s="313" t="e">
        <f>IF($J384="",#N/A,SUM(CD$4:CD384))</f>
        <v>#N/A</v>
      </c>
      <c r="CF384" s="314" t="str">
        <f t="shared" si="597"/>
        <v/>
      </c>
      <c r="CG384" s="314" t="e">
        <f>IF($J384="",#N/A,SUM(CF$4:CF384))</f>
        <v>#N/A</v>
      </c>
      <c r="CH384" s="315" t="str">
        <f t="shared" si="598"/>
        <v/>
      </c>
      <c r="CI384" s="315" t="e">
        <f>IF($J384="",#N/A,SUM(CH$4:CH384))</f>
        <v>#N/A</v>
      </c>
      <c r="CJ384" s="315" t="e">
        <f>IF($J384="",#N/A,SUM(CH$4:CH384,CF$4:CF384,CD$4:CD384))</f>
        <v>#N/A</v>
      </c>
      <c r="CK384" s="304" t="str">
        <f t="shared" si="599"/>
        <v/>
      </c>
      <c r="CL384" s="313" t="e">
        <f>IF($J384="",#N/A,SUM(CK$4:CK384))</f>
        <v>#N/A</v>
      </c>
      <c r="CM384" s="314" t="str">
        <f t="shared" si="600"/>
        <v/>
      </c>
      <c r="CN384" s="314" t="e">
        <f>IF($J384="",#N/A,SUM(CM$4:CM384))</f>
        <v>#N/A</v>
      </c>
      <c r="CO384" s="315" t="str">
        <f t="shared" si="601"/>
        <v/>
      </c>
      <c r="CP384" s="315" t="e">
        <f>IF($J384="",#N/A,SUM(CO$4:CO384))</f>
        <v>#N/A</v>
      </c>
      <c r="CQ384" s="315" t="e">
        <f>IF($J384="",#N/A,SUM(CO$4:CO384,CM$4:CM384,CK$4:CK384))</f>
        <v>#N/A</v>
      </c>
      <c r="CR384" s="304" t="str">
        <f t="shared" si="602"/>
        <v/>
      </c>
      <c r="CS384" s="313" t="e">
        <f>IF($J384="",#N/A,SUM(CR$4:CR384))</f>
        <v>#N/A</v>
      </c>
      <c r="CT384" s="314" t="str">
        <f t="shared" si="603"/>
        <v/>
      </c>
      <c r="CU384" s="314" t="e">
        <f>IF($J384="",#N/A,SUM(CT$4:CT384))</f>
        <v>#N/A</v>
      </c>
      <c r="CV384" s="315" t="str">
        <f t="shared" si="604"/>
        <v/>
      </c>
      <c r="CW384" s="315" t="e">
        <f>IF($J384="",#N/A,SUM(CV$4:CV384))</f>
        <v>#N/A</v>
      </c>
      <c r="CX384" s="315" t="e">
        <f>IF($J384="",#N/A,SUM(CV$4:CV384,CT$4:CT384,CR$4:CR384))</f>
        <v>#N/A</v>
      </c>
      <c r="CY384" s="304" t="str">
        <f t="shared" si="605"/>
        <v/>
      </c>
      <c r="CZ384" s="313" t="e">
        <f>IF($J384="",#N/A,SUM(CY$4:CY384))</f>
        <v>#N/A</v>
      </c>
      <c r="DA384" s="314" t="str">
        <f t="shared" si="606"/>
        <v/>
      </c>
      <c r="DB384" s="314" t="e">
        <f>IF($J384="",#N/A,SUM(DA$4:DA384))</f>
        <v>#N/A</v>
      </c>
      <c r="DC384" s="315" t="str">
        <f t="shared" si="607"/>
        <v/>
      </c>
      <c r="DD384" s="315" t="e">
        <f>IF($J384="",#N/A,SUM(DC$4:DC384))</f>
        <v>#N/A</v>
      </c>
      <c r="DE384" s="315" t="e">
        <f>IF($J384="",#N/A,SUM(DC$4:DC384,DA$4:DA384,CY$4:CY384))</f>
        <v>#N/A</v>
      </c>
      <c r="DF384" s="304" t="str">
        <f t="shared" si="608"/>
        <v/>
      </c>
      <c r="DG384" s="313" t="e">
        <f>IF($J384="",#N/A,SUM(DF$4:DF384))</f>
        <v>#N/A</v>
      </c>
      <c r="DH384" s="314" t="str">
        <f t="shared" si="609"/>
        <v/>
      </c>
      <c r="DI384" s="314" t="e">
        <f>IF($J384="",#N/A,SUM(DH$4:DH384))</f>
        <v>#N/A</v>
      </c>
      <c r="DJ384" s="315" t="str">
        <f t="shared" si="610"/>
        <v/>
      </c>
      <c r="DK384" s="315" t="e">
        <f>IF($J384="",#N/A,SUM(DJ$4:DJ384))</f>
        <v>#N/A</v>
      </c>
      <c r="DL384" s="315" t="e">
        <f>IF($J384="",#N/A,SUM(DJ$4:DJ384,DH$4:DH384,DF$4:DF384))</f>
        <v>#N/A</v>
      </c>
      <c r="DM384" s="304" t="str">
        <f t="shared" si="611"/>
        <v/>
      </c>
      <c r="DN384" s="313" t="e">
        <f>IF($J384="",#N/A,SUM(DM$4:DM384))</f>
        <v>#N/A</v>
      </c>
      <c r="DO384" s="314" t="str">
        <f t="shared" si="612"/>
        <v/>
      </c>
      <c r="DP384" s="314" t="e">
        <f>IF($J384="",#N/A,SUM(DO$4:DO384))</f>
        <v>#N/A</v>
      </c>
      <c r="DQ384" s="315" t="str">
        <f t="shared" si="613"/>
        <v/>
      </c>
      <c r="DR384" s="315" t="e">
        <f>IF($J384="",#N/A,SUM(DQ$4:DQ384))</f>
        <v>#N/A</v>
      </c>
      <c r="DS384" s="315" t="e">
        <f>IF($J384="",#N/A,SUM(DQ$4:DQ384,DO$4:DO384,DM$4:DM384))</f>
        <v>#N/A</v>
      </c>
      <c r="DT384" s="304" t="str">
        <f t="shared" si="614"/>
        <v/>
      </c>
      <c r="DU384" s="313" t="e">
        <f>IF($J384="",#N/A,SUM(DT$4:DT384))</f>
        <v>#N/A</v>
      </c>
      <c r="DV384" s="314" t="str">
        <f t="shared" si="615"/>
        <v/>
      </c>
      <c r="DW384" s="314" t="e">
        <f>IF($J384="",#N/A,SUM(DV$4:DV384))</f>
        <v>#N/A</v>
      </c>
      <c r="DX384" s="315" t="str">
        <f t="shared" si="616"/>
        <v/>
      </c>
      <c r="DY384" s="315" t="e">
        <f>IF($J384="",#N/A,SUM(DX$4:DX384))</f>
        <v>#N/A</v>
      </c>
      <c r="DZ384" s="315" t="e">
        <f>IF($J384="",#N/A,SUM(DX$4:DX384,DV$4:DV384,DT$4:DT384))</f>
        <v>#N/A</v>
      </c>
      <c r="EA384" s="304" t="str">
        <f t="shared" si="617"/>
        <v/>
      </c>
      <c r="EB384" s="313" t="e">
        <f>IF($J384="",#N/A,SUM(EA$4:EA384))</f>
        <v>#N/A</v>
      </c>
      <c r="EC384" s="314" t="str">
        <f t="shared" si="618"/>
        <v/>
      </c>
      <c r="ED384" s="314" t="e">
        <f>IF($J384="",#N/A,SUM(EC$4:EC384))</f>
        <v>#N/A</v>
      </c>
      <c r="EE384" s="315" t="str">
        <f t="shared" si="619"/>
        <v/>
      </c>
      <c r="EF384" s="315" t="e">
        <f>IF($J384="",#N/A,SUM(EE$4:EE384))</f>
        <v>#N/A</v>
      </c>
      <c r="EG384" s="315" t="e">
        <f>IF($J384="",#N/A,SUM(EE$4:EE384,EC$4:EC384,EA$4:EA384))</f>
        <v>#N/A</v>
      </c>
      <c r="EH384" s="130">
        <f t="shared" si="620"/>
        <v>-54.950000000000045</v>
      </c>
      <c r="EI384" s="63">
        <f>IF(EH384="",#N/A,SUM($EH$4:EH384))</f>
        <v>1463.3740485895455</v>
      </c>
      <c r="EJ384" s="223" t="e">
        <f t="shared" si="621"/>
        <v>#N/A</v>
      </c>
      <c r="EK384" s="63" t="e">
        <f>IF($GZ384="",#N/A,SUM(EJ$4:EJ384))</f>
        <v>#N/A</v>
      </c>
      <c r="EL384" s="60">
        <f t="shared" si="651"/>
        <v>-0.59599344895280915</v>
      </c>
      <c r="EM384" s="60">
        <f>IF(EL384="",NA(),SUM($EL$4:EL384))</f>
        <v>27.46452811061701</v>
      </c>
      <c r="EN384" s="60" t="str">
        <f t="shared" si="622"/>
        <v/>
      </c>
      <c r="EO384" s="60" t="e">
        <f>IF(EN384="",NA(),SUM($EN$4:EN384))</f>
        <v>#N/A</v>
      </c>
      <c r="EP384" s="60">
        <f t="shared" si="623"/>
        <v>-0.59599344895280915</v>
      </c>
      <c r="EQ384" s="60">
        <f>IF(EP384="",NA(),SUM($EP$4:EP384))</f>
        <v>13.343791645004547</v>
      </c>
      <c r="ER384" s="60" t="str">
        <f t="shared" si="624"/>
        <v/>
      </c>
      <c r="ES384" s="60" t="e">
        <f>IF(ER384="",NA(),SUM($ER$4:ER384))</f>
        <v>#N/A</v>
      </c>
      <c r="ET384" s="60" t="str">
        <f t="shared" si="625"/>
        <v/>
      </c>
      <c r="EU384" s="60" t="e">
        <f>IF(ET384="",NA(),SUM($ET$4:ET384))</f>
        <v>#N/A</v>
      </c>
      <c r="EV384" s="60" t="str">
        <f t="shared" si="626"/>
        <v/>
      </c>
      <c r="EW384" s="60" t="e">
        <f>IF(EV384="",NA(),SUM($EV$4:EV384))</f>
        <v>#N/A</v>
      </c>
      <c r="EX384" s="60" t="str">
        <f t="shared" si="627"/>
        <v/>
      </c>
      <c r="EY384" s="60" t="e">
        <f>IF(EX384="",NA(),SUM($EX$4:EX384))</f>
        <v>#N/A</v>
      </c>
      <c r="EZ384" s="60" t="str">
        <f t="shared" si="628"/>
        <v/>
      </c>
      <c r="FA384" s="60" t="e">
        <f>IF(EZ384="",NA(),SUM($EZ$4:EZ384))</f>
        <v>#N/A</v>
      </c>
      <c r="FB384" s="246" t="str">
        <f t="shared" si="652"/>
        <v/>
      </c>
      <c r="FC384" s="246" t="e">
        <f>IF($FB384="",#N/A,SUM(FB$4:$FB384))</f>
        <v>#N/A</v>
      </c>
      <c r="FD384" s="60" t="str">
        <f t="shared" si="629"/>
        <v/>
      </c>
      <c r="FE384" s="60" t="e">
        <f>IF($FD384="",#N/A,SUM($FD$4:FD384))</f>
        <v>#N/A</v>
      </c>
      <c r="FF384" s="60" t="str">
        <f t="shared" si="630"/>
        <v/>
      </c>
      <c r="FG384" s="60" t="e">
        <f>IF($FF384="",#N/A,SUM($FF$4:FF384))</f>
        <v>#N/A</v>
      </c>
      <c r="FH384" s="60" t="str">
        <f t="shared" si="631"/>
        <v/>
      </c>
      <c r="FI384" s="60" t="e">
        <f>IF($FH384="",#N/A,SUM($FH$4:FH384))</f>
        <v>#N/A</v>
      </c>
      <c r="FJ384" s="60" t="str">
        <f t="shared" si="632"/>
        <v/>
      </c>
      <c r="FK384" s="60" t="e">
        <f>IF($FJ384="",#N/A,SUM($FJ$4:FJ384))</f>
        <v>#N/A</v>
      </c>
      <c r="FL384" s="60">
        <f t="shared" si="633"/>
        <v>-7.809195327497942E-2</v>
      </c>
      <c r="FM384" s="60">
        <f>IF($FL384="",#N/A,SUM($FL$4:FL384))</f>
        <v>-7.0602640074208836</v>
      </c>
      <c r="FN384" s="82">
        <f t="shared" si="634"/>
        <v>-0.67408540222778857</v>
      </c>
      <c r="FO384" s="82">
        <f>IF($FN384="",#N/A,SUM(FN$4:$FN384))</f>
        <v>41.942963737486437</v>
      </c>
      <c r="FP384" s="82">
        <f t="shared" si="653"/>
        <v>-0.59599344895280915</v>
      </c>
      <c r="FQ384" s="246">
        <f>IF($EH384="",#N/A,SUM($FP$4:FP384))</f>
        <v>55.845691965323631</v>
      </c>
      <c r="FR384" s="82">
        <f>IFERROR(FQ384/COUNTA($J$4:J384),#N/A)</f>
        <v>0.14657661933155808</v>
      </c>
      <c r="FS384" s="82">
        <f t="shared" si="661"/>
        <v>0.10705408565055265</v>
      </c>
      <c r="FT384" s="82">
        <f t="shared" si="662"/>
        <v>6.8792218578773545E-2</v>
      </c>
      <c r="FU384" s="338">
        <f t="shared" si="660"/>
        <v>28.624707795320234</v>
      </c>
      <c r="FV384" s="57" t="str">
        <f t="shared" si="659"/>
        <v>SW</v>
      </c>
      <c r="FW384" s="57" t="s">
        <v>2732</v>
      </c>
      <c r="FX384" s="57" t="str">
        <f t="shared" si="635"/>
        <v/>
      </c>
      <c r="FY384" s="57" t="str">
        <f t="shared" si="636"/>
        <v/>
      </c>
      <c r="FZ384" s="57" t="str">
        <f t="shared" si="637"/>
        <v/>
      </c>
      <c r="GA384" s="57" t="str">
        <f t="shared" si="638"/>
        <v>Long</v>
      </c>
      <c r="GB384" s="57" t="str">
        <f t="shared" si="639"/>
        <v/>
      </c>
      <c r="GC384" s="57" t="str">
        <f t="shared" si="640"/>
        <v/>
      </c>
      <c r="GD384" s="57">
        <f t="shared" si="641"/>
        <v>1</v>
      </c>
      <c r="GE384" s="62">
        <f t="shared" si="664"/>
        <v>307.33</v>
      </c>
      <c r="GF384" s="62" t="s">
        <v>2779</v>
      </c>
      <c r="GG384" s="199">
        <v>5</v>
      </c>
      <c r="GH384" s="207">
        <f t="shared" si="642"/>
        <v>1536.6499999999999</v>
      </c>
      <c r="GI384" s="199">
        <v>5</v>
      </c>
      <c r="GJ384" s="200">
        <v>296.33999999999997</v>
      </c>
      <c r="GK384" s="63">
        <f t="shared" si="643"/>
        <v>-54.950000000000045</v>
      </c>
      <c r="GL384" s="63">
        <f t="shared" si="665"/>
        <v>-62.149999999999864</v>
      </c>
      <c r="GM384" s="82">
        <f t="shared" si="644"/>
        <v>-0.67408540222778857</v>
      </c>
      <c r="GN384" s="82">
        <f>IF($GZ384="",#N/A,SUM(GM$4:GM384))</f>
        <v>10.245367874534081</v>
      </c>
      <c r="GO384" s="82" t="str">
        <f t="shared" si="645"/>
        <v/>
      </c>
      <c r="GP384" s="82">
        <f>IF($GZ384="",#N/A,SUM(GO$4:GO384))</f>
        <v>5.3536851561453664</v>
      </c>
      <c r="GQ384" s="82" t="str">
        <f t="shared" si="646"/>
        <v/>
      </c>
      <c r="GR384" s="82">
        <f>IF($GZ384="",#N/A,SUM(GQ$4:GQ384))</f>
        <v>25.718073752364656</v>
      </c>
      <c r="GS384" s="63" t="e">
        <f t="shared" si="654"/>
        <v>#N/A</v>
      </c>
      <c r="GT384" s="63" t="e">
        <f>IF($GZ384="",#N/A,SUM(GS$4:GS384))</f>
        <v>#N/A</v>
      </c>
      <c r="GU384" s="63" t="str">
        <f t="shared" si="655"/>
        <v/>
      </c>
      <c r="GV384" s="63" t="e">
        <f>IF($GZ384="",#N/A,SUM(GU$4:GU384))</f>
        <v>#N/A</v>
      </c>
      <c r="GW384" s="63" t="str">
        <f t="shared" si="656"/>
        <v/>
      </c>
      <c r="GX384" s="63" t="e">
        <f>IF($GZ384="",#N/A,SUM(GW$4:GW384))</f>
        <v>#N/A</v>
      </c>
      <c r="GY384" s="63" t="e">
        <f>IF(EJ384="",#N/A,SUM($EJ$4:EJ384))</f>
        <v>#N/A</v>
      </c>
      <c r="GZ384" s="159">
        <v>294.89999999999998</v>
      </c>
      <c r="HA384" s="63">
        <f t="shared" si="647"/>
        <v>-7.1999999999998181</v>
      </c>
      <c r="HB384" s="62" t="s">
        <v>2538</v>
      </c>
      <c r="HC384" s="60">
        <f>IFERROR(VLOOKUP(E384,Expectancy!$P$4:$S$19,1+C384,FALSE),"")</f>
        <v>0.27741610538114203</v>
      </c>
      <c r="HD384" s="82">
        <f t="shared" si="648"/>
        <v>-0.59599344895280915</v>
      </c>
      <c r="HE384" s="138">
        <f>IF(HD384="",#N/A,SUM($HD$4:HD384))</f>
        <v>12.690984170003395</v>
      </c>
      <c r="HF384" s="85">
        <f>IF(HD384="",#N/A,IF(HB384="Skip",#N/A,SUM($HG$4:HG384)))</f>
        <v>545.01157921915592</v>
      </c>
      <c r="HG384" s="63">
        <f t="shared" si="649"/>
        <v>-54.950000000000045</v>
      </c>
      <c r="HH384" s="82">
        <f t="shared" si="650"/>
        <v>-0.67408540222778857</v>
      </c>
    </row>
    <row r="385" spans="1:216" x14ac:dyDescent="0.25">
      <c r="A385" s="57" t="s">
        <v>1141</v>
      </c>
      <c r="B385" s="58" t="str" cm="1">
        <f t="array" ref="B385">IFERROR(_xlfn.XLOOKUP(A385,Earnings!$B$2:$B$9985,LEFT(Earnings!$C$2:$C$9985,37)),"Can't Find Date***")</f>
        <v>on 2/26/25, 4:04 PM After Market East</v>
      </c>
      <c r="C385" s="386">
        <f t="shared" si="561"/>
        <v>3</v>
      </c>
      <c r="D385" s="372" t="str">
        <f>_xlfn.XLOOKUP(A385,[1]SP500!$A$2:$A$502,[1]SP500!$D$2:$D$502,"N")</f>
        <v>Y</v>
      </c>
      <c r="E385" s="57" t="str">
        <f>_xlfn.XLOOKUP(A385,[1]SP500!$A$2:$A$655,[1]SP500!$B$2:$B$655)</f>
        <v>XLV</v>
      </c>
      <c r="F385" s="59">
        <v>45714</v>
      </c>
      <c r="G385" s="57" t="str">
        <f t="shared" si="562"/>
        <v>AMC</v>
      </c>
      <c r="H385" s="57" t="str">
        <f t="shared" si="563"/>
        <v>s</v>
      </c>
      <c r="I385" s="159">
        <v>134.47</v>
      </c>
      <c r="J385" s="159">
        <v>128.78</v>
      </c>
      <c r="K385" s="61">
        <f t="shared" si="564"/>
        <v>-4.2314270841079776E-2</v>
      </c>
      <c r="L385" s="87">
        <f t="shared" si="565"/>
        <v>-68.279999999999745</v>
      </c>
      <c r="M385" s="130">
        <f t="shared" si="663"/>
        <v>-3.1199999999998909</v>
      </c>
      <c r="N385" s="169" t="str">
        <f t="shared" si="566"/>
        <v/>
      </c>
      <c r="O385" s="169">
        <f>IF($J385="",#N/A,SUM($N$4:N385))</f>
        <v>-184.10328064577561</v>
      </c>
      <c r="P385" s="174" t="str">
        <f t="shared" si="567"/>
        <v/>
      </c>
      <c r="Q385" s="174">
        <f>IF($J385="",#N/A,SUM($P$4:P385))</f>
        <v>116.53499224504333</v>
      </c>
      <c r="R385" s="178">
        <f t="shared" si="568"/>
        <v>-68.279999999999745</v>
      </c>
      <c r="S385" s="178">
        <f>IF($J385="",#N/A,SUM($R$4:R385))</f>
        <v>1462.6623369902779</v>
      </c>
      <c r="T385" s="290" t="str">
        <f t="shared" si="569"/>
        <v/>
      </c>
      <c r="U385" s="290">
        <f>IF($J385="",#N/A,SUM($T$4:T385))</f>
        <v>11.683887388414128</v>
      </c>
      <c r="V385" s="291" t="str">
        <f t="shared" si="570"/>
        <v/>
      </c>
      <c r="W385" s="291">
        <f>IF($J385="",#N/A,SUM($V$4:V385))</f>
        <v>20.71676331069586</v>
      </c>
      <c r="X385" s="292">
        <f t="shared" si="571"/>
        <v>-0.70523784735132744</v>
      </c>
      <c r="Y385" s="292">
        <f>IF($J385="",#N/A,SUM($X$4:X385))</f>
        <v>22.739803418862351</v>
      </c>
      <c r="Z385" s="304" t="str">
        <f t="shared" si="572"/>
        <v/>
      </c>
      <c r="AA385" s="313" t="e">
        <f>IF($J385="",#N/A,SUM(Z$4:Z385))</f>
        <v>#N/A</v>
      </c>
      <c r="AB385" s="314" t="str">
        <f t="shared" si="573"/>
        <v/>
      </c>
      <c r="AC385" s="314" t="e">
        <f>IF($J385="",#N/A,SUM(AB$4:AB385))</f>
        <v>#N/A</v>
      </c>
      <c r="AD385" s="315" t="str">
        <f t="shared" si="574"/>
        <v/>
      </c>
      <c r="AE385" s="315" t="e">
        <f>IF($J385="",#N/A,SUM(AD$4:AD385))</f>
        <v>#N/A</v>
      </c>
      <c r="AF385" s="315" t="e">
        <f>IF($J385="",#N/A,SUM(AD$4:AD385,AB$4:AB385,Z$4:Z385))</f>
        <v>#N/A</v>
      </c>
      <c r="AG385" s="304" t="str">
        <f t="shared" si="575"/>
        <v/>
      </c>
      <c r="AH385" s="313" t="e">
        <f>IF($J385="",#N/A,SUM(AG$4:AG385))</f>
        <v>#N/A</v>
      </c>
      <c r="AI385" s="314" t="str">
        <f t="shared" si="576"/>
        <v/>
      </c>
      <c r="AJ385" s="314" t="e">
        <f>IF($J385="",#N/A,SUM(AI$4:AI385))</f>
        <v>#N/A</v>
      </c>
      <c r="AK385" s="315" t="str">
        <f t="shared" si="577"/>
        <v/>
      </c>
      <c r="AL385" s="315" t="e">
        <f>IF($J385="",#N/A,SUM(AK$4:AK385))</f>
        <v>#N/A</v>
      </c>
      <c r="AM385" s="315" t="e">
        <f>IF($J385="",#N/A,SUM(AK$4:AK385,AI$4:AI385,AG$4:AG385))</f>
        <v>#N/A</v>
      </c>
      <c r="AN385" s="304" t="str">
        <f t="shared" si="578"/>
        <v/>
      </c>
      <c r="AO385" s="313" t="e">
        <f>IF($J385="",#N/A,SUM(AN$4:AN385))</f>
        <v>#N/A</v>
      </c>
      <c r="AP385" s="314" t="str">
        <f t="shared" si="579"/>
        <v/>
      </c>
      <c r="AQ385" s="314" t="e">
        <f>IF($J385="",#N/A,SUM(AP$4:AP385))</f>
        <v>#N/A</v>
      </c>
      <c r="AR385" s="315" t="str">
        <f t="shared" si="580"/>
        <v/>
      </c>
      <c r="AS385" s="315" t="e">
        <f>IF($J385="",#N/A,SUM(AR$4:AR385))</f>
        <v>#N/A</v>
      </c>
      <c r="AT385" s="315" t="e">
        <f>IF($J385="",#N/A,SUM(AR$4:AR385,AP$4:AP385,AN$4:AN385))</f>
        <v>#N/A</v>
      </c>
      <c r="AU385" s="304" t="str">
        <f t="shared" si="581"/>
        <v/>
      </c>
      <c r="AV385" s="313" t="e">
        <f>IF($J385="",#N/A,SUM(AU$4:AU385))</f>
        <v>#N/A</v>
      </c>
      <c r="AW385" s="314" t="str">
        <f t="shared" si="582"/>
        <v/>
      </c>
      <c r="AX385" s="314" t="e">
        <f>IF($J385="",#N/A,SUM(AW$4:AW385))</f>
        <v>#N/A</v>
      </c>
      <c r="AY385" s="315" t="str">
        <f t="shared" si="583"/>
        <v/>
      </c>
      <c r="AZ385" s="315" t="e">
        <f>IF($J385="",#N/A,SUM(AY$4:AY385))</f>
        <v>#N/A</v>
      </c>
      <c r="BA385" s="315" t="e">
        <f>IF($J385="",#N/A,SUM(AY$4:AY385,AW$4:AW385,AU$4:AU385))</f>
        <v>#N/A</v>
      </c>
      <c r="BB385" s="304" t="str">
        <f t="shared" si="584"/>
        <v/>
      </c>
      <c r="BC385" s="313" t="e">
        <f>IF($J385="",#N/A,SUM(BB$4:BB385))</f>
        <v>#N/A</v>
      </c>
      <c r="BD385" s="314" t="str">
        <f t="shared" si="585"/>
        <v/>
      </c>
      <c r="BE385" s="314" t="e">
        <f>IF($J385="",#N/A,SUM(BD$4:BD385))</f>
        <v>#N/A</v>
      </c>
      <c r="BF385" s="315" t="str">
        <f t="shared" si="586"/>
        <v/>
      </c>
      <c r="BG385" s="315" t="e">
        <f>IF($J385="",#N/A,SUM(BF$4:BF385))</f>
        <v>#N/A</v>
      </c>
      <c r="BH385" s="315" t="e">
        <f>IF($J385="",#N/A,SUM(BF$4:BF385,BD$4:BD385,BB$4:BB385))</f>
        <v>#N/A</v>
      </c>
      <c r="BI385" s="304" t="str">
        <f t="shared" si="587"/>
        <v/>
      </c>
      <c r="BJ385" s="313" t="e">
        <f>IF($J385="",#N/A,SUM(BI$4:BI385))</f>
        <v>#N/A</v>
      </c>
      <c r="BK385" s="314" t="str">
        <f t="shared" si="588"/>
        <v/>
      </c>
      <c r="BL385" s="314" t="e">
        <f>IF($J385="",#N/A,SUM(BK$4:BK385))</f>
        <v>#N/A</v>
      </c>
      <c r="BM385" s="315" t="str">
        <f t="shared" si="589"/>
        <v/>
      </c>
      <c r="BN385" s="315" t="e">
        <f>IF($J385="",#N/A,SUM(BM$4:BM385))</f>
        <v>#N/A</v>
      </c>
      <c r="BO385" s="315" t="e">
        <f>IF($J385="",#N/A,SUM(BM$4:BM385,BK$4:BK385,BI$4:BI385))</f>
        <v>#N/A</v>
      </c>
      <c r="BP385" s="304" t="str">
        <f t="shared" si="590"/>
        <v/>
      </c>
      <c r="BQ385" s="313" t="e">
        <f>IF($J385="",#N/A,SUM(BP$4:BP385))</f>
        <v>#N/A</v>
      </c>
      <c r="BR385" s="314" t="str">
        <f t="shared" si="591"/>
        <v/>
      </c>
      <c r="BS385" s="314" t="e">
        <f>IF($J385="",#N/A,SUM(BR$4:BR385))</f>
        <v>#N/A</v>
      </c>
      <c r="BT385" s="315" t="str">
        <f t="shared" si="592"/>
        <v/>
      </c>
      <c r="BU385" s="315" t="e">
        <f>IF($J385="",#N/A,SUM(BT$4:BT385))</f>
        <v>#N/A</v>
      </c>
      <c r="BV385" s="315" t="e">
        <f>IF($J385="",#N/A,SUM(BT$4:BT385,BR$4:BR385,BP$4:BP385))</f>
        <v>#N/A</v>
      </c>
      <c r="BW385" s="304" t="str">
        <f t="shared" si="593"/>
        <v/>
      </c>
      <c r="BX385" s="313" t="e">
        <f>IF($J385="",#N/A,SUM(BW$4:BW385))</f>
        <v>#N/A</v>
      </c>
      <c r="BY385" s="314" t="str">
        <f t="shared" si="594"/>
        <v/>
      </c>
      <c r="BZ385" s="314" t="e">
        <f>IF($J385="",#N/A,SUM(BY$4:BY385))</f>
        <v>#N/A</v>
      </c>
      <c r="CA385" s="315">
        <f t="shared" si="595"/>
        <v>-0.70523784735132744</v>
      </c>
      <c r="CB385" s="315" t="e">
        <f>IF($J385="",#N/A,SUM(CA$4:CA385))</f>
        <v>#N/A</v>
      </c>
      <c r="CC385" s="315" t="e">
        <f>IF($J385="",#N/A,SUM(CA$4:CA385,BY$4:BY385,BW$4:BW385))</f>
        <v>#N/A</v>
      </c>
      <c r="CD385" s="304" t="str">
        <f t="shared" si="596"/>
        <v/>
      </c>
      <c r="CE385" s="313" t="e">
        <f>IF($J385="",#N/A,SUM(CD$4:CD385))</f>
        <v>#N/A</v>
      </c>
      <c r="CF385" s="314" t="str">
        <f t="shared" si="597"/>
        <v/>
      </c>
      <c r="CG385" s="314" t="e">
        <f>IF($J385="",#N/A,SUM(CF$4:CF385))</f>
        <v>#N/A</v>
      </c>
      <c r="CH385" s="315" t="str">
        <f t="shared" si="598"/>
        <v/>
      </c>
      <c r="CI385" s="315" t="e">
        <f>IF($J385="",#N/A,SUM(CH$4:CH385))</f>
        <v>#N/A</v>
      </c>
      <c r="CJ385" s="315" t="e">
        <f>IF($J385="",#N/A,SUM(CH$4:CH385,CF$4:CF385,CD$4:CD385))</f>
        <v>#N/A</v>
      </c>
      <c r="CK385" s="304" t="str">
        <f t="shared" si="599"/>
        <v/>
      </c>
      <c r="CL385" s="313" t="e">
        <f>IF($J385="",#N/A,SUM(CK$4:CK385))</f>
        <v>#N/A</v>
      </c>
      <c r="CM385" s="314" t="str">
        <f t="shared" si="600"/>
        <v/>
      </c>
      <c r="CN385" s="314" t="e">
        <f>IF($J385="",#N/A,SUM(CM$4:CM385))</f>
        <v>#N/A</v>
      </c>
      <c r="CO385" s="315" t="str">
        <f t="shared" si="601"/>
        <v/>
      </c>
      <c r="CP385" s="315" t="e">
        <f>IF($J385="",#N/A,SUM(CO$4:CO385))</f>
        <v>#N/A</v>
      </c>
      <c r="CQ385" s="315" t="e">
        <f>IF($J385="",#N/A,SUM(CO$4:CO385,CM$4:CM385,CK$4:CK385))</f>
        <v>#N/A</v>
      </c>
      <c r="CR385" s="304" t="str">
        <f t="shared" si="602"/>
        <v/>
      </c>
      <c r="CS385" s="313" t="e">
        <f>IF($J385="",#N/A,SUM(CR$4:CR385))</f>
        <v>#N/A</v>
      </c>
      <c r="CT385" s="314" t="str">
        <f t="shared" si="603"/>
        <v/>
      </c>
      <c r="CU385" s="314" t="e">
        <f>IF($J385="",#N/A,SUM(CT$4:CT385))</f>
        <v>#N/A</v>
      </c>
      <c r="CV385" s="315" t="str">
        <f t="shared" si="604"/>
        <v/>
      </c>
      <c r="CW385" s="315" t="e">
        <f>IF($J385="",#N/A,SUM(CV$4:CV385))</f>
        <v>#N/A</v>
      </c>
      <c r="CX385" s="315" t="e">
        <f>IF($J385="",#N/A,SUM(CV$4:CV385,CT$4:CT385,CR$4:CR385))</f>
        <v>#N/A</v>
      </c>
      <c r="CY385" s="304" t="str">
        <f t="shared" si="605"/>
        <v/>
      </c>
      <c r="CZ385" s="313" t="e">
        <f>IF($J385="",#N/A,SUM(CY$4:CY385))</f>
        <v>#N/A</v>
      </c>
      <c r="DA385" s="314" t="str">
        <f t="shared" si="606"/>
        <v/>
      </c>
      <c r="DB385" s="314" t="e">
        <f>IF($J385="",#N/A,SUM(DA$4:DA385))</f>
        <v>#N/A</v>
      </c>
      <c r="DC385" s="315" t="str">
        <f t="shared" si="607"/>
        <v/>
      </c>
      <c r="DD385" s="315" t="e">
        <f>IF($J385="",#N/A,SUM(DC$4:DC385))</f>
        <v>#N/A</v>
      </c>
      <c r="DE385" s="315" t="e">
        <f>IF($J385="",#N/A,SUM(DC$4:DC385,DA$4:DA385,CY$4:CY385))</f>
        <v>#N/A</v>
      </c>
      <c r="DF385" s="304" t="str">
        <f t="shared" si="608"/>
        <v/>
      </c>
      <c r="DG385" s="313" t="e">
        <f>IF($J385="",#N/A,SUM(DF$4:DF385))</f>
        <v>#N/A</v>
      </c>
      <c r="DH385" s="314" t="str">
        <f t="shared" si="609"/>
        <v/>
      </c>
      <c r="DI385" s="314" t="e">
        <f>IF($J385="",#N/A,SUM(DH$4:DH385))</f>
        <v>#N/A</v>
      </c>
      <c r="DJ385" s="315" t="str">
        <f t="shared" si="610"/>
        <v/>
      </c>
      <c r="DK385" s="315" t="e">
        <f>IF($J385="",#N/A,SUM(DJ$4:DJ385))</f>
        <v>#N/A</v>
      </c>
      <c r="DL385" s="315" t="e">
        <f>IF($J385="",#N/A,SUM(DJ$4:DJ385,DH$4:DH385,DF$4:DF385))</f>
        <v>#N/A</v>
      </c>
      <c r="DM385" s="304" t="str">
        <f t="shared" si="611"/>
        <v/>
      </c>
      <c r="DN385" s="313" t="e">
        <f>IF($J385="",#N/A,SUM(DM$4:DM385))</f>
        <v>#N/A</v>
      </c>
      <c r="DO385" s="314" t="str">
        <f t="shared" si="612"/>
        <v/>
      </c>
      <c r="DP385" s="314" t="e">
        <f>IF($J385="",#N/A,SUM(DO$4:DO385))</f>
        <v>#N/A</v>
      </c>
      <c r="DQ385" s="315" t="str">
        <f t="shared" si="613"/>
        <v/>
      </c>
      <c r="DR385" s="315" t="e">
        <f>IF($J385="",#N/A,SUM(DQ$4:DQ385))</f>
        <v>#N/A</v>
      </c>
      <c r="DS385" s="315" t="e">
        <f>IF($J385="",#N/A,SUM(DQ$4:DQ385,DO$4:DO385,DM$4:DM385))</f>
        <v>#N/A</v>
      </c>
      <c r="DT385" s="304" t="str">
        <f t="shared" si="614"/>
        <v/>
      </c>
      <c r="DU385" s="313" t="e">
        <f>IF($J385="",#N/A,SUM(DT$4:DT385))</f>
        <v>#N/A</v>
      </c>
      <c r="DV385" s="314" t="str">
        <f t="shared" si="615"/>
        <v/>
      </c>
      <c r="DW385" s="314" t="e">
        <f>IF($J385="",#N/A,SUM(DV$4:DV385))</f>
        <v>#N/A</v>
      </c>
      <c r="DX385" s="315" t="str">
        <f t="shared" si="616"/>
        <v/>
      </c>
      <c r="DY385" s="315" t="e">
        <f>IF($J385="",#N/A,SUM(DX$4:DX385))</f>
        <v>#N/A</v>
      </c>
      <c r="DZ385" s="315" t="e">
        <f>IF($J385="",#N/A,SUM(DX$4:DX385,DV$4:DV385,DT$4:DT385))</f>
        <v>#N/A</v>
      </c>
      <c r="EA385" s="304" t="str">
        <f t="shared" si="617"/>
        <v/>
      </c>
      <c r="EB385" s="313" t="e">
        <f>IF($J385="",#N/A,SUM(EA$4:EA385))</f>
        <v>#N/A</v>
      </c>
      <c r="EC385" s="314" t="str">
        <f t="shared" si="618"/>
        <v/>
      </c>
      <c r="ED385" s="314" t="e">
        <f>IF($J385="",#N/A,SUM(EC$4:EC385))</f>
        <v>#N/A</v>
      </c>
      <c r="EE385" s="315" t="str">
        <f t="shared" si="619"/>
        <v/>
      </c>
      <c r="EF385" s="315" t="e">
        <f>IF($J385="",#N/A,SUM(EE$4:EE385))</f>
        <v>#N/A</v>
      </c>
      <c r="EG385" s="315" t="e">
        <f>IF($J385="",#N/A,SUM(EE$4:EE385,EC$4:EC385,EA$4:EA385))</f>
        <v>#N/A</v>
      </c>
      <c r="EH385" s="130">
        <f t="shared" si="620"/>
        <v>-68.279999999999745</v>
      </c>
      <c r="EI385" s="63">
        <f>IF(EH385="",#N/A,SUM($EH$4:EH385))</f>
        <v>1395.0940485895458</v>
      </c>
      <c r="EJ385" s="223" t="e">
        <f t="shared" si="621"/>
        <v>#N/A</v>
      </c>
      <c r="EK385" s="63" t="e">
        <f>IF($GZ385="",#N/A,SUM(EJ$4:EJ385))</f>
        <v>#N/A</v>
      </c>
      <c r="EL385" s="60">
        <f t="shared" si="651"/>
        <v>-0.70523784735132744</v>
      </c>
      <c r="EM385" s="60">
        <f>IF(EL385="",NA(),SUM($EL$4:EL385))</f>
        <v>26.759290263265683</v>
      </c>
      <c r="EN385" s="60" t="str">
        <f t="shared" si="622"/>
        <v/>
      </c>
      <c r="EO385" s="60" t="e">
        <f>IF(EN385="",NA(),SUM($EN$4:EN385))</f>
        <v>#N/A</v>
      </c>
      <c r="EP385" s="60">
        <f t="shared" si="623"/>
        <v>-0.70523784735132744</v>
      </c>
      <c r="EQ385" s="60">
        <f>IF(EP385="",NA(),SUM($EP$4:EP385))</f>
        <v>12.63855379765322</v>
      </c>
      <c r="ER385" s="60" t="str">
        <f t="shared" si="624"/>
        <v/>
      </c>
      <c r="ES385" s="60" t="e">
        <f>IF(ER385="",NA(),SUM($ER$4:ER385))</f>
        <v>#N/A</v>
      </c>
      <c r="ET385" s="60" t="str">
        <f t="shared" si="625"/>
        <v/>
      </c>
      <c r="EU385" s="60" t="e">
        <f>IF(ET385="",NA(),SUM($ET$4:ET385))</f>
        <v>#N/A</v>
      </c>
      <c r="EV385" s="60" t="str">
        <f t="shared" si="626"/>
        <v/>
      </c>
      <c r="EW385" s="60" t="e">
        <f>IF(EV385="",NA(),SUM($EV$4:EV385))</f>
        <v>#N/A</v>
      </c>
      <c r="EX385" s="60" t="str">
        <f t="shared" si="627"/>
        <v/>
      </c>
      <c r="EY385" s="60" t="e">
        <f>IF(EX385="",NA(),SUM($EX$4:EX385))</f>
        <v>#N/A</v>
      </c>
      <c r="EZ385" s="60" t="str">
        <f t="shared" si="628"/>
        <v/>
      </c>
      <c r="FA385" s="60" t="e">
        <f>IF(EZ385="",NA(),SUM($EZ$4:EZ385))</f>
        <v>#N/A</v>
      </c>
      <c r="FB385" s="246" t="str">
        <f t="shared" si="652"/>
        <v/>
      </c>
      <c r="FC385" s="246" t="e">
        <f>IF($FB385="",#N/A,SUM(FB$4:$FB385))</f>
        <v>#N/A</v>
      </c>
      <c r="FD385" s="60" t="str">
        <f t="shared" si="629"/>
        <v/>
      </c>
      <c r="FE385" s="60" t="e">
        <f>IF($FD385="",#N/A,SUM($FD$4:FD385))</f>
        <v>#N/A</v>
      </c>
      <c r="FF385" s="60" t="str">
        <f t="shared" si="630"/>
        <v/>
      </c>
      <c r="FG385" s="60" t="e">
        <f>IF($FF385="",#N/A,SUM($FF$4:FF385))</f>
        <v>#N/A</v>
      </c>
      <c r="FH385" s="60" t="str">
        <f t="shared" si="631"/>
        <v/>
      </c>
      <c r="FI385" s="60" t="e">
        <f>IF($FH385="",#N/A,SUM($FH$4:FH385))</f>
        <v>#N/A</v>
      </c>
      <c r="FJ385" s="60" t="str">
        <f t="shared" si="632"/>
        <v/>
      </c>
      <c r="FK385" s="60" t="e">
        <f>IF($FJ385="",#N/A,SUM($FJ$4:FJ385))</f>
        <v>#N/A</v>
      </c>
      <c r="FL385" s="60">
        <f t="shared" si="633"/>
        <v>-0.21070375052676027</v>
      </c>
      <c r="FM385" s="60">
        <f>IF($FL385="",#N/A,SUM($FL$4:FL385))</f>
        <v>-7.2709677579476439</v>
      </c>
      <c r="FN385" s="82">
        <f t="shared" si="634"/>
        <v>-0.91594159787808771</v>
      </c>
      <c r="FO385" s="82">
        <f>IF($FN385="",#N/A,SUM(FN$4:$FN385))</f>
        <v>41.027022139608349</v>
      </c>
      <c r="FP385" s="82">
        <f t="shared" si="653"/>
        <v>-0.70523784735132744</v>
      </c>
      <c r="FQ385" s="246">
        <f>IF($EH385="",#N/A,SUM($FP$4:FP385))</f>
        <v>55.140454117972304</v>
      </c>
      <c r="FR385" s="82">
        <f>IFERROR(FQ385/COUNTA($J$4:J385),#N/A)</f>
        <v>0.14434673852872332</v>
      </c>
      <c r="FS385" s="82">
        <f t="shared" si="661"/>
        <v>0.11036842865683567</v>
      </c>
      <c r="FT385" s="82">
        <f t="shared" si="662"/>
        <v>7.2858356194915638E-2</v>
      </c>
      <c r="FU385" s="338">
        <f t="shared" si="660"/>
        <v>28.656933074812564</v>
      </c>
      <c r="FV385" s="57" t="str">
        <f t="shared" si="659"/>
        <v>SW</v>
      </c>
      <c r="FW385" s="57" t="s">
        <v>2732</v>
      </c>
      <c r="FX385" s="57" t="str">
        <f t="shared" si="635"/>
        <v/>
      </c>
      <c r="FY385" s="57" t="str">
        <f t="shared" si="636"/>
        <v/>
      </c>
      <c r="FZ385" s="57" t="str">
        <f t="shared" si="637"/>
        <v/>
      </c>
      <c r="GA385" s="57" t="str">
        <f t="shared" si="638"/>
        <v>Long</v>
      </c>
      <c r="GB385" s="57" t="str">
        <f t="shared" si="639"/>
        <v/>
      </c>
      <c r="GC385" s="57" t="str">
        <f t="shared" si="640"/>
        <v/>
      </c>
      <c r="GD385" s="57">
        <f t="shared" si="641"/>
        <v>1</v>
      </c>
      <c r="GE385" s="62">
        <f t="shared" si="664"/>
        <v>134.47</v>
      </c>
      <c r="GF385" s="62" t="s">
        <v>2779</v>
      </c>
      <c r="GG385" s="199">
        <v>12</v>
      </c>
      <c r="GH385" s="207">
        <f t="shared" si="642"/>
        <v>1613.6399999999999</v>
      </c>
      <c r="GI385" s="199">
        <v>12</v>
      </c>
      <c r="GJ385" s="200">
        <v>128.52000000000001</v>
      </c>
      <c r="GK385" s="63">
        <f t="shared" si="643"/>
        <v>-71.399999999999636</v>
      </c>
      <c r="GL385" s="63">
        <f t="shared" si="665"/>
        <v>-88.679999999999836</v>
      </c>
      <c r="GM385" s="82">
        <f t="shared" si="644"/>
        <v>-0.91594159787808771</v>
      </c>
      <c r="GN385" s="82">
        <f>IF($GZ385="",#N/A,SUM(GM$4:GM385))</f>
        <v>9.3294262766559921</v>
      </c>
      <c r="GO385" s="82" t="str">
        <f t="shared" si="645"/>
        <v/>
      </c>
      <c r="GP385" s="82">
        <f>IF($GZ385="",#N/A,SUM(GO$4:GO385))</f>
        <v>5.3536851561453664</v>
      </c>
      <c r="GQ385" s="82" t="str">
        <f t="shared" si="646"/>
        <v/>
      </c>
      <c r="GR385" s="82">
        <f>IF($GZ385="",#N/A,SUM(GQ$4:GQ385))</f>
        <v>25.718073752364656</v>
      </c>
      <c r="GS385" s="63" t="e">
        <f t="shared" si="654"/>
        <v>#N/A</v>
      </c>
      <c r="GT385" s="63" t="e">
        <f>IF($GZ385="",#N/A,SUM(GS$4:GS385))</f>
        <v>#N/A</v>
      </c>
      <c r="GU385" s="63" t="str">
        <f t="shared" si="655"/>
        <v/>
      </c>
      <c r="GV385" s="63" t="e">
        <f>IF($GZ385="",#N/A,SUM(GU$4:GU385))</f>
        <v>#N/A</v>
      </c>
      <c r="GW385" s="63" t="str">
        <f t="shared" si="656"/>
        <v/>
      </c>
      <c r="GX385" s="63" t="e">
        <f>IF($GZ385="",#N/A,SUM(GW$4:GW385))</f>
        <v>#N/A</v>
      </c>
      <c r="GY385" s="63" t="e">
        <f>IF(EJ385="",#N/A,SUM($EJ$4:EJ385))</f>
        <v>#N/A</v>
      </c>
      <c r="GZ385" s="159">
        <v>127.08</v>
      </c>
      <c r="HA385" s="63">
        <f t="shared" si="647"/>
        <v>-20.400000000000091</v>
      </c>
      <c r="HB385" s="62" t="s">
        <v>2538</v>
      </c>
      <c r="HC385" s="60">
        <f>IFERROR(VLOOKUP(E385,Expectancy!$P$4:$S$19,1+C385,FALSE),"")</f>
        <v>-0.15084750675779673</v>
      </c>
      <c r="HD385" s="82">
        <f t="shared" si="648"/>
        <v>-0.73746312684365423</v>
      </c>
      <c r="HE385" s="138">
        <f>IF(HD385="",#N/A,SUM($HD$4:HD385))</f>
        <v>11.953521043159741</v>
      </c>
      <c r="HF385" s="85">
        <f>IF(HD385="",#N/A,IF(HB385="Skip",#N/A,SUM($HG$4:HG385)))</f>
        <v>473.61157921915628</v>
      </c>
      <c r="HG385" s="63">
        <f t="shared" si="649"/>
        <v>-71.399999999999636</v>
      </c>
      <c r="HH385" s="82">
        <f t="shared" si="650"/>
        <v>-0.91594159787808771</v>
      </c>
    </row>
    <row r="386" spans="1:216" x14ac:dyDescent="0.25">
      <c r="A386" s="57" t="s">
        <v>1481</v>
      </c>
      <c r="B386" s="58" t="str" cm="1">
        <f t="array" ref="B386">IFERROR(_xlfn.XLOOKUP(A386,Earnings!$B$2:$B$9985,LEFT(Earnings!$C$2:$C$9985,37)),"Can't Find Date***")</f>
        <v>on 2/26/25, 4:05 PM After Market East</v>
      </c>
      <c r="C386" s="386">
        <f t="shared" si="561"/>
        <v>1</v>
      </c>
      <c r="D386" s="372" t="str">
        <f>_xlfn.XLOOKUP(A386,[1]SP500!$A$2:$A$502,[1]SP500!$D$2:$D$502,"N")</f>
        <v>Y</v>
      </c>
      <c r="E386" s="57" t="str">
        <f>_xlfn.XLOOKUP(A386,[1]SP500!$A$2:$A$655,[1]SP500!$B$2:$B$655)</f>
        <v>XLY</v>
      </c>
      <c r="F386" s="59">
        <v>45714</v>
      </c>
      <c r="G386" s="57" t="str">
        <f t="shared" si="562"/>
        <v>AMC</v>
      </c>
      <c r="H386" s="57" t="str">
        <f t="shared" si="563"/>
        <v>s</v>
      </c>
      <c r="I386" s="159">
        <v>69.14</v>
      </c>
      <c r="J386" s="159">
        <v>64.290000000000006</v>
      </c>
      <c r="K386" s="61">
        <f t="shared" si="564"/>
        <v>-7.0147526757303943E-2</v>
      </c>
      <c r="L386" s="87">
        <f t="shared" si="565"/>
        <v>-111.54999999999995</v>
      </c>
      <c r="M386" s="130">
        <f t="shared" si="663"/>
        <v>3.4499999999998181</v>
      </c>
      <c r="N386" s="169">
        <f t="shared" si="566"/>
        <v>-111.54999999999995</v>
      </c>
      <c r="O386" s="169">
        <f>IF($J386="",#N/A,SUM($N$4:N386))</f>
        <v>-295.65328064577557</v>
      </c>
      <c r="P386" s="174" t="str">
        <f t="shared" si="567"/>
        <v/>
      </c>
      <c r="Q386" s="174">
        <f>IF($J386="",#N/A,SUM($P$4:P386))</f>
        <v>116.53499224504333</v>
      </c>
      <c r="R386" s="178" t="str">
        <f t="shared" si="568"/>
        <v/>
      </c>
      <c r="S386" s="178">
        <f>IF($J386="",#N/A,SUM($R$4:R386))</f>
        <v>1462.6623369902779</v>
      </c>
      <c r="T386" s="290">
        <f t="shared" si="569"/>
        <v>-1.1691254459550664</v>
      </c>
      <c r="U386" s="290">
        <f>IF($J386="",#N/A,SUM($T$4:T386))</f>
        <v>10.514761942459062</v>
      </c>
      <c r="V386" s="291" t="str">
        <f t="shared" si="570"/>
        <v/>
      </c>
      <c r="W386" s="291">
        <f>IF($J386="",#N/A,SUM($V$4:V386))</f>
        <v>20.71676331069586</v>
      </c>
      <c r="X386" s="292" t="str">
        <f t="shared" si="571"/>
        <v/>
      </c>
      <c r="Y386" s="292">
        <f>IF($J386="",#N/A,SUM($X$4:X386))</f>
        <v>22.739803418862351</v>
      </c>
      <c r="Z386" s="304" t="str">
        <f t="shared" si="572"/>
        <v/>
      </c>
      <c r="AA386" s="313" t="e">
        <f>IF($J386="",#N/A,SUM(Z$4:Z386))</f>
        <v>#N/A</v>
      </c>
      <c r="AB386" s="314" t="str">
        <f t="shared" si="573"/>
        <v/>
      </c>
      <c r="AC386" s="314" t="e">
        <f>IF($J386="",#N/A,SUM(AB$4:AB386))</f>
        <v>#N/A</v>
      </c>
      <c r="AD386" s="315" t="str">
        <f t="shared" si="574"/>
        <v/>
      </c>
      <c r="AE386" s="315" t="e">
        <f>IF($J386="",#N/A,SUM(AD$4:AD386))</f>
        <v>#N/A</v>
      </c>
      <c r="AF386" s="315" t="e">
        <f>IF($J386="",#N/A,SUM(AD$4:AD386,AB$4:AB386,Z$4:Z386))</f>
        <v>#N/A</v>
      </c>
      <c r="AG386" s="304" t="str">
        <f t="shared" si="575"/>
        <v/>
      </c>
      <c r="AH386" s="313" t="e">
        <f>IF($J386="",#N/A,SUM(AG$4:AG386))</f>
        <v>#N/A</v>
      </c>
      <c r="AI386" s="314" t="str">
        <f t="shared" si="576"/>
        <v/>
      </c>
      <c r="AJ386" s="314" t="e">
        <f>IF($J386="",#N/A,SUM(AI$4:AI386))</f>
        <v>#N/A</v>
      </c>
      <c r="AK386" s="315" t="str">
        <f t="shared" si="577"/>
        <v/>
      </c>
      <c r="AL386" s="315" t="e">
        <f>IF($J386="",#N/A,SUM(AK$4:AK386))</f>
        <v>#N/A</v>
      </c>
      <c r="AM386" s="315" t="e">
        <f>IF($J386="",#N/A,SUM(AK$4:AK386,AI$4:AI386,AG$4:AG386))</f>
        <v>#N/A</v>
      </c>
      <c r="AN386" s="304">
        <f t="shared" si="578"/>
        <v>-1.1691254459550664</v>
      </c>
      <c r="AO386" s="313" t="e">
        <f>IF($J386="",#N/A,SUM(AN$4:AN386))</f>
        <v>#N/A</v>
      </c>
      <c r="AP386" s="314" t="str">
        <f t="shared" si="579"/>
        <v/>
      </c>
      <c r="AQ386" s="314" t="e">
        <f>IF($J386="",#N/A,SUM(AP$4:AP386))</f>
        <v>#N/A</v>
      </c>
      <c r="AR386" s="315" t="str">
        <f t="shared" si="580"/>
        <v/>
      </c>
      <c r="AS386" s="315" t="e">
        <f>IF($J386="",#N/A,SUM(AR$4:AR386))</f>
        <v>#N/A</v>
      </c>
      <c r="AT386" s="315" t="e">
        <f>IF($J386="",#N/A,SUM(AR$4:AR386,AP$4:AP386,AN$4:AN386))</f>
        <v>#N/A</v>
      </c>
      <c r="AU386" s="304" t="str">
        <f t="shared" si="581"/>
        <v/>
      </c>
      <c r="AV386" s="313" t="e">
        <f>IF($J386="",#N/A,SUM(AU$4:AU386))</f>
        <v>#N/A</v>
      </c>
      <c r="AW386" s="314" t="str">
        <f t="shared" si="582"/>
        <v/>
      </c>
      <c r="AX386" s="314" t="e">
        <f>IF($J386="",#N/A,SUM(AW$4:AW386))</f>
        <v>#N/A</v>
      </c>
      <c r="AY386" s="315" t="str">
        <f t="shared" si="583"/>
        <v/>
      </c>
      <c r="AZ386" s="315" t="e">
        <f>IF($J386="",#N/A,SUM(AY$4:AY386))</f>
        <v>#N/A</v>
      </c>
      <c r="BA386" s="315" t="e">
        <f>IF($J386="",#N/A,SUM(AY$4:AY386,AW$4:AW386,AU$4:AU386))</f>
        <v>#N/A</v>
      </c>
      <c r="BB386" s="304" t="str">
        <f t="shared" si="584"/>
        <v/>
      </c>
      <c r="BC386" s="313" t="e">
        <f>IF($J386="",#N/A,SUM(BB$4:BB386))</f>
        <v>#N/A</v>
      </c>
      <c r="BD386" s="314" t="str">
        <f t="shared" si="585"/>
        <v/>
      </c>
      <c r="BE386" s="314" t="e">
        <f>IF($J386="",#N/A,SUM(BD$4:BD386))</f>
        <v>#N/A</v>
      </c>
      <c r="BF386" s="315" t="str">
        <f t="shared" si="586"/>
        <v/>
      </c>
      <c r="BG386" s="315" t="e">
        <f>IF($J386="",#N/A,SUM(BF$4:BF386))</f>
        <v>#N/A</v>
      </c>
      <c r="BH386" s="315" t="e">
        <f>IF($J386="",#N/A,SUM(BF$4:BF386,BD$4:BD386,BB$4:BB386))</f>
        <v>#N/A</v>
      </c>
      <c r="BI386" s="304" t="str">
        <f t="shared" si="587"/>
        <v/>
      </c>
      <c r="BJ386" s="313" t="e">
        <f>IF($J386="",#N/A,SUM(BI$4:BI386))</f>
        <v>#N/A</v>
      </c>
      <c r="BK386" s="314" t="str">
        <f t="shared" si="588"/>
        <v/>
      </c>
      <c r="BL386" s="314" t="e">
        <f>IF($J386="",#N/A,SUM(BK$4:BK386))</f>
        <v>#N/A</v>
      </c>
      <c r="BM386" s="315" t="str">
        <f t="shared" si="589"/>
        <v/>
      </c>
      <c r="BN386" s="315" t="e">
        <f>IF($J386="",#N/A,SUM(BM$4:BM386))</f>
        <v>#N/A</v>
      </c>
      <c r="BO386" s="315" t="e">
        <f>IF($J386="",#N/A,SUM(BM$4:BM386,BK$4:BK386,BI$4:BI386))</f>
        <v>#N/A</v>
      </c>
      <c r="BP386" s="304" t="str">
        <f t="shared" si="590"/>
        <v/>
      </c>
      <c r="BQ386" s="313" t="e">
        <f>IF($J386="",#N/A,SUM(BP$4:BP386))</f>
        <v>#N/A</v>
      </c>
      <c r="BR386" s="314" t="str">
        <f t="shared" si="591"/>
        <v/>
      </c>
      <c r="BS386" s="314" t="e">
        <f>IF($J386="",#N/A,SUM(BR$4:BR386))</f>
        <v>#N/A</v>
      </c>
      <c r="BT386" s="315" t="str">
        <f t="shared" si="592"/>
        <v/>
      </c>
      <c r="BU386" s="315" t="e">
        <f>IF($J386="",#N/A,SUM(BT$4:BT386))</f>
        <v>#N/A</v>
      </c>
      <c r="BV386" s="315" t="e">
        <f>IF($J386="",#N/A,SUM(BT$4:BT386,BR$4:BR386,BP$4:BP386))</f>
        <v>#N/A</v>
      </c>
      <c r="BW386" s="304" t="str">
        <f t="shared" si="593"/>
        <v/>
      </c>
      <c r="BX386" s="313" t="e">
        <f>IF($J386="",#N/A,SUM(BW$4:BW386))</f>
        <v>#N/A</v>
      </c>
      <c r="BY386" s="314" t="str">
        <f t="shared" si="594"/>
        <v/>
      </c>
      <c r="BZ386" s="314" t="e">
        <f>IF($J386="",#N/A,SUM(BY$4:BY386))</f>
        <v>#N/A</v>
      </c>
      <c r="CA386" s="315" t="str">
        <f t="shared" si="595"/>
        <v/>
      </c>
      <c r="CB386" s="315" t="e">
        <f>IF($J386="",#N/A,SUM(CA$4:CA386))</f>
        <v>#N/A</v>
      </c>
      <c r="CC386" s="315" t="e">
        <f>IF($J386="",#N/A,SUM(CA$4:CA386,BY$4:BY386,BW$4:BW386))</f>
        <v>#N/A</v>
      </c>
      <c r="CD386" s="304" t="str">
        <f t="shared" si="596"/>
        <v/>
      </c>
      <c r="CE386" s="313" t="e">
        <f>IF($J386="",#N/A,SUM(CD$4:CD386))</f>
        <v>#N/A</v>
      </c>
      <c r="CF386" s="314" t="str">
        <f t="shared" si="597"/>
        <v/>
      </c>
      <c r="CG386" s="314" t="e">
        <f>IF($J386="",#N/A,SUM(CF$4:CF386))</f>
        <v>#N/A</v>
      </c>
      <c r="CH386" s="315" t="str">
        <f t="shared" si="598"/>
        <v/>
      </c>
      <c r="CI386" s="315" t="e">
        <f>IF($J386="",#N/A,SUM(CH$4:CH386))</f>
        <v>#N/A</v>
      </c>
      <c r="CJ386" s="315" t="e">
        <f>IF($J386="",#N/A,SUM(CH$4:CH386,CF$4:CF386,CD$4:CD386))</f>
        <v>#N/A</v>
      </c>
      <c r="CK386" s="304" t="str">
        <f t="shared" si="599"/>
        <v/>
      </c>
      <c r="CL386" s="313" t="e">
        <f>IF($J386="",#N/A,SUM(CK$4:CK386))</f>
        <v>#N/A</v>
      </c>
      <c r="CM386" s="314" t="str">
        <f t="shared" si="600"/>
        <v/>
      </c>
      <c r="CN386" s="314" t="e">
        <f>IF($J386="",#N/A,SUM(CM$4:CM386))</f>
        <v>#N/A</v>
      </c>
      <c r="CO386" s="315" t="str">
        <f t="shared" si="601"/>
        <v/>
      </c>
      <c r="CP386" s="315" t="e">
        <f>IF($J386="",#N/A,SUM(CO$4:CO386))</f>
        <v>#N/A</v>
      </c>
      <c r="CQ386" s="315" t="e">
        <f>IF($J386="",#N/A,SUM(CO$4:CO386,CM$4:CM386,CK$4:CK386))</f>
        <v>#N/A</v>
      </c>
      <c r="CR386" s="304" t="str">
        <f t="shared" si="602"/>
        <v/>
      </c>
      <c r="CS386" s="313" t="e">
        <f>IF($J386="",#N/A,SUM(CR$4:CR386))</f>
        <v>#N/A</v>
      </c>
      <c r="CT386" s="314" t="str">
        <f t="shared" si="603"/>
        <v/>
      </c>
      <c r="CU386" s="314" t="e">
        <f>IF($J386="",#N/A,SUM(CT$4:CT386))</f>
        <v>#N/A</v>
      </c>
      <c r="CV386" s="315" t="str">
        <f t="shared" si="604"/>
        <v/>
      </c>
      <c r="CW386" s="315" t="e">
        <f>IF($J386="",#N/A,SUM(CV$4:CV386))</f>
        <v>#N/A</v>
      </c>
      <c r="CX386" s="315" t="e">
        <f>IF($J386="",#N/A,SUM(CV$4:CV386,CT$4:CT386,CR$4:CR386))</f>
        <v>#N/A</v>
      </c>
      <c r="CY386" s="304" t="str">
        <f t="shared" si="605"/>
        <v/>
      </c>
      <c r="CZ386" s="313" t="e">
        <f>IF($J386="",#N/A,SUM(CY$4:CY386))</f>
        <v>#N/A</v>
      </c>
      <c r="DA386" s="314" t="str">
        <f t="shared" si="606"/>
        <v/>
      </c>
      <c r="DB386" s="314" t="e">
        <f>IF($J386="",#N/A,SUM(DA$4:DA386))</f>
        <v>#N/A</v>
      </c>
      <c r="DC386" s="315" t="str">
        <f t="shared" si="607"/>
        <v/>
      </c>
      <c r="DD386" s="315" t="e">
        <f>IF($J386="",#N/A,SUM(DC$4:DC386))</f>
        <v>#N/A</v>
      </c>
      <c r="DE386" s="315" t="e">
        <f>IF($J386="",#N/A,SUM(DC$4:DC386,DA$4:DA386,CY$4:CY386))</f>
        <v>#N/A</v>
      </c>
      <c r="DF386" s="304" t="str">
        <f t="shared" si="608"/>
        <v/>
      </c>
      <c r="DG386" s="313" t="e">
        <f>IF($J386="",#N/A,SUM(DF$4:DF386))</f>
        <v>#N/A</v>
      </c>
      <c r="DH386" s="314" t="str">
        <f t="shared" si="609"/>
        <v/>
      </c>
      <c r="DI386" s="314" t="e">
        <f>IF($J386="",#N/A,SUM(DH$4:DH386))</f>
        <v>#N/A</v>
      </c>
      <c r="DJ386" s="315" t="str">
        <f t="shared" si="610"/>
        <v/>
      </c>
      <c r="DK386" s="315" t="e">
        <f>IF($J386="",#N/A,SUM(DJ$4:DJ386))</f>
        <v>#N/A</v>
      </c>
      <c r="DL386" s="315" t="e">
        <f>IF($J386="",#N/A,SUM(DJ$4:DJ386,DH$4:DH386,DF$4:DF386))</f>
        <v>#N/A</v>
      </c>
      <c r="DM386" s="304" t="str">
        <f t="shared" si="611"/>
        <v/>
      </c>
      <c r="DN386" s="313" t="e">
        <f>IF($J386="",#N/A,SUM(DM$4:DM386))</f>
        <v>#N/A</v>
      </c>
      <c r="DO386" s="314" t="str">
        <f t="shared" si="612"/>
        <v/>
      </c>
      <c r="DP386" s="314" t="e">
        <f>IF($J386="",#N/A,SUM(DO$4:DO386))</f>
        <v>#N/A</v>
      </c>
      <c r="DQ386" s="315" t="str">
        <f t="shared" si="613"/>
        <v/>
      </c>
      <c r="DR386" s="315" t="e">
        <f>IF($J386="",#N/A,SUM(DQ$4:DQ386))</f>
        <v>#N/A</v>
      </c>
      <c r="DS386" s="315" t="e">
        <f>IF($J386="",#N/A,SUM(DQ$4:DQ386,DO$4:DO386,DM$4:DM386))</f>
        <v>#N/A</v>
      </c>
      <c r="DT386" s="304" t="str">
        <f t="shared" si="614"/>
        <v/>
      </c>
      <c r="DU386" s="313" t="e">
        <f>IF($J386="",#N/A,SUM(DT$4:DT386))</f>
        <v>#N/A</v>
      </c>
      <c r="DV386" s="314" t="str">
        <f t="shared" si="615"/>
        <v/>
      </c>
      <c r="DW386" s="314" t="e">
        <f>IF($J386="",#N/A,SUM(DV$4:DV386))</f>
        <v>#N/A</v>
      </c>
      <c r="DX386" s="315" t="str">
        <f t="shared" si="616"/>
        <v/>
      </c>
      <c r="DY386" s="315" t="e">
        <f>IF($J386="",#N/A,SUM(DX$4:DX386))</f>
        <v>#N/A</v>
      </c>
      <c r="DZ386" s="315" t="e">
        <f>IF($J386="",#N/A,SUM(DX$4:DX386,DV$4:DV386,DT$4:DT386))</f>
        <v>#N/A</v>
      </c>
      <c r="EA386" s="304" t="str">
        <f t="shared" si="617"/>
        <v/>
      </c>
      <c r="EB386" s="313" t="e">
        <f>IF($J386="",#N/A,SUM(EA$4:EA386))</f>
        <v>#N/A</v>
      </c>
      <c r="EC386" s="314" t="str">
        <f t="shared" si="618"/>
        <v/>
      </c>
      <c r="ED386" s="314" t="e">
        <f>IF($J386="",#N/A,SUM(EC$4:EC386))</f>
        <v>#N/A</v>
      </c>
      <c r="EE386" s="315" t="str">
        <f t="shared" si="619"/>
        <v/>
      </c>
      <c r="EF386" s="315" t="e">
        <f>IF($J386="",#N/A,SUM(EE$4:EE386))</f>
        <v>#N/A</v>
      </c>
      <c r="EG386" s="315" t="e">
        <f>IF($J386="",#N/A,SUM(EE$4:EE386,EC$4:EC386,EA$4:EA386))</f>
        <v>#N/A</v>
      </c>
      <c r="EH386" s="130">
        <f t="shared" si="620"/>
        <v>-111.54999999999995</v>
      </c>
      <c r="EI386" s="63">
        <f>IF(EH386="",#N/A,SUM($EH$4:EH386))</f>
        <v>1283.5440485895458</v>
      </c>
      <c r="EJ386" s="223" t="e">
        <f t="shared" si="621"/>
        <v>#N/A</v>
      </c>
      <c r="EK386" s="63" t="e">
        <f>IF($GZ386="",#N/A,SUM(EJ$4:EJ386))</f>
        <v>#N/A</v>
      </c>
      <c r="EL386" s="60">
        <f t="shared" si="651"/>
        <v>-1.1691254459550664</v>
      </c>
      <c r="EM386" s="60">
        <f>IF(EL386="",NA(),SUM($EL$4:EL386))</f>
        <v>25.590164817310615</v>
      </c>
      <c r="EN386" s="60">
        <f t="shared" si="622"/>
        <v>-1.1691254459550664</v>
      </c>
      <c r="EO386" s="60">
        <f>IF(EN386="",NA(),SUM($EN$4:EN386))</f>
        <v>5.0146596932430327</v>
      </c>
      <c r="EP386" s="60" t="str">
        <f t="shared" si="623"/>
        <v/>
      </c>
      <c r="EQ386" s="60" t="e">
        <f>IF(EP386="",NA(),SUM($EP$4:EP386))</f>
        <v>#N/A</v>
      </c>
      <c r="ER386" s="60" t="str">
        <f t="shared" si="624"/>
        <v/>
      </c>
      <c r="ES386" s="60" t="e">
        <f>IF(ER386="",NA(),SUM($ER$4:ER386))</f>
        <v>#N/A</v>
      </c>
      <c r="ET386" s="60" t="str">
        <f t="shared" si="625"/>
        <v/>
      </c>
      <c r="EU386" s="60" t="e">
        <f>IF(ET386="",NA(),SUM($ET$4:ET386))</f>
        <v>#N/A</v>
      </c>
      <c r="EV386" s="60" t="str">
        <f t="shared" si="626"/>
        <v/>
      </c>
      <c r="EW386" s="60" t="e">
        <f>IF(EV386="",NA(),SUM($EV$4:EV386))</f>
        <v>#N/A</v>
      </c>
      <c r="EX386" s="60" t="str">
        <f t="shared" si="627"/>
        <v/>
      </c>
      <c r="EY386" s="60" t="e">
        <f>IF(EX386="",NA(),SUM($EX$4:EX386))</f>
        <v>#N/A</v>
      </c>
      <c r="EZ386" s="60" t="str">
        <f t="shared" si="628"/>
        <v/>
      </c>
      <c r="FA386" s="60" t="e">
        <f>IF(EZ386="",NA(),SUM($EZ$4:EZ386))</f>
        <v>#N/A</v>
      </c>
      <c r="FB386" s="246" t="str">
        <f t="shared" si="652"/>
        <v/>
      </c>
      <c r="FC386" s="246" t="e">
        <f>IF($FB386="",#N/A,SUM(FB$4:$FB386))</f>
        <v>#N/A</v>
      </c>
      <c r="FD386" s="60" t="str">
        <f t="shared" si="629"/>
        <v/>
      </c>
      <c r="FE386" s="60" t="e">
        <f>IF($FD386="",#N/A,SUM($FD$4:FD386))</f>
        <v>#N/A</v>
      </c>
      <c r="FF386" s="60" t="str">
        <f t="shared" si="630"/>
        <v/>
      </c>
      <c r="FG386" s="60" t="e">
        <f>IF($FF386="",#N/A,SUM($FF$4:FF386))</f>
        <v>#N/A</v>
      </c>
      <c r="FH386" s="60">
        <f t="shared" si="631"/>
        <v>-0.19525600231414653</v>
      </c>
      <c r="FI386" s="60">
        <f>IF($FH386="",#N/A,SUM($FH$4:FH386))</f>
        <v>0.88305764557078348</v>
      </c>
      <c r="FJ386" s="60" t="str">
        <f t="shared" si="632"/>
        <v/>
      </c>
      <c r="FK386" s="60" t="e">
        <f>IF($FJ386="",#N/A,SUM($FJ$4:FJ386))</f>
        <v>#N/A</v>
      </c>
      <c r="FL386" s="60" t="str">
        <f t="shared" si="633"/>
        <v/>
      </c>
      <c r="FM386" s="60" t="e">
        <f>IF($FL386="",#N/A,SUM($FL$4:FL386))</f>
        <v>#N/A</v>
      </c>
      <c r="FN386" s="82">
        <f t="shared" si="634"/>
        <v>-1.3643814482692129</v>
      </c>
      <c r="FO386" s="82">
        <f>IF($FN386="",#N/A,SUM(FN$4:$FN386))</f>
        <v>39.662640691339135</v>
      </c>
      <c r="FP386" s="82">
        <f t="shared" si="653"/>
        <v>-1.1691254459550664</v>
      </c>
      <c r="FQ386" s="246">
        <f>IF($EH386="",#N/A,SUM($FP$4:FP386))</f>
        <v>53.971328672017236</v>
      </c>
      <c r="FR386" s="82">
        <f>IFERROR(FQ386/COUNTA($J$4:J386),#N/A)</f>
        <v>0.14091730723764292</v>
      </c>
      <c r="FS386" s="82">
        <f t="shared" si="661"/>
        <v>7.5043303454365287E-2</v>
      </c>
      <c r="FT386" s="82">
        <f t="shared" si="662"/>
        <v>-7.3580625313524592E-2</v>
      </c>
      <c r="FU386" s="338">
        <f t="shared" si="660"/>
        <v>28.620774555865495</v>
      </c>
      <c r="FV386" s="57" t="str">
        <f t="shared" ref="FV386:FV417" si="666">IF(FW386="Down","Dwn",IF(FW386="Up","Up",IF(AND(FW386="",K386=""),"",IF(AND(K386&lt;0,FW386="Yes"),"Dwn",IF(AND(K386&gt;0,FW386="Yes"),"Up",IF(AND(K386&lt;0,FW386="No"),"Up",IF(AND(K386&gt;0,FW386="No"),"Dwn",IF(FW386="NA","SW","err"))))))))</f>
        <v>Up</v>
      </c>
      <c r="FW386" s="57" t="s">
        <v>2734</v>
      </c>
      <c r="FX386" s="57" t="str">
        <f t="shared" si="635"/>
        <v/>
      </c>
      <c r="FY386" s="57" t="str">
        <f t="shared" si="636"/>
        <v/>
      </c>
      <c r="FZ386" s="57" t="str">
        <f t="shared" si="637"/>
        <v/>
      </c>
      <c r="GA386" s="57" t="str">
        <f t="shared" si="638"/>
        <v>Long</v>
      </c>
      <c r="GB386" s="57" t="str">
        <f t="shared" si="639"/>
        <v/>
      </c>
      <c r="GC386" s="57">
        <f t="shared" si="640"/>
        <v>1</v>
      </c>
      <c r="GD386" s="57" t="str">
        <f t="shared" si="641"/>
        <v/>
      </c>
      <c r="GE386" s="62">
        <f t="shared" si="664"/>
        <v>69.14</v>
      </c>
      <c r="GF386" s="62" t="s">
        <v>2779</v>
      </c>
      <c r="GG386" s="199">
        <v>23</v>
      </c>
      <c r="GH386" s="207">
        <f t="shared" si="642"/>
        <v>1590.22</v>
      </c>
      <c r="GI386" s="199">
        <v>23</v>
      </c>
      <c r="GJ386" s="200">
        <v>64.44</v>
      </c>
      <c r="GK386" s="63">
        <f t="shared" si="643"/>
        <v>-108.10000000000014</v>
      </c>
      <c r="GL386" s="63">
        <f t="shared" si="665"/>
        <v>-130.18000000000006</v>
      </c>
      <c r="GM386" s="82" t="str">
        <f t="shared" si="644"/>
        <v/>
      </c>
      <c r="GN386" s="82">
        <f>IF($GZ386="",#N/A,SUM(GM$4:GM386))</f>
        <v>9.3294262766559921</v>
      </c>
      <c r="GO386" s="82">
        <f t="shared" si="645"/>
        <v>-1.3643814482692129</v>
      </c>
      <c r="GP386" s="82">
        <f>IF($GZ386="",#N/A,SUM(GO$4:GO386))</f>
        <v>3.9893037078761537</v>
      </c>
      <c r="GQ386" s="82" t="str">
        <f t="shared" si="646"/>
        <v/>
      </c>
      <c r="GR386" s="82">
        <f>IF($GZ386="",#N/A,SUM(GQ$4:GQ386))</f>
        <v>25.718073752364656</v>
      </c>
      <c r="GS386" s="63" t="str">
        <f t="shared" si="654"/>
        <v/>
      </c>
      <c r="GT386" s="63" t="e">
        <f>IF($GZ386="",#N/A,SUM(GS$4:GS386))</f>
        <v>#N/A</v>
      </c>
      <c r="GU386" s="63" t="e">
        <f t="shared" si="655"/>
        <v>#N/A</v>
      </c>
      <c r="GV386" s="63" t="e">
        <f>IF($GZ386="",#N/A,SUM(GU$4:GU386))</f>
        <v>#N/A</v>
      </c>
      <c r="GW386" s="63" t="str">
        <f t="shared" si="656"/>
        <v/>
      </c>
      <c r="GX386" s="63" t="e">
        <f>IF($GZ386="",#N/A,SUM(GW$4:GW386))</f>
        <v>#N/A</v>
      </c>
      <c r="GY386" s="63" t="e">
        <f>IF(EJ386="",#N/A,SUM($EJ$4:EJ386))</f>
        <v>#N/A</v>
      </c>
      <c r="GZ386" s="159">
        <v>63.48</v>
      </c>
      <c r="HA386" s="63">
        <f t="shared" si="647"/>
        <v>-18.630000000000109</v>
      </c>
      <c r="HB386" s="62" t="s">
        <v>2538</v>
      </c>
      <c r="HC386" s="60">
        <f>IFERROR(VLOOKUP(E386,Expectancy!$P$4:$S$19,1+C386,FALSE),"")</f>
        <v>9.4642213510490861E-2</v>
      </c>
      <c r="HD386" s="82">
        <f t="shared" si="648"/>
        <v>-1.1329669270080045</v>
      </c>
      <c r="HE386" s="138">
        <f>IF(HD386="",#N/A,SUM($HD$4:HD386))</f>
        <v>10.820554116151737</v>
      </c>
      <c r="HF386" s="85">
        <f>IF(HD386="",#N/A,IF(HB386="Skip",#N/A,SUM($HG$4:HG386)))</f>
        <v>365.51157921915615</v>
      </c>
      <c r="HG386" s="63">
        <f t="shared" si="649"/>
        <v>-108.10000000000014</v>
      </c>
      <c r="HH386" s="82">
        <f t="shared" si="650"/>
        <v>-1.3643814482692129</v>
      </c>
    </row>
    <row r="387" spans="1:216" x14ac:dyDescent="0.25">
      <c r="A387" s="57" t="s">
        <v>1580</v>
      </c>
      <c r="B387" s="58" t="str" cm="1">
        <f t="array" ref="B387">IFERROR(_xlfn.XLOOKUP(A387,Earnings!$B$2:$B$9985,LEFT(Earnings!$C$2:$C$9985,37)),"Can't Find Date***")</f>
        <v>on 2/26/25, 4:16 PM After Market East</v>
      </c>
      <c r="C387" s="386">
        <f t="shared" si="561"/>
        <v>2</v>
      </c>
      <c r="D387" s="372" t="str">
        <f>_xlfn.XLOOKUP(A387,[1]SP500!$A$2:$A$502,[1]SP500!$D$2:$D$502,"N")</f>
        <v>Y</v>
      </c>
      <c r="E387" s="57" t="str">
        <f>_xlfn.XLOOKUP(A387,[1]SP500!$A$2:$A$655,[1]SP500!$B$2:$B$655)</f>
        <v>XLV</v>
      </c>
      <c r="F387" s="59">
        <v>45714</v>
      </c>
      <c r="G387" s="57" t="str">
        <f t="shared" si="562"/>
        <v>AMC</v>
      </c>
      <c r="H387" s="57" t="str">
        <f t="shared" si="563"/>
        <v>s</v>
      </c>
      <c r="I387" s="159">
        <v>180.12</v>
      </c>
      <c r="J387" s="159">
        <v>190.09</v>
      </c>
      <c r="K387" s="61">
        <f t="shared" si="564"/>
        <v>5.5351987563846315E-2</v>
      </c>
      <c r="L387" s="87">
        <f t="shared" si="565"/>
        <v>-89.730000000000018</v>
      </c>
      <c r="M387" s="130">
        <f t="shared" si="663"/>
        <v>0</v>
      </c>
      <c r="N387" s="169" t="str">
        <f t="shared" si="566"/>
        <v/>
      </c>
      <c r="O387" s="169">
        <f>IF($J387="",#N/A,SUM($N$4:N387))</f>
        <v>-295.65328064577557</v>
      </c>
      <c r="P387" s="174">
        <f t="shared" si="567"/>
        <v>-89.730000000000018</v>
      </c>
      <c r="Q387" s="174">
        <f>IF($J387="",#N/A,SUM($P$4:P387))</f>
        <v>26.804992245043309</v>
      </c>
      <c r="R387" s="178" t="str">
        <f t="shared" si="568"/>
        <v/>
      </c>
      <c r="S387" s="178">
        <f>IF($J387="",#N/A,SUM($R$4:R387))</f>
        <v>1462.6623369902779</v>
      </c>
      <c r="T387" s="290" t="str">
        <f t="shared" si="569"/>
        <v/>
      </c>
      <c r="U387" s="290">
        <f>IF($J387="",#N/A,SUM($T$4:T387))</f>
        <v>10.514761942459062</v>
      </c>
      <c r="V387" s="291">
        <f t="shared" si="570"/>
        <v>-0.92253312606410565</v>
      </c>
      <c r="W387" s="291">
        <f>IF($J387="",#N/A,SUM($V$4:V387))</f>
        <v>19.794230184631754</v>
      </c>
      <c r="X387" s="292" t="str">
        <f t="shared" si="571"/>
        <v/>
      </c>
      <c r="Y387" s="292">
        <f>IF($J387="",#N/A,SUM($X$4:X387))</f>
        <v>22.739803418862351</v>
      </c>
      <c r="Z387" s="304" t="str">
        <f t="shared" si="572"/>
        <v/>
      </c>
      <c r="AA387" s="313" t="e">
        <f>IF($J387="",#N/A,SUM(Z$4:Z387))</f>
        <v>#N/A</v>
      </c>
      <c r="AB387" s="314" t="str">
        <f t="shared" si="573"/>
        <v/>
      </c>
      <c r="AC387" s="314" t="e">
        <f>IF($J387="",#N/A,SUM(AB$4:AB387))</f>
        <v>#N/A</v>
      </c>
      <c r="AD387" s="315" t="str">
        <f t="shared" si="574"/>
        <v/>
      </c>
      <c r="AE387" s="315" t="e">
        <f>IF($J387="",#N/A,SUM(AD$4:AD387))</f>
        <v>#N/A</v>
      </c>
      <c r="AF387" s="315" t="e">
        <f>IF($J387="",#N/A,SUM(AD$4:AD387,AB$4:AB387,Z$4:Z387))</f>
        <v>#N/A</v>
      </c>
      <c r="AG387" s="304" t="str">
        <f t="shared" si="575"/>
        <v/>
      </c>
      <c r="AH387" s="313" t="e">
        <f>IF($J387="",#N/A,SUM(AG$4:AG387))</f>
        <v>#N/A</v>
      </c>
      <c r="AI387" s="314" t="str">
        <f t="shared" si="576"/>
        <v/>
      </c>
      <c r="AJ387" s="314" t="e">
        <f>IF($J387="",#N/A,SUM(AI$4:AI387))</f>
        <v>#N/A</v>
      </c>
      <c r="AK387" s="315" t="str">
        <f t="shared" si="577"/>
        <v/>
      </c>
      <c r="AL387" s="315" t="e">
        <f>IF($J387="",#N/A,SUM(AK$4:AK387))</f>
        <v>#N/A</v>
      </c>
      <c r="AM387" s="315" t="e">
        <f>IF($J387="",#N/A,SUM(AK$4:AK387,AI$4:AI387,AG$4:AG387))</f>
        <v>#N/A</v>
      </c>
      <c r="AN387" s="304" t="str">
        <f t="shared" si="578"/>
        <v/>
      </c>
      <c r="AO387" s="313" t="e">
        <f>IF($J387="",#N/A,SUM(AN$4:AN387))</f>
        <v>#N/A</v>
      </c>
      <c r="AP387" s="314" t="str">
        <f t="shared" si="579"/>
        <v/>
      </c>
      <c r="AQ387" s="314" t="e">
        <f>IF($J387="",#N/A,SUM(AP$4:AP387))</f>
        <v>#N/A</v>
      </c>
      <c r="AR387" s="315" t="str">
        <f t="shared" si="580"/>
        <v/>
      </c>
      <c r="AS387" s="315" t="e">
        <f>IF($J387="",#N/A,SUM(AR$4:AR387))</f>
        <v>#N/A</v>
      </c>
      <c r="AT387" s="315" t="e">
        <f>IF($J387="",#N/A,SUM(AR$4:AR387,AP$4:AP387,AN$4:AN387))</f>
        <v>#N/A</v>
      </c>
      <c r="AU387" s="304" t="str">
        <f t="shared" si="581"/>
        <v/>
      </c>
      <c r="AV387" s="313" t="e">
        <f>IF($J387="",#N/A,SUM(AU$4:AU387))</f>
        <v>#N/A</v>
      </c>
      <c r="AW387" s="314" t="str">
        <f t="shared" si="582"/>
        <v/>
      </c>
      <c r="AX387" s="314" t="e">
        <f>IF($J387="",#N/A,SUM(AW$4:AW387))</f>
        <v>#N/A</v>
      </c>
      <c r="AY387" s="315" t="str">
        <f t="shared" si="583"/>
        <v/>
      </c>
      <c r="AZ387" s="315" t="e">
        <f>IF($J387="",#N/A,SUM(AY$4:AY387))</f>
        <v>#N/A</v>
      </c>
      <c r="BA387" s="315" t="e">
        <f>IF($J387="",#N/A,SUM(AY$4:AY387,AW$4:AW387,AU$4:AU387))</f>
        <v>#N/A</v>
      </c>
      <c r="BB387" s="304" t="str">
        <f t="shared" si="584"/>
        <v/>
      </c>
      <c r="BC387" s="313" t="e">
        <f>IF($J387="",#N/A,SUM(BB$4:BB387))</f>
        <v>#N/A</v>
      </c>
      <c r="BD387" s="314" t="str">
        <f t="shared" si="585"/>
        <v/>
      </c>
      <c r="BE387" s="314" t="e">
        <f>IF($J387="",#N/A,SUM(BD$4:BD387))</f>
        <v>#N/A</v>
      </c>
      <c r="BF387" s="315" t="str">
        <f t="shared" si="586"/>
        <v/>
      </c>
      <c r="BG387" s="315" t="e">
        <f>IF($J387="",#N/A,SUM(BF$4:BF387))</f>
        <v>#N/A</v>
      </c>
      <c r="BH387" s="315" t="e">
        <f>IF($J387="",#N/A,SUM(BF$4:BF387,BD$4:BD387,BB$4:BB387))</f>
        <v>#N/A</v>
      </c>
      <c r="BI387" s="304" t="str">
        <f t="shared" si="587"/>
        <v/>
      </c>
      <c r="BJ387" s="313" t="e">
        <f>IF($J387="",#N/A,SUM(BI$4:BI387))</f>
        <v>#N/A</v>
      </c>
      <c r="BK387" s="314" t="str">
        <f t="shared" si="588"/>
        <v/>
      </c>
      <c r="BL387" s="314" t="e">
        <f>IF($J387="",#N/A,SUM(BK$4:BK387))</f>
        <v>#N/A</v>
      </c>
      <c r="BM387" s="315" t="str">
        <f t="shared" si="589"/>
        <v/>
      </c>
      <c r="BN387" s="315" t="e">
        <f>IF($J387="",#N/A,SUM(BM$4:BM387))</f>
        <v>#N/A</v>
      </c>
      <c r="BO387" s="315" t="e">
        <f>IF($J387="",#N/A,SUM(BM$4:BM387,BK$4:BK387,BI$4:BI387))</f>
        <v>#N/A</v>
      </c>
      <c r="BP387" s="304" t="str">
        <f t="shared" si="590"/>
        <v/>
      </c>
      <c r="BQ387" s="313" t="e">
        <f>IF($J387="",#N/A,SUM(BP$4:BP387))</f>
        <v>#N/A</v>
      </c>
      <c r="BR387" s="314" t="str">
        <f t="shared" si="591"/>
        <v/>
      </c>
      <c r="BS387" s="314" t="e">
        <f>IF($J387="",#N/A,SUM(BR$4:BR387))</f>
        <v>#N/A</v>
      </c>
      <c r="BT387" s="315" t="str">
        <f t="shared" si="592"/>
        <v/>
      </c>
      <c r="BU387" s="315" t="e">
        <f>IF($J387="",#N/A,SUM(BT$4:BT387))</f>
        <v>#N/A</v>
      </c>
      <c r="BV387" s="315" t="e">
        <f>IF($J387="",#N/A,SUM(BT$4:BT387,BR$4:BR387,BP$4:BP387))</f>
        <v>#N/A</v>
      </c>
      <c r="BW387" s="304" t="str">
        <f t="shared" si="593"/>
        <v/>
      </c>
      <c r="BX387" s="313" t="e">
        <f>IF($J387="",#N/A,SUM(BW$4:BW387))</f>
        <v>#N/A</v>
      </c>
      <c r="BY387" s="314">
        <f t="shared" si="594"/>
        <v>-0.92253312606410565</v>
      </c>
      <c r="BZ387" s="314" t="e">
        <f>IF($J387="",#N/A,SUM(BY$4:BY387))</f>
        <v>#N/A</v>
      </c>
      <c r="CA387" s="315" t="str">
        <f t="shared" si="595"/>
        <v/>
      </c>
      <c r="CB387" s="315" t="e">
        <f>IF($J387="",#N/A,SUM(CA$4:CA387))</f>
        <v>#N/A</v>
      </c>
      <c r="CC387" s="315" t="e">
        <f>IF($J387="",#N/A,SUM(CA$4:CA387,BY$4:BY387,BW$4:BW387))</f>
        <v>#N/A</v>
      </c>
      <c r="CD387" s="304" t="str">
        <f t="shared" si="596"/>
        <v/>
      </c>
      <c r="CE387" s="313" t="e">
        <f>IF($J387="",#N/A,SUM(CD$4:CD387))</f>
        <v>#N/A</v>
      </c>
      <c r="CF387" s="314" t="str">
        <f t="shared" si="597"/>
        <v/>
      </c>
      <c r="CG387" s="314" t="e">
        <f>IF($J387="",#N/A,SUM(CF$4:CF387))</f>
        <v>#N/A</v>
      </c>
      <c r="CH387" s="315" t="str">
        <f t="shared" si="598"/>
        <v/>
      </c>
      <c r="CI387" s="315" t="e">
        <f>IF($J387="",#N/A,SUM(CH$4:CH387))</f>
        <v>#N/A</v>
      </c>
      <c r="CJ387" s="315" t="e">
        <f>IF($J387="",#N/A,SUM(CH$4:CH387,CF$4:CF387,CD$4:CD387))</f>
        <v>#N/A</v>
      </c>
      <c r="CK387" s="304" t="str">
        <f t="shared" si="599"/>
        <v/>
      </c>
      <c r="CL387" s="313" t="e">
        <f>IF($J387="",#N/A,SUM(CK$4:CK387))</f>
        <v>#N/A</v>
      </c>
      <c r="CM387" s="314" t="str">
        <f t="shared" si="600"/>
        <v/>
      </c>
      <c r="CN387" s="314" t="e">
        <f>IF($J387="",#N/A,SUM(CM$4:CM387))</f>
        <v>#N/A</v>
      </c>
      <c r="CO387" s="315" t="str">
        <f t="shared" si="601"/>
        <v/>
      </c>
      <c r="CP387" s="315" t="e">
        <f>IF($J387="",#N/A,SUM(CO$4:CO387))</f>
        <v>#N/A</v>
      </c>
      <c r="CQ387" s="315" t="e">
        <f>IF($J387="",#N/A,SUM(CO$4:CO387,CM$4:CM387,CK$4:CK387))</f>
        <v>#N/A</v>
      </c>
      <c r="CR387" s="304" t="str">
        <f t="shared" si="602"/>
        <v/>
      </c>
      <c r="CS387" s="313" t="e">
        <f>IF($J387="",#N/A,SUM(CR$4:CR387))</f>
        <v>#N/A</v>
      </c>
      <c r="CT387" s="314" t="str">
        <f t="shared" si="603"/>
        <v/>
      </c>
      <c r="CU387" s="314" t="e">
        <f>IF($J387="",#N/A,SUM(CT$4:CT387))</f>
        <v>#N/A</v>
      </c>
      <c r="CV387" s="315" t="str">
        <f t="shared" si="604"/>
        <v/>
      </c>
      <c r="CW387" s="315" t="e">
        <f>IF($J387="",#N/A,SUM(CV$4:CV387))</f>
        <v>#N/A</v>
      </c>
      <c r="CX387" s="315" t="e">
        <f>IF($J387="",#N/A,SUM(CV$4:CV387,CT$4:CT387,CR$4:CR387))</f>
        <v>#N/A</v>
      </c>
      <c r="CY387" s="304" t="str">
        <f t="shared" si="605"/>
        <v/>
      </c>
      <c r="CZ387" s="313" t="e">
        <f>IF($J387="",#N/A,SUM(CY$4:CY387))</f>
        <v>#N/A</v>
      </c>
      <c r="DA387" s="314" t="str">
        <f t="shared" si="606"/>
        <v/>
      </c>
      <c r="DB387" s="314" t="e">
        <f>IF($J387="",#N/A,SUM(DA$4:DA387))</f>
        <v>#N/A</v>
      </c>
      <c r="DC387" s="315" t="str">
        <f t="shared" si="607"/>
        <v/>
      </c>
      <c r="DD387" s="315" t="e">
        <f>IF($J387="",#N/A,SUM(DC$4:DC387))</f>
        <v>#N/A</v>
      </c>
      <c r="DE387" s="315" t="e">
        <f>IF($J387="",#N/A,SUM(DC$4:DC387,DA$4:DA387,CY$4:CY387))</f>
        <v>#N/A</v>
      </c>
      <c r="DF387" s="304" t="str">
        <f t="shared" si="608"/>
        <v/>
      </c>
      <c r="DG387" s="313" t="e">
        <f>IF($J387="",#N/A,SUM(DF$4:DF387))</f>
        <v>#N/A</v>
      </c>
      <c r="DH387" s="314" t="str">
        <f t="shared" si="609"/>
        <v/>
      </c>
      <c r="DI387" s="314" t="e">
        <f>IF($J387="",#N/A,SUM(DH$4:DH387))</f>
        <v>#N/A</v>
      </c>
      <c r="DJ387" s="315" t="str">
        <f t="shared" si="610"/>
        <v/>
      </c>
      <c r="DK387" s="315" t="e">
        <f>IF($J387="",#N/A,SUM(DJ$4:DJ387))</f>
        <v>#N/A</v>
      </c>
      <c r="DL387" s="315" t="e">
        <f>IF($J387="",#N/A,SUM(DJ$4:DJ387,DH$4:DH387,DF$4:DF387))</f>
        <v>#N/A</v>
      </c>
      <c r="DM387" s="304" t="str">
        <f t="shared" si="611"/>
        <v/>
      </c>
      <c r="DN387" s="313" t="e">
        <f>IF($J387="",#N/A,SUM(DM$4:DM387))</f>
        <v>#N/A</v>
      </c>
      <c r="DO387" s="314" t="str">
        <f t="shared" si="612"/>
        <v/>
      </c>
      <c r="DP387" s="314" t="e">
        <f>IF($J387="",#N/A,SUM(DO$4:DO387))</f>
        <v>#N/A</v>
      </c>
      <c r="DQ387" s="315" t="str">
        <f t="shared" si="613"/>
        <v/>
      </c>
      <c r="DR387" s="315" t="e">
        <f>IF($J387="",#N/A,SUM(DQ$4:DQ387))</f>
        <v>#N/A</v>
      </c>
      <c r="DS387" s="315" t="e">
        <f>IF($J387="",#N/A,SUM(DQ$4:DQ387,DO$4:DO387,DM$4:DM387))</f>
        <v>#N/A</v>
      </c>
      <c r="DT387" s="304" t="str">
        <f t="shared" si="614"/>
        <v/>
      </c>
      <c r="DU387" s="313" t="e">
        <f>IF($J387="",#N/A,SUM(DT$4:DT387))</f>
        <v>#N/A</v>
      </c>
      <c r="DV387" s="314" t="str">
        <f t="shared" si="615"/>
        <v/>
      </c>
      <c r="DW387" s="314" t="e">
        <f>IF($J387="",#N/A,SUM(DV$4:DV387))</f>
        <v>#N/A</v>
      </c>
      <c r="DX387" s="315" t="str">
        <f t="shared" si="616"/>
        <v/>
      </c>
      <c r="DY387" s="315" t="e">
        <f>IF($J387="",#N/A,SUM(DX$4:DX387))</f>
        <v>#N/A</v>
      </c>
      <c r="DZ387" s="315" t="e">
        <f>IF($J387="",#N/A,SUM(DX$4:DX387,DV$4:DV387,DT$4:DT387))</f>
        <v>#N/A</v>
      </c>
      <c r="EA387" s="304" t="str">
        <f t="shared" si="617"/>
        <v/>
      </c>
      <c r="EB387" s="313" t="e">
        <f>IF($J387="",#N/A,SUM(EA$4:EA387))</f>
        <v>#N/A</v>
      </c>
      <c r="EC387" s="314" t="str">
        <f t="shared" si="618"/>
        <v/>
      </c>
      <c r="ED387" s="314" t="e">
        <f>IF($J387="",#N/A,SUM(EC$4:EC387))</f>
        <v>#N/A</v>
      </c>
      <c r="EE387" s="315" t="str">
        <f t="shared" si="619"/>
        <v/>
      </c>
      <c r="EF387" s="315" t="e">
        <f>IF($J387="",#N/A,SUM(EE$4:EE387))</f>
        <v>#N/A</v>
      </c>
      <c r="EG387" s="315" t="e">
        <f>IF($J387="",#N/A,SUM(EE$4:EE387,EC$4:EC387,EA$4:EA387))</f>
        <v>#N/A</v>
      </c>
      <c r="EH387" s="130">
        <f t="shared" si="620"/>
        <v>-89.730000000000018</v>
      </c>
      <c r="EI387" s="63">
        <f>IF(EH387="",#N/A,SUM($EH$4:EH387))</f>
        <v>1193.8140485895458</v>
      </c>
      <c r="EJ387" s="223" t="e">
        <f t="shared" si="621"/>
        <v>#N/A</v>
      </c>
      <c r="EK387" s="63" t="e">
        <f>IF($GZ387="",#N/A,SUM(EJ$4:EJ387))</f>
        <v>#N/A</v>
      </c>
      <c r="EL387" s="60">
        <f t="shared" si="651"/>
        <v>-0.92253312606410565</v>
      </c>
      <c r="EM387" s="60">
        <f>IF(EL387="",NA(),SUM($EL$4:EL387))</f>
        <v>24.667631691246509</v>
      </c>
      <c r="EN387" s="60" t="str">
        <f t="shared" si="622"/>
        <v/>
      </c>
      <c r="EO387" s="60" t="e">
        <f>IF(EN387="",NA(),SUM($EN$4:EN387))</f>
        <v>#N/A</v>
      </c>
      <c r="EP387" s="60" t="str">
        <f t="shared" si="623"/>
        <v/>
      </c>
      <c r="EQ387" s="60" t="e">
        <f>IF(EP387="",NA(),SUM($EP$4:EP387))</f>
        <v>#N/A</v>
      </c>
      <c r="ER387" s="60">
        <f t="shared" si="624"/>
        <v>-0.92253312606410565</v>
      </c>
      <c r="ES387" s="60">
        <f>IF(ER387="",NA(),SUM($ER$4:ER387))</f>
        <v>7.0144182003502458</v>
      </c>
      <c r="ET387" s="60" t="str">
        <f t="shared" si="625"/>
        <v/>
      </c>
      <c r="EU387" s="60" t="e">
        <f>IF(ET387="",NA(),SUM($ET$4:ET387))</f>
        <v>#N/A</v>
      </c>
      <c r="EV387" s="60" t="str">
        <f t="shared" si="626"/>
        <v/>
      </c>
      <c r="EW387" s="60" t="e">
        <f>IF(EV387="",NA(),SUM($EV$4:EV387))</f>
        <v>#N/A</v>
      </c>
      <c r="EX387" s="60" t="str">
        <f t="shared" si="627"/>
        <v/>
      </c>
      <c r="EY387" s="60" t="e">
        <f>IF(EX387="",NA(),SUM($EX$4:EX387))</f>
        <v>#N/A</v>
      </c>
      <c r="EZ387" s="60" t="str">
        <f t="shared" si="628"/>
        <v/>
      </c>
      <c r="FA387" s="60" t="e">
        <f>IF(EZ387="",NA(),SUM($EZ$4:EZ387))</f>
        <v>#N/A</v>
      </c>
      <c r="FB387" s="246" t="str">
        <f t="shared" si="652"/>
        <v/>
      </c>
      <c r="FC387" s="246" t="e">
        <f>IF($FB387="",#N/A,SUM(FB$4:$FB387))</f>
        <v>#N/A</v>
      </c>
      <c r="FD387" s="60">
        <f t="shared" si="629"/>
        <v>0.37289954844918183</v>
      </c>
      <c r="FE387" s="60">
        <f>IF($FD387="",#N/A,SUM($FD$4:FD387))</f>
        <v>2.1967320153031444</v>
      </c>
      <c r="FF387" s="60" t="str">
        <f t="shared" si="630"/>
        <v/>
      </c>
      <c r="FG387" s="60" t="e">
        <f>IF($FF387="",#N/A,SUM($FF$4:FF387))</f>
        <v>#N/A</v>
      </c>
      <c r="FH387" s="60" t="str">
        <f t="shared" si="631"/>
        <v/>
      </c>
      <c r="FI387" s="60" t="e">
        <f>IF($FH387="",#N/A,SUM($FH$4:FH387))</f>
        <v>#N/A</v>
      </c>
      <c r="FJ387" s="60" t="str">
        <f t="shared" si="632"/>
        <v/>
      </c>
      <c r="FK387" s="60" t="e">
        <f>IF($FJ387="",#N/A,SUM($FJ$4:FJ387))</f>
        <v>#N/A</v>
      </c>
      <c r="FL387" s="60" t="str">
        <f t="shared" si="633"/>
        <v/>
      </c>
      <c r="FM387" s="60" t="e">
        <f>IF($FL387="",#N/A,SUM($FL$4:FL387))</f>
        <v>#N/A</v>
      </c>
      <c r="FN387" s="82">
        <f t="shared" si="634"/>
        <v>-0.54963357761492382</v>
      </c>
      <c r="FO387" s="82">
        <f>IF($FN387="",#N/A,SUM(FN$4:$FN387))</f>
        <v>39.113007113724208</v>
      </c>
      <c r="FP387" s="82">
        <f t="shared" si="653"/>
        <v>-0.92253312606410565</v>
      </c>
      <c r="FQ387" s="246">
        <f>IF($EH387="",#N/A,SUM($FP$4:FP387))</f>
        <v>53.048795545953134</v>
      </c>
      <c r="FR387" s="82">
        <f>IFERROR(FQ387/COUNTA($J$4:J387),#N/A)</f>
        <v>0.13814790506758629</v>
      </c>
      <c r="FS387" s="82">
        <f t="shared" si="661"/>
        <v>7.2489399988663189E-2</v>
      </c>
      <c r="FT387" s="82">
        <f t="shared" si="662"/>
        <v>-0.12995849097233531</v>
      </c>
      <c r="FU387" s="338">
        <f t="shared" si="660"/>
        <v>28.620774555865502</v>
      </c>
      <c r="FV387" s="57" t="str">
        <f t="shared" si="666"/>
        <v>Dwn</v>
      </c>
      <c r="FW387" s="57" t="s">
        <v>2734</v>
      </c>
      <c r="FX387" s="57" t="str">
        <f t="shared" si="635"/>
        <v/>
      </c>
      <c r="FY387" s="57">
        <f t="shared" si="636"/>
        <v>1</v>
      </c>
      <c r="FZ387" s="57" t="str">
        <f t="shared" si="637"/>
        <v/>
      </c>
      <c r="GA387" s="57" t="str">
        <f t="shared" si="638"/>
        <v>Short</v>
      </c>
      <c r="GB387" s="57" t="str">
        <f t="shared" si="639"/>
        <v/>
      </c>
      <c r="GC387" s="57" t="str">
        <f t="shared" si="640"/>
        <v/>
      </c>
      <c r="GD387" s="57" t="str">
        <f t="shared" si="641"/>
        <v/>
      </c>
      <c r="GE387" s="62">
        <f t="shared" si="664"/>
        <v>180.12</v>
      </c>
      <c r="GF387" s="62" t="s">
        <v>2780</v>
      </c>
      <c r="GG387" s="199">
        <v>9</v>
      </c>
      <c r="GH387" s="207">
        <f t="shared" si="642"/>
        <v>1621.08</v>
      </c>
      <c r="GI387" s="199">
        <v>9</v>
      </c>
      <c r="GJ387" s="200">
        <v>190.09</v>
      </c>
      <c r="GK387" s="63">
        <f t="shared" si="643"/>
        <v>-89.730000000000018</v>
      </c>
      <c r="GL387" s="63">
        <f t="shared" si="665"/>
        <v>-53.460000000000036</v>
      </c>
      <c r="GM387" s="82" t="str">
        <f t="shared" si="644"/>
        <v/>
      </c>
      <c r="GN387" s="82">
        <f>IF($GZ387="",#N/A,SUM(GM$4:GM387))</f>
        <v>9.3294262766559921</v>
      </c>
      <c r="GO387" s="82" t="str">
        <f t="shared" si="645"/>
        <v/>
      </c>
      <c r="GP387" s="82">
        <f>IF($GZ387="",#N/A,SUM(GO$4:GO387))</f>
        <v>3.9893037078761537</v>
      </c>
      <c r="GQ387" s="82">
        <f t="shared" si="646"/>
        <v>-0.54963357761492382</v>
      </c>
      <c r="GR387" s="82">
        <f>IF($GZ387="",#N/A,SUM(GQ$4:GQ387))</f>
        <v>25.168440174749733</v>
      </c>
      <c r="GS387" s="63" t="str">
        <f t="shared" si="654"/>
        <v/>
      </c>
      <c r="GT387" s="63" t="e">
        <f>IF($GZ387="",#N/A,SUM(GS$4:GS387))</f>
        <v>#N/A</v>
      </c>
      <c r="GU387" s="63" t="str">
        <f t="shared" si="655"/>
        <v/>
      </c>
      <c r="GV387" s="63" t="e">
        <f>IF($GZ387="",#N/A,SUM(GU$4:GU387))</f>
        <v>#N/A</v>
      </c>
      <c r="GW387" s="63" t="e">
        <f t="shared" si="656"/>
        <v>#N/A</v>
      </c>
      <c r="GX387" s="63" t="e">
        <f>IF($GZ387="",#N/A,SUM(GW$4:GW387))</f>
        <v>#N/A</v>
      </c>
      <c r="GY387" s="63" t="e">
        <f>IF(EJ387="",#N/A,SUM($EJ$4:EJ387))</f>
        <v>#N/A</v>
      </c>
      <c r="GZ387" s="159">
        <v>186.06</v>
      </c>
      <c r="HA387" s="63">
        <f t="shared" si="647"/>
        <v>36.269999999999982</v>
      </c>
      <c r="HB387" s="62" t="s">
        <v>2538</v>
      </c>
      <c r="HC387" s="60">
        <f>IFERROR(VLOOKUP(E387,Expectancy!$P$4:$S$19,1+C387,FALSE),"")</f>
        <v>0.18997806194873415</v>
      </c>
      <c r="HD387" s="82">
        <f t="shared" si="648"/>
        <v>-0.92253312606410565</v>
      </c>
      <c r="HE387" s="138">
        <f>IF(HD387="",#N/A,SUM($HD$4:HD387))</f>
        <v>9.8980209900876304</v>
      </c>
      <c r="HF387" s="85">
        <f>IF(HD387="",#N/A,IF(HB387="Skip",#N/A,SUM($HG$4:HG387)))</f>
        <v>275.78157921915613</v>
      </c>
      <c r="HG387" s="63">
        <f t="shared" si="649"/>
        <v>-89.730000000000018</v>
      </c>
      <c r="HH387" s="82">
        <f t="shared" si="650"/>
        <v>-0.54963357761492382</v>
      </c>
    </row>
    <row r="388" spans="1:216" x14ac:dyDescent="0.25">
      <c r="A388" s="57" t="s">
        <v>1248</v>
      </c>
      <c r="B388" s="58" t="str" cm="1">
        <f t="array" ref="B388">IFERROR(_xlfn.XLOOKUP(A388,Earnings!$B$2:$B$9985,LEFT(Earnings!$C$2:$C$9985,37)),"Can't Find Date***")</f>
        <v>on 2/26/25, 4:05 PM After Market East</v>
      </c>
      <c r="C388" s="386">
        <f t="shared" ref="C388:C448" si="667">IF(FV388="Dwn",2,IF(FV388="Up",1,IF(FV388="SW",3,"x")))</f>
        <v>3</v>
      </c>
      <c r="D388" s="372" t="str">
        <f>_xlfn.XLOOKUP(A388,[1]SP500!$A$2:$A$502,[1]SP500!$D$2:$D$502,"N")</f>
        <v>N</v>
      </c>
      <c r="E388" s="57" t="str">
        <f>_xlfn.XLOOKUP(A388,[1]SP500!$A$2:$A$655,[1]SP500!$B$2:$B$655)</f>
        <v>IGV</v>
      </c>
      <c r="F388" s="59">
        <v>45714</v>
      </c>
      <c r="G388" s="57" t="str">
        <f t="shared" ref="G388:G448" si="668">IF(ISNUMBER(FIND("After",B388,1)),"AMC",IF(ISNUMBER(FIND("Before",B388,1)),"BMO","err"))</f>
        <v>AMC</v>
      </c>
      <c r="H388" s="57" t="str">
        <f t="shared" ref="H388:H448" si="669">IF(HB388="other","o",IF(HB388="Skip","o",IF(OR(FV388="",GF388=""),"",IF(AND(FV388="Dwn",GF388="Short"),"s",IF(AND(FV388="Up",GF388="Long"),"s",IF(AND(FV388="SW",GF388="Long"),"s","o"))))))</f>
        <v>s</v>
      </c>
      <c r="I388" s="159">
        <v>26.44</v>
      </c>
      <c r="J388" s="159">
        <v>24.95</v>
      </c>
      <c r="K388" s="61">
        <f t="shared" ref="K388:K448" si="670">IF(J388="","",(J388-I388)/I388)</f>
        <v>-5.6354009077155896E-2</v>
      </c>
      <c r="L388" s="87">
        <f t="shared" ref="L388:L448" si="671">IF(OR($GI388="",J388=""),"",IF($GF388="Long",(($J388*$GI388)-$GH388),($GH388-($J388*$GI388))))</f>
        <v>-89.400000000000091</v>
      </c>
      <c r="M388" s="130">
        <f t="shared" si="663"/>
        <v>3</v>
      </c>
      <c r="N388" s="169" t="str">
        <f t="shared" ref="N388:N448" si="672">IF(AND($FV388="Up",$GA388="Long"),$EH388,"")</f>
        <v/>
      </c>
      <c r="O388" s="169">
        <f>IF($J388="",#N/A,SUM($N$4:N388))</f>
        <v>-295.65328064577557</v>
      </c>
      <c r="P388" s="174" t="str">
        <f t="shared" ref="P388:P448" si="673">IF(AND($FV388="Dwn",$GA388="Short"),$EH388,"")</f>
        <v/>
      </c>
      <c r="Q388" s="174">
        <f>IF($J388="",#N/A,SUM($P$4:P388))</f>
        <v>26.804992245043309</v>
      </c>
      <c r="R388" s="178">
        <f t="shared" ref="R388:R448" si="674">IF(AND($FV388="SW",$GA388="Long"),$EH388,"")</f>
        <v>-89.400000000000091</v>
      </c>
      <c r="S388" s="178">
        <f>IF($J388="",#N/A,SUM($R$4:R388))</f>
        <v>1373.2623369902778</v>
      </c>
      <c r="T388" s="290" t="str">
        <f t="shared" ref="T388:T448" si="675">IF(AND($FV388="Up",$GA388="Long"),$FP388,"")</f>
        <v/>
      </c>
      <c r="U388" s="290">
        <f>IF($J388="",#N/A,SUM($T$4:T388))</f>
        <v>10.514761942459062</v>
      </c>
      <c r="V388" s="291" t="str">
        <f t="shared" ref="V388:V448" si="676">IF(AND($FV388="Dwn",$GA388="Short"),$FP388,"")</f>
        <v/>
      </c>
      <c r="W388" s="291">
        <f>IF($J388="",#N/A,SUM($V$4:V388))</f>
        <v>19.794230184631754</v>
      </c>
      <c r="X388" s="292">
        <f t="shared" ref="X388:X448" si="677">IF(AND($FV388="SW",$GA388="Long"),$FP388,"")</f>
        <v>-0.9392334846192647</v>
      </c>
      <c r="Y388" s="292">
        <f>IF($J388="",#N/A,SUM($X$4:X388))</f>
        <v>21.800569934243086</v>
      </c>
      <c r="Z388" s="304" t="str">
        <f t="shared" ref="Z388:Z448" si="678">IF(AND($FV388="Up",$GA388="Long",$E388=Z$2),$FP388,"")</f>
        <v/>
      </c>
      <c r="AA388" s="313" t="e">
        <f>IF($J388="",#N/A,SUM(Z$4:Z388))</f>
        <v>#N/A</v>
      </c>
      <c r="AB388" s="314" t="str">
        <f t="shared" ref="AB388:AB448" si="679">IF(AND($FV388="Dwn",$GA388="Short",$E388=Z$2),$FP388,"")</f>
        <v/>
      </c>
      <c r="AC388" s="314" t="e">
        <f>IF($J388="",#N/A,SUM(AB$4:AB388))</f>
        <v>#N/A</v>
      </c>
      <c r="AD388" s="315" t="str">
        <f t="shared" ref="AD388:AD448" si="680">IF(AND($FV388="SW",$GA388="Long",$E388=Z$2),$FP388,"")</f>
        <v/>
      </c>
      <c r="AE388" s="315" t="e">
        <f>IF($J388="",#N/A,SUM(AD$4:AD388))</f>
        <v>#N/A</v>
      </c>
      <c r="AF388" s="315" t="e">
        <f>IF($J388="",#N/A,SUM(AD$4:AD388,AB$4:AB388,Z$4:Z388))</f>
        <v>#N/A</v>
      </c>
      <c r="AG388" s="304" t="str">
        <f t="shared" ref="AG388:AG448" si="681">IF(AND($FV388="Up",$GA388="Long",$E388=AG$2),$FP388,"")</f>
        <v/>
      </c>
      <c r="AH388" s="313" t="e">
        <f>IF($J388="",#N/A,SUM(AG$4:AG388))</f>
        <v>#N/A</v>
      </c>
      <c r="AI388" s="314" t="str">
        <f t="shared" ref="AI388:AI448" si="682">IF(AND($FV388="Dwn",$GA388="Short",$E388=AG$2),$FP388,"")</f>
        <v/>
      </c>
      <c r="AJ388" s="314" t="e">
        <f>IF($J388="",#N/A,SUM(AI$4:AI388))</f>
        <v>#N/A</v>
      </c>
      <c r="AK388" s="315">
        <f t="shared" ref="AK388:AK448" si="683">IF(AND($FV388="SW",$GA388="Long",$E388=AG$2),$FP388,"")</f>
        <v>-0.9392334846192647</v>
      </c>
      <c r="AL388" s="315" t="e">
        <f>IF($J388="",#N/A,SUM(AK$4:AK388))</f>
        <v>#N/A</v>
      </c>
      <c r="AM388" s="315" t="e">
        <f>IF($J388="",#N/A,SUM(AK$4:AK388,AI$4:AI388,AG$4:AG388))</f>
        <v>#N/A</v>
      </c>
      <c r="AN388" s="304" t="str">
        <f t="shared" ref="AN388:AN448" si="684">IF(AND($FV388="Up",$GA388="Long",$E388=AN$2),$FP388,"")</f>
        <v/>
      </c>
      <c r="AO388" s="313" t="e">
        <f>IF($J388="",#N/A,SUM(AN$4:AN388))</f>
        <v>#N/A</v>
      </c>
      <c r="AP388" s="314" t="str">
        <f t="shared" ref="AP388:AP448" si="685">IF(AND($FV388="Dwn",$GA388="Short",$E388=AN$2),$FP388,"")</f>
        <v/>
      </c>
      <c r="AQ388" s="314" t="e">
        <f>IF($J388="",#N/A,SUM(AP$4:AP388))</f>
        <v>#N/A</v>
      </c>
      <c r="AR388" s="315" t="str">
        <f t="shared" ref="AR388:AR448" si="686">IF(AND($FV388="SW",$GA388="Long",$E388=AN$2),$FP388,"")</f>
        <v/>
      </c>
      <c r="AS388" s="315" t="e">
        <f>IF($J388="",#N/A,SUM(AR$4:AR388))</f>
        <v>#N/A</v>
      </c>
      <c r="AT388" s="315" t="e">
        <f>IF($J388="",#N/A,SUM(AR$4:AR388,AP$4:AP388,AN$4:AN388))</f>
        <v>#N/A</v>
      </c>
      <c r="AU388" s="304" t="str">
        <f t="shared" ref="AU388:AU448" si="687">IF(AND($FV388="Up",$GA388="Long",$E388=AU$2),$FP388,"")</f>
        <v/>
      </c>
      <c r="AV388" s="313" t="e">
        <f>IF($J388="",#N/A,SUM(AU$4:AU388))</f>
        <v>#N/A</v>
      </c>
      <c r="AW388" s="314" t="str">
        <f t="shared" ref="AW388:AW448" si="688">IF(AND($FV388="Dwn",$GA388="Short",$E388=AU$2),$FP388,"")</f>
        <v/>
      </c>
      <c r="AX388" s="314" t="e">
        <f>IF($J388="",#N/A,SUM(AW$4:AW388))</f>
        <v>#N/A</v>
      </c>
      <c r="AY388" s="315" t="str">
        <f t="shared" ref="AY388:AY448" si="689">IF(AND($FV388="SW",$GA388="Long",$E388=AU$2),$FP388,"")</f>
        <v/>
      </c>
      <c r="AZ388" s="315" t="e">
        <f>IF($J388="",#N/A,SUM(AY$4:AY388))</f>
        <v>#N/A</v>
      </c>
      <c r="BA388" s="315" t="e">
        <f>IF($J388="",#N/A,SUM(AY$4:AY388,AW$4:AW388,AU$4:AU388))</f>
        <v>#N/A</v>
      </c>
      <c r="BB388" s="304" t="str">
        <f t="shared" ref="BB388:BB448" si="690">IF(AND($FV388="Up",$GA388="Long",$E388=BB$2),$FP388,"")</f>
        <v/>
      </c>
      <c r="BC388" s="313" t="e">
        <f>IF($J388="",#N/A,SUM(BB$4:BB388))</f>
        <v>#N/A</v>
      </c>
      <c r="BD388" s="314" t="str">
        <f t="shared" ref="BD388:BD448" si="691">IF(AND($FV388="Dwn",$GA388="Short",$E388=BB$2),$FP388,"")</f>
        <v/>
      </c>
      <c r="BE388" s="314" t="e">
        <f>IF($J388="",#N/A,SUM(BD$4:BD388))</f>
        <v>#N/A</v>
      </c>
      <c r="BF388" s="315" t="str">
        <f t="shared" ref="BF388:BF448" si="692">IF(AND($FV388="SW",$GA388="Long",$E388=BB$2),$FP388,"")</f>
        <v/>
      </c>
      <c r="BG388" s="315" t="e">
        <f>IF($J388="",#N/A,SUM(BF$4:BF388))</f>
        <v>#N/A</v>
      </c>
      <c r="BH388" s="315" t="e">
        <f>IF($J388="",#N/A,SUM(BF$4:BF388,BD$4:BD388,BB$4:BB388))</f>
        <v>#N/A</v>
      </c>
      <c r="BI388" s="304" t="str">
        <f t="shared" ref="BI388:BI448" si="693">IF(AND($FV388="Up",$GA388="Long",$E388=BI$2),$FP388,"")</f>
        <v/>
      </c>
      <c r="BJ388" s="313" t="e">
        <f>IF($J388="",#N/A,SUM(BI$4:BI388))</f>
        <v>#N/A</v>
      </c>
      <c r="BK388" s="314" t="str">
        <f t="shared" ref="BK388:BK448" si="694">IF(AND($FV388="Dwn",$GA388="Short",$E388=BI$2),$FP388,"")</f>
        <v/>
      </c>
      <c r="BL388" s="314" t="e">
        <f>IF($J388="",#N/A,SUM(BK$4:BK388))</f>
        <v>#N/A</v>
      </c>
      <c r="BM388" s="315" t="str">
        <f t="shared" ref="BM388:BM448" si="695">IF(AND($FV388="SW",$GA388="Long",$E388=BI$2),$FP388,"")</f>
        <v/>
      </c>
      <c r="BN388" s="315" t="e">
        <f>IF($J388="",#N/A,SUM(BM$4:BM388))</f>
        <v>#N/A</v>
      </c>
      <c r="BO388" s="315" t="e">
        <f>IF($J388="",#N/A,SUM(BM$4:BM388,BK$4:BK388,BI$4:BI388))</f>
        <v>#N/A</v>
      </c>
      <c r="BP388" s="304" t="str">
        <f t="shared" ref="BP388:BP448" si="696">IF(AND($FV388="Up",$GA388="Long",$E388=BP$2),$FP388,"")</f>
        <v/>
      </c>
      <c r="BQ388" s="313" t="e">
        <f>IF($J388="",#N/A,SUM(BP$4:BP388))</f>
        <v>#N/A</v>
      </c>
      <c r="BR388" s="314" t="str">
        <f t="shared" ref="BR388:BR448" si="697">IF(AND($FV388="Dwn",$GA388="Short",$E388=BP$2),$FP388,"")</f>
        <v/>
      </c>
      <c r="BS388" s="314" t="e">
        <f>IF($J388="",#N/A,SUM(BR$4:BR388))</f>
        <v>#N/A</v>
      </c>
      <c r="BT388" s="315" t="str">
        <f t="shared" ref="BT388:BT448" si="698">IF(AND($FV388="SW",$GA388="Long",$E388=BP$2),$FP388,"")</f>
        <v/>
      </c>
      <c r="BU388" s="315" t="e">
        <f>IF($J388="",#N/A,SUM(BT$4:BT388))</f>
        <v>#N/A</v>
      </c>
      <c r="BV388" s="315" t="e">
        <f>IF($J388="",#N/A,SUM(BT$4:BT388,BR$4:BR388,BP$4:BP388))</f>
        <v>#N/A</v>
      </c>
      <c r="BW388" s="304" t="str">
        <f t="shared" ref="BW388:BW448" si="699">IF(AND($FV388="Up",$GA388="Long",$E388=BW$2),$FP388,"")</f>
        <v/>
      </c>
      <c r="BX388" s="313" t="e">
        <f>IF($J388="",#N/A,SUM(BW$4:BW388))</f>
        <v>#N/A</v>
      </c>
      <c r="BY388" s="314" t="str">
        <f t="shared" ref="BY388:BY448" si="700">IF(AND($FV388="Dwn",$GA388="Short",$E388=BW$2),$FP388,"")</f>
        <v/>
      </c>
      <c r="BZ388" s="314" t="e">
        <f>IF($J388="",#N/A,SUM(BY$4:BY388))</f>
        <v>#N/A</v>
      </c>
      <c r="CA388" s="315" t="str">
        <f t="shared" ref="CA388:CA448" si="701">IF(AND($FV388="SW",$GA388="Long",$E388=BW$2),$FP388,"")</f>
        <v/>
      </c>
      <c r="CB388" s="315" t="e">
        <f>IF($J388="",#N/A,SUM(CA$4:CA388))</f>
        <v>#N/A</v>
      </c>
      <c r="CC388" s="315" t="e">
        <f>IF($J388="",#N/A,SUM(CA$4:CA388,BY$4:BY388,BW$4:BW388))</f>
        <v>#N/A</v>
      </c>
      <c r="CD388" s="304" t="str">
        <f t="shared" ref="CD388:CD448" si="702">IF(AND($FV388="Up",$GA388="Long",$E388=CD$2),$FP388,"")</f>
        <v/>
      </c>
      <c r="CE388" s="313" t="e">
        <f>IF($J388="",#N/A,SUM(CD$4:CD388))</f>
        <v>#N/A</v>
      </c>
      <c r="CF388" s="314" t="str">
        <f t="shared" ref="CF388:CF448" si="703">IF(AND($FV388="Dwn",$GA388="Short",$E388=CD$2),$FP388,"")</f>
        <v/>
      </c>
      <c r="CG388" s="314" t="e">
        <f>IF($J388="",#N/A,SUM(CF$4:CF388))</f>
        <v>#N/A</v>
      </c>
      <c r="CH388" s="315" t="str">
        <f t="shared" ref="CH388:CH448" si="704">IF(AND($FV388="SW",$GA388="Long",$E388=CD$2),$FP388,"")</f>
        <v/>
      </c>
      <c r="CI388" s="315" t="e">
        <f>IF($J388="",#N/A,SUM(CH$4:CH388))</f>
        <v>#N/A</v>
      </c>
      <c r="CJ388" s="315" t="e">
        <f>IF($J388="",#N/A,SUM(CH$4:CH388,CF$4:CF388,CD$4:CD388))</f>
        <v>#N/A</v>
      </c>
      <c r="CK388" s="304" t="str">
        <f t="shared" ref="CK388:CK448" si="705">IF(AND($FV388="Up",$GA388="Long",$E388=CK$2),$FP388,"")</f>
        <v/>
      </c>
      <c r="CL388" s="313" t="e">
        <f>IF($J388="",#N/A,SUM(CK$4:CK388))</f>
        <v>#N/A</v>
      </c>
      <c r="CM388" s="314" t="str">
        <f t="shared" ref="CM388:CM448" si="706">IF(AND($FV388="Dwn",$GA388="Short",$E388=CK$2),$FP388,"")</f>
        <v/>
      </c>
      <c r="CN388" s="314" t="e">
        <f>IF($J388="",#N/A,SUM(CM$4:CM388))</f>
        <v>#N/A</v>
      </c>
      <c r="CO388" s="315" t="str">
        <f t="shared" ref="CO388:CO448" si="707">IF(AND($FV388="SW",$GA388="Long",$E388=CK$2),$FP388,"")</f>
        <v/>
      </c>
      <c r="CP388" s="315" t="e">
        <f>IF($J388="",#N/A,SUM(CO$4:CO388))</f>
        <v>#N/A</v>
      </c>
      <c r="CQ388" s="315" t="e">
        <f>IF($J388="",#N/A,SUM(CO$4:CO388,CM$4:CM388,CK$4:CK388))</f>
        <v>#N/A</v>
      </c>
      <c r="CR388" s="304" t="str">
        <f t="shared" ref="CR388:CR448" si="708">IF(AND($FV388="Up",$GA388="Long",$E388=CR$2),$FP388,"")</f>
        <v/>
      </c>
      <c r="CS388" s="313" t="e">
        <f>IF($J388="",#N/A,SUM(CR$4:CR388))</f>
        <v>#N/A</v>
      </c>
      <c r="CT388" s="314" t="str">
        <f t="shared" ref="CT388:CT448" si="709">IF(AND($FV388="Dwn",$GA388="Short",$E388=CR$2),$FP388,"")</f>
        <v/>
      </c>
      <c r="CU388" s="314" t="e">
        <f>IF($J388="",#N/A,SUM(CT$4:CT388))</f>
        <v>#N/A</v>
      </c>
      <c r="CV388" s="315" t="str">
        <f t="shared" ref="CV388:CV448" si="710">IF(AND($FV388="SW",$GA388="Long",$E388=CR$2),$FP388,"")</f>
        <v/>
      </c>
      <c r="CW388" s="315" t="e">
        <f>IF($J388="",#N/A,SUM(CV$4:CV388))</f>
        <v>#N/A</v>
      </c>
      <c r="CX388" s="315" t="e">
        <f>IF($J388="",#N/A,SUM(CV$4:CV388,CT$4:CT388,CR$4:CR388))</f>
        <v>#N/A</v>
      </c>
      <c r="CY388" s="304" t="str">
        <f t="shared" ref="CY388:CY448" si="711">IF(AND($FV388="Up",$GA388="Long",$E388=CY$2),$FP388,"")</f>
        <v/>
      </c>
      <c r="CZ388" s="313" t="e">
        <f>IF($J388="",#N/A,SUM(CY$4:CY388))</f>
        <v>#N/A</v>
      </c>
      <c r="DA388" s="314" t="str">
        <f t="shared" ref="DA388:DA448" si="712">IF(AND($FV388="Dwn",$GA388="Short",$E388=CY$2),$FP388,"")</f>
        <v/>
      </c>
      <c r="DB388" s="314" t="e">
        <f>IF($J388="",#N/A,SUM(DA$4:DA388))</f>
        <v>#N/A</v>
      </c>
      <c r="DC388" s="315" t="str">
        <f t="shared" ref="DC388:DC448" si="713">IF(AND($FV388="SW",$GA388="Long",$E388=CY$2),$FP388,"")</f>
        <v/>
      </c>
      <c r="DD388" s="315" t="e">
        <f>IF($J388="",#N/A,SUM(DC$4:DC388))</f>
        <v>#N/A</v>
      </c>
      <c r="DE388" s="315" t="e">
        <f>IF($J388="",#N/A,SUM(DC$4:DC388,DA$4:DA388,CY$4:CY388))</f>
        <v>#N/A</v>
      </c>
      <c r="DF388" s="304" t="str">
        <f t="shared" ref="DF388:DF448" si="714">IF(AND($FV388="Up",$GA388="Long",$E388=DF$2),$FP388,"")</f>
        <v/>
      </c>
      <c r="DG388" s="313" t="e">
        <f>IF($J388="",#N/A,SUM(DF$4:DF388))</f>
        <v>#N/A</v>
      </c>
      <c r="DH388" s="314" t="str">
        <f t="shared" ref="DH388:DH448" si="715">IF(AND($FV388="Dwn",$GA388="Short",$E388=DF$2),$FP388,"")</f>
        <v/>
      </c>
      <c r="DI388" s="314" t="e">
        <f>IF($J388="",#N/A,SUM(DH$4:DH388))</f>
        <v>#N/A</v>
      </c>
      <c r="DJ388" s="315" t="str">
        <f t="shared" ref="DJ388:DJ448" si="716">IF(AND($FV388="SW",$GA388="Long",$E388=DF$2),$FP388,"")</f>
        <v/>
      </c>
      <c r="DK388" s="315" t="e">
        <f>IF($J388="",#N/A,SUM(DJ$4:DJ388))</f>
        <v>#N/A</v>
      </c>
      <c r="DL388" s="315" t="e">
        <f>IF($J388="",#N/A,SUM(DJ$4:DJ388,DH$4:DH388,DF$4:DF388))</f>
        <v>#N/A</v>
      </c>
      <c r="DM388" s="304" t="str">
        <f t="shared" ref="DM388:DM448" si="717">IF(AND($FV388="Up",$GA388="Long",$E388=DM$2),$FP388,"")</f>
        <v/>
      </c>
      <c r="DN388" s="313" t="e">
        <f>IF($J388="",#N/A,SUM(DM$4:DM388))</f>
        <v>#N/A</v>
      </c>
      <c r="DO388" s="314" t="str">
        <f t="shared" ref="DO388:DO448" si="718">IF(AND($FV388="Dwn",$GA388="Short",$E388=DM$2),$FP388,"")</f>
        <v/>
      </c>
      <c r="DP388" s="314" t="e">
        <f>IF($J388="",#N/A,SUM(DO$4:DO388))</f>
        <v>#N/A</v>
      </c>
      <c r="DQ388" s="315" t="str">
        <f t="shared" ref="DQ388:DQ448" si="719">IF(AND($FV388="SW",$GA388="Long",$E388=DM$2),$FP388,"")</f>
        <v/>
      </c>
      <c r="DR388" s="315" t="e">
        <f>IF($J388="",#N/A,SUM(DQ$4:DQ388))</f>
        <v>#N/A</v>
      </c>
      <c r="DS388" s="315" t="e">
        <f>IF($J388="",#N/A,SUM(DQ$4:DQ388,DO$4:DO388,DM$4:DM388))</f>
        <v>#N/A</v>
      </c>
      <c r="DT388" s="304" t="str">
        <f t="shared" ref="DT388:DT448" si="720">IF(AND($FV388="Up",$GA388="Long",$E388=DT$2),$FP388,"")</f>
        <v/>
      </c>
      <c r="DU388" s="313" t="e">
        <f>IF($J388="",#N/A,SUM(DT$4:DT388))</f>
        <v>#N/A</v>
      </c>
      <c r="DV388" s="314" t="str">
        <f t="shared" ref="DV388:DV448" si="721">IF(AND($FV388="Dwn",$GA388="Short",$E388=DT$2),$FP388,"")</f>
        <v/>
      </c>
      <c r="DW388" s="314" t="e">
        <f>IF($J388="",#N/A,SUM(DV$4:DV388))</f>
        <v>#N/A</v>
      </c>
      <c r="DX388" s="315" t="str">
        <f t="shared" ref="DX388:DX448" si="722">IF(AND($FV388="SW",$GA388="Long",$E388=DT$2),$FP388,"")</f>
        <v/>
      </c>
      <c r="DY388" s="315" t="e">
        <f>IF($J388="",#N/A,SUM(DX$4:DX388))</f>
        <v>#N/A</v>
      </c>
      <c r="DZ388" s="315" t="e">
        <f>IF($J388="",#N/A,SUM(DX$4:DX388,DV$4:DV388,DT$4:DT388))</f>
        <v>#N/A</v>
      </c>
      <c r="EA388" s="304" t="str">
        <f t="shared" ref="EA388:EA448" si="723">IF(AND($FV388="Up",$GA388="Long",$E388=EA$2),$FP388,"")</f>
        <v/>
      </c>
      <c r="EB388" s="313" t="e">
        <f>IF($J388="",#N/A,SUM(EA$4:EA388))</f>
        <v>#N/A</v>
      </c>
      <c r="EC388" s="314" t="str">
        <f t="shared" ref="EC388:EC448" si="724">IF(AND($FV388="Dwn",$GA388="Short",$E388=EA$2),$FP388,"")</f>
        <v/>
      </c>
      <c r="ED388" s="314" t="e">
        <f>IF($J388="",#N/A,SUM(EC$4:EC388))</f>
        <v>#N/A</v>
      </c>
      <c r="EE388" s="315" t="str">
        <f t="shared" ref="EE388:EE448" si="725">IF(AND($FV388="SW",$GA388="Long",$E388=EA$2),$FP388,"")</f>
        <v/>
      </c>
      <c r="EF388" s="315" t="e">
        <f>IF($J388="",#N/A,SUM(EE$4:EE388))</f>
        <v>#N/A</v>
      </c>
      <c r="EG388" s="315" t="e">
        <f>IF($J388="",#N/A,SUM(EE$4:EE388,EC$4:EC388,EA$4:EA388))</f>
        <v>#N/A</v>
      </c>
      <c r="EH388" s="130">
        <f t="shared" ref="EH388:EH448" si="726">IF(OR($GI388="",L388=""),"",IF($GA388="Long",(($J388*$GI388)-$GH388),($GH388-($J388*$GI388))))</f>
        <v>-89.400000000000091</v>
      </c>
      <c r="EI388" s="63">
        <f>IF(EH388="",#N/A,SUM($EH$4:EH388))</f>
        <v>1104.4140485895457</v>
      </c>
      <c r="EJ388" s="223" t="e">
        <f t="shared" ref="EJ388:EJ448" si="727">IF(GZ388="","",IF(OR($GI388="",AM388=""),"",IF($GA388="Long",(($GZ388*$GI388)-$GH388),($GH388-($GZ388*$GI388)))))</f>
        <v>#N/A</v>
      </c>
      <c r="EK388" s="63" t="e">
        <f>IF($GZ388="",#N/A,SUM(EJ$4:EJ388))</f>
        <v>#N/A</v>
      </c>
      <c r="EL388" s="60" t="str">
        <f t="shared" si="651"/>
        <v/>
      </c>
      <c r="EM388" s="60" t="e">
        <f>IF(EL388="",NA(),SUM($EL$4:EL388))</f>
        <v>#N/A</v>
      </c>
      <c r="EN388" s="60" t="str">
        <f t="shared" ref="EN388:EN448" si="728">IF(AND($FV388="Up",$GA388="Long",$D388="Y"),$EL388,"")</f>
        <v/>
      </c>
      <c r="EO388" s="60" t="e">
        <f>IF(EN388="",NA(),SUM($EN$4:EN388))</f>
        <v>#N/A</v>
      </c>
      <c r="EP388" s="60" t="str">
        <f t="shared" ref="EP388:EP448" si="729">IF(AND($FV388="SW",$GA388="Long",$D388="Y"),$EL388,"")</f>
        <v/>
      </c>
      <c r="EQ388" s="60" t="e">
        <f>IF(EP388="",NA(),SUM($EP$4:EP388))</f>
        <v>#N/A</v>
      </c>
      <c r="ER388" s="60" t="str">
        <f t="shared" ref="ER388:ER448" si="730">IF(AND($FV388="Dwn",$GA388="Short",$D388="Y"),$EL388,"")</f>
        <v/>
      </c>
      <c r="ES388" s="60" t="e">
        <f>IF(ER388="",NA(),SUM($ER$4:ER388))</f>
        <v>#N/A</v>
      </c>
      <c r="ET388" s="60">
        <f t="shared" ref="ET388:ET448" si="731">IF($J388="","",IF($D388="N",$FP388,""))</f>
        <v>-0.9392334846192647</v>
      </c>
      <c r="EU388" s="60">
        <f>IF(ET388="",NA(),SUM($ET$4:ET388))</f>
        <v>27.441930370087398</v>
      </c>
      <c r="EV388" s="60" t="str">
        <f t="shared" ref="EV388:EV448" si="732">IF(AND($FV388="Up",$GA388="Long",$D388="N"),$ET388,"")</f>
        <v/>
      </c>
      <c r="EW388" s="60" t="e">
        <f>IF(EV388="",NA(),SUM($EV$4:EV388))</f>
        <v>#N/A</v>
      </c>
      <c r="EX388" s="60">
        <f t="shared" ref="EX388:EX448" si="733">IF(AND($FV388="SW",$GA388="Long",$D388="N"),$ET388,"")</f>
        <v>-0.9392334846192647</v>
      </c>
      <c r="EY388" s="60">
        <f>IF(EX388="",NA(),SUM($EX$4:EX388))</f>
        <v>9.1620161365898625</v>
      </c>
      <c r="EZ388" s="60" t="str">
        <f t="shared" ref="EZ388:EZ448" si="734">IF(AND($FV388="Dwn",$GA388="Short",$D388="N"),$ET388,"")</f>
        <v/>
      </c>
      <c r="FA388" s="60" t="e">
        <f>IF(EZ388="",NA(),SUM($EZ$4:EZ388))</f>
        <v>#N/A</v>
      </c>
      <c r="FB388" s="246" t="str">
        <f t="shared" si="652"/>
        <v/>
      </c>
      <c r="FC388" s="246" t="e">
        <f>IF($FB388="",#N/A,SUM(FB$4:$FB388))</f>
        <v>#N/A</v>
      </c>
      <c r="FD388" s="60" t="str">
        <f t="shared" ref="FD388:FD448" si="735">IF($GZ388="","",IF(AND($FV388="Dwn",$K388&gt;0),$FN388-$FP388,""))</f>
        <v/>
      </c>
      <c r="FE388" s="60" t="e">
        <f>IF($FD388="",#N/A,SUM($FD$4:FD388))</f>
        <v>#N/A</v>
      </c>
      <c r="FF388" s="60" t="str">
        <f t="shared" ref="FF388:FF448" si="736">IF($GZ388="","",IF(AND($FV388="Up",$K388&gt;0),$FN388-$FP388,""))</f>
        <v/>
      </c>
      <c r="FG388" s="60" t="e">
        <f>IF($FF388="",#N/A,SUM($FF$4:FF388))</f>
        <v>#N/A</v>
      </c>
      <c r="FH388" s="60" t="str">
        <f t="shared" ref="FH388:FH448" si="737">IF($GZ388="","",IF(AND($FV388="Up",$K388&lt;0),$FN388-$FP388,""))</f>
        <v/>
      </c>
      <c r="FI388" s="60" t="e">
        <f>IF($FH388="",#N/A,SUM($FH$4:FH388))</f>
        <v>#N/A</v>
      </c>
      <c r="FJ388" s="60" t="str">
        <f t="shared" ref="FJ388:FJ448" si="738">IF($GZ388="","",IF(AND($FV388="SW",$K388&gt;0),$FN388-$FP388,""))</f>
        <v/>
      </c>
      <c r="FK388" s="60" t="e">
        <f>IF($FJ388="",#N/A,SUM($FJ$4:FJ388))</f>
        <v>#N/A</v>
      </c>
      <c r="FL388" s="60">
        <f t="shared" ref="FL388:FL448" si="739">IF($GZ388="","",IF(AND($FV388="SW",$K388&lt;0),$FN388-$FP388,""))</f>
        <v>-0.67448310640443832</v>
      </c>
      <c r="FM388" s="60">
        <f>IF($FL388="",#N/A,SUM($FL$4:FL388))</f>
        <v>-7.9454508643520825</v>
      </c>
      <c r="FN388" s="82">
        <f t="shared" ref="FN388:FN448" si="740">IF(OR($GI388="",$GZ388=""),"",IF($GA388="Long",(($GZ388*$GI388)-$GH388)/($GH388*0.06),($GH388-($GZ388*$GI388))/($GH388*0.06)))</f>
        <v>-1.613716591023703</v>
      </c>
      <c r="FO388" s="82">
        <f>IF($FN388="",#N/A,SUM(FN$4:$FN388))</f>
        <v>37.499290522700505</v>
      </c>
      <c r="FP388" s="82">
        <f t="shared" si="653"/>
        <v>-0.9392334846192647</v>
      </c>
      <c r="FQ388" s="246">
        <f>IF($EH388="",#N/A,SUM($FP$4:FP388))</f>
        <v>52.109562061333868</v>
      </c>
      <c r="FR388" s="82">
        <f>IFERROR(FQ388/COUNTA($J$4:J388),#N/A)</f>
        <v>0.13534951184762042</v>
      </c>
      <c r="FS388" s="82">
        <f t="shared" si="661"/>
        <v>5.9827128277135981E-2</v>
      </c>
      <c r="FT388" s="82">
        <f t="shared" si="662"/>
        <v>-0.13991674429792936</v>
      </c>
      <c r="FU388" s="338">
        <f t="shared" si="660"/>
        <v>28.58925665369707</v>
      </c>
      <c r="FV388" s="57" t="str">
        <f t="shared" si="666"/>
        <v>SW</v>
      </c>
      <c r="FW388" s="57" t="s">
        <v>2732</v>
      </c>
      <c r="FX388" s="57" t="str">
        <f t="shared" ref="FX388:FX448" si="741">IF(K388="","",IF(AND(K388&gt;0,FW388="Yes"),1,""))</f>
        <v/>
      </c>
      <c r="FY388" s="57" t="str">
        <f t="shared" ref="FY388:FY448" si="742">IF(K388="","",IF(AND($K388&gt;0,$FW388="No"),1,""))</f>
        <v/>
      </c>
      <c r="FZ388" s="57" t="str">
        <f t="shared" ref="FZ388:FZ448" si="743">IF(K388="","",IF(AND($K388&gt;0,$FW388="NA"),1,""))</f>
        <v/>
      </c>
      <c r="GA388" s="57" t="str">
        <f t="shared" ref="GA388:GA448" si="744">IF(FV388="Dwn","Short","Long")</f>
        <v>Long</v>
      </c>
      <c r="GB388" s="57" t="str">
        <f t="shared" ref="GB388:GB448" si="745">IF(K388="","",IF(AND($K388&lt;0,$FW388="Yes"),1,""))</f>
        <v/>
      </c>
      <c r="GC388" s="57" t="str">
        <f t="shared" ref="GC388:GC448" si="746">IF(K388="","",IF(AND($K388&lt;0,$FW388="No"),1,""))</f>
        <v/>
      </c>
      <c r="GD388" s="57">
        <f t="shared" ref="GD388:GD448" si="747">IF(K388="","",IF(AND($K388&lt;0,$FW388="NA"),1,""))</f>
        <v>1</v>
      </c>
      <c r="GE388" s="62">
        <f t="shared" si="664"/>
        <v>26.44</v>
      </c>
      <c r="GF388" s="62" t="s">
        <v>2779</v>
      </c>
      <c r="GG388" s="199">
        <v>60</v>
      </c>
      <c r="GH388" s="207">
        <f t="shared" ref="GH388:GH448" si="748">IF(GG388="","",GE388*GG388)</f>
        <v>1586.4</v>
      </c>
      <c r="GI388" s="199">
        <v>60</v>
      </c>
      <c r="GJ388" s="200">
        <v>25</v>
      </c>
      <c r="GK388" s="63">
        <f t="shared" ref="GK388:GK448" si="749">IF($GI388="","",IF($GF388="Long",(($GJ388*$GI388)-$GH388),($GH388-($GJ388*$GI388))))</f>
        <v>-86.400000000000091</v>
      </c>
      <c r="GL388" s="63">
        <f t="shared" si="665"/>
        <v>-153.60000000000014</v>
      </c>
      <c r="GM388" s="82">
        <f t="shared" ref="GM388:GM448" si="750">IF(AND($FV388="SW",$GA388="Long"),$FN388,"")</f>
        <v>-1.613716591023703</v>
      </c>
      <c r="GN388" s="82">
        <f>IF($GZ388="",#N/A,SUM(GM$4:GM388))</f>
        <v>7.7157096856322891</v>
      </c>
      <c r="GO388" s="82" t="str">
        <f t="shared" ref="GO388:GO448" si="751">IF(AND($FV388="UP",$GA388="Long"),$FN388,"")</f>
        <v/>
      </c>
      <c r="GP388" s="82">
        <f>IF($GZ388="",#N/A,SUM(GO$4:GO388))</f>
        <v>3.9893037078761537</v>
      </c>
      <c r="GQ388" s="82" t="str">
        <f t="shared" ref="GQ388:GQ448" si="752">IF(AND($FV388="Dwn",$GA388="Short"),$FN388,"")</f>
        <v/>
      </c>
      <c r="GR388" s="82">
        <f>IF($GZ388="",#N/A,SUM(GQ$4:GQ388))</f>
        <v>25.168440174749733</v>
      </c>
      <c r="GS388" s="63" t="e">
        <f t="shared" si="654"/>
        <v>#N/A</v>
      </c>
      <c r="GT388" s="63" t="e">
        <f>IF($GZ388="",#N/A,SUM(GS$4:GS388))</f>
        <v>#N/A</v>
      </c>
      <c r="GU388" s="63" t="str">
        <f t="shared" si="655"/>
        <v/>
      </c>
      <c r="GV388" s="63" t="e">
        <f>IF($GZ388="",#N/A,SUM(GU$4:GU388))</f>
        <v>#N/A</v>
      </c>
      <c r="GW388" s="63" t="str">
        <f t="shared" si="656"/>
        <v/>
      </c>
      <c r="GX388" s="63" t="e">
        <f>IF($GZ388="",#N/A,SUM(GW$4:GW388))</f>
        <v>#N/A</v>
      </c>
      <c r="GY388" s="63" t="e">
        <f>IF(EJ388="",#N/A,SUM($EJ$4:EJ388))</f>
        <v>#N/A</v>
      </c>
      <c r="GZ388" s="159">
        <v>23.88</v>
      </c>
      <c r="HA388" s="63">
        <f t="shared" ref="HA388:HA448" si="753">IF(OR(GL388="",GZ388=""),"",GL388-EH388)</f>
        <v>-64.200000000000045</v>
      </c>
      <c r="HB388" s="62" t="s">
        <v>2538</v>
      </c>
      <c r="HC388" s="60">
        <f>IFERROR(VLOOKUP(E388,Expectancy!$P$4:$S$19,1+C388,FALSE),"")</f>
        <v>0.27741610538114203</v>
      </c>
      <c r="HD388" s="82">
        <f t="shared" ref="HD388:HD448" si="754">IF(AND(HB388="MOC",GZ388=""),"",IF(GI388="","",IF(HB388="Skip","",IF(HG388=0,0,HG388/(GH388*0.06)))))</f>
        <v>-0.90771558245083306</v>
      </c>
      <c r="HE388" s="138">
        <f>IF(HD388="",#N/A,SUM($HD$4:HD388))</f>
        <v>8.9903054076367965</v>
      </c>
      <c r="HF388" s="85">
        <f>IF(HD388="",#N/A,IF(HB388="Skip",#N/A,SUM($HG$4:HG388)))</f>
        <v>189.38157921915604</v>
      </c>
      <c r="HG388" s="63">
        <f t="shared" ref="HG388:HG448" si="755">IF(HB388="","",IF(HB388="Skip","",IF(OR(HB388="open",HB388="Other"),GK388,IF(HB388="MOC",GL388,"Err"))))</f>
        <v>-86.400000000000091</v>
      </c>
      <c r="HH388" s="82">
        <f t="shared" ref="HH388:HH418" si="756">IF(OR($GI388="",$L388=""),"",IF($GA388="Long",(($GZ388*$GI388)-$GH388)/($GH388*0.06),($GH388-($GZ388*$GI388))/($GH388*0.06)))</f>
        <v>-1.613716591023703</v>
      </c>
    </row>
    <row r="389" spans="1:216" x14ac:dyDescent="0.25">
      <c r="A389" s="465" t="s">
        <v>1157</v>
      </c>
      <c r="B389" s="466" t="str" cm="1">
        <f t="array" ref="B389">IFERROR(_xlfn.XLOOKUP(A389,Earnings!$B$2:$B$9985,LEFT(Earnings!$C$2:$C$9985,37)),"Can't Find Date***")</f>
        <v>on 2/27/25, 7:00 AM Before Market Eas</v>
      </c>
      <c r="C389" s="467">
        <f t="shared" si="667"/>
        <v>2</v>
      </c>
      <c r="D389" s="468" t="str">
        <f>_xlfn.XLOOKUP(A389,[1]SP500!$A$2:$A$502,[1]SP500!$D$2:$D$502,"N")</f>
        <v>Y</v>
      </c>
      <c r="E389" s="465" t="str">
        <f>_xlfn.XLOOKUP(A389,[1]SP500!$A$2:$A$655,[1]SP500!$B$2:$B$655)</f>
        <v>XLP</v>
      </c>
      <c r="F389" s="59">
        <v>45715</v>
      </c>
      <c r="G389" s="57" t="str">
        <f t="shared" si="668"/>
        <v>BMO</v>
      </c>
      <c r="H389" s="57" t="str">
        <f t="shared" si="669"/>
        <v>o</v>
      </c>
      <c r="I389" s="159">
        <v>109.16</v>
      </c>
      <c r="J389" s="159">
        <v>104.565</v>
      </c>
      <c r="K389" s="61">
        <f t="shared" si="670"/>
        <v>-4.209417368999633E-2</v>
      </c>
      <c r="L389" s="87">
        <f t="shared" si="671"/>
        <v>68.924999999999955</v>
      </c>
      <c r="M389" s="130" t="e">
        <f t="shared" si="663"/>
        <v>#N/A</v>
      </c>
      <c r="N389" s="169" t="str">
        <f t="shared" si="672"/>
        <v/>
      </c>
      <c r="O389" s="169">
        <f>IF($J389="",#N/A,SUM($N$4:N389))</f>
        <v>-295.65328064577557</v>
      </c>
      <c r="P389" s="174">
        <f t="shared" si="673"/>
        <v>68.924999999999955</v>
      </c>
      <c r="Q389" s="174">
        <f>IF($J389="",#N/A,SUM($P$4:P389))</f>
        <v>95.729992245043263</v>
      </c>
      <c r="R389" s="178" t="str">
        <f t="shared" si="674"/>
        <v/>
      </c>
      <c r="S389" s="178">
        <f>IF($J389="",#N/A,SUM($R$4:R389))</f>
        <v>1373.2623369902778</v>
      </c>
      <c r="T389" s="290" t="str">
        <f t="shared" si="675"/>
        <v/>
      </c>
      <c r="U389" s="290">
        <f>IF($J389="",#N/A,SUM($T$4:T389))</f>
        <v>10.514761942459062</v>
      </c>
      <c r="V389" s="291">
        <f t="shared" si="676"/>
        <v>0.70156956149993854</v>
      </c>
      <c r="W389" s="291">
        <f>IF($J389="",#N/A,SUM($V$4:V389))</f>
        <v>20.495799746131691</v>
      </c>
      <c r="X389" s="292" t="str">
        <f t="shared" si="677"/>
        <v/>
      </c>
      <c r="Y389" s="292">
        <f>IF($J389="",#N/A,SUM($X$4:X389))</f>
        <v>21.800569934243086</v>
      </c>
      <c r="Z389" s="304" t="str">
        <f t="shared" si="678"/>
        <v/>
      </c>
      <c r="AA389" s="313" t="e">
        <f>IF($J389="",#N/A,SUM(Z$4:Z389))</f>
        <v>#N/A</v>
      </c>
      <c r="AB389" s="314" t="str">
        <f t="shared" si="679"/>
        <v/>
      </c>
      <c r="AC389" s="314" t="e">
        <f>IF($J389="",#N/A,SUM(AB$4:AB389))</f>
        <v>#N/A</v>
      </c>
      <c r="AD389" s="315" t="str">
        <f t="shared" si="680"/>
        <v/>
      </c>
      <c r="AE389" s="315" t="e">
        <f>IF($J389="",#N/A,SUM(AD$4:AD389))</f>
        <v>#N/A</v>
      </c>
      <c r="AF389" s="315" t="e">
        <f>IF($J389="",#N/A,SUM(AD$4:AD389,AB$4:AB389,Z$4:Z389))</f>
        <v>#N/A</v>
      </c>
      <c r="AG389" s="304" t="str">
        <f t="shared" si="681"/>
        <v/>
      </c>
      <c r="AH389" s="313" t="e">
        <f>IF($J389="",#N/A,SUM(AG$4:AG389))</f>
        <v>#N/A</v>
      </c>
      <c r="AI389" s="314" t="str">
        <f t="shared" si="682"/>
        <v/>
      </c>
      <c r="AJ389" s="314" t="e">
        <f>IF($J389="",#N/A,SUM(AI$4:AI389))</f>
        <v>#N/A</v>
      </c>
      <c r="AK389" s="315" t="str">
        <f t="shared" si="683"/>
        <v/>
      </c>
      <c r="AL389" s="315" t="e">
        <f>IF($J389="",#N/A,SUM(AK$4:AK389))</f>
        <v>#N/A</v>
      </c>
      <c r="AM389" s="315" t="e">
        <f>IF($J389="",#N/A,SUM(AK$4:AK389,AI$4:AI389,AG$4:AG389))</f>
        <v>#N/A</v>
      </c>
      <c r="AN389" s="304" t="str">
        <f t="shared" si="684"/>
        <v/>
      </c>
      <c r="AO389" s="313" t="e">
        <f>IF($J389="",#N/A,SUM(AN$4:AN389))</f>
        <v>#N/A</v>
      </c>
      <c r="AP389" s="314" t="str">
        <f t="shared" si="685"/>
        <v/>
      </c>
      <c r="AQ389" s="314" t="e">
        <f>IF($J389="",#N/A,SUM(AP$4:AP389))</f>
        <v>#N/A</v>
      </c>
      <c r="AR389" s="315" t="str">
        <f t="shared" si="686"/>
        <v/>
      </c>
      <c r="AS389" s="315" t="e">
        <f>IF($J389="",#N/A,SUM(AR$4:AR389))</f>
        <v>#N/A</v>
      </c>
      <c r="AT389" s="315" t="e">
        <f>IF($J389="",#N/A,SUM(AR$4:AR389,AP$4:AP389,AN$4:AN389))</f>
        <v>#N/A</v>
      </c>
      <c r="AU389" s="304" t="str">
        <f t="shared" si="687"/>
        <v/>
      </c>
      <c r="AV389" s="313" t="e">
        <f>IF($J389="",#N/A,SUM(AU$4:AU389))</f>
        <v>#N/A</v>
      </c>
      <c r="AW389" s="314">
        <f t="shared" si="688"/>
        <v>0.70156956149993854</v>
      </c>
      <c r="AX389" s="314" t="e">
        <f>IF($J389="",#N/A,SUM(AW$4:AW389))</f>
        <v>#N/A</v>
      </c>
      <c r="AY389" s="315" t="str">
        <f t="shared" si="689"/>
        <v/>
      </c>
      <c r="AZ389" s="315" t="e">
        <f>IF($J389="",#N/A,SUM(AY$4:AY389))</f>
        <v>#N/A</v>
      </c>
      <c r="BA389" s="315" t="e">
        <f>IF($J389="",#N/A,SUM(AY$4:AY389,AW$4:AW389,AU$4:AU389))</f>
        <v>#N/A</v>
      </c>
      <c r="BB389" s="304" t="str">
        <f t="shared" si="690"/>
        <v/>
      </c>
      <c r="BC389" s="313" t="e">
        <f>IF($J389="",#N/A,SUM(BB$4:BB389))</f>
        <v>#N/A</v>
      </c>
      <c r="BD389" s="314" t="str">
        <f t="shared" si="691"/>
        <v/>
      </c>
      <c r="BE389" s="314" t="e">
        <f>IF($J389="",#N/A,SUM(BD$4:BD389))</f>
        <v>#N/A</v>
      </c>
      <c r="BF389" s="315" t="str">
        <f t="shared" si="692"/>
        <v/>
      </c>
      <c r="BG389" s="315" t="e">
        <f>IF($J389="",#N/A,SUM(BF$4:BF389))</f>
        <v>#N/A</v>
      </c>
      <c r="BH389" s="315" t="e">
        <f>IF($J389="",#N/A,SUM(BF$4:BF389,BD$4:BD389,BB$4:BB389))</f>
        <v>#N/A</v>
      </c>
      <c r="BI389" s="304" t="str">
        <f t="shared" si="693"/>
        <v/>
      </c>
      <c r="BJ389" s="313" t="e">
        <f>IF($J389="",#N/A,SUM(BI$4:BI389))</f>
        <v>#N/A</v>
      </c>
      <c r="BK389" s="314" t="str">
        <f t="shared" si="694"/>
        <v/>
      </c>
      <c r="BL389" s="314" t="e">
        <f>IF($J389="",#N/A,SUM(BK$4:BK389))</f>
        <v>#N/A</v>
      </c>
      <c r="BM389" s="315" t="str">
        <f t="shared" si="695"/>
        <v/>
      </c>
      <c r="BN389" s="315" t="e">
        <f>IF($J389="",#N/A,SUM(BM$4:BM389))</f>
        <v>#N/A</v>
      </c>
      <c r="BO389" s="315" t="e">
        <f>IF($J389="",#N/A,SUM(BM$4:BM389,BK$4:BK389,BI$4:BI389))</f>
        <v>#N/A</v>
      </c>
      <c r="BP389" s="304" t="str">
        <f t="shared" si="696"/>
        <v/>
      </c>
      <c r="BQ389" s="313" t="e">
        <f>IF($J389="",#N/A,SUM(BP$4:BP389))</f>
        <v>#N/A</v>
      </c>
      <c r="BR389" s="314" t="str">
        <f t="shared" si="697"/>
        <v/>
      </c>
      <c r="BS389" s="314" t="e">
        <f>IF($J389="",#N/A,SUM(BR$4:BR389))</f>
        <v>#N/A</v>
      </c>
      <c r="BT389" s="315" t="str">
        <f t="shared" si="698"/>
        <v/>
      </c>
      <c r="BU389" s="315" t="e">
        <f>IF($J389="",#N/A,SUM(BT$4:BT389))</f>
        <v>#N/A</v>
      </c>
      <c r="BV389" s="315" t="e">
        <f>IF($J389="",#N/A,SUM(BT$4:BT389,BR$4:BR389,BP$4:BP389))</f>
        <v>#N/A</v>
      </c>
      <c r="BW389" s="304" t="str">
        <f t="shared" si="699"/>
        <v/>
      </c>
      <c r="BX389" s="313" t="e">
        <f>IF($J389="",#N/A,SUM(BW$4:BW389))</f>
        <v>#N/A</v>
      </c>
      <c r="BY389" s="314" t="str">
        <f t="shared" si="700"/>
        <v/>
      </c>
      <c r="BZ389" s="314" t="e">
        <f>IF($J389="",#N/A,SUM(BY$4:BY389))</f>
        <v>#N/A</v>
      </c>
      <c r="CA389" s="315" t="str">
        <f t="shared" si="701"/>
        <v/>
      </c>
      <c r="CB389" s="315" t="e">
        <f>IF($J389="",#N/A,SUM(CA$4:CA389))</f>
        <v>#N/A</v>
      </c>
      <c r="CC389" s="315" t="e">
        <f>IF($J389="",#N/A,SUM(CA$4:CA389,BY$4:BY389,BW$4:BW389))</f>
        <v>#N/A</v>
      </c>
      <c r="CD389" s="304" t="str">
        <f t="shared" si="702"/>
        <v/>
      </c>
      <c r="CE389" s="313" t="e">
        <f>IF($J389="",#N/A,SUM(CD$4:CD389))</f>
        <v>#N/A</v>
      </c>
      <c r="CF389" s="314" t="str">
        <f t="shared" si="703"/>
        <v/>
      </c>
      <c r="CG389" s="314" t="e">
        <f>IF($J389="",#N/A,SUM(CF$4:CF389))</f>
        <v>#N/A</v>
      </c>
      <c r="CH389" s="315" t="str">
        <f t="shared" si="704"/>
        <v/>
      </c>
      <c r="CI389" s="315" t="e">
        <f>IF($J389="",#N/A,SUM(CH$4:CH389))</f>
        <v>#N/A</v>
      </c>
      <c r="CJ389" s="315" t="e">
        <f>IF($J389="",#N/A,SUM(CH$4:CH389,CF$4:CF389,CD$4:CD389))</f>
        <v>#N/A</v>
      </c>
      <c r="CK389" s="304" t="str">
        <f t="shared" si="705"/>
        <v/>
      </c>
      <c r="CL389" s="313" t="e">
        <f>IF($J389="",#N/A,SUM(CK$4:CK389))</f>
        <v>#N/A</v>
      </c>
      <c r="CM389" s="314" t="str">
        <f t="shared" si="706"/>
        <v/>
      </c>
      <c r="CN389" s="314" t="e">
        <f>IF($J389="",#N/A,SUM(CM$4:CM389))</f>
        <v>#N/A</v>
      </c>
      <c r="CO389" s="315" t="str">
        <f t="shared" si="707"/>
        <v/>
      </c>
      <c r="CP389" s="315" t="e">
        <f>IF($J389="",#N/A,SUM(CO$4:CO389))</f>
        <v>#N/A</v>
      </c>
      <c r="CQ389" s="315" t="e">
        <f>IF($J389="",#N/A,SUM(CO$4:CO389,CM$4:CM389,CK$4:CK389))</f>
        <v>#N/A</v>
      </c>
      <c r="CR389" s="304" t="str">
        <f t="shared" si="708"/>
        <v/>
      </c>
      <c r="CS389" s="313" t="e">
        <f>IF($J389="",#N/A,SUM(CR$4:CR389))</f>
        <v>#N/A</v>
      </c>
      <c r="CT389" s="314" t="str">
        <f t="shared" si="709"/>
        <v/>
      </c>
      <c r="CU389" s="314" t="e">
        <f>IF($J389="",#N/A,SUM(CT$4:CT389))</f>
        <v>#N/A</v>
      </c>
      <c r="CV389" s="315" t="str">
        <f t="shared" si="710"/>
        <v/>
      </c>
      <c r="CW389" s="315" t="e">
        <f>IF($J389="",#N/A,SUM(CV$4:CV389))</f>
        <v>#N/A</v>
      </c>
      <c r="CX389" s="315" t="e">
        <f>IF($J389="",#N/A,SUM(CV$4:CV389,CT$4:CT389,CR$4:CR389))</f>
        <v>#N/A</v>
      </c>
      <c r="CY389" s="304" t="str">
        <f t="shared" si="711"/>
        <v/>
      </c>
      <c r="CZ389" s="313" t="e">
        <f>IF($J389="",#N/A,SUM(CY$4:CY389))</f>
        <v>#N/A</v>
      </c>
      <c r="DA389" s="314" t="str">
        <f t="shared" si="712"/>
        <v/>
      </c>
      <c r="DB389" s="314" t="e">
        <f>IF($J389="",#N/A,SUM(DA$4:DA389))</f>
        <v>#N/A</v>
      </c>
      <c r="DC389" s="315" t="str">
        <f t="shared" si="713"/>
        <v/>
      </c>
      <c r="DD389" s="315" t="e">
        <f>IF($J389="",#N/A,SUM(DC$4:DC389))</f>
        <v>#N/A</v>
      </c>
      <c r="DE389" s="315" t="e">
        <f>IF($J389="",#N/A,SUM(DC$4:DC389,DA$4:DA389,CY$4:CY389))</f>
        <v>#N/A</v>
      </c>
      <c r="DF389" s="304" t="str">
        <f t="shared" si="714"/>
        <v/>
      </c>
      <c r="DG389" s="313" t="e">
        <f>IF($J389="",#N/A,SUM(DF$4:DF389))</f>
        <v>#N/A</v>
      </c>
      <c r="DH389" s="314" t="str">
        <f t="shared" si="715"/>
        <v/>
      </c>
      <c r="DI389" s="314" t="e">
        <f>IF($J389="",#N/A,SUM(DH$4:DH389))</f>
        <v>#N/A</v>
      </c>
      <c r="DJ389" s="315" t="str">
        <f t="shared" si="716"/>
        <v/>
      </c>
      <c r="DK389" s="315" t="e">
        <f>IF($J389="",#N/A,SUM(DJ$4:DJ389))</f>
        <v>#N/A</v>
      </c>
      <c r="DL389" s="315" t="e">
        <f>IF($J389="",#N/A,SUM(DJ$4:DJ389,DH$4:DH389,DF$4:DF389))</f>
        <v>#N/A</v>
      </c>
      <c r="DM389" s="304" t="str">
        <f t="shared" si="717"/>
        <v/>
      </c>
      <c r="DN389" s="313" t="e">
        <f>IF($J389="",#N/A,SUM(DM$4:DM389))</f>
        <v>#N/A</v>
      </c>
      <c r="DO389" s="314" t="str">
        <f t="shared" si="718"/>
        <v/>
      </c>
      <c r="DP389" s="314" t="e">
        <f>IF($J389="",#N/A,SUM(DO$4:DO389))</f>
        <v>#N/A</v>
      </c>
      <c r="DQ389" s="315" t="str">
        <f t="shared" si="719"/>
        <v/>
      </c>
      <c r="DR389" s="315" t="e">
        <f>IF($J389="",#N/A,SUM(DQ$4:DQ389))</f>
        <v>#N/A</v>
      </c>
      <c r="DS389" s="315" t="e">
        <f>IF($J389="",#N/A,SUM(DQ$4:DQ389,DO$4:DO389,DM$4:DM389))</f>
        <v>#N/A</v>
      </c>
      <c r="DT389" s="304" t="str">
        <f t="shared" si="720"/>
        <v/>
      </c>
      <c r="DU389" s="313" t="e">
        <f>IF($J389="",#N/A,SUM(DT$4:DT389))</f>
        <v>#N/A</v>
      </c>
      <c r="DV389" s="314" t="str">
        <f t="shared" si="721"/>
        <v/>
      </c>
      <c r="DW389" s="314" t="e">
        <f>IF($J389="",#N/A,SUM(DV$4:DV389))</f>
        <v>#N/A</v>
      </c>
      <c r="DX389" s="315" t="str">
        <f t="shared" si="722"/>
        <v/>
      </c>
      <c r="DY389" s="315" t="e">
        <f>IF($J389="",#N/A,SUM(DX$4:DX389))</f>
        <v>#N/A</v>
      </c>
      <c r="DZ389" s="315" t="e">
        <f>IF($J389="",#N/A,SUM(DX$4:DX389,DV$4:DV389,DT$4:DT389))</f>
        <v>#N/A</v>
      </c>
      <c r="EA389" s="304" t="str">
        <f t="shared" si="723"/>
        <v/>
      </c>
      <c r="EB389" s="313" t="e">
        <f>IF($J389="",#N/A,SUM(EA$4:EA389))</f>
        <v>#N/A</v>
      </c>
      <c r="EC389" s="314" t="str">
        <f t="shared" si="724"/>
        <v/>
      </c>
      <c r="ED389" s="314" t="e">
        <f>IF($J389="",#N/A,SUM(EC$4:EC389))</f>
        <v>#N/A</v>
      </c>
      <c r="EE389" s="315" t="str">
        <f t="shared" si="725"/>
        <v/>
      </c>
      <c r="EF389" s="315" t="e">
        <f>IF($J389="",#N/A,SUM(EE$4:EE389))</f>
        <v>#N/A</v>
      </c>
      <c r="EG389" s="315" t="e">
        <f>IF($J389="",#N/A,SUM(EE$4:EE389,EC$4:EC389,EA$4:EA389))</f>
        <v>#N/A</v>
      </c>
      <c r="EH389" s="130">
        <f t="shared" si="726"/>
        <v>68.924999999999955</v>
      </c>
      <c r="EI389" s="63">
        <f>IF(EH389="",#N/A,SUM($EH$4:EH389))</f>
        <v>1173.3390485895457</v>
      </c>
      <c r="EJ389" s="223" t="e">
        <f t="shared" si="727"/>
        <v>#N/A</v>
      </c>
      <c r="EK389" s="63" t="e">
        <f>IF($GZ389="",#N/A,SUM(EJ$4:EJ389))</f>
        <v>#N/A</v>
      </c>
      <c r="EL389" s="60">
        <f t="shared" ref="EL389:EL448" si="757">IF(J389="","",IF(D389="Y",FP389,""))</f>
        <v>0.70156956149993854</v>
      </c>
      <c r="EM389" s="60">
        <f>IF(EL389="",NA(),SUM($EL$4:EL389))</f>
        <v>25.369201252746446</v>
      </c>
      <c r="EN389" s="60" t="str">
        <f t="shared" si="728"/>
        <v/>
      </c>
      <c r="EO389" s="60" t="e">
        <f>IF(EN389="",NA(),SUM($EN$4:EN389))</f>
        <v>#N/A</v>
      </c>
      <c r="EP389" s="60" t="str">
        <f t="shared" si="729"/>
        <v/>
      </c>
      <c r="EQ389" s="60" t="e">
        <f>IF(EP389="",NA(),SUM($EP$4:EP389))</f>
        <v>#N/A</v>
      </c>
      <c r="ER389" s="60">
        <f t="shared" si="730"/>
        <v>0.70156956149993854</v>
      </c>
      <c r="ES389" s="60">
        <f>IF(ER389="",NA(),SUM($ER$4:ER389))</f>
        <v>7.715987761850184</v>
      </c>
      <c r="ET389" s="60" t="str">
        <f t="shared" si="731"/>
        <v/>
      </c>
      <c r="EU389" s="60" t="e">
        <f>IF(ET389="",NA(),SUM($ET$4:ET389))</f>
        <v>#N/A</v>
      </c>
      <c r="EV389" s="60" t="str">
        <f t="shared" si="732"/>
        <v/>
      </c>
      <c r="EW389" s="60" t="e">
        <f>IF(EV389="",NA(),SUM($EV$4:EV389))</f>
        <v>#N/A</v>
      </c>
      <c r="EX389" s="60" t="str">
        <f t="shared" si="733"/>
        <v/>
      </c>
      <c r="EY389" s="60" t="e">
        <f>IF(EX389="",NA(),SUM($EX$4:EX389))</f>
        <v>#N/A</v>
      </c>
      <c r="EZ389" s="60" t="str">
        <f t="shared" si="734"/>
        <v/>
      </c>
      <c r="FA389" s="60" t="e">
        <f>IF(EZ389="",NA(),SUM($EZ$4:EZ389))</f>
        <v>#N/A</v>
      </c>
      <c r="FB389" s="246">
        <f t="shared" ref="FB389:FB448" si="758">IF($GZ389="","",IF(AND($FV389="Dwn",$K389&lt;0),$FN389-FP389,""))</f>
        <v>-0.69851593990472705</v>
      </c>
      <c r="FC389" s="246">
        <f>IF($FB389="",#N/A,SUM(FB$4:$FB389))</f>
        <v>2.47896203491011</v>
      </c>
      <c r="FD389" s="60" t="str">
        <f t="shared" si="735"/>
        <v/>
      </c>
      <c r="FE389" s="60" t="e">
        <f>IF($FD389="",#N/A,SUM($FD$4:FD389))</f>
        <v>#N/A</v>
      </c>
      <c r="FF389" s="60" t="str">
        <f t="shared" si="736"/>
        <v/>
      </c>
      <c r="FG389" s="60" t="e">
        <f>IF($FF389="",#N/A,SUM($FF$4:FF389))</f>
        <v>#N/A</v>
      </c>
      <c r="FH389" s="60" t="str">
        <f t="shared" si="737"/>
        <v/>
      </c>
      <c r="FI389" s="60" t="e">
        <f>IF($FH389="",#N/A,SUM($FH$4:FH389))</f>
        <v>#N/A</v>
      </c>
      <c r="FJ389" s="60" t="str">
        <f t="shared" si="738"/>
        <v/>
      </c>
      <c r="FK389" s="60" t="e">
        <f>IF($FJ389="",#N/A,SUM($FJ$4:FJ389))</f>
        <v>#N/A</v>
      </c>
      <c r="FL389" s="60" t="str">
        <f t="shared" si="739"/>
        <v/>
      </c>
      <c r="FM389" s="60" t="e">
        <f>IF($FL389="",#N/A,SUM($FL$4:FL389))</f>
        <v>#N/A</v>
      </c>
      <c r="FN389" s="82">
        <f t="shared" si="740"/>
        <v>3.053621595211459E-3</v>
      </c>
      <c r="FO389" s="82">
        <f>IF($FN389="",#N/A,SUM(FN$4:$FN389))</f>
        <v>37.502344144295719</v>
      </c>
      <c r="FP389" s="82">
        <f t="shared" ref="FP389:FP448" si="759">IF(OR($GI389="",L389=""),"",IF($GA389="Long",(($J389*$GI389)-$GH389)/(GH389*0.06),($GH389-($J389*$GI389))/(GH389*0.06)))</f>
        <v>0.70156956149993854</v>
      </c>
      <c r="FQ389" s="246">
        <f>IF($EH389="",#N/A,SUM($FP$4:FP389))</f>
        <v>52.811131622833805</v>
      </c>
      <c r="FR389" s="82">
        <f>IFERROR(FQ389/COUNTA($J$4:J389),#N/A)</f>
        <v>0.13681640316796323</v>
      </c>
      <c r="FS389" s="82">
        <f t="shared" si="661"/>
        <v>9.3547576473339264E-2</v>
      </c>
      <c r="FT389" s="82">
        <f t="shared" si="662"/>
        <v>-5.0444189319315172E-2</v>
      </c>
      <c r="FU389" s="338">
        <f t="shared" si="660"/>
        <v>29.408375378504694</v>
      </c>
      <c r="FV389" s="57" t="str">
        <f t="shared" si="666"/>
        <v>Dwn</v>
      </c>
      <c r="FW389" s="57" t="s">
        <v>2733</v>
      </c>
      <c r="FX389" s="57" t="str">
        <f t="shared" si="741"/>
        <v/>
      </c>
      <c r="FY389" s="57" t="str">
        <f t="shared" si="742"/>
        <v/>
      </c>
      <c r="FZ389" s="57" t="str">
        <f t="shared" si="743"/>
        <v/>
      </c>
      <c r="GA389" s="57" t="str">
        <f t="shared" si="744"/>
        <v>Short</v>
      </c>
      <c r="GB389" s="57">
        <f t="shared" si="745"/>
        <v>1</v>
      </c>
      <c r="GC389" s="57" t="str">
        <f t="shared" si="746"/>
        <v/>
      </c>
      <c r="GD389" s="57" t="str">
        <f t="shared" si="747"/>
        <v/>
      </c>
      <c r="GE389" s="62">
        <f t="shared" si="664"/>
        <v>109.16</v>
      </c>
      <c r="GF389" s="62" t="s">
        <v>2780</v>
      </c>
      <c r="GG389" s="199">
        <v>15</v>
      </c>
      <c r="GH389" s="207">
        <f t="shared" si="748"/>
        <v>1637.3999999999999</v>
      </c>
      <c r="GI389" s="199">
        <v>15</v>
      </c>
      <c r="GJ389" s="200">
        <v>109.9299</v>
      </c>
      <c r="GK389" s="63">
        <f t="shared" si="749"/>
        <v>-11.548500000000104</v>
      </c>
      <c r="GL389" s="63">
        <f t="shared" si="665"/>
        <v>0.29999999999995453</v>
      </c>
      <c r="GM389" s="82" t="str">
        <f t="shared" si="750"/>
        <v/>
      </c>
      <c r="GN389" s="82">
        <f>IF($GZ389="",#N/A,SUM(GM$4:GM389))</f>
        <v>7.7157096856322891</v>
      </c>
      <c r="GO389" s="82" t="str">
        <f t="shared" si="751"/>
        <v/>
      </c>
      <c r="GP389" s="82">
        <f>IF($GZ389="",#N/A,SUM(GO$4:GO389))</f>
        <v>3.9893037078761537</v>
      </c>
      <c r="GQ389" s="82">
        <f t="shared" si="752"/>
        <v>3.053621595211459E-3</v>
      </c>
      <c r="GR389" s="82">
        <f>IF($GZ389="",#N/A,SUM(GQ$4:GQ389))</f>
        <v>25.171493796344944</v>
      </c>
      <c r="GS389" s="63" t="str">
        <f t="shared" ref="GS389:GS448" si="760">IF(AND(FV389="SW",GA389="Long"),$EJ389,"")</f>
        <v/>
      </c>
      <c r="GT389" s="63" t="e">
        <f>IF($GZ389="",#N/A,SUM(GS$4:GS389))</f>
        <v>#N/A</v>
      </c>
      <c r="GU389" s="63" t="str">
        <f t="shared" ref="GU389:GU448" si="761">IF(AND(FV389="UP",GA389="Long"),$EJ389,"")</f>
        <v/>
      </c>
      <c r="GV389" s="63" t="e">
        <f>IF($GZ389="",#N/A,SUM(GU$4:GU389))</f>
        <v>#N/A</v>
      </c>
      <c r="GW389" s="63" t="e">
        <f t="shared" ref="GW389:GW448" si="762">IF(AND(FV389="Dwn",GA389="Short"),$EJ389,"")</f>
        <v>#N/A</v>
      </c>
      <c r="GX389" s="63" t="e">
        <f>IF($GZ389="",#N/A,SUM(GW$4:GW389))</f>
        <v>#N/A</v>
      </c>
      <c r="GY389" s="63" t="e">
        <f>IF(EJ389="",#N/A,SUM($EJ$4:EJ389))</f>
        <v>#N/A</v>
      </c>
      <c r="GZ389" s="159">
        <v>109.14</v>
      </c>
      <c r="HA389" s="63">
        <f t="shared" si="753"/>
        <v>-68.625</v>
      </c>
      <c r="HB389" s="62" t="s">
        <v>4734</v>
      </c>
      <c r="HC389" s="60">
        <f>IFERROR(VLOOKUP(E389,Expectancy!$P$4:$S$19,1+C389,FALSE),"")</f>
        <v>0.30769020202715358</v>
      </c>
      <c r="HD389" s="82">
        <f t="shared" si="754"/>
        <v>-0.11754916330768399</v>
      </c>
      <c r="HE389" s="138">
        <f>IF(HD389="",#N/A,SUM($HD$4:HD389))</f>
        <v>8.8727562443291124</v>
      </c>
      <c r="HF389" s="85">
        <f>IF(HD389="",#N/A,IF(HB389="Skip",#N/A,SUM($HG$4:HG389)))</f>
        <v>177.83307921915593</v>
      </c>
      <c r="HG389" s="63">
        <f t="shared" si="755"/>
        <v>-11.548500000000104</v>
      </c>
      <c r="HH389" s="82">
        <f t="shared" si="756"/>
        <v>3.053621595211459E-3</v>
      </c>
    </row>
    <row r="390" spans="1:216" x14ac:dyDescent="0.25">
      <c r="A390" s="57" t="s">
        <v>579</v>
      </c>
      <c r="B390" s="58" t="str" cm="1">
        <f t="array" ref="B390">IFERROR(_xlfn.XLOOKUP(A390,Earnings!$B$2:$B$9985,LEFT(Earnings!$C$2:$C$9985,37)),"Can't Find Date***")</f>
        <v>on 2/27/25, 6:45 AM Before Market Eas</v>
      </c>
      <c r="C390" s="386">
        <f t="shared" si="667"/>
        <v>3</v>
      </c>
      <c r="D390" s="372" t="str">
        <f>_xlfn.XLOOKUP(A390,[1]SP500!$A$2:$A$502,[1]SP500!$D$2:$D$502,"N")</f>
        <v>Y</v>
      </c>
      <c r="E390" s="57" t="str">
        <f>_xlfn.XLOOKUP(A390,[1]SP500!$A$2:$A$655,[1]SP500!$B$2:$B$655)</f>
        <v>XLV</v>
      </c>
      <c r="F390" s="59">
        <v>45715</v>
      </c>
      <c r="G390" s="57" t="str">
        <f t="shared" si="668"/>
        <v>BMO</v>
      </c>
      <c r="H390" s="57" t="str">
        <f t="shared" si="669"/>
        <v>s</v>
      </c>
      <c r="I390" s="159">
        <v>11.24</v>
      </c>
      <c r="J390" s="159">
        <v>9.26</v>
      </c>
      <c r="K390" s="61">
        <f t="shared" si="670"/>
        <v>-0.17615658362989328</v>
      </c>
      <c r="L390" s="87">
        <f t="shared" si="671"/>
        <v>-287.09999999999991</v>
      </c>
      <c r="M390" s="130">
        <f t="shared" si="663"/>
        <v>0</v>
      </c>
      <c r="N390" s="169" t="str">
        <f t="shared" si="672"/>
        <v/>
      </c>
      <c r="O390" s="169">
        <f>IF($J390="",#N/A,SUM($N$4:N390))</f>
        <v>-295.65328064577557</v>
      </c>
      <c r="P390" s="174" t="str">
        <f t="shared" si="673"/>
        <v/>
      </c>
      <c r="Q390" s="174">
        <f>IF($J390="",#N/A,SUM($P$4:P390))</f>
        <v>95.729992245043263</v>
      </c>
      <c r="R390" s="178">
        <f t="shared" si="674"/>
        <v>-287.09999999999991</v>
      </c>
      <c r="S390" s="178">
        <f>IF($J390="",#N/A,SUM($R$4:R390))</f>
        <v>1086.1623369902779</v>
      </c>
      <c r="T390" s="290" t="str">
        <f t="shared" si="675"/>
        <v/>
      </c>
      <c r="U390" s="290">
        <f>IF($J390="",#N/A,SUM($T$4:T390))</f>
        <v>10.514761942459062</v>
      </c>
      <c r="V390" s="291" t="str">
        <f t="shared" si="676"/>
        <v/>
      </c>
      <c r="W390" s="291">
        <f>IF($J390="",#N/A,SUM($V$4:V390))</f>
        <v>20.495799746131691</v>
      </c>
      <c r="X390" s="292">
        <f t="shared" si="677"/>
        <v>-2.9359430604982197</v>
      </c>
      <c r="Y390" s="292">
        <f>IF($J390="",#N/A,SUM($X$4:X390))</f>
        <v>18.864626873744868</v>
      </c>
      <c r="Z390" s="304" t="str">
        <f t="shared" si="678"/>
        <v/>
      </c>
      <c r="AA390" s="313" t="e">
        <f>IF($J390="",#N/A,SUM(Z$4:Z390))</f>
        <v>#N/A</v>
      </c>
      <c r="AB390" s="314" t="str">
        <f t="shared" si="679"/>
        <v/>
      </c>
      <c r="AC390" s="314" t="e">
        <f>IF($J390="",#N/A,SUM(AB$4:AB390))</f>
        <v>#N/A</v>
      </c>
      <c r="AD390" s="315" t="str">
        <f t="shared" si="680"/>
        <v/>
      </c>
      <c r="AE390" s="315" t="e">
        <f>IF($J390="",#N/A,SUM(AD$4:AD390))</f>
        <v>#N/A</v>
      </c>
      <c r="AF390" s="315" t="e">
        <f>IF($J390="",#N/A,SUM(AD$4:AD390,AB$4:AB390,Z$4:Z390))</f>
        <v>#N/A</v>
      </c>
      <c r="AG390" s="304" t="str">
        <f t="shared" si="681"/>
        <v/>
      </c>
      <c r="AH390" s="313" t="e">
        <f>IF($J390="",#N/A,SUM(AG$4:AG390))</f>
        <v>#N/A</v>
      </c>
      <c r="AI390" s="314" t="str">
        <f t="shared" si="682"/>
        <v/>
      </c>
      <c r="AJ390" s="314" t="e">
        <f>IF($J390="",#N/A,SUM(AI$4:AI390))</f>
        <v>#N/A</v>
      </c>
      <c r="AK390" s="315" t="str">
        <f t="shared" si="683"/>
        <v/>
      </c>
      <c r="AL390" s="315" t="e">
        <f>IF($J390="",#N/A,SUM(AK$4:AK390))</f>
        <v>#N/A</v>
      </c>
      <c r="AM390" s="315" t="e">
        <f>IF($J390="",#N/A,SUM(AK$4:AK390,AI$4:AI390,AG$4:AG390))</f>
        <v>#N/A</v>
      </c>
      <c r="AN390" s="304" t="str">
        <f t="shared" si="684"/>
        <v/>
      </c>
      <c r="AO390" s="313" t="e">
        <f>IF($J390="",#N/A,SUM(AN$4:AN390))</f>
        <v>#N/A</v>
      </c>
      <c r="AP390" s="314" t="str">
        <f t="shared" si="685"/>
        <v/>
      </c>
      <c r="AQ390" s="314" t="e">
        <f>IF($J390="",#N/A,SUM(AP$4:AP390))</f>
        <v>#N/A</v>
      </c>
      <c r="AR390" s="315" t="str">
        <f t="shared" si="686"/>
        <v/>
      </c>
      <c r="AS390" s="315" t="e">
        <f>IF($J390="",#N/A,SUM(AR$4:AR390))</f>
        <v>#N/A</v>
      </c>
      <c r="AT390" s="315" t="e">
        <f>IF($J390="",#N/A,SUM(AR$4:AR390,AP$4:AP390,AN$4:AN390))</f>
        <v>#N/A</v>
      </c>
      <c r="AU390" s="304" t="str">
        <f t="shared" si="687"/>
        <v/>
      </c>
      <c r="AV390" s="313" t="e">
        <f>IF($J390="",#N/A,SUM(AU$4:AU390))</f>
        <v>#N/A</v>
      </c>
      <c r="AW390" s="314" t="str">
        <f t="shared" si="688"/>
        <v/>
      </c>
      <c r="AX390" s="314" t="e">
        <f>IF($J390="",#N/A,SUM(AW$4:AW390))</f>
        <v>#N/A</v>
      </c>
      <c r="AY390" s="315" t="str">
        <f t="shared" si="689"/>
        <v/>
      </c>
      <c r="AZ390" s="315" t="e">
        <f>IF($J390="",#N/A,SUM(AY$4:AY390))</f>
        <v>#N/A</v>
      </c>
      <c r="BA390" s="315" t="e">
        <f>IF($J390="",#N/A,SUM(AY$4:AY390,AW$4:AW390,AU$4:AU390))</f>
        <v>#N/A</v>
      </c>
      <c r="BB390" s="304" t="str">
        <f t="shared" si="690"/>
        <v/>
      </c>
      <c r="BC390" s="313" t="e">
        <f>IF($J390="",#N/A,SUM(BB$4:BB390))</f>
        <v>#N/A</v>
      </c>
      <c r="BD390" s="314" t="str">
        <f t="shared" si="691"/>
        <v/>
      </c>
      <c r="BE390" s="314" t="e">
        <f>IF($J390="",#N/A,SUM(BD$4:BD390))</f>
        <v>#N/A</v>
      </c>
      <c r="BF390" s="315" t="str">
        <f t="shared" si="692"/>
        <v/>
      </c>
      <c r="BG390" s="315" t="e">
        <f>IF($J390="",#N/A,SUM(BF$4:BF390))</f>
        <v>#N/A</v>
      </c>
      <c r="BH390" s="315" t="e">
        <f>IF($J390="",#N/A,SUM(BF$4:BF390,BD$4:BD390,BB$4:BB390))</f>
        <v>#N/A</v>
      </c>
      <c r="BI390" s="304" t="str">
        <f t="shared" si="693"/>
        <v/>
      </c>
      <c r="BJ390" s="313" t="e">
        <f>IF($J390="",#N/A,SUM(BI$4:BI390))</f>
        <v>#N/A</v>
      </c>
      <c r="BK390" s="314" t="str">
        <f t="shared" si="694"/>
        <v/>
      </c>
      <c r="BL390" s="314" t="e">
        <f>IF($J390="",#N/A,SUM(BK$4:BK390))</f>
        <v>#N/A</v>
      </c>
      <c r="BM390" s="315" t="str">
        <f t="shared" si="695"/>
        <v/>
      </c>
      <c r="BN390" s="315" t="e">
        <f>IF($J390="",#N/A,SUM(BM$4:BM390))</f>
        <v>#N/A</v>
      </c>
      <c r="BO390" s="315" t="e">
        <f>IF($J390="",#N/A,SUM(BM$4:BM390,BK$4:BK390,BI$4:BI390))</f>
        <v>#N/A</v>
      </c>
      <c r="BP390" s="304" t="str">
        <f t="shared" si="696"/>
        <v/>
      </c>
      <c r="BQ390" s="313" t="e">
        <f>IF($J390="",#N/A,SUM(BP$4:BP390))</f>
        <v>#N/A</v>
      </c>
      <c r="BR390" s="314" t="str">
        <f t="shared" si="697"/>
        <v/>
      </c>
      <c r="BS390" s="314" t="e">
        <f>IF($J390="",#N/A,SUM(BR$4:BR390))</f>
        <v>#N/A</v>
      </c>
      <c r="BT390" s="315" t="str">
        <f t="shared" si="698"/>
        <v/>
      </c>
      <c r="BU390" s="315" t="e">
        <f>IF($J390="",#N/A,SUM(BT$4:BT390))</f>
        <v>#N/A</v>
      </c>
      <c r="BV390" s="315" t="e">
        <f>IF($J390="",#N/A,SUM(BT$4:BT390,BR$4:BR390,BP$4:BP390))</f>
        <v>#N/A</v>
      </c>
      <c r="BW390" s="304" t="str">
        <f t="shared" si="699"/>
        <v/>
      </c>
      <c r="BX390" s="313" t="e">
        <f>IF($J390="",#N/A,SUM(BW$4:BW390))</f>
        <v>#N/A</v>
      </c>
      <c r="BY390" s="314" t="str">
        <f t="shared" si="700"/>
        <v/>
      </c>
      <c r="BZ390" s="314" t="e">
        <f>IF($J390="",#N/A,SUM(BY$4:BY390))</f>
        <v>#N/A</v>
      </c>
      <c r="CA390" s="315">
        <f t="shared" si="701"/>
        <v>-2.9359430604982197</v>
      </c>
      <c r="CB390" s="315" t="e">
        <f>IF($J390="",#N/A,SUM(CA$4:CA390))</f>
        <v>#N/A</v>
      </c>
      <c r="CC390" s="315" t="e">
        <f>IF($J390="",#N/A,SUM(CA$4:CA390,BY$4:BY390,BW$4:BW390))</f>
        <v>#N/A</v>
      </c>
      <c r="CD390" s="304" t="str">
        <f t="shared" si="702"/>
        <v/>
      </c>
      <c r="CE390" s="313" t="e">
        <f>IF($J390="",#N/A,SUM(CD$4:CD390))</f>
        <v>#N/A</v>
      </c>
      <c r="CF390" s="314" t="str">
        <f t="shared" si="703"/>
        <v/>
      </c>
      <c r="CG390" s="314" t="e">
        <f>IF($J390="",#N/A,SUM(CF$4:CF390))</f>
        <v>#N/A</v>
      </c>
      <c r="CH390" s="315" t="str">
        <f t="shared" si="704"/>
        <v/>
      </c>
      <c r="CI390" s="315" t="e">
        <f>IF($J390="",#N/A,SUM(CH$4:CH390))</f>
        <v>#N/A</v>
      </c>
      <c r="CJ390" s="315" t="e">
        <f>IF($J390="",#N/A,SUM(CH$4:CH390,CF$4:CF390,CD$4:CD390))</f>
        <v>#N/A</v>
      </c>
      <c r="CK390" s="304" t="str">
        <f t="shared" si="705"/>
        <v/>
      </c>
      <c r="CL390" s="313" t="e">
        <f>IF($J390="",#N/A,SUM(CK$4:CK390))</f>
        <v>#N/A</v>
      </c>
      <c r="CM390" s="314" t="str">
        <f t="shared" si="706"/>
        <v/>
      </c>
      <c r="CN390" s="314" t="e">
        <f>IF($J390="",#N/A,SUM(CM$4:CM390))</f>
        <v>#N/A</v>
      </c>
      <c r="CO390" s="315" t="str">
        <f t="shared" si="707"/>
        <v/>
      </c>
      <c r="CP390" s="315" t="e">
        <f>IF($J390="",#N/A,SUM(CO$4:CO390))</f>
        <v>#N/A</v>
      </c>
      <c r="CQ390" s="315" t="e">
        <f>IF($J390="",#N/A,SUM(CO$4:CO390,CM$4:CM390,CK$4:CK390))</f>
        <v>#N/A</v>
      </c>
      <c r="CR390" s="304" t="str">
        <f t="shared" si="708"/>
        <v/>
      </c>
      <c r="CS390" s="313" t="e">
        <f>IF($J390="",#N/A,SUM(CR$4:CR390))</f>
        <v>#N/A</v>
      </c>
      <c r="CT390" s="314" t="str">
        <f t="shared" si="709"/>
        <v/>
      </c>
      <c r="CU390" s="314" t="e">
        <f>IF($J390="",#N/A,SUM(CT$4:CT390))</f>
        <v>#N/A</v>
      </c>
      <c r="CV390" s="315" t="str">
        <f t="shared" si="710"/>
        <v/>
      </c>
      <c r="CW390" s="315" t="e">
        <f>IF($J390="",#N/A,SUM(CV$4:CV390))</f>
        <v>#N/A</v>
      </c>
      <c r="CX390" s="315" t="e">
        <f>IF($J390="",#N/A,SUM(CV$4:CV390,CT$4:CT390,CR$4:CR390))</f>
        <v>#N/A</v>
      </c>
      <c r="CY390" s="304" t="str">
        <f t="shared" si="711"/>
        <v/>
      </c>
      <c r="CZ390" s="313" t="e">
        <f>IF($J390="",#N/A,SUM(CY$4:CY390))</f>
        <v>#N/A</v>
      </c>
      <c r="DA390" s="314" t="str">
        <f t="shared" si="712"/>
        <v/>
      </c>
      <c r="DB390" s="314" t="e">
        <f>IF($J390="",#N/A,SUM(DA$4:DA390))</f>
        <v>#N/A</v>
      </c>
      <c r="DC390" s="315" t="str">
        <f t="shared" si="713"/>
        <v/>
      </c>
      <c r="DD390" s="315" t="e">
        <f>IF($J390="",#N/A,SUM(DC$4:DC390))</f>
        <v>#N/A</v>
      </c>
      <c r="DE390" s="315" t="e">
        <f>IF($J390="",#N/A,SUM(DC$4:DC390,DA$4:DA390,CY$4:CY390))</f>
        <v>#N/A</v>
      </c>
      <c r="DF390" s="304" t="str">
        <f t="shared" si="714"/>
        <v/>
      </c>
      <c r="DG390" s="313" t="e">
        <f>IF($J390="",#N/A,SUM(DF$4:DF390))</f>
        <v>#N/A</v>
      </c>
      <c r="DH390" s="314" t="str">
        <f t="shared" si="715"/>
        <v/>
      </c>
      <c r="DI390" s="314" t="e">
        <f>IF($J390="",#N/A,SUM(DH$4:DH390))</f>
        <v>#N/A</v>
      </c>
      <c r="DJ390" s="315" t="str">
        <f t="shared" si="716"/>
        <v/>
      </c>
      <c r="DK390" s="315" t="e">
        <f>IF($J390="",#N/A,SUM(DJ$4:DJ390))</f>
        <v>#N/A</v>
      </c>
      <c r="DL390" s="315" t="e">
        <f>IF($J390="",#N/A,SUM(DJ$4:DJ390,DH$4:DH390,DF$4:DF390))</f>
        <v>#N/A</v>
      </c>
      <c r="DM390" s="304" t="str">
        <f t="shared" si="717"/>
        <v/>
      </c>
      <c r="DN390" s="313" t="e">
        <f>IF($J390="",#N/A,SUM(DM$4:DM390))</f>
        <v>#N/A</v>
      </c>
      <c r="DO390" s="314" t="str">
        <f t="shared" si="718"/>
        <v/>
      </c>
      <c r="DP390" s="314" t="e">
        <f>IF($J390="",#N/A,SUM(DO$4:DO390))</f>
        <v>#N/A</v>
      </c>
      <c r="DQ390" s="315" t="str">
        <f t="shared" si="719"/>
        <v/>
      </c>
      <c r="DR390" s="315" t="e">
        <f>IF($J390="",#N/A,SUM(DQ$4:DQ390))</f>
        <v>#N/A</v>
      </c>
      <c r="DS390" s="315" t="e">
        <f>IF($J390="",#N/A,SUM(DQ$4:DQ390,DO$4:DO390,DM$4:DM390))</f>
        <v>#N/A</v>
      </c>
      <c r="DT390" s="304" t="str">
        <f t="shared" si="720"/>
        <v/>
      </c>
      <c r="DU390" s="313" t="e">
        <f>IF($J390="",#N/A,SUM(DT$4:DT390))</f>
        <v>#N/A</v>
      </c>
      <c r="DV390" s="314" t="str">
        <f t="shared" si="721"/>
        <v/>
      </c>
      <c r="DW390" s="314" t="e">
        <f>IF($J390="",#N/A,SUM(DV$4:DV390))</f>
        <v>#N/A</v>
      </c>
      <c r="DX390" s="315" t="str">
        <f t="shared" si="722"/>
        <v/>
      </c>
      <c r="DY390" s="315" t="e">
        <f>IF($J390="",#N/A,SUM(DX$4:DX390))</f>
        <v>#N/A</v>
      </c>
      <c r="DZ390" s="315" t="e">
        <f>IF($J390="",#N/A,SUM(DX$4:DX390,DV$4:DV390,DT$4:DT390))</f>
        <v>#N/A</v>
      </c>
      <c r="EA390" s="304" t="str">
        <f t="shared" si="723"/>
        <v/>
      </c>
      <c r="EB390" s="313" t="e">
        <f>IF($J390="",#N/A,SUM(EA$4:EA390))</f>
        <v>#N/A</v>
      </c>
      <c r="EC390" s="314" t="str">
        <f t="shared" si="724"/>
        <v/>
      </c>
      <c r="ED390" s="314" t="e">
        <f>IF($J390="",#N/A,SUM(EC$4:EC390))</f>
        <v>#N/A</v>
      </c>
      <c r="EE390" s="315" t="str">
        <f t="shared" si="725"/>
        <v/>
      </c>
      <c r="EF390" s="315" t="e">
        <f>IF($J390="",#N/A,SUM(EE$4:EE390))</f>
        <v>#N/A</v>
      </c>
      <c r="EG390" s="315" t="e">
        <f>IF($J390="",#N/A,SUM(EE$4:EE390,EC$4:EC390,EA$4:EA390))</f>
        <v>#N/A</v>
      </c>
      <c r="EH390" s="130">
        <f t="shared" si="726"/>
        <v>-287.09999999999991</v>
      </c>
      <c r="EI390" s="63">
        <f>IF(EH390="",#N/A,SUM($EH$4:EH390))</f>
        <v>886.23904858954575</v>
      </c>
      <c r="EJ390" s="223" t="e">
        <f t="shared" si="727"/>
        <v>#N/A</v>
      </c>
      <c r="EK390" s="63" t="e">
        <f>IF($GZ390="",#N/A,SUM(EJ$4:EJ390))</f>
        <v>#N/A</v>
      </c>
      <c r="EL390" s="60">
        <f t="shared" si="757"/>
        <v>-2.9359430604982197</v>
      </c>
      <c r="EM390" s="60">
        <f>IF(EL390="",NA(),SUM($EL$4:EL390))</f>
        <v>22.433258192248225</v>
      </c>
      <c r="EN390" s="60" t="str">
        <f t="shared" si="728"/>
        <v/>
      </c>
      <c r="EO390" s="60" t="e">
        <f>IF(EN390="",NA(),SUM($EN$4:EN390))</f>
        <v>#N/A</v>
      </c>
      <c r="EP390" s="60">
        <f t="shared" si="729"/>
        <v>-2.9359430604982197</v>
      </c>
      <c r="EQ390" s="60">
        <f>IF(EP390="",NA(),SUM($EP$4:EP390))</f>
        <v>9.7026107371550001</v>
      </c>
      <c r="ER390" s="60" t="str">
        <f t="shared" si="730"/>
        <v/>
      </c>
      <c r="ES390" s="60" t="e">
        <f>IF(ER390="",NA(),SUM($ER$4:ER390))</f>
        <v>#N/A</v>
      </c>
      <c r="ET390" s="60" t="str">
        <f t="shared" si="731"/>
        <v/>
      </c>
      <c r="EU390" s="60" t="e">
        <f>IF(ET390="",NA(),SUM($ET$4:ET390))</f>
        <v>#N/A</v>
      </c>
      <c r="EV390" s="60" t="str">
        <f t="shared" si="732"/>
        <v/>
      </c>
      <c r="EW390" s="60" t="e">
        <f>IF(EV390="",NA(),SUM($EV$4:EV390))</f>
        <v>#N/A</v>
      </c>
      <c r="EX390" s="60" t="str">
        <f t="shared" si="733"/>
        <v/>
      </c>
      <c r="EY390" s="60" t="e">
        <f>IF(EX390="",NA(),SUM($EX$4:EX390))</f>
        <v>#N/A</v>
      </c>
      <c r="EZ390" s="60" t="str">
        <f t="shared" si="734"/>
        <v/>
      </c>
      <c r="FA390" s="60" t="e">
        <f>IF(EZ390="",NA(),SUM($EZ$4:EZ390))</f>
        <v>#N/A</v>
      </c>
      <c r="FB390" s="246" t="str">
        <f t="shared" si="758"/>
        <v/>
      </c>
      <c r="FC390" s="246" t="e">
        <f>IF($FB390="",#N/A,SUM(FB$4:$FB390))</f>
        <v>#N/A</v>
      </c>
      <c r="FD390" s="60" t="str">
        <f t="shared" si="735"/>
        <v/>
      </c>
      <c r="FE390" s="60" t="e">
        <f>IF($FD390="",#N/A,SUM($FD$4:FD390))</f>
        <v>#N/A</v>
      </c>
      <c r="FF390" s="60" t="str">
        <f t="shared" si="736"/>
        <v/>
      </c>
      <c r="FG390" s="60" t="e">
        <f>IF($FF390="",#N/A,SUM($FF$4:FF390))</f>
        <v>#N/A</v>
      </c>
      <c r="FH390" s="60" t="str">
        <f t="shared" si="737"/>
        <v/>
      </c>
      <c r="FI390" s="60" t="e">
        <f>IF($FH390="",#N/A,SUM($FH$4:FH390))</f>
        <v>#N/A</v>
      </c>
      <c r="FJ390" s="60" t="str">
        <f t="shared" si="738"/>
        <v/>
      </c>
      <c r="FK390" s="60" t="e">
        <f>IF($FJ390="",#N/A,SUM($FJ$4:FJ390))</f>
        <v>#N/A</v>
      </c>
      <c r="FL390" s="60">
        <f t="shared" si="739"/>
        <v>0.40035587188611954</v>
      </c>
      <c r="FM390" s="60">
        <f>IF($FL390="",#N/A,SUM($FL$4:FL390))</f>
        <v>-7.5450949924659625</v>
      </c>
      <c r="FN390" s="82">
        <f t="shared" si="740"/>
        <v>-2.5355871886121002</v>
      </c>
      <c r="FO390" s="82">
        <f>IF($FN390="",#N/A,SUM(FN$4:$FN390))</f>
        <v>34.966756955683621</v>
      </c>
      <c r="FP390" s="82">
        <f t="shared" si="759"/>
        <v>-2.9359430604982197</v>
      </c>
      <c r="FQ390" s="246">
        <f>IF($EH390="",#N/A,SUM($FP$4:FP390))</f>
        <v>49.875188562335588</v>
      </c>
      <c r="FR390" s="82">
        <f>IFERROR(FQ390/COUNTA($J$4:J390),#N/A)</f>
        <v>0.12887645623342528</v>
      </c>
      <c r="FS390" s="82">
        <f t="shared" si="661"/>
        <v>5.1704526600458392E-2</v>
      </c>
      <c r="FT390" s="82">
        <f t="shared" si="662"/>
        <v>-0.11873929358784267</v>
      </c>
      <c r="FU390" s="338">
        <f t="shared" si="660"/>
        <v>29.408375378504694</v>
      </c>
      <c r="FV390" s="57" t="str">
        <f t="shared" si="666"/>
        <v>SW</v>
      </c>
      <c r="FW390" s="57" t="s">
        <v>2732</v>
      </c>
      <c r="FX390" s="57" t="str">
        <f t="shared" si="741"/>
        <v/>
      </c>
      <c r="FY390" s="57" t="str">
        <f t="shared" si="742"/>
        <v/>
      </c>
      <c r="FZ390" s="57" t="str">
        <f t="shared" si="743"/>
        <v/>
      </c>
      <c r="GA390" s="57" t="str">
        <f t="shared" si="744"/>
        <v>Long</v>
      </c>
      <c r="GB390" s="57" t="str">
        <f t="shared" si="745"/>
        <v/>
      </c>
      <c r="GC390" s="57" t="str">
        <f t="shared" si="746"/>
        <v/>
      </c>
      <c r="GD390" s="57">
        <f t="shared" si="747"/>
        <v>1</v>
      </c>
      <c r="GE390" s="62">
        <f t="shared" si="664"/>
        <v>11.24</v>
      </c>
      <c r="GF390" s="62" t="s">
        <v>2779</v>
      </c>
      <c r="GG390" s="199">
        <v>145</v>
      </c>
      <c r="GH390" s="207">
        <f t="shared" si="748"/>
        <v>1629.8</v>
      </c>
      <c r="GI390" s="199">
        <v>145</v>
      </c>
      <c r="GJ390" s="200">
        <v>9.26</v>
      </c>
      <c r="GK390" s="63">
        <f t="shared" si="749"/>
        <v>-287.09999999999991</v>
      </c>
      <c r="GL390" s="63">
        <f t="shared" si="665"/>
        <v>-247.95000000000005</v>
      </c>
      <c r="GM390" s="82">
        <f t="shared" si="750"/>
        <v>-2.5355871886121002</v>
      </c>
      <c r="GN390" s="82">
        <f>IF($GZ390="",#N/A,SUM(GM$4:GM390))</f>
        <v>5.1801224970201893</v>
      </c>
      <c r="GO390" s="82" t="str">
        <f t="shared" si="751"/>
        <v/>
      </c>
      <c r="GP390" s="82">
        <f>IF($GZ390="",#N/A,SUM(GO$4:GO390))</f>
        <v>3.9893037078761537</v>
      </c>
      <c r="GQ390" s="82" t="str">
        <f t="shared" si="752"/>
        <v/>
      </c>
      <c r="GR390" s="82">
        <f>IF($GZ390="",#N/A,SUM(GQ$4:GQ390))</f>
        <v>25.171493796344944</v>
      </c>
      <c r="GS390" s="63" t="e">
        <f t="shared" si="760"/>
        <v>#N/A</v>
      </c>
      <c r="GT390" s="63" t="e">
        <f>IF($GZ390="",#N/A,SUM(GS$4:GS390))</f>
        <v>#N/A</v>
      </c>
      <c r="GU390" s="63" t="str">
        <f t="shared" si="761"/>
        <v/>
      </c>
      <c r="GV390" s="63" t="e">
        <f>IF($GZ390="",#N/A,SUM(GU$4:GU390))</f>
        <v>#N/A</v>
      </c>
      <c r="GW390" s="63" t="str">
        <f t="shared" si="762"/>
        <v/>
      </c>
      <c r="GX390" s="63" t="e">
        <f>IF($GZ390="",#N/A,SUM(GW$4:GW390))</f>
        <v>#N/A</v>
      </c>
      <c r="GY390" s="63" t="e">
        <f>IF(EJ390="",#N/A,SUM($EJ$4:EJ390))</f>
        <v>#N/A</v>
      </c>
      <c r="GZ390" s="159">
        <v>9.5299999999999994</v>
      </c>
      <c r="HA390" s="63">
        <f t="shared" si="753"/>
        <v>39.149999999999864</v>
      </c>
      <c r="HB390" s="62" t="s">
        <v>2538</v>
      </c>
      <c r="HC390" s="60">
        <f>IFERROR(VLOOKUP(E390,Expectancy!$P$4:$S$19,1+C390,FALSE),"")</f>
        <v>-0.15084750675779673</v>
      </c>
      <c r="HD390" s="82">
        <f t="shared" si="754"/>
        <v>-2.9359430604982197</v>
      </c>
      <c r="HE390" s="138">
        <f>IF(HD390="",#N/A,SUM($HD$4:HD390))</f>
        <v>5.9368131838308926</v>
      </c>
      <c r="HF390" s="85">
        <f>IF(HD390="",#N/A,IF(HB390="Skip",#N/A,SUM($HG$4:HG390)))</f>
        <v>-109.26692078084398</v>
      </c>
      <c r="HG390" s="63">
        <f t="shared" si="755"/>
        <v>-287.09999999999991</v>
      </c>
      <c r="HH390" s="82">
        <f t="shared" si="756"/>
        <v>-2.5355871886121002</v>
      </c>
    </row>
    <row r="391" spans="1:216" x14ac:dyDescent="0.25">
      <c r="A391" s="57" t="s">
        <v>517</v>
      </c>
      <c r="B391" s="58" t="str" cm="1">
        <f t="array" ref="B391">IFERROR(_xlfn.XLOOKUP(A391,Earnings!$B$2:$B$9985,LEFT(Earnings!$C$2:$C$9985,37)),"Can't Find Date***")</f>
        <v>on 2/27/25, 7:00 AM Before Market Eas</v>
      </c>
      <c r="C391" s="386">
        <f t="shared" si="667"/>
        <v>3</v>
      </c>
      <c r="D391" s="372" t="str">
        <f>_xlfn.XLOOKUP(A391,[1]SP500!$A$2:$A$502,[1]SP500!$D$2:$D$502,"N")</f>
        <v>Y</v>
      </c>
      <c r="E391" s="57" t="str">
        <f>_xlfn.XLOOKUP(A391,[1]SP500!$A$2:$A$655,[1]SP500!$B$2:$B$655)</f>
        <v>XLC</v>
      </c>
      <c r="F391" s="59">
        <v>45715</v>
      </c>
      <c r="G391" s="57" t="str">
        <f t="shared" si="668"/>
        <v>BMO</v>
      </c>
      <c r="H391" s="57" t="str">
        <f t="shared" si="669"/>
        <v>s</v>
      </c>
      <c r="I391" s="159">
        <v>10.5</v>
      </c>
      <c r="J391" s="159">
        <v>11.28</v>
      </c>
      <c r="K391" s="61">
        <f t="shared" si="670"/>
        <v>7.4285714285714219E-2</v>
      </c>
      <c r="L391" s="87">
        <f t="shared" si="671"/>
        <v>117</v>
      </c>
      <c r="M391" s="130">
        <f t="shared" si="663"/>
        <v>-12</v>
      </c>
      <c r="N391" s="169" t="str">
        <f t="shared" si="672"/>
        <v/>
      </c>
      <c r="O391" s="169">
        <f>IF($J391="",#N/A,SUM($N$4:N391))</f>
        <v>-295.65328064577557</v>
      </c>
      <c r="P391" s="174" t="str">
        <f t="shared" si="673"/>
        <v/>
      </c>
      <c r="Q391" s="174">
        <f>IF($J391="",#N/A,SUM($P$4:P391))</f>
        <v>95.729992245043263</v>
      </c>
      <c r="R391" s="178">
        <f t="shared" si="674"/>
        <v>117</v>
      </c>
      <c r="S391" s="178">
        <f>IF($J391="",#N/A,SUM($R$4:R391))</f>
        <v>1203.1623369902779</v>
      </c>
      <c r="T391" s="290" t="str">
        <f t="shared" si="675"/>
        <v/>
      </c>
      <c r="U391" s="290">
        <f>IF($J391="",#N/A,SUM($T$4:T391))</f>
        <v>10.514761942459062</v>
      </c>
      <c r="V391" s="291" t="str">
        <f t="shared" si="676"/>
        <v/>
      </c>
      <c r="W391" s="291">
        <f>IF($J391="",#N/A,SUM($V$4:V391))</f>
        <v>20.495799746131691</v>
      </c>
      <c r="X391" s="292">
        <f t="shared" si="677"/>
        <v>1.2380952380952381</v>
      </c>
      <c r="Y391" s="292">
        <f>IF($J391="",#N/A,SUM($X$4:X391))</f>
        <v>20.102722111840105</v>
      </c>
      <c r="Z391" s="304" t="str">
        <f t="shared" si="678"/>
        <v/>
      </c>
      <c r="AA391" s="313" t="e">
        <f>IF($J391="",#N/A,SUM(Z$4:Z391))</f>
        <v>#N/A</v>
      </c>
      <c r="AB391" s="314" t="str">
        <f t="shared" si="679"/>
        <v/>
      </c>
      <c r="AC391" s="314" t="e">
        <f>IF($J391="",#N/A,SUM(AB$4:AB391))</f>
        <v>#N/A</v>
      </c>
      <c r="AD391" s="315" t="str">
        <f t="shared" si="680"/>
        <v/>
      </c>
      <c r="AE391" s="315" t="e">
        <f>IF($J391="",#N/A,SUM(AD$4:AD391))</f>
        <v>#N/A</v>
      </c>
      <c r="AF391" s="315" t="e">
        <f>IF($J391="",#N/A,SUM(AD$4:AD391,AB$4:AB391,Z$4:Z391))</f>
        <v>#N/A</v>
      </c>
      <c r="AG391" s="304" t="str">
        <f t="shared" si="681"/>
        <v/>
      </c>
      <c r="AH391" s="313" t="e">
        <f>IF($J391="",#N/A,SUM(AG$4:AG391))</f>
        <v>#N/A</v>
      </c>
      <c r="AI391" s="314" t="str">
        <f t="shared" si="682"/>
        <v/>
      </c>
      <c r="AJ391" s="314" t="e">
        <f>IF($J391="",#N/A,SUM(AI$4:AI391))</f>
        <v>#N/A</v>
      </c>
      <c r="AK391" s="315" t="str">
        <f t="shared" si="683"/>
        <v/>
      </c>
      <c r="AL391" s="315" t="e">
        <f>IF($J391="",#N/A,SUM(AK$4:AK391))</f>
        <v>#N/A</v>
      </c>
      <c r="AM391" s="315" t="e">
        <f>IF($J391="",#N/A,SUM(AK$4:AK391,AI$4:AI391,AG$4:AG391))</f>
        <v>#N/A</v>
      </c>
      <c r="AN391" s="304" t="str">
        <f t="shared" si="684"/>
        <v/>
      </c>
      <c r="AO391" s="313" t="e">
        <f>IF($J391="",#N/A,SUM(AN$4:AN391))</f>
        <v>#N/A</v>
      </c>
      <c r="AP391" s="314" t="str">
        <f t="shared" si="685"/>
        <v/>
      </c>
      <c r="AQ391" s="314" t="e">
        <f>IF($J391="",#N/A,SUM(AP$4:AP391))</f>
        <v>#N/A</v>
      </c>
      <c r="AR391" s="315" t="str">
        <f t="shared" si="686"/>
        <v/>
      </c>
      <c r="AS391" s="315" t="e">
        <f>IF($J391="",#N/A,SUM(AR$4:AR391))</f>
        <v>#N/A</v>
      </c>
      <c r="AT391" s="315" t="e">
        <f>IF($J391="",#N/A,SUM(AR$4:AR391,AP$4:AP391,AN$4:AN391))</f>
        <v>#N/A</v>
      </c>
      <c r="AU391" s="304" t="str">
        <f t="shared" si="687"/>
        <v/>
      </c>
      <c r="AV391" s="313" t="e">
        <f>IF($J391="",#N/A,SUM(AU$4:AU391))</f>
        <v>#N/A</v>
      </c>
      <c r="AW391" s="314" t="str">
        <f t="shared" si="688"/>
        <v/>
      </c>
      <c r="AX391" s="314" t="e">
        <f>IF($J391="",#N/A,SUM(AW$4:AW391))</f>
        <v>#N/A</v>
      </c>
      <c r="AY391" s="315" t="str">
        <f t="shared" si="689"/>
        <v/>
      </c>
      <c r="AZ391" s="315" t="e">
        <f>IF($J391="",#N/A,SUM(AY$4:AY391))</f>
        <v>#N/A</v>
      </c>
      <c r="BA391" s="315" t="e">
        <f>IF($J391="",#N/A,SUM(AY$4:AY391,AW$4:AW391,AU$4:AU391))</f>
        <v>#N/A</v>
      </c>
      <c r="BB391" s="304" t="str">
        <f t="shared" si="690"/>
        <v/>
      </c>
      <c r="BC391" s="313" t="e">
        <f>IF($J391="",#N/A,SUM(BB$4:BB391))</f>
        <v>#N/A</v>
      </c>
      <c r="BD391" s="314" t="str">
        <f t="shared" si="691"/>
        <v/>
      </c>
      <c r="BE391" s="314" t="e">
        <f>IF($J391="",#N/A,SUM(BD$4:BD391))</f>
        <v>#N/A</v>
      </c>
      <c r="BF391" s="315">
        <f t="shared" si="692"/>
        <v>1.2380952380952381</v>
      </c>
      <c r="BG391" s="315" t="e">
        <f>IF($J391="",#N/A,SUM(BF$4:BF391))</f>
        <v>#N/A</v>
      </c>
      <c r="BH391" s="315" t="e">
        <f>IF($J391="",#N/A,SUM(BF$4:BF391,BD$4:BD391,BB$4:BB391))</f>
        <v>#N/A</v>
      </c>
      <c r="BI391" s="304" t="str">
        <f t="shared" si="693"/>
        <v/>
      </c>
      <c r="BJ391" s="313" t="e">
        <f>IF($J391="",#N/A,SUM(BI$4:BI391))</f>
        <v>#N/A</v>
      </c>
      <c r="BK391" s="314" t="str">
        <f t="shared" si="694"/>
        <v/>
      </c>
      <c r="BL391" s="314" t="e">
        <f>IF($J391="",#N/A,SUM(BK$4:BK391))</f>
        <v>#N/A</v>
      </c>
      <c r="BM391" s="315" t="str">
        <f t="shared" si="695"/>
        <v/>
      </c>
      <c r="BN391" s="315" t="e">
        <f>IF($J391="",#N/A,SUM(BM$4:BM391))</f>
        <v>#N/A</v>
      </c>
      <c r="BO391" s="315" t="e">
        <f>IF($J391="",#N/A,SUM(BM$4:BM391,BK$4:BK391,BI$4:BI391))</f>
        <v>#N/A</v>
      </c>
      <c r="BP391" s="304" t="str">
        <f t="shared" si="696"/>
        <v/>
      </c>
      <c r="BQ391" s="313" t="e">
        <f>IF($J391="",#N/A,SUM(BP$4:BP391))</f>
        <v>#N/A</v>
      </c>
      <c r="BR391" s="314" t="str">
        <f t="shared" si="697"/>
        <v/>
      </c>
      <c r="BS391" s="314" t="e">
        <f>IF($J391="",#N/A,SUM(BR$4:BR391))</f>
        <v>#N/A</v>
      </c>
      <c r="BT391" s="315" t="str">
        <f t="shared" si="698"/>
        <v/>
      </c>
      <c r="BU391" s="315" t="e">
        <f>IF($J391="",#N/A,SUM(BT$4:BT391))</f>
        <v>#N/A</v>
      </c>
      <c r="BV391" s="315" t="e">
        <f>IF($J391="",#N/A,SUM(BT$4:BT391,BR$4:BR391,BP$4:BP391))</f>
        <v>#N/A</v>
      </c>
      <c r="BW391" s="304" t="str">
        <f t="shared" si="699"/>
        <v/>
      </c>
      <c r="BX391" s="313" t="e">
        <f>IF($J391="",#N/A,SUM(BW$4:BW391))</f>
        <v>#N/A</v>
      </c>
      <c r="BY391" s="314" t="str">
        <f t="shared" si="700"/>
        <v/>
      </c>
      <c r="BZ391" s="314" t="e">
        <f>IF($J391="",#N/A,SUM(BY$4:BY391))</f>
        <v>#N/A</v>
      </c>
      <c r="CA391" s="315" t="str">
        <f t="shared" si="701"/>
        <v/>
      </c>
      <c r="CB391" s="315" t="e">
        <f>IF($J391="",#N/A,SUM(CA$4:CA391))</f>
        <v>#N/A</v>
      </c>
      <c r="CC391" s="315" t="e">
        <f>IF($J391="",#N/A,SUM(CA$4:CA391,BY$4:BY391,BW$4:BW391))</f>
        <v>#N/A</v>
      </c>
      <c r="CD391" s="304" t="str">
        <f t="shared" si="702"/>
        <v/>
      </c>
      <c r="CE391" s="313" t="e">
        <f>IF($J391="",#N/A,SUM(CD$4:CD391))</f>
        <v>#N/A</v>
      </c>
      <c r="CF391" s="314" t="str">
        <f t="shared" si="703"/>
        <v/>
      </c>
      <c r="CG391" s="314" t="e">
        <f>IF($J391="",#N/A,SUM(CF$4:CF391))</f>
        <v>#N/A</v>
      </c>
      <c r="CH391" s="315" t="str">
        <f t="shared" si="704"/>
        <v/>
      </c>
      <c r="CI391" s="315" t="e">
        <f>IF($J391="",#N/A,SUM(CH$4:CH391))</f>
        <v>#N/A</v>
      </c>
      <c r="CJ391" s="315" t="e">
        <f>IF($J391="",#N/A,SUM(CH$4:CH391,CF$4:CF391,CD$4:CD391))</f>
        <v>#N/A</v>
      </c>
      <c r="CK391" s="304" t="str">
        <f t="shared" si="705"/>
        <v/>
      </c>
      <c r="CL391" s="313" t="e">
        <f>IF($J391="",#N/A,SUM(CK$4:CK391))</f>
        <v>#N/A</v>
      </c>
      <c r="CM391" s="314" t="str">
        <f t="shared" si="706"/>
        <v/>
      </c>
      <c r="CN391" s="314" t="e">
        <f>IF($J391="",#N/A,SUM(CM$4:CM391))</f>
        <v>#N/A</v>
      </c>
      <c r="CO391" s="315" t="str">
        <f t="shared" si="707"/>
        <v/>
      </c>
      <c r="CP391" s="315" t="e">
        <f>IF($J391="",#N/A,SUM(CO$4:CO391))</f>
        <v>#N/A</v>
      </c>
      <c r="CQ391" s="315" t="e">
        <f>IF($J391="",#N/A,SUM(CO$4:CO391,CM$4:CM391,CK$4:CK391))</f>
        <v>#N/A</v>
      </c>
      <c r="CR391" s="304" t="str">
        <f t="shared" si="708"/>
        <v/>
      </c>
      <c r="CS391" s="313" t="e">
        <f>IF($J391="",#N/A,SUM(CR$4:CR391))</f>
        <v>#N/A</v>
      </c>
      <c r="CT391" s="314" t="str">
        <f t="shared" si="709"/>
        <v/>
      </c>
      <c r="CU391" s="314" t="e">
        <f>IF($J391="",#N/A,SUM(CT$4:CT391))</f>
        <v>#N/A</v>
      </c>
      <c r="CV391" s="315" t="str">
        <f t="shared" si="710"/>
        <v/>
      </c>
      <c r="CW391" s="315" t="e">
        <f>IF($J391="",#N/A,SUM(CV$4:CV391))</f>
        <v>#N/A</v>
      </c>
      <c r="CX391" s="315" t="e">
        <f>IF($J391="",#N/A,SUM(CV$4:CV391,CT$4:CT391,CR$4:CR391))</f>
        <v>#N/A</v>
      </c>
      <c r="CY391" s="304" t="str">
        <f t="shared" si="711"/>
        <v/>
      </c>
      <c r="CZ391" s="313" t="e">
        <f>IF($J391="",#N/A,SUM(CY$4:CY391))</f>
        <v>#N/A</v>
      </c>
      <c r="DA391" s="314" t="str">
        <f t="shared" si="712"/>
        <v/>
      </c>
      <c r="DB391" s="314" t="e">
        <f>IF($J391="",#N/A,SUM(DA$4:DA391))</f>
        <v>#N/A</v>
      </c>
      <c r="DC391" s="315" t="str">
        <f t="shared" si="713"/>
        <v/>
      </c>
      <c r="DD391" s="315" t="e">
        <f>IF($J391="",#N/A,SUM(DC$4:DC391))</f>
        <v>#N/A</v>
      </c>
      <c r="DE391" s="315" t="e">
        <f>IF($J391="",#N/A,SUM(DC$4:DC391,DA$4:DA391,CY$4:CY391))</f>
        <v>#N/A</v>
      </c>
      <c r="DF391" s="304" t="str">
        <f t="shared" si="714"/>
        <v/>
      </c>
      <c r="DG391" s="313" t="e">
        <f>IF($J391="",#N/A,SUM(DF$4:DF391))</f>
        <v>#N/A</v>
      </c>
      <c r="DH391" s="314" t="str">
        <f t="shared" si="715"/>
        <v/>
      </c>
      <c r="DI391" s="314" t="e">
        <f>IF($J391="",#N/A,SUM(DH$4:DH391))</f>
        <v>#N/A</v>
      </c>
      <c r="DJ391" s="315" t="str">
        <f t="shared" si="716"/>
        <v/>
      </c>
      <c r="DK391" s="315" t="e">
        <f>IF($J391="",#N/A,SUM(DJ$4:DJ391))</f>
        <v>#N/A</v>
      </c>
      <c r="DL391" s="315" t="e">
        <f>IF($J391="",#N/A,SUM(DJ$4:DJ391,DH$4:DH391,DF$4:DF391))</f>
        <v>#N/A</v>
      </c>
      <c r="DM391" s="304" t="str">
        <f t="shared" si="717"/>
        <v/>
      </c>
      <c r="DN391" s="313" t="e">
        <f>IF($J391="",#N/A,SUM(DM$4:DM391))</f>
        <v>#N/A</v>
      </c>
      <c r="DO391" s="314" t="str">
        <f t="shared" si="718"/>
        <v/>
      </c>
      <c r="DP391" s="314" t="e">
        <f>IF($J391="",#N/A,SUM(DO$4:DO391))</f>
        <v>#N/A</v>
      </c>
      <c r="DQ391" s="315" t="str">
        <f t="shared" si="719"/>
        <v/>
      </c>
      <c r="DR391" s="315" t="e">
        <f>IF($J391="",#N/A,SUM(DQ$4:DQ391))</f>
        <v>#N/A</v>
      </c>
      <c r="DS391" s="315" t="e">
        <f>IF($J391="",#N/A,SUM(DQ$4:DQ391,DO$4:DO391,DM$4:DM391))</f>
        <v>#N/A</v>
      </c>
      <c r="DT391" s="304" t="str">
        <f t="shared" si="720"/>
        <v/>
      </c>
      <c r="DU391" s="313" t="e">
        <f>IF($J391="",#N/A,SUM(DT$4:DT391))</f>
        <v>#N/A</v>
      </c>
      <c r="DV391" s="314" t="str">
        <f t="shared" si="721"/>
        <v/>
      </c>
      <c r="DW391" s="314" t="e">
        <f>IF($J391="",#N/A,SUM(DV$4:DV391))</f>
        <v>#N/A</v>
      </c>
      <c r="DX391" s="315" t="str">
        <f t="shared" si="722"/>
        <v/>
      </c>
      <c r="DY391" s="315" t="e">
        <f>IF($J391="",#N/A,SUM(DX$4:DX391))</f>
        <v>#N/A</v>
      </c>
      <c r="DZ391" s="315" t="e">
        <f>IF($J391="",#N/A,SUM(DX$4:DX391,DV$4:DV391,DT$4:DT391))</f>
        <v>#N/A</v>
      </c>
      <c r="EA391" s="304" t="str">
        <f t="shared" si="723"/>
        <v/>
      </c>
      <c r="EB391" s="313" t="e">
        <f>IF($J391="",#N/A,SUM(EA$4:EA391))</f>
        <v>#N/A</v>
      </c>
      <c r="EC391" s="314" t="str">
        <f t="shared" si="724"/>
        <v/>
      </c>
      <c r="ED391" s="314" t="e">
        <f>IF($J391="",#N/A,SUM(EC$4:EC391))</f>
        <v>#N/A</v>
      </c>
      <c r="EE391" s="315" t="str">
        <f t="shared" si="725"/>
        <v/>
      </c>
      <c r="EF391" s="315" t="e">
        <f>IF($J391="",#N/A,SUM(EE$4:EE391))</f>
        <v>#N/A</v>
      </c>
      <c r="EG391" s="315" t="e">
        <f>IF($J391="",#N/A,SUM(EE$4:EE391,EC$4:EC391,EA$4:EA391))</f>
        <v>#N/A</v>
      </c>
      <c r="EH391" s="130">
        <f t="shared" si="726"/>
        <v>117</v>
      </c>
      <c r="EI391" s="63">
        <f>IF(EH391="",#N/A,SUM($EH$4:EH391))</f>
        <v>1003.2390485895457</v>
      </c>
      <c r="EJ391" s="223" t="e">
        <f t="shared" si="727"/>
        <v>#N/A</v>
      </c>
      <c r="EK391" s="63" t="e">
        <f>IF($GZ391="",#N/A,SUM(EJ$4:EJ391))</f>
        <v>#N/A</v>
      </c>
      <c r="EL391" s="60">
        <f t="shared" si="757"/>
        <v>1.2380952380952381</v>
      </c>
      <c r="EM391" s="60">
        <f>IF(EL391="",NA(),SUM($EL$4:EL391))</f>
        <v>23.671353430343462</v>
      </c>
      <c r="EN391" s="60" t="str">
        <f t="shared" si="728"/>
        <v/>
      </c>
      <c r="EO391" s="60" t="e">
        <f>IF(EN391="",NA(),SUM($EN$4:EN391))</f>
        <v>#N/A</v>
      </c>
      <c r="EP391" s="60">
        <f t="shared" si="729"/>
        <v>1.2380952380952381</v>
      </c>
      <c r="EQ391" s="60">
        <f>IF(EP391="",NA(),SUM($EP$4:EP391))</f>
        <v>10.940705975250239</v>
      </c>
      <c r="ER391" s="60" t="str">
        <f t="shared" si="730"/>
        <v/>
      </c>
      <c r="ES391" s="60" t="e">
        <f>IF(ER391="",NA(),SUM($ER$4:ER391))</f>
        <v>#N/A</v>
      </c>
      <c r="ET391" s="60" t="str">
        <f t="shared" si="731"/>
        <v/>
      </c>
      <c r="EU391" s="60" t="e">
        <f>IF(ET391="",NA(),SUM($ET$4:ET391))</f>
        <v>#N/A</v>
      </c>
      <c r="EV391" s="60" t="str">
        <f t="shared" si="732"/>
        <v/>
      </c>
      <c r="EW391" s="60" t="e">
        <f>IF(EV391="",NA(),SUM($EV$4:EV391))</f>
        <v>#N/A</v>
      </c>
      <c r="EX391" s="60" t="str">
        <f t="shared" si="733"/>
        <v/>
      </c>
      <c r="EY391" s="60" t="e">
        <f>IF(EX391="",NA(),SUM($EX$4:EX391))</f>
        <v>#N/A</v>
      </c>
      <c r="EZ391" s="60" t="str">
        <f t="shared" si="734"/>
        <v/>
      </c>
      <c r="FA391" s="60" t="e">
        <f>IF(EZ391="",NA(),SUM($EZ$4:EZ391))</f>
        <v>#N/A</v>
      </c>
      <c r="FB391" s="246" t="str">
        <f t="shared" si="758"/>
        <v/>
      </c>
      <c r="FC391" s="246" t="e">
        <f>IF($FB391="",#N/A,SUM(FB$4:$FB391))</f>
        <v>#N/A</v>
      </c>
      <c r="FD391" s="60" t="str">
        <f t="shared" si="735"/>
        <v/>
      </c>
      <c r="FE391" s="60" t="e">
        <f>IF($FD391="",#N/A,SUM($FD$4:FD391))</f>
        <v>#N/A</v>
      </c>
      <c r="FF391" s="60" t="str">
        <f t="shared" si="736"/>
        <v/>
      </c>
      <c r="FG391" s="60" t="e">
        <f>IF($FF391="",#N/A,SUM($FF$4:FF391))</f>
        <v>#N/A</v>
      </c>
      <c r="FH391" s="60" t="str">
        <f t="shared" si="737"/>
        <v/>
      </c>
      <c r="FI391" s="60" t="e">
        <f>IF($FH391="",#N/A,SUM($FH$4:FH391))</f>
        <v>#N/A</v>
      </c>
      <c r="FJ391" s="60">
        <f t="shared" si="738"/>
        <v>-0.44444444444444453</v>
      </c>
      <c r="FK391" s="60">
        <f>IF($FJ391="",#N/A,SUM($FJ$4:FJ391))</f>
        <v>-6.5838538287031678</v>
      </c>
      <c r="FL391" s="60" t="str">
        <f t="shared" si="739"/>
        <v/>
      </c>
      <c r="FM391" s="60" t="e">
        <f>IF($FL391="",#N/A,SUM($FL$4:FL391))</f>
        <v>#N/A</v>
      </c>
      <c r="FN391" s="82">
        <f t="shared" si="740"/>
        <v>0.79365079365079361</v>
      </c>
      <c r="FO391" s="82">
        <f>IF($FN391="",#N/A,SUM(FN$4:$FN391))</f>
        <v>35.760407749334412</v>
      </c>
      <c r="FP391" s="82">
        <f t="shared" si="759"/>
        <v>1.2380952380952381</v>
      </c>
      <c r="FQ391" s="246">
        <f>IF($EH391="",#N/A,SUM($FP$4:FP391))</f>
        <v>51.113283800430828</v>
      </c>
      <c r="FR391" s="82">
        <f>IFERROR(FQ391/COUNTA($J$4:J391),#N/A)</f>
        <v>0.13173526752688358</v>
      </c>
      <c r="FS391" s="82">
        <f t="shared" si="661"/>
        <v>6.9090703086672103E-2</v>
      </c>
      <c r="FT391" s="82">
        <f t="shared" si="662"/>
        <v>-7.5055401618137979E-2</v>
      </c>
      <c r="FU391" s="338">
        <f t="shared" si="660"/>
        <v>29.535359505488827</v>
      </c>
      <c r="FV391" s="57" t="str">
        <f t="shared" si="666"/>
        <v>SW</v>
      </c>
      <c r="FW391" s="57" t="s">
        <v>2732</v>
      </c>
      <c r="FX391" s="57" t="str">
        <f t="shared" si="741"/>
        <v/>
      </c>
      <c r="FY391" s="57" t="str">
        <f t="shared" si="742"/>
        <v/>
      </c>
      <c r="FZ391" s="57">
        <f t="shared" si="743"/>
        <v>1</v>
      </c>
      <c r="GA391" s="57" t="str">
        <f t="shared" si="744"/>
        <v>Long</v>
      </c>
      <c r="GB391" s="57" t="str">
        <f t="shared" si="745"/>
        <v/>
      </c>
      <c r="GC391" s="57" t="str">
        <f t="shared" si="746"/>
        <v/>
      </c>
      <c r="GD391" s="57" t="str">
        <f t="shared" si="747"/>
        <v/>
      </c>
      <c r="GE391" s="62">
        <f t="shared" si="664"/>
        <v>10.5</v>
      </c>
      <c r="GF391" s="62" t="s">
        <v>2779</v>
      </c>
      <c r="GG391" s="199">
        <v>150</v>
      </c>
      <c r="GH391" s="207">
        <f t="shared" si="748"/>
        <v>1575</v>
      </c>
      <c r="GI391" s="199">
        <v>150</v>
      </c>
      <c r="GJ391" s="200">
        <v>11.2</v>
      </c>
      <c r="GK391" s="63">
        <f t="shared" si="749"/>
        <v>105</v>
      </c>
      <c r="GL391" s="63">
        <f t="shared" si="665"/>
        <v>75</v>
      </c>
      <c r="GM391" s="82">
        <f t="shared" si="750"/>
        <v>0.79365079365079361</v>
      </c>
      <c r="GN391" s="82">
        <f>IF($GZ391="",#N/A,SUM(GM$4:GM391))</f>
        <v>5.9737732906709828</v>
      </c>
      <c r="GO391" s="82" t="str">
        <f t="shared" si="751"/>
        <v/>
      </c>
      <c r="GP391" s="82">
        <f>IF($GZ391="",#N/A,SUM(GO$4:GO391))</f>
        <v>3.9893037078761537</v>
      </c>
      <c r="GQ391" s="82" t="str">
        <f t="shared" si="752"/>
        <v/>
      </c>
      <c r="GR391" s="82">
        <f>IF($GZ391="",#N/A,SUM(GQ$4:GQ391))</f>
        <v>25.171493796344944</v>
      </c>
      <c r="GS391" s="63" t="e">
        <f t="shared" si="760"/>
        <v>#N/A</v>
      </c>
      <c r="GT391" s="63" t="e">
        <f>IF($GZ391="",#N/A,SUM(GS$4:GS391))</f>
        <v>#N/A</v>
      </c>
      <c r="GU391" s="63" t="str">
        <f t="shared" si="761"/>
        <v/>
      </c>
      <c r="GV391" s="63" t="e">
        <f>IF($GZ391="",#N/A,SUM(GU$4:GU391))</f>
        <v>#N/A</v>
      </c>
      <c r="GW391" s="63" t="str">
        <f t="shared" si="762"/>
        <v/>
      </c>
      <c r="GX391" s="63" t="e">
        <f>IF($GZ391="",#N/A,SUM(GW$4:GW391))</f>
        <v>#N/A</v>
      </c>
      <c r="GY391" s="63" t="e">
        <f>IF(EJ391="",#N/A,SUM($EJ$4:EJ391))</f>
        <v>#N/A</v>
      </c>
      <c r="GZ391" s="159">
        <v>11</v>
      </c>
      <c r="HA391" s="63">
        <f t="shared" si="753"/>
        <v>-42</v>
      </c>
      <c r="HB391" s="62" t="s">
        <v>2538</v>
      </c>
      <c r="HC391" s="60">
        <f>IFERROR(VLOOKUP(E391,Expectancy!$P$4:$S$19,1+C391,FALSE),"")</f>
        <v>0.70195709060766942</v>
      </c>
      <c r="HD391" s="82">
        <f t="shared" si="754"/>
        <v>1.1111111111111112</v>
      </c>
      <c r="HE391" s="138">
        <f>IF(HD391="",#N/A,SUM($HD$4:HD391))</f>
        <v>7.0479242949420033</v>
      </c>
      <c r="HF391" s="85">
        <f>IF(HD391="",#N/A,IF(HB391="Skip",#N/A,SUM($HG$4:HG391)))</f>
        <v>-4.2669207808439751</v>
      </c>
      <c r="HG391" s="63">
        <f t="shared" si="755"/>
        <v>105</v>
      </c>
      <c r="HH391" s="82">
        <f t="shared" si="756"/>
        <v>0.79365079365079361</v>
      </c>
    </row>
    <row r="392" spans="1:216" x14ac:dyDescent="0.25">
      <c r="A392" s="57" t="s">
        <v>1199</v>
      </c>
      <c r="B392" s="58" t="str" cm="1">
        <f t="array" ref="B392">IFERROR(_xlfn.XLOOKUP(A392,Earnings!$B$2:$B$9985,LEFT(Earnings!$C$2:$C$9985,37)),"Can't Find Date***")</f>
        <v>on 2/27/25, 6:30 AM Before Market Eas</v>
      </c>
      <c r="C392" s="386">
        <f t="shared" si="667"/>
        <v>2</v>
      </c>
      <c r="D392" s="372" t="str">
        <f>_xlfn.XLOOKUP(A392,[1]SP500!$A$2:$A$502,[1]SP500!$D$2:$D$502,"N")</f>
        <v>Y</v>
      </c>
      <c r="E392" s="57" t="str">
        <f>_xlfn.XLOOKUP(A392,[1]SP500!$A$2:$A$655,[1]SP500!$B$2:$B$655)</f>
        <v>XLP</v>
      </c>
      <c r="F392" s="59">
        <v>45715</v>
      </c>
      <c r="G392" s="57" t="str">
        <f t="shared" si="668"/>
        <v>BMO</v>
      </c>
      <c r="H392" s="57" t="str">
        <f t="shared" si="669"/>
        <v>o</v>
      </c>
      <c r="I392" s="159">
        <v>28.73</v>
      </c>
      <c r="J392" s="159">
        <v>28.555</v>
      </c>
      <c r="K392" s="61">
        <f t="shared" si="670"/>
        <v>-6.0911938739993286E-3</v>
      </c>
      <c r="L392" s="87">
        <f t="shared" si="671"/>
        <v>9.625</v>
      </c>
      <c r="M392" s="130" t="e">
        <f t="shared" si="663"/>
        <v>#N/A</v>
      </c>
      <c r="N392" s="169" t="str">
        <f t="shared" si="672"/>
        <v/>
      </c>
      <c r="O392" s="169">
        <f>IF($J392="",#N/A,SUM($N$4:N392))</f>
        <v>-295.65328064577557</v>
      </c>
      <c r="P392" s="174">
        <f t="shared" si="673"/>
        <v>9.625</v>
      </c>
      <c r="Q392" s="174">
        <f>IF($J392="",#N/A,SUM($P$4:P392))</f>
        <v>105.35499224504326</v>
      </c>
      <c r="R392" s="178" t="str">
        <f t="shared" si="674"/>
        <v/>
      </c>
      <c r="S392" s="178">
        <f>IF($J392="",#N/A,SUM($R$4:R392))</f>
        <v>1203.1623369902779</v>
      </c>
      <c r="T392" s="290" t="str">
        <f t="shared" si="675"/>
        <v/>
      </c>
      <c r="U392" s="290">
        <f>IF($J392="",#N/A,SUM($T$4:T392))</f>
        <v>10.514761942459062</v>
      </c>
      <c r="V392" s="291">
        <f t="shared" si="676"/>
        <v>0.1015198978999884</v>
      </c>
      <c r="W392" s="291">
        <f>IF($J392="",#N/A,SUM($V$4:V392))</f>
        <v>20.597319644031678</v>
      </c>
      <c r="X392" s="292" t="str">
        <f t="shared" si="677"/>
        <v/>
      </c>
      <c r="Y392" s="292">
        <f>IF($J392="",#N/A,SUM($X$4:X392))</f>
        <v>20.102722111840105</v>
      </c>
      <c r="Z392" s="304" t="str">
        <f t="shared" si="678"/>
        <v/>
      </c>
      <c r="AA392" s="313" t="e">
        <f>IF($J392="",#N/A,SUM(Z$4:Z392))</f>
        <v>#N/A</v>
      </c>
      <c r="AB392" s="314" t="str">
        <f t="shared" si="679"/>
        <v/>
      </c>
      <c r="AC392" s="314" t="e">
        <f>IF($J392="",#N/A,SUM(AB$4:AB392))</f>
        <v>#N/A</v>
      </c>
      <c r="AD392" s="315" t="str">
        <f t="shared" si="680"/>
        <v/>
      </c>
      <c r="AE392" s="315" t="e">
        <f>IF($J392="",#N/A,SUM(AD$4:AD392))</f>
        <v>#N/A</v>
      </c>
      <c r="AF392" s="315" t="e">
        <f>IF($J392="",#N/A,SUM(AD$4:AD392,AB$4:AB392,Z$4:Z392))</f>
        <v>#N/A</v>
      </c>
      <c r="AG392" s="304" t="str">
        <f t="shared" si="681"/>
        <v/>
      </c>
      <c r="AH392" s="313" t="e">
        <f>IF($J392="",#N/A,SUM(AG$4:AG392))</f>
        <v>#N/A</v>
      </c>
      <c r="AI392" s="314" t="str">
        <f t="shared" si="682"/>
        <v/>
      </c>
      <c r="AJ392" s="314" t="e">
        <f>IF($J392="",#N/A,SUM(AI$4:AI392))</f>
        <v>#N/A</v>
      </c>
      <c r="AK392" s="315" t="str">
        <f t="shared" si="683"/>
        <v/>
      </c>
      <c r="AL392" s="315" t="e">
        <f>IF($J392="",#N/A,SUM(AK$4:AK392))</f>
        <v>#N/A</v>
      </c>
      <c r="AM392" s="315" t="e">
        <f>IF($J392="",#N/A,SUM(AK$4:AK392,AI$4:AI392,AG$4:AG392))</f>
        <v>#N/A</v>
      </c>
      <c r="AN392" s="304" t="str">
        <f t="shared" si="684"/>
        <v/>
      </c>
      <c r="AO392" s="313" t="e">
        <f>IF($J392="",#N/A,SUM(AN$4:AN392))</f>
        <v>#N/A</v>
      </c>
      <c r="AP392" s="314" t="str">
        <f t="shared" si="685"/>
        <v/>
      </c>
      <c r="AQ392" s="314" t="e">
        <f>IF($J392="",#N/A,SUM(AP$4:AP392))</f>
        <v>#N/A</v>
      </c>
      <c r="AR392" s="315" t="str">
        <f t="shared" si="686"/>
        <v/>
      </c>
      <c r="AS392" s="315" t="e">
        <f>IF($J392="",#N/A,SUM(AR$4:AR392))</f>
        <v>#N/A</v>
      </c>
      <c r="AT392" s="315" t="e">
        <f>IF($J392="",#N/A,SUM(AR$4:AR392,AP$4:AP392,AN$4:AN392))</f>
        <v>#N/A</v>
      </c>
      <c r="AU392" s="304" t="str">
        <f t="shared" si="687"/>
        <v/>
      </c>
      <c r="AV392" s="313" t="e">
        <f>IF($J392="",#N/A,SUM(AU$4:AU392))</f>
        <v>#N/A</v>
      </c>
      <c r="AW392" s="314">
        <f t="shared" si="688"/>
        <v>0.1015198978999884</v>
      </c>
      <c r="AX392" s="314" t="e">
        <f>IF($J392="",#N/A,SUM(AW$4:AW392))</f>
        <v>#N/A</v>
      </c>
      <c r="AY392" s="315" t="str">
        <f t="shared" si="689"/>
        <v/>
      </c>
      <c r="AZ392" s="315" t="e">
        <f>IF($J392="",#N/A,SUM(AY$4:AY392))</f>
        <v>#N/A</v>
      </c>
      <c r="BA392" s="315" t="e">
        <f>IF($J392="",#N/A,SUM(AY$4:AY392,AW$4:AW392,AU$4:AU392))</f>
        <v>#N/A</v>
      </c>
      <c r="BB392" s="304" t="str">
        <f t="shared" si="690"/>
        <v/>
      </c>
      <c r="BC392" s="313" t="e">
        <f>IF($J392="",#N/A,SUM(BB$4:BB392))</f>
        <v>#N/A</v>
      </c>
      <c r="BD392" s="314" t="str">
        <f t="shared" si="691"/>
        <v/>
      </c>
      <c r="BE392" s="314" t="e">
        <f>IF($J392="",#N/A,SUM(BD$4:BD392))</f>
        <v>#N/A</v>
      </c>
      <c r="BF392" s="315" t="str">
        <f t="shared" si="692"/>
        <v/>
      </c>
      <c r="BG392" s="315" t="e">
        <f>IF($J392="",#N/A,SUM(BF$4:BF392))</f>
        <v>#N/A</v>
      </c>
      <c r="BH392" s="315" t="e">
        <f>IF($J392="",#N/A,SUM(BF$4:BF392,BD$4:BD392,BB$4:BB392))</f>
        <v>#N/A</v>
      </c>
      <c r="BI392" s="304" t="str">
        <f t="shared" si="693"/>
        <v/>
      </c>
      <c r="BJ392" s="313" t="e">
        <f>IF($J392="",#N/A,SUM(BI$4:BI392))</f>
        <v>#N/A</v>
      </c>
      <c r="BK392" s="314" t="str">
        <f t="shared" si="694"/>
        <v/>
      </c>
      <c r="BL392" s="314" t="e">
        <f>IF($J392="",#N/A,SUM(BK$4:BK392))</f>
        <v>#N/A</v>
      </c>
      <c r="BM392" s="315" t="str">
        <f t="shared" si="695"/>
        <v/>
      </c>
      <c r="BN392" s="315" t="e">
        <f>IF($J392="",#N/A,SUM(BM$4:BM392))</f>
        <v>#N/A</v>
      </c>
      <c r="BO392" s="315" t="e">
        <f>IF($J392="",#N/A,SUM(BM$4:BM392,BK$4:BK392,BI$4:BI392))</f>
        <v>#N/A</v>
      </c>
      <c r="BP392" s="304" t="str">
        <f t="shared" si="696"/>
        <v/>
      </c>
      <c r="BQ392" s="313" t="e">
        <f>IF($J392="",#N/A,SUM(BP$4:BP392))</f>
        <v>#N/A</v>
      </c>
      <c r="BR392" s="314" t="str">
        <f t="shared" si="697"/>
        <v/>
      </c>
      <c r="BS392" s="314" t="e">
        <f>IF($J392="",#N/A,SUM(BR$4:BR392))</f>
        <v>#N/A</v>
      </c>
      <c r="BT392" s="315" t="str">
        <f t="shared" si="698"/>
        <v/>
      </c>
      <c r="BU392" s="315" t="e">
        <f>IF($J392="",#N/A,SUM(BT$4:BT392))</f>
        <v>#N/A</v>
      </c>
      <c r="BV392" s="315" t="e">
        <f>IF($J392="",#N/A,SUM(BT$4:BT392,BR$4:BR392,BP$4:BP392))</f>
        <v>#N/A</v>
      </c>
      <c r="BW392" s="304" t="str">
        <f t="shared" si="699"/>
        <v/>
      </c>
      <c r="BX392" s="313" t="e">
        <f>IF($J392="",#N/A,SUM(BW$4:BW392))</f>
        <v>#N/A</v>
      </c>
      <c r="BY392" s="314" t="str">
        <f t="shared" si="700"/>
        <v/>
      </c>
      <c r="BZ392" s="314" t="e">
        <f>IF($J392="",#N/A,SUM(BY$4:BY392))</f>
        <v>#N/A</v>
      </c>
      <c r="CA392" s="315" t="str">
        <f t="shared" si="701"/>
        <v/>
      </c>
      <c r="CB392" s="315" t="e">
        <f>IF($J392="",#N/A,SUM(CA$4:CA392))</f>
        <v>#N/A</v>
      </c>
      <c r="CC392" s="315" t="e">
        <f>IF($J392="",#N/A,SUM(CA$4:CA392,BY$4:BY392,BW$4:BW392))</f>
        <v>#N/A</v>
      </c>
      <c r="CD392" s="304" t="str">
        <f t="shared" si="702"/>
        <v/>
      </c>
      <c r="CE392" s="313" t="e">
        <f>IF($J392="",#N/A,SUM(CD$4:CD392))</f>
        <v>#N/A</v>
      </c>
      <c r="CF392" s="314" t="str">
        <f t="shared" si="703"/>
        <v/>
      </c>
      <c r="CG392" s="314" t="e">
        <f>IF($J392="",#N/A,SUM(CF$4:CF392))</f>
        <v>#N/A</v>
      </c>
      <c r="CH392" s="315" t="str">
        <f t="shared" si="704"/>
        <v/>
      </c>
      <c r="CI392" s="315" t="e">
        <f>IF($J392="",#N/A,SUM(CH$4:CH392))</f>
        <v>#N/A</v>
      </c>
      <c r="CJ392" s="315" t="e">
        <f>IF($J392="",#N/A,SUM(CH$4:CH392,CF$4:CF392,CD$4:CD392))</f>
        <v>#N/A</v>
      </c>
      <c r="CK392" s="304" t="str">
        <f t="shared" si="705"/>
        <v/>
      </c>
      <c r="CL392" s="313" t="e">
        <f>IF($J392="",#N/A,SUM(CK$4:CK392))</f>
        <v>#N/A</v>
      </c>
      <c r="CM392" s="314" t="str">
        <f t="shared" si="706"/>
        <v/>
      </c>
      <c r="CN392" s="314" t="e">
        <f>IF($J392="",#N/A,SUM(CM$4:CM392))</f>
        <v>#N/A</v>
      </c>
      <c r="CO392" s="315" t="str">
        <f t="shared" si="707"/>
        <v/>
      </c>
      <c r="CP392" s="315" t="e">
        <f>IF($J392="",#N/A,SUM(CO$4:CO392))</f>
        <v>#N/A</v>
      </c>
      <c r="CQ392" s="315" t="e">
        <f>IF($J392="",#N/A,SUM(CO$4:CO392,CM$4:CM392,CK$4:CK392))</f>
        <v>#N/A</v>
      </c>
      <c r="CR392" s="304" t="str">
        <f t="shared" si="708"/>
        <v/>
      </c>
      <c r="CS392" s="313" t="e">
        <f>IF($J392="",#N/A,SUM(CR$4:CR392))</f>
        <v>#N/A</v>
      </c>
      <c r="CT392" s="314" t="str">
        <f t="shared" si="709"/>
        <v/>
      </c>
      <c r="CU392" s="314" t="e">
        <f>IF($J392="",#N/A,SUM(CT$4:CT392))</f>
        <v>#N/A</v>
      </c>
      <c r="CV392" s="315" t="str">
        <f t="shared" si="710"/>
        <v/>
      </c>
      <c r="CW392" s="315" t="e">
        <f>IF($J392="",#N/A,SUM(CV$4:CV392))</f>
        <v>#N/A</v>
      </c>
      <c r="CX392" s="315" t="e">
        <f>IF($J392="",#N/A,SUM(CV$4:CV392,CT$4:CT392,CR$4:CR392))</f>
        <v>#N/A</v>
      </c>
      <c r="CY392" s="304" t="str">
        <f t="shared" si="711"/>
        <v/>
      </c>
      <c r="CZ392" s="313" t="e">
        <f>IF($J392="",#N/A,SUM(CY$4:CY392))</f>
        <v>#N/A</v>
      </c>
      <c r="DA392" s="314" t="str">
        <f t="shared" si="712"/>
        <v/>
      </c>
      <c r="DB392" s="314" t="e">
        <f>IF($J392="",#N/A,SUM(DA$4:DA392))</f>
        <v>#N/A</v>
      </c>
      <c r="DC392" s="315" t="str">
        <f t="shared" si="713"/>
        <v/>
      </c>
      <c r="DD392" s="315" t="e">
        <f>IF($J392="",#N/A,SUM(DC$4:DC392))</f>
        <v>#N/A</v>
      </c>
      <c r="DE392" s="315" t="e">
        <f>IF($J392="",#N/A,SUM(DC$4:DC392,DA$4:DA392,CY$4:CY392))</f>
        <v>#N/A</v>
      </c>
      <c r="DF392" s="304" t="str">
        <f t="shared" si="714"/>
        <v/>
      </c>
      <c r="DG392" s="313" t="e">
        <f>IF($J392="",#N/A,SUM(DF$4:DF392))</f>
        <v>#N/A</v>
      </c>
      <c r="DH392" s="314" t="str">
        <f t="shared" si="715"/>
        <v/>
      </c>
      <c r="DI392" s="314" t="e">
        <f>IF($J392="",#N/A,SUM(DH$4:DH392))</f>
        <v>#N/A</v>
      </c>
      <c r="DJ392" s="315" t="str">
        <f t="shared" si="716"/>
        <v/>
      </c>
      <c r="DK392" s="315" t="e">
        <f>IF($J392="",#N/A,SUM(DJ$4:DJ392))</f>
        <v>#N/A</v>
      </c>
      <c r="DL392" s="315" t="e">
        <f>IF($J392="",#N/A,SUM(DJ$4:DJ392,DH$4:DH392,DF$4:DF392))</f>
        <v>#N/A</v>
      </c>
      <c r="DM392" s="304" t="str">
        <f t="shared" si="717"/>
        <v/>
      </c>
      <c r="DN392" s="313" t="e">
        <f>IF($J392="",#N/A,SUM(DM$4:DM392))</f>
        <v>#N/A</v>
      </c>
      <c r="DO392" s="314" t="str">
        <f t="shared" si="718"/>
        <v/>
      </c>
      <c r="DP392" s="314" t="e">
        <f>IF($J392="",#N/A,SUM(DO$4:DO392))</f>
        <v>#N/A</v>
      </c>
      <c r="DQ392" s="315" t="str">
        <f t="shared" si="719"/>
        <v/>
      </c>
      <c r="DR392" s="315" t="e">
        <f>IF($J392="",#N/A,SUM(DQ$4:DQ392))</f>
        <v>#N/A</v>
      </c>
      <c r="DS392" s="315" t="e">
        <f>IF($J392="",#N/A,SUM(DQ$4:DQ392,DO$4:DO392,DM$4:DM392))</f>
        <v>#N/A</v>
      </c>
      <c r="DT392" s="304" t="str">
        <f t="shared" si="720"/>
        <v/>
      </c>
      <c r="DU392" s="313" t="e">
        <f>IF($J392="",#N/A,SUM(DT$4:DT392))</f>
        <v>#N/A</v>
      </c>
      <c r="DV392" s="314" t="str">
        <f t="shared" si="721"/>
        <v/>
      </c>
      <c r="DW392" s="314" t="e">
        <f>IF($J392="",#N/A,SUM(DV$4:DV392))</f>
        <v>#N/A</v>
      </c>
      <c r="DX392" s="315" t="str">
        <f t="shared" si="722"/>
        <v/>
      </c>
      <c r="DY392" s="315" t="e">
        <f>IF($J392="",#N/A,SUM(DX$4:DX392))</f>
        <v>#N/A</v>
      </c>
      <c r="DZ392" s="315" t="e">
        <f>IF($J392="",#N/A,SUM(DX$4:DX392,DV$4:DV392,DT$4:DT392))</f>
        <v>#N/A</v>
      </c>
      <c r="EA392" s="304" t="str">
        <f t="shared" si="723"/>
        <v/>
      </c>
      <c r="EB392" s="313" t="e">
        <f>IF($J392="",#N/A,SUM(EA$4:EA392))</f>
        <v>#N/A</v>
      </c>
      <c r="EC392" s="314" t="str">
        <f t="shared" si="724"/>
        <v/>
      </c>
      <c r="ED392" s="314" t="e">
        <f>IF($J392="",#N/A,SUM(EC$4:EC392))</f>
        <v>#N/A</v>
      </c>
      <c r="EE392" s="315" t="str">
        <f t="shared" si="725"/>
        <v/>
      </c>
      <c r="EF392" s="315" t="e">
        <f>IF($J392="",#N/A,SUM(EE$4:EE392))</f>
        <v>#N/A</v>
      </c>
      <c r="EG392" s="315" t="e">
        <f>IF($J392="",#N/A,SUM(EE$4:EE392,EC$4:EC392,EA$4:EA392))</f>
        <v>#N/A</v>
      </c>
      <c r="EH392" s="130">
        <f t="shared" si="726"/>
        <v>9.625</v>
      </c>
      <c r="EI392" s="63">
        <f>IF(EH392="",#N/A,SUM($EH$4:EH392))</f>
        <v>1012.8640485895457</v>
      </c>
      <c r="EJ392" s="223" t="e">
        <f t="shared" si="727"/>
        <v>#N/A</v>
      </c>
      <c r="EK392" s="63" t="e">
        <f>IF($GZ392="",#N/A,SUM(EJ$4:EJ392))</f>
        <v>#N/A</v>
      </c>
      <c r="EL392" s="60">
        <f t="shared" si="757"/>
        <v>0.1015198978999884</v>
      </c>
      <c r="EM392" s="60">
        <f>IF(EL392="",NA(),SUM($EL$4:EL392))</f>
        <v>23.772873328243449</v>
      </c>
      <c r="EN392" s="60" t="str">
        <f t="shared" si="728"/>
        <v/>
      </c>
      <c r="EO392" s="60" t="e">
        <f>IF(EN392="",NA(),SUM($EN$4:EN392))</f>
        <v>#N/A</v>
      </c>
      <c r="EP392" s="60" t="str">
        <f t="shared" si="729"/>
        <v/>
      </c>
      <c r="EQ392" s="60" t="e">
        <f>IF(EP392="",NA(),SUM($EP$4:EP392))</f>
        <v>#N/A</v>
      </c>
      <c r="ER392" s="60">
        <f t="shared" si="730"/>
        <v>0.1015198978999884</v>
      </c>
      <c r="ES392" s="60">
        <f>IF(ER392="",NA(),SUM($ER$4:ER392))</f>
        <v>7.8175076597501727</v>
      </c>
      <c r="ET392" s="60" t="str">
        <f t="shared" si="731"/>
        <v/>
      </c>
      <c r="EU392" s="60" t="e">
        <f>IF(ET392="",NA(),SUM($ET$4:ET392))</f>
        <v>#N/A</v>
      </c>
      <c r="EV392" s="60" t="str">
        <f t="shared" si="732"/>
        <v/>
      </c>
      <c r="EW392" s="60" t="e">
        <f>IF(EV392="",NA(),SUM($EV$4:EV392))</f>
        <v>#N/A</v>
      </c>
      <c r="EX392" s="60" t="str">
        <f t="shared" si="733"/>
        <v/>
      </c>
      <c r="EY392" s="60" t="e">
        <f>IF(EX392="",NA(),SUM($EX$4:EX392))</f>
        <v>#N/A</v>
      </c>
      <c r="EZ392" s="60" t="str">
        <f t="shared" si="734"/>
        <v/>
      </c>
      <c r="FA392" s="60" t="e">
        <f>IF(EZ392="",NA(),SUM($EZ$4:EZ392))</f>
        <v>#N/A</v>
      </c>
      <c r="FB392" s="246">
        <f t="shared" si="758"/>
        <v>0.10151989789999079</v>
      </c>
      <c r="FC392" s="246">
        <f>IF($FB392="",#N/A,SUM(FB$4:$FB392))</f>
        <v>2.580481932810101</v>
      </c>
      <c r="FD392" s="60" t="str">
        <f t="shared" si="735"/>
        <v/>
      </c>
      <c r="FE392" s="60" t="e">
        <f>IF($FD392="",#N/A,SUM($FD$4:FD392))</f>
        <v>#N/A</v>
      </c>
      <c r="FF392" s="60" t="str">
        <f t="shared" si="736"/>
        <v/>
      </c>
      <c r="FG392" s="60" t="e">
        <f>IF($FF392="",#N/A,SUM($FF$4:FF392))</f>
        <v>#N/A</v>
      </c>
      <c r="FH392" s="60" t="str">
        <f t="shared" si="737"/>
        <v/>
      </c>
      <c r="FI392" s="60" t="e">
        <f>IF($FH392="",#N/A,SUM($FH$4:FH392))</f>
        <v>#N/A</v>
      </c>
      <c r="FJ392" s="60" t="str">
        <f t="shared" si="738"/>
        <v/>
      </c>
      <c r="FK392" s="60" t="e">
        <f>IF($FJ392="",#N/A,SUM($FJ$4:FJ392))</f>
        <v>#N/A</v>
      </c>
      <c r="FL392" s="60" t="str">
        <f t="shared" si="739"/>
        <v/>
      </c>
      <c r="FM392" s="60" t="e">
        <f>IF($FL392="",#N/A,SUM($FL$4:FL392))</f>
        <v>#N/A</v>
      </c>
      <c r="FN392" s="82">
        <f t="shared" si="740"/>
        <v>0.20303979579997919</v>
      </c>
      <c r="FO392" s="82">
        <f>IF($FN392="",#N/A,SUM(FN$4:$FN392))</f>
        <v>35.963447545134393</v>
      </c>
      <c r="FP392" s="82">
        <f t="shared" si="759"/>
        <v>0.1015198978999884</v>
      </c>
      <c r="FQ392" s="246">
        <f>IF($EH392="",#N/A,SUM($FP$4:FP392))</f>
        <v>51.214803698330819</v>
      </c>
      <c r="FR392" s="82">
        <f>IFERROR(FQ392/COUNTA($J$4:J392),#N/A)</f>
        <v>0.13165759305483501</v>
      </c>
      <c r="FS392" s="82">
        <f t="shared" si="661"/>
        <v>5.0068469465724519E-2</v>
      </c>
      <c r="FT392" s="82">
        <f t="shared" si="662"/>
        <v>-7.5492278418000464E-2</v>
      </c>
      <c r="FU392" s="338">
        <f t="shared" si="660"/>
        <v>29.16112815614435</v>
      </c>
      <c r="FV392" s="57" t="str">
        <f t="shared" si="666"/>
        <v>Dwn</v>
      </c>
      <c r="FW392" s="57" t="s">
        <v>2733</v>
      </c>
      <c r="FX392" s="57" t="str">
        <f t="shared" si="741"/>
        <v/>
      </c>
      <c r="FY392" s="57" t="str">
        <f t="shared" si="742"/>
        <v/>
      </c>
      <c r="FZ392" s="57" t="str">
        <f t="shared" si="743"/>
        <v/>
      </c>
      <c r="GA392" s="57" t="str">
        <f t="shared" si="744"/>
        <v>Short</v>
      </c>
      <c r="GB392" s="57">
        <f t="shared" si="745"/>
        <v>1</v>
      </c>
      <c r="GC392" s="57" t="str">
        <f t="shared" si="746"/>
        <v/>
      </c>
      <c r="GD392" s="57" t="str">
        <f t="shared" si="747"/>
        <v/>
      </c>
      <c r="GE392" s="62">
        <f t="shared" si="664"/>
        <v>28.73</v>
      </c>
      <c r="GF392" s="62" t="s">
        <v>2780</v>
      </c>
      <c r="GG392" s="199">
        <v>55</v>
      </c>
      <c r="GH392" s="207">
        <f t="shared" si="748"/>
        <v>1580.15</v>
      </c>
      <c r="GI392" s="199">
        <v>55</v>
      </c>
      <c r="GJ392" s="200">
        <v>27.9099</v>
      </c>
      <c r="GK392" s="63">
        <f t="shared" si="749"/>
        <v>45.10550000000012</v>
      </c>
      <c r="GL392" s="63">
        <f t="shared" si="665"/>
        <v>19.250000000000227</v>
      </c>
      <c r="GM392" s="82" t="str">
        <f t="shared" si="750"/>
        <v/>
      </c>
      <c r="GN392" s="82">
        <f>IF($GZ392="",#N/A,SUM(GM$4:GM392))</f>
        <v>5.9737732906709828</v>
      </c>
      <c r="GO392" s="82" t="str">
        <f t="shared" si="751"/>
        <v/>
      </c>
      <c r="GP392" s="82">
        <f>IF($GZ392="",#N/A,SUM(GO$4:GO392))</f>
        <v>3.9893037078761537</v>
      </c>
      <c r="GQ392" s="82">
        <f t="shared" si="752"/>
        <v>0.20303979579997919</v>
      </c>
      <c r="GR392" s="82">
        <f>IF($GZ392="",#N/A,SUM(GQ$4:GQ392))</f>
        <v>25.374533592144921</v>
      </c>
      <c r="GS392" s="63" t="str">
        <f t="shared" si="760"/>
        <v/>
      </c>
      <c r="GT392" s="63" t="e">
        <f>IF($GZ392="",#N/A,SUM(GS$4:GS392))</f>
        <v>#N/A</v>
      </c>
      <c r="GU392" s="63" t="str">
        <f t="shared" si="761"/>
        <v/>
      </c>
      <c r="GV392" s="63" t="e">
        <f>IF($GZ392="",#N/A,SUM(GU$4:GU392))</f>
        <v>#N/A</v>
      </c>
      <c r="GW392" s="63" t="e">
        <f t="shared" si="762"/>
        <v>#N/A</v>
      </c>
      <c r="GX392" s="63" t="e">
        <f>IF($GZ392="",#N/A,SUM(GW$4:GW392))</f>
        <v>#N/A</v>
      </c>
      <c r="GY392" s="63" t="e">
        <f>IF(EJ392="",#N/A,SUM($EJ$4:EJ392))</f>
        <v>#N/A</v>
      </c>
      <c r="GZ392" s="159">
        <v>28.38</v>
      </c>
      <c r="HA392" s="63">
        <f t="shared" si="753"/>
        <v>9.6250000000002274</v>
      </c>
      <c r="HB392" s="62" t="s">
        <v>4734</v>
      </c>
      <c r="HC392" s="60">
        <f>IFERROR(VLOOKUP(E392,Expectancy!$P$4:$S$19,1+C392,FALSE),"")</f>
        <v>0.30769020202715358</v>
      </c>
      <c r="HD392" s="82">
        <f t="shared" si="754"/>
        <v>0.47575124724446122</v>
      </c>
      <c r="HE392" s="138">
        <f>IF(HD392="",#N/A,SUM($HD$4:HD392))</f>
        <v>7.5236755421864645</v>
      </c>
      <c r="HF392" s="85">
        <f>IF(HD392="",#N/A,IF(HB392="Skip",#N/A,SUM($HG$4:HG392)))</f>
        <v>40.838579219156145</v>
      </c>
      <c r="HG392" s="63">
        <f t="shared" si="755"/>
        <v>45.10550000000012</v>
      </c>
      <c r="HH392" s="82">
        <f t="shared" si="756"/>
        <v>0.20303979579997919</v>
      </c>
    </row>
    <row r="393" spans="1:216" x14ac:dyDescent="0.25">
      <c r="A393" s="57" t="s">
        <v>879</v>
      </c>
      <c r="B393" s="58" t="str" cm="1">
        <f t="array" ref="B393">IFERROR(_xlfn.XLOOKUP(A393,Earnings!$B$2:$B$9985,LEFT(Earnings!$C$2:$C$9985,37)),"Can't Find Date***")</f>
        <v>on 2/27/25, 4:01 PM After Market East</v>
      </c>
      <c r="C393" s="386">
        <f t="shared" si="667"/>
        <v>2</v>
      </c>
      <c r="D393" s="372" t="str">
        <f>_xlfn.XLOOKUP(A393,[1]SP500!$A$2:$A$502,[1]SP500!$D$2:$D$502,"N")</f>
        <v>Y</v>
      </c>
      <c r="E393" s="57" t="str">
        <f>_xlfn.XLOOKUP(A393,[1]SP500!$A$2:$A$655,[1]SP500!$B$2:$B$655)</f>
        <v>XLB</v>
      </c>
      <c r="F393" s="59">
        <v>45715</v>
      </c>
      <c r="G393" s="57" t="str">
        <f t="shared" si="668"/>
        <v>AMC</v>
      </c>
      <c r="H393" s="57" t="str">
        <f t="shared" si="669"/>
        <v>s</v>
      </c>
      <c r="I393" s="159">
        <v>25.09</v>
      </c>
      <c r="J393" s="158">
        <v>24.5</v>
      </c>
      <c r="K393" s="61">
        <f t="shared" si="670"/>
        <v>-2.351534475886807E-2</v>
      </c>
      <c r="L393" s="87">
        <f t="shared" si="671"/>
        <v>38.349999999999909</v>
      </c>
      <c r="M393" s="130">
        <f t="shared" si="663"/>
        <v>0</v>
      </c>
      <c r="N393" s="169" t="str">
        <f t="shared" si="672"/>
        <v/>
      </c>
      <c r="O393" s="169">
        <f>IF($J393="",#N/A,SUM($N$4:N393))</f>
        <v>-295.65328064577557</v>
      </c>
      <c r="P393" s="174">
        <f t="shared" si="673"/>
        <v>38.349999999999909</v>
      </c>
      <c r="Q393" s="174">
        <f>IF($J393="",#N/A,SUM($P$4:P393))</f>
        <v>143.70499224504317</v>
      </c>
      <c r="R393" s="178" t="str">
        <f t="shared" si="674"/>
        <v/>
      </c>
      <c r="S393" s="178">
        <f>IF($J393="",#N/A,SUM($R$4:R393))</f>
        <v>1203.1623369902779</v>
      </c>
      <c r="T393" s="290" t="str">
        <f t="shared" si="675"/>
        <v/>
      </c>
      <c r="U393" s="290">
        <f>IF($J393="",#N/A,SUM($T$4:T393))</f>
        <v>10.514761942459062</v>
      </c>
      <c r="V393" s="291">
        <f t="shared" si="676"/>
        <v>0.39192241264780037</v>
      </c>
      <c r="W393" s="291">
        <f>IF($J393="",#N/A,SUM($V$4:V393))</f>
        <v>20.98924205667948</v>
      </c>
      <c r="X393" s="292" t="str">
        <f t="shared" si="677"/>
        <v/>
      </c>
      <c r="Y393" s="292">
        <f>IF($J393="",#N/A,SUM($X$4:X393))</f>
        <v>20.102722111840105</v>
      </c>
      <c r="Z393" s="304" t="str">
        <f t="shared" si="678"/>
        <v/>
      </c>
      <c r="AA393" s="313" t="e">
        <f>IF($J393="",#N/A,SUM(Z$4:Z393))</f>
        <v>#N/A</v>
      </c>
      <c r="AB393" s="314" t="str">
        <f t="shared" si="679"/>
        <v/>
      </c>
      <c r="AC393" s="314" t="e">
        <f>IF($J393="",#N/A,SUM(AB$4:AB393))</f>
        <v>#N/A</v>
      </c>
      <c r="AD393" s="315" t="str">
        <f t="shared" si="680"/>
        <v/>
      </c>
      <c r="AE393" s="315" t="e">
        <f>IF($J393="",#N/A,SUM(AD$4:AD393))</f>
        <v>#N/A</v>
      </c>
      <c r="AF393" s="315" t="e">
        <f>IF($J393="",#N/A,SUM(AD$4:AD393,AB$4:AB393,Z$4:Z393))</f>
        <v>#N/A</v>
      </c>
      <c r="AG393" s="304" t="str">
        <f t="shared" si="681"/>
        <v/>
      </c>
      <c r="AH393" s="313" t="e">
        <f>IF($J393="",#N/A,SUM(AG$4:AG393))</f>
        <v>#N/A</v>
      </c>
      <c r="AI393" s="314" t="str">
        <f t="shared" si="682"/>
        <v/>
      </c>
      <c r="AJ393" s="314" t="e">
        <f>IF($J393="",#N/A,SUM(AI$4:AI393))</f>
        <v>#N/A</v>
      </c>
      <c r="AK393" s="315" t="str">
        <f t="shared" si="683"/>
        <v/>
      </c>
      <c r="AL393" s="315" t="e">
        <f>IF($J393="",#N/A,SUM(AK$4:AK393))</f>
        <v>#N/A</v>
      </c>
      <c r="AM393" s="315" t="e">
        <f>IF($J393="",#N/A,SUM(AK$4:AK393,AI$4:AI393,AG$4:AG393))</f>
        <v>#N/A</v>
      </c>
      <c r="AN393" s="304" t="str">
        <f t="shared" si="684"/>
        <v/>
      </c>
      <c r="AO393" s="313" t="e">
        <f>IF($J393="",#N/A,SUM(AN$4:AN393))</f>
        <v>#N/A</v>
      </c>
      <c r="AP393" s="314" t="str">
        <f t="shared" si="685"/>
        <v/>
      </c>
      <c r="AQ393" s="314" t="e">
        <f>IF($J393="",#N/A,SUM(AP$4:AP393))</f>
        <v>#N/A</v>
      </c>
      <c r="AR393" s="315" t="str">
        <f t="shared" si="686"/>
        <v/>
      </c>
      <c r="AS393" s="315" t="e">
        <f>IF($J393="",#N/A,SUM(AR$4:AR393))</f>
        <v>#N/A</v>
      </c>
      <c r="AT393" s="315" t="e">
        <f>IF($J393="",#N/A,SUM(AR$4:AR393,AP$4:AP393,AN$4:AN393))</f>
        <v>#N/A</v>
      </c>
      <c r="AU393" s="304" t="str">
        <f t="shared" si="687"/>
        <v/>
      </c>
      <c r="AV393" s="313" t="e">
        <f>IF($J393="",#N/A,SUM(AU$4:AU393))</f>
        <v>#N/A</v>
      </c>
      <c r="AW393" s="314" t="str">
        <f t="shared" si="688"/>
        <v/>
      </c>
      <c r="AX393" s="314" t="e">
        <f>IF($J393="",#N/A,SUM(AW$4:AW393))</f>
        <v>#N/A</v>
      </c>
      <c r="AY393" s="315" t="str">
        <f t="shared" si="689"/>
        <v/>
      </c>
      <c r="AZ393" s="315" t="e">
        <f>IF($J393="",#N/A,SUM(AY$4:AY393))</f>
        <v>#N/A</v>
      </c>
      <c r="BA393" s="315" t="e">
        <f>IF($J393="",#N/A,SUM(AY$4:AY393,AW$4:AW393,AU$4:AU393))</f>
        <v>#N/A</v>
      </c>
      <c r="BB393" s="304" t="str">
        <f t="shared" si="690"/>
        <v/>
      </c>
      <c r="BC393" s="313" t="e">
        <f>IF($J393="",#N/A,SUM(BB$4:BB393))</f>
        <v>#N/A</v>
      </c>
      <c r="BD393" s="314" t="str">
        <f t="shared" si="691"/>
        <v/>
      </c>
      <c r="BE393" s="314" t="e">
        <f>IF($J393="",#N/A,SUM(BD$4:BD393))</f>
        <v>#N/A</v>
      </c>
      <c r="BF393" s="315" t="str">
        <f t="shared" si="692"/>
        <v/>
      </c>
      <c r="BG393" s="315" t="e">
        <f>IF($J393="",#N/A,SUM(BF$4:BF393))</f>
        <v>#N/A</v>
      </c>
      <c r="BH393" s="315" t="e">
        <f>IF($J393="",#N/A,SUM(BF$4:BF393,BD$4:BD393,BB$4:BB393))</f>
        <v>#N/A</v>
      </c>
      <c r="BI393" s="304" t="str">
        <f t="shared" si="693"/>
        <v/>
      </c>
      <c r="BJ393" s="313" t="e">
        <f>IF($J393="",#N/A,SUM(BI$4:BI393))</f>
        <v>#N/A</v>
      </c>
      <c r="BK393" s="314" t="str">
        <f t="shared" si="694"/>
        <v/>
      </c>
      <c r="BL393" s="314" t="e">
        <f>IF($J393="",#N/A,SUM(BK$4:BK393))</f>
        <v>#N/A</v>
      </c>
      <c r="BM393" s="315" t="str">
        <f t="shared" si="695"/>
        <v/>
      </c>
      <c r="BN393" s="315" t="e">
        <f>IF($J393="",#N/A,SUM(BM$4:BM393))</f>
        <v>#N/A</v>
      </c>
      <c r="BO393" s="315" t="e">
        <f>IF($J393="",#N/A,SUM(BM$4:BM393,BK$4:BK393,BI$4:BI393))</f>
        <v>#N/A</v>
      </c>
      <c r="BP393" s="304" t="str">
        <f t="shared" si="696"/>
        <v/>
      </c>
      <c r="BQ393" s="313" t="e">
        <f>IF($J393="",#N/A,SUM(BP$4:BP393))</f>
        <v>#N/A</v>
      </c>
      <c r="BR393" s="314" t="str">
        <f t="shared" si="697"/>
        <v/>
      </c>
      <c r="BS393" s="314" t="e">
        <f>IF($J393="",#N/A,SUM(BR$4:BR393))</f>
        <v>#N/A</v>
      </c>
      <c r="BT393" s="315" t="str">
        <f t="shared" si="698"/>
        <v/>
      </c>
      <c r="BU393" s="315" t="e">
        <f>IF($J393="",#N/A,SUM(BT$4:BT393))</f>
        <v>#N/A</v>
      </c>
      <c r="BV393" s="315" t="e">
        <f>IF($J393="",#N/A,SUM(BT$4:BT393,BR$4:BR393,BP$4:BP393))</f>
        <v>#N/A</v>
      </c>
      <c r="BW393" s="304" t="str">
        <f t="shared" si="699"/>
        <v/>
      </c>
      <c r="BX393" s="313" t="e">
        <f>IF($J393="",#N/A,SUM(BW$4:BW393))</f>
        <v>#N/A</v>
      </c>
      <c r="BY393" s="314" t="str">
        <f t="shared" si="700"/>
        <v/>
      </c>
      <c r="BZ393" s="314" t="e">
        <f>IF($J393="",#N/A,SUM(BY$4:BY393))</f>
        <v>#N/A</v>
      </c>
      <c r="CA393" s="315" t="str">
        <f t="shared" si="701"/>
        <v/>
      </c>
      <c r="CB393" s="315" t="e">
        <f>IF($J393="",#N/A,SUM(CA$4:CA393))</f>
        <v>#N/A</v>
      </c>
      <c r="CC393" s="315" t="e">
        <f>IF($J393="",#N/A,SUM(CA$4:CA393,BY$4:BY393,BW$4:BW393))</f>
        <v>#N/A</v>
      </c>
      <c r="CD393" s="304" t="str">
        <f t="shared" si="702"/>
        <v/>
      </c>
      <c r="CE393" s="313" t="e">
        <f>IF($J393="",#N/A,SUM(CD$4:CD393))</f>
        <v>#N/A</v>
      </c>
      <c r="CF393" s="314">
        <f t="shared" si="703"/>
        <v>0.39192241264780037</v>
      </c>
      <c r="CG393" s="314" t="e">
        <f>IF($J393="",#N/A,SUM(CF$4:CF393))</f>
        <v>#N/A</v>
      </c>
      <c r="CH393" s="315" t="str">
        <f t="shared" si="704"/>
        <v/>
      </c>
      <c r="CI393" s="315" t="e">
        <f>IF($J393="",#N/A,SUM(CH$4:CH393))</f>
        <v>#N/A</v>
      </c>
      <c r="CJ393" s="315" t="e">
        <f>IF($J393="",#N/A,SUM(CH$4:CH393,CF$4:CF393,CD$4:CD393))</f>
        <v>#N/A</v>
      </c>
      <c r="CK393" s="304" t="str">
        <f t="shared" si="705"/>
        <v/>
      </c>
      <c r="CL393" s="313" t="e">
        <f>IF($J393="",#N/A,SUM(CK$4:CK393))</f>
        <v>#N/A</v>
      </c>
      <c r="CM393" s="314" t="str">
        <f t="shared" si="706"/>
        <v/>
      </c>
      <c r="CN393" s="314" t="e">
        <f>IF($J393="",#N/A,SUM(CM$4:CM393))</f>
        <v>#N/A</v>
      </c>
      <c r="CO393" s="315" t="str">
        <f t="shared" si="707"/>
        <v/>
      </c>
      <c r="CP393" s="315" t="e">
        <f>IF($J393="",#N/A,SUM(CO$4:CO393))</f>
        <v>#N/A</v>
      </c>
      <c r="CQ393" s="315" t="e">
        <f>IF($J393="",#N/A,SUM(CO$4:CO393,CM$4:CM393,CK$4:CK393))</f>
        <v>#N/A</v>
      </c>
      <c r="CR393" s="304" t="str">
        <f t="shared" si="708"/>
        <v/>
      </c>
      <c r="CS393" s="313" t="e">
        <f>IF($J393="",#N/A,SUM(CR$4:CR393))</f>
        <v>#N/A</v>
      </c>
      <c r="CT393" s="314" t="str">
        <f t="shared" si="709"/>
        <v/>
      </c>
      <c r="CU393" s="314" t="e">
        <f>IF($J393="",#N/A,SUM(CT$4:CT393))</f>
        <v>#N/A</v>
      </c>
      <c r="CV393" s="315" t="str">
        <f t="shared" si="710"/>
        <v/>
      </c>
      <c r="CW393" s="315" t="e">
        <f>IF($J393="",#N/A,SUM(CV$4:CV393))</f>
        <v>#N/A</v>
      </c>
      <c r="CX393" s="315" t="e">
        <f>IF($J393="",#N/A,SUM(CV$4:CV393,CT$4:CT393,CR$4:CR393))</f>
        <v>#N/A</v>
      </c>
      <c r="CY393" s="304" t="str">
        <f t="shared" si="711"/>
        <v/>
      </c>
      <c r="CZ393" s="313" t="e">
        <f>IF($J393="",#N/A,SUM(CY$4:CY393))</f>
        <v>#N/A</v>
      </c>
      <c r="DA393" s="314" t="str">
        <f t="shared" si="712"/>
        <v/>
      </c>
      <c r="DB393" s="314" t="e">
        <f>IF($J393="",#N/A,SUM(DA$4:DA393))</f>
        <v>#N/A</v>
      </c>
      <c r="DC393" s="315" t="str">
        <f t="shared" si="713"/>
        <v/>
      </c>
      <c r="DD393" s="315" t="e">
        <f>IF($J393="",#N/A,SUM(DC$4:DC393))</f>
        <v>#N/A</v>
      </c>
      <c r="DE393" s="315" t="e">
        <f>IF($J393="",#N/A,SUM(DC$4:DC393,DA$4:DA393,CY$4:CY393))</f>
        <v>#N/A</v>
      </c>
      <c r="DF393" s="304" t="str">
        <f t="shared" si="714"/>
        <v/>
      </c>
      <c r="DG393" s="313" t="e">
        <f>IF($J393="",#N/A,SUM(DF$4:DF393))</f>
        <v>#N/A</v>
      </c>
      <c r="DH393" s="314" t="str">
        <f t="shared" si="715"/>
        <v/>
      </c>
      <c r="DI393" s="314" t="e">
        <f>IF($J393="",#N/A,SUM(DH$4:DH393))</f>
        <v>#N/A</v>
      </c>
      <c r="DJ393" s="315" t="str">
        <f t="shared" si="716"/>
        <v/>
      </c>
      <c r="DK393" s="315" t="e">
        <f>IF($J393="",#N/A,SUM(DJ$4:DJ393))</f>
        <v>#N/A</v>
      </c>
      <c r="DL393" s="315" t="e">
        <f>IF($J393="",#N/A,SUM(DJ$4:DJ393,DH$4:DH393,DF$4:DF393))</f>
        <v>#N/A</v>
      </c>
      <c r="DM393" s="304" t="str">
        <f t="shared" si="717"/>
        <v/>
      </c>
      <c r="DN393" s="313" t="e">
        <f>IF($J393="",#N/A,SUM(DM$4:DM393))</f>
        <v>#N/A</v>
      </c>
      <c r="DO393" s="314" t="str">
        <f t="shared" si="718"/>
        <v/>
      </c>
      <c r="DP393" s="314" t="e">
        <f>IF($J393="",#N/A,SUM(DO$4:DO393))</f>
        <v>#N/A</v>
      </c>
      <c r="DQ393" s="315" t="str">
        <f t="shared" si="719"/>
        <v/>
      </c>
      <c r="DR393" s="315" t="e">
        <f>IF($J393="",#N/A,SUM(DQ$4:DQ393))</f>
        <v>#N/A</v>
      </c>
      <c r="DS393" s="315" t="e">
        <f>IF($J393="",#N/A,SUM(DQ$4:DQ393,DO$4:DO393,DM$4:DM393))</f>
        <v>#N/A</v>
      </c>
      <c r="DT393" s="304" t="str">
        <f t="shared" si="720"/>
        <v/>
      </c>
      <c r="DU393" s="313" t="e">
        <f>IF($J393="",#N/A,SUM(DT$4:DT393))</f>
        <v>#N/A</v>
      </c>
      <c r="DV393" s="314" t="str">
        <f t="shared" si="721"/>
        <v/>
      </c>
      <c r="DW393" s="314" t="e">
        <f>IF($J393="",#N/A,SUM(DV$4:DV393))</f>
        <v>#N/A</v>
      </c>
      <c r="DX393" s="315" t="str">
        <f t="shared" si="722"/>
        <v/>
      </c>
      <c r="DY393" s="315" t="e">
        <f>IF($J393="",#N/A,SUM(DX$4:DX393))</f>
        <v>#N/A</v>
      </c>
      <c r="DZ393" s="315" t="e">
        <f>IF($J393="",#N/A,SUM(DX$4:DX393,DV$4:DV393,DT$4:DT393))</f>
        <v>#N/A</v>
      </c>
      <c r="EA393" s="304" t="str">
        <f t="shared" si="723"/>
        <v/>
      </c>
      <c r="EB393" s="313" t="e">
        <f>IF($J393="",#N/A,SUM(EA$4:EA393))</f>
        <v>#N/A</v>
      </c>
      <c r="EC393" s="314" t="str">
        <f t="shared" si="724"/>
        <v/>
      </c>
      <c r="ED393" s="314" t="e">
        <f>IF($J393="",#N/A,SUM(EC$4:EC393))</f>
        <v>#N/A</v>
      </c>
      <c r="EE393" s="315" t="str">
        <f t="shared" si="725"/>
        <v/>
      </c>
      <c r="EF393" s="315" t="e">
        <f>IF($J393="",#N/A,SUM(EE$4:EE393))</f>
        <v>#N/A</v>
      </c>
      <c r="EG393" s="315" t="e">
        <f>IF($J393="",#N/A,SUM(EE$4:EE393,EC$4:EC393,EA$4:EA393))</f>
        <v>#N/A</v>
      </c>
      <c r="EH393" s="130">
        <f t="shared" si="726"/>
        <v>38.349999999999909</v>
      </c>
      <c r="EI393" s="63">
        <f>IF(EH393="",#N/A,SUM($EH$4:EH393))</f>
        <v>1051.2140485895457</v>
      </c>
      <c r="EJ393" s="223" t="e">
        <f t="shared" si="727"/>
        <v>#N/A</v>
      </c>
      <c r="EK393" s="63" t="e">
        <f>IF($GZ393="",#N/A,SUM(EJ$4:EJ393))</f>
        <v>#N/A</v>
      </c>
      <c r="EL393" s="60">
        <f t="shared" si="757"/>
        <v>0.39192241264780037</v>
      </c>
      <c r="EM393" s="60">
        <f>IF(EL393="",NA(),SUM($EL$4:EL393))</f>
        <v>24.16479574089125</v>
      </c>
      <c r="EN393" s="60" t="str">
        <f t="shared" si="728"/>
        <v/>
      </c>
      <c r="EO393" s="60" t="e">
        <f>IF(EN393="",NA(),SUM($EN$4:EN393))</f>
        <v>#N/A</v>
      </c>
      <c r="EP393" s="60" t="str">
        <f t="shared" si="729"/>
        <v/>
      </c>
      <c r="EQ393" s="60" t="e">
        <f>IF(EP393="",NA(),SUM($EP$4:EP393))</f>
        <v>#N/A</v>
      </c>
      <c r="ER393" s="60">
        <f t="shared" si="730"/>
        <v>0.39192241264780037</v>
      </c>
      <c r="ES393" s="60">
        <f>IF(ER393="",NA(),SUM($ER$4:ER393))</f>
        <v>8.2094300723979732</v>
      </c>
      <c r="ET393" s="60" t="str">
        <f t="shared" si="731"/>
        <v/>
      </c>
      <c r="EU393" s="60" t="e">
        <f>IF(ET393="",NA(),SUM($ET$4:ET393))</f>
        <v>#N/A</v>
      </c>
      <c r="EV393" s="60" t="str">
        <f t="shared" si="732"/>
        <v/>
      </c>
      <c r="EW393" s="60" t="e">
        <f>IF(EV393="",NA(),SUM($EV$4:EV393))</f>
        <v>#N/A</v>
      </c>
      <c r="EX393" s="60" t="str">
        <f t="shared" si="733"/>
        <v/>
      </c>
      <c r="EY393" s="60" t="e">
        <f>IF(EX393="",NA(),SUM($EX$4:EX393))</f>
        <v>#N/A</v>
      </c>
      <c r="EZ393" s="60" t="str">
        <f t="shared" si="734"/>
        <v/>
      </c>
      <c r="FA393" s="60" t="e">
        <f>IF(EZ393="",NA(),SUM($EZ$4:EZ393))</f>
        <v>#N/A</v>
      </c>
      <c r="FB393" s="246">
        <f t="shared" si="758"/>
        <v>0.38527965989105706</v>
      </c>
      <c r="FC393" s="246">
        <f>IF($FB393="",#N/A,SUM(FB$4:$FB393))</f>
        <v>2.965761592701158</v>
      </c>
      <c r="FD393" s="60" t="str">
        <f t="shared" si="735"/>
        <v/>
      </c>
      <c r="FE393" s="60" t="e">
        <f>IF($FD393="",#N/A,SUM($FD$4:FD393))</f>
        <v>#N/A</v>
      </c>
      <c r="FF393" s="60" t="str">
        <f t="shared" si="736"/>
        <v/>
      </c>
      <c r="FG393" s="60" t="e">
        <f>IF($FF393="",#N/A,SUM($FF$4:FF393))</f>
        <v>#N/A</v>
      </c>
      <c r="FH393" s="60" t="str">
        <f t="shared" si="737"/>
        <v/>
      </c>
      <c r="FI393" s="60" t="e">
        <f>IF($FH393="",#N/A,SUM($FH$4:FH393))</f>
        <v>#N/A</v>
      </c>
      <c r="FJ393" s="60" t="str">
        <f t="shared" si="738"/>
        <v/>
      </c>
      <c r="FK393" s="60" t="e">
        <f>IF($FJ393="",#N/A,SUM($FJ$4:FJ393))</f>
        <v>#N/A</v>
      </c>
      <c r="FL393" s="60" t="str">
        <f t="shared" si="739"/>
        <v/>
      </c>
      <c r="FM393" s="60" t="e">
        <f>IF($FL393="",#N/A,SUM($FL$4:FL393))</f>
        <v>#N/A</v>
      </c>
      <c r="FN393" s="82">
        <f t="shared" si="740"/>
        <v>0.77720207253885742</v>
      </c>
      <c r="FO393" s="82">
        <f>IF($FN393="",#N/A,SUM(FN$4:$FN393))</f>
        <v>36.740649617673249</v>
      </c>
      <c r="FP393" s="82">
        <f t="shared" si="759"/>
        <v>0.39192241264780037</v>
      </c>
      <c r="FQ393" s="246">
        <f>IF($EH393="",#N/A,SUM($FP$4:FP393))</f>
        <v>51.60672611097862</v>
      </c>
      <c r="FR393" s="82">
        <f>IFERROR(FQ393/COUNTA($J$4:J393),#N/A)</f>
        <v>0.13232493874609902</v>
      </c>
      <c r="FS393" s="82">
        <f t="shared" si="661"/>
        <v>-1.1277271476951966E-2</v>
      </c>
      <c r="FT393" s="82">
        <f t="shared" si="662"/>
        <v>-7.5446487812831156E-2</v>
      </c>
      <c r="FU393" s="338">
        <f t="shared" si="660"/>
        <v>29.161128156144358</v>
      </c>
      <c r="FV393" s="57" t="str">
        <f t="shared" si="666"/>
        <v>Dwn</v>
      </c>
      <c r="FW393" s="57" t="s">
        <v>2733</v>
      </c>
      <c r="FX393" s="57" t="str">
        <f t="shared" si="741"/>
        <v/>
      </c>
      <c r="FY393" s="57" t="str">
        <f t="shared" si="742"/>
        <v/>
      </c>
      <c r="FZ393" s="57" t="str">
        <f t="shared" si="743"/>
        <v/>
      </c>
      <c r="GA393" s="57" t="str">
        <f t="shared" si="744"/>
        <v>Short</v>
      </c>
      <c r="GB393" s="57">
        <f t="shared" si="745"/>
        <v>1</v>
      </c>
      <c r="GC393" s="57" t="str">
        <f t="shared" si="746"/>
        <v/>
      </c>
      <c r="GD393" s="57" t="str">
        <f t="shared" si="747"/>
        <v/>
      </c>
      <c r="GE393" s="62">
        <f t="shared" si="664"/>
        <v>25.09</v>
      </c>
      <c r="GF393" s="62" t="s">
        <v>2780</v>
      </c>
      <c r="GG393" s="199">
        <v>65</v>
      </c>
      <c r="GH393" s="207">
        <f t="shared" si="748"/>
        <v>1630.85</v>
      </c>
      <c r="GI393" s="199">
        <v>65</v>
      </c>
      <c r="GJ393" s="200">
        <v>24.5</v>
      </c>
      <c r="GK393" s="63">
        <f t="shared" si="749"/>
        <v>38.349999999999909</v>
      </c>
      <c r="GL393" s="63">
        <f t="shared" si="665"/>
        <v>76.049999999999727</v>
      </c>
      <c r="GM393" s="82" t="str">
        <f t="shared" si="750"/>
        <v/>
      </c>
      <c r="GN393" s="82">
        <f>IF($GZ393="",#N/A,SUM(GM$4:GM393))</f>
        <v>5.9737732906709828</v>
      </c>
      <c r="GO393" s="82" t="str">
        <f t="shared" si="751"/>
        <v/>
      </c>
      <c r="GP393" s="82">
        <f>IF($GZ393="",#N/A,SUM(GO$4:GO393))</f>
        <v>3.9893037078761537</v>
      </c>
      <c r="GQ393" s="82">
        <f t="shared" si="752"/>
        <v>0.77720207253885742</v>
      </c>
      <c r="GR393" s="82">
        <f>IF($GZ393="",#N/A,SUM(GQ$4:GQ393))</f>
        <v>26.151735664683777</v>
      </c>
      <c r="GS393" s="63" t="str">
        <f t="shared" si="760"/>
        <v/>
      </c>
      <c r="GT393" s="63" t="e">
        <f>IF($GZ393="",#N/A,SUM(GS$4:GS393))</f>
        <v>#N/A</v>
      </c>
      <c r="GU393" s="63" t="str">
        <f t="shared" si="761"/>
        <v/>
      </c>
      <c r="GV393" s="63" t="e">
        <f>IF($GZ393="",#N/A,SUM(GU$4:GU393))</f>
        <v>#N/A</v>
      </c>
      <c r="GW393" s="63" t="e">
        <f t="shared" si="762"/>
        <v>#N/A</v>
      </c>
      <c r="GX393" s="63" t="e">
        <f>IF($GZ393="",#N/A,SUM(GW$4:GW393))</f>
        <v>#N/A</v>
      </c>
      <c r="GY393" s="63" t="e">
        <f>IF(EJ393="",#N/A,SUM($EJ$4:EJ393))</f>
        <v>#N/A</v>
      </c>
      <c r="GZ393" s="159">
        <v>23.92</v>
      </c>
      <c r="HA393" s="63">
        <f t="shared" si="753"/>
        <v>37.699999999999818</v>
      </c>
      <c r="HB393" s="62" t="s">
        <v>2538</v>
      </c>
      <c r="HC393" s="60">
        <f>IFERROR(VLOOKUP(E393,Expectancy!$P$4:$S$19,1+C393,FALSE),"")</f>
        <v>0.73529829292760662</v>
      </c>
      <c r="HD393" s="82">
        <f t="shared" si="754"/>
        <v>0.39192241264780037</v>
      </c>
      <c r="HE393" s="138">
        <f>IF(HD393="",#N/A,SUM($HD$4:HD393))</f>
        <v>7.915597954834265</v>
      </c>
      <c r="HF393" s="85">
        <f>IF(HD393="",#N/A,IF(HB393="Skip",#N/A,SUM($HG$4:HG393)))</f>
        <v>79.188579219156054</v>
      </c>
      <c r="HG393" s="63">
        <f t="shared" si="755"/>
        <v>38.349999999999909</v>
      </c>
      <c r="HH393" s="82">
        <f t="shared" si="756"/>
        <v>0.77720207253885742</v>
      </c>
    </row>
    <row r="394" spans="1:216" x14ac:dyDescent="0.25">
      <c r="A394" s="57" t="s">
        <v>1164</v>
      </c>
      <c r="B394" s="58" t="str" cm="1">
        <f t="array" ref="B394">IFERROR(_xlfn.XLOOKUP(A394,Earnings!$B$2:$B$9985,LEFT(Earnings!$C$2:$C$9985,37)),"Can't Find Date***")</f>
        <v>on 2/27/25, 4:06 PM After Market East</v>
      </c>
      <c r="C394" s="386">
        <f t="shared" si="667"/>
        <v>3</v>
      </c>
      <c r="D394" s="372" t="str">
        <f>_xlfn.XLOOKUP(A394,[1]SP500!$A$2:$A$502,[1]SP500!$D$2:$D$502,"N")</f>
        <v>Y</v>
      </c>
      <c r="E394" s="57" t="str">
        <f>_xlfn.XLOOKUP(A394,[1]SP500!$A$2:$A$655,[1]SP500!$B$2:$B$655)</f>
        <v>XLK</v>
      </c>
      <c r="F394" s="59">
        <v>45715</v>
      </c>
      <c r="G394" s="57" t="str">
        <f t="shared" si="668"/>
        <v>AMC</v>
      </c>
      <c r="H394" s="57" t="str">
        <f t="shared" si="669"/>
        <v>s</v>
      </c>
      <c r="I394" s="159">
        <v>107.83</v>
      </c>
      <c r="J394" s="159">
        <v>100.96</v>
      </c>
      <c r="K394" s="61">
        <f t="shared" si="670"/>
        <v>-6.3711397570249503E-2</v>
      </c>
      <c r="L394" s="87">
        <f t="shared" si="671"/>
        <v>-103.05000000000018</v>
      </c>
      <c r="M394" s="130">
        <f t="shared" si="663"/>
        <v>-6.8999999999998636</v>
      </c>
      <c r="N394" s="169" t="str">
        <f t="shared" si="672"/>
        <v/>
      </c>
      <c r="O394" s="169">
        <f>IF($J394="",#N/A,SUM($N$4:N394))</f>
        <v>-295.65328064577557</v>
      </c>
      <c r="P394" s="174" t="str">
        <f t="shared" si="673"/>
        <v/>
      </c>
      <c r="Q394" s="174">
        <f>IF($J394="",#N/A,SUM($P$4:P394))</f>
        <v>143.70499224504317</v>
      </c>
      <c r="R394" s="178">
        <f t="shared" si="674"/>
        <v>-103.05000000000018</v>
      </c>
      <c r="S394" s="178">
        <f>IF($J394="",#N/A,SUM($R$4:R394))</f>
        <v>1100.1123369902778</v>
      </c>
      <c r="T394" s="290" t="str">
        <f t="shared" si="675"/>
        <v/>
      </c>
      <c r="U394" s="290">
        <f>IF($J394="",#N/A,SUM($T$4:T394))</f>
        <v>10.514761942459062</v>
      </c>
      <c r="V394" s="291" t="str">
        <f t="shared" si="676"/>
        <v/>
      </c>
      <c r="W394" s="291">
        <f>IF($J394="",#N/A,SUM($V$4:V394))</f>
        <v>20.98924205667948</v>
      </c>
      <c r="X394" s="292">
        <f t="shared" si="677"/>
        <v>-1.0618566261708264</v>
      </c>
      <c r="Y394" s="292">
        <f>IF($J394="",#N/A,SUM($X$4:X394))</f>
        <v>19.040865485669279</v>
      </c>
      <c r="Z394" s="304" t="str">
        <f t="shared" si="678"/>
        <v/>
      </c>
      <c r="AA394" s="313" t="e">
        <f>IF($J394="",#N/A,SUM(Z$4:Z394))</f>
        <v>#N/A</v>
      </c>
      <c r="AB394" s="314" t="str">
        <f t="shared" si="679"/>
        <v/>
      </c>
      <c r="AC394" s="314" t="e">
        <f>IF($J394="",#N/A,SUM(AB$4:AB394))</f>
        <v>#N/A</v>
      </c>
      <c r="AD394" s="315">
        <f t="shared" si="680"/>
        <v>-1.0618566261708264</v>
      </c>
      <c r="AE394" s="315" t="e">
        <f>IF($J394="",#N/A,SUM(AD$4:AD394))</f>
        <v>#N/A</v>
      </c>
      <c r="AF394" s="315" t="e">
        <f>IF($J394="",#N/A,SUM(AD$4:AD394,AB$4:AB394,Z$4:Z394))</f>
        <v>#N/A</v>
      </c>
      <c r="AG394" s="304" t="str">
        <f t="shared" si="681"/>
        <v/>
      </c>
      <c r="AH394" s="313" t="e">
        <f>IF($J394="",#N/A,SUM(AG$4:AG394))</f>
        <v>#N/A</v>
      </c>
      <c r="AI394" s="314" t="str">
        <f t="shared" si="682"/>
        <v/>
      </c>
      <c r="AJ394" s="314" t="e">
        <f>IF($J394="",#N/A,SUM(AI$4:AI394))</f>
        <v>#N/A</v>
      </c>
      <c r="AK394" s="315" t="str">
        <f t="shared" si="683"/>
        <v/>
      </c>
      <c r="AL394" s="315" t="e">
        <f>IF($J394="",#N/A,SUM(AK$4:AK394))</f>
        <v>#N/A</v>
      </c>
      <c r="AM394" s="315" t="e">
        <f>IF($J394="",#N/A,SUM(AK$4:AK394,AI$4:AI394,AG$4:AG394))</f>
        <v>#N/A</v>
      </c>
      <c r="AN394" s="304" t="str">
        <f t="shared" si="684"/>
        <v/>
      </c>
      <c r="AO394" s="313" t="e">
        <f>IF($J394="",#N/A,SUM(AN$4:AN394))</f>
        <v>#N/A</v>
      </c>
      <c r="AP394" s="314" t="str">
        <f t="shared" si="685"/>
        <v/>
      </c>
      <c r="AQ394" s="314" t="e">
        <f>IF($J394="",#N/A,SUM(AP$4:AP394))</f>
        <v>#N/A</v>
      </c>
      <c r="AR394" s="315" t="str">
        <f t="shared" si="686"/>
        <v/>
      </c>
      <c r="AS394" s="315" t="e">
        <f>IF($J394="",#N/A,SUM(AR$4:AR394))</f>
        <v>#N/A</v>
      </c>
      <c r="AT394" s="315" t="e">
        <f>IF($J394="",#N/A,SUM(AR$4:AR394,AP$4:AP394,AN$4:AN394))</f>
        <v>#N/A</v>
      </c>
      <c r="AU394" s="304" t="str">
        <f t="shared" si="687"/>
        <v/>
      </c>
      <c r="AV394" s="313" t="e">
        <f>IF($J394="",#N/A,SUM(AU$4:AU394))</f>
        <v>#N/A</v>
      </c>
      <c r="AW394" s="314" t="str">
        <f t="shared" si="688"/>
        <v/>
      </c>
      <c r="AX394" s="314" t="e">
        <f>IF($J394="",#N/A,SUM(AW$4:AW394))</f>
        <v>#N/A</v>
      </c>
      <c r="AY394" s="315" t="str">
        <f t="shared" si="689"/>
        <v/>
      </c>
      <c r="AZ394" s="315" t="e">
        <f>IF($J394="",#N/A,SUM(AY$4:AY394))</f>
        <v>#N/A</v>
      </c>
      <c r="BA394" s="315" t="e">
        <f>IF($J394="",#N/A,SUM(AY$4:AY394,AW$4:AW394,AU$4:AU394))</f>
        <v>#N/A</v>
      </c>
      <c r="BB394" s="304" t="str">
        <f t="shared" si="690"/>
        <v/>
      </c>
      <c r="BC394" s="313" t="e">
        <f>IF($J394="",#N/A,SUM(BB$4:BB394))</f>
        <v>#N/A</v>
      </c>
      <c r="BD394" s="314" t="str">
        <f t="shared" si="691"/>
        <v/>
      </c>
      <c r="BE394" s="314" t="e">
        <f>IF($J394="",#N/A,SUM(BD$4:BD394))</f>
        <v>#N/A</v>
      </c>
      <c r="BF394" s="315" t="str">
        <f t="shared" si="692"/>
        <v/>
      </c>
      <c r="BG394" s="315" t="e">
        <f>IF($J394="",#N/A,SUM(BF$4:BF394))</f>
        <v>#N/A</v>
      </c>
      <c r="BH394" s="315" t="e">
        <f>IF($J394="",#N/A,SUM(BF$4:BF394,BD$4:BD394,BB$4:BB394))</f>
        <v>#N/A</v>
      </c>
      <c r="BI394" s="304" t="str">
        <f t="shared" si="693"/>
        <v/>
      </c>
      <c r="BJ394" s="313" t="e">
        <f>IF($J394="",#N/A,SUM(BI$4:BI394))</f>
        <v>#N/A</v>
      </c>
      <c r="BK394" s="314" t="str">
        <f t="shared" si="694"/>
        <v/>
      </c>
      <c r="BL394" s="314" t="e">
        <f>IF($J394="",#N/A,SUM(BK$4:BK394))</f>
        <v>#N/A</v>
      </c>
      <c r="BM394" s="315" t="str">
        <f t="shared" si="695"/>
        <v/>
      </c>
      <c r="BN394" s="315" t="e">
        <f>IF($J394="",#N/A,SUM(BM$4:BM394))</f>
        <v>#N/A</v>
      </c>
      <c r="BO394" s="315" t="e">
        <f>IF($J394="",#N/A,SUM(BM$4:BM394,BK$4:BK394,BI$4:BI394))</f>
        <v>#N/A</v>
      </c>
      <c r="BP394" s="304" t="str">
        <f t="shared" si="696"/>
        <v/>
      </c>
      <c r="BQ394" s="313" t="e">
        <f>IF($J394="",#N/A,SUM(BP$4:BP394))</f>
        <v>#N/A</v>
      </c>
      <c r="BR394" s="314" t="str">
        <f t="shared" si="697"/>
        <v/>
      </c>
      <c r="BS394" s="314" t="e">
        <f>IF($J394="",#N/A,SUM(BR$4:BR394))</f>
        <v>#N/A</v>
      </c>
      <c r="BT394" s="315" t="str">
        <f t="shared" si="698"/>
        <v/>
      </c>
      <c r="BU394" s="315" t="e">
        <f>IF($J394="",#N/A,SUM(BT$4:BT394))</f>
        <v>#N/A</v>
      </c>
      <c r="BV394" s="315" t="e">
        <f>IF($J394="",#N/A,SUM(BT$4:BT394,BR$4:BR394,BP$4:BP394))</f>
        <v>#N/A</v>
      </c>
      <c r="BW394" s="304" t="str">
        <f t="shared" si="699"/>
        <v/>
      </c>
      <c r="BX394" s="313" t="e">
        <f>IF($J394="",#N/A,SUM(BW$4:BW394))</f>
        <v>#N/A</v>
      </c>
      <c r="BY394" s="314" t="str">
        <f t="shared" si="700"/>
        <v/>
      </c>
      <c r="BZ394" s="314" t="e">
        <f>IF($J394="",#N/A,SUM(BY$4:BY394))</f>
        <v>#N/A</v>
      </c>
      <c r="CA394" s="315" t="str">
        <f t="shared" si="701"/>
        <v/>
      </c>
      <c r="CB394" s="315" t="e">
        <f>IF($J394="",#N/A,SUM(CA$4:CA394))</f>
        <v>#N/A</v>
      </c>
      <c r="CC394" s="315" t="e">
        <f>IF($J394="",#N/A,SUM(CA$4:CA394,BY$4:BY394,BW$4:BW394))</f>
        <v>#N/A</v>
      </c>
      <c r="CD394" s="304" t="str">
        <f t="shared" si="702"/>
        <v/>
      </c>
      <c r="CE394" s="313" t="e">
        <f>IF($J394="",#N/A,SUM(CD$4:CD394))</f>
        <v>#N/A</v>
      </c>
      <c r="CF394" s="314" t="str">
        <f t="shared" si="703"/>
        <v/>
      </c>
      <c r="CG394" s="314" t="e">
        <f>IF($J394="",#N/A,SUM(CF$4:CF394))</f>
        <v>#N/A</v>
      </c>
      <c r="CH394" s="315" t="str">
        <f t="shared" si="704"/>
        <v/>
      </c>
      <c r="CI394" s="315" t="e">
        <f>IF($J394="",#N/A,SUM(CH$4:CH394))</f>
        <v>#N/A</v>
      </c>
      <c r="CJ394" s="315" t="e">
        <f>IF($J394="",#N/A,SUM(CH$4:CH394,CF$4:CF394,CD$4:CD394))</f>
        <v>#N/A</v>
      </c>
      <c r="CK394" s="304" t="str">
        <f t="shared" si="705"/>
        <v/>
      </c>
      <c r="CL394" s="313" t="e">
        <f>IF($J394="",#N/A,SUM(CK$4:CK394))</f>
        <v>#N/A</v>
      </c>
      <c r="CM394" s="314" t="str">
        <f t="shared" si="706"/>
        <v/>
      </c>
      <c r="CN394" s="314" t="e">
        <f>IF($J394="",#N/A,SUM(CM$4:CM394))</f>
        <v>#N/A</v>
      </c>
      <c r="CO394" s="315" t="str">
        <f t="shared" si="707"/>
        <v/>
      </c>
      <c r="CP394" s="315" t="e">
        <f>IF($J394="",#N/A,SUM(CO$4:CO394))</f>
        <v>#N/A</v>
      </c>
      <c r="CQ394" s="315" t="e">
        <f>IF($J394="",#N/A,SUM(CO$4:CO394,CM$4:CM394,CK$4:CK394))</f>
        <v>#N/A</v>
      </c>
      <c r="CR394" s="304" t="str">
        <f t="shared" si="708"/>
        <v/>
      </c>
      <c r="CS394" s="313" t="e">
        <f>IF($J394="",#N/A,SUM(CR$4:CR394))</f>
        <v>#N/A</v>
      </c>
      <c r="CT394" s="314" t="str">
        <f t="shared" si="709"/>
        <v/>
      </c>
      <c r="CU394" s="314" t="e">
        <f>IF($J394="",#N/A,SUM(CT$4:CT394))</f>
        <v>#N/A</v>
      </c>
      <c r="CV394" s="315" t="str">
        <f t="shared" si="710"/>
        <v/>
      </c>
      <c r="CW394" s="315" t="e">
        <f>IF($J394="",#N/A,SUM(CV$4:CV394))</f>
        <v>#N/A</v>
      </c>
      <c r="CX394" s="315" t="e">
        <f>IF($J394="",#N/A,SUM(CV$4:CV394,CT$4:CT394,CR$4:CR394))</f>
        <v>#N/A</v>
      </c>
      <c r="CY394" s="304" t="str">
        <f t="shared" si="711"/>
        <v/>
      </c>
      <c r="CZ394" s="313" t="e">
        <f>IF($J394="",#N/A,SUM(CY$4:CY394))</f>
        <v>#N/A</v>
      </c>
      <c r="DA394" s="314" t="str">
        <f t="shared" si="712"/>
        <v/>
      </c>
      <c r="DB394" s="314" t="e">
        <f>IF($J394="",#N/A,SUM(DA$4:DA394))</f>
        <v>#N/A</v>
      </c>
      <c r="DC394" s="315" t="str">
        <f t="shared" si="713"/>
        <v/>
      </c>
      <c r="DD394" s="315" t="e">
        <f>IF($J394="",#N/A,SUM(DC$4:DC394))</f>
        <v>#N/A</v>
      </c>
      <c r="DE394" s="315" t="e">
        <f>IF($J394="",#N/A,SUM(DC$4:DC394,DA$4:DA394,CY$4:CY394))</f>
        <v>#N/A</v>
      </c>
      <c r="DF394" s="304" t="str">
        <f t="shared" si="714"/>
        <v/>
      </c>
      <c r="DG394" s="313" t="e">
        <f>IF($J394="",#N/A,SUM(DF$4:DF394))</f>
        <v>#N/A</v>
      </c>
      <c r="DH394" s="314" t="str">
        <f t="shared" si="715"/>
        <v/>
      </c>
      <c r="DI394" s="314" t="e">
        <f>IF($J394="",#N/A,SUM(DH$4:DH394))</f>
        <v>#N/A</v>
      </c>
      <c r="DJ394" s="315" t="str">
        <f t="shared" si="716"/>
        <v/>
      </c>
      <c r="DK394" s="315" t="e">
        <f>IF($J394="",#N/A,SUM(DJ$4:DJ394))</f>
        <v>#N/A</v>
      </c>
      <c r="DL394" s="315" t="e">
        <f>IF($J394="",#N/A,SUM(DJ$4:DJ394,DH$4:DH394,DF$4:DF394))</f>
        <v>#N/A</v>
      </c>
      <c r="DM394" s="304" t="str">
        <f t="shared" si="717"/>
        <v/>
      </c>
      <c r="DN394" s="313" t="e">
        <f>IF($J394="",#N/A,SUM(DM$4:DM394))</f>
        <v>#N/A</v>
      </c>
      <c r="DO394" s="314" t="str">
        <f t="shared" si="718"/>
        <v/>
      </c>
      <c r="DP394" s="314" t="e">
        <f>IF($J394="",#N/A,SUM(DO$4:DO394))</f>
        <v>#N/A</v>
      </c>
      <c r="DQ394" s="315" t="str">
        <f t="shared" si="719"/>
        <v/>
      </c>
      <c r="DR394" s="315" t="e">
        <f>IF($J394="",#N/A,SUM(DQ$4:DQ394))</f>
        <v>#N/A</v>
      </c>
      <c r="DS394" s="315" t="e">
        <f>IF($J394="",#N/A,SUM(DQ$4:DQ394,DO$4:DO394,DM$4:DM394))</f>
        <v>#N/A</v>
      </c>
      <c r="DT394" s="304" t="str">
        <f t="shared" si="720"/>
        <v/>
      </c>
      <c r="DU394" s="313" t="e">
        <f>IF($J394="",#N/A,SUM(DT$4:DT394))</f>
        <v>#N/A</v>
      </c>
      <c r="DV394" s="314" t="str">
        <f t="shared" si="721"/>
        <v/>
      </c>
      <c r="DW394" s="314" t="e">
        <f>IF($J394="",#N/A,SUM(DV$4:DV394))</f>
        <v>#N/A</v>
      </c>
      <c r="DX394" s="315" t="str">
        <f t="shared" si="722"/>
        <v/>
      </c>
      <c r="DY394" s="315" t="e">
        <f>IF($J394="",#N/A,SUM(DX$4:DX394))</f>
        <v>#N/A</v>
      </c>
      <c r="DZ394" s="315" t="e">
        <f>IF($J394="",#N/A,SUM(DX$4:DX394,DV$4:DV394,DT$4:DT394))</f>
        <v>#N/A</v>
      </c>
      <c r="EA394" s="304" t="str">
        <f t="shared" si="723"/>
        <v/>
      </c>
      <c r="EB394" s="313" t="e">
        <f>IF($J394="",#N/A,SUM(EA$4:EA394))</f>
        <v>#N/A</v>
      </c>
      <c r="EC394" s="314" t="str">
        <f t="shared" si="724"/>
        <v/>
      </c>
      <c r="ED394" s="314" t="e">
        <f>IF($J394="",#N/A,SUM(EC$4:EC394))</f>
        <v>#N/A</v>
      </c>
      <c r="EE394" s="315" t="str">
        <f t="shared" si="725"/>
        <v/>
      </c>
      <c r="EF394" s="315" t="e">
        <f>IF($J394="",#N/A,SUM(EE$4:EE394))</f>
        <v>#N/A</v>
      </c>
      <c r="EG394" s="315" t="e">
        <f>IF($J394="",#N/A,SUM(EE$4:EE394,EC$4:EC394,EA$4:EA394))</f>
        <v>#N/A</v>
      </c>
      <c r="EH394" s="130">
        <f t="shared" si="726"/>
        <v>-103.05000000000018</v>
      </c>
      <c r="EI394" s="63">
        <f>IF(EH394="",#N/A,SUM($EH$4:EH394))</f>
        <v>948.16404858954547</v>
      </c>
      <c r="EJ394" s="223" t="e">
        <f t="shared" si="727"/>
        <v>#N/A</v>
      </c>
      <c r="EK394" s="63" t="e">
        <f>IF($GZ394="",#N/A,SUM(EJ$4:EJ394))</f>
        <v>#N/A</v>
      </c>
      <c r="EL394" s="60">
        <f t="shared" si="757"/>
        <v>-1.0618566261708264</v>
      </c>
      <c r="EM394" s="60">
        <f>IF(EL394="",NA(),SUM($EL$4:EL394))</f>
        <v>23.102939114720424</v>
      </c>
      <c r="EN394" s="60" t="str">
        <f t="shared" si="728"/>
        <v/>
      </c>
      <c r="EO394" s="60" t="e">
        <f>IF(EN394="",NA(),SUM($EN$4:EN394))</f>
        <v>#N/A</v>
      </c>
      <c r="EP394" s="60">
        <f t="shared" si="729"/>
        <v>-1.0618566261708264</v>
      </c>
      <c r="EQ394" s="60">
        <f>IF(EP394="",NA(),SUM($EP$4:EP394))</f>
        <v>9.8788493490794131</v>
      </c>
      <c r="ER394" s="60" t="str">
        <f t="shared" si="730"/>
        <v/>
      </c>
      <c r="ES394" s="60" t="e">
        <f>IF(ER394="",NA(),SUM($ER$4:ER394))</f>
        <v>#N/A</v>
      </c>
      <c r="ET394" s="60" t="str">
        <f t="shared" si="731"/>
        <v/>
      </c>
      <c r="EU394" s="60" t="e">
        <f>IF(ET394="",NA(),SUM($ET$4:ET394))</f>
        <v>#N/A</v>
      </c>
      <c r="EV394" s="60" t="str">
        <f t="shared" si="732"/>
        <v/>
      </c>
      <c r="EW394" s="60" t="e">
        <f>IF(EV394="",NA(),SUM($EV$4:EV394))</f>
        <v>#N/A</v>
      </c>
      <c r="EX394" s="60" t="str">
        <f t="shared" si="733"/>
        <v/>
      </c>
      <c r="EY394" s="60" t="e">
        <f>IF(EX394="",NA(),SUM($EX$4:EX394))</f>
        <v>#N/A</v>
      </c>
      <c r="EZ394" s="60" t="str">
        <f t="shared" si="734"/>
        <v/>
      </c>
      <c r="FA394" s="60" t="e">
        <f>IF(EZ394="",NA(),SUM($EZ$4:EZ394))</f>
        <v>#N/A</v>
      </c>
      <c r="FB394" s="246" t="str">
        <f t="shared" si="758"/>
        <v/>
      </c>
      <c r="FC394" s="246" t="e">
        <f>IF($FB394="",#N/A,SUM(FB$4:$FB394))</f>
        <v>#N/A</v>
      </c>
      <c r="FD394" s="60" t="str">
        <f t="shared" si="735"/>
        <v/>
      </c>
      <c r="FE394" s="60" t="e">
        <f>IF($FD394="",#N/A,SUM($FD$4:FD394))</f>
        <v>#N/A</v>
      </c>
      <c r="FF394" s="60" t="str">
        <f t="shared" si="736"/>
        <v/>
      </c>
      <c r="FG394" s="60" t="e">
        <f>IF($FF394="",#N/A,SUM($FF$4:FF394))</f>
        <v>#N/A</v>
      </c>
      <c r="FH394" s="60" t="str">
        <f t="shared" si="737"/>
        <v/>
      </c>
      <c r="FI394" s="60" t="e">
        <f>IF($FH394="",#N/A,SUM($FH$4:FH394))</f>
        <v>#N/A</v>
      </c>
      <c r="FJ394" s="60" t="str">
        <f t="shared" si="738"/>
        <v/>
      </c>
      <c r="FK394" s="60" t="e">
        <f>IF($FJ394="",#N/A,SUM($FJ$4:FJ394))</f>
        <v>#N/A</v>
      </c>
      <c r="FL394" s="60">
        <f t="shared" si="739"/>
        <v>0.27821570991375555</v>
      </c>
      <c r="FM394" s="60">
        <f>IF($FL394="",#N/A,SUM($FL$4:FL394))</f>
        <v>-7.2668792825522068</v>
      </c>
      <c r="FN394" s="82">
        <f t="shared" si="740"/>
        <v>-0.78364091625707089</v>
      </c>
      <c r="FO394" s="82">
        <f>IF($FN394="",#N/A,SUM(FN$4:$FN394))</f>
        <v>35.957008701416179</v>
      </c>
      <c r="FP394" s="82">
        <f t="shared" si="759"/>
        <v>-1.0618566261708264</v>
      </c>
      <c r="FQ394" s="246">
        <f>IF($EH394="",#N/A,SUM($FP$4:FP394))</f>
        <v>50.544869484807791</v>
      </c>
      <c r="FR394" s="82">
        <f>IFERROR(FQ394/COUNTA($J$4:J394),#N/A)</f>
        <v>0.12927076594579998</v>
      </c>
      <c r="FS394" s="82">
        <f t="shared" si="661"/>
        <v>-2.1956725394241233E-2</v>
      </c>
      <c r="FT394" s="82">
        <f t="shared" si="662"/>
        <v>-0.12301800302733711</v>
      </c>
      <c r="FU394" s="338">
        <f t="shared" si="660"/>
        <v>29.23222772645564</v>
      </c>
      <c r="FV394" s="57" t="str">
        <f t="shared" si="666"/>
        <v>SW</v>
      </c>
      <c r="FW394" s="57" t="s">
        <v>2732</v>
      </c>
      <c r="FX394" s="57" t="str">
        <f t="shared" si="741"/>
        <v/>
      </c>
      <c r="FY394" s="57" t="str">
        <f t="shared" si="742"/>
        <v/>
      </c>
      <c r="FZ394" s="57" t="str">
        <f t="shared" si="743"/>
        <v/>
      </c>
      <c r="GA394" s="57" t="str">
        <f t="shared" si="744"/>
        <v>Long</v>
      </c>
      <c r="GB394" s="57" t="str">
        <f t="shared" si="745"/>
        <v/>
      </c>
      <c r="GC394" s="57" t="str">
        <f t="shared" si="746"/>
        <v/>
      </c>
      <c r="GD394" s="57">
        <f t="shared" si="747"/>
        <v>1</v>
      </c>
      <c r="GE394" s="62">
        <f t="shared" si="664"/>
        <v>107.83</v>
      </c>
      <c r="GF394" s="62" t="s">
        <v>2779</v>
      </c>
      <c r="GG394" s="199">
        <v>15</v>
      </c>
      <c r="GH394" s="207">
        <f t="shared" si="748"/>
        <v>1617.45</v>
      </c>
      <c r="GI394" s="199">
        <v>15</v>
      </c>
      <c r="GJ394" s="200">
        <v>100.5</v>
      </c>
      <c r="GK394" s="63">
        <f t="shared" si="749"/>
        <v>-109.95000000000005</v>
      </c>
      <c r="GL394" s="63">
        <f t="shared" si="665"/>
        <v>-76.049999999999955</v>
      </c>
      <c r="GM394" s="82">
        <f t="shared" si="750"/>
        <v>-0.78364091625707089</v>
      </c>
      <c r="GN394" s="82">
        <f>IF($GZ394="",#N/A,SUM(GM$4:GM394))</f>
        <v>5.1901323744139116</v>
      </c>
      <c r="GO394" s="82" t="str">
        <f t="shared" si="751"/>
        <v/>
      </c>
      <c r="GP394" s="82">
        <f>IF($GZ394="",#N/A,SUM(GO$4:GO394))</f>
        <v>3.9893037078761537</v>
      </c>
      <c r="GQ394" s="82" t="str">
        <f t="shared" si="752"/>
        <v/>
      </c>
      <c r="GR394" s="82">
        <f>IF($GZ394="",#N/A,SUM(GQ$4:GQ394))</f>
        <v>26.151735664683777</v>
      </c>
      <c r="GS394" s="63" t="e">
        <f t="shared" si="760"/>
        <v>#N/A</v>
      </c>
      <c r="GT394" s="63" t="e">
        <f>IF($GZ394="",#N/A,SUM(GS$4:GS394))</f>
        <v>#N/A</v>
      </c>
      <c r="GU394" s="63" t="str">
        <f t="shared" si="761"/>
        <v/>
      </c>
      <c r="GV394" s="63" t="e">
        <f>IF($GZ394="",#N/A,SUM(GU$4:GU394))</f>
        <v>#N/A</v>
      </c>
      <c r="GW394" s="63" t="str">
        <f t="shared" si="762"/>
        <v/>
      </c>
      <c r="GX394" s="63" t="e">
        <f>IF($GZ394="",#N/A,SUM(GW$4:GW394))</f>
        <v>#N/A</v>
      </c>
      <c r="GY394" s="63" t="e">
        <f>IF(EJ394="",#N/A,SUM($EJ$4:EJ394))</f>
        <v>#N/A</v>
      </c>
      <c r="GZ394" s="159">
        <v>102.76</v>
      </c>
      <c r="HA394" s="63">
        <f t="shared" si="753"/>
        <v>27.000000000000227</v>
      </c>
      <c r="HB394" s="62" t="s">
        <v>2538</v>
      </c>
      <c r="HC394" s="60">
        <f>IFERROR(VLOOKUP(E394,Expectancy!$P$4:$S$19,1+C394,FALSE),"")</f>
        <v>-0.17081772033279666</v>
      </c>
      <c r="HD394" s="82">
        <f t="shared" si="754"/>
        <v>-1.1329561964821173</v>
      </c>
      <c r="HE394" s="138">
        <f>IF(HD394="",#N/A,SUM($HD$4:HD394))</f>
        <v>6.7826417583521472</v>
      </c>
      <c r="HF394" s="85">
        <f>IF(HD394="",#N/A,IF(HB394="Skip",#N/A,SUM($HG$4:HG394)))</f>
        <v>-30.761420780843991</v>
      </c>
      <c r="HG394" s="63">
        <f t="shared" si="755"/>
        <v>-109.95000000000005</v>
      </c>
      <c r="HH394" s="82">
        <f t="shared" si="756"/>
        <v>-0.78364091625707089</v>
      </c>
    </row>
    <row r="395" spans="1:216" x14ac:dyDescent="0.25">
      <c r="A395" s="57" t="s">
        <v>1161</v>
      </c>
      <c r="B395" s="58" t="str" cm="1">
        <f t="array" ref="B395">IFERROR(_xlfn.XLOOKUP(A395,Earnings!$B$2:$B$9985,LEFT(Earnings!$C$2:$C$9985,37)),"Can't Find Date***")</f>
        <v>on 2/27/25, 4:01 PM After Market East</v>
      </c>
      <c r="C395" s="386">
        <f t="shared" si="667"/>
        <v>3</v>
      </c>
      <c r="D395" s="372" t="str">
        <f>_xlfn.XLOOKUP(A395,[1]SP500!$A$2:$A$502,[1]SP500!$D$2:$D$502,"N")</f>
        <v>Y</v>
      </c>
      <c r="E395" s="57" t="str">
        <f>_xlfn.XLOOKUP(A395,[1]SP500!$A$2:$A$655,[1]SP500!$B$2:$B$655)</f>
        <v>IGV</v>
      </c>
      <c r="F395" s="59">
        <v>45715</v>
      </c>
      <c r="G395" s="57" t="str">
        <f t="shared" si="668"/>
        <v>AMC</v>
      </c>
      <c r="H395" s="57" t="str">
        <f t="shared" si="669"/>
        <v>s</v>
      </c>
      <c r="I395" s="159">
        <v>282.35000000000002</v>
      </c>
      <c r="J395" s="159">
        <v>279.42</v>
      </c>
      <c r="K395" s="61">
        <f t="shared" si="670"/>
        <v>-1.037719142907741E-2</v>
      </c>
      <c r="L395" s="87">
        <f t="shared" si="671"/>
        <v>-17.580000000000155</v>
      </c>
      <c r="M395" s="130">
        <f t="shared" si="663"/>
        <v>0</v>
      </c>
      <c r="N395" s="169" t="str">
        <f t="shared" si="672"/>
        <v/>
      </c>
      <c r="O395" s="169">
        <f>IF($J395="",#N/A,SUM($N$4:N395))</f>
        <v>-295.65328064577557</v>
      </c>
      <c r="P395" s="174" t="str">
        <f t="shared" si="673"/>
        <v/>
      </c>
      <c r="Q395" s="174">
        <f>IF($J395="",#N/A,SUM($P$4:P395))</f>
        <v>143.70499224504317</v>
      </c>
      <c r="R395" s="178">
        <f t="shared" si="674"/>
        <v>-17.580000000000155</v>
      </c>
      <c r="S395" s="178">
        <f>IF($J395="",#N/A,SUM($R$4:R395))</f>
        <v>1082.5323369902776</v>
      </c>
      <c r="T395" s="290" t="str">
        <f t="shared" si="675"/>
        <v/>
      </c>
      <c r="U395" s="290">
        <f>IF($J395="",#N/A,SUM($T$4:T395))</f>
        <v>10.514761942459062</v>
      </c>
      <c r="V395" s="291" t="str">
        <f t="shared" si="676"/>
        <v/>
      </c>
      <c r="W395" s="291">
        <f>IF($J395="",#N/A,SUM($V$4:V395))</f>
        <v>20.98924205667948</v>
      </c>
      <c r="X395" s="292">
        <f t="shared" si="677"/>
        <v>-0.17295319048462462</v>
      </c>
      <c r="Y395" s="292">
        <f>IF($J395="",#N/A,SUM($X$4:X395))</f>
        <v>18.867912295184656</v>
      </c>
      <c r="Z395" s="304" t="str">
        <f t="shared" si="678"/>
        <v/>
      </c>
      <c r="AA395" s="313" t="e">
        <f>IF($J395="",#N/A,SUM(Z$4:Z395))</f>
        <v>#N/A</v>
      </c>
      <c r="AB395" s="314" t="str">
        <f t="shared" si="679"/>
        <v/>
      </c>
      <c r="AC395" s="314" t="e">
        <f>IF($J395="",#N/A,SUM(AB$4:AB395))</f>
        <v>#N/A</v>
      </c>
      <c r="AD395" s="315" t="str">
        <f t="shared" si="680"/>
        <v/>
      </c>
      <c r="AE395" s="315" t="e">
        <f>IF($J395="",#N/A,SUM(AD$4:AD395))</f>
        <v>#N/A</v>
      </c>
      <c r="AF395" s="315" t="e">
        <f>IF($J395="",#N/A,SUM(AD$4:AD395,AB$4:AB395,Z$4:Z395))</f>
        <v>#N/A</v>
      </c>
      <c r="AG395" s="304" t="str">
        <f t="shared" si="681"/>
        <v/>
      </c>
      <c r="AH395" s="313" t="e">
        <f>IF($J395="",#N/A,SUM(AG$4:AG395))</f>
        <v>#N/A</v>
      </c>
      <c r="AI395" s="314" t="str">
        <f t="shared" si="682"/>
        <v/>
      </c>
      <c r="AJ395" s="314" t="e">
        <f>IF($J395="",#N/A,SUM(AI$4:AI395))</f>
        <v>#N/A</v>
      </c>
      <c r="AK395" s="315">
        <f t="shared" si="683"/>
        <v>-0.17295319048462462</v>
      </c>
      <c r="AL395" s="315" t="e">
        <f>IF($J395="",#N/A,SUM(AK$4:AK395))</f>
        <v>#N/A</v>
      </c>
      <c r="AM395" s="315" t="e">
        <f>IF($J395="",#N/A,SUM(AK$4:AK395,AI$4:AI395,AG$4:AG395))</f>
        <v>#N/A</v>
      </c>
      <c r="AN395" s="304" t="str">
        <f t="shared" si="684"/>
        <v/>
      </c>
      <c r="AO395" s="313" t="e">
        <f>IF($J395="",#N/A,SUM(AN$4:AN395))</f>
        <v>#N/A</v>
      </c>
      <c r="AP395" s="314" t="str">
        <f t="shared" si="685"/>
        <v/>
      </c>
      <c r="AQ395" s="314" t="e">
        <f>IF($J395="",#N/A,SUM(AP$4:AP395))</f>
        <v>#N/A</v>
      </c>
      <c r="AR395" s="315" t="str">
        <f t="shared" si="686"/>
        <v/>
      </c>
      <c r="AS395" s="315" t="e">
        <f>IF($J395="",#N/A,SUM(AR$4:AR395))</f>
        <v>#N/A</v>
      </c>
      <c r="AT395" s="315" t="e">
        <f>IF($J395="",#N/A,SUM(AR$4:AR395,AP$4:AP395,AN$4:AN395))</f>
        <v>#N/A</v>
      </c>
      <c r="AU395" s="304" t="str">
        <f t="shared" si="687"/>
        <v/>
      </c>
      <c r="AV395" s="313" t="e">
        <f>IF($J395="",#N/A,SUM(AU$4:AU395))</f>
        <v>#N/A</v>
      </c>
      <c r="AW395" s="314" t="str">
        <f t="shared" si="688"/>
        <v/>
      </c>
      <c r="AX395" s="314" t="e">
        <f>IF($J395="",#N/A,SUM(AW$4:AW395))</f>
        <v>#N/A</v>
      </c>
      <c r="AY395" s="315" t="str">
        <f t="shared" si="689"/>
        <v/>
      </c>
      <c r="AZ395" s="315" t="e">
        <f>IF($J395="",#N/A,SUM(AY$4:AY395))</f>
        <v>#N/A</v>
      </c>
      <c r="BA395" s="315" t="e">
        <f>IF($J395="",#N/A,SUM(AY$4:AY395,AW$4:AW395,AU$4:AU395))</f>
        <v>#N/A</v>
      </c>
      <c r="BB395" s="304" t="str">
        <f t="shared" si="690"/>
        <v/>
      </c>
      <c r="BC395" s="313" t="e">
        <f>IF($J395="",#N/A,SUM(BB$4:BB395))</f>
        <v>#N/A</v>
      </c>
      <c r="BD395" s="314" t="str">
        <f t="shared" si="691"/>
        <v/>
      </c>
      <c r="BE395" s="314" t="e">
        <f>IF($J395="",#N/A,SUM(BD$4:BD395))</f>
        <v>#N/A</v>
      </c>
      <c r="BF395" s="315" t="str">
        <f t="shared" si="692"/>
        <v/>
      </c>
      <c r="BG395" s="315" t="e">
        <f>IF($J395="",#N/A,SUM(BF$4:BF395))</f>
        <v>#N/A</v>
      </c>
      <c r="BH395" s="315" t="e">
        <f>IF($J395="",#N/A,SUM(BF$4:BF395,BD$4:BD395,BB$4:BB395))</f>
        <v>#N/A</v>
      </c>
      <c r="BI395" s="304" t="str">
        <f t="shared" si="693"/>
        <v/>
      </c>
      <c r="BJ395" s="313" t="e">
        <f>IF($J395="",#N/A,SUM(BI$4:BI395))</f>
        <v>#N/A</v>
      </c>
      <c r="BK395" s="314" t="str">
        <f t="shared" si="694"/>
        <v/>
      </c>
      <c r="BL395" s="314" t="e">
        <f>IF($J395="",#N/A,SUM(BK$4:BK395))</f>
        <v>#N/A</v>
      </c>
      <c r="BM395" s="315" t="str">
        <f t="shared" si="695"/>
        <v/>
      </c>
      <c r="BN395" s="315" t="e">
        <f>IF($J395="",#N/A,SUM(BM$4:BM395))</f>
        <v>#N/A</v>
      </c>
      <c r="BO395" s="315" t="e">
        <f>IF($J395="",#N/A,SUM(BM$4:BM395,BK$4:BK395,BI$4:BI395))</f>
        <v>#N/A</v>
      </c>
      <c r="BP395" s="304" t="str">
        <f t="shared" si="696"/>
        <v/>
      </c>
      <c r="BQ395" s="313" t="e">
        <f>IF($J395="",#N/A,SUM(BP$4:BP395))</f>
        <v>#N/A</v>
      </c>
      <c r="BR395" s="314" t="str">
        <f t="shared" si="697"/>
        <v/>
      </c>
      <c r="BS395" s="314" t="e">
        <f>IF($J395="",#N/A,SUM(BR$4:BR395))</f>
        <v>#N/A</v>
      </c>
      <c r="BT395" s="315" t="str">
        <f t="shared" si="698"/>
        <v/>
      </c>
      <c r="BU395" s="315" t="e">
        <f>IF($J395="",#N/A,SUM(BT$4:BT395))</f>
        <v>#N/A</v>
      </c>
      <c r="BV395" s="315" t="e">
        <f>IF($J395="",#N/A,SUM(BT$4:BT395,BR$4:BR395,BP$4:BP395))</f>
        <v>#N/A</v>
      </c>
      <c r="BW395" s="304" t="str">
        <f t="shared" si="699"/>
        <v/>
      </c>
      <c r="BX395" s="313" t="e">
        <f>IF($J395="",#N/A,SUM(BW$4:BW395))</f>
        <v>#N/A</v>
      </c>
      <c r="BY395" s="314" t="str">
        <f t="shared" si="700"/>
        <v/>
      </c>
      <c r="BZ395" s="314" t="e">
        <f>IF($J395="",#N/A,SUM(BY$4:BY395))</f>
        <v>#N/A</v>
      </c>
      <c r="CA395" s="315" t="str">
        <f t="shared" si="701"/>
        <v/>
      </c>
      <c r="CB395" s="315" t="e">
        <f>IF($J395="",#N/A,SUM(CA$4:CA395))</f>
        <v>#N/A</v>
      </c>
      <c r="CC395" s="315" t="e">
        <f>IF($J395="",#N/A,SUM(CA$4:CA395,BY$4:BY395,BW$4:BW395))</f>
        <v>#N/A</v>
      </c>
      <c r="CD395" s="304" t="str">
        <f t="shared" si="702"/>
        <v/>
      </c>
      <c r="CE395" s="313" t="e">
        <f>IF($J395="",#N/A,SUM(CD$4:CD395))</f>
        <v>#N/A</v>
      </c>
      <c r="CF395" s="314" t="str">
        <f t="shared" si="703"/>
        <v/>
      </c>
      <c r="CG395" s="314" t="e">
        <f>IF($J395="",#N/A,SUM(CF$4:CF395))</f>
        <v>#N/A</v>
      </c>
      <c r="CH395" s="315" t="str">
        <f t="shared" si="704"/>
        <v/>
      </c>
      <c r="CI395" s="315" t="e">
        <f>IF($J395="",#N/A,SUM(CH$4:CH395))</f>
        <v>#N/A</v>
      </c>
      <c r="CJ395" s="315" t="e">
        <f>IF($J395="",#N/A,SUM(CH$4:CH395,CF$4:CF395,CD$4:CD395))</f>
        <v>#N/A</v>
      </c>
      <c r="CK395" s="304" t="str">
        <f t="shared" si="705"/>
        <v/>
      </c>
      <c r="CL395" s="313" t="e">
        <f>IF($J395="",#N/A,SUM(CK$4:CK395))</f>
        <v>#N/A</v>
      </c>
      <c r="CM395" s="314" t="str">
        <f t="shared" si="706"/>
        <v/>
      </c>
      <c r="CN395" s="314" t="e">
        <f>IF($J395="",#N/A,SUM(CM$4:CM395))</f>
        <v>#N/A</v>
      </c>
      <c r="CO395" s="315" t="str">
        <f t="shared" si="707"/>
        <v/>
      </c>
      <c r="CP395" s="315" t="e">
        <f>IF($J395="",#N/A,SUM(CO$4:CO395))</f>
        <v>#N/A</v>
      </c>
      <c r="CQ395" s="315" t="e">
        <f>IF($J395="",#N/A,SUM(CO$4:CO395,CM$4:CM395,CK$4:CK395))</f>
        <v>#N/A</v>
      </c>
      <c r="CR395" s="304" t="str">
        <f t="shared" si="708"/>
        <v/>
      </c>
      <c r="CS395" s="313" t="e">
        <f>IF($J395="",#N/A,SUM(CR$4:CR395))</f>
        <v>#N/A</v>
      </c>
      <c r="CT395" s="314" t="str">
        <f t="shared" si="709"/>
        <v/>
      </c>
      <c r="CU395" s="314" t="e">
        <f>IF($J395="",#N/A,SUM(CT$4:CT395))</f>
        <v>#N/A</v>
      </c>
      <c r="CV395" s="315" t="str">
        <f t="shared" si="710"/>
        <v/>
      </c>
      <c r="CW395" s="315" t="e">
        <f>IF($J395="",#N/A,SUM(CV$4:CV395))</f>
        <v>#N/A</v>
      </c>
      <c r="CX395" s="315" t="e">
        <f>IF($J395="",#N/A,SUM(CV$4:CV395,CT$4:CT395,CR$4:CR395))</f>
        <v>#N/A</v>
      </c>
      <c r="CY395" s="304" t="str">
        <f t="shared" si="711"/>
        <v/>
      </c>
      <c r="CZ395" s="313" t="e">
        <f>IF($J395="",#N/A,SUM(CY$4:CY395))</f>
        <v>#N/A</v>
      </c>
      <c r="DA395" s="314" t="str">
        <f t="shared" si="712"/>
        <v/>
      </c>
      <c r="DB395" s="314" t="e">
        <f>IF($J395="",#N/A,SUM(DA$4:DA395))</f>
        <v>#N/A</v>
      </c>
      <c r="DC395" s="315" t="str">
        <f t="shared" si="713"/>
        <v/>
      </c>
      <c r="DD395" s="315" t="e">
        <f>IF($J395="",#N/A,SUM(DC$4:DC395))</f>
        <v>#N/A</v>
      </c>
      <c r="DE395" s="315" t="e">
        <f>IF($J395="",#N/A,SUM(DC$4:DC395,DA$4:DA395,CY$4:CY395))</f>
        <v>#N/A</v>
      </c>
      <c r="DF395" s="304" t="str">
        <f t="shared" si="714"/>
        <v/>
      </c>
      <c r="DG395" s="313" t="e">
        <f>IF($J395="",#N/A,SUM(DF$4:DF395))</f>
        <v>#N/A</v>
      </c>
      <c r="DH395" s="314" t="str">
        <f t="shared" si="715"/>
        <v/>
      </c>
      <c r="DI395" s="314" t="e">
        <f>IF($J395="",#N/A,SUM(DH$4:DH395))</f>
        <v>#N/A</v>
      </c>
      <c r="DJ395" s="315" t="str">
        <f t="shared" si="716"/>
        <v/>
      </c>
      <c r="DK395" s="315" t="e">
        <f>IF($J395="",#N/A,SUM(DJ$4:DJ395))</f>
        <v>#N/A</v>
      </c>
      <c r="DL395" s="315" t="e">
        <f>IF($J395="",#N/A,SUM(DJ$4:DJ395,DH$4:DH395,DF$4:DF395))</f>
        <v>#N/A</v>
      </c>
      <c r="DM395" s="304" t="str">
        <f t="shared" si="717"/>
        <v/>
      </c>
      <c r="DN395" s="313" t="e">
        <f>IF($J395="",#N/A,SUM(DM$4:DM395))</f>
        <v>#N/A</v>
      </c>
      <c r="DO395" s="314" t="str">
        <f t="shared" si="718"/>
        <v/>
      </c>
      <c r="DP395" s="314" t="e">
        <f>IF($J395="",#N/A,SUM(DO$4:DO395))</f>
        <v>#N/A</v>
      </c>
      <c r="DQ395" s="315" t="str">
        <f t="shared" si="719"/>
        <v/>
      </c>
      <c r="DR395" s="315" t="e">
        <f>IF($J395="",#N/A,SUM(DQ$4:DQ395))</f>
        <v>#N/A</v>
      </c>
      <c r="DS395" s="315" t="e">
        <f>IF($J395="",#N/A,SUM(DQ$4:DQ395,DO$4:DO395,DM$4:DM395))</f>
        <v>#N/A</v>
      </c>
      <c r="DT395" s="304" t="str">
        <f t="shared" si="720"/>
        <v/>
      </c>
      <c r="DU395" s="313" t="e">
        <f>IF($J395="",#N/A,SUM(DT$4:DT395))</f>
        <v>#N/A</v>
      </c>
      <c r="DV395" s="314" t="str">
        <f t="shared" si="721"/>
        <v/>
      </c>
      <c r="DW395" s="314" t="e">
        <f>IF($J395="",#N/A,SUM(DV$4:DV395))</f>
        <v>#N/A</v>
      </c>
      <c r="DX395" s="315" t="str">
        <f t="shared" si="722"/>
        <v/>
      </c>
      <c r="DY395" s="315" t="e">
        <f>IF($J395="",#N/A,SUM(DX$4:DX395))</f>
        <v>#N/A</v>
      </c>
      <c r="DZ395" s="315" t="e">
        <f>IF($J395="",#N/A,SUM(DX$4:DX395,DV$4:DV395,DT$4:DT395))</f>
        <v>#N/A</v>
      </c>
      <c r="EA395" s="304" t="str">
        <f t="shared" si="723"/>
        <v/>
      </c>
      <c r="EB395" s="313" t="e">
        <f>IF($J395="",#N/A,SUM(EA$4:EA395))</f>
        <v>#N/A</v>
      </c>
      <c r="EC395" s="314" t="str">
        <f t="shared" si="724"/>
        <v/>
      </c>
      <c r="ED395" s="314" t="e">
        <f>IF($J395="",#N/A,SUM(EC$4:EC395))</f>
        <v>#N/A</v>
      </c>
      <c r="EE395" s="315" t="str">
        <f t="shared" si="725"/>
        <v/>
      </c>
      <c r="EF395" s="315" t="e">
        <f>IF($J395="",#N/A,SUM(EE$4:EE395))</f>
        <v>#N/A</v>
      </c>
      <c r="EG395" s="315" t="e">
        <f>IF($J395="",#N/A,SUM(EE$4:EE395,EC$4:EC395,EA$4:EA395))</f>
        <v>#N/A</v>
      </c>
      <c r="EH395" s="130">
        <f t="shared" si="726"/>
        <v>-17.580000000000155</v>
      </c>
      <c r="EI395" s="63">
        <f>IF(EH395="",#N/A,SUM($EH$4:EH395))</f>
        <v>930.58404858954532</v>
      </c>
      <c r="EJ395" s="223" t="e">
        <f t="shared" si="727"/>
        <v>#N/A</v>
      </c>
      <c r="EK395" s="63" t="e">
        <f>IF($GZ395="",#N/A,SUM(EJ$4:EJ395))</f>
        <v>#N/A</v>
      </c>
      <c r="EL395" s="60">
        <f t="shared" si="757"/>
        <v>-0.17295319048462462</v>
      </c>
      <c r="EM395" s="60">
        <f>IF(EL395="",NA(),SUM($EL$4:EL395))</f>
        <v>22.929985924235801</v>
      </c>
      <c r="EN395" s="60" t="str">
        <f t="shared" si="728"/>
        <v/>
      </c>
      <c r="EO395" s="60" t="e">
        <f>IF(EN395="",NA(),SUM($EN$4:EN395))</f>
        <v>#N/A</v>
      </c>
      <c r="EP395" s="60">
        <f t="shared" si="729"/>
        <v>-0.17295319048462462</v>
      </c>
      <c r="EQ395" s="60">
        <f>IF(EP395="",NA(),SUM($EP$4:EP395))</f>
        <v>9.705896158594788</v>
      </c>
      <c r="ER395" s="60" t="str">
        <f t="shared" si="730"/>
        <v/>
      </c>
      <c r="ES395" s="60" t="e">
        <f>IF(ER395="",NA(),SUM($ER$4:ER395))</f>
        <v>#N/A</v>
      </c>
      <c r="ET395" s="60" t="str">
        <f t="shared" si="731"/>
        <v/>
      </c>
      <c r="EU395" s="60" t="e">
        <f>IF(ET395="",NA(),SUM($ET$4:ET395))</f>
        <v>#N/A</v>
      </c>
      <c r="EV395" s="60" t="str">
        <f t="shared" si="732"/>
        <v/>
      </c>
      <c r="EW395" s="60" t="e">
        <f>IF(EV395="",NA(),SUM($EV$4:EV395))</f>
        <v>#N/A</v>
      </c>
      <c r="EX395" s="60" t="str">
        <f t="shared" si="733"/>
        <v/>
      </c>
      <c r="EY395" s="60" t="e">
        <f>IF(EX395="",NA(),SUM($EX$4:EX395))</f>
        <v>#N/A</v>
      </c>
      <c r="EZ395" s="60" t="str">
        <f t="shared" si="734"/>
        <v/>
      </c>
      <c r="FA395" s="60" t="e">
        <f>IF(EZ395="",NA(),SUM($EZ$4:EZ395))</f>
        <v>#N/A</v>
      </c>
      <c r="FB395" s="246" t="str">
        <f t="shared" si="758"/>
        <v/>
      </c>
      <c r="FC395" s="246" t="e">
        <f>IF($FB395="",#N/A,SUM(FB$4:$FB395))</f>
        <v>#N/A</v>
      </c>
      <c r="FD395" s="60" t="str">
        <f t="shared" si="735"/>
        <v/>
      </c>
      <c r="FE395" s="60" t="e">
        <f>IF($FD395="",#N/A,SUM($FD$4:FD395))</f>
        <v>#N/A</v>
      </c>
      <c r="FF395" s="60" t="str">
        <f t="shared" si="736"/>
        <v/>
      </c>
      <c r="FG395" s="60" t="e">
        <f>IF($FF395="",#N/A,SUM($FF$4:FF395))</f>
        <v>#N/A</v>
      </c>
      <c r="FH395" s="60" t="str">
        <f t="shared" si="737"/>
        <v/>
      </c>
      <c r="FI395" s="60" t="e">
        <f>IF($FH395="",#N/A,SUM($FH$4:FH395))</f>
        <v>#N/A</v>
      </c>
      <c r="FJ395" s="60" t="str">
        <f t="shared" si="738"/>
        <v/>
      </c>
      <c r="FK395" s="60" t="e">
        <f>IF($FJ395="",#N/A,SUM($FJ$4:FJ395))</f>
        <v>#N/A</v>
      </c>
      <c r="FL395" s="60">
        <f t="shared" si="739"/>
        <v>-0.30753792574228422</v>
      </c>
      <c r="FM395" s="60">
        <f>IF($FL395="",#N/A,SUM($FL$4:FL395))</f>
        <v>-7.5744172082944914</v>
      </c>
      <c r="FN395" s="82">
        <f t="shared" si="740"/>
        <v>-0.48049111622690882</v>
      </c>
      <c r="FO395" s="82">
        <f>IF($FN395="",#N/A,SUM(FN$4:$FN395))</f>
        <v>35.476517585189271</v>
      </c>
      <c r="FP395" s="82">
        <f t="shared" si="759"/>
        <v>-0.17295319048462462</v>
      </c>
      <c r="FQ395" s="246">
        <f>IF($EH395="",#N/A,SUM($FP$4:FP395))</f>
        <v>50.371916294323164</v>
      </c>
      <c r="FR395" s="82">
        <f>IFERROR(FQ395/COUNTA($J$4:J395),#N/A)</f>
        <v>0.12849978646511012</v>
      </c>
      <c r="FS395" s="82">
        <f t="shared" si="661"/>
        <v>-2.8875996816390595E-2</v>
      </c>
      <c r="FT395" s="82">
        <f t="shared" si="662"/>
        <v>-0.1550091170798322</v>
      </c>
      <c r="FU395" s="338">
        <f t="shared" si="660"/>
        <v>29.23222772645564</v>
      </c>
      <c r="FV395" s="57" t="str">
        <f t="shared" si="666"/>
        <v>SW</v>
      </c>
      <c r="FW395" s="57" t="s">
        <v>2732</v>
      </c>
      <c r="FX395" s="57" t="str">
        <f t="shared" si="741"/>
        <v/>
      </c>
      <c r="FY395" s="57" t="str">
        <f t="shared" si="742"/>
        <v/>
      </c>
      <c r="FZ395" s="57" t="str">
        <f t="shared" si="743"/>
        <v/>
      </c>
      <c r="GA395" s="57" t="str">
        <f t="shared" si="744"/>
        <v>Long</v>
      </c>
      <c r="GB395" s="57" t="str">
        <f t="shared" si="745"/>
        <v/>
      </c>
      <c r="GC395" s="57" t="str">
        <f t="shared" si="746"/>
        <v/>
      </c>
      <c r="GD395" s="57">
        <f t="shared" si="747"/>
        <v>1</v>
      </c>
      <c r="GE395" s="62">
        <f t="shared" si="664"/>
        <v>282.35000000000002</v>
      </c>
      <c r="GF395" s="62" t="s">
        <v>2779</v>
      </c>
      <c r="GG395" s="199">
        <v>6</v>
      </c>
      <c r="GH395" s="207">
        <f t="shared" si="748"/>
        <v>1694.1000000000001</v>
      </c>
      <c r="GI395" s="199">
        <v>6</v>
      </c>
      <c r="GJ395" s="200">
        <v>279.42</v>
      </c>
      <c r="GK395" s="63">
        <f t="shared" si="749"/>
        <v>-17.580000000000155</v>
      </c>
      <c r="GL395" s="63">
        <f t="shared" si="665"/>
        <v>-48.840000000000373</v>
      </c>
      <c r="GM395" s="82">
        <f t="shared" si="750"/>
        <v>-0.48049111622690882</v>
      </c>
      <c r="GN395" s="82">
        <f>IF($GZ395="",#N/A,SUM(GM$4:GM395))</f>
        <v>4.7096412581870029</v>
      </c>
      <c r="GO395" s="82" t="str">
        <f t="shared" si="751"/>
        <v/>
      </c>
      <c r="GP395" s="82">
        <f>IF($GZ395="",#N/A,SUM(GO$4:GO395))</f>
        <v>3.9893037078761537</v>
      </c>
      <c r="GQ395" s="82" t="str">
        <f t="shared" si="752"/>
        <v/>
      </c>
      <c r="GR395" s="82">
        <f>IF($GZ395="",#N/A,SUM(GQ$4:GQ395))</f>
        <v>26.151735664683777</v>
      </c>
      <c r="GS395" s="63" t="e">
        <f t="shared" si="760"/>
        <v>#N/A</v>
      </c>
      <c r="GT395" s="63" t="e">
        <f>IF($GZ395="",#N/A,SUM(GS$4:GS395))</f>
        <v>#N/A</v>
      </c>
      <c r="GU395" s="63" t="str">
        <f t="shared" si="761"/>
        <v/>
      </c>
      <c r="GV395" s="63" t="e">
        <f>IF($GZ395="",#N/A,SUM(GU$4:GU395))</f>
        <v>#N/A</v>
      </c>
      <c r="GW395" s="63" t="str">
        <f t="shared" si="762"/>
        <v/>
      </c>
      <c r="GX395" s="63" t="e">
        <f>IF($GZ395="",#N/A,SUM(GW$4:GW395))</f>
        <v>#N/A</v>
      </c>
      <c r="GY395" s="63" t="e">
        <f>IF(EJ395="",#N/A,SUM($EJ$4:EJ395))</f>
        <v>#N/A</v>
      </c>
      <c r="GZ395" s="159">
        <v>274.20999999999998</v>
      </c>
      <c r="HA395" s="63">
        <f t="shared" si="753"/>
        <v>-31.260000000000218</v>
      </c>
      <c r="HB395" s="62" t="s">
        <v>2538</v>
      </c>
      <c r="HC395" s="60">
        <f>IFERROR(VLOOKUP(E395,Expectancy!$P$4:$S$19,1+C395,FALSE),"")</f>
        <v>0.27741610538114203</v>
      </c>
      <c r="HD395" s="82">
        <f t="shared" si="754"/>
        <v>-0.17295319048462462</v>
      </c>
      <c r="HE395" s="138">
        <f>IF(HD395="",#N/A,SUM($HD$4:HD395))</f>
        <v>6.609688567867523</v>
      </c>
      <c r="HF395" s="85">
        <f>IF(HD395="",#N/A,IF(HB395="Skip",#N/A,SUM($HG$4:HG395)))</f>
        <v>-48.341420780844146</v>
      </c>
      <c r="HG395" s="63">
        <f t="shared" si="755"/>
        <v>-17.580000000000155</v>
      </c>
      <c r="HH395" s="82">
        <f t="shared" si="756"/>
        <v>-0.48049111622690882</v>
      </c>
    </row>
    <row r="396" spans="1:216" x14ac:dyDescent="0.25">
      <c r="A396" s="57" t="s">
        <v>1160</v>
      </c>
      <c r="B396" s="58" t="str" cm="1">
        <f t="array" ref="B396">IFERROR(_xlfn.XLOOKUP(A396,Earnings!$B$2:$B$9985,LEFT(Earnings!$C$2:$C$9985,37)),"Can't Find Date***")</f>
        <v>on 2/27/25, 4:15 PM After Market East</v>
      </c>
      <c r="C396" s="386">
        <f t="shared" si="667"/>
        <v>3</v>
      </c>
      <c r="D396" s="372" t="str">
        <f>_xlfn.XLOOKUP(A396,[1]SP500!$A$2:$A$502,[1]SP500!$D$2:$D$502,"N")</f>
        <v>Y</v>
      </c>
      <c r="E396" s="57" t="str">
        <f>_xlfn.XLOOKUP(A396,[1]SP500!$A$2:$A$655,[1]SP500!$B$2:$B$655)</f>
        <v>XLK</v>
      </c>
      <c r="F396" s="59">
        <v>45715</v>
      </c>
      <c r="G396" s="57" t="str">
        <f t="shared" si="668"/>
        <v>AMC</v>
      </c>
      <c r="H396" s="57" t="str">
        <f t="shared" si="669"/>
        <v>o</v>
      </c>
      <c r="I396" s="159">
        <v>33.130000000000003</v>
      </c>
      <c r="J396" s="159">
        <v>31.43</v>
      </c>
      <c r="K396" s="61">
        <f t="shared" si="670"/>
        <v>-5.1313009357078256E-2</v>
      </c>
      <c r="L396" s="87">
        <f t="shared" si="671"/>
        <v>-85.000000000000227</v>
      </c>
      <c r="M396" s="130" t="e">
        <f t="shared" si="663"/>
        <v>#N/A</v>
      </c>
      <c r="N396" s="169" t="str">
        <f t="shared" si="672"/>
        <v/>
      </c>
      <c r="O396" s="169">
        <f>IF($J396="",#N/A,SUM($N$4:N396))</f>
        <v>-295.65328064577557</v>
      </c>
      <c r="P396" s="174" t="str">
        <f t="shared" si="673"/>
        <v/>
      </c>
      <c r="Q396" s="174">
        <f>IF($J396="",#N/A,SUM($P$4:P396))</f>
        <v>143.70499224504317</v>
      </c>
      <c r="R396" s="178">
        <f t="shared" si="674"/>
        <v>-85.000000000000227</v>
      </c>
      <c r="S396" s="178">
        <f>IF($J396="",#N/A,SUM($R$4:R396))</f>
        <v>997.53233699027737</v>
      </c>
      <c r="T396" s="290" t="str">
        <f t="shared" si="675"/>
        <v/>
      </c>
      <c r="U396" s="290">
        <f>IF($J396="",#N/A,SUM($T$4:T396))</f>
        <v>10.514761942459062</v>
      </c>
      <c r="V396" s="291" t="str">
        <f t="shared" si="676"/>
        <v/>
      </c>
      <c r="W396" s="291">
        <f>IF($J396="",#N/A,SUM($V$4:V396))</f>
        <v>20.98924205667948</v>
      </c>
      <c r="X396" s="292">
        <f t="shared" si="677"/>
        <v>-0.85521682261797183</v>
      </c>
      <c r="Y396" s="292">
        <f>IF($J396="",#N/A,SUM($X$4:X396))</f>
        <v>18.012695472566683</v>
      </c>
      <c r="Z396" s="304" t="str">
        <f t="shared" si="678"/>
        <v/>
      </c>
      <c r="AA396" s="313" t="e">
        <f>IF($J396="",#N/A,SUM(Z$4:Z396))</f>
        <v>#N/A</v>
      </c>
      <c r="AB396" s="314" t="str">
        <f t="shared" si="679"/>
        <v/>
      </c>
      <c r="AC396" s="314" t="e">
        <f>IF($J396="",#N/A,SUM(AB$4:AB396))</f>
        <v>#N/A</v>
      </c>
      <c r="AD396" s="315">
        <f t="shared" si="680"/>
        <v>-0.85521682261797183</v>
      </c>
      <c r="AE396" s="315" t="e">
        <f>IF($J396="",#N/A,SUM(AD$4:AD396))</f>
        <v>#N/A</v>
      </c>
      <c r="AF396" s="315" t="e">
        <f>IF($J396="",#N/A,SUM(AD$4:AD396,AB$4:AB396,Z$4:Z396))</f>
        <v>#N/A</v>
      </c>
      <c r="AG396" s="304" t="str">
        <f t="shared" si="681"/>
        <v/>
      </c>
      <c r="AH396" s="313" t="e">
        <f>IF($J396="",#N/A,SUM(AG$4:AG396))</f>
        <v>#N/A</v>
      </c>
      <c r="AI396" s="314" t="str">
        <f t="shared" si="682"/>
        <v/>
      </c>
      <c r="AJ396" s="314" t="e">
        <f>IF($J396="",#N/A,SUM(AI$4:AI396))</f>
        <v>#N/A</v>
      </c>
      <c r="AK396" s="315" t="str">
        <f t="shared" si="683"/>
        <v/>
      </c>
      <c r="AL396" s="315" t="e">
        <f>IF($J396="",#N/A,SUM(AK$4:AK396))</f>
        <v>#N/A</v>
      </c>
      <c r="AM396" s="315" t="e">
        <f>IF($J396="",#N/A,SUM(AK$4:AK396,AI$4:AI396,AG$4:AG396))</f>
        <v>#N/A</v>
      </c>
      <c r="AN396" s="304" t="str">
        <f t="shared" si="684"/>
        <v/>
      </c>
      <c r="AO396" s="313" t="e">
        <f>IF($J396="",#N/A,SUM(AN$4:AN396))</f>
        <v>#N/A</v>
      </c>
      <c r="AP396" s="314" t="str">
        <f t="shared" si="685"/>
        <v/>
      </c>
      <c r="AQ396" s="314" t="e">
        <f>IF($J396="",#N/A,SUM(AP$4:AP396))</f>
        <v>#N/A</v>
      </c>
      <c r="AR396" s="315" t="str">
        <f t="shared" si="686"/>
        <v/>
      </c>
      <c r="AS396" s="315" t="e">
        <f>IF($J396="",#N/A,SUM(AR$4:AR396))</f>
        <v>#N/A</v>
      </c>
      <c r="AT396" s="315" t="e">
        <f>IF($J396="",#N/A,SUM(AR$4:AR396,AP$4:AP396,AN$4:AN396))</f>
        <v>#N/A</v>
      </c>
      <c r="AU396" s="304" t="str">
        <f t="shared" si="687"/>
        <v/>
      </c>
      <c r="AV396" s="313" t="e">
        <f>IF($J396="",#N/A,SUM(AU$4:AU396))</f>
        <v>#N/A</v>
      </c>
      <c r="AW396" s="314" t="str">
        <f t="shared" si="688"/>
        <v/>
      </c>
      <c r="AX396" s="314" t="e">
        <f>IF($J396="",#N/A,SUM(AW$4:AW396))</f>
        <v>#N/A</v>
      </c>
      <c r="AY396" s="315" t="str">
        <f t="shared" si="689"/>
        <v/>
      </c>
      <c r="AZ396" s="315" t="e">
        <f>IF($J396="",#N/A,SUM(AY$4:AY396))</f>
        <v>#N/A</v>
      </c>
      <c r="BA396" s="315" t="e">
        <f>IF($J396="",#N/A,SUM(AY$4:AY396,AW$4:AW396,AU$4:AU396))</f>
        <v>#N/A</v>
      </c>
      <c r="BB396" s="304" t="str">
        <f t="shared" si="690"/>
        <v/>
      </c>
      <c r="BC396" s="313" t="e">
        <f>IF($J396="",#N/A,SUM(BB$4:BB396))</f>
        <v>#N/A</v>
      </c>
      <c r="BD396" s="314" t="str">
        <f t="shared" si="691"/>
        <v/>
      </c>
      <c r="BE396" s="314" t="e">
        <f>IF($J396="",#N/A,SUM(BD$4:BD396))</f>
        <v>#N/A</v>
      </c>
      <c r="BF396" s="315" t="str">
        <f t="shared" si="692"/>
        <v/>
      </c>
      <c r="BG396" s="315" t="e">
        <f>IF($J396="",#N/A,SUM(BF$4:BF396))</f>
        <v>#N/A</v>
      </c>
      <c r="BH396" s="315" t="e">
        <f>IF($J396="",#N/A,SUM(BF$4:BF396,BD$4:BD396,BB$4:BB396))</f>
        <v>#N/A</v>
      </c>
      <c r="BI396" s="304" t="str">
        <f t="shared" si="693"/>
        <v/>
      </c>
      <c r="BJ396" s="313" t="e">
        <f>IF($J396="",#N/A,SUM(BI$4:BI396))</f>
        <v>#N/A</v>
      </c>
      <c r="BK396" s="314" t="str">
        <f t="shared" si="694"/>
        <v/>
      </c>
      <c r="BL396" s="314" t="e">
        <f>IF($J396="",#N/A,SUM(BK$4:BK396))</f>
        <v>#N/A</v>
      </c>
      <c r="BM396" s="315" t="str">
        <f t="shared" si="695"/>
        <v/>
      </c>
      <c r="BN396" s="315" t="e">
        <f>IF($J396="",#N/A,SUM(BM$4:BM396))</f>
        <v>#N/A</v>
      </c>
      <c r="BO396" s="315" t="e">
        <f>IF($J396="",#N/A,SUM(BM$4:BM396,BK$4:BK396,BI$4:BI396))</f>
        <v>#N/A</v>
      </c>
      <c r="BP396" s="304" t="str">
        <f t="shared" si="696"/>
        <v/>
      </c>
      <c r="BQ396" s="313" t="e">
        <f>IF($J396="",#N/A,SUM(BP$4:BP396))</f>
        <v>#N/A</v>
      </c>
      <c r="BR396" s="314" t="str">
        <f t="shared" si="697"/>
        <v/>
      </c>
      <c r="BS396" s="314" t="e">
        <f>IF($J396="",#N/A,SUM(BR$4:BR396))</f>
        <v>#N/A</v>
      </c>
      <c r="BT396" s="315" t="str">
        <f t="shared" si="698"/>
        <v/>
      </c>
      <c r="BU396" s="315" t="e">
        <f>IF($J396="",#N/A,SUM(BT$4:BT396))</f>
        <v>#N/A</v>
      </c>
      <c r="BV396" s="315" t="e">
        <f>IF($J396="",#N/A,SUM(BT$4:BT396,BR$4:BR396,BP$4:BP396))</f>
        <v>#N/A</v>
      </c>
      <c r="BW396" s="304" t="str">
        <f t="shared" si="699"/>
        <v/>
      </c>
      <c r="BX396" s="313" t="e">
        <f>IF($J396="",#N/A,SUM(BW$4:BW396))</f>
        <v>#N/A</v>
      </c>
      <c r="BY396" s="314" t="str">
        <f t="shared" si="700"/>
        <v/>
      </c>
      <c r="BZ396" s="314" t="e">
        <f>IF($J396="",#N/A,SUM(BY$4:BY396))</f>
        <v>#N/A</v>
      </c>
      <c r="CA396" s="315" t="str">
        <f t="shared" si="701"/>
        <v/>
      </c>
      <c r="CB396" s="315" t="e">
        <f>IF($J396="",#N/A,SUM(CA$4:CA396))</f>
        <v>#N/A</v>
      </c>
      <c r="CC396" s="315" t="e">
        <f>IF($J396="",#N/A,SUM(CA$4:CA396,BY$4:BY396,BW$4:BW396))</f>
        <v>#N/A</v>
      </c>
      <c r="CD396" s="304" t="str">
        <f t="shared" si="702"/>
        <v/>
      </c>
      <c r="CE396" s="313" t="e">
        <f>IF($J396="",#N/A,SUM(CD$4:CD396))</f>
        <v>#N/A</v>
      </c>
      <c r="CF396" s="314" t="str">
        <f t="shared" si="703"/>
        <v/>
      </c>
      <c r="CG396" s="314" t="e">
        <f>IF($J396="",#N/A,SUM(CF$4:CF396))</f>
        <v>#N/A</v>
      </c>
      <c r="CH396" s="315" t="str">
        <f t="shared" si="704"/>
        <v/>
      </c>
      <c r="CI396" s="315" t="e">
        <f>IF($J396="",#N/A,SUM(CH$4:CH396))</f>
        <v>#N/A</v>
      </c>
      <c r="CJ396" s="315" t="e">
        <f>IF($J396="",#N/A,SUM(CH$4:CH396,CF$4:CF396,CD$4:CD396))</f>
        <v>#N/A</v>
      </c>
      <c r="CK396" s="304" t="str">
        <f t="shared" si="705"/>
        <v/>
      </c>
      <c r="CL396" s="313" t="e">
        <f>IF($J396="",#N/A,SUM(CK$4:CK396))</f>
        <v>#N/A</v>
      </c>
      <c r="CM396" s="314" t="str">
        <f t="shared" si="706"/>
        <v/>
      </c>
      <c r="CN396" s="314" t="e">
        <f>IF($J396="",#N/A,SUM(CM$4:CM396))</f>
        <v>#N/A</v>
      </c>
      <c r="CO396" s="315" t="str">
        <f t="shared" si="707"/>
        <v/>
      </c>
      <c r="CP396" s="315" t="e">
        <f>IF($J396="",#N/A,SUM(CO$4:CO396))</f>
        <v>#N/A</v>
      </c>
      <c r="CQ396" s="315" t="e">
        <f>IF($J396="",#N/A,SUM(CO$4:CO396,CM$4:CM396,CK$4:CK396))</f>
        <v>#N/A</v>
      </c>
      <c r="CR396" s="304" t="str">
        <f t="shared" si="708"/>
        <v/>
      </c>
      <c r="CS396" s="313" t="e">
        <f>IF($J396="",#N/A,SUM(CR$4:CR396))</f>
        <v>#N/A</v>
      </c>
      <c r="CT396" s="314" t="str">
        <f t="shared" si="709"/>
        <v/>
      </c>
      <c r="CU396" s="314" t="e">
        <f>IF($J396="",#N/A,SUM(CT$4:CT396))</f>
        <v>#N/A</v>
      </c>
      <c r="CV396" s="315" t="str">
        <f t="shared" si="710"/>
        <v/>
      </c>
      <c r="CW396" s="315" t="e">
        <f>IF($J396="",#N/A,SUM(CV$4:CV396))</f>
        <v>#N/A</v>
      </c>
      <c r="CX396" s="315" t="e">
        <f>IF($J396="",#N/A,SUM(CV$4:CV396,CT$4:CT396,CR$4:CR396))</f>
        <v>#N/A</v>
      </c>
      <c r="CY396" s="304" t="str">
        <f t="shared" si="711"/>
        <v/>
      </c>
      <c r="CZ396" s="313" t="e">
        <f>IF($J396="",#N/A,SUM(CY$4:CY396))</f>
        <v>#N/A</v>
      </c>
      <c r="DA396" s="314" t="str">
        <f t="shared" si="712"/>
        <v/>
      </c>
      <c r="DB396" s="314" t="e">
        <f>IF($J396="",#N/A,SUM(DA$4:DA396))</f>
        <v>#N/A</v>
      </c>
      <c r="DC396" s="315" t="str">
        <f t="shared" si="713"/>
        <v/>
      </c>
      <c r="DD396" s="315" t="e">
        <f>IF($J396="",#N/A,SUM(DC$4:DC396))</f>
        <v>#N/A</v>
      </c>
      <c r="DE396" s="315" t="e">
        <f>IF($J396="",#N/A,SUM(DC$4:DC396,DA$4:DA396,CY$4:CY396))</f>
        <v>#N/A</v>
      </c>
      <c r="DF396" s="304" t="str">
        <f t="shared" si="714"/>
        <v/>
      </c>
      <c r="DG396" s="313" t="e">
        <f>IF($J396="",#N/A,SUM(DF$4:DF396))</f>
        <v>#N/A</v>
      </c>
      <c r="DH396" s="314" t="str">
        <f t="shared" si="715"/>
        <v/>
      </c>
      <c r="DI396" s="314" t="e">
        <f>IF($J396="",#N/A,SUM(DH$4:DH396))</f>
        <v>#N/A</v>
      </c>
      <c r="DJ396" s="315" t="str">
        <f t="shared" si="716"/>
        <v/>
      </c>
      <c r="DK396" s="315" t="e">
        <f>IF($J396="",#N/A,SUM(DJ$4:DJ396))</f>
        <v>#N/A</v>
      </c>
      <c r="DL396" s="315" t="e">
        <f>IF($J396="",#N/A,SUM(DJ$4:DJ396,DH$4:DH396,DF$4:DF396))</f>
        <v>#N/A</v>
      </c>
      <c r="DM396" s="304" t="str">
        <f t="shared" si="717"/>
        <v/>
      </c>
      <c r="DN396" s="313" t="e">
        <f>IF($J396="",#N/A,SUM(DM$4:DM396))</f>
        <v>#N/A</v>
      </c>
      <c r="DO396" s="314" t="str">
        <f t="shared" si="718"/>
        <v/>
      </c>
      <c r="DP396" s="314" t="e">
        <f>IF($J396="",#N/A,SUM(DO$4:DO396))</f>
        <v>#N/A</v>
      </c>
      <c r="DQ396" s="315" t="str">
        <f t="shared" si="719"/>
        <v/>
      </c>
      <c r="DR396" s="315" t="e">
        <f>IF($J396="",#N/A,SUM(DQ$4:DQ396))</f>
        <v>#N/A</v>
      </c>
      <c r="DS396" s="315" t="e">
        <f>IF($J396="",#N/A,SUM(DQ$4:DQ396,DO$4:DO396,DM$4:DM396))</f>
        <v>#N/A</v>
      </c>
      <c r="DT396" s="304" t="str">
        <f t="shared" si="720"/>
        <v/>
      </c>
      <c r="DU396" s="313" t="e">
        <f>IF($J396="",#N/A,SUM(DT$4:DT396))</f>
        <v>#N/A</v>
      </c>
      <c r="DV396" s="314" t="str">
        <f t="shared" si="721"/>
        <v/>
      </c>
      <c r="DW396" s="314" t="e">
        <f>IF($J396="",#N/A,SUM(DV$4:DV396))</f>
        <v>#N/A</v>
      </c>
      <c r="DX396" s="315" t="str">
        <f t="shared" si="722"/>
        <v/>
      </c>
      <c r="DY396" s="315" t="e">
        <f>IF($J396="",#N/A,SUM(DX$4:DX396))</f>
        <v>#N/A</v>
      </c>
      <c r="DZ396" s="315" t="e">
        <f>IF($J396="",#N/A,SUM(DX$4:DX396,DV$4:DV396,DT$4:DT396))</f>
        <v>#N/A</v>
      </c>
      <c r="EA396" s="304" t="str">
        <f t="shared" si="723"/>
        <v/>
      </c>
      <c r="EB396" s="313" t="e">
        <f>IF($J396="",#N/A,SUM(EA$4:EA396))</f>
        <v>#N/A</v>
      </c>
      <c r="EC396" s="314" t="str">
        <f t="shared" si="724"/>
        <v/>
      </c>
      <c r="ED396" s="314" t="e">
        <f>IF($J396="",#N/A,SUM(EC$4:EC396))</f>
        <v>#N/A</v>
      </c>
      <c r="EE396" s="315" t="str">
        <f t="shared" si="725"/>
        <v/>
      </c>
      <c r="EF396" s="315" t="e">
        <f>IF($J396="",#N/A,SUM(EE$4:EE396))</f>
        <v>#N/A</v>
      </c>
      <c r="EG396" s="315" t="e">
        <f>IF($J396="",#N/A,SUM(EE$4:EE396,EC$4:EC396,EA$4:EA396))</f>
        <v>#N/A</v>
      </c>
      <c r="EH396" s="130">
        <f t="shared" si="726"/>
        <v>-85.000000000000227</v>
      </c>
      <c r="EI396" s="63">
        <f>IF(EH396="",#N/A,SUM($EH$4:EH396))</f>
        <v>845.58404858954509</v>
      </c>
      <c r="EJ396" s="223" t="e">
        <f t="shared" si="727"/>
        <v>#N/A</v>
      </c>
      <c r="EK396" s="63" t="e">
        <f>IF($GZ396="",#N/A,SUM(EJ$4:EJ396))</f>
        <v>#N/A</v>
      </c>
      <c r="EL396" s="60">
        <f t="shared" si="757"/>
        <v>-0.85521682261797183</v>
      </c>
      <c r="EM396" s="60">
        <f>IF(EL396="",NA(),SUM($EL$4:EL396))</f>
        <v>22.074769101617829</v>
      </c>
      <c r="EN396" s="60" t="str">
        <f t="shared" si="728"/>
        <v/>
      </c>
      <c r="EO396" s="60" t="e">
        <f>IF(EN396="",NA(),SUM($EN$4:EN396))</f>
        <v>#N/A</v>
      </c>
      <c r="EP396" s="60">
        <f t="shared" si="729"/>
        <v>-0.85521682261797183</v>
      </c>
      <c r="EQ396" s="60">
        <f>IF(EP396="",NA(),SUM($EP$4:EP396))</f>
        <v>8.8506793359768157</v>
      </c>
      <c r="ER396" s="60" t="str">
        <f t="shared" si="730"/>
        <v/>
      </c>
      <c r="ES396" s="60" t="e">
        <f>IF(ER396="",NA(),SUM($ER$4:ER396))</f>
        <v>#N/A</v>
      </c>
      <c r="ET396" s="60" t="str">
        <f t="shared" si="731"/>
        <v/>
      </c>
      <c r="EU396" s="60" t="e">
        <f>IF(ET396="",NA(),SUM($ET$4:ET396))</f>
        <v>#N/A</v>
      </c>
      <c r="EV396" s="60" t="str">
        <f t="shared" si="732"/>
        <v/>
      </c>
      <c r="EW396" s="60" t="e">
        <f>IF(EV396="",NA(),SUM($EV$4:EV396))</f>
        <v>#N/A</v>
      </c>
      <c r="EX396" s="60" t="str">
        <f t="shared" si="733"/>
        <v/>
      </c>
      <c r="EY396" s="60" t="e">
        <f>IF(EX396="",NA(),SUM($EX$4:EX396))</f>
        <v>#N/A</v>
      </c>
      <c r="EZ396" s="60" t="str">
        <f t="shared" si="734"/>
        <v/>
      </c>
      <c r="FA396" s="60" t="e">
        <f>IF(EZ396="",NA(),SUM($EZ$4:EZ396))</f>
        <v>#N/A</v>
      </c>
      <c r="FB396" s="246" t="str">
        <f t="shared" si="758"/>
        <v/>
      </c>
      <c r="FC396" s="246" t="e">
        <f>IF($FB396="",#N/A,SUM(FB$4:$FB396))</f>
        <v>#N/A</v>
      </c>
      <c r="FD396" s="60" t="str">
        <f t="shared" si="735"/>
        <v/>
      </c>
      <c r="FE396" s="60" t="e">
        <f>IF($FD396="",#N/A,SUM($FD$4:FD396))</f>
        <v>#N/A</v>
      </c>
      <c r="FF396" s="60" t="str">
        <f t="shared" si="736"/>
        <v/>
      </c>
      <c r="FG396" s="60" t="e">
        <f>IF($FF396="",#N/A,SUM($FF$4:FF396))</f>
        <v>#N/A</v>
      </c>
      <c r="FH396" s="60" t="str">
        <f t="shared" si="737"/>
        <v/>
      </c>
      <c r="FI396" s="60" t="e">
        <f>IF($FH396="",#N/A,SUM($FH$4:FH396))</f>
        <v>#N/A</v>
      </c>
      <c r="FJ396" s="60" t="str">
        <f t="shared" si="738"/>
        <v/>
      </c>
      <c r="FK396" s="60" t="e">
        <f>IF($FJ396="",#N/A,SUM($FJ$4:FJ396))</f>
        <v>#N/A</v>
      </c>
      <c r="FL396" s="60">
        <f t="shared" si="739"/>
        <v>-0.28171848274474287</v>
      </c>
      <c r="FM396" s="60">
        <f>IF($FL396="",#N/A,SUM($FL$4:FL396))</f>
        <v>-7.8561356910392339</v>
      </c>
      <c r="FN396" s="82">
        <f t="shared" si="740"/>
        <v>-1.1369353053627147</v>
      </c>
      <c r="FO396" s="82">
        <f>IF($FN396="",#N/A,SUM(FN$4:$FN396))</f>
        <v>34.339582279826558</v>
      </c>
      <c r="FP396" s="82">
        <f t="shared" si="759"/>
        <v>-0.85521682261797183</v>
      </c>
      <c r="FQ396" s="246">
        <f>IF($EH396="",#N/A,SUM($FP$4:FP396))</f>
        <v>49.516699471705195</v>
      </c>
      <c r="FR396" s="82">
        <f>IFERROR(FQ396/COUNTA($J$4:J396),#N/A)</f>
        <v>0.12599669076769771</v>
      </c>
      <c r="FS396" s="82">
        <f t="shared" si="661"/>
        <v>-6.0813984466037564E-2</v>
      </c>
      <c r="FT396" s="82">
        <f t="shared" si="662"/>
        <v>-9.338663135980653E-2</v>
      </c>
      <c r="FU396" s="338">
        <f t="shared" si="660"/>
        <v>29.10646054665888</v>
      </c>
      <c r="FV396" s="57" t="str">
        <f t="shared" si="666"/>
        <v>SW</v>
      </c>
      <c r="FW396" s="57" t="s">
        <v>2732</v>
      </c>
      <c r="FX396" s="57" t="str">
        <f t="shared" si="741"/>
        <v/>
      </c>
      <c r="FY396" s="57" t="str">
        <f t="shared" si="742"/>
        <v/>
      </c>
      <c r="FZ396" s="57" t="str">
        <f t="shared" si="743"/>
        <v/>
      </c>
      <c r="GA396" s="57" t="str">
        <f t="shared" si="744"/>
        <v>Long</v>
      </c>
      <c r="GB396" s="57" t="str">
        <f t="shared" si="745"/>
        <v/>
      </c>
      <c r="GC396" s="57" t="str">
        <f t="shared" si="746"/>
        <v/>
      </c>
      <c r="GD396" s="57">
        <f t="shared" si="747"/>
        <v>1</v>
      </c>
      <c r="GE396" s="62">
        <f t="shared" si="664"/>
        <v>33.130000000000003</v>
      </c>
      <c r="GF396" s="62" t="s">
        <v>2779</v>
      </c>
      <c r="GG396" s="199">
        <v>50</v>
      </c>
      <c r="GH396" s="207">
        <f t="shared" si="748"/>
        <v>1656.5000000000002</v>
      </c>
      <c r="GI396" s="199">
        <v>50</v>
      </c>
      <c r="GJ396" s="200">
        <v>31.68</v>
      </c>
      <c r="GK396" s="63">
        <f t="shared" si="749"/>
        <v>-72.500000000000227</v>
      </c>
      <c r="GL396" s="63">
        <f t="shared" si="665"/>
        <v>-113.00000000000023</v>
      </c>
      <c r="GM396" s="82">
        <f t="shared" si="750"/>
        <v>-1.1369353053627147</v>
      </c>
      <c r="GN396" s="82">
        <f>IF($GZ396="",#N/A,SUM(GM$4:GM396))</f>
        <v>3.5727059528242879</v>
      </c>
      <c r="GO396" s="82" t="str">
        <f t="shared" si="751"/>
        <v/>
      </c>
      <c r="GP396" s="82">
        <f>IF($GZ396="",#N/A,SUM(GO$4:GO396))</f>
        <v>3.9893037078761537</v>
      </c>
      <c r="GQ396" s="82" t="str">
        <f t="shared" si="752"/>
        <v/>
      </c>
      <c r="GR396" s="82">
        <f>IF($GZ396="",#N/A,SUM(GQ$4:GQ396))</f>
        <v>26.151735664683777</v>
      </c>
      <c r="GS396" s="63" t="e">
        <f t="shared" si="760"/>
        <v>#N/A</v>
      </c>
      <c r="GT396" s="63" t="e">
        <f>IF($GZ396="",#N/A,SUM(GS$4:GS396))</f>
        <v>#N/A</v>
      </c>
      <c r="GU396" s="63" t="str">
        <f t="shared" si="761"/>
        <v/>
      </c>
      <c r="GV396" s="63" t="e">
        <f>IF($GZ396="",#N/A,SUM(GU$4:GU396))</f>
        <v>#N/A</v>
      </c>
      <c r="GW396" s="63" t="str">
        <f t="shared" si="762"/>
        <v/>
      </c>
      <c r="GX396" s="63" t="e">
        <f>IF($GZ396="",#N/A,SUM(GW$4:GW396))</f>
        <v>#N/A</v>
      </c>
      <c r="GY396" s="63" t="e">
        <f>IF(EJ396="",#N/A,SUM($EJ$4:EJ396))</f>
        <v>#N/A</v>
      </c>
      <c r="GZ396" s="159">
        <v>30.87</v>
      </c>
      <c r="HA396" s="63">
        <f t="shared" si="753"/>
        <v>-28</v>
      </c>
      <c r="HB396" s="62" t="s">
        <v>4734</v>
      </c>
      <c r="HC396" s="60">
        <f>IFERROR(VLOOKUP(E396,Expectancy!$P$4:$S$19,1+C396,FALSE),"")</f>
        <v>-0.17081772033279666</v>
      </c>
      <c r="HD396" s="82">
        <f t="shared" si="754"/>
        <v>-0.72944964282121161</v>
      </c>
      <c r="HE396" s="138">
        <f>IF(HD396="",#N/A,SUM($HD$4:HD396))</f>
        <v>5.8802389250463118</v>
      </c>
      <c r="HF396" s="85">
        <f>IF(HD396="",#N/A,IF(HB396="Skip",#N/A,SUM($HG$4:HG396)))</f>
        <v>-120.84142078084437</v>
      </c>
      <c r="HG396" s="63">
        <f t="shared" si="755"/>
        <v>-72.500000000000227</v>
      </c>
      <c r="HH396" s="82">
        <f t="shared" si="756"/>
        <v>-1.1369353053627147</v>
      </c>
    </row>
    <row r="397" spans="1:216" x14ac:dyDescent="0.25">
      <c r="A397" s="57" t="s">
        <v>1128</v>
      </c>
      <c r="B397" s="58" t="str" cm="1">
        <f t="array" ref="B397">IFERROR(_xlfn.XLOOKUP(A397,Earnings!$B$2:$B$9985,LEFT(Earnings!$C$2:$C$9985,37)),"Can't Find Date***")</f>
        <v>on 2/27/25, 4:01 PM After Market East</v>
      </c>
      <c r="C397" s="386">
        <f t="shared" si="667"/>
        <v>3</v>
      </c>
      <c r="D397" s="372" t="str">
        <f>_xlfn.XLOOKUP(A397,[1]SP500!$A$2:$A$502,[1]SP500!$D$2:$D$502,"N")</f>
        <v>Y</v>
      </c>
      <c r="E397" s="57" t="str">
        <f>_xlfn.XLOOKUP(A397,[1]SP500!$A$2:$A$655,[1]SP500!$B$2:$B$655)</f>
        <v>XLK</v>
      </c>
      <c r="F397" s="59">
        <v>45715</v>
      </c>
      <c r="G397" s="57" t="str">
        <f t="shared" si="668"/>
        <v>AMC</v>
      </c>
      <c r="H397" s="57" t="str">
        <f t="shared" si="669"/>
        <v>s</v>
      </c>
      <c r="I397" s="159">
        <v>118.22</v>
      </c>
      <c r="J397" s="159">
        <v>99.325000000000003</v>
      </c>
      <c r="K397" s="61">
        <f t="shared" si="670"/>
        <v>-0.1598291321265437</v>
      </c>
      <c r="L397" s="87">
        <f t="shared" si="671"/>
        <v>-264.52999999999997</v>
      </c>
      <c r="M397" s="130">
        <f t="shared" si="663"/>
        <v>5.9500000000000455</v>
      </c>
      <c r="N397" s="169" t="str">
        <f t="shared" si="672"/>
        <v/>
      </c>
      <c r="O397" s="169">
        <f>IF($J397="",#N/A,SUM($N$4:N397))</f>
        <v>-295.65328064577557</v>
      </c>
      <c r="P397" s="174" t="str">
        <f t="shared" si="673"/>
        <v/>
      </c>
      <c r="Q397" s="174">
        <f>IF($J397="",#N/A,SUM($P$4:P397))</f>
        <v>143.70499224504317</v>
      </c>
      <c r="R397" s="178">
        <f t="shared" si="674"/>
        <v>-264.52999999999997</v>
      </c>
      <c r="S397" s="178">
        <f>IF($J397="",#N/A,SUM($R$4:R397))</f>
        <v>733.0023369902774</v>
      </c>
      <c r="T397" s="290" t="str">
        <f t="shared" si="675"/>
        <v/>
      </c>
      <c r="U397" s="290">
        <f>IF($J397="",#N/A,SUM($T$4:T397))</f>
        <v>10.514761942459062</v>
      </c>
      <c r="V397" s="291" t="str">
        <f t="shared" si="676"/>
        <v/>
      </c>
      <c r="W397" s="291">
        <f>IF($J397="",#N/A,SUM($V$4:V397))</f>
        <v>20.98924205667948</v>
      </c>
      <c r="X397" s="292">
        <f t="shared" si="677"/>
        <v>-2.6638188687757292</v>
      </c>
      <c r="Y397" s="292">
        <f>IF($J397="",#N/A,SUM($X$4:X397))</f>
        <v>15.348876603790954</v>
      </c>
      <c r="Z397" s="304" t="str">
        <f t="shared" si="678"/>
        <v/>
      </c>
      <c r="AA397" s="313" t="e">
        <f>IF($J397="",#N/A,SUM(Z$4:Z397))</f>
        <v>#N/A</v>
      </c>
      <c r="AB397" s="314" t="str">
        <f t="shared" si="679"/>
        <v/>
      </c>
      <c r="AC397" s="314" t="e">
        <f>IF($J397="",#N/A,SUM(AB$4:AB397))</f>
        <v>#N/A</v>
      </c>
      <c r="AD397" s="315">
        <f t="shared" si="680"/>
        <v>-2.6638188687757292</v>
      </c>
      <c r="AE397" s="315" t="e">
        <f>IF($J397="",#N/A,SUM(AD$4:AD397))</f>
        <v>#N/A</v>
      </c>
      <c r="AF397" s="315" t="e">
        <f>IF($J397="",#N/A,SUM(AD$4:AD397,AB$4:AB397,Z$4:Z397))</f>
        <v>#N/A</v>
      </c>
      <c r="AG397" s="304" t="str">
        <f t="shared" si="681"/>
        <v/>
      </c>
      <c r="AH397" s="313" t="e">
        <f>IF($J397="",#N/A,SUM(AG$4:AG397))</f>
        <v>#N/A</v>
      </c>
      <c r="AI397" s="314" t="str">
        <f t="shared" si="682"/>
        <v/>
      </c>
      <c r="AJ397" s="314" t="e">
        <f>IF($J397="",#N/A,SUM(AI$4:AI397))</f>
        <v>#N/A</v>
      </c>
      <c r="AK397" s="315" t="str">
        <f t="shared" si="683"/>
        <v/>
      </c>
      <c r="AL397" s="315" t="e">
        <f>IF($J397="",#N/A,SUM(AK$4:AK397))</f>
        <v>#N/A</v>
      </c>
      <c r="AM397" s="315" t="e">
        <f>IF($J397="",#N/A,SUM(AK$4:AK397,AI$4:AI397,AG$4:AG397))</f>
        <v>#N/A</v>
      </c>
      <c r="AN397" s="304" t="str">
        <f t="shared" si="684"/>
        <v/>
      </c>
      <c r="AO397" s="313" t="e">
        <f>IF($J397="",#N/A,SUM(AN$4:AN397))</f>
        <v>#N/A</v>
      </c>
      <c r="AP397" s="314" t="str">
        <f t="shared" si="685"/>
        <v/>
      </c>
      <c r="AQ397" s="314" t="e">
        <f>IF($J397="",#N/A,SUM(AP$4:AP397))</f>
        <v>#N/A</v>
      </c>
      <c r="AR397" s="315" t="str">
        <f t="shared" si="686"/>
        <v/>
      </c>
      <c r="AS397" s="315" t="e">
        <f>IF($J397="",#N/A,SUM(AR$4:AR397))</f>
        <v>#N/A</v>
      </c>
      <c r="AT397" s="315" t="e">
        <f>IF($J397="",#N/A,SUM(AR$4:AR397,AP$4:AP397,AN$4:AN397))</f>
        <v>#N/A</v>
      </c>
      <c r="AU397" s="304" t="str">
        <f t="shared" si="687"/>
        <v/>
      </c>
      <c r="AV397" s="313" t="e">
        <f>IF($J397="",#N/A,SUM(AU$4:AU397))</f>
        <v>#N/A</v>
      </c>
      <c r="AW397" s="314" t="str">
        <f t="shared" si="688"/>
        <v/>
      </c>
      <c r="AX397" s="314" t="e">
        <f>IF($J397="",#N/A,SUM(AW$4:AW397))</f>
        <v>#N/A</v>
      </c>
      <c r="AY397" s="315" t="str">
        <f t="shared" si="689"/>
        <v/>
      </c>
      <c r="AZ397" s="315" t="e">
        <f>IF($J397="",#N/A,SUM(AY$4:AY397))</f>
        <v>#N/A</v>
      </c>
      <c r="BA397" s="315" t="e">
        <f>IF($J397="",#N/A,SUM(AY$4:AY397,AW$4:AW397,AU$4:AU397))</f>
        <v>#N/A</v>
      </c>
      <c r="BB397" s="304" t="str">
        <f t="shared" si="690"/>
        <v/>
      </c>
      <c r="BC397" s="313" t="e">
        <f>IF($J397="",#N/A,SUM(BB$4:BB397))</f>
        <v>#N/A</v>
      </c>
      <c r="BD397" s="314" t="str">
        <f t="shared" si="691"/>
        <v/>
      </c>
      <c r="BE397" s="314" t="e">
        <f>IF($J397="",#N/A,SUM(BD$4:BD397))</f>
        <v>#N/A</v>
      </c>
      <c r="BF397" s="315" t="str">
        <f t="shared" si="692"/>
        <v/>
      </c>
      <c r="BG397" s="315" t="e">
        <f>IF($J397="",#N/A,SUM(BF$4:BF397))</f>
        <v>#N/A</v>
      </c>
      <c r="BH397" s="315" t="e">
        <f>IF($J397="",#N/A,SUM(BF$4:BF397,BD$4:BD397,BB$4:BB397))</f>
        <v>#N/A</v>
      </c>
      <c r="BI397" s="304" t="str">
        <f t="shared" si="693"/>
        <v/>
      </c>
      <c r="BJ397" s="313" t="e">
        <f>IF($J397="",#N/A,SUM(BI$4:BI397))</f>
        <v>#N/A</v>
      </c>
      <c r="BK397" s="314" t="str">
        <f t="shared" si="694"/>
        <v/>
      </c>
      <c r="BL397" s="314" t="e">
        <f>IF($J397="",#N/A,SUM(BK$4:BK397))</f>
        <v>#N/A</v>
      </c>
      <c r="BM397" s="315" t="str">
        <f t="shared" si="695"/>
        <v/>
      </c>
      <c r="BN397" s="315" t="e">
        <f>IF($J397="",#N/A,SUM(BM$4:BM397))</f>
        <v>#N/A</v>
      </c>
      <c r="BO397" s="315" t="e">
        <f>IF($J397="",#N/A,SUM(BM$4:BM397,BK$4:BK397,BI$4:BI397))</f>
        <v>#N/A</v>
      </c>
      <c r="BP397" s="304" t="str">
        <f t="shared" si="696"/>
        <v/>
      </c>
      <c r="BQ397" s="313" t="e">
        <f>IF($J397="",#N/A,SUM(BP$4:BP397))</f>
        <v>#N/A</v>
      </c>
      <c r="BR397" s="314" t="str">
        <f t="shared" si="697"/>
        <v/>
      </c>
      <c r="BS397" s="314" t="e">
        <f>IF($J397="",#N/A,SUM(BR$4:BR397))</f>
        <v>#N/A</v>
      </c>
      <c r="BT397" s="315" t="str">
        <f t="shared" si="698"/>
        <v/>
      </c>
      <c r="BU397" s="315" t="e">
        <f>IF($J397="",#N/A,SUM(BT$4:BT397))</f>
        <v>#N/A</v>
      </c>
      <c r="BV397" s="315" t="e">
        <f>IF($J397="",#N/A,SUM(BT$4:BT397,BR$4:BR397,BP$4:BP397))</f>
        <v>#N/A</v>
      </c>
      <c r="BW397" s="304" t="str">
        <f t="shared" si="699"/>
        <v/>
      </c>
      <c r="BX397" s="313" t="e">
        <f>IF($J397="",#N/A,SUM(BW$4:BW397))</f>
        <v>#N/A</v>
      </c>
      <c r="BY397" s="314" t="str">
        <f t="shared" si="700"/>
        <v/>
      </c>
      <c r="BZ397" s="314" t="e">
        <f>IF($J397="",#N/A,SUM(BY$4:BY397))</f>
        <v>#N/A</v>
      </c>
      <c r="CA397" s="315" t="str">
        <f t="shared" si="701"/>
        <v/>
      </c>
      <c r="CB397" s="315" t="e">
        <f>IF($J397="",#N/A,SUM(CA$4:CA397))</f>
        <v>#N/A</v>
      </c>
      <c r="CC397" s="315" t="e">
        <f>IF($J397="",#N/A,SUM(CA$4:CA397,BY$4:BY397,BW$4:BW397))</f>
        <v>#N/A</v>
      </c>
      <c r="CD397" s="304" t="str">
        <f t="shared" si="702"/>
        <v/>
      </c>
      <c r="CE397" s="313" t="e">
        <f>IF($J397="",#N/A,SUM(CD$4:CD397))</f>
        <v>#N/A</v>
      </c>
      <c r="CF397" s="314" t="str">
        <f t="shared" si="703"/>
        <v/>
      </c>
      <c r="CG397" s="314" t="e">
        <f>IF($J397="",#N/A,SUM(CF$4:CF397))</f>
        <v>#N/A</v>
      </c>
      <c r="CH397" s="315" t="str">
        <f t="shared" si="704"/>
        <v/>
      </c>
      <c r="CI397" s="315" t="e">
        <f>IF($J397="",#N/A,SUM(CH$4:CH397))</f>
        <v>#N/A</v>
      </c>
      <c r="CJ397" s="315" t="e">
        <f>IF($J397="",#N/A,SUM(CH$4:CH397,CF$4:CF397,CD$4:CD397))</f>
        <v>#N/A</v>
      </c>
      <c r="CK397" s="304" t="str">
        <f t="shared" si="705"/>
        <v/>
      </c>
      <c r="CL397" s="313" t="e">
        <f>IF($J397="",#N/A,SUM(CK$4:CK397))</f>
        <v>#N/A</v>
      </c>
      <c r="CM397" s="314" t="str">
        <f t="shared" si="706"/>
        <v/>
      </c>
      <c r="CN397" s="314" t="e">
        <f>IF($J397="",#N/A,SUM(CM$4:CM397))</f>
        <v>#N/A</v>
      </c>
      <c r="CO397" s="315" t="str">
        <f t="shared" si="707"/>
        <v/>
      </c>
      <c r="CP397" s="315" t="e">
        <f>IF($J397="",#N/A,SUM(CO$4:CO397))</f>
        <v>#N/A</v>
      </c>
      <c r="CQ397" s="315" t="e">
        <f>IF($J397="",#N/A,SUM(CO$4:CO397,CM$4:CM397,CK$4:CK397))</f>
        <v>#N/A</v>
      </c>
      <c r="CR397" s="304" t="str">
        <f t="shared" si="708"/>
        <v/>
      </c>
      <c r="CS397" s="313" t="e">
        <f>IF($J397="",#N/A,SUM(CR$4:CR397))</f>
        <v>#N/A</v>
      </c>
      <c r="CT397" s="314" t="str">
        <f t="shared" si="709"/>
        <v/>
      </c>
      <c r="CU397" s="314" t="e">
        <f>IF($J397="",#N/A,SUM(CT$4:CT397))</f>
        <v>#N/A</v>
      </c>
      <c r="CV397" s="315" t="str">
        <f t="shared" si="710"/>
        <v/>
      </c>
      <c r="CW397" s="315" t="e">
        <f>IF($J397="",#N/A,SUM(CV$4:CV397))</f>
        <v>#N/A</v>
      </c>
      <c r="CX397" s="315" t="e">
        <f>IF($J397="",#N/A,SUM(CV$4:CV397,CT$4:CT397,CR$4:CR397))</f>
        <v>#N/A</v>
      </c>
      <c r="CY397" s="304" t="str">
        <f t="shared" si="711"/>
        <v/>
      </c>
      <c r="CZ397" s="313" t="e">
        <f>IF($J397="",#N/A,SUM(CY$4:CY397))</f>
        <v>#N/A</v>
      </c>
      <c r="DA397" s="314" t="str">
        <f t="shared" si="712"/>
        <v/>
      </c>
      <c r="DB397" s="314" t="e">
        <f>IF($J397="",#N/A,SUM(DA$4:DA397))</f>
        <v>#N/A</v>
      </c>
      <c r="DC397" s="315" t="str">
        <f t="shared" si="713"/>
        <v/>
      </c>
      <c r="DD397" s="315" t="e">
        <f>IF($J397="",#N/A,SUM(DC$4:DC397))</f>
        <v>#N/A</v>
      </c>
      <c r="DE397" s="315" t="e">
        <f>IF($J397="",#N/A,SUM(DC$4:DC397,DA$4:DA397,CY$4:CY397))</f>
        <v>#N/A</v>
      </c>
      <c r="DF397" s="304" t="str">
        <f t="shared" si="714"/>
        <v/>
      </c>
      <c r="DG397" s="313" t="e">
        <f>IF($J397="",#N/A,SUM(DF$4:DF397))</f>
        <v>#N/A</v>
      </c>
      <c r="DH397" s="314" t="str">
        <f t="shared" si="715"/>
        <v/>
      </c>
      <c r="DI397" s="314" t="e">
        <f>IF($J397="",#N/A,SUM(DH$4:DH397))</f>
        <v>#N/A</v>
      </c>
      <c r="DJ397" s="315" t="str">
        <f t="shared" si="716"/>
        <v/>
      </c>
      <c r="DK397" s="315" t="e">
        <f>IF($J397="",#N/A,SUM(DJ$4:DJ397))</f>
        <v>#N/A</v>
      </c>
      <c r="DL397" s="315" t="e">
        <f>IF($J397="",#N/A,SUM(DJ$4:DJ397,DH$4:DH397,DF$4:DF397))</f>
        <v>#N/A</v>
      </c>
      <c r="DM397" s="304" t="str">
        <f t="shared" si="717"/>
        <v/>
      </c>
      <c r="DN397" s="313" t="e">
        <f>IF($J397="",#N/A,SUM(DM$4:DM397))</f>
        <v>#N/A</v>
      </c>
      <c r="DO397" s="314" t="str">
        <f t="shared" si="718"/>
        <v/>
      </c>
      <c r="DP397" s="314" t="e">
        <f>IF($J397="",#N/A,SUM(DO$4:DO397))</f>
        <v>#N/A</v>
      </c>
      <c r="DQ397" s="315" t="str">
        <f t="shared" si="719"/>
        <v/>
      </c>
      <c r="DR397" s="315" t="e">
        <f>IF($J397="",#N/A,SUM(DQ$4:DQ397))</f>
        <v>#N/A</v>
      </c>
      <c r="DS397" s="315" t="e">
        <f>IF($J397="",#N/A,SUM(DQ$4:DQ397,DO$4:DO397,DM$4:DM397))</f>
        <v>#N/A</v>
      </c>
      <c r="DT397" s="304" t="str">
        <f t="shared" si="720"/>
        <v/>
      </c>
      <c r="DU397" s="313" t="e">
        <f>IF($J397="",#N/A,SUM(DT$4:DT397))</f>
        <v>#N/A</v>
      </c>
      <c r="DV397" s="314" t="str">
        <f t="shared" si="721"/>
        <v/>
      </c>
      <c r="DW397" s="314" t="e">
        <f>IF($J397="",#N/A,SUM(DV$4:DV397))</f>
        <v>#N/A</v>
      </c>
      <c r="DX397" s="315" t="str">
        <f t="shared" si="722"/>
        <v/>
      </c>
      <c r="DY397" s="315" t="e">
        <f>IF($J397="",#N/A,SUM(DX$4:DX397))</f>
        <v>#N/A</v>
      </c>
      <c r="DZ397" s="315" t="e">
        <f>IF($J397="",#N/A,SUM(DX$4:DX397,DV$4:DV397,DT$4:DT397))</f>
        <v>#N/A</v>
      </c>
      <c r="EA397" s="304" t="str">
        <f t="shared" si="723"/>
        <v/>
      </c>
      <c r="EB397" s="313" t="e">
        <f>IF($J397="",#N/A,SUM(EA$4:EA397))</f>
        <v>#N/A</v>
      </c>
      <c r="EC397" s="314" t="str">
        <f t="shared" si="724"/>
        <v/>
      </c>
      <c r="ED397" s="314" t="e">
        <f>IF($J397="",#N/A,SUM(EC$4:EC397))</f>
        <v>#N/A</v>
      </c>
      <c r="EE397" s="315" t="str">
        <f t="shared" si="725"/>
        <v/>
      </c>
      <c r="EF397" s="315" t="e">
        <f>IF($J397="",#N/A,SUM(EE$4:EE397))</f>
        <v>#N/A</v>
      </c>
      <c r="EG397" s="315" t="e">
        <f>IF($J397="",#N/A,SUM(EE$4:EE397,EC$4:EC397,EA$4:EA397))</f>
        <v>#N/A</v>
      </c>
      <c r="EH397" s="130">
        <f t="shared" si="726"/>
        <v>-264.52999999999997</v>
      </c>
      <c r="EI397" s="63">
        <f>IF(EH397="",#N/A,SUM($EH$4:EH397))</f>
        <v>581.05404858954512</v>
      </c>
      <c r="EJ397" s="223" t="e">
        <f t="shared" si="727"/>
        <v>#N/A</v>
      </c>
      <c r="EK397" s="63" t="e">
        <f>IF($GZ397="",#N/A,SUM(EJ$4:EJ397))</f>
        <v>#N/A</v>
      </c>
      <c r="EL397" s="60">
        <f t="shared" si="757"/>
        <v>-2.6638188687757292</v>
      </c>
      <c r="EM397" s="60">
        <f>IF(EL397="",NA(),SUM($EL$4:EL397))</f>
        <v>19.410950232842101</v>
      </c>
      <c r="EN397" s="60" t="str">
        <f t="shared" si="728"/>
        <v/>
      </c>
      <c r="EO397" s="60" t="e">
        <f>IF(EN397="",NA(),SUM($EN$4:EN397))</f>
        <v>#N/A</v>
      </c>
      <c r="EP397" s="60">
        <f t="shared" si="729"/>
        <v>-2.6638188687757292</v>
      </c>
      <c r="EQ397" s="60">
        <f>IF(EP397="",NA(),SUM($EP$4:EP397))</f>
        <v>6.1868604672010861</v>
      </c>
      <c r="ER397" s="60" t="str">
        <f t="shared" si="730"/>
        <v/>
      </c>
      <c r="ES397" s="60" t="e">
        <f>IF(ER397="",NA(),SUM($ER$4:ER397))</f>
        <v>#N/A</v>
      </c>
      <c r="ET397" s="60" t="str">
        <f t="shared" si="731"/>
        <v/>
      </c>
      <c r="EU397" s="60" t="e">
        <f>IF(ET397="",NA(),SUM($ET$4:ET397))</f>
        <v>#N/A</v>
      </c>
      <c r="EV397" s="60" t="str">
        <f t="shared" si="732"/>
        <v/>
      </c>
      <c r="EW397" s="60" t="e">
        <f>IF(EV397="",NA(),SUM($EV$4:EV397))</f>
        <v>#N/A</v>
      </c>
      <c r="EX397" s="60" t="str">
        <f t="shared" si="733"/>
        <v/>
      </c>
      <c r="EY397" s="60" t="e">
        <f>IF(EX397="",NA(),SUM($EX$4:EX397))</f>
        <v>#N/A</v>
      </c>
      <c r="EZ397" s="60" t="str">
        <f t="shared" si="734"/>
        <v/>
      </c>
      <c r="FA397" s="60" t="e">
        <f>IF(EZ397="",NA(),SUM($EZ$4:EZ397))</f>
        <v>#N/A</v>
      </c>
      <c r="FB397" s="246" t="str">
        <f t="shared" si="758"/>
        <v/>
      </c>
      <c r="FC397" s="246" t="e">
        <f>IF($FB397="",#N/A,SUM(FB$4:$FB397))</f>
        <v>#N/A</v>
      </c>
      <c r="FD397" s="60" t="str">
        <f t="shared" si="735"/>
        <v/>
      </c>
      <c r="FE397" s="60" t="e">
        <f>IF($FD397="",#N/A,SUM($FD$4:FD397))</f>
        <v>#N/A</v>
      </c>
      <c r="FF397" s="60" t="str">
        <f t="shared" si="736"/>
        <v/>
      </c>
      <c r="FG397" s="60" t="e">
        <f>IF($FF397="",#N/A,SUM($FF$4:FF397))</f>
        <v>#N/A</v>
      </c>
      <c r="FH397" s="60" t="str">
        <f t="shared" si="737"/>
        <v/>
      </c>
      <c r="FI397" s="60" t="e">
        <f>IF($FH397="",#N/A,SUM($FH$4:FH397))</f>
        <v>#N/A</v>
      </c>
      <c r="FJ397" s="60" t="str">
        <f t="shared" si="738"/>
        <v/>
      </c>
      <c r="FK397" s="60" t="e">
        <f>IF($FJ397="",#N/A,SUM($FJ$4:FJ397))</f>
        <v>#N/A</v>
      </c>
      <c r="FL397" s="60">
        <f t="shared" si="739"/>
        <v>6.8375345401231247E-2</v>
      </c>
      <c r="FM397" s="60">
        <f>IF($FL397="",#N/A,SUM($FL$4:FL397))</f>
        <v>-7.7877603456380022</v>
      </c>
      <c r="FN397" s="82">
        <f t="shared" si="740"/>
        <v>-2.5954435233744979</v>
      </c>
      <c r="FO397" s="82">
        <f>IF($FN397="",#N/A,SUM(FN$4:$FN397))</f>
        <v>31.74413875645206</v>
      </c>
      <c r="FP397" s="82">
        <f t="shared" si="759"/>
        <v>-2.6638188687757292</v>
      </c>
      <c r="FQ397" s="246">
        <f>IF($EH397="",#N/A,SUM($FP$4:FP397))</f>
        <v>46.852880602929467</v>
      </c>
      <c r="FR397" s="82">
        <f>IFERROR(FQ397/COUNTA($J$4:J397),#N/A)</f>
        <v>0.11891594061657225</v>
      </c>
      <c r="FS397" s="82">
        <f t="shared" si="661"/>
        <v>-0.15012723678335305</v>
      </c>
      <c r="FT397" s="82">
        <f t="shared" si="662"/>
        <v>-0.31846685347551246</v>
      </c>
      <c r="FU397" s="338">
        <f t="shared" si="660"/>
        <v>29.046544006874299</v>
      </c>
      <c r="FV397" s="57" t="str">
        <f t="shared" si="666"/>
        <v>SW</v>
      </c>
      <c r="FW397" s="57" t="s">
        <v>2732</v>
      </c>
      <c r="FX397" s="57" t="str">
        <f t="shared" si="741"/>
        <v/>
      </c>
      <c r="FY397" s="57" t="str">
        <f t="shared" si="742"/>
        <v/>
      </c>
      <c r="FZ397" s="57" t="str">
        <f t="shared" si="743"/>
        <v/>
      </c>
      <c r="GA397" s="57" t="str">
        <f t="shared" si="744"/>
        <v>Long</v>
      </c>
      <c r="GB397" s="57" t="str">
        <f t="shared" si="745"/>
        <v/>
      </c>
      <c r="GC397" s="57" t="str">
        <f t="shared" si="746"/>
        <v/>
      </c>
      <c r="GD397" s="57">
        <f t="shared" si="747"/>
        <v>1</v>
      </c>
      <c r="GE397" s="62">
        <f t="shared" si="664"/>
        <v>118.22</v>
      </c>
      <c r="GF397" s="62" t="s">
        <v>2779</v>
      </c>
      <c r="GG397" s="199">
        <v>14</v>
      </c>
      <c r="GH397" s="207">
        <f t="shared" si="748"/>
        <v>1655.08</v>
      </c>
      <c r="GI397" s="199">
        <v>14</v>
      </c>
      <c r="GJ397" s="200">
        <v>99.75</v>
      </c>
      <c r="GK397" s="63">
        <f t="shared" si="749"/>
        <v>-258.57999999999993</v>
      </c>
      <c r="GL397" s="63">
        <f t="shared" si="665"/>
        <v>-257.73999999999978</v>
      </c>
      <c r="GM397" s="82">
        <f t="shared" si="750"/>
        <v>-2.5954435233744979</v>
      </c>
      <c r="GN397" s="82">
        <f>IF($GZ397="",#N/A,SUM(GM$4:GM397))</f>
        <v>0.97726242944979003</v>
      </c>
      <c r="GO397" s="82" t="str">
        <f t="shared" si="751"/>
        <v/>
      </c>
      <c r="GP397" s="82">
        <f>IF($GZ397="",#N/A,SUM(GO$4:GO397))</f>
        <v>3.9893037078761537</v>
      </c>
      <c r="GQ397" s="82" t="str">
        <f t="shared" si="752"/>
        <v/>
      </c>
      <c r="GR397" s="82">
        <f>IF($GZ397="",#N/A,SUM(GQ$4:GQ397))</f>
        <v>26.151735664683777</v>
      </c>
      <c r="GS397" s="63" t="e">
        <f t="shared" si="760"/>
        <v>#N/A</v>
      </c>
      <c r="GT397" s="63" t="e">
        <f>IF($GZ397="",#N/A,SUM(GS$4:GS397))</f>
        <v>#N/A</v>
      </c>
      <c r="GU397" s="63" t="str">
        <f t="shared" si="761"/>
        <v/>
      </c>
      <c r="GV397" s="63" t="e">
        <f>IF($GZ397="",#N/A,SUM(GU$4:GU397))</f>
        <v>#N/A</v>
      </c>
      <c r="GW397" s="63" t="str">
        <f t="shared" si="762"/>
        <v/>
      </c>
      <c r="GX397" s="63" t="e">
        <f>IF($GZ397="",#N/A,SUM(GW$4:GW397))</f>
        <v>#N/A</v>
      </c>
      <c r="GY397" s="63" t="e">
        <f>IF(EJ397="",#N/A,SUM($EJ$4:EJ397))</f>
        <v>#N/A</v>
      </c>
      <c r="GZ397" s="159">
        <v>99.81</v>
      </c>
      <c r="HA397" s="63">
        <f t="shared" si="753"/>
        <v>6.790000000000191</v>
      </c>
      <c r="HB397" s="62" t="s">
        <v>2538</v>
      </c>
      <c r="HC397" s="60">
        <f>IFERROR(VLOOKUP(E397,Expectancy!$P$4:$S$19,1+C397,FALSE),"")</f>
        <v>-0.17081772033279666</v>
      </c>
      <c r="HD397" s="82">
        <f t="shared" si="754"/>
        <v>-2.603902328991146</v>
      </c>
      <c r="HE397" s="138">
        <f>IF(HD397="",#N/A,SUM($HD$4:HD397))</f>
        <v>3.2763365960551658</v>
      </c>
      <c r="HF397" s="85">
        <f>IF(HD397="",#N/A,IF(HB397="Skip",#N/A,SUM($HG$4:HG397)))</f>
        <v>-379.4214207808443</v>
      </c>
      <c r="HG397" s="63">
        <f t="shared" si="755"/>
        <v>-258.57999999999993</v>
      </c>
      <c r="HH397" s="82">
        <f t="shared" si="756"/>
        <v>-2.5954435233744979</v>
      </c>
    </row>
    <row r="398" spans="1:216" x14ac:dyDescent="0.25">
      <c r="A398" s="57" t="s">
        <v>1519</v>
      </c>
      <c r="B398" s="58" t="str" cm="1">
        <f t="array" ref="B398">IFERROR(_xlfn.XLOOKUP(A398,Earnings!$B$2:$B$9985,LEFT(Earnings!$C$2:$C$9985,37)),"Can't Find Date***")</f>
        <v>on 2/27/25, 4:15 PM After Market East</v>
      </c>
      <c r="C398" s="386">
        <f t="shared" si="667"/>
        <v>2</v>
      </c>
      <c r="D398" s="372" t="str">
        <f>_xlfn.XLOOKUP(A398,[1]SP500!$A$2:$A$502,[1]SP500!$D$2:$D$502,"N")</f>
        <v>Y</v>
      </c>
      <c r="E398" s="57" t="str">
        <f>_xlfn.XLOOKUP(A398,[1]SP500!$A$2:$A$655,[1]SP500!$B$2:$B$655)</f>
        <v>XLF</v>
      </c>
      <c r="F398" s="59">
        <v>45715</v>
      </c>
      <c r="G398" s="57" t="str">
        <f t="shared" si="668"/>
        <v>AMC</v>
      </c>
      <c r="H398" s="57" t="str">
        <f t="shared" si="669"/>
        <v>o</v>
      </c>
      <c r="I398" s="159">
        <v>404.98</v>
      </c>
      <c r="J398" s="159">
        <v>411.54</v>
      </c>
      <c r="K398" s="61">
        <f t="shared" si="670"/>
        <v>1.6198330781767006E-2</v>
      </c>
      <c r="L398" s="87">
        <f t="shared" si="671"/>
        <v>-26.727245789915514</v>
      </c>
      <c r="M398" s="210" t="e">
        <f t="shared" si="663"/>
        <v>#N/A</v>
      </c>
      <c r="N398" s="169" t="str">
        <f t="shared" si="672"/>
        <v/>
      </c>
      <c r="O398" s="169">
        <f>IF($J398="",#N/A,SUM($N$4:N398))</f>
        <v>-295.65328064577557</v>
      </c>
      <c r="P398" s="174">
        <f t="shared" si="673"/>
        <v>-26.727245789915514</v>
      </c>
      <c r="Q398" s="174">
        <f>IF($J398="",#N/A,SUM($P$4:P398))</f>
        <v>116.97774645512766</v>
      </c>
      <c r="R398" s="178" t="str">
        <f t="shared" si="674"/>
        <v/>
      </c>
      <c r="S398" s="178">
        <f>IF($J398="",#N/A,SUM($R$4:R398))</f>
        <v>733.0023369902774</v>
      </c>
      <c r="T398" s="290" t="str">
        <f t="shared" si="675"/>
        <v/>
      </c>
      <c r="U398" s="290">
        <f>IF($J398="",#N/A,SUM($T$4:T398))</f>
        <v>10.514761942459062</v>
      </c>
      <c r="V398" s="291">
        <f t="shared" si="676"/>
        <v>-0.26997217969611631</v>
      </c>
      <c r="W398" s="291">
        <f>IF($J398="",#N/A,SUM($V$4:V398))</f>
        <v>20.719269876983365</v>
      </c>
      <c r="X398" s="292" t="str">
        <f t="shared" si="677"/>
        <v/>
      </c>
      <c r="Y398" s="292">
        <f>IF($J398="",#N/A,SUM($X$4:X398))</f>
        <v>15.348876603790954</v>
      </c>
      <c r="Z398" s="304" t="str">
        <f t="shared" si="678"/>
        <v/>
      </c>
      <c r="AA398" s="313" t="e">
        <f>IF($J398="",#N/A,SUM(Z$4:Z398))</f>
        <v>#N/A</v>
      </c>
      <c r="AB398" s="314" t="str">
        <f t="shared" si="679"/>
        <v/>
      </c>
      <c r="AC398" s="314" t="e">
        <f>IF($J398="",#N/A,SUM(AB$4:AB398))</f>
        <v>#N/A</v>
      </c>
      <c r="AD398" s="315" t="str">
        <f t="shared" si="680"/>
        <v/>
      </c>
      <c r="AE398" s="315" t="e">
        <f>IF($J398="",#N/A,SUM(AD$4:AD398))</f>
        <v>#N/A</v>
      </c>
      <c r="AF398" s="315" t="e">
        <f>IF($J398="",#N/A,SUM(AD$4:AD398,AB$4:AB398,Z$4:Z398))</f>
        <v>#N/A</v>
      </c>
      <c r="AG398" s="304" t="str">
        <f t="shared" si="681"/>
        <v/>
      </c>
      <c r="AH398" s="313" t="e">
        <f>IF($J398="",#N/A,SUM(AG$4:AG398))</f>
        <v>#N/A</v>
      </c>
      <c r="AI398" s="314" t="str">
        <f t="shared" si="682"/>
        <v/>
      </c>
      <c r="AJ398" s="314" t="e">
        <f>IF($J398="",#N/A,SUM(AI$4:AI398))</f>
        <v>#N/A</v>
      </c>
      <c r="AK398" s="315" t="str">
        <f t="shared" si="683"/>
        <v/>
      </c>
      <c r="AL398" s="315" t="e">
        <f>IF($J398="",#N/A,SUM(AK$4:AK398))</f>
        <v>#N/A</v>
      </c>
      <c r="AM398" s="315" t="e">
        <f>IF($J398="",#N/A,SUM(AK$4:AK398,AI$4:AI398,AG$4:AG398))</f>
        <v>#N/A</v>
      </c>
      <c r="AN398" s="304" t="str">
        <f t="shared" si="684"/>
        <v/>
      </c>
      <c r="AO398" s="313" t="e">
        <f>IF($J398="",#N/A,SUM(AN$4:AN398))</f>
        <v>#N/A</v>
      </c>
      <c r="AP398" s="314" t="str">
        <f t="shared" si="685"/>
        <v/>
      </c>
      <c r="AQ398" s="314" t="e">
        <f>IF($J398="",#N/A,SUM(AP$4:AP398))</f>
        <v>#N/A</v>
      </c>
      <c r="AR398" s="315" t="str">
        <f t="shared" si="686"/>
        <v/>
      </c>
      <c r="AS398" s="315" t="e">
        <f>IF($J398="",#N/A,SUM(AR$4:AR398))</f>
        <v>#N/A</v>
      </c>
      <c r="AT398" s="315" t="e">
        <f>IF($J398="",#N/A,SUM(AR$4:AR398,AP$4:AP398,AN$4:AN398))</f>
        <v>#N/A</v>
      </c>
      <c r="AU398" s="304" t="str">
        <f t="shared" si="687"/>
        <v/>
      </c>
      <c r="AV398" s="313" t="e">
        <f>IF($J398="",#N/A,SUM(AU$4:AU398))</f>
        <v>#N/A</v>
      </c>
      <c r="AW398" s="314" t="str">
        <f t="shared" si="688"/>
        <v/>
      </c>
      <c r="AX398" s="314" t="e">
        <f>IF($J398="",#N/A,SUM(AW$4:AW398))</f>
        <v>#N/A</v>
      </c>
      <c r="AY398" s="315" t="str">
        <f t="shared" si="689"/>
        <v/>
      </c>
      <c r="AZ398" s="315" t="e">
        <f>IF($J398="",#N/A,SUM(AY$4:AY398))</f>
        <v>#N/A</v>
      </c>
      <c r="BA398" s="315" t="e">
        <f>IF($J398="",#N/A,SUM(AY$4:AY398,AW$4:AW398,AU$4:AU398))</f>
        <v>#N/A</v>
      </c>
      <c r="BB398" s="304" t="str">
        <f t="shared" si="690"/>
        <v/>
      </c>
      <c r="BC398" s="313" t="e">
        <f>IF($J398="",#N/A,SUM(BB$4:BB398))</f>
        <v>#N/A</v>
      </c>
      <c r="BD398" s="314" t="str">
        <f t="shared" si="691"/>
        <v/>
      </c>
      <c r="BE398" s="314" t="e">
        <f>IF($J398="",#N/A,SUM(BD$4:BD398))</f>
        <v>#N/A</v>
      </c>
      <c r="BF398" s="315" t="str">
        <f t="shared" si="692"/>
        <v/>
      </c>
      <c r="BG398" s="315" t="e">
        <f>IF($J398="",#N/A,SUM(BF$4:BF398))</f>
        <v>#N/A</v>
      </c>
      <c r="BH398" s="315" t="e">
        <f>IF($J398="",#N/A,SUM(BF$4:BF398,BD$4:BD398,BB$4:BB398))</f>
        <v>#N/A</v>
      </c>
      <c r="BI398" s="304" t="str">
        <f t="shared" si="693"/>
        <v/>
      </c>
      <c r="BJ398" s="313" t="e">
        <f>IF($J398="",#N/A,SUM(BI$4:BI398))</f>
        <v>#N/A</v>
      </c>
      <c r="BK398" s="314">
        <f t="shared" si="694"/>
        <v>-0.26997217969611631</v>
      </c>
      <c r="BL398" s="314" t="e">
        <f>IF($J398="",#N/A,SUM(BK$4:BK398))</f>
        <v>#N/A</v>
      </c>
      <c r="BM398" s="315" t="str">
        <f t="shared" si="695"/>
        <v/>
      </c>
      <c r="BN398" s="315" t="e">
        <f>IF($J398="",#N/A,SUM(BM$4:BM398))</f>
        <v>#N/A</v>
      </c>
      <c r="BO398" s="315" t="e">
        <f>IF($J398="",#N/A,SUM(BM$4:BM398,BK$4:BK398,BI$4:BI398))</f>
        <v>#N/A</v>
      </c>
      <c r="BP398" s="304" t="str">
        <f t="shared" si="696"/>
        <v/>
      </c>
      <c r="BQ398" s="313" t="e">
        <f>IF($J398="",#N/A,SUM(BP$4:BP398))</f>
        <v>#N/A</v>
      </c>
      <c r="BR398" s="314" t="str">
        <f t="shared" si="697"/>
        <v/>
      </c>
      <c r="BS398" s="314" t="e">
        <f>IF($J398="",#N/A,SUM(BR$4:BR398))</f>
        <v>#N/A</v>
      </c>
      <c r="BT398" s="315" t="str">
        <f t="shared" si="698"/>
        <v/>
      </c>
      <c r="BU398" s="315" t="e">
        <f>IF($J398="",#N/A,SUM(BT$4:BT398))</f>
        <v>#N/A</v>
      </c>
      <c r="BV398" s="315" t="e">
        <f>IF($J398="",#N/A,SUM(BT$4:BT398,BR$4:BR398,BP$4:BP398))</f>
        <v>#N/A</v>
      </c>
      <c r="BW398" s="304" t="str">
        <f t="shared" si="699"/>
        <v/>
      </c>
      <c r="BX398" s="313" t="e">
        <f>IF($J398="",#N/A,SUM(BW$4:BW398))</f>
        <v>#N/A</v>
      </c>
      <c r="BY398" s="314" t="str">
        <f t="shared" si="700"/>
        <v/>
      </c>
      <c r="BZ398" s="314" t="e">
        <f>IF($J398="",#N/A,SUM(BY$4:BY398))</f>
        <v>#N/A</v>
      </c>
      <c r="CA398" s="315" t="str">
        <f t="shared" si="701"/>
        <v/>
      </c>
      <c r="CB398" s="315" t="e">
        <f>IF($J398="",#N/A,SUM(CA$4:CA398))</f>
        <v>#N/A</v>
      </c>
      <c r="CC398" s="315" t="e">
        <f>IF($J398="",#N/A,SUM(CA$4:CA398,BY$4:BY398,BW$4:BW398))</f>
        <v>#N/A</v>
      </c>
      <c r="CD398" s="304" t="str">
        <f t="shared" si="702"/>
        <v/>
      </c>
      <c r="CE398" s="313" t="e">
        <f>IF($J398="",#N/A,SUM(CD$4:CD398))</f>
        <v>#N/A</v>
      </c>
      <c r="CF398" s="314" t="str">
        <f t="shared" si="703"/>
        <v/>
      </c>
      <c r="CG398" s="314" t="e">
        <f>IF($J398="",#N/A,SUM(CF$4:CF398))</f>
        <v>#N/A</v>
      </c>
      <c r="CH398" s="315" t="str">
        <f t="shared" si="704"/>
        <v/>
      </c>
      <c r="CI398" s="315" t="e">
        <f>IF($J398="",#N/A,SUM(CH$4:CH398))</f>
        <v>#N/A</v>
      </c>
      <c r="CJ398" s="315" t="e">
        <f>IF($J398="",#N/A,SUM(CH$4:CH398,CF$4:CF398,CD$4:CD398))</f>
        <v>#N/A</v>
      </c>
      <c r="CK398" s="304" t="str">
        <f t="shared" si="705"/>
        <v/>
      </c>
      <c r="CL398" s="313" t="e">
        <f>IF($J398="",#N/A,SUM(CK$4:CK398))</f>
        <v>#N/A</v>
      </c>
      <c r="CM398" s="314" t="str">
        <f t="shared" si="706"/>
        <v/>
      </c>
      <c r="CN398" s="314" t="e">
        <f>IF($J398="",#N/A,SUM(CM$4:CM398))</f>
        <v>#N/A</v>
      </c>
      <c r="CO398" s="315" t="str">
        <f t="shared" si="707"/>
        <v/>
      </c>
      <c r="CP398" s="315" t="e">
        <f>IF($J398="",#N/A,SUM(CO$4:CO398))</f>
        <v>#N/A</v>
      </c>
      <c r="CQ398" s="315" t="e">
        <f>IF($J398="",#N/A,SUM(CO$4:CO398,CM$4:CM398,CK$4:CK398))</f>
        <v>#N/A</v>
      </c>
      <c r="CR398" s="304" t="str">
        <f t="shared" si="708"/>
        <v/>
      </c>
      <c r="CS398" s="313" t="e">
        <f>IF($J398="",#N/A,SUM(CR$4:CR398))</f>
        <v>#N/A</v>
      </c>
      <c r="CT398" s="314" t="str">
        <f t="shared" si="709"/>
        <v/>
      </c>
      <c r="CU398" s="314" t="e">
        <f>IF($J398="",#N/A,SUM(CT$4:CT398))</f>
        <v>#N/A</v>
      </c>
      <c r="CV398" s="315" t="str">
        <f t="shared" si="710"/>
        <v/>
      </c>
      <c r="CW398" s="315" t="e">
        <f>IF($J398="",#N/A,SUM(CV$4:CV398))</f>
        <v>#N/A</v>
      </c>
      <c r="CX398" s="315" t="e">
        <f>IF($J398="",#N/A,SUM(CV$4:CV398,CT$4:CT398,CR$4:CR398))</f>
        <v>#N/A</v>
      </c>
      <c r="CY398" s="304" t="str">
        <f t="shared" si="711"/>
        <v/>
      </c>
      <c r="CZ398" s="313" t="e">
        <f>IF($J398="",#N/A,SUM(CY$4:CY398))</f>
        <v>#N/A</v>
      </c>
      <c r="DA398" s="314" t="str">
        <f t="shared" si="712"/>
        <v/>
      </c>
      <c r="DB398" s="314" t="e">
        <f>IF($J398="",#N/A,SUM(DA$4:DA398))</f>
        <v>#N/A</v>
      </c>
      <c r="DC398" s="315" t="str">
        <f t="shared" si="713"/>
        <v/>
      </c>
      <c r="DD398" s="315" t="e">
        <f>IF($J398="",#N/A,SUM(DC$4:DC398))</f>
        <v>#N/A</v>
      </c>
      <c r="DE398" s="315" t="e">
        <f>IF($J398="",#N/A,SUM(DC$4:DC398,DA$4:DA398,CY$4:CY398))</f>
        <v>#N/A</v>
      </c>
      <c r="DF398" s="304" t="str">
        <f t="shared" si="714"/>
        <v/>
      </c>
      <c r="DG398" s="313" t="e">
        <f>IF($J398="",#N/A,SUM(DF$4:DF398))</f>
        <v>#N/A</v>
      </c>
      <c r="DH398" s="314" t="str">
        <f t="shared" si="715"/>
        <v/>
      </c>
      <c r="DI398" s="314" t="e">
        <f>IF($J398="",#N/A,SUM(DH$4:DH398))</f>
        <v>#N/A</v>
      </c>
      <c r="DJ398" s="315" t="str">
        <f t="shared" si="716"/>
        <v/>
      </c>
      <c r="DK398" s="315" t="e">
        <f>IF($J398="",#N/A,SUM(DJ$4:DJ398))</f>
        <v>#N/A</v>
      </c>
      <c r="DL398" s="315" t="e">
        <f>IF($J398="",#N/A,SUM(DJ$4:DJ398,DH$4:DH398,DF$4:DF398))</f>
        <v>#N/A</v>
      </c>
      <c r="DM398" s="304" t="str">
        <f t="shared" si="717"/>
        <v/>
      </c>
      <c r="DN398" s="313" t="e">
        <f>IF($J398="",#N/A,SUM(DM$4:DM398))</f>
        <v>#N/A</v>
      </c>
      <c r="DO398" s="314" t="str">
        <f t="shared" si="718"/>
        <v/>
      </c>
      <c r="DP398" s="314" t="e">
        <f>IF($J398="",#N/A,SUM(DO$4:DO398))</f>
        <v>#N/A</v>
      </c>
      <c r="DQ398" s="315" t="str">
        <f t="shared" si="719"/>
        <v/>
      </c>
      <c r="DR398" s="315" t="e">
        <f>IF($J398="",#N/A,SUM(DQ$4:DQ398))</f>
        <v>#N/A</v>
      </c>
      <c r="DS398" s="315" t="e">
        <f>IF($J398="",#N/A,SUM(DQ$4:DQ398,DO$4:DO398,DM$4:DM398))</f>
        <v>#N/A</v>
      </c>
      <c r="DT398" s="304" t="str">
        <f t="shared" si="720"/>
        <v/>
      </c>
      <c r="DU398" s="313" t="e">
        <f>IF($J398="",#N/A,SUM(DT$4:DT398))</f>
        <v>#N/A</v>
      </c>
      <c r="DV398" s="314" t="str">
        <f t="shared" si="721"/>
        <v/>
      </c>
      <c r="DW398" s="314" t="e">
        <f>IF($J398="",#N/A,SUM(DV$4:DV398))</f>
        <v>#N/A</v>
      </c>
      <c r="DX398" s="315" t="str">
        <f t="shared" si="722"/>
        <v/>
      </c>
      <c r="DY398" s="315" t="e">
        <f>IF($J398="",#N/A,SUM(DX$4:DX398))</f>
        <v>#N/A</v>
      </c>
      <c r="DZ398" s="315" t="e">
        <f>IF($J398="",#N/A,SUM(DX$4:DX398,DV$4:DV398,DT$4:DT398))</f>
        <v>#N/A</v>
      </c>
      <c r="EA398" s="304" t="str">
        <f t="shared" si="723"/>
        <v/>
      </c>
      <c r="EB398" s="313" t="e">
        <f>IF($J398="",#N/A,SUM(EA$4:EA398))</f>
        <v>#N/A</v>
      </c>
      <c r="EC398" s="314" t="str">
        <f t="shared" si="724"/>
        <v/>
      </c>
      <c r="ED398" s="314" t="e">
        <f>IF($J398="",#N/A,SUM(EC$4:EC398))</f>
        <v>#N/A</v>
      </c>
      <c r="EE398" s="315" t="str">
        <f t="shared" si="725"/>
        <v/>
      </c>
      <c r="EF398" s="315" t="e">
        <f>IF($J398="",#N/A,SUM(EE$4:EE398))</f>
        <v>#N/A</v>
      </c>
      <c r="EG398" s="315" t="e">
        <f>IF($J398="",#N/A,SUM(EE$4:EE398,EC$4:EC398,EA$4:EA398))</f>
        <v>#N/A</v>
      </c>
      <c r="EH398" s="130">
        <f t="shared" si="726"/>
        <v>-26.727245789915514</v>
      </c>
      <c r="EI398" s="63">
        <f>IF(EH398="",#N/A,SUM($EH$4:EH398))</f>
        <v>554.3268027996296</v>
      </c>
      <c r="EJ398" s="223" t="e">
        <f t="shared" si="727"/>
        <v>#N/A</v>
      </c>
      <c r="EK398" s="63" t="e">
        <f>IF($GZ398="",#N/A,SUM(EJ$4:EJ398))</f>
        <v>#N/A</v>
      </c>
      <c r="EL398" s="60">
        <f t="shared" si="757"/>
        <v>-0.26997217969611631</v>
      </c>
      <c r="EM398" s="60">
        <f>IF(EL398="",NA(),SUM($EL$4:EL398))</f>
        <v>19.140978053145986</v>
      </c>
      <c r="EN398" s="60" t="str">
        <f t="shared" si="728"/>
        <v/>
      </c>
      <c r="EO398" s="60" t="e">
        <f>IF(EN398="",NA(),SUM($EN$4:EN398))</f>
        <v>#N/A</v>
      </c>
      <c r="EP398" s="60" t="str">
        <f t="shared" si="729"/>
        <v/>
      </c>
      <c r="EQ398" s="60" t="e">
        <f>IF(EP398="",NA(),SUM($EP$4:EP398))</f>
        <v>#N/A</v>
      </c>
      <c r="ER398" s="60">
        <f t="shared" si="730"/>
        <v>-0.26997217969611631</v>
      </c>
      <c r="ES398" s="60">
        <f>IF(ER398="",NA(),SUM($ER$4:ER398))</f>
        <v>7.9394578927018564</v>
      </c>
      <c r="ET398" s="60" t="str">
        <f t="shared" si="731"/>
        <v/>
      </c>
      <c r="EU398" s="60" t="e">
        <f>IF(ET398="",NA(),SUM($ET$4:ET398))</f>
        <v>#N/A</v>
      </c>
      <c r="EV398" s="60" t="str">
        <f t="shared" si="732"/>
        <v/>
      </c>
      <c r="EW398" s="60" t="e">
        <f>IF(EV398="",NA(),SUM($EV$4:EV398))</f>
        <v>#N/A</v>
      </c>
      <c r="EX398" s="60" t="str">
        <f t="shared" si="733"/>
        <v/>
      </c>
      <c r="EY398" s="60" t="e">
        <f>IF(EX398="",NA(),SUM($EX$4:EX398))</f>
        <v>#N/A</v>
      </c>
      <c r="EZ398" s="60" t="str">
        <f t="shared" si="734"/>
        <v/>
      </c>
      <c r="FA398" s="60" t="e">
        <f>IF(EZ398="",NA(),SUM($EZ$4:EZ398))</f>
        <v>#N/A</v>
      </c>
      <c r="FB398" s="246" t="str">
        <f t="shared" si="758"/>
        <v/>
      </c>
      <c r="FC398" s="246" t="e">
        <f>IF($FB398="",#N/A,SUM(FB$4:$FB398))</f>
        <v>#N/A</v>
      </c>
      <c r="FD398" s="60">
        <f t="shared" si="735"/>
        <v>-0.68028050767939108</v>
      </c>
      <c r="FE398" s="60">
        <f>IF($FD398="",#N/A,SUM($FD$4:FD398))</f>
        <v>1.5164515076237532</v>
      </c>
      <c r="FF398" s="60" t="str">
        <f t="shared" si="736"/>
        <v/>
      </c>
      <c r="FG398" s="60" t="e">
        <f>IF($FF398="",#N/A,SUM($FF$4:FF398))</f>
        <v>#N/A</v>
      </c>
      <c r="FH398" s="60" t="str">
        <f t="shared" si="737"/>
        <v/>
      </c>
      <c r="FI398" s="60" t="e">
        <f>IF($FH398="",#N/A,SUM($FH$4:FH398))</f>
        <v>#N/A</v>
      </c>
      <c r="FJ398" s="60" t="str">
        <f t="shared" si="738"/>
        <v/>
      </c>
      <c r="FK398" s="60" t="e">
        <f>IF($FJ398="",#N/A,SUM($FJ$4:FJ398))</f>
        <v>#N/A</v>
      </c>
      <c r="FL398" s="60" t="str">
        <f t="shared" si="739"/>
        <v/>
      </c>
      <c r="FM398" s="60" t="e">
        <f>IF($FL398="",#N/A,SUM($FL$4:FL398))</f>
        <v>#N/A</v>
      </c>
      <c r="FN398" s="82">
        <f t="shared" si="740"/>
        <v>-0.95025268737550739</v>
      </c>
      <c r="FO398" s="82">
        <f>IF($FN398="",#N/A,SUM(FN$4:$FN398))</f>
        <v>30.793886069076553</v>
      </c>
      <c r="FP398" s="82">
        <f t="shared" si="759"/>
        <v>-0.26997217969611631</v>
      </c>
      <c r="FQ398" s="246">
        <f>IF($EH398="",#N/A,SUM($FP$4:FP398))</f>
        <v>46.582908423233349</v>
      </c>
      <c r="FR398" s="82">
        <f>IFERROR(FQ398/COUNTA($J$4:J398),#N/A)</f>
        <v>0.11793141372970468</v>
      </c>
      <c r="FS398" s="82">
        <f t="shared" si="661"/>
        <v>-0.15154943024801482</v>
      </c>
      <c r="FT398" s="82">
        <f t="shared" si="662"/>
        <v>-0.29673714533807127</v>
      </c>
      <c r="FU398" s="273"/>
      <c r="FV398" s="57" t="str">
        <f t="shared" si="666"/>
        <v>Dwn</v>
      </c>
      <c r="FW398" s="57" t="s">
        <v>2734</v>
      </c>
      <c r="FX398" s="57" t="str">
        <f t="shared" si="741"/>
        <v/>
      </c>
      <c r="FY398" s="57">
        <f t="shared" si="742"/>
        <v>1</v>
      </c>
      <c r="FZ398" s="57" t="str">
        <f t="shared" si="743"/>
        <v/>
      </c>
      <c r="GA398" s="57" t="str">
        <f t="shared" si="744"/>
        <v>Short</v>
      </c>
      <c r="GB398" s="57" t="str">
        <f t="shared" si="745"/>
        <v/>
      </c>
      <c r="GC398" s="57" t="str">
        <f t="shared" si="746"/>
        <v/>
      </c>
      <c r="GD398" s="57" t="str">
        <f t="shared" si="747"/>
        <v/>
      </c>
      <c r="GE398" s="62">
        <f t="shared" si="664"/>
        <v>404.98</v>
      </c>
      <c r="GF398" s="62" t="s">
        <v>2780</v>
      </c>
      <c r="GG398" s="99">
        <f>IF(I398="","",1650/I398)</f>
        <v>4.0742752728529803</v>
      </c>
      <c r="GH398" s="207">
        <f t="shared" si="748"/>
        <v>1650</v>
      </c>
      <c r="GI398" s="99">
        <f>GG398</f>
        <v>4.0742752728529803</v>
      </c>
      <c r="GJ398" s="98">
        <f>J398</f>
        <v>411.54</v>
      </c>
      <c r="GK398" s="63">
        <f t="shared" si="749"/>
        <v>-26.727245789915514</v>
      </c>
      <c r="GL398" s="63">
        <f t="shared" si="665"/>
        <v>-94.075016050175236</v>
      </c>
      <c r="GM398" s="82" t="str">
        <f t="shared" si="750"/>
        <v/>
      </c>
      <c r="GN398" s="82">
        <f>IF($GZ398="",#N/A,SUM(GM$4:GM398))</f>
        <v>0.97726242944979003</v>
      </c>
      <c r="GO398" s="82" t="str">
        <f t="shared" si="751"/>
        <v/>
      </c>
      <c r="GP398" s="82">
        <f>IF($GZ398="",#N/A,SUM(GO$4:GO398))</f>
        <v>3.9893037078761537</v>
      </c>
      <c r="GQ398" s="82">
        <f t="shared" si="752"/>
        <v>-0.95025268737550739</v>
      </c>
      <c r="GR398" s="82">
        <f>IF($GZ398="",#N/A,SUM(GQ$4:GQ398))</f>
        <v>25.20148297730827</v>
      </c>
      <c r="GS398" s="63" t="str">
        <f t="shared" si="760"/>
        <v/>
      </c>
      <c r="GT398" s="63" t="e">
        <f>IF($GZ398="",#N/A,SUM(GS$4:GS398))</f>
        <v>#N/A</v>
      </c>
      <c r="GU398" s="63" t="str">
        <f t="shared" si="761"/>
        <v/>
      </c>
      <c r="GV398" s="63" t="e">
        <f>IF($GZ398="",#N/A,SUM(GU$4:GU398))</f>
        <v>#N/A</v>
      </c>
      <c r="GW398" s="63" t="e">
        <f t="shared" si="762"/>
        <v>#N/A</v>
      </c>
      <c r="GX398" s="63" t="e">
        <f>IF($GZ398="",#N/A,SUM(GW$4:GW398))</f>
        <v>#N/A</v>
      </c>
      <c r="GY398" s="63" t="e">
        <f>IF(EJ398="",#N/A,SUM($EJ$4:EJ398))</f>
        <v>#N/A</v>
      </c>
      <c r="GZ398" s="159">
        <v>428.07</v>
      </c>
      <c r="HA398" s="63">
        <f t="shared" si="753"/>
        <v>-67.347770260259722</v>
      </c>
      <c r="HB398" s="62" t="s">
        <v>4970</v>
      </c>
      <c r="HC398" s="60">
        <f>IFERROR(VLOOKUP(E398,Expectancy!$P$4:$S$19,1+C398,FALSE),"")</f>
        <v>-0.57605218740440378</v>
      </c>
      <c r="HD398" s="99" t="str">
        <f t="shared" si="754"/>
        <v/>
      </c>
      <c r="HE398" s="500" t="e">
        <f>IF(HD398="",#N/A,SUM($HD$4:HD398))</f>
        <v>#N/A</v>
      </c>
      <c r="HF398" s="501" t="e">
        <f>IF(HD398="",#N/A,IF(HB398="Skip",#N/A,SUM($HG$4:HG398)))</f>
        <v>#N/A</v>
      </c>
      <c r="HG398" s="502" t="str">
        <f t="shared" si="755"/>
        <v/>
      </c>
      <c r="HH398" s="82">
        <f t="shared" si="756"/>
        <v>-0.95025268737550739</v>
      </c>
    </row>
    <row r="399" spans="1:216" x14ac:dyDescent="0.25">
      <c r="A399" s="57" t="s">
        <v>694</v>
      </c>
      <c r="B399" s="58" t="str" cm="1">
        <f t="array" ref="B399">IFERROR(_xlfn.XLOOKUP(A399,Earnings!$B$2:$B$9985,LEFT(Earnings!$C$2:$C$9985,37)),"Can't Find Date***")</f>
        <v>on 2/27/25, 4:05 PM After Market East</v>
      </c>
      <c r="C399" s="386">
        <f t="shared" si="667"/>
        <v>1</v>
      </c>
      <c r="D399" s="372" t="str">
        <f>_xlfn.XLOOKUP(A399,[1]SP500!$A$2:$A$502,[1]SP500!$D$2:$D$502,"N")</f>
        <v>Y</v>
      </c>
      <c r="E399" s="57" t="str">
        <f>_xlfn.XLOOKUP(A399,[1]SP500!$A$2:$A$655,[1]SP500!$B$2:$B$655)</f>
        <v>XLV</v>
      </c>
      <c r="F399" s="59">
        <v>45715</v>
      </c>
      <c r="G399" s="57" t="str">
        <f t="shared" si="668"/>
        <v>AMC</v>
      </c>
      <c r="H399" s="57" t="str">
        <f t="shared" si="669"/>
        <v>o</v>
      </c>
      <c r="I399" s="159">
        <v>83.44</v>
      </c>
      <c r="J399" s="159">
        <v>80.95</v>
      </c>
      <c r="K399" s="61">
        <f t="shared" si="670"/>
        <v>-2.9841802492809145E-2</v>
      </c>
      <c r="L399" s="87">
        <f t="shared" si="671"/>
        <v>-49.2389741131351</v>
      </c>
      <c r="M399" s="210" t="e">
        <f t="shared" si="663"/>
        <v>#N/A</v>
      </c>
      <c r="N399" s="169">
        <f t="shared" si="672"/>
        <v>-49.2389741131351</v>
      </c>
      <c r="O399" s="169">
        <f>IF($J399="",#N/A,SUM($N$4:N399))</f>
        <v>-344.89225475891067</v>
      </c>
      <c r="P399" s="174" t="str">
        <f t="shared" si="673"/>
        <v/>
      </c>
      <c r="Q399" s="174">
        <f>IF($J399="",#N/A,SUM($P$4:P399))</f>
        <v>116.97774645512766</v>
      </c>
      <c r="R399" s="178" t="str">
        <f t="shared" si="674"/>
        <v/>
      </c>
      <c r="S399" s="178">
        <f>IF($J399="",#N/A,SUM($R$4:R399))</f>
        <v>733.0023369902774</v>
      </c>
      <c r="T399" s="290">
        <f t="shared" si="675"/>
        <v>-0.49736337488015253</v>
      </c>
      <c r="U399" s="290">
        <f>IF($J399="",#N/A,SUM($T$4:T399))</f>
        <v>10.01739856757891</v>
      </c>
      <c r="V399" s="291" t="str">
        <f t="shared" si="676"/>
        <v/>
      </c>
      <c r="W399" s="291">
        <f>IF($J399="",#N/A,SUM($V$4:V399))</f>
        <v>20.719269876983365</v>
      </c>
      <c r="X399" s="292" t="str">
        <f t="shared" si="677"/>
        <v/>
      </c>
      <c r="Y399" s="292">
        <f>IF($J399="",#N/A,SUM($X$4:X399))</f>
        <v>15.348876603790954</v>
      </c>
      <c r="Z399" s="304" t="str">
        <f t="shared" si="678"/>
        <v/>
      </c>
      <c r="AA399" s="313" t="e">
        <f>IF($J399="",#N/A,SUM(Z$4:Z399))</f>
        <v>#N/A</v>
      </c>
      <c r="AB399" s="314" t="str">
        <f t="shared" si="679"/>
        <v/>
      </c>
      <c r="AC399" s="314" t="e">
        <f>IF($J399="",#N/A,SUM(AB$4:AB399))</f>
        <v>#N/A</v>
      </c>
      <c r="AD399" s="315" t="str">
        <f t="shared" si="680"/>
        <v/>
      </c>
      <c r="AE399" s="315" t="e">
        <f>IF($J399="",#N/A,SUM(AD$4:AD399))</f>
        <v>#N/A</v>
      </c>
      <c r="AF399" s="315" t="e">
        <f>IF($J399="",#N/A,SUM(AD$4:AD399,AB$4:AB399,Z$4:Z399))</f>
        <v>#N/A</v>
      </c>
      <c r="AG399" s="304" t="str">
        <f t="shared" si="681"/>
        <v/>
      </c>
      <c r="AH399" s="313" t="e">
        <f>IF($J399="",#N/A,SUM(AG$4:AG399))</f>
        <v>#N/A</v>
      </c>
      <c r="AI399" s="314" t="str">
        <f t="shared" si="682"/>
        <v/>
      </c>
      <c r="AJ399" s="314" t="e">
        <f>IF($J399="",#N/A,SUM(AI$4:AI399))</f>
        <v>#N/A</v>
      </c>
      <c r="AK399" s="315" t="str">
        <f t="shared" si="683"/>
        <v/>
      </c>
      <c r="AL399" s="315" t="e">
        <f>IF($J399="",#N/A,SUM(AK$4:AK399))</f>
        <v>#N/A</v>
      </c>
      <c r="AM399" s="315" t="e">
        <f>IF($J399="",#N/A,SUM(AK$4:AK399,AI$4:AI399,AG$4:AG399))</f>
        <v>#N/A</v>
      </c>
      <c r="AN399" s="304" t="str">
        <f t="shared" si="684"/>
        <v/>
      </c>
      <c r="AO399" s="313" t="e">
        <f>IF($J399="",#N/A,SUM(AN$4:AN399))</f>
        <v>#N/A</v>
      </c>
      <c r="AP399" s="314" t="str">
        <f t="shared" si="685"/>
        <v/>
      </c>
      <c r="AQ399" s="314" t="e">
        <f>IF($J399="",#N/A,SUM(AP$4:AP399))</f>
        <v>#N/A</v>
      </c>
      <c r="AR399" s="315" t="str">
        <f t="shared" si="686"/>
        <v/>
      </c>
      <c r="AS399" s="315" t="e">
        <f>IF($J399="",#N/A,SUM(AR$4:AR399))</f>
        <v>#N/A</v>
      </c>
      <c r="AT399" s="315" t="e">
        <f>IF($J399="",#N/A,SUM(AR$4:AR399,AP$4:AP399,AN$4:AN399))</f>
        <v>#N/A</v>
      </c>
      <c r="AU399" s="304" t="str">
        <f t="shared" si="687"/>
        <v/>
      </c>
      <c r="AV399" s="313" t="e">
        <f>IF($J399="",#N/A,SUM(AU$4:AU399))</f>
        <v>#N/A</v>
      </c>
      <c r="AW399" s="314" t="str">
        <f t="shared" si="688"/>
        <v/>
      </c>
      <c r="AX399" s="314" t="e">
        <f>IF($J399="",#N/A,SUM(AW$4:AW399))</f>
        <v>#N/A</v>
      </c>
      <c r="AY399" s="315" t="str">
        <f t="shared" si="689"/>
        <v/>
      </c>
      <c r="AZ399" s="315" t="e">
        <f>IF($J399="",#N/A,SUM(AY$4:AY399))</f>
        <v>#N/A</v>
      </c>
      <c r="BA399" s="315" t="e">
        <f>IF($J399="",#N/A,SUM(AY$4:AY399,AW$4:AW399,AU$4:AU399))</f>
        <v>#N/A</v>
      </c>
      <c r="BB399" s="304" t="str">
        <f t="shared" si="690"/>
        <v/>
      </c>
      <c r="BC399" s="313" t="e">
        <f>IF($J399="",#N/A,SUM(BB$4:BB399))</f>
        <v>#N/A</v>
      </c>
      <c r="BD399" s="314" t="str">
        <f t="shared" si="691"/>
        <v/>
      </c>
      <c r="BE399" s="314" t="e">
        <f>IF($J399="",#N/A,SUM(BD$4:BD399))</f>
        <v>#N/A</v>
      </c>
      <c r="BF399" s="315" t="str">
        <f t="shared" si="692"/>
        <v/>
      </c>
      <c r="BG399" s="315" t="e">
        <f>IF($J399="",#N/A,SUM(BF$4:BF399))</f>
        <v>#N/A</v>
      </c>
      <c r="BH399" s="315" t="e">
        <f>IF($J399="",#N/A,SUM(BF$4:BF399,BD$4:BD399,BB$4:BB399))</f>
        <v>#N/A</v>
      </c>
      <c r="BI399" s="304" t="str">
        <f t="shared" si="693"/>
        <v/>
      </c>
      <c r="BJ399" s="313" t="e">
        <f>IF($J399="",#N/A,SUM(BI$4:BI399))</f>
        <v>#N/A</v>
      </c>
      <c r="BK399" s="314" t="str">
        <f t="shared" si="694"/>
        <v/>
      </c>
      <c r="BL399" s="314" t="e">
        <f>IF($J399="",#N/A,SUM(BK$4:BK399))</f>
        <v>#N/A</v>
      </c>
      <c r="BM399" s="315" t="str">
        <f t="shared" si="695"/>
        <v/>
      </c>
      <c r="BN399" s="315" t="e">
        <f>IF($J399="",#N/A,SUM(BM$4:BM399))</f>
        <v>#N/A</v>
      </c>
      <c r="BO399" s="315" t="e">
        <f>IF($J399="",#N/A,SUM(BM$4:BM399,BK$4:BK399,BI$4:BI399))</f>
        <v>#N/A</v>
      </c>
      <c r="BP399" s="304" t="str">
        <f t="shared" si="696"/>
        <v/>
      </c>
      <c r="BQ399" s="313" t="e">
        <f>IF($J399="",#N/A,SUM(BP$4:BP399))</f>
        <v>#N/A</v>
      </c>
      <c r="BR399" s="314" t="str">
        <f t="shared" si="697"/>
        <v/>
      </c>
      <c r="BS399" s="314" t="e">
        <f>IF($J399="",#N/A,SUM(BR$4:BR399))</f>
        <v>#N/A</v>
      </c>
      <c r="BT399" s="315" t="str">
        <f t="shared" si="698"/>
        <v/>
      </c>
      <c r="BU399" s="315" t="e">
        <f>IF($J399="",#N/A,SUM(BT$4:BT399))</f>
        <v>#N/A</v>
      </c>
      <c r="BV399" s="315" t="e">
        <f>IF($J399="",#N/A,SUM(BT$4:BT399,BR$4:BR399,BP$4:BP399))</f>
        <v>#N/A</v>
      </c>
      <c r="BW399" s="304">
        <f t="shared" si="699"/>
        <v>-0.49736337488015253</v>
      </c>
      <c r="BX399" s="313" t="e">
        <f>IF($J399="",#N/A,SUM(BW$4:BW399))</f>
        <v>#N/A</v>
      </c>
      <c r="BY399" s="314" t="str">
        <f t="shared" si="700"/>
        <v/>
      </c>
      <c r="BZ399" s="314" t="e">
        <f>IF($J399="",#N/A,SUM(BY$4:BY399))</f>
        <v>#N/A</v>
      </c>
      <c r="CA399" s="315" t="str">
        <f t="shared" si="701"/>
        <v/>
      </c>
      <c r="CB399" s="315" t="e">
        <f>IF($J399="",#N/A,SUM(CA$4:CA399))</f>
        <v>#N/A</v>
      </c>
      <c r="CC399" s="315" t="e">
        <f>IF($J399="",#N/A,SUM(CA$4:CA399,BY$4:BY399,BW$4:BW399))</f>
        <v>#N/A</v>
      </c>
      <c r="CD399" s="304" t="str">
        <f t="shared" si="702"/>
        <v/>
      </c>
      <c r="CE399" s="313" t="e">
        <f>IF($J399="",#N/A,SUM(CD$4:CD399))</f>
        <v>#N/A</v>
      </c>
      <c r="CF399" s="314" t="str">
        <f t="shared" si="703"/>
        <v/>
      </c>
      <c r="CG399" s="314" t="e">
        <f>IF($J399="",#N/A,SUM(CF$4:CF399))</f>
        <v>#N/A</v>
      </c>
      <c r="CH399" s="315" t="str">
        <f t="shared" si="704"/>
        <v/>
      </c>
      <c r="CI399" s="315" t="e">
        <f>IF($J399="",#N/A,SUM(CH$4:CH399))</f>
        <v>#N/A</v>
      </c>
      <c r="CJ399" s="315" t="e">
        <f>IF($J399="",#N/A,SUM(CH$4:CH399,CF$4:CF399,CD$4:CD399))</f>
        <v>#N/A</v>
      </c>
      <c r="CK399" s="304" t="str">
        <f t="shared" si="705"/>
        <v/>
      </c>
      <c r="CL399" s="313" t="e">
        <f>IF($J399="",#N/A,SUM(CK$4:CK399))</f>
        <v>#N/A</v>
      </c>
      <c r="CM399" s="314" t="str">
        <f t="shared" si="706"/>
        <v/>
      </c>
      <c r="CN399" s="314" t="e">
        <f>IF($J399="",#N/A,SUM(CM$4:CM399))</f>
        <v>#N/A</v>
      </c>
      <c r="CO399" s="315" t="str">
        <f t="shared" si="707"/>
        <v/>
      </c>
      <c r="CP399" s="315" t="e">
        <f>IF($J399="",#N/A,SUM(CO$4:CO399))</f>
        <v>#N/A</v>
      </c>
      <c r="CQ399" s="315" t="e">
        <f>IF($J399="",#N/A,SUM(CO$4:CO399,CM$4:CM399,CK$4:CK399))</f>
        <v>#N/A</v>
      </c>
      <c r="CR399" s="304" t="str">
        <f t="shared" si="708"/>
        <v/>
      </c>
      <c r="CS399" s="313" t="e">
        <f>IF($J399="",#N/A,SUM(CR$4:CR399))</f>
        <v>#N/A</v>
      </c>
      <c r="CT399" s="314" t="str">
        <f t="shared" si="709"/>
        <v/>
      </c>
      <c r="CU399" s="314" t="e">
        <f>IF($J399="",#N/A,SUM(CT$4:CT399))</f>
        <v>#N/A</v>
      </c>
      <c r="CV399" s="315" t="str">
        <f t="shared" si="710"/>
        <v/>
      </c>
      <c r="CW399" s="315" t="e">
        <f>IF($J399="",#N/A,SUM(CV$4:CV399))</f>
        <v>#N/A</v>
      </c>
      <c r="CX399" s="315" t="e">
        <f>IF($J399="",#N/A,SUM(CV$4:CV399,CT$4:CT399,CR$4:CR399))</f>
        <v>#N/A</v>
      </c>
      <c r="CY399" s="304" t="str">
        <f t="shared" si="711"/>
        <v/>
      </c>
      <c r="CZ399" s="313" t="e">
        <f>IF($J399="",#N/A,SUM(CY$4:CY399))</f>
        <v>#N/A</v>
      </c>
      <c r="DA399" s="314" t="str">
        <f t="shared" si="712"/>
        <v/>
      </c>
      <c r="DB399" s="314" t="e">
        <f>IF($J399="",#N/A,SUM(DA$4:DA399))</f>
        <v>#N/A</v>
      </c>
      <c r="DC399" s="315" t="str">
        <f t="shared" si="713"/>
        <v/>
      </c>
      <c r="DD399" s="315" t="e">
        <f>IF($J399="",#N/A,SUM(DC$4:DC399))</f>
        <v>#N/A</v>
      </c>
      <c r="DE399" s="315" t="e">
        <f>IF($J399="",#N/A,SUM(DC$4:DC399,DA$4:DA399,CY$4:CY399))</f>
        <v>#N/A</v>
      </c>
      <c r="DF399" s="304" t="str">
        <f t="shared" si="714"/>
        <v/>
      </c>
      <c r="DG399" s="313" t="e">
        <f>IF($J399="",#N/A,SUM(DF$4:DF399))</f>
        <v>#N/A</v>
      </c>
      <c r="DH399" s="314" t="str">
        <f t="shared" si="715"/>
        <v/>
      </c>
      <c r="DI399" s="314" t="e">
        <f>IF($J399="",#N/A,SUM(DH$4:DH399))</f>
        <v>#N/A</v>
      </c>
      <c r="DJ399" s="315" t="str">
        <f t="shared" si="716"/>
        <v/>
      </c>
      <c r="DK399" s="315" t="e">
        <f>IF($J399="",#N/A,SUM(DJ$4:DJ399))</f>
        <v>#N/A</v>
      </c>
      <c r="DL399" s="315" t="e">
        <f>IF($J399="",#N/A,SUM(DJ$4:DJ399,DH$4:DH399,DF$4:DF399))</f>
        <v>#N/A</v>
      </c>
      <c r="DM399" s="304" t="str">
        <f t="shared" si="717"/>
        <v/>
      </c>
      <c r="DN399" s="313" t="e">
        <f>IF($J399="",#N/A,SUM(DM$4:DM399))</f>
        <v>#N/A</v>
      </c>
      <c r="DO399" s="314" t="str">
        <f t="shared" si="718"/>
        <v/>
      </c>
      <c r="DP399" s="314" t="e">
        <f>IF($J399="",#N/A,SUM(DO$4:DO399))</f>
        <v>#N/A</v>
      </c>
      <c r="DQ399" s="315" t="str">
        <f t="shared" si="719"/>
        <v/>
      </c>
      <c r="DR399" s="315" t="e">
        <f>IF($J399="",#N/A,SUM(DQ$4:DQ399))</f>
        <v>#N/A</v>
      </c>
      <c r="DS399" s="315" t="e">
        <f>IF($J399="",#N/A,SUM(DQ$4:DQ399,DO$4:DO399,DM$4:DM399))</f>
        <v>#N/A</v>
      </c>
      <c r="DT399" s="304" t="str">
        <f t="shared" si="720"/>
        <v/>
      </c>
      <c r="DU399" s="313" t="e">
        <f>IF($J399="",#N/A,SUM(DT$4:DT399))</f>
        <v>#N/A</v>
      </c>
      <c r="DV399" s="314" t="str">
        <f t="shared" si="721"/>
        <v/>
      </c>
      <c r="DW399" s="314" t="e">
        <f>IF($J399="",#N/A,SUM(DV$4:DV399))</f>
        <v>#N/A</v>
      </c>
      <c r="DX399" s="315" t="str">
        <f t="shared" si="722"/>
        <v/>
      </c>
      <c r="DY399" s="315" t="e">
        <f>IF($J399="",#N/A,SUM(DX$4:DX399))</f>
        <v>#N/A</v>
      </c>
      <c r="DZ399" s="315" t="e">
        <f>IF($J399="",#N/A,SUM(DX$4:DX399,DV$4:DV399,DT$4:DT399))</f>
        <v>#N/A</v>
      </c>
      <c r="EA399" s="304" t="str">
        <f t="shared" si="723"/>
        <v/>
      </c>
      <c r="EB399" s="313" t="e">
        <f>IF($J399="",#N/A,SUM(EA$4:EA399))</f>
        <v>#N/A</v>
      </c>
      <c r="EC399" s="314" t="str">
        <f t="shared" si="724"/>
        <v/>
      </c>
      <c r="ED399" s="314" t="e">
        <f>IF($J399="",#N/A,SUM(EC$4:EC399))</f>
        <v>#N/A</v>
      </c>
      <c r="EE399" s="315" t="str">
        <f t="shared" si="725"/>
        <v/>
      </c>
      <c r="EF399" s="315" t="e">
        <f>IF($J399="",#N/A,SUM(EE$4:EE399))</f>
        <v>#N/A</v>
      </c>
      <c r="EG399" s="315" t="e">
        <f>IF($J399="",#N/A,SUM(EE$4:EE399,EC$4:EC399,EA$4:EA399))</f>
        <v>#N/A</v>
      </c>
      <c r="EH399" s="130">
        <f t="shared" si="726"/>
        <v>-49.2389741131351</v>
      </c>
      <c r="EI399" s="63">
        <f>IF(EH399="",#N/A,SUM($EH$4:EH399))</f>
        <v>505.0878286864945</v>
      </c>
      <c r="EJ399" s="223" t="e">
        <f t="shared" si="727"/>
        <v>#N/A</v>
      </c>
      <c r="EK399" s="63" t="e">
        <f>IF($GZ399="",#N/A,SUM(EJ$4:EJ399))</f>
        <v>#N/A</v>
      </c>
      <c r="EL399" s="60">
        <f t="shared" si="757"/>
        <v>-0.49736337488015253</v>
      </c>
      <c r="EM399" s="60">
        <f>IF(EL399="",NA(),SUM($EL$4:EL399))</f>
        <v>18.643614678265834</v>
      </c>
      <c r="EN399" s="60">
        <f t="shared" si="728"/>
        <v>-0.49736337488015253</v>
      </c>
      <c r="EO399" s="60">
        <f>IF(EN399="",NA(),SUM($EN$4:EN399))</f>
        <v>4.51729631836288</v>
      </c>
      <c r="EP399" s="60" t="str">
        <f t="shared" si="729"/>
        <v/>
      </c>
      <c r="EQ399" s="60" t="e">
        <f>IF(EP399="",NA(),SUM($EP$4:EP399))</f>
        <v>#N/A</v>
      </c>
      <c r="ER399" s="60" t="str">
        <f t="shared" si="730"/>
        <v/>
      </c>
      <c r="ES399" s="60" t="e">
        <f>IF(ER399="",NA(),SUM($ER$4:ER399))</f>
        <v>#N/A</v>
      </c>
      <c r="ET399" s="60" t="str">
        <f t="shared" si="731"/>
        <v/>
      </c>
      <c r="EU399" s="60" t="e">
        <f>IF(ET399="",NA(),SUM($ET$4:ET399))</f>
        <v>#N/A</v>
      </c>
      <c r="EV399" s="60" t="str">
        <f t="shared" si="732"/>
        <v/>
      </c>
      <c r="EW399" s="60" t="e">
        <f>IF(EV399="",NA(),SUM($EV$4:EV399))</f>
        <v>#N/A</v>
      </c>
      <c r="EX399" s="60" t="str">
        <f t="shared" si="733"/>
        <v/>
      </c>
      <c r="EY399" s="60" t="e">
        <f>IF(EX399="",NA(),SUM($EX$4:EX399))</f>
        <v>#N/A</v>
      </c>
      <c r="EZ399" s="60" t="str">
        <f t="shared" si="734"/>
        <v/>
      </c>
      <c r="FA399" s="60" t="e">
        <f>IF(EZ399="",NA(),SUM($EZ$4:EZ399))</f>
        <v>#N/A</v>
      </c>
      <c r="FB399" s="246" t="str">
        <f t="shared" si="758"/>
        <v/>
      </c>
      <c r="FC399" s="246" t="e">
        <f>IF($FB399="",#N/A,SUM(FB$4:$FB399))</f>
        <v>#N/A</v>
      </c>
      <c r="FD399" s="60" t="str">
        <f t="shared" si="735"/>
        <v/>
      </c>
      <c r="FE399" s="60" t="e">
        <f>IF($FD399="",#N/A,SUM($FD$4:FD399))</f>
        <v>#N/A</v>
      </c>
      <c r="FF399" s="60" t="str">
        <f t="shared" si="736"/>
        <v/>
      </c>
      <c r="FG399" s="60" t="e">
        <f>IF($FF399="",#N/A,SUM($FF$4:FF399))</f>
        <v>#N/A</v>
      </c>
      <c r="FH399" s="60">
        <f t="shared" si="737"/>
        <v>-0.23969319271332606</v>
      </c>
      <c r="FI399" s="60">
        <f>IF($FH399="",#N/A,SUM($FH$4:FH399))</f>
        <v>0.64336445285745736</v>
      </c>
      <c r="FJ399" s="60" t="str">
        <f t="shared" si="738"/>
        <v/>
      </c>
      <c r="FK399" s="60" t="e">
        <f>IF($FJ399="",#N/A,SUM($FJ$4:FJ399))</f>
        <v>#N/A</v>
      </c>
      <c r="FL399" s="60" t="str">
        <f t="shared" si="739"/>
        <v/>
      </c>
      <c r="FM399" s="60" t="e">
        <f>IF($FL399="",#N/A,SUM($FL$4:FL399))</f>
        <v>#N/A</v>
      </c>
      <c r="FN399" s="82">
        <f t="shared" si="740"/>
        <v>-0.7370565675934786</v>
      </c>
      <c r="FO399" s="82">
        <f>IF($FN399="",#N/A,SUM(FN$4:$FN399))</f>
        <v>30.056829501483076</v>
      </c>
      <c r="FP399" s="82">
        <f t="shared" si="759"/>
        <v>-0.49736337488015253</v>
      </c>
      <c r="FQ399" s="246">
        <f>IF($EH399="",#N/A,SUM($FP$4:FP399))</f>
        <v>46.085545048353197</v>
      </c>
      <c r="FR399" s="82">
        <f>IFERROR(FQ399/COUNTA($J$4:J399),#N/A)</f>
        <v>0.11637763901099292</v>
      </c>
      <c r="FS399" s="82">
        <f t="shared" si="661"/>
        <v>-0.17063645799914284</v>
      </c>
      <c r="FT399" s="82">
        <f t="shared" si="662"/>
        <v>-0.33422082095080924</v>
      </c>
      <c r="FU399" s="273"/>
      <c r="FV399" s="57" t="str">
        <f t="shared" si="666"/>
        <v>Up</v>
      </c>
      <c r="FW399" s="57" t="s">
        <v>2734</v>
      </c>
      <c r="FX399" s="57" t="str">
        <f t="shared" si="741"/>
        <v/>
      </c>
      <c r="FY399" s="57" t="str">
        <f t="shared" si="742"/>
        <v/>
      </c>
      <c r="FZ399" s="57" t="str">
        <f t="shared" si="743"/>
        <v/>
      </c>
      <c r="GA399" s="57" t="str">
        <f t="shared" si="744"/>
        <v>Long</v>
      </c>
      <c r="GB399" s="57" t="str">
        <f t="shared" si="745"/>
        <v/>
      </c>
      <c r="GC399" s="57">
        <f t="shared" si="746"/>
        <v>1</v>
      </c>
      <c r="GD399" s="57" t="str">
        <f t="shared" si="747"/>
        <v/>
      </c>
      <c r="GE399" s="62">
        <f t="shared" si="664"/>
        <v>83.44</v>
      </c>
      <c r="GF399" s="62" t="s">
        <v>2779</v>
      </c>
      <c r="GG399" s="99">
        <f>IF(I399="","",1650/I399)</f>
        <v>19.774688398849474</v>
      </c>
      <c r="GH399" s="207">
        <f t="shared" si="748"/>
        <v>1650</v>
      </c>
      <c r="GI399" s="99">
        <f>GG399</f>
        <v>19.774688398849474</v>
      </c>
      <c r="GJ399" s="98">
        <f>J399</f>
        <v>80.95</v>
      </c>
      <c r="GK399" s="63">
        <f t="shared" si="749"/>
        <v>-49.2389741131351</v>
      </c>
      <c r="GL399" s="63">
        <f t="shared" si="665"/>
        <v>-72.968600191754376</v>
      </c>
      <c r="GM399" s="82" t="str">
        <f t="shared" si="750"/>
        <v/>
      </c>
      <c r="GN399" s="82">
        <f>IF($GZ399="",#N/A,SUM(GM$4:GM399))</f>
        <v>0.97726242944979003</v>
      </c>
      <c r="GO399" s="82">
        <f t="shared" si="751"/>
        <v>-0.7370565675934786</v>
      </c>
      <c r="GP399" s="82">
        <f>IF($GZ399="",#N/A,SUM(GO$4:GO399))</f>
        <v>3.2522471402826749</v>
      </c>
      <c r="GQ399" s="82" t="str">
        <f t="shared" si="752"/>
        <v/>
      </c>
      <c r="GR399" s="82">
        <f>IF($GZ399="",#N/A,SUM(GQ$4:GQ399))</f>
        <v>25.20148297730827</v>
      </c>
      <c r="GS399" s="63" t="str">
        <f t="shared" si="760"/>
        <v/>
      </c>
      <c r="GT399" s="63" t="e">
        <f>IF($GZ399="",#N/A,SUM(GS$4:GS399))</f>
        <v>#N/A</v>
      </c>
      <c r="GU399" s="63" t="e">
        <f t="shared" si="761"/>
        <v>#N/A</v>
      </c>
      <c r="GV399" s="63" t="e">
        <f>IF($GZ399="",#N/A,SUM(GU$4:GU399))</f>
        <v>#N/A</v>
      </c>
      <c r="GW399" s="63" t="str">
        <f t="shared" si="762"/>
        <v/>
      </c>
      <c r="GX399" s="63" t="e">
        <f>IF($GZ399="",#N/A,SUM(GW$4:GW399))</f>
        <v>#N/A</v>
      </c>
      <c r="GY399" s="63" t="e">
        <f>IF(EJ399="",#N/A,SUM($EJ$4:EJ399))</f>
        <v>#N/A</v>
      </c>
      <c r="GZ399" s="159">
        <v>79.75</v>
      </c>
      <c r="HA399" s="63">
        <f t="shared" si="753"/>
        <v>-23.729626078619276</v>
      </c>
      <c r="HB399" s="62" t="s">
        <v>4970</v>
      </c>
      <c r="HC399" s="60">
        <f>IFERROR(VLOOKUP(E399,Expectancy!$P$4:$S$19,1+C399,FALSE),"")</f>
        <v>-0.45514116799985843</v>
      </c>
      <c r="HD399" s="99" t="str">
        <f t="shared" si="754"/>
        <v/>
      </c>
      <c r="HE399" s="500" t="e">
        <f>IF(HD399="",#N/A,SUM($HD$4:HD399))</f>
        <v>#N/A</v>
      </c>
      <c r="HF399" s="501" t="e">
        <f>IF(HD399="",#N/A,IF(HB399="Skip",#N/A,SUM($HG$4:HG399)))</f>
        <v>#N/A</v>
      </c>
      <c r="HG399" s="502" t="str">
        <f t="shared" si="755"/>
        <v/>
      </c>
      <c r="HH399" s="82">
        <f t="shared" si="756"/>
        <v>-0.7370565675934786</v>
      </c>
    </row>
    <row r="400" spans="1:216" x14ac:dyDescent="0.25">
      <c r="A400" s="57" t="s">
        <v>3540</v>
      </c>
      <c r="B400" s="58" t="str" cm="1">
        <f t="array" ref="B400">IFERROR(_xlfn.XLOOKUP(A400,Earnings!$B$2:$B$9985,LEFT(Earnings!$C$2:$C$9985,37)),"Can't Find Date***")</f>
        <v>on 2/27/25, 4:05 PM After Market East</v>
      </c>
      <c r="C400" s="386">
        <f t="shared" si="667"/>
        <v>3</v>
      </c>
      <c r="D400" s="372" t="str">
        <f>_xlfn.XLOOKUP(A400,[1]SP500!$A$2:$A$502,[1]SP500!$D$2:$D$502,"N")</f>
        <v>N</v>
      </c>
      <c r="E400" s="57" t="str">
        <f>_xlfn.XLOOKUP(A400,[1]SP500!$A$2:$A$655,[1]SP500!$B$2:$B$655)</f>
        <v>IGV</v>
      </c>
      <c r="F400" s="59">
        <v>45715</v>
      </c>
      <c r="G400" s="57" t="str">
        <f t="shared" si="668"/>
        <v>AMC</v>
      </c>
      <c r="H400" s="57" t="str">
        <f t="shared" si="669"/>
        <v>s</v>
      </c>
      <c r="I400" s="159">
        <v>101.28</v>
      </c>
      <c r="J400" s="158">
        <v>113</v>
      </c>
      <c r="K400" s="61">
        <f t="shared" si="670"/>
        <v>0.11571879936808846</v>
      </c>
      <c r="L400" s="87">
        <f t="shared" si="671"/>
        <v>187.51999999999998</v>
      </c>
      <c r="M400" s="130">
        <f t="shared" si="663"/>
        <v>-16</v>
      </c>
      <c r="N400" s="169" t="str">
        <f t="shared" si="672"/>
        <v/>
      </c>
      <c r="O400" s="169">
        <f>IF($J400="",#N/A,SUM($N$4:N400))</f>
        <v>-344.89225475891067</v>
      </c>
      <c r="P400" s="174" t="str">
        <f t="shared" si="673"/>
        <v/>
      </c>
      <c r="Q400" s="174">
        <f>IF($J400="",#N/A,SUM($P$4:P400))</f>
        <v>116.97774645512766</v>
      </c>
      <c r="R400" s="178">
        <f t="shared" si="674"/>
        <v>187.51999999999998</v>
      </c>
      <c r="S400" s="178">
        <f>IF($J400="",#N/A,SUM($R$4:R400))</f>
        <v>920.52233699027738</v>
      </c>
      <c r="T400" s="290" t="str">
        <f t="shared" si="675"/>
        <v/>
      </c>
      <c r="U400" s="290">
        <f>IF($J400="",#N/A,SUM($T$4:T400))</f>
        <v>10.01739856757891</v>
      </c>
      <c r="V400" s="291" t="str">
        <f t="shared" si="676"/>
        <v/>
      </c>
      <c r="W400" s="291">
        <f>IF($J400="",#N/A,SUM($V$4:V400))</f>
        <v>20.719269876983365</v>
      </c>
      <c r="X400" s="292">
        <f t="shared" si="677"/>
        <v>1.9286466561348077</v>
      </c>
      <c r="Y400" s="292">
        <f>IF($J400="",#N/A,SUM($X$4:X400))</f>
        <v>17.277523259925761</v>
      </c>
      <c r="Z400" s="304" t="str">
        <f t="shared" si="678"/>
        <v/>
      </c>
      <c r="AA400" s="313" t="e">
        <f>IF($J400="",#N/A,SUM(Z$4:Z400))</f>
        <v>#N/A</v>
      </c>
      <c r="AB400" s="314" t="str">
        <f t="shared" si="679"/>
        <v/>
      </c>
      <c r="AC400" s="314" t="e">
        <f>IF($J400="",#N/A,SUM(AB$4:AB400))</f>
        <v>#N/A</v>
      </c>
      <c r="AD400" s="315" t="str">
        <f t="shared" si="680"/>
        <v/>
      </c>
      <c r="AE400" s="315" t="e">
        <f>IF($J400="",#N/A,SUM(AD$4:AD400))</f>
        <v>#N/A</v>
      </c>
      <c r="AF400" s="315" t="e">
        <f>IF($J400="",#N/A,SUM(AD$4:AD400,AB$4:AB400,Z$4:Z400))</f>
        <v>#N/A</v>
      </c>
      <c r="AG400" s="304" t="str">
        <f t="shared" si="681"/>
        <v/>
      </c>
      <c r="AH400" s="313" t="e">
        <f>IF($J400="",#N/A,SUM(AG$4:AG400))</f>
        <v>#N/A</v>
      </c>
      <c r="AI400" s="314" t="str">
        <f t="shared" si="682"/>
        <v/>
      </c>
      <c r="AJ400" s="314" t="e">
        <f>IF($J400="",#N/A,SUM(AI$4:AI400))</f>
        <v>#N/A</v>
      </c>
      <c r="AK400" s="315">
        <f t="shared" si="683"/>
        <v>1.9286466561348077</v>
      </c>
      <c r="AL400" s="315" t="e">
        <f>IF($J400="",#N/A,SUM(AK$4:AK400))</f>
        <v>#N/A</v>
      </c>
      <c r="AM400" s="315" t="e">
        <f>IF($J400="",#N/A,SUM(AK$4:AK400,AI$4:AI400,AG$4:AG400))</f>
        <v>#N/A</v>
      </c>
      <c r="AN400" s="304" t="str">
        <f t="shared" si="684"/>
        <v/>
      </c>
      <c r="AO400" s="313" t="e">
        <f>IF($J400="",#N/A,SUM(AN$4:AN400))</f>
        <v>#N/A</v>
      </c>
      <c r="AP400" s="314" t="str">
        <f t="shared" si="685"/>
        <v/>
      </c>
      <c r="AQ400" s="314" t="e">
        <f>IF($J400="",#N/A,SUM(AP$4:AP400))</f>
        <v>#N/A</v>
      </c>
      <c r="AR400" s="315" t="str">
        <f t="shared" si="686"/>
        <v/>
      </c>
      <c r="AS400" s="315" t="e">
        <f>IF($J400="",#N/A,SUM(AR$4:AR400))</f>
        <v>#N/A</v>
      </c>
      <c r="AT400" s="315" t="e">
        <f>IF($J400="",#N/A,SUM(AR$4:AR400,AP$4:AP400,AN$4:AN400))</f>
        <v>#N/A</v>
      </c>
      <c r="AU400" s="304" t="str">
        <f t="shared" si="687"/>
        <v/>
      </c>
      <c r="AV400" s="313" t="e">
        <f>IF($J400="",#N/A,SUM(AU$4:AU400))</f>
        <v>#N/A</v>
      </c>
      <c r="AW400" s="314" t="str">
        <f t="shared" si="688"/>
        <v/>
      </c>
      <c r="AX400" s="314" t="e">
        <f>IF($J400="",#N/A,SUM(AW$4:AW400))</f>
        <v>#N/A</v>
      </c>
      <c r="AY400" s="315" t="str">
        <f t="shared" si="689"/>
        <v/>
      </c>
      <c r="AZ400" s="315" t="e">
        <f>IF($J400="",#N/A,SUM(AY$4:AY400))</f>
        <v>#N/A</v>
      </c>
      <c r="BA400" s="315" t="e">
        <f>IF($J400="",#N/A,SUM(AY$4:AY400,AW$4:AW400,AU$4:AU400))</f>
        <v>#N/A</v>
      </c>
      <c r="BB400" s="304" t="str">
        <f t="shared" si="690"/>
        <v/>
      </c>
      <c r="BC400" s="313" t="e">
        <f>IF($J400="",#N/A,SUM(BB$4:BB400))</f>
        <v>#N/A</v>
      </c>
      <c r="BD400" s="314" t="str">
        <f t="shared" si="691"/>
        <v/>
      </c>
      <c r="BE400" s="314" t="e">
        <f>IF($J400="",#N/A,SUM(BD$4:BD400))</f>
        <v>#N/A</v>
      </c>
      <c r="BF400" s="315" t="str">
        <f t="shared" si="692"/>
        <v/>
      </c>
      <c r="BG400" s="315" t="e">
        <f>IF($J400="",#N/A,SUM(BF$4:BF400))</f>
        <v>#N/A</v>
      </c>
      <c r="BH400" s="315" t="e">
        <f>IF($J400="",#N/A,SUM(BF$4:BF400,BD$4:BD400,BB$4:BB400))</f>
        <v>#N/A</v>
      </c>
      <c r="BI400" s="304" t="str">
        <f t="shared" si="693"/>
        <v/>
      </c>
      <c r="BJ400" s="313" t="e">
        <f>IF($J400="",#N/A,SUM(BI$4:BI400))</f>
        <v>#N/A</v>
      </c>
      <c r="BK400" s="314" t="str">
        <f t="shared" si="694"/>
        <v/>
      </c>
      <c r="BL400" s="314" t="e">
        <f>IF($J400="",#N/A,SUM(BK$4:BK400))</f>
        <v>#N/A</v>
      </c>
      <c r="BM400" s="315" t="str">
        <f t="shared" si="695"/>
        <v/>
      </c>
      <c r="BN400" s="315" t="e">
        <f>IF($J400="",#N/A,SUM(BM$4:BM400))</f>
        <v>#N/A</v>
      </c>
      <c r="BO400" s="315" t="e">
        <f>IF($J400="",#N/A,SUM(BM$4:BM400,BK$4:BK400,BI$4:BI400))</f>
        <v>#N/A</v>
      </c>
      <c r="BP400" s="304" t="str">
        <f t="shared" si="696"/>
        <v/>
      </c>
      <c r="BQ400" s="313" t="e">
        <f>IF($J400="",#N/A,SUM(BP$4:BP400))</f>
        <v>#N/A</v>
      </c>
      <c r="BR400" s="314" t="str">
        <f t="shared" si="697"/>
        <v/>
      </c>
      <c r="BS400" s="314" t="e">
        <f>IF($J400="",#N/A,SUM(BR$4:BR400))</f>
        <v>#N/A</v>
      </c>
      <c r="BT400" s="315" t="str">
        <f t="shared" si="698"/>
        <v/>
      </c>
      <c r="BU400" s="315" t="e">
        <f>IF($J400="",#N/A,SUM(BT$4:BT400))</f>
        <v>#N/A</v>
      </c>
      <c r="BV400" s="315" t="e">
        <f>IF($J400="",#N/A,SUM(BT$4:BT400,BR$4:BR400,BP$4:BP400))</f>
        <v>#N/A</v>
      </c>
      <c r="BW400" s="304" t="str">
        <f t="shared" si="699"/>
        <v/>
      </c>
      <c r="BX400" s="313" t="e">
        <f>IF($J400="",#N/A,SUM(BW$4:BW400))</f>
        <v>#N/A</v>
      </c>
      <c r="BY400" s="314" t="str">
        <f t="shared" si="700"/>
        <v/>
      </c>
      <c r="BZ400" s="314" t="e">
        <f>IF($J400="",#N/A,SUM(BY$4:BY400))</f>
        <v>#N/A</v>
      </c>
      <c r="CA400" s="315" t="str">
        <f t="shared" si="701"/>
        <v/>
      </c>
      <c r="CB400" s="315" t="e">
        <f>IF($J400="",#N/A,SUM(CA$4:CA400))</f>
        <v>#N/A</v>
      </c>
      <c r="CC400" s="315" t="e">
        <f>IF($J400="",#N/A,SUM(CA$4:CA400,BY$4:BY400,BW$4:BW400))</f>
        <v>#N/A</v>
      </c>
      <c r="CD400" s="304" t="str">
        <f t="shared" si="702"/>
        <v/>
      </c>
      <c r="CE400" s="313" t="e">
        <f>IF($J400="",#N/A,SUM(CD$4:CD400))</f>
        <v>#N/A</v>
      </c>
      <c r="CF400" s="314" t="str">
        <f t="shared" si="703"/>
        <v/>
      </c>
      <c r="CG400" s="314" t="e">
        <f>IF($J400="",#N/A,SUM(CF$4:CF400))</f>
        <v>#N/A</v>
      </c>
      <c r="CH400" s="315" t="str">
        <f t="shared" si="704"/>
        <v/>
      </c>
      <c r="CI400" s="315" t="e">
        <f>IF($J400="",#N/A,SUM(CH$4:CH400))</f>
        <v>#N/A</v>
      </c>
      <c r="CJ400" s="315" t="e">
        <f>IF($J400="",#N/A,SUM(CH$4:CH400,CF$4:CF400,CD$4:CD400))</f>
        <v>#N/A</v>
      </c>
      <c r="CK400" s="304" t="str">
        <f t="shared" si="705"/>
        <v/>
      </c>
      <c r="CL400" s="313" t="e">
        <f>IF($J400="",#N/A,SUM(CK$4:CK400))</f>
        <v>#N/A</v>
      </c>
      <c r="CM400" s="314" t="str">
        <f t="shared" si="706"/>
        <v/>
      </c>
      <c r="CN400" s="314" t="e">
        <f>IF($J400="",#N/A,SUM(CM$4:CM400))</f>
        <v>#N/A</v>
      </c>
      <c r="CO400" s="315" t="str">
        <f t="shared" si="707"/>
        <v/>
      </c>
      <c r="CP400" s="315" t="e">
        <f>IF($J400="",#N/A,SUM(CO$4:CO400))</f>
        <v>#N/A</v>
      </c>
      <c r="CQ400" s="315" t="e">
        <f>IF($J400="",#N/A,SUM(CO$4:CO400,CM$4:CM400,CK$4:CK400))</f>
        <v>#N/A</v>
      </c>
      <c r="CR400" s="304" t="str">
        <f t="shared" si="708"/>
        <v/>
      </c>
      <c r="CS400" s="313" t="e">
        <f>IF($J400="",#N/A,SUM(CR$4:CR400))</f>
        <v>#N/A</v>
      </c>
      <c r="CT400" s="314" t="str">
        <f t="shared" si="709"/>
        <v/>
      </c>
      <c r="CU400" s="314" t="e">
        <f>IF($J400="",#N/A,SUM(CT$4:CT400))</f>
        <v>#N/A</v>
      </c>
      <c r="CV400" s="315" t="str">
        <f t="shared" si="710"/>
        <v/>
      </c>
      <c r="CW400" s="315" t="e">
        <f>IF($J400="",#N/A,SUM(CV$4:CV400))</f>
        <v>#N/A</v>
      </c>
      <c r="CX400" s="315" t="e">
        <f>IF($J400="",#N/A,SUM(CV$4:CV400,CT$4:CT400,CR$4:CR400))</f>
        <v>#N/A</v>
      </c>
      <c r="CY400" s="304" t="str">
        <f t="shared" si="711"/>
        <v/>
      </c>
      <c r="CZ400" s="313" t="e">
        <f>IF($J400="",#N/A,SUM(CY$4:CY400))</f>
        <v>#N/A</v>
      </c>
      <c r="DA400" s="314" t="str">
        <f t="shared" si="712"/>
        <v/>
      </c>
      <c r="DB400" s="314" t="e">
        <f>IF($J400="",#N/A,SUM(DA$4:DA400))</f>
        <v>#N/A</v>
      </c>
      <c r="DC400" s="315" t="str">
        <f t="shared" si="713"/>
        <v/>
      </c>
      <c r="DD400" s="315" t="e">
        <f>IF($J400="",#N/A,SUM(DC$4:DC400))</f>
        <v>#N/A</v>
      </c>
      <c r="DE400" s="315" t="e">
        <f>IF($J400="",#N/A,SUM(DC$4:DC400,DA$4:DA400,CY$4:CY400))</f>
        <v>#N/A</v>
      </c>
      <c r="DF400" s="304" t="str">
        <f t="shared" si="714"/>
        <v/>
      </c>
      <c r="DG400" s="313" t="e">
        <f>IF($J400="",#N/A,SUM(DF$4:DF400))</f>
        <v>#N/A</v>
      </c>
      <c r="DH400" s="314" t="str">
        <f t="shared" si="715"/>
        <v/>
      </c>
      <c r="DI400" s="314" t="e">
        <f>IF($J400="",#N/A,SUM(DH$4:DH400))</f>
        <v>#N/A</v>
      </c>
      <c r="DJ400" s="315" t="str">
        <f t="shared" si="716"/>
        <v/>
      </c>
      <c r="DK400" s="315" t="e">
        <f>IF($J400="",#N/A,SUM(DJ$4:DJ400))</f>
        <v>#N/A</v>
      </c>
      <c r="DL400" s="315" t="e">
        <f>IF($J400="",#N/A,SUM(DJ$4:DJ400,DH$4:DH400,DF$4:DF400))</f>
        <v>#N/A</v>
      </c>
      <c r="DM400" s="304" t="str">
        <f t="shared" si="717"/>
        <v/>
      </c>
      <c r="DN400" s="313" t="e">
        <f>IF($J400="",#N/A,SUM(DM$4:DM400))</f>
        <v>#N/A</v>
      </c>
      <c r="DO400" s="314" t="str">
        <f t="shared" si="718"/>
        <v/>
      </c>
      <c r="DP400" s="314" t="e">
        <f>IF($J400="",#N/A,SUM(DO$4:DO400))</f>
        <v>#N/A</v>
      </c>
      <c r="DQ400" s="315" t="str">
        <f t="shared" si="719"/>
        <v/>
      </c>
      <c r="DR400" s="315" t="e">
        <f>IF($J400="",#N/A,SUM(DQ$4:DQ400))</f>
        <v>#N/A</v>
      </c>
      <c r="DS400" s="315" t="e">
        <f>IF($J400="",#N/A,SUM(DQ$4:DQ400,DO$4:DO400,DM$4:DM400))</f>
        <v>#N/A</v>
      </c>
      <c r="DT400" s="304" t="str">
        <f t="shared" si="720"/>
        <v/>
      </c>
      <c r="DU400" s="313" t="e">
        <f>IF($J400="",#N/A,SUM(DT$4:DT400))</f>
        <v>#N/A</v>
      </c>
      <c r="DV400" s="314" t="str">
        <f t="shared" si="721"/>
        <v/>
      </c>
      <c r="DW400" s="314" t="e">
        <f>IF($J400="",#N/A,SUM(DV$4:DV400))</f>
        <v>#N/A</v>
      </c>
      <c r="DX400" s="315" t="str">
        <f t="shared" si="722"/>
        <v/>
      </c>
      <c r="DY400" s="315" t="e">
        <f>IF($J400="",#N/A,SUM(DX$4:DX400))</f>
        <v>#N/A</v>
      </c>
      <c r="DZ400" s="315" t="e">
        <f>IF($J400="",#N/A,SUM(DX$4:DX400,DV$4:DV400,DT$4:DT400))</f>
        <v>#N/A</v>
      </c>
      <c r="EA400" s="304" t="str">
        <f t="shared" si="723"/>
        <v/>
      </c>
      <c r="EB400" s="313" t="e">
        <f>IF($J400="",#N/A,SUM(EA$4:EA400))</f>
        <v>#N/A</v>
      </c>
      <c r="EC400" s="314" t="str">
        <f t="shared" si="724"/>
        <v/>
      </c>
      <c r="ED400" s="314" t="e">
        <f>IF($J400="",#N/A,SUM(EC$4:EC400))</f>
        <v>#N/A</v>
      </c>
      <c r="EE400" s="315" t="str">
        <f t="shared" si="725"/>
        <v/>
      </c>
      <c r="EF400" s="315" t="e">
        <f>IF($J400="",#N/A,SUM(EE$4:EE400))</f>
        <v>#N/A</v>
      </c>
      <c r="EG400" s="315" t="e">
        <f>IF($J400="",#N/A,SUM(EE$4:EE400,EC$4:EC400,EA$4:EA400))</f>
        <v>#N/A</v>
      </c>
      <c r="EH400" s="130">
        <f t="shared" si="726"/>
        <v>187.51999999999998</v>
      </c>
      <c r="EI400" s="63">
        <f>IF(EH400="",#N/A,SUM($EH$4:EH400))</f>
        <v>692.60782868649449</v>
      </c>
      <c r="EJ400" s="223" t="e">
        <f t="shared" si="727"/>
        <v>#N/A</v>
      </c>
      <c r="EK400" s="63" t="e">
        <f>IF($GZ400="",#N/A,SUM(EJ$4:EJ400))</f>
        <v>#N/A</v>
      </c>
      <c r="EL400" s="60" t="str">
        <f t="shared" si="757"/>
        <v/>
      </c>
      <c r="EM400" s="60" t="e">
        <f>IF(EL400="",NA(),SUM($EL$4:EL400))</f>
        <v>#N/A</v>
      </c>
      <c r="EN400" s="60" t="str">
        <f t="shared" si="728"/>
        <v/>
      </c>
      <c r="EO400" s="60" t="e">
        <f>IF(EN400="",NA(),SUM($EN$4:EN400))</f>
        <v>#N/A</v>
      </c>
      <c r="EP400" s="60" t="str">
        <f t="shared" si="729"/>
        <v/>
      </c>
      <c r="EQ400" s="60" t="e">
        <f>IF(EP400="",NA(),SUM($EP$4:EP400))</f>
        <v>#N/A</v>
      </c>
      <c r="ER400" s="60" t="str">
        <f t="shared" si="730"/>
        <v/>
      </c>
      <c r="ES400" s="60" t="e">
        <f>IF(ER400="",NA(),SUM($ER$4:ER400))</f>
        <v>#N/A</v>
      </c>
      <c r="ET400" s="60">
        <f t="shared" si="731"/>
        <v>1.9286466561348077</v>
      </c>
      <c r="EU400" s="60">
        <f>IF(ET400="",NA(),SUM($ET$4:ET400))</f>
        <v>29.370577026222207</v>
      </c>
      <c r="EV400" s="60" t="str">
        <f t="shared" si="732"/>
        <v/>
      </c>
      <c r="EW400" s="60" t="e">
        <f>IF(EV400="",NA(),SUM($EV$4:EV400))</f>
        <v>#N/A</v>
      </c>
      <c r="EX400" s="60">
        <f t="shared" si="733"/>
        <v>1.9286466561348077</v>
      </c>
      <c r="EY400" s="60">
        <f>IF(EX400="",NA(),SUM($EX$4:EX400))</f>
        <v>11.09066279272467</v>
      </c>
      <c r="EZ400" s="60" t="str">
        <f t="shared" si="734"/>
        <v/>
      </c>
      <c r="FA400" s="60" t="e">
        <f>IF(EZ400="",NA(),SUM($EZ$4:EZ400))</f>
        <v>#N/A</v>
      </c>
      <c r="FB400" s="246" t="str">
        <f t="shared" si="758"/>
        <v/>
      </c>
      <c r="FC400" s="246" t="e">
        <f>IF($FB400="",#N/A,SUM(FB$4:$FB400))</f>
        <v>#N/A</v>
      </c>
      <c r="FD400" s="60" t="str">
        <f t="shared" si="735"/>
        <v/>
      </c>
      <c r="FE400" s="60" t="e">
        <f>IF($FD400="",#N/A,SUM($FD$4:FD400))</f>
        <v>#N/A</v>
      </c>
      <c r="FF400" s="60" t="str">
        <f t="shared" si="736"/>
        <v/>
      </c>
      <c r="FG400" s="60" t="e">
        <f>IF($FF400="",#N/A,SUM($FF$4:FF400))</f>
        <v>#N/A</v>
      </c>
      <c r="FH400" s="60" t="str">
        <f t="shared" si="737"/>
        <v/>
      </c>
      <c r="FI400" s="60" t="e">
        <f>IF($FH400="",#N/A,SUM($FH$4:FH400))</f>
        <v>#N/A</v>
      </c>
      <c r="FJ400" s="60">
        <f t="shared" si="738"/>
        <v>0.55292259083728301</v>
      </c>
      <c r="FK400" s="60">
        <f>IF($FJ400="",#N/A,SUM($FJ$4:FJ400))</f>
        <v>-6.030931237865885</v>
      </c>
      <c r="FL400" s="60" t="str">
        <f t="shared" si="739"/>
        <v/>
      </c>
      <c r="FM400" s="60" t="e">
        <f>IF($FL400="",#N/A,SUM($FL$4:FL400))</f>
        <v>#N/A</v>
      </c>
      <c r="FN400" s="82">
        <f t="shared" si="740"/>
        <v>2.4815692469720907</v>
      </c>
      <c r="FO400" s="82">
        <f>IF($FN400="",#N/A,SUM(FN$4:$FN400))</f>
        <v>32.538398748455165</v>
      </c>
      <c r="FP400" s="82">
        <f t="shared" si="759"/>
        <v>1.9286466561348077</v>
      </c>
      <c r="FQ400" s="246">
        <f>IF($EH400="",#N/A,SUM($FP$4:FP400))</f>
        <v>48.014191704488006</v>
      </c>
      <c r="FR400" s="82">
        <f>IFERROR(FQ400/COUNTA($J$4:J400),#N/A)</f>
        <v>0.12094254837402521</v>
      </c>
      <c r="FS400" s="82">
        <f t="shared" si="661"/>
        <v>-0.19037220337743277</v>
      </c>
      <c r="FT400" s="82">
        <f t="shared" si="662"/>
        <v>-0.25319145955978573</v>
      </c>
      <c r="FU400" s="338">
        <f>IF(AND(HB400="MOC",GZ400=""),#N/A,IFERROR(FQ400-HE400,FQ400-0))-14.53</f>
        <v>28.443768747190077</v>
      </c>
      <c r="FV400" s="57" t="str">
        <f t="shared" si="666"/>
        <v>SW</v>
      </c>
      <c r="FW400" s="57" t="s">
        <v>2732</v>
      </c>
      <c r="FX400" s="57" t="str">
        <f t="shared" si="741"/>
        <v/>
      </c>
      <c r="FY400" s="57" t="str">
        <f t="shared" si="742"/>
        <v/>
      </c>
      <c r="FZ400" s="57">
        <f t="shared" si="743"/>
        <v>1</v>
      </c>
      <c r="GA400" s="57" t="str">
        <f t="shared" si="744"/>
        <v>Long</v>
      </c>
      <c r="GB400" s="57" t="str">
        <f t="shared" si="745"/>
        <v/>
      </c>
      <c r="GC400" s="57" t="str">
        <f t="shared" si="746"/>
        <v/>
      </c>
      <c r="GD400" s="57" t="str">
        <f t="shared" si="747"/>
        <v/>
      </c>
      <c r="GE400" s="62">
        <f t="shared" si="664"/>
        <v>101.28</v>
      </c>
      <c r="GF400" s="62" t="s">
        <v>2779</v>
      </c>
      <c r="GG400" s="199">
        <v>16</v>
      </c>
      <c r="GH400" s="207">
        <f t="shared" si="748"/>
        <v>1620.48</v>
      </c>
      <c r="GI400" s="199">
        <v>16</v>
      </c>
      <c r="GJ400" s="200">
        <v>112</v>
      </c>
      <c r="GK400" s="63">
        <f t="shared" si="749"/>
        <v>171.51999999999998</v>
      </c>
      <c r="GL400" s="63">
        <f t="shared" si="665"/>
        <v>241.27999999999997</v>
      </c>
      <c r="GM400" s="82">
        <f t="shared" si="750"/>
        <v>2.4815692469720907</v>
      </c>
      <c r="GN400" s="82">
        <f>IF($GZ400="",#N/A,SUM(GM$4:GM400))</f>
        <v>3.4588316764218807</v>
      </c>
      <c r="GO400" s="82" t="str">
        <f t="shared" si="751"/>
        <v/>
      </c>
      <c r="GP400" s="82">
        <f>IF($GZ400="",#N/A,SUM(GO$4:GO400))</f>
        <v>3.2522471402826749</v>
      </c>
      <c r="GQ400" s="82" t="str">
        <f t="shared" si="752"/>
        <v/>
      </c>
      <c r="GR400" s="82">
        <f>IF($GZ400="",#N/A,SUM(GQ$4:GQ400))</f>
        <v>25.20148297730827</v>
      </c>
      <c r="GS400" s="63" t="e">
        <f t="shared" si="760"/>
        <v>#N/A</v>
      </c>
      <c r="GT400" s="63" t="e">
        <f>IF($GZ400="",#N/A,SUM(GS$4:GS400))</f>
        <v>#N/A</v>
      </c>
      <c r="GU400" s="63" t="str">
        <f t="shared" si="761"/>
        <v/>
      </c>
      <c r="GV400" s="63" t="e">
        <f>IF($GZ400="",#N/A,SUM(GU$4:GU400))</f>
        <v>#N/A</v>
      </c>
      <c r="GW400" s="63" t="str">
        <f t="shared" si="762"/>
        <v/>
      </c>
      <c r="GX400" s="63" t="e">
        <f>IF($GZ400="",#N/A,SUM(GW$4:GW400))</f>
        <v>#N/A</v>
      </c>
      <c r="GY400" s="63" t="e">
        <f>IF(EJ400="",#N/A,SUM($EJ$4:EJ400))</f>
        <v>#N/A</v>
      </c>
      <c r="GZ400" s="159">
        <v>116.36</v>
      </c>
      <c r="HA400" s="63">
        <f t="shared" si="753"/>
        <v>53.759999999999991</v>
      </c>
      <c r="HB400" s="62" t="s">
        <v>2538</v>
      </c>
      <c r="HC400" s="60">
        <f>IFERROR(VLOOKUP(E400,Expectancy!$P$4:$S$19,1+C400,FALSE),"")</f>
        <v>0.27741610538114203</v>
      </c>
      <c r="HD400" s="82">
        <f t="shared" si="754"/>
        <v>1.7640863612427593</v>
      </c>
      <c r="HE400" s="138">
        <f>IF(HD400="",#N/A,SUM($HD$4:HD400))</f>
        <v>5.0404229572979249</v>
      </c>
      <c r="HF400" s="85">
        <f>IF(HD400="",#N/A,IF(HB400="Skip",#N/A,SUM($HG$4:HG400)))</f>
        <v>-207.90142078084432</v>
      </c>
      <c r="HG400" s="63">
        <f t="shared" si="755"/>
        <v>171.51999999999998</v>
      </c>
      <c r="HH400" s="82">
        <f t="shared" si="756"/>
        <v>2.4815692469720907</v>
      </c>
    </row>
    <row r="401" spans="1:216" x14ac:dyDescent="0.25">
      <c r="A401" s="57" t="s">
        <v>775</v>
      </c>
      <c r="B401" s="58" t="str" cm="1">
        <f t="array" ref="B401">IFERROR(_xlfn.XLOOKUP(A401,Earnings!$B$2:$B$9985,LEFT(Earnings!$C$2:$C$9985,37)),"Can't Find Date***")</f>
        <v>on 2/27/25, 4:10 PM After Market East</v>
      </c>
      <c r="C401" s="386">
        <f t="shared" si="667"/>
        <v>3</v>
      </c>
      <c r="D401" s="372" t="str">
        <f>_xlfn.XLOOKUP(A401,[1]SP500!$A$2:$A$502,[1]SP500!$D$2:$D$502,"N")</f>
        <v>Y</v>
      </c>
      <c r="E401" s="57" t="str">
        <f>_xlfn.XLOOKUP(A401,[1]SP500!$A$2:$A$655,[1]SP500!$B$2:$B$655)</f>
        <v>XLP</v>
      </c>
      <c r="F401" s="59">
        <v>45715</v>
      </c>
      <c r="G401" s="57" t="str">
        <f t="shared" si="668"/>
        <v>AMC</v>
      </c>
      <c r="H401" s="57" t="str">
        <f t="shared" si="669"/>
        <v>s</v>
      </c>
      <c r="I401" s="159">
        <v>51.92</v>
      </c>
      <c r="J401" s="158">
        <v>55</v>
      </c>
      <c r="K401" s="61">
        <f t="shared" si="670"/>
        <v>5.9322033898305052E-2</v>
      </c>
      <c r="L401" s="87">
        <f t="shared" si="671"/>
        <v>98.559999999999945</v>
      </c>
      <c r="M401" s="130">
        <f t="shared" si="663"/>
        <v>0</v>
      </c>
      <c r="N401" s="169" t="str">
        <f t="shared" si="672"/>
        <v/>
      </c>
      <c r="O401" s="169">
        <f>IF($J401="",#N/A,SUM($N$4:N401))</f>
        <v>-344.89225475891067</v>
      </c>
      <c r="P401" s="174" t="str">
        <f t="shared" si="673"/>
        <v/>
      </c>
      <c r="Q401" s="174">
        <f>IF($J401="",#N/A,SUM($P$4:P401))</f>
        <v>116.97774645512766</v>
      </c>
      <c r="R401" s="178">
        <f t="shared" si="674"/>
        <v>98.559999999999945</v>
      </c>
      <c r="S401" s="178">
        <f>IF($J401="",#N/A,SUM($R$4:R401))</f>
        <v>1019.0823369902773</v>
      </c>
      <c r="T401" s="290" t="str">
        <f t="shared" si="675"/>
        <v/>
      </c>
      <c r="U401" s="290">
        <f>IF($J401="",#N/A,SUM($T$4:T401))</f>
        <v>10.01739856757891</v>
      </c>
      <c r="V401" s="291" t="str">
        <f t="shared" si="676"/>
        <v/>
      </c>
      <c r="W401" s="291">
        <f>IF($J401="",#N/A,SUM($V$4:V401))</f>
        <v>20.719269876983365</v>
      </c>
      <c r="X401" s="292">
        <f t="shared" si="677"/>
        <v>0.98870056497175085</v>
      </c>
      <c r="Y401" s="292">
        <f>IF($J401="",#N/A,SUM($X$4:X401))</f>
        <v>18.266223824897512</v>
      </c>
      <c r="Z401" s="304" t="str">
        <f t="shared" si="678"/>
        <v/>
      </c>
      <c r="AA401" s="313" t="e">
        <f>IF($J401="",#N/A,SUM(Z$4:Z401))</f>
        <v>#N/A</v>
      </c>
      <c r="AB401" s="314" t="str">
        <f t="shared" si="679"/>
        <v/>
      </c>
      <c r="AC401" s="314" t="e">
        <f>IF($J401="",#N/A,SUM(AB$4:AB401))</f>
        <v>#N/A</v>
      </c>
      <c r="AD401" s="315" t="str">
        <f t="shared" si="680"/>
        <v/>
      </c>
      <c r="AE401" s="315" t="e">
        <f>IF($J401="",#N/A,SUM(AD$4:AD401))</f>
        <v>#N/A</v>
      </c>
      <c r="AF401" s="315" t="e">
        <f>IF($J401="",#N/A,SUM(AD$4:AD401,AB$4:AB401,Z$4:Z401))</f>
        <v>#N/A</v>
      </c>
      <c r="AG401" s="304" t="str">
        <f t="shared" si="681"/>
        <v/>
      </c>
      <c r="AH401" s="313" t="e">
        <f>IF($J401="",#N/A,SUM(AG$4:AG401))</f>
        <v>#N/A</v>
      </c>
      <c r="AI401" s="314" t="str">
        <f t="shared" si="682"/>
        <v/>
      </c>
      <c r="AJ401" s="314" t="e">
        <f>IF($J401="",#N/A,SUM(AI$4:AI401))</f>
        <v>#N/A</v>
      </c>
      <c r="AK401" s="315" t="str">
        <f t="shared" si="683"/>
        <v/>
      </c>
      <c r="AL401" s="315" t="e">
        <f>IF($J401="",#N/A,SUM(AK$4:AK401))</f>
        <v>#N/A</v>
      </c>
      <c r="AM401" s="315" t="e">
        <f>IF($J401="",#N/A,SUM(AK$4:AK401,AI$4:AI401,AG$4:AG401))</f>
        <v>#N/A</v>
      </c>
      <c r="AN401" s="304" t="str">
        <f t="shared" si="684"/>
        <v/>
      </c>
      <c r="AO401" s="313" t="e">
        <f>IF($J401="",#N/A,SUM(AN$4:AN401))</f>
        <v>#N/A</v>
      </c>
      <c r="AP401" s="314" t="str">
        <f t="shared" si="685"/>
        <v/>
      </c>
      <c r="AQ401" s="314" t="e">
        <f>IF($J401="",#N/A,SUM(AP$4:AP401))</f>
        <v>#N/A</v>
      </c>
      <c r="AR401" s="315" t="str">
        <f t="shared" si="686"/>
        <v/>
      </c>
      <c r="AS401" s="315" t="e">
        <f>IF($J401="",#N/A,SUM(AR$4:AR401))</f>
        <v>#N/A</v>
      </c>
      <c r="AT401" s="315" t="e">
        <f>IF($J401="",#N/A,SUM(AR$4:AR401,AP$4:AP401,AN$4:AN401))</f>
        <v>#N/A</v>
      </c>
      <c r="AU401" s="304" t="str">
        <f t="shared" si="687"/>
        <v/>
      </c>
      <c r="AV401" s="313" t="e">
        <f>IF($J401="",#N/A,SUM(AU$4:AU401))</f>
        <v>#N/A</v>
      </c>
      <c r="AW401" s="314" t="str">
        <f t="shared" si="688"/>
        <v/>
      </c>
      <c r="AX401" s="314" t="e">
        <f>IF($J401="",#N/A,SUM(AW$4:AW401))</f>
        <v>#N/A</v>
      </c>
      <c r="AY401" s="315">
        <f t="shared" si="689"/>
        <v>0.98870056497175085</v>
      </c>
      <c r="AZ401" s="315" t="e">
        <f>IF($J401="",#N/A,SUM(AY$4:AY401))</f>
        <v>#N/A</v>
      </c>
      <c r="BA401" s="315" t="e">
        <f>IF($J401="",#N/A,SUM(AY$4:AY401,AW$4:AW401,AU$4:AU401))</f>
        <v>#N/A</v>
      </c>
      <c r="BB401" s="304" t="str">
        <f t="shared" si="690"/>
        <v/>
      </c>
      <c r="BC401" s="313" t="e">
        <f>IF($J401="",#N/A,SUM(BB$4:BB401))</f>
        <v>#N/A</v>
      </c>
      <c r="BD401" s="314" t="str">
        <f t="shared" si="691"/>
        <v/>
      </c>
      <c r="BE401" s="314" t="e">
        <f>IF($J401="",#N/A,SUM(BD$4:BD401))</f>
        <v>#N/A</v>
      </c>
      <c r="BF401" s="315" t="str">
        <f t="shared" si="692"/>
        <v/>
      </c>
      <c r="BG401" s="315" t="e">
        <f>IF($J401="",#N/A,SUM(BF$4:BF401))</f>
        <v>#N/A</v>
      </c>
      <c r="BH401" s="315" t="e">
        <f>IF($J401="",#N/A,SUM(BF$4:BF401,BD$4:BD401,BB$4:BB401))</f>
        <v>#N/A</v>
      </c>
      <c r="BI401" s="304" t="str">
        <f t="shared" si="693"/>
        <v/>
      </c>
      <c r="BJ401" s="313" t="e">
        <f>IF($J401="",#N/A,SUM(BI$4:BI401))</f>
        <v>#N/A</v>
      </c>
      <c r="BK401" s="314" t="str">
        <f t="shared" si="694"/>
        <v/>
      </c>
      <c r="BL401" s="314" t="e">
        <f>IF($J401="",#N/A,SUM(BK$4:BK401))</f>
        <v>#N/A</v>
      </c>
      <c r="BM401" s="315" t="str">
        <f t="shared" si="695"/>
        <v/>
      </c>
      <c r="BN401" s="315" t="e">
        <f>IF($J401="",#N/A,SUM(BM$4:BM401))</f>
        <v>#N/A</v>
      </c>
      <c r="BO401" s="315" t="e">
        <f>IF($J401="",#N/A,SUM(BM$4:BM401,BK$4:BK401,BI$4:BI401))</f>
        <v>#N/A</v>
      </c>
      <c r="BP401" s="304" t="str">
        <f t="shared" si="696"/>
        <v/>
      </c>
      <c r="BQ401" s="313" t="e">
        <f>IF($J401="",#N/A,SUM(BP$4:BP401))</f>
        <v>#N/A</v>
      </c>
      <c r="BR401" s="314" t="str">
        <f t="shared" si="697"/>
        <v/>
      </c>
      <c r="BS401" s="314" t="e">
        <f>IF($J401="",#N/A,SUM(BR$4:BR401))</f>
        <v>#N/A</v>
      </c>
      <c r="BT401" s="315" t="str">
        <f t="shared" si="698"/>
        <v/>
      </c>
      <c r="BU401" s="315" t="e">
        <f>IF($J401="",#N/A,SUM(BT$4:BT401))</f>
        <v>#N/A</v>
      </c>
      <c r="BV401" s="315" t="e">
        <f>IF($J401="",#N/A,SUM(BT$4:BT401,BR$4:BR401,BP$4:BP401))</f>
        <v>#N/A</v>
      </c>
      <c r="BW401" s="304" t="str">
        <f t="shared" si="699"/>
        <v/>
      </c>
      <c r="BX401" s="313" t="e">
        <f>IF($J401="",#N/A,SUM(BW$4:BW401))</f>
        <v>#N/A</v>
      </c>
      <c r="BY401" s="314" t="str">
        <f t="shared" si="700"/>
        <v/>
      </c>
      <c r="BZ401" s="314" t="e">
        <f>IF($J401="",#N/A,SUM(BY$4:BY401))</f>
        <v>#N/A</v>
      </c>
      <c r="CA401" s="315" t="str">
        <f t="shared" si="701"/>
        <v/>
      </c>
      <c r="CB401" s="315" t="e">
        <f>IF($J401="",#N/A,SUM(CA$4:CA401))</f>
        <v>#N/A</v>
      </c>
      <c r="CC401" s="315" t="e">
        <f>IF($J401="",#N/A,SUM(CA$4:CA401,BY$4:BY401,BW$4:BW401))</f>
        <v>#N/A</v>
      </c>
      <c r="CD401" s="304" t="str">
        <f t="shared" si="702"/>
        <v/>
      </c>
      <c r="CE401" s="313" t="e">
        <f>IF($J401="",#N/A,SUM(CD$4:CD401))</f>
        <v>#N/A</v>
      </c>
      <c r="CF401" s="314" t="str">
        <f t="shared" si="703"/>
        <v/>
      </c>
      <c r="CG401" s="314" t="e">
        <f>IF($J401="",#N/A,SUM(CF$4:CF401))</f>
        <v>#N/A</v>
      </c>
      <c r="CH401" s="315" t="str">
        <f t="shared" si="704"/>
        <v/>
      </c>
      <c r="CI401" s="315" t="e">
        <f>IF($J401="",#N/A,SUM(CH$4:CH401))</f>
        <v>#N/A</v>
      </c>
      <c r="CJ401" s="315" t="e">
        <f>IF($J401="",#N/A,SUM(CH$4:CH401,CF$4:CF401,CD$4:CD401))</f>
        <v>#N/A</v>
      </c>
      <c r="CK401" s="304" t="str">
        <f t="shared" si="705"/>
        <v/>
      </c>
      <c r="CL401" s="313" t="e">
        <f>IF($J401="",#N/A,SUM(CK$4:CK401))</f>
        <v>#N/A</v>
      </c>
      <c r="CM401" s="314" t="str">
        <f t="shared" si="706"/>
        <v/>
      </c>
      <c r="CN401" s="314" t="e">
        <f>IF($J401="",#N/A,SUM(CM$4:CM401))</f>
        <v>#N/A</v>
      </c>
      <c r="CO401" s="315" t="str">
        <f t="shared" si="707"/>
        <v/>
      </c>
      <c r="CP401" s="315" t="e">
        <f>IF($J401="",#N/A,SUM(CO$4:CO401))</f>
        <v>#N/A</v>
      </c>
      <c r="CQ401" s="315" t="e">
        <f>IF($J401="",#N/A,SUM(CO$4:CO401,CM$4:CM401,CK$4:CK401))</f>
        <v>#N/A</v>
      </c>
      <c r="CR401" s="304" t="str">
        <f t="shared" si="708"/>
        <v/>
      </c>
      <c r="CS401" s="313" t="e">
        <f>IF($J401="",#N/A,SUM(CR$4:CR401))</f>
        <v>#N/A</v>
      </c>
      <c r="CT401" s="314" t="str">
        <f t="shared" si="709"/>
        <v/>
      </c>
      <c r="CU401" s="314" t="e">
        <f>IF($J401="",#N/A,SUM(CT$4:CT401))</f>
        <v>#N/A</v>
      </c>
      <c r="CV401" s="315" t="str">
        <f t="shared" si="710"/>
        <v/>
      </c>
      <c r="CW401" s="315" t="e">
        <f>IF($J401="",#N/A,SUM(CV$4:CV401))</f>
        <v>#N/A</v>
      </c>
      <c r="CX401" s="315" t="e">
        <f>IF($J401="",#N/A,SUM(CV$4:CV401,CT$4:CT401,CR$4:CR401))</f>
        <v>#N/A</v>
      </c>
      <c r="CY401" s="304" t="str">
        <f t="shared" si="711"/>
        <v/>
      </c>
      <c r="CZ401" s="313" t="e">
        <f>IF($J401="",#N/A,SUM(CY$4:CY401))</f>
        <v>#N/A</v>
      </c>
      <c r="DA401" s="314" t="str">
        <f t="shared" si="712"/>
        <v/>
      </c>
      <c r="DB401" s="314" t="e">
        <f>IF($J401="",#N/A,SUM(DA$4:DA401))</f>
        <v>#N/A</v>
      </c>
      <c r="DC401" s="315" t="str">
        <f t="shared" si="713"/>
        <v/>
      </c>
      <c r="DD401" s="315" t="e">
        <f>IF($J401="",#N/A,SUM(DC$4:DC401))</f>
        <v>#N/A</v>
      </c>
      <c r="DE401" s="315" t="e">
        <f>IF($J401="",#N/A,SUM(DC$4:DC401,DA$4:DA401,CY$4:CY401))</f>
        <v>#N/A</v>
      </c>
      <c r="DF401" s="304" t="str">
        <f t="shared" si="714"/>
        <v/>
      </c>
      <c r="DG401" s="313" t="e">
        <f>IF($J401="",#N/A,SUM(DF$4:DF401))</f>
        <v>#N/A</v>
      </c>
      <c r="DH401" s="314" t="str">
        <f t="shared" si="715"/>
        <v/>
      </c>
      <c r="DI401" s="314" t="e">
        <f>IF($J401="",#N/A,SUM(DH$4:DH401))</f>
        <v>#N/A</v>
      </c>
      <c r="DJ401" s="315" t="str">
        <f t="shared" si="716"/>
        <v/>
      </c>
      <c r="DK401" s="315" t="e">
        <f>IF($J401="",#N/A,SUM(DJ$4:DJ401))</f>
        <v>#N/A</v>
      </c>
      <c r="DL401" s="315" t="e">
        <f>IF($J401="",#N/A,SUM(DJ$4:DJ401,DH$4:DH401,DF$4:DF401))</f>
        <v>#N/A</v>
      </c>
      <c r="DM401" s="304" t="str">
        <f t="shared" si="717"/>
        <v/>
      </c>
      <c r="DN401" s="313" t="e">
        <f>IF($J401="",#N/A,SUM(DM$4:DM401))</f>
        <v>#N/A</v>
      </c>
      <c r="DO401" s="314" t="str">
        <f t="shared" si="718"/>
        <v/>
      </c>
      <c r="DP401" s="314" t="e">
        <f>IF($J401="",#N/A,SUM(DO$4:DO401))</f>
        <v>#N/A</v>
      </c>
      <c r="DQ401" s="315" t="str">
        <f t="shared" si="719"/>
        <v/>
      </c>
      <c r="DR401" s="315" t="e">
        <f>IF($J401="",#N/A,SUM(DQ$4:DQ401))</f>
        <v>#N/A</v>
      </c>
      <c r="DS401" s="315" t="e">
        <f>IF($J401="",#N/A,SUM(DQ$4:DQ401,DO$4:DO401,DM$4:DM401))</f>
        <v>#N/A</v>
      </c>
      <c r="DT401" s="304" t="str">
        <f t="shared" si="720"/>
        <v/>
      </c>
      <c r="DU401" s="313" t="e">
        <f>IF($J401="",#N/A,SUM(DT$4:DT401))</f>
        <v>#N/A</v>
      </c>
      <c r="DV401" s="314" t="str">
        <f t="shared" si="721"/>
        <v/>
      </c>
      <c r="DW401" s="314" t="e">
        <f>IF($J401="",#N/A,SUM(DV$4:DV401))</f>
        <v>#N/A</v>
      </c>
      <c r="DX401" s="315" t="str">
        <f t="shared" si="722"/>
        <v/>
      </c>
      <c r="DY401" s="315" t="e">
        <f>IF($J401="",#N/A,SUM(DX$4:DX401))</f>
        <v>#N/A</v>
      </c>
      <c r="DZ401" s="315" t="e">
        <f>IF($J401="",#N/A,SUM(DX$4:DX401,DV$4:DV401,DT$4:DT401))</f>
        <v>#N/A</v>
      </c>
      <c r="EA401" s="304" t="str">
        <f t="shared" si="723"/>
        <v/>
      </c>
      <c r="EB401" s="313" t="e">
        <f>IF($J401="",#N/A,SUM(EA$4:EA401))</f>
        <v>#N/A</v>
      </c>
      <c r="EC401" s="314" t="str">
        <f t="shared" si="724"/>
        <v/>
      </c>
      <c r="ED401" s="314" t="e">
        <f>IF($J401="",#N/A,SUM(EC$4:EC401))</f>
        <v>#N/A</v>
      </c>
      <c r="EE401" s="315" t="str">
        <f t="shared" si="725"/>
        <v/>
      </c>
      <c r="EF401" s="315" t="e">
        <f>IF($J401="",#N/A,SUM(EE$4:EE401))</f>
        <v>#N/A</v>
      </c>
      <c r="EG401" s="315" t="e">
        <f>IF($J401="",#N/A,SUM(EE$4:EE401,EC$4:EC401,EA$4:EA401))</f>
        <v>#N/A</v>
      </c>
      <c r="EH401" s="130">
        <f t="shared" si="726"/>
        <v>98.559999999999945</v>
      </c>
      <c r="EI401" s="63">
        <f>IF(EH401="",#N/A,SUM($EH$4:EH401))</f>
        <v>791.16782868649443</v>
      </c>
      <c r="EJ401" s="223" t="e">
        <f t="shared" si="727"/>
        <v>#N/A</v>
      </c>
      <c r="EK401" s="63" t="e">
        <f>IF($GZ401="",#N/A,SUM(EJ$4:EJ401))</f>
        <v>#N/A</v>
      </c>
      <c r="EL401" s="60">
        <f t="shared" si="757"/>
        <v>0.98870056497175085</v>
      </c>
      <c r="EM401" s="60">
        <f>IF(EL401="",NA(),SUM($EL$4:EL401))</f>
        <v>19.632315243237585</v>
      </c>
      <c r="EN401" s="60" t="str">
        <f t="shared" si="728"/>
        <v/>
      </c>
      <c r="EO401" s="60" t="e">
        <f>IF(EN401="",NA(),SUM($EN$4:EN401))</f>
        <v>#N/A</v>
      </c>
      <c r="EP401" s="60">
        <f t="shared" si="729"/>
        <v>0.98870056497175085</v>
      </c>
      <c r="EQ401" s="60">
        <f>IF(EP401="",NA(),SUM($EP$4:EP401))</f>
        <v>7.1755610321728369</v>
      </c>
      <c r="ER401" s="60" t="str">
        <f t="shared" si="730"/>
        <v/>
      </c>
      <c r="ES401" s="60" t="e">
        <f>IF(ER401="",NA(),SUM($ER$4:ER401))</f>
        <v>#N/A</v>
      </c>
      <c r="ET401" s="60" t="str">
        <f t="shared" si="731"/>
        <v/>
      </c>
      <c r="EU401" s="60" t="e">
        <f>IF(ET401="",NA(),SUM($ET$4:ET401))</f>
        <v>#N/A</v>
      </c>
      <c r="EV401" s="60" t="str">
        <f t="shared" si="732"/>
        <v/>
      </c>
      <c r="EW401" s="60" t="e">
        <f>IF(EV401="",NA(),SUM($EV$4:EV401))</f>
        <v>#N/A</v>
      </c>
      <c r="EX401" s="60" t="str">
        <f t="shared" si="733"/>
        <v/>
      </c>
      <c r="EY401" s="60" t="e">
        <f>IF(EX401="",NA(),SUM($EX$4:EX401))</f>
        <v>#N/A</v>
      </c>
      <c r="EZ401" s="60" t="str">
        <f t="shared" si="734"/>
        <v/>
      </c>
      <c r="FA401" s="60" t="e">
        <f>IF(EZ401="",NA(),SUM($EZ$4:EZ401))</f>
        <v>#N/A</v>
      </c>
      <c r="FB401" s="246" t="str">
        <f t="shared" si="758"/>
        <v/>
      </c>
      <c r="FC401" s="246" t="e">
        <f>IF($FB401="",#N/A,SUM(FB$4:$FB401))</f>
        <v>#N/A</v>
      </c>
      <c r="FD401" s="60" t="str">
        <f t="shared" si="735"/>
        <v/>
      </c>
      <c r="FE401" s="60" t="e">
        <f>IF($FD401="",#N/A,SUM($FD$4:FD401))</f>
        <v>#N/A</v>
      </c>
      <c r="FF401" s="60" t="str">
        <f t="shared" si="736"/>
        <v/>
      </c>
      <c r="FG401" s="60" t="e">
        <f>IF($FF401="",#N/A,SUM($FF$4:FF401))</f>
        <v>#N/A</v>
      </c>
      <c r="FH401" s="60" t="str">
        <f t="shared" si="737"/>
        <v/>
      </c>
      <c r="FI401" s="60" t="e">
        <f>IF($FH401="",#N/A,SUM($FH$4:FH401))</f>
        <v>#N/A</v>
      </c>
      <c r="FJ401" s="60">
        <f t="shared" si="738"/>
        <v>-0.11235233692860858</v>
      </c>
      <c r="FK401" s="60">
        <f>IF($FJ401="",#N/A,SUM($FJ$4:FJ401))</f>
        <v>-6.1432835747944932</v>
      </c>
      <c r="FL401" s="60" t="str">
        <f t="shared" si="739"/>
        <v/>
      </c>
      <c r="FM401" s="60" t="e">
        <f>IF($FL401="",#N/A,SUM($FL$4:FL401))</f>
        <v>#N/A</v>
      </c>
      <c r="FN401" s="82">
        <f t="shared" si="740"/>
        <v>0.87634822804314227</v>
      </c>
      <c r="FO401" s="82">
        <f>IF($FN401="",#N/A,SUM(FN$4:$FN401))</f>
        <v>33.414746976498307</v>
      </c>
      <c r="FP401" s="82">
        <f t="shared" si="759"/>
        <v>0.98870056497175085</v>
      </c>
      <c r="FQ401" s="246">
        <f>IF($EH401="",#N/A,SUM($FP$4:FP401))</f>
        <v>49.002892269459757</v>
      </c>
      <c r="FR401" s="82">
        <f>IFERROR(FQ401/COUNTA($J$4:J401),#N/A)</f>
        <v>0.1231228448981401</v>
      </c>
      <c r="FS401" s="82">
        <f t="shared" si="661"/>
        <v>-0.14492443321274961</v>
      </c>
      <c r="FT401" s="82">
        <f t="shared" si="662"/>
        <v>-0.13412477509873327</v>
      </c>
      <c r="FU401" s="338">
        <f>IF(AND(HB401="MOC",GZ401=""),#N/A,IFERROR(FQ401-HE401,FQ401-0))-14.53</f>
        <v>28.443768747190077</v>
      </c>
      <c r="FV401" s="57" t="str">
        <f t="shared" si="666"/>
        <v>SW</v>
      </c>
      <c r="FW401" s="57" t="s">
        <v>2732</v>
      </c>
      <c r="FX401" s="57" t="str">
        <f t="shared" si="741"/>
        <v/>
      </c>
      <c r="FY401" s="57" t="str">
        <f t="shared" si="742"/>
        <v/>
      </c>
      <c r="FZ401" s="57">
        <f t="shared" si="743"/>
        <v>1</v>
      </c>
      <c r="GA401" s="57" t="str">
        <f t="shared" si="744"/>
        <v>Long</v>
      </c>
      <c r="GB401" s="57" t="str">
        <f t="shared" si="745"/>
        <v/>
      </c>
      <c r="GC401" s="57" t="str">
        <f t="shared" si="746"/>
        <v/>
      </c>
      <c r="GD401" s="57" t="str">
        <f t="shared" si="747"/>
        <v/>
      </c>
      <c r="GE401" s="62">
        <f t="shared" si="664"/>
        <v>51.92</v>
      </c>
      <c r="GF401" s="62" t="s">
        <v>2779</v>
      </c>
      <c r="GG401" s="199">
        <v>32</v>
      </c>
      <c r="GH401" s="207">
        <f t="shared" si="748"/>
        <v>1661.44</v>
      </c>
      <c r="GI401" s="199">
        <v>32</v>
      </c>
      <c r="GJ401" s="200">
        <v>55</v>
      </c>
      <c r="GK401" s="63">
        <f t="shared" si="749"/>
        <v>98.559999999999945</v>
      </c>
      <c r="GL401" s="63">
        <f t="shared" si="665"/>
        <v>87.3599999999999</v>
      </c>
      <c r="GM401" s="82">
        <f t="shared" si="750"/>
        <v>0.87634822804314227</v>
      </c>
      <c r="GN401" s="82">
        <f>IF($GZ401="",#N/A,SUM(GM$4:GM401))</f>
        <v>4.335179904465023</v>
      </c>
      <c r="GO401" s="82" t="str">
        <f t="shared" si="751"/>
        <v/>
      </c>
      <c r="GP401" s="82">
        <f>IF($GZ401="",#N/A,SUM(GO$4:GO401))</f>
        <v>3.2522471402826749</v>
      </c>
      <c r="GQ401" s="82" t="str">
        <f t="shared" si="752"/>
        <v/>
      </c>
      <c r="GR401" s="82">
        <f>IF($GZ401="",#N/A,SUM(GQ$4:GQ401))</f>
        <v>25.20148297730827</v>
      </c>
      <c r="GS401" s="63" t="e">
        <f t="shared" si="760"/>
        <v>#N/A</v>
      </c>
      <c r="GT401" s="63" t="e">
        <f>IF($GZ401="",#N/A,SUM(GS$4:GS401))</f>
        <v>#N/A</v>
      </c>
      <c r="GU401" s="63" t="str">
        <f t="shared" si="761"/>
        <v/>
      </c>
      <c r="GV401" s="63" t="e">
        <f>IF($GZ401="",#N/A,SUM(GU$4:GU401))</f>
        <v>#N/A</v>
      </c>
      <c r="GW401" s="63" t="str">
        <f t="shared" si="762"/>
        <v/>
      </c>
      <c r="GX401" s="63" t="e">
        <f>IF($GZ401="",#N/A,SUM(GW$4:GW401))</f>
        <v>#N/A</v>
      </c>
      <c r="GY401" s="63" t="e">
        <f>IF(EJ401="",#N/A,SUM($EJ$4:EJ401))</f>
        <v>#N/A</v>
      </c>
      <c r="GZ401" s="159">
        <v>54.65</v>
      </c>
      <c r="HA401" s="63">
        <f t="shared" si="753"/>
        <v>-11.200000000000045</v>
      </c>
      <c r="HB401" s="62" t="s">
        <v>2538</v>
      </c>
      <c r="HC401" s="60">
        <f>IFERROR(VLOOKUP(E401,Expectancy!$P$4:$S$19,1+C401,FALSE),"")</f>
        <v>0.40561946259505821</v>
      </c>
      <c r="HD401" s="82">
        <f t="shared" si="754"/>
        <v>0.98870056497175085</v>
      </c>
      <c r="HE401" s="138">
        <f>IF(HD401="",#N/A,SUM($HD$4:HD401))</f>
        <v>6.0291235222696757</v>
      </c>
      <c r="HF401" s="85">
        <f>IF(HD401="",#N/A,IF(HB401="Skip",#N/A,SUM($HG$4:HG401)))</f>
        <v>-109.34142078084437</v>
      </c>
      <c r="HG401" s="63">
        <f t="shared" si="755"/>
        <v>98.559999999999945</v>
      </c>
      <c r="HH401" s="82">
        <f t="shared" si="756"/>
        <v>0.87634822804314227</v>
      </c>
    </row>
    <row r="402" spans="1:216" x14ac:dyDescent="0.25">
      <c r="A402" s="57" t="s">
        <v>3609</v>
      </c>
      <c r="B402" s="58" t="str" cm="1">
        <f t="array" ref="B402">IFERROR(_xlfn.XLOOKUP(A402,Earnings!$B$2:$B$9985,LEFT(Earnings!$C$2:$C$9985,37)),"Can't Find Date***")</f>
        <v>on 3/3/25 After Market Eastern Standa</v>
      </c>
      <c r="C402" s="386">
        <f t="shared" si="667"/>
        <v>3</v>
      </c>
      <c r="D402" s="372" t="str">
        <f>_xlfn.XLOOKUP(A402,[1]SP500!$A$2:$A$502,[1]SP500!$D$2:$D$502,"N")</f>
        <v>N</v>
      </c>
      <c r="E402" s="57" t="str">
        <f>_xlfn.XLOOKUP(A402,[1]SP500!$A$2:$A$655,[1]SP500!$B$2:$B$655)</f>
        <v>IGV</v>
      </c>
      <c r="F402" s="59">
        <v>45719</v>
      </c>
      <c r="G402" s="57" t="str">
        <f t="shared" si="668"/>
        <v>AMC</v>
      </c>
      <c r="H402" s="57" t="str">
        <f t="shared" si="669"/>
        <v>o</v>
      </c>
      <c r="I402" s="159">
        <v>56.25</v>
      </c>
      <c r="J402" s="159">
        <v>54.4</v>
      </c>
      <c r="K402" s="61">
        <f t="shared" si="670"/>
        <v>-3.2888888888888912E-2</v>
      </c>
      <c r="L402" s="87">
        <f t="shared" si="671"/>
        <v>-54.266666666666879</v>
      </c>
      <c r="M402" s="210" t="e">
        <f t="shared" si="663"/>
        <v>#N/A</v>
      </c>
      <c r="N402" s="169" t="str">
        <f t="shared" si="672"/>
        <v/>
      </c>
      <c r="O402" s="169">
        <f>IF($J402="",#N/A,SUM($N$4:N402))</f>
        <v>-344.89225475891067</v>
      </c>
      <c r="P402" s="174" t="str">
        <f t="shared" si="673"/>
        <v/>
      </c>
      <c r="Q402" s="174">
        <f>IF($J402="",#N/A,SUM($P$4:P402))</f>
        <v>116.97774645512766</v>
      </c>
      <c r="R402" s="178">
        <f t="shared" si="674"/>
        <v>-54.266666666666879</v>
      </c>
      <c r="S402" s="178">
        <f>IF($J402="",#N/A,SUM($R$4:R402))</f>
        <v>964.81567032361045</v>
      </c>
      <c r="T402" s="290" t="str">
        <f t="shared" si="675"/>
        <v/>
      </c>
      <c r="U402" s="290">
        <f>IF($J402="",#N/A,SUM($T$4:T402))</f>
        <v>10.01739856757891</v>
      </c>
      <c r="V402" s="291" t="str">
        <f t="shared" si="676"/>
        <v/>
      </c>
      <c r="W402" s="291">
        <f>IF($J402="",#N/A,SUM($V$4:V402))</f>
        <v>20.719269876983365</v>
      </c>
      <c r="X402" s="292">
        <f t="shared" si="677"/>
        <v>-0.54814814814815027</v>
      </c>
      <c r="Y402" s="292">
        <f>IF($J402="",#N/A,SUM($X$4:X402))</f>
        <v>17.718075676749361</v>
      </c>
      <c r="Z402" s="304" t="str">
        <f t="shared" si="678"/>
        <v/>
      </c>
      <c r="AA402" s="313" t="e">
        <f>IF($J402="",#N/A,SUM(Z$4:Z402))</f>
        <v>#N/A</v>
      </c>
      <c r="AB402" s="314" t="str">
        <f t="shared" si="679"/>
        <v/>
      </c>
      <c r="AC402" s="314" t="e">
        <f>IF($J402="",#N/A,SUM(AB$4:AB402))</f>
        <v>#N/A</v>
      </c>
      <c r="AD402" s="315" t="str">
        <f t="shared" si="680"/>
        <v/>
      </c>
      <c r="AE402" s="315" t="e">
        <f>IF($J402="",#N/A,SUM(AD$4:AD402))</f>
        <v>#N/A</v>
      </c>
      <c r="AF402" s="315" t="e">
        <f>IF($J402="",#N/A,SUM(AD$4:AD402,AB$4:AB402,Z$4:Z402))</f>
        <v>#N/A</v>
      </c>
      <c r="AG402" s="304" t="str">
        <f t="shared" si="681"/>
        <v/>
      </c>
      <c r="AH402" s="313" t="e">
        <f>IF($J402="",#N/A,SUM(AG$4:AG402))</f>
        <v>#N/A</v>
      </c>
      <c r="AI402" s="314" t="str">
        <f t="shared" si="682"/>
        <v/>
      </c>
      <c r="AJ402" s="314" t="e">
        <f>IF($J402="",#N/A,SUM(AI$4:AI402))</f>
        <v>#N/A</v>
      </c>
      <c r="AK402" s="315">
        <f t="shared" si="683"/>
        <v>-0.54814814814815027</v>
      </c>
      <c r="AL402" s="315" t="e">
        <f>IF($J402="",#N/A,SUM(AK$4:AK402))</f>
        <v>#N/A</v>
      </c>
      <c r="AM402" s="315" t="e">
        <f>IF($J402="",#N/A,SUM(AK$4:AK402,AI$4:AI402,AG$4:AG402))</f>
        <v>#N/A</v>
      </c>
      <c r="AN402" s="304" t="str">
        <f t="shared" si="684"/>
        <v/>
      </c>
      <c r="AO402" s="313" t="e">
        <f>IF($J402="",#N/A,SUM(AN$4:AN402))</f>
        <v>#N/A</v>
      </c>
      <c r="AP402" s="314" t="str">
        <f t="shared" si="685"/>
        <v/>
      </c>
      <c r="AQ402" s="314" t="e">
        <f>IF($J402="",#N/A,SUM(AP$4:AP402))</f>
        <v>#N/A</v>
      </c>
      <c r="AR402" s="315" t="str">
        <f t="shared" si="686"/>
        <v/>
      </c>
      <c r="AS402" s="315" t="e">
        <f>IF($J402="",#N/A,SUM(AR$4:AR402))</f>
        <v>#N/A</v>
      </c>
      <c r="AT402" s="315" t="e">
        <f>IF($J402="",#N/A,SUM(AR$4:AR402,AP$4:AP402,AN$4:AN402))</f>
        <v>#N/A</v>
      </c>
      <c r="AU402" s="304" t="str">
        <f t="shared" si="687"/>
        <v/>
      </c>
      <c r="AV402" s="313" t="e">
        <f>IF($J402="",#N/A,SUM(AU$4:AU402))</f>
        <v>#N/A</v>
      </c>
      <c r="AW402" s="314" t="str">
        <f t="shared" si="688"/>
        <v/>
      </c>
      <c r="AX402" s="314" t="e">
        <f>IF($J402="",#N/A,SUM(AW$4:AW402))</f>
        <v>#N/A</v>
      </c>
      <c r="AY402" s="315" t="str">
        <f t="shared" si="689"/>
        <v/>
      </c>
      <c r="AZ402" s="315" t="e">
        <f>IF($J402="",#N/A,SUM(AY$4:AY402))</f>
        <v>#N/A</v>
      </c>
      <c r="BA402" s="315" t="e">
        <f>IF($J402="",#N/A,SUM(AY$4:AY402,AW$4:AW402,AU$4:AU402))</f>
        <v>#N/A</v>
      </c>
      <c r="BB402" s="304" t="str">
        <f t="shared" si="690"/>
        <v/>
      </c>
      <c r="BC402" s="313" t="e">
        <f>IF($J402="",#N/A,SUM(BB$4:BB402))</f>
        <v>#N/A</v>
      </c>
      <c r="BD402" s="314" t="str">
        <f t="shared" si="691"/>
        <v/>
      </c>
      <c r="BE402" s="314" t="e">
        <f>IF($J402="",#N/A,SUM(BD$4:BD402))</f>
        <v>#N/A</v>
      </c>
      <c r="BF402" s="315" t="str">
        <f t="shared" si="692"/>
        <v/>
      </c>
      <c r="BG402" s="315" t="e">
        <f>IF($J402="",#N/A,SUM(BF$4:BF402))</f>
        <v>#N/A</v>
      </c>
      <c r="BH402" s="315" t="e">
        <f>IF($J402="",#N/A,SUM(BF$4:BF402,BD$4:BD402,BB$4:BB402))</f>
        <v>#N/A</v>
      </c>
      <c r="BI402" s="304" t="str">
        <f t="shared" si="693"/>
        <v/>
      </c>
      <c r="BJ402" s="313" t="e">
        <f>IF($J402="",#N/A,SUM(BI$4:BI402))</f>
        <v>#N/A</v>
      </c>
      <c r="BK402" s="314" t="str">
        <f t="shared" si="694"/>
        <v/>
      </c>
      <c r="BL402" s="314" t="e">
        <f>IF($J402="",#N/A,SUM(BK$4:BK402))</f>
        <v>#N/A</v>
      </c>
      <c r="BM402" s="315" t="str">
        <f t="shared" si="695"/>
        <v/>
      </c>
      <c r="BN402" s="315" t="e">
        <f>IF($J402="",#N/A,SUM(BM$4:BM402))</f>
        <v>#N/A</v>
      </c>
      <c r="BO402" s="315" t="e">
        <f>IF($J402="",#N/A,SUM(BM$4:BM402,BK$4:BK402,BI$4:BI402))</f>
        <v>#N/A</v>
      </c>
      <c r="BP402" s="304" t="str">
        <f t="shared" si="696"/>
        <v/>
      </c>
      <c r="BQ402" s="313" t="e">
        <f>IF($J402="",#N/A,SUM(BP$4:BP402))</f>
        <v>#N/A</v>
      </c>
      <c r="BR402" s="314" t="str">
        <f t="shared" si="697"/>
        <v/>
      </c>
      <c r="BS402" s="314" t="e">
        <f>IF($J402="",#N/A,SUM(BR$4:BR402))</f>
        <v>#N/A</v>
      </c>
      <c r="BT402" s="315" t="str">
        <f t="shared" si="698"/>
        <v/>
      </c>
      <c r="BU402" s="315" t="e">
        <f>IF($J402="",#N/A,SUM(BT$4:BT402))</f>
        <v>#N/A</v>
      </c>
      <c r="BV402" s="315" t="e">
        <f>IF($J402="",#N/A,SUM(BT$4:BT402,BR$4:BR402,BP$4:BP402))</f>
        <v>#N/A</v>
      </c>
      <c r="BW402" s="304" t="str">
        <f t="shared" si="699"/>
        <v/>
      </c>
      <c r="BX402" s="313" t="e">
        <f>IF($J402="",#N/A,SUM(BW$4:BW402))</f>
        <v>#N/A</v>
      </c>
      <c r="BY402" s="314" t="str">
        <f t="shared" si="700"/>
        <v/>
      </c>
      <c r="BZ402" s="314" t="e">
        <f>IF($J402="",#N/A,SUM(BY$4:BY402))</f>
        <v>#N/A</v>
      </c>
      <c r="CA402" s="315" t="str">
        <f t="shared" si="701"/>
        <v/>
      </c>
      <c r="CB402" s="315" t="e">
        <f>IF($J402="",#N/A,SUM(CA$4:CA402))</f>
        <v>#N/A</v>
      </c>
      <c r="CC402" s="315" t="e">
        <f>IF($J402="",#N/A,SUM(CA$4:CA402,BY$4:BY402,BW$4:BW402))</f>
        <v>#N/A</v>
      </c>
      <c r="CD402" s="304" t="str">
        <f t="shared" si="702"/>
        <v/>
      </c>
      <c r="CE402" s="313" t="e">
        <f>IF($J402="",#N/A,SUM(CD$4:CD402))</f>
        <v>#N/A</v>
      </c>
      <c r="CF402" s="314" t="str">
        <f t="shared" si="703"/>
        <v/>
      </c>
      <c r="CG402" s="314" t="e">
        <f>IF($J402="",#N/A,SUM(CF$4:CF402))</f>
        <v>#N/A</v>
      </c>
      <c r="CH402" s="315" t="str">
        <f t="shared" si="704"/>
        <v/>
      </c>
      <c r="CI402" s="315" t="e">
        <f>IF($J402="",#N/A,SUM(CH$4:CH402))</f>
        <v>#N/A</v>
      </c>
      <c r="CJ402" s="315" t="e">
        <f>IF($J402="",#N/A,SUM(CH$4:CH402,CF$4:CF402,CD$4:CD402))</f>
        <v>#N/A</v>
      </c>
      <c r="CK402" s="304" t="str">
        <f t="shared" si="705"/>
        <v/>
      </c>
      <c r="CL402" s="313" t="e">
        <f>IF($J402="",#N/A,SUM(CK$4:CK402))</f>
        <v>#N/A</v>
      </c>
      <c r="CM402" s="314" t="str">
        <f t="shared" si="706"/>
        <v/>
      </c>
      <c r="CN402" s="314" t="e">
        <f>IF($J402="",#N/A,SUM(CM$4:CM402))</f>
        <v>#N/A</v>
      </c>
      <c r="CO402" s="315" t="str">
        <f t="shared" si="707"/>
        <v/>
      </c>
      <c r="CP402" s="315" t="e">
        <f>IF($J402="",#N/A,SUM(CO$4:CO402))</f>
        <v>#N/A</v>
      </c>
      <c r="CQ402" s="315" t="e">
        <f>IF($J402="",#N/A,SUM(CO$4:CO402,CM$4:CM402,CK$4:CK402))</f>
        <v>#N/A</v>
      </c>
      <c r="CR402" s="304" t="str">
        <f t="shared" si="708"/>
        <v/>
      </c>
      <c r="CS402" s="313" t="e">
        <f>IF($J402="",#N/A,SUM(CR$4:CR402))</f>
        <v>#N/A</v>
      </c>
      <c r="CT402" s="314" t="str">
        <f t="shared" si="709"/>
        <v/>
      </c>
      <c r="CU402" s="314" t="e">
        <f>IF($J402="",#N/A,SUM(CT$4:CT402))</f>
        <v>#N/A</v>
      </c>
      <c r="CV402" s="315" t="str">
        <f t="shared" si="710"/>
        <v/>
      </c>
      <c r="CW402" s="315" t="e">
        <f>IF($J402="",#N/A,SUM(CV$4:CV402))</f>
        <v>#N/A</v>
      </c>
      <c r="CX402" s="315" t="e">
        <f>IF($J402="",#N/A,SUM(CV$4:CV402,CT$4:CT402,CR$4:CR402))</f>
        <v>#N/A</v>
      </c>
      <c r="CY402" s="304" t="str">
        <f t="shared" si="711"/>
        <v/>
      </c>
      <c r="CZ402" s="313" t="e">
        <f>IF($J402="",#N/A,SUM(CY$4:CY402))</f>
        <v>#N/A</v>
      </c>
      <c r="DA402" s="314" t="str">
        <f t="shared" si="712"/>
        <v/>
      </c>
      <c r="DB402" s="314" t="e">
        <f>IF($J402="",#N/A,SUM(DA$4:DA402))</f>
        <v>#N/A</v>
      </c>
      <c r="DC402" s="315" t="str">
        <f t="shared" si="713"/>
        <v/>
      </c>
      <c r="DD402" s="315" t="e">
        <f>IF($J402="",#N/A,SUM(DC$4:DC402))</f>
        <v>#N/A</v>
      </c>
      <c r="DE402" s="315" t="e">
        <f>IF($J402="",#N/A,SUM(DC$4:DC402,DA$4:DA402,CY$4:CY402))</f>
        <v>#N/A</v>
      </c>
      <c r="DF402" s="304" t="str">
        <f t="shared" si="714"/>
        <v/>
      </c>
      <c r="DG402" s="313" t="e">
        <f>IF($J402="",#N/A,SUM(DF$4:DF402))</f>
        <v>#N/A</v>
      </c>
      <c r="DH402" s="314" t="str">
        <f t="shared" si="715"/>
        <v/>
      </c>
      <c r="DI402" s="314" t="e">
        <f>IF($J402="",#N/A,SUM(DH$4:DH402))</f>
        <v>#N/A</v>
      </c>
      <c r="DJ402" s="315" t="str">
        <f t="shared" si="716"/>
        <v/>
      </c>
      <c r="DK402" s="315" t="e">
        <f>IF($J402="",#N/A,SUM(DJ$4:DJ402))</f>
        <v>#N/A</v>
      </c>
      <c r="DL402" s="315" t="e">
        <f>IF($J402="",#N/A,SUM(DJ$4:DJ402,DH$4:DH402,DF$4:DF402))</f>
        <v>#N/A</v>
      </c>
      <c r="DM402" s="304" t="str">
        <f t="shared" si="717"/>
        <v/>
      </c>
      <c r="DN402" s="313" t="e">
        <f>IF($J402="",#N/A,SUM(DM$4:DM402))</f>
        <v>#N/A</v>
      </c>
      <c r="DO402" s="314" t="str">
        <f t="shared" si="718"/>
        <v/>
      </c>
      <c r="DP402" s="314" t="e">
        <f>IF($J402="",#N/A,SUM(DO$4:DO402))</f>
        <v>#N/A</v>
      </c>
      <c r="DQ402" s="315" t="str">
        <f t="shared" si="719"/>
        <v/>
      </c>
      <c r="DR402" s="315" t="e">
        <f>IF($J402="",#N/A,SUM(DQ$4:DQ402))</f>
        <v>#N/A</v>
      </c>
      <c r="DS402" s="315" t="e">
        <f>IF($J402="",#N/A,SUM(DQ$4:DQ402,DO$4:DO402,DM$4:DM402))</f>
        <v>#N/A</v>
      </c>
      <c r="DT402" s="304" t="str">
        <f t="shared" si="720"/>
        <v/>
      </c>
      <c r="DU402" s="313" t="e">
        <f>IF($J402="",#N/A,SUM(DT$4:DT402))</f>
        <v>#N/A</v>
      </c>
      <c r="DV402" s="314" t="str">
        <f t="shared" si="721"/>
        <v/>
      </c>
      <c r="DW402" s="314" t="e">
        <f>IF($J402="",#N/A,SUM(DV$4:DV402))</f>
        <v>#N/A</v>
      </c>
      <c r="DX402" s="315" t="str">
        <f t="shared" si="722"/>
        <v/>
      </c>
      <c r="DY402" s="315" t="e">
        <f>IF($J402="",#N/A,SUM(DX$4:DX402))</f>
        <v>#N/A</v>
      </c>
      <c r="DZ402" s="315" t="e">
        <f>IF($J402="",#N/A,SUM(DX$4:DX402,DV$4:DV402,DT$4:DT402))</f>
        <v>#N/A</v>
      </c>
      <c r="EA402" s="304" t="str">
        <f t="shared" si="723"/>
        <v/>
      </c>
      <c r="EB402" s="313" t="e">
        <f>IF($J402="",#N/A,SUM(EA$4:EA402))</f>
        <v>#N/A</v>
      </c>
      <c r="EC402" s="314" t="str">
        <f t="shared" si="724"/>
        <v/>
      </c>
      <c r="ED402" s="314" t="e">
        <f>IF($J402="",#N/A,SUM(EC$4:EC402))</f>
        <v>#N/A</v>
      </c>
      <c r="EE402" s="315" t="str">
        <f t="shared" si="725"/>
        <v/>
      </c>
      <c r="EF402" s="315" t="e">
        <f>IF($J402="",#N/A,SUM(EE$4:EE402))</f>
        <v>#N/A</v>
      </c>
      <c r="EG402" s="315" t="e">
        <f>IF($J402="",#N/A,SUM(EE$4:EE402,EC$4:EC402,EA$4:EA402))</f>
        <v>#N/A</v>
      </c>
      <c r="EH402" s="130">
        <f t="shared" si="726"/>
        <v>-54.266666666666879</v>
      </c>
      <c r="EI402" s="63">
        <f>IF(EH402="",#N/A,SUM($EH$4:EH402))</f>
        <v>736.90116201982755</v>
      </c>
      <c r="EJ402" s="223" t="e">
        <f t="shared" si="727"/>
        <v>#N/A</v>
      </c>
      <c r="EK402" s="63" t="e">
        <f>IF($GZ402="",#N/A,SUM(EJ$4:EJ402))</f>
        <v>#N/A</v>
      </c>
      <c r="EL402" s="60" t="str">
        <f t="shared" si="757"/>
        <v/>
      </c>
      <c r="EM402" s="60" t="e">
        <f>IF(EL402="",NA(),SUM($EL$4:EL402))</f>
        <v>#N/A</v>
      </c>
      <c r="EN402" s="60" t="str">
        <f t="shared" si="728"/>
        <v/>
      </c>
      <c r="EO402" s="60" t="e">
        <f>IF(EN402="",NA(),SUM($EN$4:EN402))</f>
        <v>#N/A</v>
      </c>
      <c r="EP402" s="60" t="str">
        <f t="shared" si="729"/>
        <v/>
      </c>
      <c r="EQ402" s="60" t="e">
        <f>IF(EP402="",NA(),SUM($EP$4:EP402))</f>
        <v>#N/A</v>
      </c>
      <c r="ER402" s="60" t="str">
        <f t="shared" si="730"/>
        <v/>
      </c>
      <c r="ES402" s="60" t="e">
        <f>IF(ER402="",NA(),SUM($ER$4:ER402))</f>
        <v>#N/A</v>
      </c>
      <c r="ET402" s="60">
        <f t="shared" si="731"/>
        <v>-0.54814814814815027</v>
      </c>
      <c r="EU402" s="60">
        <f>IF(ET402="",NA(),SUM($ET$4:ET402))</f>
        <v>28.822428878074057</v>
      </c>
      <c r="EV402" s="60" t="str">
        <f t="shared" si="732"/>
        <v/>
      </c>
      <c r="EW402" s="60" t="e">
        <f>IF(EV402="",NA(),SUM($EV$4:EV402))</f>
        <v>#N/A</v>
      </c>
      <c r="EX402" s="60">
        <f t="shared" si="733"/>
        <v>-0.54814814814815027</v>
      </c>
      <c r="EY402" s="60">
        <f>IF(EX402="",NA(),SUM($EX$4:EX402))</f>
        <v>10.542514644576519</v>
      </c>
      <c r="EZ402" s="60" t="str">
        <f t="shared" si="734"/>
        <v/>
      </c>
      <c r="FA402" s="60" t="e">
        <f>IF(EZ402="",NA(),SUM($EZ$4:EZ402))</f>
        <v>#N/A</v>
      </c>
      <c r="FB402" s="246" t="str">
        <f t="shared" si="758"/>
        <v/>
      </c>
      <c r="FC402" s="246" t="e">
        <f>IF($FB402="",#N/A,SUM(FB$4:$FB402))</f>
        <v>#N/A</v>
      </c>
      <c r="FD402" s="60" t="str">
        <f t="shared" si="735"/>
        <v/>
      </c>
      <c r="FE402" s="60" t="e">
        <f>IF($FD402="",#N/A,SUM($FD$4:FD402))</f>
        <v>#N/A</v>
      </c>
      <c r="FF402" s="60" t="str">
        <f t="shared" si="736"/>
        <v/>
      </c>
      <c r="FG402" s="60" t="e">
        <f>IF($FF402="",#N/A,SUM($FF$4:FF402))</f>
        <v>#N/A</v>
      </c>
      <c r="FH402" s="60" t="str">
        <f t="shared" si="737"/>
        <v/>
      </c>
      <c r="FI402" s="60" t="e">
        <f>IF($FH402="",#N/A,SUM($FH$4:FH402))</f>
        <v>#N/A</v>
      </c>
      <c r="FJ402" s="60" t="str">
        <f t="shared" si="738"/>
        <v/>
      </c>
      <c r="FK402" s="60" t="e">
        <f>IF($FJ402="",#N/A,SUM($FJ$4:FJ402))</f>
        <v>#N/A</v>
      </c>
      <c r="FL402" s="60">
        <f t="shared" si="739"/>
        <v>2.4888888888888898</v>
      </c>
      <c r="FM402" s="60">
        <f>IF($FL402="",#N/A,SUM($FL$4:FL402))</f>
        <v>-5.2988714567491124</v>
      </c>
      <c r="FN402" s="82">
        <f t="shared" si="740"/>
        <v>1.9407407407407395</v>
      </c>
      <c r="FO402" s="82">
        <f>IF($FN402="",#N/A,SUM(FN$4:$FN402))</f>
        <v>35.355487717239043</v>
      </c>
      <c r="FP402" s="82">
        <f t="shared" si="759"/>
        <v>-0.54814814814815027</v>
      </c>
      <c r="FQ402" s="246">
        <f>IF($EH402="",#N/A,SUM($FP$4:FP402))</f>
        <v>48.454744121311606</v>
      </c>
      <c r="FR402" s="82">
        <f>IFERROR(FQ402/COUNTA($J$4:J402),#N/A)</f>
        <v>0.12144046145692132</v>
      </c>
      <c r="FS402" s="82">
        <f t="shared" si="661"/>
        <v>-0.12922721880171309</v>
      </c>
      <c r="FT402" s="82">
        <f t="shared" si="662"/>
        <v>-0.18228940724191262</v>
      </c>
      <c r="FU402" s="273"/>
      <c r="FV402" s="57" t="str">
        <f t="shared" si="666"/>
        <v>SW</v>
      </c>
      <c r="FW402" s="57" t="s">
        <v>2732</v>
      </c>
      <c r="FX402" s="57" t="str">
        <f t="shared" si="741"/>
        <v/>
      </c>
      <c r="FY402" s="57" t="str">
        <f t="shared" si="742"/>
        <v/>
      </c>
      <c r="FZ402" s="57" t="str">
        <f t="shared" si="743"/>
        <v/>
      </c>
      <c r="GA402" s="57" t="str">
        <f t="shared" si="744"/>
        <v>Long</v>
      </c>
      <c r="GB402" s="57" t="str">
        <f t="shared" si="745"/>
        <v/>
      </c>
      <c r="GC402" s="57" t="str">
        <f t="shared" si="746"/>
        <v/>
      </c>
      <c r="GD402" s="57">
        <f t="shared" si="747"/>
        <v>1</v>
      </c>
      <c r="GE402" s="62">
        <f t="shared" si="664"/>
        <v>56.25</v>
      </c>
      <c r="GF402" s="62" t="s">
        <v>2779</v>
      </c>
      <c r="GG402" s="99">
        <f>IF(I402="","",1650/I402)</f>
        <v>29.333333333333332</v>
      </c>
      <c r="GH402" s="207">
        <f t="shared" si="748"/>
        <v>1650</v>
      </c>
      <c r="GI402" s="99">
        <f>GG402</f>
        <v>29.333333333333332</v>
      </c>
      <c r="GJ402" s="98">
        <f>J402</f>
        <v>54.4</v>
      </c>
      <c r="GK402" s="63">
        <f t="shared" si="749"/>
        <v>-54.266666666666879</v>
      </c>
      <c r="GL402" s="63">
        <f t="shared" si="665"/>
        <v>192.13333333333321</v>
      </c>
      <c r="GM402" s="82">
        <f t="shared" si="750"/>
        <v>1.9407407407407395</v>
      </c>
      <c r="GN402" s="82">
        <f>IF($GZ402="",#N/A,SUM(GM$4:GM402))</f>
        <v>6.2759206452057628</v>
      </c>
      <c r="GO402" s="82" t="str">
        <f t="shared" si="751"/>
        <v/>
      </c>
      <c r="GP402" s="82">
        <f>IF($GZ402="",#N/A,SUM(GO$4:GO402))</f>
        <v>3.2522471402826749</v>
      </c>
      <c r="GQ402" s="82" t="str">
        <f t="shared" si="752"/>
        <v/>
      </c>
      <c r="GR402" s="82">
        <f>IF($GZ402="",#N/A,SUM(GQ$4:GQ402))</f>
        <v>25.20148297730827</v>
      </c>
      <c r="GS402" s="63" t="e">
        <f t="shared" si="760"/>
        <v>#N/A</v>
      </c>
      <c r="GT402" s="63" t="e">
        <f>IF($GZ402="",#N/A,SUM(GS$4:GS402))</f>
        <v>#N/A</v>
      </c>
      <c r="GU402" s="63" t="str">
        <f t="shared" si="761"/>
        <v/>
      </c>
      <c r="GV402" s="63" t="e">
        <f>IF($GZ402="",#N/A,SUM(GU$4:GU402))</f>
        <v>#N/A</v>
      </c>
      <c r="GW402" s="63" t="str">
        <f t="shared" si="762"/>
        <v/>
      </c>
      <c r="GX402" s="63" t="e">
        <f>IF($GZ402="",#N/A,SUM(GW$4:GW402))</f>
        <v>#N/A</v>
      </c>
      <c r="GY402" s="63" t="e">
        <f>IF(EJ402="",#N/A,SUM($EJ$4:EJ402))</f>
        <v>#N/A</v>
      </c>
      <c r="GZ402" s="159">
        <v>62.8</v>
      </c>
      <c r="HA402" s="63">
        <f t="shared" si="753"/>
        <v>246.40000000000009</v>
      </c>
      <c r="HB402" s="62" t="s">
        <v>4970</v>
      </c>
      <c r="HC402" s="60">
        <f>IFERROR(VLOOKUP(E402,Expectancy!$P$4:$S$19,1+C402,FALSE),"")</f>
        <v>0.27741610538114203</v>
      </c>
      <c r="HD402" s="99" t="str">
        <f t="shared" si="754"/>
        <v/>
      </c>
      <c r="HE402" s="500" t="e">
        <f>IF(HD402="",#N/A,SUM($HD$4:HD402))</f>
        <v>#N/A</v>
      </c>
      <c r="HF402" s="501" t="e">
        <f>IF(HD402="",#N/A,IF(HB402="Skip",#N/A,SUM($HG$4:HG402)))</f>
        <v>#N/A</v>
      </c>
      <c r="HG402" s="502" t="str">
        <f t="shared" si="755"/>
        <v/>
      </c>
      <c r="HH402" s="82">
        <f t="shared" si="756"/>
        <v>1.9407407407407395</v>
      </c>
    </row>
    <row r="403" spans="1:216" x14ac:dyDescent="0.25">
      <c r="A403" s="57" t="s">
        <v>648</v>
      </c>
      <c r="B403" s="58" t="str" cm="1">
        <f t="array" ref="B403">IFERROR(_xlfn.XLOOKUP(A403,Earnings!$B$2:$B$9985,LEFT(Earnings!$C$2:$C$9985,37)),"Can't Find Date***")</f>
        <v>on 3/3/25 After Market Eastern Standa</v>
      </c>
      <c r="C403" s="386">
        <f t="shared" si="667"/>
        <v>2</v>
      </c>
      <c r="D403" s="372" t="str">
        <f>_xlfn.XLOOKUP(A403,[1]SP500!$A$2:$A$502,[1]SP500!$D$2:$D$502,"N")</f>
        <v>N</v>
      </c>
      <c r="E403" s="57" t="str">
        <f>_xlfn.XLOOKUP(A403,[1]SP500!$A$2:$A$655,[1]SP500!$B$2:$B$655)</f>
        <v>XLK</v>
      </c>
      <c r="F403" s="59">
        <v>45719</v>
      </c>
      <c r="G403" s="57" t="str">
        <f t="shared" si="668"/>
        <v>AMC</v>
      </c>
      <c r="H403" s="57" t="str">
        <f t="shared" si="669"/>
        <v>s</v>
      </c>
      <c r="I403" s="159">
        <v>16.010000000000002</v>
      </c>
      <c r="J403" s="159">
        <v>13.97</v>
      </c>
      <c r="K403" s="61">
        <f t="shared" si="670"/>
        <v>-0.12742036227357906</v>
      </c>
      <c r="L403" s="87">
        <f t="shared" si="671"/>
        <v>204.00000000000023</v>
      </c>
      <c r="M403" s="130">
        <f t="shared" si="663"/>
        <v>22</v>
      </c>
      <c r="N403" s="169" t="str">
        <f t="shared" si="672"/>
        <v/>
      </c>
      <c r="O403" s="169">
        <f>IF($J403="",#N/A,SUM($N$4:N403))</f>
        <v>-344.89225475891067</v>
      </c>
      <c r="P403" s="174">
        <f t="shared" si="673"/>
        <v>204.00000000000023</v>
      </c>
      <c r="Q403" s="174">
        <f>IF($J403="",#N/A,SUM($P$4:P403))</f>
        <v>320.97774645512789</v>
      </c>
      <c r="R403" s="178" t="str">
        <f t="shared" si="674"/>
        <v/>
      </c>
      <c r="S403" s="178">
        <f>IF($J403="",#N/A,SUM($R$4:R403))</f>
        <v>964.81567032361045</v>
      </c>
      <c r="T403" s="290" t="str">
        <f t="shared" si="675"/>
        <v/>
      </c>
      <c r="U403" s="290">
        <f>IF($J403="",#N/A,SUM($T$4:T403))</f>
        <v>10.01739856757891</v>
      </c>
      <c r="V403" s="291">
        <f t="shared" si="676"/>
        <v>2.1236727045596524</v>
      </c>
      <c r="W403" s="291">
        <f>IF($J403="",#N/A,SUM($V$4:V403))</f>
        <v>22.842942581543017</v>
      </c>
      <c r="X403" s="292" t="str">
        <f t="shared" si="677"/>
        <v/>
      </c>
      <c r="Y403" s="292">
        <f>IF($J403="",#N/A,SUM($X$4:X403))</f>
        <v>17.718075676749361</v>
      </c>
      <c r="Z403" s="304" t="str">
        <f t="shared" si="678"/>
        <v/>
      </c>
      <c r="AA403" s="313" t="e">
        <f>IF($J403="",#N/A,SUM(Z$4:Z403))</f>
        <v>#N/A</v>
      </c>
      <c r="AB403" s="314">
        <f t="shared" si="679"/>
        <v>2.1236727045596524</v>
      </c>
      <c r="AC403" s="314" t="e">
        <f>IF($J403="",#N/A,SUM(AB$4:AB403))</f>
        <v>#N/A</v>
      </c>
      <c r="AD403" s="315" t="str">
        <f t="shared" si="680"/>
        <v/>
      </c>
      <c r="AE403" s="315" t="e">
        <f>IF($J403="",#N/A,SUM(AD$4:AD403))</f>
        <v>#N/A</v>
      </c>
      <c r="AF403" s="315" t="e">
        <f>IF($J403="",#N/A,SUM(AD$4:AD403,AB$4:AB403,Z$4:Z403))</f>
        <v>#N/A</v>
      </c>
      <c r="AG403" s="304" t="str">
        <f t="shared" si="681"/>
        <v/>
      </c>
      <c r="AH403" s="313" t="e">
        <f>IF($J403="",#N/A,SUM(AG$4:AG403))</f>
        <v>#N/A</v>
      </c>
      <c r="AI403" s="314" t="str">
        <f t="shared" si="682"/>
        <v/>
      </c>
      <c r="AJ403" s="314" t="e">
        <f>IF($J403="",#N/A,SUM(AI$4:AI403))</f>
        <v>#N/A</v>
      </c>
      <c r="AK403" s="315" t="str">
        <f t="shared" si="683"/>
        <v/>
      </c>
      <c r="AL403" s="315" t="e">
        <f>IF($J403="",#N/A,SUM(AK$4:AK403))</f>
        <v>#N/A</v>
      </c>
      <c r="AM403" s="315" t="e">
        <f>IF($J403="",#N/A,SUM(AK$4:AK403,AI$4:AI403,AG$4:AG403))</f>
        <v>#N/A</v>
      </c>
      <c r="AN403" s="304" t="str">
        <f t="shared" si="684"/>
        <v/>
      </c>
      <c r="AO403" s="313" t="e">
        <f>IF($J403="",#N/A,SUM(AN$4:AN403))</f>
        <v>#N/A</v>
      </c>
      <c r="AP403" s="314" t="str">
        <f t="shared" si="685"/>
        <v/>
      </c>
      <c r="AQ403" s="314" t="e">
        <f>IF($J403="",#N/A,SUM(AP$4:AP403))</f>
        <v>#N/A</v>
      </c>
      <c r="AR403" s="315" t="str">
        <f t="shared" si="686"/>
        <v/>
      </c>
      <c r="AS403" s="315" t="e">
        <f>IF($J403="",#N/A,SUM(AR$4:AR403))</f>
        <v>#N/A</v>
      </c>
      <c r="AT403" s="315" t="e">
        <f>IF($J403="",#N/A,SUM(AR$4:AR403,AP$4:AP403,AN$4:AN403))</f>
        <v>#N/A</v>
      </c>
      <c r="AU403" s="304" t="str">
        <f t="shared" si="687"/>
        <v/>
      </c>
      <c r="AV403" s="313" t="e">
        <f>IF($J403="",#N/A,SUM(AU$4:AU403))</f>
        <v>#N/A</v>
      </c>
      <c r="AW403" s="314" t="str">
        <f t="shared" si="688"/>
        <v/>
      </c>
      <c r="AX403" s="314" t="e">
        <f>IF($J403="",#N/A,SUM(AW$4:AW403))</f>
        <v>#N/A</v>
      </c>
      <c r="AY403" s="315" t="str">
        <f t="shared" si="689"/>
        <v/>
      </c>
      <c r="AZ403" s="315" t="e">
        <f>IF($J403="",#N/A,SUM(AY$4:AY403))</f>
        <v>#N/A</v>
      </c>
      <c r="BA403" s="315" t="e">
        <f>IF($J403="",#N/A,SUM(AY$4:AY403,AW$4:AW403,AU$4:AU403))</f>
        <v>#N/A</v>
      </c>
      <c r="BB403" s="304" t="str">
        <f t="shared" si="690"/>
        <v/>
      </c>
      <c r="BC403" s="313" t="e">
        <f>IF($J403="",#N/A,SUM(BB$4:BB403))</f>
        <v>#N/A</v>
      </c>
      <c r="BD403" s="314" t="str">
        <f t="shared" si="691"/>
        <v/>
      </c>
      <c r="BE403" s="314" t="e">
        <f>IF($J403="",#N/A,SUM(BD$4:BD403))</f>
        <v>#N/A</v>
      </c>
      <c r="BF403" s="315" t="str">
        <f t="shared" si="692"/>
        <v/>
      </c>
      <c r="BG403" s="315" t="e">
        <f>IF($J403="",#N/A,SUM(BF$4:BF403))</f>
        <v>#N/A</v>
      </c>
      <c r="BH403" s="315" t="e">
        <f>IF($J403="",#N/A,SUM(BF$4:BF403,BD$4:BD403,BB$4:BB403))</f>
        <v>#N/A</v>
      </c>
      <c r="BI403" s="304" t="str">
        <f t="shared" si="693"/>
        <v/>
      </c>
      <c r="BJ403" s="313" t="e">
        <f>IF($J403="",#N/A,SUM(BI$4:BI403))</f>
        <v>#N/A</v>
      </c>
      <c r="BK403" s="314" t="str">
        <f t="shared" si="694"/>
        <v/>
      </c>
      <c r="BL403" s="314" t="e">
        <f>IF($J403="",#N/A,SUM(BK$4:BK403))</f>
        <v>#N/A</v>
      </c>
      <c r="BM403" s="315" t="str">
        <f t="shared" si="695"/>
        <v/>
      </c>
      <c r="BN403" s="315" t="e">
        <f>IF($J403="",#N/A,SUM(BM$4:BM403))</f>
        <v>#N/A</v>
      </c>
      <c r="BO403" s="315" t="e">
        <f>IF($J403="",#N/A,SUM(BM$4:BM403,BK$4:BK403,BI$4:BI403))</f>
        <v>#N/A</v>
      </c>
      <c r="BP403" s="304" t="str">
        <f t="shared" si="696"/>
        <v/>
      </c>
      <c r="BQ403" s="313" t="e">
        <f>IF($J403="",#N/A,SUM(BP$4:BP403))</f>
        <v>#N/A</v>
      </c>
      <c r="BR403" s="314" t="str">
        <f t="shared" si="697"/>
        <v/>
      </c>
      <c r="BS403" s="314" t="e">
        <f>IF($J403="",#N/A,SUM(BR$4:BR403))</f>
        <v>#N/A</v>
      </c>
      <c r="BT403" s="315" t="str">
        <f t="shared" si="698"/>
        <v/>
      </c>
      <c r="BU403" s="315" t="e">
        <f>IF($J403="",#N/A,SUM(BT$4:BT403))</f>
        <v>#N/A</v>
      </c>
      <c r="BV403" s="315" t="e">
        <f>IF($J403="",#N/A,SUM(BT$4:BT403,BR$4:BR403,BP$4:BP403))</f>
        <v>#N/A</v>
      </c>
      <c r="BW403" s="304" t="str">
        <f t="shared" si="699"/>
        <v/>
      </c>
      <c r="BX403" s="313" t="e">
        <f>IF($J403="",#N/A,SUM(BW$4:BW403))</f>
        <v>#N/A</v>
      </c>
      <c r="BY403" s="314" t="str">
        <f t="shared" si="700"/>
        <v/>
      </c>
      <c r="BZ403" s="314" t="e">
        <f>IF($J403="",#N/A,SUM(BY$4:BY403))</f>
        <v>#N/A</v>
      </c>
      <c r="CA403" s="315" t="str">
        <f t="shared" si="701"/>
        <v/>
      </c>
      <c r="CB403" s="315" t="e">
        <f>IF($J403="",#N/A,SUM(CA$4:CA403))</f>
        <v>#N/A</v>
      </c>
      <c r="CC403" s="315" t="e">
        <f>IF($J403="",#N/A,SUM(CA$4:CA403,BY$4:BY403,BW$4:BW403))</f>
        <v>#N/A</v>
      </c>
      <c r="CD403" s="304" t="str">
        <f t="shared" si="702"/>
        <v/>
      </c>
      <c r="CE403" s="313" t="e">
        <f>IF($J403="",#N/A,SUM(CD$4:CD403))</f>
        <v>#N/A</v>
      </c>
      <c r="CF403" s="314" t="str">
        <f t="shared" si="703"/>
        <v/>
      </c>
      <c r="CG403" s="314" t="e">
        <f>IF($J403="",#N/A,SUM(CF$4:CF403))</f>
        <v>#N/A</v>
      </c>
      <c r="CH403" s="315" t="str">
        <f t="shared" si="704"/>
        <v/>
      </c>
      <c r="CI403" s="315" t="e">
        <f>IF($J403="",#N/A,SUM(CH$4:CH403))</f>
        <v>#N/A</v>
      </c>
      <c r="CJ403" s="315" t="e">
        <f>IF($J403="",#N/A,SUM(CH$4:CH403,CF$4:CF403,CD$4:CD403))</f>
        <v>#N/A</v>
      </c>
      <c r="CK403" s="304" t="str">
        <f t="shared" si="705"/>
        <v/>
      </c>
      <c r="CL403" s="313" t="e">
        <f>IF($J403="",#N/A,SUM(CK$4:CK403))</f>
        <v>#N/A</v>
      </c>
      <c r="CM403" s="314" t="str">
        <f t="shared" si="706"/>
        <v/>
      </c>
      <c r="CN403" s="314" t="e">
        <f>IF($J403="",#N/A,SUM(CM$4:CM403))</f>
        <v>#N/A</v>
      </c>
      <c r="CO403" s="315" t="str">
        <f t="shared" si="707"/>
        <v/>
      </c>
      <c r="CP403" s="315" t="e">
        <f>IF($J403="",#N/A,SUM(CO$4:CO403))</f>
        <v>#N/A</v>
      </c>
      <c r="CQ403" s="315" t="e">
        <f>IF($J403="",#N/A,SUM(CO$4:CO403,CM$4:CM403,CK$4:CK403))</f>
        <v>#N/A</v>
      </c>
      <c r="CR403" s="304" t="str">
        <f t="shared" si="708"/>
        <v/>
      </c>
      <c r="CS403" s="313" t="e">
        <f>IF($J403="",#N/A,SUM(CR$4:CR403))</f>
        <v>#N/A</v>
      </c>
      <c r="CT403" s="314" t="str">
        <f t="shared" si="709"/>
        <v/>
      </c>
      <c r="CU403" s="314" t="e">
        <f>IF($J403="",#N/A,SUM(CT$4:CT403))</f>
        <v>#N/A</v>
      </c>
      <c r="CV403" s="315" t="str">
        <f t="shared" si="710"/>
        <v/>
      </c>
      <c r="CW403" s="315" t="e">
        <f>IF($J403="",#N/A,SUM(CV$4:CV403))</f>
        <v>#N/A</v>
      </c>
      <c r="CX403" s="315" t="e">
        <f>IF($J403="",#N/A,SUM(CV$4:CV403,CT$4:CT403,CR$4:CR403))</f>
        <v>#N/A</v>
      </c>
      <c r="CY403" s="304" t="str">
        <f t="shared" si="711"/>
        <v/>
      </c>
      <c r="CZ403" s="313" t="e">
        <f>IF($J403="",#N/A,SUM(CY$4:CY403))</f>
        <v>#N/A</v>
      </c>
      <c r="DA403" s="314" t="str">
        <f t="shared" si="712"/>
        <v/>
      </c>
      <c r="DB403" s="314" t="e">
        <f>IF($J403="",#N/A,SUM(DA$4:DA403))</f>
        <v>#N/A</v>
      </c>
      <c r="DC403" s="315" t="str">
        <f t="shared" si="713"/>
        <v/>
      </c>
      <c r="DD403" s="315" t="e">
        <f>IF($J403="",#N/A,SUM(DC$4:DC403))</f>
        <v>#N/A</v>
      </c>
      <c r="DE403" s="315" t="e">
        <f>IF($J403="",#N/A,SUM(DC$4:DC403,DA$4:DA403,CY$4:CY403))</f>
        <v>#N/A</v>
      </c>
      <c r="DF403" s="304" t="str">
        <f t="shared" si="714"/>
        <v/>
      </c>
      <c r="DG403" s="313" t="e">
        <f>IF($J403="",#N/A,SUM(DF$4:DF403))</f>
        <v>#N/A</v>
      </c>
      <c r="DH403" s="314" t="str">
        <f t="shared" si="715"/>
        <v/>
      </c>
      <c r="DI403" s="314" t="e">
        <f>IF($J403="",#N/A,SUM(DH$4:DH403))</f>
        <v>#N/A</v>
      </c>
      <c r="DJ403" s="315" t="str">
        <f t="shared" si="716"/>
        <v/>
      </c>
      <c r="DK403" s="315" t="e">
        <f>IF($J403="",#N/A,SUM(DJ$4:DJ403))</f>
        <v>#N/A</v>
      </c>
      <c r="DL403" s="315" t="e">
        <f>IF($J403="",#N/A,SUM(DJ$4:DJ403,DH$4:DH403,DF$4:DF403))</f>
        <v>#N/A</v>
      </c>
      <c r="DM403" s="304" t="str">
        <f t="shared" si="717"/>
        <v/>
      </c>
      <c r="DN403" s="313" t="e">
        <f>IF($J403="",#N/A,SUM(DM$4:DM403))</f>
        <v>#N/A</v>
      </c>
      <c r="DO403" s="314" t="str">
        <f t="shared" si="718"/>
        <v/>
      </c>
      <c r="DP403" s="314" t="e">
        <f>IF($J403="",#N/A,SUM(DO$4:DO403))</f>
        <v>#N/A</v>
      </c>
      <c r="DQ403" s="315" t="str">
        <f t="shared" si="719"/>
        <v/>
      </c>
      <c r="DR403" s="315" t="e">
        <f>IF($J403="",#N/A,SUM(DQ$4:DQ403))</f>
        <v>#N/A</v>
      </c>
      <c r="DS403" s="315" t="e">
        <f>IF($J403="",#N/A,SUM(DQ$4:DQ403,DO$4:DO403,DM$4:DM403))</f>
        <v>#N/A</v>
      </c>
      <c r="DT403" s="304" t="str">
        <f t="shared" si="720"/>
        <v/>
      </c>
      <c r="DU403" s="313" t="e">
        <f>IF($J403="",#N/A,SUM(DT$4:DT403))</f>
        <v>#N/A</v>
      </c>
      <c r="DV403" s="314" t="str">
        <f t="shared" si="721"/>
        <v/>
      </c>
      <c r="DW403" s="314" t="e">
        <f>IF($J403="",#N/A,SUM(DV$4:DV403))</f>
        <v>#N/A</v>
      </c>
      <c r="DX403" s="315" t="str">
        <f t="shared" si="722"/>
        <v/>
      </c>
      <c r="DY403" s="315" t="e">
        <f>IF($J403="",#N/A,SUM(DX$4:DX403))</f>
        <v>#N/A</v>
      </c>
      <c r="DZ403" s="315" t="e">
        <f>IF($J403="",#N/A,SUM(DX$4:DX403,DV$4:DV403,DT$4:DT403))</f>
        <v>#N/A</v>
      </c>
      <c r="EA403" s="304" t="str">
        <f t="shared" si="723"/>
        <v/>
      </c>
      <c r="EB403" s="313" t="e">
        <f>IF($J403="",#N/A,SUM(EA$4:EA403))</f>
        <v>#N/A</v>
      </c>
      <c r="EC403" s="314" t="str">
        <f t="shared" si="724"/>
        <v/>
      </c>
      <c r="ED403" s="314" t="e">
        <f>IF($J403="",#N/A,SUM(EC$4:EC403))</f>
        <v>#N/A</v>
      </c>
      <c r="EE403" s="315" t="str">
        <f t="shared" si="725"/>
        <v/>
      </c>
      <c r="EF403" s="315" t="e">
        <f>IF($J403="",#N/A,SUM(EE$4:EE403))</f>
        <v>#N/A</v>
      </c>
      <c r="EG403" s="315" t="e">
        <f>IF($J403="",#N/A,SUM(EE$4:EE403,EC$4:EC403,EA$4:EA403))</f>
        <v>#N/A</v>
      </c>
      <c r="EH403" s="130">
        <f t="shared" si="726"/>
        <v>204.00000000000023</v>
      </c>
      <c r="EI403" s="63">
        <f>IF(EH403="",#N/A,SUM($EH$4:EH403))</f>
        <v>940.90116201982778</v>
      </c>
      <c r="EJ403" s="223" t="e">
        <f t="shared" si="727"/>
        <v>#N/A</v>
      </c>
      <c r="EK403" s="63" t="e">
        <f>IF($GZ403="",#N/A,SUM(EJ$4:EJ403))</f>
        <v>#N/A</v>
      </c>
      <c r="EL403" s="60" t="str">
        <f t="shared" si="757"/>
        <v/>
      </c>
      <c r="EM403" s="60" t="e">
        <f>IF(EL403="",NA(),SUM($EL$4:EL403))</f>
        <v>#N/A</v>
      </c>
      <c r="EN403" s="60" t="str">
        <f t="shared" si="728"/>
        <v/>
      </c>
      <c r="EO403" s="60" t="e">
        <f>IF(EN403="",NA(),SUM($EN$4:EN403))</f>
        <v>#N/A</v>
      </c>
      <c r="EP403" s="60" t="str">
        <f t="shared" si="729"/>
        <v/>
      </c>
      <c r="EQ403" s="60" t="e">
        <f>IF(EP403="",NA(),SUM($EP$4:EP403))</f>
        <v>#N/A</v>
      </c>
      <c r="ER403" s="60" t="str">
        <f t="shared" si="730"/>
        <v/>
      </c>
      <c r="ES403" s="60" t="e">
        <f>IF(ER403="",NA(),SUM($ER$4:ER403))</f>
        <v>#N/A</v>
      </c>
      <c r="ET403" s="60">
        <f t="shared" si="731"/>
        <v>2.1236727045596524</v>
      </c>
      <c r="EU403" s="60">
        <f>IF(ET403="",NA(),SUM($ET$4:ET403))</f>
        <v>30.946101582633709</v>
      </c>
      <c r="EV403" s="60" t="str">
        <f t="shared" si="732"/>
        <v/>
      </c>
      <c r="EW403" s="60" t="e">
        <f>IF(EV403="",NA(),SUM($EV$4:EV403))</f>
        <v>#N/A</v>
      </c>
      <c r="EX403" s="60" t="str">
        <f t="shared" si="733"/>
        <v/>
      </c>
      <c r="EY403" s="60" t="e">
        <f>IF(EX403="",NA(),SUM($EX$4:EX403))</f>
        <v>#N/A</v>
      </c>
      <c r="EZ403" s="60">
        <f t="shared" si="734"/>
        <v>2.1236727045596524</v>
      </c>
      <c r="FA403" s="60">
        <f>IF(EZ403="",NA(),SUM($EZ$4:EZ403))</f>
        <v>14.903484688841157</v>
      </c>
      <c r="FB403" s="246">
        <f t="shared" si="758"/>
        <v>-1.6239850093691441</v>
      </c>
      <c r="FC403" s="246">
        <f>IF($FB403="",#N/A,SUM(FB$4:$FB403))</f>
        <v>1.3417765833320139</v>
      </c>
      <c r="FD403" s="60" t="str">
        <f t="shared" si="735"/>
        <v/>
      </c>
      <c r="FE403" s="60" t="e">
        <f>IF($FD403="",#N/A,SUM($FD$4:FD403))</f>
        <v>#N/A</v>
      </c>
      <c r="FF403" s="60" t="str">
        <f t="shared" si="736"/>
        <v/>
      </c>
      <c r="FG403" s="60" t="e">
        <f>IF($FF403="",#N/A,SUM($FF$4:FF403))</f>
        <v>#N/A</v>
      </c>
      <c r="FH403" s="60" t="str">
        <f t="shared" si="737"/>
        <v/>
      </c>
      <c r="FI403" s="60" t="e">
        <f>IF($FH403="",#N/A,SUM($FH$4:FH403))</f>
        <v>#N/A</v>
      </c>
      <c r="FJ403" s="60" t="str">
        <f t="shared" si="738"/>
        <v/>
      </c>
      <c r="FK403" s="60" t="e">
        <f>IF($FJ403="",#N/A,SUM($FJ$4:FJ403))</f>
        <v>#N/A</v>
      </c>
      <c r="FL403" s="60" t="str">
        <f t="shared" si="739"/>
        <v/>
      </c>
      <c r="FM403" s="60" t="e">
        <f>IF($FL403="",#N/A,SUM($FL$4:FL403))</f>
        <v>#N/A</v>
      </c>
      <c r="FN403" s="82">
        <f t="shared" si="740"/>
        <v>0.49968769519050821</v>
      </c>
      <c r="FO403" s="82">
        <f>IF($FN403="",#N/A,SUM(FN$4:$FN403))</f>
        <v>35.855175412429553</v>
      </c>
      <c r="FP403" s="82">
        <f t="shared" si="759"/>
        <v>2.1236727045596524</v>
      </c>
      <c r="FQ403" s="246">
        <f>IF($EH403="",#N/A,SUM($FP$4:FP403))</f>
        <v>50.578416825871258</v>
      </c>
      <c r="FR403" s="82">
        <f>IFERROR(FQ403/COUNTA($J$4:J403),#N/A)</f>
        <v>0.12644604206467813</v>
      </c>
      <c r="FS403" s="82">
        <f t="shared" si="661"/>
        <v>-7.0022995479750841E-2</v>
      </c>
      <c r="FT403" s="82">
        <f t="shared" si="662"/>
        <v>-0.1146204126699584</v>
      </c>
      <c r="FU403" s="338">
        <f>IF(AND(HB403="MOC",GZ403=""),#N/A,IFERROR(FQ403-HE403,FQ403-0))-14.53</f>
        <v>27.666597072079611</v>
      </c>
      <c r="FV403" s="57" t="str">
        <f t="shared" si="666"/>
        <v>Dwn</v>
      </c>
      <c r="FW403" s="57" t="s">
        <v>2733</v>
      </c>
      <c r="FX403" s="57" t="str">
        <f t="shared" si="741"/>
        <v/>
      </c>
      <c r="FY403" s="57" t="str">
        <f t="shared" si="742"/>
        <v/>
      </c>
      <c r="FZ403" s="57" t="str">
        <f t="shared" si="743"/>
        <v/>
      </c>
      <c r="GA403" s="57" t="str">
        <f t="shared" si="744"/>
        <v>Short</v>
      </c>
      <c r="GB403" s="57">
        <f t="shared" si="745"/>
        <v>1</v>
      </c>
      <c r="GC403" s="57" t="str">
        <f t="shared" si="746"/>
        <v/>
      </c>
      <c r="GD403" s="57" t="str">
        <f t="shared" si="747"/>
        <v/>
      </c>
      <c r="GE403" s="62">
        <f t="shared" si="664"/>
        <v>16.010000000000002</v>
      </c>
      <c r="GF403" s="62" t="s">
        <v>2780</v>
      </c>
      <c r="GG403" s="199">
        <v>100</v>
      </c>
      <c r="GH403" s="207">
        <f t="shared" si="748"/>
        <v>1601.0000000000002</v>
      </c>
      <c r="GI403" s="199">
        <v>100</v>
      </c>
      <c r="GJ403" s="200">
        <v>13.75</v>
      </c>
      <c r="GK403" s="63">
        <f t="shared" si="749"/>
        <v>226.00000000000023</v>
      </c>
      <c r="GL403" s="63">
        <f t="shared" si="665"/>
        <v>48.000000000000227</v>
      </c>
      <c r="GM403" s="82" t="str">
        <f t="shared" si="750"/>
        <v/>
      </c>
      <c r="GN403" s="82">
        <f>IF($GZ403="",#N/A,SUM(GM$4:GM403))</f>
        <v>6.2759206452057628</v>
      </c>
      <c r="GO403" s="82" t="str">
        <f t="shared" si="751"/>
        <v/>
      </c>
      <c r="GP403" s="82">
        <f>IF($GZ403="",#N/A,SUM(GO$4:GO403))</f>
        <v>3.2522471402826749</v>
      </c>
      <c r="GQ403" s="82">
        <f t="shared" si="752"/>
        <v>0.49968769519050821</v>
      </c>
      <c r="GR403" s="82">
        <f>IF($GZ403="",#N/A,SUM(GQ$4:GQ403))</f>
        <v>25.70117067249878</v>
      </c>
      <c r="GS403" s="63" t="str">
        <f t="shared" si="760"/>
        <v/>
      </c>
      <c r="GT403" s="63" t="e">
        <f>IF($GZ403="",#N/A,SUM(GS$4:GS403))</f>
        <v>#N/A</v>
      </c>
      <c r="GU403" s="63" t="str">
        <f t="shared" si="761"/>
        <v/>
      </c>
      <c r="GV403" s="63" t="e">
        <f>IF($GZ403="",#N/A,SUM(GU$4:GU403))</f>
        <v>#N/A</v>
      </c>
      <c r="GW403" s="63" t="e">
        <f t="shared" si="762"/>
        <v>#N/A</v>
      </c>
      <c r="GX403" s="63" t="e">
        <f>IF($GZ403="",#N/A,SUM(GW$4:GW403))</f>
        <v>#N/A</v>
      </c>
      <c r="GY403" s="63" t="e">
        <f>IF(EJ403="",#N/A,SUM($EJ$4:EJ403))</f>
        <v>#N/A</v>
      </c>
      <c r="GZ403" s="159">
        <v>15.53</v>
      </c>
      <c r="HA403" s="63">
        <f t="shared" si="753"/>
        <v>-156</v>
      </c>
      <c r="HB403" s="62" t="s">
        <v>2538</v>
      </c>
      <c r="HC403" s="60">
        <f>IFERROR(VLOOKUP(E403,Expectancy!$P$4:$S$19,1+C403,FALSE),"")</f>
        <v>1.1895734332751575</v>
      </c>
      <c r="HD403" s="82">
        <f t="shared" si="754"/>
        <v>2.3526962315219673</v>
      </c>
      <c r="HE403" s="138">
        <f>IF(HD403="",#N/A,SUM($HD$4:HD403))</f>
        <v>8.3818197537916426</v>
      </c>
      <c r="HF403" s="85">
        <f>IF(HD403="",#N/A,IF(HB403="Skip",#N/A,SUM($HG$4:HG403)))</f>
        <v>116.65857921915585</v>
      </c>
      <c r="HG403" s="63">
        <f t="shared" si="755"/>
        <v>226.00000000000023</v>
      </c>
      <c r="HH403" s="82">
        <f t="shared" si="756"/>
        <v>0.49968769519050821</v>
      </c>
    </row>
    <row r="404" spans="1:216" x14ac:dyDescent="0.25">
      <c r="A404" s="57" t="s">
        <v>1067</v>
      </c>
      <c r="B404" s="58" t="str" cm="1">
        <f t="array" ref="B404">IFERROR(_xlfn.XLOOKUP(A404,Earnings!$B$2:$B$9985,LEFT(Earnings!$C$2:$C$9985,37)),"Can't Find Date***")</f>
        <v>on 3/3/25 After Market Eastern Standa</v>
      </c>
      <c r="C404" s="386">
        <f t="shared" si="667"/>
        <v>3</v>
      </c>
      <c r="D404" s="372" t="str">
        <f>_xlfn.XLOOKUP(A404,[1]SP500!$A$2:$A$502,[1]SP500!$D$2:$D$502,"N")</f>
        <v>N</v>
      </c>
      <c r="E404" s="57" t="str">
        <f>_xlfn.XLOOKUP(A404,[1]SP500!$A$2:$A$655,[1]SP500!$B$2:$B$655)</f>
        <v>XLK</v>
      </c>
      <c r="F404" s="59">
        <v>45719</v>
      </c>
      <c r="G404" s="57" t="str">
        <f t="shared" si="668"/>
        <v>AMC</v>
      </c>
      <c r="H404" s="57" t="str">
        <f t="shared" si="669"/>
        <v>o</v>
      </c>
      <c r="I404" s="159">
        <v>25.62</v>
      </c>
      <c r="J404" s="159">
        <v>24.52</v>
      </c>
      <c r="K404" s="61">
        <f t="shared" si="670"/>
        <v>-4.2935206869633154E-2</v>
      </c>
      <c r="L404" s="87">
        <f t="shared" si="671"/>
        <v>-70.84309133489478</v>
      </c>
      <c r="M404" s="210" t="e">
        <f t="shared" si="663"/>
        <v>#N/A</v>
      </c>
      <c r="N404" s="169" t="str">
        <f t="shared" si="672"/>
        <v/>
      </c>
      <c r="O404" s="169">
        <f>IF($J404="",#N/A,SUM($N$4:N404))</f>
        <v>-344.89225475891067</v>
      </c>
      <c r="P404" s="174" t="str">
        <f t="shared" si="673"/>
        <v/>
      </c>
      <c r="Q404" s="174">
        <f>IF($J404="",#N/A,SUM($P$4:P404))</f>
        <v>320.97774645512789</v>
      </c>
      <c r="R404" s="178">
        <f t="shared" si="674"/>
        <v>-70.84309133489478</v>
      </c>
      <c r="S404" s="178">
        <f>IF($J404="",#N/A,SUM($R$4:R404))</f>
        <v>893.97257898871567</v>
      </c>
      <c r="T404" s="290" t="str">
        <f t="shared" si="675"/>
        <v/>
      </c>
      <c r="U404" s="290">
        <f>IF($J404="",#N/A,SUM($T$4:T404))</f>
        <v>10.01739856757891</v>
      </c>
      <c r="V404" s="291" t="str">
        <f t="shared" si="676"/>
        <v/>
      </c>
      <c r="W404" s="291">
        <f>IF($J404="",#N/A,SUM($V$4:V404))</f>
        <v>22.842942581543017</v>
      </c>
      <c r="X404" s="292">
        <f t="shared" si="677"/>
        <v>-0.7155867811605533</v>
      </c>
      <c r="Y404" s="292">
        <f>IF($J404="",#N/A,SUM($X$4:X404))</f>
        <v>17.002488895588808</v>
      </c>
      <c r="Z404" s="304" t="str">
        <f t="shared" si="678"/>
        <v/>
      </c>
      <c r="AA404" s="313" t="e">
        <f>IF($J404="",#N/A,SUM(Z$4:Z404))</f>
        <v>#N/A</v>
      </c>
      <c r="AB404" s="314" t="str">
        <f t="shared" si="679"/>
        <v/>
      </c>
      <c r="AC404" s="314" t="e">
        <f>IF($J404="",#N/A,SUM(AB$4:AB404))</f>
        <v>#N/A</v>
      </c>
      <c r="AD404" s="315">
        <f t="shared" si="680"/>
        <v>-0.7155867811605533</v>
      </c>
      <c r="AE404" s="315" t="e">
        <f>IF($J404="",#N/A,SUM(AD$4:AD404))</f>
        <v>#N/A</v>
      </c>
      <c r="AF404" s="315" t="e">
        <f>IF($J404="",#N/A,SUM(AD$4:AD404,AB$4:AB404,Z$4:Z404))</f>
        <v>#N/A</v>
      </c>
      <c r="AG404" s="304" t="str">
        <f t="shared" si="681"/>
        <v/>
      </c>
      <c r="AH404" s="313" t="e">
        <f>IF($J404="",#N/A,SUM(AG$4:AG404))</f>
        <v>#N/A</v>
      </c>
      <c r="AI404" s="314" t="str">
        <f t="shared" si="682"/>
        <v/>
      </c>
      <c r="AJ404" s="314" t="e">
        <f>IF($J404="",#N/A,SUM(AI$4:AI404))</f>
        <v>#N/A</v>
      </c>
      <c r="AK404" s="315" t="str">
        <f t="shared" si="683"/>
        <v/>
      </c>
      <c r="AL404" s="315" t="e">
        <f>IF($J404="",#N/A,SUM(AK$4:AK404))</f>
        <v>#N/A</v>
      </c>
      <c r="AM404" s="315" t="e">
        <f>IF($J404="",#N/A,SUM(AK$4:AK404,AI$4:AI404,AG$4:AG404))</f>
        <v>#N/A</v>
      </c>
      <c r="AN404" s="304" t="str">
        <f t="shared" si="684"/>
        <v/>
      </c>
      <c r="AO404" s="313" t="e">
        <f>IF($J404="",#N/A,SUM(AN$4:AN404))</f>
        <v>#N/A</v>
      </c>
      <c r="AP404" s="314" t="str">
        <f t="shared" si="685"/>
        <v/>
      </c>
      <c r="AQ404" s="314" t="e">
        <f>IF($J404="",#N/A,SUM(AP$4:AP404))</f>
        <v>#N/A</v>
      </c>
      <c r="AR404" s="315" t="str">
        <f t="shared" si="686"/>
        <v/>
      </c>
      <c r="AS404" s="315" t="e">
        <f>IF($J404="",#N/A,SUM(AR$4:AR404))</f>
        <v>#N/A</v>
      </c>
      <c r="AT404" s="315" t="e">
        <f>IF($J404="",#N/A,SUM(AR$4:AR404,AP$4:AP404,AN$4:AN404))</f>
        <v>#N/A</v>
      </c>
      <c r="AU404" s="304" t="str">
        <f t="shared" si="687"/>
        <v/>
      </c>
      <c r="AV404" s="313" t="e">
        <f>IF($J404="",#N/A,SUM(AU$4:AU404))</f>
        <v>#N/A</v>
      </c>
      <c r="AW404" s="314" t="str">
        <f t="shared" si="688"/>
        <v/>
      </c>
      <c r="AX404" s="314" t="e">
        <f>IF($J404="",#N/A,SUM(AW$4:AW404))</f>
        <v>#N/A</v>
      </c>
      <c r="AY404" s="315" t="str">
        <f t="shared" si="689"/>
        <v/>
      </c>
      <c r="AZ404" s="315" t="e">
        <f>IF($J404="",#N/A,SUM(AY$4:AY404))</f>
        <v>#N/A</v>
      </c>
      <c r="BA404" s="315" t="e">
        <f>IF($J404="",#N/A,SUM(AY$4:AY404,AW$4:AW404,AU$4:AU404))</f>
        <v>#N/A</v>
      </c>
      <c r="BB404" s="304" t="str">
        <f t="shared" si="690"/>
        <v/>
      </c>
      <c r="BC404" s="313" t="e">
        <f>IF($J404="",#N/A,SUM(BB$4:BB404))</f>
        <v>#N/A</v>
      </c>
      <c r="BD404" s="314" t="str">
        <f t="shared" si="691"/>
        <v/>
      </c>
      <c r="BE404" s="314" t="e">
        <f>IF($J404="",#N/A,SUM(BD$4:BD404))</f>
        <v>#N/A</v>
      </c>
      <c r="BF404" s="315" t="str">
        <f t="shared" si="692"/>
        <v/>
      </c>
      <c r="BG404" s="315" t="e">
        <f>IF($J404="",#N/A,SUM(BF$4:BF404))</f>
        <v>#N/A</v>
      </c>
      <c r="BH404" s="315" t="e">
        <f>IF($J404="",#N/A,SUM(BF$4:BF404,BD$4:BD404,BB$4:BB404))</f>
        <v>#N/A</v>
      </c>
      <c r="BI404" s="304" t="str">
        <f t="shared" si="693"/>
        <v/>
      </c>
      <c r="BJ404" s="313" t="e">
        <f>IF($J404="",#N/A,SUM(BI$4:BI404))</f>
        <v>#N/A</v>
      </c>
      <c r="BK404" s="314" t="str">
        <f t="shared" si="694"/>
        <v/>
      </c>
      <c r="BL404" s="314" t="e">
        <f>IF($J404="",#N/A,SUM(BK$4:BK404))</f>
        <v>#N/A</v>
      </c>
      <c r="BM404" s="315" t="str">
        <f t="shared" si="695"/>
        <v/>
      </c>
      <c r="BN404" s="315" t="e">
        <f>IF($J404="",#N/A,SUM(BM$4:BM404))</f>
        <v>#N/A</v>
      </c>
      <c r="BO404" s="315" t="e">
        <f>IF($J404="",#N/A,SUM(BM$4:BM404,BK$4:BK404,BI$4:BI404))</f>
        <v>#N/A</v>
      </c>
      <c r="BP404" s="304" t="str">
        <f t="shared" si="696"/>
        <v/>
      </c>
      <c r="BQ404" s="313" t="e">
        <f>IF($J404="",#N/A,SUM(BP$4:BP404))</f>
        <v>#N/A</v>
      </c>
      <c r="BR404" s="314" t="str">
        <f t="shared" si="697"/>
        <v/>
      </c>
      <c r="BS404" s="314" t="e">
        <f>IF($J404="",#N/A,SUM(BR$4:BR404))</f>
        <v>#N/A</v>
      </c>
      <c r="BT404" s="315" t="str">
        <f t="shared" si="698"/>
        <v/>
      </c>
      <c r="BU404" s="315" t="e">
        <f>IF($J404="",#N/A,SUM(BT$4:BT404))</f>
        <v>#N/A</v>
      </c>
      <c r="BV404" s="315" t="e">
        <f>IF($J404="",#N/A,SUM(BT$4:BT404,BR$4:BR404,BP$4:BP404))</f>
        <v>#N/A</v>
      </c>
      <c r="BW404" s="304" t="str">
        <f t="shared" si="699"/>
        <v/>
      </c>
      <c r="BX404" s="313" t="e">
        <f>IF($J404="",#N/A,SUM(BW$4:BW404))</f>
        <v>#N/A</v>
      </c>
      <c r="BY404" s="314" t="str">
        <f t="shared" si="700"/>
        <v/>
      </c>
      <c r="BZ404" s="314" t="e">
        <f>IF($J404="",#N/A,SUM(BY$4:BY404))</f>
        <v>#N/A</v>
      </c>
      <c r="CA404" s="315" t="str">
        <f t="shared" si="701"/>
        <v/>
      </c>
      <c r="CB404" s="315" t="e">
        <f>IF($J404="",#N/A,SUM(CA$4:CA404))</f>
        <v>#N/A</v>
      </c>
      <c r="CC404" s="315" t="e">
        <f>IF($J404="",#N/A,SUM(CA$4:CA404,BY$4:BY404,BW$4:BW404))</f>
        <v>#N/A</v>
      </c>
      <c r="CD404" s="304" t="str">
        <f t="shared" si="702"/>
        <v/>
      </c>
      <c r="CE404" s="313" t="e">
        <f>IF($J404="",#N/A,SUM(CD$4:CD404))</f>
        <v>#N/A</v>
      </c>
      <c r="CF404" s="314" t="str">
        <f t="shared" si="703"/>
        <v/>
      </c>
      <c r="CG404" s="314" t="e">
        <f>IF($J404="",#N/A,SUM(CF$4:CF404))</f>
        <v>#N/A</v>
      </c>
      <c r="CH404" s="315" t="str">
        <f t="shared" si="704"/>
        <v/>
      </c>
      <c r="CI404" s="315" t="e">
        <f>IF($J404="",#N/A,SUM(CH$4:CH404))</f>
        <v>#N/A</v>
      </c>
      <c r="CJ404" s="315" t="e">
        <f>IF($J404="",#N/A,SUM(CH$4:CH404,CF$4:CF404,CD$4:CD404))</f>
        <v>#N/A</v>
      </c>
      <c r="CK404" s="304" t="str">
        <f t="shared" si="705"/>
        <v/>
      </c>
      <c r="CL404" s="313" t="e">
        <f>IF($J404="",#N/A,SUM(CK$4:CK404))</f>
        <v>#N/A</v>
      </c>
      <c r="CM404" s="314" t="str">
        <f t="shared" si="706"/>
        <v/>
      </c>
      <c r="CN404" s="314" t="e">
        <f>IF($J404="",#N/A,SUM(CM$4:CM404))</f>
        <v>#N/A</v>
      </c>
      <c r="CO404" s="315" t="str">
        <f t="shared" si="707"/>
        <v/>
      </c>
      <c r="CP404" s="315" t="e">
        <f>IF($J404="",#N/A,SUM(CO$4:CO404))</f>
        <v>#N/A</v>
      </c>
      <c r="CQ404" s="315" t="e">
        <f>IF($J404="",#N/A,SUM(CO$4:CO404,CM$4:CM404,CK$4:CK404))</f>
        <v>#N/A</v>
      </c>
      <c r="CR404" s="304" t="str">
        <f t="shared" si="708"/>
        <v/>
      </c>
      <c r="CS404" s="313" t="e">
        <f>IF($J404="",#N/A,SUM(CR$4:CR404))</f>
        <v>#N/A</v>
      </c>
      <c r="CT404" s="314" t="str">
        <f t="shared" si="709"/>
        <v/>
      </c>
      <c r="CU404" s="314" t="e">
        <f>IF($J404="",#N/A,SUM(CT$4:CT404))</f>
        <v>#N/A</v>
      </c>
      <c r="CV404" s="315" t="str">
        <f t="shared" si="710"/>
        <v/>
      </c>
      <c r="CW404" s="315" t="e">
        <f>IF($J404="",#N/A,SUM(CV$4:CV404))</f>
        <v>#N/A</v>
      </c>
      <c r="CX404" s="315" t="e">
        <f>IF($J404="",#N/A,SUM(CV$4:CV404,CT$4:CT404,CR$4:CR404))</f>
        <v>#N/A</v>
      </c>
      <c r="CY404" s="304" t="str">
        <f t="shared" si="711"/>
        <v/>
      </c>
      <c r="CZ404" s="313" t="e">
        <f>IF($J404="",#N/A,SUM(CY$4:CY404))</f>
        <v>#N/A</v>
      </c>
      <c r="DA404" s="314" t="str">
        <f t="shared" si="712"/>
        <v/>
      </c>
      <c r="DB404" s="314" t="e">
        <f>IF($J404="",#N/A,SUM(DA$4:DA404))</f>
        <v>#N/A</v>
      </c>
      <c r="DC404" s="315" t="str">
        <f t="shared" si="713"/>
        <v/>
      </c>
      <c r="DD404" s="315" t="e">
        <f>IF($J404="",#N/A,SUM(DC$4:DC404))</f>
        <v>#N/A</v>
      </c>
      <c r="DE404" s="315" t="e">
        <f>IF($J404="",#N/A,SUM(DC$4:DC404,DA$4:DA404,CY$4:CY404))</f>
        <v>#N/A</v>
      </c>
      <c r="DF404" s="304" t="str">
        <f t="shared" si="714"/>
        <v/>
      </c>
      <c r="DG404" s="313" t="e">
        <f>IF($J404="",#N/A,SUM(DF$4:DF404))</f>
        <v>#N/A</v>
      </c>
      <c r="DH404" s="314" t="str">
        <f t="shared" si="715"/>
        <v/>
      </c>
      <c r="DI404" s="314" t="e">
        <f>IF($J404="",#N/A,SUM(DH$4:DH404))</f>
        <v>#N/A</v>
      </c>
      <c r="DJ404" s="315" t="str">
        <f t="shared" si="716"/>
        <v/>
      </c>
      <c r="DK404" s="315" t="e">
        <f>IF($J404="",#N/A,SUM(DJ$4:DJ404))</f>
        <v>#N/A</v>
      </c>
      <c r="DL404" s="315" t="e">
        <f>IF($J404="",#N/A,SUM(DJ$4:DJ404,DH$4:DH404,DF$4:DF404))</f>
        <v>#N/A</v>
      </c>
      <c r="DM404" s="304" t="str">
        <f t="shared" si="717"/>
        <v/>
      </c>
      <c r="DN404" s="313" t="e">
        <f>IF($J404="",#N/A,SUM(DM$4:DM404))</f>
        <v>#N/A</v>
      </c>
      <c r="DO404" s="314" t="str">
        <f t="shared" si="718"/>
        <v/>
      </c>
      <c r="DP404" s="314" t="e">
        <f>IF($J404="",#N/A,SUM(DO$4:DO404))</f>
        <v>#N/A</v>
      </c>
      <c r="DQ404" s="315" t="str">
        <f t="shared" si="719"/>
        <v/>
      </c>
      <c r="DR404" s="315" t="e">
        <f>IF($J404="",#N/A,SUM(DQ$4:DQ404))</f>
        <v>#N/A</v>
      </c>
      <c r="DS404" s="315" t="e">
        <f>IF($J404="",#N/A,SUM(DQ$4:DQ404,DO$4:DO404,DM$4:DM404))</f>
        <v>#N/A</v>
      </c>
      <c r="DT404" s="304" t="str">
        <f t="shared" si="720"/>
        <v/>
      </c>
      <c r="DU404" s="313" t="e">
        <f>IF($J404="",#N/A,SUM(DT$4:DT404))</f>
        <v>#N/A</v>
      </c>
      <c r="DV404" s="314" t="str">
        <f t="shared" si="721"/>
        <v/>
      </c>
      <c r="DW404" s="314" t="e">
        <f>IF($J404="",#N/A,SUM(DV$4:DV404))</f>
        <v>#N/A</v>
      </c>
      <c r="DX404" s="315" t="str">
        <f t="shared" si="722"/>
        <v/>
      </c>
      <c r="DY404" s="315" t="e">
        <f>IF($J404="",#N/A,SUM(DX$4:DX404))</f>
        <v>#N/A</v>
      </c>
      <c r="DZ404" s="315" t="e">
        <f>IF($J404="",#N/A,SUM(DX$4:DX404,DV$4:DV404,DT$4:DT404))</f>
        <v>#N/A</v>
      </c>
      <c r="EA404" s="304" t="str">
        <f t="shared" si="723"/>
        <v/>
      </c>
      <c r="EB404" s="313" t="e">
        <f>IF($J404="",#N/A,SUM(EA$4:EA404))</f>
        <v>#N/A</v>
      </c>
      <c r="EC404" s="314" t="str">
        <f t="shared" si="724"/>
        <v/>
      </c>
      <c r="ED404" s="314" t="e">
        <f>IF($J404="",#N/A,SUM(EC$4:EC404))</f>
        <v>#N/A</v>
      </c>
      <c r="EE404" s="315" t="str">
        <f t="shared" si="725"/>
        <v/>
      </c>
      <c r="EF404" s="315" t="e">
        <f>IF($J404="",#N/A,SUM(EE$4:EE404))</f>
        <v>#N/A</v>
      </c>
      <c r="EG404" s="315" t="e">
        <f>IF($J404="",#N/A,SUM(EE$4:EE404,EC$4:EC404,EA$4:EA404))</f>
        <v>#N/A</v>
      </c>
      <c r="EH404" s="130">
        <f t="shared" si="726"/>
        <v>-70.84309133489478</v>
      </c>
      <c r="EI404" s="63">
        <f>IF(EH404="",#N/A,SUM($EH$4:EH404))</f>
        <v>870.058070684933</v>
      </c>
      <c r="EJ404" s="223" t="e">
        <f t="shared" si="727"/>
        <v>#N/A</v>
      </c>
      <c r="EK404" s="63" t="e">
        <f>IF($GZ404="",#N/A,SUM(EJ$4:EJ404))</f>
        <v>#N/A</v>
      </c>
      <c r="EL404" s="60" t="str">
        <f t="shared" si="757"/>
        <v/>
      </c>
      <c r="EM404" s="60" t="e">
        <f>IF(EL404="",NA(),SUM($EL$4:EL404))</f>
        <v>#N/A</v>
      </c>
      <c r="EN404" s="60" t="str">
        <f t="shared" si="728"/>
        <v/>
      </c>
      <c r="EO404" s="60" t="e">
        <f>IF(EN404="",NA(),SUM($EN$4:EN404))</f>
        <v>#N/A</v>
      </c>
      <c r="EP404" s="60" t="str">
        <f t="shared" si="729"/>
        <v/>
      </c>
      <c r="EQ404" s="60" t="e">
        <f>IF(EP404="",NA(),SUM($EP$4:EP404))</f>
        <v>#N/A</v>
      </c>
      <c r="ER404" s="60" t="str">
        <f t="shared" si="730"/>
        <v/>
      </c>
      <c r="ES404" s="60" t="e">
        <f>IF(ER404="",NA(),SUM($ER$4:ER404))</f>
        <v>#N/A</v>
      </c>
      <c r="ET404" s="60">
        <f t="shared" si="731"/>
        <v>-0.7155867811605533</v>
      </c>
      <c r="EU404" s="60">
        <f>IF(ET404="",NA(),SUM($ET$4:ET404))</f>
        <v>30.230514801473156</v>
      </c>
      <c r="EV404" s="60" t="str">
        <f t="shared" si="732"/>
        <v/>
      </c>
      <c r="EW404" s="60" t="e">
        <f>IF(EV404="",NA(),SUM($EV$4:EV404))</f>
        <v>#N/A</v>
      </c>
      <c r="EX404" s="60">
        <f t="shared" si="733"/>
        <v>-0.7155867811605533</v>
      </c>
      <c r="EY404" s="60">
        <f>IF(EX404="",NA(),SUM($EX$4:EX404))</f>
        <v>9.8269278634159658</v>
      </c>
      <c r="EZ404" s="60" t="str">
        <f t="shared" si="734"/>
        <v/>
      </c>
      <c r="FA404" s="60" t="e">
        <f>IF(EZ404="",NA(),SUM($EZ$4:EZ404))</f>
        <v>#N/A</v>
      </c>
      <c r="FB404" s="246" t="str">
        <f t="shared" si="758"/>
        <v/>
      </c>
      <c r="FC404" s="246" t="e">
        <f>IF($FB404="",#N/A,SUM(FB$4:$FB404))</f>
        <v>#N/A</v>
      </c>
      <c r="FD404" s="60" t="str">
        <f t="shared" si="735"/>
        <v/>
      </c>
      <c r="FE404" s="60" t="e">
        <f>IF($FD404="",#N/A,SUM($FD$4:FD404))</f>
        <v>#N/A</v>
      </c>
      <c r="FF404" s="60" t="str">
        <f t="shared" si="736"/>
        <v/>
      </c>
      <c r="FG404" s="60" t="e">
        <f>IF($FF404="",#N/A,SUM($FF$4:FF404))</f>
        <v>#N/A</v>
      </c>
      <c r="FH404" s="60" t="str">
        <f t="shared" si="737"/>
        <v/>
      </c>
      <c r="FI404" s="60" t="e">
        <f>IF($FH404="",#N/A,SUM($FH$4:FH404))</f>
        <v>#N/A</v>
      </c>
      <c r="FJ404" s="60" t="str">
        <f t="shared" si="738"/>
        <v/>
      </c>
      <c r="FK404" s="60" t="e">
        <f>IF($FJ404="",#N/A,SUM($FJ$4:FJ404))</f>
        <v>#N/A</v>
      </c>
      <c r="FL404" s="60">
        <f t="shared" si="739"/>
        <v>2.6606817590424146</v>
      </c>
      <c r="FM404" s="60">
        <f>IF($FL404="",#N/A,SUM($FL$4:FL404))</f>
        <v>-2.6381896977066979</v>
      </c>
      <c r="FN404" s="82">
        <f t="shared" si="740"/>
        <v>1.9450949778818614</v>
      </c>
      <c r="FO404" s="82">
        <f>IF($FN404="",#N/A,SUM(FN$4:$FN404))</f>
        <v>37.800270390311411</v>
      </c>
      <c r="FP404" s="82">
        <f t="shared" si="759"/>
        <v>-0.7155867811605533</v>
      </c>
      <c r="FQ404" s="246">
        <f>IF($EH404="",#N/A,SUM($FP$4:FP404))</f>
        <v>49.862830044710705</v>
      </c>
      <c r="FR404" s="82">
        <f>IFERROR(FQ404/COUNTA($J$4:J404),#N/A)</f>
        <v>0.12434620958780725</v>
      </c>
      <c r="FS404" s="82">
        <f t="shared" si="661"/>
        <v>-0.10203596710802913</v>
      </c>
      <c r="FT404" s="82">
        <f t="shared" si="662"/>
        <v>-0.24466181229898099</v>
      </c>
      <c r="FU404" s="273"/>
      <c r="FV404" s="57" t="str">
        <f t="shared" si="666"/>
        <v>SW</v>
      </c>
      <c r="FW404" s="57" t="s">
        <v>2732</v>
      </c>
      <c r="FX404" s="57" t="str">
        <f t="shared" si="741"/>
        <v/>
      </c>
      <c r="FY404" s="57" t="str">
        <f t="shared" si="742"/>
        <v/>
      </c>
      <c r="FZ404" s="57" t="str">
        <f t="shared" si="743"/>
        <v/>
      </c>
      <c r="GA404" s="57" t="str">
        <f t="shared" si="744"/>
        <v>Long</v>
      </c>
      <c r="GB404" s="57" t="str">
        <f t="shared" si="745"/>
        <v/>
      </c>
      <c r="GC404" s="57" t="str">
        <f t="shared" si="746"/>
        <v/>
      </c>
      <c r="GD404" s="57">
        <f t="shared" si="747"/>
        <v>1</v>
      </c>
      <c r="GE404" s="62">
        <f t="shared" si="664"/>
        <v>25.62</v>
      </c>
      <c r="GF404" s="62" t="s">
        <v>2779</v>
      </c>
      <c r="GG404" s="99">
        <f>IF(I404="","",1650/I404)</f>
        <v>64.402810304449645</v>
      </c>
      <c r="GH404" s="207">
        <f t="shared" si="748"/>
        <v>1650</v>
      </c>
      <c r="GI404" s="99">
        <f>GG404</f>
        <v>64.402810304449645</v>
      </c>
      <c r="GJ404" s="98">
        <f>J404</f>
        <v>24.52</v>
      </c>
      <c r="GK404" s="63">
        <f t="shared" si="749"/>
        <v>-70.84309133489478</v>
      </c>
      <c r="GL404" s="63">
        <f t="shared" si="665"/>
        <v>192.56440281030427</v>
      </c>
      <c r="GM404" s="82">
        <f t="shared" si="750"/>
        <v>1.9450949778818614</v>
      </c>
      <c r="GN404" s="82">
        <f>IF($GZ404="",#N/A,SUM(GM$4:GM404))</f>
        <v>8.2210156230876237</v>
      </c>
      <c r="GO404" s="82" t="str">
        <f t="shared" si="751"/>
        <v/>
      </c>
      <c r="GP404" s="82">
        <f>IF($GZ404="",#N/A,SUM(GO$4:GO404))</f>
        <v>3.2522471402826749</v>
      </c>
      <c r="GQ404" s="82" t="str">
        <f t="shared" si="752"/>
        <v/>
      </c>
      <c r="GR404" s="82">
        <f>IF($GZ404="",#N/A,SUM(GQ$4:GQ404))</f>
        <v>25.70117067249878</v>
      </c>
      <c r="GS404" s="63" t="e">
        <f t="shared" si="760"/>
        <v>#N/A</v>
      </c>
      <c r="GT404" s="63" t="e">
        <f>IF($GZ404="",#N/A,SUM(GS$4:GS404))</f>
        <v>#N/A</v>
      </c>
      <c r="GU404" s="63" t="str">
        <f t="shared" si="761"/>
        <v/>
      </c>
      <c r="GV404" s="63" t="e">
        <f>IF($GZ404="",#N/A,SUM(GU$4:GU404))</f>
        <v>#N/A</v>
      </c>
      <c r="GW404" s="63" t="str">
        <f t="shared" si="762"/>
        <v/>
      </c>
      <c r="GX404" s="63" t="e">
        <f>IF($GZ404="",#N/A,SUM(GW$4:GW404))</f>
        <v>#N/A</v>
      </c>
      <c r="GY404" s="63" t="e">
        <f>IF(EJ404="",#N/A,SUM($EJ$4:EJ404))</f>
        <v>#N/A</v>
      </c>
      <c r="GZ404" s="159">
        <v>28.61</v>
      </c>
      <c r="HA404" s="63">
        <f t="shared" si="753"/>
        <v>263.40749414519905</v>
      </c>
      <c r="HB404" s="62" t="s">
        <v>4970</v>
      </c>
      <c r="HC404" s="60">
        <f>IFERROR(VLOOKUP(E404,Expectancy!$P$4:$S$19,1+C404,FALSE),"")</f>
        <v>-0.17081772033279666</v>
      </c>
      <c r="HD404" s="99" t="str">
        <f t="shared" si="754"/>
        <v/>
      </c>
      <c r="HE404" s="500" t="e">
        <f>IF(HD404="",#N/A,SUM($HD$4:HD404))</f>
        <v>#N/A</v>
      </c>
      <c r="HF404" s="501" t="e">
        <f>IF(HD404="",#N/A,IF(HB404="Skip",#N/A,SUM($HG$4:HG404)))</f>
        <v>#N/A</v>
      </c>
      <c r="HG404" s="502" t="str">
        <f t="shared" si="755"/>
        <v/>
      </c>
      <c r="HH404" s="82">
        <f t="shared" si="756"/>
        <v>1.9450949778818614</v>
      </c>
    </row>
    <row r="405" spans="1:216" x14ac:dyDescent="0.25">
      <c r="A405" s="57" t="s">
        <v>1153</v>
      </c>
      <c r="B405" s="58" t="str" cm="1">
        <f t="array" ref="B405">IFERROR(_xlfn.XLOOKUP(A405,Earnings!$B$2:$B$9985,LEFT(Earnings!$C$2:$C$9985,37)),"Can't Find Date***")</f>
        <v>on 3/4/25 Before Market Eastern Stand</v>
      </c>
      <c r="C405" s="386">
        <f t="shared" si="667"/>
        <v>2</v>
      </c>
      <c r="D405" s="372" t="str">
        <f>_xlfn.XLOOKUP(A405,[1]SP500!$A$2:$A$502,[1]SP500!$D$2:$D$502,"N")</f>
        <v>Y</v>
      </c>
      <c r="E405" s="57" t="str">
        <f>_xlfn.XLOOKUP(A405,[1]SP500!$A$2:$A$655,[1]SP500!$B$2:$B$655)</f>
        <v>XLY</v>
      </c>
      <c r="F405" s="59">
        <v>45720</v>
      </c>
      <c r="G405" s="57" t="str">
        <f t="shared" si="668"/>
        <v>BMO</v>
      </c>
      <c r="H405" s="57" t="str">
        <f t="shared" si="669"/>
        <v>o</v>
      </c>
      <c r="I405" s="159">
        <v>86.74</v>
      </c>
      <c r="J405" s="159">
        <v>79.44</v>
      </c>
      <c r="K405" s="61">
        <f t="shared" si="670"/>
        <v>-8.4159557297671175E-2</v>
      </c>
      <c r="L405" s="87">
        <f t="shared" si="671"/>
        <v>138.70000000000005</v>
      </c>
      <c r="M405" s="130" t="e">
        <f t="shared" si="663"/>
        <v>#N/A</v>
      </c>
      <c r="N405" s="169" t="str">
        <f t="shared" si="672"/>
        <v/>
      </c>
      <c r="O405" s="169">
        <f>IF($J405="",#N/A,SUM($N$4:N405))</f>
        <v>-344.89225475891067</v>
      </c>
      <c r="P405" s="174">
        <f t="shared" si="673"/>
        <v>138.70000000000005</v>
      </c>
      <c r="Q405" s="174">
        <f>IF($J405="",#N/A,SUM($P$4:P405))</f>
        <v>459.67774645512793</v>
      </c>
      <c r="R405" s="178" t="str">
        <f t="shared" si="674"/>
        <v/>
      </c>
      <c r="S405" s="178">
        <f>IF($J405="",#N/A,SUM($R$4:R405))</f>
        <v>893.97257898871567</v>
      </c>
      <c r="T405" s="290" t="str">
        <f t="shared" si="675"/>
        <v/>
      </c>
      <c r="U405" s="290">
        <f>IF($J405="",#N/A,SUM($T$4:T405))</f>
        <v>10.01739856757891</v>
      </c>
      <c r="V405" s="291">
        <f t="shared" si="676"/>
        <v>1.4026592882945206</v>
      </c>
      <c r="W405" s="291">
        <f>IF($J405="",#N/A,SUM($V$4:V405))</f>
        <v>24.245601869837536</v>
      </c>
      <c r="X405" s="292" t="str">
        <f t="shared" si="677"/>
        <v/>
      </c>
      <c r="Y405" s="292">
        <f>IF($J405="",#N/A,SUM($X$4:X405))</f>
        <v>17.002488895588808</v>
      </c>
      <c r="Z405" s="304" t="str">
        <f t="shared" si="678"/>
        <v/>
      </c>
      <c r="AA405" s="313" t="e">
        <f>IF($J405="",#N/A,SUM(Z$4:Z405))</f>
        <v>#N/A</v>
      </c>
      <c r="AB405" s="314" t="str">
        <f t="shared" si="679"/>
        <v/>
      </c>
      <c r="AC405" s="314" t="e">
        <f>IF($J405="",#N/A,SUM(AB$4:AB405))</f>
        <v>#N/A</v>
      </c>
      <c r="AD405" s="315" t="str">
        <f t="shared" si="680"/>
        <v/>
      </c>
      <c r="AE405" s="315" t="e">
        <f>IF($J405="",#N/A,SUM(AD$4:AD405))</f>
        <v>#N/A</v>
      </c>
      <c r="AF405" s="315" t="e">
        <f>IF($J405="",#N/A,SUM(AD$4:AD405,AB$4:AB405,Z$4:Z405))</f>
        <v>#N/A</v>
      </c>
      <c r="AG405" s="304" t="str">
        <f t="shared" si="681"/>
        <v/>
      </c>
      <c r="AH405" s="313" t="e">
        <f>IF($J405="",#N/A,SUM(AG$4:AG405))</f>
        <v>#N/A</v>
      </c>
      <c r="AI405" s="314" t="str">
        <f t="shared" si="682"/>
        <v/>
      </c>
      <c r="AJ405" s="314" t="e">
        <f>IF($J405="",#N/A,SUM(AI$4:AI405))</f>
        <v>#N/A</v>
      </c>
      <c r="AK405" s="315" t="str">
        <f t="shared" si="683"/>
        <v/>
      </c>
      <c r="AL405" s="315" t="e">
        <f>IF($J405="",#N/A,SUM(AK$4:AK405))</f>
        <v>#N/A</v>
      </c>
      <c r="AM405" s="315" t="e">
        <f>IF($J405="",#N/A,SUM(AK$4:AK405,AI$4:AI405,AG$4:AG405))</f>
        <v>#N/A</v>
      </c>
      <c r="AN405" s="304" t="str">
        <f t="shared" si="684"/>
        <v/>
      </c>
      <c r="AO405" s="313" t="e">
        <f>IF($J405="",#N/A,SUM(AN$4:AN405))</f>
        <v>#N/A</v>
      </c>
      <c r="AP405" s="314">
        <f t="shared" si="685"/>
        <v>1.4026592882945206</v>
      </c>
      <c r="AQ405" s="314" t="e">
        <f>IF($J405="",#N/A,SUM(AP$4:AP405))</f>
        <v>#N/A</v>
      </c>
      <c r="AR405" s="315" t="str">
        <f t="shared" si="686"/>
        <v/>
      </c>
      <c r="AS405" s="315" t="e">
        <f>IF($J405="",#N/A,SUM(AR$4:AR405))</f>
        <v>#N/A</v>
      </c>
      <c r="AT405" s="315" t="e">
        <f>IF($J405="",#N/A,SUM(AR$4:AR405,AP$4:AP405,AN$4:AN405))</f>
        <v>#N/A</v>
      </c>
      <c r="AU405" s="304" t="str">
        <f t="shared" si="687"/>
        <v/>
      </c>
      <c r="AV405" s="313" t="e">
        <f>IF($J405="",#N/A,SUM(AU$4:AU405))</f>
        <v>#N/A</v>
      </c>
      <c r="AW405" s="314" t="str">
        <f t="shared" si="688"/>
        <v/>
      </c>
      <c r="AX405" s="314" t="e">
        <f>IF($J405="",#N/A,SUM(AW$4:AW405))</f>
        <v>#N/A</v>
      </c>
      <c r="AY405" s="315" t="str">
        <f t="shared" si="689"/>
        <v/>
      </c>
      <c r="AZ405" s="315" t="e">
        <f>IF($J405="",#N/A,SUM(AY$4:AY405))</f>
        <v>#N/A</v>
      </c>
      <c r="BA405" s="315" t="e">
        <f>IF($J405="",#N/A,SUM(AY$4:AY405,AW$4:AW405,AU$4:AU405))</f>
        <v>#N/A</v>
      </c>
      <c r="BB405" s="304" t="str">
        <f t="shared" si="690"/>
        <v/>
      </c>
      <c r="BC405" s="313" t="e">
        <f>IF($J405="",#N/A,SUM(BB$4:BB405))</f>
        <v>#N/A</v>
      </c>
      <c r="BD405" s="314" t="str">
        <f t="shared" si="691"/>
        <v/>
      </c>
      <c r="BE405" s="314" t="e">
        <f>IF($J405="",#N/A,SUM(BD$4:BD405))</f>
        <v>#N/A</v>
      </c>
      <c r="BF405" s="315" t="str">
        <f t="shared" si="692"/>
        <v/>
      </c>
      <c r="BG405" s="315" t="e">
        <f>IF($J405="",#N/A,SUM(BF$4:BF405))</f>
        <v>#N/A</v>
      </c>
      <c r="BH405" s="315" t="e">
        <f>IF($J405="",#N/A,SUM(BF$4:BF405,BD$4:BD405,BB$4:BB405))</f>
        <v>#N/A</v>
      </c>
      <c r="BI405" s="304" t="str">
        <f t="shared" si="693"/>
        <v/>
      </c>
      <c r="BJ405" s="313" t="e">
        <f>IF($J405="",#N/A,SUM(BI$4:BI405))</f>
        <v>#N/A</v>
      </c>
      <c r="BK405" s="314" t="str">
        <f t="shared" si="694"/>
        <v/>
      </c>
      <c r="BL405" s="314" t="e">
        <f>IF($J405="",#N/A,SUM(BK$4:BK405))</f>
        <v>#N/A</v>
      </c>
      <c r="BM405" s="315" t="str">
        <f t="shared" si="695"/>
        <v/>
      </c>
      <c r="BN405" s="315" t="e">
        <f>IF($J405="",#N/A,SUM(BM$4:BM405))</f>
        <v>#N/A</v>
      </c>
      <c r="BO405" s="315" t="e">
        <f>IF($J405="",#N/A,SUM(BM$4:BM405,BK$4:BK405,BI$4:BI405))</f>
        <v>#N/A</v>
      </c>
      <c r="BP405" s="304" t="str">
        <f t="shared" si="696"/>
        <v/>
      </c>
      <c r="BQ405" s="313" t="e">
        <f>IF($J405="",#N/A,SUM(BP$4:BP405))</f>
        <v>#N/A</v>
      </c>
      <c r="BR405" s="314" t="str">
        <f t="shared" si="697"/>
        <v/>
      </c>
      <c r="BS405" s="314" t="e">
        <f>IF($J405="",#N/A,SUM(BR$4:BR405))</f>
        <v>#N/A</v>
      </c>
      <c r="BT405" s="315" t="str">
        <f t="shared" si="698"/>
        <v/>
      </c>
      <c r="BU405" s="315" t="e">
        <f>IF($J405="",#N/A,SUM(BT$4:BT405))</f>
        <v>#N/A</v>
      </c>
      <c r="BV405" s="315" t="e">
        <f>IF($J405="",#N/A,SUM(BT$4:BT405,BR$4:BR405,BP$4:BP405))</f>
        <v>#N/A</v>
      </c>
      <c r="BW405" s="304" t="str">
        <f t="shared" si="699"/>
        <v/>
      </c>
      <c r="BX405" s="313" t="e">
        <f>IF($J405="",#N/A,SUM(BW$4:BW405))</f>
        <v>#N/A</v>
      </c>
      <c r="BY405" s="314" t="str">
        <f t="shared" si="700"/>
        <v/>
      </c>
      <c r="BZ405" s="314" t="e">
        <f>IF($J405="",#N/A,SUM(BY$4:BY405))</f>
        <v>#N/A</v>
      </c>
      <c r="CA405" s="315" t="str">
        <f t="shared" si="701"/>
        <v/>
      </c>
      <c r="CB405" s="315" t="e">
        <f>IF($J405="",#N/A,SUM(CA$4:CA405))</f>
        <v>#N/A</v>
      </c>
      <c r="CC405" s="315" t="e">
        <f>IF($J405="",#N/A,SUM(CA$4:CA405,BY$4:BY405,BW$4:BW405))</f>
        <v>#N/A</v>
      </c>
      <c r="CD405" s="304" t="str">
        <f t="shared" si="702"/>
        <v/>
      </c>
      <c r="CE405" s="313" t="e">
        <f>IF($J405="",#N/A,SUM(CD$4:CD405))</f>
        <v>#N/A</v>
      </c>
      <c r="CF405" s="314" t="str">
        <f t="shared" si="703"/>
        <v/>
      </c>
      <c r="CG405" s="314" t="e">
        <f>IF($J405="",#N/A,SUM(CF$4:CF405))</f>
        <v>#N/A</v>
      </c>
      <c r="CH405" s="315" t="str">
        <f t="shared" si="704"/>
        <v/>
      </c>
      <c r="CI405" s="315" t="e">
        <f>IF($J405="",#N/A,SUM(CH$4:CH405))</f>
        <v>#N/A</v>
      </c>
      <c r="CJ405" s="315" t="e">
        <f>IF($J405="",#N/A,SUM(CH$4:CH405,CF$4:CF405,CD$4:CD405))</f>
        <v>#N/A</v>
      </c>
      <c r="CK405" s="304" t="str">
        <f t="shared" si="705"/>
        <v/>
      </c>
      <c r="CL405" s="313" t="e">
        <f>IF($J405="",#N/A,SUM(CK$4:CK405))</f>
        <v>#N/A</v>
      </c>
      <c r="CM405" s="314" t="str">
        <f t="shared" si="706"/>
        <v/>
      </c>
      <c r="CN405" s="314" t="e">
        <f>IF($J405="",#N/A,SUM(CM$4:CM405))</f>
        <v>#N/A</v>
      </c>
      <c r="CO405" s="315" t="str">
        <f t="shared" si="707"/>
        <v/>
      </c>
      <c r="CP405" s="315" t="e">
        <f>IF($J405="",#N/A,SUM(CO$4:CO405))</f>
        <v>#N/A</v>
      </c>
      <c r="CQ405" s="315" t="e">
        <f>IF($J405="",#N/A,SUM(CO$4:CO405,CM$4:CM405,CK$4:CK405))</f>
        <v>#N/A</v>
      </c>
      <c r="CR405" s="304" t="str">
        <f t="shared" si="708"/>
        <v/>
      </c>
      <c r="CS405" s="313" t="e">
        <f>IF($J405="",#N/A,SUM(CR$4:CR405))</f>
        <v>#N/A</v>
      </c>
      <c r="CT405" s="314" t="str">
        <f t="shared" si="709"/>
        <v/>
      </c>
      <c r="CU405" s="314" t="e">
        <f>IF($J405="",#N/A,SUM(CT$4:CT405))</f>
        <v>#N/A</v>
      </c>
      <c r="CV405" s="315" t="str">
        <f t="shared" si="710"/>
        <v/>
      </c>
      <c r="CW405" s="315" t="e">
        <f>IF($J405="",#N/A,SUM(CV$4:CV405))</f>
        <v>#N/A</v>
      </c>
      <c r="CX405" s="315" t="e">
        <f>IF($J405="",#N/A,SUM(CV$4:CV405,CT$4:CT405,CR$4:CR405))</f>
        <v>#N/A</v>
      </c>
      <c r="CY405" s="304" t="str">
        <f t="shared" si="711"/>
        <v/>
      </c>
      <c r="CZ405" s="313" t="e">
        <f>IF($J405="",#N/A,SUM(CY$4:CY405))</f>
        <v>#N/A</v>
      </c>
      <c r="DA405" s="314" t="str">
        <f t="shared" si="712"/>
        <v/>
      </c>
      <c r="DB405" s="314" t="e">
        <f>IF($J405="",#N/A,SUM(DA$4:DA405))</f>
        <v>#N/A</v>
      </c>
      <c r="DC405" s="315" t="str">
        <f t="shared" si="713"/>
        <v/>
      </c>
      <c r="DD405" s="315" t="e">
        <f>IF($J405="",#N/A,SUM(DC$4:DC405))</f>
        <v>#N/A</v>
      </c>
      <c r="DE405" s="315" t="e">
        <f>IF($J405="",#N/A,SUM(DC$4:DC405,DA$4:DA405,CY$4:CY405))</f>
        <v>#N/A</v>
      </c>
      <c r="DF405" s="304" t="str">
        <f t="shared" si="714"/>
        <v/>
      </c>
      <c r="DG405" s="313" t="e">
        <f>IF($J405="",#N/A,SUM(DF$4:DF405))</f>
        <v>#N/A</v>
      </c>
      <c r="DH405" s="314" t="str">
        <f t="shared" si="715"/>
        <v/>
      </c>
      <c r="DI405" s="314" t="e">
        <f>IF($J405="",#N/A,SUM(DH$4:DH405))</f>
        <v>#N/A</v>
      </c>
      <c r="DJ405" s="315" t="str">
        <f t="shared" si="716"/>
        <v/>
      </c>
      <c r="DK405" s="315" t="e">
        <f>IF($J405="",#N/A,SUM(DJ$4:DJ405))</f>
        <v>#N/A</v>
      </c>
      <c r="DL405" s="315" t="e">
        <f>IF($J405="",#N/A,SUM(DJ$4:DJ405,DH$4:DH405,DF$4:DF405))</f>
        <v>#N/A</v>
      </c>
      <c r="DM405" s="304" t="str">
        <f t="shared" si="717"/>
        <v/>
      </c>
      <c r="DN405" s="313" t="e">
        <f>IF($J405="",#N/A,SUM(DM$4:DM405))</f>
        <v>#N/A</v>
      </c>
      <c r="DO405" s="314" t="str">
        <f t="shared" si="718"/>
        <v/>
      </c>
      <c r="DP405" s="314" t="e">
        <f>IF($J405="",#N/A,SUM(DO$4:DO405))</f>
        <v>#N/A</v>
      </c>
      <c r="DQ405" s="315" t="str">
        <f t="shared" si="719"/>
        <v/>
      </c>
      <c r="DR405" s="315" t="e">
        <f>IF($J405="",#N/A,SUM(DQ$4:DQ405))</f>
        <v>#N/A</v>
      </c>
      <c r="DS405" s="315" t="e">
        <f>IF($J405="",#N/A,SUM(DQ$4:DQ405,DO$4:DO405,DM$4:DM405))</f>
        <v>#N/A</v>
      </c>
      <c r="DT405" s="304" t="str">
        <f t="shared" si="720"/>
        <v/>
      </c>
      <c r="DU405" s="313" t="e">
        <f>IF($J405="",#N/A,SUM(DT$4:DT405))</f>
        <v>#N/A</v>
      </c>
      <c r="DV405" s="314" t="str">
        <f t="shared" si="721"/>
        <v/>
      </c>
      <c r="DW405" s="314" t="e">
        <f>IF($J405="",#N/A,SUM(DV$4:DV405))</f>
        <v>#N/A</v>
      </c>
      <c r="DX405" s="315" t="str">
        <f t="shared" si="722"/>
        <v/>
      </c>
      <c r="DY405" s="315" t="e">
        <f>IF($J405="",#N/A,SUM(DX$4:DX405))</f>
        <v>#N/A</v>
      </c>
      <c r="DZ405" s="315" t="e">
        <f>IF($J405="",#N/A,SUM(DX$4:DX405,DV$4:DV405,DT$4:DT405))</f>
        <v>#N/A</v>
      </c>
      <c r="EA405" s="304" t="str">
        <f t="shared" si="723"/>
        <v/>
      </c>
      <c r="EB405" s="313" t="e">
        <f>IF($J405="",#N/A,SUM(EA$4:EA405))</f>
        <v>#N/A</v>
      </c>
      <c r="EC405" s="314" t="str">
        <f t="shared" si="724"/>
        <v/>
      </c>
      <c r="ED405" s="314" t="e">
        <f>IF($J405="",#N/A,SUM(EC$4:EC405))</f>
        <v>#N/A</v>
      </c>
      <c r="EE405" s="315" t="str">
        <f t="shared" si="725"/>
        <v/>
      </c>
      <c r="EF405" s="315" t="e">
        <f>IF($J405="",#N/A,SUM(EE$4:EE405))</f>
        <v>#N/A</v>
      </c>
      <c r="EG405" s="315" t="e">
        <f>IF($J405="",#N/A,SUM(EE$4:EE405,EC$4:EC405,EA$4:EA405))</f>
        <v>#N/A</v>
      </c>
      <c r="EH405" s="130">
        <f t="shared" si="726"/>
        <v>138.70000000000005</v>
      </c>
      <c r="EI405" s="63">
        <f>IF(EH405="",#N/A,SUM($EH$4:EH405))</f>
        <v>1008.758070684933</v>
      </c>
      <c r="EJ405" s="223" t="e">
        <f t="shared" si="727"/>
        <v>#N/A</v>
      </c>
      <c r="EK405" s="63" t="e">
        <f>IF($GZ405="",#N/A,SUM(EJ$4:EJ405))</f>
        <v>#N/A</v>
      </c>
      <c r="EL405" s="60">
        <f t="shared" si="757"/>
        <v>1.4026592882945206</v>
      </c>
      <c r="EM405" s="60">
        <f>IF(EL405="",NA(),SUM($EL$4:EL405))</f>
        <v>21.034974531532107</v>
      </c>
      <c r="EN405" s="60" t="str">
        <f t="shared" si="728"/>
        <v/>
      </c>
      <c r="EO405" s="60" t="e">
        <f>IF(EN405="",NA(),SUM($EN$4:EN405))</f>
        <v>#N/A</v>
      </c>
      <c r="EP405" s="60" t="str">
        <f t="shared" si="729"/>
        <v/>
      </c>
      <c r="EQ405" s="60" t="e">
        <f>IF(EP405="",NA(),SUM($EP$4:EP405))</f>
        <v>#N/A</v>
      </c>
      <c r="ER405" s="60">
        <f t="shared" si="730"/>
        <v>1.4026592882945206</v>
      </c>
      <c r="ES405" s="60">
        <f>IF(ER405="",NA(),SUM($ER$4:ER405))</f>
        <v>9.342117180996377</v>
      </c>
      <c r="ET405" s="60" t="str">
        <f t="shared" si="731"/>
        <v/>
      </c>
      <c r="EU405" s="60" t="e">
        <f>IF(ET405="",NA(),SUM($ET$4:ET405))</f>
        <v>#N/A</v>
      </c>
      <c r="EV405" s="60" t="str">
        <f t="shared" si="732"/>
        <v/>
      </c>
      <c r="EW405" s="60" t="e">
        <f>IF(EV405="",NA(),SUM($EV$4:EV405))</f>
        <v>#N/A</v>
      </c>
      <c r="EX405" s="60" t="str">
        <f t="shared" si="733"/>
        <v/>
      </c>
      <c r="EY405" s="60" t="e">
        <f>IF(EX405="",NA(),SUM($EX$4:EX405))</f>
        <v>#N/A</v>
      </c>
      <c r="EZ405" s="60" t="str">
        <f t="shared" si="734"/>
        <v/>
      </c>
      <c r="FA405" s="60" t="e">
        <f>IF(EZ405="",NA(),SUM($EZ$4:EZ405))</f>
        <v>#N/A</v>
      </c>
      <c r="FB405" s="246">
        <f t="shared" si="758"/>
        <v>0.81469525785873476</v>
      </c>
      <c r="FC405" s="246">
        <f>IF($FB405="",#N/A,SUM(FB$4:$FB405))</f>
        <v>2.1564718411907489</v>
      </c>
      <c r="FD405" s="60" t="str">
        <f t="shared" si="735"/>
        <v/>
      </c>
      <c r="FE405" s="60" t="e">
        <f>IF($FD405="",#N/A,SUM($FD$4:FD405))</f>
        <v>#N/A</v>
      </c>
      <c r="FF405" s="60" t="str">
        <f t="shared" si="736"/>
        <v/>
      </c>
      <c r="FG405" s="60" t="e">
        <f>IF($FF405="",#N/A,SUM($FF$4:FF405))</f>
        <v>#N/A</v>
      </c>
      <c r="FH405" s="60" t="str">
        <f t="shared" si="737"/>
        <v/>
      </c>
      <c r="FI405" s="60" t="e">
        <f>IF($FH405="",#N/A,SUM($FH$4:FH405))</f>
        <v>#N/A</v>
      </c>
      <c r="FJ405" s="60" t="str">
        <f t="shared" si="738"/>
        <v/>
      </c>
      <c r="FK405" s="60" t="e">
        <f>IF($FJ405="",#N/A,SUM($FJ$4:FJ405))</f>
        <v>#N/A</v>
      </c>
      <c r="FL405" s="60" t="str">
        <f t="shared" si="739"/>
        <v/>
      </c>
      <c r="FM405" s="60" t="e">
        <f>IF($FL405="",#N/A,SUM($FL$4:FL405))</f>
        <v>#N/A</v>
      </c>
      <c r="FN405" s="82">
        <f t="shared" si="740"/>
        <v>2.2173545461532553</v>
      </c>
      <c r="FO405" s="82">
        <f>IF($FN405="",#N/A,SUM(FN$4:$FN405))</f>
        <v>40.017624936464664</v>
      </c>
      <c r="FP405" s="82">
        <f t="shared" si="759"/>
        <v>1.4026592882945206</v>
      </c>
      <c r="FQ405" s="246">
        <f>IF($EH405="",#N/A,SUM($FP$4:FP405))</f>
        <v>51.265489333005227</v>
      </c>
      <c r="FR405" s="82">
        <f>IFERROR(FQ405/COUNTA($J$4:J405),#N/A)</f>
        <v>0.12752609286817221</v>
      </c>
      <c r="FS405" s="82">
        <f t="shared" si="661"/>
        <v>-6.0477621800553293E-2</v>
      </c>
      <c r="FT405" s="82">
        <f t="shared" si="662"/>
        <v>-0.1725126600185368</v>
      </c>
      <c r="FU405" s="338">
        <f t="shared" ref="FU405:FU410" si="763">IF(AND(HB405="MOC",GZ405=""),#N/A,IFERROR(FQ405-HE405,FQ405-0))-14.53</f>
        <v>26.310206355787258</v>
      </c>
      <c r="FV405" s="57" t="str">
        <f t="shared" si="666"/>
        <v>Dwn</v>
      </c>
      <c r="FW405" s="57" t="s">
        <v>2733</v>
      </c>
      <c r="FX405" s="57" t="str">
        <f t="shared" si="741"/>
        <v/>
      </c>
      <c r="FY405" s="57" t="str">
        <f t="shared" si="742"/>
        <v/>
      </c>
      <c r="FZ405" s="57" t="str">
        <f t="shared" si="743"/>
        <v/>
      </c>
      <c r="GA405" s="57" t="str">
        <f t="shared" si="744"/>
        <v>Short</v>
      </c>
      <c r="GB405" s="57">
        <f t="shared" si="745"/>
        <v>1</v>
      </c>
      <c r="GC405" s="57" t="str">
        <f t="shared" si="746"/>
        <v/>
      </c>
      <c r="GD405" s="57" t="str">
        <f t="shared" si="747"/>
        <v/>
      </c>
      <c r="GE405" s="62">
        <f t="shared" si="664"/>
        <v>86.74</v>
      </c>
      <c r="GF405" s="62" t="s">
        <v>2780</v>
      </c>
      <c r="GG405" s="199">
        <v>19</v>
      </c>
      <c r="GH405" s="207">
        <f t="shared" si="748"/>
        <v>1648.06</v>
      </c>
      <c r="GI405" s="199">
        <v>19</v>
      </c>
      <c r="GJ405" s="200">
        <v>76.105000000000004</v>
      </c>
      <c r="GK405" s="63">
        <f t="shared" si="749"/>
        <v>202.06499999999983</v>
      </c>
      <c r="GL405" s="63">
        <f t="shared" si="665"/>
        <v>219.26</v>
      </c>
      <c r="GM405" s="82" t="str">
        <f t="shared" si="750"/>
        <v/>
      </c>
      <c r="GN405" s="82">
        <f>IF($GZ405="",#N/A,SUM(GM$4:GM405))</f>
        <v>8.2210156230876237</v>
      </c>
      <c r="GO405" s="82" t="str">
        <f t="shared" si="751"/>
        <v/>
      </c>
      <c r="GP405" s="82">
        <f>IF($GZ405="",#N/A,SUM(GO$4:GO405))</f>
        <v>3.2522471402826749</v>
      </c>
      <c r="GQ405" s="82">
        <f t="shared" si="752"/>
        <v>2.2173545461532553</v>
      </c>
      <c r="GR405" s="82">
        <f>IF($GZ405="",#N/A,SUM(GQ$4:GQ405))</f>
        <v>27.918525218652036</v>
      </c>
      <c r="GS405" s="63" t="str">
        <f t="shared" si="760"/>
        <v/>
      </c>
      <c r="GT405" s="63" t="e">
        <f>IF($GZ405="",#N/A,SUM(GS$4:GS405))</f>
        <v>#N/A</v>
      </c>
      <c r="GU405" s="63" t="str">
        <f t="shared" si="761"/>
        <v/>
      </c>
      <c r="GV405" s="63" t="e">
        <f>IF($GZ405="",#N/A,SUM(GU$4:GU405))</f>
        <v>#N/A</v>
      </c>
      <c r="GW405" s="63" t="e">
        <f t="shared" si="762"/>
        <v>#N/A</v>
      </c>
      <c r="GX405" s="63" t="e">
        <f>IF($GZ405="",#N/A,SUM(GW$4:GW405))</f>
        <v>#N/A</v>
      </c>
      <c r="GY405" s="63" t="e">
        <f>IF(EJ405="",#N/A,SUM($EJ$4:EJ405))</f>
        <v>#N/A</v>
      </c>
      <c r="GZ405" s="159">
        <v>75.2</v>
      </c>
      <c r="HA405" s="63">
        <f t="shared" si="753"/>
        <v>80.559999999999945</v>
      </c>
      <c r="HB405" s="62" t="s">
        <v>4734</v>
      </c>
      <c r="HC405" s="60">
        <f>IFERROR(VLOOKUP(E405,Expectancy!$P$4:$S$19,1+C405,FALSE),"")</f>
        <v>-9.4786290791818092E-2</v>
      </c>
      <c r="HD405" s="82">
        <f t="shared" si="754"/>
        <v>2.0434632234263299</v>
      </c>
      <c r="HE405" s="138">
        <f>IF(HD405="",#N/A,SUM($HD$4:HD405))</f>
        <v>10.425282977217972</v>
      </c>
      <c r="HF405" s="85">
        <f>IF(HD405="",#N/A,IF(HB405="Skip",#N/A,SUM($HG$4:HG405)))</f>
        <v>318.72357921915568</v>
      </c>
      <c r="HG405" s="63">
        <f t="shared" si="755"/>
        <v>202.06499999999983</v>
      </c>
      <c r="HH405" s="82">
        <f t="shared" si="756"/>
        <v>2.2173545461532553</v>
      </c>
    </row>
    <row r="406" spans="1:216" x14ac:dyDescent="0.25">
      <c r="A406" s="57" t="s">
        <v>1102</v>
      </c>
      <c r="B406" s="58" t="str" cm="1">
        <f t="array" ref="B406">IFERROR(_xlfn.XLOOKUP(A406,Earnings!$B$2:$B$9985,LEFT(Earnings!$C$2:$C$9985,37)),"Can't Find Date***")</f>
        <v>on 3/4/25 Before Market Eastern Stand</v>
      </c>
      <c r="C406" s="386">
        <f t="shared" si="667"/>
        <v>2</v>
      </c>
      <c r="D406" s="372" t="str">
        <f>_xlfn.XLOOKUP(A406,[1]SP500!$A$2:$A$502,[1]SP500!$D$2:$D$502,"N")</f>
        <v>Y</v>
      </c>
      <c r="E406" s="57" t="str">
        <f>_xlfn.XLOOKUP(A406,[1]SP500!$A$2:$A$655,[1]SP500!$B$2:$B$655)</f>
        <v>XLP</v>
      </c>
      <c r="F406" s="59">
        <v>45720</v>
      </c>
      <c r="G406" s="57" t="str">
        <f t="shared" si="668"/>
        <v>BMO</v>
      </c>
      <c r="H406" s="57" t="str">
        <f t="shared" si="669"/>
        <v>o</v>
      </c>
      <c r="I406" s="159">
        <v>120.76</v>
      </c>
      <c r="J406" s="159">
        <v>117.5</v>
      </c>
      <c r="K406" s="61">
        <f t="shared" si="670"/>
        <v>-2.6995693938390238E-2</v>
      </c>
      <c r="L406" s="87">
        <f t="shared" si="671"/>
        <v>42.380000000000109</v>
      </c>
      <c r="M406" s="130" t="e">
        <f t="shared" si="663"/>
        <v>#N/A</v>
      </c>
      <c r="N406" s="169" t="str">
        <f t="shared" si="672"/>
        <v/>
      </c>
      <c r="O406" s="169">
        <f>IF($J406="",#N/A,SUM($N$4:N406))</f>
        <v>-344.89225475891067</v>
      </c>
      <c r="P406" s="174">
        <f t="shared" si="673"/>
        <v>42.380000000000109</v>
      </c>
      <c r="Q406" s="174">
        <f>IF($J406="",#N/A,SUM($P$4:P406))</f>
        <v>502.05774645512804</v>
      </c>
      <c r="R406" s="178" t="str">
        <f t="shared" si="674"/>
        <v/>
      </c>
      <c r="S406" s="178">
        <f>IF($J406="",#N/A,SUM($R$4:R406))</f>
        <v>893.97257898871567</v>
      </c>
      <c r="T406" s="290" t="str">
        <f t="shared" si="675"/>
        <v/>
      </c>
      <c r="U406" s="290">
        <f>IF($J406="",#N/A,SUM($T$4:T406))</f>
        <v>10.01739856757891</v>
      </c>
      <c r="V406" s="291">
        <f t="shared" si="676"/>
        <v>0.44992823230650442</v>
      </c>
      <c r="W406" s="291">
        <f>IF($J406="",#N/A,SUM($V$4:V406))</f>
        <v>24.695530102144041</v>
      </c>
      <c r="X406" s="292" t="str">
        <f t="shared" si="677"/>
        <v/>
      </c>
      <c r="Y406" s="292">
        <f>IF($J406="",#N/A,SUM($X$4:X406))</f>
        <v>17.002488895588808</v>
      </c>
      <c r="Z406" s="304" t="str">
        <f t="shared" si="678"/>
        <v/>
      </c>
      <c r="AA406" s="313" t="e">
        <f>IF($J406="",#N/A,SUM(Z$4:Z406))</f>
        <v>#N/A</v>
      </c>
      <c r="AB406" s="314" t="str">
        <f t="shared" si="679"/>
        <v/>
      </c>
      <c r="AC406" s="314" t="e">
        <f>IF($J406="",#N/A,SUM(AB$4:AB406))</f>
        <v>#N/A</v>
      </c>
      <c r="AD406" s="315" t="str">
        <f t="shared" si="680"/>
        <v/>
      </c>
      <c r="AE406" s="315" t="e">
        <f>IF($J406="",#N/A,SUM(AD$4:AD406))</f>
        <v>#N/A</v>
      </c>
      <c r="AF406" s="315" t="e">
        <f>IF($J406="",#N/A,SUM(AD$4:AD406,AB$4:AB406,Z$4:Z406))</f>
        <v>#N/A</v>
      </c>
      <c r="AG406" s="304" t="str">
        <f t="shared" si="681"/>
        <v/>
      </c>
      <c r="AH406" s="313" t="e">
        <f>IF($J406="",#N/A,SUM(AG$4:AG406))</f>
        <v>#N/A</v>
      </c>
      <c r="AI406" s="314" t="str">
        <f t="shared" si="682"/>
        <v/>
      </c>
      <c r="AJ406" s="314" t="e">
        <f>IF($J406="",#N/A,SUM(AI$4:AI406))</f>
        <v>#N/A</v>
      </c>
      <c r="AK406" s="315" t="str">
        <f t="shared" si="683"/>
        <v/>
      </c>
      <c r="AL406" s="315" t="e">
        <f>IF($J406="",#N/A,SUM(AK$4:AK406))</f>
        <v>#N/A</v>
      </c>
      <c r="AM406" s="315" t="e">
        <f>IF($J406="",#N/A,SUM(AK$4:AK406,AI$4:AI406,AG$4:AG406))</f>
        <v>#N/A</v>
      </c>
      <c r="AN406" s="304" t="str">
        <f t="shared" si="684"/>
        <v/>
      </c>
      <c r="AO406" s="313" t="e">
        <f>IF($J406="",#N/A,SUM(AN$4:AN406))</f>
        <v>#N/A</v>
      </c>
      <c r="AP406" s="314" t="str">
        <f t="shared" si="685"/>
        <v/>
      </c>
      <c r="AQ406" s="314" t="e">
        <f>IF($J406="",#N/A,SUM(AP$4:AP406))</f>
        <v>#N/A</v>
      </c>
      <c r="AR406" s="315" t="str">
        <f t="shared" si="686"/>
        <v/>
      </c>
      <c r="AS406" s="315" t="e">
        <f>IF($J406="",#N/A,SUM(AR$4:AR406))</f>
        <v>#N/A</v>
      </c>
      <c r="AT406" s="315" t="e">
        <f>IF($J406="",#N/A,SUM(AR$4:AR406,AP$4:AP406,AN$4:AN406))</f>
        <v>#N/A</v>
      </c>
      <c r="AU406" s="304" t="str">
        <f t="shared" si="687"/>
        <v/>
      </c>
      <c r="AV406" s="313" t="e">
        <f>IF($J406="",#N/A,SUM(AU$4:AU406))</f>
        <v>#N/A</v>
      </c>
      <c r="AW406" s="314">
        <f t="shared" si="688"/>
        <v>0.44992823230650442</v>
      </c>
      <c r="AX406" s="314" t="e">
        <f>IF($J406="",#N/A,SUM(AW$4:AW406))</f>
        <v>#N/A</v>
      </c>
      <c r="AY406" s="315" t="str">
        <f t="shared" si="689"/>
        <v/>
      </c>
      <c r="AZ406" s="315" t="e">
        <f>IF($J406="",#N/A,SUM(AY$4:AY406))</f>
        <v>#N/A</v>
      </c>
      <c r="BA406" s="315" t="e">
        <f>IF($J406="",#N/A,SUM(AY$4:AY406,AW$4:AW406,AU$4:AU406))</f>
        <v>#N/A</v>
      </c>
      <c r="BB406" s="304" t="str">
        <f t="shared" si="690"/>
        <v/>
      </c>
      <c r="BC406" s="313" t="e">
        <f>IF($J406="",#N/A,SUM(BB$4:BB406))</f>
        <v>#N/A</v>
      </c>
      <c r="BD406" s="314" t="str">
        <f t="shared" si="691"/>
        <v/>
      </c>
      <c r="BE406" s="314" t="e">
        <f>IF($J406="",#N/A,SUM(BD$4:BD406))</f>
        <v>#N/A</v>
      </c>
      <c r="BF406" s="315" t="str">
        <f t="shared" si="692"/>
        <v/>
      </c>
      <c r="BG406" s="315" t="e">
        <f>IF($J406="",#N/A,SUM(BF$4:BF406))</f>
        <v>#N/A</v>
      </c>
      <c r="BH406" s="315" t="e">
        <f>IF($J406="",#N/A,SUM(BF$4:BF406,BD$4:BD406,BB$4:BB406))</f>
        <v>#N/A</v>
      </c>
      <c r="BI406" s="304" t="str">
        <f t="shared" si="693"/>
        <v/>
      </c>
      <c r="BJ406" s="313" t="e">
        <f>IF($J406="",#N/A,SUM(BI$4:BI406))</f>
        <v>#N/A</v>
      </c>
      <c r="BK406" s="314" t="str">
        <f t="shared" si="694"/>
        <v/>
      </c>
      <c r="BL406" s="314" t="e">
        <f>IF($J406="",#N/A,SUM(BK$4:BK406))</f>
        <v>#N/A</v>
      </c>
      <c r="BM406" s="315" t="str">
        <f t="shared" si="695"/>
        <v/>
      </c>
      <c r="BN406" s="315" t="e">
        <f>IF($J406="",#N/A,SUM(BM$4:BM406))</f>
        <v>#N/A</v>
      </c>
      <c r="BO406" s="315" t="e">
        <f>IF($J406="",#N/A,SUM(BM$4:BM406,BK$4:BK406,BI$4:BI406))</f>
        <v>#N/A</v>
      </c>
      <c r="BP406" s="304" t="str">
        <f t="shared" si="696"/>
        <v/>
      </c>
      <c r="BQ406" s="313" t="e">
        <f>IF($J406="",#N/A,SUM(BP$4:BP406))</f>
        <v>#N/A</v>
      </c>
      <c r="BR406" s="314" t="str">
        <f t="shared" si="697"/>
        <v/>
      </c>
      <c r="BS406" s="314" t="e">
        <f>IF($J406="",#N/A,SUM(BR$4:BR406))</f>
        <v>#N/A</v>
      </c>
      <c r="BT406" s="315" t="str">
        <f t="shared" si="698"/>
        <v/>
      </c>
      <c r="BU406" s="315" t="e">
        <f>IF($J406="",#N/A,SUM(BT$4:BT406))</f>
        <v>#N/A</v>
      </c>
      <c r="BV406" s="315" t="e">
        <f>IF($J406="",#N/A,SUM(BT$4:BT406,BR$4:BR406,BP$4:BP406))</f>
        <v>#N/A</v>
      </c>
      <c r="BW406" s="304" t="str">
        <f t="shared" si="699"/>
        <v/>
      </c>
      <c r="BX406" s="313" t="e">
        <f>IF($J406="",#N/A,SUM(BW$4:BW406))</f>
        <v>#N/A</v>
      </c>
      <c r="BY406" s="314" t="str">
        <f t="shared" si="700"/>
        <v/>
      </c>
      <c r="BZ406" s="314" t="e">
        <f>IF($J406="",#N/A,SUM(BY$4:BY406))</f>
        <v>#N/A</v>
      </c>
      <c r="CA406" s="315" t="str">
        <f t="shared" si="701"/>
        <v/>
      </c>
      <c r="CB406" s="315" t="e">
        <f>IF($J406="",#N/A,SUM(CA$4:CA406))</f>
        <v>#N/A</v>
      </c>
      <c r="CC406" s="315" t="e">
        <f>IF($J406="",#N/A,SUM(CA$4:CA406,BY$4:BY406,BW$4:BW406))</f>
        <v>#N/A</v>
      </c>
      <c r="CD406" s="304" t="str">
        <f t="shared" si="702"/>
        <v/>
      </c>
      <c r="CE406" s="313" t="e">
        <f>IF($J406="",#N/A,SUM(CD$4:CD406))</f>
        <v>#N/A</v>
      </c>
      <c r="CF406" s="314" t="str">
        <f t="shared" si="703"/>
        <v/>
      </c>
      <c r="CG406" s="314" t="e">
        <f>IF($J406="",#N/A,SUM(CF$4:CF406))</f>
        <v>#N/A</v>
      </c>
      <c r="CH406" s="315" t="str">
        <f t="shared" si="704"/>
        <v/>
      </c>
      <c r="CI406" s="315" t="e">
        <f>IF($J406="",#N/A,SUM(CH$4:CH406))</f>
        <v>#N/A</v>
      </c>
      <c r="CJ406" s="315" t="e">
        <f>IF($J406="",#N/A,SUM(CH$4:CH406,CF$4:CF406,CD$4:CD406))</f>
        <v>#N/A</v>
      </c>
      <c r="CK406" s="304" t="str">
        <f t="shared" si="705"/>
        <v/>
      </c>
      <c r="CL406" s="313" t="e">
        <f>IF($J406="",#N/A,SUM(CK$4:CK406))</f>
        <v>#N/A</v>
      </c>
      <c r="CM406" s="314" t="str">
        <f t="shared" si="706"/>
        <v/>
      </c>
      <c r="CN406" s="314" t="e">
        <f>IF($J406="",#N/A,SUM(CM$4:CM406))</f>
        <v>#N/A</v>
      </c>
      <c r="CO406" s="315" t="str">
        <f t="shared" si="707"/>
        <v/>
      </c>
      <c r="CP406" s="315" t="e">
        <f>IF($J406="",#N/A,SUM(CO$4:CO406))</f>
        <v>#N/A</v>
      </c>
      <c r="CQ406" s="315" t="e">
        <f>IF($J406="",#N/A,SUM(CO$4:CO406,CM$4:CM406,CK$4:CK406))</f>
        <v>#N/A</v>
      </c>
      <c r="CR406" s="304" t="str">
        <f t="shared" si="708"/>
        <v/>
      </c>
      <c r="CS406" s="313" t="e">
        <f>IF($J406="",#N/A,SUM(CR$4:CR406))</f>
        <v>#N/A</v>
      </c>
      <c r="CT406" s="314" t="str">
        <f t="shared" si="709"/>
        <v/>
      </c>
      <c r="CU406" s="314" t="e">
        <f>IF($J406="",#N/A,SUM(CT$4:CT406))</f>
        <v>#N/A</v>
      </c>
      <c r="CV406" s="315" t="str">
        <f t="shared" si="710"/>
        <v/>
      </c>
      <c r="CW406" s="315" t="e">
        <f>IF($J406="",#N/A,SUM(CV$4:CV406))</f>
        <v>#N/A</v>
      </c>
      <c r="CX406" s="315" t="e">
        <f>IF($J406="",#N/A,SUM(CV$4:CV406,CT$4:CT406,CR$4:CR406))</f>
        <v>#N/A</v>
      </c>
      <c r="CY406" s="304" t="str">
        <f t="shared" si="711"/>
        <v/>
      </c>
      <c r="CZ406" s="313" t="e">
        <f>IF($J406="",#N/A,SUM(CY$4:CY406))</f>
        <v>#N/A</v>
      </c>
      <c r="DA406" s="314" t="str">
        <f t="shared" si="712"/>
        <v/>
      </c>
      <c r="DB406" s="314" t="e">
        <f>IF($J406="",#N/A,SUM(DA$4:DA406))</f>
        <v>#N/A</v>
      </c>
      <c r="DC406" s="315" t="str">
        <f t="shared" si="713"/>
        <v/>
      </c>
      <c r="DD406" s="315" t="e">
        <f>IF($J406="",#N/A,SUM(DC$4:DC406))</f>
        <v>#N/A</v>
      </c>
      <c r="DE406" s="315" t="e">
        <f>IF($J406="",#N/A,SUM(DC$4:DC406,DA$4:DA406,CY$4:CY406))</f>
        <v>#N/A</v>
      </c>
      <c r="DF406" s="304" t="str">
        <f t="shared" si="714"/>
        <v/>
      </c>
      <c r="DG406" s="313" t="e">
        <f>IF($J406="",#N/A,SUM(DF$4:DF406))</f>
        <v>#N/A</v>
      </c>
      <c r="DH406" s="314" t="str">
        <f t="shared" si="715"/>
        <v/>
      </c>
      <c r="DI406" s="314" t="e">
        <f>IF($J406="",#N/A,SUM(DH$4:DH406))</f>
        <v>#N/A</v>
      </c>
      <c r="DJ406" s="315" t="str">
        <f t="shared" si="716"/>
        <v/>
      </c>
      <c r="DK406" s="315" t="e">
        <f>IF($J406="",#N/A,SUM(DJ$4:DJ406))</f>
        <v>#N/A</v>
      </c>
      <c r="DL406" s="315" t="e">
        <f>IF($J406="",#N/A,SUM(DJ$4:DJ406,DH$4:DH406,DF$4:DF406))</f>
        <v>#N/A</v>
      </c>
      <c r="DM406" s="304" t="str">
        <f t="shared" si="717"/>
        <v/>
      </c>
      <c r="DN406" s="313" t="e">
        <f>IF($J406="",#N/A,SUM(DM$4:DM406))</f>
        <v>#N/A</v>
      </c>
      <c r="DO406" s="314" t="str">
        <f t="shared" si="718"/>
        <v/>
      </c>
      <c r="DP406" s="314" t="e">
        <f>IF($J406="",#N/A,SUM(DO$4:DO406))</f>
        <v>#N/A</v>
      </c>
      <c r="DQ406" s="315" t="str">
        <f t="shared" si="719"/>
        <v/>
      </c>
      <c r="DR406" s="315" t="e">
        <f>IF($J406="",#N/A,SUM(DQ$4:DQ406))</f>
        <v>#N/A</v>
      </c>
      <c r="DS406" s="315" t="e">
        <f>IF($J406="",#N/A,SUM(DQ$4:DQ406,DO$4:DO406,DM$4:DM406))</f>
        <v>#N/A</v>
      </c>
      <c r="DT406" s="304" t="str">
        <f t="shared" si="720"/>
        <v/>
      </c>
      <c r="DU406" s="313" t="e">
        <f>IF($J406="",#N/A,SUM(DT$4:DT406))</f>
        <v>#N/A</v>
      </c>
      <c r="DV406" s="314" t="str">
        <f t="shared" si="721"/>
        <v/>
      </c>
      <c r="DW406" s="314" t="e">
        <f>IF($J406="",#N/A,SUM(DV$4:DV406))</f>
        <v>#N/A</v>
      </c>
      <c r="DX406" s="315" t="str">
        <f t="shared" si="722"/>
        <v/>
      </c>
      <c r="DY406" s="315" t="e">
        <f>IF($J406="",#N/A,SUM(DX$4:DX406))</f>
        <v>#N/A</v>
      </c>
      <c r="DZ406" s="315" t="e">
        <f>IF($J406="",#N/A,SUM(DX$4:DX406,DV$4:DV406,DT$4:DT406))</f>
        <v>#N/A</v>
      </c>
      <c r="EA406" s="304" t="str">
        <f t="shared" si="723"/>
        <v/>
      </c>
      <c r="EB406" s="313" t="e">
        <f>IF($J406="",#N/A,SUM(EA$4:EA406))</f>
        <v>#N/A</v>
      </c>
      <c r="EC406" s="314" t="str">
        <f t="shared" si="724"/>
        <v/>
      </c>
      <c r="ED406" s="314" t="e">
        <f>IF($J406="",#N/A,SUM(EC$4:EC406))</f>
        <v>#N/A</v>
      </c>
      <c r="EE406" s="315" t="str">
        <f t="shared" si="725"/>
        <v/>
      </c>
      <c r="EF406" s="315" t="e">
        <f>IF($J406="",#N/A,SUM(EE$4:EE406))</f>
        <v>#N/A</v>
      </c>
      <c r="EG406" s="315" t="e">
        <f>IF($J406="",#N/A,SUM(EE$4:EE406,EC$4:EC406,EA$4:EA406))</f>
        <v>#N/A</v>
      </c>
      <c r="EH406" s="130">
        <f t="shared" si="726"/>
        <v>42.380000000000109</v>
      </c>
      <c r="EI406" s="63">
        <f>IF(EH406="",#N/A,SUM($EH$4:EH406))</f>
        <v>1051.1380706849332</v>
      </c>
      <c r="EJ406" s="223" t="e">
        <f t="shared" si="727"/>
        <v>#N/A</v>
      </c>
      <c r="EK406" s="63" t="e">
        <f>IF($GZ406="",#N/A,SUM(EJ$4:EJ406))</f>
        <v>#N/A</v>
      </c>
      <c r="EL406" s="60">
        <f t="shared" si="757"/>
        <v>0.44992823230650442</v>
      </c>
      <c r="EM406" s="60">
        <f>IF(EL406="",NA(),SUM($EL$4:EL406))</f>
        <v>21.484902763838612</v>
      </c>
      <c r="EN406" s="60" t="str">
        <f t="shared" si="728"/>
        <v/>
      </c>
      <c r="EO406" s="60" t="e">
        <f>IF(EN406="",NA(),SUM($EN$4:EN406))</f>
        <v>#N/A</v>
      </c>
      <c r="EP406" s="60" t="str">
        <f t="shared" si="729"/>
        <v/>
      </c>
      <c r="EQ406" s="60" t="e">
        <f>IF(EP406="",NA(),SUM($EP$4:EP406))</f>
        <v>#N/A</v>
      </c>
      <c r="ER406" s="60">
        <f t="shared" si="730"/>
        <v>0.44992823230650442</v>
      </c>
      <c r="ES406" s="60">
        <f>IF(ER406="",NA(),SUM($ER$4:ER406))</f>
        <v>9.7920454133028816</v>
      </c>
      <c r="ET406" s="60" t="str">
        <f t="shared" si="731"/>
        <v/>
      </c>
      <c r="EU406" s="60" t="e">
        <f>IF(ET406="",NA(),SUM($ET$4:ET406))</f>
        <v>#N/A</v>
      </c>
      <c r="EV406" s="60" t="str">
        <f t="shared" si="732"/>
        <v/>
      </c>
      <c r="EW406" s="60" t="e">
        <f>IF(EV406="",NA(),SUM($EV$4:EV406))</f>
        <v>#N/A</v>
      </c>
      <c r="EX406" s="60" t="str">
        <f t="shared" si="733"/>
        <v/>
      </c>
      <c r="EY406" s="60" t="e">
        <f>IF(EX406="",NA(),SUM($EX$4:EX406))</f>
        <v>#N/A</v>
      </c>
      <c r="EZ406" s="60" t="str">
        <f t="shared" si="734"/>
        <v/>
      </c>
      <c r="FA406" s="60" t="e">
        <f>IF(EZ406="",NA(),SUM($EZ$4:EZ406))</f>
        <v>#N/A</v>
      </c>
      <c r="FB406" s="246">
        <f t="shared" si="758"/>
        <v>4.9685326266976471E-2</v>
      </c>
      <c r="FC406" s="246">
        <f>IF($FB406="",#N/A,SUM(FB$4:$FB406))</f>
        <v>2.2061571674577252</v>
      </c>
      <c r="FD406" s="60" t="str">
        <f t="shared" si="735"/>
        <v/>
      </c>
      <c r="FE406" s="60" t="e">
        <f>IF($FD406="",#N/A,SUM($FD$4:FD406))</f>
        <v>#N/A</v>
      </c>
      <c r="FF406" s="60" t="str">
        <f t="shared" si="736"/>
        <v/>
      </c>
      <c r="FG406" s="60" t="e">
        <f>IF($FF406="",#N/A,SUM($FF$4:FF406))</f>
        <v>#N/A</v>
      </c>
      <c r="FH406" s="60" t="str">
        <f t="shared" si="737"/>
        <v/>
      </c>
      <c r="FI406" s="60" t="e">
        <f>IF($FH406="",#N/A,SUM($FH$4:FH406))</f>
        <v>#N/A</v>
      </c>
      <c r="FJ406" s="60" t="str">
        <f t="shared" si="738"/>
        <v/>
      </c>
      <c r="FK406" s="60" t="e">
        <f>IF($FJ406="",#N/A,SUM($FJ$4:FJ406))</f>
        <v>#N/A</v>
      </c>
      <c r="FL406" s="60" t="str">
        <f t="shared" si="739"/>
        <v/>
      </c>
      <c r="FM406" s="60" t="e">
        <f>IF($FL406="",#N/A,SUM($FL$4:FL406))</f>
        <v>#N/A</v>
      </c>
      <c r="FN406" s="82">
        <f t="shared" si="740"/>
        <v>0.49961355857348089</v>
      </c>
      <c r="FO406" s="82">
        <f>IF($FN406="",#N/A,SUM(FN$4:$FN406))</f>
        <v>40.517238495038143</v>
      </c>
      <c r="FP406" s="82">
        <f t="shared" si="759"/>
        <v>0.44992823230650442</v>
      </c>
      <c r="FQ406" s="246">
        <f>IF($EH406="",#N/A,SUM($FP$4:FP406))</f>
        <v>51.715417565311732</v>
      </c>
      <c r="FR406" s="82">
        <f>IFERROR(FQ406/COUNTA($J$4:J406),#N/A)</f>
        <v>0.1283260981769522</v>
      </c>
      <c r="FS406" s="82">
        <f t="shared" si="661"/>
        <v>-5.0650270636017181E-2</v>
      </c>
      <c r="FT406" s="82">
        <f t="shared" si="662"/>
        <v>-0.17015979378796089</v>
      </c>
      <c r="FU406" s="338">
        <f t="shared" si="763"/>
        <v>25.880980342758662</v>
      </c>
      <c r="FV406" s="57" t="str">
        <f t="shared" si="666"/>
        <v>Dwn</v>
      </c>
      <c r="FW406" s="57" t="s">
        <v>2733</v>
      </c>
      <c r="FX406" s="57" t="str">
        <f t="shared" si="741"/>
        <v/>
      </c>
      <c r="FY406" s="57" t="str">
        <f t="shared" si="742"/>
        <v/>
      </c>
      <c r="FZ406" s="57" t="str">
        <f t="shared" si="743"/>
        <v/>
      </c>
      <c r="GA406" s="57" t="str">
        <f t="shared" si="744"/>
        <v>Short</v>
      </c>
      <c r="GB406" s="57">
        <f t="shared" si="745"/>
        <v>1</v>
      </c>
      <c r="GC406" s="57" t="str">
        <f t="shared" si="746"/>
        <v/>
      </c>
      <c r="GD406" s="57" t="str">
        <f t="shared" si="747"/>
        <v/>
      </c>
      <c r="GE406" s="62">
        <f t="shared" si="664"/>
        <v>120.76</v>
      </c>
      <c r="GF406" s="62" t="s">
        <v>2780</v>
      </c>
      <c r="GG406" s="199">
        <v>13</v>
      </c>
      <c r="GH406" s="207">
        <f t="shared" si="748"/>
        <v>1569.88</v>
      </c>
      <c r="GI406" s="199">
        <v>13</v>
      </c>
      <c r="GJ406" s="200">
        <v>114.39</v>
      </c>
      <c r="GK406" s="63">
        <f t="shared" si="749"/>
        <v>82.810000000000173</v>
      </c>
      <c r="GL406" s="63">
        <f t="shared" si="665"/>
        <v>47.060000000000173</v>
      </c>
      <c r="GM406" s="82" t="str">
        <f t="shared" si="750"/>
        <v/>
      </c>
      <c r="GN406" s="82">
        <f>IF($GZ406="",#N/A,SUM(GM$4:GM406))</f>
        <v>8.2210156230876237</v>
      </c>
      <c r="GO406" s="82" t="str">
        <f t="shared" si="751"/>
        <v/>
      </c>
      <c r="GP406" s="82">
        <f>IF($GZ406="",#N/A,SUM(GO$4:GO406))</f>
        <v>3.2522471402826749</v>
      </c>
      <c r="GQ406" s="82">
        <f t="shared" si="752"/>
        <v>0.49961355857348089</v>
      </c>
      <c r="GR406" s="82">
        <f>IF($GZ406="",#N/A,SUM(GQ$4:GQ406))</f>
        <v>28.418138777225515</v>
      </c>
      <c r="GS406" s="63" t="str">
        <f t="shared" si="760"/>
        <v/>
      </c>
      <c r="GT406" s="63" t="e">
        <f>IF($GZ406="",#N/A,SUM(GS$4:GS406))</f>
        <v>#N/A</v>
      </c>
      <c r="GU406" s="63" t="str">
        <f t="shared" si="761"/>
        <v/>
      </c>
      <c r="GV406" s="63" t="e">
        <f>IF($GZ406="",#N/A,SUM(GU$4:GU406))</f>
        <v>#N/A</v>
      </c>
      <c r="GW406" s="63" t="e">
        <f t="shared" si="762"/>
        <v>#N/A</v>
      </c>
      <c r="GX406" s="63" t="e">
        <f>IF($GZ406="",#N/A,SUM(GW$4:GW406))</f>
        <v>#N/A</v>
      </c>
      <c r="GY406" s="63" t="e">
        <f>IF(EJ406="",#N/A,SUM($EJ$4:EJ406))</f>
        <v>#N/A</v>
      </c>
      <c r="GZ406" s="159">
        <v>117.14</v>
      </c>
      <c r="HA406" s="63">
        <f t="shared" si="753"/>
        <v>4.6800000000000637</v>
      </c>
      <c r="HB406" s="62" t="s">
        <v>4734</v>
      </c>
      <c r="HC406" s="60">
        <f>IFERROR(VLOOKUP(E406,Expectancy!$P$4:$S$19,1+C406,FALSE),"")</f>
        <v>0.30769020202715358</v>
      </c>
      <c r="HD406" s="82">
        <f t="shared" si="754"/>
        <v>0.87915424533510167</v>
      </c>
      <c r="HE406" s="138">
        <f>IF(HD406="",#N/A,SUM($HD$4:HD406))</f>
        <v>11.304437222553073</v>
      </c>
      <c r="HF406" s="85">
        <f>IF(HD406="",#N/A,IF(HB406="Skip",#N/A,SUM($HG$4:HG406)))</f>
        <v>401.53357921915585</v>
      </c>
      <c r="HG406" s="63">
        <f t="shared" si="755"/>
        <v>82.810000000000173</v>
      </c>
      <c r="HH406" s="82">
        <f t="shared" si="756"/>
        <v>0.49961355857348089</v>
      </c>
    </row>
    <row r="407" spans="1:216" x14ac:dyDescent="0.25">
      <c r="A407" s="57" t="s">
        <v>1187</v>
      </c>
      <c r="B407" s="58" t="str" cm="1">
        <f t="array" ref="B407">IFERROR(_xlfn.XLOOKUP(A407,Earnings!$B$2:$B$9985,LEFT(Earnings!$C$2:$C$9985,37)),"Can't Find Date***")</f>
        <v>on 3/4/25 After Market Eastern Standa</v>
      </c>
      <c r="C407" s="386">
        <f t="shared" si="667"/>
        <v>3</v>
      </c>
      <c r="D407" s="372" t="str">
        <f>_xlfn.XLOOKUP(A407,[1]SP500!$A$2:$A$502,[1]SP500!$D$2:$D$502,"N")</f>
        <v>N</v>
      </c>
      <c r="E407" s="57" t="str">
        <f>_xlfn.XLOOKUP(A407,[1]SP500!$A$2:$A$655,[1]SP500!$B$2:$B$655)</f>
        <v>IGV</v>
      </c>
      <c r="F407" s="59">
        <v>45720</v>
      </c>
      <c r="G407" s="57" t="str">
        <f t="shared" si="668"/>
        <v>AMC</v>
      </c>
      <c r="H407" s="57" t="str">
        <f t="shared" si="669"/>
        <v>s</v>
      </c>
      <c r="I407" s="159">
        <v>33.47</v>
      </c>
      <c r="J407" s="159">
        <v>31</v>
      </c>
      <c r="K407" s="61">
        <f t="shared" si="670"/>
        <v>-7.3797430534807265E-2</v>
      </c>
      <c r="L407" s="87">
        <f t="shared" si="671"/>
        <v>-123.5</v>
      </c>
      <c r="M407" s="130">
        <f t="shared" si="663"/>
        <v>0</v>
      </c>
      <c r="N407" s="169" t="str">
        <f t="shared" si="672"/>
        <v/>
      </c>
      <c r="O407" s="169">
        <f>IF($J407="",#N/A,SUM($N$4:N407))</f>
        <v>-344.89225475891067</v>
      </c>
      <c r="P407" s="174" t="str">
        <f t="shared" si="673"/>
        <v/>
      </c>
      <c r="Q407" s="174">
        <f>IF($J407="",#N/A,SUM($P$4:P407))</f>
        <v>502.05774645512804</v>
      </c>
      <c r="R407" s="178">
        <f t="shared" si="674"/>
        <v>-123.5</v>
      </c>
      <c r="S407" s="178">
        <f>IF($J407="",#N/A,SUM($R$4:R407))</f>
        <v>770.47257898871567</v>
      </c>
      <c r="T407" s="290" t="str">
        <f t="shared" si="675"/>
        <v/>
      </c>
      <c r="U407" s="290">
        <f>IF($J407="",#N/A,SUM($T$4:T407))</f>
        <v>10.01739856757891</v>
      </c>
      <c r="V407" s="291" t="str">
        <f t="shared" si="676"/>
        <v/>
      </c>
      <c r="W407" s="291">
        <f>IF($J407="",#N/A,SUM($V$4:V407))</f>
        <v>24.695530102144041</v>
      </c>
      <c r="X407" s="292">
        <f t="shared" si="677"/>
        <v>-1.2299571755801215</v>
      </c>
      <c r="Y407" s="292">
        <f>IF($J407="",#N/A,SUM($X$4:X407))</f>
        <v>15.772531720008686</v>
      </c>
      <c r="Z407" s="304" t="str">
        <f t="shared" si="678"/>
        <v/>
      </c>
      <c r="AA407" s="313" t="e">
        <f>IF($J407="",#N/A,SUM(Z$4:Z407))</f>
        <v>#N/A</v>
      </c>
      <c r="AB407" s="314" t="str">
        <f t="shared" si="679"/>
        <v/>
      </c>
      <c r="AC407" s="314" t="e">
        <f>IF($J407="",#N/A,SUM(AB$4:AB407))</f>
        <v>#N/A</v>
      </c>
      <c r="AD407" s="315" t="str">
        <f t="shared" si="680"/>
        <v/>
      </c>
      <c r="AE407" s="315" t="e">
        <f>IF($J407="",#N/A,SUM(AD$4:AD407))</f>
        <v>#N/A</v>
      </c>
      <c r="AF407" s="315" t="e">
        <f>IF($J407="",#N/A,SUM(AD$4:AD407,AB$4:AB407,Z$4:Z407))</f>
        <v>#N/A</v>
      </c>
      <c r="AG407" s="304" t="str">
        <f t="shared" si="681"/>
        <v/>
      </c>
      <c r="AH407" s="313" t="e">
        <f>IF($J407="",#N/A,SUM(AG$4:AG407))</f>
        <v>#N/A</v>
      </c>
      <c r="AI407" s="314" t="str">
        <f t="shared" si="682"/>
        <v/>
      </c>
      <c r="AJ407" s="314" t="e">
        <f>IF($J407="",#N/A,SUM(AI$4:AI407))</f>
        <v>#N/A</v>
      </c>
      <c r="AK407" s="315">
        <f t="shared" si="683"/>
        <v>-1.2299571755801215</v>
      </c>
      <c r="AL407" s="315" t="e">
        <f>IF($J407="",#N/A,SUM(AK$4:AK407))</f>
        <v>#N/A</v>
      </c>
      <c r="AM407" s="315" t="e">
        <f>IF($J407="",#N/A,SUM(AK$4:AK407,AI$4:AI407,AG$4:AG407))</f>
        <v>#N/A</v>
      </c>
      <c r="AN407" s="304" t="str">
        <f t="shared" si="684"/>
        <v/>
      </c>
      <c r="AO407" s="313" t="e">
        <f>IF($J407="",#N/A,SUM(AN$4:AN407))</f>
        <v>#N/A</v>
      </c>
      <c r="AP407" s="314" t="str">
        <f t="shared" si="685"/>
        <v/>
      </c>
      <c r="AQ407" s="314" t="e">
        <f>IF($J407="",#N/A,SUM(AP$4:AP407))</f>
        <v>#N/A</v>
      </c>
      <c r="AR407" s="315" t="str">
        <f t="shared" si="686"/>
        <v/>
      </c>
      <c r="AS407" s="315" t="e">
        <f>IF($J407="",#N/A,SUM(AR$4:AR407))</f>
        <v>#N/A</v>
      </c>
      <c r="AT407" s="315" t="e">
        <f>IF($J407="",#N/A,SUM(AR$4:AR407,AP$4:AP407,AN$4:AN407))</f>
        <v>#N/A</v>
      </c>
      <c r="AU407" s="304" t="str">
        <f t="shared" si="687"/>
        <v/>
      </c>
      <c r="AV407" s="313" t="e">
        <f>IF($J407="",#N/A,SUM(AU$4:AU407))</f>
        <v>#N/A</v>
      </c>
      <c r="AW407" s="314" t="str">
        <f t="shared" si="688"/>
        <v/>
      </c>
      <c r="AX407" s="314" t="e">
        <f>IF($J407="",#N/A,SUM(AW$4:AW407))</f>
        <v>#N/A</v>
      </c>
      <c r="AY407" s="315" t="str">
        <f t="shared" si="689"/>
        <v/>
      </c>
      <c r="AZ407" s="315" t="e">
        <f>IF($J407="",#N/A,SUM(AY$4:AY407))</f>
        <v>#N/A</v>
      </c>
      <c r="BA407" s="315" t="e">
        <f>IF($J407="",#N/A,SUM(AY$4:AY407,AW$4:AW407,AU$4:AU407))</f>
        <v>#N/A</v>
      </c>
      <c r="BB407" s="304" t="str">
        <f t="shared" si="690"/>
        <v/>
      </c>
      <c r="BC407" s="313" t="e">
        <f>IF($J407="",#N/A,SUM(BB$4:BB407))</f>
        <v>#N/A</v>
      </c>
      <c r="BD407" s="314" t="str">
        <f t="shared" si="691"/>
        <v/>
      </c>
      <c r="BE407" s="314" t="e">
        <f>IF($J407="",#N/A,SUM(BD$4:BD407))</f>
        <v>#N/A</v>
      </c>
      <c r="BF407" s="315" t="str">
        <f t="shared" si="692"/>
        <v/>
      </c>
      <c r="BG407" s="315" t="e">
        <f>IF($J407="",#N/A,SUM(BF$4:BF407))</f>
        <v>#N/A</v>
      </c>
      <c r="BH407" s="315" t="e">
        <f>IF($J407="",#N/A,SUM(BF$4:BF407,BD$4:BD407,BB$4:BB407))</f>
        <v>#N/A</v>
      </c>
      <c r="BI407" s="304" t="str">
        <f t="shared" si="693"/>
        <v/>
      </c>
      <c r="BJ407" s="313" t="e">
        <f>IF($J407="",#N/A,SUM(BI$4:BI407))</f>
        <v>#N/A</v>
      </c>
      <c r="BK407" s="314" t="str">
        <f t="shared" si="694"/>
        <v/>
      </c>
      <c r="BL407" s="314" t="e">
        <f>IF($J407="",#N/A,SUM(BK$4:BK407))</f>
        <v>#N/A</v>
      </c>
      <c r="BM407" s="315" t="str">
        <f t="shared" si="695"/>
        <v/>
      </c>
      <c r="BN407" s="315" t="e">
        <f>IF($J407="",#N/A,SUM(BM$4:BM407))</f>
        <v>#N/A</v>
      </c>
      <c r="BO407" s="315" t="e">
        <f>IF($J407="",#N/A,SUM(BM$4:BM407,BK$4:BK407,BI$4:BI407))</f>
        <v>#N/A</v>
      </c>
      <c r="BP407" s="304" t="str">
        <f t="shared" si="696"/>
        <v/>
      </c>
      <c r="BQ407" s="313" t="e">
        <f>IF($J407="",#N/A,SUM(BP$4:BP407))</f>
        <v>#N/A</v>
      </c>
      <c r="BR407" s="314" t="str">
        <f t="shared" si="697"/>
        <v/>
      </c>
      <c r="BS407" s="314" t="e">
        <f>IF($J407="",#N/A,SUM(BR$4:BR407))</f>
        <v>#N/A</v>
      </c>
      <c r="BT407" s="315" t="str">
        <f t="shared" si="698"/>
        <v/>
      </c>
      <c r="BU407" s="315" t="e">
        <f>IF($J407="",#N/A,SUM(BT$4:BT407))</f>
        <v>#N/A</v>
      </c>
      <c r="BV407" s="315" t="e">
        <f>IF($J407="",#N/A,SUM(BT$4:BT407,BR$4:BR407,BP$4:BP407))</f>
        <v>#N/A</v>
      </c>
      <c r="BW407" s="304" t="str">
        <f t="shared" si="699"/>
        <v/>
      </c>
      <c r="BX407" s="313" t="e">
        <f>IF($J407="",#N/A,SUM(BW$4:BW407))</f>
        <v>#N/A</v>
      </c>
      <c r="BY407" s="314" t="str">
        <f t="shared" si="700"/>
        <v/>
      </c>
      <c r="BZ407" s="314" t="e">
        <f>IF($J407="",#N/A,SUM(BY$4:BY407))</f>
        <v>#N/A</v>
      </c>
      <c r="CA407" s="315" t="str">
        <f t="shared" si="701"/>
        <v/>
      </c>
      <c r="CB407" s="315" t="e">
        <f>IF($J407="",#N/A,SUM(CA$4:CA407))</f>
        <v>#N/A</v>
      </c>
      <c r="CC407" s="315" t="e">
        <f>IF($J407="",#N/A,SUM(CA$4:CA407,BY$4:BY407,BW$4:BW407))</f>
        <v>#N/A</v>
      </c>
      <c r="CD407" s="304" t="str">
        <f t="shared" si="702"/>
        <v/>
      </c>
      <c r="CE407" s="313" t="e">
        <f>IF($J407="",#N/A,SUM(CD$4:CD407))</f>
        <v>#N/A</v>
      </c>
      <c r="CF407" s="314" t="str">
        <f t="shared" si="703"/>
        <v/>
      </c>
      <c r="CG407" s="314" t="e">
        <f>IF($J407="",#N/A,SUM(CF$4:CF407))</f>
        <v>#N/A</v>
      </c>
      <c r="CH407" s="315" t="str">
        <f t="shared" si="704"/>
        <v/>
      </c>
      <c r="CI407" s="315" t="e">
        <f>IF($J407="",#N/A,SUM(CH$4:CH407))</f>
        <v>#N/A</v>
      </c>
      <c r="CJ407" s="315" t="e">
        <f>IF($J407="",#N/A,SUM(CH$4:CH407,CF$4:CF407,CD$4:CD407))</f>
        <v>#N/A</v>
      </c>
      <c r="CK407" s="304" t="str">
        <f t="shared" si="705"/>
        <v/>
      </c>
      <c r="CL407" s="313" t="e">
        <f>IF($J407="",#N/A,SUM(CK$4:CK407))</f>
        <v>#N/A</v>
      </c>
      <c r="CM407" s="314" t="str">
        <f t="shared" si="706"/>
        <v/>
      </c>
      <c r="CN407" s="314" t="e">
        <f>IF($J407="",#N/A,SUM(CM$4:CM407))</f>
        <v>#N/A</v>
      </c>
      <c r="CO407" s="315" t="str">
        <f t="shared" si="707"/>
        <v/>
      </c>
      <c r="CP407" s="315" t="e">
        <f>IF($J407="",#N/A,SUM(CO$4:CO407))</f>
        <v>#N/A</v>
      </c>
      <c r="CQ407" s="315" t="e">
        <f>IF($J407="",#N/A,SUM(CO$4:CO407,CM$4:CM407,CK$4:CK407))</f>
        <v>#N/A</v>
      </c>
      <c r="CR407" s="304" t="str">
        <f t="shared" si="708"/>
        <v/>
      </c>
      <c r="CS407" s="313" t="e">
        <f>IF($J407="",#N/A,SUM(CR$4:CR407))</f>
        <v>#N/A</v>
      </c>
      <c r="CT407" s="314" t="str">
        <f t="shared" si="709"/>
        <v/>
      </c>
      <c r="CU407" s="314" t="e">
        <f>IF($J407="",#N/A,SUM(CT$4:CT407))</f>
        <v>#N/A</v>
      </c>
      <c r="CV407" s="315" t="str">
        <f t="shared" si="710"/>
        <v/>
      </c>
      <c r="CW407" s="315" t="e">
        <f>IF($J407="",#N/A,SUM(CV$4:CV407))</f>
        <v>#N/A</v>
      </c>
      <c r="CX407" s="315" t="e">
        <f>IF($J407="",#N/A,SUM(CV$4:CV407,CT$4:CT407,CR$4:CR407))</f>
        <v>#N/A</v>
      </c>
      <c r="CY407" s="304" t="str">
        <f t="shared" si="711"/>
        <v/>
      </c>
      <c r="CZ407" s="313" t="e">
        <f>IF($J407="",#N/A,SUM(CY$4:CY407))</f>
        <v>#N/A</v>
      </c>
      <c r="DA407" s="314" t="str">
        <f t="shared" si="712"/>
        <v/>
      </c>
      <c r="DB407" s="314" t="e">
        <f>IF($J407="",#N/A,SUM(DA$4:DA407))</f>
        <v>#N/A</v>
      </c>
      <c r="DC407" s="315" t="str">
        <f t="shared" si="713"/>
        <v/>
      </c>
      <c r="DD407" s="315" t="e">
        <f>IF($J407="",#N/A,SUM(DC$4:DC407))</f>
        <v>#N/A</v>
      </c>
      <c r="DE407" s="315" t="e">
        <f>IF($J407="",#N/A,SUM(DC$4:DC407,DA$4:DA407,CY$4:CY407))</f>
        <v>#N/A</v>
      </c>
      <c r="DF407" s="304" t="str">
        <f t="shared" si="714"/>
        <v/>
      </c>
      <c r="DG407" s="313" t="e">
        <f>IF($J407="",#N/A,SUM(DF$4:DF407))</f>
        <v>#N/A</v>
      </c>
      <c r="DH407" s="314" t="str">
        <f t="shared" si="715"/>
        <v/>
      </c>
      <c r="DI407" s="314" t="e">
        <f>IF($J407="",#N/A,SUM(DH$4:DH407))</f>
        <v>#N/A</v>
      </c>
      <c r="DJ407" s="315" t="str">
        <f t="shared" si="716"/>
        <v/>
      </c>
      <c r="DK407" s="315" t="e">
        <f>IF($J407="",#N/A,SUM(DJ$4:DJ407))</f>
        <v>#N/A</v>
      </c>
      <c r="DL407" s="315" t="e">
        <f>IF($J407="",#N/A,SUM(DJ$4:DJ407,DH$4:DH407,DF$4:DF407))</f>
        <v>#N/A</v>
      </c>
      <c r="DM407" s="304" t="str">
        <f t="shared" si="717"/>
        <v/>
      </c>
      <c r="DN407" s="313" t="e">
        <f>IF($J407="",#N/A,SUM(DM$4:DM407))</f>
        <v>#N/A</v>
      </c>
      <c r="DO407" s="314" t="str">
        <f t="shared" si="718"/>
        <v/>
      </c>
      <c r="DP407" s="314" t="e">
        <f>IF($J407="",#N/A,SUM(DO$4:DO407))</f>
        <v>#N/A</v>
      </c>
      <c r="DQ407" s="315" t="str">
        <f t="shared" si="719"/>
        <v/>
      </c>
      <c r="DR407" s="315" t="e">
        <f>IF($J407="",#N/A,SUM(DQ$4:DQ407))</f>
        <v>#N/A</v>
      </c>
      <c r="DS407" s="315" t="e">
        <f>IF($J407="",#N/A,SUM(DQ$4:DQ407,DO$4:DO407,DM$4:DM407))</f>
        <v>#N/A</v>
      </c>
      <c r="DT407" s="304" t="str">
        <f t="shared" si="720"/>
        <v/>
      </c>
      <c r="DU407" s="313" t="e">
        <f>IF($J407="",#N/A,SUM(DT$4:DT407))</f>
        <v>#N/A</v>
      </c>
      <c r="DV407" s="314" t="str">
        <f t="shared" si="721"/>
        <v/>
      </c>
      <c r="DW407" s="314" t="e">
        <f>IF($J407="",#N/A,SUM(DV$4:DV407))</f>
        <v>#N/A</v>
      </c>
      <c r="DX407" s="315" t="str">
        <f t="shared" si="722"/>
        <v/>
      </c>
      <c r="DY407" s="315" t="e">
        <f>IF($J407="",#N/A,SUM(DX$4:DX407))</f>
        <v>#N/A</v>
      </c>
      <c r="DZ407" s="315" t="e">
        <f>IF($J407="",#N/A,SUM(DX$4:DX407,DV$4:DV407,DT$4:DT407))</f>
        <v>#N/A</v>
      </c>
      <c r="EA407" s="304" t="str">
        <f t="shared" si="723"/>
        <v/>
      </c>
      <c r="EB407" s="313" t="e">
        <f>IF($J407="",#N/A,SUM(EA$4:EA407))</f>
        <v>#N/A</v>
      </c>
      <c r="EC407" s="314" t="str">
        <f t="shared" si="724"/>
        <v/>
      </c>
      <c r="ED407" s="314" t="e">
        <f>IF($J407="",#N/A,SUM(EC$4:EC407))</f>
        <v>#N/A</v>
      </c>
      <c r="EE407" s="315" t="str">
        <f t="shared" si="725"/>
        <v/>
      </c>
      <c r="EF407" s="315" t="e">
        <f>IF($J407="",#N/A,SUM(EE$4:EE407))</f>
        <v>#N/A</v>
      </c>
      <c r="EG407" s="315" t="e">
        <f>IF($J407="",#N/A,SUM(EE$4:EE407,EC$4:EC407,EA$4:EA407))</f>
        <v>#N/A</v>
      </c>
      <c r="EH407" s="130">
        <f t="shared" si="726"/>
        <v>-123.5</v>
      </c>
      <c r="EI407" s="63">
        <f>IF(EH407="",#N/A,SUM($EH$4:EH407))</f>
        <v>927.63807068493315</v>
      </c>
      <c r="EJ407" s="223" t="e">
        <f t="shared" si="727"/>
        <v>#N/A</v>
      </c>
      <c r="EK407" s="63" t="e">
        <f>IF($GZ407="",#N/A,SUM(EJ$4:EJ407))</f>
        <v>#N/A</v>
      </c>
      <c r="EL407" s="60" t="str">
        <f t="shared" si="757"/>
        <v/>
      </c>
      <c r="EM407" s="60" t="e">
        <f>IF(EL407="",NA(),SUM($EL$4:EL407))</f>
        <v>#N/A</v>
      </c>
      <c r="EN407" s="60" t="str">
        <f t="shared" si="728"/>
        <v/>
      </c>
      <c r="EO407" s="60" t="e">
        <f>IF(EN407="",NA(),SUM($EN$4:EN407))</f>
        <v>#N/A</v>
      </c>
      <c r="EP407" s="60" t="str">
        <f t="shared" si="729"/>
        <v/>
      </c>
      <c r="EQ407" s="60" t="e">
        <f>IF(EP407="",NA(),SUM($EP$4:EP407))</f>
        <v>#N/A</v>
      </c>
      <c r="ER407" s="60" t="str">
        <f t="shared" si="730"/>
        <v/>
      </c>
      <c r="ES407" s="60" t="e">
        <f>IF(ER407="",NA(),SUM($ER$4:ER407))</f>
        <v>#N/A</v>
      </c>
      <c r="ET407" s="60">
        <f t="shared" si="731"/>
        <v>-1.2299571755801215</v>
      </c>
      <c r="EU407" s="60">
        <f>IF(ET407="",NA(),SUM($ET$4:ET407))</f>
        <v>29.000557625893034</v>
      </c>
      <c r="EV407" s="60" t="str">
        <f t="shared" si="732"/>
        <v/>
      </c>
      <c r="EW407" s="60" t="e">
        <f>IF(EV407="",NA(),SUM($EV$4:EV407))</f>
        <v>#N/A</v>
      </c>
      <c r="EX407" s="60">
        <f t="shared" si="733"/>
        <v>-1.2299571755801215</v>
      </c>
      <c r="EY407" s="60">
        <f>IF(EX407="",NA(),SUM($EX$4:EX407))</f>
        <v>8.5969706878358441</v>
      </c>
      <c r="EZ407" s="60" t="str">
        <f t="shared" si="734"/>
        <v/>
      </c>
      <c r="FA407" s="60" t="e">
        <f>IF(EZ407="",NA(),SUM($EZ$4:EZ407))</f>
        <v>#N/A</v>
      </c>
      <c r="FB407" s="246" t="str">
        <f t="shared" si="758"/>
        <v/>
      </c>
      <c r="FC407" s="246" t="e">
        <f>IF($FB407="",#N/A,SUM(FB$4:$FB407))</f>
        <v>#N/A</v>
      </c>
      <c r="FD407" s="60" t="str">
        <f t="shared" si="735"/>
        <v/>
      </c>
      <c r="FE407" s="60" t="e">
        <f>IF($FD407="",#N/A,SUM($FD$4:FD407))</f>
        <v>#N/A</v>
      </c>
      <c r="FF407" s="60" t="str">
        <f t="shared" si="736"/>
        <v/>
      </c>
      <c r="FG407" s="60" t="e">
        <f>IF($FF407="",#N/A,SUM($FF$4:FF407))</f>
        <v>#N/A</v>
      </c>
      <c r="FH407" s="60" t="str">
        <f t="shared" si="737"/>
        <v/>
      </c>
      <c r="FI407" s="60" t="e">
        <f>IF($FH407="",#N/A,SUM($FH$4:FH407))</f>
        <v>#N/A</v>
      </c>
      <c r="FJ407" s="60" t="str">
        <f t="shared" si="738"/>
        <v/>
      </c>
      <c r="FK407" s="60" t="e">
        <f>IF($FJ407="",#N/A,SUM($FJ$4:FJ407))</f>
        <v>#N/A</v>
      </c>
      <c r="FL407" s="60">
        <f t="shared" si="739"/>
        <v>0.69216213524549353</v>
      </c>
      <c r="FM407" s="60">
        <f>IF($FL407="",#N/A,SUM($FL$4:FL407))</f>
        <v>-1.9460275624612042</v>
      </c>
      <c r="FN407" s="82">
        <f t="shared" si="740"/>
        <v>-0.53779504033462799</v>
      </c>
      <c r="FO407" s="82">
        <f>IF($FN407="",#N/A,SUM(FN$4:$FN407))</f>
        <v>39.979443454703514</v>
      </c>
      <c r="FP407" s="82">
        <f t="shared" si="759"/>
        <v>-1.2299571755801215</v>
      </c>
      <c r="FQ407" s="246">
        <f>IF($EH407="",#N/A,SUM($FP$4:FP407))</f>
        <v>50.485460389731614</v>
      </c>
      <c r="FR407" s="82">
        <f>IFERROR(FQ407/COUNTA($J$4:J407),#N/A)</f>
        <v>0.12496401086567231</v>
      </c>
      <c r="FS407" s="82">
        <f t="shared" si="661"/>
        <v>-9.1893100401421041E-2</v>
      </c>
      <c r="FT407" s="82">
        <f t="shared" si="662"/>
        <v>-0.23824900098179314</v>
      </c>
      <c r="FU407" s="338">
        <f t="shared" si="763"/>
        <v>25.880980342758662</v>
      </c>
      <c r="FV407" s="57" t="str">
        <f t="shared" si="666"/>
        <v>SW</v>
      </c>
      <c r="FW407" s="57" t="s">
        <v>2732</v>
      </c>
      <c r="FX407" s="57" t="str">
        <f t="shared" si="741"/>
        <v/>
      </c>
      <c r="FY407" s="57" t="str">
        <f t="shared" si="742"/>
        <v/>
      </c>
      <c r="FZ407" s="57" t="str">
        <f t="shared" si="743"/>
        <v/>
      </c>
      <c r="GA407" s="57" t="str">
        <f t="shared" si="744"/>
        <v>Long</v>
      </c>
      <c r="GB407" s="57" t="str">
        <f t="shared" si="745"/>
        <v/>
      </c>
      <c r="GC407" s="57" t="str">
        <f t="shared" si="746"/>
        <v/>
      </c>
      <c r="GD407" s="57">
        <f t="shared" si="747"/>
        <v>1</v>
      </c>
      <c r="GE407" s="62">
        <f t="shared" si="664"/>
        <v>33.47</v>
      </c>
      <c r="GF407" s="62" t="s">
        <v>2779</v>
      </c>
      <c r="GG407" s="199">
        <v>50</v>
      </c>
      <c r="GH407" s="207">
        <f t="shared" si="748"/>
        <v>1673.5</v>
      </c>
      <c r="GI407" s="199">
        <v>50</v>
      </c>
      <c r="GJ407" s="200">
        <v>31</v>
      </c>
      <c r="GK407" s="63">
        <f t="shared" si="749"/>
        <v>-123.5</v>
      </c>
      <c r="GL407" s="63">
        <f t="shared" si="665"/>
        <v>-54</v>
      </c>
      <c r="GM407" s="82">
        <f t="shared" si="750"/>
        <v>-0.53779504033462799</v>
      </c>
      <c r="GN407" s="82">
        <f>IF($GZ407="",#N/A,SUM(GM$4:GM407))</f>
        <v>7.6832205827529956</v>
      </c>
      <c r="GO407" s="82" t="str">
        <f t="shared" si="751"/>
        <v/>
      </c>
      <c r="GP407" s="82">
        <f>IF($GZ407="",#N/A,SUM(GO$4:GO407))</f>
        <v>3.2522471402826749</v>
      </c>
      <c r="GQ407" s="82" t="str">
        <f t="shared" si="752"/>
        <v/>
      </c>
      <c r="GR407" s="82">
        <f>IF($GZ407="",#N/A,SUM(GQ$4:GQ407))</f>
        <v>28.418138777225515</v>
      </c>
      <c r="GS407" s="63" t="e">
        <f t="shared" si="760"/>
        <v>#N/A</v>
      </c>
      <c r="GT407" s="63" t="e">
        <f>IF($GZ407="",#N/A,SUM(GS$4:GS407))</f>
        <v>#N/A</v>
      </c>
      <c r="GU407" s="63" t="str">
        <f t="shared" si="761"/>
        <v/>
      </c>
      <c r="GV407" s="63" t="e">
        <f>IF($GZ407="",#N/A,SUM(GU$4:GU407))</f>
        <v>#N/A</v>
      </c>
      <c r="GW407" s="63" t="str">
        <f t="shared" si="762"/>
        <v/>
      </c>
      <c r="GX407" s="63" t="e">
        <f>IF($GZ407="",#N/A,SUM(GW$4:GW407))</f>
        <v>#N/A</v>
      </c>
      <c r="GY407" s="63" t="e">
        <f>IF(EJ407="",#N/A,SUM($EJ$4:EJ407))</f>
        <v>#N/A</v>
      </c>
      <c r="GZ407" s="159">
        <v>32.39</v>
      </c>
      <c r="HA407" s="63">
        <f t="shared" si="753"/>
        <v>69.5</v>
      </c>
      <c r="HB407" s="62" t="s">
        <v>2538</v>
      </c>
      <c r="HC407" s="60">
        <f>IFERROR(VLOOKUP(E407,Expectancy!$P$4:$S$19,1+C407,FALSE),"")</f>
        <v>0.27741610538114203</v>
      </c>
      <c r="HD407" s="82">
        <f t="shared" si="754"/>
        <v>-1.2299571755801215</v>
      </c>
      <c r="HE407" s="138">
        <f>IF(HD407="",#N/A,SUM($HD$4:HD407))</f>
        <v>10.074480046972951</v>
      </c>
      <c r="HF407" s="85">
        <f>IF(HD407="",#N/A,IF(HB407="Skip",#N/A,SUM($HG$4:HG407)))</f>
        <v>278.03357921915585</v>
      </c>
      <c r="HG407" s="63">
        <f t="shared" si="755"/>
        <v>-123.5</v>
      </c>
      <c r="HH407" s="82">
        <f t="shared" si="756"/>
        <v>-0.53779504033462799</v>
      </c>
    </row>
    <row r="408" spans="1:216" x14ac:dyDescent="0.25">
      <c r="A408" s="57" t="s">
        <v>1167</v>
      </c>
      <c r="B408" s="58" t="str" cm="1">
        <f t="array" ref="B408">IFERROR(_xlfn.XLOOKUP(A408,Earnings!$B$2:$B$9985,LEFT(Earnings!$C$2:$C$9985,37)),"Can't Find Date***")</f>
        <v>on 3/4/25 After Market Eastern Standa</v>
      </c>
      <c r="C408" s="386">
        <f t="shared" si="667"/>
        <v>3</v>
      </c>
      <c r="D408" s="372" t="str">
        <f>_xlfn.XLOOKUP(A408,[1]SP500!$A$2:$A$502,[1]SP500!$D$2:$D$502,"N")</f>
        <v>Y</v>
      </c>
      <c r="E408" s="57" t="str">
        <f>_xlfn.XLOOKUP(A408,[1]SP500!$A$2:$A$655,[1]SP500!$B$2:$B$655)</f>
        <v>IGV</v>
      </c>
      <c r="F408" s="59">
        <v>45720</v>
      </c>
      <c r="G408" s="57" t="str">
        <f t="shared" si="668"/>
        <v>AMC</v>
      </c>
      <c r="H408" s="57" t="str">
        <f t="shared" si="669"/>
        <v>s</v>
      </c>
      <c r="I408" s="159">
        <v>390.16</v>
      </c>
      <c r="J408" s="159">
        <v>361.68</v>
      </c>
      <c r="K408" s="61">
        <f t="shared" si="670"/>
        <v>-7.2995694074226E-2</v>
      </c>
      <c r="L408" s="87">
        <f t="shared" si="671"/>
        <v>-113.92000000000007</v>
      </c>
      <c r="M408" s="130">
        <f t="shared" si="663"/>
        <v>-6.7200000000000273</v>
      </c>
      <c r="N408" s="169" t="str">
        <f t="shared" si="672"/>
        <v/>
      </c>
      <c r="O408" s="169">
        <f>IF($J408="",#N/A,SUM($N$4:N408))</f>
        <v>-344.89225475891067</v>
      </c>
      <c r="P408" s="174" t="str">
        <f t="shared" si="673"/>
        <v/>
      </c>
      <c r="Q408" s="174">
        <f>IF($J408="",#N/A,SUM($P$4:P408))</f>
        <v>502.05774645512804</v>
      </c>
      <c r="R408" s="178">
        <f t="shared" si="674"/>
        <v>-113.92000000000007</v>
      </c>
      <c r="S408" s="178">
        <f>IF($J408="",#N/A,SUM($R$4:R408))</f>
        <v>656.5525789887156</v>
      </c>
      <c r="T408" s="290" t="str">
        <f t="shared" si="675"/>
        <v/>
      </c>
      <c r="U408" s="290">
        <f>IF($J408="",#N/A,SUM($T$4:T408))</f>
        <v>10.01739856757891</v>
      </c>
      <c r="V408" s="291" t="str">
        <f t="shared" si="676"/>
        <v/>
      </c>
      <c r="W408" s="291">
        <f>IF($J408="",#N/A,SUM($V$4:V408))</f>
        <v>24.695530102144041</v>
      </c>
      <c r="X408" s="292">
        <f t="shared" si="677"/>
        <v>-1.2165949012371</v>
      </c>
      <c r="Y408" s="292">
        <f>IF($J408="",#N/A,SUM($X$4:X408))</f>
        <v>14.555936818771587</v>
      </c>
      <c r="Z408" s="304" t="str">
        <f t="shared" si="678"/>
        <v/>
      </c>
      <c r="AA408" s="313" t="e">
        <f>IF($J408="",#N/A,SUM(Z$4:Z408))</f>
        <v>#N/A</v>
      </c>
      <c r="AB408" s="314" t="str">
        <f t="shared" si="679"/>
        <v/>
      </c>
      <c r="AC408" s="314" t="e">
        <f>IF($J408="",#N/A,SUM(AB$4:AB408))</f>
        <v>#N/A</v>
      </c>
      <c r="AD408" s="315" t="str">
        <f t="shared" si="680"/>
        <v/>
      </c>
      <c r="AE408" s="315" t="e">
        <f>IF($J408="",#N/A,SUM(AD$4:AD408))</f>
        <v>#N/A</v>
      </c>
      <c r="AF408" s="315" t="e">
        <f>IF($J408="",#N/A,SUM(AD$4:AD408,AB$4:AB408,Z$4:Z408))</f>
        <v>#N/A</v>
      </c>
      <c r="AG408" s="304" t="str">
        <f t="shared" si="681"/>
        <v/>
      </c>
      <c r="AH408" s="313" t="e">
        <f>IF($J408="",#N/A,SUM(AG$4:AG408))</f>
        <v>#N/A</v>
      </c>
      <c r="AI408" s="314" t="str">
        <f t="shared" si="682"/>
        <v/>
      </c>
      <c r="AJ408" s="314" t="e">
        <f>IF($J408="",#N/A,SUM(AI$4:AI408))</f>
        <v>#N/A</v>
      </c>
      <c r="AK408" s="315">
        <f t="shared" si="683"/>
        <v>-1.2165949012371</v>
      </c>
      <c r="AL408" s="315" t="e">
        <f>IF($J408="",#N/A,SUM(AK$4:AK408))</f>
        <v>#N/A</v>
      </c>
      <c r="AM408" s="315" t="e">
        <f>IF($J408="",#N/A,SUM(AK$4:AK408,AI$4:AI408,AG$4:AG408))</f>
        <v>#N/A</v>
      </c>
      <c r="AN408" s="304" t="str">
        <f t="shared" si="684"/>
        <v/>
      </c>
      <c r="AO408" s="313" t="e">
        <f>IF($J408="",#N/A,SUM(AN$4:AN408))</f>
        <v>#N/A</v>
      </c>
      <c r="AP408" s="314" t="str">
        <f t="shared" si="685"/>
        <v/>
      </c>
      <c r="AQ408" s="314" t="e">
        <f>IF($J408="",#N/A,SUM(AP$4:AP408))</f>
        <v>#N/A</v>
      </c>
      <c r="AR408" s="315" t="str">
        <f t="shared" si="686"/>
        <v/>
      </c>
      <c r="AS408" s="315" t="e">
        <f>IF($J408="",#N/A,SUM(AR$4:AR408))</f>
        <v>#N/A</v>
      </c>
      <c r="AT408" s="315" t="e">
        <f>IF($J408="",#N/A,SUM(AR$4:AR408,AP$4:AP408,AN$4:AN408))</f>
        <v>#N/A</v>
      </c>
      <c r="AU408" s="304" t="str">
        <f t="shared" si="687"/>
        <v/>
      </c>
      <c r="AV408" s="313" t="e">
        <f>IF($J408="",#N/A,SUM(AU$4:AU408))</f>
        <v>#N/A</v>
      </c>
      <c r="AW408" s="314" t="str">
        <f t="shared" si="688"/>
        <v/>
      </c>
      <c r="AX408" s="314" t="e">
        <f>IF($J408="",#N/A,SUM(AW$4:AW408))</f>
        <v>#N/A</v>
      </c>
      <c r="AY408" s="315" t="str">
        <f t="shared" si="689"/>
        <v/>
      </c>
      <c r="AZ408" s="315" t="e">
        <f>IF($J408="",#N/A,SUM(AY$4:AY408))</f>
        <v>#N/A</v>
      </c>
      <c r="BA408" s="315" t="e">
        <f>IF($J408="",#N/A,SUM(AY$4:AY408,AW$4:AW408,AU$4:AU408))</f>
        <v>#N/A</v>
      </c>
      <c r="BB408" s="304" t="str">
        <f t="shared" si="690"/>
        <v/>
      </c>
      <c r="BC408" s="313" t="e">
        <f>IF($J408="",#N/A,SUM(BB$4:BB408))</f>
        <v>#N/A</v>
      </c>
      <c r="BD408" s="314" t="str">
        <f t="shared" si="691"/>
        <v/>
      </c>
      <c r="BE408" s="314" t="e">
        <f>IF($J408="",#N/A,SUM(BD$4:BD408))</f>
        <v>#N/A</v>
      </c>
      <c r="BF408" s="315" t="str">
        <f t="shared" si="692"/>
        <v/>
      </c>
      <c r="BG408" s="315" t="e">
        <f>IF($J408="",#N/A,SUM(BF$4:BF408))</f>
        <v>#N/A</v>
      </c>
      <c r="BH408" s="315" t="e">
        <f>IF($J408="",#N/A,SUM(BF$4:BF408,BD$4:BD408,BB$4:BB408))</f>
        <v>#N/A</v>
      </c>
      <c r="BI408" s="304" t="str">
        <f t="shared" si="693"/>
        <v/>
      </c>
      <c r="BJ408" s="313" t="e">
        <f>IF($J408="",#N/A,SUM(BI$4:BI408))</f>
        <v>#N/A</v>
      </c>
      <c r="BK408" s="314" t="str">
        <f t="shared" si="694"/>
        <v/>
      </c>
      <c r="BL408" s="314" t="e">
        <f>IF($J408="",#N/A,SUM(BK$4:BK408))</f>
        <v>#N/A</v>
      </c>
      <c r="BM408" s="315" t="str">
        <f t="shared" si="695"/>
        <v/>
      </c>
      <c r="BN408" s="315" t="e">
        <f>IF($J408="",#N/A,SUM(BM$4:BM408))</f>
        <v>#N/A</v>
      </c>
      <c r="BO408" s="315" t="e">
        <f>IF($J408="",#N/A,SUM(BM$4:BM408,BK$4:BK408,BI$4:BI408))</f>
        <v>#N/A</v>
      </c>
      <c r="BP408" s="304" t="str">
        <f t="shared" si="696"/>
        <v/>
      </c>
      <c r="BQ408" s="313" t="e">
        <f>IF($J408="",#N/A,SUM(BP$4:BP408))</f>
        <v>#N/A</v>
      </c>
      <c r="BR408" s="314" t="str">
        <f t="shared" si="697"/>
        <v/>
      </c>
      <c r="BS408" s="314" t="e">
        <f>IF($J408="",#N/A,SUM(BR$4:BR408))</f>
        <v>#N/A</v>
      </c>
      <c r="BT408" s="315" t="str">
        <f t="shared" si="698"/>
        <v/>
      </c>
      <c r="BU408" s="315" t="e">
        <f>IF($J408="",#N/A,SUM(BT$4:BT408))</f>
        <v>#N/A</v>
      </c>
      <c r="BV408" s="315" t="e">
        <f>IF($J408="",#N/A,SUM(BT$4:BT408,BR$4:BR408,BP$4:BP408))</f>
        <v>#N/A</v>
      </c>
      <c r="BW408" s="304" t="str">
        <f t="shared" si="699"/>
        <v/>
      </c>
      <c r="BX408" s="313" t="e">
        <f>IF($J408="",#N/A,SUM(BW$4:BW408))</f>
        <v>#N/A</v>
      </c>
      <c r="BY408" s="314" t="str">
        <f t="shared" si="700"/>
        <v/>
      </c>
      <c r="BZ408" s="314" t="e">
        <f>IF($J408="",#N/A,SUM(BY$4:BY408))</f>
        <v>#N/A</v>
      </c>
      <c r="CA408" s="315" t="str">
        <f t="shared" si="701"/>
        <v/>
      </c>
      <c r="CB408" s="315" t="e">
        <f>IF($J408="",#N/A,SUM(CA$4:CA408))</f>
        <v>#N/A</v>
      </c>
      <c r="CC408" s="315" t="e">
        <f>IF($J408="",#N/A,SUM(CA$4:CA408,BY$4:BY408,BW$4:BW408))</f>
        <v>#N/A</v>
      </c>
      <c r="CD408" s="304" t="str">
        <f t="shared" si="702"/>
        <v/>
      </c>
      <c r="CE408" s="313" t="e">
        <f>IF($J408="",#N/A,SUM(CD$4:CD408))</f>
        <v>#N/A</v>
      </c>
      <c r="CF408" s="314" t="str">
        <f t="shared" si="703"/>
        <v/>
      </c>
      <c r="CG408" s="314" t="e">
        <f>IF($J408="",#N/A,SUM(CF$4:CF408))</f>
        <v>#N/A</v>
      </c>
      <c r="CH408" s="315" t="str">
        <f t="shared" si="704"/>
        <v/>
      </c>
      <c r="CI408" s="315" t="e">
        <f>IF($J408="",#N/A,SUM(CH$4:CH408))</f>
        <v>#N/A</v>
      </c>
      <c r="CJ408" s="315" t="e">
        <f>IF($J408="",#N/A,SUM(CH$4:CH408,CF$4:CF408,CD$4:CD408))</f>
        <v>#N/A</v>
      </c>
      <c r="CK408" s="304" t="str">
        <f t="shared" si="705"/>
        <v/>
      </c>
      <c r="CL408" s="313" t="e">
        <f>IF($J408="",#N/A,SUM(CK$4:CK408))</f>
        <v>#N/A</v>
      </c>
      <c r="CM408" s="314" t="str">
        <f t="shared" si="706"/>
        <v/>
      </c>
      <c r="CN408" s="314" t="e">
        <f>IF($J408="",#N/A,SUM(CM$4:CM408))</f>
        <v>#N/A</v>
      </c>
      <c r="CO408" s="315" t="str">
        <f t="shared" si="707"/>
        <v/>
      </c>
      <c r="CP408" s="315" t="e">
        <f>IF($J408="",#N/A,SUM(CO$4:CO408))</f>
        <v>#N/A</v>
      </c>
      <c r="CQ408" s="315" t="e">
        <f>IF($J408="",#N/A,SUM(CO$4:CO408,CM$4:CM408,CK$4:CK408))</f>
        <v>#N/A</v>
      </c>
      <c r="CR408" s="304" t="str">
        <f t="shared" si="708"/>
        <v/>
      </c>
      <c r="CS408" s="313" t="e">
        <f>IF($J408="",#N/A,SUM(CR$4:CR408))</f>
        <v>#N/A</v>
      </c>
      <c r="CT408" s="314" t="str">
        <f t="shared" si="709"/>
        <v/>
      </c>
      <c r="CU408" s="314" t="e">
        <f>IF($J408="",#N/A,SUM(CT$4:CT408))</f>
        <v>#N/A</v>
      </c>
      <c r="CV408" s="315" t="str">
        <f t="shared" si="710"/>
        <v/>
      </c>
      <c r="CW408" s="315" t="e">
        <f>IF($J408="",#N/A,SUM(CV$4:CV408))</f>
        <v>#N/A</v>
      </c>
      <c r="CX408" s="315" t="e">
        <f>IF($J408="",#N/A,SUM(CV$4:CV408,CT$4:CT408,CR$4:CR408))</f>
        <v>#N/A</v>
      </c>
      <c r="CY408" s="304" t="str">
        <f t="shared" si="711"/>
        <v/>
      </c>
      <c r="CZ408" s="313" t="e">
        <f>IF($J408="",#N/A,SUM(CY$4:CY408))</f>
        <v>#N/A</v>
      </c>
      <c r="DA408" s="314" t="str">
        <f t="shared" si="712"/>
        <v/>
      </c>
      <c r="DB408" s="314" t="e">
        <f>IF($J408="",#N/A,SUM(DA$4:DA408))</f>
        <v>#N/A</v>
      </c>
      <c r="DC408" s="315" t="str">
        <f t="shared" si="713"/>
        <v/>
      </c>
      <c r="DD408" s="315" t="e">
        <f>IF($J408="",#N/A,SUM(DC$4:DC408))</f>
        <v>#N/A</v>
      </c>
      <c r="DE408" s="315" t="e">
        <f>IF($J408="",#N/A,SUM(DC$4:DC408,DA$4:DA408,CY$4:CY408))</f>
        <v>#N/A</v>
      </c>
      <c r="DF408" s="304" t="str">
        <f t="shared" si="714"/>
        <v/>
      </c>
      <c r="DG408" s="313" t="e">
        <f>IF($J408="",#N/A,SUM(DF$4:DF408))</f>
        <v>#N/A</v>
      </c>
      <c r="DH408" s="314" t="str">
        <f t="shared" si="715"/>
        <v/>
      </c>
      <c r="DI408" s="314" t="e">
        <f>IF($J408="",#N/A,SUM(DH$4:DH408))</f>
        <v>#N/A</v>
      </c>
      <c r="DJ408" s="315" t="str">
        <f t="shared" si="716"/>
        <v/>
      </c>
      <c r="DK408" s="315" t="e">
        <f>IF($J408="",#N/A,SUM(DJ$4:DJ408))</f>
        <v>#N/A</v>
      </c>
      <c r="DL408" s="315" t="e">
        <f>IF($J408="",#N/A,SUM(DJ$4:DJ408,DH$4:DH408,DF$4:DF408))</f>
        <v>#N/A</v>
      </c>
      <c r="DM408" s="304" t="str">
        <f t="shared" si="717"/>
        <v/>
      </c>
      <c r="DN408" s="313" t="e">
        <f>IF($J408="",#N/A,SUM(DM$4:DM408))</f>
        <v>#N/A</v>
      </c>
      <c r="DO408" s="314" t="str">
        <f t="shared" si="718"/>
        <v/>
      </c>
      <c r="DP408" s="314" t="e">
        <f>IF($J408="",#N/A,SUM(DO$4:DO408))</f>
        <v>#N/A</v>
      </c>
      <c r="DQ408" s="315" t="str">
        <f t="shared" si="719"/>
        <v/>
      </c>
      <c r="DR408" s="315" t="e">
        <f>IF($J408="",#N/A,SUM(DQ$4:DQ408))</f>
        <v>#N/A</v>
      </c>
      <c r="DS408" s="315" t="e">
        <f>IF($J408="",#N/A,SUM(DQ$4:DQ408,DO$4:DO408,DM$4:DM408))</f>
        <v>#N/A</v>
      </c>
      <c r="DT408" s="304" t="str">
        <f t="shared" si="720"/>
        <v/>
      </c>
      <c r="DU408" s="313" t="e">
        <f>IF($J408="",#N/A,SUM(DT$4:DT408))</f>
        <v>#N/A</v>
      </c>
      <c r="DV408" s="314" t="str">
        <f t="shared" si="721"/>
        <v/>
      </c>
      <c r="DW408" s="314" t="e">
        <f>IF($J408="",#N/A,SUM(DV$4:DV408))</f>
        <v>#N/A</v>
      </c>
      <c r="DX408" s="315" t="str">
        <f t="shared" si="722"/>
        <v/>
      </c>
      <c r="DY408" s="315" t="e">
        <f>IF($J408="",#N/A,SUM(DX$4:DX408))</f>
        <v>#N/A</v>
      </c>
      <c r="DZ408" s="315" t="e">
        <f>IF($J408="",#N/A,SUM(DX$4:DX408,DV$4:DV408,DT$4:DT408))</f>
        <v>#N/A</v>
      </c>
      <c r="EA408" s="304" t="str">
        <f t="shared" si="723"/>
        <v/>
      </c>
      <c r="EB408" s="313" t="e">
        <f>IF($J408="",#N/A,SUM(EA$4:EA408))</f>
        <v>#N/A</v>
      </c>
      <c r="EC408" s="314" t="str">
        <f t="shared" si="724"/>
        <v/>
      </c>
      <c r="ED408" s="314" t="e">
        <f>IF($J408="",#N/A,SUM(EC$4:EC408))</f>
        <v>#N/A</v>
      </c>
      <c r="EE408" s="315" t="str">
        <f t="shared" si="725"/>
        <v/>
      </c>
      <c r="EF408" s="315" t="e">
        <f>IF($J408="",#N/A,SUM(EE$4:EE408))</f>
        <v>#N/A</v>
      </c>
      <c r="EG408" s="315" t="e">
        <f>IF($J408="",#N/A,SUM(EE$4:EE408,EC$4:EC408,EA$4:EA408))</f>
        <v>#N/A</v>
      </c>
      <c r="EH408" s="130">
        <f t="shared" si="726"/>
        <v>-113.92000000000007</v>
      </c>
      <c r="EI408" s="63">
        <f>IF(EH408="",#N/A,SUM($EH$4:EH408))</f>
        <v>813.71807068493308</v>
      </c>
      <c r="EJ408" s="223" t="e">
        <f t="shared" si="727"/>
        <v>#N/A</v>
      </c>
      <c r="EK408" s="63" t="e">
        <f>IF($GZ408="",#N/A,SUM(EJ$4:EJ408))</f>
        <v>#N/A</v>
      </c>
      <c r="EL408" s="60">
        <f t="shared" si="757"/>
        <v>-1.2165949012371</v>
      </c>
      <c r="EM408" s="60">
        <f>IF(EL408="",NA(),SUM($EL$4:EL408))</f>
        <v>20.26830786260151</v>
      </c>
      <c r="EN408" s="60" t="str">
        <f t="shared" si="728"/>
        <v/>
      </c>
      <c r="EO408" s="60" t="e">
        <f>IF(EN408="",NA(),SUM($EN$4:EN408))</f>
        <v>#N/A</v>
      </c>
      <c r="EP408" s="60">
        <f t="shared" si="729"/>
        <v>-1.2165949012371</v>
      </c>
      <c r="EQ408" s="60">
        <f>IF(EP408="",NA(),SUM($EP$4:EP408))</f>
        <v>5.9589661309357371</v>
      </c>
      <c r="ER408" s="60" t="str">
        <f t="shared" si="730"/>
        <v/>
      </c>
      <c r="ES408" s="60" t="e">
        <f>IF(ER408="",NA(),SUM($ER$4:ER408))</f>
        <v>#N/A</v>
      </c>
      <c r="ET408" s="60" t="str">
        <f t="shared" si="731"/>
        <v/>
      </c>
      <c r="EU408" s="60" t="e">
        <f>IF(ET408="",NA(),SUM($ET$4:ET408))</f>
        <v>#N/A</v>
      </c>
      <c r="EV408" s="60" t="str">
        <f t="shared" si="732"/>
        <v/>
      </c>
      <c r="EW408" s="60" t="e">
        <f>IF(EV408="",NA(),SUM($EV$4:EV408))</f>
        <v>#N/A</v>
      </c>
      <c r="EX408" s="60" t="str">
        <f t="shared" si="733"/>
        <v/>
      </c>
      <c r="EY408" s="60" t="e">
        <f>IF(EX408="",NA(),SUM($EX$4:EX408))</f>
        <v>#N/A</v>
      </c>
      <c r="EZ408" s="60" t="str">
        <f t="shared" si="734"/>
        <v/>
      </c>
      <c r="FA408" s="60" t="e">
        <f>IF(EZ408="",NA(),SUM($EZ$4:EZ408))</f>
        <v>#N/A</v>
      </c>
      <c r="FB408" s="246" t="str">
        <f t="shared" si="758"/>
        <v/>
      </c>
      <c r="FC408" s="246" t="e">
        <f>IF($FB408="",#N/A,SUM(FB$4:$FB408))</f>
        <v>#N/A</v>
      </c>
      <c r="FD408" s="60" t="str">
        <f t="shared" si="735"/>
        <v/>
      </c>
      <c r="FE408" s="60" t="e">
        <f>IF($FD408="",#N/A,SUM($FD$4:FD408))</f>
        <v>#N/A</v>
      </c>
      <c r="FF408" s="60" t="str">
        <f t="shared" si="736"/>
        <v/>
      </c>
      <c r="FG408" s="60" t="e">
        <f>IF($FF408="",#N/A,SUM($FF$4:FF408))</f>
        <v>#N/A</v>
      </c>
      <c r="FH408" s="60" t="str">
        <f t="shared" si="737"/>
        <v/>
      </c>
      <c r="FI408" s="60" t="e">
        <f>IF($FH408="",#N/A,SUM($FH$4:FH408))</f>
        <v>#N/A</v>
      </c>
      <c r="FJ408" s="60" t="str">
        <f t="shared" si="738"/>
        <v/>
      </c>
      <c r="FK408" s="60" t="e">
        <f>IF($FJ408="",#N/A,SUM($FJ$4:FJ408))</f>
        <v>#N/A</v>
      </c>
      <c r="FL408" s="60">
        <f t="shared" si="739"/>
        <v>0.16061786617456053</v>
      </c>
      <c r="FM408" s="60">
        <f>IF($FL408="",#N/A,SUM($FL$4:FL408))</f>
        <v>-1.7854096962866437</v>
      </c>
      <c r="FN408" s="82">
        <f t="shared" si="740"/>
        <v>-1.0559770350625395</v>
      </c>
      <c r="FO408" s="82">
        <f>IF($FN408="",#N/A,SUM(FN$4:$FN408))</f>
        <v>38.923466419640974</v>
      </c>
      <c r="FP408" s="82">
        <f t="shared" si="759"/>
        <v>-1.2165949012371</v>
      </c>
      <c r="FQ408" s="246">
        <f>IF($EH408="",#N/A,SUM($FP$4:FP408))</f>
        <v>49.268865488494512</v>
      </c>
      <c r="FR408" s="82">
        <f>IFERROR(FQ408/COUNTA($J$4:J408),#N/A)</f>
        <v>0.1216515197246778</v>
      </c>
      <c r="FS408" s="82">
        <f t="shared" si="661"/>
        <v>-8.6818931245503564E-2</v>
      </c>
      <c r="FT408" s="82">
        <f t="shared" si="662"/>
        <v>-0.26307305907316475</v>
      </c>
      <c r="FU408" s="338">
        <f t="shared" si="763"/>
        <v>25.952745772326018</v>
      </c>
      <c r="FV408" s="57" t="str">
        <f t="shared" si="666"/>
        <v>SW</v>
      </c>
      <c r="FW408" s="57" t="s">
        <v>2732</v>
      </c>
      <c r="FX408" s="57" t="str">
        <f t="shared" si="741"/>
        <v/>
      </c>
      <c r="FY408" s="57" t="str">
        <f t="shared" si="742"/>
        <v/>
      </c>
      <c r="FZ408" s="57" t="str">
        <f t="shared" si="743"/>
        <v/>
      </c>
      <c r="GA408" s="57" t="str">
        <f t="shared" si="744"/>
        <v>Long</v>
      </c>
      <c r="GB408" s="57" t="str">
        <f t="shared" si="745"/>
        <v/>
      </c>
      <c r="GC408" s="57" t="str">
        <f t="shared" si="746"/>
        <v/>
      </c>
      <c r="GD408" s="57">
        <f t="shared" si="747"/>
        <v>1</v>
      </c>
      <c r="GE408" s="62">
        <f t="shared" si="664"/>
        <v>390.16</v>
      </c>
      <c r="GF408" s="62" t="s">
        <v>2779</v>
      </c>
      <c r="GG408" s="199">
        <v>4</v>
      </c>
      <c r="GH408" s="207">
        <f t="shared" si="748"/>
        <v>1560.64</v>
      </c>
      <c r="GI408" s="199">
        <v>4</v>
      </c>
      <c r="GJ408" s="200">
        <v>360</v>
      </c>
      <c r="GK408" s="63">
        <f t="shared" si="749"/>
        <v>-120.6400000000001</v>
      </c>
      <c r="GL408" s="63">
        <f t="shared" si="665"/>
        <v>-98.880000000000109</v>
      </c>
      <c r="GM408" s="82">
        <f t="shared" si="750"/>
        <v>-1.0559770350625395</v>
      </c>
      <c r="GN408" s="82">
        <f>IF($GZ408="",#N/A,SUM(GM$4:GM408))</f>
        <v>6.6272435476904565</v>
      </c>
      <c r="GO408" s="82" t="str">
        <f t="shared" si="751"/>
        <v/>
      </c>
      <c r="GP408" s="82">
        <f>IF($GZ408="",#N/A,SUM(GO$4:GO408))</f>
        <v>3.2522471402826749</v>
      </c>
      <c r="GQ408" s="82" t="str">
        <f t="shared" si="752"/>
        <v/>
      </c>
      <c r="GR408" s="82">
        <f>IF($GZ408="",#N/A,SUM(GQ$4:GQ408))</f>
        <v>28.418138777225515</v>
      </c>
      <c r="GS408" s="63" t="e">
        <f t="shared" si="760"/>
        <v>#N/A</v>
      </c>
      <c r="GT408" s="63" t="e">
        <f>IF($GZ408="",#N/A,SUM(GS$4:GS408))</f>
        <v>#N/A</v>
      </c>
      <c r="GU408" s="63" t="str">
        <f t="shared" si="761"/>
        <v/>
      </c>
      <c r="GV408" s="63" t="e">
        <f>IF($GZ408="",#N/A,SUM(GU$4:GU408))</f>
        <v>#N/A</v>
      </c>
      <c r="GW408" s="63" t="str">
        <f t="shared" si="762"/>
        <v/>
      </c>
      <c r="GX408" s="63" t="e">
        <f>IF($GZ408="",#N/A,SUM(GW$4:GW408))</f>
        <v>#N/A</v>
      </c>
      <c r="GY408" s="63" t="e">
        <f>IF(EJ408="",#N/A,SUM($EJ$4:EJ408))</f>
        <v>#N/A</v>
      </c>
      <c r="GZ408" s="159">
        <v>365.44</v>
      </c>
      <c r="HA408" s="63">
        <f t="shared" si="753"/>
        <v>15.039999999999964</v>
      </c>
      <c r="HB408" s="62" t="s">
        <v>2538</v>
      </c>
      <c r="HC408" s="60">
        <f>IFERROR(VLOOKUP(E408,Expectancy!$P$4:$S$19,1+C408,FALSE),"")</f>
        <v>0.27741610538114203</v>
      </c>
      <c r="HD408" s="82">
        <f t="shared" si="754"/>
        <v>-1.2883603308044573</v>
      </c>
      <c r="HE408" s="138">
        <f>IF(HD408="",#N/A,SUM($HD$4:HD408))</f>
        <v>8.7861197161684945</v>
      </c>
      <c r="HF408" s="85">
        <f>IF(HD408="",#N/A,IF(HB408="Skip",#N/A,SUM($HG$4:HG408)))</f>
        <v>157.39357921915575</v>
      </c>
      <c r="HG408" s="63">
        <f t="shared" si="755"/>
        <v>-120.6400000000001</v>
      </c>
      <c r="HH408" s="82">
        <f t="shared" si="756"/>
        <v>-1.0559770350625395</v>
      </c>
    </row>
    <row r="409" spans="1:216" x14ac:dyDescent="0.25">
      <c r="A409" s="57" t="s">
        <v>1130</v>
      </c>
      <c r="B409" s="58" t="str" cm="1">
        <f t="array" ref="B409">IFERROR(_xlfn.XLOOKUP(A409,Earnings!$B$2:$B$9985,LEFT(Earnings!$C$2:$C$9985,37)),"Can't Find Date***")</f>
        <v>on 3/4/25 After Market Eastern Standa</v>
      </c>
      <c r="C409" s="386">
        <f t="shared" si="667"/>
        <v>2</v>
      </c>
      <c r="D409" s="372" t="str">
        <f>_xlfn.XLOOKUP(A409,[1]SP500!$A$2:$A$502,[1]SP500!$D$2:$D$502,"N")</f>
        <v>Y</v>
      </c>
      <c r="E409" s="57" t="str">
        <f>_xlfn.XLOOKUP(A409,[1]SP500!$A$2:$A$655,[1]SP500!$B$2:$B$655)</f>
        <v>XLY</v>
      </c>
      <c r="F409" s="59">
        <v>45720</v>
      </c>
      <c r="G409" s="57" t="str">
        <f t="shared" si="668"/>
        <v>AMC</v>
      </c>
      <c r="H409" s="57" t="str">
        <f t="shared" si="669"/>
        <v>s</v>
      </c>
      <c r="I409" s="159">
        <v>135.97</v>
      </c>
      <c r="J409" s="159">
        <v>129.4</v>
      </c>
      <c r="K409" s="61">
        <f t="shared" si="670"/>
        <v>-4.8319482238729082E-2</v>
      </c>
      <c r="L409" s="87">
        <f t="shared" si="671"/>
        <v>78.839999999999691</v>
      </c>
      <c r="M409" s="130">
        <f t="shared" si="663"/>
        <v>0</v>
      </c>
      <c r="N409" s="169" t="str">
        <f t="shared" si="672"/>
        <v/>
      </c>
      <c r="O409" s="169">
        <f>IF($J409="",#N/A,SUM($N$4:N409))</f>
        <v>-344.89225475891067</v>
      </c>
      <c r="P409" s="174">
        <f t="shared" si="673"/>
        <v>78.839999999999691</v>
      </c>
      <c r="Q409" s="174">
        <f>IF($J409="",#N/A,SUM($P$4:P409))</f>
        <v>580.89774645512773</v>
      </c>
      <c r="R409" s="178" t="str">
        <f t="shared" si="674"/>
        <v/>
      </c>
      <c r="S409" s="178">
        <f>IF($J409="",#N/A,SUM($R$4:R409))</f>
        <v>656.5525789887156</v>
      </c>
      <c r="T409" s="290" t="str">
        <f t="shared" si="675"/>
        <v/>
      </c>
      <c r="U409" s="290">
        <f>IF($J409="",#N/A,SUM($T$4:T409))</f>
        <v>10.01739856757891</v>
      </c>
      <c r="V409" s="291">
        <f t="shared" si="676"/>
        <v>0.80532470397881573</v>
      </c>
      <c r="W409" s="291">
        <f>IF($J409="",#N/A,SUM($V$4:V409))</f>
        <v>25.500854806122856</v>
      </c>
      <c r="X409" s="292" t="str">
        <f t="shared" si="677"/>
        <v/>
      </c>
      <c r="Y409" s="292">
        <f>IF($J409="",#N/A,SUM($X$4:X409))</f>
        <v>14.555936818771587</v>
      </c>
      <c r="Z409" s="304" t="str">
        <f t="shared" si="678"/>
        <v/>
      </c>
      <c r="AA409" s="313" t="e">
        <f>IF($J409="",#N/A,SUM(Z$4:Z409))</f>
        <v>#N/A</v>
      </c>
      <c r="AB409" s="314" t="str">
        <f t="shared" si="679"/>
        <v/>
      </c>
      <c r="AC409" s="314" t="e">
        <f>IF($J409="",#N/A,SUM(AB$4:AB409))</f>
        <v>#N/A</v>
      </c>
      <c r="AD409" s="315" t="str">
        <f t="shared" si="680"/>
        <v/>
      </c>
      <c r="AE409" s="315" t="e">
        <f>IF($J409="",#N/A,SUM(AD$4:AD409))</f>
        <v>#N/A</v>
      </c>
      <c r="AF409" s="315" t="e">
        <f>IF($J409="",#N/A,SUM(AD$4:AD409,AB$4:AB409,Z$4:Z409))</f>
        <v>#N/A</v>
      </c>
      <c r="AG409" s="304" t="str">
        <f t="shared" si="681"/>
        <v/>
      </c>
      <c r="AH409" s="313" t="e">
        <f>IF($J409="",#N/A,SUM(AG$4:AG409))</f>
        <v>#N/A</v>
      </c>
      <c r="AI409" s="314" t="str">
        <f t="shared" si="682"/>
        <v/>
      </c>
      <c r="AJ409" s="314" t="e">
        <f>IF($J409="",#N/A,SUM(AI$4:AI409))</f>
        <v>#N/A</v>
      </c>
      <c r="AK409" s="315" t="str">
        <f t="shared" si="683"/>
        <v/>
      </c>
      <c r="AL409" s="315" t="e">
        <f>IF($J409="",#N/A,SUM(AK$4:AK409))</f>
        <v>#N/A</v>
      </c>
      <c r="AM409" s="315" t="e">
        <f>IF($J409="",#N/A,SUM(AK$4:AK409,AI$4:AI409,AG$4:AG409))</f>
        <v>#N/A</v>
      </c>
      <c r="AN409" s="304" t="str">
        <f t="shared" si="684"/>
        <v/>
      </c>
      <c r="AO409" s="313" t="e">
        <f>IF($J409="",#N/A,SUM(AN$4:AN409))</f>
        <v>#N/A</v>
      </c>
      <c r="AP409" s="314">
        <f t="shared" si="685"/>
        <v>0.80532470397881573</v>
      </c>
      <c r="AQ409" s="314" t="e">
        <f>IF($J409="",#N/A,SUM(AP$4:AP409))</f>
        <v>#N/A</v>
      </c>
      <c r="AR409" s="315" t="str">
        <f t="shared" si="686"/>
        <v/>
      </c>
      <c r="AS409" s="315" t="e">
        <f>IF($J409="",#N/A,SUM(AR$4:AR409))</f>
        <v>#N/A</v>
      </c>
      <c r="AT409" s="315" t="e">
        <f>IF($J409="",#N/A,SUM(AR$4:AR409,AP$4:AP409,AN$4:AN409))</f>
        <v>#N/A</v>
      </c>
      <c r="AU409" s="304" t="str">
        <f t="shared" si="687"/>
        <v/>
      </c>
      <c r="AV409" s="313" t="e">
        <f>IF($J409="",#N/A,SUM(AU$4:AU409))</f>
        <v>#N/A</v>
      </c>
      <c r="AW409" s="314" t="str">
        <f t="shared" si="688"/>
        <v/>
      </c>
      <c r="AX409" s="314" t="e">
        <f>IF($J409="",#N/A,SUM(AW$4:AW409))</f>
        <v>#N/A</v>
      </c>
      <c r="AY409" s="315" t="str">
        <f t="shared" si="689"/>
        <v/>
      </c>
      <c r="AZ409" s="315" t="e">
        <f>IF($J409="",#N/A,SUM(AY$4:AY409))</f>
        <v>#N/A</v>
      </c>
      <c r="BA409" s="315" t="e">
        <f>IF($J409="",#N/A,SUM(AY$4:AY409,AW$4:AW409,AU$4:AU409))</f>
        <v>#N/A</v>
      </c>
      <c r="BB409" s="304" t="str">
        <f t="shared" si="690"/>
        <v/>
      </c>
      <c r="BC409" s="313" t="e">
        <f>IF($J409="",#N/A,SUM(BB$4:BB409))</f>
        <v>#N/A</v>
      </c>
      <c r="BD409" s="314" t="str">
        <f t="shared" si="691"/>
        <v/>
      </c>
      <c r="BE409" s="314" t="e">
        <f>IF($J409="",#N/A,SUM(BD$4:BD409))</f>
        <v>#N/A</v>
      </c>
      <c r="BF409" s="315" t="str">
        <f t="shared" si="692"/>
        <v/>
      </c>
      <c r="BG409" s="315" t="e">
        <f>IF($J409="",#N/A,SUM(BF$4:BF409))</f>
        <v>#N/A</v>
      </c>
      <c r="BH409" s="315" t="e">
        <f>IF($J409="",#N/A,SUM(BF$4:BF409,BD$4:BD409,BB$4:BB409))</f>
        <v>#N/A</v>
      </c>
      <c r="BI409" s="304" t="str">
        <f t="shared" si="693"/>
        <v/>
      </c>
      <c r="BJ409" s="313" t="e">
        <f>IF($J409="",#N/A,SUM(BI$4:BI409))</f>
        <v>#N/A</v>
      </c>
      <c r="BK409" s="314" t="str">
        <f t="shared" si="694"/>
        <v/>
      </c>
      <c r="BL409" s="314" t="e">
        <f>IF($J409="",#N/A,SUM(BK$4:BK409))</f>
        <v>#N/A</v>
      </c>
      <c r="BM409" s="315" t="str">
        <f t="shared" si="695"/>
        <v/>
      </c>
      <c r="BN409" s="315" t="e">
        <f>IF($J409="",#N/A,SUM(BM$4:BM409))</f>
        <v>#N/A</v>
      </c>
      <c r="BO409" s="315" t="e">
        <f>IF($J409="",#N/A,SUM(BM$4:BM409,BK$4:BK409,BI$4:BI409))</f>
        <v>#N/A</v>
      </c>
      <c r="BP409" s="304" t="str">
        <f t="shared" si="696"/>
        <v/>
      </c>
      <c r="BQ409" s="313" t="e">
        <f>IF($J409="",#N/A,SUM(BP$4:BP409))</f>
        <v>#N/A</v>
      </c>
      <c r="BR409" s="314" t="str">
        <f t="shared" si="697"/>
        <v/>
      </c>
      <c r="BS409" s="314" t="e">
        <f>IF($J409="",#N/A,SUM(BR$4:BR409))</f>
        <v>#N/A</v>
      </c>
      <c r="BT409" s="315" t="str">
        <f t="shared" si="698"/>
        <v/>
      </c>
      <c r="BU409" s="315" t="e">
        <f>IF($J409="",#N/A,SUM(BT$4:BT409))</f>
        <v>#N/A</v>
      </c>
      <c r="BV409" s="315" t="e">
        <f>IF($J409="",#N/A,SUM(BT$4:BT409,BR$4:BR409,BP$4:BP409))</f>
        <v>#N/A</v>
      </c>
      <c r="BW409" s="304" t="str">
        <f t="shared" si="699"/>
        <v/>
      </c>
      <c r="BX409" s="313" t="e">
        <f>IF($J409="",#N/A,SUM(BW$4:BW409))</f>
        <v>#N/A</v>
      </c>
      <c r="BY409" s="314" t="str">
        <f t="shared" si="700"/>
        <v/>
      </c>
      <c r="BZ409" s="314" t="e">
        <f>IF($J409="",#N/A,SUM(BY$4:BY409))</f>
        <v>#N/A</v>
      </c>
      <c r="CA409" s="315" t="str">
        <f t="shared" si="701"/>
        <v/>
      </c>
      <c r="CB409" s="315" t="e">
        <f>IF($J409="",#N/A,SUM(CA$4:CA409))</f>
        <v>#N/A</v>
      </c>
      <c r="CC409" s="315" t="e">
        <f>IF($J409="",#N/A,SUM(CA$4:CA409,BY$4:BY409,BW$4:BW409))</f>
        <v>#N/A</v>
      </c>
      <c r="CD409" s="304" t="str">
        <f t="shared" si="702"/>
        <v/>
      </c>
      <c r="CE409" s="313" t="e">
        <f>IF($J409="",#N/A,SUM(CD$4:CD409))</f>
        <v>#N/A</v>
      </c>
      <c r="CF409" s="314" t="str">
        <f t="shared" si="703"/>
        <v/>
      </c>
      <c r="CG409" s="314" t="e">
        <f>IF($J409="",#N/A,SUM(CF$4:CF409))</f>
        <v>#N/A</v>
      </c>
      <c r="CH409" s="315" t="str">
        <f t="shared" si="704"/>
        <v/>
      </c>
      <c r="CI409" s="315" t="e">
        <f>IF($J409="",#N/A,SUM(CH$4:CH409))</f>
        <v>#N/A</v>
      </c>
      <c r="CJ409" s="315" t="e">
        <f>IF($J409="",#N/A,SUM(CH$4:CH409,CF$4:CF409,CD$4:CD409))</f>
        <v>#N/A</v>
      </c>
      <c r="CK409" s="304" t="str">
        <f t="shared" si="705"/>
        <v/>
      </c>
      <c r="CL409" s="313" t="e">
        <f>IF($J409="",#N/A,SUM(CK$4:CK409))</f>
        <v>#N/A</v>
      </c>
      <c r="CM409" s="314" t="str">
        <f t="shared" si="706"/>
        <v/>
      </c>
      <c r="CN409" s="314" t="e">
        <f>IF($J409="",#N/A,SUM(CM$4:CM409))</f>
        <v>#N/A</v>
      </c>
      <c r="CO409" s="315" t="str">
        <f t="shared" si="707"/>
        <v/>
      </c>
      <c r="CP409" s="315" t="e">
        <f>IF($J409="",#N/A,SUM(CO$4:CO409))</f>
        <v>#N/A</v>
      </c>
      <c r="CQ409" s="315" t="e">
        <f>IF($J409="",#N/A,SUM(CO$4:CO409,CM$4:CM409,CK$4:CK409))</f>
        <v>#N/A</v>
      </c>
      <c r="CR409" s="304" t="str">
        <f t="shared" si="708"/>
        <v/>
      </c>
      <c r="CS409" s="313" t="e">
        <f>IF($J409="",#N/A,SUM(CR$4:CR409))</f>
        <v>#N/A</v>
      </c>
      <c r="CT409" s="314" t="str">
        <f t="shared" si="709"/>
        <v/>
      </c>
      <c r="CU409" s="314" t="e">
        <f>IF($J409="",#N/A,SUM(CT$4:CT409))</f>
        <v>#N/A</v>
      </c>
      <c r="CV409" s="315" t="str">
        <f t="shared" si="710"/>
        <v/>
      </c>
      <c r="CW409" s="315" t="e">
        <f>IF($J409="",#N/A,SUM(CV$4:CV409))</f>
        <v>#N/A</v>
      </c>
      <c r="CX409" s="315" t="e">
        <f>IF($J409="",#N/A,SUM(CV$4:CV409,CT$4:CT409,CR$4:CR409))</f>
        <v>#N/A</v>
      </c>
      <c r="CY409" s="304" t="str">
        <f t="shared" si="711"/>
        <v/>
      </c>
      <c r="CZ409" s="313" t="e">
        <f>IF($J409="",#N/A,SUM(CY$4:CY409))</f>
        <v>#N/A</v>
      </c>
      <c r="DA409" s="314" t="str">
        <f t="shared" si="712"/>
        <v/>
      </c>
      <c r="DB409" s="314" t="e">
        <f>IF($J409="",#N/A,SUM(DA$4:DA409))</f>
        <v>#N/A</v>
      </c>
      <c r="DC409" s="315" t="str">
        <f t="shared" si="713"/>
        <v/>
      </c>
      <c r="DD409" s="315" t="e">
        <f>IF($J409="",#N/A,SUM(DC$4:DC409))</f>
        <v>#N/A</v>
      </c>
      <c r="DE409" s="315" t="e">
        <f>IF($J409="",#N/A,SUM(DC$4:DC409,DA$4:DA409,CY$4:CY409))</f>
        <v>#N/A</v>
      </c>
      <c r="DF409" s="304" t="str">
        <f t="shared" si="714"/>
        <v/>
      </c>
      <c r="DG409" s="313" t="e">
        <f>IF($J409="",#N/A,SUM(DF$4:DF409))</f>
        <v>#N/A</v>
      </c>
      <c r="DH409" s="314" t="str">
        <f t="shared" si="715"/>
        <v/>
      </c>
      <c r="DI409" s="314" t="e">
        <f>IF($J409="",#N/A,SUM(DH$4:DH409))</f>
        <v>#N/A</v>
      </c>
      <c r="DJ409" s="315" t="str">
        <f t="shared" si="716"/>
        <v/>
      </c>
      <c r="DK409" s="315" t="e">
        <f>IF($J409="",#N/A,SUM(DJ$4:DJ409))</f>
        <v>#N/A</v>
      </c>
      <c r="DL409" s="315" t="e">
        <f>IF($J409="",#N/A,SUM(DJ$4:DJ409,DH$4:DH409,DF$4:DF409))</f>
        <v>#N/A</v>
      </c>
      <c r="DM409" s="304" t="str">
        <f t="shared" si="717"/>
        <v/>
      </c>
      <c r="DN409" s="313" t="e">
        <f>IF($J409="",#N/A,SUM(DM$4:DM409))</f>
        <v>#N/A</v>
      </c>
      <c r="DO409" s="314" t="str">
        <f t="shared" si="718"/>
        <v/>
      </c>
      <c r="DP409" s="314" t="e">
        <f>IF($J409="",#N/A,SUM(DO$4:DO409))</f>
        <v>#N/A</v>
      </c>
      <c r="DQ409" s="315" t="str">
        <f t="shared" si="719"/>
        <v/>
      </c>
      <c r="DR409" s="315" t="e">
        <f>IF($J409="",#N/A,SUM(DQ$4:DQ409))</f>
        <v>#N/A</v>
      </c>
      <c r="DS409" s="315" t="e">
        <f>IF($J409="",#N/A,SUM(DQ$4:DQ409,DO$4:DO409,DM$4:DM409))</f>
        <v>#N/A</v>
      </c>
      <c r="DT409" s="304" t="str">
        <f t="shared" si="720"/>
        <v/>
      </c>
      <c r="DU409" s="313" t="e">
        <f>IF($J409="",#N/A,SUM(DT$4:DT409))</f>
        <v>#N/A</v>
      </c>
      <c r="DV409" s="314" t="str">
        <f t="shared" si="721"/>
        <v/>
      </c>
      <c r="DW409" s="314" t="e">
        <f>IF($J409="",#N/A,SUM(DV$4:DV409))</f>
        <v>#N/A</v>
      </c>
      <c r="DX409" s="315" t="str">
        <f t="shared" si="722"/>
        <v/>
      </c>
      <c r="DY409" s="315" t="e">
        <f>IF($J409="",#N/A,SUM(DX$4:DX409))</f>
        <v>#N/A</v>
      </c>
      <c r="DZ409" s="315" t="e">
        <f>IF($J409="",#N/A,SUM(DX$4:DX409,DV$4:DV409,DT$4:DT409))</f>
        <v>#N/A</v>
      </c>
      <c r="EA409" s="304" t="str">
        <f t="shared" si="723"/>
        <v/>
      </c>
      <c r="EB409" s="313" t="e">
        <f>IF($J409="",#N/A,SUM(EA$4:EA409))</f>
        <v>#N/A</v>
      </c>
      <c r="EC409" s="314" t="str">
        <f t="shared" si="724"/>
        <v/>
      </c>
      <c r="ED409" s="314" t="e">
        <f>IF($J409="",#N/A,SUM(EC$4:EC409))</f>
        <v>#N/A</v>
      </c>
      <c r="EE409" s="315" t="str">
        <f t="shared" si="725"/>
        <v/>
      </c>
      <c r="EF409" s="315" t="e">
        <f>IF($J409="",#N/A,SUM(EE$4:EE409))</f>
        <v>#N/A</v>
      </c>
      <c r="EG409" s="315" t="e">
        <f>IF($J409="",#N/A,SUM(EE$4:EE409,EC$4:EC409,EA$4:EA409))</f>
        <v>#N/A</v>
      </c>
      <c r="EH409" s="130">
        <f t="shared" si="726"/>
        <v>78.839999999999691</v>
      </c>
      <c r="EI409" s="63">
        <f>IF(EH409="",#N/A,SUM($EH$4:EH409))</f>
        <v>892.55807068493277</v>
      </c>
      <c r="EJ409" s="223" t="e">
        <f t="shared" si="727"/>
        <v>#N/A</v>
      </c>
      <c r="EK409" s="63" t="e">
        <f>IF($GZ409="",#N/A,SUM(EJ$4:EJ409))</f>
        <v>#N/A</v>
      </c>
      <c r="EL409" s="60">
        <f t="shared" si="757"/>
        <v>0.80532470397881573</v>
      </c>
      <c r="EM409" s="60">
        <f>IF(EL409="",NA(),SUM($EL$4:EL409))</f>
        <v>21.073632566580326</v>
      </c>
      <c r="EN409" s="60" t="str">
        <f t="shared" si="728"/>
        <v/>
      </c>
      <c r="EO409" s="60" t="e">
        <f>IF(EN409="",NA(),SUM($EN$4:EN409))</f>
        <v>#N/A</v>
      </c>
      <c r="EP409" s="60" t="str">
        <f t="shared" si="729"/>
        <v/>
      </c>
      <c r="EQ409" s="60" t="e">
        <f>IF(EP409="",NA(),SUM($EP$4:EP409))</f>
        <v>#N/A</v>
      </c>
      <c r="ER409" s="60">
        <f t="shared" si="730"/>
        <v>0.80532470397881573</v>
      </c>
      <c r="ES409" s="60">
        <f>IF(ER409="",NA(),SUM($ER$4:ER409))</f>
        <v>10.597370117281697</v>
      </c>
      <c r="ET409" s="60" t="str">
        <f t="shared" si="731"/>
        <v/>
      </c>
      <c r="EU409" s="60" t="e">
        <f>IF(ET409="",NA(),SUM($ET$4:ET409))</f>
        <v>#N/A</v>
      </c>
      <c r="EV409" s="60" t="str">
        <f t="shared" si="732"/>
        <v/>
      </c>
      <c r="EW409" s="60" t="e">
        <f>IF(EV409="",NA(),SUM($EV$4:EV409))</f>
        <v>#N/A</v>
      </c>
      <c r="EX409" s="60" t="str">
        <f t="shared" si="733"/>
        <v/>
      </c>
      <c r="EY409" s="60" t="e">
        <f>IF(EX409="",NA(),SUM($EX$4:EX409))</f>
        <v>#N/A</v>
      </c>
      <c r="EZ409" s="60" t="str">
        <f t="shared" si="734"/>
        <v/>
      </c>
      <c r="FA409" s="60" t="e">
        <f>IF(EZ409="",NA(),SUM($EZ$4:EZ409))</f>
        <v>#N/A</v>
      </c>
      <c r="FB409" s="246">
        <f t="shared" si="758"/>
        <v>-1.132602780025002</v>
      </c>
      <c r="FC409" s="246">
        <f>IF($FB409="",#N/A,SUM(FB$4:$FB409))</f>
        <v>1.0735543874327231</v>
      </c>
      <c r="FD409" s="60" t="str">
        <f t="shared" si="735"/>
        <v/>
      </c>
      <c r="FE409" s="60" t="e">
        <f>IF($FD409="",#N/A,SUM($FD$4:FD409))</f>
        <v>#N/A</v>
      </c>
      <c r="FF409" s="60" t="str">
        <f t="shared" si="736"/>
        <v/>
      </c>
      <c r="FG409" s="60" t="e">
        <f>IF($FF409="",#N/A,SUM($FF$4:FF409))</f>
        <v>#N/A</v>
      </c>
      <c r="FH409" s="60" t="str">
        <f t="shared" si="737"/>
        <v/>
      </c>
      <c r="FI409" s="60" t="e">
        <f>IF($FH409="",#N/A,SUM($FH$4:FH409))</f>
        <v>#N/A</v>
      </c>
      <c r="FJ409" s="60" t="str">
        <f t="shared" si="738"/>
        <v/>
      </c>
      <c r="FK409" s="60" t="e">
        <f>IF($FJ409="",#N/A,SUM($FJ$4:FJ409))</f>
        <v>#N/A</v>
      </c>
      <c r="FL409" s="60" t="str">
        <f t="shared" si="739"/>
        <v/>
      </c>
      <c r="FM409" s="60" t="e">
        <f>IF($FL409="",#N/A,SUM($FL$4:FL409))</f>
        <v>#N/A</v>
      </c>
      <c r="FN409" s="82">
        <f t="shared" si="740"/>
        <v>-0.32727807604618631</v>
      </c>
      <c r="FO409" s="82">
        <f>IF($FN409="",#N/A,SUM(FN$4:$FN409))</f>
        <v>38.59618834359479</v>
      </c>
      <c r="FP409" s="82">
        <f t="shared" si="759"/>
        <v>0.80532470397881573</v>
      </c>
      <c r="FQ409" s="246">
        <f>IF($EH409="",#N/A,SUM($FP$4:FP409))</f>
        <v>50.074190192473331</v>
      </c>
      <c r="FR409" s="82">
        <f>IFERROR(FQ409/COUNTA($J$4:J409),#N/A)</f>
        <v>0.12333544382382594</v>
      </c>
      <c r="FS409" s="82">
        <f t="shared" si="661"/>
        <v>-8.103392616761923E-2</v>
      </c>
      <c r="FT409" s="82">
        <f t="shared" si="662"/>
        <v>-0.2026505570199589</v>
      </c>
      <c r="FU409" s="338">
        <f t="shared" si="763"/>
        <v>25.952745772326018</v>
      </c>
      <c r="FV409" s="57" t="str">
        <f t="shared" si="666"/>
        <v>Dwn</v>
      </c>
      <c r="FW409" s="57" t="s">
        <v>2733</v>
      </c>
      <c r="FX409" s="57" t="str">
        <f t="shared" si="741"/>
        <v/>
      </c>
      <c r="FY409" s="57" t="str">
        <f t="shared" si="742"/>
        <v/>
      </c>
      <c r="FZ409" s="57" t="str">
        <f t="shared" si="743"/>
        <v/>
      </c>
      <c r="GA409" s="57" t="str">
        <f t="shared" si="744"/>
        <v>Short</v>
      </c>
      <c r="GB409" s="57">
        <f t="shared" si="745"/>
        <v>1</v>
      </c>
      <c r="GC409" s="57" t="str">
        <f t="shared" si="746"/>
        <v/>
      </c>
      <c r="GD409" s="57" t="str">
        <f t="shared" si="747"/>
        <v/>
      </c>
      <c r="GE409" s="62">
        <f t="shared" si="664"/>
        <v>135.97</v>
      </c>
      <c r="GF409" s="62" t="s">
        <v>2780</v>
      </c>
      <c r="GG409" s="199">
        <v>12</v>
      </c>
      <c r="GH409" s="207">
        <f t="shared" si="748"/>
        <v>1631.6399999999999</v>
      </c>
      <c r="GI409" s="199">
        <v>12</v>
      </c>
      <c r="GJ409" s="200">
        <v>129.4</v>
      </c>
      <c r="GK409" s="63">
        <f t="shared" si="749"/>
        <v>78.839999999999691</v>
      </c>
      <c r="GL409" s="63">
        <f t="shared" si="665"/>
        <v>-32.039999999999964</v>
      </c>
      <c r="GM409" s="82" t="str">
        <f t="shared" si="750"/>
        <v/>
      </c>
      <c r="GN409" s="82">
        <f>IF($GZ409="",#N/A,SUM(GM$4:GM409))</f>
        <v>6.6272435476904565</v>
      </c>
      <c r="GO409" s="82" t="str">
        <f t="shared" si="751"/>
        <v/>
      </c>
      <c r="GP409" s="82">
        <f>IF($GZ409="",#N/A,SUM(GO$4:GO409))</f>
        <v>3.2522471402826749</v>
      </c>
      <c r="GQ409" s="82">
        <f t="shared" si="752"/>
        <v>-0.32727807604618631</v>
      </c>
      <c r="GR409" s="82">
        <f>IF($GZ409="",#N/A,SUM(GQ$4:GQ409))</f>
        <v>28.090860701179327</v>
      </c>
      <c r="GS409" s="63" t="str">
        <f t="shared" si="760"/>
        <v/>
      </c>
      <c r="GT409" s="63" t="e">
        <f>IF($GZ409="",#N/A,SUM(GS$4:GS409))</f>
        <v>#N/A</v>
      </c>
      <c r="GU409" s="63" t="str">
        <f t="shared" si="761"/>
        <v/>
      </c>
      <c r="GV409" s="63" t="e">
        <f>IF($GZ409="",#N/A,SUM(GU$4:GU409))</f>
        <v>#N/A</v>
      </c>
      <c r="GW409" s="63" t="e">
        <f t="shared" si="762"/>
        <v>#N/A</v>
      </c>
      <c r="GX409" s="63" t="e">
        <f>IF($GZ409="",#N/A,SUM(GW$4:GW409))</f>
        <v>#N/A</v>
      </c>
      <c r="GY409" s="63" t="e">
        <f>IF(EJ409="",#N/A,SUM($EJ$4:EJ409))</f>
        <v>#N/A</v>
      </c>
      <c r="GZ409" s="159">
        <v>138.63999999999999</v>
      </c>
      <c r="HA409" s="63">
        <f t="shared" si="753"/>
        <v>-110.87999999999965</v>
      </c>
      <c r="HB409" s="62" t="s">
        <v>2538</v>
      </c>
      <c r="HC409" s="60">
        <f>IFERROR(VLOOKUP(E409,Expectancy!$P$4:$S$19,1+C409,FALSE),"")</f>
        <v>-9.4786290791818092E-2</v>
      </c>
      <c r="HD409" s="82">
        <f t="shared" si="754"/>
        <v>0.80532470397881573</v>
      </c>
      <c r="HE409" s="138">
        <f>IF(HD409="",#N/A,SUM($HD$4:HD409))</f>
        <v>9.5914444201473099</v>
      </c>
      <c r="HF409" s="85">
        <f>IF(HD409="",#N/A,IF(HB409="Skip",#N/A,SUM($HG$4:HG409)))</f>
        <v>236.23357921915544</v>
      </c>
      <c r="HG409" s="63">
        <f t="shared" si="755"/>
        <v>78.839999999999691</v>
      </c>
      <c r="HH409" s="82">
        <f t="shared" si="756"/>
        <v>-0.32727807604618631</v>
      </c>
    </row>
    <row r="410" spans="1:216" x14ac:dyDescent="0.25">
      <c r="A410" s="57" t="s">
        <v>1202</v>
      </c>
      <c r="B410" s="58" t="str" cm="1">
        <f t="array" ref="B410">IFERROR(_xlfn.XLOOKUP(A410,Earnings!$B$2:$B$9985,LEFT(Earnings!$C$2:$C$9985,37)),"Can't Find Date***")</f>
        <v>on 3/5/25 Before Market Eastern Stand</v>
      </c>
      <c r="C410" s="386">
        <f t="shared" si="667"/>
        <v>2</v>
      </c>
      <c r="D410" s="372" t="str">
        <f>_xlfn.XLOOKUP(A410,[1]SP500!$A$2:$A$502,[1]SP500!$D$2:$D$502,"N")</f>
        <v>N</v>
      </c>
      <c r="E410" s="57" t="str">
        <f>_xlfn.XLOOKUP(A410,[1]SP500!$A$2:$A$655,[1]SP500!$B$2:$B$655)</f>
        <v>XLY</v>
      </c>
      <c r="F410" s="59">
        <v>45721</v>
      </c>
      <c r="G410" s="57" t="str">
        <f t="shared" si="668"/>
        <v>BMO</v>
      </c>
      <c r="H410" s="57" t="str">
        <f t="shared" si="669"/>
        <v>s</v>
      </c>
      <c r="I410" s="159">
        <v>17.37</v>
      </c>
      <c r="J410" s="159">
        <v>18.149999999999999</v>
      </c>
      <c r="K410" s="61">
        <f t="shared" si="670"/>
        <v>4.490500863557844E-2</v>
      </c>
      <c r="L410" s="87">
        <f t="shared" si="671"/>
        <v>-74.099999999999682</v>
      </c>
      <c r="M410" s="130">
        <f t="shared" si="663"/>
        <v>0</v>
      </c>
      <c r="N410" s="169" t="str">
        <f t="shared" si="672"/>
        <v/>
      </c>
      <c r="O410" s="169">
        <f>IF($J410="",#N/A,SUM($N$4:N410))</f>
        <v>-344.89225475891067</v>
      </c>
      <c r="P410" s="174">
        <f t="shared" si="673"/>
        <v>-74.099999999999682</v>
      </c>
      <c r="Q410" s="174">
        <f>IF($J410="",#N/A,SUM($P$4:P410))</f>
        <v>506.79774645512805</v>
      </c>
      <c r="R410" s="178" t="str">
        <f t="shared" si="674"/>
        <v/>
      </c>
      <c r="S410" s="178">
        <f>IF($J410="",#N/A,SUM($R$4:R410))</f>
        <v>656.5525789887156</v>
      </c>
      <c r="T410" s="290" t="str">
        <f t="shared" si="675"/>
        <v/>
      </c>
      <c r="U410" s="290">
        <f>IF($J410="",#N/A,SUM($T$4:T410))</f>
        <v>10.01739856757891</v>
      </c>
      <c r="V410" s="291">
        <f t="shared" si="676"/>
        <v>-0.74841681059297316</v>
      </c>
      <c r="W410" s="291">
        <f>IF($J410="",#N/A,SUM($V$4:V410))</f>
        <v>24.752437995529881</v>
      </c>
      <c r="X410" s="292" t="str">
        <f t="shared" si="677"/>
        <v/>
      </c>
      <c r="Y410" s="292">
        <f>IF($J410="",#N/A,SUM($X$4:X410))</f>
        <v>14.555936818771587</v>
      </c>
      <c r="Z410" s="304" t="str">
        <f t="shared" si="678"/>
        <v/>
      </c>
      <c r="AA410" s="313" t="e">
        <f>IF($J410="",#N/A,SUM(Z$4:Z410))</f>
        <v>#N/A</v>
      </c>
      <c r="AB410" s="314" t="str">
        <f t="shared" si="679"/>
        <v/>
      </c>
      <c r="AC410" s="314" t="e">
        <f>IF($J410="",#N/A,SUM(AB$4:AB410))</f>
        <v>#N/A</v>
      </c>
      <c r="AD410" s="315" t="str">
        <f t="shared" si="680"/>
        <v/>
      </c>
      <c r="AE410" s="315" t="e">
        <f>IF($J410="",#N/A,SUM(AD$4:AD410))</f>
        <v>#N/A</v>
      </c>
      <c r="AF410" s="315" t="e">
        <f>IF($J410="",#N/A,SUM(AD$4:AD410,AB$4:AB410,Z$4:Z410))</f>
        <v>#N/A</v>
      </c>
      <c r="AG410" s="304" t="str">
        <f t="shared" si="681"/>
        <v/>
      </c>
      <c r="AH410" s="313" t="e">
        <f>IF($J410="",#N/A,SUM(AG$4:AG410))</f>
        <v>#N/A</v>
      </c>
      <c r="AI410" s="314" t="str">
        <f t="shared" si="682"/>
        <v/>
      </c>
      <c r="AJ410" s="314" t="e">
        <f>IF($J410="",#N/A,SUM(AI$4:AI410))</f>
        <v>#N/A</v>
      </c>
      <c r="AK410" s="315" t="str">
        <f t="shared" si="683"/>
        <v/>
      </c>
      <c r="AL410" s="315" t="e">
        <f>IF($J410="",#N/A,SUM(AK$4:AK410))</f>
        <v>#N/A</v>
      </c>
      <c r="AM410" s="315" t="e">
        <f>IF($J410="",#N/A,SUM(AK$4:AK410,AI$4:AI410,AG$4:AG410))</f>
        <v>#N/A</v>
      </c>
      <c r="AN410" s="304" t="str">
        <f t="shared" si="684"/>
        <v/>
      </c>
      <c r="AO410" s="313" t="e">
        <f>IF($J410="",#N/A,SUM(AN$4:AN410))</f>
        <v>#N/A</v>
      </c>
      <c r="AP410" s="314">
        <f t="shared" si="685"/>
        <v>-0.74841681059297316</v>
      </c>
      <c r="AQ410" s="314" t="e">
        <f>IF($J410="",#N/A,SUM(AP$4:AP410))</f>
        <v>#N/A</v>
      </c>
      <c r="AR410" s="315" t="str">
        <f t="shared" si="686"/>
        <v/>
      </c>
      <c r="AS410" s="315" t="e">
        <f>IF($J410="",#N/A,SUM(AR$4:AR410))</f>
        <v>#N/A</v>
      </c>
      <c r="AT410" s="315" t="e">
        <f>IF($J410="",#N/A,SUM(AR$4:AR410,AP$4:AP410,AN$4:AN410))</f>
        <v>#N/A</v>
      </c>
      <c r="AU410" s="304" t="str">
        <f t="shared" si="687"/>
        <v/>
      </c>
      <c r="AV410" s="313" t="e">
        <f>IF($J410="",#N/A,SUM(AU$4:AU410))</f>
        <v>#N/A</v>
      </c>
      <c r="AW410" s="314" t="str">
        <f t="shared" si="688"/>
        <v/>
      </c>
      <c r="AX410" s="314" t="e">
        <f>IF($J410="",#N/A,SUM(AW$4:AW410))</f>
        <v>#N/A</v>
      </c>
      <c r="AY410" s="315" t="str">
        <f t="shared" si="689"/>
        <v/>
      </c>
      <c r="AZ410" s="315" t="e">
        <f>IF($J410="",#N/A,SUM(AY$4:AY410))</f>
        <v>#N/A</v>
      </c>
      <c r="BA410" s="315" t="e">
        <f>IF($J410="",#N/A,SUM(AY$4:AY410,AW$4:AW410,AU$4:AU410))</f>
        <v>#N/A</v>
      </c>
      <c r="BB410" s="304" t="str">
        <f t="shared" si="690"/>
        <v/>
      </c>
      <c r="BC410" s="313" t="e">
        <f>IF($J410="",#N/A,SUM(BB$4:BB410))</f>
        <v>#N/A</v>
      </c>
      <c r="BD410" s="314" t="str">
        <f t="shared" si="691"/>
        <v/>
      </c>
      <c r="BE410" s="314" t="e">
        <f>IF($J410="",#N/A,SUM(BD$4:BD410))</f>
        <v>#N/A</v>
      </c>
      <c r="BF410" s="315" t="str">
        <f t="shared" si="692"/>
        <v/>
      </c>
      <c r="BG410" s="315" t="e">
        <f>IF($J410="",#N/A,SUM(BF$4:BF410))</f>
        <v>#N/A</v>
      </c>
      <c r="BH410" s="315" t="e">
        <f>IF($J410="",#N/A,SUM(BF$4:BF410,BD$4:BD410,BB$4:BB410))</f>
        <v>#N/A</v>
      </c>
      <c r="BI410" s="304" t="str">
        <f t="shared" si="693"/>
        <v/>
      </c>
      <c r="BJ410" s="313" t="e">
        <f>IF($J410="",#N/A,SUM(BI$4:BI410))</f>
        <v>#N/A</v>
      </c>
      <c r="BK410" s="314" t="str">
        <f t="shared" si="694"/>
        <v/>
      </c>
      <c r="BL410" s="314" t="e">
        <f>IF($J410="",#N/A,SUM(BK$4:BK410))</f>
        <v>#N/A</v>
      </c>
      <c r="BM410" s="315" t="str">
        <f t="shared" si="695"/>
        <v/>
      </c>
      <c r="BN410" s="315" t="e">
        <f>IF($J410="",#N/A,SUM(BM$4:BM410))</f>
        <v>#N/A</v>
      </c>
      <c r="BO410" s="315" t="e">
        <f>IF($J410="",#N/A,SUM(BM$4:BM410,BK$4:BK410,BI$4:BI410))</f>
        <v>#N/A</v>
      </c>
      <c r="BP410" s="304" t="str">
        <f t="shared" si="696"/>
        <v/>
      </c>
      <c r="BQ410" s="313" t="e">
        <f>IF($J410="",#N/A,SUM(BP$4:BP410))</f>
        <v>#N/A</v>
      </c>
      <c r="BR410" s="314" t="str">
        <f t="shared" si="697"/>
        <v/>
      </c>
      <c r="BS410" s="314" t="e">
        <f>IF($J410="",#N/A,SUM(BR$4:BR410))</f>
        <v>#N/A</v>
      </c>
      <c r="BT410" s="315" t="str">
        <f t="shared" si="698"/>
        <v/>
      </c>
      <c r="BU410" s="315" t="e">
        <f>IF($J410="",#N/A,SUM(BT$4:BT410))</f>
        <v>#N/A</v>
      </c>
      <c r="BV410" s="315" t="e">
        <f>IF($J410="",#N/A,SUM(BT$4:BT410,BR$4:BR410,BP$4:BP410))</f>
        <v>#N/A</v>
      </c>
      <c r="BW410" s="304" t="str">
        <f t="shared" si="699"/>
        <v/>
      </c>
      <c r="BX410" s="313" t="e">
        <f>IF($J410="",#N/A,SUM(BW$4:BW410))</f>
        <v>#N/A</v>
      </c>
      <c r="BY410" s="314" t="str">
        <f t="shared" si="700"/>
        <v/>
      </c>
      <c r="BZ410" s="314" t="e">
        <f>IF($J410="",#N/A,SUM(BY$4:BY410))</f>
        <v>#N/A</v>
      </c>
      <c r="CA410" s="315" t="str">
        <f t="shared" si="701"/>
        <v/>
      </c>
      <c r="CB410" s="315" t="e">
        <f>IF($J410="",#N/A,SUM(CA$4:CA410))</f>
        <v>#N/A</v>
      </c>
      <c r="CC410" s="315" t="e">
        <f>IF($J410="",#N/A,SUM(CA$4:CA410,BY$4:BY410,BW$4:BW410))</f>
        <v>#N/A</v>
      </c>
      <c r="CD410" s="304" t="str">
        <f t="shared" si="702"/>
        <v/>
      </c>
      <c r="CE410" s="313" t="e">
        <f>IF($J410="",#N/A,SUM(CD$4:CD410))</f>
        <v>#N/A</v>
      </c>
      <c r="CF410" s="314" t="str">
        <f t="shared" si="703"/>
        <v/>
      </c>
      <c r="CG410" s="314" t="e">
        <f>IF($J410="",#N/A,SUM(CF$4:CF410))</f>
        <v>#N/A</v>
      </c>
      <c r="CH410" s="315" t="str">
        <f t="shared" si="704"/>
        <v/>
      </c>
      <c r="CI410" s="315" t="e">
        <f>IF($J410="",#N/A,SUM(CH$4:CH410))</f>
        <v>#N/A</v>
      </c>
      <c r="CJ410" s="315" t="e">
        <f>IF($J410="",#N/A,SUM(CH$4:CH410,CF$4:CF410,CD$4:CD410))</f>
        <v>#N/A</v>
      </c>
      <c r="CK410" s="304" t="str">
        <f t="shared" si="705"/>
        <v/>
      </c>
      <c r="CL410" s="313" t="e">
        <f>IF($J410="",#N/A,SUM(CK$4:CK410))</f>
        <v>#N/A</v>
      </c>
      <c r="CM410" s="314" t="str">
        <f t="shared" si="706"/>
        <v/>
      </c>
      <c r="CN410" s="314" t="e">
        <f>IF($J410="",#N/A,SUM(CM$4:CM410))</f>
        <v>#N/A</v>
      </c>
      <c r="CO410" s="315" t="str">
        <f t="shared" si="707"/>
        <v/>
      </c>
      <c r="CP410" s="315" t="e">
        <f>IF($J410="",#N/A,SUM(CO$4:CO410))</f>
        <v>#N/A</v>
      </c>
      <c r="CQ410" s="315" t="e">
        <f>IF($J410="",#N/A,SUM(CO$4:CO410,CM$4:CM410,CK$4:CK410))</f>
        <v>#N/A</v>
      </c>
      <c r="CR410" s="304" t="str">
        <f t="shared" si="708"/>
        <v/>
      </c>
      <c r="CS410" s="313" t="e">
        <f>IF($J410="",#N/A,SUM(CR$4:CR410))</f>
        <v>#N/A</v>
      </c>
      <c r="CT410" s="314" t="str">
        <f t="shared" si="709"/>
        <v/>
      </c>
      <c r="CU410" s="314" t="e">
        <f>IF($J410="",#N/A,SUM(CT$4:CT410))</f>
        <v>#N/A</v>
      </c>
      <c r="CV410" s="315" t="str">
        <f t="shared" si="710"/>
        <v/>
      </c>
      <c r="CW410" s="315" t="e">
        <f>IF($J410="",#N/A,SUM(CV$4:CV410))</f>
        <v>#N/A</v>
      </c>
      <c r="CX410" s="315" t="e">
        <f>IF($J410="",#N/A,SUM(CV$4:CV410,CT$4:CT410,CR$4:CR410))</f>
        <v>#N/A</v>
      </c>
      <c r="CY410" s="304" t="str">
        <f t="shared" si="711"/>
        <v/>
      </c>
      <c r="CZ410" s="313" t="e">
        <f>IF($J410="",#N/A,SUM(CY$4:CY410))</f>
        <v>#N/A</v>
      </c>
      <c r="DA410" s="314" t="str">
        <f t="shared" si="712"/>
        <v/>
      </c>
      <c r="DB410" s="314" t="e">
        <f>IF($J410="",#N/A,SUM(DA$4:DA410))</f>
        <v>#N/A</v>
      </c>
      <c r="DC410" s="315" t="str">
        <f t="shared" si="713"/>
        <v/>
      </c>
      <c r="DD410" s="315" t="e">
        <f>IF($J410="",#N/A,SUM(DC$4:DC410))</f>
        <v>#N/A</v>
      </c>
      <c r="DE410" s="315" t="e">
        <f>IF($J410="",#N/A,SUM(DC$4:DC410,DA$4:DA410,CY$4:CY410))</f>
        <v>#N/A</v>
      </c>
      <c r="DF410" s="304" t="str">
        <f t="shared" si="714"/>
        <v/>
      </c>
      <c r="DG410" s="313" t="e">
        <f>IF($J410="",#N/A,SUM(DF$4:DF410))</f>
        <v>#N/A</v>
      </c>
      <c r="DH410" s="314" t="str">
        <f t="shared" si="715"/>
        <v/>
      </c>
      <c r="DI410" s="314" t="e">
        <f>IF($J410="",#N/A,SUM(DH$4:DH410))</f>
        <v>#N/A</v>
      </c>
      <c r="DJ410" s="315" t="str">
        <f t="shared" si="716"/>
        <v/>
      </c>
      <c r="DK410" s="315" t="e">
        <f>IF($J410="",#N/A,SUM(DJ$4:DJ410))</f>
        <v>#N/A</v>
      </c>
      <c r="DL410" s="315" t="e">
        <f>IF($J410="",#N/A,SUM(DJ$4:DJ410,DH$4:DH410,DF$4:DF410))</f>
        <v>#N/A</v>
      </c>
      <c r="DM410" s="304" t="str">
        <f t="shared" si="717"/>
        <v/>
      </c>
      <c r="DN410" s="313" t="e">
        <f>IF($J410="",#N/A,SUM(DM$4:DM410))</f>
        <v>#N/A</v>
      </c>
      <c r="DO410" s="314" t="str">
        <f t="shared" si="718"/>
        <v/>
      </c>
      <c r="DP410" s="314" t="e">
        <f>IF($J410="",#N/A,SUM(DO$4:DO410))</f>
        <v>#N/A</v>
      </c>
      <c r="DQ410" s="315" t="str">
        <f t="shared" si="719"/>
        <v/>
      </c>
      <c r="DR410" s="315" t="e">
        <f>IF($J410="",#N/A,SUM(DQ$4:DQ410))</f>
        <v>#N/A</v>
      </c>
      <c r="DS410" s="315" t="e">
        <f>IF($J410="",#N/A,SUM(DQ$4:DQ410,DO$4:DO410,DM$4:DM410))</f>
        <v>#N/A</v>
      </c>
      <c r="DT410" s="304" t="str">
        <f t="shared" si="720"/>
        <v/>
      </c>
      <c r="DU410" s="313" t="e">
        <f>IF($J410="",#N/A,SUM(DT$4:DT410))</f>
        <v>#N/A</v>
      </c>
      <c r="DV410" s="314" t="str">
        <f t="shared" si="721"/>
        <v/>
      </c>
      <c r="DW410" s="314" t="e">
        <f>IF($J410="",#N/A,SUM(DV$4:DV410))</f>
        <v>#N/A</v>
      </c>
      <c r="DX410" s="315" t="str">
        <f t="shared" si="722"/>
        <v/>
      </c>
      <c r="DY410" s="315" t="e">
        <f>IF($J410="",#N/A,SUM(DX$4:DX410))</f>
        <v>#N/A</v>
      </c>
      <c r="DZ410" s="315" t="e">
        <f>IF($J410="",#N/A,SUM(DX$4:DX410,DV$4:DV410,DT$4:DT410))</f>
        <v>#N/A</v>
      </c>
      <c r="EA410" s="304" t="str">
        <f t="shared" si="723"/>
        <v/>
      </c>
      <c r="EB410" s="313" t="e">
        <f>IF($J410="",#N/A,SUM(EA$4:EA410))</f>
        <v>#N/A</v>
      </c>
      <c r="EC410" s="314" t="str">
        <f t="shared" si="724"/>
        <v/>
      </c>
      <c r="ED410" s="314" t="e">
        <f>IF($J410="",#N/A,SUM(EC$4:EC410))</f>
        <v>#N/A</v>
      </c>
      <c r="EE410" s="315" t="str">
        <f t="shared" si="725"/>
        <v/>
      </c>
      <c r="EF410" s="315" t="e">
        <f>IF($J410="",#N/A,SUM(EE$4:EE410))</f>
        <v>#N/A</v>
      </c>
      <c r="EG410" s="315" t="e">
        <f>IF($J410="",#N/A,SUM(EE$4:EE410,EC$4:EC410,EA$4:EA410))</f>
        <v>#N/A</v>
      </c>
      <c r="EH410" s="130">
        <f t="shared" si="726"/>
        <v>-74.099999999999682</v>
      </c>
      <c r="EI410" s="63">
        <f>IF(EH410="",#N/A,SUM($EH$4:EH410))</f>
        <v>818.45807068493309</v>
      </c>
      <c r="EJ410" s="223" t="e">
        <f t="shared" si="727"/>
        <v>#N/A</v>
      </c>
      <c r="EK410" s="63" t="e">
        <f>IF($GZ410="",#N/A,SUM(EJ$4:EJ410))</f>
        <v>#N/A</v>
      </c>
      <c r="EL410" s="60" t="str">
        <f t="shared" si="757"/>
        <v/>
      </c>
      <c r="EM410" s="60" t="e">
        <f>IF(EL410="",NA(),SUM($EL$4:EL410))</f>
        <v>#N/A</v>
      </c>
      <c r="EN410" s="60" t="str">
        <f t="shared" si="728"/>
        <v/>
      </c>
      <c r="EO410" s="60" t="e">
        <f>IF(EN410="",NA(),SUM($EN$4:EN410))</f>
        <v>#N/A</v>
      </c>
      <c r="EP410" s="60" t="str">
        <f t="shared" si="729"/>
        <v/>
      </c>
      <c r="EQ410" s="60" t="e">
        <f>IF(EP410="",NA(),SUM($EP$4:EP410))</f>
        <v>#N/A</v>
      </c>
      <c r="ER410" s="60" t="str">
        <f t="shared" si="730"/>
        <v/>
      </c>
      <c r="ES410" s="60" t="e">
        <f>IF(ER410="",NA(),SUM($ER$4:ER410))</f>
        <v>#N/A</v>
      </c>
      <c r="ET410" s="60">
        <f t="shared" si="731"/>
        <v>-0.74841681059297316</v>
      </c>
      <c r="EU410" s="60">
        <f>IF(ET410="",NA(),SUM($ET$4:ET410))</f>
        <v>28.252140815300059</v>
      </c>
      <c r="EV410" s="60" t="str">
        <f t="shared" si="732"/>
        <v/>
      </c>
      <c r="EW410" s="60" t="e">
        <f>IF(EV410="",NA(),SUM($EV$4:EV410))</f>
        <v>#N/A</v>
      </c>
      <c r="EX410" s="60" t="str">
        <f t="shared" si="733"/>
        <v/>
      </c>
      <c r="EY410" s="60" t="e">
        <f>IF(EX410="",NA(),SUM($EX$4:EX410))</f>
        <v>#N/A</v>
      </c>
      <c r="EZ410" s="60">
        <f t="shared" si="734"/>
        <v>-0.74841681059297316</v>
      </c>
      <c r="FA410" s="60">
        <f>IF(EZ410="",NA(),SUM($EZ$4:EZ410))</f>
        <v>14.155067878248184</v>
      </c>
      <c r="FB410" s="246" t="str">
        <f t="shared" si="758"/>
        <v/>
      </c>
      <c r="FC410" s="246" t="e">
        <f>IF($FB410="",#N/A,SUM(FB$4:$FB410))</f>
        <v>#N/A</v>
      </c>
      <c r="FD410" s="60">
        <f t="shared" si="735"/>
        <v>-0.10554596046824305</v>
      </c>
      <c r="FE410" s="60">
        <f>IF($FD410="",#N/A,SUM($FD$4:FD410))</f>
        <v>1.4109055471555103</v>
      </c>
      <c r="FF410" s="60" t="str">
        <f t="shared" si="736"/>
        <v/>
      </c>
      <c r="FG410" s="60" t="e">
        <f>IF($FF410="",#N/A,SUM($FF$4:FF410))</f>
        <v>#N/A</v>
      </c>
      <c r="FH410" s="60" t="str">
        <f t="shared" si="737"/>
        <v/>
      </c>
      <c r="FI410" s="60" t="e">
        <f>IF($FH410="",#N/A,SUM($FH$4:FH410))</f>
        <v>#N/A</v>
      </c>
      <c r="FJ410" s="60" t="str">
        <f t="shared" si="738"/>
        <v/>
      </c>
      <c r="FK410" s="60" t="e">
        <f>IF($FJ410="",#N/A,SUM($FJ$4:FJ410))</f>
        <v>#N/A</v>
      </c>
      <c r="FL410" s="60" t="str">
        <f t="shared" si="739"/>
        <v/>
      </c>
      <c r="FM410" s="60" t="e">
        <f>IF($FL410="",#N/A,SUM($FL$4:FL410))</f>
        <v>#N/A</v>
      </c>
      <c r="FN410" s="82">
        <f t="shared" si="740"/>
        <v>-0.85396277106121621</v>
      </c>
      <c r="FO410" s="82">
        <f>IF($FN410="",#N/A,SUM(FN$4:$FN410))</f>
        <v>37.74222557253357</v>
      </c>
      <c r="FP410" s="82">
        <f t="shared" si="759"/>
        <v>-0.74841681059297316</v>
      </c>
      <c r="FQ410" s="246">
        <f>IF($EH410="",#N/A,SUM($FP$4:FP410))</f>
        <v>49.32577338188036</v>
      </c>
      <c r="FR410" s="82">
        <f>IFERROR(FQ410/COUNTA($J$4:J410),#N/A)</f>
        <v>0.12119354639282644</v>
      </c>
      <c r="FS410" s="82">
        <f t="shared" si="661"/>
        <v>-7.9864436624381058E-2</v>
      </c>
      <c r="FT410" s="82">
        <f t="shared" si="662"/>
        <v>-0.18582221160547505</v>
      </c>
      <c r="FU410" s="338">
        <f t="shared" si="763"/>
        <v>25.952745772326026</v>
      </c>
      <c r="FV410" s="57" t="str">
        <f t="shared" si="666"/>
        <v>Dwn</v>
      </c>
      <c r="FW410" s="57" t="s">
        <v>2734</v>
      </c>
      <c r="FX410" s="57" t="str">
        <f t="shared" si="741"/>
        <v/>
      </c>
      <c r="FY410" s="57">
        <f t="shared" si="742"/>
        <v>1</v>
      </c>
      <c r="FZ410" s="57" t="str">
        <f t="shared" si="743"/>
        <v/>
      </c>
      <c r="GA410" s="57" t="str">
        <f t="shared" si="744"/>
        <v>Short</v>
      </c>
      <c r="GB410" s="57" t="str">
        <f t="shared" si="745"/>
        <v/>
      </c>
      <c r="GC410" s="57" t="str">
        <f t="shared" si="746"/>
        <v/>
      </c>
      <c r="GD410" s="57" t="str">
        <f t="shared" si="747"/>
        <v/>
      </c>
      <c r="GE410" s="62">
        <f t="shared" si="664"/>
        <v>17.37</v>
      </c>
      <c r="GF410" s="62" t="s">
        <v>2780</v>
      </c>
      <c r="GG410" s="199">
        <v>95</v>
      </c>
      <c r="GH410" s="207">
        <f t="shared" si="748"/>
        <v>1650.15</v>
      </c>
      <c r="GI410" s="199">
        <v>95</v>
      </c>
      <c r="GJ410" s="200">
        <v>18.149999999999999</v>
      </c>
      <c r="GK410" s="63">
        <f t="shared" si="749"/>
        <v>-74.099999999999682</v>
      </c>
      <c r="GL410" s="63">
        <f t="shared" si="665"/>
        <v>-84.549999999999955</v>
      </c>
      <c r="GM410" s="82" t="str">
        <f t="shared" si="750"/>
        <v/>
      </c>
      <c r="GN410" s="82">
        <f>IF($GZ410="",#N/A,SUM(GM$4:GM410))</f>
        <v>6.6272435476904565</v>
      </c>
      <c r="GO410" s="82" t="str">
        <f t="shared" si="751"/>
        <v/>
      </c>
      <c r="GP410" s="82">
        <f>IF($GZ410="",#N/A,SUM(GO$4:GO410))</f>
        <v>3.2522471402826749</v>
      </c>
      <c r="GQ410" s="82">
        <f t="shared" si="752"/>
        <v>-0.85396277106121621</v>
      </c>
      <c r="GR410" s="82">
        <f>IF($GZ410="",#N/A,SUM(GQ$4:GQ410))</f>
        <v>27.236897930118111</v>
      </c>
      <c r="GS410" s="63" t="str">
        <f t="shared" si="760"/>
        <v/>
      </c>
      <c r="GT410" s="63" t="e">
        <f>IF($GZ410="",#N/A,SUM(GS$4:GS410))</f>
        <v>#N/A</v>
      </c>
      <c r="GU410" s="63" t="str">
        <f t="shared" si="761"/>
        <v/>
      </c>
      <c r="GV410" s="63" t="e">
        <f>IF($GZ410="",#N/A,SUM(GU$4:GU410))</f>
        <v>#N/A</v>
      </c>
      <c r="GW410" s="63" t="e">
        <f t="shared" si="762"/>
        <v>#N/A</v>
      </c>
      <c r="GX410" s="63" t="e">
        <f>IF($GZ410="",#N/A,SUM(GW$4:GW410))</f>
        <v>#N/A</v>
      </c>
      <c r="GY410" s="63" t="e">
        <f>IF(EJ410="",#N/A,SUM($EJ$4:EJ410))</f>
        <v>#N/A</v>
      </c>
      <c r="GZ410" s="159">
        <v>18.260000000000002</v>
      </c>
      <c r="HA410" s="63">
        <f t="shared" si="753"/>
        <v>-10.450000000000273</v>
      </c>
      <c r="HB410" s="62" t="s">
        <v>2538</v>
      </c>
      <c r="HC410" s="60">
        <f>IFERROR(VLOOKUP(E410,Expectancy!$P$4:$S$19,1+C410,FALSE),"")</f>
        <v>-9.4786290791818092E-2</v>
      </c>
      <c r="HD410" s="82">
        <f t="shared" si="754"/>
        <v>-0.74841681059297316</v>
      </c>
      <c r="HE410" s="138">
        <f>IF(HD410="",#N/A,SUM($HD$4:HD410))</f>
        <v>8.843027609554337</v>
      </c>
      <c r="HF410" s="85">
        <f>IF(HD410="",#N/A,IF(HB410="Skip",#N/A,SUM($HG$4:HG410)))</f>
        <v>162.13357921915576</v>
      </c>
      <c r="HG410" s="63">
        <f t="shared" si="755"/>
        <v>-74.099999999999682</v>
      </c>
      <c r="HH410" s="82">
        <f t="shared" si="756"/>
        <v>-0.85396277106121621</v>
      </c>
    </row>
    <row r="411" spans="1:216" x14ac:dyDescent="0.25">
      <c r="A411" s="57" t="s">
        <v>1149</v>
      </c>
      <c r="B411" s="58" t="str" cm="1">
        <f t="array" ref="B411">IFERROR(_xlfn.XLOOKUP(A411,Earnings!$B$2:$B$9985,LEFT(Earnings!$C$2:$C$9985,37)),"Can't Find Date***")</f>
        <v>on 3/5/25 Before Market Eastern Stand</v>
      </c>
      <c r="C411" s="386">
        <f t="shared" si="667"/>
        <v>2</v>
      </c>
      <c r="D411" s="372" t="str">
        <f>_xlfn.XLOOKUP(A411,[1]SP500!$A$2:$A$502,[1]SP500!$D$2:$D$502,"N")</f>
        <v>N</v>
      </c>
      <c r="E411" s="57" t="str">
        <f>_xlfn.XLOOKUP(A411,[1]SP500!$A$2:$A$655,[1]SP500!$B$2:$B$655)</f>
        <v>XLY</v>
      </c>
      <c r="F411" s="59">
        <v>45721</v>
      </c>
      <c r="G411" s="57" t="str">
        <f t="shared" si="668"/>
        <v>BMO</v>
      </c>
      <c r="H411" s="57" t="str">
        <f t="shared" si="669"/>
        <v>o</v>
      </c>
      <c r="I411" s="159">
        <v>96.11</v>
      </c>
      <c r="J411" s="159">
        <v>84.14</v>
      </c>
      <c r="K411" s="61">
        <f t="shared" si="670"/>
        <v>-0.12454479242534594</v>
      </c>
      <c r="L411" s="87">
        <f t="shared" si="671"/>
        <v>205.4989075018209</v>
      </c>
      <c r="M411" s="210" t="e">
        <f t="shared" si="663"/>
        <v>#N/A</v>
      </c>
      <c r="N411" s="169" t="str">
        <f t="shared" si="672"/>
        <v/>
      </c>
      <c r="O411" s="169">
        <f>IF($J411="",#N/A,SUM($N$4:N411))</f>
        <v>-344.89225475891067</v>
      </c>
      <c r="P411" s="174">
        <f t="shared" si="673"/>
        <v>205.4989075018209</v>
      </c>
      <c r="Q411" s="174">
        <f>IF($J411="",#N/A,SUM($P$4:P411))</f>
        <v>712.29665395694894</v>
      </c>
      <c r="R411" s="178" t="str">
        <f t="shared" si="674"/>
        <v/>
      </c>
      <c r="S411" s="178">
        <f>IF($J411="",#N/A,SUM($R$4:R411))</f>
        <v>656.5525789887156</v>
      </c>
      <c r="T411" s="290" t="str">
        <f t="shared" si="675"/>
        <v/>
      </c>
      <c r="U411" s="290">
        <f>IF($J411="",#N/A,SUM($T$4:T411))</f>
        <v>10.01739856757891</v>
      </c>
      <c r="V411" s="291">
        <f t="shared" si="676"/>
        <v>2.0757465404224331</v>
      </c>
      <c r="W411" s="291">
        <f>IF($J411="",#N/A,SUM($V$4:V411))</f>
        <v>26.828184535952314</v>
      </c>
      <c r="X411" s="292" t="str">
        <f t="shared" si="677"/>
        <v/>
      </c>
      <c r="Y411" s="292">
        <f>IF($J411="",#N/A,SUM($X$4:X411))</f>
        <v>14.555936818771587</v>
      </c>
      <c r="Z411" s="304" t="str">
        <f t="shared" si="678"/>
        <v/>
      </c>
      <c r="AA411" s="313" t="e">
        <f>IF($J411="",#N/A,SUM(Z$4:Z411))</f>
        <v>#N/A</v>
      </c>
      <c r="AB411" s="314" t="str">
        <f t="shared" si="679"/>
        <v/>
      </c>
      <c r="AC411" s="314" t="e">
        <f>IF($J411="",#N/A,SUM(AB$4:AB411))</f>
        <v>#N/A</v>
      </c>
      <c r="AD411" s="315" t="str">
        <f t="shared" si="680"/>
        <v/>
      </c>
      <c r="AE411" s="315" t="e">
        <f>IF($J411="",#N/A,SUM(AD$4:AD411))</f>
        <v>#N/A</v>
      </c>
      <c r="AF411" s="315" t="e">
        <f>IF($J411="",#N/A,SUM(AD$4:AD411,AB$4:AB411,Z$4:Z411))</f>
        <v>#N/A</v>
      </c>
      <c r="AG411" s="304" t="str">
        <f t="shared" si="681"/>
        <v/>
      </c>
      <c r="AH411" s="313" t="e">
        <f>IF($J411="",#N/A,SUM(AG$4:AG411))</f>
        <v>#N/A</v>
      </c>
      <c r="AI411" s="314" t="str">
        <f t="shared" si="682"/>
        <v/>
      </c>
      <c r="AJ411" s="314" t="e">
        <f>IF($J411="",#N/A,SUM(AI$4:AI411))</f>
        <v>#N/A</v>
      </c>
      <c r="AK411" s="315" t="str">
        <f t="shared" si="683"/>
        <v/>
      </c>
      <c r="AL411" s="315" t="e">
        <f>IF($J411="",#N/A,SUM(AK$4:AK411))</f>
        <v>#N/A</v>
      </c>
      <c r="AM411" s="315" t="e">
        <f>IF($J411="",#N/A,SUM(AK$4:AK411,AI$4:AI411,AG$4:AG411))</f>
        <v>#N/A</v>
      </c>
      <c r="AN411" s="304" t="str">
        <f t="shared" si="684"/>
        <v/>
      </c>
      <c r="AO411" s="313" t="e">
        <f>IF($J411="",#N/A,SUM(AN$4:AN411))</f>
        <v>#N/A</v>
      </c>
      <c r="AP411" s="314">
        <f t="shared" si="685"/>
        <v>2.0757465404224331</v>
      </c>
      <c r="AQ411" s="314" t="e">
        <f>IF($J411="",#N/A,SUM(AP$4:AP411))</f>
        <v>#N/A</v>
      </c>
      <c r="AR411" s="315" t="str">
        <f t="shared" si="686"/>
        <v/>
      </c>
      <c r="AS411" s="315" t="e">
        <f>IF($J411="",#N/A,SUM(AR$4:AR411))</f>
        <v>#N/A</v>
      </c>
      <c r="AT411" s="315" t="e">
        <f>IF($J411="",#N/A,SUM(AR$4:AR411,AP$4:AP411,AN$4:AN411))</f>
        <v>#N/A</v>
      </c>
      <c r="AU411" s="304" t="str">
        <f t="shared" si="687"/>
        <v/>
      </c>
      <c r="AV411" s="313" t="e">
        <f>IF($J411="",#N/A,SUM(AU$4:AU411))</f>
        <v>#N/A</v>
      </c>
      <c r="AW411" s="314" t="str">
        <f t="shared" si="688"/>
        <v/>
      </c>
      <c r="AX411" s="314" t="e">
        <f>IF($J411="",#N/A,SUM(AW$4:AW411))</f>
        <v>#N/A</v>
      </c>
      <c r="AY411" s="315" t="str">
        <f t="shared" si="689"/>
        <v/>
      </c>
      <c r="AZ411" s="315" t="e">
        <f>IF($J411="",#N/A,SUM(AY$4:AY411))</f>
        <v>#N/A</v>
      </c>
      <c r="BA411" s="315" t="e">
        <f>IF($J411="",#N/A,SUM(AY$4:AY411,AW$4:AW411,AU$4:AU411))</f>
        <v>#N/A</v>
      </c>
      <c r="BB411" s="304" t="str">
        <f t="shared" si="690"/>
        <v/>
      </c>
      <c r="BC411" s="313" t="e">
        <f>IF($J411="",#N/A,SUM(BB$4:BB411))</f>
        <v>#N/A</v>
      </c>
      <c r="BD411" s="314" t="str">
        <f t="shared" si="691"/>
        <v/>
      </c>
      <c r="BE411" s="314" t="e">
        <f>IF($J411="",#N/A,SUM(BD$4:BD411))</f>
        <v>#N/A</v>
      </c>
      <c r="BF411" s="315" t="str">
        <f t="shared" si="692"/>
        <v/>
      </c>
      <c r="BG411" s="315" t="e">
        <f>IF($J411="",#N/A,SUM(BF$4:BF411))</f>
        <v>#N/A</v>
      </c>
      <c r="BH411" s="315" t="e">
        <f>IF($J411="",#N/A,SUM(BF$4:BF411,BD$4:BD411,BB$4:BB411))</f>
        <v>#N/A</v>
      </c>
      <c r="BI411" s="304" t="str">
        <f t="shared" si="693"/>
        <v/>
      </c>
      <c r="BJ411" s="313" t="e">
        <f>IF($J411="",#N/A,SUM(BI$4:BI411))</f>
        <v>#N/A</v>
      </c>
      <c r="BK411" s="314" t="str">
        <f t="shared" si="694"/>
        <v/>
      </c>
      <c r="BL411" s="314" t="e">
        <f>IF($J411="",#N/A,SUM(BK$4:BK411))</f>
        <v>#N/A</v>
      </c>
      <c r="BM411" s="315" t="str">
        <f t="shared" si="695"/>
        <v/>
      </c>
      <c r="BN411" s="315" t="e">
        <f>IF($J411="",#N/A,SUM(BM$4:BM411))</f>
        <v>#N/A</v>
      </c>
      <c r="BO411" s="315" t="e">
        <f>IF($J411="",#N/A,SUM(BM$4:BM411,BK$4:BK411,BI$4:BI411))</f>
        <v>#N/A</v>
      </c>
      <c r="BP411" s="304" t="str">
        <f t="shared" si="696"/>
        <v/>
      </c>
      <c r="BQ411" s="313" t="e">
        <f>IF($J411="",#N/A,SUM(BP$4:BP411))</f>
        <v>#N/A</v>
      </c>
      <c r="BR411" s="314" t="str">
        <f t="shared" si="697"/>
        <v/>
      </c>
      <c r="BS411" s="314" t="e">
        <f>IF($J411="",#N/A,SUM(BR$4:BR411))</f>
        <v>#N/A</v>
      </c>
      <c r="BT411" s="315" t="str">
        <f t="shared" si="698"/>
        <v/>
      </c>
      <c r="BU411" s="315" t="e">
        <f>IF($J411="",#N/A,SUM(BT$4:BT411))</f>
        <v>#N/A</v>
      </c>
      <c r="BV411" s="315" t="e">
        <f>IF($J411="",#N/A,SUM(BT$4:BT411,BR$4:BR411,BP$4:BP411))</f>
        <v>#N/A</v>
      </c>
      <c r="BW411" s="304" t="str">
        <f t="shared" si="699"/>
        <v/>
      </c>
      <c r="BX411" s="313" t="e">
        <f>IF($J411="",#N/A,SUM(BW$4:BW411))</f>
        <v>#N/A</v>
      </c>
      <c r="BY411" s="314" t="str">
        <f t="shared" si="700"/>
        <v/>
      </c>
      <c r="BZ411" s="314" t="e">
        <f>IF($J411="",#N/A,SUM(BY$4:BY411))</f>
        <v>#N/A</v>
      </c>
      <c r="CA411" s="315" t="str">
        <f t="shared" si="701"/>
        <v/>
      </c>
      <c r="CB411" s="315" t="e">
        <f>IF($J411="",#N/A,SUM(CA$4:CA411))</f>
        <v>#N/A</v>
      </c>
      <c r="CC411" s="315" t="e">
        <f>IF($J411="",#N/A,SUM(CA$4:CA411,BY$4:BY411,BW$4:BW411))</f>
        <v>#N/A</v>
      </c>
      <c r="CD411" s="304" t="str">
        <f t="shared" si="702"/>
        <v/>
      </c>
      <c r="CE411" s="313" t="e">
        <f>IF($J411="",#N/A,SUM(CD$4:CD411))</f>
        <v>#N/A</v>
      </c>
      <c r="CF411" s="314" t="str">
        <f t="shared" si="703"/>
        <v/>
      </c>
      <c r="CG411" s="314" t="e">
        <f>IF($J411="",#N/A,SUM(CF$4:CF411))</f>
        <v>#N/A</v>
      </c>
      <c r="CH411" s="315" t="str">
        <f t="shared" si="704"/>
        <v/>
      </c>
      <c r="CI411" s="315" t="e">
        <f>IF($J411="",#N/A,SUM(CH$4:CH411))</f>
        <v>#N/A</v>
      </c>
      <c r="CJ411" s="315" t="e">
        <f>IF($J411="",#N/A,SUM(CH$4:CH411,CF$4:CF411,CD$4:CD411))</f>
        <v>#N/A</v>
      </c>
      <c r="CK411" s="304" t="str">
        <f t="shared" si="705"/>
        <v/>
      </c>
      <c r="CL411" s="313" t="e">
        <f>IF($J411="",#N/A,SUM(CK$4:CK411))</f>
        <v>#N/A</v>
      </c>
      <c r="CM411" s="314" t="str">
        <f t="shared" si="706"/>
        <v/>
      </c>
      <c r="CN411" s="314" t="e">
        <f>IF($J411="",#N/A,SUM(CM$4:CM411))</f>
        <v>#N/A</v>
      </c>
      <c r="CO411" s="315" t="str">
        <f t="shared" si="707"/>
        <v/>
      </c>
      <c r="CP411" s="315" t="e">
        <f>IF($J411="",#N/A,SUM(CO$4:CO411))</f>
        <v>#N/A</v>
      </c>
      <c r="CQ411" s="315" t="e">
        <f>IF($J411="",#N/A,SUM(CO$4:CO411,CM$4:CM411,CK$4:CK411))</f>
        <v>#N/A</v>
      </c>
      <c r="CR411" s="304" t="str">
        <f t="shared" si="708"/>
        <v/>
      </c>
      <c r="CS411" s="313" t="e">
        <f>IF($J411="",#N/A,SUM(CR$4:CR411))</f>
        <v>#N/A</v>
      </c>
      <c r="CT411" s="314" t="str">
        <f t="shared" si="709"/>
        <v/>
      </c>
      <c r="CU411" s="314" t="e">
        <f>IF($J411="",#N/A,SUM(CT$4:CT411))</f>
        <v>#N/A</v>
      </c>
      <c r="CV411" s="315" t="str">
        <f t="shared" si="710"/>
        <v/>
      </c>
      <c r="CW411" s="315" t="e">
        <f>IF($J411="",#N/A,SUM(CV$4:CV411))</f>
        <v>#N/A</v>
      </c>
      <c r="CX411" s="315" t="e">
        <f>IF($J411="",#N/A,SUM(CV$4:CV411,CT$4:CT411,CR$4:CR411))</f>
        <v>#N/A</v>
      </c>
      <c r="CY411" s="304" t="str">
        <f t="shared" si="711"/>
        <v/>
      </c>
      <c r="CZ411" s="313" t="e">
        <f>IF($J411="",#N/A,SUM(CY$4:CY411))</f>
        <v>#N/A</v>
      </c>
      <c r="DA411" s="314" t="str">
        <f t="shared" si="712"/>
        <v/>
      </c>
      <c r="DB411" s="314" t="e">
        <f>IF($J411="",#N/A,SUM(DA$4:DA411))</f>
        <v>#N/A</v>
      </c>
      <c r="DC411" s="315" t="str">
        <f t="shared" si="713"/>
        <v/>
      </c>
      <c r="DD411" s="315" t="e">
        <f>IF($J411="",#N/A,SUM(DC$4:DC411))</f>
        <v>#N/A</v>
      </c>
      <c r="DE411" s="315" t="e">
        <f>IF($J411="",#N/A,SUM(DC$4:DC411,DA$4:DA411,CY$4:CY411))</f>
        <v>#N/A</v>
      </c>
      <c r="DF411" s="304" t="str">
        <f t="shared" si="714"/>
        <v/>
      </c>
      <c r="DG411" s="313" t="e">
        <f>IF($J411="",#N/A,SUM(DF$4:DF411))</f>
        <v>#N/A</v>
      </c>
      <c r="DH411" s="314" t="str">
        <f t="shared" si="715"/>
        <v/>
      </c>
      <c r="DI411" s="314" t="e">
        <f>IF($J411="",#N/A,SUM(DH$4:DH411))</f>
        <v>#N/A</v>
      </c>
      <c r="DJ411" s="315" t="str">
        <f t="shared" si="716"/>
        <v/>
      </c>
      <c r="DK411" s="315" t="e">
        <f>IF($J411="",#N/A,SUM(DJ$4:DJ411))</f>
        <v>#N/A</v>
      </c>
      <c r="DL411" s="315" t="e">
        <f>IF($J411="",#N/A,SUM(DJ$4:DJ411,DH$4:DH411,DF$4:DF411))</f>
        <v>#N/A</v>
      </c>
      <c r="DM411" s="304" t="str">
        <f t="shared" si="717"/>
        <v/>
      </c>
      <c r="DN411" s="313" t="e">
        <f>IF($J411="",#N/A,SUM(DM$4:DM411))</f>
        <v>#N/A</v>
      </c>
      <c r="DO411" s="314" t="str">
        <f t="shared" si="718"/>
        <v/>
      </c>
      <c r="DP411" s="314" t="e">
        <f>IF($J411="",#N/A,SUM(DO$4:DO411))</f>
        <v>#N/A</v>
      </c>
      <c r="DQ411" s="315" t="str">
        <f t="shared" si="719"/>
        <v/>
      </c>
      <c r="DR411" s="315" t="e">
        <f>IF($J411="",#N/A,SUM(DQ$4:DQ411))</f>
        <v>#N/A</v>
      </c>
      <c r="DS411" s="315" t="e">
        <f>IF($J411="",#N/A,SUM(DQ$4:DQ411,DO$4:DO411,DM$4:DM411))</f>
        <v>#N/A</v>
      </c>
      <c r="DT411" s="304" t="str">
        <f t="shared" si="720"/>
        <v/>
      </c>
      <c r="DU411" s="313" t="e">
        <f>IF($J411="",#N/A,SUM(DT$4:DT411))</f>
        <v>#N/A</v>
      </c>
      <c r="DV411" s="314" t="str">
        <f t="shared" si="721"/>
        <v/>
      </c>
      <c r="DW411" s="314" t="e">
        <f>IF($J411="",#N/A,SUM(DV$4:DV411))</f>
        <v>#N/A</v>
      </c>
      <c r="DX411" s="315" t="str">
        <f t="shared" si="722"/>
        <v/>
      </c>
      <c r="DY411" s="315" t="e">
        <f>IF($J411="",#N/A,SUM(DX$4:DX411))</f>
        <v>#N/A</v>
      </c>
      <c r="DZ411" s="315" t="e">
        <f>IF($J411="",#N/A,SUM(DX$4:DX411,DV$4:DV411,DT$4:DT411))</f>
        <v>#N/A</v>
      </c>
      <c r="EA411" s="304" t="str">
        <f t="shared" si="723"/>
        <v/>
      </c>
      <c r="EB411" s="313" t="e">
        <f>IF($J411="",#N/A,SUM(EA$4:EA411))</f>
        <v>#N/A</v>
      </c>
      <c r="EC411" s="314" t="str">
        <f t="shared" si="724"/>
        <v/>
      </c>
      <c r="ED411" s="314" t="e">
        <f>IF($J411="",#N/A,SUM(EC$4:EC411))</f>
        <v>#N/A</v>
      </c>
      <c r="EE411" s="315" t="str">
        <f t="shared" si="725"/>
        <v/>
      </c>
      <c r="EF411" s="315" t="e">
        <f>IF($J411="",#N/A,SUM(EE$4:EE411))</f>
        <v>#N/A</v>
      </c>
      <c r="EG411" s="315" t="e">
        <f>IF($J411="",#N/A,SUM(EE$4:EE411,EC$4:EC411,EA$4:EA411))</f>
        <v>#N/A</v>
      </c>
      <c r="EH411" s="130">
        <f t="shared" si="726"/>
        <v>205.4989075018209</v>
      </c>
      <c r="EI411" s="63">
        <f>IF(EH411="",#N/A,SUM($EH$4:EH411))</f>
        <v>1023.956978186754</v>
      </c>
      <c r="EJ411" s="223" t="e">
        <f t="shared" si="727"/>
        <v>#N/A</v>
      </c>
      <c r="EK411" s="63" t="e">
        <f>IF($GZ411="",#N/A,SUM(EJ$4:EJ411))</f>
        <v>#N/A</v>
      </c>
      <c r="EL411" s="60" t="str">
        <f t="shared" si="757"/>
        <v/>
      </c>
      <c r="EM411" s="60" t="e">
        <f>IF(EL411="",NA(),SUM($EL$4:EL411))</f>
        <v>#N/A</v>
      </c>
      <c r="EN411" s="60" t="str">
        <f t="shared" si="728"/>
        <v/>
      </c>
      <c r="EO411" s="60" t="e">
        <f>IF(EN411="",NA(),SUM($EN$4:EN411))</f>
        <v>#N/A</v>
      </c>
      <c r="EP411" s="60" t="str">
        <f t="shared" si="729"/>
        <v/>
      </c>
      <c r="EQ411" s="60" t="e">
        <f>IF(EP411="",NA(),SUM($EP$4:EP411))</f>
        <v>#N/A</v>
      </c>
      <c r="ER411" s="60" t="str">
        <f t="shared" si="730"/>
        <v/>
      </c>
      <c r="ES411" s="60" t="e">
        <f>IF(ER411="",NA(),SUM($ER$4:ER411))</f>
        <v>#N/A</v>
      </c>
      <c r="ET411" s="60">
        <f t="shared" si="731"/>
        <v>2.0757465404224331</v>
      </c>
      <c r="EU411" s="60">
        <f>IF(ET411="",NA(),SUM($ET$4:ET411))</f>
        <v>30.327887355722492</v>
      </c>
      <c r="EV411" s="60" t="str">
        <f t="shared" si="732"/>
        <v/>
      </c>
      <c r="EW411" s="60" t="e">
        <f>IF(EV411="",NA(),SUM($EV$4:EV411))</f>
        <v>#N/A</v>
      </c>
      <c r="EX411" s="60" t="str">
        <f t="shared" si="733"/>
        <v/>
      </c>
      <c r="EY411" s="60" t="e">
        <f>IF(EX411="",NA(),SUM($EX$4:EX411))</f>
        <v>#N/A</v>
      </c>
      <c r="EZ411" s="60">
        <f t="shared" si="734"/>
        <v>2.0757465404224331</v>
      </c>
      <c r="FA411" s="60">
        <f>IF(EZ411="",NA(),SUM($EZ$4:EZ411))</f>
        <v>16.230814418670619</v>
      </c>
      <c r="FB411" s="246">
        <f t="shared" si="758"/>
        <v>-0.53584434502133216</v>
      </c>
      <c r="FC411" s="246">
        <f>IF($FB411="",#N/A,SUM(FB$4:$FB411))</f>
        <v>0.53771004241139098</v>
      </c>
      <c r="FD411" s="60" t="str">
        <f t="shared" si="735"/>
        <v/>
      </c>
      <c r="FE411" s="60" t="e">
        <f>IF($FD411="",#N/A,SUM($FD$4:FD411))</f>
        <v>#N/A</v>
      </c>
      <c r="FF411" s="60" t="str">
        <f t="shared" si="736"/>
        <v/>
      </c>
      <c r="FG411" s="60" t="e">
        <f>IF($FF411="",#N/A,SUM($FF$4:FF411))</f>
        <v>#N/A</v>
      </c>
      <c r="FH411" s="60" t="str">
        <f t="shared" si="737"/>
        <v/>
      </c>
      <c r="FI411" s="60" t="e">
        <f>IF($FH411="",#N/A,SUM($FH$4:FH411))</f>
        <v>#N/A</v>
      </c>
      <c r="FJ411" s="60" t="str">
        <f t="shared" si="738"/>
        <v/>
      </c>
      <c r="FK411" s="60" t="e">
        <f>IF($FJ411="",#N/A,SUM($FJ$4:FJ411))</f>
        <v>#N/A</v>
      </c>
      <c r="FL411" s="60" t="str">
        <f t="shared" si="739"/>
        <v/>
      </c>
      <c r="FM411" s="60" t="e">
        <f>IF($FL411="",#N/A,SUM($FL$4:FL411))</f>
        <v>#N/A</v>
      </c>
      <c r="FN411" s="82">
        <f t="shared" si="740"/>
        <v>1.539902195401101</v>
      </c>
      <c r="FO411" s="82">
        <f>IF($FN411="",#N/A,SUM(FN$4:$FN411))</f>
        <v>39.282127767934668</v>
      </c>
      <c r="FP411" s="82">
        <f t="shared" si="759"/>
        <v>2.0757465404224331</v>
      </c>
      <c r="FQ411" s="246">
        <f>IF($EH411="",#N/A,SUM($FP$4:FP411))</f>
        <v>51.401519922302796</v>
      </c>
      <c r="FR411" s="82">
        <f>IFERROR(FQ411/COUNTA($J$4:J411),#N/A)</f>
        <v>0.12598411745662449</v>
      </c>
      <c r="FS411" s="82">
        <f t="shared" si="661"/>
        <v>-8.8186487651051096E-2</v>
      </c>
      <c r="FT411" s="82">
        <f t="shared" si="662"/>
        <v>-6.5891024946013482E-2</v>
      </c>
      <c r="FU411" s="273"/>
      <c r="FV411" s="57" t="str">
        <f t="shared" si="666"/>
        <v>Dwn</v>
      </c>
      <c r="FW411" s="57" t="s">
        <v>2733</v>
      </c>
      <c r="FX411" s="57" t="str">
        <f t="shared" si="741"/>
        <v/>
      </c>
      <c r="FY411" s="57" t="str">
        <f t="shared" si="742"/>
        <v/>
      </c>
      <c r="FZ411" s="57" t="str">
        <f t="shared" si="743"/>
        <v/>
      </c>
      <c r="GA411" s="57" t="str">
        <f t="shared" si="744"/>
        <v>Short</v>
      </c>
      <c r="GB411" s="57">
        <f t="shared" si="745"/>
        <v>1</v>
      </c>
      <c r="GC411" s="57" t="str">
        <f t="shared" si="746"/>
        <v/>
      </c>
      <c r="GD411" s="57" t="str">
        <f t="shared" si="747"/>
        <v/>
      </c>
      <c r="GE411" s="62">
        <f t="shared" si="664"/>
        <v>96.11</v>
      </c>
      <c r="GF411" s="62" t="s">
        <v>2780</v>
      </c>
      <c r="GG411" s="99">
        <f>IF(I411="","",1650/I411)</f>
        <v>17.167828529809594</v>
      </c>
      <c r="GH411" s="207">
        <f t="shared" si="748"/>
        <v>1650</v>
      </c>
      <c r="GI411" s="99">
        <f>GG411</f>
        <v>17.167828529809594</v>
      </c>
      <c r="GJ411" s="98">
        <f>J411</f>
        <v>84.14</v>
      </c>
      <c r="GK411" s="63">
        <f t="shared" si="749"/>
        <v>205.4989075018209</v>
      </c>
      <c r="GL411" s="63">
        <f t="shared" si="665"/>
        <v>152.45031734470899</v>
      </c>
      <c r="GM411" s="82" t="str">
        <f t="shared" si="750"/>
        <v/>
      </c>
      <c r="GN411" s="82">
        <f>IF($GZ411="",#N/A,SUM(GM$4:GM411))</f>
        <v>6.6272435476904565</v>
      </c>
      <c r="GO411" s="82" t="str">
        <f t="shared" si="751"/>
        <v/>
      </c>
      <c r="GP411" s="82">
        <f>IF($GZ411="",#N/A,SUM(GO$4:GO411))</f>
        <v>3.2522471402826749</v>
      </c>
      <c r="GQ411" s="82">
        <f t="shared" si="752"/>
        <v>1.539902195401101</v>
      </c>
      <c r="GR411" s="82">
        <f>IF($GZ411="",#N/A,SUM(GQ$4:GQ411))</f>
        <v>28.776800125519213</v>
      </c>
      <c r="GS411" s="63" t="str">
        <f t="shared" si="760"/>
        <v/>
      </c>
      <c r="GT411" s="63" t="e">
        <f>IF($GZ411="",#N/A,SUM(GS$4:GS411))</f>
        <v>#N/A</v>
      </c>
      <c r="GU411" s="63" t="str">
        <f t="shared" si="761"/>
        <v/>
      </c>
      <c r="GV411" s="63" t="e">
        <f>IF($GZ411="",#N/A,SUM(GU$4:GU411))</f>
        <v>#N/A</v>
      </c>
      <c r="GW411" s="63" t="e">
        <f t="shared" si="762"/>
        <v>#N/A</v>
      </c>
      <c r="GX411" s="63" t="e">
        <f>IF($GZ411="",#N/A,SUM(GW$4:GW411))</f>
        <v>#N/A</v>
      </c>
      <c r="GY411" s="63" t="e">
        <f>IF(EJ411="",#N/A,SUM($EJ$4:EJ411))</f>
        <v>#N/A</v>
      </c>
      <c r="GZ411" s="159">
        <v>87.23</v>
      </c>
      <c r="HA411" s="63">
        <f t="shared" si="753"/>
        <v>-53.048590157111903</v>
      </c>
      <c r="HB411" s="62" t="s">
        <v>4970</v>
      </c>
      <c r="HC411" s="60">
        <f>IFERROR(VLOOKUP(E411,Expectancy!$P$4:$S$19,1+C411,FALSE),"")</f>
        <v>-9.4786290791818092E-2</v>
      </c>
      <c r="HD411" s="99" t="str">
        <f t="shared" si="754"/>
        <v/>
      </c>
      <c r="HE411" s="500" t="e">
        <f>IF(HD411="",#N/A,SUM($HD$4:HD411))</f>
        <v>#N/A</v>
      </c>
      <c r="HF411" s="501" t="e">
        <f>IF(HD411="",#N/A,IF(HB411="Skip",#N/A,SUM($HG$4:HG411)))</f>
        <v>#N/A</v>
      </c>
      <c r="HG411" s="502" t="str">
        <f t="shared" si="755"/>
        <v/>
      </c>
      <c r="HH411" s="82">
        <f t="shared" si="756"/>
        <v>1.539902195401101</v>
      </c>
    </row>
    <row r="412" spans="1:216" x14ac:dyDescent="0.25">
      <c r="A412" s="57" t="s">
        <v>1259</v>
      </c>
      <c r="B412" s="58" t="str" cm="1">
        <f t="array" ref="B412">IFERROR(_xlfn.XLOOKUP(A412,Earnings!$B$2:$B$9985,LEFT(Earnings!$C$2:$C$9985,37)),"Can't Find Date***")</f>
        <v>on 3/5/25 Before Market Eastern Stand</v>
      </c>
      <c r="C412" s="386">
        <f t="shared" si="667"/>
        <v>3</v>
      </c>
      <c r="D412" s="372" t="str">
        <f>_xlfn.XLOOKUP(A412,[1]SP500!$A$2:$A$502,[1]SP500!$D$2:$D$502,"N")</f>
        <v>N</v>
      </c>
      <c r="E412" s="57" t="str">
        <f>_xlfn.XLOOKUP(A412,[1]SP500!$A$2:$A$655,[1]SP500!$B$2:$B$655)</f>
        <v>XLI</v>
      </c>
      <c r="F412" s="59">
        <v>45721</v>
      </c>
      <c r="G412" s="57" t="str">
        <f t="shared" si="668"/>
        <v>BMO</v>
      </c>
      <c r="H412" s="57" t="str">
        <f t="shared" si="669"/>
        <v>o</v>
      </c>
      <c r="I412" s="158">
        <v>27.3</v>
      </c>
      <c r="J412" s="159">
        <v>29.59</v>
      </c>
      <c r="K412" s="61">
        <f t="shared" si="670"/>
        <v>8.3882783882783848E-2</v>
      </c>
      <c r="L412" s="87">
        <f t="shared" si="671"/>
        <v>138.4065934065934</v>
      </c>
      <c r="M412" s="210" t="e">
        <f t="shared" si="663"/>
        <v>#N/A</v>
      </c>
      <c r="N412" s="169" t="str">
        <f t="shared" si="672"/>
        <v/>
      </c>
      <c r="O412" s="169">
        <f>IF($J412="",#N/A,SUM($N$4:N412))</f>
        <v>-344.89225475891067</v>
      </c>
      <c r="P412" s="174" t="str">
        <f t="shared" si="673"/>
        <v/>
      </c>
      <c r="Q412" s="174">
        <f>IF($J412="",#N/A,SUM($P$4:P412))</f>
        <v>712.29665395694894</v>
      </c>
      <c r="R412" s="178">
        <f t="shared" si="674"/>
        <v>138.4065934065934</v>
      </c>
      <c r="S412" s="178">
        <f>IF($J412="",#N/A,SUM($R$4:R412))</f>
        <v>794.959172395309</v>
      </c>
      <c r="T412" s="290" t="str">
        <f t="shared" si="675"/>
        <v/>
      </c>
      <c r="U412" s="290">
        <f>IF($J412="",#N/A,SUM($T$4:T412))</f>
        <v>10.01739856757891</v>
      </c>
      <c r="V412" s="291" t="str">
        <f t="shared" si="676"/>
        <v/>
      </c>
      <c r="W412" s="291">
        <f>IF($J412="",#N/A,SUM($V$4:V412))</f>
        <v>26.828184535952314</v>
      </c>
      <c r="X412" s="292">
        <f t="shared" si="677"/>
        <v>1.398046398046398</v>
      </c>
      <c r="Y412" s="292">
        <f>IF($J412="",#N/A,SUM($X$4:X412))</f>
        <v>15.953983216817985</v>
      </c>
      <c r="Z412" s="304" t="str">
        <f t="shared" si="678"/>
        <v/>
      </c>
      <c r="AA412" s="313" t="e">
        <f>IF($J412="",#N/A,SUM(Z$4:Z412))</f>
        <v>#N/A</v>
      </c>
      <c r="AB412" s="314" t="str">
        <f t="shared" si="679"/>
        <v/>
      </c>
      <c r="AC412" s="314" t="e">
        <f>IF($J412="",#N/A,SUM(AB$4:AB412))</f>
        <v>#N/A</v>
      </c>
      <c r="AD412" s="315" t="str">
        <f t="shared" si="680"/>
        <v/>
      </c>
      <c r="AE412" s="315" t="e">
        <f>IF($J412="",#N/A,SUM(AD$4:AD412))</f>
        <v>#N/A</v>
      </c>
      <c r="AF412" s="315" t="e">
        <f>IF($J412="",#N/A,SUM(AD$4:AD412,AB$4:AB412,Z$4:Z412))</f>
        <v>#N/A</v>
      </c>
      <c r="AG412" s="304" t="str">
        <f t="shared" si="681"/>
        <v/>
      </c>
      <c r="AH412" s="313" t="e">
        <f>IF($J412="",#N/A,SUM(AG$4:AG412))</f>
        <v>#N/A</v>
      </c>
      <c r="AI412" s="314" t="str">
        <f t="shared" si="682"/>
        <v/>
      </c>
      <c r="AJ412" s="314" t="e">
        <f>IF($J412="",#N/A,SUM(AI$4:AI412))</f>
        <v>#N/A</v>
      </c>
      <c r="AK412" s="315" t="str">
        <f t="shared" si="683"/>
        <v/>
      </c>
      <c r="AL412" s="315" t="e">
        <f>IF($J412="",#N/A,SUM(AK$4:AK412))</f>
        <v>#N/A</v>
      </c>
      <c r="AM412" s="315" t="e">
        <f>IF($J412="",#N/A,SUM(AK$4:AK412,AI$4:AI412,AG$4:AG412))</f>
        <v>#N/A</v>
      </c>
      <c r="AN412" s="304" t="str">
        <f t="shared" si="684"/>
        <v/>
      </c>
      <c r="AO412" s="313" t="e">
        <f>IF($J412="",#N/A,SUM(AN$4:AN412))</f>
        <v>#N/A</v>
      </c>
      <c r="AP412" s="314" t="str">
        <f t="shared" si="685"/>
        <v/>
      </c>
      <c r="AQ412" s="314" t="e">
        <f>IF($J412="",#N/A,SUM(AP$4:AP412))</f>
        <v>#N/A</v>
      </c>
      <c r="AR412" s="315" t="str">
        <f t="shared" si="686"/>
        <v/>
      </c>
      <c r="AS412" s="315" t="e">
        <f>IF($J412="",#N/A,SUM(AR$4:AR412))</f>
        <v>#N/A</v>
      </c>
      <c r="AT412" s="315" t="e">
        <f>IF($J412="",#N/A,SUM(AR$4:AR412,AP$4:AP412,AN$4:AN412))</f>
        <v>#N/A</v>
      </c>
      <c r="AU412" s="304" t="str">
        <f t="shared" si="687"/>
        <v/>
      </c>
      <c r="AV412" s="313" t="e">
        <f>IF($J412="",#N/A,SUM(AU$4:AU412))</f>
        <v>#N/A</v>
      </c>
      <c r="AW412" s="314" t="str">
        <f t="shared" si="688"/>
        <v/>
      </c>
      <c r="AX412" s="314" t="e">
        <f>IF($J412="",#N/A,SUM(AW$4:AW412))</f>
        <v>#N/A</v>
      </c>
      <c r="AY412" s="315" t="str">
        <f t="shared" si="689"/>
        <v/>
      </c>
      <c r="AZ412" s="315" t="e">
        <f>IF($J412="",#N/A,SUM(AY$4:AY412))</f>
        <v>#N/A</v>
      </c>
      <c r="BA412" s="315" t="e">
        <f>IF($J412="",#N/A,SUM(AY$4:AY412,AW$4:AW412,AU$4:AU412))</f>
        <v>#N/A</v>
      </c>
      <c r="BB412" s="304" t="str">
        <f t="shared" si="690"/>
        <v/>
      </c>
      <c r="BC412" s="313" t="e">
        <f>IF($J412="",#N/A,SUM(BB$4:BB412))</f>
        <v>#N/A</v>
      </c>
      <c r="BD412" s="314" t="str">
        <f t="shared" si="691"/>
        <v/>
      </c>
      <c r="BE412" s="314" t="e">
        <f>IF($J412="",#N/A,SUM(BD$4:BD412))</f>
        <v>#N/A</v>
      </c>
      <c r="BF412" s="315" t="str">
        <f t="shared" si="692"/>
        <v/>
      </c>
      <c r="BG412" s="315" t="e">
        <f>IF($J412="",#N/A,SUM(BF$4:BF412))</f>
        <v>#N/A</v>
      </c>
      <c r="BH412" s="315" t="e">
        <f>IF($J412="",#N/A,SUM(BF$4:BF412,BD$4:BD412,BB$4:BB412))</f>
        <v>#N/A</v>
      </c>
      <c r="BI412" s="304" t="str">
        <f t="shared" si="693"/>
        <v/>
      </c>
      <c r="BJ412" s="313" t="e">
        <f>IF($J412="",#N/A,SUM(BI$4:BI412))</f>
        <v>#N/A</v>
      </c>
      <c r="BK412" s="314" t="str">
        <f t="shared" si="694"/>
        <v/>
      </c>
      <c r="BL412" s="314" t="e">
        <f>IF($J412="",#N/A,SUM(BK$4:BK412))</f>
        <v>#N/A</v>
      </c>
      <c r="BM412" s="315" t="str">
        <f t="shared" si="695"/>
        <v/>
      </c>
      <c r="BN412" s="315" t="e">
        <f>IF($J412="",#N/A,SUM(BM$4:BM412))</f>
        <v>#N/A</v>
      </c>
      <c r="BO412" s="315" t="e">
        <f>IF($J412="",#N/A,SUM(BM$4:BM412,BK$4:BK412,BI$4:BI412))</f>
        <v>#N/A</v>
      </c>
      <c r="BP412" s="304" t="str">
        <f t="shared" si="696"/>
        <v/>
      </c>
      <c r="BQ412" s="313" t="e">
        <f>IF($J412="",#N/A,SUM(BP$4:BP412))</f>
        <v>#N/A</v>
      </c>
      <c r="BR412" s="314" t="str">
        <f t="shared" si="697"/>
        <v/>
      </c>
      <c r="BS412" s="314" t="e">
        <f>IF($J412="",#N/A,SUM(BR$4:BR412))</f>
        <v>#N/A</v>
      </c>
      <c r="BT412" s="315">
        <f t="shared" si="698"/>
        <v>1.398046398046398</v>
      </c>
      <c r="BU412" s="315" t="e">
        <f>IF($J412="",#N/A,SUM(BT$4:BT412))</f>
        <v>#N/A</v>
      </c>
      <c r="BV412" s="315" t="e">
        <f>IF($J412="",#N/A,SUM(BT$4:BT412,BR$4:BR412,BP$4:BP412))</f>
        <v>#N/A</v>
      </c>
      <c r="BW412" s="304" t="str">
        <f t="shared" si="699"/>
        <v/>
      </c>
      <c r="BX412" s="313" t="e">
        <f>IF($J412="",#N/A,SUM(BW$4:BW412))</f>
        <v>#N/A</v>
      </c>
      <c r="BY412" s="314" t="str">
        <f t="shared" si="700"/>
        <v/>
      </c>
      <c r="BZ412" s="314" t="e">
        <f>IF($J412="",#N/A,SUM(BY$4:BY412))</f>
        <v>#N/A</v>
      </c>
      <c r="CA412" s="315" t="str">
        <f t="shared" si="701"/>
        <v/>
      </c>
      <c r="CB412" s="315" t="e">
        <f>IF($J412="",#N/A,SUM(CA$4:CA412))</f>
        <v>#N/A</v>
      </c>
      <c r="CC412" s="315" t="e">
        <f>IF($J412="",#N/A,SUM(CA$4:CA412,BY$4:BY412,BW$4:BW412))</f>
        <v>#N/A</v>
      </c>
      <c r="CD412" s="304" t="str">
        <f t="shared" si="702"/>
        <v/>
      </c>
      <c r="CE412" s="313" t="e">
        <f>IF($J412="",#N/A,SUM(CD$4:CD412))</f>
        <v>#N/A</v>
      </c>
      <c r="CF412" s="314" t="str">
        <f t="shared" si="703"/>
        <v/>
      </c>
      <c r="CG412" s="314" t="e">
        <f>IF($J412="",#N/A,SUM(CF$4:CF412))</f>
        <v>#N/A</v>
      </c>
      <c r="CH412" s="315" t="str">
        <f t="shared" si="704"/>
        <v/>
      </c>
      <c r="CI412" s="315" t="e">
        <f>IF($J412="",#N/A,SUM(CH$4:CH412))</f>
        <v>#N/A</v>
      </c>
      <c r="CJ412" s="315" t="e">
        <f>IF($J412="",#N/A,SUM(CH$4:CH412,CF$4:CF412,CD$4:CD412))</f>
        <v>#N/A</v>
      </c>
      <c r="CK412" s="304" t="str">
        <f t="shared" si="705"/>
        <v/>
      </c>
      <c r="CL412" s="313" t="e">
        <f>IF($J412="",#N/A,SUM(CK$4:CK412))</f>
        <v>#N/A</v>
      </c>
      <c r="CM412" s="314" t="str">
        <f t="shared" si="706"/>
        <v/>
      </c>
      <c r="CN412" s="314" t="e">
        <f>IF($J412="",#N/A,SUM(CM$4:CM412))</f>
        <v>#N/A</v>
      </c>
      <c r="CO412" s="315" t="str">
        <f t="shared" si="707"/>
        <v/>
      </c>
      <c r="CP412" s="315" t="e">
        <f>IF($J412="",#N/A,SUM(CO$4:CO412))</f>
        <v>#N/A</v>
      </c>
      <c r="CQ412" s="315" t="e">
        <f>IF($J412="",#N/A,SUM(CO$4:CO412,CM$4:CM412,CK$4:CK412))</f>
        <v>#N/A</v>
      </c>
      <c r="CR412" s="304" t="str">
        <f t="shared" si="708"/>
        <v/>
      </c>
      <c r="CS412" s="313" t="e">
        <f>IF($J412="",#N/A,SUM(CR$4:CR412))</f>
        <v>#N/A</v>
      </c>
      <c r="CT412" s="314" t="str">
        <f t="shared" si="709"/>
        <v/>
      </c>
      <c r="CU412" s="314" t="e">
        <f>IF($J412="",#N/A,SUM(CT$4:CT412))</f>
        <v>#N/A</v>
      </c>
      <c r="CV412" s="315" t="str">
        <f t="shared" si="710"/>
        <v/>
      </c>
      <c r="CW412" s="315" t="e">
        <f>IF($J412="",#N/A,SUM(CV$4:CV412))</f>
        <v>#N/A</v>
      </c>
      <c r="CX412" s="315" t="e">
        <f>IF($J412="",#N/A,SUM(CV$4:CV412,CT$4:CT412,CR$4:CR412))</f>
        <v>#N/A</v>
      </c>
      <c r="CY412" s="304" t="str">
        <f t="shared" si="711"/>
        <v/>
      </c>
      <c r="CZ412" s="313" t="e">
        <f>IF($J412="",#N/A,SUM(CY$4:CY412))</f>
        <v>#N/A</v>
      </c>
      <c r="DA412" s="314" t="str">
        <f t="shared" si="712"/>
        <v/>
      </c>
      <c r="DB412" s="314" t="e">
        <f>IF($J412="",#N/A,SUM(DA$4:DA412))</f>
        <v>#N/A</v>
      </c>
      <c r="DC412" s="315" t="str">
        <f t="shared" si="713"/>
        <v/>
      </c>
      <c r="DD412" s="315" t="e">
        <f>IF($J412="",#N/A,SUM(DC$4:DC412))</f>
        <v>#N/A</v>
      </c>
      <c r="DE412" s="315" t="e">
        <f>IF($J412="",#N/A,SUM(DC$4:DC412,DA$4:DA412,CY$4:CY412))</f>
        <v>#N/A</v>
      </c>
      <c r="DF412" s="304" t="str">
        <f t="shared" si="714"/>
        <v/>
      </c>
      <c r="DG412" s="313" t="e">
        <f>IF($J412="",#N/A,SUM(DF$4:DF412))</f>
        <v>#N/A</v>
      </c>
      <c r="DH412" s="314" t="str">
        <f t="shared" si="715"/>
        <v/>
      </c>
      <c r="DI412" s="314" t="e">
        <f>IF($J412="",#N/A,SUM(DH$4:DH412))</f>
        <v>#N/A</v>
      </c>
      <c r="DJ412" s="315" t="str">
        <f t="shared" si="716"/>
        <v/>
      </c>
      <c r="DK412" s="315" t="e">
        <f>IF($J412="",#N/A,SUM(DJ$4:DJ412))</f>
        <v>#N/A</v>
      </c>
      <c r="DL412" s="315" t="e">
        <f>IF($J412="",#N/A,SUM(DJ$4:DJ412,DH$4:DH412,DF$4:DF412))</f>
        <v>#N/A</v>
      </c>
      <c r="DM412" s="304" t="str">
        <f t="shared" si="717"/>
        <v/>
      </c>
      <c r="DN412" s="313" t="e">
        <f>IF($J412="",#N/A,SUM(DM$4:DM412))</f>
        <v>#N/A</v>
      </c>
      <c r="DO412" s="314" t="str">
        <f t="shared" si="718"/>
        <v/>
      </c>
      <c r="DP412" s="314" t="e">
        <f>IF($J412="",#N/A,SUM(DO$4:DO412))</f>
        <v>#N/A</v>
      </c>
      <c r="DQ412" s="315" t="str">
        <f t="shared" si="719"/>
        <v/>
      </c>
      <c r="DR412" s="315" t="e">
        <f>IF($J412="",#N/A,SUM(DQ$4:DQ412))</f>
        <v>#N/A</v>
      </c>
      <c r="DS412" s="315" t="e">
        <f>IF($J412="",#N/A,SUM(DQ$4:DQ412,DO$4:DO412,DM$4:DM412))</f>
        <v>#N/A</v>
      </c>
      <c r="DT412" s="304" t="str">
        <f t="shared" si="720"/>
        <v/>
      </c>
      <c r="DU412" s="313" t="e">
        <f>IF($J412="",#N/A,SUM(DT$4:DT412))</f>
        <v>#N/A</v>
      </c>
      <c r="DV412" s="314" t="str">
        <f t="shared" si="721"/>
        <v/>
      </c>
      <c r="DW412" s="314" t="e">
        <f>IF($J412="",#N/A,SUM(DV$4:DV412))</f>
        <v>#N/A</v>
      </c>
      <c r="DX412" s="315" t="str">
        <f t="shared" si="722"/>
        <v/>
      </c>
      <c r="DY412" s="315" t="e">
        <f>IF($J412="",#N/A,SUM(DX$4:DX412))</f>
        <v>#N/A</v>
      </c>
      <c r="DZ412" s="315" t="e">
        <f>IF($J412="",#N/A,SUM(DX$4:DX412,DV$4:DV412,DT$4:DT412))</f>
        <v>#N/A</v>
      </c>
      <c r="EA412" s="304" t="str">
        <f t="shared" si="723"/>
        <v/>
      </c>
      <c r="EB412" s="313" t="e">
        <f>IF($J412="",#N/A,SUM(EA$4:EA412))</f>
        <v>#N/A</v>
      </c>
      <c r="EC412" s="314" t="str">
        <f t="shared" si="724"/>
        <v/>
      </c>
      <c r="ED412" s="314" t="e">
        <f>IF($J412="",#N/A,SUM(EC$4:EC412))</f>
        <v>#N/A</v>
      </c>
      <c r="EE412" s="315" t="str">
        <f t="shared" si="725"/>
        <v/>
      </c>
      <c r="EF412" s="315" t="e">
        <f>IF($J412="",#N/A,SUM(EE$4:EE412))</f>
        <v>#N/A</v>
      </c>
      <c r="EG412" s="315" t="e">
        <f>IF($J412="",#N/A,SUM(EE$4:EE412,EC$4:EC412,EA$4:EA412))</f>
        <v>#N/A</v>
      </c>
      <c r="EH412" s="130">
        <f t="shared" si="726"/>
        <v>138.4065934065934</v>
      </c>
      <c r="EI412" s="63">
        <f>IF(EH412="",#N/A,SUM($EH$4:EH412))</f>
        <v>1162.3635715933474</v>
      </c>
      <c r="EJ412" s="223" t="e">
        <f t="shared" si="727"/>
        <v>#N/A</v>
      </c>
      <c r="EK412" s="63" t="e">
        <f>IF($GZ412="",#N/A,SUM(EJ$4:EJ412))</f>
        <v>#N/A</v>
      </c>
      <c r="EL412" s="60" t="str">
        <f t="shared" si="757"/>
        <v/>
      </c>
      <c r="EM412" s="60" t="e">
        <f>IF(EL412="",NA(),SUM($EL$4:EL412))</f>
        <v>#N/A</v>
      </c>
      <c r="EN412" s="60" t="str">
        <f t="shared" si="728"/>
        <v/>
      </c>
      <c r="EO412" s="60" t="e">
        <f>IF(EN412="",NA(),SUM($EN$4:EN412))</f>
        <v>#N/A</v>
      </c>
      <c r="EP412" s="60" t="str">
        <f t="shared" si="729"/>
        <v/>
      </c>
      <c r="EQ412" s="60" t="e">
        <f>IF(EP412="",NA(),SUM($EP$4:EP412))</f>
        <v>#N/A</v>
      </c>
      <c r="ER412" s="60" t="str">
        <f t="shared" si="730"/>
        <v/>
      </c>
      <c r="ES412" s="60" t="e">
        <f>IF(ER412="",NA(),SUM($ER$4:ER412))</f>
        <v>#N/A</v>
      </c>
      <c r="ET412" s="60">
        <f t="shared" si="731"/>
        <v>1.398046398046398</v>
      </c>
      <c r="EU412" s="60">
        <f>IF(ET412="",NA(),SUM($ET$4:ET412))</f>
        <v>31.725933753768889</v>
      </c>
      <c r="EV412" s="60" t="str">
        <f t="shared" si="732"/>
        <v/>
      </c>
      <c r="EW412" s="60" t="e">
        <f>IF(EV412="",NA(),SUM($EV$4:EV412))</f>
        <v>#N/A</v>
      </c>
      <c r="EX412" s="60">
        <f t="shared" si="733"/>
        <v>1.398046398046398</v>
      </c>
      <c r="EY412" s="60">
        <f>IF(EX412="",NA(),SUM($EX$4:EX412))</f>
        <v>9.9950170858822425</v>
      </c>
      <c r="EZ412" s="60" t="str">
        <f t="shared" si="734"/>
        <v/>
      </c>
      <c r="FA412" s="60" t="e">
        <f>IF(EZ412="",NA(),SUM($EZ$4:EZ412))</f>
        <v>#N/A</v>
      </c>
      <c r="FB412" s="246" t="str">
        <f t="shared" si="758"/>
        <v/>
      </c>
      <c r="FC412" s="246" t="e">
        <f>IF($FB412="",#N/A,SUM(FB$4:$FB412))</f>
        <v>#N/A</v>
      </c>
      <c r="FD412" s="60" t="str">
        <f t="shared" si="735"/>
        <v/>
      </c>
      <c r="FE412" s="60" t="e">
        <f>IF($FD412="",#N/A,SUM($FD$4:FD412))</f>
        <v>#N/A</v>
      </c>
      <c r="FF412" s="60" t="str">
        <f t="shared" si="736"/>
        <v/>
      </c>
      <c r="FG412" s="60" t="e">
        <f>IF($FF412="",#N/A,SUM($FF$4:FF412))</f>
        <v>#N/A</v>
      </c>
      <c r="FH412" s="60" t="str">
        <f t="shared" si="737"/>
        <v/>
      </c>
      <c r="FI412" s="60" t="e">
        <f>IF($FH412="",#N/A,SUM($FH$4:FH412))</f>
        <v>#N/A</v>
      </c>
      <c r="FJ412" s="60">
        <f t="shared" si="738"/>
        <v>-1.0012210012210017</v>
      </c>
      <c r="FK412" s="60">
        <f>IF($FJ412="",#N/A,SUM($FJ$4:FJ412))</f>
        <v>-7.1445045760154944</v>
      </c>
      <c r="FL412" s="60" t="str">
        <f t="shared" si="739"/>
        <v/>
      </c>
      <c r="FM412" s="60" t="e">
        <f>IF($FL412="",#N/A,SUM($FL$4:FL412))</f>
        <v>#N/A</v>
      </c>
      <c r="FN412" s="82">
        <f t="shared" si="740"/>
        <v>0.39682539682539619</v>
      </c>
      <c r="FO412" s="82">
        <f>IF($FN412="",#N/A,SUM(FN$4:$FN412))</f>
        <v>39.678953164760067</v>
      </c>
      <c r="FP412" s="82">
        <f t="shared" si="759"/>
        <v>1.398046398046398</v>
      </c>
      <c r="FQ412" s="246">
        <f>IF($EH412="",#N/A,SUM($FP$4:FP412))</f>
        <v>52.799566320349193</v>
      </c>
      <c r="FR412" s="82">
        <f>IFERROR(FQ412/COUNTA($J$4:J412),#N/A)</f>
        <v>0.12909429418178286</v>
      </c>
      <c r="FS412" s="82">
        <f t="shared" si="661"/>
        <v>-6.9963829998246463E-2</v>
      </c>
      <c r="FT412" s="82">
        <f t="shared" si="662"/>
        <v>2.7600170360612991E-2</v>
      </c>
      <c r="FU412" s="273"/>
      <c r="FV412" s="57" t="str">
        <f t="shared" si="666"/>
        <v>SW</v>
      </c>
      <c r="FW412" s="57" t="s">
        <v>2732</v>
      </c>
      <c r="FX412" s="57" t="str">
        <f t="shared" si="741"/>
        <v/>
      </c>
      <c r="FY412" s="57" t="str">
        <f t="shared" si="742"/>
        <v/>
      </c>
      <c r="FZ412" s="57">
        <f t="shared" si="743"/>
        <v>1</v>
      </c>
      <c r="GA412" s="57" t="str">
        <f t="shared" si="744"/>
        <v>Long</v>
      </c>
      <c r="GB412" s="57" t="str">
        <f t="shared" si="745"/>
        <v/>
      </c>
      <c r="GC412" s="57" t="str">
        <f t="shared" si="746"/>
        <v/>
      </c>
      <c r="GD412" s="57" t="str">
        <f t="shared" si="747"/>
        <v/>
      </c>
      <c r="GE412" s="62">
        <f t="shared" si="664"/>
        <v>27.3</v>
      </c>
      <c r="GF412" s="62" t="s">
        <v>2779</v>
      </c>
      <c r="GG412" s="99">
        <f>IF(I412="","",1650/I412)</f>
        <v>60.439560439560438</v>
      </c>
      <c r="GH412" s="207">
        <f t="shared" si="748"/>
        <v>1650</v>
      </c>
      <c r="GI412" s="99">
        <f>GG412</f>
        <v>60.439560439560438</v>
      </c>
      <c r="GJ412" s="98">
        <f>J412</f>
        <v>29.59</v>
      </c>
      <c r="GK412" s="63">
        <f t="shared" si="749"/>
        <v>138.4065934065934</v>
      </c>
      <c r="GL412" s="63">
        <f t="shared" si="665"/>
        <v>39.285714285714221</v>
      </c>
      <c r="GM412" s="82">
        <f t="shared" si="750"/>
        <v>0.39682539682539619</v>
      </c>
      <c r="GN412" s="82">
        <f>IF($GZ412="",#N/A,SUM(GM$4:GM412))</f>
        <v>7.0240689445158528</v>
      </c>
      <c r="GO412" s="82" t="str">
        <f t="shared" si="751"/>
        <v/>
      </c>
      <c r="GP412" s="82">
        <f>IF($GZ412="",#N/A,SUM(GO$4:GO412))</f>
        <v>3.2522471402826749</v>
      </c>
      <c r="GQ412" s="82" t="str">
        <f t="shared" si="752"/>
        <v/>
      </c>
      <c r="GR412" s="82">
        <f>IF($GZ412="",#N/A,SUM(GQ$4:GQ412))</f>
        <v>28.776800125519213</v>
      </c>
      <c r="GS412" s="63" t="e">
        <f t="shared" si="760"/>
        <v>#N/A</v>
      </c>
      <c r="GT412" s="63" t="e">
        <f>IF($GZ412="",#N/A,SUM(GS$4:GS412))</f>
        <v>#N/A</v>
      </c>
      <c r="GU412" s="63" t="str">
        <f t="shared" si="761"/>
        <v/>
      </c>
      <c r="GV412" s="63" t="e">
        <f>IF($GZ412="",#N/A,SUM(GU$4:GU412))</f>
        <v>#N/A</v>
      </c>
      <c r="GW412" s="63" t="str">
        <f t="shared" si="762"/>
        <v/>
      </c>
      <c r="GX412" s="63" t="e">
        <f>IF($GZ412="",#N/A,SUM(GW$4:GW412))</f>
        <v>#N/A</v>
      </c>
      <c r="GY412" s="63" t="e">
        <f>IF(EJ412="",#N/A,SUM($EJ$4:EJ412))</f>
        <v>#N/A</v>
      </c>
      <c r="GZ412" s="159">
        <v>27.95</v>
      </c>
      <c r="HA412" s="63">
        <f t="shared" si="753"/>
        <v>-99.120879120879181</v>
      </c>
      <c r="HB412" s="62" t="s">
        <v>4970</v>
      </c>
      <c r="HC412" s="60">
        <f>IFERROR(VLOOKUP(E412,Expectancy!$P$4:$S$19,1+C412,FALSE),"")</f>
        <v>2.40735201201209E-2</v>
      </c>
      <c r="HD412" s="99" t="str">
        <f t="shared" si="754"/>
        <v/>
      </c>
      <c r="HE412" s="500" t="e">
        <f>IF(HD412="",#N/A,SUM($HD$4:HD412))</f>
        <v>#N/A</v>
      </c>
      <c r="HF412" s="501" t="e">
        <f>IF(HD412="",#N/A,IF(HB412="Skip",#N/A,SUM($HG$4:HG412)))</f>
        <v>#N/A</v>
      </c>
      <c r="HG412" s="502" t="str">
        <f t="shared" si="755"/>
        <v/>
      </c>
      <c r="HH412" s="82">
        <f t="shared" si="756"/>
        <v>0.39682539682539619</v>
      </c>
    </row>
    <row r="413" spans="1:216" x14ac:dyDescent="0.25">
      <c r="A413" s="57" t="s">
        <v>1201</v>
      </c>
      <c r="B413" s="58" t="str" cm="1">
        <f t="array" ref="B413">IFERROR(_xlfn.XLOOKUP(A413,Earnings!$B$2:$B$9985,LEFT(Earnings!$C$2:$C$9985,37)),"Can't Find Date***")</f>
        <v>on 3/5/25 Before Market Eastern Stand</v>
      </c>
      <c r="C413" s="386">
        <f t="shared" si="667"/>
        <v>2</v>
      </c>
      <c r="D413" s="372" t="str">
        <f>_xlfn.XLOOKUP(A413,[1]SP500!$A$2:$A$502,[1]SP500!$D$2:$D$502,"N")</f>
        <v>Y</v>
      </c>
      <c r="E413" s="57" t="str">
        <f>_xlfn.XLOOKUP(A413,[1]SP500!$A$2:$A$655,[1]SP500!$B$2:$B$655)</f>
        <v>XLP</v>
      </c>
      <c r="F413" s="59">
        <v>45721</v>
      </c>
      <c r="G413" s="57" t="str">
        <f t="shared" si="668"/>
        <v>BMO</v>
      </c>
      <c r="H413" s="57" t="str">
        <f t="shared" si="669"/>
        <v>s</v>
      </c>
      <c r="I413" s="159">
        <v>40.33</v>
      </c>
      <c r="J413" s="159">
        <v>38.36</v>
      </c>
      <c r="K413" s="61">
        <f t="shared" si="670"/>
        <v>-4.8847012149764418E-2</v>
      </c>
      <c r="L413" s="87">
        <f t="shared" si="671"/>
        <v>78.799999999999727</v>
      </c>
      <c r="M413" s="130">
        <f t="shared" si="663"/>
        <v>-1.5999999999999091</v>
      </c>
      <c r="N413" s="169" t="str">
        <f t="shared" si="672"/>
        <v/>
      </c>
      <c r="O413" s="169">
        <f>IF($J413="",#N/A,SUM($N$4:N413))</f>
        <v>-344.89225475891067</v>
      </c>
      <c r="P413" s="174">
        <f t="shared" si="673"/>
        <v>78.799999999999727</v>
      </c>
      <c r="Q413" s="174">
        <f>IF($J413="",#N/A,SUM($P$4:P413))</f>
        <v>791.09665395694867</v>
      </c>
      <c r="R413" s="178" t="str">
        <f t="shared" si="674"/>
        <v/>
      </c>
      <c r="S413" s="178">
        <f>IF($J413="",#N/A,SUM($R$4:R413))</f>
        <v>794.959172395309</v>
      </c>
      <c r="T413" s="290" t="str">
        <f t="shared" si="675"/>
        <v/>
      </c>
      <c r="U413" s="290">
        <f>IF($J413="",#N/A,SUM($T$4:T413))</f>
        <v>10.01739856757891</v>
      </c>
      <c r="V413" s="291">
        <f t="shared" si="676"/>
        <v>0.81411686916273796</v>
      </c>
      <c r="W413" s="291">
        <f>IF($J413="",#N/A,SUM($V$4:V413))</f>
        <v>27.642301405115052</v>
      </c>
      <c r="X413" s="292" t="str">
        <f t="shared" si="677"/>
        <v/>
      </c>
      <c r="Y413" s="292">
        <f>IF($J413="",#N/A,SUM($X$4:X413))</f>
        <v>15.953983216817985</v>
      </c>
      <c r="Z413" s="304" t="str">
        <f t="shared" si="678"/>
        <v/>
      </c>
      <c r="AA413" s="313" t="e">
        <f>IF($J413="",#N/A,SUM(Z$4:Z413))</f>
        <v>#N/A</v>
      </c>
      <c r="AB413" s="314" t="str">
        <f t="shared" si="679"/>
        <v/>
      </c>
      <c r="AC413" s="314" t="e">
        <f>IF($J413="",#N/A,SUM(AB$4:AB413))</f>
        <v>#N/A</v>
      </c>
      <c r="AD413" s="315" t="str">
        <f t="shared" si="680"/>
        <v/>
      </c>
      <c r="AE413" s="315" t="e">
        <f>IF($J413="",#N/A,SUM(AD$4:AD413))</f>
        <v>#N/A</v>
      </c>
      <c r="AF413" s="315" t="e">
        <f>IF($J413="",#N/A,SUM(AD$4:AD413,AB$4:AB413,Z$4:Z413))</f>
        <v>#N/A</v>
      </c>
      <c r="AG413" s="304" t="str">
        <f t="shared" si="681"/>
        <v/>
      </c>
      <c r="AH413" s="313" t="e">
        <f>IF($J413="",#N/A,SUM(AG$4:AG413))</f>
        <v>#N/A</v>
      </c>
      <c r="AI413" s="314" t="str">
        <f t="shared" si="682"/>
        <v/>
      </c>
      <c r="AJ413" s="314" t="e">
        <f>IF($J413="",#N/A,SUM(AI$4:AI413))</f>
        <v>#N/A</v>
      </c>
      <c r="AK413" s="315" t="str">
        <f t="shared" si="683"/>
        <v/>
      </c>
      <c r="AL413" s="315" t="e">
        <f>IF($J413="",#N/A,SUM(AK$4:AK413))</f>
        <v>#N/A</v>
      </c>
      <c r="AM413" s="315" t="e">
        <f>IF($J413="",#N/A,SUM(AK$4:AK413,AI$4:AI413,AG$4:AG413))</f>
        <v>#N/A</v>
      </c>
      <c r="AN413" s="304" t="str">
        <f t="shared" si="684"/>
        <v/>
      </c>
      <c r="AO413" s="313" t="e">
        <f>IF($J413="",#N/A,SUM(AN$4:AN413))</f>
        <v>#N/A</v>
      </c>
      <c r="AP413" s="314" t="str">
        <f t="shared" si="685"/>
        <v/>
      </c>
      <c r="AQ413" s="314" t="e">
        <f>IF($J413="",#N/A,SUM(AP$4:AP413))</f>
        <v>#N/A</v>
      </c>
      <c r="AR413" s="315" t="str">
        <f t="shared" si="686"/>
        <v/>
      </c>
      <c r="AS413" s="315" t="e">
        <f>IF($J413="",#N/A,SUM(AR$4:AR413))</f>
        <v>#N/A</v>
      </c>
      <c r="AT413" s="315" t="e">
        <f>IF($J413="",#N/A,SUM(AR$4:AR413,AP$4:AP413,AN$4:AN413))</f>
        <v>#N/A</v>
      </c>
      <c r="AU413" s="304" t="str">
        <f t="shared" si="687"/>
        <v/>
      </c>
      <c r="AV413" s="313" t="e">
        <f>IF($J413="",#N/A,SUM(AU$4:AU413))</f>
        <v>#N/A</v>
      </c>
      <c r="AW413" s="314">
        <f t="shared" si="688"/>
        <v>0.81411686916273796</v>
      </c>
      <c r="AX413" s="314" t="e">
        <f>IF($J413="",#N/A,SUM(AW$4:AW413))</f>
        <v>#N/A</v>
      </c>
      <c r="AY413" s="315" t="str">
        <f t="shared" si="689"/>
        <v/>
      </c>
      <c r="AZ413" s="315" t="e">
        <f>IF($J413="",#N/A,SUM(AY$4:AY413))</f>
        <v>#N/A</v>
      </c>
      <c r="BA413" s="315" t="e">
        <f>IF($J413="",#N/A,SUM(AY$4:AY413,AW$4:AW413,AU$4:AU413))</f>
        <v>#N/A</v>
      </c>
      <c r="BB413" s="304" t="str">
        <f t="shared" si="690"/>
        <v/>
      </c>
      <c r="BC413" s="313" t="e">
        <f>IF($J413="",#N/A,SUM(BB$4:BB413))</f>
        <v>#N/A</v>
      </c>
      <c r="BD413" s="314" t="str">
        <f t="shared" si="691"/>
        <v/>
      </c>
      <c r="BE413" s="314" t="e">
        <f>IF($J413="",#N/A,SUM(BD$4:BD413))</f>
        <v>#N/A</v>
      </c>
      <c r="BF413" s="315" t="str">
        <f t="shared" si="692"/>
        <v/>
      </c>
      <c r="BG413" s="315" t="e">
        <f>IF($J413="",#N/A,SUM(BF$4:BF413))</f>
        <v>#N/A</v>
      </c>
      <c r="BH413" s="315" t="e">
        <f>IF($J413="",#N/A,SUM(BF$4:BF413,BD$4:BD413,BB$4:BB413))</f>
        <v>#N/A</v>
      </c>
      <c r="BI413" s="304" t="str">
        <f t="shared" si="693"/>
        <v/>
      </c>
      <c r="BJ413" s="313" t="e">
        <f>IF($J413="",#N/A,SUM(BI$4:BI413))</f>
        <v>#N/A</v>
      </c>
      <c r="BK413" s="314" t="str">
        <f t="shared" si="694"/>
        <v/>
      </c>
      <c r="BL413" s="314" t="e">
        <f>IF($J413="",#N/A,SUM(BK$4:BK413))</f>
        <v>#N/A</v>
      </c>
      <c r="BM413" s="315" t="str">
        <f t="shared" si="695"/>
        <v/>
      </c>
      <c r="BN413" s="315" t="e">
        <f>IF($J413="",#N/A,SUM(BM$4:BM413))</f>
        <v>#N/A</v>
      </c>
      <c r="BO413" s="315" t="e">
        <f>IF($J413="",#N/A,SUM(BM$4:BM413,BK$4:BK413,BI$4:BI413))</f>
        <v>#N/A</v>
      </c>
      <c r="BP413" s="304" t="str">
        <f t="shared" si="696"/>
        <v/>
      </c>
      <c r="BQ413" s="313" t="e">
        <f>IF($J413="",#N/A,SUM(BP$4:BP413))</f>
        <v>#N/A</v>
      </c>
      <c r="BR413" s="314" t="str">
        <f t="shared" si="697"/>
        <v/>
      </c>
      <c r="BS413" s="314" t="e">
        <f>IF($J413="",#N/A,SUM(BR$4:BR413))</f>
        <v>#N/A</v>
      </c>
      <c r="BT413" s="315" t="str">
        <f t="shared" si="698"/>
        <v/>
      </c>
      <c r="BU413" s="315" t="e">
        <f>IF($J413="",#N/A,SUM(BT$4:BT413))</f>
        <v>#N/A</v>
      </c>
      <c r="BV413" s="315" t="e">
        <f>IF($J413="",#N/A,SUM(BT$4:BT413,BR$4:BR413,BP$4:BP413))</f>
        <v>#N/A</v>
      </c>
      <c r="BW413" s="304" t="str">
        <f t="shared" si="699"/>
        <v/>
      </c>
      <c r="BX413" s="313" t="e">
        <f>IF($J413="",#N/A,SUM(BW$4:BW413))</f>
        <v>#N/A</v>
      </c>
      <c r="BY413" s="314" t="str">
        <f t="shared" si="700"/>
        <v/>
      </c>
      <c r="BZ413" s="314" t="e">
        <f>IF($J413="",#N/A,SUM(BY$4:BY413))</f>
        <v>#N/A</v>
      </c>
      <c r="CA413" s="315" t="str">
        <f t="shared" si="701"/>
        <v/>
      </c>
      <c r="CB413" s="315" t="e">
        <f>IF($J413="",#N/A,SUM(CA$4:CA413))</f>
        <v>#N/A</v>
      </c>
      <c r="CC413" s="315" t="e">
        <f>IF($J413="",#N/A,SUM(CA$4:CA413,BY$4:BY413,BW$4:BW413))</f>
        <v>#N/A</v>
      </c>
      <c r="CD413" s="304" t="str">
        <f t="shared" si="702"/>
        <v/>
      </c>
      <c r="CE413" s="313" t="e">
        <f>IF($J413="",#N/A,SUM(CD$4:CD413))</f>
        <v>#N/A</v>
      </c>
      <c r="CF413" s="314" t="str">
        <f t="shared" si="703"/>
        <v/>
      </c>
      <c r="CG413" s="314" t="e">
        <f>IF($J413="",#N/A,SUM(CF$4:CF413))</f>
        <v>#N/A</v>
      </c>
      <c r="CH413" s="315" t="str">
        <f t="shared" si="704"/>
        <v/>
      </c>
      <c r="CI413" s="315" t="e">
        <f>IF($J413="",#N/A,SUM(CH$4:CH413))</f>
        <v>#N/A</v>
      </c>
      <c r="CJ413" s="315" t="e">
        <f>IF($J413="",#N/A,SUM(CH$4:CH413,CF$4:CF413,CD$4:CD413))</f>
        <v>#N/A</v>
      </c>
      <c r="CK413" s="304" t="str">
        <f t="shared" si="705"/>
        <v/>
      </c>
      <c r="CL413" s="313" t="e">
        <f>IF($J413="",#N/A,SUM(CK$4:CK413))</f>
        <v>#N/A</v>
      </c>
      <c r="CM413" s="314" t="str">
        <f t="shared" si="706"/>
        <v/>
      </c>
      <c r="CN413" s="314" t="e">
        <f>IF($J413="",#N/A,SUM(CM$4:CM413))</f>
        <v>#N/A</v>
      </c>
      <c r="CO413" s="315" t="str">
        <f t="shared" si="707"/>
        <v/>
      </c>
      <c r="CP413" s="315" t="e">
        <f>IF($J413="",#N/A,SUM(CO$4:CO413))</f>
        <v>#N/A</v>
      </c>
      <c r="CQ413" s="315" t="e">
        <f>IF($J413="",#N/A,SUM(CO$4:CO413,CM$4:CM413,CK$4:CK413))</f>
        <v>#N/A</v>
      </c>
      <c r="CR413" s="304" t="str">
        <f t="shared" si="708"/>
        <v/>
      </c>
      <c r="CS413" s="313" t="e">
        <f>IF($J413="",#N/A,SUM(CR$4:CR413))</f>
        <v>#N/A</v>
      </c>
      <c r="CT413" s="314" t="str">
        <f t="shared" si="709"/>
        <v/>
      </c>
      <c r="CU413" s="314" t="e">
        <f>IF($J413="",#N/A,SUM(CT$4:CT413))</f>
        <v>#N/A</v>
      </c>
      <c r="CV413" s="315" t="str">
        <f t="shared" si="710"/>
        <v/>
      </c>
      <c r="CW413" s="315" t="e">
        <f>IF($J413="",#N/A,SUM(CV$4:CV413))</f>
        <v>#N/A</v>
      </c>
      <c r="CX413" s="315" t="e">
        <f>IF($J413="",#N/A,SUM(CV$4:CV413,CT$4:CT413,CR$4:CR413))</f>
        <v>#N/A</v>
      </c>
      <c r="CY413" s="304" t="str">
        <f t="shared" si="711"/>
        <v/>
      </c>
      <c r="CZ413" s="313" t="e">
        <f>IF($J413="",#N/A,SUM(CY$4:CY413))</f>
        <v>#N/A</v>
      </c>
      <c r="DA413" s="314" t="str">
        <f t="shared" si="712"/>
        <v/>
      </c>
      <c r="DB413" s="314" t="e">
        <f>IF($J413="",#N/A,SUM(DA$4:DA413))</f>
        <v>#N/A</v>
      </c>
      <c r="DC413" s="315" t="str">
        <f t="shared" si="713"/>
        <v/>
      </c>
      <c r="DD413" s="315" t="e">
        <f>IF($J413="",#N/A,SUM(DC$4:DC413))</f>
        <v>#N/A</v>
      </c>
      <c r="DE413" s="315" t="e">
        <f>IF($J413="",#N/A,SUM(DC$4:DC413,DA$4:DA413,CY$4:CY413))</f>
        <v>#N/A</v>
      </c>
      <c r="DF413" s="304" t="str">
        <f t="shared" si="714"/>
        <v/>
      </c>
      <c r="DG413" s="313" t="e">
        <f>IF($J413="",#N/A,SUM(DF$4:DF413))</f>
        <v>#N/A</v>
      </c>
      <c r="DH413" s="314" t="str">
        <f t="shared" si="715"/>
        <v/>
      </c>
      <c r="DI413" s="314" t="e">
        <f>IF($J413="",#N/A,SUM(DH$4:DH413))</f>
        <v>#N/A</v>
      </c>
      <c r="DJ413" s="315" t="str">
        <f t="shared" si="716"/>
        <v/>
      </c>
      <c r="DK413" s="315" t="e">
        <f>IF($J413="",#N/A,SUM(DJ$4:DJ413))</f>
        <v>#N/A</v>
      </c>
      <c r="DL413" s="315" t="e">
        <f>IF($J413="",#N/A,SUM(DJ$4:DJ413,DH$4:DH413,DF$4:DF413))</f>
        <v>#N/A</v>
      </c>
      <c r="DM413" s="304" t="str">
        <f t="shared" si="717"/>
        <v/>
      </c>
      <c r="DN413" s="313" t="e">
        <f>IF($J413="",#N/A,SUM(DM$4:DM413))</f>
        <v>#N/A</v>
      </c>
      <c r="DO413" s="314" t="str">
        <f t="shared" si="718"/>
        <v/>
      </c>
      <c r="DP413" s="314" t="e">
        <f>IF($J413="",#N/A,SUM(DO$4:DO413))</f>
        <v>#N/A</v>
      </c>
      <c r="DQ413" s="315" t="str">
        <f t="shared" si="719"/>
        <v/>
      </c>
      <c r="DR413" s="315" t="e">
        <f>IF($J413="",#N/A,SUM(DQ$4:DQ413))</f>
        <v>#N/A</v>
      </c>
      <c r="DS413" s="315" t="e">
        <f>IF($J413="",#N/A,SUM(DQ$4:DQ413,DO$4:DO413,DM$4:DM413))</f>
        <v>#N/A</v>
      </c>
      <c r="DT413" s="304" t="str">
        <f t="shared" si="720"/>
        <v/>
      </c>
      <c r="DU413" s="313" t="e">
        <f>IF($J413="",#N/A,SUM(DT$4:DT413))</f>
        <v>#N/A</v>
      </c>
      <c r="DV413" s="314" t="str">
        <f t="shared" si="721"/>
        <v/>
      </c>
      <c r="DW413" s="314" t="e">
        <f>IF($J413="",#N/A,SUM(DV$4:DV413))</f>
        <v>#N/A</v>
      </c>
      <c r="DX413" s="315" t="str">
        <f t="shared" si="722"/>
        <v/>
      </c>
      <c r="DY413" s="315" t="e">
        <f>IF($J413="",#N/A,SUM(DX$4:DX413))</f>
        <v>#N/A</v>
      </c>
      <c r="DZ413" s="315" t="e">
        <f>IF($J413="",#N/A,SUM(DX$4:DX413,DV$4:DV413,DT$4:DT413))</f>
        <v>#N/A</v>
      </c>
      <c r="EA413" s="304" t="str">
        <f t="shared" si="723"/>
        <v/>
      </c>
      <c r="EB413" s="313" t="e">
        <f>IF($J413="",#N/A,SUM(EA$4:EA413))</f>
        <v>#N/A</v>
      </c>
      <c r="EC413" s="314" t="str">
        <f t="shared" si="724"/>
        <v/>
      </c>
      <c r="ED413" s="314" t="e">
        <f>IF($J413="",#N/A,SUM(EC$4:EC413))</f>
        <v>#N/A</v>
      </c>
      <c r="EE413" s="315" t="str">
        <f t="shared" si="725"/>
        <v/>
      </c>
      <c r="EF413" s="315" t="e">
        <f>IF($J413="",#N/A,SUM(EE$4:EE413))</f>
        <v>#N/A</v>
      </c>
      <c r="EG413" s="315" t="e">
        <f>IF($J413="",#N/A,SUM(EE$4:EE413,EC$4:EC413,EA$4:EA413))</f>
        <v>#N/A</v>
      </c>
      <c r="EH413" s="130">
        <f t="shared" si="726"/>
        <v>78.799999999999727</v>
      </c>
      <c r="EI413" s="63">
        <f>IF(EH413="",#N/A,SUM($EH$4:EH413))</f>
        <v>1241.1635715933471</v>
      </c>
      <c r="EJ413" s="223" t="e">
        <f t="shared" si="727"/>
        <v>#N/A</v>
      </c>
      <c r="EK413" s="63" t="e">
        <f>IF($GZ413="",#N/A,SUM(EJ$4:EJ413))</f>
        <v>#N/A</v>
      </c>
      <c r="EL413" s="60">
        <f t="shared" si="757"/>
        <v>0.81411686916273796</v>
      </c>
      <c r="EM413" s="60">
        <f>IF(EL413="",NA(),SUM($EL$4:EL413))</f>
        <v>21.887749435743064</v>
      </c>
      <c r="EN413" s="60" t="str">
        <f t="shared" si="728"/>
        <v/>
      </c>
      <c r="EO413" s="60" t="e">
        <f>IF(EN413="",NA(),SUM($EN$4:EN413))</f>
        <v>#N/A</v>
      </c>
      <c r="EP413" s="60" t="str">
        <f t="shared" si="729"/>
        <v/>
      </c>
      <c r="EQ413" s="60" t="e">
        <f>IF(EP413="",NA(),SUM($EP$4:EP413))</f>
        <v>#N/A</v>
      </c>
      <c r="ER413" s="60">
        <f t="shared" si="730"/>
        <v>0.81411686916273796</v>
      </c>
      <c r="ES413" s="60">
        <f>IF(ER413="",NA(),SUM($ER$4:ER413))</f>
        <v>11.411486986444435</v>
      </c>
      <c r="ET413" s="60" t="str">
        <f t="shared" si="731"/>
        <v/>
      </c>
      <c r="EU413" s="60" t="e">
        <f>IF(ET413="",NA(),SUM($ET$4:ET413))</f>
        <v>#N/A</v>
      </c>
      <c r="EV413" s="60" t="str">
        <f t="shared" si="732"/>
        <v/>
      </c>
      <c r="EW413" s="60" t="e">
        <f>IF(EV413="",NA(),SUM($EV$4:EV413))</f>
        <v>#N/A</v>
      </c>
      <c r="EX413" s="60" t="str">
        <f t="shared" si="733"/>
        <v/>
      </c>
      <c r="EY413" s="60" t="e">
        <f>IF(EX413="",NA(),SUM($EX$4:EX413))</f>
        <v>#N/A</v>
      </c>
      <c r="EZ413" s="60" t="str">
        <f t="shared" si="734"/>
        <v/>
      </c>
      <c r="FA413" s="60" t="e">
        <f>IF(EZ413="",NA(),SUM($EZ$4:EZ413))</f>
        <v>#N/A</v>
      </c>
      <c r="FB413" s="246">
        <f t="shared" si="758"/>
        <v>-0.33887098107281544</v>
      </c>
      <c r="FC413" s="246">
        <f>IF($FB413="",#N/A,SUM(FB$4:$FB413))</f>
        <v>0.19883906133857554</v>
      </c>
      <c r="FD413" s="60" t="str">
        <f t="shared" si="735"/>
        <v/>
      </c>
      <c r="FE413" s="60" t="e">
        <f>IF($FD413="",#N/A,SUM($FD$4:FD413))</f>
        <v>#N/A</v>
      </c>
      <c r="FF413" s="60" t="str">
        <f t="shared" si="736"/>
        <v/>
      </c>
      <c r="FG413" s="60" t="e">
        <f>IF($FF413="",#N/A,SUM($FF$4:FF413))</f>
        <v>#N/A</v>
      </c>
      <c r="FH413" s="60" t="str">
        <f t="shared" si="737"/>
        <v/>
      </c>
      <c r="FI413" s="60" t="e">
        <f>IF($FH413="",#N/A,SUM($FH$4:FH413))</f>
        <v>#N/A</v>
      </c>
      <c r="FJ413" s="60" t="str">
        <f t="shared" si="738"/>
        <v/>
      </c>
      <c r="FK413" s="60" t="e">
        <f>IF($FJ413="",#N/A,SUM($FJ$4:FJ413))</f>
        <v>#N/A</v>
      </c>
      <c r="FL413" s="60" t="str">
        <f t="shared" si="739"/>
        <v/>
      </c>
      <c r="FM413" s="60" t="e">
        <f>IF($FL413="",#N/A,SUM($FL$4:FL413))</f>
        <v>#N/A</v>
      </c>
      <c r="FN413" s="82">
        <f t="shared" si="740"/>
        <v>0.47524588808992252</v>
      </c>
      <c r="FO413" s="82">
        <f>IF($FN413="",#N/A,SUM(FN$4:$FN413))</f>
        <v>40.154199052849989</v>
      </c>
      <c r="FP413" s="82">
        <f t="shared" si="759"/>
        <v>0.81411686916273796</v>
      </c>
      <c r="FQ413" s="246">
        <f>IF($EH413="",#N/A,SUM($FP$4:FP413))</f>
        <v>53.613683189511931</v>
      </c>
      <c r="FR413" s="82">
        <f>IFERROR(FQ413/COUNTA($J$4:J413),#N/A)</f>
        <v>0.13076508095002909</v>
      </c>
      <c r="FS413" s="82">
        <f t="shared" si="661"/>
        <v>-3.9875949585403421E-2</v>
      </c>
      <c r="FT413" s="82">
        <f t="shared" si="662"/>
        <v>3.2102062667125036E-2</v>
      </c>
      <c r="FU413" s="338">
        <f t="shared" ref="FU413:FU436" si="764">IF(AND(HB413="MOC",GZ413=""),#N/A,IFERROR(FQ413-HE413,FQ413-0))-14.53</f>
        <v>29.443069002554502</v>
      </c>
      <c r="FV413" s="57" t="str">
        <f t="shared" si="666"/>
        <v>Dwn</v>
      </c>
      <c r="FW413" s="57" t="s">
        <v>2733</v>
      </c>
      <c r="FX413" s="57" t="str">
        <f t="shared" si="741"/>
        <v/>
      </c>
      <c r="FY413" s="57" t="str">
        <f t="shared" si="742"/>
        <v/>
      </c>
      <c r="FZ413" s="57" t="str">
        <f t="shared" si="743"/>
        <v/>
      </c>
      <c r="GA413" s="57" t="str">
        <f t="shared" si="744"/>
        <v>Short</v>
      </c>
      <c r="GB413" s="57">
        <f t="shared" si="745"/>
        <v>1</v>
      </c>
      <c r="GC413" s="57" t="str">
        <f t="shared" si="746"/>
        <v/>
      </c>
      <c r="GD413" s="57" t="str">
        <f t="shared" si="747"/>
        <v/>
      </c>
      <c r="GE413" s="62">
        <f t="shared" si="664"/>
        <v>40.33</v>
      </c>
      <c r="GF413" s="62" t="s">
        <v>2780</v>
      </c>
      <c r="GG413" s="199">
        <v>40</v>
      </c>
      <c r="GH413" s="207">
        <f t="shared" si="748"/>
        <v>1613.1999999999998</v>
      </c>
      <c r="GI413" s="199">
        <v>40</v>
      </c>
      <c r="GJ413" s="200">
        <v>38.4</v>
      </c>
      <c r="GK413" s="63">
        <f t="shared" si="749"/>
        <v>77.199999999999818</v>
      </c>
      <c r="GL413" s="63">
        <f t="shared" si="665"/>
        <v>45.999999999999773</v>
      </c>
      <c r="GM413" s="82" t="str">
        <f t="shared" si="750"/>
        <v/>
      </c>
      <c r="GN413" s="82">
        <f>IF($GZ413="",#N/A,SUM(GM$4:GM413))</f>
        <v>7.0240689445158528</v>
      </c>
      <c r="GO413" s="82" t="str">
        <f t="shared" si="751"/>
        <v/>
      </c>
      <c r="GP413" s="82">
        <f>IF($GZ413="",#N/A,SUM(GO$4:GO413))</f>
        <v>3.2522471402826749</v>
      </c>
      <c r="GQ413" s="82">
        <f t="shared" si="752"/>
        <v>0.47524588808992252</v>
      </c>
      <c r="GR413" s="82">
        <f>IF($GZ413="",#N/A,SUM(GQ$4:GQ413))</f>
        <v>29.252046013609135</v>
      </c>
      <c r="GS413" s="63" t="str">
        <f t="shared" si="760"/>
        <v/>
      </c>
      <c r="GT413" s="63" t="e">
        <f>IF($GZ413="",#N/A,SUM(GS$4:GS413))</f>
        <v>#N/A</v>
      </c>
      <c r="GU413" s="63" t="str">
        <f t="shared" si="761"/>
        <v/>
      </c>
      <c r="GV413" s="63" t="e">
        <f>IF($GZ413="",#N/A,SUM(GU$4:GU413))</f>
        <v>#N/A</v>
      </c>
      <c r="GW413" s="63" t="e">
        <f t="shared" si="762"/>
        <v>#N/A</v>
      </c>
      <c r="GX413" s="63" t="e">
        <f>IF($GZ413="",#N/A,SUM(GW$4:GW413))</f>
        <v>#N/A</v>
      </c>
      <c r="GY413" s="63" t="e">
        <f>IF(EJ413="",#N/A,SUM($EJ$4:EJ413))</f>
        <v>#N/A</v>
      </c>
      <c r="GZ413" s="159">
        <v>39.18</v>
      </c>
      <c r="HA413" s="63">
        <f t="shared" si="753"/>
        <v>-32.799999999999955</v>
      </c>
      <c r="HB413" s="62" t="s">
        <v>2538</v>
      </c>
      <c r="HC413" s="60">
        <f>IFERROR(VLOOKUP(E413,Expectancy!$P$4:$S$19,1+C413,FALSE),"")</f>
        <v>0.30769020202715358</v>
      </c>
      <c r="HD413" s="82">
        <f t="shared" si="754"/>
        <v>0.79758657740308936</v>
      </c>
      <c r="HE413" s="138">
        <f>IF(HD413="",#N/A,SUM($HD$4:HD413))</f>
        <v>9.6406141869574267</v>
      </c>
      <c r="HF413" s="85">
        <f>IF(HD413="",#N/A,IF(HB413="Skip",#N/A,SUM($HG$4:HG413)))</f>
        <v>239.33357921915558</v>
      </c>
      <c r="HG413" s="63">
        <f t="shared" si="755"/>
        <v>77.199999999999818</v>
      </c>
      <c r="HH413" s="82">
        <f t="shared" si="756"/>
        <v>0.47524588808992252</v>
      </c>
    </row>
    <row r="414" spans="1:216" x14ac:dyDescent="0.25">
      <c r="A414" s="57" t="s">
        <v>1233</v>
      </c>
      <c r="B414" s="58" t="str" cm="1">
        <f t="array" ref="B414">IFERROR(_xlfn.XLOOKUP(A414,Earnings!$B$2:$B$9985,LEFT(Earnings!$C$2:$C$9985,37)),"Can't Find Date***")</f>
        <v>on 3/5/25 After Market Eastern Standa</v>
      </c>
      <c r="C414" s="386">
        <f t="shared" si="667"/>
        <v>2</v>
      </c>
      <c r="D414" s="372" t="str">
        <f>_xlfn.XLOOKUP(A414,[1]SP500!$A$2:$A$502,[1]SP500!$D$2:$D$502,"N")</f>
        <v>N</v>
      </c>
      <c r="E414" s="57" t="str">
        <f>_xlfn.XLOOKUP(A414,[1]SP500!$A$2:$A$655,[1]SP500!$B$2:$B$655)</f>
        <v>XLY</v>
      </c>
      <c r="F414" s="59">
        <v>45721</v>
      </c>
      <c r="G414" s="57" t="str">
        <f t="shared" si="668"/>
        <v>AMC</v>
      </c>
      <c r="H414" s="57" t="str">
        <f t="shared" si="669"/>
        <v>s</v>
      </c>
      <c r="I414" s="159">
        <v>22.21</v>
      </c>
      <c r="J414" s="159">
        <v>20.86</v>
      </c>
      <c r="K414" s="61">
        <f t="shared" si="670"/>
        <v>-6.0783430886987906E-2</v>
      </c>
      <c r="L414" s="87">
        <f t="shared" si="671"/>
        <v>101.25</v>
      </c>
      <c r="M414" s="130">
        <f t="shared" si="663"/>
        <v>0</v>
      </c>
      <c r="N414" s="169" t="str">
        <f t="shared" si="672"/>
        <v/>
      </c>
      <c r="O414" s="169">
        <f>IF($J414="",#N/A,SUM($N$4:N414))</f>
        <v>-344.89225475891067</v>
      </c>
      <c r="P414" s="174">
        <f t="shared" si="673"/>
        <v>101.25</v>
      </c>
      <c r="Q414" s="174">
        <f>IF($J414="",#N/A,SUM($P$4:P414))</f>
        <v>892.34665395694867</v>
      </c>
      <c r="R414" s="178" t="str">
        <f t="shared" si="674"/>
        <v/>
      </c>
      <c r="S414" s="178">
        <f>IF($J414="",#N/A,SUM($R$4:R414))</f>
        <v>794.959172395309</v>
      </c>
      <c r="T414" s="290" t="str">
        <f t="shared" si="675"/>
        <v/>
      </c>
      <c r="U414" s="290">
        <f>IF($J414="",#N/A,SUM($T$4:T414))</f>
        <v>10.01739856757891</v>
      </c>
      <c r="V414" s="291">
        <f t="shared" si="676"/>
        <v>1.0130571814497975</v>
      </c>
      <c r="W414" s="291">
        <f>IF($J414="",#N/A,SUM($V$4:V414))</f>
        <v>28.655358586564851</v>
      </c>
      <c r="X414" s="292" t="str">
        <f t="shared" si="677"/>
        <v/>
      </c>
      <c r="Y414" s="292">
        <f>IF($J414="",#N/A,SUM($X$4:X414))</f>
        <v>15.953983216817985</v>
      </c>
      <c r="Z414" s="304" t="str">
        <f t="shared" si="678"/>
        <v/>
      </c>
      <c r="AA414" s="313" t="e">
        <f>IF($J414="",#N/A,SUM(Z$4:Z414))</f>
        <v>#N/A</v>
      </c>
      <c r="AB414" s="314" t="str">
        <f t="shared" si="679"/>
        <v/>
      </c>
      <c r="AC414" s="314" t="e">
        <f>IF($J414="",#N/A,SUM(AB$4:AB414))</f>
        <v>#N/A</v>
      </c>
      <c r="AD414" s="315" t="str">
        <f t="shared" si="680"/>
        <v/>
      </c>
      <c r="AE414" s="315" t="e">
        <f>IF($J414="",#N/A,SUM(AD$4:AD414))</f>
        <v>#N/A</v>
      </c>
      <c r="AF414" s="315" t="e">
        <f>IF($J414="",#N/A,SUM(AD$4:AD414,AB$4:AB414,Z$4:Z414))</f>
        <v>#N/A</v>
      </c>
      <c r="AG414" s="304" t="str">
        <f t="shared" si="681"/>
        <v/>
      </c>
      <c r="AH414" s="313" t="e">
        <f>IF($J414="",#N/A,SUM(AG$4:AG414))</f>
        <v>#N/A</v>
      </c>
      <c r="AI414" s="314" t="str">
        <f t="shared" si="682"/>
        <v/>
      </c>
      <c r="AJ414" s="314" t="e">
        <f>IF($J414="",#N/A,SUM(AI$4:AI414))</f>
        <v>#N/A</v>
      </c>
      <c r="AK414" s="315" t="str">
        <f t="shared" si="683"/>
        <v/>
      </c>
      <c r="AL414" s="315" t="e">
        <f>IF($J414="",#N/A,SUM(AK$4:AK414))</f>
        <v>#N/A</v>
      </c>
      <c r="AM414" s="315" t="e">
        <f>IF($J414="",#N/A,SUM(AK$4:AK414,AI$4:AI414,AG$4:AG414))</f>
        <v>#N/A</v>
      </c>
      <c r="AN414" s="304" t="str">
        <f t="shared" si="684"/>
        <v/>
      </c>
      <c r="AO414" s="313" t="e">
        <f>IF($J414="",#N/A,SUM(AN$4:AN414))</f>
        <v>#N/A</v>
      </c>
      <c r="AP414" s="314">
        <f t="shared" si="685"/>
        <v>1.0130571814497975</v>
      </c>
      <c r="AQ414" s="314" t="e">
        <f>IF($J414="",#N/A,SUM(AP$4:AP414))</f>
        <v>#N/A</v>
      </c>
      <c r="AR414" s="315" t="str">
        <f t="shared" si="686"/>
        <v/>
      </c>
      <c r="AS414" s="315" t="e">
        <f>IF($J414="",#N/A,SUM(AR$4:AR414))</f>
        <v>#N/A</v>
      </c>
      <c r="AT414" s="315" t="e">
        <f>IF($J414="",#N/A,SUM(AR$4:AR414,AP$4:AP414,AN$4:AN414))</f>
        <v>#N/A</v>
      </c>
      <c r="AU414" s="304" t="str">
        <f t="shared" si="687"/>
        <v/>
      </c>
      <c r="AV414" s="313" t="e">
        <f>IF($J414="",#N/A,SUM(AU$4:AU414))</f>
        <v>#N/A</v>
      </c>
      <c r="AW414" s="314" t="str">
        <f t="shared" si="688"/>
        <v/>
      </c>
      <c r="AX414" s="314" t="e">
        <f>IF($J414="",#N/A,SUM(AW$4:AW414))</f>
        <v>#N/A</v>
      </c>
      <c r="AY414" s="315" t="str">
        <f t="shared" si="689"/>
        <v/>
      </c>
      <c r="AZ414" s="315" t="e">
        <f>IF($J414="",#N/A,SUM(AY$4:AY414))</f>
        <v>#N/A</v>
      </c>
      <c r="BA414" s="315" t="e">
        <f>IF($J414="",#N/A,SUM(AY$4:AY414,AW$4:AW414,AU$4:AU414))</f>
        <v>#N/A</v>
      </c>
      <c r="BB414" s="304" t="str">
        <f t="shared" si="690"/>
        <v/>
      </c>
      <c r="BC414" s="313" t="e">
        <f>IF($J414="",#N/A,SUM(BB$4:BB414))</f>
        <v>#N/A</v>
      </c>
      <c r="BD414" s="314" t="str">
        <f t="shared" si="691"/>
        <v/>
      </c>
      <c r="BE414" s="314" t="e">
        <f>IF($J414="",#N/A,SUM(BD$4:BD414))</f>
        <v>#N/A</v>
      </c>
      <c r="BF414" s="315" t="str">
        <f t="shared" si="692"/>
        <v/>
      </c>
      <c r="BG414" s="315" t="e">
        <f>IF($J414="",#N/A,SUM(BF$4:BF414))</f>
        <v>#N/A</v>
      </c>
      <c r="BH414" s="315" t="e">
        <f>IF($J414="",#N/A,SUM(BF$4:BF414,BD$4:BD414,BB$4:BB414))</f>
        <v>#N/A</v>
      </c>
      <c r="BI414" s="304" t="str">
        <f t="shared" si="693"/>
        <v/>
      </c>
      <c r="BJ414" s="313" t="e">
        <f>IF($J414="",#N/A,SUM(BI$4:BI414))</f>
        <v>#N/A</v>
      </c>
      <c r="BK414" s="314" t="str">
        <f t="shared" si="694"/>
        <v/>
      </c>
      <c r="BL414" s="314" t="e">
        <f>IF($J414="",#N/A,SUM(BK$4:BK414))</f>
        <v>#N/A</v>
      </c>
      <c r="BM414" s="315" t="str">
        <f t="shared" si="695"/>
        <v/>
      </c>
      <c r="BN414" s="315" t="e">
        <f>IF($J414="",#N/A,SUM(BM$4:BM414))</f>
        <v>#N/A</v>
      </c>
      <c r="BO414" s="315" t="e">
        <f>IF($J414="",#N/A,SUM(BM$4:BM414,BK$4:BK414,BI$4:BI414))</f>
        <v>#N/A</v>
      </c>
      <c r="BP414" s="304" t="str">
        <f t="shared" si="696"/>
        <v/>
      </c>
      <c r="BQ414" s="313" t="e">
        <f>IF($J414="",#N/A,SUM(BP$4:BP414))</f>
        <v>#N/A</v>
      </c>
      <c r="BR414" s="314" t="str">
        <f t="shared" si="697"/>
        <v/>
      </c>
      <c r="BS414" s="314" t="e">
        <f>IF($J414="",#N/A,SUM(BR$4:BR414))</f>
        <v>#N/A</v>
      </c>
      <c r="BT414" s="315" t="str">
        <f t="shared" si="698"/>
        <v/>
      </c>
      <c r="BU414" s="315" t="e">
        <f>IF($J414="",#N/A,SUM(BT$4:BT414))</f>
        <v>#N/A</v>
      </c>
      <c r="BV414" s="315" t="e">
        <f>IF($J414="",#N/A,SUM(BT$4:BT414,BR$4:BR414,BP$4:BP414))</f>
        <v>#N/A</v>
      </c>
      <c r="BW414" s="304" t="str">
        <f t="shared" si="699"/>
        <v/>
      </c>
      <c r="BX414" s="313" t="e">
        <f>IF($J414="",#N/A,SUM(BW$4:BW414))</f>
        <v>#N/A</v>
      </c>
      <c r="BY414" s="314" t="str">
        <f t="shared" si="700"/>
        <v/>
      </c>
      <c r="BZ414" s="314" t="e">
        <f>IF($J414="",#N/A,SUM(BY$4:BY414))</f>
        <v>#N/A</v>
      </c>
      <c r="CA414" s="315" t="str">
        <f t="shared" si="701"/>
        <v/>
      </c>
      <c r="CB414" s="315" t="e">
        <f>IF($J414="",#N/A,SUM(CA$4:CA414))</f>
        <v>#N/A</v>
      </c>
      <c r="CC414" s="315" t="e">
        <f>IF($J414="",#N/A,SUM(CA$4:CA414,BY$4:BY414,BW$4:BW414))</f>
        <v>#N/A</v>
      </c>
      <c r="CD414" s="304" t="str">
        <f t="shared" si="702"/>
        <v/>
      </c>
      <c r="CE414" s="313" t="e">
        <f>IF($J414="",#N/A,SUM(CD$4:CD414))</f>
        <v>#N/A</v>
      </c>
      <c r="CF414" s="314" t="str">
        <f t="shared" si="703"/>
        <v/>
      </c>
      <c r="CG414" s="314" t="e">
        <f>IF($J414="",#N/A,SUM(CF$4:CF414))</f>
        <v>#N/A</v>
      </c>
      <c r="CH414" s="315" t="str">
        <f t="shared" si="704"/>
        <v/>
      </c>
      <c r="CI414" s="315" t="e">
        <f>IF($J414="",#N/A,SUM(CH$4:CH414))</f>
        <v>#N/A</v>
      </c>
      <c r="CJ414" s="315" t="e">
        <f>IF($J414="",#N/A,SUM(CH$4:CH414,CF$4:CF414,CD$4:CD414))</f>
        <v>#N/A</v>
      </c>
      <c r="CK414" s="304" t="str">
        <f t="shared" si="705"/>
        <v/>
      </c>
      <c r="CL414" s="313" t="e">
        <f>IF($J414="",#N/A,SUM(CK$4:CK414))</f>
        <v>#N/A</v>
      </c>
      <c r="CM414" s="314" t="str">
        <f t="shared" si="706"/>
        <v/>
      </c>
      <c r="CN414" s="314" t="e">
        <f>IF($J414="",#N/A,SUM(CM$4:CM414))</f>
        <v>#N/A</v>
      </c>
      <c r="CO414" s="315" t="str">
        <f t="shared" si="707"/>
        <v/>
      </c>
      <c r="CP414" s="315" t="e">
        <f>IF($J414="",#N/A,SUM(CO$4:CO414))</f>
        <v>#N/A</v>
      </c>
      <c r="CQ414" s="315" t="e">
        <f>IF($J414="",#N/A,SUM(CO$4:CO414,CM$4:CM414,CK$4:CK414))</f>
        <v>#N/A</v>
      </c>
      <c r="CR414" s="304" t="str">
        <f t="shared" si="708"/>
        <v/>
      </c>
      <c r="CS414" s="313" t="e">
        <f>IF($J414="",#N/A,SUM(CR$4:CR414))</f>
        <v>#N/A</v>
      </c>
      <c r="CT414" s="314" t="str">
        <f t="shared" si="709"/>
        <v/>
      </c>
      <c r="CU414" s="314" t="e">
        <f>IF($J414="",#N/A,SUM(CT$4:CT414))</f>
        <v>#N/A</v>
      </c>
      <c r="CV414" s="315" t="str">
        <f t="shared" si="710"/>
        <v/>
      </c>
      <c r="CW414" s="315" t="e">
        <f>IF($J414="",#N/A,SUM(CV$4:CV414))</f>
        <v>#N/A</v>
      </c>
      <c r="CX414" s="315" t="e">
        <f>IF($J414="",#N/A,SUM(CV$4:CV414,CT$4:CT414,CR$4:CR414))</f>
        <v>#N/A</v>
      </c>
      <c r="CY414" s="304" t="str">
        <f t="shared" si="711"/>
        <v/>
      </c>
      <c r="CZ414" s="313" t="e">
        <f>IF($J414="",#N/A,SUM(CY$4:CY414))</f>
        <v>#N/A</v>
      </c>
      <c r="DA414" s="314" t="str">
        <f t="shared" si="712"/>
        <v/>
      </c>
      <c r="DB414" s="314" t="e">
        <f>IF($J414="",#N/A,SUM(DA$4:DA414))</f>
        <v>#N/A</v>
      </c>
      <c r="DC414" s="315" t="str">
        <f t="shared" si="713"/>
        <v/>
      </c>
      <c r="DD414" s="315" t="e">
        <f>IF($J414="",#N/A,SUM(DC$4:DC414))</f>
        <v>#N/A</v>
      </c>
      <c r="DE414" s="315" t="e">
        <f>IF($J414="",#N/A,SUM(DC$4:DC414,DA$4:DA414,CY$4:CY414))</f>
        <v>#N/A</v>
      </c>
      <c r="DF414" s="304" t="str">
        <f t="shared" si="714"/>
        <v/>
      </c>
      <c r="DG414" s="313" t="e">
        <f>IF($J414="",#N/A,SUM(DF$4:DF414))</f>
        <v>#N/A</v>
      </c>
      <c r="DH414" s="314" t="str">
        <f t="shared" si="715"/>
        <v/>
      </c>
      <c r="DI414" s="314" t="e">
        <f>IF($J414="",#N/A,SUM(DH$4:DH414))</f>
        <v>#N/A</v>
      </c>
      <c r="DJ414" s="315" t="str">
        <f t="shared" si="716"/>
        <v/>
      </c>
      <c r="DK414" s="315" t="e">
        <f>IF($J414="",#N/A,SUM(DJ$4:DJ414))</f>
        <v>#N/A</v>
      </c>
      <c r="DL414" s="315" t="e">
        <f>IF($J414="",#N/A,SUM(DJ$4:DJ414,DH$4:DH414,DF$4:DF414))</f>
        <v>#N/A</v>
      </c>
      <c r="DM414" s="304" t="str">
        <f t="shared" si="717"/>
        <v/>
      </c>
      <c r="DN414" s="313" t="e">
        <f>IF($J414="",#N/A,SUM(DM$4:DM414))</f>
        <v>#N/A</v>
      </c>
      <c r="DO414" s="314" t="str">
        <f t="shared" si="718"/>
        <v/>
      </c>
      <c r="DP414" s="314" t="e">
        <f>IF($J414="",#N/A,SUM(DO$4:DO414))</f>
        <v>#N/A</v>
      </c>
      <c r="DQ414" s="315" t="str">
        <f t="shared" si="719"/>
        <v/>
      </c>
      <c r="DR414" s="315" t="e">
        <f>IF($J414="",#N/A,SUM(DQ$4:DQ414))</f>
        <v>#N/A</v>
      </c>
      <c r="DS414" s="315" t="e">
        <f>IF($J414="",#N/A,SUM(DQ$4:DQ414,DO$4:DO414,DM$4:DM414))</f>
        <v>#N/A</v>
      </c>
      <c r="DT414" s="304" t="str">
        <f t="shared" si="720"/>
        <v/>
      </c>
      <c r="DU414" s="313" t="e">
        <f>IF($J414="",#N/A,SUM(DT$4:DT414))</f>
        <v>#N/A</v>
      </c>
      <c r="DV414" s="314" t="str">
        <f t="shared" si="721"/>
        <v/>
      </c>
      <c r="DW414" s="314" t="e">
        <f>IF($J414="",#N/A,SUM(DV$4:DV414))</f>
        <v>#N/A</v>
      </c>
      <c r="DX414" s="315" t="str">
        <f t="shared" si="722"/>
        <v/>
      </c>
      <c r="DY414" s="315" t="e">
        <f>IF($J414="",#N/A,SUM(DX$4:DX414))</f>
        <v>#N/A</v>
      </c>
      <c r="DZ414" s="315" t="e">
        <f>IF($J414="",#N/A,SUM(DX$4:DX414,DV$4:DV414,DT$4:DT414))</f>
        <v>#N/A</v>
      </c>
      <c r="EA414" s="304" t="str">
        <f t="shared" si="723"/>
        <v/>
      </c>
      <c r="EB414" s="313" t="e">
        <f>IF($J414="",#N/A,SUM(EA$4:EA414))</f>
        <v>#N/A</v>
      </c>
      <c r="EC414" s="314" t="str">
        <f t="shared" si="724"/>
        <v/>
      </c>
      <c r="ED414" s="314" t="e">
        <f>IF($J414="",#N/A,SUM(EC$4:EC414))</f>
        <v>#N/A</v>
      </c>
      <c r="EE414" s="315" t="str">
        <f t="shared" si="725"/>
        <v/>
      </c>
      <c r="EF414" s="315" t="e">
        <f>IF($J414="",#N/A,SUM(EE$4:EE414))</f>
        <v>#N/A</v>
      </c>
      <c r="EG414" s="315" t="e">
        <f>IF($J414="",#N/A,SUM(EE$4:EE414,EC$4:EC414,EA$4:EA414))</f>
        <v>#N/A</v>
      </c>
      <c r="EH414" s="130">
        <f t="shared" si="726"/>
        <v>101.25</v>
      </c>
      <c r="EI414" s="63">
        <f>IF(EH414="",#N/A,SUM($EH$4:EH414))</f>
        <v>1342.4135715933471</v>
      </c>
      <c r="EJ414" s="223" t="e">
        <f t="shared" si="727"/>
        <v>#N/A</v>
      </c>
      <c r="EK414" s="63" t="e">
        <f>IF($GZ414="",#N/A,SUM(EJ$4:EJ414))</f>
        <v>#N/A</v>
      </c>
      <c r="EL414" s="60" t="str">
        <f t="shared" si="757"/>
        <v/>
      </c>
      <c r="EM414" s="60" t="e">
        <f>IF(EL414="",NA(),SUM($EL$4:EL414))</f>
        <v>#N/A</v>
      </c>
      <c r="EN414" s="60" t="str">
        <f t="shared" si="728"/>
        <v/>
      </c>
      <c r="EO414" s="60" t="e">
        <f>IF(EN414="",NA(),SUM($EN$4:EN414))</f>
        <v>#N/A</v>
      </c>
      <c r="EP414" s="60" t="str">
        <f t="shared" si="729"/>
        <v/>
      </c>
      <c r="EQ414" s="60" t="e">
        <f>IF(EP414="",NA(),SUM($EP$4:EP414))</f>
        <v>#N/A</v>
      </c>
      <c r="ER414" s="60" t="str">
        <f t="shared" si="730"/>
        <v/>
      </c>
      <c r="ES414" s="60" t="e">
        <f>IF(ER414="",NA(),SUM($ER$4:ER414))</f>
        <v>#N/A</v>
      </c>
      <c r="ET414" s="60">
        <f t="shared" si="731"/>
        <v>1.0130571814497975</v>
      </c>
      <c r="EU414" s="60">
        <f>IF(ET414="",NA(),SUM($ET$4:ET414))</f>
        <v>32.738990935218688</v>
      </c>
      <c r="EV414" s="60" t="str">
        <f t="shared" si="732"/>
        <v/>
      </c>
      <c r="EW414" s="60" t="e">
        <f>IF(EV414="",NA(),SUM($EV$4:EV414))</f>
        <v>#N/A</v>
      </c>
      <c r="EX414" s="60" t="str">
        <f t="shared" si="733"/>
        <v/>
      </c>
      <c r="EY414" s="60" t="e">
        <f>IF(EX414="",NA(),SUM($EX$4:EX414))</f>
        <v>#N/A</v>
      </c>
      <c r="EZ414" s="60">
        <f t="shared" si="734"/>
        <v>1.0130571814497975</v>
      </c>
      <c r="FA414" s="60">
        <f>IF(EZ414="",NA(),SUM($EZ$4:EZ414))</f>
        <v>17.243871600120418</v>
      </c>
      <c r="FB414" s="246">
        <f t="shared" si="758"/>
        <v>0.36019810895992799</v>
      </c>
      <c r="FC414" s="246">
        <f>IF($FB414="",#N/A,SUM(FB$4:$FB414))</f>
        <v>0.55903717029850353</v>
      </c>
      <c r="FD414" s="60" t="str">
        <f t="shared" si="735"/>
        <v/>
      </c>
      <c r="FE414" s="60" t="e">
        <f>IF($FD414="",#N/A,SUM($FD$4:FD414))</f>
        <v>#N/A</v>
      </c>
      <c r="FF414" s="60" t="str">
        <f t="shared" si="736"/>
        <v/>
      </c>
      <c r="FG414" s="60" t="e">
        <f>IF($FF414="",#N/A,SUM($FF$4:FF414))</f>
        <v>#N/A</v>
      </c>
      <c r="FH414" s="60" t="str">
        <f t="shared" si="737"/>
        <v/>
      </c>
      <c r="FI414" s="60" t="e">
        <f>IF($FH414="",#N/A,SUM($FH$4:FH414))</f>
        <v>#N/A</v>
      </c>
      <c r="FJ414" s="60" t="str">
        <f t="shared" si="738"/>
        <v/>
      </c>
      <c r="FK414" s="60" t="e">
        <f>IF($FJ414="",#N/A,SUM($FJ$4:FJ414))</f>
        <v>#N/A</v>
      </c>
      <c r="FL414" s="60" t="str">
        <f t="shared" si="739"/>
        <v/>
      </c>
      <c r="FM414" s="60" t="e">
        <f>IF($FL414="",#N/A,SUM($FL$4:FL414))</f>
        <v>#N/A</v>
      </c>
      <c r="FN414" s="82">
        <f t="shared" si="740"/>
        <v>1.3732552904097255</v>
      </c>
      <c r="FO414" s="82">
        <f>IF($FN414="",#N/A,SUM(FN$4:$FN414))</f>
        <v>41.527454343259713</v>
      </c>
      <c r="FP414" s="82">
        <f t="shared" si="759"/>
        <v>1.0130571814497975</v>
      </c>
      <c r="FQ414" s="246">
        <f>IF($EH414="",#N/A,SUM($FP$4:FP414))</f>
        <v>54.626740370961727</v>
      </c>
      <c r="FR414" s="82">
        <f>IFERROR(FQ414/COUNTA($J$4:J414),#N/A)</f>
        <v>0.13291177705830104</v>
      </c>
      <c r="FS414" s="82">
        <f t="shared" si="661"/>
        <v>1.1090080302900844E-2</v>
      </c>
      <c r="FT414" s="82">
        <f t="shared" si="662"/>
        <v>0.19006207234504557</v>
      </c>
      <c r="FU414" s="338">
        <f t="shared" si="764"/>
        <v>29.443069002554502</v>
      </c>
      <c r="FV414" s="57" t="str">
        <f t="shared" si="666"/>
        <v>Dwn</v>
      </c>
      <c r="FW414" s="57" t="s">
        <v>2733</v>
      </c>
      <c r="FX414" s="57" t="str">
        <f t="shared" si="741"/>
        <v/>
      </c>
      <c r="FY414" s="57" t="str">
        <f t="shared" si="742"/>
        <v/>
      </c>
      <c r="FZ414" s="57" t="str">
        <f t="shared" si="743"/>
        <v/>
      </c>
      <c r="GA414" s="57" t="str">
        <f t="shared" si="744"/>
        <v>Short</v>
      </c>
      <c r="GB414" s="57">
        <f t="shared" si="745"/>
        <v>1</v>
      </c>
      <c r="GC414" s="57" t="str">
        <f t="shared" si="746"/>
        <v/>
      </c>
      <c r="GD414" s="57" t="str">
        <f t="shared" si="747"/>
        <v/>
      </c>
      <c r="GE414" s="62">
        <f t="shared" si="664"/>
        <v>22.21</v>
      </c>
      <c r="GF414" s="62" t="s">
        <v>2780</v>
      </c>
      <c r="GG414" s="199">
        <v>75</v>
      </c>
      <c r="GH414" s="207">
        <f t="shared" si="748"/>
        <v>1665.75</v>
      </c>
      <c r="GI414" s="199">
        <v>75</v>
      </c>
      <c r="GJ414" s="200">
        <v>20.86</v>
      </c>
      <c r="GK414" s="63">
        <f t="shared" si="749"/>
        <v>101.25</v>
      </c>
      <c r="GL414" s="63">
        <f t="shared" si="665"/>
        <v>137.25</v>
      </c>
      <c r="GM414" s="82" t="str">
        <f t="shared" si="750"/>
        <v/>
      </c>
      <c r="GN414" s="82">
        <f>IF($GZ414="",#N/A,SUM(GM$4:GM414))</f>
        <v>7.0240689445158528</v>
      </c>
      <c r="GO414" s="82" t="str">
        <f t="shared" si="751"/>
        <v/>
      </c>
      <c r="GP414" s="82">
        <f>IF($GZ414="",#N/A,SUM(GO$4:GO414))</f>
        <v>3.2522471402826749</v>
      </c>
      <c r="GQ414" s="82">
        <f t="shared" si="752"/>
        <v>1.3732552904097255</v>
      </c>
      <c r="GR414" s="82">
        <f>IF($GZ414="",#N/A,SUM(GQ$4:GQ414))</f>
        <v>30.625301304018862</v>
      </c>
      <c r="GS414" s="63" t="str">
        <f t="shared" si="760"/>
        <v/>
      </c>
      <c r="GT414" s="63" t="e">
        <f>IF($GZ414="",#N/A,SUM(GS$4:GS414))</f>
        <v>#N/A</v>
      </c>
      <c r="GU414" s="63" t="str">
        <f t="shared" si="761"/>
        <v/>
      </c>
      <c r="GV414" s="63" t="e">
        <f>IF($GZ414="",#N/A,SUM(GU$4:GU414))</f>
        <v>#N/A</v>
      </c>
      <c r="GW414" s="63" t="e">
        <f t="shared" si="762"/>
        <v>#N/A</v>
      </c>
      <c r="GX414" s="63" t="e">
        <f>IF($GZ414="",#N/A,SUM(GW$4:GW414))</f>
        <v>#N/A</v>
      </c>
      <c r="GY414" s="63" t="e">
        <f>IF(EJ414="",#N/A,SUM($EJ$4:EJ414))</f>
        <v>#N/A</v>
      </c>
      <c r="GZ414" s="159">
        <v>20.38</v>
      </c>
      <c r="HA414" s="63">
        <f t="shared" si="753"/>
        <v>36</v>
      </c>
      <c r="HB414" s="62" t="s">
        <v>2538</v>
      </c>
      <c r="HC414" s="60">
        <f>IFERROR(VLOOKUP(E414,Expectancy!$P$4:$S$19,1+C414,FALSE),"")</f>
        <v>-9.4786290791818092E-2</v>
      </c>
      <c r="HD414" s="82">
        <f t="shared" si="754"/>
        <v>1.0130571814497975</v>
      </c>
      <c r="HE414" s="138">
        <f>IF(HD414="",#N/A,SUM($HD$4:HD414))</f>
        <v>10.653671368407224</v>
      </c>
      <c r="HF414" s="85">
        <f>IF(HD414="",#N/A,IF(HB414="Skip",#N/A,SUM($HG$4:HG414)))</f>
        <v>340.58357921915558</v>
      </c>
      <c r="HG414" s="63">
        <f t="shared" si="755"/>
        <v>101.25</v>
      </c>
      <c r="HH414" s="82">
        <f t="shared" si="756"/>
        <v>1.3732552904097255</v>
      </c>
    </row>
    <row r="415" spans="1:216" x14ac:dyDescent="0.25">
      <c r="A415" s="465" t="s">
        <v>1222</v>
      </c>
      <c r="B415" s="466" t="str" cm="1">
        <f t="array" ref="B415">IFERROR(_xlfn.XLOOKUP(A415,Earnings!$B$2:$B$9985,LEFT(Earnings!$C$2:$C$9985,37)),"Can't Find Date***")</f>
        <v>on 3/5/25 After Market Eastern Standa</v>
      </c>
      <c r="C415" s="467">
        <f t="shared" si="667"/>
        <v>2</v>
      </c>
      <c r="D415" s="468" t="str">
        <f>_xlfn.XLOOKUP(A415,[1]SP500!$A$2:$A$502,[1]SP500!$D$2:$D$502,"N")</f>
        <v>N</v>
      </c>
      <c r="E415" s="465" t="str">
        <f>_xlfn.XLOOKUP(A415,[1]SP500!$A$2:$A$655,[1]SP500!$B$2:$B$655)</f>
        <v>XLK</v>
      </c>
      <c r="F415" s="59">
        <v>45721</v>
      </c>
      <c r="G415" s="57" t="str">
        <f t="shared" si="668"/>
        <v>AMC</v>
      </c>
      <c r="H415" s="57" t="str">
        <f t="shared" si="669"/>
        <v>s</v>
      </c>
      <c r="I415" s="159">
        <v>9.82</v>
      </c>
      <c r="J415" s="159">
        <v>7.37</v>
      </c>
      <c r="K415" s="61">
        <f t="shared" si="670"/>
        <v>-0.24949083503054992</v>
      </c>
      <c r="L415" s="87">
        <f t="shared" si="671"/>
        <v>428.75</v>
      </c>
      <c r="M415" s="130">
        <f t="shared" si="663"/>
        <v>-66.5</v>
      </c>
      <c r="N415" s="169" t="str">
        <f t="shared" si="672"/>
        <v/>
      </c>
      <c r="O415" s="169">
        <f>IF($J415="",#N/A,SUM($N$4:N415))</f>
        <v>-344.89225475891067</v>
      </c>
      <c r="P415" s="174">
        <f t="shared" si="673"/>
        <v>428.75</v>
      </c>
      <c r="Q415" s="174">
        <f>IF($J415="",#N/A,SUM($P$4:P415))</f>
        <v>1321.0966539569486</v>
      </c>
      <c r="R415" s="178" t="str">
        <f t="shared" si="674"/>
        <v/>
      </c>
      <c r="S415" s="178">
        <f>IF($J415="",#N/A,SUM($R$4:R415))</f>
        <v>794.959172395309</v>
      </c>
      <c r="T415" s="290" t="str">
        <f t="shared" si="675"/>
        <v/>
      </c>
      <c r="U415" s="290">
        <f>IF($J415="",#N/A,SUM($T$4:T415))</f>
        <v>10.01739856757891</v>
      </c>
      <c r="V415" s="291">
        <f t="shared" si="676"/>
        <v>4.1581805838424986</v>
      </c>
      <c r="W415" s="291">
        <f>IF($J415="",#N/A,SUM($V$4:V415))</f>
        <v>32.813539170407353</v>
      </c>
      <c r="X415" s="292" t="str">
        <f t="shared" si="677"/>
        <v/>
      </c>
      <c r="Y415" s="292">
        <f>IF($J415="",#N/A,SUM($X$4:X415))</f>
        <v>15.953983216817985</v>
      </c>
      <c r="Z415" s="304" t="str">
        <f t="shared" si="678"/>
        <v/>
      </c>
      <c r="AA415" s="313" t="e">
        <f>IF($J415="",#N/A,SUM(Z$4:Z415))</f>
        <v>#N/A</v>
      </c>
      <c r="AB415" s="314">
        <f t="shared" si="679"/>
        <v>4.1581805838424986</v>
      </c>
      <c r="AC415" s="314" t="e">
        <f>IF($J415="",#N/A,SUM(AB$4:AB415))</f>
        <v>#N/A</v>
      </c>
      <c r="AD415" s="315" t="str">
        <f t="shared" si="680"/>
        <v/>
      </c>
      <c r="AE415" s="315" t="e">
        <f>IF($J415="",#N/A,SUM(AD$4:AD415))</f>
        <v>#N/A</v>
      </c>
      <c r="AF415" s="315" t="e">
        <f>IF($J415="",#N/A,SUM(AD$4:AD415,AB$4:AB415,Z$4:Z415))</f>
        <v>#N/A</v>
      </c>
      <c r="AG415" s="304" t="str">
        <f t="shared" si="681"/>
        <v/>
      </c>
      <c r="AH415" s="313" t="e">
        <f>IF($J415="",#N/A,SUM(AG$4:AG415))</f>
        <v>#N/A</v>
      </c>
      <c r="AI415" s="314" t="str">
        <f t="shared" si="682"/>
        <v/>
      </c>
      <c r="AJ415" s="314" t="e">
        <f>IF($J415="",#N/A,SUM(AI$4:AI415))</f>
        <v>#N/A</v>
      </c>
      <c r="AK415" s="315" t="str">
        <f t="shared" si="683"/>
        <v/>
      </c>
      <c r="AL415" s="315" t="e">
        <f>IF($J415="",#N/A,SUM(AK$4:AK415))</f>
        <v>#N/A</v>
      </c>
      <c r="AM415" s="315" t="e">
        <f>IF($J415="",#N/A,SUM(AK$4:AK415,AI$4:AI415,AG$4:AG415))</f>
        <v>#N/A</v>
      </c>
      <c r="AN415" s="304" t="str">
        <f t="shared" si="684"/>
        <v/>
      </c>
      <c r="AO415" s="313" t="e">
        <f>IF($J415="",#N/A,SUM(AN$4:AN415))</f>
        <v>#N/A</v>
      </c>
      <c r="AP415" s="314" t="str">
        <f t="shared" si="685"/>
        <v/>
      </c>
      <c r="AQ415" s="314" t="e">
        <f>IF($J415="",#N/A,SUM(AP$4:AP415))</f>
        <v>#N/A</v>
      </c>
      <c r="AR415" s="315" t="str">
        <f t="shared" si="686"/>
        <v/>
      </c>
      <c r="AS415" s="315" t="e">
        <f>IF($J415="",#N/A,SUM(AR$4:AR415))</f>
        <v>#N/A</v>
      </c>
      <c r="AT415" s="315" t="e">
        <f>IF($J415="",#N/A,SUM(AR$4:AR415,AP$4:AP415,AN$4:AN415))</f>
        <v>#N/A</v>
      </c>
      <c r="AU415" s="304" t="str">
        <f t="shared" si="687"/>
        <v/>
      </c>
      <c r="AV415" s="313" t="e">
        <f>IF($J415="",#N/A,SUM(AU$4:AU415))</f>
        <v>#N/A</v>
      </c>
      <c r="AW415" s="314" t="str">
        <f t="shared" si="688"/>
        <v/>
      </c>
      <c r="AX415" s="314" t="e">
        <f>IF($J415="",#N/A,SUM(AW$4:AW415))</f>
        <v>#N/A</v>
      </c>
      <c r="AY415" s="315" t="str">
        <f t="shared" si="689"/>
        <v/>
      </c>
      <c r="AZ415" s="315" t="e">
        <f>IF($J415="",#N/A,SUM(AY$4:AY415))</f>
        <v>#N/A</v>
      </c>
      <c r="BA415" s="315" t="e">
        <f>IF($J415="",#N/A,SUM(AY$4:AY415,AW$4:AW415,AU$4:AU415))</f>
        <v>#N/A</v>
      </c>
      <c r="BB415" s="304" t="str">
        <f t="shared" si="690"/>
        <v/>
      </c>
      <c r="BC415" s="313" t="e">
        <f>IF($J415="",#N/A,SUM(BB$4:BB415))</f>
        <v>#N/A</v>
      </c>
      <c r="BD415" s="314" t="str">
        <f t="shared" si="691"/>
        <v/>
      </c>
      <c r="BE415" s="314" t="e">
        <f>IF($J415="",#N/A,SUM(BD$4:BD415))</f>
        <v>#N/A</v>
      </c>
      <c r="BF415" s="315" t="str">
        <f t="shared" si="692"/>
        <v/>
      </c>
      <c r="BG415" s="315" t="e">
        <f>IF($J415="",#N/A,SUM(BF$4:BF415))</f>
        <v>#N/A</v>
      </c>
      <c r="BH415" s="315" t="e">
        <f>IF($J415="",#N/A,SUM(BF$4:BF415,BD$4:BD415,BB$4:BB415))</f>
        <v>#N/A</v>
      </c>
      <c r="BI415" s="304" t="str">
        <f t="shared" si="693"/>
        <v/>
      </c>
      <c r="BJ415" s="313" t="e">
        <f>IF($J415="",#N/A,SUM(BI$4:BI415))</f>
        <v>#N/A</v>
      </c>
      <c r="BK415" s="314" t="str">
        <f t="shared" si="694"/>
        <v/>
      </c>
      <c r="BL415" s="314" t="e">
        <f>IF($J415="",#N/A,SUM(BK$4:BK415))</f>
        <v>#N/A</v>
      </c>
      <c r="BM415" s="315" t="str">
        <f t="shared" si="695"/>
        <v/>
      </c>
      <c r="BN415" s="315" t="e">
        <f>IF($J415="",#N/A,SUM(BM$4:BM415))</f>
        <v>#N/A</v>
      </c>
      <c r="BO415" s="315" t="e">
        <f>IF($J415="",#N/A,SUM(BM$4:BM415,BK$4:BK415,BI$4:BI415))</f>
        <v>#N/A</v>
      </c>
      <c r="BP415" s="304" t="str">
        <f t="shared" si="696"/>
        <v/>
      </c>
      <c r="BQ415" s="313" t="e">
        <f>IF($J415="",#N/A,SUM(BP$4:BP415))</f>
        <v>#N/A</v>
      </c>
      <c r="BR415" s="314" t="str">
        <f t="shared" si="697"/>
        <v/>
      </c>
      <c r="BS415" s="314" t="e">
        <f>IF($J415="",#N/A,SUM(BR$4:BR415))</f>
        <v>#N/A</v>
      </c>
      <c r="BT415" s="315" t="str">
        <f t="shared" si="698"/>
        <v/>
      </c>
      <c r="BU415" s="315" t="e">
        <f>IF($J415="",#N/A,SUM(BT$4:BT415))</f>
        <v>#N/A</v>
      </c>
      <c r="BV415" s="315" t="e">
        <f>IF($J415="",#N/A,SUM(BT$4:BT415,BR$4:BR415,BP$4:BP415))</f>
        <v>#N/A</v>
      </c>
      <c r="BW415" s="304" t="str">
        <f t="shared" si="699"/>
        <v/>
      </c>
      <c r="BX415" s="313" t="e">
        <f>IF($J415="",#N/A,SUM(BW$4:BW415))</f>
        <v>#N/A</v>
      </c>
      <c r="BY415" s="314" t="str">
        <f t="shared" si="700"/>
        <v/>
      </c>
      <c r="BZ415" s="314" t="e">
        <f>IF($J415="",#N/A,SUM(BY$4:BY415))</f>
        <v>#N/A</v>
      </c>
      <c r="CA415" s="315" t="str">
        <f t="shared" si="701"/>
        <v/>
      </c>
      <c r="CB415" s="315" t="e">
        <f>IF($J415="",#N/A,SUM(CA$4:CA415))</f>
        <v>#N/A</v>
      </c>
      <c r="CC415" s="315" t="e">
        <f>IF($J415="",#N/A,SUM(CA$4:CA415,BY$4:BY415,BW$4:BW415))</f>
        <v>#N/A</v>
      </c>
      <c r="CD415" s="304" t="str">
        <f t="shared" si="702"/>
        <v/>
      </c>
      <c r="CE415" s="313" t="e">
        <f>IF($J415="",#N/A,SUM(CD$4:CD415))</f>
        <v>#N/A</v>
      </c>
      <c r="CF415" s="314" t="str">
        <f t="shared" si="703"/>
        <v/>
      </c>
      <c r="CG415" s="314" t="e">
        <f>IF($J415="",#N/A,SUM(CF$4:CF415))</f>
        <v>#N/A</v>
      </c>
      <c r="CH415" s="315" t="str">
        <f t="shared" si="704"/>
        <v/>
      </c>
      <c r="CI415" s="315" t="e">
        <f>IF($J415="",#N/A,SUM(CH$4:CH415))</f>
        <v>#N/A</v>
      </c>
      <c r="CJ415" s="315" t="e">
        <f>IF($J415="",#N/A,SUM(CH$4:CH415,CF$4:CF415,CD$4:CD415))</f>
        <v>#N/A</v>
      </c>
      <c r="CK415" s="304" t="str">
        <f t="shared" si="705"/>
        <v/>
      </c>
      <c r="CL415" s="313" t="e">
        <f>IF($J415="",#N/A,SUM(CK$4:CK415))</f>
        <v>#N/A</v>
      </c>
      <c r="CM415" s="314" t="str">
        <f t="shared" si="706"/>
        <v/>
      </c>
      <c r="CN415" s="314" t="e">
        <f>IF($J415="",#N/A,SUM(CM$4:CM415))</f>
        <v>#N/A</v>
      </c>
      <c r="CO415" s="315" t="str">
        <f t="shared" si="707"/>
        <v/>
      </c>
      <c r="CP415" s="315" t="e">
        <f>IF($J415="",#N/A,SUM(CO$4:CO415))</f>
        <v>#N/A</v>
      </c>
      <c r="CQ415" s="315" t="e">
        <f>IF($J415="",#N/A,SUM(CO$4:CO415,CM$4:CM415,CK$4:CK415))</f>
        <v>#N/A</v>
      </c>
      <c r="CR415" s="304" t="str">
        <f t="shared" si="708"/>
        <v/>
      </c>
      <c r="CS415" s="313" t="e">
        <f>IF($J415="",#N/A,SUM(CR$4:CR415))</f>
        <v>#N/A</v>
      </c>
      <c r="CT415" s="314" t="str">
        <f t="shared" si="709"/>
        <v/>
      </c>
      <c r="CU415" s="314" t="e">
        <f>IF($J415="",#N/A,SUM(CT$4:CT415))</f>
        <v>#N/A</v>
      </c>
      <c r="CV415" s="315" t="str">
        <f t="shared" si="710"/>
        <v/>
      </c>
      <c r="CW415" s="315" t="e">
        <f>IF($J415="",#N/A,SUM(CV$4:CV415))</f>
        <v>#N/A</v>
      </c>
      <c r="CX415" s="315" t="e">
        <f>IF($J415="",#N/A,SUM(CV$4:CV415,CT$4:CT415,CR$4:CR415))</f>
        <v>#N/A</v>
      </c>
      <c r="CY415" s="304" t="str">
        <f t="shared" si="711"/>
        <v/>
      </c>
      <c r="CZ415" s="313" t="e">
        <f>IF($J415="",#N/A,SUM(CY$4:CY415))</f>
        <v>#N/A</v>
      </c>
      <c r="DA415" s="314" t="str">
        <f t="shared" si="712"/>
        <v/>
      </c>
      <c r="DB415" s="314" t="e">
        <f>IF($J415="",#N/A,SUM(DA$4:DA415))</f>
        <v>#N/A</v>
      </c>
      <c r="DC415" s="315" t="str">
        <f t="shared" si="713"/>
        <v/>
      </c>
      <c r="DD415" s="315" t="e">
        <f>IF($J415="",#N/A,SUM(DC$4:DC415))</f>
        <v>#N/A</v>
      </c>
      <c r="DE415" s="315" t="e">
        <f>IF($J415="",#N/A,SUM(DC$4:DC415,DA$4:DA415,CY$4:CY415))</f>
        <v>#N/A</v>
      </c>
      <c r="DF415" s="304" t="str">
        <f t="shared" si="714"/>
        <v/>
      </c>
      <c r="DG415" s="313" t="e">
        <f>IF($J415="",#N/A,SUM(DF$4:DF415))</f>
        <v>#N/A</v>
      </c>
      <c r="DH415" s="314" t="str">
        <f t="shared" si="715"/>
        <v/>
      </c>
      <c r="DI415" s="314" t="e">
        <f>IF($J415="",#N/A,SUM(DH$4:DH415))</f>
        <v>#N/A</v>
      </c>
      <c r="DJ415" s="315" t="str">
        <f t="shared" si="716"/>
        <v/>
      </c>
      <c r="DK415" s="315" t="e">
        <f>IF($J415="",#N/A,SUM(DJ$4:DJ415))</f>
        <v>#N/A</v>
      </c>
      <c r="DL415" s="315" t="e">
        <f>IF($J415="",#N/A,SUM(DJ$4:DJ415,DH$4:DH415,DF$4:DF415))</f>
        <v>#N/A</v>
      </c>
      <c r="DM415" s="304" t="str">
        <f t="shared" si="717"/>
        <v/>
      </c>
      <c r="DN415" s="313" t="e">
        <f>IF($J415="",#N/A,SUM(DM$4:DM415))</f>
        <v>#N/A</v>
      </c>
      <c r="DO415" s="314" t="str">
        <f t="shared" si="718"/>
        <v/>
      </c>
      <c r="DP415" s="314" t="e">
        <f>IF($J415="",#N/A,SUM(DO$4:DO415))</f>
        <v>#N/A</v>
      </c>
      <c r="DQ415" s="315" t="str">
        <f t="shared" si="719"/>
        <v/>
      </c>
      <c r="DR415" s="315" t="e">
        <f>IF($J415="",#N/A,SUM(DQ$4:DQ415))</f>
        <v>#N/A</v>
      </c>
      <c r="DS415" s="315" t="e">
        <f>IF($J415="",#N/A,SUM(DQ$4:DQ415,DO$4:DO415,DM$4:DM415))</f>
        <v>#N/A</v>
      </c>
      <c r="DT415" s="304" t="str">
        <f t="shared" si="720"/>
        <v/>
      </c>
      <c r="DU415" s="313" t="e">
        <f>IF($J415="",#N/A,SUM(DT$4:DT415))</f>
        <v>#N/A</v>
      </c>
      <c r="DV415" s="314" t="str">
        <f t="shared" si="721"/>
        <v/>
      </c>
      <c r="DW415" s="314" t="e">
        <f>IF($J415="",#N/A,SUM(DV$4:DV415))</f>
        <v>#N/A</v>
      </c>
      <c r="DX415" s="315" t="str">
        <f t="shared" si="722"/>
        <v/>
      </c>
      <c r="DY415" s="315" t="e">
        <f>IF($J415="",#N/A,SUM(DX$4:DX415))</f>
        <v>#N/A</v>
      </c>
      <c r="DZ415" s="315" t="e">
        <f>IF($J415="",#N/A,SUM(DX$4:DX415,DV$4:DV415,DT$4:DT415))</f>
        <v>#N/A</v>
      </c>
      <c r="EA415" s="304" t="str">
        <f t="shared" si="723"/>
        <v/>
      </c>
      <c r="EB415" s="313" t="e">
        <f>IF($J415="",#N/A,SUM(EA$4:EA415))</f>
        <v>#N/A</v>
      </c>
      <c r="EC415" s="314" t="str">
        <f t="shared" si="724"/>
        <v/>
      </c>
      <c r="ED415" s="314" t="e">
        <f>IF($J415="",#N/A,SUM(EC$4:EC415))</f>
        <v>#N/A</v>
      </c>
      <c r="EE415" s="315" t="str">
        <f t="shared" si="725"/>
        <v/>
      </c>
      <c r="EF415" s="315" t="e">
        <f>IF($J415="",#N/A,SUM(EE$4:EE415))</f>
        <v>#N/A</v>
      </c>
      <c r="EG415" s="315" t="e">
        <f>IF($J415="",#N/A,SUM(EE$4:EE415,EC$4:EC415,EA$4:EA415))</f>
        <v>#N/A</v>
      </c>
      <c r="EH415" s="130">
        <f t="shared" si="726"/>
        <v>428.75</v>
      </c>
      <c r="EI415" s="63">
        <f>IF(EH415="",#N/A,SUM($EH$4:EH415))</f>
        <v>1771.1635715933471</v>
      </c>
      <c r="EJ415" s="223" t="e">
        <f t="shared" si="727"/>
        <v>#N/A</v>
      </c>
      <c r="EK415" s="63" t="e">
        <f>IF($GZ415="",#N/A,SUM(EJ$4:EJ415))</f>
        <v>#N/A</v>
      </c>
      <c r="EL415" s="60" t="str">
        <f t="shared" si="757"/>
        <v/>
      </c>
      <c r="EM415" s="60" t="e">
        <f>IF(EL415="",NA(),SUM($EL$4:EL415))</f>
        <v>#N/A</v>
      </c>
      <c r="EN415" s="60" t="str">
        <f t="shared" si="728"/>
        <v/>
      </c>
      <c r="EO415" s="60" t="e">
        <f>IF(EN415="",NA(),SUM($EN$4:EN415))</f>
        <v>#N/A</v>
      </c>
      <c r="EP415" s="60" t="str">
        <f t="shared" si="729"/>
        <v/>
      </c>
      <c r="EQ415" s="60" t="e">
        <f>IF(EP415="",NA(),SUM($EP$4:EP415))</f>
        <v>#N/A</v>
      </c>
      <c r="ER415" s="60" t="str">
        <f t="shared" si="730"/>
        <v/>
      </c>
      <c r="ES415" s="60" t="e">
        <f>IF(ER415="",NA(),SUM($ER$4:ER415))</f>
        <v>#N/A</v>
      </c>
      <c r="ET415" s="60">
        <f t="shared" si="731"/>
        <v>4.1581805838424986</v>
      </c>
      <c r="EU415" s="60">
        <f>IF(ET415="",NA(),SUM($ET$4:ET415))</f>
        <v>36.897171519061189</v>
      </c>
      <c r="EV415" s="60" t="str">
        <f t="shared" si="732"/>
        <v/>
      </c>
      <c r="EW415" s="60" t="e">
        <f>IF(EV415="",NA(),SUM($EV$4:EV415))</f>
        <v>#N/A</v>
      </c>
      <c r="EX415" s="60" t="str">
        <f t="shared" si="733"/>
        <v/>
      </c>
      <c r="EY415" s="60" t="e">
        <f>IF(EX415="",NA(),SUM($EX$4:EX415))</f>
        <v>#N/A</v>
      </c>
      <c r="EZ415" s="60">
        <f t="shared" si="734"/>
        <v>4.1581805838424986</v>
      </c>
      <c r="FA415" s="60">
        <f>IF(EZ415="",NA(),SUM($EZ$4:EZ415))</f>
        <v>21.402052183962915</v>
      </c>
      <c r="FB415" s="246">
        <f t="shared" si="758"/>
        <v>0.66191446028513212</v>
      </c>
      <c r="FC415" s="246">
        <f>IF($FB415="",#N/A,SUM(FB$4:$FB415))</f>
        <v>1.2209516305836356</v>
      </c>
      <c r="FD415" s="60" t="str">
        <f t="shared" si="735"/>
        <v/>
      </c>
      <c r="FE415" s="60" t="e">
        <f>IF($FD415="",#N/A,SUM($FD$4:FD415))</f>
        <v>#N/A</v>
      </c>
      <c r="FF415" s="60" t="str">
        <f t="shared" si="736"/>
        <v/>
      </c>
      <c r="FG415" s="60" t="e">
        <f>IF($FF415="",#N/A,SUM($FF$4:FF415))</f>
        <v>#N/A</v>
      </c>
      <c r="FH415" s="60" t="str">
        <f t="shared" si="737"/>
        <v/>
      </c>
      <c r="FI415" s="60" t="e">
        <f>IF($FH415="",#N/A,SUM($FH$4:FH415))</f>
        <v>#N/A</v>
      </c>
      <c r="FJ415" s="60" t="str">
        <f t="shared" si="738"/>
        <v/>
      </c>
      <c r="FK415" s="60" t="e">
        <f>IF($FJ415="",#N/A,SUM($FJ$4:FJ415))</f>
        <v>#N/A</v>
      </c>
      <c r="FL415" s="60" t="str">
        <f t="shared" si="739"/>
        <v/>
      </c>
      <c r="FM415" s="60" t="e">
        <f>IF($FL415="",#N/A,SUM($FL$4:FL415))</f>
        <v>#N/A</v>
      </c>
      <c r="FN415" s="82">
        <f t="shared" si="740"/>
        <v>4.8200950441276307</v>
      </c>
      <c r="FO415" s="82">
        <f>IF($FN415="",#N/A,SUM(FN$4:$FN415))</f>
        <v>46.347549387387346</v>
      </c>
      <c r="FP415" s="82">
        <f t="shared" si="759"/>
        <v>4.1581805838424986</v>
      </c>
      <c r="FQ415" s="246">
        <f>IF($EH415="",#N/A,SUM($FP$4:FP415))</f>
        <v>58.784920954804228</v>
      </c>
      <c r="FR415" s="82">
        <f>IFERROR(FQ415/COUNTA($J$4:J415),#N/A)</f>
        <v>0.14268184697768016</v>
      </c>
      <c r="FS415" s="82">
        <f t="shared" si="661"/>
        <v>0.11882500105545148</v>
      </c>
      <c r="FT415" s="82">
        <f t="shared" si="662"/>
        <v>0.30686548617493598</v>
      </c>
      <c r="FU415" s="338">
        <f t="shared" si="764"/>
        <v>30.088011297191301</v>
      </c>
      <c r="FV415" s="57" t="str">
        <f t="shared" si="666"/>
        <v>Dwn</v>
      </c>
      <c r="FW415" s="57" t="s">
        <v>2733</v>
      </c>
      <c r="FX415" s="57" t="str">
        <f t="shared" si="741"/>
        <v/>
      </c>
      <c r="FY415" s="57" t="str">
        <f t="shared" si="742"/>
        <v/>
      </c>
      <c r="FZ415" s="57" t="str">
        <f t="shared" si="743"/>
        <v/>
      </c>
      <c r="GA415" s="57" t="str">
        <f t="shared" si="744"/>
        <v>Short</v>
      </c>
      <c r="GB415" s="57">
        <f t="shared" si="745"/>
        <v>1</v>
      </c>
      <c r="GC415" s="57" t="str">
        <f t="shared" si="746"/>
        <v/>
      </c>
      <c r="GD415" s="57" t="str">
        <f t="shared" si="747"/>
        <v/>
      </c>
      <c r="GE415" s="62">
        <f t="shared" si="664"/>
        <v>9.82</v>
      </c>
      <c r="GF415" s="62" t="s">
        <v>2780</v>
      </c>
      <c r="GG415" s="199">
        <v>175</v>
      </c>
      <c r="GH415" s="207">
        <f t="shared" si="748"/>
        <v>1718.5</v>
      </c>
      <c r="GI415" s="199">
        <v>175</v>
      </c>
      <c r="GJ415" s="200">
        <v>7.75</v>
      </c>
      <c r="GK415" s="63">
        <f t="shared" si="749"/>
        <v>362.25</v>
      </c>
      <c r="GL415" s="63">
        <f t="shared" si="665"/>
        <v>497</v>
      </c>
      <c r="GM415" s="82" t="str">
        <f t="shared" si="750"/>
        <v/>
      </c>
      <c r="GN415" s="82">
        <f>IF($GZ415="",#N/A,SUM(GM$4:GM415))</f>
        <v>7.0240689445158528</v>
      </c>
      <c r="GO415" s="82" t="str">
        <f t="shared" si="751"/>
        <v/>
      </c>
      <c r="GP415" s="82">
        <f>IF($GZ415="",#N/A,SUM(GO$4:GO415))</f>
        <v>3.2522471402826749</v>
      </c>
      <c r="GQ415" s="82">
        <f t="shared" si="752"/>
        <v>4.8200950441276307</v>
      </c>
      <c r="GR415" s="82">
        <f>IF($GZ415="",#N/A,SUM(GQ$4:GQ415))</f>
        <v>35.445396348146495</v>
      </c>
      <c r="GS415" s="63" t="str">
        <f t="shared" si="760"/>
        <v/>
      </c>
      <c r="GT415" s="63" t="e">
        <f>IF($GZ415="",#N/A,SUM(GS$4:GS415))</f>
        <v>#N/A</v>
      </c>
      <c r="GU415" s="63" t="str">
        <f t="shared" si="761"/>
        <v/>
      </c>
      <c r="GV415" s="63" t="e">
        <f>IF($GZ415="",#N/A,SUM(GU$4:GU415))</f>
        <v>#N/A</v>
      </c>
      <c r="GW415" s="63" t="e">
        <f t="shared" si="762"/>
        <v>#N/A</v>
      </c>
      <c r="GX415" s="63" t="e">
        <f>IF($GZ415="",#N/A,SUM(GW$4:GW415))</f>
        <v>#N/A</v>
      </c>
      <c r="GY415" s="63" t="e">
        <f>IF(EJ415="",#N/A,SUM($EJ$4:EJ415))</f>
        <v>#N/A</v>
      </c>
      <c r="GZ415" s="159">
        <v>6.98</v>
      </c>
      <c r="HA415" s="63">
        <f t="shared" si="753"/>
        <v>68.25</v>
      </c>
      <c r="HB415" s="62" t="s">
        <v>2538</v>
      </c>
      <c r="HC415" s="60">
        <f>IFERROR(VLOOKUP(E415,Expectancy!$P$4:$S$19,1+C415,FALSE),"")</f>
        <v>1.1895734332751575</v>
      </c>
      <c r="HD415" s="82">
        <f t="shared" si="754"/>
        <v>3.5132382892057028</v>
      </c>
      <c r="HE415" s="138">
        <f>IF(HD415="",#N/A,SUM($HD$4:HD415))</f>
        <v>14.166909657612926</v>
      </c>
      <c r="HF415" s="85">
        <f>IF(HD415="",#N/A,IF(HB415="Skip",#N/A,SUM($HG$4:HG415)))</f>
        <v>702.83357921915558</v>
      </c>
      <c r="HG415" s="63">
        <f t="shared" si="755"/>
        <v>362.25</v>
      </c>
      <c r="HH415" s="82">
        <f t="shared" si="756"/>
        <v>4.8200950441276307</v>
      </c>
    </row>
    <row r="416" spans="1:216" x14ac:dyDescent="0.25">
      <c r="A416" s="57" t="s">
        <v>1177</v>
      </c>
      <c r="B416" s="58" t="str" cm="1">
        <f t="array" ref="B416">IFERROR(_xlfn.XLOOKUP(A416,Earnings!$B$2:$B$9985,LEFT(Earnings!$C$2:$C$9985,37)),"Can't Find Date***")</f>
        <v>on 3/5/25 After Market Eastern Standa</v>
      </c>
      <c r="C416" s="386">
        <f t="shared" si="667"/>
        <v>3</v>
      </c>
      <c r="D416" s="372" t="str">
        <f>_xlfn.XLOOKUP(A416,[1]SP500!$A$2:$A$502,[1]SP500!$D$2:$D$502,"N")</f>
        <v>N</v>
      </c>
      <c r="E416" s="57" t="str">
        <f>_xlfn.XLOOKUP(A416,[1]SP500!$A$2:$A$655,[1]SP500!$B$2:$B$655)</f>
        <v>IGV</v>
      </c>
      <c r="F416" s="59">
        <v>45721</v>
      </c>
      <c r="G416" s="57" t="str">
        <f t="shared" si="668"/>
        <v>AMC</v>
      </c>
      <c r="H416" s="57" t="str">
        <f t="shared" si="669"/>
        <v>s</v>
      </c>
      <c r="I416" s="159">
        <v>196.45</v>
      </c>
      <c r="J416" s="159">
        <v>200.71</v>
      </c>
      <c r="K416" s="61">
        <f t="shared" si="670"/>
        <v>2.1684907101043621E-2</v>
      </c>
      <c r="L416" s="87">
        <f t="shared" si="671"/>
        <v>38.340000000000146</v>
      </c>
      <c r="M416" s="130">
        <f t="shared" si="663"/>
        <v>-3.2400000000002365</v>
      </c>
      <c r="N416" s="169" t="str">
        <f t="shared" si="672"/>
        <v/>
      </c>
      <c r="O416" s="169">
        <f>IF($J416="",#N/A,SUM($N$4:N416))</f>
        <v>-344.89225475891067</v>
      </c>
      <c r="P416" s="174" t="str">
        <f t="shared" si="673"/>
        <v/>
      </c>
      <c r="Q416" s="174">
        <f>IF($J416="",#N/A,SUM($P$4:P416))</f>
        <v>1321.0966539569486</v>
      </c>
      <c r="R416" s="178">
        <f t="shared" si="674"/>
        <v>38.340000000000146</v>
      </c>
      <c r="S416" s="178">
        <f>IF($J416="",#N/A,SUM($R$4:R416))</f>
        <v>833.29917239530914</v>
      </c>
      <c r="T416" s="290" t="str">
        <f t="shared" si="675"/>
        <v/>
      </c>
      <c r="U416" s="290">
        <f>IF($J416="",#N/A,SUM($T$4:T416))</f>
        <v>10.01739856757891</v>
      </c>
      <c r="V416" s="291" t="str">
        <f t="shared" si="676"/>
        <v/>
      </c>
      <c r="W416" s="291">
        <f>IF($J416="",#N/A,SUM($V$4:V416))</f>
        <v>32.813539170407353</v>
      </c>
      <c r="X416" s="292">
        <f t="shared" si="677"/>
        <v>0.36141511835072676</v>
      </c>
      <c r="Y416" s="292">
        <f>IF($J416="",#N/A,SUM($X$4:X416))</f>
        <v>16.315398335168712</v>
      </c>
      <c r="Z416" s="304" t="str">
        <f t="shared" si="678"/>
        <v/>
      </c>
      <c r="AA416" s="313" t="e">
        <f>IF($J416="",#N/A,SUM(Z$4:Z416))</f>
        <v>#N/A</v>
      </c>
      <c r="AB416" s="314" t="str">
        <f t="shared" si="679"/>
        <v/>
      </c>
      <c r="AC416" s="314" t="e">
        <f>IF($J416="",#N/A,SUM(AB$4:AB416))</f>
        <v>#N/A</v>
      </c>
      <c r="AD416" s="315" t="str">
        <f t="shared" si="680"/>
        <v/>
      </c>
      <c r="AE416" s="315" t="e">
        <f>IF($J416="",#N/A,SUM(AD$4:AD416))</f>
        <v>#N/A</v>
      </c>
      <c r="AF416" s="315" t="e">
        <f>IF($J416="",#N/A,SUM(AD$4:AD416,AB$4:AB416,Z$4:Z416))</f>
        <v>#N/A</v>
      </c>
      <c r="AG416" s="304" t="str">
        <f t="shared" si="681"/>
        <v/>
      </c>
      <c r="AH416" s="313" t="e">
        <f>IF($J416="",#N/A,SUM(AG$4:AG416))</f>
        <v>#N/A</v>
      </c>
      <c r="AI416" s="314" t="str">
        <f t="shared" si="682"/>
        <v/>
      </c>
      <c r="AJ416" s="314" t="e">
        <f>IF($J416="",#N/A,SUM(AI$4:AI416))</f>
        <v>#N/A</v>
      </c>
      <c r="AK416" s="315">
        <f t="shared" si="683"/>
        <v>0.36141511835072676</v>
      </c>
      <c r="AL416" s="315" t="e">
        <f>IF($J416="",#N/A,SUM(AK$4:AK416))</f>
        <v>#N/A</v>
      </c>
      <c r="AM416" s="315" t="e">
        <f>IF($J416="",#N/A,SUM(AK$4:AK416,AI$4:AI416,AG$4:AG416))</f>
        <v>#N/A</v>
      </c>
      <c r="AN416" s="304" t="str">
        <f t="shared" si="684"/>
        <v/>
      </c>
      <c r="AO416" s="313" t="e">
        <f>IF($J416="",#N/A,SUM(AN$4:AN416))</f>
        <v>#N/A</v>
      </c>
      <c r="AP416" s="314" t="str">
        <f t="shared" si="685"/>
        <v/>
      </c>
      <c r="AQ416" s="314" t="e">
        <f>IF($J416="",#N/A,SUM(AP$4:AP416))</f>
        <v>#N/A</v>
      </c>
      <c r="AR416" s="315" t="str">
        <f t="shared" si="686"/>
        <v/>
      </c>
      <c r="AS416" s="315" t="e">
        <f>IF($J416="",#N/A,SUM(AR$4:AR416))</f>
        <v>#N/A</v>
      </c>
      <c r="AT416" s="315" t="e">
        <f>IF($J416="",#N/A,SUM(AR$4:AR416,AP$4:AP416,AN$4:AN416))</f>
        <v>#N/A</v>
      </c>
      <c r="AU416" s="304" t="str">
        <f t="shared" si="687"/>
        <v/>
      </c>
      <c r="AV416" s="313" t="e">
        <f>IF($J416="",#N/A,SUM(AU$4:AU416))</f>
        <v>#N/A</v>
      </c>
      <c r="AW416" s="314" t="str">
        <f t="shared" si="688"/>
        <v/>
      </c>
      <c r="AX416" s="314" t="e">
        <f>IF($J416="",#N/A,SUM(AW$4:AW416))</f>
        <v>#N/A</v>
      </c>
      <c r="AY416" s="315" t="str">
        <f t="shared" si="689"/>
        <v/>
      </c>
      <c r="AZ416" s="315" t="e">
        <f>IF($J416="",#N/A,SUM(AY$4:AY416))</f>
        <v>#N/A</v>
      </c>
      <c r="BA416" s="315" t="e">
        <f>IF($J416="",#N/A,SUM(AY$4:AY416,AW$4:AW416,AU$4:AU416))</f>
        <v>#N/A</v>
      </c>
      <c r="BB416" s="304" t="str">
        <f t="shared" si="690"/>
        <v/>
      </c>
      <c r="BC416" s="313" t="e">
        <f>IF($J416="",#N/A,SUM(BB$4:BB416))</f>
        <v>#N/A</v>
      </c>
      <c r="BD416" s="314" t="str">
        <f t="shared" si="691"/>
        <v/>
      </c>
      <c r="BE416" s="314" t="e">
        <f>IF($J416="",#N/A,SUM(BD$4:BD416))</f>
        <v>#N/A</v>
      </c>
      <c r="BF416" s="315" t="str">
        <f t="shared" si="692"/>
        <v/>
      </c>
      <c r="BG416" s="315" t="e">
        <f>IF($J416="",#N/A,SUM(BF$4:BF416))</f>
        <v>#N/A</v>
      </c>
      <c r="BH416" s="315" t="e">
        <f>IF($J416="",#N/A,SUM(BF$4:BF416,BD$4:BD416,BB$4:BB416))</f>
        <v>#N/A</v>
      </c>
      <c r="BI416" s="304" t="str">
        <f t="shared" si="693"/>
        <v/>
      </c>
      <c r="BJ416" s="313" t="e">
        <f>IF($J416="",#N/A,SUM(BI$4:BI416))</f>
        <v>#N/A</v>
      </c>
      <c r="BK416" s="314" t="str">
        <f t="shared" si="694"/>
        <v/>
      </c>
      <c r="BL416" s="314" t="e">
        <f>IF($J416="",#N/A,SUM(BK$4:BK416))</f>
        <v>#N/A</v>
      </c>
      <c r="BM416" s="315" t="str">
        <f t="shared" si="695"/>
        <v/>
      </c>
      <c r="BN416" s="315" t="e">
        <f>IF($J416="",#N/A,SUM(BM$4:BM416))</f>
        <v>#N/A</v>
      </c>
      <c r="BO416" s="315" t="e">
        <f>IF($J416="",#N/A,SUM(BM$4:BM416,BK$4:BK416,BI$4:BI416))</f>
        <v>#N/A</v>
      </c>
      <c r="BP416" s="304" t="str">
        <f t="shared" si="696"/>
        <v/>
      </c>
      <c r="BQ416" s="313" t="e">
        <f>IF($J416="",#N/A,SUM(BP$4:BP416))</f>
        <v>#N/A</v>
      </c>
      <c r="BR416" s="314" t="str">
        <f t="shared" si="697"/>
        <v/>
      </c>
      <c r="BS416" s="314" t="e">
        <f>IF($J416="",#N/A,SUM(BR$4:BR416))</f>
        <v>#N/A</v>
      </c>
      <c r="BT416" s="315" t="str">
        <f t="shared" si="698"/>
        <v/>
      </c>
      <c r="BU416" s="315" t="e">
        <f>IF($J416="",#N/A,SUM(BT$4:BT416))</f>
        <v>#N/A</v>
      </c>
      <c r="BV416" s="315" t="e">
        <f>IF($J416="",#N/A,SUM(BT$4:BT416,BR$4:BR416,BP$4:BP416))</f>
        <v>#N/A</v>
      </c>
      <c r="BW416" s="304" t="str">
        <f t="shared" si="699"/>
        <v/>
      </c>
      <c r="BX416" s="313" t="e">
        <f>IF($J416="",#N/A,SUM(BW$4:BW416))</f>
        <v>#N/A</v>
      </c>
      <c r="BY416" s="314" t="str">
        <f t="shared" si="700"/>
        <v/>
      </c>
      <c r="BZ416" s="314" t="e">
        <f>IF($J416="",#N/A,SUM(BY$4:BY416))</f>
        <v>#N/A</v>
      </c>
      <c r="CA416" s="315" t="str">
        <f t="shared" si="701"/>
        <v/>
      </c>
      <c r="CB416" s="315" t="e">
        <f>IF($J416="",#N/A,SUM(CA$4:CA416))</f>
        <v>#N/A</v>
      </c>
      <c r="CC416" s="315" t="e">
        <f>IF($J416="",#N/A,SUM(CA$4:CA416,BY$4:BY416,BW$4:BW416))</f>
        <v>#N/A</v>
      </c>
      <c r="CD416" s="304" t="str">
        <f t="shared" si="702"/>
        <v/>
      </c>
      <c r="CE416" s="313" t="e">
        <f>IF($J416="",#N/A,SUM(CD$4:CD416))</f>
        <v>#N/A</v>
      </c>
      <c r="CF416" s="314" t="str">
        <f t="shared" si="703"/>
        <v/>
      </c>
      <c r="CG416" s="314" t="e">
        <f>IF($J416="",#N/A,SUM(CF$4:CF416))</f>
        <v>#N/A</v>
      </c>
      <c r="CH416" s="315" t="str">
        <f t="shared" si="704"/>
        <v/>
      </c>
      <c r="CI416" s="315" t="e">
        <f>IF($J416="",#N/A,SUM(CH$4:CH416))</f>
        <v>#N/A</v>
      </c>
      <c r="CJ416" s="315" t="e">
        <f>IF($J416="",#N/A,SUM(CH$4:CH416,CF$4:CF416,CD$4:CD416))</f>
        <v>#N/A</v>
      </c>
      <c r="CK416" s="304" t="str">
        <f t="shared" si="705"/>
        <v/>
      </c>
      <c r="CL416" s="313" t="e">
        <f>IF($J416="",#N/A,SUM(CK$4:CK416))</f>
        <v>#N/A</v>
      </c>
      <c r="CM416" s="314" t="str">
        <f t="shared" si="706"/>
        <v/>
      </c>
      <c r="CN416" s="314" t="e">
        <f>IF($J416="",#N/A,SUM(CM$4:CM416))</f>
        <v>#N/A</v>
      </c>
      <c r="CO416" s="315" t="str">
        <f t="shared" si="707"/>
        <v/>
      </c>
      <c r="CP416" s="315" t="e">
        <f>IF($J416="",#N/A,SUM(CO$4:CO416))</f>
        <v>#N/A</v>
      </c>
      <c r="CQ416" s="315" t="e">
        <f>IF($J416="",#N/A,SUM(CO$4:CO416,CM$4:CM416,CK$4:CK416))</f>
        <v>#N/A</v>
      </c>
      <c r="CR416" s="304" t="str">
        <f t="shared" si="708"/>
        <v/>
      </c>
      <c r="CS416" s="313" t="e">
        <f>IF($J416="",#N/A,SUM(CR$4:CR416))</f>
        <v>#N/A</v>
      </c>
      <c r="CT416" s="314" t="str">
        <f t="shared" si="709"/>
        <v/>
      </c>
      <c r="CU416" s="314" t="e">
        <f>IF($J416="",#N/A,SUM(CT$4:CT416))</f>
        <v>#N/A</v>
      </c>
      <c r="CV416" s="315" t="str">
        <f t="shared" si="710"/>
        <v/>
      </c>
      <c r="CW416" s="315" t="e">
        <f>IF($J416="",#N/A,SUM(CV$4:CV416))</f>
        <v>#N/A</v>
      </c>
      <c r="CX416" s="315" t="e">
        <f>IF($J416="",#N/A,SUM(CV$4:CV416,CT$4:CT416,CR$4:CR416))</f>
        <v>#N/A</v>
      </c>
      <c r="CY416" s="304" t="str">
        <f t="shared" si="711"/>
        <v/>
      </c>
      <c r="CZ416" s="313" t="e">
        <f>IF($J416="",#N/A,SUM(CY$4:CY416))</f>
        <v>#N/A</v>
      </c>
      <c r="DA416" s="314" t="str">
        <f t="shared" si="712"/>
        <v/>
      </c>
      <c r="DB416" s="314" t="e">
        <f>IF($J416="",#N/A,SUM(DA$4:DA416))</f>
        <v>#N/A</v>
      </c>
      <c r="DC416" s="315" t="str">
        <f t="shared" si="713"/>
        <v/>
      </c>
      <c r="DD416" s="315" t="e">
        <f>IF($J416="",#N/A,SUM(DC$4:DC416))</f>
        <v>#N/A</v>
      </c>
      <c r="DE416" s="315" t="e">
        <f>IF($J416="",#N/A,SUM(DC$4:DC416,DA$4:DA416,CY$4:CY416))</f>
        <v>#N/A</v>
      </c>
      <c r="DF416" s="304" t="str">
        <f t="shared" si="714"/>
        <v/>
      </c>
      <c r="DG416" s="313" t="e">
        <f>IF($J416="",#N/A,SUM(DF$4:DF416))</f>
        <v>#N/A</v>
      </c>
      <c r="DH416" s="314" t="str">
        <f t="shared" si="715"/>
        <v/>
      </c>
      <c r="DI416" s="314" t="e">
        <f>IF($J416="",#N/A,SUM(DH$4:DH416))</f>
        <v>#N/A</v>
      </c>
      <c r="DJ416" s="315" t="str">
        <f t="shared" si="716"/>
        <v/>
      </c>
      <c r="DK416" s="315" t="e">
        <f>IF($J416="",#N/A,SUM(DJ$4:DJ416))</f>
        <v>#N/A</v>
      </c>
      <c r="DL416" s="315" t="e">
        <f>IF($J416="",#N/A,SUM(DJ$4:DJ416,DH$4:DH416,DF$4:DF416))</f>
        <v>#N/A</v>
      </c>
      <c r="DM416" s="304" t="str">
        <f t="shared" si="717"/>
        <v/>
      </c>
      <c r="DN416" s="313" t="e">
        <f>IF($J416="",#N/A,SUM(DM$4:DM416))</f>
        <v>#N/A</v>
      </c>
      <c r="DO416" s="314" t="str">
        <f t="shared" si="718"/>
        <v/>
      </c>
      <c r="DP416" s="314" t="e">
        <f>IF($J416="",#N/A,SUM(DO$4:DO416))</f>
        <v>#N/A</v>
      </c>
      <c r="DQ416" s="315" t="str">
        <f t="shared" si="719"/>
        <v/>
      </c>
      <c r="DR416" s="315" t="e">
        <f>IF($J416="",#N/A,SUM(DQ$4:DQ416))</f>
        <v>#N/A</v>
      </c>
      <c r="DS416" s="315" t="e">
        <f>IF($J416="",#N/A,SUM(DQ$4:DQ416,DO$4:DO416,DM$4:DM416))</f>
        <v>#N/A</v>
      </c>
      <c r="DT416" s="304" t="str">
        <f t="shared" si="720"/>
        <v/>
      </c>
      <c r="DU416" s="313" t="e">
        <f>IF($J416="",#N/A,SUM(DT$4:DT416))</f>
        <v>#N/A</v>
      </c>
      <c r="DV416" s="314" t="str">
        <f t="shared" si="721"/>
        <v/>
      </c>
      <c r="DW416" s="314" t="e">
        <f>IF($J416="",#N/A,SUM(DV$4:DV416))</f>
        <v>#N/A</v>
      </c>
      <c r="DX416" s="315" t="str">
        <f t="shared" si="722"/>
        <v/>
      </c>
      <c r="DY416" s="315" t="e">
        <f>IF($J416="",#N/A,SUM(DX$4:DX416))</f>
        <v>#N/A</v>
      </c>
      <c r="DZ416" s="315" t="e">
        <f>IF($J416="",#N/A,SUM(DX$4:DX416,DV$4:DV416,DT$4:DT416))</f>
        <v>#N/A</v>
      </c>
      <c r="EA416" s="304" t="str">
        <f t="shared" si="723"/>
        <v/>
      </c>
      <c r="EB416" s="313" t="e">
        <f>IF($J416="",#N/A,SUM(EA$4:EA416))</f>
        <v>#N/A</v>
      </c>
      <c r="EC416" s="314" t="str">
        <f t="shared" si="724"/>
        <v/>
      </c>
      <c r="ED416" s="314" t="e">
        <f>IF($J416="",#N/A,SUM(EC$4:EC416))</f>
        <v>#N/A</v>
      </c>
      <c r="EE416" s="315" t="str">
        <f t="shared" si="725"/>
        <v/>
      </c>
      <c r="EF416" s="315" t="e">
        <f>IF($J416="",#N/A,SUM(EE$4:EE416))</f>
        <v>#N/A</v>
      </c>
      <c r="EG416" s="315" t="e">
        <f>IF($J416="",#N/A,SUM(EE$4:EE416,EC$4:EC416,EA$4:EA416))</f>
        <v>#N/A</v>
      </c>
      <c r="EH416" s="130">
        <f t="shared" si="726"/>
        <v>38.340000000000146</v>
      </c>
      <c r="EI416" s="63">
        <f>IF(EH416="",#N/A,SUM($EH$4:EH416))</f>
        <v>1809.5035715933473</v>
      </c>
      <c r="EJ416" s="223" t="e">
        <f t="shared" si="727"/>
        <v>#N/A</v>
      </c>
      <c r="EK416" s="63" t="e">
        <f>IF($GZ416="",#N/A,SUM(EJ$4:EJ416))</f>
        <v>#N/A</v>
      </c>
      <c r="EL416" s="60" t="str">
        <f t="shared" si="757"/>
        <v/>
      </c>
      <c r="EM416" s="60" t="e">
        <f>IF(EL416="",NA(),SUM($EL$4:EL416))</f>
        <v>#N/A</v>
      </c>
      <c r="EN416" s="60" t="str">
        <f t="shared" si="728"/>
        <v/>
      </c>
      <c r="EO416" s="60" t="e">
        <f>IF(EN416="",NA(),SUM($EN$4:EN416))</f>
        <v>#N/A</v>
      </c>
      <c r="EP416" s="60" t="str">
        <f t="shared" si="729"/>
        <v/>
      </c>
      <c r="EQ416" s="60" t="e">
        <f>IF(EP416="",NA(),SUM($EP$4:EP416))</f>
        <v>#N/A</v>
      </c>
      <c r="ER416" s="60" t="str">
        <f t="shared" si="730"/>
        <v/>
      </c>
      <c r="ES416" s="60" t="e">
        <f>IF(ER416="",NA(),SUM($ER$4:ER416))</f>
        <v>#N/A</v>
      </c>
      <c r="ET416" s="60">
        <f t="shared" si="731"/>
        <v>0.36141511835072676</v>
      </c>
      <c r="EU416" s="60">
        <f>IF(ET416="",NA(),SUM($ET$4:ET416))</f>
        <v>37.258586637411916</v>
      </c>
      <c r="EV416" s="60" t="str">
        <f t="shared" si="732"/>
        <v/>
      </c>
      <c r="EW416" s="60" t="e">
        <f>IF(EV416="",NA(),SUM($EV$4:EV416))</f>
        <v>#N/A</v>
      </c>
      <c r="EX416" s="60">
        <f t="shared" si="733"/>
        <v>0.36141511835072676</v>
      </c>
      <c r="EY416" s="60">
        <f>IF(EX416="",NA(),SUM($EX$4:EX416))</f>
        <v>10.35643220423297</v>
      </c>
      <c r="EZ416" s="60" t="str">
        <f t="shared" si="734"/>
        <v/>
      </c>
      <c r="FA416" s="60" t="e">
        <f>IF(EZ416="",NA(),SUM($EZ$4:EZ416))</f>
        <v>#N/A</v>
      </c>
      <c r="FB416" s="246" t="str">
        <f t="shared" si="758"/>
        <v/>
      </c>
      <c r="FC416" s="246" t="e">
        <f>IF($FB416="",#N/A,SUM(FB$4:$FB416))</f>
        <v>#N/A</v>
      </c>
      <c r="FD416" s="60" t="str">
        <f t="shared" si="735"/>
        <v/>
      </c>
      <c r="FE416" s="60" t="e">
        <f>IF($FD416="",#N/A,SUM($FD$4:FD416))</f>
        <v>#N/A</v>
      </c>
      <c r="FF416" s="60" t="str">
        <f t="shared" si="736"/>
        <v/>
      </c>
      <c r="FG416" s="60" t="e">
        <f>IF($FF416="",#N/A,SUM($FF$4:FF416))</f>
        <v>#N/A</v>
      </c>
      <c r="FH416" s="60" t="str">
        <f t="shared" si="737"/>
        <v/>
      </c>
      <c r="FI416" s="60" t="e">
        <f>IF($FH416="",#N/A,SUM($FH$4:FH416))</f>
        <v>#N/A</v>
      </c>
      <c r="FJ416" s="60">
        <f t="shared" si="738"/>
        <v>0.12301688300670188</v>
      </c>
      <c r="FK416" s="60">
        <f>IF($FJ416="",#N/A,SUM($FJ$4:FJ416))</f>
        <v>-7.0214876930087922</v>
      </c>
      <c r="FL416" s="60" t="str">
        <f t="shared" si="739"/>
        <v/>
      </c>
      <c r="FM416" s="60" t="e">
        <f>IF($FL416="",#N/A,SUM($FL$4:FL416))</f>
        <v>#N/A</v>
      </c>
      <c r="FN416" s="82">
        <f t="shared" si="740"/>
        <v>0.48443200135742864</v>
      </c>
      <c r="FO416" s="82">
        <f>IF($FN416="",#N/A,SUM(FN$4:$FN416))</f>
        <v>46.831981388744772</v>
      </c>
      <c r="FP416" s="82">
        <f t="shared" si="759"/>
        <v>0.36141511835072676</v>
      </c>
      <c r="FQ416" s="246">
        <f>IF($EH416="",#N/A,SUM($FP$4:FP416))</f>
        <v>59.146336073154956</v>
      </c>
      <c r="FR416" s="82">
        <f>IFERROR(FQ416/COUNTA($J$4:J416),#N/A)</f>
        <v>0.1432114674894793</v>
      </c>
      <c r="FS416" s="82">
        <f t="shared" si="661"/>
        <v>0.12313334464541356</v>
      </c>
      <c r="FT416" s="82">
        <f t="shared" si="662"/>
        <v>0.31726129499296546</v>
      </c>
      <c r="FU416" s="338">
        <f t="shared" si="764"/>
        <v>30.118553419868832</v>
      </c>
      <c r="FV416" s="57" t="str">
        <f t="shared" si="666"/>
        <v>SW</v>
      </c>
      <c r="FW416" s="57" t="s">
        <v>2732</v>
      </c>
      <c r="FX416" s="57" t="str">
        <f t="shared" si="741"/>
        <v/>
      </c>
      <c r="FY416" s="57" t="str">
        <f t="shared" si="742"/>
        <v/>
      </c>
      <c r="FZ416" s="57">
        <f t="shared" si="743"/>
        <v>1</v>
      </c>
      <c r="GA416" s="57" t="str">
        <f t="shared" si="744"/>
        <v>Long</v>
      </c>
      <c r="GB416" s="57" t="str">
        <f t="shared" si="745"/>
        <v/>
      </c>
      <c r="GC416" s="57" t="str">
        <f t="shared" si="746"/>
        <v/>
      </c>
      <c r="GD416" s="57" t="str">
        <f t="shared" si="747"/>
        <v/>
      </c>
      <c r="GE416" s="62">
        <f t="shared" si="664"/>
        <v>196.45</v>
      </c>
      <c r="GF416" s="62" t="s">
        <v>2779</v>
      </c>
      <c r="GG416" s="199">
        <v>9</v>
      </c>
      <c r="GH416" s="207">
        <f t="shared" si="748"/>
        <v>1768.05</v>
      </c>
      <c r="GI416" s="199">
        <v>9</v>
      </c>
      <c r="GJ416" s="200">
        <v>200.35</v>
      </c>
      <c r="GK416" s="63">
        <f t="shared" si="749"/>
        <v>35.099999999999909</v>
      </c>
      <c r="GL416" s="63">
        <f t="shared" si="665"/>
        <v>51.3900000000001</v>
      </c>
      <c r="GM416" s="82">
        <f t="shared" si="750"/>
        <v>0.48443200135742864</v>
      </c>
      <c r="GN416" s="82">
        <f>IF($GZ416="",#N/A,SUM(GM$4:GM416))</f>
        <v>7.5085009458732817</v>
      </c>
      <c r="GO416" s="82" t="str">
        <f t="shared" si="751"/>
        <v/>
      </c>
      <c r="GP416" s="82">
        <f>IF($GZ416="",#N/A,SUM(GO$4:GO416))</f>
        <v>3.2522471402826749</v>
      </c>
      <c r="GQ416" s="82" t="str">
        <f t="shared" si="752"/>
        <v/>
      </c>
      <c r="GR416" s="82">
        <f>IF($GZ416="",#N/A,SUM(GQ$4:GQ416))</f>
        <v>35.445396348146495</v>
      </c>
      <c r="GS416" s="63" t="e">
        <f t="shared" si="760"/>
        <v>#N/A</v>
      </c>
      <c r="GT416" s="63" t="e">
        <f>IF($GZ416="",#N/A,SUM(GS$4:GS416))</f>
        <v>#N/A</v>
      </c>
      <c r="GU416" s="63" t="str">
        <f t="shared" si="761"/>
        <v/>
      </c>
      <c r="GV416" s="63" t="e">
        <f>IF($GZ416="",#N/A,SUM(GU$4:GU416))</f>
        <v>#N/A</v>
      </c>
      <c r="GW416" s="63" t="str">
        <f t="shared" si="762"/>
        <v/>
      </c>
      <c r="GX416" s="63" t="e">
        <f>IF($GZ416="",#N/A,SUM(GW$4:GW416))</f>
        <v>#N/A</v>
      </c>
      <c r="GY416" s="63" t="e">
        <f>IF(EJ416="",#N/A,SUM($EJ$4:EJ416))</f>
        <v>#N/A</v>
      </c>
      <c r="GZ416" s="159">
        <v>202.16</v>
      </c>
      <c r="HA416" s="63">
        <f t="shared" si="753"/>
        <v>13.049999999999955</v>
      </c>
      <c r="HB416" s="62" t="s">
        <v>2538</v>
      </c>
      <c r="HC416" s="60">
        <f>IFERROR(VLOOKUP(E416,Expectancy!$P$4:$S$19,1+C416,FALSE),"")</f>
        <v>0.27741610538114203</v>
      </c>
      <c r="HD416" s="82">
        <f t="shared" si="754"/>
        <v>0.33087299567319844</v>
      </c>
      <c r="HE416" s="138">
        <f>IF(HD416="",#N/A,SUM($HD$4:HD416))</f>
        <v>14.497782653286125</v>
      </c>
      <c r="HF416" s="85">
        <f>IF(HD416="",#N/A,IF(HB416="Skip",#N/A,SUM($HG$4:HG416)))</f>
        <v>737.93357921915549</v>
      </c>
      <c r="HG416" s="63">
        <f t="shared" si="755"/>
        <v>35.099999999999909</v>
      </c>
      <c r="HH416" s="82">
        <f t="shared" si="756"/>
        <v>0.48443200135742864</v>
      </c>
    </row>
    <row r="417" spans="1:216" x14ac:dyDescent="0.25">
      <c r="A417" s="57" t="s">
        <v>1156</v>
      </c>
      <c r="B417" s="58" t="str" cm="1">
        <f t="array" ref="B417">IFERROR(_xlfn.XLOOKUP(A417,Earnings!$B$2:$B$9985,LEFT(Earnings!$C$2:$C$9985,37)),"Can't Find Date***")</f>
        <v>on 3/6/25 Before Market Eastern Stand</v>
      </c>
      <c r="C417" s="386">
        <f t="shared" si="667"/>
        <v>2</v>
      </c>
      <c r="D417" s="372" t="str">
        <f>_xlfn.XLOOKUP(A417,[1]SP500!$A$2:$A$502,[1]SP500!$D$2:$D$502,"N")</f>
        <v>N</v>
      </c>
      <c r="E417" s="57" t="str">
        <f>_xlfn.XLOOKUP(A417,[1]SP500!$A$2:$A$655,[1]SP500!$B$2:$B$655)</f>
        <v>XLY</v>
      </c>
      <c r="F417" s="59">
        <v>45722</v>
      </c>
      <c r="G417" s="57" t="str">
        <f t="shared" si="668"/>
        <v>BMO</v>
      </c>
      <c r="H417" s="57" t="str">
        <f t="shared" si="669"/>
        <v>s</v>
      </c>
      <c r="I417" s="159">
        <v>13.31</v>
      </c>
      <c r="J417" s="159">
        <v>12.65</v>
      </c>
      <c r="K417" s="61">
        <f t="shared" si="670"/>
        <v>-4.9586776859504141E-2</v>
      </c>
      <c r="L417" s="87">
        <f t="shared" si="671"/>
        <v>82.5</v>
      </c>
      <c r="M417" s="130">
        <f t="shared" si="663"/>
        <v>-7.5</v>
      </c>
      <c r="N417" s="169" t="str">
        <f t="shared" si="672"/>
        <v/>
      </c>
      <c r="O417" s="169">
        <f>IF($J417="",#N/A,SUM($N$4:N417))</f>
        <v>-344.89225475891067</v>
      </c>
      <c r="P417" s="174">
        <f t="shared" si="673"/>
        <v>82.5</v>
      </c>
      <c r="Q417" s="174">
        <f>IF($J417="",#N/A,SUM($P$4:P417))</f>
        <v>1403.5966539569486</v>
      </c>
      <c r="R417" s="178" t="str">
        <f t="shared" si="674"/>
        <v/>
      </c>
      <c r="S417" s="178">
        <f>IF($J417="",#N/A,SUM($R$4:R417))</f>
        <v>833.29917239530914</v>
      </c>
      <c r="T417" s="290" t="str">
        <f t="shared" si="675"/>
        <v/>
      </c>
      <c r="U417" s="290">
        <f>IF($J417="",#N/A,SUM($T$4:T417))</f>
        <v>10.01739856757891</v>
      </c>
      <c r="V417" s="291">
        <f t="shared" si="676"/>
        <v>0.82644628099173556</v>
      </c>
      <c r="W417" s="291">
        <f>IF($J417="",#N/A,SUM($V$4:V417))</f>
        <v>33.639985451399092</v>
      </c>
      <c r="X417" s="292" t="str">
        <f t="shared" si="677"/>
        <v/>
      </c>
      <c r="Y417" s="292">
        <f>IF($J417="",#N/A,SUM($X$4:X417))</f>
        <v>16.315398335168712</v>
      </c>
      <c r="Z417" s="304" t="str">
        <f t="shared" si="678"/>
        <v/>
      </c>
      <c r="AA417" s="313" t="e">
        <f>IF($J417="",#N/A,SUM(Z$4:Z417))</f>
        <v>#N/A</v>
      </c>
      <c r="AB417" s="314" t="str">
        <f t="shared" si="679"/>
        <v/>
      </c>
      <c r="AC417" s="314" t="e">
        <f>IF($J417="",#N/A,SUM(AB$4:AB417))</f>
        <v>#N/A</v>
      </c>
      <c r="AD417" s="315" t="str">
        <f t="shared" si="680"/>
        <v/>
      </c>
      <c r="AE417" s="315" t="e">
        <f>IF($J417="",#N/A,SUM(AD$4:AD417))</f>
        <v>#N/A</v>
      </c>
      <c r="AF417" s="315" t="e">
        <f>IF($J417="",#N/A,SUM(AD$4:AD417,AB$4:AB417,Z$4:Z417))</f>
        <v>#N/A</v>
      </c>
      <c r="AG417" s="304" t="str">
        <f t="shared" si="681"/>
        <v/>
      </c>
      <c r="AH417" s="313" t="e">
        <f>IF($J417="",#N/A,SUM(AG$4:AG417))</f>
        <v>#N/A</v>
      </c>
      <c r="AI417" s="314" t="str">
        <f t="shared" si="682"/>
        <v/>
      </c>
      <c r="AJ417" s="314" t="e">
        <f>IF($J417="",#N/A,SUM(AI$4:AI417))</f>
        <v>#N/A</v>
      </c>
      <c r="AK417" s="315" t="str">
        <f t="shared" si="683"/>
        <v/>
      </c>
      <c r="AL417" s="315" t="e">
        <f>IF($J417="",#N/A,SUM(AK$4:AK417))</f>
        <v>#N/A</v>
      </c>
      <c r="AM417" s="315" t="e">
        <f>IF($J417="",#N/A,SUM(AK$4:AK417,AI$4:AI417,AG$4:AG417))</f>
        <v>#N/A</v>
      </c>
      <c r="AN417" s="304" t="str">
        <f t="shared" si="684"/>
        <v/>
      </c>
      <c r="AO417" s="313" t="e">
        <f>IF($J417="",#N/A,SUM(AN$4:AN417))</f>
        <v>#N/A</v>
      </c>
      <c r="AP417" s="314">
        <f t="shared" si="685"/>
        <v>0.82644628099173556</v>
      </c>
      <c r="AQ417" s="314" t="e">
        <f>IF($J417="",#N/A,SUM(AP$4:AP417))</f>
        <v>#N/A</v>
      </c>
      <c r="AR417" s="315" t="str">
        <f t="shared" si="686"/>
        <v/>
      </c>
      <c r="AS417" s="315" t="e">
        <f>IF($J417="",#N/A,SUM(AR$4:AR417))</f>
        <v>#N/A</v>
      </c>
      <c r="AT417" s="315" t="e">
        <f>IF($J417="",#N/A,SUM(AR$4:AR417,AP$4:AP417,AN$4:AN417))</f>
        <v>#N/A</v>
      </c>
      <c r="AU417" s="304" t="str">
        <f t="shared" si="687"/>
        <v/>
      </c>
      <c r="AV417" s="313" t="e">
        <f>IF($J417="",#N/A,SUM(AU$4:AU417))</f>
        <v>#N/A</v>
      </c>
      <c r="AW417" s="314" t="str">
        <f t="shared" si="688"/>
        <v/>
      </c>
      <c r="AX417" s="314" t="e">
        <f>IF($J417="",#N/A,SUM(AW$4:AW417))</f>
        <v>#N/A</v>
      </c>
      <c r="AY417" s="315" t="str">
        <f t="shared" si="689"/>
        <v/>
      </c>
      <c r="AZ417" s="315" t="e">
        <f>IF($J417="",#N/A,SUM(AY$4:AY417))</f>
        <v>#N/A</v>
      </c>
      <c r="BA417" s="315" t="e">
        <f>IF($J417="",#N/A,SUM(AY$4:AY417,AW$4:AW417,AU$4:AU417))</f>
        <v>#N/A</v>
      </c>
      <c r="BB417" s="304" t="str">
        <f t="shared" si="690"/>
        <v/>
      </c>
      <c r="BC417" s="313" t="e">
        <f>IF($J417="",#N/A,SUM(BB$4:BB417))</f>
        <v>#N/A</v>
      </c>
      <c r="BD417" s="314" t="str">
        <f t="shared" si="691"/>
        <v/>
      </c>
      <c r="BE417" s="314" t="e">
        <f>IF($J417="",#N/A,SUM(BD$4:BD417))</f>
        <v>#N/A</v>
      </c>
      <c r="BF417" s="315" t="str">
        <f t="shared" si="692"/>
        <v/>
      </c>
      <c r="BG417" s="315" t="e">
        <f>IF($J417="",#N/A,SUM(BF$4:BF417))</f>
        <v>#N/A</v>
      </c>
      <c r="BH417" s="315" t="e">
        <f>IF($J417="",#N/A,SUM(BF$4:BF417,BD$4:BD417,BB$4:BB417))</f>
        <v>#N/A</v>
      </c>
      <c r="BI417" s="304" t="str">
        <f t="shared" si="693"/>
        <v/>
      </c>
      <c r="BJ417" s="313" t="e">
        <f>IF($J417="",#N/A,SUM(BI$4:BI417))</f>
        <v>#N/A</v>
      </c>
      <c r="BK417" s="314" t="str">
        <f t="shared" si="694"/>
        <v/>
      </c>
      <c r="BL417" s="314" t="e">
        <f>IF($J417="",#N/A,SUM(BK$4:BK417))</f>
        <v>#N/A</v>
      </c>
      <c r="BM417" s="315" t="str">
        <f t="shared" si="695"/>
        <v/>
      </c>
      <c r="BN417" s="315" t="e">
        <f>IF($J417="",#N/A,SUM(BM$4:BM417))</f>
        <v>#N/A</v>
      </c>
      <c r="BO417" s="315" t="e">
        <f>IF($J417="",#N/A,SUM(BM$4:BM417,BK$4:BK417,BI$4:BI417))</f>
        <v>#N/A</v>
      </c>
      <c r="BP417" s="304" t="str">
        <f t="shared" si="696"/>
        <v/>
      </c>
      <c r="BQ417" s="313" t="e">
        <f>IF($J417="",#N/A,SUM(BP$4:BP417))</f>
        <v>#N/A</v>
      </c>
      <c r="BR417" s="314" t="str">
        <f t="shared" si="697"/>
        <v/>
      </c>
      <c r="BS417" s="314" t="e">
        <f>IF($J417="",#N/A,SUM(BR$4:BR417))</f>
        <v>#N/A</v>
      </c>
      <c r="BT417" s="315" t="str">
        <f t="shared" si="698"/>
        <v/>
      </c>
      <c r="BU417" s="315" t="e">
        <f>IF($J417="",#N/A,SUM(BT$4:BT417))</f>
        <v>#N/A</v>
      </c>
      <c r="BV417" s="315" t="e">
        <f>IF($J417="",#N/A,SUM(BT$4:BT417,BR$4:BR417,BP$4:BP417))</f>
        <v>#N/A</v>
      </c>
      <c r="BW417" s="304" t="str">
        <f t="shared" si="699"/>
        <v/>
      </c>
      <c r="BX417" s="313" t="e">
        <f>IF($J417="",#N/A,SUM(BW$4:BW417))</f>
        <v>#N/A</v>
      </c>
      <c r="BY417" s="314" t="str">
        <f t="shared" si="700"/>
        <v/>
      </c>
      <c r="BZ417" s="314" t="e">
        <f>IF($J417="",#N/A,SUM(BY$4:BY417))</f>
        <v>#N/A</v>
      </c>
      <c r="CA417" s="315" t="str">
        <f t="shared" si="701"/>
        <v/>
      </c>
      <c r="CB417" s="315" t="e">
        <f>IF($J417="",#N/A,SUM(CA$4:CA417))</f>
        <v>#N/A</v>
      </c>
      <c r="CC417" s="315" t="e">
        <f>IF($J417="",#N/A,SUM(CA$4:CA417,BY$4:BY417,BW$4:BW417))</f>
        <v>#N/A</v>
      </c>
      <c r="CD417" s="304" t="str">
        <f t="shared" si="702"/>
        <v/>
      </c>
      <c r="CE417" s="313" t="e">
        <f>IF($J417="",#N/A,SUM(CD$4:CD417))</f>
        <v>#N/A</v>
      </c>
      <c r="CF417" s="314" t="str">
        <f t="shared" si="703"/>
        <v/>
      </c>
      <c r="CG417" s="314" t="e">
        <f>IF($J417="",#N/A,SUM(CF$4:CF417))</f>
        <v>#N/A</v>
      </c>
      <c r="CH417" s="315" t="str">
        <f t="shared" si="704"/>
        <v/>
      </c>
      <c r="CI417" s="315" t="e">
        <f>IF($J417="",#N/A,SUM(CH$4:CH417))</f>
        <v>#N/A</v>
      </c>
      <c r="CJ417" s="315" t="e">
        <f>IF($J417="",#N/A,SUM(CH$4:CH417,CF$4:CF417,CD$4:CD417))</f>
        <v>#N/A</v>
      </c>
      <c r="CK417" s="304" t="str">
        <f t="shared" si="705"/>
        <v/>
      </c>
      <c r="CL417" s="313" t="e">
        <f>IF($J417="",#N/A,SUM(CK$4:CK417))</f>
        <v>#N/A</v>
      </c>
      <c r="CM417" s="314" t="str">
        <f t="shared" si="706"/>
        <v/>
      </c>
      <c r="CN417" s="314" t="e">
        <f>IF($J417="",#N/A,SUM(CM$4:CM417))</f>
        <v>#N/A</v>
      </c>
      <c r="CO417" s="315" t="str">
        <f t="shared" si="707"/>
        <v/>
      </c>
      <c r="CP417" s="315" t="e">
        <f>IF($J417="",#N/A,SUM(CO$4:CO417))</f>
        <v>#N/A</v>
      </c>
      <c r="CQ417" s="315" t="e">
        <f>IF($J417="",#N/A,SUM(CO$4:CO417,CM$4:CM417,CK$4:CK417))</f>
        <v>#N/A</v>
      </c>
      <c r="CR417" s="304" t="str">
        <f t="shared" si="708"/>
        <v/>
      </c>
      <c r="CS417" s="313" t="e">
        <f>IF($J417="",#N/A,SUM(CR$4:CR417))</f>
        <v>#N/A</v>
      </c>
      <c r="CT417" s="314" t="str">
        <f t="shared" si="709"/>
        <v/>
      </c>
      <c r="CU417" s="314" t="e">
        <f>IF($J417="",#N/A,SUM(CT$4:CT417))</f>
        <v>#N/A</v>
      </c>
      <c r="CV417" s="315" t="str">
        <f t="shared" si="710"/>
        <v/>
      </c>
      <c r="CW417" s="315" t="e">
        <f>IF($J417="",#N/A,SUM(CV$4:CV417))</f>
        <v>#N/A</v>
      </c>
      <c r="CX417" s="315" t="e">
        <f>IF($J417="",#N/A,SUM(CV$4:CV417,CT$4:CT417,CR$4:CR417))</f>
        <v>#N/A</v>
      </c>
      <c r="CY417" s="304" t="str">
        <f t="shared" si="711"/>
        <v/>
      </c>
      <c r="CZ417" s="313" t="e">
        <f>IF($J417="",#N/A,SUM(CY$4:CY417))</f>
        <v>#N/A</v>
      </c>
      <c r="DA417" s="314" t="str">
        <f t="shared" si="712"/>
        <v/>
      </c>
      <c r="DB417" s="314" t="e">
        <f>IF($J417="",#N/A,SUM(DA$4:DA417))</f>
        <v>#N/A</v>
      </c>
      <c r="DC417" s="315" t="str">
        <f t="shared" si="713"/>
        <v/>
      </c>
      <c r="DD417" s="315" t="e">
        <f>IF($J417="",#N/A,SUM(DC$4:DC417))</f>
        <v>#N/A</v>
      </c>
      <c r="DE417" s="315" t="e">
        <f>IF($J417="",#N/A,SUM(DC$4:DC417,DA$4:DA417,CY$4:CY417))</f>
        <v>#N/A</v>
      </c>
      <c r="DF417" s="304" t="str">
        <f t="shared" si="714"/>
        <v/>
      </c>
      <c r="DG417" s="313" t="e">
        <f>IF($J417="",#N/A,SUM(DF$4:DF417))</f>
        <v>#N/A</v>
      </c>
      <c r="DH417" s="314" t="str">
        <f t="shared" si="715"/>
        <v/>
      </c>
      <c r="DI417" s="314" t="e">
        <f>IF($J417="",#N/A,SUM(DH$4:DH417))</f>
        <v>#N/A</v>
      </c>
      <c r="DJ417" s="315" t="str">
        <f t="shared" si="716"/>
        <v/>
      </c>
      <c r="DK417" s="315" t="e">
        <f>IF($J417="",#N/A,SUM(DJ$4:DJ417))</f>
        <v>#N/A</v>
      </c>
      <c r="DL417" s="315" t="e">
        <f>IF($J417="",#N/A,SUM(DJ$4:DJ417,DH$4:DH417,DF$4:DF417))</f>
        <v>#N/A</v>
      </c>
      <c r="DM417" s="304" t="str">
        <f t="shared" si="717"/>
        <v/>
      </c>
      <c r="DN417" s="313" t="e">
        <f>IF($J417="",#N/A,SUM(DM$4:DM417))</f>
        <v>#N/A</v>
      </c>
      <c r="DO417" s="314" t="str">
        <f t="shared" si="718"/>
        <v/>
      </c>
      <c r="DP417" s="314" t="e">
        <f>IF($J417="",#N/A,SUM(DO$4:DO417))</f>
        <v>#N/A</v>
      </c>
      <c r="DQ417" s="315" t="str">
        <f t="shared" si="719"/>
        <v/>
      </c>
      <c r="DR417" s="315" t="e">
        <f>IF($J417="",#N/A,SUM(DQ$4:DQ417))</f>
        <v>#N/A</v>
      </c>
      <c r="DS417" s="315" t="e">
        <f>IF($J417="",#N/A,SUM(DQ$4:DQ417,DO$4:DO417,DM$4:DM417))</f>
        <v>#N/A</v>
      </c>
      <c r="DT417" s="304" t="str">
        <f t="shared" si="720"/>
        <v/>
      </c>
      <c r="DU417" s="313" t="e">
        <f>IF($J417="",#N/A,SUM(DT$4:DT417))</f>
        <v>#N/A</v>
      </c>
      <c r="DV417" s="314" t="str">
        <f t="shared" si="721"/>
        <v/>
      </c>
      <c r="DW417" s="314" t="e">
        <f>IF($J417="",#N/A,SUM(DV$4:DV417))</f>
        <v>#N/A</v>
      </c>
      <c r="DX417" s="315" t="str">
        <f t="shared" si="722"/>
        <v/>
      </c>
      <c r="DY417" s="315" t="e">
        <f>IF($J417="",#N/A,SUM(DX$4:DX417))</f>
        <v>#N/A</v>
      </c>
      <c r="DZ417" s="315" t="e">
        <f>IF($J417="",#N/A,SUM(DX$4:DX417,DV$4:DV417,DT$4:DT417))</f>
        <v>#N/A</v>
      </c>
      <c r="EA417" s="304" t="str">
        <f t="shared" si="723"/>
        <v/>
      </c>
      <c r="EB417" s="313" t="e">
        <f>IF($J417="",#N/A,SUM(EA$4:EA417))</f>
        <v>#N/A</v>
      </c>
      <c r="EC417" s="314" t="str">
        <f t="shared" si="724"/>
        <v/>
      </c>
      <c r="ED417" s="314" t="e">
        <f>IF($J417="",#N/A,SUM(EC$4:EC417))</f>
        <v>#N/A</v>
      </c>
      <c r="EE417" s="315" t="str">
        <f t="shared" si="725"/>
        <v/>
      </c>
      <c r="EF417" s="315" t="e">
        <f>IF($J417="",#N/A,SUM(EE$4:EE417))</f>
        <v>#N/A</v>
      </c>
      <c r="EG417" s="315" t="e">
        <f>IF($J417="",#N/A,SUM(EE$4:EE417,EC$4:EC417,EA$4:EA417))</f>
        <v>#N/A</v>
      </c>
      <c r="EH417" s="130">
        <f t="shared" si="726"/>
        <v>82.5</v>
      </c>
      <c r="EI417" s="63">
        <f>IF(EH417="",#N/A,SUM($EH$4:EH417))</f>
        <v>1892.0035715933473</v>
      </c>
      <c r="EJ417" s="223" t="e">
        <f t="shared" si="727"/>
        <v>#N/A</v>
      </c>
      <c r="EK417" s="63" t="e">
        <f>IF($GZ417="",#N/A,SUM(EJ$4:EJ417))</f>
        <v>#N/A</v>
      </c>
      <c r="EL417" s="60" t="str">
        <f t="shared" si="757"/>
        <v/>
      </c>
      <c r="EM417" s="60" t="e">
        <f>IF(EL417="",NA(),SUM($EL$4:EL417))</f>
        <v>#N/A</v>
      </c>
      <c r="EN417" s="60" t="str">
        <f t="shared" si="728"/>
        <v/>
      </c>
      <c r="EO417" s="60" t="e">
        <f>IF(EN417="",NA(),SUM($EN$4:EN417))</f>
        <v>#N/A</v>
      </c>
      <c r="EP417" s="60" t="str">
        <f t="shared" si="729"/>
        <v/>
      </c>
      <c r="EQ417" s="60" t="e">
        <f>IF(EP417="",NA(),SUM($EP$4:EP417))</f>
        <v>#N/A</v>
      </c>
      <c r="ER417" s="60" t="str">
        <f t="shared" si="730"/>
        <v/>
      </c>
      <c r="ES417" s="60" t="e">
        <f>IF(ER417="",NA(),SUM($ER$4:ER417))</f>
        <v>#N/A</v>
      </c>
      <c r="ET417" s="60">
        <f t="shared" si="731"/>
        <v>0.82644628099173556</v>
      </c>
      <c r="EU417" s="60">
        <f>IF(ET417="",NA(),SUM($ET$4:ET417))</f>
        <v>38.085032918403655</v>
      </c>
      <c r="EV417" s="60" t="str">
        <f t="shared" si="732"/>
        <v/>
      </c>
      <c r="EW417" s="60" t="e">
        <f>IF(EV417="",NA(),SUM($EV$4:EV417))</f>
        <v>#N/A</v>
      </c>
      <c r="EX417" s="60" t="str">
        <f t="shared" si="733"/>
        <v/>
      </c>
      <c r="EY417" s="60" t="e">
        <f>IF(EX417="",NA(),SUM($EX$4:EX417))</f>
        <v>#N/A</v>
      </c>
      <c r="EZ417" s="60">
        <f t="shared" si="734"/>
        <v>0.82644628099173556</v>
      </c>
      <c r="FA417" s="60">
        <f>IF(EZ417="",NA(),SUM($EZ$4:EZ417))</f>
        <v>22.228498464954651</v>
      </c>
      <c r="FB417" s="246">
        <f t="shared" si="758"/>
        <v>-0.71374906085649892</v>
      </c>
      <c r="FC417" s="246">
        <f>IF($FB417="",#N/A,SUM(FB$4:$FB417))</f>
        <v>0.50720256972713673</v>
      </c>
      <c r="FD417" s="60" t="str">
        <f t="shared" si="735"/>
        <v/>
      </c>
      <c r="FE417" s="60" t="e">
        <f>IF($FD417="",#N/A,SUM($FD$4:FD417))</f>
        <v>#N/A</v>
      </c>
      <c r="FF417" s="60" t="str">
        <f t="shared" si="736"/>
        <v/>
      </c>
      <c r="FG417" s="60" t="e">
        <f>IF($FF417="",#N/A,SUM($FF$4:FF417))</f>
        <v>#N/A</v>
      </c>
      <c r="FH417" s="60" t="str">
        <f t="shared" si="737"/>
        <v/>
      </c>
      <c r="FI417" s="60" t="e">
        <f>IF($FH417="",#N/A,SUM($FH$4:FH417))</f>
        <v>#N/A</v>
      </c>
      <c r="FJ417" s="60" t="str">
        <f t="shared" si="738"/>
        <v/>
      </c>
      <c r="FK417" s="60" t="e">
        <f>IF($FJ417="",#N/A,SUM($FJ$4:FJ417))</f>
        <v>#N/A</v>
      </c>
      <c r="FL417" s="60" t="str">
        <f t="shared" si="739"/>
        <v/>
      </c>
      <c r="FM417" s="60" t="e">
        <f>IF($FL417="",#N/A,SUM($FL$4:FL417))</f>
        <v>#N/A</v>
      </c>
      <c r="FN417" s="82">
        <f t="shared" si="740"/>
        <v>0.11269722013523666</v>
      </c>
      <c r="FO417" s="82">
        <f>IF($FN417="",#N/A,SUM(FN$4:$FN417))</f>
        <v>46.944678608880011</v>
      </c>
      <c r="FP417" s="82">
        <f t="shared" si="759"/>
        <v>0.82644628099173556</v>
      </c>
      <c r="FQ417" s="246">
        <f>IF($EH417="",#N/A,SUM($FP$4:FP417))</f>
        <v>59.972782354146695</v>
      </c>
      <c r="FR417" s="82">
        <f>IFERROR(FQ417/COUNTA($J$4:J417),#N/A)</f>
        <v>0.1448617931259582</v>
      </c>
      <c r="FS417" s="82">
        <f t="shared" si="661"/>
        <v>0.13741343390731728</v>
      </c>
      <c r="FT417" s="82">
        <f t="shared" si="662"/>
        <v>0.33464224972672296</v>
      </c>
      <c r="FU417" s="338">
        <f t="shared" si="764"/>
        <v>30.193684899958996</v>
      </c>
      <c r="FV417" s="57" t="str">
        <f t="shared" si="666"/>
        <v>Dwn</v>
      </c>
      <c r="FW417" s="57" t="s">
        <v>2733</v>
      </c>
      <c r="FX417" s="57" t="str">
        <f t="shared" si="741"/>
        <v/>
      </c>
      <c r="FY417" s="57" t="str">
        <f t="shared" si="742"/>
        <v/>
      </c>
      <c r="FZ417" s="57" t="str">
        <f t="shared" si="743"/>
        <v/>
      </c>
      <c r="GA417" s="57" t="str">
        <f t="shared" si="744"/>
        <v>Short</v>
      </c>
      <c r="GB417" s="57">
        <f t="shared" si="745"/>
        <v>1</v>
      </c>
      <c r="GC417" s="57" t="str">
        <f t="shared" si="746"/>
        <v/>
      </c>
      <c r="GD417" s="57" t="str">
        <f t="shared" si="747"/>
        <v/>
      </c>
      <c r="GE417" s="62">
        <f t="shared" si="664"/>
        <v>13.31</v>
      </c>
      <c r="GF417" s="62" t="s">
        <v>2780</v>
      </c>
      <c r="GG417" s="199">
        <v>125</v>
      </c>
      <c r="GH417" s="207">
        <f t="shared" si="748"/>
        <v>1663.75</v>
      </c>
      <c r="GI417" s="199">
        <v>125</v>
      </c>
      <c r="GJ417" s="200">
        <v>12.71</v>
      </c>
      <c r="GK417" s="63">
        <f t="shared" si="749"/>
        <v>75</v>
      </c>
      <c r="GL417" s="63">
        <f t="shared" si="665"/>
        <v>11.25</v>
      </c>
      <c r="GM417" s="82" t="str">
        <f t="shared" si="750"/>
        <v/>
      </c>
      <c r="GN417" s="82">
        <f>IF($GZ417="",#N/A,SUM(GM$4:GM417))</f>
        <v>7.5085009458732817</v>
      </c>
      <c r="GO417" s="82" t="str">
        <f t="shared" si="751"/>
        <v/>
      </c>
      <c r="GP417" s="82">
        <f>IF($GZ417="",#N/A,SUM(GO$4:GO417))</f>
        <v>3.2522471402826749</v>
      </c>
      <c r="GQ417" s="82">
        <f t="shared" si="752"/>
        <v>0.11269722013523666</v>
      </c>
      <c r="GR417" s="82">
        <f>IF($GZ417="",#N/A,SUM(GQ$4:GQ417))</f>
        <v>35.558093568281734</v>
      </c>
      <c r="GS417" s="63" t="str">
        <f t="shared" si="760"/>
        <v/>
      </c>
      <c r="GT417" s="63" t="e">
        <f>IF($GZ417="",#N/A,SUM(GS$4:GS417))</f>
        <v>#N/A</v>
      </c>
      <c r="GU417" s="63" t="str">
        <f t="shared" si="761"/>
        <v/>
      </c>
      <c r="GV417" s="63" t="e">
        <f>IF($GZ417="",#N/A,SUM(GU$4:GU417))</f>
        <v>#N/A</v>
      </c>
      <c r="GW417" s="63" t="e">
        <f t="shared" si="762"/>
        <v>#N/A</v>
      </c>
      <c r="GX417" s="63" t="e">
        <f>IF($GZ417="",#N/A,SUM(GW$4:GW417))</f>
        <v>#N/A</v>
      </c>
      <c r="GY417" s="63" t="e">
        <f>IF(EJ417="",#N/A,SUM($EJ$4:EJ417))</f>
        <v>#N/A</v>
      </c>
      <c r="GZ417" s="159">
        <v>13.22</v>
      </c>
      <c r="HA417" s="63">
        <f t="shared" si="753"/>
        <v>-71.25</v>
      </c>
      <c r="HB417" s="62" t="s">
        <v>2538</v>
      </c>
      <c r="HC417" s="60">
        <f>IFERROR(VLOOKUP(E417,Expectancy!$P$4:$S$19,1+C417,FALSE),"")</f>
        <v>-9.4786290791818092E-2</v>
      </c>
      <c r="HD417" s="82">
        <f t="shared" si="754"/>
        <v>0.75131480090157776</v>
      </c>
      <c r="HE417" s="138">
        <f>IF(HD417="",#N/A,SUM($HD$4:HD417))</f>
        <v>15.249097454187702</v>
      </c>
      <c r="HF417" s="85">
        <f>IF(HD417="",#N/A,IF(HB417="Skip",#N/A,SUM($HG$4:HG417)))</f>
        <v>812.93357921915549</v>
      </c>
      <c r="HG417" s="63">
        <f t="shared" si="755"/>
        <v>75</v>
      </c>
      <c r="HH417" s="82">
        <f t="shared" si="756"/>
        <v>0.11269722013523666</v>
      </c>
    </row>
    <row r="418" spans="1:216" x14ac:dyDescent="0.25">
      <c r="A418" s="57" t="s">
        <v>1154</v>
      </c>
      <c r="B418" s="58" t="str" cm="1">
        <f t="array" ref="B418">IFERROR(_xlfn.XLOOKUP(A418,Earnings!$B$2:$B$9985,LEFT(Earnings!$C$2:$C$9985,37)),"Can't Find Date***")</f>
        <v>on 3/6/25 Before Market Eastern Stand</v>
      </c>
      <c r="C418" s="386">
        <f t="shared" si="667"/>
        <v>3</v>
      </c>
      <c r="D418" s="372" t="str">
        <f>_xlfn.XLOOKUP(A418,[1]SP500!$A$2:$A$502,[1]SP500!$D$2:$D$502,"N")</f>
        <v>N</v>
      </c>
      <c r="E418" s="57" t="str">
        <f>_xlfn.XLOOKUP(A418,[1]SP500!$A$2:$A$655,[1]SP500!$B$2:$B$655)</f>
        <v>XLY</v>
      </c>
      <c r="F418" s="59">
        <v>45722</v>
      </c>
      <c r="G418" s="57" t="str">
        <f t="shared" si="668"/>
        <v>BMO</v>
      </c>
      <c r="H418" s="57" t="str">
        <f t="shared" si="669"/>
        <v>s</v>
      </c>
      <c r="I418" s="159">
        <v>236.95</v>
      </c>
      <c r="J418" s="158">
        <v>268.60000000000002</v>
      </c>
      <c r="K418" s="61">
        <f t="shared" si="670"/>
        <v>0.13357248364633903</v>
      </c>
      <c r="L418" s="87">
        <f t="shared" si="671"/>
        <v>221.55000000000041</v>
      </c>
      <c r="M418" s="130">
        <f t="shared" si="663"/>
        <v>-12.25</v>
      </c>
      <c r="N418" s="169" t="str">
        <f t="shared" si="672"/>
        <v/>
      </c>
      <c r="O418" s="169">
        <f>IF($J418="",#N/A,SUM($N$4:N418))</f>
        <v>-344.89225475891067</v>
      </c>
      <c r="P418" s="174" t="str">
        <f t="shared" si="673"/>
        <v/>
      </c>
      <c r="Q418" s="174">
        <f>IF($J418="",#N/A,SUM($P$4:P418))</f>
        <v>1403.5966539569486</v>
      </c>
      <c r="R418" s="178">
        <f t="shared" si="674"/>
        <v>221.55000000000041</v>
      </c>
      <c r="S418" s="178">
        <f>IF($J418="",#N/A,SUM($R$4:R418))</f>
        <v>1054.8491723953096</v>
      </c>
      <c r="T418" s="290" t="str">
        <f t="shared" si="675"/>
        <v/>
      </c>
      <c r="U418" s="290">
        <f>IF($J418="",#N/A,SUM($T$4:T418))</f>
        <v>10.01739856757891</v>
      </c>
      <c r="V418" s="291" t="str">
        <f t="shared" si="676"/>
        <v/>
      </c>
      <c r="W418" s="291">
        <f>IF($J418="",#N/A,SUM($V$4:V418))</f>
        <v>33.639985451399092</v>
      </c>
      <c r="X418" s="292">
        <f t="shared" si="677"/>
        <v>2.2262080607723194</v>
      </c>
      <c r="Y418" s="292">
        <f>IF($J418="",#N/A,SUM($X$4:X418))</f>
        <v>18.541606395941031</v>
      </c>
      <c r="Z418" s="304" t="str">
        <f t="shared" si="678"/>
        <v/>
      </c>
      <c r="AA418" s="313" t="e">
        <f>IF($J418="",#N/A,SUM(Z$4:Z418))</f>
        <v>#N/A</v>
      </c>
      <c r="AB418" s="314" t="str">
        <f t="shared" si="679"/>
        <v/>
      </c>
      <c r="AC418" s="314" t="e">
        <f>IF($J418="",#N/A,SUM(AB$4:AB418))</f>
        <v>#N/A</v>
      </c>
      <c r="AD418" s="315" t="str">
        <f t="shared" si="680"/>
        <v/>
      </c>
      <c r="AE418" s="315" t="e">
        <f>IF($J418="",#N/A,SUM(AD$4:AD418))</f>
        <v>#N/A</v>
      </c>
      <c r="AF418" s="315" t="e">
        <f>IF($J418="",#N/A,SUM(AD$4:AD418,AB$4:AB418,Z$4:Z418))</f>
        <v>#N/A</v>
      </c>
      <c r="AG418" s="304" t="str">
        <f t="shared" si="681"/>
        <v/>
      </c>
      <c r="AH418" s="313" t="e">
        <f>IF($J418="",#N/A,SUM(AG$4:AG418))</f>
        <v>#N/A</v>
      </c>
      <c r="AI418" s="314" t="str">
        <f t="shared" si="682"/>
        <v/>
      </c>
      <c r="AJ418" s="314" t="e">
        <f>IF($J418="",#N/A,SUM(AI$4:AI418))</f>
        <v>#N/A</v>
      </c>
      <c r="AK418" s="315" t="str">
        <f t="shared" si="683"/>
        <v/>
      </c>
      <c r="AL418" s="315" t="e">
        <f>IF($J418="",#N/A,SUM(AK$4:AK418))</f>
        <v>#N/A</v>
      </c>
      <c r="AM418" s="315" t="e">
        <f>IF($J418="",#N/A,SUM(AK$4:AK418,AI$4:AI418,AG$4:AG418))</f>
        <v>#N/A</v>
      </c>
      <c r="AN418" s="304" t="str">
        <f t="shared" si="684"/>
        <v/>
      </c>
      <c r="AO418" s="313" t="e">
        <f>IF($J418="",#N/A,SUM(AN$4:AN418))</f>
        <v>#N/A</v>
      </c>
      <c r="AP418" s="314" t="str">
        <f t="shared" si="685"/>
        <v/>
      </c>
      <c r="AQ418" s="314" t="e">
        <f>IF($J418="",#N/A,SUM(AP$4:AP418))</f>
        <v>#N/A</v>
      </c>
      <c r="AR418" s="315">
        <f t="shared" si="686"/>
        <v>2.2262080607723194</v>
      </c>
      <c r="AS418" s="315" t="e">
        <f>IF($J418="",#N/A,SUM(AR$4:AR418))</f>
        <v>#N/A</v>
      </c>
      <c r="AT418" s="315" t="e">
        <f>IF($J418="",#N/A,SUM(AR$4:AR418,AP$4:AP418,AN$4:AN418))</f>
        <v>#N/A</v>
      </c>
      <c r="AU418" s="304" t="str">
        <f t="shared" si="687"/>
        <v/>
      </c>
      <c r="AV418" s="313" t="e">
        <f>IF($J418="",#N/A,SUM(AU$4:AU418))</f>
        <v>#N/A</v>
      </c>
      <c r="AW418" s="314" t="str">
        <f t="shared" si="688"/>
        <v/>
      </c>
      <c r="AX418" s="314" t="e">
        <f>IF($J418="",#N/A,SUM(AW$4:AW418))</f>
        <v>#N/A</v>
      </c>
      <c r="AY418" s="315" t="str">
        <f t="shared" si="689"/>
        <v/>
      </c>
      <c r="AZ418" s="315" t="e">
        <f>IF($J418="",#N/A,SUM(AY$4:AY418))</f>
        <v>#N/A</v>
      </c>
      <c r="BA418" s="315" t="e">
        <f>IF($J418="",#N/A,SUM(AY$4:AY418,AW$4:AW418,AU$4:AU418))</f>
        <v>#N/A</v>
      </c>
      <c r="BB418" s="304" t="str">
        <f t="shared" si="690"/>
        <v/>
      </c>
      <c r="BC418" s="313" t="e">
        <f>IF($J418="",#N/A,SUM(BB$4:BB418))</f>
        <v>#N/A</v>
      </c>
      <c r="BD418" s="314" t="str">
        <f t="shared" si="691"/>
        <v/>
      </c>
      <c r="BE418" s="314" t="e">
        <f>IF($J418="",#N/A,SUM(BD$4:BD418))</f>
        <v>#N/A</v>
      </c>
      <c r="BF418" s="315" t="str">
        <f t="shared" si="692"/>
        <v/>
      </c>
      <c r="BG418" s="315" t="e">
        <f>IF($J418="",#N/A,SUM(BF$4:BF418))</f>
        <v>#N/A</v>
      </c>
      <c r="BH418" s="315" t="e">
        <f>IF($J418="",#N/A,SUM(BF$4:BF418,BD$4:BD418,BB$4:BB418))</f>
        <v>#N/A</v>
      </c>
      <c r="BI418" s="304" t="str">
        <f t="shared" si="693"/>
        <v/>
      </c>
      <c r="BJ418" s="313" t="e">
        <f>IF($J418="",#N/A,SUM(BI$4:BI418))</f>
        <v>#N/A</v>
      </c>
      <c r="BK418" s="314" t="str">
        <f t="shared" si="694"/>
        <v/>
      </c>
      <c r="BL418" s="314" t="e">
        <f>IF($J418="",#N/A,SUM(BK$4:BK418))</f>
        <v>#N/A</v>
      </c>
      <c r="BM418" s="315" t="str">
        <f t="shared" si="695"/>
        <v/>
      </c>
      <c r="BN418" s="315" t="e">
        <f>IF($J418="",#N/A,SUM(BM$4:BM418))</f>
        <v>#N/A</v>
      </c>
      <c r="BO418" s="315" t="e">
        <f>IF($J418="",#N/A,SUM(BM$4:BM418,BK$4:BK418,BI$4:BI418))</f>
        <v>#N/A</v>
      </c>
      <c r="BP418" s="304" t="str">
        <f t="shared" si="696"/>
        <v/>
      </c>
      <c r="BQ418" s="313" t="e">
        <f>IF($J418="",#N/A,SUM(BP$4:BP418))</f>
        <v>#N/A</v>
      </c>
      <c r="BR418" s="314" t="str">
        <f t="shared" si="697"/>
        <v/>
      </c>
      <c r="BS418" s="314" t="e">
        <f>IF($J418="",#N/A,SUM(BR$4:BR418))</f>
        <v>#N/A</v>
      </c>
      <c r="BT418" s="315" t="str">
        <f t="shared" si="698"/>
        <v/>
      </c>
      <c r="BU418" s="315" t="e">
        <f>IF($J418="",#N/A,SUM(BT$4:BT418))</f>
        <v>#N/A</v>
      </c>
      <c r="BV418" s="315" t="e">
        <f>IF($J418="",#N/A,SUM(BT$4:BT418,BR$4:BR418,BP$4:BP418))</f>
        <v>#N/A</v>
      </c>
      <c r="BW418" s="304" t="str">
        <f t="shared" si="699"/>
        <v/>
      </c>
      <c r="BX418" s="313" t="e">
        <f>IF($J418="",#N/A,SUM(BW$4:BW418))</f>
        <v>#N/A</v>
      </c>
      <c r="BY418" s="314" t="str">
        <f t="shared" si="700"/>
        <v/>
      </c>
      <c r="BZ418" s="314" t="e">
        <f>IF($J418="",#N/A,SUM(BY$4:BY418))</f>
        <v>#N/A</v>
      </c>
      <c r="CA418" s="315" t="str">
        <f t="shared" si="701"/>
        <v/>
      </c>
      <c r="CB418" s="315" t="e">
        <f>IF($J418="",#N/A,SUM(CA$4:CA418))</f>
        <v>#N/A</v>
      </c>
      <c r="CC418" s="315" t="e">
        <f>IF($J418="",#N/A,SUM(CA$4:CA418,BY$4:BY418,BW$4:BW418))</f>
        <v>#N/A</v>
      </c>
      <c r="CD418" s="304" t="str">
        <f t="shared" si="702"/>
        <v/>
      </c>
      <c r="CE418" s="313" t="e">
        <f>IF($J418="",#N/A,SUM(CD$4:CD418))</f>
        <v>#N/A</v>
      </c>
      <c r="CF418" s="314" t="str">
        <f t="shared" si="703"/>
        <v/>
      </c>
      <c r="CG418" s="314" t="e">
        <f>IF($J418="",#N/A,SUM(CF$4:CF418))</f>
        <v>#N/A</v>
      </c>
      <c r="CH418" s="315" t="str">
        <f t="shared" si="704"/>
        <v/>
      </c>
      <c r="CI418" s="315" t="e">
        <f>IF($J418="",#N/A,SUM(CH$4:CH418))</f>
        <v>#N/A</v>
      </c>
      <c r="CJ418" s="315" t="e">
        <f>IF($J418="",#N/A,SUM(CH$4:CH418,CF$4:CF418,CD$4:CD418))</f>
        <v>#N/A</v>
      </c>
      <c r="CK418" s="304" t="str">
        <f t="shared" si="705"/>
        <v/>
      </c>
      <c r="CL418" s="313" t="e">
        <f>IF($J418="",#N/A,SUM(CK$4:CK418))</f>
        <v>#N/A</v>
      </c>
      <c r="CM418" s="314" t="str">
        <f t="shared" si="706"/>
        <v/>
      </c>
      <c r="CN418" s="314" t="e">
        <f>IF($J418="",#N/A,SUM(CM$4:CM418))</f>
        <v>#N/A</v>
      </c>
      <c r="CO418" s="315" t="str">
        <f t="shared" si="707"/>
        <v/>
      </c>
      <c r="CP418" s="315" t="e">
        <f>IF($J418="",#N/A,SUM(CO$4:CO418))</f>
        <v>#N/A</v>
      </c>
      <c r="CQ418" s="315" t="e">
        <f>IF($J418="",#N/A,SUM(CO$4:CO418,CM$4:CM418,CK$4:CK418))</f>
        <v>#N/A</v>
      </c>
      <c r="CR418" s="304" t="str">
        <f t="shared" si="708"/>
        <v/>
      </c>
      <c r="CS418" s="313" t="e">
        <f>IF($J418="",#N/A,SUM(CR$4:CR418))</f>
        <v>#N/A</v>
      </c>
      <c r="CT418" s="314" t="str">
        <f t="shared" si="709"/>
        <v/>
      </c>
      <c r="CU418" s="314" t="e">
        <f>IF($J418="",#N/A,SUM(CT$4:CT418))</f>
        <v>#N/A</v>
      </c>
      <c r="CV418" s="315" t="str">
        <f t="shared" si="710"/>
        <v/>
      </c>
      <c r="CW418" s="315" t="e">
        <f>IF($J418="",#N/A,SUM(CV$4:CV418))</f>
        <v>#N/A</v>
      </c>
      <c r="CX418" s="315" t="e">
        <f>IF($J418="",#N/A,SUM(CV$4:CV418,CT$4:CT418,CR$4:CR418))</f>
        <v>#N/A</v>
      </c>
      <c r="CY418" s="304" t="str">
        <f t="shared" si="711"/>
        <v/>
      </c>
      <c r="CZ418" s="313" t="e">
        <f>IF($J418="",#N/A,SUM(CY$4:CY418))</f>
        <v>#N/A</v>
      </c>
      <c r="DA418" s="314" t="str">
        <f t="shared" si="712"/>
        <v/>
      </c>
      <c r="DB418" s="314" t="e">
        <f>IF($J418="",#N/A,SUM(DA$4:DA418))</f>
        <v>#N/A</v>
      </c>
      <c r="DC418" s="315" t="str">
        <f t="shared" si="713"/>
        <v/>
      </c>
      <c r="DD418" s="315" t="e">
        <f>IF($J418="",#N/A,SUM(DC$4:DC418))</f>
        <v>#N/A</v>
      </c>
      <c r="DE418" s="315" t="e">
        <f>IF($J418="",#N/A,SUM(DC$4:DC418,DA$4:DA418,CY$4:CY418))</f>
        <v>#N/A</v>
      </c>
      <c r="DF418" s="304" t="str">
        <f t="shared" si="714"/>
        <v/>
      </c>
      <c r="DG418" s="313" t="e">
        <f>IF($J418="",#N/A,SUM(DF$4:DF418))</f>
        <v>#N/A</v>
      </c>
      <c r="DH418" s="314" t="str">
        <f t="shared" si="715"/>
        <v/>
      </c>
      <c r="DI418" s="314" t="e">
        <f>IF($J418="",#N/A,SUM(DH$4:DH418))</f>
        <v>#N/A</v>
      </c>
      <c r="DJ418" s="315" t="str">
        <f t="shared" si="716"/>
        <v/>
      </c>
      <c r="DK418" s="315" t="e">
        <f>IF($J418="",#N/A,SUM(DJ$4:DJ418))</f>
        <v>#N/A</v>
      </c>
      <c r="DL418" s="315" t="e">
        <f>IF($J418="",#N/A,SUM(DJ$4:DJ418,DH$4:DH418,DF$4:DF418))</f>
        <v>#N/A</v>
      </c>
      <c r="DM418" s="304" t="str">
        <f t="shared" si="717"/>
        <v/>
      </c>
      <c r="DN418" s="313" t="e">
        <f>IF($J418="",#N/A,SUM(DM$4:DM418))</f>
        <v>#N/A</v>
      </c>
      <c r="DO418" s="314" t="str">
        <f t="shared" si="718"/>
        <v/>
      </c>
      <c r="DP418" s="314" t="e">
        <f>IF($J418="",#N/A,SUM(DO$4:DO418))</f>
        <v>#N/A</v>
      </c>
      <c r="DQ418" s="315" t="str">
        <f t="shared" si="719"/>
        <v/>
      </c>
      <c r="DR418" s="315" t="e">
        <f>IF($J418="",#N/A,SUM(DQ$4:DQ418))</f>
        <v>#N/A</v>
      </c>
      <c r="DS418" s="315" t="e">
        <f>IF($J418="",#N/A,SUM(DQ$4:DQ418,DO$4:DO418,DM$4:DM418))</f>
        <v>#N/A</v>
      </c>
      <c r="DT418" s="304" t="str">
        <f t="shared" si="720"/>
        <v/>
      </c>
      <c r="DU418" s="313" t="e">
        <f>IF($J418="",#N/A,SUM(DT$4:DT418))</f>
        <v>#N/A</v>
      </c>
      <c r="DV418" s="314" t="str">
        <f t="shared" si="721"/>
        <v/>
      </c>
      <c r="DW418" s="314" t="e">
        <f>IF($J418="",#N/A,SUM(DV$4:DV418))</f>
        <v>#N/A</v>
      </c>
      <c r="DX418" s="315" t="str">
        <f t="shared" si="722"/>
        <v/>
      </c>
      <c r="DY418" s="315" t="e">
        <f>IF($J418="",#N/A,SUM(DX$4:DX418))</f>
        <v>#N/A</v>
      </c>
      <c r="DZ418" s="315" t="e">
        <f>IF($J418="",#N/A,SUM(DX$4:DX418,DV$4:DV418,DT$4:DT418))</f>
        <v>#N/A</v>
      </c>
      <c r="EA418" s="304" t="str">
        <f t="shared" si="723"/>
        <v/>
      </c>
      <c r="EB418" s="313" t="e">
        <f>IF($J418="",#N/A,SUM(EA$4:EA418))</f>
        <v>#N/A</v>
      </c>
      <c r="EC418" s="314" t="str">
        <f t="shared" si="724"/>
        <v/>
      </c>
      <c r="ED418" s="314" t="e">
        <f>IF($J418="",#N/A,SUM(EC$4:EC418))</f>
        <v>#N/A</v>
      </c>
      <c r="EE418" s="315" t="str">
        <f t="shared" si="725"/>
        <v/>
      </c>
      <c r="EF418" s="315" t="e">
        <f>IF($J418="",#N/A,SUM(EE$4:EE418))</f>
        <v>#N/A</v>
      </c>
      <c r="EG418" s="315" t="e">
        <f>IF($J418="",#N/A,SUM(EE$4:EE418,EC$4:EC418,EA$4:EA418))</f>
        <v>#N/A</v>
      </c>
      <c r="EH418" s="130">
        <f t="shared" si="726"/>
        <v>221.55000000000041</v>
      </c>
      <c r="EI418" s="63">
        <f>IF(EH418="",#N/A,SUM($EH$4:EH418))</f>
        <v>2113.5535715933474</v>
      </c>
      <c r="EJ418" s="223" t="e">
        <f t="shared" si="727"/>
        <v>#N/A</v>
      </c>
      <c r="EK418" s="63" t="e">
        <f>IF($GZ418="",#N/A,SUM(EJ$4:EJ418))</f>
        <v>#N/A</v>
      </c>
      <c r="EL418" s="60" t="str">
        <f t="shared" si="757"/>
        <v/>
      </c>
      <c r="EM418" s="60" t="e">
        <f>IF(EL418="",NA(),SUM($EL$4:EL418))</f>
        <v>#N/A</v>
      </c>
      <c r="EN418" s="60" t="str">
        <f t="shared" si="728"/>
        <v/>
      </c>
      <c r="EO418" s="60" t="e">
        <f>IF(EN418="",NA(),SUM($EN$4:EN418))</f>
        <v>#N/A</v>
      </c>
      <c r="EP418" s="60" t="str">
        <f t="shared" si="729"/>
        <v/>
      </c>
      <c r="EQ418" s="60" t="e">
        <f>IF(EP418="",NA(),SUM($EP$4:EP418))</f>
        <v>#N/A</v>
      </c>
      <c r="ER418" s="60" t="str">
        <f t="shared" si="730"/>
        <v/>
      </c>
      <c r="ES418" s="60" t="e">
        <f>IF(ER418="",NA(),SUM($ER$4:ER418))</f>
        <v>#N/A</v>
      </c>
      <c r="ET418" s="60">
        <f t="shared" si="731"/>
        <v>2.2262080607723194</v>
      </c>
      <c r="EU418" s="60">
        <f>IF(ET418="",NA(),SUM($ET$4:ET418))</f>
        <v>40.311240979175977</v>
      </c>
      <c r="EV418" s="60" t="str">
        <f t="shared" si="732"/>
        <v/>
      </c>
      <c r="EW418" s="60" t="e">
        <f>IF(EV418="",NA(),SUM($EV$4:EV418))</f>
        <v>#N/A</v>
      </c>
      <c r="EX418" s="60">
        <f t="shared" si="733"/>
        <v>2.2262080607723194</v>
      </c>
      <c r="EY418" s="60">
        <f>IF(EX418="",NA(),SUM($EX$4:EX418))</f>
        <v>12.582640265005288</v>
      </c>
      <c r="EZ418" s="60" t="str">
        <f t="shared" si="734"/>
        <v/>
      </c>
      <c r="FA418" s="60" t="e">
        <f>IF(EZ418="",NA(),SUM($EZ$4:EZ418))</f>
        <v>#N/A</v>
      </c>
      <c r="FB418" s="246" t="str">
        <f t="shared" si="758"/>
        <v/>
      </c>
      <c r="FC418" s="246" t="e">
        <f>IF($FB418="",#N/A,SUM(FB$4:$FB418))</f>
        <v>#N/A</v>
      </c>
      <c r="FD418" s="60" t="str">
        <f t="shared" si="735"/>
        <v/>
      </c>
      <c r="FE418" s="60" t="e">
        <f>IF($FD418="",#N/A,SUM($FD$4:FD418))</f>
        <v>#N/A</v>
      </c>
      <c r="FF418" s="60" t="str">
        <f t="shared" si="736"/>
        <v/>
      </c>
      <c r="FG418" s="60" t="e">
        <f>IF($FF418="",#N/A,SUM($FF$4:FF418))</f>
        <v>#N/A</v>
      </c>
      <c r="FH418" s="60" t="str">
        <f t="shared" si="737"/>
        <v/>
      </c>
      <c r="FI418" s="60" t="e">
        <f>IF($FH418="",#N/A,SUM($FH$4:FH418))</f>
        <v>#N/A</v>
      </c>
      <c r="FJ418" s="60">
        <f t="shared" si="738"/>
        <v>-0.7702046845326076</v>
      </c>
      <c r="FK418" s="60">
        <f>IF($FJ418="",#N/A,SUM($FJ$4:FJ418))</f>
        <v>-7.7916923775414002</v>
      </c>
      <c r="FL418" s="60" t="str">
        <f t="shared" si="739"/>
        <v/>
      </c>
      <c r="FM418" s="60" t="e">
        <f>IF($FL418="",#N/A,SUM($FL$4:FL418))</f>
        <v>#N/A</v>
      </c>
      <c r="FN418" s="82">
        <f t="shared" si="740"/>
        <v>1.4560033762397118</v>
      </c>
      <c r="FO418" s="82">
        <f>IF($FN418="",#N/A,SUM(FN$4:$FN418))</f>
        <v>48.400681985119725</v>
      </c>
      <c r="FP418" s="82">
        <f t="shared" si="759"/>
        <v>2.2262080607723194</v>
      </c>
      <c r="FQ418" s="246">
        <f>IF($EH418="",#N/A,SUM($FP$4:FP418))</f>
        <v>62.198990414919017</v>
      </c>
      <c r="FR418" s="82">
        <f>IFERROR(FQ418/COUNTA($J$4:J418),#N/A)</f>
        <v>0.14987708533715427</v>
      </c>
      <c r="FS418" s="82">
        <f t="shared" si="661"/>
        <v>0.17412204217239236</v>
      </c>
      <c r="FT418" s="82">
        <f t="shared" si="662"/>
        <v>0.46616483720444907</v>
      </c>
      <c r="FU418" s="338">
        <f t="shared" si="764"/>
        <v>30.316776972829501</v>
      </c>
      <c r="FV418" s="57" t="str">
        <f t="shared" ref="FV418:FV447" si="765">IF(FW418="Down","Dwn",IF(FW418="Up","Up",IF(AND(FW418="",K418=""),"",IF(AND(K418&lt;0,FW418="Yes"),"Dwn",IF(AND(K418&gt;0,FW418="Yes"),"Up",IF(AND(K418&lt;0,FW418="No"),"Up",IF(AND(K418&gt;0,FW418="No"),"Dwn",IF(FW418="NA","SW","err"))))))))</f>
        <v>SW</v>
      </c>
      <c r="FW418" s="57" t="s">
        <v>2732</v>
      </c>
      <c r="FX418" s="57" t="str">
        <f t="shared" si="741"/>
        <v/>
      </c>
      <c r="FY418" s="57" t="str">
        <f t="shared" si="742"/>
        <v/>
      </c>
      <c r="FZ418" s="57">
        <f t="shared" si="743"/>
        <v>1</v>
      </c>
      <c r="GA418" s="57" t="str">
        <f t="shared" si="744"/>
        <v>Long</v>
      </c>
      <c r="GB418" s="57" t="str">
        <f t="shared" si="745"/>
        <v/>
      </c>
      <c r="GC418" s="57" t="str">
        <f t="shared" si="746"/>
        <v/>
      </c>
      <c r="GD418" s="57" t="str">
        <f t="shared" si="747"/>
        <v/>
      </c>
      <c r="GE418" s="62">
        <f t="shared" si="664"/>
        <v>236.95</v>
      </c>
      <c r="GF418" s="62" t="s">
        <v>2779</v>
      </c>
      <c r="GG418" s="199">
        <v>7</v>
      </c>
      <c r="GH418" s="207">
        <f t="shared" si="748"/>
        <v>1658.6499999999999</v>
      </c>
      <c r="GI418" s="199">
        <v>7</v>
      </c>
      <c r="GJ418" s="200">
        <v>266.85000000000002</v>
      </c>
      <c r="GK418" s="63">
        <f t="shared" si="749"/>
        <v>209.30000000000041</v>
      </c>
      <c r="GL418" s="63">
        <f t="shared" si="665"/>
        <v>144.89999999999986</v>
      </c>
      <c r="GM418" s="82">
        <f t="shared" si="750"/>
        <v>1.4560033762397118</v>
      </c>
      <c r="GN418" s="82">
        <f>IF($GZ418="",#N/A,SUM(GM$4:GM418))</f>
        <v>8.9645043221129939</v>
      </c>
      <c r="GO418" s="82" t="str">
        <f t="shared" si="751"/>
        <v/>
      </c>
      <c r="GP418" s="82">
        <f>IF($GZ418="",#N/A,SUM(GO$4:GO418))</f>
        <v>3.2522471402826749</v>
      </c>
      <c r="GQ418" s="82" t="str">
        <f t="shared" si="752"/>
        <v/>
      </c>
      <c r="GR418" s="82">
        <f>IF($GZ418="",#N/A,SUM(GQ$4:GQ418))</f>
        <v>35.558093568281734</v>
      </c>
      <c r="GS418" s="63" t="e">
        <f t="shared" si="760"/>
        <v>#N/A</v>
      </c>
      <c r="GT418" s="63" t="e">
        <f>IF($GZ418="",#N/A,SUM(GS$4:GS418))</f>
        <v>#N/A</v>
      </c>
      <c r="GU418" s="63" t="str">
        <f t="shared" si="761"/>
        <v/>
      </c>
      <c r="GV418" s="63" t="e">
        <f>IF($GZ418="",#N/A,SUM(GU$4:GU418))</f>
        <v>#N/A</v>
      </c>
      <c r="GW418" s="63" t="str">
        <f t="shared" si="762"/>
        <v/>
      </c>
      <c r="GX418" s="63" t="e">
        <f>IF($GZ418="",#N/A,SUM(GW$4:GW418))</f>
        <v>#N/A</v>
      </c>
      <c r="GY418" s="63" t="e">
        <f>IF(EJ418="",#N/A,SUM($EJ$4:EJ418))</f>
        <v>#N/A</v>
      </c>
      <c r="GZ418" s="159">
        <v>257.64999999999998</v>
      </c>
      <c r="HA418" s="63">
        <f t="shared" si="753"/>
        <v>-76.650000000000546</v>
      </c>
      <c r="HB418" s="62" t="s">
        <v>2538</v>
      </c>
      <c r="HC418" s="60">
        <f>IFERROR(VLOOKUP(E418,Expectancy!$P$4:$S$19,1+C418,FALSE),"")</f>
        <v>0.48685636958953199</v>
      </c>
      <c r="HD418" s="82">
        <f t="shared" si="754"/>
        <v>2.1031159879018122</v>
      </c>
      <c r="HE418" s="138">
        <f>IF(HD418="",#N/A,SUM($HD$4:HD418))</f>
        <v>17.352213442089514</v>
      </c>
      <c r="HF418" s="85">
        <f>IF(HD418="",#N/A,IF(HB418="Skip",#N/A,SUM($HG$4:HG418)))</f>
        <v>1022.2335792191559</v>
      </c>
      <c r="HG418" s="63">
        <f t="shared" si="755"/>
        <v>209.30000000000041</v>
      </c>
      <c r="HH418" s="82">
        <f t="shared" si="756"/>
        <v>1.4560033762397118</v>
      </c>
    </row>
    <row r="419" spans="1:216" x14ac:dyDescent="0.25">
      <c r="A419" s="57" t="s">
        <v>1119</v>
      </c>
      <c r="B419" s="58" t="str" cm="1">
        <f t="array" ref="B419">IFERROR(_xlfn.XLOOKUP(A419,Earnings!$B$2:$B$9985,LEFT(Earnings!$C$2:$C$9985,37)),"Can't Find Date***")</f>
        <v>on 3/6/25 Before Market Eastern Stand</v>
      </c>
      <c r="C419" s="386">
        <f t="shared" si="667"/>
        <v>1</v>
      </c>
      <c r="D419" s="372" t="str">
        <f>_xlfn.XLOOKUP(A419,[1]SP500!$A$2:$A$502,[1]SP500!$D$2:$D$502,"N")</f>
        <v>N</v>
      </c>
      <c r="E419" s="57" t="str">
        <f>_xlfn.XLOOKUP(A419,[1]SP500!$A$2:$A$655,[1]SP500!$B$2:$B$655)</f>
        <v>XLP</v>
      </c>
      <c r="F419" s="59">
        <v>45722</v>
      </c>
      <c r="G419" s="57" t="str">
        <f t="shared" si="668"/>
        <v>BMO</v>
      </c>
      <c r="H419" s="57" t="str">
        <f t="shared" si="669"/>
        <v>s</v>
      </c>
      <c r="I419" s="159">
        <v>100.09</v>
      </c>
      <c r="J419" s="159">
        <v>103.11</v>
      </c>
      <c r="K419" s="61">
        <f t="shared" si="670"/>
        <v>3.0172844440003954E-2</v>
      </c>
      <c r="L419" s="87">
        <f t="shared" si="671"/>
        <v>48.319999999999936</v>
      </c>
      <c r="M419" s="130">
        <f t="shared" si="663"/>
        <v>0</v>
      </c>
      <c r="N419" s="169">
        <f t="shared" si="672"/>
        <v>48.319999999999936</v>
      </c>
      <c r="O419" s="169">
        <f>IF($J419="",#N/A,SUM($N$4:N419))</f>
        <v>-296.57225475891073</v>
      </c>
      <c r="P419" s="174" t="str">
        <f t="shared" si="673"/>
        <v/>
      </c>
      <c r="Q419" s="174">
        <f>IF($J419="",#N/A,SUM($P$4:P419))</f>
        <v>1403.5966539569486</v>
      </c>
      <c r="R419" s="178" t="str">
        <f t="shared" si="674"/>
        <v/>
      </c>
      <c r="S419" s="178">
        <f>IF($J419="",#N/A,SUM($R$4:R419))</f>
        <v>1054.8491723953096</v>
      </c>
      <c r="T419" s="290">
        <f t="shared" si="675"/>
        <v>0.50288074066673261</v>
      </c>
      <c r="U419" s="290">
        <f>IF($J419="",#N/A,SUM($T$4:T419))</f>
        <v>10.520279308245643</v>
      </c>
      <c r="V419" s="291" t="str">
        <f t="shared" si="676"/>
        <v/>
      </c>
      <c r="W419" s="291">
        <f>IF($J419="",#N/A,SUM($V$4:V419))</f>
        <v>33.639985451399092</v>
      </c>
      <c r="X419" s="292" t="str">
        <f t="shared" si="677"/>
        <v/>
      </c>
      <c r="Y419" s="292">
        <f>IF($J419="",#N/A,SUM($X$4:X419))</f>
        <v>18.541606395941031</v>
      </c>
      <c r="Z419" s="304" t="str">
        <f t="shared" si="678"/>
        <v/>
      </c>
      <c r="AA419" s="313" t="e">
        <f>IF($J419="",#N/A,SUM(Z$4:Z419))</f>
        <v>#N/A</v>
      </c>
      <c r="AB419" s="314" t="str">
        <f t="shared" si="679"/>
        <v/>
      </c>
      <c r="AC419" s="314" t="e">
        <f>IF($J419="",#N/A,SUM(AB$4:AB419))</f>
        <v>#N/A</v>
      </c>
      <c r="AD419" s="315" t="str">
        <f t="shared" si="680"/>
        <v/>
      </c>
      <c r="AE419" s="315" t="e">
        <f>IF($J419="",#N/A,SUM(AD$4:AD419))</f>
        <v>#N/A</v>
      </c>
      <c r="AF419" s="315" t="e">
        <f>IF($J419="",#N/A,SUM(AD$4:AD419,AB$4:AB419,Z$4:Z419))</f>
        <v>#N/A</v>
      </c>
      <c r="AG419" s="304" t="str">
        <f t="shared" si="681"/>
        <v/>
      </c>
      <c r="AH419" s="313" t="e">
        <f>IF($J419="",#N/A,SUM(AG$4:AG419))</f>
        <v>#N/A</v>
      </c>
      <c r="AI419" s="314" t="str">
        <f t="shared" si="682"/>
        <v/>
      </c>
      <c r="AJ419" s="314" t="e">
        <f>IF($J419="",#N/A,SUM(AI$4:AI419))</f>
        <v>#N/A</v>
      </c>
      <c r="AK419" s="315" t="str">
        <f t="shared" si="683"/>
        <v/>
      </c>
      <c r="AL419" s="315" t="e">
        <f>IF($J419="",#N/A,SUM(AK$4:AK419))</f>
        <v>#N/A</v>
      </c>
      <c r="AM419" s="315" t="e">
        <f>IF($J419="",#N/A,SUM(AK$4:AK419,AI$4:AI419,AG$4:AG419))</f>
        <v>#N/A</v>
      </c>
      <c r="AN419" s="304" t="str">
        <f t="shared" si="684"/>
        <v/>
      </c>
      <c r="AO419" s="313" t="e">
        <f>IF($J419="",#N/A,SUM(AN$4:AN419))</f>
        <v>#N/A</v>
      </c>
      <c r="AP419" s="314" t="str">
        <f t="shared" si="685"/>
        <v/>
      </c>
      <c r="AQ419" s="314" t="e">
        <f>IF($J419="",#N/A,SUM(AP$4:AP419))</f>
        <v>#N/A</v>
      </c>
      <c r="AR419" s="315" t="str">
        <f t="shared" si="686"/>
        <v/>
      </c>
      <c r="AS419" s="315" t="e">
        <f>IF($J419="",#N/A,SUM(AR$4:AR419))</f>
        <v>#N/A</v>
      </c>
      <c r="AT419" s="315" t="e">
        <f>IF($J419="",#N/A,SUM(AR$4:AR419,AP$4:AP419,AN$4:AN419))</f>
        <v>#N/A</v>
      </c>
      <c r="AU419" s="304">
        <f t="shared" si="687"/>
        <v>0.50288074066673261</v>
      </c>
      <c r="AV419" s="313" t="e">
        <f>IF($J419="",#N/A,SUM(AU$4:AU419))</f>
        <v>#N/A</v>
      </c>
      <c r="AW419" s="314" t="str">
        <f t="shared" si="688"/>
        <v/>
      </c>
      <c r="AX419" s="314" t="e">
        <f>IF($J419="",#N/A,SUM(AW$4:AW419))</f>
        <v>#N/A</v>
      </c>
      <c r="AY419" s="315" t="str">
        <f t="shared" si="689"/>
        <v/>
      </c>
      <c r="AZ419" s="315" t="e">
        <f>IF($J419="",#N/A,SUM(AY$4:AY419))</f>
        <v>#N/A</v>
      </c>
      <c r="BA419" s="315" t="e">
        <f>IF($J419="",#N/A,SUM(AY$4:AY419,AW$4:AW419,AU$4:AU419))</f>
        <v>#N/A</v>
      </c>
      <c r="BB419" s="304" t="str">
        <f t="shared" si="690"/>
        <v/>
      </c>
      <c r="BC419" s="313" t="e">
        <f>IF($J419="",#N/A,SUM(BB$4:BB419))</f>
        <v>#N/A</v>
      </c>
      <c r="BD419" s="314" t="str">
        <f t="shared" si="691"/>
        <v/>
      </c>
      <c r="BE419" s="314" t="e">
        <f>IF($J419="",#N/A,SUM(BD$4:BD419))</f>
        <v>#N/A</v>
      </c>
      <c r="BF419" s="315" t="str">
        <f t="shared" si="692"/>
        <v/>
      </c>
      <c r="BG419" s="315" t="e">
        <f>IF($J419="",#N/A,SUM(BF$4:BF419))</f>
        <v>#N/A</v>
      </c>
      <c r="BH419" s="315" t="e">
        <f>IF($J419="",#N/A,SUM(BF$4:BF419,BD$4:BD419,BB$4:BB419))</f>
        <v>#N/A</v>
      </c>
      <c r="BI419" s="304" t="str">
        <f t="shared" si="693"/>
        <v/>
      </c>
      <c r="BJ419" s="313" t="e">
        <f>IF($J419="",#N/A,SUM(BI$4:BI419))</f>
        <v>#N/A</v>
      </c>
      <c r="BK419" s="314" t="str">
        <f t="shared" si="694"/>
        <v/>
      </c>
      <c r="BL419" s="314" t="e">
        <f>IF($J419="",#N/A,SUM(BK$4:BK419))</f>
        <v>#N/A</v>
      </c>
      <c r="BM419" s="315" t="str">
        <f t="shared" si="695"/>
        <v/>
      </c>
      <c r="BN419" s="315" t="e">
        <f>IF($J419="",#N/A,SUM(BM$4:BM419))</f>
        <v>#N/A</v>
      </c>
      <c r="BO419" s="315" t="e">
        <f>IF($J419="",#N/A,SUM(BM$4:BM419,BK$4:BK419,BI$4:BI419))</f>
        <v>#N/A</v>
      </c>
      <c r="BP419" s="304" t="str">
        <f t="shared" si="696"/>
        <v/>
      </c>
      <c r="BQ419" s="313" t="e">
        <f>IF($J419="",#N/A,SUM(BP$4:BP419))</f>
        <v>#N/A</v>
      </c>
      <c r="BR419" s="314" t="str">
        <f t="shared" si="697"/>
        <v/>
      </c>
      <c r="BS419" s="314" t="e">
        <f>IF($J419="",#N/A,SUM(BR$4:BR419))</f>
        <v>#N/A</v>
      </c>
      <c r="BT419" s="315" t="str">
        <f t="shared" si="698"/>
        <v/>
      </c>
      <c r="BU419" s="315" t="e">
        <f>IF($J419="",#N/A,SUM(BT$4:BT419))</f>
        <v>#N/A</v>
      </c>
      <c r="BV419" s="315" t="e">
        <f>IF($J419="",#N/A,SUM(BT$4:BT419,BR$4:BR419,BP$4:BP419))</f>
        <v>#N/A</v>
      </c>
      <c r="BW419" s="304" t="str">
        <f t="shared" si="699"/>
        <v/>
      </c>
      <c r="BX419" s="313" t="e">
        <f>IF($J419="",#N/A,SUM(BW$4:BW419))</f>
        <v>#N/A</v>
      </c>
      <c r="BY419" s="314" t="str">
        <f t="shared" si="700"/>
        <v/>
      </c>
      <c r="BZ419" s="314" t="e">
        <f>IF($J419="",#N/A,SUM(BY$4:BY419))</f>
        <v>#N/A</v>
      </c>
      <c r="CA419" s="315" t="str">
        <f t="shared" si="701"/>
        <v/>
      </c>
      <c r="CB419" s="315" t="e">
        <f>IF($J419="",#N/A,SUM(CA$4:CA419))</f>
        <v>#N/A</v>
      </c>
      <c r="CC419" s="315" t="e">
        <f>IF($J419="",#N/A,SUM(CA$4:CA419,BY$4:BY419,BW$4:BW419))</f>
        <v>#N/A</v>
      </c>
      <c r="CD419" s="304" t="str">
        <f t="shared" si="702"/>
        <v/>
      </c>
      <c r="CE419" s="313" t="e">
        <f>IF($J419="",#N/A,SUM(CD$4:CD419))</f>
        <v>#N/A</v>
      </c>
      <c r="CF419" s="314" t="str">
        <f t="shared" si="703"/>
        <v/>
      </c>
      <c r="CG419" s="314" t="e">
        <f>IF($J419="",#N/A,SUM(CF$4:CF419))</f>
        <v>#N/A</v>
      </c>
      <c r="CH419" s="315" t="str">
        <f t="shared" si="704"/>
        <v/>
      </c>
      <c r="CI419" s="315" t="e">
        <f>IF($J419="",#N/A,SUM(CH$4:CH419))</f>
        <v>#N/A</v>
      </c>
      <c r="CJ419" s="315" t="e">
        <f>IF($J419="",#N/A,SUM(CH$4:CH419,CF$4:CF419,CD$4:CD419))</f>
        <v>#N/A</v>
      </c>
      <c r="CK419" s="304" t="str">
        <f t="shared" si="705"/>
        <v/>
      </c>
      <c r="CL419" s="313" t="e">
        <f>IF($J419="",#N/A,SUM(CK$4:CK419))</f>
        <v>#N/A</v>
      </c>
      <c r="CM419" s="314" t="str">
        <f t="shared" si="706"/>
        <v/>
      </c>
      <c r="CN419" s="314" t="e">
        <f>IF($J419="",#N/A,SUM(CM$4:CM419))</f>
        <v>#N/A</v>
      </c>
      <c r="CO419" s="315" t="str">
        <f t="shared" si="707"/>
        <v/>
      </c>
      <c r="CP419" s="315" t="e">
        <f>IF($J419="",#N/A,SUM(CO$4:CO419))</f>
        <v>#N/A</v>
      </c>
      <c r="CQ419" s="315" t="e">
        <f>IF($J419="",#N/A,SUM(CO$4:CO419,CM$4:CM419,CK$4:CK419))</f>
        <v>#N/A</v>
      </c>
      <c r="CR419" s="304" t="str">
        <f t="shared" si="708"/>
        <v/>
      </c>
      <c r="CS419" s="313" t="e">
        <f>IF($J419="",#N/A,SUM(CR$4:CR419))</f>
        <v>#N/A</v>
      </c>
      <c r="CT419" s="314" t="str">
        <f t="shared" si="709"/>
        <v/>
      </c>
      <c r="CU419" s="314" t="e">
        <f>IF($J419="",#N/A,SUM(CT$4:CT419))</f>
        <v>#N/A</v>
      </c>
      <c r="CV419" s="315" t="str">
        <f t="shared" si="710"/>
        <v/>
      </c>
      <c r="CW419" s="315" t="e">
        <f>IF($J419="",#N/A,SUM(CV$4:CV419))</f>
        <v>#N/A</v>
      </c>
      <c r="CX419" s="315" t="e">
        <f>IF($J419="",#N/A,SUM(CV$4:CV419,CT$4:CT419,CR$4:CR419))</f>
        <v>#N/A</v>
      </c>
      <c r="CY419" s="304" t="str">
        <f t="shared" si="711"/>
        <v/>
      </c>
      <c r="CZ419" s="313" t="e">
        <f>IF($J419="",#N/A,SUM(CY$4:CY419))</f>
        <v>#N/A</v>
      </c>
      <c r="DA419" s="314" t="str">
        <f t="shared" si="712"/>
        <v/>
      </c>
      <c r="DB419" s="314" t="e">
        <f>IF($J419="",#N/A,SUM(DA$4:DA419))</f>
        <v>#N/A</v>
      </c>
      <c r="DC419" s="315" t="str">
        <f t="shared" si="713"/>
        <v/>
      </c>
      <c r="DD419" s="315" t="e">
        <f>IF($J419="",#N/A,SUM(DC$4:DC419))</f>
        <v>#N/A</v>
      </c>
      <c r="DE419" s="315" t="e">
        <f>IF($J419="",#N/A,SUM(DC$4:DC419,DA$4:DA419,CY$4:CY419))</f>
        <v>#N/A</v>
      </c>
      <c r="DF419" s="304" t="str">
        <f t="shared" si="714"/>
        <v/>
      </c>
      <c r="DG419" s="313" t="e">
        <f>IF($J419="",#N/A,SUM(DF$4:DF419))</f>
        <v>#N/A</v>
      </c>
      <c r="DH419" s="314" t="str">
        <f t="shared" si="715"/>
        <v/>
      </c>
      <c r="DI419" s="314" t="e">
        <f>IF($J419="",#N/A,SUM(DH$4:DH419))</f>
        <v>#N/A</v>
      </c>
      <c r="DJ419" s="315" t="str">
        <f t="shared" si="716"/>
        <v/>
      </c>
      <c r="DK419" s="315" t="e">
        <f>IF($J419="",#N/A,SUM(DJ$4:DJ419))</f>
        <v>#N/A</v>
      </c>
      <c r="DL419" s="315" t="e">
        <f>IF($J419="",#N/A,SUM(DJ$4:DJ419,DH$4:DH419,DF$4:DF419))</f>
        <v>#N/A</v>
      </c>
      <c r="DM419" s="304" t="str">
        <f t="shared" si="717"/>
        <v/>
      </c>
      <c r="DN419" s="313" t="e">
        <f>IF($J419="",#N/A,SUM(DM$4:DM419))</f>
        <v>#N/A</v>
      </c>
      <c r="DO419" s="314" t="str">
        <f t="shared" si="718"/>
        <v/>
      </c>
      <c r="DP419" s="314" t="e">
        <f>IF($J419="",#N/A,SUM(DO$4:DO419))</f>
        <v>#N/A</v>
      </c>
      <c r="DQ419" s="315" t="str">
        <f t="shared" si="719"/>
        <v/>
      </c>
      <c r="DR419" s="315" t="e">
        <f>IF($J419="",#N/A,SUM(DQ$4:DQ419))</f>
        <v>#N/A</v>
      </c>
      <c r="DS419" s="315" t="e">
        <f>IF($J419="",#N/A,SUM(DQ$4:DQ419,DO$4:DO419,DM$4:DM419))</f>
        <v>#N/A</v>
      </c>
      <c r="DT419" s="304" t="str">
        <f t="shared" si="720"/>
        <v/>
      </c>
      <c r="DU419" s="313" t="e">
        <f>IF($J419="",#N/A,SUM(DT$4:DT419))</f>
        <v>#N/A</v>
      </c>
      <c r="DV419" s="314" t="str">
        <f t="shared" si="721"/>
        <v/>
      </c>
      <c r="DW419" s="314" t="e">
        <f>IF($J419="",#N/A,SUM(DV$4:DV419))</f>
        <v>#N/A</v>
      </c>
      <c r="DX419" s="315" t="str">
        <f t="shared" si="722"/>
        <v/>
      </c>
      <c r="DY419" s="315" t="e">
        <f>IF($J419="",#N/A,SUM(DX$4:DX419))</f>
        <v>#N/A</v>
      </c>
      <c r="DZ419" s="315" t="e">
        <f>IF($J419="",#N/A,SUM(DX$4:DX419,DV$4:DV419,DT$4:DT419))</f>
        <v>#N/A</v>
      </c>
      <c r="EA419" s="304" t="str">
        <f t="shared" si="723"/>
        <v/>
      </c>
      <c r="EB419" s="313" t="e">
        <f>IF($J419="",#N/A,SUM(EA$4:EA419))</f>
        <v>#N/A</v>
      </c>
      <c r="EC419" s="314" t="str">
        <f t="shared" si="724"/>
        <v/>
      </c>
      <c r="ED419" s="314" t="e">
        <f>IF($J419="",#N/A,SUM(EC$4:EC419))</f>
        <v>#N/A</v>
      </c>
      <c r="EE419" s="315" t="str">
        <f t="shared" si="725"/>
        <v/>
      </c>
      <c r="EF419" s="315" t="e">
        <f>IF($J419="",#N/A,SUM(EE$4:EE419))</f>
        <v>#N/A</v>
      </c>
      <c r="EG419" s="315" t="e">
        <f>IF($J419="",#N/A,SUM(EE$4:EE419,EC$4:EC419,EA$4:EA419))</f>
        <v>#N/A</v>
      </c>
      <c r="EH419" s="130">
        <f t="shared" si="726"/>
        <v>48.319999999999936</v>
      </c>
      <c r="EI419" s="63">
        <f>IF(EH419="",#N/A,SUM($EH$4:EH419))</f>
        <v>2161.8735715933472</v>
      </c>
      <c r="EJ419" s="223" t="e">
        <f t="shared" si="727"/>
        <v>#N/A</v>
      </c>
      <c r="EK419" s="63" t="e">
        <f>IF($GZ419="",#N/A,SUM(EJ$4:EJ419))</f>
        <v>#N/A</v>
      </c>
      <c r="EL419" s="60" t="str">
        <f t="shared" si="757"/>
        <v/>
      </c>
      <c r="EM419" s="60" t="e">
        <f>IF(EL419="",NA(),SUM($EL$4:EL419))</f>
        <v>#N/A</v>
      </c>
      <c r="EN419" s="60" t="str">
        <f t="shared" si="728"/>
        <v/>
      </c>
      <c r="EO419" s="60" t="e">
        <f>IF(EN419="",NA(),SUM($EN$4:EN419))</f>
        <v>#N/A</v>
      </c>
      <c r="EP419" s="60" t="str">
        <f t="shared" si="729"/>
        <v/>
      </c>
      <c r="EQ419" s="60" t="e">
        <f>IF(EP419="",NA(),SUM($EP$4:EP419))</f>
        <v>#N/A</v>
      </c>
      <c r="ER419" s="60" t="str">
        <f t="shared" si="730"/>
        <v/>
      </c>
      <c r="ES419" s="60" t="e">
        <f>IF(ER419="",NA(),SUM($ER$4:ER419))</f>
        <v>#N/A</v>
      </c>
      <c r="ET419" s="60">
        <f t="shared" si="731"/>
        <v>0.50288074066673261</v>
      </c>
      <c r="EU419" s="60">
        <f>IF(ET419="",NA(),SUM($ET$4:ET419))</f>
        <v>40.81412171984271</v>
      </c>
      <c r="EV419" s="60">
        <f t="shared" si="732"/>
        <v>0.50288074066673261</v>
      </c>
      <c r="EW419" s="60">
        <f>IF(EV419="",NA(),SUM($EV$4:EV419))</f>
        <v>6.0029829898827662</v>
      </c>
      <c r="EX419" s="60" t="str">
        <f t="shared" si="733"/>
        <v/>
      </c>
      <c r="EY419" s="60" t="e">
        <f>IF(EX419="",NA(),SUM($EX$4:EX419))</f>
        <v>#N/A</v>
      </c>
      <c r="EZ419" s="60" t="str">
        <f t="shared" si="734"/>
        <v/>
      </c>
      <c r="FA419" s="60" t="e">
        <f>IF(EZ419="",NA(),SUM($EZ$4:EZ419))</f>
        <v>#N/A</v>
      </c>
      <c r="FB419" s="246" t="str">
        <f t="shared" si="758"/>
        <v/>
      </c>
      <c r="FC419" s="246" t="e">
        <f>IF($FB419="",#N/A,SUM(FB$4:$FB419))</f>
        <v>#N/A</v>
      </c>
      <c r="FD419" s="60" t="str">
        <f t="shared" si="735"/>
        <v/>
      </c>
      <c r="FE419" s="60" t="e">
        <f>IF($FD419="",#N/A,SUM($FD$4:FD419))</f>
        <v>#N/A</v>
      </c>
      <c r="FF419" s="60">
        <f t="shared" si="736"/>
        <v>1.535284910247444</v>
      </c>
      <c r="FG419" s="60">
        <f>IF($FF419="",#N/A,SUM($FF$4:FF419))</f>
        <v>-5.8732309699062508</v>
      </c>
      <c r="FH419" s="60" t="str">
        <f t="shared" si="737"/>
        <v/>
      </c>
      <c r="FI419" s="60" t="e">
        <f>IF($FH419="",#N/A,SUM($FH$4:FH419))</f>
        <v>#N/A</v>
      </c>
      <c r="FJ419" s="60" t="str">
        <f t="shared" si="738"/>
        <v/>
      </c>
      <c r="FK419" s="60" t="e">
        <f>IF($FJ419="",#N/A,SUM($FJ$4:FJ419))</f>
        <v>#N/A</v>
      </c>
      <c r="FL419" s="60" t="str">
        <f t="shared" si="739"/>
        <v/>
      </c>
      <c r="FM419" s="60" t="e">
        <f>IF($FL419="",#N/A,SUM($FL$4:FL419))</f>
        <v>#N/A</v>
      </c>
      <c r="FN419" s="82">
        <f t="shared" si="740"/>
        <v>2.0381656509141766</v>
      </c>
      <c r="FO419" s="82">
        <f>IF($FN419="",#N/A,SUM(FN$4:$FN419))</f>
        <v>50.438847636033898</v>
      </c>
      <c r="FP419" s="82">
        <f>IF(OR($GI419="",$L419=""),"",IF($GA419="Long",(($J419*$GI419)-$GH419)/($GH419*0.06),($GH419-($J419*$GI419))/($GH419*0.06)))</f>
        <v>0.50288074066673261</v>
      </c>
      <c r="FQ419" s="246">
        <f>IF($EH419="",#N/A,SUM($FP$4:FP419))</f>
        <v>62.701871155585749</v>
      </c>
      <c r="FR419" s="82">
        <f>IFERROR(FQ419/COUNTA($J$4:J419),#N/A)</f>
        <v>0.1507256518163119</v>
      </c>
      <c r="FS419" s="82">
        <f t="shared" si="661"/>
        <v>0.18163103190189062</v>
      </c>
      <c r="FT419" s="82">
        <f t="shared" si="662"/>
        <v>0.49319819445050345</v>
      </c>
      <c r="FU419" s="338">
        <f t="shared" si="764"/>
        <v>30.316776972829501</v>
      </c>
      <c r="FV419" s="57" t="str">
        <f t="shared" si="765"/>
        <v>Up</v>
      </c>
      <c r="FW419" s="57" t="s">
        <v>2733</v>
      </c>
      <c r="FX419" s="57">
        <f t="shared" si="741"/>
        <v>1</v>
      </c>
      <c r="FY419" s="57" t="str">
        <f t="shared" si="742"/>
        <v/>
      </c>
      <c r="FZ419" s="57" t="str">
        <f t="shared" si="743"/>
        <v/>
      </c>
      <c r="GA419" s="57" t="str">
        <f t="shared" si="744"/>
        <v>Long</v>
      </c>
      <c r="GB419" s="57" t="str">
        <f t="shared" si="745"/>
        <v/>
      </c>
      <c r="GC419" s="57" t="str">
        <f t="shared" si="746"/>
        <v/>
      </c>
      <c r="GD419" s="57" t="str">
        <f t="shared" si="747"/>
        <v/>
      </c>
      <c r="GE419" s="62">
        <f t="shared" si="664"/>
        <v>100.09</v>
      </c>
      <c r="GF419" s="62" t="s">
        <v>2779</v>
      </c>
      <c r="GG419" s="199">
        <v>16</v>
      </c>
      <c r="GH419" s="207">
        <f t="shared" si="748"/>
        <v>1601.44</v>
      </c>
      <c r="GI419" s="199">
        <v>16</v>
      </c>
      <c r="GJ419" s="200">
        <v>103.11</v>
      </c>
      <c r="GK419" s="63">
        <f t="shared" si="749"/>
        <v>48.319999999999936</v>
      </c>
      <c r="GL419" s="63">
        <f t="shared" si="665"/>
        <v>195.83999999999992</v>
      </c>
      <c r="GM419" s="82" t="str">
        <f t="shared" si="750"/>
        <v/>
      </c>
      <c r="GN419" s="82">
        <f>IF($GZ419="",#N/A,SUM(GM$4:GM419))</f>
        <v>8.9645043221129939</v>
      </c>
      <c r="GO419" s="82">
        <f t="shared" si="751"/>
        <v>2.0381656509141766</v>
      </c>
      <c r="GP419" s="82">
        <f>IF($GZ419="",#N/A,SUM(GO$4:GO419))</f>
        <v>5.2904127911968519</v>
      </c>
      <c r="GQ419" s="82" t="str">
        <f t="shared" si="752"/>
        <v/>
      </c>
      <c r="GR419" s="82">
        <f>IF($GZ419="",#N/A,SUM(GQ$4:GQ419))</f>
        <v>35.558093568281734</v>
      </c>
      <c r="GS419" s="63" t="str">
        <f t="shared" si="760"/>
        <v/>
      </c>
      <c r="GT419" s="63" t="e">
        <f>IF($GZ419="",#N/A,SUM(GS$4:GS419))</f>
        <v>#N/A</v>
      </c>
      <c r="GU419" s="63" t="e">
        <f t="shared" si="761"/>
        <v>#N/A</v>
      </c>
      <c r="GV419" s="63" t="e">
        <f>IF($GZ419="",#N/A,SUM(GU$4:GU419))</f>
        <v>#N/A</v>
      </c>
      <c r="GW419" s="63" t="str">
        <f t="shared" si="762"/>
        <v/>
      </c>
      <c r="GX419" s="63" t="e">
        <f>IF($GZ419="",#N/A,SUM(GW$4:GW419))</f>
        <v>#N/A</v>
      </c>
      <c r="GY419" s="63" t="e">
        <f>IF(EJ419="",#N/A,SUM($EJ$4:EJ419))</f>
        <v>#N/A</v>
      </c>
      <c r="GZ419" s="159">
        <v>112.33</v>
      </c>
      <c r="HA419" s="63">
        <f t="shared" si="753"/>
        <v>147.51999999999998</v>
      </c>
      <c r="HB419" s="62" t="s">
        <v>2538</v>
      </c>
      <c r="HC419" s="60">
        <f>IFERROR(VLOOKUP(E419,Expectancy!$P$4:$S$19,1+C419,FALSE),"")</f>
        <v>0.264760236699845</v>
      </c>
      <c r="HD419" s="82">
        <f t="shared" si="754"/>
        <v>0.50288074066673261</v>
      </c>
      <c r="HE419" s="138">
        <f>IF(HD419="",#N/A,SUM($HD$4:HD419))</f>
        <v>17.855094182756247</v>
      </c>
      <c r="HF419" s="85">
        <f>IF(HD419="",#N/A,IF(HB419="Skip",#N/A,SUM($HG$4:HG419)))</f>
        <v>1070.5535792191558</v>
      </c>
      <c r="HG419" s="63">
        <f t="shared" si="755"/>
        <v>48.319999999999936</v>
      </c>
      <c r="HH419" s="82">
        <f>IF(OR($GI419="",$L419=""),"",IF($GA419="Long",(($GZ419*$GI419)-$GH419)/($GH419*0.06),($GH419-($GZ419*$GI419))/($GH419*0.06)))</f>
        <v>2.0381656509141766</v>
      </c>
    </row>
    <row r="420" spans="1:216" x14ac:dyDescent="0.25">
      <c r="A420" s="465" t="s">
        <v>2436</v>
      </c>
      <c r="B420" s="466" t="str" cm="1">
        <f t="array" ref="B420">IFERROR(_xlfn.XLOOKUP(A420,Earnings!$B$2:$B$9985,LEFT(Earnings!$C$2:$C$9985,37)),"Can't Find Date***")</f>
        <v>on 3/6/25 Before Market Eastern Stand</v>
      </c>
      <c r="C420" s="467">
        <f t="shared" si="667"/>
        <v>2</v>
      </c>
      <c r="D420" s="468" t="str">
        <f>_xlfn.XLOOKUP(A420,[1]SP500!$A$2:$A$502,[1]SP500!$D$2:$D$502,"N")</f>
        <v>N</v>
      </c>
      <c r="E420" s="465" t="str">
        <f>_xlfn.XLOOKUP(A420,[1]SP500!$A$2:$A$655,[1]SP500!$B$2:$B$655)</f>
        <v>XLI</v>
      </c>
      <c r="F420" s="59">
        <v>45722</v>
      </c>
      <c r="G420" s="57" t="str">
        <f t="shared" si="668"/>
        <v>BMO</v>
      </c>
      <c r="H420" s="57" t="str">
        <f t="shared" si="669"/>
        <v>s</v>
      </c>
      <c r="I420" s="159">
        <v>78.010000000000005</v>
      </c>
      <c r="J420" s="158">
        <v>77</v>
      </c>
      <c r="K420" s="61">
        <f t="shared" si="670"/>
        <v>-1.2947058069478337E-2</v>
      </c>
      <c r="L420" s="87">
        <f t="shared" si="671"/>
        <v>20.200000000000045</v>
      </c>
      <c r="M420" s="130">
        <f t="shared" si="663"/>
        <v>0</v>
      </c>
      <c r="N420" s="169" t="str">
        <f t="shared" si="672"/>
        <v/>
      </c>
      <c r="O420" s="169">
        <f>IF($J420="",#N/A,SUM($N$4:N420))</f>
        <v>-296.57225475891073</v>
      </c>
      <c r="P420" s="174">
        <f t="shared" si="673"/>
        <v>20.200000000000045</v>
      </c>
      <c r="Q420" s="174">
        <f>IF($J420="",#N/A,SUM($P$4:P420))</f>
        <v>1423.7966539569486</v>
      </c>
      <c r="R420" s="178" t="str">
        <f t="shared" si="674"/>
        <v/>
      </c>
      <c r="S420" s="178">
        <f>IF($J420="",#N/A,SUM($R$4:R420))</f>
        <v>1054.8491723953096</v>
      </c>
      <c r="T420" s="290" t="str">
        <f t="shared" si="675"/>
        <v/>
      </c>
      <c r="U420" s="290">
        <f>IF($J420="",#N/A,SUM($T$4:T420))</f>
        <v>10.520279308245643</v>
      </c>
      <c r="V420" s="291">
        <f t="shared" si="676"/>
        <v>0.2157843011579717</v>
      </c>
      <c r="W420" s="291">
        <f>IF($J420="",#N/A,SUM($V$4:V420))</f>
        <v>33.855769752557066</v>
      </c>
      <c r="X420" s="292" t="str">
        <f t="shared" si="677"/>
        <v/>
      </c>
      <c r="Y420" s="292">
        <f>IF($J420="",#N/A,SUM($X$4:X420))</f>
        <v>18.541606395941031</v>
      </c>
      <c r="Z420" s="304" t="str">
        <f t="shared" si="678"/>
        <v/>
      </c>
      <c r="AA420" s="313" t="e">
        <f>IF($J420="",#N/A,SUM(Z$4:Z420))</f>
        <v>#N/A</v>
      </c>
      <c r="AB420" s="314" t="str">
        <f t="shared" si="679"/>
        <v/>
      </c>
      <c r="AC420" s="314" t="e">
        <f>IF($J420="",#N/A,SUM(AB$4:AB420))</f>
        <v>#N/A</v>
      </c>
      <c r="AD420" s="315" t="str">
        <f t="shared" si="680"/>
        <v/>
      </c>
      <c r="AE420" s="315" t="e">
        <f>IF($J420="",#N/A,SUM(AD$4:AD420))</f>
        <v>#N/A</v>
      </c>
      <c r="AF420" s="315" t="e">
        <f>IF($J420="",#N/A,SUM(AD$4:AD420,AB$4:AB420,Z$4:Z420))</f>
        <v>#N/A</v>
      </c>
      <c r="AG420" s="304" t="str">
        <f t="shared" si="681"/>
        <v/>
      </c>
      <c r="AH420" s="313" t="e">
        <f>IF($J420="",#N/A,SUM(AG$4:AG420))</f>
        <v>#N/A</v>
      </c>
      <c r="AI420" s="314" t="str">
        <f t="shared" si="682"/>
        <v/>
      </c>
      <c r="AJ420" s="314" t="e">
        <f>IF($J420="",#N/A,SUM(AI$4:AI420))</f>
        <v>#N/A</v>
      </c>
      <c r="AK420" s="315" t="str">
        <f t="shared" si="683"/>
        <v/>
      </c>
      <c r="AL420" s="315" t="e">
        <f>IF($J420="",#N/A,SUM(AK$4:AK420))</f>
        <v>#N/A</v>
      </c>
      <c r="AM420" s="315" t="e">
        <f>IF($J420="",#N/A,SUM(AK$4:AK420,AI$4:AI420,AG$4:AG420))</f>
        <v>#N/A</v>
      </c>
      <c r="AN420" s="304" t="str">
        <f t="shared" si="684"/>
        <v/>
      </c>
      <c r="AO420" s="313" t="e">
        <f>IF($J420="",#N/A,SUM(AN$4:AN420))</f>
        <v>#N/A</v>
      </c>
      <c r="AP420" s="314" t="str">
        <f t="shared" si="685"/>
        <v/>
      </c>
      <c r="AQ420" s="314" t="e">
        <f>IF($J420="",#N/A,SUM(AP$4:AP420))</f>
        <v>#N/A</v>
      </c>
      <c r="AR420" s="315" t="str">
        <f t="shared" si="686"/>
        <v/>
      </c>
      <c r="AS420" s="315" t="e">
        <f>IF($J420="",#N/A,SUM(AR$4:AR420))</f>
        <v>#N/A</v>
      </c>
      <c r="AT420" s="315" t="e">
        <f>IF($J420="",#N/A,SUM(AR$4:AR420,AP$4:AP420,AN$4:AN420))</f>
        <v>#N/A</v>
      </c>
      <c r="AU420" s="304" t="str">
        <f t="shared" si="687"/>
        <v/>
      </c>
      <c r="AV420" s="313" t="e">
        <f>IF($J420="",#N/A,SUM(AU$4:AU420))</f>
        <v>#N/A</v>
      </c>
      <c r="AW420" s="314" t="str">
        <f t="shared" si="688"/>
        <v/>
      </c>
      <c r="AX420" s="314" t="e">
        <f>IF($J420="",#N/A,SUM(AW$4:AW420))</f>
        <v>#N/A</v>
      </c>
      <c r="AY420" s="315" t="str">
        <f t="shared" si="689"/>
        <v/>
      </c>
      <c r="AZ420" s="315" t="e">
        <f>IF($J420="",#N/A,SUM(AY$4:AY420))</f>
        <v>#N/A</v>
      </c>
      <c r="BA420" s="315" t="e">
        <f>IF($J420="",#N/A,SUM(AY$4:AY420,AW$4:AW420,AU$4:AU420))</f>
        <v>#N/A</v>
      </c>
      <c r="BB420" s="304" t="str">
        <f t="shared" si="690"/>
        <v/>
      </c>
      <c r="BC420" s="313" t="e">
        <f>IF($J420="",#N/A,SUM(BB$4:BB420))</f>
        <v>#N/A</v>
      </c>
      <c r="BD420" s="314" t="str">
        <f t="shared" si="691"/>
        <v/>
      </c>
      <c r="BE420" s="314" t="e">
        <f>IF($J420="",#N/A,SUM(BD$4:BD420))</f>
        <v>#N/A</v>
      </c>
      <c r="BF420" s="315" t="str">
        <f t="shared" si="692"/>
        <v/>
      </c>
      <c r="BG420" s="315" t="e">
        <f>IF($J420="",#N/A,SUM(BF$4:BF420))</f>
        <v>#N/A</v>
      </c>
      <c r="BH420" s="315" t="e">
        <f>IF($J420="",#N/A,SUM(BF$4:BF420,BD$4:BD420,BB$4:BB420))</f>
        <v>#N/A</v>
      </c>
      <c r="BI420" s="304" t="str">
        <f t="shared" si="693"/>
        <v/>
      </c>
      <c r="BJ420" s="313" t="e">
        <f>IF($J420="",#N/A,SUM(BI$4:BI420))</f>
        <v>#N/A</v>
      </c>
      <c r="BK420" s="314" t="str">
        <f t="shared" si="694"/>
        <v/>
      </c>
      <c r="BL420" s="314" t="e">
        <f>IF($J420="",#N/A,SUM(BK$4:BK420))</f>
        <v>#N/A</v>
      </c>
      <c r="BM420" s="315" t="str">
        <f t="shared" si="695"/>
        <v/>
      </c>
      <c r="BN420" s="315" t="e">
        <f>IF($J420="",#N/A,SUM(BM$4:BM420))</f>
        <v>#N/A</v>
      </c>
      <c r="BO420" s="315" t="e">
        <f>IF($J420="",#N/A,SUM(BM$4:BM420,BK$4:BK420,BI$4:BI420))</f>
        <v>#N/A</v>
      </c>
      <c r="BP420" s="304" t="str">
        <f t="shared" si="696"/>
        <v/>
      </c>
      <c r="BQ420" s="313" t="e">
        <f>IF($J420="",#N/A,SUM(BP$4:BP420))</f>
        <v>#N/A</v>
      </c>
      <c r="BR420" s="314">
        <f t="shared" si="697"/>
        <v>0.2157843011579717</v>
      </c>
      <c r="BS420" s="314" t="e">
        <f>IF($J420="",#N/A,SUM(BR$4:BR420))</f>
        <v>#N/A</v>
      </c>
      <c r="BT420" s="315" t="str">
        <f t="shared" si="698"/>
        <v/>
      </c>
      <c r="BU420" s="315" t="e">
        <f>IF($J420="",#N/A,SUM(BT$4:BT420))</f>
        <v>#N/A</v>
      </c>
      <c r="BV420" s="315" t="e">
        <f>IF($J420="",#N/A,SUM(BT$4:BT420,BR$4:BR420,BP$4:BP420))</f>
        <v>#N/A</v>
      </c>
      <c r="BW420" s="304" t="str">
        <f t="shared" si="699"/>
        <v/>
      </c>
      <c r="BX420" s="313" t="e">
        <f>IF($J420="",#N/A,SUM(BW$4:BW420))</f>
        <v>#N/A</v>
      </c>
      <c r="BY420" s="314" t="str">
        <f t="shared" si="700"/>
        <v/>
      </c>
      <c r="BZ420" s="314" t="e">
        <f>IF($J420="",#N/A,SUM(BY$4:BY420))</f>
        <v>#N/A</v>
      </c>
      <c r="CA420" s="315" t="str">
        <f t="shared" si="701"/>
        <v/>
      </c>
      <c r="CB420" s="315" t="e">
        <f>IF($J420="",#N/A,SUM(CA$4:CA420))</f>
        <v>#N/A</v>
      </c>
      <c r="CC420" s="315" t="e">
        <f>IF($J420="",#N/A,SUM(CA$4:CA420,BY$4:BY420,BW$4:BW420))</f>
        <v>#N/A</v>
      </c>
      <c r="CD420" s="304" t="str">
        <f t="shared" si="702"/>
        <v/>
      </c>
      <c r="CE420" s="313" t="e">
        <f>IF($J420="",#N/A,SUM(CD$4:CD420))</f>
        <v>#N/A</v>
      </c>
      <c r="CF420" s="314" t="str">
        <f t="shared" si="703"/>
        <v/>
      </c>
      <c r="CG420" s="314" t="e">
        <f>IF($J420="",#N/A,SUM(CF$4:CF420))</f>
        <v>#N/A</v>
      </c>
      <c r="CH420" s="315" t="str">
        <f t="shared" si="704"/>
        <v/>
      </c>
      <c r="CI420" s="315" t="e">
        <f>IF($J420="",#N/A,SUM(CH$4:CH420))</f>
        <v>#N/A</v>
      </c>
      <c r="CJ420" s="315" t="e">
        <f>IF($J420="",#N/A,SUM(CH$4:CH420,CF$4:CF420,CD$4:CD420))</f>
        <v>#N/A</v>
      </c>
      <c r="CK420" s="304" t="str">
        <f t="shared" si="705"/>
        <v/>
      </c>
      <c r="CL420" s="313" t="e">
        <f>IF($J420="",#N/A,SUM(CK$4:CK420))</f>
        <v>#N/A</v>
      </c>
      <c r="CM420" s="314" t="str">
        <f t="shared" si="706"/>
        <v/>
      </c>
      <c r="CN420" s="314" t="e">
        <f>IF($J420="",#N/A,SUM(CM$4:CM420))</f>
        <v>#N/A</v>
      </c>
      <c r="CO420" s="315" t="str">
        <f t="shared" si="707"/>
        <v/>
      </c>
      <c r="CP420" s="315" t="e">
        <f>IF($J420="",#N/A,SUM(CO$4:CO420))</f>
        <v>#N/A</v>
      </c>
      <c r="CQ420" s="315" t="e">
        <f>IF($J420="",#N/A,SUM(CO$4:CO420,CM$4:CM420,CK$4:CK420))</f>
        <v>#N/A</v>
      </c>
      <c r="CR420" s="304" t="str">
        <f t="shared" si="708"/>
        <v/>
      </c>
      <c r="CS420" s="313" t="e">
        <f>IF($J420="",#N/A,SUM(CR$4:CR420))</f>
        <v>#N/A</v>
      </c>
      <c r="CT420" s="314" t="str">
        <f t="shared" si="709"/>
        <v/>
      </c>
      <c r="CU420" s="314" t="e">
        <f>IF($J420="",#N/A,SUM(CT$4:CT420))</f>
        <v>#N/A</v>
      </c>
      <c r="CV420" s="315" t="str">
        <f t="shared" si="710"/>
        <v/>
      </c>
      <c r="CW420" s="315" t="e">
        <f>IF($J420="",#N/A,SUM(CV$4:CV420))</f>
        <v>#N/A</v>
      </c>
      <c r="CX420" s="315" t="e">
        <f>IF($J420="",#N/A,SUM(CV$4:CV420,CT$4:CT420,CR$4:CR420))</f>
        <v>#N/A</v>
      </c>
      <c r="CY420" s="304" t="str">
        <f t="shared" si="711"/>
        <v/>
      </c>
      <c r="CZ420" s="313" t="e">
        <f>IF($J420="",#N/A,SUM(CY$4:CY420))</f>
        <v>#N/A</v>
      </c>
      <c r="DA420" s="314" t="str">
        <f t="shared" si="712"/>
        <v/>
      </c>
      <c r="DB420" s="314" t="e">
        <f>IF($J420="",#N/A,SUM(DA$4:DA420))</f>
        <v>#N/A</v>
      </c>
      <c r="DC420" s="315" t="str">
        <f t="shared" si="713"/>
        <v/>
      </c>
      <c r="DD420" s="315" t="e">
        <f>IF($J420="",#N/A,SUM(DC$4:DC420))</f>
        <v>#N/A</v>
      </c>
      <c r="DE420" s="315" t="e">
        <f>IF($J420="",#N/A,SUM(DC$4:DC420,DA$4:DA420,CY$4:CY420))</f>
        <v>#N/A</v>
      </c>
      <c r="DF420" s="304" t="str">
        <f t="shared" si="714"/>
        <v/>
      </c>
      <c r="DG420" s="313" t="e">
        <f>IF($J420="",#N/A,SUM(DF$4:DF420))</f>
        <v>#N/A</v>
      </c>
      <c r="DH420" s="314" t="str">
        <f t="shared" si="715"/>
        <v/>
      </c>
      <c r="DI420" s="314" t="e">
        <f>IF($J420="",#N/A,SUM(DH$4:DH420))</f>
        <v>#N/A</v>
      </c>
      <c r="DJ420" s="315" t="str">
        <f t="shared" si="716"/>
        <v/>
      </c>
      <c r="DK420" s="315" t="e">
        <f>IF($J420="",#N/A,SUM(DJ$4:DJ420))</f>
        <v>#N/A</v>
      </c>
      <c r="DL420" s="315" t="e">
        <f>IF($J420="",#N/A,SUM(DJ$4:DJ420,DH$4:DH420,DF$4:DF420))</f>
        <v>#N/A</v>
      </c>
      <c r="DM420" s="304" t="str">
        <f t="shared" si="717"/>
        <v/>
      </c>
      <c r="DN420" s="313" t="e">
        <f>IF($J420="",#N/A,SUM(DM$4:DM420))</f>
        <v>#N/A</v>
      </c>
      <c r="DO420" s="314" t="str">
        <f t="shared" si="718"/>
        <v/>
      </c>
      <c r="DP420" s="314" t="e">
        <f>IF($J420="",#N/A,SUM(DO$4:DO420))</f>
        <v>#N/A</v>
      </c>
      <c r="DQ420" s="315" t="str">
        <f t="shared" si="719"/>
        <v/>
      </c>
      <c r="DR420" s="315" t="e">
        <f>IF($J420="",#N/A,SUM(DQ$4:DQ420))</f>
        <v>#N/A</v>
      </c>
      <c r="DS420" s="315" t="e">
        <f>IF($J420="",#N/A,SUM(DQ$4:DQ420,DO$4:DO420,DM$4:DM420))</f>
        <v>#N/A</v>
      </c>
      <c r="DT420" s="304" t="str">
        <f t="shared" si="720"/>
        <v/>
      </c>
      <c r="DU420" s="313" t="e">
        <f>IF($J420="",#N/A,SUM(DT$4:DT420))</f>
        <v>#N/A</v>
      </c>
      <c r="DV420" s="314" t="str">
        <f t="shared" si="721"/>
        <v/>
      </c>
      <c r="DW420" s="314" t="e">
        <f>IF($J420="",#N/A,SUM(DV$4:DV420))</f>
        <v>#N/A</v>
      </c>
      <c r="DX420" s="315" t="str">
        <f t="shared" si="722"/>
        <v/>
      </c>
      <c r="DY420" s="315" t="e">
        <f>IF($J420="",#N/A,SUM(DX$4:DX420))</f>
        <v>#N/A</v>
      </c>
      <c r="DZ420" s="315" t="e">
        <f>IF($J420="",#N/A,SUM(DX$4:DX420,DV$4:DV420,DT$4:DT420))</f>
        <v>#N/A</v>
      </c>
      <c r="EA420" s="304" t="str">
        <f t="shared" si="723"/>
        <v/>
      </c>
      <c r="EB420" s="313" t="e">
        <f>IF($J420="",#N/A,SUM(EA$4:EA420))</f>
        <v>#N/A</v>
      </c>
      <c r="EC420" s="314" t="str">
        <f t="shared" si="724"/>
        <v/>
      </c>
      <c r="ED420" s="314" t="e">
        <f>IF($J420="",#N/A,SUM(EC$4:EC420))</f>
        <v>#N/A</v>
      </c>
      <c r="EE420" s="315" t="str">
        <f t="shared" si="725"/>
        <v/>
      </c>
      <c r="EF420" s="315" t="e">
        <f>IF($J420="",#N/A,SUM(EE$4:EE420))</f>
        <v>#N/A</v>
      </c>
      <c r="EG420" s="315" t="e">
        <f>IF($J420="",#N/A,SUM(EE$4:EE420,EC$4:EC420,EA$4:EA420))</f>
        <v>#N/A</v>
      </c>
      <c r="EH420" s="130">
        <f t="shared" si="726"/>
        <v>20.200000000000045</v>
      </c>
      <c r="EI420" s="63">
        <f>IF(EH420="",#N/A,SUM($EH$4:EH420))</f>
        <v>2182.073571593347</v>
      </c>
      <c r="EJ420" s="223" t="e">
        <f t="shared" si="727"/>
        <v>#N/A</v>
      </c>
      <c r="EK420" s="63" t="e">
        <f>IF($GZ420="",#N/A,SUM(EJ$4:EJ420))</f>
        <v>#N/A</v>
      </c>
      <c r="EL420" s="60" t="str">
        <f t="shared" si="757"/>
        <v/>
      </c>
      <c r="EM420" s="60" t="e">
        <f>IF(EL420="",NA(),SUM($EL$4:EL420))</f>
        <v>#N/A</v>
      </c>
      <c r="EN420" s="60" t="str">
        <f t="shared" si="728"/>
        <v/>
      </c>
      <c r="EO420" s="60" t="e">
        <f>IF(EN420="",NA(),SUM($EN$4:EN420))</f>
        <v>#N/A</v>
      </c>
      <c r="EP420" s="60" t="str">
        <f t="shared" si="729"/>
        <v/>
      </c>
      <c r="EQ420" s="60" t="e">
        <f>IF(EP420="",NA(),SUM($EP$4:EP420))</f>
        <v>#N/A</v>
      </c>
      <c r="ER420" s="60" t="str">
        <f t="shared" si="730"/>
        <v/>
      </c>
      <c r="ES420" s="60" t="e">
        <f>IF(ER420="",NA(),SUM($ER$4:ER420))</f>
        <v>#N/A</v>
      </c>
      <c r="ET420" s="60">
        <f t="shared" si="731"/>
        <v>0.2157843011579717</v>
      </c>
      <c r="EU420" s="60">
        <f>IF(ET420="",NA(),SUM($ET$4:ET420))</f>
        <v>41.029906021000684</v>
      </c>
      <c r="EV420" s="60" t="str">
        <f t="shared" si="732"/>
        <v/>
      </c>
      <c r="EW420" s="60" t="e">
        <f>IF(EV420="",NA(),SUM($EV$4:EV420))</f>
        <v>#N/A</v>
      </c>
      <c r="EX420" s="60" t="str">
        <f t="shared" si="733"/>
        <v/>
      </c>
      <c r="EY420" s="60" t="e">
        <f>IF(EX420="",NA(),SUM($EX$4:EX420))</f>
        <v>#N/A</v>
      </c>
      <c r="EZ420" s="60">
        <f t="shared" si="734"/>
        <v>0.2157843011579717</v>
      </c>
      <c r="FA420" s="60">
        <f>IF(EZ420="",NA(),SUM($EZ$4:EZ420))</f>
        <v>22.444282766112622</v>
      </c>
      <c r="FB420" s="246">
        <f t="shared" si="758"/>
        <v>0.60035038242960348</v>
      </c>
      <c r="FC420" s="246">
        <f>IF($FB420="",#N/A,SUM(FB$4:$FB420))</f>
        <v>1.1075529521567402</v>
      </c>
      <c r="FD420" s="60" t="str">
        <f t="shared" si="735"/>
        <v/>
      </c>
      <c r="FE420" s="60" t="e">
        <f>IF($FD420="",#N/A,SUM($FD$4:FD420))</f>
        <v>#N/A</v>
      </c>
      <c r="FF420" s="60" t="str">
        <f t="shared" si="736"/>
        <v/>
      </c>
      <c r="FG420" s="60" t="e">
        <f>IF($FF420="",#N/A,SUM($FF$4:FF420))</f>
        <v>#N/A</v>
      </c>
      <c r="FH420" s="60" t="str">
        <f t="shared" si="737"/>
        <v/>
      </c>
      <c r="FI420" s="60" t="e">
        <f>IF($FH420="",#N/A,SUM($FH$4:FH420))</f>
        <v>#N/A</v>
      </c>
      <c r="FJ420" s="60" t="str">
        <f t="shared" si="738"/>
        <v/>
      </c>
      <c r="FK420" s="60" t="e">
        <f>IF($FJ420="",#N/A,SUM($FJ$4:FJ420))</f>
        <v>#N/A</v>
      </c>
      <c r="FL420" s="60" t="str">
        <f t="shared" si="739"/>
        <v/>
      </c>
      <c r="FM420" s="60" t="e">
        <f>IF($FL420="",#N/A,SUM($FL$4:FL420))</f>
        <v>#N/A</v>
      </c>
      <c r="FN420" s="82">
        <f t="shared" si="740"/>
        <v>0.81613468358757524</v>
      </c>
      <c r="FO420" s="82">
        <f>IF($FN420="",#N/A,SUM(FN$4:$FN420))</f>
        <v>51.254982319621476</v>
      </c>
      <c r="FP420" s="82">
        <f t="shared" si="759"/>
        <v>0.2157843011579717</v>
      </c>
      <c r="FQ420" s="246">
        <f>IF($EH420="",#N/A,SUM($FP$4:FP420))</f>
        <v>62.917655456743724</v>
      </c>
      <c r="FR420" s="82">
        <f>IFERROR(FQ420/COUNTA($J$4:J420),#N/A)</f>
        <v>0.15088166776197537</v>
      </c>
      <c r="FS420" s="82">
        <f t="shared" si="661"/>
        <v>0.1734102247084951</v>
      </c>
      <c r="FT420" s="82">
        <f t="shared" si="662"/>
        <v>0.53603823940154116</v>
      </c>
      <c r="FU420" s="338">
        <f t="shared" si="764"/>
        <v>30.316776972829501</v>
      </c>
      <c r="FV420" s="57" t="str">
        <f t="shared" si="765"/>
        <v>Dwn</v>
      </c>
      <c r="FW420" s="57" t="s">
        <v>2733</v>
      </c>
      <c r="FX420" s="57" t="str">
        <f t="shared" si="741"/>
        <v/>
      </c>
      <c r="FY420" s="57" t="str">
        <f t="shared" si="742"/>
        <v/>
      </c>
      <c r="FZ420" s="57" t="str">
        <f t="shared" si="743"/>
        <v/>
      </c>
      <c r="GA420" s="57" t="str">
        <f t="shared" si="744"/>
        <v>Short</v>
      </c>
      <c r="GB420" s="57">
        <f t="shared" si="745"/>
        <v>1</v>
      </c>
      <c r="GC420" s="57" t="str">
        <f t="shared" si="746"/>
        <v/>
      </c>
      <c r="GD420" s="57" t="str">
        <f t="shared" si="747"/>
        <v/>
      </c>
      <c r="GE420" s="62">
        <f t="shared" si="664"/>
        <v>78.010000000000005</v>
      </c>
      <c r="GF420" s="62" t="s">
        <v>2780</v>
      </c>
      <c r="GG420" s="199">
        <v>20</v>
      </c>
      <c r="GH420" s="207">
        <f t="shared" si="748"/>
        <v>1560.2</v>
      </c>
      <c r="GI420" s="199">
        <v>20</v>
      </c>
      <c r="GJ420" s="200">
        <v>77</v>
      </c>
      <c r="GK420" s="63">
        <f t="shared" si="749"/>
        <v>20.200000000000045</v>
      </c>
      <c r="GL420" s="63">
        <f t="shared" si="665"/>
        <v>76.400000000000091</v>
      </c>
      <c r="GM420" s="82" t="str">
        <f t="shared" si="750"/>
        <v/>
      </c>
      <c r="GN420" s="82">
        <f>IF($GZ420="",#N/A,SUM(GM$4:GM420))</f>
        <v>8.9645043221129939</v>
      </c>
      <c r="GO420" s="82" t="str">
        <f t="shared" si="751"/>
        <v/>
      </c>
      <c r="GP420" s="82">
        <f>IF($GZ420="",#N/A,SUM(GO$4:GO420))</f>
        <v>5.2904127911968519</v>
      </c>
      <c r="GQ420" s="82">
        <f t="shared" si="752"/>
        <v>0.81613468358757524</v>
      </c>
      <c r="GR420" s="82">
        <f>IF($GZ420="",#N/A,SUM(GQ$4:GQ420))</f>
        <v>36.374228251869312</v>
      </c>
      <c r="GS420" s="63" t="str">
        <f t="shared" si="760"/>
        <v/>
      </c>
      <c r="GT420" s="63" t="e">
        <f>IF($GZ420="",#N/A,SUM(GS$4:GS420))</f>
        <v>#N/A</v>
      </c>
      <c r="GU420" s="63" t="str">
        <f t="shared" si="761"/>
        <v/>
      </c>
      <c r="GV420" s="63" t="e">
        <f>IF($GZ420="",#N/A,SUM(GU$4:GU420))</f>
        <v>#N/A</v>
      </c>
      <c r="GW420" s="63" t="e">
        <f t="shared" si="762"/>
        <v>#N/A</v>
      </c>
      <c r="GX420" s="63" t="e">
        <f>IF($GZ420="",#N/A,SUM(GW$4:GW420))</f>
        <v>#N/A</v>
      </c>
      <c r="GY420" s="63" t="e">
        <f>IF(EJ420="",#N/A,SUM($EJ$4:EJ420))</f>
        <v>#N/A</v>
      </c>
      <c r="GZ420" s="159">
        <v>74.19</v>
      </c>
      <c r="HA420" s="63">
        <f t="shared" si="753"/>
        <v>56.200000000000045</v>
      </c>
      <c r="HB420" s="62" t="s">
        <v>2538</v>
      </c>
      <c r="HC420" s="60">
        <f>IFERROR(VLOOKUP(E420,Expectancy!$P$4:$S$19,1+C420,FALSE),"")</f>
        <v>0.3117803024854584</v>
      </c>
      <c r="HD420" s="82">
        <f t="shared" si="754"/>
        <v>0.2157843011579717</v>
      </c>
      <c r="HE420" s="138">
        <f>IF(HD420="",#N/A,SUM($HD$4:HD420))</f>
        <v>18.070878483914218</v>
      </c>
      <c r="HF420" s="85">
        <f>IF(HD420="",#N/A,IF(HB420="Skip",#N/A,SUM($HG$4:HG420)))</f>
        <v>1090.7535792191559</v>
      </c>
      <c r="HG420" s="63">
        <f t="shared" si="755"/>
        <v>20.200000000000045</v>
      </c>
      <c r="HH420" s="82">
        <f t="shared" ref="HH420:HH448" si="766">IF(OR($GI420="",$L420=""),"",IF($GA420="Long",(($GZ420*$GI420)-$GH420)/($GH420*0.06),($GH420-($GZ420*$GI420))/($GH420*0.06)))</f>
        <v>0.81613468358757524</v>
      </c>
    </row>
    <row r="421" spans="1:216" x14ac:dyDescent="0.25">
      <c r="A421" s="57" t="s">
        <v>1124</v>
      </c>
      <c r="B421" s="58" t="str" cm="1">
        <f t="array" ref="B421">IFERROR(_xlfn.XLOOKUP(A421,Earnings!$B$2:$B$9985,LEFT(Earnings!$C$2:$C$9985,37)),"Can't Find Date***")</f>
        <v>on 3/6/25 After Market Eastern Standa</v>
      </c>
      <c r="C421" s="386">
        <f t="shared" si="667"/>
        <v>2</v>
      </c>
      <c r="D421" s="372" t="str">
        <f>_xlfn.XLOOKUP(A421,[1]SP500!$A$2:$A$502,[1]SP500!$D$2:$D$502,"N")</f>
        <v>N</v>
      </c>
      <c r="E421" s="57" t="str">
        <f>_xlfn.XLOOKUP(A421,[1]SP500!$A$2:$A$655,[1]SP500!$B$2:$B$655)</f>
        <v>XLY</v>
      </c>
      <c r="F421" s="59">
        <v>45722</v>
      </c>
      <c r="G421" s="57" t="str">
        <f t="shared" si="668"/>
        <v>AMC</v>
      </c>
      <c r="H421" s="57" t="str">
        <f t="shared" si="669"/>
        <v>s</v>
      </c>
      <c r="I421" s="159">
        <v>19.48</v>
      </c>
      <c r="J421" s="159">
        <v>22.46</v>
      </c>
      <c r="K421" s="61">
        <f t="shared" si="670"/>
        <v>0.15297741273100618</v>
      </c>
      <c r="L421" s="87">
        <f t="shared" si="671"/>
        <v>-238.40000000000009</v>
      </c>
      <c r="M421" s="130" t="e">
        <f t="shared" si="663"/>
        <v>#N/A</v>
      </c>
      <c r="N421" s="169" t="str">
        <f t="shared" si="672"/>
        <v/>
      </c>
      <c r="O421" s="169">
        <f>IF($J421="",#N/A,SUM($N$4:N421))</f>
        <v>-296.57225475891073</v>
      </c>
      <c r="P421" s="174">
        <f t="shared" si="673"/>
        <v>-238.40000000000009</v>
      </c>
      <c r="Q421" s="174">
        <f>IF($J421="",#N/A,SUM($P$4:P421))</f>
        <v>1185.3966539569485</v>
      </c>
      <c r="R421" s="178" t="str">
        <f t="shared" si="674"/>
        <v/>
      </c>
      <c r="S421" s="178">
        <f>IF($J421="",#N/A,SUM($R$4:R421))</f>
        <v>1054.8491723953096</v>
      </c>
      <c r="T421" s="290" t="str">
        <f t="shared" si="675"/>
        <v/>
      </c>
      <c r="U421" s="290">
        <f>IF($J421="",#N/A,SUM($T$4:T421))</f>
        <v>10.520279308245643</v>
      </c>
      <c r="V421" s="291">
        <f t="shared" si="676"/>
        <v>-2.5496235455167704</v>
      </c>
      <c r="W421" s="291">
        <f>IF($J421="",#N/A,SUM($V$4:V421))</f>
        <v>31.306146207040296</v>
      </c>
      <c r="X421" s="292" t="str">
        <f t="shared" si="677"/>
        <v/>
      </c>
      <c r="Y421" s="292">
        <f>IF($J421="",#N/A,SUM($X$4:X421))</f>
        <v>18.541606395941031</v>
      </c>
      <c r="Z421" s="304" t="str">
        <f t="shared" si="678"/>
        <v/>
      </c>
      <c r="AA421" s="313" t="e">
        <f>IF($J421="",#N/A,SUM(Z$4:Z421))</f>
        <v>#N/A</v>
      </c>
      <c r="AB421" s="314" t="str">
        <f t="shared" si="679"/>
        <v/>
      </c>
      <c r="AC421" s="314" t="e">
        <f>IF($J421="",#N/A,SUM(AB$4:AB421))</f>
        <v>#N/A</v>
      </c>
      <c r="AD421" s="315" t="str">
        <f t="shared" si="680"/>
        <v/>
      </c>
      <c r="AE421" s="315" t="e">
        <f>IF($J421="",#N/A,SUM(AD$4:AD421))</f>
        <v>#N/A</v>
      </c>
      <c r="AF421" s="315" t="e">
        <f>IF($J421="",#N/A,SUM(AD$4:AD421,AB$4:AB421,Z$4:Z421))</f>
        <v>#N/A</v>
      </c>
      <c r="AG421" s="304" t="str">
        <f t="shared" si="681"/>
        <v/>
      </c>
      <c r="AH421" s="313" t="e">
        <f>IF($J421="",#N/A,SUM(AG$4:AG421))</f>
        <v>#N/A</v>
      </c>
      <c r="AI421" s="314" t="str">
        <f t="shared" si="682"/>
        <v/>
      </c>
      <c r="AJ421" s="314" t="e">
        <f>IF($J421="",#N/A,SUM(AI$4:AI421))</f>
        <v>#N/A</v>
      </c>
      <c r="AK421" s="315" t="str">
        <f t="shared" si="683"/>
        <v/>
      </c>
      <c r="AL421" s="315" t="e">
        <f>IF($J421="",#N/A,SUM(AK$4:AK421))</f>
        <v>#N/A</v>
      </c>
      <c r="AM421" s="315" t="e">
        <f>IF($J421="",#N/A,SUM(AK$4:AK421,AI$4:AI421,AG$4:AG421))</f>
        <v>#N/A</v>
      </c>
      <c r="AN421" s="304" t="str">
        <f t="shared" si="684"/>
        <v/>
      </c>
      <c r="AO421" s="313" t="e">
        <f>IF($J421="",#N/A,SUM(AN$4:AN421))</f>
        <v>#N/A</v>
      </c>
      <c r="AP421" s="314">
        <f t="shared" si="685"/>
        <v>-2.5496235455167704</v>
      </c>
      <c r="AQ421" s="314" t="e">
        <f>IF($J421="",#N/A,SUM(AP$4:AP421))</f>
        <v>#N/A</v>
      </c>
      <c r="AR421" s="315" t="str">
        <f t="shared" si="686"/>
        <v/>
      </c>
      <c r="AS421" s="315" t="e">
        <f>IF($J421="",#N/A,SUM(AR$4:AR421))</f>
        <v>#N/A</v>
      </c>
      <c r="AT421" s="315" t="e">
        <f>IF($J421="",#N/A,SUM(AR$4:AR421,AP$4:AP421,AN$4:AN421))</f>
        <v>#N/A</v>
      </c>
      <c r="AU421" s="304" t="str">
        <f t="shared" si="687"/>
        <v/>
      </c>
      <c r="AV421" s="313" t="e">
        <f>IF($J421="",#N/A,SUM(AU$4:AU421))</f>
        <v>#N/A</v>
      </c>
      <c r="AW421" s="314" t="str">
        <f t="shared" si="688"/>
        <v/>
      </c>
      <c r="AX421" s="314" t="e">
        <f>IF($J421="",#N/A,SUM(AW$4:AW421))</f>
        <v>#N/A</v>
      </c>
      <c r="AY421" s="315" t="str">
        <f t="shared" si="689"/>
        <v/>
      </c>
      <c r="AZ421" s="315" t="e">
        <f>IF($J421="",#N/A,SUM(AY$4:AY421))</f>
        <v>#N/A</v>
      </c>
      <c r="BA421" s="315" t="e">
        <f>IF($J421="",#N/A,SUM(AY$4:AY421,AW$4:AW421,AU$4:AU421))</f>
        <v>#N/A</v>
      </c>
      <c r="BB421" s="304" t="str">
        <f t="shared" si="690"/>
        <v/>
      </c>
      <c r="BC421" s="313" t="e">
        <f>IF($J421="",#N/A,SUM(BB$4:BB421))</f>
        <v>#N/A</v>
      </c>
      <c r="BD421" s="314" t="str">
        <f t="shared" si="691"/>
        <v/>
      </c>
      <c r="BE421" s="314" t="e">
        <f>IF($J421="",#N/A,SUM(BD$4:BD421))</f>
        <v>#N/A</v>
      </c>
      <c r="BF421" s="315" t="str">
        <f t="shared" si="692"/>
        <v/>
      </c>
      <c r="BG421" s="315" t="e">
        <f>IF($J421="",#N/A,SUM(BF$4:BF421))</f>
        <v>#N/A</v>
      </c>
      <c r="BH421" s="315" t="e">
        <f>IF($J421="",#N/A,SUM(BF$4:BF421,BD$4:BD421,BB$4:BB421))</f>
        <v>#N/A</v>
      </c>
      <c r="BI421" s="304" t="str">
        <f t="shared" si="693"/>
        <v/>
      </c>
      <c r="BJ421" s="313" t="e">
        <f>IF($J421="",#N/A,SUM(BI$4:BI421))</f>
        <v>#N/A</v>
      </c>
      <c r="BK421" s="314" t="str">
        <f t="shared" si="694"/>
        <v/>
      </c>
      <c r="BL421" s="314" t="e">
        <f>IF($J421="",#N/A,SUM(BK$4:BK421))</f>
        <v>#N/A</v>
      </c>
      <c r="BM421" s="315" t="str">
        <f t="shared" si="695"/>
        <v/>
      </c>
      <c r="BN421" s="315" t="e">
        <f>IF($J421="",#N/A,SUM(BM$4:BM421))</f>
        <v>#N/A</v>
      </c>
      <c r="BO421" s="315" t="e">
        <f>IF($J421="",#N/A,SUM(BM$4:BM421,BK$4:BK421,BI$4:BI421))</f>
        <v>#N/A</v>
      </c>
      <c r="BP421" s="304" t="str">
        <f t="shared" si="696"/>
        <v/>
      </c>
      <c r="BQ421" s="313" t="e">
        <f>IF($J421="",#N/A,SUM(BP$4:BP421))</f>
        <v>#N/A</v>
      </c>
      <c r="BR421" s="314" t="str">
        <f t="shared" si="697"/>
        <v/>
      </c>
      <c r="BS421" s="314" t="e">
        <f>IF($J421="",#N/A,SUM(BR$4:BR421))</f>
        <v>#N/A</v>
      </c>
      <c r="BT421" s="315" t="str">
        <f t="shared" si="698"/>
        <v/>
      </c>
      <c r="BU421" s="315" t="e">
        <f>IF($J421="",#N/A,SUM(BT$4:BT421))</f>
        <v>#N/A</v>
      </c>
      <c r="BV421" s="315" t="e">
        <f>IF($J421="",#N/A,SUM(BT$4:BT421,BR$4:BR421,BP$4:BP421))</f>
        <v>#N/A</v>
      </c>
      <c r="BW421" s="304" t="str">
        <f t="shared" si="699"/>
        <v/>
      </c>
      <c r="BX421" s="313" t="e">
        <f>IF($J421="",#N/A,SUM(BW$4:BW421))</f>
        <v>#N/A</v>
      </c>
      <c r="BY421" s="314" t="str">
        <f t="shared" si="700"/>
        <v/>
      </c>
      <c r="BZ421" s="314" t="e">
        <f>IF($J421="",#N/A,SUM(BY$4:BY421))</f>
        <v>#N/A</v>
      </c>
      <c r="CA421" s="315" t="str">
        <f t="shared" si="701"/>
        <v/>
      </c>
      <c r="CB421" s="315" t="e">
        <f>IF($J421="",#N/A,SUM(CA$4:CA421))</f>
        <v>#N/A</v>
      </c>
      <c r="CC421" s="315" t="e">
        <f>IF($J421="",#N/A,SUM(CA$4:CA421,BY$4:BY421,BW$4:BW421))</f>
        <v>#N/A</v>
      </c>
      <c r="CD421" s="304" t="str">
        <f t="shared" si="702"/>
        <v/>
      </c>
      <c r="CE421" s="313" t="e">
        <f>IF($J421="",#N/A,SUM(CD$4:CD421))</f>
        <v>#N/A</v>
      </c>
      <c r="CF421" s="314" t="str">
        <f t="shared" si="703"/>
        <v/>
      </c>
      <c r="CG421" s="314" t="e">
        <f>IF($J421="",#N/A,SUM(CF$4:CF421))</f>
        <v>#N/A</v>
      </c>
      <c r="CH421" s="315" t="str">
        <f t="shared" si="704"/>
        <v/>
      </c>
      <c r="CI421" s="315" t="e">
        <f>IF($J421="",#N/A,SUM(CH$4:CH421))</f>
        <v>#N/A</v>
      </c>
      <c r="CJ421" s="315" t="e">
        <f>IF($J421="",#N/A,SUM(CH$4:CH421,CF$4:CF421,CD$4:CD421))</f>
        <v>#N/A</v>
      </c>
      <c r="CK421" s="304" t="str">
        <f t="shared" si="705"/>
        <v/>
      </c>
      <c r="CL421" s="313" t="e">
        <f>IF($J421="",#N/A,SUM(CK$4:CK421))</f>
        <v>#N/A</v>
      </c>
      <c r="CM421" s="314" t="str">
        <f t="shared" si="706"/>
        <v/>
      </c>
      <c r="CN421" s="314" t="e">
        <f>IF($J421="",#N/A,SUM(CM$4:CM421))</f>
        <v>#N/A</v>
      </c>
      <c r="CO421" s="315" t="str">
        <f t="shared" si="707"/>
        <v/>
      </c>
      <c r="CP421" s="315" t="e">
        <f>IF($J421="",#N/A,SUM(CO$4:CO421))</f>
        <v>#N/A</v>
      </c>
      <c r="CQ421" s="315" t="e">
        <f>IF($J421="",#N/A,SUM(CO$4:CO421,CM$4:CM421,CK$4:CK421))</f>
        <v>#N/A</v>
      </c>
      <c r="CR421" s="304" t="str">
        <f t="shared" si="708"/>
        <v/>
      </c>
      <c r="CS421" s="313" t="e">
        <f>IF($J421="",#N/A,SUM(CR$4:CR421))</f>
        <v>#N/A</v>
      </c>
      <c r="CT421" s="314" t="str">
        <f t="shared" si="709"/>
        <v/>
      </c>
      <c r="CU421" s="314" t="e">
        <f>IF($J421="",#N/A,SUM(CT$4:CT421))</f>
        <v>#N/A</v>
      </c>
      <c r="CV421" s="315" t="str">
        <f t="shared" si="710"/>
        <v/>
      </c>
      <c r="CW421" s="315" t="e">
        <f>IF($J421="",#N/A,SUM(CV$4:CV421))</f>
        <v>#N/A</v>
      </c>
      <c r="CX421" s="315" t="e">
        <f>IF($J421="",#N/A,SUM(CV$4:CV421,CT$4:CT421,CR$4:CR421))</f>
        <v>#N/A</v>
      </c>
      <c r="CY421" s="304" t="str">
        <f t="shared" si="711"/>
        <v/>
      </c>
      <c r="CZ421" s="313" t="e">
        <f>IF($J421="",#N/A,SUM(CY$4:CY421))</f>
        <v>#N/A</v>
      </c>
      <c r="DA421" s="314" t="str">
        <f t="shared" si="712"/>
        <v/>
      </c>
      <c r="DB421" s="314" t="e">
        <f>IF($J421="",#N/A,SUM(DA$4:DA421))</f>
        <v>#N/A</v>
      </c>
      <c r="DC421" s="315" t="str">
        <f t="shared" si="713"/>
        <v/>
      </c>
      <c r="DD421" s="315" t="e">
        <f>IF($J421="",#N/A,SUM(DC$4:DC421))</f>
        <v>#N/A</v>
      </c>
      <c r="DE421" s="315" t="e">
        <f>IF($J421="",#N/A,SUM(DC$4:DC421,DA$4:DA421,CY$4:CY421))</f>
        <v>#N/A</v>
      </c>
      <c r="DF421" s="304" t="str">
        <f t="shared" si="714"/>
        <v/>
      </c>
      <c r="DG421" s="313" t="e">
        <f>IF($J421="",#N/A,SUM(DF$4:DF421))</f>
        <v>#N/A</v>
      </c>
      <c r="DH421" s="314" t="str">
        <f t="shared" si="715"/>
        <v/>
      </c>
      <c r="DI421" s="314" t="e">
        <f>IF($J421="",#N/A,SUM(DH$4:DH421))</f>
        <v>#N/A</v>
      </c>
      <c r="DJ421" s="315" t="str">
        <f t="shared" si="716"/>
        <v/>
      </c>
      <c r="DK421" s="315" t="e">
        <f>IF($J421="",#N/A,SUM(DJ$4:DJ421))</f>
        <v>#N/A</v>
      </c>
      <c r="DL421" s="315" t="e">
        <f>IF($J421="",#N/A,SUM(DJ$4:DJ421,DH$4:DH421,DF$4:DF421))</f>
        <v>#N/A</v>
      </c>
      <c r="DM421" s="304" t="str">
        <f t="shared" si="717"/>
        <v/>
      </c>
      <c r="DN421" s="313" t="e">
        <f>IF($J421="",#N/A,SUM(DM$4:DM421))</f>
        <v>#N/A</v>
      </c>
      <c r="DO421" s="314" t="str">
        <f t="shared" si="718"/>
        <v/>
      </c>
      <c r="DP421" s="314" t="e">
        <f>IF($J421="",#N/A,SUM(DO$4:DO421))</f>
        <v>#N/A</v>
      </c>
      <c r="DQ421" s="315" t="str">
        <f t="shared" si="719"/>
        <v/>
      </c>
      <c r="DR421" s="315" t="e">
        <f>IF($J421="",#N/A,SUM(DQ$4:DQ421))</f>
        <v>#N/A</v>
      </c>
      <c r="DS421" s="315" t="e">
        <f>IF($J421="",#N/A,SUM(DQ$4:DQ421,DO$4:DO421,DM$4:DM421))</f>
        <v>#N/A</v>
      </c>
      <c r="DT421" s="304" t="str">
        <f t="shared" si="720"/>
        <v/>
      </c>
      <c r="DU421" s="313" t="e">
        <f>IF($J421="",#N/A,SUM(DT$4:DT421))</f>
        <v>#N/A</v>
      </c>
      <c r="DV421" s="314" t="str">
        <f t="shared" si="721"/>
        <v/>
      </c>
      <c r="DW421" s="314" t="e">
        <f>IF($J421="",#N/A,SUM(DV$4:DV421))</f>
        <v>#N/A</v>
      </c>
      <c r="DX421" s="315" t="str">
        <f t="shared" si="722"/>
        <v/>
      </c>
      <c r="DY421" s="315" t="e">
        <f>IF($J421="",#N/A,SUM(DX$4:DX421))</f>
        <v>#N/A</v>
      </c>
      <c r="DZ421" s="315" t="e">
        <f>IF($J421="",#N/A,SUM(DX$4:DX421,DV$4:DV421,DT$4:DT421))</f>
        <v>#N/A</v>
      </c>
      <c r="EA421" s="304" t="str">
        <f t="shared" si="723"/>
        <v/>
      </c>
      <c r="EB421" s="313" t="e">
        <f>IF($J421="",#N/A,SUM(EA$4:EA421))</f>
        <v>#N/A</v>
      </c>
      <c r="EC421" s="314" t="str">
        <f t="shared" si="724"/>
        <v/>
      </c>
      <c r="ED421" s="314" t="e">
        <f>IF($J421="",#N/A,SUM(EC$4:EC421))</f>
        <v>#N/A</v>
      </c>
      <c r="EE421" s="315" t="str">
        <f t="shared" si="725"/>
        <v/>
      </c>
      <c r="EF421" s="315" t="e">
        <f>IF($J421="",#N/A,SUM(EE$4:EE421))</f>
        <v>#N/A</v>
      </c>
      <c r="EG421" s="315" t="e">
        <f>IF($J421="",#N/A,SUM(EE$4:EE421,EC$4:EC421,EA$4:EA421))</f>
        <v>#N/A</v>
      </c>
      <c r="EH421" s="130">
        <f t="shared" si="726"/>
        <v>-238.40000000000009</v>
      </c>
      <c r="EI421" s="63">
        <f>IF(EH421="",#N/A,SUM($EH$4:EH421))</f>
        <v>1943.6735715933469</v>
      </c>
      <c r="EJ421" s="223" t="e">
        <f t="shared" si="727"/>
        <v>#N/A</v>
      </c>
      <c r="EK421" s="63" t="e">
        <f>IF($GZ421="",#N/A,SUM(EJ$4:EJ421))</f>
        <v>#N/A</v>
      </c>
      <c r="EL421" s="60" t="str">
        <f t="shared" si="757"/>
        <v/>
      </c>
      <c r="EM421" s="60" t="e">
        <f>IF(EL421="",NA(),SUM($EL$4:EL421))</f>
        <v>#N/A</v>
      </c>
      <c r="EN421" s="60" t="str">
        <f t="shared" si="728"/>
        <v/>
      </c>
      <c r="EO421" s="60" t="e">
        <f>IF(EN421="",NA(),SUM($EN$4:EN421))</f>
        <v>#N/A</v>
      </c>
      <c r="EP421" s="60" t="str">
        <f t="shared" si="729"/>
        <v/>
      </c>
      <c r="EQ421" s="60" t="e">
        <f>IF(EP421="",NA(),SUM($EP$4:EP421))</f>
        <v>#N/A</v>
      </c>
      <c r="ER421" s="60" t="str">
        <f t="shared" si="730"/>
        <v/>
      </c>
      <c r="ES421" s="60" t="e">
        <f>IF(ER421="",NA(),SUM($ER$4:ER421))</f>
        <v>#N/A</v>
      </c>
      <c r="ET421" s="60">
        <f t="shared" si="731"/>
        <v>-2.5496235455167704</v>
      </c>
      <c r="EU421" s="60">
        <f>IF(ET421="",NA(),SUM($ET$4:ET421))</f>
        <v>38.480282475483911</v>
      </c>
      <c r="EV421" s="60" t="str">
        <f t="shared" si="732"/>
        <v/>
      </c>
      <c r="EW421" s="60" t="e">
        <f>IF(EV421="",NA(),SUM($EV$4:EV421))</f>
        <v>#N/A</v>
      </c>
      <c r="EX421" s="60" t="str">
        <f t="shared" si="733"/>
        <v/>
      </c>
      <c r="EY421" s="60" t="e">
        <f>IF(EX421="",NA(),SUM($EX$4:EX421))</f>
        <v>#N/A</v>
      </c>
      <c r="EZ421" s="60">
        <f t="shared" si="734"/>
        <v>-2.5496235455167704</v>
      </c>
      <c r="FA421" s="60">
        <f>IF(EZ421="",NA(),SUM($EZ$4:EZ421))</f>
        <v>19.894659220595852</v>
      </c>
      <c r="FB421" s="246" t="str">
        <f t="shared" si="758"/>
        <v/>
      </c>
      <c r="FC421" s="246" t="e">
        <f>IF($FB421="",#N/A,SUM(FB$4:$FB421))</f>
        <v>#N/A</v>
      </c>
      <c r="FD421" s="60">
        <f t="shared" si="735"/>
        <v>-0.59034907597535735</v>
      </c>
      <c r="FE421" s="60">
        <f>IF($FD421="",#N/A,SUM($FD$4:FD421))</f>
        <v>0.82055647118015296</v>
      </c>
      <c r="FF421" s="60" t="str">
        <f t="shared" si="736"/>
        <v/>
      </c>
      <c r="FG421" s="60" t="e">
        <f>IF($FF421="",#N/A,SUM($FF$4:FF421))</f>
        <v>#N/A</v>
      </c>
      <c r="FH421" s="60" t="str">
        <f t="shared" si="737"/>
        <v/>
      </c>
      <c r="FI421" s="60" t="e">
        <f>IF($FH421="",#N/A,SUM($FH$4:FH421))</f>
        <v>#N/A</v>
      </c>
      <c r="FJ421" s="60" t="str">
        <f t="shared" si="738"/>
        <v/>
      </c>
      <c r="FK421" s="60" t="e">
        <f>IF($FJ421="",#N/A,SUM($FJ$4:FJ421))</f>
        <v>#N/A</v>
      </c>
      <c r="FL421" s="60" t="str">
        <f t="shared" si="739"/>
        <v/>
      </c>
      <c r="FM421" s="60" t="e">
        <f>IF($FL421="",#N/A,SUM($FL$4:FL421))</f>
        <v>#N/A</v>
      </c>
      <c r="FN421" s="82">
        <f t="shared" si="740"/>
        <v>-3.1399726214921277</v>
      </c>
      <c r="FO421" s="82">
        <f>IF($FN421="",#N/A,SUM(FN$4:$FN421))</f>
        <v>48.115009698129349</v>
      </c>
      <c r="FP421" s="82">
        <f t="shared" si="759"/>
        <v>-2.5496235455167704</v>
      </c>
      <c r="FQ421" s="246">
        <f>IF($EH421="",#N/A,SUM($FP$4:FP421))</f>
        <v>60.36803191122695</v>
      </c>
      <c r="FR421" s="82">
        <f>IFERROR(FQ421/COUNTA($J$4:J421),#N/A)</f>
        <v>0.14442112897422715</v>
      </c>
      <c r="FS421" s="82">
        <f t="shared" si="661"/>
        <v>0.17033333311053184</v>
      </c>
      <c r="FT421" s="82">
        <f t="shared" si="662"/>
        <v>0.54060605233189929</v>
      </c>
      <c r="FU421" s="338">
        <f t="shared" si="764"/>
        <v>30.907126048804855</v>
      </c>
      <c r="FV421" s="57" t="str">
        <f t="shared" si="765"/>
        <v>Dwn</v>
      </c>
      <c r="FW421" s="57" t="s">
        <v>2734</v>
      </c>
      <c r="FX421" s="57" t="str">
        <f t="shared" si="741"/>
        <v/>
      </c>
      <c r="FY421" s="57">
        <f t="shared" si="742"/>
        <v>1</v>
      </c>
      <c r="FZ421" s="57" t="str">
        <f t="shared" si="743"/>
        <v/>
      </c>
      <c r="GA421" s="57" t="str">
        <f t="shared" si="744"/>
        <v>Short</v>
      </c>
      <c r="GB421" s="57" t="str">
        <f t="shared" si="745"/>
        <v/>
      </c>
      <c r="GC421" s="57" t="str">
        <f t="shared" si="746"/>
        <v/>
      </c>
      <c r="GD421" s="57" t="str">
        <f t="shared" si="747"/>
        <v/>
      </c>
      <c r="GE421" s="62">
        <f t="shared" si="664"/>
        <v>19.48</v>
      </c>
      <c r="GF421" s="62" t="s">
        <v>2780</v>
      </c>
      <c r="GG421" s="199">
        <v>80</v>
      </c>
      <c r="GH421" s="207">
        <f t="shared" si="748"/>
        <v>1558.4</v>
      </c>
      <c r="GI421" s="199">
        <v>80</v>
      </c>
      <c r="GJ421" s="200">
        <f>J421</f>
        <v>22.46</v>
      </c>
      <c r="GK421" s="63">
        <f t="shared" si="749"/>
        <v>-238.40000000000009</v>
      </c>
      <c r="GL421" s="63">
        <f t="shared" si="665"/>
        <v>-293.59999999999991</v>
      </c>
      <c r="GM421" s="82" t="str">
        <f t="shared" si="750"/>
        <v/>
      </c>
      <c r="GN421" s="82">
        <f>IF($GZ421="",#N/A,SUM(GM$4:GM421))</f>
        <v>8.9645043221129939</v>
      </c>
      <c r="GO421" s="82" t="str">
        <f t="shared" si="751"/>
        <v/>
      </c>
      <c r="GP421" s="82">
        <f>IF($GZ421="",#N/A,SUM(GO$4:GO421))</f>
        <v>5.2904127911968519</v>
      </c>
      <c r="GQ421" s="82">
        <f t="shared" si="752"/>
        <v>-3.1399726214921277</v>
      </c>
      <c r="GR421" s="82">
        <f>IF($GZ421="",#N/A,SUM(GQ$4:GQ421))</f>
        <v>33.234255630377184</v>
      </c>
      <c r="GS421" s="63" t="str">
        <f t="shared" si="760"/>
        <v/>
      </c>
      <c r="GT421" s="63" t="e">
        <f>IF($GZ421="",#N/A,SUM(GS$4:GS421))</f>
        <v>#N/A</v>
      </c>
      <c r="GU421" s="63" t="str">
        <f t="shared" si="761"/>
        <v/>
      </c>
      <c r="GV421" s="63" t="e">
        <f>IF($GZ421="",#N/A,SUM(GU$4:GU421))</f>
        <v>#N/A</v>
      </c>
      <c r="GW421" s="63" t="e">
        <f t="shared" si="762"/>
        <v>#N/A</v>
      </c>
      <c r="GX421" s="63" t="e">
        <f>IF($GZ421="",#N/A,SUM(GW$4:GW421))</f>
        <v>#N/A</v>
      </c>
      <c r="GY421" s="63" t="e">
        <f>IF(EJ421="",#N/A,SUM($EJ$4:EJ421))</f>
        <v>#N/A</v>
      </c>
      <c r="GZ421" s="159">
        <v>23.15</v>
      </c>
      <c r="HA421" s="63">
        <f t="shared" si="753"/>
        <v>-55.199999999999818</v>
      </c>
      <c r="HB421" s="62" t="s">
        <v>4735</v>
      </c>
      <c r="HC421" s="60">
        <f>IFERROR(VLOOKUP(E421,Expectancy!$P$4:$S$19,1+C421,FALSE),"")</f>
        <v>-9.4786290791818092E-2</v>
      </c>
      <c r="HD421" s="82">
        <f t="shared" si="754"/>
        <v>-3.1399726214921277</v>
      </c>
      <c r="HE421" s="138">
        <f>IF(HD421="",#N/A,SUM($HD$4:HD421))</f>
        <v>14.93090586242209</v>
      </c>
      <c r="HF421" s="85">
        <f>IF(HD421="",#N/A,IF(HB421="Skip",#N/A,SUM($HG$4:HG421)))</f>
        <v>797.15357921915597</v>
      </c>
      <c r="HG421" s="63">
        <f t="shared" si="755"/>
        <v>-293.59999999999991</v>
      </c>
      <c r="HH421" s="82">
        <f t="shared" si="766"/>
        <v>-3.1399726214921277</v>
      </c>
    </row>
    <row r="422" spans="1:216" x14ac:dyDescent="0.25">
      <c r="A422" s="57" t="s">
        <v>1270</v>
      </c>
      <c r="B422" s="58" t="str" cm="1">
        <f t="array" ref="B422">IFERROR(_xlfn.XLOOKUP(A422,Earnings!$B$2:$B$9985,LEFT(Earnings!$C$2:$C$9985,37)),"Can't Find Date***")</f>
        <v>on 3/6/25 After Market Eastern Standa</v>
      </c>
      <c r="C422" s="386">
        <f t="shared" si="667"/>
        <v>3</v>
      </c>
      <c r="D422" s="372" t="str">
        <f>_xlfn.XLOOKUP(A422,[1]SP500!$A$2:$A$502,[1]SP500!$D$2:$D$502,"N")</f>
        <v>Y</v>
      </c>
      <c r="E422" s="57" t="str">
        <f>_xlfn.XLOOKUP(A422,[1]SP500!$A$2:$A$655,[1]SP500!$B$2:$B$655)</f>
        <v>SMH</v>
      </c>
      <c r="F422" s="59">
        <v>45722</v>
      </c>
      <c r="G422" s="57" t="str">
        <f t="shared" si="668"/>
        <v>AMC</v>
      </c>
      <c r="H422" s="57" t="str">
        <f t="shared" si="669"/>
        <v>o</v>
      </c>
      <c r="I422" s="159">
        <v>179.45</v>
      </c>
      <c r="J422" s="159">
        <v>187.73</v>
      </c>
      <c r="K422" s="61">
        <f t="shared" si="670"/>
        <v>4.6140986347171925E-2</v>
      </c>
      <c r="L422" s="87">
        <f t="shared" si="671"/>
        <v>-74.519999999999982</v>
      </c>
      <c r="M422" s="130">
        <f t="shared" si="663"/>
        <v>1.7999999999999545</v>
      </c>
      <c r="N422" s="169" t="str">
        <f t="shared" si="672"/>
        <v/>
      </c>
      <c r="O422" s="169">
        <f>IF($J422="",#N/A,SUM($N$4:N422))</f>
        <v>-296.57225475891073</v>
      </c>
      <c r="P422" s="174" t="str">
        <f t="shared" si="673"/>
        <v/>
      </c>
      <c r="Q422" s="174">
        <f>IF($J422="",#N/A,SUM($P$4:P422))</f>
        <v>1185.3966539569485</v>
      </c>
      <c r="R422" s="178">
        <f t="shared" si="674"/>
        <v>74.519999999999982</v>
      </c>
      <c r="S422" s="178">
        <f>IF($J422="",#N/A,SUM($R$4:R422))</f>
        <v>1129.3691723953095</v>
      </c>
      <c r="T422" s="290" t="str">
        <f t="shared" si="675"/>
        <v/>
      </c>
      <c r="U422" s="290">
        <f>IF($J422="",#N/A,SUM($T$4:T422))</f>
        <v>10.520279308245643</v>
      </c>
      <c r="V422" s="291" t="str">
        <f t="shared" si="676"/>
        <v/>
      </c>
      <c r="W422" s="291">
        <f>IF($J422="",#N/A,SUM($V$4:V422))</f>
        <v>31.306146207040296</v>
      </c>
      <c r="X422" s="292">
        <f t="shared" si="677"/>
        <v>0.76901643911953177</v>
      </c>
      <c r="Y422" s="292">
        <f>IF($J422="",#N/A,SUM($X$4:X422))</f>
        <v>19.310622835060563</v>
      </c>
      <c r="Z422" s="304" t="str">
        <f t="shared" si="678"/>
        <v/>
      </c>
      <c r="AA422" s="313" t="e">
        <f>IF($J422="",#N/A,SUM(Z$4:Z422))</f>
        <v>#N/A</v>
      </c>
      <c r="AB422" s="314" t="str">
        <f t="shared" si="679"/>
        <v/>
      </c>
      <c r="AC422" s="314" t="e">
        <f>IF($J422="",#N/A,SUM(AB$4:AB422))</f>
        <v>#N/A</v>
      </c>
      <c r="AD422" s="315" t="str">
        <f t="shared" si="680"/>
        <v/>
      </c>
      <c r="AE422" s="315" t="e">
        <f>IF($J422="",#N/A,SUM(AD$4:AD422))</f>
        <v>#N/A</v>
      </c>
      <c r="AF422" s="315" t="e">
        <f>IF($J422="",#N/A,SUM(AD$4:AD422,AB$4:AB422,Z$4:Z422))</f>
        <v>#N/A</v>
      </c>
      <c r="AG422" s="304" t="str">
        <f t="shared" si="681"/>
        <v/>
      </c>
      <c r="AH422" s="313" t="e">
        <f>IF($J422="",#N/A,SUM(AG$4:AG422))</f>
        <v>#N/A</v>
      </c>
      <c r="AI422" s="314" t="str">
        <f t="shared" si="682"/>
        <v/>
      </c>
      <c r="AJ422" s="314" t="e">
        <f>IF($J422="",#N/A,SUM(AI$4:AI422))</f>
        <v>#N/A</v>
      </c>
      <c r="AK422" s="315" t="str">
        <f t="shared" si="683"/>
        <v/>
      </c>
      <c r="AL422" s="315" t="e">
        <f>IF($J422="",#N/A,SUM(AK$4:AK422))</f>
        <v>#N/A</v>
      </c>
      <c r="AM422" s="315" t="e">
        <f>IF($J422="",#N/A,SUM(AK$4:AK422,AI$4:AI422,AG$4:AG422))</f>
        <v>#N/A</v>
      </c>
      <c r="AN422" s="304" t="str">
        <f t="shared" si="684"/>
        <v/>
      </c>
      <c r="AO422" s="313" t="e">
        <f>IF($J422="",#N/A,SUM(AN$4:AN422))</f>
        <v>#N/A</v>
      </c>
      <c r="AP422" s="314" t="str">
        <f t="shared" si="685"/>
        <v/>
      </c>
      <c r="AQ422" s="314" t="e">
        <f>IF($J422="",#N/A,SUM(AP$4:AP422))</f>
        <v>#N/A</v>
      </c>
      <c r="AR422" s="315" t="str">
        <f t="shared" si="686"/>
        <v/>
      </c>
      <c r="AS422" s="315" t="e">
        <f>IF($J422="",#N/A,SUM(AR$4:AR422))</f>
        <v>#N/A</v>
      </c>
      <c r="AT422" s="315" t="e">
        <f>IF($J422="",#N/A,SUM(AR$4:AR422,AP$4:AP422,AN$4:AN422))</f>
        <v>#N/A</v>
      </c>
      <c r="AU422" s="304" t="str">
        <f t="shared" si="687"/>
        <v/>
      </c>
      <c r="AV422" s="313" t="e">
        <f>IF($J422="",#N/A,SUM(AU$4:AU422))</f>
        <v>#N/A</v>
      </c>
      <c r="AW422" s="314" t="str">
        <f t="shared" si="688"/>
        <v/>
      </c>
      <c r="AX422" s="314" t="e">
        <f>IF($J422="",#N/A,SUM(AW$4:AW422))</f>
        <v>#N/A</v>
      </c>
      <c r="AY422" s="315" t="str">
        <f t="shared" si="689"/>
        <v/>
      </c>
      <c r="AZ422" s="315" t="e">
        <f>IF($J422="",#N/A,SUM(AY$4:AY422))</f>
        <v>#N/A</v>
      </c>
      <c r="BA422" s="315" t="e">
        <f>IF($J422="",#N/A,SUM(AY$4:AY422,AW$4:AW422,AU$4:AU422))</f>
        <v>#N/A</v>
      </c>
      <c r="BB422" s="304" t="str">
        <f t="shared" si="690"/>
        <v/>
      </c>
      <c r="BC422" s="313" t="e">
        <f>IF($J422="",#N/A,SUM(BB$4:BB422))</f>
        <v>#N/A</v>
      </c>
      <c r="BD422" s="314" t="str">
        <f t="shared" si="691"/>
        <v/>
      </c>
      <c r="BE422" s="314" t="e">
        <f>IF($J422="",#N/A,SUM(BD$4:BD422))</f>
        <v>#N/A</v>
      </c>
      <c r="BF422" s="315" t="str">
        <f t="shared" si="692"/>
        <v/>
      </c>
      <c r="BG422" s="315" t="e">
        <f>IF($J422="",#N/A,SUM(BF$4:BF422))</f>
        <v>#N/A</v>
      </c>
      <c r="BH422" s="315" t="e">
        <f>IF($J422="",#N/A,SUM(BF$4:BF422,BD$4:BD422,BB$4:BB422))</f>
        <v>#N/A</v>
      </c>
      <c r="BI422" s="304" t="str">
        <f t="shared" si="693"/>
        <v/>
      </c>
      <c r="BJ422" s="313" t="e">
        <f>IF($J422="",#N/A,SUM(BI$4:BI422))</f>
        <v>#N/A</v>
      </c>
      <c r="BK422" s="314" t="str">
        <f t="shared" si="694"/>
        <v/>
      </c>
      <c r="BL422" s="314" t="e">
        <f>IF($J422="",#N/A,SUM(BK$4:BK422))</f>
        <v>#N/A</v>
      </c>
      <c r="BM422" s="315" t="str">
        <f t="shared" si="695"/>
        <v/>
      </c>
      <c r="BN422" s="315" t="e">
        <f>IF($J422="",#N/A,SUM(BM$4:BM422))</f>
        <v>#N/A</v>
      </c>
      <c r="BO422" s="315" t="e">
        <f>IF($J422="",#N/A,SUM(BM$4:BM422,BK$4:BK422,BI$4:BI422))</f>
        <v>#N/A</v>
      </c>
      <c r="BP422" s="304" t="str">
        <f t="shared" si="696"/>
        <v/>
      </c>
      <c r="BQ422" s="313" t="e">
        <f>IF($J422="",#N/A,SUM(BP$4:BP422))</f>
        <v>#N/A</v>
      </c>
      <c r="BR422" s="314" t="str">
        <f t="shared" si="697"/>
        <v/>
      </c>
      <c r="BS422" s="314" t="e">
        <f>IF($J422="",#N/A,SUM(BR$4:BR422))</f>
        <v>#N/A</v>
      </c>
      <c r="BT422" s="315" t="str">
        <f t="shared" si="698"/>
        <v/>
      </c>
      <c r="BU422" s="315" t="e">
        <f>IF($J422="",#N/A,SUM(BT$4:BT422))</f>
        <v>#N/A</v>
      </c>
      <c r="BV422" s="315" t="e">
        <f>IF($J422="",#N/A,SUM(BT$4:BT422,BR$4:BR422,BP$4:BP422))</f>
        <v>#N/A</v>
      </c>
      <c r="BW422" s="304" t="str">
        <f t="shared" si="699"/>
        <v/>
      </c>
      <c r="BX422" s="313" t="e">
        <f>IF($J422="",#N/A,SUM(BW$4:BW422))</f>
        <v>#N/A</v>
      </c>
      <c r="BY422" s="314" t="str">
        <f t="shared" si="700"/>
        <v/>
      </c>
      <c r="BZ422" s="314" t="e">
        <f>IF($J422="",#N/A,SUM(BY$4:BY422))</f>
        <v>#N/A</v>
      </c>
      <c r="CA422" s="315" t="str">
        <f t="shared" si="701"/>
        <v/>
      </c>
      <c r="CB422" s="315" t="e">
        <f>IF($J422="",#N/A,SUM(CA$4:CA422))</f>
        <v>#N/A</v>
      </c>
      <c r="CC422" s="315" t="e">
        <f>IF($J422="",#N/A,SUM(CA$4:CA422,BY$4:BY422,BW$4:BW422))</f>
        <v>#N/A</v>
      </c>
      <c r="CD422" s="304" t="str">
        <f t="shared" si="702"/>
        <v/>
      </c>
      <c r="CE422" s="313" t="e">
        <f>IF($J422="",#N/A,SUM(CD$4:CD422))</f>
        <v>#N/A</v>
      </c>
      <c r="CF422" s="314" t="str">
        <f t="shared" si="703"/>
        <v/>
      </c>
      <c r="CG422" s="314" t="e">
        <f>IF($J422="",#N/A,SUM(CF$4:CF422))</f>
        <v>#N/A</v>
      </c>
      <c r="CH422" s="315" t="str">
        <f t="shared" si="704"/>
        <v/>
      </c>
      <c r="CI422" s="315" t="e">
        <f>IF($J422="",#N/A,SUM(CH$4:CH422))</f>
        <v>#N/A</v>
      </c>
      <c r="CJ422" s="315" t="e">
        <f>IF($J422="",#N/A,SUM(CH$4:CH422,CF$4:CF422,CD$4:CD422))</f>
        <v>#N/A</v>
      </c>
      <c r="CK422" s="304" t="str">
        <f t="shared" si="705"/>
        <v/>
      </c>
      <c r="CL422" s="313" t="e">
        <f>IF($J422="",#N/A,SUM(CK$4:CK422))</f>
        <v>#N/A</v>
      </c>
      <c r="CM422" s="314" t="str">
        <f t="shared" si="706"/>
        <v/>
      </c>
      <c r="CN422" s="314" t="e">
        <f>IF($J422="",#N/A,SUM(CM$4:CM422))</f>
        <v>#N/A</v>
      </c>
      <c r="CO422" s="315">
        <f t="shared" si="707"/>
        <v>0.76901643911953177</v>
      </c>
      <c r="CP422" s="315" t="e">
        <f>IF($J422="",#N/A,SUM(CO$4:CO422))</f>
        <v>#N/A</v>
      </c>
      <c r="CQ422" s="315" t="e">
        <f>IF($J422="",#N/A,SUM(CO$4:CO422,CM$4:CM422,CK$4:CK422))</f>
        <v>#N/A</v>
      </c>
      <c r="CR422" s="304" t="str">
        <f t="shared" si="708"/>
        <v/>
      </c>
      <c r="CS422" s="313" t="e">
        <f>IF($J422="",#N/A,SUM(CR$4:CR422))</f>
        <v>#N/A</v>
      </c>
      <c r="CT422" s="314" t="str">
        <f t="shared" si="709"/>
        <v/>
      </c>
      <c r="CU422" s="314" t="e">
        <f>IF($J422="",#N/A,SUM(CT$4:CT422))</f>
        <v>#N/A</v>
      </c>
      <c r="CV422" s="315" t="str">
        <f t="shared" si="710"/>
        <v/>
      </c>
      <c r="CW422" s="315" t="e">
        <f>IF($J422="",#N/A,SUM(CV$4:CV422))</f>
        <v>#N/A</v>
      </c>
      <c r="CX422" s="315" t="e">
        <f>IF($J422="",#N/A,SUM(CV$4:CV422,CT$4:CT422,CR$4:CR422))</f>
        <v>#N/A</v>
      </c>
      <c r="CY422" s="304" t="str">
        <f t="shared" si="711"/>
        <v/>
      </c>
      <c r="CZ422" s="313" t="e">
        <f>IF($J422="",#N/A,SUM(CY$4:CY422))</f>
        <v>#N/A</v>
      </c>
      <c r="DA422" s="314" t="str">
        <f t="shared" si="712"/>
        <v/>
      </c>
      <c r="DB422" s="314" t="e">
        <f>IF($J422="",#N/A,SUM(DA$4:DA422))</f>
        <v>#N/A</v>
      </c>
      <c r="DC422" s="315" t="str">
        <f t="shared" si="713"/>
        <v/>
      </c>
      <c r="DD422" s="315" t="e">
        <f>IF($J422="",#N/A,SUM(DC$4:DC422))</f>
        <v>#N/A</v>
      </c>
      <c r="DE422" s="315" t="e">
        <f>IF($J422="",#N/A,SUM(DC$4:DC422,DA$4:DA422,CY$4:CY422))</f>
        <v>#N/A</v>
      </c>
      <c r="DF422" s="304" t="str">
        <f t="shared" si="714"/>
        <v/>
      </c>
      <c r="DG422" s="313" t="e">
        <f>IF($J422="",#N/A,SUM(DF$4:DF422))</f>
        <v>#N/A</v>
      </c>
      <c r="DH422" s="314" t="str">
        <f t="shared" si="715"/>
        <v/>
      </c>
      <c r="DI422" s="314" t="e">
        <f>IF($J422="",#N/A,SUM(DH$4:DH422))</f>
        <v>#N/A</v>
      </c>
      <c r="DJ422" s="315" t="str">
        <f t="shared" si="716"/>
        <v/>
      </c>
      <c r="DK422" s="315" t="e">
        <f>IF($J422="",#N/A,SUM(DJ$4:DJ422))</f>
        <v>#N/A</v>
      </c>
      <c r="DL422" s="315" t="e">
        <f>IF($J422="",#N/A,SUM(DJ$4:DJ422,DH$4:DH422,DF$4:DF422))</f>
        <v>#N/A</v>
      </c>
      <c r="DM422" s="304" t="str">
        <f t="shared" si="717"/>
        <v/>
      </c>
      <c r="DN422" s="313" t="e">
        <f>IF($J422="",#N/A,SUM(DM$4:DM422))</f>
        <v>#N/A</v>
      </c>
      <c r="DO422" s="314" t="str">
        <f t="shared" si="718"/>
        <v/>
      </c>
      <c r="DP422" s="314" t="e">
        <f>IF($J422="",#N/A,SUM(DO$4:DO422))</f>
        <v>#N/A</v>
      </c>
      <c r="DQ422" s="315" t="str">
        <f t="shared" si="719"/>
        <v/>
      </c>
      <c r="DR422" s="315" t="e">
        <f>IF($J422="",#N/A,SUM(DQ$4:DQ422))</f>
        <v>#N/A</v>
      </c>
      <c r="DS422" s="315" t="e">
        <f>IF($J422="",#N/A,SUM(DQ$4:DQ422,DO$4:DO422,DM$4:DM422))</f>
        <v>#N/A</v>
      </c>
      <c r="DT422" s="304" t="str">
        <f t="shared" si="720"/>
        <v/>
      </c>
      <c r="DU422" s="313" t="e">
        <f>IF($J422="",#N/A,SUM(DT$4:DT422))</f>
        <v>#N/A</v>
      </c>
      <c r="DV422" s="314" t="str">
        <f t="shared" si="721"/>
        <v/>
      </c>
      <c r="DW422" s="314" t="e">
        <f>IF($J422="",#N/A,SUM(DV$4:DV422))</f>
        <v>#N/A</v>
      </c>
      <c r="DX422" s="315" t="str">
        <f t="shared" si="722"/>
        <v/>
      </c>
      <c r="DY422" s="315" t="e">
        <f>IF($J422="",#N/A,SUM(DX$4:DX422))</f>
        <v>#N/A</v>
      </c>
      <c r="DZ422" s="315" t="e">
        <f>IF($J422="",#N/A,SUM(DX$4:DX422,DV$4:DV422,DT$4:DT422))</f>
        <v>#N/A</v>
      </c>
      <c r="EA422" s="304" t="str">
        <f t="shared" si="723"/>
        <v/>
      </c>
      <c r="EB422" s="313" t="e">
        <f>IF($J422="",#N/A,SUM(EA$4:EA422))</f>
        <v>#N/A</v>
      </c>
      <c r="EC422" s="314" t="str">
        <f t="shared" si="724"/>
        <v/>
      </c>
      <c r="ED422" s="314" t="e">
        <f>IF($J422="",#N/A,SUM(EC$4:EC422))</f>
        <v>#N/A</v>
      </c>
      <c r="EE422" s="315" t="str">
        <f t="shared" si="725"/>
        <v/>
      </c>
      <c r="EF422" s="315" t="e">
        <f>IF($J422="",#N/A,SUM(EE$4:EE422))</f>
        <v>#N/A</v>
      </c>
      <c r="EG422" s="315" t="e">
        <f>IF($J422="",#N/A,SUM(EE$4:EE422,EC$4:EC422,EA$4:EA422))</f>
        <v>#N/A</v>
      </c>
      <c r="EH422" s="130">
        <f t="shared" si="726"/>
        <v>74.519999999999982</v>
      </c>
      <c r="EI422" s="63">
        <f>IF(EH422="",#N/A,SUM($EH$4:EH422))</f>
        <v>2018.1935715933469</v>
      </c>
      <c r="EJ422" s="223" t="e">
        <f t="shared" si="727"/>
        <v>#N/A</v>
      </c>
      <c r="EK422" s="63" t="e">
        <f>IF($GZ422="",#N/A,SUM(EJ$4:EJ422))</f>
        <v>#N/A</v>
      </c>
      <c r="EL422" s="60">
        <f t="shared" si="757"/>
        <v>0.76901643911953177</v>
      </c>
      <c r="EM422" s="60">
        <f>IF(EL422="",NA(),SUM($EL$4:EL422))</f>
        <v>22.656765874862597</v>
      </c>
      <c r="EN422" s="60" t="str">
        <f t="shared" si="728"/>
        <v/>
      </c>
      <c r="EO422" s="60" t="e">
        <f>IF(EN422="",NA(),SUM($EN$4:EN422))</f>
        <v>#N/A</v>
      </c>
      <c r="EP422" s="60">
        <f t="shared" si="729"/>
        <v>0.76901643911953177</v>
      </c>
      <c r="EQ422" s="60">
        <f>IF(EP422="",NA(),SUM($EP$4:EP422))</f>
        <v>6.7279825700552687</v>
      </c>
      <c r="ER422" s="60" t="str">
        <f t="shared" si="730"/>
        <v/>
      </c>
      <c r="ES422" s="60" t="e">
        <f>IF(ER422="",NA(),SUM($ER$4:ER422))</f>
        <v>#N/A</v>
      </c>
      <c r="ET422" s="60" t="str">
        <f t="shared" si="731"/>
        <v/>
      </c>
      <c r="EU422" s="60" t="e">
        <f>IF(ET422="",NA(),SUM($ET$4:ET422))</f>
        <v>#N/A</v>
      </c>
      <c r="EV422" s="60" t="str">
        <f t="shared" si="732"/>
        <v/>
      </c>
      <c r="EW422" s="60" t="e">
        <f>IF(EV422="",NA(),SUM($EV$4:EV422))</f>
        <v>#N/A</v>
      </c>
      <c r="EX422" s="60" t="str">
        <f t="shared" si="733"/>
        <v/>
      </c>
      <c r="EY422" s="60" t="e">
        <f>IF(EX422="",NA(),SUM($EX$4:EX422))</f>
        <v>#N/A</v>
      </c>
      <c r="EZ422" s="60" t="str">
        <f t="shared" si="734"/>
        <v/>
      </c>
      <c r="FA422" s="60" t="e">
        <f>IF(EZ422="",NA(),SUM($EZ$4:EZ422))</f>
        <v>#N/A</v>
      </c>
      <c r="FB422" s="246" t="str">
        <f t="shared" si="758"/>
        <v/>
      </c>
      <c r="FC422" s="246" t="e">
        <f>IF($FB422="",#N/A,SUM(FB$4:$FB422))</f>
        <v>#N/A</v>
      </c>
      <c r="FD422" s="60" t="str">
        <f t="shared" si="735"/>
        <v/>
      </c>
      <c r="FE422" s="60" t="e">
        <f>IF($FD422="",#N/A,SUM($FD$4:FD422))</f>
        <v>#N/A</v>
      </c>
      <c r="FF422" s="60" t="str">
        <f t="shared" si="736"/>
        <v/>
      </c>
      <c r="FG422" s="60" t="e">
        <f>IF($FF422="",#N/A,SUM($FF$4:FF422))</f>
        <v>#N/A</v>
      </c>
      <c r="FH422" s="60" t="str">
        <f t="shared" si="737"/>
        <v/>
      </c>
      <c r="FI422" s="60" t="e">
        <f>IF($FH422="",#N/A,SUM($FH$4:FH422))</f>
        <v>#N/A</v>
      </c>
      <c r="FJ422" s="60">
        <f t="shared" si="738"/>
        <v>0.67149623850654949</v>
      </c>
      <c r="FK422" s="60">
        <f>IF($FJ422="",#N/A,SUM($FJ$4:FJ422))</f>
        <v>-7.1201961390348512</v>
      </c>
      <c r="FL422" s="60" t="str">
        <f t="shared" si="739"/>
        <v/>
      </c>
      <c r="FM422" s="60" t="e">
        <f>IF($FL422="",#N/A,SUM($FL$4:FL422))</f>
        <v>#N/A</v>
      </c>
      <c r="FN422" s="82">
        <f t="shared" si="740"/>
        <v>1.4405126776260813</v>
      </c>
      <c r="FO422" s="82">
        <f>IF($FN422="",#N/A,SUM(FN$4:$FN422))</f>
        <v>49.55552237575543</v>
      </c>
      <c r="FP422" s="82">
        <f t="shared" si="759"/>
        <v>0.76901643911953177</v>
      </c>
      <c r="FQ422" s="246">
        <f>IF($EH422="",#N/A,SUM($FP$4:FP422))</f>
        <v>61.137048350346483</v>
      </c>
      <c r="FR422" s="82">
        <f>IFERROR(FQ422/COUNTA($J$4:J422),#N/A)</f>
        <v>0.14591180990536154</v>
      </c>
      <c r="FS422" s="82">
        <f t="shared" si="661"/>
        <v>0.12644992821058409</v>
      </c>
      <c r="FT422" s="82">
        <f t="shared" si="662"/>
        <v>0.58216559708452531</v>
      </c>
      <c r="FU422" s="338">
        <f t="shared" si="764"/>
        <v>32.426583650736688</v>
      </c>
      <c r="FV422" s="57" t="str">
        <f t="shared" si="765"/>
        <v>SW</v>
      </c>
      <c r="FW422" s="57" t="s">
        <v>2732</v>
      </c>
      <c r="FX422" s="57" t="str">
        <f t="shared" si="741"/>
        <v/>
      </c>
      <c r="FY422" s="57" t="str">
        <f t="shared" si="742"/>
        <v/>
      </c>
      <c r="FZ422" s="57">
        <f t="shared" si="743"/>
        <v>1</v>
      </c>
      <c r="GA422" s="57" t="str">
        <f t="shared" si="744"/>
        <v>Long</v>
      </c>
      <c r="GB422" s="57" t="str">
        <f t="shared" si="745"/>
        <v/>
      </c>
      <c r="GC422" s="57" t="str">
        <f t="shared" si="746"/>
        <v/>
      </c>
      <c r="GD422" s="57" t="str">
        <f t="shared" si="747"/>
        <v/>
      </c>
      <c r="GE422" s="62">
        <f t="shared" si="664"/>
        <v>179.45</v>
      </c>
      <c r="GF422" s="62" t="s">
        <v>2780</v>
      </c>
      <c r="GG422" s="199">
        <v>9</v>
      </c>
      <c r="GH422" s="207">
        <f t="shared" si="748"/>
        <v>1615.05</v>
      </c>
      <c r="GI422" s="199">
        <v>9</v>
      </c>
      <c r="GJ422" s="200">
        <v>187.53</v>
      </c>
      <c r="GK422" s="63">
        <f t="shared" si="749"/>
        <v>-72.720000000000027</v>
      </c>
      <c r="GL422" s="63">
        <f t="shared" si="665"/>
        <v>-139.59000000000015</v>
      </c>
      <c r="GM422" s="82">
        <f t="shared" si="750"/>
        <v>1.4405126776260813</v>
      </c>
      <c r="GN422" s="82">
        <f>IF($GZ422="",#N/A,SUM(GM$4:GM422))</f>
        <v>10.405016999739075</v>
      </c>
      <c r="GO422" s="82" t="str">
        <f t="shared" si="751"/>
        <v/>
      </c>
      <c r="GP422" s="82">
        <f>IF($GZ422="",#N/A,SUM(GO$4:GO422))</f>
        <v>5.2904127911968519</v>
      </c>
      <c r="GQ422" s="82" t="str">
        <f t="shared" si="752"/>
        <v/>
      </c>
      <c r="GR422" s="82">
        <f>IF($GZ422="",#N/A,SUM(GQ$4:GQ422))</f>
        <v>33.234255630377184</v>
      </c>
      <c r="GS422" s="63" t="e">
        <f t="shared" si="760"/>
        <v>#N/A</v>
      </c>
      <c r="GT422" s="63" t="e">
        <f>IF($GZ422="",#N/A,SUM(GS$4:GS422))</f>
        <v>#N/A</v>
      </c>
      <c r="GU422" s="63" t="str">
        <f t="shared" si="761"/>
        <v/>
      </c>
      <c r="GV422" s="63" t="e">
        <f>IF($GZ422="",#N/A,SUM(GU$4:GU422))</f>
        <v>#N/A</v>
      </c>
      <c r="GW422" s="63" t="str">
        <f t="shared" si="762"/>
        <v/>
      </c>
      <c r="GX422" s="63" t="e">
        <f>IF($GZ422="",#N/A,SUM(GW$4:GW422))</f>
        <v>#N/A</v>
      </c>
      <c r="GY422" s="63" t="e">
        <f>IF(EJ422="",#N/A,SUM($EJ$4:EJ422))</f>
        <v>#N/A</v>
      </c>
      <c r="GZ422" s="159">
        <v>194.96</v>
      </c>
      <c r="HA422" s="63">
        <f t="shared" si="753"/>
        <v>-214.11000000000013</v>
      </c>
      <c r="HB422" s="62" t="s">
        <v>2538</v>
      </c>
      <c r="HC422" s="60">
        <f>IFERROR(VLOOKUP(E422,Expectancy!$P$4:$S$19,1+C422,FALSE),"")</f>
        <v>-0.16876070792161713</v>
      </c>
      <c r="HD422" s="82">
        <f t="shared" si="754"/>
        <v>-0.75044116281229722</v>
      </c>
      <c r="HE422" s="138">
        <f>IF(HD422="",#N/A,SUM($HD$4:HD422))</f>
        <v>14.180464699609793</v>
      </c>
      <c r="HF422" s="85">
        <f>IF(HD422="",#N/A,IF(HB422="Skip",#N/A,SUM($HG$4:HG422)))</f>
        <v>724.43357921915594</v>
      </c>
      <c r="HG422" s="63">
        <f t="shared" si="755"/>
        <v>-72.720000000000027</v>
      </c>
      <c r="HH422" s="82">
        <f t="shared" si="766"/>
        <v>1.4405126776260813</v>
      </c>
    </row>
    <row r="423" spans="1:216" x14ac:dyDescent="0.25">
      <c r="A423" s="57" t="s">
        <v>1272</v>
      </c>
      <c r="B423" s="58" t="str" cm="1">
        <f t="array" ref="B423">IFERROR(_xlfn.XLOOKUP(A423,Earnings!$B$2:$B$9985,LEFT(Earnings!$C$2:$C$9985,37)),"Can't Find Date***")</f>
        <v>on 3/6/25 After Market Eastern Standa</v>
      </c>
      <c r="C423" s="386">
        <f t="shared" si="667"/>
        <v>1</v>
      </c>
      <c r="D423" s="372" t="str">
        <f>_xlfn.XLOOKUP(A423,[1]SP500!$A$2:$A$502,[1]SP500!$D$2:$D$502,"N")</f>
        <v>Y</v>
      </c>
      <c r="E423" s="57" t="str">
        <f>_xlfn.XLOOKUP(A423,[1]SP500!$A$2:$A$655,[1]SP500!$B$2:$B$655)</f>
        <v>XLP</v>
      </c>
      <c r="F423" s="59">
        <v>45722</v>
      </c>
      <c r="G423" s="57" t="str">
        <f t="shared" si="668"/>
        <v>AMC</v>
      </c>
      <c r="H423" s="57" t="str">
        <f t="shared" si="669"/>
        <v>s</v>
      </c>
      <c r="I423" s="159">
        <v>1026.6199999999999</v>
      </c>
      <c r="J423" s="159">
        <v>995.15</v>
      </c>
      <c r="K423" s="61">
        <f t="shared" si="670"/>
        <v>-3.0653990765813949E-2</v>
      </c>
      <c r="L423" s="87">
        <f t="shared" si="671"/>
        <v>-31.469999999999914</v>
      </c>
      <c r="M423" s="130">
        <f t="shared" si="663"/>
        <v>-0.14999999999997726</v>
      </c>
      <c r="N423" s="169">
        <f t="shared" si="672"/>
        <v>-31.469999999999914</v>
      </c>
      <c r="O423" s="169">
        <f>IF($J423="",#N/A,SUM($N$4:N423))</f>
        <v>-328.04225475891064</v>
      </c>
      <c r="P423" s="174" t="str">
        <f t="shared" si="673"/>
        <v/>
      </c>
      <c r="Q423" s="174">
        <f>IF($J423="",#N/A,SUM($P$4:P423))</f>
        <v>1185.3966539569485</v>
      </c>
      <c r="R423" s="178" t="str">
        <f t="shared" si="674"/>
        <v/>
      </c>
      <c r="S423" s="178">
        <f>IF($J423="",#N/A,SUM($R$4:R423))</f>
        <v>1129.3691723953095</v>
      </c>
      <c r="T423" s="290">
        <f t="shared" si="675"/>
        <v>-0.5108998460968992</v>
      </c>
      <c r="U423" s="290">
        <f>IF($J423="",#N/A,SUM($T$4:T423))</f>
        <v>10.009379462148743</v>
      </c>
      <c r="V423" s="291" t="str">
        <f t="shared" si="676"/>
        <v/>
      </c>
      <c r="W423" s="291">
        <f>IF($J423="",#N/A,SUM($V$4:V423))</f>
        <v>31.306146207040296</v>
      </c>
      <c r="X423" s="292" t="str">
        <f t="shared" si="677"/>
        <v/>
      </c>
      <c r="Y423" s="292">
        <f>IF($J423="",#N/A,SUM($X$4:X423))</f>
        <v>19.310622835060563</v>
      </c>
      <c r="Z423" s="304" t="str">
        <f t="shared" si="678"/>
        <v/>
      </c>
      <c r="AA423" s="313" t="e">
        <f>IF($J423="",#N/A,SUM(Z$4:Z423))</f>
        <v>#N/A</v>
      </c>
      <c r="AB423" s="314" t="str">
        <f t="shared" si="679"/>
        <v/>
      </c>
      <c r="AC423" s="314" t="e">
        <f>IF($J423="",#N/A,SUM(AB$4:AB423))</f>
        <v>#N/A</v>
      </c>
      <c r="AD423" s="315" t="str">
        <f t="shared" si="680"/>
        <v/>
      </c>
      <c r="AE423" s="315" t="e">
        <f>IF($J423="",#N/A,SUM(AD$4:AD423))</f>
        <v>#N/A</v>
      </c>
      <c r="AF423" s="315" t="e">
        <f>IF($J423="",#N/A,SUM(AD$4:AD423,AB$4:AB423,Z$4:Z423))</f>
        <v>#N/A</v>
      </c>
      <c r="AG423" s="304" t="str">
        <f t="shared" si="681"/>
        <v/>
      </c>
      <c r="AH423" s="313" t="e">
        <f>IF($J423="",#N/A,SUM(AG$4:AG423))</f>
        <v>#N/A</v>
      </c>
      <c r="AI423" s="314" t="str">
        <f t="shared" si="682"/>
        <v/>
      </c>
      <c r="AJ423" s="314" t="e">
        <f>IF($J423="",#N/A,SUM(AI$4:AI423))</f>
        <v>#N/A</v>
      </c>
      <c r="AK423" s="315" t="str">
        <f t="shared" si="683"/>
        <v/>
      </c>
      <c r="AL423" s="315" t="e">
        <f>IF($J423="",#N/A,SUM(AK$4:AK423))</f>
        <v>#N/A</v>
      </c>
      <c r="AM423" s="315" t="e">
        <f>IF($J423="",#N/A,SUM(AK$4:AK423,AI$4:AI423,AG$4:AG423))</f>
        <v>#N/A</v>
      </c>
      <c r="AN423" s="304" t="str">
        <f t="shared" si="684"/>
        <v/>
      </c>
      <c r="AO423" s="313" t="e">
        <f>IF($J423="",#N/A,SUM(AN$4:AN423))</f>
        <v>#N/A</v>
      </c>
      <c r="AP423" s="314" t="str">
        <f t="shared" si="685"/>
        <v/>
      </c>
      <c r="AQ423" s="314" t="e">
        <f>IF($J423="",#N/A,SUM(AP$4:AP423))</f>
        <v>#N/A</v>
      </c>
      <c r="AR423" s="315" t="str">
        <f t="shared" si="686"/>
        <v/>
      </c>
      <c r="AS423" s="315" t="e">
        <f>IF($J423="",#N/A,SUM(AR$4:AR423))</f>
        <v>#N/A</v>
      </c>
      <c r="AT423" s="315" t="e">
        <f>IF($J423="",#N/A,SUM(AR$4:AR423,AP$4:AP423,AN$4:AN423))</f>
        <v>#N/A</v>
      </c>
      <c r="AU423" s="304">
        <f t="shared" si="687"/>
        <v>-0.5108998460968992</v>
      </c>
      <c r="AV423" s="313" t="e">
        <f>IF($J423="",#N/A,SUM(AU$4:AU423))</f>
        <v>#N/A</v>
      </c>
      <c r="AW423" s="314" t="str">
        <f t="shared" si="688"/>
        <v/>
      </c>
      <c r="AX423" s="314" t="e">
        <f>IF($J423="",#N/A,SUM(AW$4:AW423))</f>
        <v>#N/A</v>
      </c>
      <c r="AY423" s="315" t="str">
        <f t="shared" si="689"/>
        <v/>
      </c>
      <c r="AZ423" s="315" t="e">
        <f>IF($J423="",#N/A,SUM(AY$4:AY423))</f>
        <v>#N/A</v>
      </c>
      <c r="BA423" s="315" t="e">
        <f>IF($J423="",#N/A,SUM(AY$4:AY423,AW$4:AW423,AU$4:AU423))</f>
        <v>#N/A</v>
      </c>
      <c r="BB423" s="304" t="str">
        <f t="shared" si="690"/>
        <v/>
      </c>
      <c r="BC423" s="313" t="e">
        <f>IF($J423="",#N/A,SUM(BB$4:BB423))</f>
        <v>#N/A</v>
      </c>
      <c r="BD423" s="314" t="str">
        <f t="shared" si="691"/>
        <v/>
      </c>
      <c r="BE423" s="314" t="e">
        <f>IF($J423="",#N/A,SUM(BD$4:BD423))</f>
        <v>#N/A</v>
      </c>
      <c r="BF423" s="315" t="str">
        <f t="shared" si="692"/>
        <v/>
      </c>
      <c r="BG423" s="315" t="e">
        <f>IF($J423="",#N/A,SUM(BF$4:BF423))</f>
        <v>#N/A</v>
      </c>
      <c r="BH423" s="315" t="e">
        <f>IF($J423="",#N/A,SUM(BF$4:BF423,BD$4:BD423,BB$4:BB423))</f>
        <v>#N/A</v>
      </c>
      <c r="BI423" s="304" t="str">
        <f t="shared" si="693"/>
        <v/>
      </c>
      <c r="BJ423" s="313" t="e">
        <f>IF($J423="",#N/A,SUM(BI$4:BI423))</f>
        <v>#N/A</v>
      </c>
      <c r="BK423" s="314" t="str">
        <f t="shared" si="694"/>
        <v/>
      </c>
      <c r="BL423" s="314" t="e">
        <f>IF($J423="",#N/A,SUM(BK$4:BK423))</f>
        <v>#N/A</v>
      </c>
      <c r="BM423" s="315" t="str">
        <f t="shared" si="695"/>
        <v/>
      </c>
      <c r="BN423" s="315" t="e">
        <f>IF($J423="",#N/A,SUM(BM$4:BM423))</f>
        <v>#N/A</v>
      </c>
      <c r="BO423" s="315" t="e">
        <f>IF($J423="",#N/A,SUM(BM$4:BM423,BK$4:BK423,BI$4:BI423))</f>
        <v>#N/A</v>
      </c>
      <c r="BP423" s="304" t="str">
        <f t="shared" si="696"/>
        <v/>
      </c>
      <c r="BQ423" s="313" t="e">
        <f>IF($J423="",#N/A,SUM(BP$4:BP423))</f>
        <v>#N/A</v>
      </c>
      <c r="BR423" s="314" t="str">
        <f t="shared" si="697"/>
        <v/>
      </c>
      <c r="BS423" s="314" t="e">
        <f>IF($J423="",#N/A,SUM(BR$4:BR423))</f>
        <v>#N/A</v>
      </c>
      <c r="BT423" s="315" t="str">
        <f t="shared" si="698"/>
        <v/>
      </c>
      <c r="BU423" s="315" t="e">
        <f>IF($J423="",#N/A,SUM(BT$4:BT423))</f>
        <v>#N/A</v>
      </c>
      <c r="BV423" s="315" t="e">
        <f>IF($J423="",#N/A,SUM(BT$4:BT423,BR$4:BR423,BP$4:BP423))</f>
        <v>#N/A</v>
      </c>
      <c r="BW423" s="304" t="str">
        <f t="shared" si="699"/>
        <v/>
      </c>
      <c r="BX423" s="313" t="e">
        <f>IF($J423="",#N/A,SUM(BW$4:BW423))</f>
        <v>#N/A</v>
      </c>
      <c r="BY423" s="314" t="str">
        <f t="shared" si="700"/>
        <v/>
      </c>
      <c r="BZ423" s="314" t="e">
        <f>IF($J423="",#N/A,SUM(BY$4:BY423))</f>
        <v>#N/A</v>
      </c>
      <c r="CA423" s="315" t="str">
        <f t="shared" si="701"/>
        <v/>
      </c>
      <c r="CB423" s="315" t="e">
        <f>IF($J423="",#N/A,SUM(CA$4:CA423))</f>
        <v>#N/A</v>
      </c>
      <c r="CC423" s="315" t="e">
        <f>IF($J423="",#N/A,SUM(CA$4:CA423,BY$4:BY423,BW$4:BW423))</f>
        <v>#N/A</v>
      </c>
      <c r="CD423" s="304" t="str">
        <f t="shared" si="702"/>
        <v/>
      </c>
      <c r="CE423" s="313" t="e">
        <f>IF($J423="",#N/A,SUM(CD$4:CD423))</f>
        <v>#N/A</v>
      </c>
      <c r="CF423" s="314" t="str">
        <f t="shared" si="703"/>
        <v/>
      </c>
      <c r="CG423" s="314" t="e">
        <f>IF($J423="",#N/A,SUM(CF$4:CF423))</f>
        <v>#N/A</v>
      </c>
      <c r="CH423" s="315" t="str">
        <f t="shared" si="704"/>
        <v/>
      </c>
      <c r="CI423" s="315" t="e">
        <f>IF($J423="",#N/A,SUM(CH$4:CH423))</f>
        <v>#N/A</v>
      </c>
      <c r="CJ423" s="315" t="e">
        <f>IF($J423="",#N/A,SUM(CH$4:CH423,CF$4:CF423,CD$4:CD423))</f>
        <v>#N/A</v>
      </c>
      <c r="CK423" s="304" t="str">
        <f t="shared" si="705"/>
        <v/>
      </c>
      <c r="CL423" s="313" t="e">
        <f>IF($J423="",#N/A,SUM(CK$4:CK423))</f>
        <v>#N/A</v>
      </c>
      <c r="CM423" s="314" t="str">
        <f t="shared" si="706"/>
        <v/>
      </c>
      <c r="CN423" s="314" t="e">
        <f>IF($J423="",#N/A,SUM(CM$4:CM423))</f>
        <v>#N/A</v>
      </c>
      <c r="CO423" s="315" t="str">
        <f t="shared" si="707"/>
        <v/>
      </c>
      <c r="CP423" s="315" t="e">
        <f>IF($J423="",#N/A,SUM(CO$4:CO423))</f>
        <v>#N/A</v>
      </c>
      <c r="CQ423" s="315" t="e">
        <f>IF($J423="",#N/A,SUM(CO$4:CO423,CM$4:CM423,CK$4:CK423))</f>
        <v>#N/A</v>
      </c>
      <c r="CR423" s="304" t="str">
        <f t="shared" si="708"/>
        <v/>
      </c>
      <c r="CS423" s="313" t="e">
        <f>IF($J423="",#N/A,SUM(CR$4:CR423))</f>
        <v>#N/A</v>
      </c>
      <c r="CT423" s="314" t="str">
        <f t="shared" si="709"/>
        <v/>
      </c>
      <c r="CU423" s="314" t="e">
        <f>IF($J423="",#N/A,SUM(CT$4:CT423))</f>
        <v>#N/A</v>
      </c>
      <c r="CV423" s="315" t="str">
        <f t="shared" si="710"/>
        <v/>
      </c>
      <c r="CW423" s="315" t="e">
        <f>IF($J423="",#N/A,SUM(CV$4:CV423))</f>
        <v>#N/A</v>
      </c>
      <c r="CX423" s="315" t="e">
        <f>IF($J423="",#N/A,SUM(CV$4:CV423,CT$4:CT423,CR$4:CR423))</f>
        <v>#N/A</v>
      </c>
      <c r="CY423" s="304" t="str">
        <f t="shared" si="711"/>
        <v/>
      </c>
      <c r="CZ423" s="313" t="e">
        <f>IF($J423="",#N/A,SUM(CY$4:CY423))</f>
        <v>#N/A</v>
      </c>
      <c r="DA423" s="314" t="str">
        <f t="shared" si="712"/>
        <v/>
      </c>
      <c r="DB423" s="314" t="e">
        <f>IF($J423="",#N/A,SUM(DA$4:DA423))</f>
        <v>#N/A</v>
      </c>
      <c r="DC423" s="315" t="str">
        <f t="shared" si="713"/>
        <v/>
      </c>
      <c r="DD423" s="315" t="e">
        <f>IF($J423="",#N/A,SUM(DC$4:DC423))</f>
        <v>#N/A</v>
      </c>
      <c r="DE423" s="315" t="e">
        <f>IF($J423="",#N/A,SUM(DC$4:DC423,DA$4:DA423,CY$4:CY423))</f>
        <v>#N/A</v>
      </c>
      <c r="DF423" s="304" t="str">
        <f t="shared" si="714"/>
        <v/>
      </c>
      <c r="DG423" s="313" t="e">
        <f>IF($J423="",#N/A,SUM(DF$4:DF423))</f>
        <v>#N/A</v>
      </c>
      <c r="DH423" s="314" t="str">
        <f t="shared" si="715"/>
        <v/>
      </c>
      <c r="DI423" s="314" t="e">
        <f>IF($J423="",#N/A,SUM(DH$4:DH423))</f>
        <v>#N/A</v>
      </c>
      <c r="DJ423" s="315" t="str">
        <f t="shared" si="716"/>
        <v/>
      </c>
      <c r="DK423" s="315" t="e">
        <f>IF($J423="",#N/A,SUM(DJ$4:DJ423))</f>
        <v>#N/A</v>
      </c>
      <c r="DL423" s="315" t="e">
        <f>IF($J423="",#N/A,SUM(DJ$4:DJ423,DH$4:DH423,DF$4:DF423))</f>
        <v>#N/A</v>
      </c>
      <c r="DM423" s="304" t="str">
        <f t="shared" si="717"/>
        <v/>
      </c>
      <c r="DN423" s="313" t="e">
        <f>IF($J423="",#N/A,SUM(DM$4:DM423))</f>
        <v>#N/A</v>
      </c>
      <c r="DO423" s="314" t="str">
        <f t="shared" si="718"/>
        <v/>
      </c>
      <c r="DP423" s="314" t="e">
        <f>IF($J423="",#N/A,SUM(DO$4:DO423))</f>
        <v>#N/A</v>
      </c>
      <c r="DQ423" s="315" t="str">
        <f t="shared" si="719"/>
        <v/>
      </c>
      <c r="DR423" s="315" t="e">
        <f>IF($J423="",#N/A,SUM(DQ$4:DQ423))</f>
        <v>#N/A</v>
      </c>
      <c r="DS423" s="315" t="e">
        <f>IF($J423="",#N/A,SUM(DQ$4:DQ423,DO$4:DO423,DM$4:DM423))</f>
        <v>#N/A</v>
      </c>
      <c r="DT423" s="304" t="str">
        <f t="shared" si="720"/>
        <v/>
      </c>
      <c r="DU423" s="313" t="e">
        <f>IF($J423="",#N/A,SUM(DT$4:DT423))</f>
        <v>#N/A</v>
      </c>
      <c r="DV423" s="314" t="str">
        <f t="shared" si="721"/>
        <v/>
      </c>
      <c r="DW423" s="314" t="e">
        <f>IF($J423="",#N/A,SUM(DV$4:DV423))</f>
        <v>#N/A</v>
      </c>
      <c r="DX423" s="315" t="str">
        <f t="shared" si="722"/>
        <v/>
      </c>
      <c r="DY423" s="315" t="e">
        <f>IF($J423="",#N/A,SUM(DX$4:DX423))</f>
        <v>#N/A</v>
      </c>
      <c r="DZ423" s="315" t="e">
        <f>IF($J423="",#N/A,SUM(DX$4:DX423,DV$4:DV423,DT$4:DT423))</f>
        <v>#N/A</v>
      </c>
      <c r="EA423" s="304" t="str">
        <f t="shared" si="723"/>
        <v/>
      </c>
      <c r="EB423" s="313" t="e">
        <f>IF($J423="",#N/A,SUM(EA$4:EA423))</f>
        <v>#N/A</v>
      </c>
      <c r="EC423" s="314" t="str">
        <f t="shared" si="724"/>
        <v/>
      </c>
      <c r="ED423" s="314" t="e">
        <f>IF($J423="",#N/A,SUM(EC$4:EC423))</f>
        <v>#N/A</v>
      </c>
      <c r="EE423" s="315" t="str">
        <f t="shared" si="725"/>
        <v/>
      </c>
      <c r="EF423" s="315" t="e">
        <f>IF($J423="",#N/A,SUM(EE$4:EE423))</f>
        <v>#N/A</v>
      </c>
      <c r="EG423" s="315" t="e">
        <f>IF($J423="",#N/A,SUM(EE$4:EE423,EC$4:EC423,EA$4:EA423))</f>
        <v>#N/A</v>
      </c>
      <c r="EH423" s="130">
        <f t="shared" si="726"/>
        <v>-31.469999999999914</v>
      </c>
      <c r="EI423" s="63">
        <f>IF(EH423="",#N/A,SUM($EH$4:EH423))</f>
        <v>1986.7235715933471</v>
      </c>
      <c r="EJ423" s="223" t="e">
        <f t="shared" si="727"/>
        <v>#N/A</v>
      </c>
      <c r="EK423" s="63" t="e">
        <f>IF($GZ423="",#N/A,SUM(EJ$4:EJ423))</f>
        <v>#N/A</v>
      </c>
      <c r="EL423" s="60">
        <f t="shared" si="757"/>
        <v>-0.5108998460968992</v>
      </c>
      <c r="EM423" s="60">
        <f>IF(EL423="",NA(),SUM($EL$4:EL423))</f>
        <v>22.145866028765699</v>
      </c>
      <c r="EN423" s="60">
        <f t="shared" si="728"/>
        <v>-0.5108998460968992</v>
      </c>
      <c r="EO423" s="60">
        <f>IF(EN423="",NA(),SUM($EN$4:EN423))</f>
        <v>4.0063964722659806</v>
      </c>
      <c r="EP423" s="60" t="str">
        <f t="shared" si="729"/>
        <v/>
      </c>
      <c r="EQ423" s="60" t="e">
        <f>IF(EP423="",NA(),SUM($EP$4:EP423))</f>
        <v>#N/A</v>
      </c>
      <c r="ER423" s="60" t="str">
        <f t="shared" si="730"/>
        <v/>
      </c>
      <c r="ES423" s="60" t="e">
        <f>IF(ER423="",NA(),SUM($ER$4:ER423))</f>
        <v>#N/A</v>
      </c>
      <c r="ET423" s="60" t="str">
        <f t="shared" si="731"/>
        <v/>
      </c>
      <c r="EU423" s="60" t="e">
        <f>IF(ET423="",NA(),SUM($ET$4:ET423))</f>
        <v>#N/A</v>
      </c>
      <c r="EV423" s="60" t="str">
        <f t="shared" si="732"/>
        <v/>
      </c>
      <c r="EW423" s="60" t="e">
        <f>IF(EV423="",NA(),SUM($EV$4:EV423))</f>
        <v>#N/A</v>
      </c>
      <c r="EX423" s="60" t="str">
        <f t="shared" si="733"/>
        <v/>
      </c>
      <c r="EY423" s="60" t="e">
        <f>IF(EX423="",NA(),SUM($EX$4:EX423))</f>
        <v>#N/A</v>
      </c>
      <c r="EZ423" s="60" t="str">
        <f t="shared" si="734"/>
        <v/>
      </c>
      <c r="FA423" s="60" t="e">
        <f>IF(EZ423="",NA(),SUM($EZ$4:EZ423))</f>
        <v>#N/A</v>
      </c>
      <c r="FB423" s="246" t="str">
        <f t="shared" si="758"/>
        <v/>
      </c>
      <c r="FC423" s="246" t="e">
        <f>IF($FB423="",#N/A,SUM(FB$4:$FB423))</f>
        <v>#N/A</v>
      </c>
      <c r="FD423" s="60" t="str">
        <f t="shared" si="735"/>
        <v/>
      </c>
      <c r="FE423" s="60" t="e">
        <f>IF($FD423="",#N/A,SUM($FD$4:FD423))</f>
        <v>#N/A</v>
      </c>
      <c r="FF423" s="60" t="str">
        <f t="shared" si="736"/>
        <v/>
      </c>
      <c r="FG423" s="60" t="e">
        <f>IF($FF423="",#N/A,SUM($FF$4:FF423))</f>
        <v>#N/A</v>
      </c>
      <c r="FH423" s="60">
        <f t="shared" si="737"/>
        <v>-0.50067210847246346</v>
      </c>
      <c r="FI423" s="60">
        <f>IF($FH423="",#N/A,SUM($FH$4:FH423))</f>
        <v>0.1426923443849939</v>
      </c>
      <c r="FJ423" s="60" t="str">
        <f t="shared" si="738"/>
        <v/>
      </c>
      <c r="FK423" s="60" t="e">
        <f>IF($FJ423="",#N/A,SUM($FJ$4:FJ423))</f>
        <v>#N/A</v>
      </c>
      <c r="FL423" s="60" t="str">
        <f t="shared" si="739"/>
        <v/>
      </c>
      <c r="FM423" s="60" t="e">
        <f>IF($FL423="",#N/A,SUM($FL$4:FL423))</f>
        <v>#N/A</v>
      </c>
      <c r="FN423" s="82">
        <f t="shared" si="740"/>
        <v>-1.0115719545693627</v>
      </c>
      <c r="FO423" s="82">
        <f>IF($FN423="",#N/A,SUM(FN$4:$FN423))</f>
        <v>48.543950421186068</v>
      </c>
      <c r="FP423" s="82">
        <f t="shared" si="759"/>
        <v>-0.5108998460968992</v>
      </c>
      <c r="FQ423" s="246">
        <f>IF($EH423="",#N/A,SUM($FP$4:FP423))</f>
        <v>60.626148504249585</v>
      </c>
      <c r="FR423" s="82">
        <f>IFERROR(FQ423/COUNTA($J$4:J423),#N/A)</f>
        <v>0.14434797262916568</v>
      </c>
      <c r="FS423" s="82">
        <f t="shared" si="661"/>
        <v>0.1324962289512891</v>
      </c>
      <c r="FT423" s="82">
        <f t="shared" si="662"/>
        <v>0.58162413823585557</v>
      </c>
      <c r="FU423" s="338">
        <f t="shared" si="764"/>
        <v>32.429018826361556</v>
      </c>
      <c r="FV423" s="57" t="str">
        <f t="shared" si="765"/>
        <v>Up</v>
      </c>
      <c r="FW423" s="57" t="s">
        <v>2734</v>
      </c>
      <c r="FX423" s="57" t="str">
        <f t="shared" si="741"/>
        <v/>
      </c>
      <c r="FY423" s="57" t="str">
        <f t="shared" si="742"/>
        <v/>
      </c>
      <c r="FZ423" s="57" t="str">
        <f t="shared" si="743"/>
        <v/>
      </c>
      <c r="GA423" s="57" t="str">
        <f t="shared" si="744"/>
        <v>Long</v>
      </c>
      <c r="GB423" s="57" t="str">
        <f t="shared" si="745"/>
        <v/>
      </c>
      <c r="GC423" s="57">
        <f t="shared" si="746"/>
        <v>1</v>
      </c>
      <c r="GD423" s="57" t="str">
        <f t="shared" si="747"/>
        <v/>
      </c>
      <c r="GE423" s="62">
        <f t="shared" si="664"/>
        <v>1026.6199999999999</v>
      </c>
      <c r="GF423" s="62" t="s">
        <v>2779</v>
      </c>
      <c r="GG423" s="199">
        <v>1</v>
      </c>
      <c r="GH423" s="207">
        <f t="shared" si="748"/>
        <v>1026.6199999999999</v>
      </c>
      <c r="GI423" s="199">
        <v>1</v>
      </c>
      <c r="GJ423" s="200">
        <v>995</v>
      </c>
      <c r="GK423" s="63">
        <f t="shared" si="749"/>
        <v>-31.619999999999891</v>
      </c>
      <c r="GL423" s="63">
        <f t="shared" si="665"/>
        <v>-62.309999999999945</v>
      </c>
      <c r="GM423" s="82" t="str">
        <f t="shared" si="750"/>
        <v/>
      </c>
      <c r="GN423" s="82">
        <f>IF($GZ423="",#N/A,SUM(GM$4:GM423))</f>
        <v>10.405016999739075</v>
      </c>
      <c r="GO423" s="82">
        <f t="shared" si="751"/>
        <v>-1.0115719545693627</v>
      </c>
      <c r="GP423" s="82">
        <f>IF($GZ423="",#N/A,SUM(GO$4:GO423))</f>
        <v>4.2788408366274897</v>
      </c>
      <c r="GQ423" s="82" t="str">
        <f t="shared" si="752"/>
        <v/>
      </c>
      <c r="GR423" s="82">
        <f>IF($GZ423="",#N/A,SUM(GQ$4:GQ423))</f>
        <v>33.234255630377184</v>
      </c>
      <c r="GS423" s="63" t="str">
        <f t="shared" si="760"/>
        <v/>
      </c>
      <c r="GT423" s="63" t="e">
        <f>IF($GZ423="",#N/A,SUM(GS$4:GS423))</f>
        <v>#N/A</v>
      </c>
      <c r="GU423" s="63" t="e">
        <f t="shared" si="761"/>
        <v>#N/A</v>
      </c>
      <c r="GV423" s="63" t="e">
        <f>IF($GZ423="",#N/A,SUM(GU$4:GU423))</f>
        <v>#N/A</v>
      </c>
      <c r="GW423" s="63" t="str">
        <f t="shared" si="762"/>
        <v/>
      </c>
      <c r="GX423" s="63" t="e">
        <f>IF($GZ423="",#N/A,SUM(GW$4:GW423))</f>
        <v>#N/A</v>
      </c>
      <c r="GY423" s="63" t="e">
        <f>IF(EJ423="",#N/A,SUM($EJ$4:EJ423))</f>
        <v>#N/A</v>
      </c>
      <c r="GZ423" s="159">
        <v>964.31</v>
      </c>
      <c r="HA423" s="63">
        <f t="shared" si="753"/>
        <v>-30.840000000000032</v>
      </c>
      <c r="HB423" s="62" t="s">
        <v>2538</v>
      </c>
      <c r="HC423" s="60">
        <f>IFERROR(VLOOKUP(E423,Expectancy!$P$4:$S$19,1+C423,FALSE),"")</f>
        <v>0.264760236699845</v>
      </c>
      <c r="HD423" s="82">
        <f t="shared" si="754"/>
        <v>-0.51333502172176482</v>
      </c>
      <c r="HE423" s="138">
        <f>IF(HD423="",#N/A,SUM($HD$4:HD423))</f>
        <v>13.667129677888028</v>
      </c>
      <c r="HF423" s="85">
        <f>IF(HD423="",#N/A,IF(HB423="Skip",#N/A,SUM($HG$4:HG423)))</f>
        <v>692.81357921915605</v>
      </c>
      <c r="HG423" s="63">
        <f t="shared" si="755"/>
        <v>-31.619999999999891</v>
      </c>
      <c r="HH423" s="82">
        <f t="shared" si="766"/>
        <v>-1.0115719545693627</v>
      </c>
    </row>
    <row r="424" spans="1:216" x14ac:dyDescent="0.25">
      <c r="A424" s="57" t="s">
        <v>1240</v>
      </c>
      <c r="B424" s="58" t="str" cm="1">
        <f t="array" ref="B424">IFERROR(_xlfn.XLOOKUP(A424,Earnings!$B$2:$B$9985,LEFT(Earnings!$C$2:$C$9985,37)),"Can't Find Date***")</f>
        <v>on 3/6/25 After Market Eastern Standa</v>
      </c>
      <c r="C424" s="386">
        <f t="shared" si="667"/>
        <v>2</v>
      </c>
      <c r="D424" s="372" t="str">
        <f>_xlfn.XLOOKUP(A424,[1]SP500!$A$2:$A$502,[1]SP500!$D$2:$D$502,"N")</f>
        <v>Y</v>
      </c>
      <c r="E424" s="57" t="str">
        <f>_xlfn.XLOOKUP(A424,[1]SP500!$A$2:$A$655,[1]SP500!$B$2:$B$655)</f>
        <v>XLK</v>
      </c>
      <c r="F424" s="59">
        <v>45722</v>
      </c>
      <c r="G424" s="57" t="str">
        <f t="shared" si="668"/>
        <v>AMC</v>
      </c>
      <c r="H424" s="57" t="str">
        <f t="shared" si="669"/>
        <v>o</v>
      </c>
      <c r="I424" s="159">
        <v>17.96</v>
      </c>
      <c r="J424" s="159">
        <v>15.26</v>
      </c>
      <c r="K424" s="61">
        <f t="shared" si="670"/>
        <v>-0.15033407572383078</v>
      </c>
      <c r="L424" s="87">
        <f t="shared" si="671"/>
        <v>243</v>
      </c>
      <c r="M424" s="130" t="e">
        <f t="shared" si="663"/>
        <v>#N/A</v>
      </c>
      <c r="N424" s="169" t="str">
        <f t="shared" si="672"/>
        <v/>
      </c>
      <c r="O424" s="169">
        <f>IF($J424="",#N/A,SUM($N$4:N424))</f>
        <v>-328.04225475891064</v>
      </c>
      <c r="P424" s="174">
        <f t="shared" si="673"/>
        <v>243</v>
      </c>
      <c r="Q424" s="174">
        <f>IF($J424="",#N/A,SUM($P$4:P424))</f>
        <v>1428.3966539569485</v>
      </c>
      <c r="R424" s="178" t="str">
        <f t="shared" si="674"/>
        <v/>
      </c>
      <c r="S424" s="178">
        <f>IF($J424="",#N/A,SUM($R$4:R424))</f>
        <v>1129.3691723953095</v>
      </c>
      <c r="T424" s="290" t="str">
        <f t="shared" si="675"/>
        <v/>
      </c>
      <c r="U424" s="290">
        <f>IF($J424="",#N/A,SUM($T$4:T424))</f>
        <v>10.009379462148743</v>
      </c>
      <c r="V424" s="291">
        <f t="shared" si="676"/>
        <v>2.5055679287305122</v>
      </c>
      <c r="W424" s="291">
        <f>IF($J424="",#N/A,SUM($V$4:V424))</f>
        <v>33.811714135770806</v>
      </c>
      <c r="X424" s="292" t="str">
        <f t="shared" si="677"/>
        <v/>
      </c>
      <c r="Y424" s="292">
        <f>IF($J424="",#N/A,SUM($X$4:X424))</f>
        <v>19.310622835060563</v>
      </c>
      <c r="Z424" s="304" t="str">
        <f t="shared" si="678"/>
        <v/>
      </c>
      <c r="AA424" s="313" t="e">
        <f>IF($J424="",#N/A,SUM(Z$4:Z424))</f>
        <v>#N/A</v>
      </c>
      <c r="AB424" s="314">
        <f t="shared" si="679"/>
        <v>2.5055679287305122</v>
      </c>
      <c r="AC424" s="314" t="e">
        <f>IF($J424="",#N/A,SUM(AB$4:AB424))</f>
        <v>#N/A</v>
      </c>
      <c r="AD424" s="315" t="str">
        <f t="shared" si="680"/>
        <v/>
      </c>
      <c r="AE424" s="315" t="e">
        <f>IF($J424="",#N/A,SUM(AD$4:AD424))</f>
        <v>#N/A</v>
      </c>
      <c r="AF424" s="315" t="e">
        <f>IF($J424="",#N/A,SUM(AD$4:AD424,AB$4:AB424,Z$4:Z424))</f>
        <v>#N/A</v>
      </c>
      <c r="AG424" s="304" t="str">
        <f t="shared" si="681"/>
        <v/>
      </c>
      <c r="AH424" s="313" t="e">
        <f>IF($J424="",#N/A,SUM(AG$4:AG424))</f>
        <v>#N/A</v>
      </c>
      <c r="AI424" s="314" t="str">
        <f t="shared" si="682"/>
        <v/>
      </c>
      <c r="AJ424" s="314" t="e">
        <f>IF($J424="",#N/A,SUM(AI$4:AI424))</f>
        <v>#N/A</v>
      </c>
      <c r="AK424" s="315" t="str">
        <f t="shared" si="683"/>
        <v/>
      </c>
      <c r="AL424" s="315" t="e">
        <f>IF($J424="",#N/A,SUM(AK$4:AK424))</f>
        <v>#N/A</v>
      </c>
      <c r="AM424" s="315" t="e">
        <f>IF($J424="",#N/A,SUM(AK$4:AK424,AI$4:AI424,AG$4:AG424))</f>
        <v>#N/A</v>
      </c>
      <c r="AN424" s="304" t="str">
        <f t="shared" si="684"/>
        <v/>
      </c>
      <c r="AO424" s="313" t="e">
        <f>IF($J424="",#N/A,SUM(AN$4:AN424))</f>
        <v>#N/A</v>
      </c>
      <c r="AP424" s="314" t="str">
        <f t="shared" si="685"/>
        <v/>
      </c>
      <c r="AQ424" s="314" t="e">
        <f>IF($J424="",#N/A,SUM(AP$4:AP424))</f>
        <v>#N/A</v>
      </c>
      <c r="AR424" s="315" t="str">
        <f t="shared" si="686"/>
        <v/>
      </c>
      <c r="AS424" s="315" t="e">
        <f>IF($J424="",#N/A,SUM(AR$4:AR424))</f>
        <v>#N/A</v>
      </c>
      <c r="AT424" s="315" t="e">
        <f>IF($J424="",#N/A,SUM(AR$4:AR424,AP$4:AP424,AN$4:AN424))</f>
        <v>#N/A</v>
      </c>
      <c r="AU424" s="304" t="str">
        <f t="shared" si="687"/>
        <v/>
      </c>
      <c r="AV424" s="313" t="e">
        <f>IF($J424="",#N/A,SUM(AU$4:AU424))</f>
        <v>#N/A</v>
      </c>
      <c r="AW424" s="314" t="str">
        <f t="shared" si="688"/>
        <v/>
      </c>
      <c r="AX424" s="314" t="e">
        <f>IF($J424="",#N/A,SUM(AW$4:AW424))</f>
        <v>#N/A</v>
      </c>
      <c r="AY424" s="315" t="str">
        <f t="shared" si="689"/>
        <v/>
      </c>
      <c r="AZ424" s="315" t="e">
        <f>IF($J424="",#N/A,SUM(AY$4:AY424))</f>
        <v>#N/A</v>
      </c>
      <c r="BA424" s="315" t="e">
        <f>IF($J424="",#N/A,SUM(AY$4:AY424,AW$4:AW424,AU$4:AU424))</f>
        <v>#N/A</v>
      </c>
      <c r="BB424" s="304" t="str">
        <f t="shared" si="690"/>
        <v/>
      </c>
      <c r="BC424" s="313" t="e">
        <f>IF($J424="",#N/A,SUM(BB$4:BB424))</f>
        <v>#N/A</v>
      </c>
      <c r="BD424" s="314" t="str">
        <f t="shared" si="691"/>
        <v/>
      </c>
      <c r="BE424" s="314" t="e">
        <f>IF($J424="",#N/A,SUM(BD$4:BD424))</f>
        <v>#N/A</v>
      </c>
      <c r="BF424" s="315" t="str">
        <f t="shared" si="692"/>
        <v/>
      </c>
      <c r="BG424" s="315" t="e">
        <f>IF($J424="",#N/A,SUM(BF$4:BF424))</f>
        <v>#N/A</v>
      </c>
      <c r="BH424" s="315" t="e">
        <f>IF($J424="",#N/A,SUM(BF$4:BF424,BD$4:BD424,BB$4:BB424))</f>
        <v>#N/A</v>
      </c>
      <c r="BI424" s="304" t="str">
        <f t="shared" si="693"/>
        <v/>
      </c>
      <c r="BJ424" s="313" t="e">
        <f>IF($J424="",#N/A,SUM(BI$4:BI424))</f>
        <v>#N/A</v>
      </c>
      <c r="BK424" s="314" t="str">
        <f t="shared" si="694"/>
        <v/>
      </c>
      <c r="BL424" s="314" t="e">
        <f>IF($J424="",#N/A,SUM(BK$4:BK424))</f>
        <v>#N/A</v>
      </c>
      <c r="BM424" s="315" t="str">
        <f t="shared" si="695"/>
        <v/>
      </c>
      <c r="BN424" s="315" t="e">
        <f>IF($J424="",#N/A,SUM(BM$4:BM424))</f>
        <v>#N/A</v>
      </c>
      <c r="BO424" s="315" t="e">
        <f>IF($J424="",#N/A,SUM(BM$4:BM424,BK$4:BK424,BI$4:BI424))</f>
        <v>#N/A</v>
      </c>
      <c r="BP424" s="304" t="str">
        <f t="shared" si="696"/>
        <v/>
      </c>
      <c r="BQ424" s="313" t="e">
        <f>IF($J424="",#N/A,SUM(BP$4:BP424))</f>
        <v>#N/A</v>
      </c>
      <c r="BR424" s="314" t="str">
        <f t="shared" si="697"/>
        <v/>
      </c>
      <c r="BS424" s="314" t="e">
        <f>IF($J424="",#N/A,SUM(BR$4:BR424))</f>
        <v>#N/A</v>
      </c>
      <c r="BT424" s="315" t="str">
        <f t="shared" si="698"/>
        <v/>
      </c>
      <c r="BU424" s="315" t="e">
        <f>IF($J424="",#N/A,SUM(BT$4:BT424))</f>
        <v>#N/A</v>
      </c>
      <c r="BV424" s="315" t="e">
        <f>IF($J424="",#N/A,SUM(BT$4:BT424,BR$4:BR424,BP$4:BP424))</f>
        <v>#N/A</v>
      </c>
      <c r="BW424" s="304" t="str">
        <f t="shared" si="699"/>
        <v/>
      </c>
      <c r="BX424" s="313" t="e">
        <f>IF($J424="",#N/A,SUM(BW$4:BW424))</f>
        <v>#N/A</v>
      </c>
      <c r="BY424" s="314" t="str">
        <f t="shared" si="700"/>
        <v/>
      </c>
      <c r="BZ424" s="314" t="e">
        <f>IF($J424="",#N/A,SUM(BY$4:BY424))</f>
        <v>#N/A</v>
      </c>
      <c r="CA424" s="315" t="str">
        <f t="shared" si="701"/>
        <v/>
      </c>
      <c r="CB424" s="315" t="e">
        <f>IF($J424="",#N/A,SUM(CA$4:CA424))</f>
        <v>#N/A</v>
      </c>
      <c r="CC424" s="315" t="e">
        <f>IF($J424="",#N/A,SUM(CA$4:CA424,BY$4:BY424,BW$4:BW424))</f>
        <v>#N/A</v>
      </c>
      <c r="CD424" s="304" t="str">
        <f t="shared" si="702"/>
        <v/>
      </c>
      <c r="CE424" s="313" t="e">
        <f>IF($J424="",#N/A,SUM(CD$4:CD424))</f>
        <v>#N/A</v>
      </c>
      <c r="CF424" s="314" t="str">
        <f t="shared" si="703"/>
        <v/>
      </c>
      <c r="CG424" s="314" t="e">
        <f>IF($J424="",#N/A,SUM(CF$4:CF424))</f>
        <v>#N/A</v>
      </c>
      <c r="CH424" s="315" t="str">
        <f t="shared" si="704"/>
        <v/>
      </c>
      <c r="CI424" s="315" t="e">
        <f>IF($J424="",#N/A,SUM(CH$4:CH424))</f>
        <v>#N/A</v>
      </c>
      <c r="CJ424" s="315" t="e">
        <f>IF($J424="",#N/A,SUM(CH$4:CH424,CF$4:CF424,CD$4:CD424))</f>
        <v>#N/A</v>
      </c>
      <c r="CK424" s="304" t="str">
        <f t="shared" si="705"/>
        <v/>
      </c>
      <c r="CL424" s="313" t="e">
        <f>IF($J424="",#N/A,SUM(CK$4:CK424))</f>
        <v>#N/A</v>
      </c>
      <c r="CM424" s="314" t="str">
        <f t="shared" si="706"/>
        <v/>
      </c>
      <c r="CN424" s="314" t="e">
        <f>IF($J424="",#N/A,SUM(CM$4:CM424))</f>
        <v>#N/A</v>
      </c>
      <c r="CO424" s="315" t="str">
        <f t="shared" si="707"/>
        <v/>
      </c>
      <c r="CP424" s="315" t="e">
        <f>IF($J424="",#N/A,SUM(CO$4:CO424))</f>
        <v>#N/A</v>
      </c>
      <c r="CQ424" s="315" t="e">
        <f>IF($J424="",#N/A,SUM(CO$4:CO424,CM$4:CM424,CK$4:CK424))</f>
        <v>#N/A</v>
      </c>
      <c r="CR424" s="304" t="str">
        <f t="shared" si="708"/>
        <v/>
      </c>
      <c r="CS424" s="313" t="e">
        <f>IF($J424="",#N/A,SUM(CR$4:CR424))</f>
        <v>#N/A</v>
      </c>
      <c r="CT424" s="314" t="str">
        <f t="shared" si="709"/>
        <v/>
      </c>
      <c r="CU424" s="314" t="e">
        <f>IF($J424="",#N/A,SUM(CT$4:CT424))</f>
        <v>#N/A</v>
      </c>
      <c r="CV424" s="315" t="str">
        <f t="shared" si="710"/>
        <v/>
      </c>
      <c r="CW424" s="315" t="e">
        <f>IF($J424="",#N/A,SUM(CV$4:CV424))</f>
        <v>#N/A</v>
      </c>
      <c r="CX424" s="315" t="e">
        <f>IF($J424="",#N/A,SUM(CV$4:CV424,CT$4:CT424,CR$4:CR424))</f>
        <v>#N/A</v>
      </c>
      <c r="CY424" s="304" t="str">
        <f t="shared" si="711"/>
        <v/>
      </c>
      <c r="CZ424" s="313" t="e">
        <f>IF($J424="",#N/A,SUM(CY$4:CY424))</f>
        <v>#N/A</v>
      </c>
      <c r="DA424" s="314" t="str">
        <f t="shared" si="712"/>
        <v/>
      </c>
      <c r="DB424" s="314" t="e">
        <f>IF($J424="",#N/A,SUM(DA$4:DA424))</f>
        <v>#N/A</v>
      </c>
      <c r="DC424" s="315" t="str">
        <f t="shared" si="713"/>
        <v/>
      </c>
      <c r="DD424" s="315" t="e">
        <f>IF($J424="",#N/A,SUM(DC$4:DC424))</f>
        <v>#N/A</v>
      </c>
      <c r="DE424" s="315" t="e">
        <f>IF($J424="",#N/A,SUM(DC$4:DC424,DA$4:DA424,CY$4:CY424))</f>
        <v>#N/A</v>
      </c>
      <c r="DF424" s="304" t="str">
        <f t="shared" si="714"/>
        <v/>
      </c>
      <c r="DG424" s="313" t="e">
        <f>IF($J424="",#N/A,SUM(DF$4:DF424))</f>
        <v>#N/A</v>
      </c>
      <c r="DH424" s="314" t="str">
        <f t="shared" si="715"/>
        <v/>
      </c>
      <c r="DI424" s="314" t="e">
        <f>IF($J424="",#N/A,SUM(DH$4:DH424))</f>
        <v>#N/A</v>
      </c>
      <c r="DJ424" s="315" t="str">
        <f t="shared" si="716"/>
        <v/>
      </c>
      <c r="DK424" s="315" t="e">
        <f>IF($J424="",#N/A,SUM(DJ$4:DJ424))</f>
        <v>#N/A</v>
      </c>
      <c r="DL424" s="315" t="e">
        <f>IF($J424="",#N/A,SUM(DJ$4:DJ424,DH$4:DH424,DF$4:DF424))</f>
        <v>#N/A</v>
      </c>
      <c r="DM424" s="304" t="str">
        <f t="shared" si="717"/>
        <v/>
      </c>
      <c r="DN424" s="313" t="e">
        <f>IF($J424="",#N/A,SUM(DM$4:DM424))</f>
        <v>#N/A</v>
      </c>
      <c r="DO424" s="314" t="str">
        <f t="shared" si="718"/>
        <v/>
      </c>
      <c r="DP424" s="314" t="e">
        <f>IF($J424="",#N/A,SUM(DO$4:DO424))</f>
        <v>#N/A</v>
      </c>
      <c r="DQ424" s="315" t="str">
        <f t="shared" si="719"/>
        <v/>
      </c>
      <c r="DR424" s="315" t="e">
        <f>IF($J424="",#N/A,SUM(DQ$4:DQ424))</f>
        <v>#N/A</v>
      </c>
      <c r="DS424" s="315" t="e">
        <f>IF($J424="",#N/A,SUM(DQ$4:DQ424,DO$4:DO424,DM$4:DM424))</f>
        <v>#N/A</v>
      </c>
      <c r="DT424" s="304" t="str">
        <f t="shared" si="720"/>
        <v/>
      </c>
      <c r="DU424" s="313" t="e">
        <f>IF($J424="",#N/A,SUM(DT$4:DT424))</f>
        <v>#N/A</v>
      </c>
      <c r="DV424" s="314" t="str">
        <f t="shared" si="721"/>
        <v/>
      </c>
      <c r="DW424" s="314" t="e">
        <f>IF($J424="",#N/A,SUM(DV$4:DV424))</f>
        <v>#N/A</v>
      </c>
      <c r="DX424" s="315" t="str">
        <f t="shared" si="722"/>
        <v/>
      </c>
      <c r="DY424" s="315" t="e">
        <f>IF($J424="",#N/A,SUM(DX$4:DX424))</f>
        <v>#N/A</v>
      </c>
      <c r="DZ424" s="315" t="e">
        <f>IF($J424="",#N/A,SUM(DX$4:DX424,DV$4:DV424,DT$4:DT424))</f>
        <v>#N/A</v>
      </c>
      <c r="EA424" s="304" t="str">
        <f t="shared" si="723"/>
        <v/>
      </c>
      <c r="EB424" s="313" t="e">
        <f>IF($J424="",#N/A,SUM(EA$4:EA424))</f>
        <v>#N/A</v>
      </c>
      <c r="EC424" s="314" t="str">
        <f t="shared" si="724"/>
        <v/>
      </c>
      <c r="ED424" s="314" t="e">
        <f>IF($J424="",#N/A,SUM(EC$4:EC424))</f>
        <v>#N/A</v>
      </c>
      <c r="EE424" s="315" t="str">
        <f t="shared" si="725"/>
        <v/>
      </c>
      <c r="EF424" s="315" t="e">
        <f>IF($J424="",#N/A,SUM(EE$4:EE424))</f>
        <v>#N/A</v>
      </c>
      <c r="EG424" s="315" t="e">
        <f>IF($J424="",#N/A,SUM(EE$4:EE424,EC$4:EC424,EA$4:EA424))</f>
        <v>#N/A</v>
      </c>
      <c r="EH424" s="130">
        <f t="shared" si="726"/>
        <v>243</v>
      </c>
      <c r="EI424" s="63">
        <f>IF(EH424="",#N/A,SUM($EH$4:EH424))</f>
        <v>2229.7235715933471</v>
      </c>
      <c r="EJ424" s="223" t="e">
        <f t="shared" si="727"/>
        <v>#N/A</v>
      </c>
      <c r="EK424" s="63" t="e">
        <f>IF($GZ424="",#N/A,SUM(EJ$4:EJ424))</f>
        <v>#N/A</v>
      </c>
      <c r="EL424" s="60">
        <f t="shared" si="757"/>
        <v>2.5055679287305122</v>
      </c>
      <c r="EM424" s="60">
        <f>IF(EL424="",NA(),SUM($EL$4:EL424))</f>
        <v>24.651433957496209</v>
      </c>
      <c r="EN424" s="60" t="str">
        <f t="shared" si="728"/>
        <v/>
      </c>
      <c r="EO424" s="60" t="e">
        <f>IF(EN424="",NA(),SUM($EN$4:EN424))</f>
        <v>#N/A</v>
      </c>
      <c r="EP424" s="60" t="str">
        <f t="shared" si="729"/>
        <v/>
      </c>
      <c r="EQ424" s="60" t="e">
        <f>IF(EP424="",NA(),SUM($EP$4:EP424))</f>
        <v>#N/A</v>
      </c>
      <c r="ER424" s="60">
        <f t="shared" si="730"/>
        <v>2.5055679287305122</v>
      </c>
      <c r="ES424" s="60">
        <f>IF(ER424="",NA(),SUM($ER$4:ER424))</f>
        <v>13.917054915174948</v>
      </c>
      <c r="ET424" s="60" t="str">
        <f t="shared" si="731"/>
        <v/>
      </c>
      <c r="EU424" s="60" t="e">
        <f>IF(ET424="",NA(),SUM($ET$4:ET424))</f>
        <v>#N/A</v>
      </c>
      <c r="EV424" s="60" t="str">
        <f t="shared" si="732"/>
        <v/>
      </c>
      <c r="EW424" s="60" t="e">
        <f>IF(EV424="",NA(),SUM($EV$4:EV424))</f>
        <v>#N/A</v>
      </c>
      <c r="EX424" s="60" t="str">
        <f t="shared" si="733"/>
        <v/>
      </c>
      <c r="EY424" s="60" t="e">
        <f>IF(EX424="",NA(),SUM($EX$4:EX424))</f>
        <v>#N/A</v>
      </c>
      <c r="EZ424" s="60" t="str">
        <f t="shared" si="734"/>
        <v/>
      </c>
      <c r="FA424" s="60" t="e">
        <f>IF(EZ424="",NA(),SUM($EZ$4:EZ424))</f>
        <v>#N/A</v>
      </c>
      <c r="FB424" s="246">
        <f t="shared" si="758"/>
        <v>-0.51039346696362298</v>
      </c>
      <c r="FC424" s="246">
        <f>IF($FB424="",#N/A,SUM(FB$4:$FB424))</f>
        <v>0.59715948519311723</v>
      </c>
      <c r="FD424" s="60" t="str">
        <f t="shared" si="735"/>
        <v/>
      </c>
      <c r="FE424" s="60" t="e">
        <f>IF($FD424="",#N/A,SUM($FD$4:FD424))</f>
        <v>#N/A</v>
      </c>
      <c r="FF424" s="60" t="str">
        <f t="shared" si="736"/>
        <v/>
      </c>
      <c r="FG424" s="60" t="e">
        <f>IF($FF424="",#N/A,SUM($FF$4:FF424))</f>
        <v>#N/A</v>
      </c>
      <c r="FH424" s="60" t="str">
        <f t="shared" si="737"/>
        <v/>
      </c>
      <c r="FI424" s="60" t="e">
        <f>IF($FH424="",#N/A,SUM($FH$4:FH424))</f>
        <v>#N/A</v>
      </c>
      <c r="FJ424" s="60" t="str">
        <f t="shared" si="738"/>
        <v/>
      </c>
      <c r="FK424" s="60" t="e">
        <f>IF($FJ424="",#N/A,SUM($FJ$4:FJ424))</f>
        <v>#N/A</v>
      </c>
      <c r="FL424" s="60" t="str">
        <f t="shared" si="739"/>
        <v/>
      </c>
      <c r="FM424" s="60" t="e">
        <f>IF($FL424="",#N/A,SUM($FL$4:FL424))</f>
        <v>#N/A</v>
      </c>
      <c r="FN424" s="82">
        <f t="shared" si="740"/>
        <v>1.9951744617668892</v>
      </c>
      <c r="FO424" s="82">
        <f>IF($FN424="",#N/A,SUM(FN$4:$FN424))</f>
        <v>50.539124882952954</v>
      </c>
      <c r="FP424" s="82">
        <f t="shared" si="759"/>
        <v>2.5055679287305122</v>
      </c>
      <c r="FQ424" s="246">
        <f>IF($EH424="",#N/A,SUM($FP$4:FP424))</f>
        <v>63.131716432980099</v>
      </c>
      <c r="FR424" s="82">
        <f>IFERROR(FQ424/COUNTA($J$4:J424),#N/A)</f>
        <v>0.14995657109971519</v>
      </c>
      <c r="FS424" s="82">
        <f t="shared" si="661"/>
        <v>0.17381301721713341</v>
      </c>
      <c r="FT424" s="82">
        <f t="shared" si="662"/>
        <v>0.60470098913968373</v>
      </c>
      <c r="FU424" s="338">
        <f t="shared" si="764"/>
        <v>32.71669514410469</v>
      </c>
      <c r="FV424" s="57" t="str">
        <f t="shared" si="765"/>
        <v>Dwn</v>
      </c>
      <c r="FW424" s="57" t="s">
        <v>2733</v>
      </c>
      <c r="FX424" s="57" t="str">
        <f t="shared" si="741"/>
        <v/>
      </c>
      <c r="FY424" s="57" t="str">
        <f t="shared" si="742"/>
        <v/>
      </c>
      <c r="FZ424" s="57" t="str">
        <f t="shared" si="743"/>
        <v/>
      </c>
      <c r="GA424" s="57" t="str">
        <f t="shared" si="744"/>
        <v>Short</v>
      </c>
      <c r="GB424" s="57">
        <f t="shared" si="745"/>
        <v>1</v>
      </c>
      <c r="GC424" s="57" t="str">
        <f t="shared" si="746"/>
        <v/>
      </c>
      <c r="GD424" s="57" t="str">
        <f t="shared" si="747"/>
        <v/>
      </c>
      <c r="GE424" s="62">
        <f t="shared" si="664"/>
        <v>17.96</v>
      </c>
      <c r="GF424" s="62" t="s">
        <v>2780</v>
      </c>
      <c r="GG424" s="199">
        <v>90</v>
      </c>
      <c r="GH424" s="207">
        <f t="shared" si="748"/>
        <v>1616.4</v>
      </c>
      <c r="GI424" s="199">
        <v>90</v>
      </c>
      <c r="GJ424" s="200">
        <v>15.57</v>
      </c>
      <c r="GK424" s="63">
        <f t="shared" si="749"/>
        <v>215.10000000000014</v>
      </c>
      <c r="GL424" s="63">
        <f t="shared" si="665"/>
        <v>193.5</v>
      </c>
      <c r="GM424" s="82" t="str">
        <f t="shared" si="750"/>
        <v/>
      </c>
      <c r="GN424" s="82">
        <f>IF($GZ424="",#N/A,SUM(GM$4:GM424))</f>
        <v>10.405016999739075</v>
      </c>
      <c r="GO424" s="82" t="str">
        <f t="shared" si="751"/>
        <v/>
      </c>
      <c r="GP424" s="82">
        <f>IF($GZ424="",#N/A,SUM(GO$4:GO424))</f>
        <v>4.2788408366274897</v>
      </c>
      <c r="GQ424" s="82">
        <f t="shared" si="752"/>
        <v>1.9951744617668892</v>
      </c>
      <c r="GR424" s="82">
        <f>IF($GZ424="",#N/A,SUM(GQ$4:GQ424))</f>
        <v>35.229430092144071</v>
      </c>
      <c r="GS424" s="63" t="str">
        <f t="shared" si="760"/>
        <v/>
      </c>
      <c r="GT424" s="63" t="e">
        <f>IF($GZ424="",#N/A,SUM(GS$4:GS424))</f>
        <v>#N/A</v>
      </c>
      <c r="GU424" s="63" t="str">
        <f t="shared" si="761"/>
        <v/>
      </c>
      <c r="GV424" s="63" t="e">
        <f>IF($GZ424="",#N/A,SUM(GU$4:GU424))</f>
        <v>#N/A</v>
      </c>
      <c r="GW424" s="63" t="e">
        <f t="shared" si="762"/>
        <v>#N/A</v>
      </c>
      <c r="GX424" s="63" t="e">
        <f>IF($GZ424="",#N/A,SUM(GW$4:GW424))</f>
        <v>#N/A</v>
      </c>
      <c r="GY424" s="63" t="e">
        <f>IF(EJ424="",#N/A,SUM($EJ$4:EJ424))</f>
        <v>#N/A</v>
      </c>
      <c r="GZ424" s="159">
        <v>15.81</v>
      </c>
      <c r="HA424" s="63">
        <f t="shared" si="753"/>
        <v>-49.5</v>
      </c>
      <c r="HB424" s="62" t="s">
        <v>4734</v>
      </c>
      <c r="HC424" s="60">
        <f>IFERROR(VLOOKUP(E424,Expectancy!$P$4:$S$19,1+C424,FALSE),"")</f>
        <v>1.1895734332751575</v>
      </c>
      <c r="HD424" s="82">
        <f t="shared" si="754"/>
        <v>2.2178916109873805</v>
      </c>
      <c r="HE424" s="138">
        <f>IF(HD424="",#N/A,SUM($HD$4:HD424))</f>
        <v>15.885021288875407</v>
      </c>
      <c r="HF424" s="85">
        <f>IF(HD424="",#N/A,IF(HB424="Skip",#N/A,SUM($HG$4:HG424)))</f>
        <v>907.91357921915619</v>
      </c>
      <c r="HG424" s="63">
        <f t="shared" si="755"/>
        <v>215.10000000000014</v>
      </c>
      <c r="HH424" s="82">
        <f t="shared" si="766"/>
        <v>1.9951744617668892</v>
      </c>
    </row>
    <row r="425" spans="1:216" x14ac:dyDescent="0.25">
      <c r="A425" s="465" t="s">
        <v>1239</v>
      </c>
      <c r="B425" s="466" t="str" cm="1">
        <f t="array" ref="B425">IFERROR(_xlfn.XLOOKUP(A425,Earnings!$B$2:$B$9985,LEFT(Earnings!$C$2:$C$9985,37)),"Can't Find Date***")</f>
        <v>on 3/6/25 After Market Eastern Standa</v>
      </c>
      <c r="C425" s="467">
        <f t="shared" si="667"/>
        <v>2</v>
      </c>
      <c r="D425" s="468" t="str">
        <f>_xlfn.XLOOKUP(A425,[1]SP500!$A$2:$A$502,[1]SP500!$D$2:$D$502,"N")</f>
        <v>Y</v>
      </c>
      <c r="E425" s="465" t="str">
        <f>_xlfn.XLOOKUP(A425,[1]SP500!$A$2:$A$655,[1]SP500!$B$2:$B$655)</f>
        <v>XLV</v>
      </c>
      <c r="F425" s="59">
        <v>45722</v>
      </c>
      <c r="G425" s="57" t="str">
        <f t="shared" si="668"/>
        <v>AMC</v>
      </c>
      <c r="H425" s="57" t="str">
        <f t="shared" si="669"/>
        <v>s</v>
      </c>
      <c r="I425" s="159">
        <v>90.98</v>
      </c>
      <c r="J425" s="159">
        <v>86.18</v>
      </c>
      <c r="K425" s="61">
        <f t="shared" si="670"/>
        <v>-5.2758848098483149E-2</v>
      </c>
      <c r="L425" s="87">
        <f t="shared" si="671"/>
        <v>86.399999999999864</v>
      </c>
      <c r="M425" s="130">
        <f t="shared" si="663"/>
        <v>-4.6799999999998363</v>
      </c>
      <c r="N425" s="169" t="str">
        <f t="shared" si="672"/>
        <v/>
      </c>
      <c r="O425" s="169">
        <f>IF($J425="",#N/A,SUM($N$4:N425))</f>
        <v>-328.04225475891064</v>
      </c>
      <c r="P425" s="174">
        <f t="shared" si="673"/>
        <v>86.399999999999864</v>
      </c>
      <c r="Q425" s="174">
        <f>IF($J425="",#N/A,SUM($P$4:P425))</f>
        <v>1514.7966539569484</v>
      </c>
      <c r="R425" s="178" t="str">
        <f t="shared" si="674"/>
        <v/>
      </c>
      <c r="S425" s="178">
        <f>IF($J425="",#N/A,SUM($R$4:R425))</f>
        <v>1129.3691723953095</v>
      </c>
      <c r="T425" s="290" t="str">
        <f t="shared" si="675"/>
        <v/>
      </c>
      <c r="U425" s="290">
        <f>IF($J425="",#N/A,SUM($T$4:T425))</f>
        <v>10.009379462148743</v>
      </c>
      <c r="V425" s="291">
        <f t="shared" si="676"/>
        <v>0.87931413497471822</v>
      </c>
      <c r="W425" s="291">
        <f>IF($J425="",#N/A,SUM($V$4:V425))</f>
        <v>34.691028270745527</v>
      </c>
      <c r="X425" s="292" t="str">
        <f t="shared" si="677"/>
        <v/>
      </c>
      <c r="Y425" s="292">
        <f>IF($J425="",#N/A,SUM($X$4:X425))</f>
        <v>19.310622835060563</v>
      </c>
      <c r="Z425" s="304" t="str">
        <f t="shared" si="678"/>
        <v/>
      </c>
      <c r="AA425" s="313" t="e">
        <f>IF($J425="",#N/A,SUM(Z$4:Z425))</f>
        <v>#N/A</v>
      </c>
      <c r="AB425" s="314" t="str">
        <f t="shared" si="679"/>
        <v/>
      </c>
      <c r="AC425" s="314" t="e">
        <f>IF($J425="",#N/A,SUM(AB$4:AB425))</f>
        <v>#N/A</v>
      </c>
      <c r="AD425" s="315" t="str">
        <f t="shared" si="680"/>
        <v/>
      </c>
      <c r="AE425" s="315" t="e">
        <f>IF($J425="",#N/A,SUM(AD$4:AD425))</f>
        <v>#N/A</v>
      </c>
      <c r="AF425" s="315" t="e">
        <f>IF($J425="",#N/A,SUM(AD$4:AD425,AB$4:AB425,Z$4:Z425))</f>
        <v>#N/A</v>
      </c>
      <c r="AG425" s="304" t="str">
        <f t="shared" si="681"/>
        <v/>
      </c>
      <c r="AH425" s="313" t="e">
        <f>IF($J425="",#N/A,SUM(AG$4:AG425))</f>
        <v>#N/A</v>
      </c>
      <c r="AI425" s="314" t="str">
        <f t="shared" si="682"/>
        <v/>
      </c>
      <c r="AJ425" s="314" t="e">
        <f>IF($J425="",#N/A,SUM(AI$4:AI425))</f>
        <v>#N/A</v>
      </c>
      <c r="AK425" s="315" t="str">
        <f t="shared" si="683"/>
        <v/>
      </c>
      <c r="AL425" s="315" t="e">
        <f>IF($J425="",#N/A,SUM(AK$4:AK425))</f>
        <v>#N/A</v>
      </c>
      <c r="AM425" s="315" t="e">
        <f>IF($J425="",#N/A,SUM(AK$4:AK425,AI$4:AI425,AG$4:AG425))</f>
        <v>#N/A</v>
      </c>
      <c r="AN425" s="304" t="str">
        <f t="shared" si="684"/>
        <v/>
      </c>
      <c r="AO425" s="313" t="e">
        <f>IF($J425="",#N/A,SUM(AN$4:AN425))</f>
        <v>#N/A</v>
      </c>
      <c r="AP425" s="314" t="str">
        <f t="shared" si="685"/>
        <v/>
      </c>
      <c r="AQ425" s="314" t="e">
        <f>IF($J425="",#N/A,SUM(AP$4:AP425))</f>
        <v>#N/A</v>
      </c>
      <c r="AR425" s="315" t="str">
        <f t="shared" si="686"/>
        <v/>
      </c>
      <c r="AS425" s="315" t="e">
        <f>IF($J425="",#N/A,SUM(AR$4:AR425))</f>
        <v>#N/A</v>
      </c>
      <c r="AT425" s="315" t="e">
        <f>IF($J425="",#N/A,SUM(AR$4:AR425,AP$4:AP425,AN$4:AN425))</f>
        <v>#N/A</v>
      </c>
      <c r="AU425" s="304" t="str">
        <f t="shared" si="687"/>
        <v/>
      </c>
      <c r="AV425" s="313" t="e">
        <f>IF($J425="",#N/A,SUM(AU$4:AU425))</f>
        <v>#N/A</v>
      </c>
      <c r="AW425" s="314" t="str">
        <f t="shared" si="688"/>
        <v/>
      </c>
      <c r="AX425" s="314" t="e">
        <f>IF($J425="",#N/A,SUM(AW$4:AW425))</f>
        <v>#N/A</v>
      </c>
      <c r="AY425" s="315" t="str">
        <f t="shared" si="689"/>
        <v/>
      </c>
      <c r="AZ425" s="315" t="e">
        <f>IF($J425="",#N/A,SUM(AY$4:AY425))</f>
        <v>#N/A</v>
      </c>
      <c r="BA425" s="315" t="e">
        <f>IF($J425="",#N/A,SUM(AY$4:AY425,AW$4:AW425,AU$4:AU425))</f>
        <v>#N/A</v>
      </c>
      <c r="BB425" s="304" t="str">
        <f t="shared" si="690"/>
        <v/>
      </c>
      <c r="BC425" s="313" t="e">
        <f>IF($J425="",#N/A,SUM(BB$4:BB425))</f>
        <v>#N/A</v>
      </c>
      <c r="BD425" s="314" t="str">
        <f t="shared" si="691"/>
        <v/>
      </c>
      <c r="BE425" s="314" t="e">
        <f>IF($J425="",#N/A,SUM(BD$4:BD425))</f>
        <v>#N/A</v>
      </c>
      <c r="BF425" s="315" t="str">
        <f t="shared" si="692"/>
        <v/>
      </c>
      <c r="BG425" s="315" t="e">
        <f>IF($J425="",#N/A,SUM(BF$4:BF425))</f>
        <v>#N/A</v>
      </c>
      <c r="BH425" s="315" t="e">
        <f>IF($J425="",#N/A,SUM(BF$4:BF425,BD$4:BD425,BB$4:BB425))</f>
        <v>#N/A</v>
      </c>
      <c r="BI425" s="304" t="str">
        <f t="shared" si="693"/>
        <v/>
      </c>
      <c r="BJ425" s="313" t="e">
        <f>IF($J425="",#N/A,SUM(BI$4:BI425))</f>
        <v>#N/A</v>
      </c>
      <c r="BK425" s="314" t="str">
        <f t="shared" si="694"/>
        <v/>
      </c>
      <c r="BL425" s="314" t="e">
        <f>IF($J425="",#N/A,SUM(BK$4:BK425))</f>
        <v>#N/A</v>
      </c>
      <c r="BM425" s="315" t="str">
        <f t="shared" si="695"/>
        <v/>
      </c>
      <c r="BN425" s="315" t="e">
        <f>IF($J425="",#N/A,SUM(BM$4:BM425))</f>
        <v>#N/A</v>
      </c>
      <c r="BO425" s="315" t="e">
        <f>IF($J425="",#N/A,SUM(BM$4:BM425,BK$4:BK425,BI$4:BI425))</f>
        <v>#N/A</v>
      </c>
      <c r="BP425" s="304" t="str">
        <f t="shared" si="696"/>
        <v/>
      </c>
      <c r="BQ425" s="313" t="e">
        <f>IF($J425="",#N/A,SUM(BP$4:BP425))</f>
        <v>#N/A</v>
      </c>
      <c r="BR425" s="314" t="str">
        <f t="shared" si="697"/>
        <v/>
      </c>
      <c r="BS425" s="314" t="e">
        <f>IF($J425="",#N/A,SUM(BR$4:BR425))</f>
        <v>#N/A</v>
      </c>
      <c r="BT425" s="315" t="str">
        <f t="shared" si="698"/>
        <v/>
      </c>
      <c r="BU425" s="315" t="e">
        <f>IF($J425="",#N/A,SUM(BT$4:BT425))</f>
        <v>#N/A</v>
      </c>
      <c r="BV425" s="315" t="e">
        <f>IF($J425="",#N/A,SUM(BT$4:BT425,BR$4:BR425,BP$4:BP425))</f>
        <v>#N/A</v>
      </c>
      <c r="BW425" s="304" t="str">
        <f t="shared" si="699"/>
        <v/>
      </c>
      <c r="BX425" s="313" t="e">
        <f>IF($J425="",#N/A,SUM(BW$4:BW425))</f>
        <v>#N/A</v>
      </c>
      <c r="BY425" s="314">
        <f t="shared" si="700"/>
        <v>0.87931413497471822</v>
      </c>
      <c r="BZ425" s="314" t="e">
        <f>IF($J425="",#N/A,SUM(BY$4:BY425))</f>
        <v>#N/A</v>
      </c>
      <c r="CA425" s="315" t="str">
        <f t="shared" si="701"/>
        <v/>
      </c>
      <c r="CB425" s="315" t="e">
        <f>IF($J425="",#N/A,SUM(CA$4:CA425))</f>
        <v>#N/A</v>
      </c>
      <c r="CC425" s="315" t="e">
        <f>IF($J425="",#N/A,SUM(CA$4:CA425,BY$4:BY425,BW$4:BW425))</f>
        <v>#N/A</v>
      </c>
      <c r="CD425" s="304" t="str">
        <f t="shared" si="702"/>
        <v/>
      </c>
      <c r="CE425" s="313" t="e">
        <f>IF($J425="",#N/A,SUM(CD$4:CD425))</f>
        <v>#N/A</v>
      </c>
      <c r="CF425" s="314" t="str">
        <f t="shared" si="703"/>
        <v/>
      </c>
      <c r="CG425" s="314" t="e">
        <f>IF($J425="",#N/A,SUM(CF$4:CF425))</f>
        <v>#N/A</v>
      </c>
      <c r="CH425" s="315" t="str">
        <f t="shared" si="704"/>
        <v/>
      </c>
      <c r="CI425" s="315" t="e">
        <f>IF($J425="",#N/A,SUM(CH$4:CH425))</f>
        <v>#N/A</v>
      </c>
      <c r="CJ425" s="315" t="e">
        <f>IF($J425="",#N/A,SUM(CH$4:CH425,CF$4:CF425,CD$4:CD425))</f>
        <v>#N/A</v>
      </c>
      <c r="CK425" s="304" t="str">
        <f t="shared" si="705"/>
        <v/>
      </c>
      <c r="CL425" s="313" t="e">
        <f>IF($J425="",#N/A,SUM(CK$4:CK425))</f>
        <v>#N/A</v>
      </c>
      <c r="CM425" s="314" t="str">
        <f t="shared" si="706"/>
        <v/>
      </c>
      <c r="CN425" s="314" t="e">
        <f>IF($J425="",#N/A,SUM(CM$4:CM425))</f>
        <v>#N/A</v>
      </c>
      <c r="CO425" s="315" t="str">
        <f t="shared" si="707"/>
        <v/>
      </c>
      <c r="CP425" s="315" t="e">
        <f>IF($J425="",#N/A,SUM(CO$4:CO425))</f>
        <v>#N/A</v>
      </c>
      <c r="CQ425" s="315" t="e">
        <f>IF($J425="",#N/A,SUM(CO$4:CO425,CM$4:CM425,CK$4:CK425))</f>
        <v>#N/A</v>
      </c>
      <c r="CR425" s="304" t="str">
        <f t="shared" si="708"/>
        <v/>
      </c>
      <c r="CS425" s="313" t="e">
        <f>IF($J425="",#N/A,SUM(CR$4:CR425))</f>
        <v>#N/A</v>
      </c>
      <c r="CT425" s="314" t="str">
        <f t="shared" si="709"/>
        <v/>
      </c>
      <c r="CU425" s="314" t="e">
        <f>IF($J425="",#N/A,SUM(CT$4:CT425))</f>
        <v>#N/A</v>
      </c>
      <c r="CV425" s="315" t="str">
        <f t="shared" si="710"/>
        <v/>
      </c>
      <c r="CW425" s="315" t="e">
        <f>IF($J425="",#N/A,SUM(CV$4:CV425))</f>
        <v>#N/A</v>
      </c>
      <c r="CX425" s="315" t="e">
        <f>IF($J425="",#N/A,SUM(CV$4:CV425,CT$4:CT425,CR$4:CR425))</f>
        <v>#N/A</v>
      </c>
      <c r="CY425" s="304" t="str">
        <f t="shared" si="711"/>
        <v/>
      </c>
      <c r="CZ425" s="313" t="e">
        <f>IF($J425="",#N/A,SUM(CY$4:CY425))</f>
        <v>#N/A</v>
      </c>
      <c r="DA425" s="314" t="str">
        <f t="shared" si="712"/>
        <v/>
      </c>
      <c r="DB425" s="314" t="e">
        <f>IF($J425="",#N/A,SUM(DA$4:DA425))</f>
        <v>#N/A</v>
      </c>
      <c r="DC425" s="315" t="str">
        <f t="shared" si="713"/>
        <v/>
      </c>
      <c r="DD425" s="315" t="e">
        <f>IF($J425="",#N/A,SUM(DC$4:DC425))</f>
        <v>#N/A</v>
      </c>
      <c r="DE425" s="315" t="e">
        <f>IF($J425="",#N/A,SUM(DC$4:DC425,DA$4:DA425,CY$4:CY425))</f>
        <v>#N/A</v>
      </c>
      <c r="DF425" s="304" t="str">
        <f t="shared" si="714"/>
        <v/>
      </c>
      <c r="DG425" s="313" t="e">
        <f>IF($J425="",#N/A,SUM(DF$4:DF425))</f>
        <v>#N/A</v>
      </c>
      <c r="DH425" s="314" t="str">
        <f t="shared" si="715"/>
        <v/>
      </c>
      <c r="DI425" s="314" t="e">
        <f>IF($J425="",#N/A,SUM(DH$4:DH425))</f>
        <v>#N/A</v>
      </c>
      <c r="DJ425" s="315" t="str">
        <f t="shared" si="716"/>
        <v/>
      </c>
      <c r="DK425" s="315" t="e">
        <f>IF($J425="",#N/A,SUM(DJ$4:DJ425))</f>
        <v>#N/A</v>
      </c>
      <c r="DL425" s="315" t="e">
        <f>IF($J425="",#N/A,SUM(DJ$4:DJ425,DH$4:DH425,DF$4:DF425))</f>
        <v>#N/A</v>
      </c>
      <c r="DM425" s="304" t="str">
        <f t="shared" si="717"/>
        <v/>
      </c>
      <c r="DN425" s="313" t="e">
        <f>IF($J425="",#N/A,SUM(DM$4:DM425))</f>
        <v>#N/A</v>
      </c>
      <c r="DO425" s="314" t="str">
        <f t="shared" si="718"/>
        <v/>
      </c>
      <c r="DP425" s="314" t="e">
        <f>IF($J425="",#N/A,SUM(DO$4:DO425))</f>
        <v>#N/A</v>
      </c>
      <c r="DQ425" s="315" t="str">
        <f t="shared" si="719"/>
        <v/>
      </c>
      <c r="DR425" s="315" t="e">
        <f>IF($J425="",#N/A,SUM(DQ$4:DQ425))</f>
        <v>#N/A</v>
      </c>
      <c r="DS425" s="315" t="e">
        <f>IF($J425="",#N/A,SUM(DQ$4:DQ425,DO$4:DO425,DM$4:DM425))</f>
        <v>#N/A</v>
      </c>
      <c r="DT425" s="304" t="str">
        <f t="shared" si="720"/>
        <v/>
      </c>
      <c r="DU425" s="313" t="e">
        <f>IF($J425="",#N/A,SUM(DT$4:DT425))</f>
        <v>#N/A</v>
      </c>
      <c r="DV425" s="314" t="str">
        <f t="shared" si="721"/>
        <v/>
      </c>
      <c r="DW425" s="314" t="e">
        <f>IF($J425="",#N/A,SUM(DV$4:DV425))</f>
        <v>#N/A</v>
      </c>
      <c r="DX425" s="315" t="str">
        <f t="shared" si="722"/>
        <v/>
      </c>
      <c r="DY425" s="315" t="e">
        <f>IF($J425="",#N/A,SUM(DX$4:DX425))</f>
        <v>#N/A</v>
      </c>
      <c r="DZ425" s="315" t="e">
        <f>IF($J425="",#N/A,SUM(DX$4:DX425,DV$4:DV425,DT$4:DT425))</f>
        <v>#N/A</v>
      </c>
      <c r="EA425" s="304" t="str">
        <f t="shared" si="723"/>
        <v/>
      </c>
      <c r="EB425" s="313" t="e">
        <f>IF($J425="",#N/A,SUM(EA$4:EA425))</f>
        <v>#N/A</v>
      </c>
      <c r="EC425" s="314" t="str">
        <f t="shared" si="724"/>
        <v/>
      </c>
      <c r="ED425" s="314" t="e">
        <f>IF($J425="",#N/A,SUM(EC$4:EC425))</f>
        <v>#N/A</v>
      </c>
      <c r="EE425" s="315" t="str">
        <f t="shared" si="725"/>
        <v/>
      </c>
      <c r="EF425" s="315" t="e">
        <f>IF($J425="",#N/A,SUM(EE$4:EE425))</f>
        <v>#N/A</v>
      </c>
      <c r="EG425" s="315" t="e">
        <f>IF($J425="",#N/A,SUM(EE$4:EE425,EC$4:EC425,EA$4:EA425))</f>
        <v>#N/A</v>
      </c>
      <c r="EH425" s="130">
        <f t="shared" si="726"/>
        <v>86.399999999999864</v>
      </c>
      <c r="EI425" s="63">
        <f>IF(EH425="",#N/A,SUM($EH$4:EH425))</f>
        <v>2316.1235715933472</v>
      </c>
      <c r="EJ425" s="223" t="e">
        <f t="shared" si="727"/>
        <v>#N/A</v>
      </c>
      <c r="EK425" s="63" t="e">
        <f>IF($GZ425="",#N/A,SUM(EJ$4:EJ425))</f>
        <v>#N/A</v>
      </c>
      <c r="EL425" s="60">
        <f t="shared" si="757"/>
        <v>0.87931413497471822</v>
      </c>
      <c r="EM425" s="60">
        <f>IF(EL425="",NA(),SUM($EL$4:EL425))</f>
        <v>25.530748092470926</v>
      </c>
      <c r="EN425" s="60" t="str">
        <f t="shared" si="728"/>
        <v/>
      </c>
      <c r="EO425" s="60" t="e">
        <f>IF(EN425="",NA(),SUM($EN$4:EN425))</f>
        <v>#N/A</v>
      </c>
      <c r="EP425" s="60" t="str">
        <f t="shared" si="729"/>
        <v/>
      </c>
      <c r="EQ425" s="60" t="e">
        <f>IF(EP425="",NA(),SUM($EP$4:EP425))</f>
        <v>#N/A</v>
      </c>
      <c r="ER425" s="60">
        <f t="shared" si="730"/>
        <v>0.87931413497471822</v>
      </c>
      <c r="ES425" s="60">
        <f>IF(ER425="",NA(),SUM($ER$4:ER425))</f>
        <v>14.796369050149666</v>
      </c>
      <c r="ET425" s="60" t="str">
        <f t="shared" si="731"/>
        <v/>
      </c>
      <c r="EU425" s="60" t="e">
        <f>IF(ET425="",NA(),SUM($ET$4:ET425))</f>
        <v>#N/A</v>
      </c>
      <c r="EV425" s="60" t="str">
        <f t="shared" si="732"/>
        <v/>
      </c>
      <c r="EW425" s="60" t="e">
        <f>IF(EV425="",NA(),SUM($EV$4:EV425))</f>
        <v>#N/A</v>
      </c>
      <c r="EX425" s="60" t="str">
        <f t="shared" si="733"/>
        <v/>
      </c>
      <c r="EY425" s="60" t="e">
        <f>IF(EX425="",NA(),SUM($EX$4:EX425))</f>
        <v>#N/A</v>
      </c>
      <c r="EZ425" s="60" t="str">
        <f t="shared" si="734"/>
        <v/>
      </c>
      <c r="FA425" s="60" t="e">
        <f>IF(EZ425="",NA(),SUM($EZ$4:EZ425))</f>
        <v>#N/A</v>
      </c>
      <c r="FB425" s="246">
        <f t="shared" si="758"/>
        <v>0.21616472484795435</v>
      </c>
      <c r="FC425" s="246">
        <f>IF($FB425="",#N/A,SUM(FB$4:$FB425))</f>
        <v>0.81332421004107158</v>
      </c>
      <c r="FD425" s="60" t="str">
        <f t="shared" si="735"/>
        <v/>
      </c>
      <c r="FE425" s="60" t="e">
        <f>IF($FD425="",#N/A,SUM($FD$4:FD425))</f>
        <v>#N/A</v>
      </c>
      <c r="FF425" s="60" t="str">
        <f t="shared" si="736"/>
        <v/>
      </c>
      <c r="FG425" s="60" t="e">
        <f>IF($FF425="",#N/A,SUM($FF$4:FF425))</f>
        <v>#N/A</v>
      </c>
      <c r="FH425" s="60" t="str">
        <f t="shared" si="737"/>
        <v/>
      </c>
      <c r="FI425" s="60" t="e">
        <f>IF($FH425="",#N/A,SUM($FH$4:FH425))</f>
        <v>#N/A</v>
      </c>
      <c r="FJ425" s="60" t="str">
        <f t="shared" si="738"/>
        <v/>
      </c>
      <c r="FK425" s="60" t="e">
        <f>IF($FJ425="",#N/A,SUM($FJ$4:FJ425))</f>
        <v>#N/A</v>
      </c>
      <c r="FL425" s="60" t="str">
        <f t="shared" si="739"/>
        <v/>
      </c>
      <c r="FM425" s="60" t="e">
        <f>IF($FL425="",#N/A,SUM($FL$4:FL425))</f>
        <v>#N/A</v>
      </c>
      <c r="FN425" s="82">
        <f t="shared" si="740"/>
        <v>1.0954788598226726</v>
      </c>
      <c r="FO425" s="82">
        <f>IF($FN425="",#N/A,SUM(FN$4:$FN425))</f>
        <v>51.634603742775624</v>
      </c>
      <c r="FP425" s="82">
        <f t="shared" si="759"/>
        <v>0.87931413497471822</v>
      </c>
      <c r="FQ425" s="246">
        <f>IF($EH425="",#N/A,SUM($FP$4:FP425))</f>
        <v>64.011030567954819</v>
      </c>
      <c r="FR425" s="82">
        <f>IFERROR(FQ425/COUNTA($J$4:J425),#N/A)</f>
        <v>0.15168490655913464</v>
      </c>
      <c r="FS425" s="82">
        <f t="shared" si="661"/>
        <v>0.19334104748944342</v>
      </c>
      <c r="FT425" s="82">
        <f t="shared" si="662"/>
        <v>0.60032553193980254</v>
      </c>
      <c r="FU425" s="338">
        <f t="shared" si="764"/>
        <v>32.76432465974915</v>
      </c>
      <c r="FV425" s="57" t="str">
        <f t="shared" si="765"/>
        <v>Dwn</v>
      </c>
      <c r="FW425" s="57" t="s">
        <v>2733</v>
      </c>
      <c r="FX425" s="57" t="str">
        <f t="shared" si="741"/>
        <v/>
      </c>
      <c r="FY425" s="57" t="str">
        <f t="shared" si="742"/>
        <v/>
      </c>
      <c r="FZ425" s="57" t="str">
        <f t="shared" si="743"/>
        <v/>
      </c>
      <c r="GA425" s="57" t="str">
        <f t="shared" si="744"/>
        <v>Short</v>
      </c>
      <c r="GB425" s="57">
        <f t="shared" si="745"/>
        <v>1</v>
      </c>
      <c r="GC425" s="57" t="str">
        <f t="shared" si="746"/>
        <v/>
      </c>
      <c r="GD425" s="57" t="str">
        <f t="shared" si="747"/>
        <v/>
      </c>
      <c r="GE425" s="62">
        <f t="shared" si="664"/>
        <v>90.98</v>
      </c>
      <c r="GF425" s="62" t="s">
        <v>2780</v>
      </c>
      <c r="GG425" s="199">
        <v>18</v>
      </c>
      <c r="GH425" s="207">
        <f t="shared" si="748"/>
        <v>1637.64</v>
      </c>
      <c r="GI425" s="199">
        <v>18</v>
      </c>
      <c r="GJ425" s="200">
        <v>86.44</v>
      </c>
      <c r="GK425" s="63">
        <f t="shared" si="749"/>
        <v>81.720000000000027</v>
      </c>
      <c r="GL425" s="63">
        <f t="shared" si="665"/>
        <v>107.6400000000001</v>
      </c>
      <c r="GM425" s="82" t="str">
        <f t="shared" si="750"/>
        <v/>
      </c>
      <c r="GN425" s="82">
        <f>IF($GZ425="",#N/A,SUM(GM$4:GM425))</f>
        <v>10.405016999739075</v>
      </c>
      <c r="GO425" s="82" t="str">
        <f t="shared" si="751"/>
        <v/>
      </c>
      <c r="GP425" s="82">
        <f>IF($GZ425="",#N/A,SUM(GO$4:GO425))</f>
        <v>4.2788408366274897</v>
      </c>
      <c r="GQ425" s="82">
        <f t="shared" si="752"/>
        <v>1.0954788598226726</v>
      </c>
      <c r="GR425" s="82">
        <f>IF($GZ425="",#N/A,SUM(GQ$4:GQ425))</f>
        <v>36.324908951966741</v>
      </c>
      <c r="GS425" s="63" t="str">
        <f t="shared" si="760"/>
        <v/>
      </c>
      <c r="GT425" s="63" t="e">
        <f>IF($GZ425="",#N/A,SUM(GS$4:GS425))</f>
        <v>#N/A</v>
      </c>
      <c r="GU425" s="63" t="str">
        <f t="shared" si="761"/>
        <v/>
      </c>
      <c r="GV425" s="63" t="e">
        <f>IF($GZ425="",#N/A,SUM(GU$4:GU425))</f>
        <v>#N/A</v>
      </c>
      <c r="GW425" s="63" t="e">
        <f t="shared" si="762"/>
        <v>#N/A</v>
      </c>
      <c r="GX425" s="63" t="e">
        <f>IF($GZ425="",#N/A,SUM(GW$4:GW425))</f>
        <v>#N/A</v>
      </c>
      <c r="GY425" s="63" t="e">
        <f>IF(EJ425="",#N/A,SUM($EJ$4:EJ425))</f>
        <v>#N/A</v>
      </c>
      <c r="GZ425" s="158">
        <v>85</v>
      </c>
      <c r="HA425" s="63">
        <f t="shared" si="753"/>
        <v>21.240000000000236</v>
      </c>
      <c r="HB425" s="62" t="s">
        <v>2538</v>
      </c>
      <c r="HC425" s="60">
        <f>IFERROR(VLOOKUP(E425,Expectancy!$P$4:$S$19,1+C425,FALSE),"")</f>
        <v>0.18997806194873415</v>
      </c>
      <c r="HD425" s="82">
        <f t="shared" si="754"/>
        <v>0.83168461933025595</v>
      </c>
      <c r="HE425" s="138">
        <f>IF(HD425="",#N/A,SUM($HD$4:HD425))</f>
        <v>16.716705908205665</v>
      </c>
      <c r="HF425" s="85">
        <f>IF(HD425="",#N/A,IF(HB425="Skip",#N/A,SUM($HG$4:HG425)))</f>
        <v>989.63357921915622</v>
      </c>
      <c r="HG425" s="63">
        <f t="shared" si="755"/>
        <v>81.720000000000027</v>
      </c>
      <c r="HH425" s="82">
        <f t="shared" si="766"/>
        <v>1.0954788598226726</v>
      </c>
    </row>
    <row r="426" spans="1:216" x14ac:dyDescent="0.25">
      <c r="A426" s="57" t="s">
        <v>1238</v>
      </c>
      <c r="B426" s="58" t="str" cm="1">
        <f t="array" ref="B426">IFERROR(_xlfn.XLOOKUP(A426,Earnings!$B$2:$B$9985,LEFT(Earnings!$C$2:$C$9985,37)),"Can't Find Date***")</f>
        <v>on 3/10/25 After Market Eastern Stand</v>
      </c>
      <c r="C426" s="386">
        <f t="shared" si="667"/>
        <v>2</v>
      </c>
      <c r="D426" s="372" t="str">
        <f>_xlfn.XLOOKUP(A426,[1]SP500!$A$2:$A$502,[1]SP500!$D$2:$D$502,"N")</f>
        <v>N</v>
      </c>
      <c r="E426" s="57" t="str">
        <f>_xlfn.XLOOKUP(A426,[1]SP500!$A$2:$A$655,[1]SP500!$B$2:$B$655)</f>
        <v>IGV</v>
      </c>
      <c r="F426" s="59">
        <v>45726</v>
      </c>
      <c r="G426" s="57" t="str">
        <f t="shared" si="668"/>
        <v>AMC</v>
      </c>
      <c r="H426" s="57" t="str">
        <f t="shared" si="669"/>
        <v>s</v>
      </c>
      <c r="I426" s="159">
        <v>16.68</v>
      </c>
      <c r="J426" s="159">
        <v>12.13</v>
      </c>
      <c r="K426" s="61">
        <f t="shared" si="670"/>
        <v>-0.27278177458033565</v>
      </c>
      <c r="L426" s="87">
        <f t="shared" si="671"/>
        <v>227.5</v>
      </c>
      <c r="M426" s="130">
        <f t="shared" si="663"/>
        <v>-26</v>
      </c>
      <c r="N426" s="169" t="str">
        <f t="shared" si="672"/>
        <v/>
      </c>
      <c r="O426" s="169">
        <f>IF($J426="",#N/A,SUM($N$4:N426))</f>
        <v>-328.04225475891064</v>
      </c>
      <c r="P426" s="174">
        <f t="shared" si="673"/>
        <v>227.5</v>
      </c>
      <c r="Q426" s="174">
        <f>IF($J426="",#N/A,SUM($P$4:P426))</f>
        <v>1742.2966539569484</v>
      </c>
      <c r="R426" s="178" t="str">
        <f t="shared" si="674"/>
        <v/>
      </c>
      <c r="S426" s="178">
        <f>IF($J426="",#N/A,SUM($R$4:R426))</f>
        <v>1129.3691723953095</v>
      </c>
      <c r="T426" s="290" t="str">
        <f t="shared" si="675"/>
        <v/>
      </c>
      <c r="U426" s="290">
        <f>IF($J426="",#N/A,SUM($T$4:T426))</f>
        <v>10.009379462148743</v>
      </c>
      <c r="V426" s="291">
        <f t="shared" si="676"/>
        <v>4.5463629096722622</v>
      </c>
      <c r="W426" s="291">
        <f>IF($J426="",#N/A,SUM($V$4:V426))</f>
        <v>39.237391180417788</v>
      </c>
      <c r="X426" s="292" t="str">
        <f t="shared" si="677"/>
        <v/>
      </c>
      <c r="Y426" s="292">
        <f>IF($J426="",#N/A,SUM($X$4:X426))</f>
        <v>19.310622835060563</v>
      </c>
      <c r="Z426" s="304" t="str">
        <f t="shared" si="678"/>
        <v/>
      </c>
      <c r="AA426" s="313" t="e">
        <f>IF($J426="",#N/A,SUM(Z$4:Z426))</f>
        <v>#N/A</v>
      </c>
      <c r="AB426" s="314" t="str">
        <f t="shared" si="679"/>
        <v/>
      </c>
      <c r="AC426" s="314" t="e">
        <f>IF($J426="",#N/A,SUM(AB$4:AB426))</f>
        <v>#N/A</v>
      </c>
      <c r="AD426" s="315" t="str">
        <f t="shared" si="680"/>
        <v/>
      </c>
      <c r="AE426" s="315" t="e">
        <f>IF($J426="",#N/A,SUM(AD$4:AD426))</f>
        <v>#N/A</v>
      </c>
      <c r="AF426" s="315" t="e">
        <f>IF($J426="",#N/A,SUM(AD$4:AD426,AB$4:AB426,Z$4:Z426))</f>
        <v>#N/A</v>
      </c>
      <c r="AG426" s="304" t="str">
        <f t="shared" si="681"/>
        <v/>
      </c>
      <c r="AH426" s="313" t="e">
        <f>IF($J426="",#N/A,SUM(AG$4:AG426))</f>
        <v>#N/A</v>
      </c>
      <c r="AI426" s="314">
        <f t="shared" si="682"/>
        <v>4.5463629096722622</v>
      </c>
      <c r="AJ426" s="314" t="e">
        <f>IF($J426="",#N/A,SUM(AI$4:AI426))</f>
        <v>#N/A</v>
      </c>
      <c r="AK426" s="315" t="str">
        <f t="shared" si="683"/>
        <v/>
      </c>
      <c r="AL426" s="315" t="e">
        <f>IF($J426="",#N/A,SUM(AK$4:AK426))</f>
        <v>#N/A</v>
      </c>
      <c r="AM426" s="315" t="e">
        <f>IF($J426="",#N/A,SUM(AK$4:AK426,AI$4:AI426,AG$4:AG426))</f>
        <v>#N/A</v>
      </c>
      <c r="AN426" s="304" t="str">
        <f t="shared" si="684"/>
        <v/>
      </c>
      <c r="AO426" s="313" t="e">
        <f>IF($J426="",#N/A,SUM(AN$4:AN426))</f>
        <v>#N/A</v>
      </c>
      <c r="AP426" s="314" t="str">
        <f t="shared" si="685"/>
        <v/>
      </c>
      <c r="AQ426" s="314" t="e">
        <f>IF($J426="",#N/A,SUM(AP$4:AP426))</f>
        <v>#N/A</v>
      </c>
      <c r="AR426" s="315" t="str">
        <f t="shared" si="686"/>
        <v/>
      </c>
      <c r="AS426" s="315" t="e">
        <f>IF($J426="",#N/A,SUM(AR$4:AR426))</f>
        <v>#N/A</v>
      </c>
      <c r="AT426" s="315" t="e">
        <f>IF($J426="",#N/A,SUM(AR$4:AR426,AP$4:AP426,AN$4:AN426))</f>
        <v>#N/A</v>
      </c>
      <c r="AU426" s="304" t="str">
        <f t="shared" si="687"/>
        <v/>
      </c>
      <c r="AV426" s="313" t="e">
        <f>IF($J426="",#N/A,SUM(AU$4:AU426))</f>
        <v>#N/A</v>
      </c>
      <c r="AW426" s="314" t="str">
        <f t="shared" si="688"/>
        <v/>
      </c>
      <c r="AX426" s="314" t="e">
        <f>IF($J426="",#N/A,SUM(AW$4:AW426))</f>
        <v>#N/A</v>
      </c>
      <c r="AY426" s="315" t="str">
        <f t="shared" si="689"/>
        <v/>
      </c>
      <c r="AZ426" s="315" t="e">
        <f>IF($J426="",#N/A,SUM(AY$4:AY426))</f>
        <v>#N/A</v>
      </c>
      <c r="BA426" s="315" t="e">
        <f>IF($J426="",#N/A,SUM(AY$4:AY426,AW$4:AW426,AU$4:AU426))</f>
        <v>#N/A</v>
      </c>
      <c r="BB426" s="304" t="str">
        <f t="shared" si="690"/>
        <v/>
      </c>
      <c r="BC426" s="313" t="e">
        <f>IF($J426="",#N/A,SUM(BB$4:BB426))</f>
        <v>#N/A</v>
      </c>
      <c r="BD426" s="314" t="str">
        <f t="shared" si="691"/>
        <v/>
      </c>
      <c r="BE426" s="314" t="e">
        <f>IF($J426="",#N/A,SUM(BD$4:BD426))</f>
        <v>#N/A</v>
      </c>
      <c r="BF426" s="315" t="str">
        <f t="shared" si="692"/>
        <v/>
      </c>
      <c r="BG426" s="315" t="e">
        <f>IF($J426="",#N/A,SUM(BF$4:BF426))</f>
        <v>#N/A</v>
      </c>
      <c r="BH426" s="315" t="e">
        <f>IF($J426="",#N/A,SUM(BF$4:BF426,BD$4:BD426,BB$4:BB426))</f>
        <v>#N/A</v>
      </c>
      <c r="BI426" s="304" t="str">
        <f t="shared" si="693"/>
        <v/>
      </c>
      <c r="BJ426" s="313" t="e">
        <f>IF($J426="",#N/A,SUM(BI$4:BI426))</f>
        <v>#N/A</v>
      </c>
      <c r="BK426" s="314" t="str">
        <f t="shared" si="694"/>
        <v/>
      </c>
      <c r="BL426" s="314" t="e">
        <f>IF($J426="",#N/A,SUM(BK$4:BK426))</f>
        <v>#N/A</v>
      </c>
      <c r="BM426" s="315" t="str">
        <f t="shared" si="695"/>
        <v/>
      </c>
      <c r="BN426" s="315" t="e">
        <f>IF($J426="",#N/A,SUM(BM$4:BM426))</f>
        <v>#N/A</v>
      </c>
      <c r="BO426" s="315" t="e">
        <f>IF($J426="",#N/A,SUM(BM$4:BM426,BK$4:BK426,BI$4:BI426))</f>
        <v>#N/A</v>
      </c>
      <c r="BP426" s="304" t="str">
        <f t="shared" si="696"/>
        <v/>
      </c>
      <c r="BQ426" s="313" t="e">
        <f>IF($J426="",#N/A,SUM(BP$4:BP426))</f>
        <v>#N/A</v>
      </c>
      <c r="BR426" s="314" t="str">
        <f t="shared" si="697"/>
        <v/>
      </c>
      <c r="BS426" s="314" t="e">
        <f>IF($J426="",#N/A,SUM(BR$4:BR426))</f>
        <v>#N/A</v>
      </c>
      <c r="BT426" s="315" t="str">
        <f t="shared" si="698"/>
        <v/>
      </c>
      <c r="BU426" s="315" t="e">
        <f>IF($J426="",#N/A,SUM(BT$4:BT426))</f>
        <v>#N/A</v>
      </c>
      <c r="BV426" s="315" t="e">
        <f>IF($J426="",#N/A,SUM(BT$4:BT426,BR$4:BR426,BP$4:BP426))</f>
        <v>#N/A</v>
      </c>
      <c r="BW426" s="304" t="str">
        <f t="shared" si="699"/>
        <v/>
      </c>
      <c r="BX426" s="313" t="e">
        <f>IF($J426="",#N/A,SUM(BW$4:BW426))</f>
        <v>#N/A</v>
      </c>
      <c r="BY426" s="314" t="str">
        <f t="shared" si="700"/>
        <v/>
      </c>
      <c r="BZ426" s="314" t="e">
        <f>IF($J426="",#N/A,SUM(BY$4:BY426))</f>
        <v>#N/A</v>
      </c>
      <c r="CA426" s="315" t="str">
        <f t="shared" si="701"/>
        <v/>
      </c>
      <c r="CB426" s="315" t="e">
        <f>IF($J426="",#N/A,SUM(CA$4:CA426))</f>
        <v>#N/A</v>
      </c>
      <c r="CC426" s="315" t="e">
        <f>IF($J426="",#N/A,SUM(CA$4:CA426,BY$4:BY426,BW$4:BW426))</f>
        <v>#N/A</v>
      </c>
      <c r="CD426" s="304" t="str">
        <f t="shared" si="702"/>
        <v/>
      </c>
      <c r="CE426" s="313" t="e">
        <f>IF($J426="",#N/A,SUM(CD$4:CD426))</f>
        <v>#N/A</v>
      </c>
      <c r="CF426" s="314" t="str">
        <f t="shared" si="703"/>
        <v/>
      </c>
      <c r="CG426" s="314" t="e">
        <f>IF($J426="",#N/A,SUM(CF$4:CF426))</f>
        <v>#N/A</v>
      </c>
      <c r="CH426" s="315" t="str">
        <f t="shared" si="704"/>
        <v/>
      </c>
      <c r="CI426" s="315" t="e">
        <f>IF($J426="",#N/A,SUM(CH$4:CH426))</f>
        <v>#N/A</v>
      </c>
      <c r="CJ426" s="315" t="e">
        <f>IF($J426="",#N/A,SUM(CH$4:CH426,CF$4:CF426,CD$4:CD426))</f>
        <v>#N/A</v>
      </c>
      <c r="CK426" s="304" t="str">
        <f t="shared" si="705"/>
        <v/>
      </c>
      <c r="CL426" s="313" t="e">
        <f>IF($J426="",#N/A,SUM(CK$4:CK426))</f>
        <v>#N/A</v>
      </c>
      <c r="CM426" s="314" t="str">
        <f t="shared" si="706"/>
        <v/>
      </c>
      <c r="CN426" s="314" t="e">
        <f>IF($J426="",#N/A,SUM(CM$4:CM426))</f>
        <v>#N/A</v>
      </c>
      <c r="CO426" s="315" t="str">
        <f t="shared" si="707"/>
        <v/>
      </c>
      <c r="CP426" s="315" t="e">
        <f>IF($J426="",#N/A,SUM(CO$4:CO426))</f>
        <v>#N/A</v>
      </c>
      <c r="CQ426" s="315" t="e">
        <f>IF($J426="",#N/A,SUM(CO$4:CO426,CM$4:CM426,CK$4:CK426))</f>
        <v>#N/A</v>
      </c>
      <c r="CR426" s="304" t="str">
        <f t="shared" si="708"/>
        <v/>
      </c>
      <c r="CS426" s="313" t="e">
        <f>IF($J426="",#N/A,SUM(CR$4:CR426))</f>
        <v>#N/A</v>
      </c>
      <c r="CT426" s="314" t="str">
        <f t="shared" si="709"/>
        <v/>
      </c>
      <c r="CU426" s="314" t="e">
        <f>IF($J426="",#N/A,SUM(CT$4:CT426))</f>
        <v>#N/A</v>
      </c>
      <c r="CV426" s="315" t="str">
        <f t="shared" si="710"/>
        <v/>
      </c>
      <c r="CW426" s="315" t="e">
        <f>IF($J426="",#N/A,SUM(CV$4:CV426))</f>
        <v>#N/A</v>
      </c>
      <c r="CX426" s="315" t="e">
        <f>IF($J426="",#N/A,SUM(CV$4:CV426,CT$4:CT426,CR$4:CR426))</f>
        <v>#N/A</v>
      </c>
      <c r="CY426" s="304" t="str">
        <f t="shared" si="711"/>
        <v/>
      </c>
      <c r="CZ426" s="313" t="e">
        <f>IF($J426="",#N/A,SUM(CY$4:CY426))</f>
        <v>#N/A</v>
      </c>
      <c r="DA426" s="314" t="str">
        <f t="shared" si="712"/>
        <v/>
      </c>
      <c r="DB426" s="314" t="e">
        <f>IF($J426="",#N/A,SUM(DA$4:DA426))</f>
        <v>#N/A</v>
      </c>
      <c r="DC426" s="315" t="str">
        <f t="shared" si="713"/>
        <v/>
      </c>
      <c r="DD426" s="315" t="e">
        <f>IF($J426="",#N/A,SUM(DC$4:DC426))</f>
        <v>#N/A</v>
      </c>
      <c r="DE426" s="315" t="e">
        <f>IF($J426="",#N/A,SUM(DC$4:DC426,DA$4:DA426,CY$4:CY426))</f>
        <v>#N/A</v>
      </c>
      <c r="DF426" s="304" t="str">
        <f t="shared" si="714"/>
        <v/>
      </c>
      <c r="DG426" s="313" t="e">
        <f>IF($J426="",#N/A,SUM(DF$4:DF426))</f>
        <v>#N/A</v>
      </c>
      <c r="DH426" s="314" t="str">
        <f t="shared" si="715"/>
        <v/>
      </c>
      <c r="DI426" s="314" t="e">
        <f>IF($J426="",#N/A,SUM(DH$4:DH426))</f>
        <v>#N/A</v>
      </c>
      <c r="DJ426" s="315" t="str">
        <f t="shared" si="716"/>
        <v/>
      </c>
      <c r="DK426" s="315" t="e">
        <f>IF($J426="",#N/A,SUM(DJ$4:DJ426))</f>
        <v>#N/A</v>
      </c>
      <c r="DL426" s="315" t="e">
        <f>IF($J426="",#N/A,SUM(DJ$4:DJ426,DH$4:DH426,DF$4:DF426))</f>
        <v>#N/A</v>
      </c>
      <c r="DM426" s="304" t="str">
        <f t="shared" si="717"/>
        <v/>
      </c>
      <c r="DN426" s="313" t="e">
        <f>IF($J426="",#N/A,SUM(DM$4:DM426))</f>
        <v>#N/A</v>
      </c>
      <c r="DO426" s="314" t="str">
        <f t="shared" si="718"/>
        <v/>
      </c>
      <c r="DP426" s="314" t="e">
        <f>IF($J426="",#N/A,SUM(DO$4:DO426))</f>
        <v>#N/A</v>
      </c>
      <c r="DQ426" s="315" t="str">
        <f t="shared" si="719"/>
        <v/>
      </c>
      <c r="DR426" s="315" t="e">
        <f>IF($J426="",#N/A,SUM(DQ$4:DQ426))</f>
        <v>#N/A</v>
      </c>
      <c r="DS426" s="315" t="e">
        <f>IF($J426="",#N/A,SUM(DQ$4:DQ426,DO$4:DO426,DM$4:DM426))</f>
        <v>#N/A</v>
      </c>
      <c r="DT426" s="304" t="str">
        <f t="shared" si="720"/>
        <v/>
      </c>
      <c r="DU426" s="313" t="e">
        <f>IF($J426="",#N/A,SUM(DT$4:DT426))</f>
        <v>#N/A</v>
      </c>
      <c r="DV426" s="314" t="str">
        <f t="shared" si="721"/>
        <v/>
      </c>
      <c r="DW426" s="314" t="e">
        <f>IF($J426="",#N/A,SUM(DV$4:DV426))</f>
        <v>#N/A</v>
      </c>
      <c r="DX426" s="315" t="str">
        <f t="shared" si="722"/>
        <v/>
      </c>
      <c r="DY426" s="315" t="e">
        <f>IF($J426="",#N/A,SUM(DX$4:DX426))</f>
        <v>#N/A</v>
      </c>
      <c r="DZ426" s="315" t="e">
        <f>IF($J426="",#N/A,SUM(DX$4:DX426,DV$4:DV426,DT$4:DT426))</f>
        <v>#N/A</v>
      </c>
      <c r="EA426" s="304" t="str">
        <f t="shared" si="723"/>
        <v/>
      </c>
      <c r="EB426" s="313" t="e">
        <f>IF($J426="",#N/A,SUM(EA$4:EA426))</f>
        <v>#N/A</v>
      </c>
      <c r="EC426" s="314" t="str">
        <f t="shared" si="724"/>
        <v/>
      </c>
      <c r="ED426" s="314" t="e">
        <f>IF($J426="",#N/A,SUM(EC$4:EC426))</f>
        <v>#N/A</v>
      </c>
      <c r="EE426" s="315" t="str">
        <f t="shared" si="725"/>
        <v/>
      </c>
      <c r="EF426" s="315" t="e">
        <f>IF($J426="",#N/A,SUM(EE$4:EE426))</f>
        <v>#N/A</v>
      </c>
      <c r="EG426" s="315" t="e">
        <f>IF($J426="",#N/A,SUM(EE$4:EE426,EC$4:EC426,EA$4:EA426))</f>
        <v>#N/A</v>
      </c>
      <c r="EH426" s="130">
        <f t="shared" si="726"/>
        <v>227.5</v>
      </c>
      <c r="EI426" s="63">
        <f>IF(EH426="",#N/A,SUM($EH$4:EH426))</f>
        <v>2543.6235715933472</v>
      </c>
      <c r="EJ426" s="223" t="e">
        <f t="shared" si="727"/>
        <v>#N/A</v>
      </c>
      <c r="EK426" s="63" t="e">
        <f>IF($GZ426="",#N/A,SUM(EJ$4:EJ426))</f>
        <v>#N/A</v>
      </c>
      <c r="EL426" s="60" t="str">
        <f t="shared" si="757"/>
        <v/>
      </c>
      <c r="EM426" s="60" t="e">
        <f>IF(EL426="",NA(),SUM($EL$4:EL426))</f>
        <v>#N/A</v>
      </c>
      <c r="EN426" s="60" t="str">
        <f t="shared" si="728"/>
        <v/>
      </c>
      <c r="EO426" s="60" t="e">
        <f>IF(EN426="",NA(),SUM($EN$4:EN426))</f>
        <v>#N/A</v>
      </c>
      <c r="EP426" s="60" t="str">
        <f t="shared" si="729"/>
        <v/>
      </c>
      <c r="EQ426" s="60" t="e">
        <f>IF(EP426="",NA(),SUM($EP$4:EP426))</f>
        <v>#N/A</v>
      </c>
      <c r="ER426" s="60" t="str">
        <f t="shared" si="730"/>
        <v/>
      </c>
      <c r="ES426" s="60" t="e">
        <f>IF(ER426="",NA(),SUM($ER$4:ER426))</f>
        <v>#N/A</v>
      </c>
      <c r="ET426" s="60">
        <f t="shared" si="731"/>
        <v>4.5463629096722622</v>
      </c>
      <c r="EU426" s="60">
        <f>IF(ET426="",NA(),SUM($ET$4:ET426))</f>
        <v>43.026645385156172</v>
      </c>
      <c r="EV426" s="60" t="str">
        <f t="shared" si="732"/>
        <v/>
      </c>
      <c r="EW426" s="60" t="e">
        <f>IF(EV426="",NA(),SUM($EV$4:EV426))</f>
        <v>#N/A</v>
      </c>
      <c r="EX426" s="60" t="str">
        <f t="shared" si="733"/>
        <v/>
      </c>
      <c r="EY426" s="60" t="e">
        <f>IF(EX426="",NA(),SUM($EX$4:EX426))</f>
        <v>#N/A</v>
      </c>
      <c r="EZ426" s="60">
        <f t="shared" si="734"/>
        <v>4.5463629096722622</v>
      </c>
      <c r="FA426" s="60">
        <f>IF(EZ426="",NA(),SUM($EZ$4:EZ426))</f>
        <v>24.441022130268113</v>
      </c>
      <c r="FB426" s="246">
        <f t="shared" si="758"/>
        <v>-0.50959232613908867</v>
      </c>
      <c r="FC426" s="246">
        <f>IF($FB426="",#N/A,SUM(FB$4:$FB426))</f>
        <v>0.30373188390198291</v>
      </c>
      <c r="FD426" s="60" t="str">
        <f t="shared" si="735"/>
        <v/>
      </c>
      <c r="FE426" s="60" t="e">
        <f>IF($FD426="",#N/A,SUM($FD$4:FD426))</f>
        <v>#N/A</v>
      </c>
      <c r="FF426" s="60" t="str">
        <f t="shared" si="736"/>
        <v/>
      </c>
      <c r="FG426" s="60" t="e">
        <f>IF($FF426="",#N/A,SUM($FF$4:FF426))</f>
        <v>#N/A</v>
      </c>
      <c r="FH426" s="60" t="str">
        <f t="shared" si="737"/>
        <v/>
      </c>
      <c r="FI426" s="60" t="e">
        <f>IF($FH426="",#N/A,SUM($FH$4:FH426))</f>
        <v>#N/A</v>
      </c>
      <c r="FJ426" s="60" t="str">
        <f t="shared" si="738"/>
        <v/>
      </c>
      <c r="FK426" s="60" t="e">
        <f>IF($FJ426="",#N/A,SUM($FJ$4:FJ426))</f>
        <v>#N/A</v>
      </c>
      <c r="FL426" s="60" t="str">
        <f t="shared" si="739"/>
        <v/>
      </c>
      <c r="FM426" s="60" t="e">
        <f>IF($FL426="",#N/A,SUM($FL$4:FL426))</f>
        <v>#N/A</v>
      </c>
      <c r="FN426" s="82">
        <f t="shared" si="740"/>
        <v>4.0367705835331735</v>
      </c>
      <c r="FO426" s="82">
        <f>IF($FN426="",#N/A,SUM(FN$4:$FN426))</f>
        <v>55.671374326308801</v>
      </c>
      <c r="FP426" s="82">
        <f t="shared" si="759"/>
        <v>4.5463629096722622</v>
      </c>
      <c r="FQ426" s="246">
        <f>IF($EH426="",#N/A,SUM($FP$4:FP426))</f>
        <v>68.557393477627087</v>
      </c>
      <c r="FR426" s="82">
        <f>IFERROR(FQ426/COUNTA($J$4:J426),#N/A)</f>
        <v>0.16207421625916568</v>
      </c>
      <c r="FS426" s="82">
        <f t="shared" si="661"/>
        <v>0.32402763661397999</v>
      </c>
      <c r="FT426" s="82">
        <f t="shared" si="662"/>
        <v>0.80410597425261932</v>
      </c>
      <c r="FU426" s="338">
        <f t="shared" si="764"/>
        <v>33.283908992283131</v>
      </c>
      <c r="FV426" s="57" t="str">
        <f t="shared" si="765"/>
        <v>Dwn</v>
      </c>
      <c r="FW426" s="57" t="s">
        <v>2733</v>
      </c>
      <c r="FX426" s="57" t="str">
        <f t="shared" si="741"/>
        <v/>
      </c>
      <c r="FY426" s="57" t="str">
        <f t="shared" si="742"/>
        <v/>
      </c>
      <c r="FZ426" s="57" t="str">
        <f t="shared" si="743"/>
        <v/>
      </c>
      <c r="GA426" s="57" t="str">
        <f t="shared" si="744"/>
        <v>Short</v>
      </c>
      <c r="GB426" s="57">
        <f t="shared" si="745"/>
        <v>1</v>
      </c>
      <c r="GC426" s="57" t="str">
        <f t="shared" si="746"/>
        <v/>
      </c>
      <c r="GD426" s="57" t="str">
        <f t="shared" si="747"/>
        <v/>
      </c>
      <c r="GE426" s="62">
        <f t="shared" si="664"/>
        <v>16.68</v>
      </c>
      <c r="GF426" s="62" t="s">
        <v>2780</v>
      </c>
      <c r="GG426" s="199">
        <v>50</v>
      </c>
      <c r="GH426" s="207">
        <f t="shared" si="748"/>
        <v>834</v>
      </c>
      <c r="GI426" s="199">
        <v>50</v>
      </c>
      <c r="GJ426" s="200">
        <v>12.65</v>
      </c>
      <c r="GK426" s="63">
        <f t="shared" si="749"/>
        <v>201.5</v>
      </c>
      <c r="GL426" s="63">
        <f t="shared" si="665"/>
        <v>202</v>
      </c>
      <c r="GM426" s="82" t="str">
        <f t="shared" si="750"/>
        <v/>
      </c>
      <c r="GN426" s="82">
        <f>IF($GZ426="",#N/A,SUM(GM$4:GM426))</f>
        <v>10.405016999739075</v>
      </c>
      <c r="GO426" s="82" t="str">
        <f t="shared" si="751"/>
        <v/>
      </c>
      <c r="GP426" s="82">
        <f>IF($GZ426="",#N/A,SUM(GO$4:GO426))</f>
        <v>4.2788408366274897</v>
      </c>
      <c r="GQ426" s="82">
        <f t="shared" si="752"/>
        <v>4.0367705835331735</v>
      </c>
      <c r="GR426" s="82">
        <f>IF($GZ426="",#N/A,SUM(GQ$4:GQ426))</f>
        <v>40.361679535499917</v>
      </c>
      <c r="GS426" s="63" t="str">
        <f t="shared" si="760"/>
        <v/>
      </c>
      <c r="GT426" s="63" t="e">
        <f>IF($GZ426="",#N/A,SUM(GS$4:GS426))</f>
        <v>#N/A</v>
      </c>
      <c r="GU426" s="63" t="str">
        <f t="shared" si="761"/>
        <v/>
      </c>
      <c r="GV426" s="63" t="e">
        <f>IF($GZ426="",#N/A,SUM(GU$4:GU426))</f>
        <v>#N/A</v>
      </c>
      <c r="GW426" s="63" t="e">
        <f t="shared" si="762"/>
        <v>#N/A</v>
      </c>
      <c r="GX426" s="63" t="e">
        <f>IF($GZ426="",#N/A,SUM(GW$4:GW426))</f>
        <v>#N/A</v>
      </c>
      <c r="GY426" s="63" t="e">
        <f>IF(EJ426="",#N/A,SUM($EJ$4:EJ426))</f>
        <v>#N/A</v>
      </c>
      <c r="GZ426" s="159">
        <v>12.64</v>
      </c>
      <c r="HA426" s="63">
        <f t="shared" si="753"/>
        <v>-25.5</v>
      </c>
      <c r="HB426" s="62" t="s">
        <v>2538</v>
      </c>
      <c r="HC426" s="60">
        <f>IFERROR(VLOOKUP(E426,Expectancy!$P$4:$S$19,1+C426,FALSE),"")</f>
        <v>0.78642334455186147</v>
      </c>
      <c r="HD426" s="82">
        <f t="shared" si="754"/>
        <v>4.0267785771382894</v>
      </c>
      <c r="HE426" s="138">
        <f>IF(HD426="",#N/A,SUM($HD$4:HD426))</f>
        <v>20.743484485343956</v>
      </c>
      <c r="HF426" s="85">
        <f>IF(HD426="",#N/A,IF(HB426="Skip",#N/A,SUM($HG$4:HG426)))</f>
        <v>1191.1335792191562</v>
      </c>
      <c r="HG426" s="63">
        <f t="shared" si="755"/>
        <v>201.5</v>
      </c>
      <c r="HH426" s="82">
        <f t="shared" si="766"/>
        <v>4.0367705835331735</v>
      </c>
    </row>
    <row r="427" spans="1:216" x14ac:dyDescent="0.25">
      <c r="A427" s="57" t="s">
        <v>1253</v>
      </c>
      <c r="B427" s="58" t="str" cm="1">
        <f t="array" ref="B427">IFERROR(_xlfn.XLOOKUP(A427,Earnings!$B$2:$B$9985,LEFT(Earnings!$C$2:$C$9985,37)),"Can't Find Date***")</f>
        <v>on 3/10/25 After Market Eastern Stand</v>
      </c>
      <c r="C427" s="386">
        <f t="shared" si="667"/>
        <v>2</v>
      </c>
      <c r="D427" s="372" t="str">
        <f>_xlfn.XLOOKUP(A427,[1]SP500!$A$2:$A$502,[1]SP500!$D$2:$D$502,"N")</f>
        <v>Y</v>
      </c>
      <c r="E427" s="57" t="str">
        <f>_xlfn.XLOOKUP(A427,[1]SP500!$A$2:$A$655,[1]SP500!$B$2:$B$655)</f>
        <v>IGV</v>
      </c>
      <c r="F427" s="59">
        <v>45726</v>
      </c>
      <c r="G427" s="57" t="str">
        <f t="shared" si="668"/>
        <v>AMC</v>
      </c>
      <c r="H427" s="57" t="str">
        <f t="shared" si="669"/>
        <v>s</v>
      </c>
      <c r="I427" s="159">
        <v>148.79</v>
      </c>
      <c r="J427" s="159">
        <v>143.41999999999999</v>
      </c>
      <c r="K427" s="61">
        <f t="shared" si="670"/>
        <v>-3.6091135156932623E-2</v>
      </c>
      <c r="L427" s="87">
        <f t="shared" si="671"/>
        <v>26.850000000000023</v>
      </c>
      <c r="M427" s="130">
        <f t="shared" si="663"/>
        <v>1.75</v>
      </c>
      <c r="N427" s="169" t="str">
        <f t="shared" si="672"/>
        <v/>
      </c>
      <c r="O427" s="169">
        <f>IF($J427="",#N/A,SUM($N$4:N427))</f>
        <v>-328.04225475891064</v>
      </c>
      <c r="P427" s="174">
        <f t="shared" si="673"/>
        <v>26.850000000000023</v>
      </c>
      <c r="Q427" s="174">
        <f>IF($J427="",#N/A,SUM($P$4:P427))</f>
        <v>1769.1466539569483</v>
      </c>
      <c r="R427" s="178" t="str">
        <f t="shared" si="674"/>
        <v/>
      </c>
      <c r="S427" s="178">
        <f>IF($J427="",#N/A,SUM($R$4:R427))</f>
        <v>1129.3691723953095</v>
      </c>
      <c r="T427" s="290" t="str">
        <f t="shared" si="675"/>
        <v/>
      </c>
      <c r="U427" s="290">
        <f>IF($J427="",#N/A,SUM($T$4:T427))</f>
        <v>10.009379462148743</v>
      </c>
      <c r="V427" s="291">
        <f t="shared" si="676"/>
        <v>0.60151891928221046</v>
      </c>
      <c r="W427" s="291">
        <f>IF($J427="",#N/A,SUM($V$4:V427))</f>
        <v>39.838910099700001</v>
      </c>
      <c r="X427" s="292" t="str">
        <f t="shared" si="677"/>
        <v/>
      </c>
      <c r="Y427" s="292">
        <f>IF($J427="",#N/A,SUM($X$4:X427))</f>
        <v>19.310622835060563</v>
      </c>
      <c r="Z427" s="304" t="str">
        <f t="shared" si="678"/>
        <v/>
      </c>
      <c r="AA427" s="313" t="e">
        <f>IF($J427="",#N/A,SUM(Z$4:Z427))</f>
        <v>#N/A</v>
      </c>
      <c r="AB427" s="314" t="str">
        <f t="shared" si="679"/>
        <v/>
      </c>
      <c r="AC427" s="314" t="e">
        <f>IF($J427="",#N/A,SUM(AB$4:AB427))</f>
        <v>#N/A</v>
      </c>
      <c r="AD427" s="315" t="str">
        <f t="shared" si="680"/>
        <v/>
      </c>
      <c r="AE427" s="315" t="e">
        <f>IF($J427="",#N/A,SUM(AD$4:AD427))</f>
        <v>#N/A</v>
      </c>
      <c r="AF427" s="315" t="e">
        <f>IF($J427="",#N/A,SUM(AD$4:AD427,AB$4:AB427,Z$4:Z427))</f>
        <v>#N/A</v>
      </c>
      <c r="AG427" s="304" t="str">
        <f t="shared" si="681"/>
        <v/>
      </c>
      <c r="AH427" s="313" t="e">
        <f>IF($J427="",#N/A,SUM(AG$4:AG427))</f>
        <v>#N/A</v>
      </c>
      <c r="AI427" s="314">
        <f t="shared" si="682"/>
        <v>0.60151891928221046</v>
      </c>
      <c r="AJ427" s="314" t="e">
        <f>IF($J427="",#N/A,SUM(AI$4:AI427))</f>
        <v>#N/A</v>
      </c>
      <c r="AK427" s="315" t="str">
        <f t="shared" si="683"/>
        <v/>
      </c>
      <c r="AL427" s="315" t="e">
        <f>IF($J427="",#N/A,SUM(AK$4:AK427))</f>
        <v>#N/A</v>
      </c>
      <c r="AM427" s="315" t="e">
        <f>IF($J427="",#N/A,SUM(AK$4:AK427,AI$4:AI427,AG$4:AG427))</f>
        <v>#N/A</v>
      </c>
      <c r="AN427" s="304" t="str">
        <f t="shared" si="684"/>
        <v/>
      </c>
      <c r="AO427" s="313" t="e">
        <f>IF($J427="",#N/A,SUM(AN$4:AN427))</f>
        <v>#N/A</v>
      </c>
      <c r="AP427" s="314" t="str">
        <f t="shared" si="685"/>
        <v/>
      </c>
      <c r="AQ427" s="314" t="e">
        <f>IF($J427="",#N/A,SUM(AP$4:AP427))</f>
        <v>#N/A</v>
      </c>
      <c r="AR427" s="315" t="str">
        <f t="shared" si="686"/>
        <v/>
      </c>
      <c r="AS427" s="315" t="e">
        <f>IF($J427="",#N/A,SUM(AR$4:AR427))</f>
        <v>#N/A</v>
      </c>
      <c r="AT427" s="315" t="e">
        <f>IF($J427="",#N/A,SUM(AR$4:AR427,AP$4:AP427,AN$4:AN427))</f>
        <v>#N/A</v>
      </c>
      <c r="AU427" s="304" t="str">
        <f t="shared" si="687"/>
        <v/>
      </c>
      <c r="AV427" s="313" t="e">
        <f>IF($J427="",#N/A,SUM(AU$4:AU427))</f>
        <v>#N/A</v>
      </c>
      <c r="AW427" s="314" t="str">
        <f t="shared" si="688"/>
        <v/>
      </c>
      <c r="AX427" s="314" t="e">
        <f>IF($J427="",#N/A,SUM(AW$4:AW427))</f>
        <v>#N/A</v>
      </c>
      <c r="AY427" s="315" t="str">
        <f t="shared" si="689"/>
        <v/>
      </c>
      <c r="AZ427" s="315" t="e">
        <f>IF($J427="",#N/A,SUM(AY$4:AY427))</f>
        <v>#N/A</v>
      </c>
      <c r="BA427" s="315" t="e">
        <f>IF($J427="",#N/A,SUM(AY$4:AY427,AW$4:AW427,AU$4:AU427))</f>
        <v>#N/A</v>
      </c>
      <c r="BB427" s="304" t="str">
        <f t="shared" si="690"/>
        <v/>
      </c>
      <c r="BC427" s="313" t="e">
        <f>IF($J427="",#N/A,SUM(BB$4:BB427))</f>
        <v>#N/A</v>
      </c>
      <c r="BD427" s="314" t="str">
        <f t="shared" si="691"/>
        <v/>
      </c>
      <c r="BE427" s="314" t="e">
        <f>IF($J427="",#N/A,SUM(BD$4:BD427))</f>
        <v>#N/A</v>
      </c>
      <c r="BF427" s="315" t="str">
        <f t="shared" si="692"/>
        <v/>
      </c>
      <c r="BG427" s="315" t="e">
        <f>IF($J427="",#N/A,SUM(BF$4:BF427))</f>
        <v>#N/A</v>
      </c>
      <c r="BH427" s="315" t="e">
        <f>IF($J427="",#N/A,SUM(BF$4:BF427,BD$4:BD427,BB$4:BB427))</f>
        <v>#N/A</v>
      </c>
      <c r="BI427" s="304" t="str">
        <f t="shared" si="693"/>
        <v/>
      </c>
      <c r="BJ427" s="313" t="e">
        <f>IF($J427="",#N/A,SUM(BI$4:BI427))</f>
        <v>#N/A</v>
      </c>
      <c r="BK427" s="314" t="str">
        <f t="shared" si="694"/>
        <v/>
      </c>
      <c r="BL427" s="314" t="e">
        <f>IF($J427="",#N/A,SUM(BK$4:BK427))</f>
        <v>#N/A</v>
      </c>
      <c r="BM427" s="315" t="str">
        <f t="shared" si="695"/>
        <v/>
      </c>
      <c r="BN427" s="315" t="e">
        <f>IF($J427="",#N/A,SUM(BM$4:BM427))</f>
        <v>#N/A</v>
      </c>
      <c r="BO427" s="315" t="e">
        <f>IF($J427="",#N/A,SUM(BM$4:BM427,BK$4:BK427,BI$4:BI427))</f>
        <v>#N/A</v>
      </c>
      <c r="BP427" s="304" t="str">
        <f t="shared" si="696"/>
        <v/>
      </c>
      <c r="BQ427" s="313" t="e">
        <f>IF($J427="",#N/A,SUM(BP$4:BP427))</f>
        <v>#N/A</v>
      </c>
      <c r="BR427" s="314" t="str">
        <f t="shared" si="697"/>
        <v/>
      </c>
      <c r="BS427" s="314" t="e">
        <f>IF($J427="",#N/A,SUM(BR$4:BR427))</f>
        <v>#N/A</v>
      </c>
      <c r="BT427" s="315" t="str">
        <f t="shared" si="698"/>
        <v/>
      </c>
      <c r="BU427" s="315" t="e">
        <f>IF($J427="",#N/A,SUM(BT$4:BT427))</f>
        <v>#N/A</v>
      </c>
      <c r="BV427" s="315" t="e">
        <f>IF($J427="",#N/A,SUM(BT$4:BT427,BR$4:BR427,BP$4:BP427))</f>
        <v>#N/A</v>
      </c>
      <c r="BW427" s="304" t="str">
        <f t="shared" si="699"/>
        <v/>
      </c>
      <c r="BX427" s="313" t="e">
        <f>IF($J427="",#N/A,SUM(BW$4:BW427))</f>
        <v>#N/A</v>
      </c>
      <c r="BY427" s="314" t="str">
        <f t="shared" si="700"/>
        <v/>
      </c>
      <c r="BZ427" s="314" t="e">
        <f>IF($J427="",#N/A,SUM(BY$4:BY427))</f>
        <v>#N/A</v>
      </c>
      <c r="CA427" s="315" t="str">
        <f t="shared" si="701"/>
        <v/>
      </c>
      <c r="CB427" s="315" t="e">
        <f>IF($J427="",#N/A,SUM(CA$4:CA427))</f>
        <v>#N/A</v>
      </c>
      <c r="CC427" s="315" t="e">
        <f>IF($J427="",#N/A,SUM(CA$4:CA427,BY$4:BY427,BW$4:BW427))</f>
        <v>#N/A</v>
      </c>
      <c r="CD427" s="304" t="str">
        <f t="shared" si="702"/>
        <v/>
      </c>
      <c r="CE427" s="313" t="e">
        <f>IF($J427="",#N/A,SUM(CD$4:CD427))</f>
        <v>#N/A</v>
      </c>
      <c r="CF427" s="314" t="str">
        <f t="shared" si="703"/>
        <v/>
      </c>
      <c r="CG427" s="314" t="e">
        <f>IF($J427="",#N/A,SUM(CF$4:CF427))</f>
        <v>#N/A</v>
      </c>
      <c r="CH427" s="315" t="str">
        <f t="shared" si="704"/>
        <v/>
      </c>
      <c r="CI427" s="315" t="e">
        <f>IF($J427="",#N/A,SUM(CH$4:CH427))</f>
        <v>#N/A</v>
      </c>
      <c r="CJ427" s="315" t="e">
        <f>IF($J427="",#N/A,SUM(CH$4:CH427,CF$4:CF427,CD$4:CD427))</f>
        <v>#N/A</v>
      </c>
      <c r="CK427" s="304" t="str">
        <f t="shared" si="705"/>
        <v/>
      </c>
      <c r="CL427" s="313" t="e">
        <f>IF($J427="",#N/A,SUM(CK$4:CK427))</f>
        <v>#N/A</v>
      </c>
      <c r="CM427" s="314" t="str">
        <f t="shared" si="706"/>
        <v/>
      </c>
      <c r="CN427" s="314" t="e">
        <f>IF($J427="",#N/A,SUM(CM$4:CM427))</f>
        <v>#N/A</v>
      </c>
      <c r="CO427" s="315" t="str">
        <f t="shared" si="707"/>
        <v/>
      </c>
      <c r="CP427" s="315" t="e">
        <f>IF($J427="",#N/A,SUM(CO$4:CO427))</f>
        <v>#N/A</v>
      </c>
      <c r="CQ427" s="315" t="e">
        <f>IF($J427="",#N/A,SUM(CO$4:CO427,CM$4:CM427,CK$4:CK427))</f>
        <v>#N/A</v>
      </c>
      <c r="CR427" s="304" t="str">
        <f t="shared" si="708"/>
        <v/>
      </c>
      <c r="CS427" s="313" t="e">
        <f>IF($J427="",#N/A,SUM(CR$4:CR427))</f>
        <v>#N/A</v>
      </c>
      <c r="CT427" s="314" t="str">
        <f t="shared" si="709"/>
        <v/>
      </c>
      <c r="CU427" s="314" t="e">
        <f>IF($J427="",#N/A,SUM(CT$4:CT427))</f>
        <v>#N/A</v>
      </c>
      <c r="CV427" s="315" t="str">
        <f t="shared" si="710"/>
        <v/>
      </c>
      <c r="CW427" s="315" t="e">
        <f>IF($J427="",#N/A,SUM(CV$4:CV427))</f>
        <v>#N/A</v>
      </c>
      <c r="CX427" s="315" t="e">
        <f>IF($J427="",#N/A,SUM(CV$4:CV427,CT$4:CT427,CR$4:CR427))</f>
        <v>#N/A</v>
      </c>
      <c r="CY427" s="304" t="str">
        <f t="shared" si="711"/>
        <v/>
      </c>
      <c r="CZ427" s="313" t="e">
        <f>IF($J427="",#N/A,SUM(CY$4:CY427))</f>
        <v>#N/A</v>
      </c>
      <c r="DA427" s="314" t="str">
        <f t="shared" si="712"/>
        <v/>
      </c>
      <c r="DB427" s="314" t="e">
        <f>IF($J427="",#N/A,SUM(DA$4:DA427))</f>
        <v>#N/A</v>
      </c>
      <c r="DC427" s="315" t="str">
        <f t="shared" si="713"/>
        <v/>
      </c>
      <c r="DD427" s="315" t="e">
        <f>IF($J427="",#N/A,SUM(DC$4:DC427))</f>
        <v>#N/A</v>
      </c>
      <c r="DE427" s="315" t="e">
        <f>IF($J427="",#N/A,SUM(DC$4:DC427,DA$4:DA427,CY$4:CY427))</f>
        <v>#N/A</v>
      </c>
      <c r="DF427" s="304" t="str">
        <f t="shared" si="714"/>
        <v/>
      </c>
      <c r="DG427" s="313" t="e">
        <f>IF($J427="",#N/A,SUM(DF$4:DF427))</f>
        <v>#N/A</v>
      </c>
      <c r="DH427" s="314" t="str">
        <f t="shared" si="715"/>
        <v/>
      </c>
      <c r="DI427" s="314" t="e">
        <f>IF($J427="",#N/A,SUM(DH$4:DH427))</f>
        <v>#N/A</v>
      </c>
      <c r="DJ427" s="315" t="str">
        <f t="shared" si="716"/>
        <v/>
      </c>
      <c r="DK427" s="315" t="e">
        <f>IF($J427="",#N/A,SUM(DJ$4:DJ427))</f>
        <v>#N/A</v>
      </c>
      <c r="DL427" s="315" t="e">
        <f>IF($J427="",#N/A,SUM(DJ$4:DJ427,DH$4:DH427,DF$4:DF427))</f>
        <v>#N/A</v>
      </c>
      <c r="DM427" s="304" t="str">
        <f t="shared" si="717"/>
        <v/>
      </c>
      <c r="DN427" s="313" t="e">
        <f>IF($J427="",#N/A,SUM(DM$4:DM427))</f>
        <v>#N/A</v>
      </c>
      <c r="DO427" s="314" t="str">
        <f t="shared" si="718"/>
        <v/>
      </c>
      <c r="DP427" s="314" t="e">
        <f>IF($J427="",#N/A,SUM(DO$4:DO427))</f>
        <v>#N/A</v>
      </c>
      <c r="DQ427" s="315" t="str">
        <f t="shared" si="719"/>
        <v/>
      </c>
      <c r="DR427" s="315" t="e">
        <f>IF($J427="",#N/A,SUM(DQ$4:DQ427))</f>
        <v>#N/A</v>
      </c>
      <c r="DS427" s="315" t="e">
        <f>IF($J427="",#N/A,SUM(DQ$4:DQ427,DO$4:DO427,DM$4:DM427))</f>
        <v>#N/A</v>
      </c>
      <c r="DT427" s="304" t="str">
        <f t="shared" si="720"/>
        <v/>
      </c>
      <c r="DU427" s="313" t="e">
        <f>IF($J427="",#N/A,SUM(DT$4:DT427))</f>
        <v>#N/A</v>
      </c>
      <c r="DV427" s="314" t="str">
        <f t="shared" si="721"/>
        <v/>
      </c>
      <c r="DW427" s="314" t="e">
        <f>IF($J427="",#N/A,SUM(DV$4:DV427))</f>
        <v>#N/A</v>
      </c>
      <c r="DX427" s="315" t="str">
        <f t="shared" si="722"/>
        <v/>
      </c>
      <c r="DY427" s="315" t="e">
        <f>IF($J427="",#N/A,SUM(DX$4:DX427))</f>
        <v>#N/A</v>
      </c>
      <c r="DZ427" s="315" t="e">
        <f>IF($J427="",#N/A,SUM(DX$4:DX427,DV$4:DV427,DT$4:DT427))</f>
        <v>#N/A</v>
      </c>
      <c r="EA427" s="304" t="str">
        <f t="shared" si="723"/>
        <v/>
      </c>
      <c r="EB427" s="313" t="e">
        <f>IF($J427="",#N/A,SUM(EA$4:EA427))</f>
        <v>#N/A</v>
      </c>
      <c r="EC427" s="314" t="str">
        <f t="shared" si="724"/>
        <v/>
      </c>
      <c r="ED427" s="314" t="e">
        <f>IF($J427="",#N/A,SUM(EC$4:EC427))</f>
        <v>#N/A</v>
      </c>
      <c r="EE427" s="315" t="str">
        <f t="shared" si="725"/>
        <v/>
      </c>
      <c r="EF427" s="315" t="e">
        <f>IF($J427="",#N/A,SUM(EE$4:EE427))</f>
        <v>#N/A</v>
      </c>
      <c r="EG427" s="315" t="e">
        <f>IF($J427="",#N/A,SUM(EE$4:EE427,EC$4:EC427,EA$4:EA427))</f>
        <v>#N/A</v>
      </c>
      <c r="EH427" s="130">
        <f t="shared" si="726"/>
        <v>26.850000000000023</v>
      </c>
      <c r="EI427" s="63">
        <f>IF(EH427="",#N/A,SUM($EH$4:EH427))</f>
        <v>2570.4735715933471</v>
      </c>
      <c r="EJ427" s="223" t="e">
        <f t="shared" si="727"/>
        <v>#N/A</v>
      </c>
      <c r="EK427" s="63" t="e">
        <f>IF($GZ427="",#N/A,SUM(EJ$4:EJ427))</f>
        <v>#N/A</v>
      </c>
      <c r="EL427" s="60">
        <f t="shared" si="757"/>
        <v>0.60151891928221046</v>
      </c>
      <c r="EM427" s="60">
        <f>IF(EL427="",NA(),SUM($EL$4:EL427))</f>
        <v>26.132267011753136</v>
      </c>
      <c r="EN427" s="60" t="str">
        <f t="shared" si="728"/>
        <v/>
      </c>
      <c r="EO427" s="60" t="e">
        <f>IF(EN427="",NA(),SUM($EN$4:EN427))</f>
        <v>#N/A</v>
      </c>
      <c r="EP427" s="60" t="str">
        <f t="shared" si="729"/>
        <v/>
      </c>
      <c r="EQ427" s="60" t="e">
        <f>IF(EP427="",NA(),SUM($EP$4:EP427))</f>
        <v>#N/A</v>
      </c>
      <c r="ER427" s="60">
        <f t="shared" si="730"/>
        <v>0.60151891928221046</v>
      </c>
      <c r="ES427" s="60">
        <f>IF(ER427="",NA(),SUM($ER$4:ER427))</f>
        <v>15.397887969431876</v>
      </c>
      <c r="ET427" s="60" t="str">
        <f t="shared" si="731"/>
        <v/>
      </c>
      <c r="EU427" s="60" t="e">
        <f>IF(ET427="",NA(),SUM($ET$4:ET427))</f>
        <v>#N/A</v>
      </c>
      <c r="EV427" s="60" t="str">
        <f t="shared" si="732"/>
        <v/>
      </c>
      <c r="EW427" s="60" t="e">
        <f>IF(EV427="",NA(),SUM($EV$4:EV427))</f>
        <v>#N/A</v>
      </c>
      <c r="EX427" s="60" t="str">
        <f t="shared" si="733"/>
        <v/>
      </c>
      <c r="EY427" s="60" t="e">
        <f>IF(EX427="",NA(),SUM($EX$4:EX427))</f>
        <v>#N/A</v>
      </c>
      <c r="EZ427" s="60" t="str">
        <f t="shared" si="734"/>
        <v/>
      </c>
      <c r="FA427" s="60" t="e">
        <f>IF(EZ427="",NA(),SUM($EZ$4:EZ427))</f>
        <v>#N/A</v>
      </c>
      <c r="FB427" s="246">
        <f t="shared" si="758"/>
        <v>-8.5131169209404445E-2</v>
      </c>
      <c r="FC427" s="246">
        <f>IF($FB427="",#N/A,SUM(FB$4:$FB427))</f>
        <v>0.21860071469257847</v>
      </c>
      <c r="FD427" s="60" t="str">
        <f t="shared" si="735"/>
        <v/>
      </c>
      <c r="FE427" s="60" t="e">
        <f>IF($FD427="",#N/A,SUM($FD$4:FD427))</f>
        <v>#N/A</v>
      </c>
      <c r="FF427" s="60" t="str">
        <f t="shared" si="736"/>
        <v/>
      </c>
      <c r="FG427" s="60" t="e">
        <f>IF($FF427="",#N/A,SUM($FF$4:FF427))</f>
        <v>#N/A</v>
      </c>
      <c r="FH427" s="60" t="str">
        <f t="shared" si="737"/>
        <v/>
      </c>
      <c r="FI427" s="60" t="e">
        <f>IF($FH427="",#N/A,SUM($FH$4:FH427))</f>
        <v>#N/A</v>
      </c>
      <c r="FJ427" s="60" t="str">
        <f t="shared" si="738"/>
        <v/>
      </c>
      <c r="FK427" s="60" t="e">
        <f>IF($FJ427="",#N/A,SUM($FJ$4:FJ427))</f>
        <v>#N/A</v>
      </c>
      <c r="FL427" s="60" t="str">
        <f t="shared" si="739"/>
        <v/>
      </c>
      <c r="FM427" s="60" t="e">
        <f>IF($FL427="",#N/A,SUM($FL$4:FL427))</f>
        <v>#N/A</v>
      </c>
      <c r="FN427" s="82">
        <f t="shared" si="740"/>
        <v>0.51638775007280602</v>
      </c>
      <c r="FO427" s="82">
        <f>IF($FN427="",#N/A,SUM(FN$4:$FN427))</f>
        <v>56.18776207638161</v>
      </c>
      <c r="FP427" s="82">
        <f t="shared" si="759"/>
        <v>0.60151891928221046</v>
      </c>
      <c r="FQ427" s="246">
        <f>IF($EH427="",#N/A,SUM($FP$4:FP427))</f>
        <v>69.158912396909301</v>
      </c>
      <c r="FR427" s="82">
        <f>IFERROR(FQ427/COUNTA($J$4:J427),#N/A)</f>
        <v>0.1631106424455408</v>
      </c>
      <c r="FS427" s="82">
        <f t="shared" si="661"/>
        <v>0.32293866189099757</v>
      </c>
      <c r="FT427" s="82">
        <f t="shared" si="662"/>
        <v>0.74321982284152166</v>
      </c>
      <c r="FU427" s="338">
        <f t="shared" si="764"/>
        <v>33.244703848568278</v>
      </c>
      <c r="FV427" s="57" t="str">
        <f t="shared" si="765"/>
        <v>Dwn</v>
      </c>
      <c r="FW427" s="57" t="s">
        <v>2733</v>
      </c>
      <c r="FX427" s="57" t="str">
        <f t="shared" si="741"/>
        <v/>
      </c>
      <c r="FY427" s="57" t="str">
        <f t="shared" si="742"/>
        <v/>
      </c>
      <c r="FZ427" s="57" t="str">
        <f t="shared" si="743"/>
        <v/>
      </c>
      <c r="GA427" s="57" t="str">
        <f t="shared" si="744"/>
        <v>Short</v>
      </c>
      <c r="GB427" s="57">
        <f t="shared" si="745"/>
        <v>1</v>
      </c>
      <c r="GC427" s="57" t="str">
        <f t="shared" si="746"/>
        <v/>
      </c>
      <c r="GD427" s="57" t="str">
        <f t="shared" si="747"/>
        <v/>
      </c>
      <c r="GE427" s="62">
        <f t="shared" si="664"/>
        <v>148.79</v>
      </c>
      <c r="GF427" s="62" t="s">
        <v>2780</v>
      </c>
      <c r="GG427" s="199">
        <v>5</v>
      </c>
      <c r="GH427" s="207">
        <f t="shared" si="748"/>
        <v>743.94999999999993</v>
      </c>
      <c r="GI427" s="199">
        <v>5</v>
      </c>
      <c r="GJ427" s="200">
        <v>143.07</v>
      </c>
      <c r="GK427" s="63">
        <f t="shared" si="749"/>
        <v>28.600000000000023</v>
      </c>
      <c r="GL427" s="63">
        <f t="shared" si="665"/>
        <v>23.049999999999841</v>
      </c>
      <c r="GM427" s="82" t="str">
        <f t="shared" si="750"/>
        <v/>
      </c>
      <c r="GN427" s="82">
        <f>IF($GZ427="",#N/A,SUM(GM$4:GM427))</f>
        <v>10.405016999739075</v>
      </c>
      <c r="GO427" s="82" t="str">
        <f t="shared" si="751"/>
        <v/>
      </c>
      <c r="GP427" s="82">
        <f>IF($GZ427="",#N/A,SUM(GO$4:GO427))</f>
        <v>4.2788408366274897</v>
      </c>
      <c r="GQ427" s="82">
        <f t="shared" si="752"/>
        <v>0.51638775007280602</v>
      </c>
      <c r="GR427" s="82">
        <f>IF($GZ427="",#N/A,SUM(GQ$4:GQ427))</f>
        <v>40.878067285572726</v>
      </c>
      <c r="GS427" s="63" t="str">
        <f t="shared" si="760"/>
        <v/>
      </c>
      <c r="GT427" s="63" t="e">
        <f>IF($GZ427="",#N/A,SUM(GS$4:GS427))</f>
        <v>#N/A</v>
      </c>
      <c r="GU427" s="63" t="str">
        <f t="shared" si="761"/>
        <v/>
      </c>
      <c r="GV427" s="63" t="e">
        <f>IF($GZ427="",#N/A,SUM(GU$4:GU427))</f>
        <v>#N/A</v>
      </c>
      <c r="GW427" s="63" t="e">
        <f t="shared" si="762"/>
        <v>#N/A</v>
      </c>
      <c r="GX427" s="63" t="e">
        <f>IF($GZ427="",#N/A,SUM(GW$4:GW427))</f>
        <v>#N/A</v>
      </c>
      <c r="GY427" s="63" t="e">
        <f>IF(EJ427="",#N/A,SUM($EJ$4:EJ427))</f>
        <v>#N/A</v>
      </c>
      <c r="GZ427" s="159">
        <v>144.18</v>
      </c>
      <c r="HA427" s="63">
        <f t="shared" si="753"/>
        <v>-3.8000000000001819</v>
      </c>
      <c r="HB427" s="62" t="s">
        <v>2538</v>
      </c>
      <c r="HC427" s="60">
        <f>IFERROR(VLOOKUP(E427,Expectancy!$P$4:$S$19,1+C427,FALSE),"")</f>
        <v>0.78642334455186147</v>
      </c>
      <c r="HD427" s="82">
        <f t="shared" si="754"/>
        <v>0.64072406299706586</v>
      </c>
      <c r="HE427" s="138">
        <f>IF(HD427="",#N/A,SUM($HD$4:HD427))</f>
        <v>21.384208548341022</v>
      </c>
      <c r="HF427" s="85">
        <f>IF(HD427="",#N/A,IF(HB427="Skip",#N/A,SUM($HG$4:HG427)))</f>
        <v>1219.7335792191561</v>
      </c>
      <c r="HG427" s="63">
        <f t="shared" si="755"/>
        <v>28.600000000000023</v>
      </c>
      <c r="HH427" s="82">
        <f t="shared" si="766"/>
        <v>0.51638775007280602</v>
      </c>
    </row>
    <row r="428" spans="1:216" x14ac:dyDescent="0.25">
      <c r="A428" s="57" t="s">
        <v>1150</v>
      </c>
      <c r="B428" s="58" t="str" cm="1">
        <f t="array" ref="B428">IFERROR(_xlfn.XLOOKUP(A428,Earnings!$B$2:$B$9985,LEFT(Earnings!$C$2:$C$9985,37)),"Can't Find Date***")</f>
        <v>on 3/11/25 Before Market Eastern Stan</v>
      </c>
      <c r="C428" s="386">
        <f t="shared" si="667"/>
        <v>3</v>
      </c>
      <c r="D428" s="372" t="str">
        <f>_xlfn.XLOOKUP(A428,[1]SP500!$A$2:$A$502,[1]SP500!$D$2:$D$502,"N")</f>
        <v>N</v>
      </c>
      <c r="E428" s="57" t="str">
        <f>_xlfn.XLOOKUP(A428,[1]SP500!$A$2:$A$655,[1]SP500!$B$2:$B$655)</f>
        <v>XLY</v>
      </c>
      <c r="F428" s="59">
        <v>45727</v>
      </c>
      <c r="G428" s="57" t="str">
        <f t="shared" si="668"/>
        <v>BMO</v>
      </c>
      <c r="H428" s="57" t="str">
        <f t="shared" si="669"/>
        <v>s</v>
      </c>
      <c r="I428" s="159">
        <v>211.02</v>
      </c>
      <c r="J428" s="159">
        <v>206.04</v>
      </c>
      <c r="K428" s="61">
        <f t="shared" si="670"/>
        <v>-2.3599658800113818E-2</v>
      </c>
      <c r="L428" s="87">
        <f t="shared" si="671"/>
        <v>-19.920000000000073</v>
      </c>
      <c r="M428" s="130">
        <f t="shared" si="663"/>
        <v>0</v>
      </c>
      <c r="N428" s="169" t="str">
        <f t="shared" si="672"/>
        <v/>
      </c>
      <c r="O428" s="169">
        <f>IF($J428="",#N/A,SUM($N$4:N428))</f>
        <v>-328.04225475891064</v>
      </c>
      <c r="P428" s="174" t="str">
        <f t="shared" si="673"/>
        <v/>
      </c>
      <c r="Q428" s="174">
        <f>IF($J428="",#N/A,SUM($P$4:P428))</f>
        <v>1769.1466539569483</v>
      </c>
      <c r="R428" s="178">
        <f t="shared" si="674"/>
        <v>-19.920000000000073</v>
      </c>
      <c r="S428" s="178">
        <f>IF($J428="",#N/A,SUM($R$4:R428))</f>
        <v>1109.4491723953095</v>
      </c>
      <c r="T428" s="290" t="str">
        <f t="shared" si="675"/>
        <v/>
      </c>
      <c r="U428" s="290">
        <f>IF($J428="",#N/A,SUM($T$4:T428))</f>
        <v>10.009379462148743</v>
      </c>
      <c r="V428" s="291" t="str">
        <f t="shared" si="676"/>
        <v/>
      </c>
      <c r="W428" s="291">
        <f>IF($J428="",#N/A,SUM($V$4:V428))</f>
        <v>39.838910099700001</v>
      </c>
      <c r="X428" s="292">
        <f t="shared" si="677"/>
        <v>-0.39332764666856362</v>
      </c>
      <c r="Y428" s="292">
        <f>IF($J428="",#N/A,SUM($X$4:X428))</f>
        <v>18.917295188392</v>
      </c>
      <c r="Z428" s="304" t="str">
        <f t="shared" si="678"/>
        <v/>
      </c>
      <c r="AA428" s="313" t="e">
        <f>IF($J428="",#N/A,SUM(Z$4:Z428))</f>
        <v>#N/A</v>
      </c>
      <c r="AB428" s="314" t="str">
        <f t="shared" si="679"/>
        <v/>
      </c>
      <c r="AC428" s="314" t="e">
        <f>IF($J428="",#N/A,SUM(AB$4:AB428))</f>
        <v>#N/A</v>
      </c>
      <c r="AD428" s="315" t="str">
        <f t="shared" si="680"/>
        <v/>
      </c>
      <c r="AE428" s="315" t="e">
        <f>IF($J428="",#N/A,SUM(AD$4:AD428))</f>
        <v>#N/A</v>
      </c>
      <c r="AF428" s="315" t="e">
        <f>IF($J428="",#N/A,SUM(AD$4:AD428,AB$4:AB428,Z$4:Z428))</f>
        <v>#N/A</v>
      </c>
      <c r="AG428" s="304" t="str">
        <f t="shared" si="681"/>
        <v/>
      </c>
      <c r="AH428" s="313" t="e">
        <f>IF($J428="",#N/A,SUM(AG$4:AG428))</f>
        <v>#N/A</v>
      </c>
      <c r="AI428" s="314" t="str">
        <f t="shared" si="682"/>
        <v/>
      </c>
      <c r="AJ428" s="314" t="e">
        <f>IF($J428="",#N/A,SUM(AI$4:AI428))</f>
        <v>#N/A</v>
      </c>
      <c r="AK428" s="315" t="str">
        <f t="shared" si="683"/>
        <v/>
      </c>
      <c r="AL428" s="315" t="e">
        <f>IF($J428="",#N/A,SUM(AK$4:AK428))</f>
        <v>#N/A</v>
      </c>
      <c r="AM428" s="315" t="e">
        <f>IF($J428="",#N/A,SUM(AK$4:AK428,AI$4:AI428,AG$4:AG428))</f>
        <v>#N/A</v>
      </c>
      <c r="AN428" s="304" t="str">
        <f t="shared" si="684"/>
        <v/>
      </c>
      <c r="AO428" s="313" t="e">
        <f>IF($J428="",#N/A,SUM(AN$4:AN428))</f>
        <v>#N/A</v>
      </c>
      <c r="AP428" s="314" t="str">
        <f t="shared" si="685"/>
        <v/>
      </c>
      <c r="AQ428" s="314" t="e">
        <f>IF($J428="",#N/A,SUM(AP$4:AP428))</f>
        <v>#N/A</v>
      </c>
      <c r="AR428" s="315">
        <f t="shared" si="686"/>
        <v>-0.39332764666856362</v>
      </c>
      <c r="AS428" s="315" t="e">
        <f>IF($J428="",#N/A,SUM(AR$4:AR428))</f>
        <v>#N/A</v>
      </c>
      <c r="AT428" s="315" t="e">
        <f>IF($J428="",#N/A,SUM(AR$4:AR428,AP$4:AP428,AN$4:AN428))</f>
        <v>#N/A</v>
      </c>
      <c r="AU428" s="304" t="str">
        <f t="shared" si="687"/>
        <v/>
      </c>
      <c r="AV428" s="313" t="e">
        <f>IF($J428="",#N/A,SUM(AU$4:AU428))</f>
        <v>#N/A</v>
      </c>
      <c r="AW428" s="314" t="str">
        <f t="shared" si="688"/>
        <v/>
      </c>
      <c r="AX428" s="314" t="e">
        <f>IF($J428="",#N/A,SUM(AW$4:AW428))</f>
        <v>#N/A</v>
      </c>
      <c r="AY428" s="315" t="str">
        <f t="shared" si="689"/>
        <v/>
      </c>
      <c r="AZ428" s="315" t="e">
        <f>IF($J428="",#N/A,SUM(AY$4:AY428))</f>
        <v>#N/A</v>
      </c>
      <c r="BA428" s="315" t="e">
        <f>IF($J428="",#N/A,SUM(AY$4:AY428,AW$4:AW428,AU$4:AU428))</f>
        <v>#N/A</v>
      </c>
      <c r="BB428" s="304" t="str">
        <f t="shared" si="690"/>
        <v/>
      </c>
      <c r="BC428" s="313" t="e">
        <f>IF($J428="",#N/A,SUM(BB$4:BB428))</f>
        <v>#N/A</v>
      </c>
      <c r="BD428" s="314" t="str">
        <f t="shared" si="691"/>
        <v/>
      </c>
      <c r="BE428" s="314" t="e">
        <f>IF($J428="",#N/A,SUM(BD$4:BD428))</f>
        <v>#N/A</v>
      </c>
      <c r="BF428" s="315" t="str">
        <f t="shared" si="692"/>
        <v/>
      </c>
      <c r="BG428" s="315" t="e">
        <f>IF($J428="",#N/A,SUM(BF$4:BF428))</f>
        <v>#N/A</v>
      </c>
      <c r="BH428" s="315" t="e">
        <f>IF($J428="",#N/A,SUM(BF$4:BF428,BD$4:BD428,BB$4:BB428))</f>
        <v>#N/A</v>
      </c>
      <c r="BI428" s="304" t="str">
        <f t="shared" si="693"/>
        <v/>
      </c>
      <c r="BJ428" s="313" t="e">
        <f>IF($J428="",#N/A,SUM(BI$4:BI428))</f>
        <v>#N/A</v>
      </c>
      <c r="BK428" s="314" t="str">
        <f t="shared" si="694"/>
        <v/>
      </c>
      <c r="BL428" s="314" t="e">
        <f>IF($J428="",#N/A,SUM(BK$4:BK428))</f>
        <v>#N/A</v>
      </c>
      <c r="BM428" s="315" t="str">
        <f t="shared" si="695"/>
        <v/>
      </c>
      <c r="BN428" s="315" t="e">
        <f>IF($J428="",#N/A,SUM(BM$4:BM428))</f>
        <v>#N/A</v>
      </c>
      <c r="BO428" s="315" t="e">
        <f>IF($J428="",#N/A,SUM(BM$4:BM428,BK$4:BK428,BI$4:BI428))</f>
        <v>#N/A</v>
      </c>
      <c r="BP428" s="304" t="str">
        <f t="shared" si="696"/>
        <v/>
      </c>
      <c r="BQ428" s="313" t="e">
        <f>IF($J428="",#N/A,SUM(BP$4:BP428))</f>
        <v>#N/A</v>
      </c>
      <c r="BR428" s="314" t="str">
        <f t="shared" si="697"/>
        <v/>
      </c>
      <c r="BS428" s="314" t="e">
        <f>IF($J428="",#N/A,SUM(BR$4:BR428))</f>
        <v>#N/A</v>
      </c>
      <c r="BT428" s="315" t="str">
        <f t="shared" si="698"/>
        <v/>
      </c>
      <c r="BU428" s="315" t="e">
        <f>IF($J428="",#N/A,SUM(BT$4:BT428))</f>
        <v>#N/A</v>
      </c>
      <c r="BV428" s="315" t="e">
        <f>IF($J428="",#N/A,SUM(BT$4:BT428,BR$4:BR428,BP$4:BP428))</f>
        <v>#N/A</v>
      </c>
      <c r="BW428" s="304" t="str">
        <f t="shared" si="699"/>
        <v/>
      </c>
      <c r="BX428" s="313" t="e">
        <f>IF($J428="",#N/A,SUM(BW$4:BW428))</f>
        <v>#N/A</v>
      </c>
      <c r="BY428" s="314" t="str">
        <f t="shared" si="700"/>
        <v/>
      </c>
      <c r="BZ428" s="314" t="e">
        <f>IF($J428="",#N/A,SUM(BY$4:BY428))</f>
        <v>#N/A</v>
      </c>
      <c r="CA428" s="315" t="str">
        <f t="shared" si="701"/>
        <v/>
      </c>
      <c r="CB428" s="315" t="e">
        <f>IF($J428="",#N/A,SUM(CA$4:CA428))</f>
        <v>#N/A</v>
      </c>
      <c r="CC428" s="315" t="e">
        <f>IF($J428="",#N/A,SUM(CA$4:CA428,BY$4:BY428,BW$4:BW428))</f>
        <v>#N/A</v>
      </c>
      <c r="CD428" s="304" t="str">
        <f t="shared" si="702"/>
        <v/>
      </c>
      <c r="CE428" s="313" t="e">
        <f>IF($J428="",#N/A,SUM(CD$4:CD428))</f>
        <v>#N/A</v>
      </c>
      <c r="CF428" s="314" t="str">
        <f t="shared" si="703"/>
        <v/>
      </c>
      <c r="CG428" s="314" t="e">
        <f>IF($J428="",#N/A,SUM(CF$4:CF428))</f>
        <v>#N/A</v>
      </c>
      <c r="CH428" s="315" t="str">
        <f t="shared" si="704"/>
        <v/>
      </c>
      <c r="CI428" s="315" t="e">
        <f>IF($J428="",#N/A,SUM(CH$4:CH428))</f>
        <v>#N/A</v>
      </c>
      <c r="CJ428" s="315" t="e">
        <f>IF($J428="",#N/A,SUM(CH$4:CH428,CF$4:CF428,CD$4:CD428))</f>
        <v>#N/A</v>
      </c>
      <c r="CK428" s="304" t="str">
        <f t="shared" si="705"/>
        <v/>
      </c>
      <c r="CL428" s="313" t="e">
        <f>IF($J428="",#N/A,SUM(CK$4:CK428))</f>
        <v>#N/A</v>
      </c>
      <c r="CM428" s="314" t="str">
        <f t="shared" si="706"/>
        <v/>
      </c>
      <c r="CN428" s="314" t="e">
        <f>IF($J428="",#N/A,SUM(CM$4:CM428))</f>
        <v>#N/A</v>
      </c>
      <c r="CO428" s="315" t="str">
        <f t="shared" si="707"/>
        <v/>
      </c>
      <c r="CP428" s="315" t="e">
        <f>IF($J428="",#N/A,SUM(CO$4:CO428))</f>
        <v>#N/A</v>
      </c>
      <c r="CQ428" s="315" t="e">
        <f>IF($J428="",#N/A,SUM(CO$4:CO428,CM$4:CM428,CK$4:CK428))</f>
        <v>#N/A</v>
      </c>
      <c r="CR428" s="304" t="str">
        <f t="shared" si="708"/>
        <v/>
      </c>
      <c r="CS428" s="313" t="e">
        <f>IF($J428="",#N/A,SUM(CR$4:CR428))</f>
        <v>#N/A</v>
      </c>
      <c r="CT428" s="314" t="str">
        <f t="shared" si="709"/>
        <v/>
      </c>
      <c r="CU428" s="314" t="e">
        <f>IF($J428="",#N/A,SUM(CT$4:CT428))</f>
        <v>#N/A</v>
      </c>
      <c r="CV428" s="315" t="str">
        <f t="shared" si="710"/>
        <v/>
      </c>
      <c r="CW428" s="315" t="e">
        <f>IF($J428="",#N/A,SUM(CV$4:CV428))</f>
        <v>#N/A</v>
      </c>
      <c r="CX428" s="315" t="e">
        <f>IF($J428="",#N/A,SUM(CV$4:CV428,CT$4:CT428,CR$4:CR428))</f>
        <v>#N/A</v>
      </c>
      <c r="CY428" s="304" t="str">
        <f t="shared" si="711"/>
        <v/>
      </c>
      <c r="CZ428" s="313" t="e">
        <f>IF($J428="",#N/A,SUM(CY$4:CY428))</f>
        <v>#N/A</v>
      </c>
      <c r="DA428" s="314" t="str">
        <f t="shared" si="712"/>
        <v/>
      </c>
      <c r="DB428" s="314" t="e">
        <f>IF($J428="",#N/A,SUM(DA$4:DA428))</f>
        <v>#N/A</v>
      </c>
      <c r="DC428" s="315" t="str">
        <f t="shared" si="713"/>
        <v/>
      </c>
      <c r="DD428" s="315" t="e">
        <f>IF($J428="",#N/A,SUM(DC$4:DC428))</f>
        <v>#N/A</v>
      </c>
      <c r="DE428" s="315" t="e">
        <f>IF($J428="",#N/A,SUM(DC$4:DC428,DA$4:DA428,CY$4:CY428))</f>
        <v>#N/A</v>
      </c>
      <c r="DF428" s="304" t="str">
        <f t="shared" si="714"/>
        <v/>
      </c>
      <c r="DG428" s="313" t="e">
        <f>IF($J428="",#N/A,SUM(DF$4:DF428))</f>
        <v>#N/A</v>
      </c>
      <c r="DH428" s="314" t="str">
        <f t="shared" si="715"/>
        <v/>
      </c>
      <c r="DI428" s="314" t="e">
        <f>IF($J428="",#N/A,SUM(DH$4:DH428))</f>
        <v>#N/A</v>
      </c>
      <c r="DJ428" s="315" t="str">
        <f t="shared" si="716"/>
        <v/>
      </c>
      <c r="DK428" s="315" t="e">
        <f>IF($J428="",#N/A,SUM(DJ$4:DJ428))</f>
        <v>#N/A</v>
      </c>
      <c r="DL428" s="315" t="e">
        <f>IF($J428="",#N/A,SUM(DJ$4:DJ428,DH$4:DH428,DF$4:DF428))</f>
        <v>#N/A</v>
      </c>
      <c r="DM428" s="304" t="str">
        <f t="shared" si="717"/>
        <v/>
      </c>
      <c r="DN428" s="313" t="e">
        <f>IF($J428="",#N/A,SUM(DM$4:DM428))</f>
        <v>#N/A</v>
      </c>
      <c r="DO428" s="314" t="str">
        <f t="shared" si="718"/>
        <v/>
      </c>
      <c r="DP428" s="314" t="e">
        <f>IF($J428="",#N/A,SUM(DO$4:DO428))</f>
        <v>#N/A</v>
      </c>
      <c r="DQ428" s="315" t="str">
        <f t="shared" si="719"/>
        <v/>
      </c>
      <c r="DR428" s="315" t="e">
        <f>IF($J428="",#N/A,SUM(DQ$4:DQ428))</f>
        <v>#N/A</v>
      </c>
      <c r="DS428" s="315" t="e">
        <f>IF($J428="",#N/A,SUM(DQ$4:DQ428,DO$4:DO428,DM$4:DM428))</f>
        <v>#N/A</v>
      </c>
      <c r="DT428" s="304" t="str">
        <f t="shared" si="720"/>
        <v/>
      </c>
      <c r="DU428" s="313" t="e">
        <f>IF($J428="",#N/A,SUM(DT$4:DT428))</f>
        <v>#N/A</v>
      </c>
      <c r="DV428" s="314" t="str">
        <f t="shared" si="721"/>
        <v/>
      </c>
      <c r="DW428" s="314" t="e">
        <f>IF($J428="",#N/A,SUM(DV$4:DV428))</f>
        <v>#N/A</v>
      </c>
      <c r="DX428" s="315" t="str">
        <f t="shared" si="722"/>
        <v/>
      </c>
      <c r="DY428" s="315" t="e">
        <f>IF($J428="",#N/A,SUM(DX$4:DX428))</f>
        <v>#N/A</v>
      </c>
      <c r="DZ428" s="315" t="e">
        <f>IF($J428="",#N/A,SUM(DX$4:DX428,DV$4:DV428,DT$4:DT428))</f>
        <v>#N/A</v>
      </c>
      <c r="EA428" s="304" t="str">
        <f t="shared" si="723"/>
        <v/>
      </c>
      <c r="EB428" s="313" t="e">
        <f>IF($J428="",#N/A,SUM(EA$4:EA428))</f>
        <v>#N/A</v>
      </c>
      <c r="EC428" s="314" t="str">
        <f t="shared" si="724"/>
        <v/>
      </c>
      <c r="ED428" s="314" t="e">
        <f>IF($J428="",#N/A,SUM(EC$4:EC428))</f>
        <v>#N/A</v>
      </c>
      <c r="EE428" s="315" t="str">
        <f t="shared" si="725"/>
        <v/>
      </c>
      <c r="EF428" s="315" t="e">
        <f>IF($J428="",#N/A,SUM(EE$4:EE428))</f>
        <v>#N/A</v>
      </c>
      <c r="EG428" s="315" t="e">
        <f>IF($J428="",#N/A,SUM(EE$4:EE428,EC$4:EC428,EA$4:EA428))</f>
        <v>#N/A</v>
      </c>
      <c r="EH428" s="130">
        <f t="shared" si="726"/>
        <v>-19.920000000000073</v>
      </c>
      <c r="EI428" s="63">
        <f>IF(EH428="",#N/A,SUM($EH$4:EH428))</f>
        <v>2550.553571593347</v>
      </c>
      <c r="EJ428" s="223" t="e">
        <f t="shared" si="727"/>
        <v>#N/A</v>
      </c>
      <c r="EK428" s="63" t="e">
        <f>IF($GZ428="",#N/A,SUM(EJ$4:EJ428))</f>
        <v>#N/A</v>
      </c>
      <c r="EL428" s="60" t="str">
        <f t="shared" si="757"/>
        <v/>
      </c>
      <c r="EM428" s="60" t="e">
        <f>IF(EL428="",NA(),SUM($EL$4:EL428))</f>
        <v>#N/A</v>
      </c>
      <c r="EN428" s="60" t="str">
        <f t="shared" si="728"/>
        <v/>
      </c>
      <c r="EO428" s="60" t="e">
        <f>IF(EN428="",NA(),SUM($EN$4:EN428))</f>
        <v>#N/A</v>
      </c>
      <c r="EP428" s="60" t="str">
        <f t="shared" si="729"/>
        <v/>
      </c>
      <c r="EQ428" s="60" t="e">
        <f>IF(EP428="",NA(),SUM($EP$4:EP428))</f>
        <v>#N/A</v>
      </c>
      <c r="ER428" s="60" t="str">
        <f t="shared" si="730"/>
        <v/>
      </c>
      <c r="ES428" s="60" t="e">
        <f>IF(ER428="",NA(),SUM($ER$4:ER428))</f>
        <v>#N/A</v>
      </c>
      <c r="ET428" s="60">
        <f t="shared" si="731"/>
        <v>-0.39332764666856362</v>
      </c>
      <c r="EU428" s="60">
        <f>IF(ET428="",NA(),SUM($ET$4:ET428))</f>
        <v>42.633317738487605</v>
      </c>
      <c r="EV428" s="60" t="str">
        <f t="shared" si="732"/>
        <v/>
      </c>
      <c r="EW428" s="60" t="e">
        <f>IF(EV428="",NA(),SUM($EV$4:EV428))</f>
        <v>#N/A</v>
      </c>
      <c r="EX428" s="60">
        <f t="shared" si="733"/>
        <v>-0.39332764666856362</v>
      </c>
      <c r="EY428" s="60">
        <f>IF(EX428="",NA(),SUM($EX$4:EX428))</f>
        <v>12.189312618336725</v>
      </c>
      <c r="EZ428" s="60" t="str">
        <f t="shared" si="734"/>
        <v/>
      </c>
      <c r="FA428" s="60" t="e">
        <f>IF(EZ428="",NA(),SUM($EZ$4:EZ428))</f>
        <v>#N/A</v>
      </c>
      <c r="FB428" s="246" t="str">
        <f t="shared" si="758"/>
        <v/>
      </c>
      <c r="FC428" s="246" t="e">
        <f>IF($FB428="",#N/A,SUM(FB$4:$FB428))</f>
        <v>#N/A</v>
      </c>
      <c r="FD428" s="60" t="str">
        <f t="shared" si="735"/>
        <v/>
      </c>
      <c r="FE428" s="60" t="e">
        <f>IF($FD428="",#N/A,SUM($FD$4:FD428))</f>
        <v>#N/A</v>
      </c>
      <c r="FF428" s="60" t="str">
        <f t="shared" si="736"/>
        <v/>
      </c>
      <c r="FG428" s="60" t="e">
        <f>IF($FF428="",#N/A,SUM($FF$4:FF428))</f>
        <v>#N/A</v>
      </c>
      <c r="FH428" s="60" t="str">
        <f t="shared" si="737"/>
        <v/>
      </c>
      <c r="FI428" s="60" t="e">
        <f>IF($FH428="",#N/A,SUM($FH$4:FH428))</f>
        <v>#N/A</v>
      </c>
      <c r="FJ428" s="60" t="str">
        <f t="shared" si="738"/>
        <v/>
      </c>
      <c r="FK428" s="60" t="e">
        <f>IF($FJ428="",#N/A,SUM($FJ$4:FJ428))</f>
        <v>#N/A</v>
      </c>
      <c r="FL428" s="60">
        <f t="shared" si="739"/>
        <v>-0.55839888794111081</v>
      </c>
      <c r="FM428" s="60">
        <f>IF($FL428="",#N/A,SUM($FL$4:FL428))</f>
        <v>-2.3438085842277543</v>
      </c>
      <c r="FN428" s="82">
        <f t="shared" si="740"/>
        <v>-0.95172653460967449</v>
      </c>
      <c r="FO428" s="82">
        <f>IF($FN428="",#N/A,SUM(FN$4:$FN428))</f>
        <v>55.236035541771933</v>
      </c>
      <c r="FP428" s="82">
        <f t="shared" si="759"/>
        <v>-0.39332764666856362</v>
      </c>
      <c r="FQ428" s="246">
        <f>IF($EH428="",#N/A,SUM($FP$4:FP428))</f>
        <v>68.765584750240734</v>
      </c>
      <c r="FR428" s="82">
        <f>IFERROR(FQ428/COUNTA($J$4:J428),#N/A)</f>
        <v>0.16180137588291937</v>
      </c>
      <c r="FS428" s="82">
        <f t="shared" si="661"/>
        <v>0.30643315215241029</v>
      </c>
      <c r="FT428" s="82">
        <f t="shared" si="662"/>
        <v>0.75611018822120113</v>
      </c>
      <c r="FU428" s="338">
        <f t="shared" si="764"/>
        <v>33.244703848568278</v>
      </c>
      <c r="FV428" s="57" t="str">
        <f t="shared" si="765"/>
        <v>SW</v>
      </c>
      <c r="FW428" s="57" t="s">
        <v>2732</v>
      </c>
      <c r="FX428" s="57" t="str">
        <f t="shared" si="741"/>
        <v/>
      </c>
      <c r="FY428" s="57" t="str">
        <f t="shared" si="742"/>
        <v/>
      </c>
      <c r="FZ428" s="57" t="str">
        <f t="shared" si="743"/>
        <v/>
      </c>
      <c r="GA428" s="57" t="str">
        <f t="shared" si="744"/>
        <v>Long</v>
      </c>
      <c r="GB428" s="57" t="str">
        <f t="shared" si="745"/>
        <v/>
      </c>
      <c r="GC428" s="57" t="str">
        <f t="shared" si="746"/>
        <v/>
      </c>
      <c r="GD428" s="57">
        <f t="shared" si="747"/>
        <v>1</v>
      </c>
      <c r="GE428" s="62">
        <f t="shared" si="664"/>
        <v>211.02</v>
      </c>
      <c r="GF428" s="62" t="s">
        <v>2779</v>
      </c>
      <c r="GG428" s="199">
        <v>4</v>
      </c>
      <c r="GH428" s="207">
        <f t="shared" si="748"/>
        <v>844.08</v>
      </c>
      <c r="GI428" s="199">
        <v>4</v>
      </c>
      <c r="GJ428" s="200">
        <v>206.04</v>
      </c>
      <c r="GK428" s="63">
        <f t="shared" si="749"/>
        <v>-19.920000000000073</v>
      </c>
      <c r="GL428" s="63">
        <f t="shared" si="665"/>
        <v>-48.200000000000045</v>
      </c>
      <c r="GM428" s="82">
        <f t="shared" si="750"/>
        <v>-0.95172653460967449</v>
      </c>
      <c r="GN428" s="82">
        <f>IF($GZ428="",#N/A,SUM(GM$4:GM428))</f>
        <v>9.4532904651294007</v>
      </c>
      <c r="GO428" s="82" t="str">
        <f t="shared" si="751"/>
        <v/>
      </c>
      <c r="GP428" s="82">
        <f>IF($GZ428="",#N/A,SUM(GO$4:GO428))</f>
        <v>4.2788408366274897</v>
      </c>
      <c r="GQ428" s="82" t="str">
        <f t="shared" si="752"/>
        <v/>
      </c>
      <c r="GR428" s="82">
        <f>IF($GZ428="",#N/A,SUM(GQ$4:GQ428))</f>
        <v>40.878067285572726</v>
      </c>
      <c r="GS428" s="63" t="e">
        <f t="shared" si="760"/>
        <v>#N/A</v>
      </c>
      <c r="GT428" s="63" t="e">
        <f>IF($GZ428="",#N/A,SUM(GS$4:GS428))</f>
        <v>#N/A</v>
      </c>
      <c r="GU428" s="63" t="str">
        <f t="shared" si="761"/>
        <v/>
      </c>
      <c r="GV428" s="63" t="e">
        <f>IF($GZ428="",#N/A,SUM(GU$4:GU428))</f>
        <v>#N/A</v>
      </c>
      <c r="GW428" s="63" t="str">
        <f t="shared" si="762"/>
        <v/>
      </c>
      <c r="GX428" s="63" t="e">
        <f>IF($GZ428="",#N/A,SUM(GW$4:GW428))</f>
        <v>#N/A</v>
      </c>
      <c r="GY428" s="63" t="e">
        <f>IF(EJ428="",#N/A,SUM($EJ$4:EJ428))</f>
        <v>#N/A</v>
      </c>
      <c r="GZ428" s="159">
        <v>198.97</v>
      </c>
      <c r="HA428" s="63">
        <f t="shared" si="753"/>
        <v>-28.279999999999973</v>
      </c>
      <c r="HB428" s="62" t="s">
        <v>2538</v>
      </c>
      <c r="HC428" s="60">
        <f>IFERROR(VLOOKUP(E428,Expectancy!$P$4:$S$19,1+C428,FALSE),"")</f>
        <v>0.48685636958953199</v>
      </c>
      <c r="HD428" s="82">
        <f t="shared" si="754"/>
        <v>-0.39332764666856362</v>
      </c>
      <c r="HE428" s="138">
        <f>IF(HD428="",#N/A,SUM($HD$4:HD428))</f>
        <v>20.990880901672458</v>
      </c>
      <c r="HF428" s="85">
        <f>IF(HD428="",#N/A,IF(HB428="Skip",#N/A,SUM($HG$4:HG428)))</f>
        <v>1199.8135792191561</v>
      </c>
      <c r="HG428" s="63">
        <f t="shared" si="755"/>
        <v>-19.920000000000073</v>
      </c>
      <c r="HH428" s="82">
        <f t="shared" si="766"/>
        <v>-0.95172653460967449</v>
      </c>
    </row>
    <row r="429" spans="1:216" x14ac:dyDescent="0.25">
      <c r="A429" s="57" t="s">
        <v>1266</v>
      </c>
      <c r="B429" s="58" t="str" cm="1">
        <f t="array" ref="B429">IFERROR(_xlfn.XLOOKUP(A429,Earnings!$B$2:$B$9985,LEFT(Earnings!$C$2:$C$9985,37)),"Can't Find Date***")</f>
        <v>on 3/11/25 Before Market Eastern Stan</v>
      </c>
      <c r="C429" s="386">
        <f t="shared" si="667"/>
        <v>2</v>
      </c>
      <c r="D429" s="372" t="str">
        <f>_xlfn.XLOOKUP(A429,[1]SP500!$A$2:$A$502,[1]SP500!$D$2:$D$502,"N")</f>
        <v>N</v>
      </c>
      <c r="E429" s="57" t="str">
        <f>_xlfn.XLOOKUP(A429,[1]SP500!$A$2:$A$655,[1]SP500!$B$2:$B$655)</f>
        <v>XLK</v>
      </c>
      <c r="F429" s="59">
        <v>45727</v>
      </c>
      <c r="G429" s="57" t="str">
        <f t="shared" si="668"/>
        <v>BMO</v>
      </c>
      <c r="H429" s="57" t="str">
        <f t="shared" si="669"/>
        <v>s</v>
      </c>
      <c r="I429" s="159">
        <v>65.53</v>
      </c>
      <c r="J429" s="159">
        <v>61.78</v>
      </c>
      <c r="K429" s="61">
        <f t="shared" si="670"/>
        <v>-5.7225698153517475E-2</v>
      </c>
      <c r="L429" s="87">
        <f t="shared" si="671"/>
        <v>48.75</v>
      </c>
      <c r="M429" s="130">
        <f t="shared" si="663"/>
        <v>0</v>
      </c>
      <c r="N429" s="169" t="str">
        <f t="shared" si="672"/>
        <v/>
      </c>
      <c r="O429" s="169">
        <f>IF($J429="",#N/A,SUM($N$4:N429))</f>
        <v>-328.04225475891064</v>
      </c>
      <c r="P429" s="174">
        <f t="shared" si="673"/>
        <v>48.75</v>
      </c>
      <c r="Q429" s="174">
        <f>IF($J429="",#N/A,SUM($P$4:P429))</f>
        <v>1817.8966539569483</v>
      </c>
      <c r="R429" s="178" t="str">
        <f t="shared" si="674"/>
        <v/>
      </c>
      <c r="S429" s="178">
        <f>IF($J429="",#N/A,SUM($R$4:R429))</f>
        <v>1109.4491723953095</v>
      </c>
      <c r="T429" s="290" t="str">
        <f t="shared" si="675"/>
        <v/>
      </c>
      <c r="U429" s="290">
        <f>IF($J429="",#N/A,SUM($T$4:T429))</f>
        <v>10.009379462148743</v>
      </c>
      <c r="V429" s="291">
        <f t="shared" si="676"/>
        <v>0.95376163589195795</v>
      </c>
      <c r="W429" s="291">
        <f>IF($J429="",#N/A,SUM($V$4:V429))</f>
        <v>40.792671735591959</v>
      </c>
      <c r="X429" s="292" t="str">
        <f t="shared" si="677"/>
        <v/>
      </c>
      <c r="Y429" s="292">
        <f>IF($J429="",#N/A,SUM($X$4:X429))</f>
        <v>18.917295188392</v>
      </c>
      <c r="Z429" s="304" t="str">
        <f t="shared" si="678"/>
        <v/>
      </c>
      <c r="AA429" s="313" t="e">
        <f>IF($J429="",#N/A,SUM(Z$4:Z429))</f>
        <v>#N/A</v>
      </c>
      <c r="AB429" s="314">
        <f t="shared" si="679"/>
        <v>0.95376163589195795</v>
      </c>
      <c r="AC429" s="314" t="e">
        <f>IF($J429="",#N/A,SUM(AB$4:AB429))</f>
        <v>#N/A</v>
      </c>
      <c r="AD429" s="315" t="str">
        <f t="shared" si="680"/>
        <v/>
      </c>
      <c r="AE429" s="315" t="e">
        <f>IF($J429="",#N/A,SUM(AD$4:AD429))</f>
        <v>#N/A</v>
      </c>
      <c r="AF429" s="315" t="e">
        <f>IF($J429="",#N/A,SUM(AD$4:AD429,AB$4:AB429,Z$4:Z429))</f>
        <v>#N/A</v>
      </c>
      <c r="AG429" s="304" t="str">
        <f t="shared" si="681"/>
        <v/>
      </c>
      <c r="AH429" s="313" t="e">
        <f>IF($J429="",#N/A,SUM(AG$4:AG429))</f>
        <v>#N/A</v>
      </c>
      <c r="AI429" s="314" t="str">
        <f t="shared" si="682"/>
        <v/>
      </c>
      <c r="AJ429" s="314" t="e">
        <f>IF($J429="",#N/A,SUM(AI$4:AI429))</f>
        <v>#N/A</v>
      </c>
      <c r="AK429" s="315" t="str">
        <f t="shared" si="683"/>
        <v/>
      </c>
      <c r="AL429" s="315" t="e">
        <f>IF($J429="",#N/A,SUM(AK$4:AK429))</f>
        <v>#N/A</v>
      </c>
      <c r="AM429" s="315" t="e">
        <f>IF($J429="",#N/A,SUM(AK$4:AK429,AI$4:AI429,AG$4:AG429))</f>
        <v>#N/A</v>
      </c>
      <c r="AN429" s="304" t="str">
        <f t="shared" si="684"/>
        <v/>
      </c>
      <c r="AO429" s="313" t="e">
        <f>IF($J429="",#N/A,SUM(AN$4:AN429))</f>
        <v>#N/A</v>
      </c>
      <c r="AP429" s="314" t="str">
        <f t="shared" si="685"/>
        <v/>
      </c>
      <c r="AQ429" s="314" t="e">
        <f>IF($J429="",#N/A,SUM(AP$4:AP429))</f>
        <v>#N/A</v>
      </c>
      <c r="AR429" s="315" t="str">
        <f t="shared" si="686"/>
        <v/>
      </c>
      <c r="AS429" s="315" t="e">
        <f>IF($J429="",#N/A,SUM(AR$4:AR429))</f>
        <v>#N/A</v>
      </c>
      <c r="AT429" s="315" t="e">
        <f>IF($J429="",#N/A,SUM(AR$4:AR429,AP$4:AP429,AN$4:AN429))</f>
        <v>#N/A</v>
      </c>
      <c r="AU429" s="304" t="str">
        <f t="shared" si="687"/>
        <v/>
      </c>
      <c r="AV429" s="313" t="e">
        <f>IF($J429="",#N/A,SUM(AU$4:AU429))</f>
        <v>#N/A</v>
      </c>
      <c r="AW429" s="314" t="str">
        <f t="shared" si="688"/>
        <v/>
      </c>
      <c r="AX429" s="314" t="e">
        <f>IF($J429="",#N/A,SUM(AW$4:AW429))</f>
        <v>#N/A</v>
      </c>
      <c r="AY429" s="315" t="str">
        <f t="shared" si="689"/>
        <v/>
      </c>
      <c r="AZ429" s="315" t="e">
        <f>IF($J429="",#N/A,SUM(AY$4:AY429))</f>
        <v>#N/A</v>
      </c>
      <c r="BA429" s="315" t="e">
        <f>IF($J429="",#N/A,SUM(AY$4:AY429,AW$4:AW429,AU$4:AU429))</f>
        <v>#N/A</v>
      </c>
      <c r="BB429" s="304" t="str">
        <f t="shared" si="690"/>
        <v/>
      </c>
      <c r="BC429" s="313" t="e">
        <f>IF($J429="",#N/A,SUM(BB$4:BB429))</f>
        <v>#N/A</v>
      </c>
      <c r="BD429" s="314" t="str">
        <f t="shared" si="691"/>
        <v/>
      </c>
      <c r="BE429" s="314" t="e">
        <f>IF($J429="",#N/A,SUM(BD$4:BD429))</f>
        <v>#N/A</v>
      </c>
      <c r="BF429" s="315" t="str">
        <f t="shared" si="692"/>
        <v/>
      </c>
      <c r="BG429" s="315" t="e">
        <f>IF($J429="",#N/A,SUM(BF$4:BF429))</f>
        <v>#N/A</v>
      </c>
      <c r="BH429" s="315" t="e">
        <f>IF($J429="",#N/A,SUM(BF$4:BF429,BD$4:BD429,BB$4:BB429))</f>
        <v>#N/A</v>
      </c>
      <c r="BI429" s="304" t="str">
        <f t="shared" si="693"/>
        <v/>
      </c>
      <c r="BJ429" s="313" t="e">
        <f>IF($J429="",#N/A,SUM(BI$4:BI429))</f>
        <v>#N/A</v>
      </c>
      <c r="BK429" s="314" t="str">
        <f t="shared" si="694"/>
        <v/>
      </c>
      <c r="BL429" s="314" t="e">
        <f>IF($J429="",#N/A,SUM(BK$4:BK429))</f>
        <v>#N/A</v>
      </c>
      <c r="BM429" s="315" t="str">
        <f t="shared" si="695"/>
        <v/>
      </c>
      <c r="BN429" s="315" t="e">
        <f>IF($J429="",#N/A,SUM(BM$4:BM429))</f>
        <v>#N/A</v>
      </c>
      <c r="BO429" s="315" t="e">
        <f>IF($J429="",#N/A,SUM(BM$4:BM429,BK$4:BK429,BI$4:BI429))</f>
        <v>#N/A</v>
      </c>
      <c r="BP429" s="304" t="str">
        <f t="shared" si="696"/>
        <v/>
      </c>
      <c r="BQ429" s="313" t="e">
        <f>IF($J429="",#N/A,SUM(BP$4:BP429))</f>
        <v>#N/A</v>
      </c>
      <c r="BR429" s="314" t="str">
        <f t="shared" si="697"/>
        <v/>
      </c>
      <c r="BS429" s="314" t="e">
        <f>IF($J429="",#N/A,SUM(BR$4:BR429))</f>
        <v>#N/A</v>
      </c>
      <c r="BT429" s="315" t="str">
        <f t="shared" si="698"/>
        <v/>
      </c>
      <c r="BU429" s="315" t="e">
        <f>IF($J429="",#N/A,SUM(BT$4:BT429))</f>
        <v>#N/A</v>
      </c>
      <c r="BV429" s="315" t="e">
        <f>IF($J429="",#N/A,SUM(BT$4:BT429,BR$4:BR429,BP$4:BP429))</f>
        <v>#N/A</v>
      </c>
      <c r="BW429" s="304" t="str">
        <f t="shared" si="699"/>
        <v/>
      </c>
      <c r="BX429" s="313" t="e">
        <f>IF($J429="",#N/A,SUM(BW$4:BW429))</f>
        <v>#N/A</v>
      </c>
      <c r="BY429" s="314" t="str">
        <f t="shared" si="700"/>
        <v/>
      </c>
      <c r="BZ429" s="314" t="e">
        <f>IF($J429="",#N/A,SUM(BY$4:BY429))</f>
        <v>#N/A</v>
      </c>
      <c r="CA429" s="315" t="str">
        <f t="shared" si="701"/>
        <v/>
      </c>
      <c r="CB429" s="315" t="e">
        <f>IF($J429="",#N/A,SUM(CA$4:CA429))</f>
        <v>#N/A</v>
      </c>
      <c r="CC429" s="315" t="e">
        <f>IF($J429="",#N/A,SUM(CA$4:CA429,BY$4:BY429,BW$4:BW429))</f>
        <v>#N/A</v>
      </c>
      <c r="CD429" s="304" t="str">
        <f t="shared" si="702"/>
        <v/>
      </c>
      <c r="CE429" s="313" t="e">
        <f>IF($J429="",#N/A,SUM(CD$4:CD429))</f>
        <v>#N/A</v>
      </c>
      <c r="CF429" s="314" t="str">
        <f t="shared" si="703"/>
        <v/>
      </c>
      <c r="CG429" s="314" t="e">
        <f>IF($J429="",#N/A,SUM(CF$4:CF429))</f>
        <v>#N/A</v>
      </c>
      <c r="CH429" s="315" t="str">
        <f t="shared" si="704"/>
        <v/>
      </c>
      <c r="CI429" s="315" t="e">
        <f>IF($J429="",#N/A,SUM(CH$4:CH429))</f>
        <v>#N/A</v>
      </c>
      <c r="CJ429" s="315" t="e">
        <f>IF($J429="",#N/A,SUM(CH$4:CH429,CF$4:CF429,CD$4:CD429))</f>
        <v>#N/A</v>
      </c>
      <c r="CK429" s="304" t="str">
        <f t="shared" si="705"/>
        <v/>
      </c>
      <c r="CL429" s="313" t="e">
        <f>IF($J429="",#N/A,SUM(CK$4:CK429))</f>
        <v>#N/A</v>
      </c>
      <c r="CM429" s="314" t="str">
        <f t="shared" si="706"/>
        <v/>
      </c>
      <c r="CN429" s="314" t="e">
        <f>IF($J429="",#N/A,SUM(CM$4:CM429))</f>
        <v>#N/A</v>
      </c>
      <c r="CO429" s="315" t="str">
        <f t="shared" si="707"/>
        <v/>
      </c>
      <c r="CP429" s="315" t="e">
        <f>IF($J429="",#N/A,SUM(CO$4:CO429))</f>
        <v>#N/A</v>
      </c>
      <c r="CQ429" s="315" t="e">
        <f>IF($J429="",#N/A,SUM(CO$4:CO429,CM$4:CM429,CK$4:CK429))</f>
        <v>#N/A</v>
      </c>
      <c r="CR429" s="304" t="str">
        <f t="shared" si="708"/>
        <v/>
      </c>
      <c r="CS429" s="313" t="e">
        <f>IF($J429="",#N/A,SUM(CR$4:CR429))</f>
        <v>#N/A</v>
      </c>
      <c r="CT429" s="314" t="str">
        <f t="shared" si="709"/>
        <v/>
      </c>
      <c r="CU429" s="314" t="e">
        <f>IF($J429="",#N/A,SUM(CT$4:CT429))</f>
        <v>#N/A</v>
      </c>
      <c r="CV429" s="315" t="str">
        <f t="shared" si="710"/>
        <v/>
      </c>
      <c r="CW429" s="315" t="e">
        <f>IF($J429="",#N/A,SUM(CV$4:CV429))</f>
        <v>#N/A</v>
      </c>
      <c r="CX429" s="315" t="e">
        <f>IF($J429="",#N/A,SUM(CV$4:CV429,CT$4:CT429,CR$4:CR429))</f>
        <v>#N/A</v>
      </c>
      <c r="CY429" s="304" t="str">
        <f t="shared" si="711"/>
        <v/>
      </c>
      <c r="CZ429" s="313" t="e">
        <f>IF($J429="",#N/A,SUM(CY$4:CY429))</f>
        <v>#N/A</v>
      </c>
      <c r="DA429" s="314" t="str">
        <f t="shared" si="712"/>
        <v/>
      </c>
      <c r="DB429" s="314" t="e">
        <f>IF($J429="",#N/A,SUM(DA$4:DA429))</f>
        <v>#N/A</v>
      </c>
      <c r="DC429" s="315" t="str">
        <f t="shared" si="713"/>
        <v/>
      </c>
      <c r="DD429" s="315" t="e">
        <f>IF($J429="",#N/A,SUM(DC$4:DC429))</f>
        <v>#N/A</v>
      </c>
      <c r="DE429" s="315" t="e">
        <f>IF($J429="",#N/A,SUM(DC$4:DC429,DA$4:DA429,CY$4:CY429))</f>
        <v>#N/A</v>
      </c>
      <c r="DF429" s="304" t="str">
        <f t="shared" si="714"/>
        <v/>
      </c>
      <c r="DG429" s="313" t="e">
        <f>IF($J429="",#N/A,SUM(DF$4:DF429))</f>
        <v>#N/A</v>
      </c>
      <c r="DH429" s="314" t="str">
        <f t="shared" si="715"/>
        <v/>
      </c>
      <c r="DI429" s="314" t="e">
        <f>IF($J429="",#N/A,SUM(DH$4:DH429))</f>
        <v>#N/A</v>
      </c>
      <c r="DJ429" s="315" t="str">
        <f t="shared" si="716"/>
        <v/>
      </c>
      <c r="DK429" s="315" t="e">
        <f>IF($J429="",#N/A,SUM(DJ$4:DJ429))</f>
        <v>#N/A</v>
      </c>
      <c r="DL429" s="315" t="e">
        <f>IF($J429="",#N/A,SUM(DJ$4:DJ429,DH$4:DH429,DF$4:DF429))</f>
        <v>#N/A</v>
      </c>
      <c r="DM429" s="304" t="str">
        <f t="shared" si="717"/>
        <v/>
      </c>
      <c r="DN429" s="313" t="e">
        <f>IF($J429="",#N/A,SUM(DM$4:DM429))</f>
        <v>#N/A</v>
      </c>
      <c r="DO429" s="314" t="str">
        <f t="shared" si="718"/>
        <v/>
      </c>
      <c r="DP429" s="314" t="e">
        <f>IF($J429="",#N/A,SUM(DO$4:DO429))</f>
        <v>#N/A</v>
      </c>
      <c r="DQ429" s="315" t="str">
        <f t="shared" si="719"/>
        <v/>
      </c>
      <c r="DR429" s="315" t="e">
        <f>IF($J429="",#N/A,SUM(DQ$4:DQ429))</f>
        <v>#N/A</v>
      </c>
      <c r="DS429" s="315" t="e">
        <f>IF($J429="",#N/A,SUM(DQ$4:DQ429,DO$4:DO429,DM$4:DM429))</f>
        <v>#N/A</v>
      </c>
      <c r="DT429" s="304" t="str">
        <f t="shared" si="720"/>
        <v/>
      </c>
      <c r="DU429" s="313" t="e">
        <f>IF($J429="",#N/A,SUM(DT$4:DT429))</f>
        <v>#N/A</v>
      </c>
      <c r="DV429" s="314" t="str">
        <f t="shared" si="721"/>
        <v/>
      </c>
      <c r="DW429" s="314" t="e">
        <f>IF($J429="",#N/A,SUM(DV$4:DV429))</f>
        <v>#N/A</v>
      </c>
      <c r="DX429" s="315" t="str">
        <f t="shared" si="722"/>
        <v/>
      </c>
      <c r="DY429" s="315" t="e">
        <f>IF($J429="",#N/A,SUM(DX$4:DX429))</f>
        <v>#N/A</v>
      </c>
      <c r="DZ429" s="315" t="e">
        <f>IF($J429="",#N/A,SUM(DX$4:DX429,DV$4:DV429,DT$4:DT429))</f>
        <v>#N/A</v>
      </c>
      <c r="EA429" s="304" t="str">
        <f t="shared" si="723"/>
        <v/>
      </c>
      <c r="EB429" s="313" t="e">
        <f>IF($J429="",#N/A,SUM(EA$4:EA429))</f>
        <v>#N/A</v>
      </c>
      <c r="EC429" s="314" t="str">
        <f t="shared" si="724"/>
        <v/>
      </c>
      <c r="ED429" s="314" t="e">
        <f>IF($J429="",#N/A,SUM(EC$4:EC429))</f>
        <v>#N/A</v>
      </c>
      <c r="EE429" s="315" t="str">
        <f t="shared" si="725"/>
        <v/>
      </c>
      <c r="EF429" s="315" t="e">
        <f>IF($J429="",#N/A,SUM(EE$4:EE429))</f>
        <v>#N/A</v>
      </c>
      <c r="EG429" s="315" t="e">
        <f>IF($J429="",#N/A,SUM(EE$4:EE429,EC$4:EC429,EA$4:EA429))</f>
        <v>#N/A</v>
      </c>
      <c r="EH429" s="130">
        <f t="shared" si="726"/>
        <v>48.75</v>
      </c>
      <c r="EI429" s="63">
        <f>IF(EH429="",#N/A,SUM($EH$4:EH429))</f>
        <v>2599.303571593347</v>
      </c>
      <c r="EJ429" s="223" t="e">
        <f t="shared" si="727"/>
        <v>#N/A</v>
      </c>
      <c r="EK429" s="63" t="e">
        <f>IF($GZ429="",#N/A,SUM(EJ$4:EJ429))</f>
        <v>#N/A</v>
      </c>
      <c r="EL429" s="60" t="str">
        <f t="shared" si="757"/>
        <v/>
      </c>
      <c r="EM429" s="60" t="e">
        <f>IF(EL429="",NA(),SUM($EL$4:EL429))</f>
        <v>#N/A</v>
      </c>
      <c r="EN429" s="60" t="str">
        <f t="shared" si="728"/>
        <v/>
      </c>
      <c r="EO429" s="60" t="e">
        <f>IF(EN429="",NA(),SUM($EN$4:EN429))</f>
        <v>#N/A</v>
      </c>
      <c r="EP429" s="60" t="str">
        <f t="shared" si="729"/>
        <v/>
      </c>
      <c r="EQ429" s="60" t="e">
        <f>IF(EP429="",NA(),SUM($EP$4:EP429))</f>
        <v>#N/A</v>
      </c>
      <c r="ER429" s="60" t="str">
        <f t="shared" si="730"/>
        <v/>
      </c>
      <c r="ES429" s="60" t="e">
        <f>IF(ER429="",NA(),SUM($ER$4:ER429))</f>
        <v>#N/A</v>
      </c>
      <c r="ET429" s="60">
        <f t="shared" si="731"/>
        <v>0.95376163589195795</v>
      </c>
      <c r="EU429" s="60">
        <f>IF(ET429="",NA(),SUM($ET$4:ET429))</f>
        <v>43.587079374379563</v>
      </c>
      <c r="EV429" s="60" t="str">
        <f t="shared" si="732"/>
        <v/>
      </c>
      <c r="EW429" s="60" t="e">
        <f>IF(EV429="",NA(),SUM($EV$4:EV429))</f>
        <v>#N/A</v>
      </c>
      <c r="EX429" s="60" t="str">
        <f t="shared" si="733"/>
        <v/>
      </c>
      <c r="EY429" s="60" t="e">
        <f>IF(EX429="",NA(),SUM($EX$4:EX429))</f>
        <v>#N/A</v>
      </c>
      <c r="EZ429" s="60">
        <f t="shared" si="734"/>
        <v>0.95376163589195795</v>
      </c>
      <c r="FA429" s="60">
        <f>IF(EZ429="",NA(),SUM($EZ$4:EZ429))</f>
        <v>25.394783766160071</v>
      </c>
      <c r="FB429" s="246">
        <f t="shared" si="758"/>
        <v>-0.55191006663614706</v>
      </c>
      <c r="FC429" s="246">
        <f>IF($FB429="",#N/A,SUM(FB$4:$FB429))</f>
        <v>-0.33330935194356859</v>
      </c>
      <c r="FD429" s="60" t="str">
        <f t="shared" si="735"/>
        <v/>
      </c>
      <c r="FE429" s="60" t="e">
        <f>IF($FD429="",#N/A,SUM($FD$4:FD429))</f>
        <v>#N/A</v>
      </c>
      <c r="FF429" s="60" t="str">
        <f t="shared" si="736"/>
        <v/>
      </c>
      <c r="FG429" s="60" t="e">
        <f>IF($FF429="",#N/A,SUM($FF$4:FF429))</f>
        <v>#N/A</v>
      </c>
      <c r="FH429" s="60" t="str">
        <f t="shared" si="737"/>
        <v/>
      </c>
      <c r="FI429" s="60" t="e">
        <f>IF($FH429="",#N/A,SUM($FH$4:FH429))</f>
        <v>#N/A</v>
      </c>
      <c r="FJ429" s="60" t="str">
        <f t="shared" si="738"/>
        <v/>
      </c>
      <c r="FK429" s="60" t="e">
        <f>IF($FJ429="",#N/A,SUM($FJ$4:FJ429))</f>
        <v>#N/A</v>
      </c>
      <c r="FL429" s="60" t="str">
        <f t="shared" si="739"/>
        <v/>
      </c>
      <c r="FM429" s="60" t="e">
        <f>IF($FL429="",#N/A,SUM($FL$4:FL429))</f>
        <v>#N/A</v>
      </c>
      <c r="FN429" s="82">
        <f t="shared" si="740"/>
        <v>0.40185156925581089</v>
      </c>
      <c r="FO429" s="82">
        <f>IF($FN429="",#N/A,SUM(FN$4:$FN429))</f>
        <v>55.637887111027744</v>
      </c>
      <c r="FP429" s="82">
        <f t="shared" si="759"/>
        <v>0.95376163589195795</v>
      </c>
      <c r="FQ429" s="246">
        <f>IF($EH429="",#N/A,SUM($FP$4:FP429))</f>
        <v>69.719346386132699</v>
      </c>
      <c r="FR429" s="82">
        <f>IFERROR(FQ429/COUNTA($J$4:J429),#N/A)</f>
        <v>0.1636604375261331</v>
      </c>
      <c r="FS429" s="82">
        <f t="shared" si="661"/>
        <v>0.27479942067894941</v>
      </c>
      <c r="FT429" s="82">
        <f t="shared" si="662"/>
        <v>0.73815428212509882</v>
      </c>
      <c r="FU429" s="338">
        <f t="shared" si="764"/>
        <v>33.244703848568278</v>
      </c>
      <c r="FV429" s="57" t="str">
        <f t="shared" si="765"/>
        <v>Dwn</v>
      </c>
      <c r="FW429" s="57" t="s">
        <v>2733</v>
      </c>
      <c r="FX429" s="57" t="str">
        <f t="shared" si="741"/>
        <v/>
      </c>
      <c r="FY429" s="57" t="str">
        <f t="shared" si="742"/>
        <v/>
      </c>
      <c r="FZ429" s="57" t="str">
        <f t="shared" si="743"/>
        <v/>
      </c>
      <c r="GA429" s="57" t="str">
        <f t="shared" si="744"/>
        <v>Short</v>
      </c>
      <c r="GB429" s="57">
        <f t="shared" si="745"/>
        <v>1</v>
      </c>
      <c r="GC429" s="57" t="str">
        <f t="shared" si="746"/>
        <v/>
      </c>
      <c r="GD429" s="57" t="str">
        <f t="shared" si="747"/>
        <v/>
      </c>
      <c r="GE429" s="62">
        <f t="shared" si="664"/>
        <v>65.53</v>
      </c>
      <c r="GF429" s="62" t="s">
        <v>2780</v>
      </c>
      <c r="GG429" s="199">
        <v>13</v>
      </c>
      <c r="GH429" s="207">
        <f t="shared" si="748"/>
        <v>851.89</v>
      </c>
      <c r="GI429" s="199">
        <v>13</v>
      </c>
      <c r="GJ429" s="200">
        <v>61.78</v>
      </c>
      <c r="GK429" s="63">
        <f t="shared" si="749"/>
        <v>48.75</v>
      </c>
      <c r="GL429" s="63">
        <f t="shared" si="665"/>
        <v>20.539999999999964</v>
      </c>
      <c r="GM429" s="82" t="str">
        <f t="shared" si="750"/>
        <v/>
      </c>
      <c r="GN429" s="82">
        <f>IF($GZ429="",#N/A,SUM(GM$4:GM429))</f>
        <v>9.4532904651294007</v>
      </c>
      <c r="GO429" s="82" t="str">
        <f t="shared" si="751"/>
        <v/>
      </c>
      <c r="GP429" s="82">
        <f>IF($GZ429="",#N/A,SUM(GO$4:GO429))</f>
        <v>4.2788408366274897</v>
      </c>
      <c r="GQ429" s="82">
        <f t="shared" si="752"/>
        <v>0.40185156925581089</v>
      </c>
      <c r="GR429" s="82">
        <f>IF($GZ429="",#N/A,SUM(GQ$4:GQ429))</f>
        <v>41.279918854828537</v>
      </c>
      <c r="GS429" s="63" t="str">
        <f t="shared" si="760"/>
        <v/>
      </c>
      <c r="GT429" s="63" t="e">
        <f>IF($GZ429="",#N/A,SUM(GS$4:GS429))</f>
        <v>#N/A</v>
      </c>
      <c r="GU429" s="63" t="str">
        <f t="shared" si="761"/>
        <v/>
      </c>
      <c r="GV429" s="63" t="e">
        <f>IF($GZ429="",#N/A,SUM(GU$4:GU429))</f>
        <v>#N/A</v>
      </c>
      <c r="GW429" s="63" t="e">
        <f t="shared" si="762"/>
        <v>#N/A</v>
      </c>
      <c r="GX429" s="63" t="e">
        <f>IF($GZ429="",#N/A,SUM(GW$4:GW429))</f>
        <v>#N/A</v>
      </c>
      <c r="GY429" s="63" t="e">
        <f>IF(EJ429="",#N/A,SUM($EJ$4:EJ429))</f>
        <v>#N/A</v>
      </c>
      <c r="GZ429" s="159">
        <v>63.95</v>
      </c>
      <c r="HA429" s="63">
        <f t="shared" si="753"/>
        <v>-28.210000000000036</v>
      </c>
      <c r="HB429" s="62" t="s">
        <v>2538</v>
      </c>
      <c r="HC429" s="60">
        <f>IFERROR(VLOOKUP(E429,Expectancy!$P$4:$S$19,1+C429,FALSE),"")</f>
        <v>1.1895734332751575</v>
      </c>
      <c r="HD429" s="82">
        <f t="shared" si="754"/>
        <v>0.95376163589195795</v>
      </c>
      <c r="HE429" s="138">
        <f>IF(HD429="",#N/A,SUM($HD$4:HD429))</f>
        <v>21.944642537564416</v>
      </c>
      <c r="HF429" s="85">
        <f>IF(HD429="",#N/A,IF(HB429="Skip",#N/A,SUM($HG$4:HG429)))</f>
        <v>1248.5635792191561</v>
      </c>
      <c r="HG429" s="63">
        <f t="shared" si="755"/>
        <v>48.75</v>
      </c>
      <c r="HH429" s="82">
        <f t="shared" si="766"/>
        <v>0.40185156925581089</v>
      </c>
    </row>
    <row r="430" spans="1:216" x14ac:dyDescent="0.25">
      <c r="A430" s="57" t="s">
        <v>1205</v>
      </c>
      <c r="B430" s="58" t="str" cm="1">
        <f t="array" ref="B430">IFERROR(_xlfn.XLOOKUP(A430,Earnings!$B$2:$B$9985,LEFT(Earnings!$C$2:$C$9985,37)),"Can't Find Date***")</f>
        <v>on 3/12/25 After Market Eastern Stand</v>
      </c>
      <c r="C430" s="386">
        <f t="shared" si="667"/>
        <v>2</v>
      </c>
      <c r="D430" s="372" t="str">
        <f>_xlfn.XLOOKUP(A430,[1]SP500!$A$2:$A$502,[1]SP500!$D$2:$D$502,"N")</f>
        <v>N</v>
      </c>
      <c r="E430" s="57" t="str">
        <f>_xlfn.XLOOKUP(A430,[1]SP500!$A$2:$A$655,[1]SP500!$B$2:$B$655)</f>
        <v>XLY</v>
      </c>
      <c r="F430" s="59">
        <v>45728</v>
      </c>
      <c r="G430" s="57" t="str">
        <f t="shared" si="668"/>
        <v>AMC</v>
      </c>
      <c r="H430" s="57" t="str">
        <f t="shared" si="669"/>
        <v>s</v>
      </c>
      <c r="I430" s="159">
        <v>11.45</v>
      </c>
      <c r="J430" s="159">
        <v>10.99</v>
      </c>
      <c r="K430" s="61">
        <f t="shared" si="670"/>
        <v>-4.0174672489082894E-2</v>
      </c>
      <c r="L430" s="87">
        <f t="shared" si="671"/>
        <v>39.099999999999909</v>
      </c>
      <c r="M430" s="130">
        <f t="shared" si="663"/>
        <v>-9.3500000000000227</v>
      </c>
      <c r="N430" s="169" t="str">
        <f t="shared" si="672"/>
        <v/>
      </c>
      <c r="O430" s="169">
        <f>IF($J430="",#N/A,SUM($N$4:N430))</f>
        <v>-328.04225475891064</v>
      </c>
      <c r="P430" s="174">
        <f t="shared" si="673"/>
        <v>39.099999999999909</v>
      </c>
      <c r="Q430" s="174">
        <f>IF($J430="",#N/A,SUM($P$4:P430))</f>
        <v>1856.9966539569482</v>
      </c>
      <c r="R430" s="178" t="str">
        <f t="shared" si="674"/>
        <v/>
      </c>
      <c r="S430" s="178">
        <f>IF($J430="",#N/A,SUM($R$4:R430))</f>
        <v>1109.4491723953095</v>
      </c>
      <c r="T430" s="290" t="str">
        <f t="shared" si="675"/>
        <v/>
      </c>
      <c r="U430" s="290">
        <f>IF($J430="",#N/A,SUM($T$4:T430))</f>
        <v>10.009379462148743</v>
      </c>
      <c r="V430" s="291">
        <f t="shared" si="676"/>
        <v>0.66957787481804809</v>
      </c>
      <c r="W430" s="291">
        <f>IF($J430="",#N/A,SUM($V$4:V430))</f>
        <v>41.462249610410005</v>
      </c>
      <c r="X430" s="292" t="str">
        <f t="shared" si="677"/>
        <v/>
      </c>
      <c r="Y430" s="292">
        <f>IF($J430="",#N/A,SUM($X$4:X430))</f>
        <v>18.917295188392</v>
      </c>
      <c r="Z430" s="304" t="str">
        <f t="shared" si="678"/>
        <v/>
      </c>
      <c r="AA430" s="313" t="e">
        <f>IF($J430="",#N/A,SUM(Z$4:Z430))</f>
        <v>#N/A</v>
      </c>
      <c r="AB430" s="314" t="str">
        <f t="shared" si="679"/>
        <v/>
      </c>
      <c r="AC430" s="314" t="e">
        <f>IF($J430="",#N/A,SUM(AB$4:AB430))</f>
        <v>#N/A</v>
      </c>
      <c r="AD430" s="315" t="str">
        <f t="shared" si="680"/>
        <v/>
      </c>
      <c r="AE430" s="315" t="e">
        <f>IF($J430="",#N/A,SUM(AD$4:AD430))</f>
        <v>#N/A</v>
      </c>
      <c r="AF430" s="315" t="e">
        <f>IF($J430="",#N/A,SUM(AD$4:AD430,AB$4:AB430,Z$4:Z430))</f>
        <v>#N/A</v>
      </c>
      <c r="AG430" s="304" t="str">
        <f t="shared" si="681"/>
        <v/>
      </c>
      <c r="AH430" s="313" t="e">
        <f>IF($J430="",#N/A,SUM(AG$4:AG430))</f>
        <v>#N/A</v>
      </c>
      <c r="AI430" s="314" t="str">
        <f t="shared" si="682"/>
        <v/>
      </c>
      <c r="AJ430" s="314" t="e">
        <f>IF($J430="",#N/A,SUM(AI$4:AI430))</f>
        <v>#N/A</v>
      </c>
      <c r="AK430" s="315" t="str">
        <f t="shared" si="683"/>
        <v/>
      </c>
      <c r="AL430" s="315" t="e">
        <f>IF($J430="",#N/A,SUM(AK$4:AK430))</f>
        <v>#N/A</v>
      </c>
      <c r="AM430" s="315" t="e">
        <f>IF($J430="",#N/A,SUM(AK$4:AK430,AI$4:AI430,AG$4:AG430))</f>
        <v>#N/A</v>
      </c>
      <c r="AN430" s="304" t="str">
        <f t="shared" si="684"/>
        <v/>
      </c>
      <c r="AO430" s="313" t="e">
        <f>IF($J430="",#N/A,SUM(AN$4:AN430))</f>
        <v>#N/A</v>
      </c>
      <c r="AP430" s="314">
        <f t="shared" si="685"/>
        <v>0.66957787481804809</v>
      </c>
      <c r="AQ430" s="314" t="e">
        <f>IF($J430="",#N/A,SUM(AP$4:AP430))</f>
        <v>#N/A</v>
      </c>
      <c r="AR430" s="315" t="str">
        <f t="shared" si="686"/>
        <v/>
      </c>
      <c r="AS430" s="315" t="e">
        <f>IF($J430="",#N/A,SUM(AR$4:AR430))</f>
        <v>#N/A</v>
      </c>
      <c r="AT430" s="315" t="e">
        <f>IF($J430="",#N/A,SUM(AR$4:AR430,AP$4:AP430,AN$4:AN430))</f>
        <v>#N/A</v>
      </c>
      <c r="AU430" s="304" t="str">
        <f t="shared" si="687"/>
        <v/>
      </c>
      <c r="AV430" s="313" t="e">
        <f>IF($J430="",#N/A,SUM(AU$4:AU430))</f>
        <v>#N/A</v>
      </c>
      <c r="AW430" s="314" t="str">
        <f t="shared" si="688"/>
        <v/>
      </c>
      <c r="AX430" s="314" t="e">
        <f>IF($J430="",#N/A,SUM(AW$4:AW430))</f>
        <v>#N/A</v>
      </c>
      <c r="AY430" s="315" t="str">
        <f t="shared" si="689"/>
        <v/>
      </c>
      <c r="AZ430" s="315" t="e">
        <f>IF($J430="",#N/A,SUM(AY$4:AY430))</f>
        <v>#N/A</v>
      </c>
      <c r="BA430" s="315" t="e">
        <f>IF($J430="",#N/A,SUM(AY$4:AY430,AW$4:AW430,AU$4:AU430))</f>
        <v>#N/A</v>
      </c>
      <c r="BB430" s="304" t="str">
        <f t="shared" si="690"/>
        <v/>
      </c>
      <c r="BC430" s="313" t="e">
        <f>IF($J430="",#N/A,SUM(BB$4:BB430))</f>
        <v>#N/A</v>
      </c>
      <c r="BD430" s="314" t="str">
        <f t="shared" si="691"/>
        <v/>
      </c>
      <c r="BE430" s="314" t="e">
        <f>IF($J430="",#N/A,SUM(BD$4:BD430))</f>
        <v>#N/A</v>
      </c>
      <c r="BF430" s="315" t="str">
        <f t="shared" si="692"/>
        <v/>
      </c>
      <c r="BG430" s="315" t="e">
        <f>IF($J430="",#N/A,SUM(BF$4:BF430))</f>
        <v>#N/A</v>
      </c>
      <c r="BH430" s="315" t="e">
        <f>IF($J430="",#N/A,SUM(BF$4:BF430,BD$4:BD430,BB$4:BB430))</f>
        <v>#N/A</v>
      </c>
      <c r="BI430" s="304" t="str">
        <f t="shared" si="693"/>
        <v/>
      </c>
      <c r="BJ430" s="313" t="e">
        <f>IF($J430="",#N/A,SUM(BI$4:BI430))</f>
        <v>#N/A</v>
      </c>
      <c r="BK430" s="314" t="str">
        <f t="shared" si="694"/>
        <v/>
      </c>
      <c r="BL430" s="314" t="e">
        <f>IF($J430="",#N/A,SUM(BK$4:BK430))</f>
        <v>#N/A</v>
      </c>
      <c r="BM430" s="315" t="str">
        <f t="shared" si="695"/>
        <v/>
      </c>
      <c r="BN430" s="315" t="e">
        <f>IF($J430="",#N/A,SUM(BM$4:BM430))</f>
        <v>#N/A</v>
      </c>
      <c r="BO430" s="315" t="e">
        <f>IF($J430="",#N/A,SUM(BM$4:BM430,BK$4:BK430,BI$4:BI430))</f>
        <v>#N/A</v>
      </c>
      <c r="BP430" s="304" t="str">
        <f t="shared" si="696"/>
        <v/>
      </c>
      <c r="BQ430" s="313" t="e">
        <f>IF($J430="",#N/A,SUM(BP$4:BP430))</f>
        <v>#N/A</v>
      </c>
      <c r="BR430" s="314" t="str">
        <f t="shared" si="697"/>
        <v/>
      </c>
      <c r="BS430" s="314" t="e">
        <f>IF($J430="",#N/A,SUM(BR$4:BR430))</f>
        <v>#N/A</v>
      </c>
      <c r="BT430" s="315" t="str">
        <f t="shared" si="698"/>
        <v/>
      </c>
      <c r="BU430" s="315" t="e">
        <f>IF($J430="",#N/A,SUM(BT$4:BT430))</f>
        <v>#N/A</v>
      </c>
      <c r="BV430" s="315" t="e">
        <f>IF($J430="",#N/A,SUM(BT$4:BT430,BR$4:BR430,BP$4:BP430))</f>
        <v>#N/A</v>
      </c>
      <c r="BW430" s="304" t="str">
        <f t="shared" si="699"/>
        <v/>
      </c>
      <c r="BX430" s="313" t="e">
        <f>IF($J430="",#N/A,SUM(BW$4:BW430))</f>
        <v>#N/A</v>
      </c>
      <c r="BY430" s="314" t="str">
        <f t="shared" si="700"/>
        <v/>
      </c>
      <c r="BZ430" s="314" t="e">
        <f>IF($J430="",#N/A,SUM(BY$4:BY430))</f>
        <v>#N/A</v>
      </c>
      <c r="CA430" s="315" t="str">
        <f t="shared" si="701"/>
        <v/>
      </c>
      <c r="CB430" s="315" t="e">
        <f>IF($J430="",#N/A,SUM(CA$4:CA430))</f>
        <v>#N/A</v>
      </c>
      <c r="CC430" s="315" t="e">
        <f>IF($J430="",#N/A,SUM(CA$4:CA430,BY$4:BY430,BW$4:BW430))</f>
        <v>#N/A</v>
      </c>
      <c r="CD430" s="304" t="str">
        <f t="shared" si="702"/>
        <v/>
      </c>
      <c r="CE430" s="313" t="e">
        <f>IF($J430="",#N/A,SUM(CD$4:CD430))</f>
        <v>#N/A</v>
      </c>
      <c r="CF430" s="314" t="str">
        <f t="shared" si="703"/>
        <v/>
      </c>
      <c r="CG430" s="314" t="e">
        <f>IF($J430="",#N/A,SUM(CF$4:CF430))</f>
        <v>#N/A</v>
      </c>
      <c r="CH430" s="315" t="str">
        <f t="shared" si="704"/>
        <v/>
      </c>
      <c r="CI430" s="315" t="e">
        <f>IF($J430="",#N/A,SUM(CH$4:CH430))</f>
        <v>#N/A</v>
      </c>
      <c r="CJ430" s="315" t="e">
        <f>IF($J430="",#N/A,SUM(CH$4:CH430,CF$4:CF430,CD$4:CD430))</f>
        <v>#N/A</v>
      </c>
      <c r="CK430" s="304" t="str">
        <f t="shared" si="705"/>
        <v/>
      </c>
      <c r="CL430" s="313" t="e">
        <f>IF($J430="",#N/A,SUM(CK$4:CK430))</f>
        <v>#N/A</v>
      </c>
      <c r="CM430" s="314" t="str">
        <f t="shared" si="706"/>
        <v/>
      </c>
      <c r="CN430" s="314" t="e">
        <f>IF($J430="",#N/A,SUM(CM$4:CM430))</f>
        <v>#N/A</v>
      </c>
      <c r="CO430" s="315" t="str">
        <f t="shared" si="707"/>
        <v/>
      </c>
      <c r="CP430" s="315" t="e">
        <f>IF($J430="",#N/A,SUM(CO$4:CO430))</f>
        <v>#N/A</v>
      </c>
      <c r="CQ430" s="315" t="e">
        <f>IF($J430="",#N/A,SUM(CO$4:CO430,CM$4:CM430,CK$4:CK430))</f>
        <v>#N/A</v>
      </c>
      <c r="CR430" s="304" t="str">
        <f t="shared" si="708"/>
        <v/>
      </c>
      <c r="CS430" s="313" t="e">
        <f>IF($J430="",#N/A,SUM(CR$4:CR430))</f>
        <v>#N/A</v>
      </c>
      <c r="CT430" s="314" t="str">
        <f t="shared" si="709"/>
        <v/>
      </c>
      <c r="CU430" s="314" t="e">
        <f>IF($J430="",#N/A,SUM(CT$4:CT430))</f>
        <v>#N/A</v>
      </c>
      <c r="CV430" s="315" t="str">
        <f t="shared" si="710"/>
        <v/>
      </c>
      <c r="CW430" s="315" t="e">
        <f>IF($J430="",#N/A,SUM(CV$4:CV430))</f>
        <v>#N/A</v>
      </c>
      <c r="CX430" s="315" t="e">
        <f>IF($J430="",#N/A,SUM(CV$4:CV430,CT$4:CT430,CR$4:CR430))</f>
        <v>#N/A</v>
      </c>
      <c r="CY430" s="304" t="str">
        <f t="shared" si="711"/>
        <v/>
      </c>
      <c r="CZ430" s="313" t="e">
        <f>IF($J430="",#N/A,SUM(CY$4:CY430))</f>
        <v>#N/A</v>
      </c>
      <c r="DA430" s="314" t="str">
        <f t="shared" si="712"/>
        <v/>
      </c>
      <c r="DB430" s="314" t="e">
        <f>IF($J430="",#N/A,SUM(DA$4:DA430))</f>
        <v>#N/A</v>
      </c>
      <c r="DC430" s="315" t="str">
        <f t="shared" si="713"/>
        <v/>
      </c>
      <c r="DD430" s="315" t="e">
        <f>IF($J430="",#N/A,SUM(DC$4:DC430))</f>
        <v>#N/A</v>
      </c>
      <c r="DE430" s="315" t="e">
        <f>IF($J430="",#N/A,SUM(DC$4:DC430,DA$4:DA430,CY$4:CY430))</f>
        <v>#N/A</v>
      </c>
      <c r="DF430" s="304" t="str">
        <f t="shared" si="714"/>
        <v/>
      </c>
      <c r="DG430" s="313" t="e">
        <f>IF($J430="",#N/A,SUM(DF$4:DF430))</f>
        <v>#N/A</v>
      </c>
      <c r="DH430" s="314" t="str">
        <f t="shared" si="715"/>
        <v/>
      </c>
      <c r="DI430" s="314" t="e">
        <f>IF($J430="",#N/A,SUM(DH$4:DH430))</f>
        <v>#N/A</v>
      </c>
      <c r="DJ430" s="315" t="str">
        <f t="shared" si="716"/>
        <v/>
      </c>
      <c r="DK430" s="315" t="e">
        <f>IF($J430="",#N/A,SUM(DJ$4:DJ430))</f>
        <v>#N/A</v>
      </c>
      <c r="DL430" s="315" t="e">
        <f>IF($J430="",#N/A,SUM(DJ$4:DJ430,DH$4:DH430,DF$4:DF430))</f>
        <v>#N/A</v>
      </c>
      <c r="DM430" s="304" t="str">
        <f t="shared" si="717"/>
        <v/>
      </c>
      <c r="DN430" s="313" t="e">
        <f>IF($J430="",#N/A,SUM(DM$4:DM430))</f>
        <v>#N/A</v>
      </c>
      <c r="DO430" s="314" t="str">
        <f t="shared" si="718"/>
        <v/>
      </c>
      <c r="DP430" s="314" t="e">
        <f>IF($J430="",#N/A,SUM(DO$4:DO430))</f>
        <v>#N/A</v>
      </c>
      <c r="DQ430" s="315" t="str">
        <f t="shared" si="719"/>
        <v/>
      </c>
      <c r="DR430" s="315" t="e">
        <f>IF($J430="",#N/A,SUM(DQ$4:DQ430))</f>
        <v>#N/A</v>
      </c>
      <c r="DS430" s="315" t="e">
        <f>IF($J430="",#N/A,SUM(DQ$4:DQ430,DO$4:DO430,DM$4:DM430))</f>
        <v>#N/A</v>
      </c>
      <c r="DT430" s="304" t="str">
        <f t="shared" si="720"/>
        <v/>
      </c>
      <c r="DU430" s="313" t="e">
        <f>IF($J430="",#N/A,SUM(DT$4:DT430))</f>
        <v>#N/A</v>
      </c>
      <c r="DV430" s="314" t="str">
        <f t="shared" si="721"/>
        <v/>
      </c>
      <c r="DW430" s="314" t="e">
        <f>IF($J430="",#N/A,SUM(DV$4:DV430))</f>
        <v>#N/A</v>
      </c>
      <c r="DX430" s="315" t="str">
        <f t="shared" si="722"/>
        <v/>
      </c>
      <c r="DY430" s="315" t="e">
        <f>IF($J430="",#N/A,SUM(DX$4:DX430))</f>
        <v>#N/A</v>
      </c>
      <c r="DZ430" s="315" t="e">
        <f>IF($J430="",#N/A,SUM(DX$4:DX430,DV$4:DV430,DT$4:DT430))</f>
        <v>#N/A</v>
      </c>
      <c r="EA430" s="304" t="str">
        <f t="shared" si="723"/>
        <v/>
      </c>
      <c r="EB430" s="313" t="e">
        <f>IF($J430="",#N/A,SUM(EA$4:EA430))</f>
        <v>#N/A</v>
      </c>
      <c r="EC430" s="314" t="str">
        <f t="shared" si="724"/>
        <v/>
      </c>
      <c r="ED430" s="314" t="e">
        <f>IF($J430="",#N/A,SUM(EC$4:EC430))</f>
        <v>#N/A</v>
      </c>
      <c r="EE430" s="315" t="str">
        <f t="shared" si="725"/>
        <v/>
      </c>
      <c r="EF430" s="315" t="e">
        <f>IF($J430="",#N/A,SUM(EE$4:EE430))</f>
        <v>#N/A</v>
      </c>
      <c r="EG430" s="315" t="e">
        <f>IF($J430="",#N/A,SUM(EE$4:EE430,EC$4:EC430,EA$4:EA430))</f>
        <v>#N/A</v>
      </c>
      <c r="EH430" s="130">
        <f t="shared" si="726"/>
        <v>39.099999999999909</v>
      </c>
      <c r="EI430" s="63">
        <f>IF(EH430="",#N/A,SUM($EH$4:EH430))</f>
        <v>2638.4035715933469</v>
      </c>
      <c r="EJ430" s="223" t="e">
        <f t="shared" si="727"/>
        <v>#N/A</v>
      </c>
      <c r="EK430" s="63" t="e">
        <f>IF($GZ430="",#N/A,SUM(EJ$4:EJ430))</f>
        <v>#N/A</v>
      </c>
      <c r="EL430" s="60" t="str">
        <f t="shared" si="757"/>
        <v/>
      </c>
      <c r="EM430" s="60" t="e">
        <f>IF(EL430="",NA(),SUM($EL$4:EL430))</f>
        <v>#N/A</v>
      </c>
      <c r="EN430" s="60" t="str">
        <f t="shared" si="728"/>
        <v/>
      </c>
      <c r="EO430" s="60" t="e">
        <f>IF(EN430="",NA(),SUM($EN$4:EN430))</f>
        <v>#N/A</v>
      </c>
      <c r="EP430" s="60" t="str">
        <f t="shared" si="729"/>
        <v/>
      </c>
      <c r="EQ430" s="60" t="e">
        <f>IF(EP430="",NA(),SUM($EP$4:EP430))</f>
        <v>#N/A</v>
      </c>
      <c r="ER430" s="60" t="str">
        <f t="shared" si="730"/>
        <v/>
      </c>
      <c r="ES430" s="60" t="e">
        <f>IF(ER430="",NA(),SUM($ER$4:ER430))</f>
        <v>#N/A</v>
      </c>
      <c r="ET430" s="60">
        <f t="shared" si="731"/>
        <v>0.66957787481804809</v>
      </c>
      <c r="EU430" s="60">
        <f>IF(ET430="",NA(),SUM($ET$4:ET430))</f>
        <v>44.256657249197609</v>
      </c>
      <c r="EV430" s="60" t="str">
        <f t="shared" si="732"/>
        <v/>
      </c>
      <c r="EW430" s="60" t="e">
        <f>IF(EV430="",NA(),SUM($EV$4:EV430))</f>
        <v>#N/A</v>
      </c>
      <c r="EX430" s="60" t="str">
        <f t="shared" si="733"/>
        <v/>
      </c>
      <c r="EY430" s="60" t="e">
        <f>IF(EX430="",NA(),SUM($EX$4:EX430))</f>
        <v>#N/A</v>
      </c>
      <c r="EZ430" s="60">
        <f t="shared" si="734"/>
        <v>0.66957787481804809</v>
      </c>
      <c r="FA430" s="60">
        <f>IF(EZ430="",NA(),SUM($EZ$4:EZ430))</f>
        <v>26.06436164097812</v>
      </c>
      <c r="FB430" s="246">
        <f t="shared" si="758"/>
        <v>1.4556040756912525E-2</v>
      </c>
      <c r="FC430" s="246">
        <f>IF($FB430="",#N/A,SUM(FB$4:$FB430))</f>
        <v>-0.31875331118665606</v>
      </c>
      <c r="FD430" s="60" t="str">
        <f t="shared" si="735"/>
        <v/>
      </c>
      <c r="FE430" s="60" t="e">
        <f>IF($FD430="",#N/A,SUM($FD$4:FD430))</f>
        <v>#N/A</v>
      </c>
      <c r="FF430" s="60" t="str">
        <f t="shared" si="736"/>
        <v/>
      </c>
      <c r="FG430" s="60" t="e">
        <f>IF($FF430="",#N/A,SUM($FF$4:FF430))</f>
        <v>#N/A</v>
      </c>
      <c r="FH430" s="60" t="str">
        <f t="shared" si="737"/>
        <v/>
      </c>
      <c r="FI430" s="60" t="e">
        <f>IF($FH430="",#N/A,SUM($FH$4:FH430))</f>
        <v>#N/A</v>
      </c>
      <c r="FJ430" s="60" t="str">
        <f t="shared" si="738"/>
        <v/>
      </c>
      <c r="FK430" s="60" t="e">
        <f>IF($FJ430="",#N/A,SUM($FJ$4:FJ430))</f>
        <v>#N/A</v>
      </c>
      <c r="FL430" s="60" t="str">
        <f t="shared" si="739"/>
        <v/>
      </c>
      <c r="FM430" s="60" t="e">
        <f>IF($FL430="",#N/A,SUM($FL$4:FL430))</f>
        <v>#N/A</v>
      </c>
      <c r="FN430" s="82">
        <f t="shared" si="740"/>
        <v>0.68413391557496062</v>
      </c>
      <c r="FO430" s="82">
        <f>IF($FN430="",#N/A,SUM(FN$4:$FN430))</f>
        <v>56.322021026602705</v>
      </c>
      <c r="FP430" s="82">
        <f t="shared" si="759"/>
        <v>0.66957787481804809</v>
      </c>
      <c r="FQ430" s="246">
        <f>IF($EH430="",#N/A,SUM($FP$4:FP430))</f>
        <v>70.388924260950745</v>
      </c>
      <c r="FR430" s="82">
        <f>IFERROR(FQ430/COUNTA($J$4:J430),#N/A)</f>
        <v>0.16484525588044671</v>
      </c>
      <c r="FS430" s="82">
        <f t="shared" si="661"/>
        <v>0.29621236854964195</v>
      </c>
      <c r="FT430" s="82">
        <f t="shared" si="662"/>
        <v>0.74694026782556056</v>
      </c>
      <c r="FU430" s="338">
        <f t="shared" si="764"/>
        <v>33.404820296894336</v>
      </c>
      <c r="FV430" s="57" t="str">
        <f t="shared" si="765"/>
        <v>Dwn</v>
      </c>
      <c r="FW430" s="57" t="s">
        <v>2733</v>
      </c>
      <c r="FX430" s="57" t="str">
        <f t="shared" si="741"/>
        <v/>
      </c>
      <c r="FY430" s="57" t="str">
        <f t="shared" si="742"/>
        <v/>
      </c>
      <c r="FZ430" s="57" t="str">
        <f t="shared" si="743"/>
        <v/>
      </c>
      <c r="GA430" s="57" t="str">
        <f t="shared" si="744"/>
        <v>Short</v>
      </c>
      <c r="GB430" s="57">
        <f t="shared" si="745"/>
        <v>1</v>
      </c>
      <c r="GC430" s="57" t="str">
        <f t="shared" si="746"/>
        <v/>
      </c>
      <c r="GD430" s="57" t="str">
        <f t="shared" si="747"/>
        <v/>
      </c>
      <c r="GE430" s="62">
        <f t="shared" si="664"/>
        <v>11.45</v>
      </c>
      <c r="GF430" s="62" t="s">
        <v>2780</v>
      </c>
      <c r="GG430" s="199">
        <v>85</v>
      </c>
      <c r="GH430" s="207">
        <f t="shared" si="748"/>
        <v>973.24999999999989</v>
      </c>
      <c r="GI430" s="199">
        <v>85</v>
      </c>
      <c r="GJ430" s="200">
        <v>11.1</v>
      </c>
      <c r="GK430" s="63">
        <f t="shared" si="749"/>
        <v>29.749999999999886</v>
      </c>
      <c r="GL430" s="63">
        <f t="shared" si="665"/>
        <v>39.949999999999818</v>
      </c>
      <c r="GM430" s="82" t="str">
        <f t="shared" si="750"/>
        <v/>
      </c>
      <c r="GN430" s="82">
        <f>IF($GZ430="",#N/A,SUM(GM$4:GM430))</f>
        <v>9.4532904651294007</v>
      </c>
      <c r="GO430" s="82" t="str">
        <f t="shared" si="751"/>
        <v/>
      </c>
      <c r="GP430" s="82">
        <f>IF($GZ430="",#N/A,SUM(GO$4:GO430))</f>
        <v>4.2788408366274897</v>
      </c>
      <c r="GQ430" s="82">
        <f t="shared" si="752"/>
        <v>0.68413391557496062</v>
      </c>
      <c r="GR430" s="82">
        <f>IF($GZ430="",#N/A,SUM(GQ$4:GQ430))</f>
        <v>41.964052770403498</v>
      </c>
      <c r="GS430" s="63" t="str">
        <f t="shared" si="760"/>
        <v/>
      </c>
      <c r="GT430" s="63" t="e">
        <f>IF($GZ430="",#N/A,SUM(GS$4:GS430))</f>
        <v>#N/A</v>
      </c>
      <c r="GU430" s="63" t="str">
        <f t="shared" si="761"/>
        <v/>
      </c>
      <c r="GV430" s="63" t="e">
        <f>IF($GZ430="",#N/A,SUM(GU$4:GU430))</f>
        <v>#N/A</v>
      </c>
      <c r="GW430" s="63" t="e">
        <f t="shared" si="762"/>
        <v>#N/A</v>
      </c>
      <c r="GX430" s="63" t="e">
        <f>IF($GZ430="",#N/A,SUM(GW$4:GW430))</f>
        <v>#N/A</v>
      </c>
      <c r="GY430" s="63" t="e">
        <f>IF(EJ430="",#N/A,SUM($EJ$4:EJ430))</f>
        <v>#N/A</v>
      </c>
      <c r="GZ430" s="159">
        <v>10.98</v>
      </c>
      <c r="HA430" s="63">
        <f t="shared" si="753"/>
        <v>0.84999999999990905</v>
      </c>
      <c r="HB430" s="62" t="s">
        <v>2538</v>
      </c>
      <c r="HC430" s="60">
        <f>IFERROR(VLOOKUP(E430,Expectancy!$P$4:$S$19,1+C430,FALSE),"")</f>
        <v>-9.4786290791818092E-2</v>
      </c>
      <c r="HD430" s="82">
        <f t="shared" si="754"/>
        <v>0.50946142649199233</v>
      </c>
      <c r="HE430" s="138">
        <f>IF(HD430="",#N/A,SUM($HD$4:HD430))</f>
        <v>22.454103964056408</v>
      </c>
      <c r="HF430" s="85">
        <f>IF(HD430="",#N/A,IF(HB430="Skip",#N/A,SUM($HG$4:HG430)))</f>
        <v>1278.3135792191561</v>
      </c>
      <c r="HG430" s="63">
        <f t="shared" si="755"/>
        <v>29.749999999999886</v>
      </c>
      <c r="HH430" s="82">
        <f t="shared" si="766"/>
        <v>0.68413391557496062</v>
      </c>
    </row>
    <row r="431" spans="1:216" x14ac:dyDescent="0.25">
      <c r="A431" s="57" t="s">
        <v>1262</v>
      </c>
      <c r="B431" s="58" t="str" cm="1">
        <f t="array" ref="B431">IFERROR(_xlfn.XLOOKUP(A431,Earnings!$B$2:$B$9985,LEFT(Earnings!$C$2:$C$9985,37)),"Can't Find Date***")</f>
        <v>on 3/12/25 After Market Eastern Stand</v>
      </c>
      <c r="C431" s="386">
        <f t="shared" si="667"/>
        <v>2</v>
      </c>
      <c r="D431" s="372" t="str">
        <f>_xlfn.XLOOKUP(A431,[1]SP500!$A$2:$A$502,[1]SP500!$D$2:$D$502,"N")</f>
        <v>Y</v>
      </c>
      <c r="E431" s="57" t="str">
        <f>_xlfn.XLOOKUP(A431,[1]SP500!$A$2:$A$655,[1]SP500!$B$2:$B$655)</f>
        <v>IGV</v>
      </c>
      <c r="F431" s="59">
        <v>45728</v>
      </c>
      <c r="G431" s="57" t="str">
        <f t="shared" si="668"/>
        <v>AMC</v>
      </c>
      <c r="H431" s="57" t="str">
        <f t="shared" si="669"/>
        <v>s</v>
      </c>
      <c r="I431" s="159">
        <v>438.6</v>
      </c>
      <c r="J431" s="159">
        <v>405.27</v>
      </c>
      <c r="K431" s="61">
        <f t="shared" si="670"/>
        <v>-7.599179206566356E-2</v>
      </c>
      <c r="L431" s="87">
        <f t="shared" si="671"/>
        <v>66.660000000000082</v>
      </c>
      <c r="M431" s="130">
        <f t="shared" si="663"/>
        <v>2.1200000000000045</v>
      </c>
      <c r="N431" s="169" t="str">
        <f t="shared" si="672"/>
        <v/>
      </c>
      <c r="O431" s="169">
        <f>IF($J431="",#N/A,SUM($N$4:N431))</f>
        <v>-328.04225475891064</v>
      </c>
      <c r="P431" s="174">
        <f t="shared" si="673"/>
        <v>66.660000000000082</v>
      </c>
      <c r="Q431" s="174">
        <f>IF($J431="",#N/A,SUM($P$4:P431))</f>
        <v>1923.6566539569483</v>
      </c>
      <c r="R431" s="178" t="str">
        <f t="shared" si="674"/>
        <v/>
      </c>
      <c r="S431" s="178">
        <f>IF($J431="",#N/A,SUM($R$4:R431))</f>
        <v>1109.4491723953095</v>
      </c>
      <c r="T431" s="290" t="str">
        <f t="shared" si="675"/>
        <v/>
      </c>
      <c r="U431" s="290">
        <f>IF($J431="",#N/A,SUM($T$4:T431))</f>
        <v>10.009379462148743</v>
      </c>
      <c r="V431" s="291">
        <f t="shared" si="676"/>
        <v>1.2665298677610595</v>
      </c>
      <c r="W431" s="291">
        <f>IF($J431="",#N/A,SUM($V$4:V431))</f>
        <v>42.728779478171063</v>
      </c>
      <c r="X431" s="292" t="str">
        <f t="shared" si="677"/>
        <v/>
      </c>
      <c r="Y431" s="292">
        <f>IF($J431="",#N/A,SUM($X$4:X431))</f>
        <v>18.917295188392</v>
      </c>
      <c r="Z431" s="304" t="str">
        <f t="shared" si="678"/>
        <v/>
      </c>
      <c r="AA431" s="313" t="e">
        <f>IF($J431="",#N/A,SUM(Z$4:Z431))</f>
        <v>#N/A</v>
      </c>
      <c r="AB431" s="314" t="str">
        <f t="shared" si="679"/>
        <v/>
      </c>
      <c r="AC431" s="314" t="e">
        <f>IF($J431="",#N/A,SUM(AB$4:AB431))</f>
        <v>#N/A</v>
      </c>
      <c r="AD431" s="315" t="str">
        <f t="shared" si="680"/>
        <v/>
      </c>
      <c r="AE431" s="315" t="e">
        <f>IF($J431="",#N/A,SUM(AD$4:AD431))</f>
        <v>#N/A</v>
      </c>
      <c r="AF431" s="315" t="e">
        <f>IF($J431="",#N/A,SUM(AD$4:AD431,AB$4:AB431,Z$4:Z431))</f>
        <v>#N/A</v>
      </c>
      <c r="AG431" s="304" t="str">
        <f t="shared" si="681"/>
        <v/>
      </c>
      <c r="AH431" s="313" t="e">
        <f>IF($J431="",#N/A,SUM(AG$4:AG431))</f>
        <v>#N/A</v>
      </c>
      <c r="AI431" s="314">
        <f t="shared" si="682"/>
        <v>1.2665298677610595</v>
      </c>
      <c r="AJ431" s="314" t="e">
        <f>IF($J431="",#N/A,SUM(AI$4:AI431))</f>
        <v>#N/A</v>
      </c>
      <c r="AK431" s="315" t="str">
        <f t="shared" si="683"/>
        <v/>
      </c>
      <c r="AL431" s="315" t="e">
        <f>IF($J431="",#N/A,SUM(AK$4:AK431))</f>
        <v>#N/A</v>
      </c>
      <c r="AM431" s="315" t="e">
        <f>IF($J431="",#N/A,SUM(AK$4:AK431,AI$4:AI431,AG$4:AG431))</f>
        <v>#N/A</v>
      </c>
      <c r="AN431" s="304" t="str">
        <f t="shared" si="684"/>
        <v/>
      </c>
      <c r="AO431" s="313" t="e">
        <f>IF($J431="",#N/A,SUM(AN$4:AN431))</f>
        <v>#N/A</v>
      </c>
      <c r="AP431" s="314" t="str">
        <f t="shared" si="685"/>
        <v/>
      </c>
      <c r="AQ431" s="314" t="e">
        <f>IF($J431="",#N/A,SUM(AP$4:AP431))</f>
        <v>#N/A</v>
      </c>
      <c r="AR431" s="315" t="str">
        <f t="shared" si="686"/>
        <v/>
      </c>
      <c r="AS431" s="315" t="e">
        <f>IF($J431="",#N/A,SUM(AR$4:AR431))</f>
        <v>#N/A</v>
      </c>
      <c r="AT431" s="315" t="e">
        <f>IF($J431="",#N/A,SUM(AR$4:AR431,AP$4:AP431,AN$4:AN431))</f>
        <v>#N/A</v>
      </c>
      <c r="AU431" s="304" t="str">
        <f t="shared" si="687"/>
        <v/>
      </c>
      <c r="AV431" s="313" t="e">
        <f>IF($J431="",#N/A,SUM(AU$4:AU431))</f>
        <v>#N/A</v>
      </c>
      <c r="AW431" s="314" t="str">
        <f t="shared" si="688"/>
        <v/>
      </c>
      <c r="AX431" s="314" t="e">
        <f>IF($J431="",#N/A,SUM(AW$4:AW431))</f>
        <v>#N/A</v>
      </c>
      <c r="AY431" s="315" t="str">
        <f t="shared" si="689"/>
        <v/>
      </c>
      <c r="AZ431" s="315" t="e">
        <f>IF($J431="",#N/A,SUM(AY$4:AY431))</f>
        <v>#N/A</v>
      </c>
      <c r="BA431" s="315" t="e">
        <f>IF($J431="",#N/A,SUM(AY$4:AY431,AW$4:AW431,AU$4:AU431))</f>
        <v>#N/A</v>
      </c>
      <c r="BB431" s="304" t="str">
        <f t="shared" si="690"/>
        <v/>
      </c>
      <c r="BC431" s="313" t="e">
        <f>IF($J431="",#N/A,SUM(BB$4:BB431))</f>
        <v>#N/A</v>
      </c>
      <c r="BD431" s="314" t="str">
        <f t="shared" si="691"/>
        <v/>
      </c>
      <c r="BE431" s="314" t="e">
        <f>IF($J431="",#N/A,SUM(BD$4:BD431))</f>
        <v>#N/A</v>
      </c>
      <c r="BF431" s="315" t="str">
        <f t="shared" si="692"/>
        <v/>
      </c>
      <c r="BG431" s="315" t="e">
        <f>IF($J431="",#N/A,SUM(BF$4:BF431))</f>
        <v>#N/A</v>
      </c>
      <c r="BH431" s="315" t="e">
        <f>IF($J431="",#N/A,SUM(BF$4:BF431,BD$4:BD431,BB$4:BB431))</f>
        <v>#N/A</v>
      </c>
      <c r="BI431" s="304" t="str">
        <f t="shared" si="693"/>
        <v/>
      </c>
      <c r="BJ431" s="313" t="e">
        <f>IF($J431="",#N/A,SUM(BI$4:BI431))</f>
        <v>#N/A</v>
      </c>
      <c r="BK431" s="314" t="str">
        <f t="shared" si="694"/>
        <v/>
      </c>
      <c r="BL431" s="314" t="e">
        <f>IF($J431="",#N/A,SUM(BK$4:BK431))</f>
        <v>#N/A</v>
      </c>
      <c r="BM431" s="315" t="str">
        <f t="shared" si="695"/>
        <v/>
      </c>
      <c r="BN431" s="315" t="e">
        <f>IF($J431="",#N/A,SUM(BM$4:BM431))</f>
        <v>#N/A</v>
      </c>
      <c r="BO431" s="315" t="e">
        <f>IF($J431="",#N/A,SUM(BM$4:BM431,BK$4:BK431,BI$4:BI431))</f>
        <v>#N/A</v>
      </c>
      <c r="BP431" s="304" t="str">
        <f t="shared" si="696"/>
        <v/>
      </c>
      <c r="BQ431" s="313" t="e">
        <f>IF($J431="",#N/A,SUM(BP$4:BP431))</f>
        <v>#N/A</v>
      </c>
      <c r="BR431" s="314" t="str">
        <f t="shared" si="697"/>
        <v/>
      </c>
      <c r="BS431" s="314" t="e">
        <f>IF($J431="",#N/A,SUM(BR$4:BR431))</f>
        <v>#N/A</v>
      </c>
      <c r="BT431" s="315" t="str">
        <f t="shared" si="698"/>
        <v/>
      </c>
      <c r="BU431" s="315" t="e">
        <f>IF($J431="",#N/A,SUM(BT$4:BT431))</f>
        <v>#N/A</v>
      </c>
      <c r="BV431" s="315" t="e">
        <f>IF($J431="",#N/A,SUM(BT$4:BT431,BR$4:BR431,BP$4:BP431))</f>
        <v>#N/A</v>
      </c>
      <c r="BW431" s="304" t="str">
        <f t="shared" si="699"/>
        <v/>
      </c>
      <c r="BX431" s="313" t="e">
        <f>IF($J431="",#N/A,SUM(BW$4:BW431))</f>
        <v>#N/A</v>
      </c>
      <c r="BY431" s="314" t="str">
        <f t="shared" si="700"/>
        <v/>
      </c>
      <c r="BZ431" s="314" t="e">
        <f>IF($J431="",#N/A,SUM(BY$4:BY431))</f>
        <v>#N/A</v>
      </c>
      <c r="CA431" s="315" t="str">
        <f t="shared" si="701"/>
        <v/>
      </c>
      <c r="CB431" s="315" t="e">
        <f>IF($J431="",#N/A,SUM(CA$4:CA431))</f>
        <v>#N/A</v>
      </c>
      <c r="CC431" s="315" t="e">
        <f>IF($J431="",#N/A,SUM(CA$4:CA431,BY$4:BY431,BW$4:BW431))</f>
        <v>#N/A</v>
      </c>
      <c r="CD431" s="304" t="str">
        <f t="shared" si="702"/>
        <v/>
      </c>
      <c r="CE431" s="313" t="e">
        <f>IF($J431="",#N/A,SUM(CD$4:CD431))</f>
        <v>#N/A</v>
      </c>
      <c r="CF431" s="314" t="str">
        <f t="shared" si="703"/>
        <v/>
      </c>
      <c r="CG431" s="314" t="e">
        <f>IF($J431="",#N/A,SUM(CF$4:CF431))</f>
        <v>#N/A</v>
      </c>
      <c r="CH431" s="315" t="str">
        <f t="shared" si="704"/>
        <v/>
      </c>
      <c r="CI431" s="315" t="e">
        <f>IF($J431="",#N/A,SUM(CH$4:CH431))</f>
        <v>#N/A</v>
      </c>
      <c r="CJ431" s="315" t="e">
        <f>IF($J431="",#N/A,SUM(CH$4:CH431,CF$4:CF431,CD$4:CD431))</f>
        <v>#N/A</v>
      </c>
      <c r="CK431" s="304" t="str">
        <f t="shared" si="705"/>
        <v/>
      </c>
      <c r="CL431" s="313" t="e">
        <f>IF($J431="",#N/A,SUM(CK$4:CK431))</f>
        <v>#N/A</v>
      </c>
      <c r="CM431" s="314" t="str">
        <f t="shared" si="706"/>
        <v/>
      </c>
      <c r="CN431" s="314" t="e">
        <f>IF($J431="",#N/A,SUM(CM$4:CM431))</f>
        <v>#N/A</v>
      </c>
      <c r="CO431" s="315" t="str">
        <f t="shared" si="707"/>
        <v/>
      </c>
      <c r="CP431" s="315" t="e">
        <f>IF($J431="",#N/A,SUM(CO$4:CO431))</f>
        <v>#N/A</v>
      </c>
      <c r="CQ431" s="315" t="e">
        <f>IF($J431="",#N/A,SUM(CO$4:CO431,CM$4:CM431,CK$4:CK431))</f>
        <v>#N/A</v>
      </c>
      <c r="CR431" s="304" t="str">
        <f t="shared" si="708"/>
        <v/>
      </c>
      <c r="CS431" s="313" t="e">
        <f>IF($J431="",#N/A,SUM(CR$4:CR431))</f>
        <v>#N/A</v>
      </c>
      <c r="CT431" s="314" t="str">
        <f t="shared" si="709"/>
        <v/>
      </c>
      <c r="CU431" s="314" t="e">
        <f>IF($J431="",#N/A,SUM(CT$4:CT431))</f>
        <v>#N/A</v>
      </c>
      <c r="CV431" s="315" t="str">
        <f t="shared" si="710"/>
        <v/>
      </c>
      <c r="CW431" s="315" t="e">
        <f>IF($J431="",#N/A,SUM(CV$4:CV431))</f>
        <v>#N/A</v>
      </c>
      <c r="CX431" s="315" t="e">
        <f>IF($J431="",#N/A,SUM(CV$4:CV431,CT$4:CT431,CR$4:CR431))</f>
        <v>#N/A</v>
      </c>
      <c r="CY431" s="304" t="str">
        <f t="shared" si="711"/>
        <v/>
      </c>
      <c r="CZ431" s="313" t="e">
        <f>IF($J431="",#N/A,SUM(CY$4:CY431))</f>
        <v>#N/A</v>
      </c>
      <c r="DA431" s="314" t="str">
        <f t="shared" si="712"/>
        <v/>
      </c>
      <c r="DB431" s="314" t="e">
        <f>IF($J431="",#N/A,SUM(DA$4:DA431))</f>
        <v>#N/A</v>
      </c>
      <c r="DC431" s="315" t="str">
        <f t="shared" si="713"/>
        <v/>
      </c>
      <c r="DD431" s="315" t="e">
        <f>IF($J431="",#N/A,SUM(DC$4:DC431))</f>
        <v>#N/A</v>
      </c>
      <c r="DE431" s="315" t="e">
        <f>IF($J431="",#N/A,SUM(DC$4:DC431,DA$4:DA431,CY$4:CY431))</f>
        <v>#N/A</v>
      </c>
      <c r="DF431" s="304" t="str">
        <f t="shared" si="714"/>
        <v/>
      </c>
      <c r="DG431" s="313" t="e">
        <f>IF($J431="",#N/A,SUM(DF$4:DF431))</f>
        <v>#N/A</v>
      </c>
      <c r="DH431" s="314" t="str">
        <f t="shared" si="715"/>
        <v/>
      </c>
      <c r="DI431" s="314" t="e">
        <f>IF($J431="",#N/A,SUM(DH$4:DH431))</f>
        <v>#N/A</v>
      </c>
      <c r="DJ431" s="315" t="str">
        <f t="shared" si="716"/>
        <v/>
      </c>
      <c r="DK431" s="315" t="e">
        <f>IF($J431="",#N/A,SUM(DJ$4:DJ431))</f>
        <v>#N/A</v>
      </c>
      <c r="DL431" s="315" t="e">
        <f>IF($J431="",#N/A,SUM(DJ$4:DJ431,DH$4:DH431,DF$4:DF431))</f>
        <v>#N/A</v>
      </c>
      <c r="DM431" s="304" t="str">
        <f t="shared" si="717"/>
        <v/>
      </c>
      <c r="DN431" s="313" t="e">
        <f>IF($J431="",#N/A,SUM(DM$4:DM431))</f>
        <v>#N/A</v>
      </c>
      <c r="DO431" s="314" t="str">
        <f t="shared" si="718"/>
        <v/>
      </c>
      <c r="DP431" s="314" t="e">
        <f>IF($J431="",#N/A,SUM(DO$4:DO431))</f>
        <v>#N/A</v>
      </c>
      <c r="DQ431" s="315" t="str">
        <f t="shared" si="719"/>
        <v/>
      </c>
      <c r="DR431" s="315" t="e">
        <f>IF($J431="",#N/A,SUM(DQ$4:DQ431))</f>
        <v>#N/A</v>
      </c>
      <c r="DS431" s="315" t="e">
        <f>IF($J431="",#N/A,SUM(DQ$4:DQ431,DO$4:DO431,DM$4:DM431))</f>
        <v>#N/A</v>
      </c>
      <c r="DT431" s="304" t="str">
        <f t="shared" si="720"/>
        <v/>
      </c>
      <c r="DU431" s="313" t="e">
        <f>IF($J431="",#N/A,SUM(DT$4:DT431))</f>
        <v>#N/A</v>
      </c>
      <c r="DV431" s="314" t="str">
        <f t="shared" si="721"/>
        <v/>
      </c>
      <c r="DW431" s="314" t="e">
        <f>IF($J431="",#N/A,SUM(DV$4:DV431))</f>
        <v>#N/A</v>
      </c>
      <c r="DX431" s="315" t="str">
        <f t="shared" si="722"/>
        <v/>
      </c>
      <c r="DY431" s="315" t="e">
        <f>IF($J431="",#N/A,SUM(DX$4:DX431))</f>
        <v>#N/A</v>
      </c>
      <c r="DZ431" s="315" t="e">
        <f>IF($J431="",#N/A,SUM(DX$4:DX431,DV$4:DV431,DT$4:DT431))</f>
        <v>#N/A</v>
      </c>
      <c r="EA431" s="304" t="str">
        <f t="shared" si="723"/>
        <v/>
      </c>
      <c r="EB431" s="313" t="e">
        <f>IF($J431="",#N/A,SUM(EA$4:EA431))</f>
        <v>#N/A</v>
      </c>
      <c r="EC431" s="314" t="str">
        <f t="shared" si="724"/>
        <v/>
      </c>
      <c r="ED431" s="314" t="e">
        <f>IF($J431="",#N/A,SUM(EC$4:EC431))</f>
        <v>#N/A</v>
      </c>
      <c r="EE431" s="315" t="str">
        <f t="shared" si="725"/>
        <v/>
      </c>
      <c r="EF431" s="315" t="e">
        <f>IF($J431="",#N/A,SUM(EE$4:EE431))</f>
        <v>#N/A</v>
      </c>
      <c r="EG431" s="315" t="e">
        <f>IF($J431="",#N/A,SUM(EE$4:EE431,EC$4:EC431,EA$4:EA431))</f>
        <v>#N/A</v>
      </c>
      <c r="EH431" s="130">
        <f t="shared" si="726"/>
        <v>66.660000000000082</v>
      </c>
      <c r="EI431" s="63">
        <f>IF(EH431="",#N/A,SUM($EH$4:EH431))</f>
        <v>2705.0635715933468</v>
      </c>
      <c r="EJ431" s="223" t="e">
        <f t="shared" si="727"/>
        <v>#N/A</v>
      </c>
      <c r="EK431" s="63" t="e">
        <f>IF($GZ431="",#N/A,SUM(EJ$4:EJ431))</f>
        <v>#N/A</v>
      </c>
      <c r="EL431" s="60">
        <f t="shared" si="757"/>
        <v>1.2665298677610595</v>
      </c>
      <c r="EM431" s="60">
        <f>IF(EL431="",NA(),SUM($EL$4:EL431))</f>
        <v>27.398796879514194</v>
      </c>
      <c r="EN431" s="60" t="str">
        <f t="shared" si="728"/>
        <v/>
      </c>
      <c r="EO431" s="60" t="e">
        <f>IF(EN431="",NA(),SUM($EN$4:EN431))</f>
        <v>#N/A</v>
      </c>
      <c r="EP431" s="60" t="str">
        <f t="shared" si="729"/>
        <v/>
      </c>
      <c r="EQ431" s="60" t="e">
        <f>IF(EP431="",NA(),SUM($EP$4:EP431))</f>
        <v>#N/A</v>
      </c>
      <c r="ER431" s="60">
        <f t="shared" si="730"/>
        <v>1.2665298677610595</v>
      </c>
      <c r="ES431" s="60">
        <f>IF(ER431="",NA(),SUM($ER$4:ER431))</f>
        <v>16.664417837192936</v>
      </c>
      <c r="ET431" s="60" t="str">
        <f t="shared" si="731"/>
        <v/>
      </c>
      <c r="EU431" s="60" t="e">
        <f>IF(ET431="",NA(),SUM($ET$4:ET431))</f>
        <v>#N/A</v>
      </c>
      <c r="EV431" s="60" t="str">
        <f t="shared" si="732"/>
        <v/>
      </c>
      <c r="EW431" s="60" t="e">
        <f>IF(EV431="",NA(),SUM($EV$4:EV431))</f>
        <v>#N/A</v>
      </c>
      <c r="EX431" s="60" t="str">
        <f t="shared" si="733"/>
        <v/>
      </c>
      <c r="EY431" s="60" t="e">
        <f>IF(EX431="",NA(),SUM($EX$4:EX431))</f>
        <v>#N/A</v>
      </c>
      <c r="EZ431" s="60" t="str">
        <f t="shared" si="734"/>
        <v/>
      </c>
      <c r="FA431" s="60" t="e">
        <f>IF(EZ431="",NA(),SUM($EZ$4:EZ431))</f>
        <v>#N/A</v>
      </c>
      <c r="FB431" s="246">
        <f t="shared" si="758"/>
        <v>1.0423316613467095</v>
      </c>
      <c r="FC431" s="246">
        <f>IF($FB431="",#N/A,SUM(FB$4:$FB431))</f>
        <v>0.72357835016005345</v>
      </c>
      <c r="FD431" s="60" t="str">
        <f t="shared" si="735"/>
        <v/>
      </c>
      <c r="FE431" s="60" t="e">
        <f>IF($FD431="",#N/A,SUM($FD$4:FD431))</f>
        <v>#N/A</v>
      </c>
      <c r="FF431" s="60" t="str">
        <f t="shared" si="736"/>
        <v/>
      </c>
      <c r="FG431" s="60" t="e">
        <f>IF($FF431="",#N/A,SUM($FF$4:FF431))</f>
        <v>#N/A</v>
      </c>
      <c r="FH431" s="60" t="str">
        <f t="shared" si="737"/>
        <v/>
      </c>
      <c r="FI431" s="60" t="e">
        <f>IF($FH431="",#N/A,SUM($FH$4:FH431))</f>
        <v>#N/A</v>
      </c>
      <c r="FJ431" s="60" t="str">
        <f t="shared" si="738"/>
        <v/>
      </c>
      <c r="FK431" s="60" t="e">
        <f>IF($FJ431="",#N/A,SUM($FJ$4:FJ431))</f>
        <v>#N/A</v>
      </c>
      <c r="FL431" s="60" t="str">
        <f t="shared" si="739"/>
        <v/>
      </c>
      <c r="FM431" s="60" t="e">
        <f>IF($FL431="",#N/A,SUM($FL$4:FL431))</f>
        <v>#N/A</v>
      </c>
      <c r="FN431" s="82">
        <f t="shared" si="740"/>
        <v>2.308861529107769</v>
      </c>
      <c r="FO431" s="82">
        <f>IF($FN431="",#N/A,SUM(FN$4:$FN431))</f>
        <v>58.630882555710471</v>
      </c>
      <c r="FP431" s="82">
        <f t="shared" si="759"/>
        <v>1.2665298677610595</v>
      </c>
      <c r="FQ431" s="246">
        <f>IF($EH431="",#N/A,SUM($FP$4:FP431))</f>
        <v>71.65545412871181</v>
      </c>
      <c r="FR431" s="82">
        <f>IFERROR(FQ431/COUNTA($J$4:J431),#N/A)</f>
        <v>0.16741928534745751</v>
      </c>
      <c r="FS431" s="82">
        <f t="shared" si="661"/>
        <v>0.3137208343740211</v>
      </c>
      <c r="FT431" s="82">
        <f t="shared" si="662"/>
        <v>0.84679974955920789</v>
      </c>
      <c r="FU431" s="338">
        <f t="shared" si="764"/>
        <v>33.364540619131759</v>
      </c>
      <c r="FV431" s="57" t="str">
        <f t="shared" si="765"/>
        <v>Dwn</v>
      </c>
      <c r="FW431" s="57" t="s">
        <v>2733</v>
      </c>
      <c r="FX431" s="57" t="str">
        <f t="shared" si="741"/>
        <v/>
      </c>
      <c r="FY431" s="57" t="str">
        <f t="shared" si="742"/>
        <v/>
      </c>
      <c r="FZ431" s="57" t="str">
        <f t="shared" si="743"/>
        <v/>
      </c>
      <c r="GA431" s="57" t="str">
        <f t="shared" si="744"/>
        <v>Short</v>
      </c>
      <c r="GB431" s="57">
        <f t="shared" si="745"/>
        <v>1</v>
      </c>
      <c r="GC431" s="57" t="str">
        <f t="shared" si="746"/>
        <v/>
      </c>
      <c r="GD431" s="57" t="str">
        <f t="shared" si="747"/>
        <v/>
      </c>
      <c r="GE431" s="62">
        <f t="shared" si="664"/>
        <v>438.6</v>
      </c>
      <c r="GF431" s="62" t="s">
        <v>2780</v>
      </c>
      <c r="GG431" s="199">
        <v>2</v>
      </c>
      <c r="GH431" s="207">
        <f t="shared" si="748"/>
        <v>877.2</v>
      </c>
      <c r="GI431" s="199">
        <v>2</v>
      </c>
      <c r="GJ431" s="200">
        <v>404.21</v>
      </c>
      <c r="GK431" s="63">
        <f t="shared" si="749"/>
        <v>68.780000000000086</v>
      </c>
      <c r="GL431" s="63">
        <f t="shared" si="665"/>
        <v>121.5200000000001</v>
      </c>
      <c r="GM431" s="82" t="str">
        <f t="shared" si="750"/>
        <v/>
      </c>
      <c r="GN431" s="82">
        <f>IF($GZ431="",#N/A,SUM(GM$4:GM431))</f>
        <v>9.4532904651294007</v>
      </c>
      <c r="GO431" s="82" t="str">
        <f t="shared" si="751"/>
        <v/>
      </c>
      <c r="GP431" s="82">
        <f>IF($GZ431="",#N/A,SUM(GO$4:GO431))</f>
        <v>4.2788408366274897</v>
      </c>
      <c r="GQ431" s="82">
        <f t="shared" si="752"/>
        <v>2.308861529107769</v>
      </c>
      <c r="GR431" s="82">
        <f>IF($GZ431="",#N/A,SUM(GQ$4:GQ431))</f>
        <v>44.272914299511264</v>
      </c>
      <c r="GS431" s="63" t="str">
        <f t="shared" si="760"/>
        <v/>
      </c>
      <c r="GT431" s="63" t="e">
        <f>IF($GZ431="",#N/A,SUM(GS$4:GS431))</f>
        <v>#N/A</v>
      </c>
      <c r="GU431" s="63" t="str">
        <f t="shared" si="761"/>
        <v/>
      </c>
      <c r="GV431" s="63" t="e">
        <f>IF($GZ431="",#N/A,SUM(GU$4:GU431))</f>
        <v>#N/A</v>
      </c>
      <c r="GW431" s="63" t="e">
        <f t="shared" si="762"/>
        <v>#N/A</v>
      </c>
      <c r="GX431" s="63" t="e">
        <f>IF($GZ431="",#N/A,SUM(GW$4:GW431))</f>
        <v>#N/A</v>
      </c>
      <c r="GY431" s="63" t="e">
        <f>IF(EJ431="",#N/A,SUM($EJ$4:EJ431))</f>
        <v>#N/A</v>
      </c>
      <c r="GZ431" s="159">
        <v>377.84</v>
      </c>
      <c r="HA431" s="63">
        <f t="shared" si="753"/>
        <v>54.860000000000014</v>
      </c>
      <c r="HB431" s="62" t="s">
        <v>2538</v>
      </c>
      <c r="HC431" s="60">
        <f>IFERROR(VLOOKUP(E431,Expectancy!$P$4:$S$19,1+C431,FALSE),"")</f>
        <v>0.78642334455186147</v>
      </c>
      <c r="HD431" s="82">
        <f t="shared" si="754"/>
        <v>1.3068095455236375</v>
      </c>
      <c r="HE431" s="138">
        <f>IF(HD431="",#N/A,SUM($HD$4:HD431))</f>
        <v>23.760913509580046</v>
      </c>
      <c r="HF431" s="85">
        <f>IF(HD431="",#N/A,IF(HB431="Skip",#N/A,SUM($HG$4:HG431)))</f>
        <v>1347.0935792191563</v>
      </c>
      <c r="HG431" s="63">
        <f t="shared" si="755"/>
        <v>68.780000000000086</v>
      </c>
      <c r="HH431" s="82">
        <f t="shared" si="766"/>
        <v>2.308861529107769</v>
      </c>
    </row>
    <row r="432" spans="1:216" x14ac:dyDescent="0.25">
      <c r="A432" s="57" t="s">
        <v>3981</v>
      </c>
      <c r="B432" s="58" t="str" cm="1">
        <f t="array" ref="B432">IFERROR(_xlfn.XLOOKUP(A432,Earnings!$B$2:$B$9985,LEFT(Earnings!$C$2:$C$9985,37)),"Can't Find Date***")</f>
        <v>on 3/12/25 After Market Eastern Stand</v>
      </c>
      <c r="C432" s="386">
        <f t="shared" si="667"/>
        <v>2</v>
      </c>
      <c r="D432" s="372" t="str">
        <f>_xlfn.XLOOKUP(A432,[1]SP500!$A$2:$A$502,[1]SP500!$D$2:$D$502,"N")</f>
        <v>N</v>
      </c>
      <c r="E432" s="57" t="str">
        <f>_xlfn.XLOOKUP(A432,[1]SP500!$A$2:$A$655,[1]SP500!$B$2:$B$655)</f>
        <v>IGV</v>
      </c>
      <c r="F432" s="59">
        <v>45728</v>
      </c>
      <c r="G432" s="57" t="str">
        <f t="shared" si="668"/>
        <v>AMC</v>
      </c>
      <c r="H432" s="57" t="str">
        <f t="shared" si="669"/>
        <v>s</v>
      </c>
      <c r="I432" s="158">
        <v>19.3</v>
      </c>
      <c r="J432" s="159">
        <v>17.87</v>
      </c>
      <c r="K432" s="61">
        <f t="shared" si="670"/>
        <v>-7.4093264248704646E-2</v>
      </c>
      <c r="L432" s="87">
        <f t="shared" si="671"/>
        <v>71.5</v>
      </c>
      <c r="M432" s="130">
        <f t="shared" si="663"/>
        <v>-1.4999999999998863</v>
      </c>
      <c r="N432" s="169" t="str">
        <f t="shared" si="672"/>
        <v/>
      </c>
      <c r="O432" s="169">
        <f>IF($J432="",#N/A,SUM($N$4:N432))</f>
        <v>-328.04225475891064</v>
      </c>
      <c r="P432" s="174">
        <f t="shared" si="673"/>
        <v>71.5</v>
      </c>
      <c r="Q432" s="174">
        <f>IF($J432="",#N/A,SUM($P$4:P432))</f>
        <v>1995.1566539569483</v>
      </c>
      <c r="R432" s="178" t="str">
        <f t="shared" si="674"/>
        <v/>
      </c>
      <c r="S432" s="178">
        <f>IF($J432="",#N/A,SUM($R$4:R432))</f>
        <v>1109.4491723953095</v>
      </c>
      <c r="T432" s="290" t="str">
        <f t="shared" si="675"/>
        <v/>
      </c>
      <c r="U432" s="290">
        <f>IF($J432="",#N/A,SUM($T$4:T432))</f>
        <v>10.009379462148743</v>
      </c>
      <c r="V432" s="291">
        <f t="shared" si="676"/>
        <v>1.2348877374784111</v>
      </c>
      <c r="W432" s="291">
        <f>IF($J432="",#N/A,SUM($V$4:V432))</f>
        <v>43.963667215649473</v>
      </c>
      <c r="X432" s="292" t="str">
        <f t="shared" si="677"/>
        <v/>
      </c>
      <c r="Y432" s="292">
        <f>IF($J432="",#N/A,SUM($X$4:X432))</f>
        <v>18.917295188392</v>
      </c>
      <c r="Z432" s="304" t="str">
        <f t="shared" si="678"/>
        <v/>
      </c>
      <c r="AA432" s="313" t="e">
        <f>IF($J432="",#N/A,SUM(Z$4:Z432))</f>
        <v>#N/A</v>
      </c>
      <c r="AB432" s="314" t="str">
        <f t="shared" si="679"/>
        <v/>
      </c>
      <c r="AC432" s="314" t="e">
        <f>IF($J432="",#N/A,SUM(AB$4:AB432))</f>
        <v>#N/A</v>
      </c>
      <c r="AD432" s="315" t="str">
        <f t="shared" si="680"/>
        <v/>
      </c>
      <c r="AE432" s="315" t="e">
        <f>IF($J432="",#N/A,SUM(AD$4:AD432))</f>
        <v>#N/A</v>
      </c>
      <c r="AF432" s="315" t="e">
        <f>IF($J432="",#N/A,SUM(AD$4:AD432,AB$4:AB432,Z$4:Z432))</f>
        <v>#N/A</v>
      </c>
      <c r="AG432" s="304" t="str">
        <f t="shared" si="681"/>
        <v/>
      </c>
      <c r="AH432" s="313" t="e">
        <f>IF($J432="",#N/A,SUM(AG$4:AG432))</f>
        <v>#N/A</v>
      </c>
      <c r="AI432" s="314">
        <f t="shared" si="682"/>
        <v>1.2348877374784111</v>
      </c>
      <c r="AJ432" s="314" t="e">
        <f>IF($J432="",#N/A,SUM(AI$4:AI432))</f>
        <v>#N/A</v>
      </c>
      <c r="AK432" s="315" t="str">
        <f t="shared" si="683"/>
        <v/>
      </c>
      <c r="AL432" s="315" t="e">
        <f>IF($J432="",#N/A,SUM(AK$4:AK432))</f>
        <v>#N/A</v>
      </c>
      <c r="AM432" s="315" t="e">
        <f>IF($J432="",#N/A,SUM(AK$4:AK432,AI$4:AI432,AG$4:AG432))</f>
        <v>#N/A</v>
      </c>
      <c r="AN432" s="304" t="str">
        <f t="shared" si="684"/>
        <v/>
      </c>
      <c r="AO432" s="313" t="e">
        <f>IF($J432="",#N/A,SUM(AN$4:AN432))</f>
        <v>#N/A</v>
      </c>
      <c r="AP432" s="314" t="str">
        <f t="shared" si="685"/>
        <v/>
      </c>
      <c r="AQ432" s="314" t="e">
        <f>IF($J432="",#N/A,SUM(AP$4:AP432))</f>
        <v>#N/A</v>
      </c>
      <c r="AR432" s="315" t="str">
        <f t="shared" si="686"/>
        <v/>
      </c>
      <c r="AS432" s="315" t="e">
        <f>IF($J432="",#N/A,SUM(AR$4:AR432))</f>
        <v>#N/A</v>
      </c>
      <c r="AT432" s="315" t="e">
        <f>IF($J432="",#N/A,SUM(AR$4:AR432,AP$4:AP432,AN$4:AN432))</f>
        <v>#N/A</v>
      </c>
      <c r="AU432" s="304" t="str">
        <f t="shared" si="687"/>
        <v/>
      </c>
      <c r="AV432" s="313" t="e">
        <f>IF($J432="",#N/A,SUM(AU$4:AU432))</f>
        <v>#N/A</v>
      </c>
      <c r="AW432" s="314" t="str">
        <f t="shared" si="688"/>
        <v/>
      </c>
      <c r="AX432" s="314" t="e">
        <f>IF($J432="",#N/A,SUM(AW$4:AW432))</f>
        <v>#N/A</v>
      </c>
      <c r="AY432" s="315" t="str">
        <f t="shared" si="689"/>
        <v/>
      </c>
      <c r="AZ432" s="315" t="e">
        <f>IF($J432="",#N/A,SUM(AY$4:AY432))</f>
        <v>#N/A</v>
      </c>
      <c r="BA432" s="315" t="e">
        <f>IF($J432="",#N/A,SUM(AY$4:AY432,AW$4:AW432,AU$4:AU432))</f>
        <v>#N/A</v>
      </c>
      <c r="BB432" s="304" t="str">
        <f t="shared" si="690"/>
        <v/>
      </c>
      <c r="BC432" s="313" t="e">
        <f>IF($J432="",#N/A,SUM(BB$4:BB432))</f>
        <v>#N/A</v>
      </c>
      <c r="BD432" s="314" t="str">
        <f t="shared" si="691"/>
        <v/>
      </c>
      <c r="BE432" s="314" t="e">
        <f>IF($J432="",#N/A,SUM(BD$4:BD432))</f>
        <v>#N/A</v>
      </c>
      <c r="BF432" s="315" t="str">
        <f t="shared" si="692"/>
        <v/>
      </c>
      <c r="BG432" s="315" t="e">
        <f>IF($J432="",#N/A,SUM(BF$4:BF432))</f>
        <v>#N/A</v>
      </c>
      <c r="BH432" s="315" t="e">
        <f>IF($J432="",#N/A,SUM(BF$4:BF432,BD$4:BD432,BB$4:BB432))</f>
        <v>#N/A</v>
      </c>
      <c r="BI432" s="304" t="str">
        <f t="shared" si="693"/>
        <v/>
      </c>
      <c r="BJ432" s="313" t="e">
        <f>IF($J432="",#N/A,SUM(BI$4:BI432))</f>
        <v>#N/A</v>
      </c>
      <c r="BK432" s="314" t="str">
        <f t="shared" si="694"/>
        <v/>
      </c>
      <c r="BL432" s="314" t="e">
        <f>IF($J432="",#N/A,SUM(BK$4:BK432))</f>
        <v>#N/A</v>
      </c>
      <c r="BM432" s="315" t="str">
        <f t="shared" si="695"/>
        <v/>
      </c>
      <c r="BN432" s="315" t="e">
        <f>IF($J432="",#N/A,SUM(BM$4:BM432))</f>
        <v>#N/A</v>
      </c>
      <c r="BO432" s="315" t="e">
        <f>IF($J432="",#N/A,SUM(BM$4:BM432,BK$4:BK432,BI$4:BI432))</f>
        <v>#N/A</v>
      </c>
      <c r="BP432" s="304" t="str">
        <f t="shared" si="696"/>
        <v/>
      </c>
      <c r="BQ432" s="313" t="e">
        <f>IF($J432="",#N/A,SUM(BP$4:BP432))</f>
        <v>#N/A</v>
      </c>
      <c r="BR432" s="314" t="str">
        <f t="shared" si="697"/>
        <v/>
      </c>
      <c r="BS432" s="314" t="e">
        <f>IF($J432="",#N/A,SUM(BR$4:BR432))</f>
        <v>#N/A</v>
      </c>
      <c r="BT432" s="315" t="str">
        <f t="shared" si="698"/>
        <v/>
      </c>
      <c r="BU432" s="315" t="e">
        <f>IF($J432="",#N/A,SUM(BT$4:BT432))</f>
        <v>#N/A</v>
      </c>
      <c r="BV432" s="315" t="e">
        <f>IF($J432="",#N/A,SUM(BT$4:BT432,BR$4:BR432,BP$4:BP432))</f>
        <v>#N/A</v>
      </c>
      <c r="BW432" s="304" t="str">
        <f t="shared" si="699"/>
        <v/>
      </c>
      <c r="BX432" s="313" t="e">
        <f>IF($J432="",#N/A,SUM(BW$4:BW432))</f>
        <v>#N/A</v>
      </c>
      <c r="BY432" s="314" t="str">
        <f t="shared" si="700"/>
        <v/>
      </c>
      <c r="BZ432" s="314" t="e">
        <f>IF($J432="",#N/A,SUM(BY$4:BY432))</f>
        <v>#N/A</v>
      </c>
      <c r="CA432" s="315" t="str">
        <f t="shared" si="701"/>
        <v/>
      </c>
      <c r="CB432" s="315" t="e">
        <f>IF($J432="",#N/A,SUM(CA$4:CA432))</f>
        <v>#N/A</v>
      </c>
      <c r="CC432" s="315" t="e">
        <f>IF($J432="",#N/A,SUM(CA$4:CA432,BY$4:BY432,BW$4:BW432))</f>
        <v>#N/A</v>
      </c>
      <c r="CD432" s="304" t="str">
        <f t="shared" si="702"/>
        <v/>
      </c>
      <c r="CE432" s="313" t="e">
        <f>IF($J432="",#N/A,SUM(CD$4:CD432))</f>
        <v>#N/A</v>
      </c>
      <c r="CF432" s="314" t="str">
        <f t="shared" si="703"/>
        <v/>
      </c>
      <c r="CG432" s="314" t="e">
        <f>IF($J432="",#N/A,SUM(CF$4:CF432))</f>
        <v>#N/A</v>
      </c>
      <c r="CH432" s="315" t="str">
        <f t="shared" si="704"/>
        <v/>
      </c>
      <c r="CI432" s="315" t="e">
        <f>IF($J432="",#N/A,SUM(CH$4:CH432))</f>
        <v>#N/A</v>
      </c>
      <c r="CJ432" s="315" t="e">
        <f>IF($J432="",#N/A,SUM(CH$4:CH432,CF$4:CF432,CD$4:CD432))</f>
        <v>#N/A</v>
      </c>
      <c r="CK432" s="304" t="str">
        <f t="shared" si="705"/>
        <v/>
      </c>
      <c r="CL432" s="313" t="e">
        <f>IF($J432="",#N/A,SUM(CK$4:CK432))</f>
        <v>#N/A</v>
      </c>
      <c r="CM432" s="314" t="str">
        <f t="shared" si="706"/>
        <v/>
      </c>
      <c r="CN432" s="314" t="e">
        <f>IF($J432="",#N/A,SUM(CM$4:CM432))</f>
        <v>#N/A</v>
      </c>
      <c r="CO432" s="315" t="str">
        <f t="shared" si="707"/>
        <v/>
      </c>
      <c r="CP432" s="315" t="e">
        <f>IF($J432="",#N/A,SUM(CO$4:CO432))</f>
        <v>#N/A</v>
      </c>
      <c r="CQ432" s="315" t="e">
        <f>IF($J432="",#N/A,SUM(CO$4:CO432,CM$4:CM432,CK$4:CK432))</f>
        <v>#N/A</v>
      </c>
      <c r="CR432" s="304" t="str">
        <f t="shared" si="708"/>
        <v/>
      </c>
      <c r="CS432" s="313" t="e">
        <f>IF($J432="",#N/A,SUM(CR$4:CR432))</f>
        <v>#N/A</v>
      </c>
      <c r="CT432" s="314" t="str">
        <f t="shared" si="709"/>
        <v/>
      </c>
      <c r="CU432" s="314" t="e">
        <f>IF($J432="",#N/A,SUM(CT$4:CT432))</f>
        <v>#N/A</v>
      </c>
      <c r="CV432" s="315" t="str">
        <f t="shared" si="710"/>
        <v/>
      </c>
      <c r="CW432" s="315" t="e">
        <f>IF($J432="",#N/A,SUM(CV$4:CV432))</f>
        <v>#N/A</v>
      </c>
      <c r="CX432" s="315" t="e">
        <f>IF($J432="",#N/A,SUM(CV$4:CV432,CT$4:CT432,CR$4:CR432))</f>
        <v>#N/A</v>
      </c>
      <c r="CY432" s="304" t="str">
        <f t="shared" si="711"/>
        <v/>
      </c>
      <c r="CZ432" s="313" t="e">
        <f>IF($J432="",#N/A,SUM(CY$4:CY432))</f>
        <v>#N/A</v>
      </c>
      <c r="DA432" s="314" t="str">
        <f t="shared" si="712"/>
        <v/>
      </c>
      <c r="DB432" s="314" t="e">
        <f>IF($J432="",#N/A,SUM(DA$4:DA432))</f>
        <v>#N/A</v>
      </c>
      <c r="DC432" s="315" t="str">
        <f t="shared" si="713"/>
        <v/>
      </c>
      <c r="DD432" s="315" t="e">
        <f>IF($J432="",#N/A,SUM(DC$4:DC432))</f>
        <v>#N/A</v>
      </c>
      <c r="DE432" s="315" t="e">
        <f>IF($J432="",#N/A,SUM(DC$4:DC432,DA$4:DA432,CY$4:CY432))</f>
        <v>#N/A</v>
      </c>
      <c r="DF432" s="304" t="str">
        <f t="shared" si="714"/>
        <v/>
      </c>
      <c r="DG432" s="313" t="e">
        <f>IF($J432="",#N/A,SUM(DF$4:DF432))</f>
        <v>#N/A</v>
      </c>
      <c r="DH432" s="314" t="str">
        <f t="shared" si="715"/>
        <v/>
      </c>
      <c r="DI432" s="314" t="e">
        <f>IF($J432="",#N/A,SUM(DH$4:DH432))</f>
        <v>#N/A</v>
      </c>
      <c r="DJ432" s="315" t="str">
        <f t="shared" si="716"/>
        <v/>
      </c>
      <c r="DK432" s="315" t="e">
        <f>IF($J432="",#N/A,SUM(DJ$4:DJ432))</f>
        <v>#N/A</v>
      </c>
      <c r="DL432" s="315" t="e">
        <f>IF($J432="",#N/A,SUM(DJ$4:DJ432,DH$4:DH432,DF$4:DF432))</f>
        <v>#N/A</v>
      </c>
      <c r="DM432" s="304" t="str">
        <f t="shared" si="717"/>
        <v/>
      </c>
      <c r="DN432" s="313" t="e">
        <f>IF($J432="",#N/A,SUM(DM$4:DM432))</f>
        <v>#N/A</v>
      </c>
      <c r="DO432" s="314" t="str">
        <f t="shared" si="718"/>
        <v/>
      </c>
      <c r="DP432" s="314" t="e">
        <f>IF($J432="",#N/A,SUM(DO$4:DO432))</f>
        <v>#N/A</v>
      </c>
      <c r="DQ432" s="315" t="str">
        <f t="shared" si="719"/>
        <v/>
      </c>
      <c r="DR432" s="315" t="e">
        <f>IF($J432="",#N/A,SUM(DQ$4:DQ432))</f>
        <v>#N/A</v>
      </c>
      <c r="DS432" s="315" t="e">
        <f>IF($J432="",#N/A,SUM(DQ$4:DQ432,DO$4:DO432,DM$4:DM432))</f>
        <v>#N/A</v>
      </c>
      <c r="DT432" s="304" t="str">
        <f t="shared" si="720"/>
        <v/>
      </c>
      <c r="DU432" s="313" t="e">
        <f>IF($J432="",#N/A,SUM(DT$4:DT432))</f>
        <v>#N/A</v>
      </c>
      <c r="DV432" s="314" t="str">
        <f t="shared" si="721"/>
        <v/>
      </c>
      <c r="DW432" s="314" t="e">
        <f>IF($J432="",#N/A,SUM(DV$4:DV432))</f>
        <v>#N/A</v>
      </c>
      <c r="DX432" s="315" t="str">
        <f t="shared" si="722"/>
        <v/>
      </c>
      <c r="DY432" s="315" t="e">
        <f>IF($J432="",#N/A,SUM(DX$4:DX432))</f>
        <v>#N/A</v>
      </c>
      <c r="DZ432" s="315" t="e">
        <f>IF($J432="",#N/A,SUM(DX$4:DX432,DV$4:DV432,DT$4:DT432))</f>
        <v>#N/A</v>
      </c>
      <c r="EA432" s="304" t="str">
        <f t="shared" si="723"/>
        <v/>
      </c>
      <c r="EB432" s="313" t="e">
        <f>IF($J432="",#N/A,SUM(EA$4:EA432))</f>
        <v>#N/A</v>
      </c>
      <c r="EC432" s="314" t="str">
        <f t="shared" si="724"/>
        <v/>
      </c>
      <c r="ED432" s="314" t="e">
        <f>IF($J432="",#N/A,SUM(EC$4:EC432))</f>
        <v>#N/A</v>
      </c>
      <c r="EE432" s="315" t="str">
        <f t="shared" si="725"/>
        <v/>
      </c>
      <c r="EF432" s="315" t="e">
        <f>IF($J432="",#N/A,SUM(EE$4:EE432))</f>
        <v>#N/A</v>
      </c>
      <c r="EG432" s="315" t="e">
        <f>IF($J432="",#N/A,SUM(EE$4:EE432,EC$4:EC432,EA$4:EA432))</f>
        <v>#N/A</v>
      </c>
      <c r="EH432" s="130">
        <f t="shared" si="726"/>
        <v>71.5</v>
      </c>
      <c r="EI432" s="63">
        <f>IF(EH432="",#N/A,SUM($EH$4:EH432))</f>
        <v>2776.5635715933468</v>
      </c>
      <c r="EJ432" s="223" t="e">
        <f t="shared" si="727"/>
        <v>#N/A</v>
      </c>
      <c r="EK432" s="63" t="e">
        <f>IF($GZ432="",#N/A,SUM(EJ$4:EJ432))</f>
        <v>#N/A</v>
      </c>
      <c r="EL432" s="60" t="str">
        <f t="shared" si="757"/>
        <v/>
      </c>
      <c r="EM432" s="60" t="e">
        <f>IF(EL432="",NA(),SUM($EL$4:EL432))</f>
        <v>#N/A</v>
      </c>
      <c r="EN432" s="60" t="str">
        <f t="shared" si="728"/>
        <v/>
      </c>
      <c r="EO432" s="60" t="e">
        <f>IF(EN432="",NA(),SUM(EN$4:EN432))</f>
        <v>#N/A</v>
      </c>
      <c r="EP432" s="60" t="str">
        <f t="shared" si="729"/>
        <v/>
      </c>
      <c r="EQ432" s="60" t="e">
        <f>IF(EP432="",NA(),SUM($EP$4:EP432))</f>
        <v>#N/A</v>
      </c>
      <c r="ER432" s="60" t="str">
        <f t="shared" si="730"/>
        <v/>
      </c>
      <c r="ES432" s="60" t="e">
        <f>IF(ER432="",NA(),SUM($ER$4:ER432))</f>
        <v>#N/A</v>
      </c>
      <c r="ET432" s="60">
        <f t="shared" si="731"/>
        <v>1.2348877374784111</v>
      </c>
      <c r="EU432" s="60">
        <f>IF(ET432="",NA(),SUM($ET$4:ET432))</f>
        <v>45.491544986676018</v>
      </c>
      <c r="EV432" s="60" t="str">
        <f t="shared" si="732"/>
        <v/>
      </c>
      <c r="EW432" s="60" t="e">
        <f>IF(EV432="",NA(),SUM($EV$4:EV432))</f>
        <v>#N/A</v>
      </c>
      <c r="EX432" s="60" t="str">
        <f t="shared" si="733"/>
        <v/>
      </c>
      <c r="EY432" s="60" t="e">
        <f>IF(EX432="",NA(),SUM($EX$4:EX432))</f>
        <v>#N/A</v>
      </c>
      <c r="EZ432" s="60">
        <f t="shared" si="734"/>
        <v>1.2348877374784111</v>
      </c>
      <c r="FA432" s="60">
        <f>IF(EZ432="",NA(),SUM($EZ$4:EZ432))</f>
        <v>27.29924937845653</v>
      </c>
      <c r="FB432" s="246">
        <f t="shared" si="758"/>
        <v>-0.31088082901554404</v>
      </c>
      <c r="FC432" s="246">
        <f>IF($FB432="",#N/A,SUM(FB$4:$FB432))</f>
        <v>0.41269752114450942</v>
      </c>
      <c r="FD432" s="60" t="str">
        <f t="shared" si="735"/>
        <v/>
      </c>
      <c r="FE432" s="60" t="e">
        <f>IF($FD432="",#N/A,SUM($FD$4:FD432))</f>
        <v>#N/A</v>
      </c>
      <c r="FF432" s="60" t="str">
        <f t="shared" si="736"/>
        <v/>
      </c>
      <c r="FG432" s="60" t="e">
        <f>IF($FF432="",#N/A,SUM($FF$4:FF432))</f>
        <v>#N/A</v>
      </c>
      <c r="FH432" s="60" t="str">
        <f t="shared" si="737"/>
        <v/>
      </c>
      <c r="FI432" s="60" t="e">
        <f>IF($FH432="",#N/A,SUM($FH$4:FH432))</f>
        <v>#N/A</v>
      </c>
      <c r="FJ432" s="60" t="str">
        <f t="shared" si="738"/>
        <v/>
      </c>
      <c r="FK432" s="60" t="e">
        <f>IF($FJ432="",#N/A,SUM($FJ$4:FJ432))</f>
        <v>#N/A</v>
      </c>
      <c r="FL432" s="60" t="str">
        <f t="shared" si="739"/>
        <v/>
      </c>
      <c r="FM432" s="60" t="e">
        <f>IF($FL432="",#N/A,SUM($FL$4:FL432))</f>
        <v>#N/A</v>
      </c>
      <c r="FN432" s="82">
        <f t="shared" si="740"/>
        <v>0.92400690846286704</v>
      </c>
      <c r="FO432" s="82">
        <f>IF($FN432="",#N/A,SUM(FN$4:$FN432))</f>
        <v>59.554889464173336</v>
      </c>
      <c r="FP432" s="82">
        <f t="shared" si="759"/>
        <v>1.2348877374784111</v>
      </c>
      <c r="FQ432" s="246">
        <f>IF($EH432="",#N/A,SUM($FP$4:FP432))</f>
        <v>72.890341866190226</v>
      </c>
      <c r="FR432" s="82">
        <f>IFERROR(FQ432/COUNTA($J$4:J432),#N/A)</f>
        <v>0.16990755679764621</v>
      </c>
      <c r="FS432" s="82">
        <f t="shared" si="661"/>
        <v>0.32897312903827569</v>
      </c>
      <c r="FT432" s="82">
        <f t="shared" si="662"/>
        <v>0.94485905510782853</v>
      </c>
      <c r="FU432" s="338">
        <f t="shared" si="764"/>
        <v>33.390447354883065</v>
      </c>
      <c r="FV432" s="57" t="str">
        <f t="shared" si="765"/>
        <v>Dwn</v>
      </c>
      <c r="FW432" s="57" t="s">
        <v>2733</v>
      </c>
      <c r="FX432" s="57" t="str">
        <f t="shared" si="741"/>
        <v/>
      </c>
      <c r="FY432" s="57" t="str">
        <f t="shared" si="742"/>
        <v/>
      </c>
      <c r="FZ432" s="57" t="str">
        <f t="shared" si="743"/>
        <v/>
      </c>
      <c r="GA432" s="57" t="str">
        <f t="shared" si="744"/>
        <v>Short</v>
      </c>
      <c r="GB432" s="57">
        <f t="shared" si="745"/>
        <v>1</v>
      </c>
      <c r="GC432" s="57" t="str">
        <f t="shared" si="746"/>
        <v/>
      </c>
      <c r="GD432" s="57" t="str">
        <f t="shared" si="747"/>
        <v/>
      </c>
      <c r="GE432" s="62">
        <f t="shared" si="664"/>
        <v>19.3</v>
      </c>
      <c r="GF432" s="62" t="s">
        <v>2780</v>
      </c>
      <c r="GG432" s="199">
        <v>50</v>
      </c>
      <c r="GH432" s="207">
        <f t="shared" si="748"/>
        <v>965</v>
      </c>
      <c r="GI432" s="199">
        <v>50</v>
      </c>
      <c r="GJ432" s="200">
        <v>17.899999999999999</v>
      </c>
      <c r="GK432" s="63">
        <f t="shared" si="749"/>
        <v>70.000000000000114</v>
      </c>
      <c r="GL432" s="63">
        <f t="shared" si="665"/>
        <v>53.5</v>
      </c>
      <c r="GM432" s="82" t="str">
        <f t="shared" si="750"/>
        <v/>
      </c>
      <c r="GN432" s="82">
        <f>IF($GZ432="",#N/A,SUM(GM$4:GM432))</f>
        <v>9.4532904651294007</v>
      </c>
      <c r="GO432" s="82" t="str">
        <f t="shared" si="751"/>
        <v/>
      </c>
      <c r="GP432" s="82">
        <f>IF($GZ432="",#N/A,SUM(GO$4:GO432))</f>
        <v>4.2788408366274897</v>
      </c>
      <c r="GQ432" s="82">
        <f t="shared" si="752"/>
        <v>0.92400690846286704</v>
      </c>
      <c r="GR432" s="82">
        <f>IF($GZ432="",#N/A,SUM(GQ$4:GQ432))</f>
        <v>45.196921207974128</v>
      </c>
      <c r="GS432" s="63" t="str">
        <f t="shared" si="760"/>
        <v/>
      </c>
      <c r="GT432" s="63" t="e">
        <f>IF($GZ432="",#N/A,SUM(GS$4:GS432))</f>
        <v>#N/A</v>
      </c>
      <c r="GU432" s="63" t="str">
        <f t="shared" si="761"/>
        <v/>
      </c>
      <c r="GV432" s="63" t="e">
        <f>IF($GZ432="",#N/A,SUM(GU$4:GU432))</f>
        <v>#N/A</v>
      </c>
      <c r="GW432" s="63" t="e">
        <f t="shared" si="762"/>
        <v>#N/A</v>
      </c>
      <c r="GX432" s="63" t="e">
        <f>IF($GZ432="",#N/A,SUM(GW$4:GW432))</f>
        <v>#N/A</v>
      </c>
      <c r="GY432" s="63" t="e">
        <f>IF(EJ432="",#N/A,SUM($EJ$4:EJ432))</f>
        <v>#N/A</v>
      </c>
      <c r="GZ432" s="159">
        <v>18.23</v>
      </c>
      <c r="HA432" s="63">
        <f t="shared" si="753"/>
        <v>-18</v>
      </c>
      <c r="HB432" s="62" t="s">
        <v>2538</v>
      </c>
      <c r="HC432" s="60">
        <f>IFERROR(VLOOKUP(E432,Expectancy!$P$4:$S$19,1+C432,FALSE),"")</f>
        <v>0.78642334455186147</v>
      </c>
      <c r="HD432" s="82">
        <f t="shared" si="754"/>
        <v>1.2089810017271176</v>
      </c>
      <c r="HE432" s="138">
        <f>IF(HD432="",#N/A,SUM($HD$4:HD432))</f>
        <v>24.969894511307164</v>
      </c>
      <c r="HF432" s="85">
        <f>IF(HD432="",#N/A,IF(HB432="Skip",#N/A,SUM($HG$4:HG432)))</f>
        <v>1417.0935792191563</v>
      </c>
      <c r="HG432" s="63">
        <f t="shared" si="755"/>
        <v>70.000000000000114</v>
      </c>
      <c r="HH432" s="82">
        <f t="shared" si="766"/>
        <v>0.92400690846286704</v>
      </c>
    </row>
    <row r="433" spans="1:216" x14ac:dyDescent="0.25">
      <c r="A433" s="57" t="s">
        <v>4228</v>
      </c>
      <c r="B433" s="58" t="str" cm="1">
        <f t="array" ref="B433">IFERROR(_xlfn.XLOOKUP(A433,Earnings!$B$2:$B$9985,LEFT(Earnings!$C$2:$C$9985,37)),"Can't Find Date***")</f>
        <v>on 3/12/25 After Market Eastern Stand</v>
      </c>
      <c r="C433" s="386">
        <f t="shared" si="667"/>
        <v>2</v>
      </c>
      <c r="D433" s="372" t="str">
        <f>_xlfn.XLOOKUP(A433,[1]SP500!$A$2:$A$502,[1]SP500!$D$2:$D$502,"N")</f>
        <v>N</v>
      </c>
      <c r="E433" s="57" t="str">
        <f>_xlfn.XLOOKUP(A433,[1]SP500!$A$2:$A$655,[1]SP500!$B$2:$B$655)</f>
        <v>IGV</v>
      </c>
      <c r="F433" s="59">
        <v>45728</v>
      </c>
      <c r="G433" s="57" t="str">
        <f t="shared" si="668"/>
        <v>AMC</v>
      </c>
      <c r="H433" s="57" t="str">
        <f t="shared" si="669"/>
        <v>s</v>
      </c>
      <c r="I433" s="159">
        <v>11.83</v>
      </c>
      <c r="J433" s="158">
        <v>9.8000000000000007</v>
      </c>
      <c r="K433" s="61">
        <f t="shared" si="670"/>
        <v>-0.17159763313609461</v>
      </c>
      <c r="L433" s="87">
        <f t="shared" si="671"/>
        <v>162.39999999999998</v>
      </c>
      <c r="M433" s="130">
        <f t="shared" si="663"/>
        <v>-8</v>
      </c>
      <c r="N433" s="169" t="str">
        <f t="shared" si="672"/>
        <v/>
      </c>
      <c r="O433" s="169">
        <f>IF($J433="",#N/A,SUM($N$4:N433))</f>
        <v>-328.04225475891064</v>
      </c>
      <c r="P433" s="174">
        <f t="shared" si="673"/>
        <v>162.39999999999998</v>
      </c>
      <c r="Q433" s="174">
        <f>IF($J433="",#N/A,SUM($P$4:P433))</f>
        <v>2157.5566539569481</v>
      </c>
      <c r="R433" s="178" t="str">
        <f t="shared" si="674"/>
        <v/>
      </c>
      <c r="S433" s="178">
        <f>IF($J433="",#N/A,SUM($R$4:R433))</f>
        <v>1109.4491723953095</v>
      </c>
      <c r="T433" s="290" t="str">
        <f t="shared" si="675"/>
        <v/>
      </c>
      <c r="U433" s="290">
        <f>IF($J433="",#N/A,SUM($T$4:T433))</f>
        <v>10.009379462148743</v>
      </c>
      <c r="V433" s="291">
        <f t="shared" si="676"/>
        <v>2.8599605522682441</v>
      </c>
      <c r="W433" s="291">
        <f>IF($J433="",#N/A,SUM($V$4:V433))</f>
        <v>46.823627767917714</v>
      </c>
      <c r="X433" s="292" t="str">
        <f t="shared" si="677"/>
        <v/>
      </c>
      <c r="Y433" s="292">
        <f>IF($J433="",#N/A,SUM($X$4:X433))</f>
        <v>18.917295188392</v>
      </c>
      <c r="Z433" s="304" t="str">
        <f t="shared" si="678"/>
        <v/>
      </c>
      <c r="AA433" s="313" t="e">
        <f>IF($J433="",#N/A,SUM(Z$4:Z433))</f>
        <v>#N/A</v>
      </c>
      <c r="AB433" s="314" t="str">
        <f t="shared" si="679"/>
        <v/>
      </c>
      <c r="AC433" s="314" t="e">
        <f>IF($J433="",#N/A,SUM(AB$4:AB433))</f>
        <v>#N/A</v>
      </c>
      <c r="AD433" s="315" t="str">
        <f t="shared" si="680"/>
        <v/>
      </c>
      <c r="AE433" s="315" t="e">
        <f>IF($J433="",#N/A,SUM(AD$4:AD433))</f>
        <v>#N/A</v>
      </c>
      <c r="AF433" s="315" t="e">
        <f>IF($J433="",#N/A,SUM(AD$4:AD433,AB$4:AB433,Z$4:Z433))</f>
        <v>#N/A</v>
      </c>
      <c r="AG433" s="304" t="str">
        <f t="shared" si="681"/>
        <v/>
      </c>
      <c r="AH433" s="313" t="e">
        <f>IF($J433="",#N/A,SUM(AG$4:AG433))</f>
        <v>#N/A</v>
      </c>
      <c r="AI433" s="314">
        <f t="shared" si="682"/>
        <v>2.8599605522682441</v>
      </c>
      <c r="AJ433" s="314" t="e">
        <f>IF($J433="",#N/A,SUM(AI$4:AI433))</f>
        <v>#N/A</v>
      </c>
      <c r="AK433" s="315" t="str">
        <f t="shared" si="683"/>
        <v/>
      </c>
      <c r="AL433" s="315" t="e">
        <f>IF($J433="",#N/A,SUM(AK$4:AK433))</f>
        <v>#N/A</v>
      </c>
      <c r="AM433" s="315" t="e">
        <f>IF($J433="",#N/A,SUM(AK$4:AK433,AI$4:AI433,AG$4:AG433))</f>
        <v>#N/A</v>
      </c>
      <c r="AN433" s="304" t="str">
        <f t="shared" si="684"/>
        <v/>
      </c>
      <c r="AO433" s="313" t="e">
        <f>IF($J433="",#N/A,SUM(AN$4:AN433))</f>
        <v>#N/A</v>
      </c>
      <c r="AP433" s="314" t="str">
        <f t="shared" si="685"/>
        <v/>
      </c>
      <c r="AQ433" s="314" t="e">
        <f>IF($J433="",#N/A,SUM(AP$4:AP433))</f>
        <v>#N/A</v>
      </c>
      <c r="AR433" s="315" t="str">
        <f t="shared" si="686"/>
        <v/>
      </c>
      <c r="AS433" s="315" t="e">
        <f>IF($J433="",#N/A,SUM(AR$4:AR433))</f>
        <v>#N/A</v>
      </c>
      <c r="AT433" s="315" t="e">
        <f>IF($J433="",#N/A,SUM(AR$4:AR433,AP$4:AP433,AN$4:AN433))</f>
        <v>#N/A</v>
      </c>
      <c r="AU433" s="304" t="str">
        <f t="shared" si="687"/>
        <v/>
      </c>
      <c r="AV433" s="313" t="e">
        <f>IF($J433="",#N/A,SUM(AU$4:AU433))</f>
        <v>#N/A</v>
      </c>
      <c r="AW433" s="314" t="str">
        <f t="shared" si="688"/>
        <v/>
      </c>
      <c r="AX433" s="314" t="e">
        <f>IF($J433="",#N/A,SUM(AW$4:AW433))</f>
        <v>#N/A</v>
      </c>
      <c r="AY433" s="315" t="str">
        <f t="shared" si="689"/>
        <v/>
      </c>
      <c r="AZ433" s="315" t="e">
        <f>IF($J433="",#N/A,SUM(AY$4:AY433))</f>
        <v>#N/A</v>
      </c>
      <c r="BA433" s="315" t="e">
        <f>IF($J433="",#N/A,SUM(AY$4:AY433,AW$4:AW433,AU$4:AU433))</f>
        <v>#N/A</v>
      </c>
      <c r="BB433" s="304" t="str">
        <f t="shared" si="690"/>
        <v/>
      </c>
      <c r="BC433" s="313" t="e">
        <f>IF($J433="",#N/A,SUM(BB$4:BB433))</f>
        <v>#N/A</v>
      </c>
      <c r="BD433" s="314" t="str">
        <f t="shared" si="691"/>
        <v/>
      </c>
      <c r="BE433" s="314" t="e">
        <f>IF($J433="",#N/A,SUM(BD$4:BD433))</f>
        <v>#N/A</v>
      </c>
      <c r="BF433" s="315" t="str">
        <f t="shared" si="692"/>
        <v/>
      </c>
      <c r="BG433" s="315" t="e">
        <f>IF($J433="",#N/A,SUM(BF$4:BF433))</f>
        <v>#N/A</v>
      </c>
      <c r="BH433" s="315" t="e">
        <f>IF($J433="",#N/A,SUM(BF$4:BF433,BD$4:BD433,BB$4:BB433))</f>
        <v>#N/A</v>
      </c>
      <c r="BI433" s="304" t="str">
        <f t="shared" si="693"/>
        <v/>
      </c>
      <c r="BJ433" s="313" t="e">
        <f>IF($J433="",#N/A,SUM(BI$4:BI433))</f>
        <v>#N/A</v>
      </c>
      <c r="BK433" s="314" t="str">
        <f t="shared" si="694"/>
        <v/>
      </c>
      <c r="BL433" s="314" t="e">
        <f>IF($J433="",#N/A,SUM(BK$4:BK433))</f>
        <v>#N/A</v>
      </c>
      <c r="BM433" s="315" t="str">
        <f t="shared" si="695"/>
        <v/>
      </c>
      <c r="BN433" s="315" t="e">
        <f>IF($J433="",#N/A,SUM(BM$4:BM433))</f>
        <v>#N/A</v>
      </c>
      <c r="BO433" s="315" t="e">
        <f>IF($J433="",#N/A,SUM(BM$4:BM433,BK$4:BK433,BI$4:BI433))</f>
        <v>#N/A</v>
      </c>
      <c r="BP433" s="304" t="str">
        <f t="shared" si="696"/>
        <v/>
      </c>
      <c r="BQ433" s="313" t="e">
        <f>IF($J433="",#N/A,SUM(BP$4:BP433))</f>
        <v>#N/A</v>
      </c>
      <c r="BR433" s="314" t="str">
        <f t="shared" si="697"/>
        <v/>
      </c>
      <c r="BS433" s="314" t="e">
        <f>IF($J433="",#N/A,SUM(BR$4:BR433))</f>
        <v>#N/A</v>
      </c>
      <c r="BT433" s="315" t="str">
        <f t="shared" si="698"/>
        <v/>
      </c>
      <c r="BU433" s="315" t="e">
        <f>IF($J433="",#N/A,SUM(BT$4:BT433))</f>
        <v>#N/A</v>
      </c>
      <c r="BV433" s="315" t="e">
        <f>IF($J433="",#N/A,SUM(BT$4:BT433,BR$4:BR433,BP$4:BP433))</f>
        <v>#N/A</v>
      </c>
      <c r="BW433" s="304" t="str">
        <f t="shared" si="699"/>
        <v/>
      </c>
      <c r="BX433" s="313" t="e">
        <f>IF($J433="",#N/A,SUM(BW$4:BW433))</f>
        <v>#N/A</v>
      </c>
      <c r="BY433" s="314" t="str">
        <f t="shared" si="700"/>
        <v/>
      </c>
      <c r="BZ433" s="314" t="e">
        <f>IF($J433="",#N/A,SUM(BY$4:BY433))</f>
        <v>#N/A</v>
      </c>
      <c r="CA433" s="315" t="str">
        <f t="shared" si="701"/>
        <v/>
      </c>
      <c r="CB433" s="315" t="e">
        <f>IF($J433="",#N/A,SUM(CA$4:CA433))</f>
        <v>#N/A</v>
      </c>
      <c r="CC433" s="315" t="e">
        <f>IF($J433="",#N/A,SUM(CA$4:CA433,BY$4:BY433,BW$4:BW433))</f>
        <v>#N/A</v>
      </c>
      <c r="CD433" s="304" t="str">
        <f t="shared" si="702"/>
        <v/>
      </c>
      <c r="CE433" s="313" t="e">
        <f>IF($J433="",#N/A,SUM(CD$4:CD433))</f>
        <v>#N/A</v>
      </c>
      <c r="CF433" s="314" t="str">
        <f t="shared" si="703"/>
        <v/>
      </c>
      <c r="CG433" s="314" t="e">
        <f>IF($J433="",#N/A,SUM(CF$4:CF433))</f>
        <v>#N/A</v>
      </c>
      <c r="CH433" s="315" t="str">
        <f t="shared" si="704"/>
        <v/>
      </c>
      <c r="CI433" s="315" t="e">
        <f>IF($J433="",#N/A,SUM(CH$4:CH433))</f>
        <v>#N/A</v>
      </c>
      <c r="CJ433" s="315" t="e">
        <f>IF($J433="",#N/A,SUM(CH$4:CH433,CF$4:CF433,CD$4:CD433))</f>
        <v>#N/A</v>
      </c>
      <c r="CK433" s="304" t="str">
        <f t="shared" si="705"/>
        <v/>
      </c>
      <c r="CL433" s="313" t="e">
        <f>IF($J433="",#N/A,SUM(CK$4:CK433))</f>
        <v>#N/A</v>
      </c>
      <c r="CM433" s="314" t="str">
        <f t="shared" si="706"/>
        <v/>
      </c>
      <c r="CN433" s="314" t="e">
        <f>IF($J433="",#N/A,SUM(CM$4:CM433))</f>
        <v>#N/A</v>
      </c>
      <c r="CO433" s="315" t="str">
        <f t="shared" si="707"/>
        <v/>
      </c>
      <c r="CP433" s="315" t="e">
        <f>IF($J433="",#N/A,SUM(CO$4:CO433))</f>
        <v>#N/A</v>
      </c>
      <c r="CQ433" s="315" t="e">
        <f>IF($J433="",#N/A,SUM(CO$4:CO433,CM$4:CM433,CK$4:CK433))</f>
        <v>#N/A</v>
      </c>
      <c r="CR433" s="304" t="str">
        <f t="shared" si="708"/>
        <v/>
      </c>
      <c r="CS433" s="313" t="e">
        <f>IF($J433="",#N/A,SUM(CR$4:CR433))</f>
        <v>#N/A</v>
      </c>
      <c r="CT433" s="314" t="str">
        <f t="shared" si="709"/>
        <v/>
      </c>
      <c r="CU433" s="314" t="e">
        <f>IF($J433="",#N/A,SUM(CT$4:CT433))</f>
        <v>#N/A</v>
      </c>
      <c r="CV433" s="315" t="str">
        <f t="shared" si="710"/>
        <v/>
      </c>
      <c r="CW433" s="315" t="e">
        <f>IF($J433="",#N/A,SUM(CV$4:CV433))</f>
        <v>#N/A</v>
      </c>
      <c r="CX433" s="315" t="e">
        <f>IF($J433="",#N/A,SUM(CV$4:CV433,CT$4:CT433,CR$4:CR433))</f>
        <v>#N/A</v>
      </c>
      <c r="CY433" s="304" t="str">
        <f t="shared" si="711"/>
        <v/>
      </c>
      <c r="CZ433" s="313" t="e">
        <f>IF($J433="",#N/A,SUM(CY$4:CY433))</f>
        <v>#N/A</v>
      </c>
      <c r="DA433" s="314" t="str">
        <f t="shared" si="712"/>
        <v/>
      </c>
      <c r="DB433" s="314" t="e">
        <f>IF($J433="",#N/A,SUM(DA$4:DA433))</f>
        <v>#N/A</v>
      </c>
      <c r="DC433" s="315" t="str">
        <f t="shared" si="713"/>
        <v/>
      </c>
      <c r="DD433" s="315" t="e">
        <f>IF($J433="",#N/A,SUM(DC$4:DC433))</f>
        <v>#N/A</v>
      </c>
      <c r="DE433" s="315" t="e">
        <f>IF($J433="",#N/A,SUM(DC$4:DC433,DA$4:DA433,CY$4:CY433))</f>
        <v>#N/A</v>
      </c>
      <c r="DF433" s="304" t="str">
        <f t="shared" si="714"/>
        <v/>
      </c>
      <c r="DG433" s="313" t="e">
        <f>IF($J433="",#N/A,SUM(DF$4:DF433))</f>
        <v>#N/A</v>
      </c>
      <c r="DH433" s="314" t="str">
        <f t="shared" si="715"/>
        <v/>
      </c>
      <c r="DI433" s="314" t="e">
        <f>IF($J433="",#N/A,SUM(DH$4:DH433))</f>
        <v>#N/A</v>
      </c>
      <c r="DJ433" s="315" t="str">
        <f t="shared" si="716"/>
        <v/>
      </c>
      <c r="DK433" s="315" t="e">
        <f>IF($J433="",#N/A,SUM(DJ$4:DJ433))</f>
        <v>#N/A</v>
      </c>
      <c r="DL433" s="315" t="e">
        <f>IF($J433="",#N/A,SUM(DJ$4:DJ433,DH$4:DH433,DF$4:DF433))</f>
        <v>#N/A</v>
      </c>
      <c r="DM433" s="304" t="str">
        <f t="shared" si="717"/>
        <v/>
      </c>
      <c r="DN433" s="313" t="e">
        <f>IF($J433="",#N/A,SUM(DM$4:DM433))</f>
        <v>#N/A</v>
      </c>
      <c r="DO433" s="314" t="str">
        <f t="shared" si="718"/>
        <v/>
      </c>
      <c r="DP433" s="314" t="e">
        <f>IF($J433="",#N/A,SUM(DO$4:DO433))</f>
        <v>#N/A</v>
      </c>
      <c r="DQ433" s="315" t="str">
        <f t="shared" si="719"/>
        <v/>
      </c>
      <c r="DR433" s="315" t="e">
        <f>IF($J433="",#N/A,SUM(DQ$4:DQ433))</f>
        <v>#N/A</v>
      </c>
      <c r="DS433" s="315" t="e">
        <f>IF($J433="",#N/A,SUM(DQ$4:DQ433,DO$4:DO433,DM$4:DM433))</f>
        <v>#N/A</v>
      </c>
      <c r="DT433" s="304" t="str">
        <f t="shared" si="720"/>
        <v/>
      </c>
      <c r="DU433" s="313" t="e">
        <f>IF($J433="",#N/A,SUM(DT$4:DT433))</f>
        <v>#N/A</v>
      </c>
      <c r="DV433" s="314" t="str">
        <f t="shared" si="721"/>
        <v/>
      </c>
      <c r="DW433" s="314" t="e">
        <f>IF($J433="",#N/A,SUM(DV$4:DV433))</f>
        <v>#N/A</v>
      </c>
      <c r="DX433" s="315" t="str">
        <f t="shared" si="722"/>
        <v/>
      </c>
      <c r="DY433" s="315" t="e">
        <f>IF($J433="",#N/A,SUM(DX$4:DX433))</f>
        <v>#N/A</v>
      </c>
      <c r="DZ433" s="315" t="e">
        <f>IF($J433="",#N/A,SUM(DX$4:DX433,DV$4:DV433,DT$4:DT433))</f>
        <v>#N/A</v>
      </c>
      <c r="EA433" s="304" t="str">
        <f t="shared" si="723"/>
        <v/>
      </c>
      <c r="EB433" s="313" t="e">
        <f>IF($J433="",#N/A,SUM(EA$4:EA433))</f>
        <v>#N/A</v>
      </c>
      <c r="EC433" s="314" t="str">
        <f t="shared" si="724"/>
        <v/>
      </c>
      <c r="ED433" s="314" t="e">
        <f>IF($J433="",#N/A,SUM(EC$4:EC433))</f>
        <v>#N/A</v>
      </c>
      <c r="EE433" s="315" t="str">
        <f t="shared" si="725"/>
        <v/>
      </c>
      <c r="EF433" s="315" t="e">
        <f>IF($J433="",#N/A,SUM(EE$4:EE433))</f>
        <v>#N/A</v>
      </c>
      <c r="EG433" s="315" t="e">
        <f>IF($J433="",#N/A,SUM(EE$4:EE433,EC$4:EC433,EA$4:EA433))</f>
        <v>#N/A</v>
      </c>
      <c r="EH433" s="130">
        <f t="shared" si="726"/>
        <v>162.39999999999998</v>
      </c>
      <c r="EI433" s="63">
        <f>IF(EH433="",#N/A,SUM($EH$4:EH433))</f>
        <v>2938.9635715933468</v>
      </c>
      <c r="EJ433" s="223" t="e">
        <f t="shared" si="727"/>
        <v>#N/A</v>
      </c>
      <c r="EK433" s="63" t="e">
        <f>IF($GZ433="",#N/A,SUM(EJ$4:EJ433))</f>
        <v>#N/A</v>
      </c>
      <c r="EL433" s="60" t="str">
        <f t="shared" si="757"/>
        <v/>
      </c>
      <c r="EM433" s="60" t="e">
        <f>IF(EL433="",NA(),SUM($EL$4:EL433))</f>
        <v>#N/A</v>
      </c>
      <c r="EN433" s="60" t="str">
        <f t="shared" si="728"/>
        <v/>
      </c>
      <c r="EO433" s="60" t="e">
        <f>IF(EN433="",NA(),SUM($EN$4:EN433))</f>
        <v>#N/A</v>
      </c>
      <c r="EP433" s="60" t="str">
        <f t="shared" si="729"/>
        <v/>
      </c>
      <c r="EQ433" s="60" t="e">
        <f>IF(EP433="",NA(),SUM($EP$4:EP433))</f>
        <v>#N/A</v>
      </c>
      <c r="ER433" s="60" t="str">
        <f t="shared" si="730"/>
        <v/>
      </c>
      <c r="ES433" s="60" t="e">
        <f>IF(ER433="",NA(),SUM($ER$4:ER433))</f>
        <v>#N/A</v>
      </c>
      <c r="ET433" s="60">
        <f t="shared" si="731"/>
        <v>2.8599605522682441</v>
      </c>
      <c r="EU433" s="60">
        <f>IF(ET433="",NA(),SUM($ET$4:ET433))</f>
        <v>48.351505538944259</v>
      </c>
      <c r="EV433" s="60" t="str">
        <f t="shared" si="732"/>
        <v/>
      </c>
      <c r="EW433" s="60" t="e">
        <f>IF(EV433="",NA(),SUM($EV$4:EV433))</f>
        <v>#N/A</v>
      </c>
      <c r="EX433" s="60" t="str">
        <f t="shared" si="733"/>
        <v/>
      </c>
      <c r="EY433" s="60" t="e">
        <f>IF(EX433="",NA(),SUM($EX$4:EX433))</f>
        <v>#N/A</v>
      </c>
      <c r="EZ433" s="60">
        <f t="shared" si="734"/>
        <v>2.8599605522682441</v>
      </c>
      <c r="FA433" s="60">
        <f>IF(EZ433="",NA(),SUM($EZ$4:EZ433))</f>
        <v>30.159209930724774</v>
      </c>
      <c r="FB433" s="246">
        <f t="shared" si="758"/>
        <v>-0.23950408565793202</v>
      </c>
      <c r="FC433" s="246">
        <f>IF($FB433="",#N/A,SUM(FB$4:$FB433))</f>
        <v>0.1731934354865774</v>
      </c>
      <c r="FD433" s="60" t="str">
        <f t="shared" si="735"/>
        <v/>
      </c>
      <c r="FE433" s="60" t="e">
        <f>IF($FD433="",#N/A,SUM($FD$4:FD433))</f>
        <v>#N/A</v>
      </c>
      <c r="FF433" s="60" t="str">
        <f t="shared" si="736"/>
        <v/>
      </c>
      <c r="FG433" s="60" t="e">
        <f>IF($FF433="",#N/A,SUM($FF$4:FF433))</f>
        <v>#N/A</v>
      </c>
      <c r="FH433" s="60" t="str">
        <f t="shared" si="737"/>
        <v/>
      </c>
      <c r="FI433" s="60" t="e">
        <f>IF($FH433="",#N/A,SUM($FH$4:FH433))</f>
        <v>#N/A</v>
      </c>
      <c r="FJ433" s="60" t="str">
        <f t="shared" si="738"/>
        <v/>
      </c>
      <c r="FK433" s="60" t="e">
        <f>IF($FJ433="",#N/A,SUM($FJ$4:FJ433))</f>
        <v>#N/A</v>
      </c>
      <c r="FL433" s="60" t="str">
        <f t="shared" si="739"/>
        <v/>
      </c>
      <c r="FM433" s="60" t="e">
        <f>IF($FL433="",#N/A,SUM($FL$4:FL433))</f>
        <v>#N/A</v>
      </c>
      <c r="FN433" s="82">
        <f t="shared" si="740"/>
        <v>2.6204564666103121</v>
      </c>
      <c r="FO433" s="82">
        <f>IF($FN433="",#N/A,SUM(FN$4:$FN433))</f>
        <v>62.175345930783649</v>
      </c>
      <c r="FP433" s="82">
        <f t="shared" si="759"/>
        <v>2.8599605522682441</v>
      </c>
      <c r="FQ433" s="246">
        <f>IF($EH433="",#N/A,SUM($FP$4:FP433))</f>
        <v>75.750302418458475</v>
      </c>
      <c r="FR433" s="82">
        <f>IFERROR(FQ433/COUNTA($J$4:J433),#N/A)</f>
        <v>0.17616349399641507</v>
      </c>
      <c r="FS433" s="82">
        <f t="shared" si="661"/>
        <v>0.39809220906269688</v>
      </c>
      <c r="FT433" s="82">
        <f t="shared" si="662"/>
        <v>1.0270444890394057</v>
      </c>
      <c r="FU433" s="338">
        <f t="shared" si="764"/>
        <v>33.531332111152437</v>
      </c>
      <c r="FV433" s="57" t="str">
        <f t="shared" si="765"/>
        <v>Dwn</v>
      </c>
      <c r="FW433" s="57" t="s">
        <v>2733</v>
      </c>
      <c r="FX433" s="57" t="str">
        <f t="shared" si="741"/>
        <v/>
      </c>
      <c r="FY433" s="57" t="str">
        <f t="shared" si="742"/>
        <v/>
      </c>
      <c r="FZ433" s="57" t="str">
        <f t="shared" si="743"/>
        <v/>
      </c>
      <c r="GA433" s="57" t="str">
        <f t="shared" si="744"/>
        <v>Short</v>
      </c>
      <c r="GB433" s="57">
        <f t="shared" si="745"/>
        <v>1</v>
      </c>
      <c r="GC433" s="57" t="str">
        <f t="shared" si="746"/>
        <v/>
      </c>
      <c r="GD433" s="57" t="str">
        <f t="shared" si="747"/>
        <v/>
      </c>
      <c r="GE433" s="62">
        <f t="shared" si="664"/>
        <v>11.83</v>
      </c>
      <c r="GF433" s="62" t="s">
        <v>2780</v>
      </c>
      <c r="GG433" s="199">
        <v>80</v>
      </c>
      <c r="GH433" s="207">
        <f t="shared" si="748"/>
        <v>946.4</v>
      </c>
      <c r="GI433" s="199">
        <v>80</v>
      </c>
      <c r="GJ433" s="200">
        <v>9.9</v>
      </c>
      <c r="GK433" s="63">
        <f t="shared" si="749"/>
        <v>154.39999999999998</v>
      </c>
      <c r="GL433" s="63">
        <f t="shared" si="665"/>
        <v>148.79999999999995</v>
      </c>
      <c r="GM433" s="82" t="str">
        <f t="shared" si="750"/>
        <v/>
      </c>
      <c r="GN433" s="82">
        <f>IF($GZ433="",#N/A,SUM(GM$4:GM433))</f>
        <v>9.4532904651294007</v>
      </c>
      <c r="GO433" s="82" t="str">
        <f t="shared" si="751"/>
        <v/>
      </c>
      <c r="GP433" s="82">
        <f>IF($GZ433="",#N/A,SUM(GO$4:GO433))</f>
        <v>4.2788408366274897</v>
      </c>
      <c r="GQ433" s="82">
        <f t="shared" si="752"/>
        <v>2.6204564666103121</v>
      </c>
      <c r="GR433" s="82">
        <f>IF($GZ433="",#N/A,SUM(GQ$4:GQ433))</f>
        <v>47.817377674584442</v>
      </c>
      <c r="GS433" s="63" t="str">
        <f t="shared" si="760"/>
        <v/>
      </c>
      <c r="GT433" s="63" t="e">
        <f>IF($GZ433="",#N/A,SUM(GS$4:GS433))</f>
        <v>#N/A</v>
      </c>
      <c r="GU433" s="63" t="str">
        <f t="shared" si="761"/>
        <v/>
      </c>
      <c r="GV433" s="63" t="e">
        <f>IF($GZ433="",#N/A,SUM(GU$4:GU433))</f>
        <v>#N/A</v>
      </c>
      <c r="GW433" s="63" t="e">
        <f t="shared" si="762"/>
        <v>#N/A</v>
      </c>
      <c r="GX433" s="63" t="e">
        <f>IF($GZ433="",#N/A,SUM(GW$4:GW433))</f>
        <v>#N/A</v>
      </c>
      <c r="GY433" s="63" t="e">
        <f>IF(EJ433="",#N/A,SUM($EJ$4:EJ433))</f>
        <v>#N/A</v>
      </c>
      <c r="GZ433" s="159">
        <v>9.9700000000000006</v>
      </c>
      <c r="HA433" s="63">
        <f t="shared" si="753"/>
        <v>-13.600000000000023</v>
      </c>
      <c r="HB433" s="62" t="s">
        <v>2538</v>
      </c>
      <c r="HC433" s="60">
        <f>IFERROR(VLOOKUP(E433,Expectancy!$P$4:$S$19,1+C433,FALSE),"")</f>
        <v>0.78642334455186147</v>
      </c>
      <c r="HD433" s="82">
        <f t="shared" si="754"/>
        <v>2.7190757959988727</v>
      </c>
      <c r="HE433" s="138">
        <f>IF(HD433="",#N/A,SUM($HD$4:HD433))</f>
        <v>27.688970307306036</v>
      </c>
      <c r="HF433" s="85">
        <f>IF(HD433="",#N/A,IF(HB433="Skip",#N/A,SUM($HG$4:HG433)))</f>
        <v>1571.4935792191563</v>
      </c>
      <c r="HG433" s="63">
        <f t="shared" si="755"/>
        <v>154.39999999999998</v>
      </c>
      <c r="HH433" s="82">
        <f t="shared" si="766"/>
        <v>2.6204564666103121</v>
      </c>
    </row>
    <row r="434" spans="1:216" x14ac:dyDescent="0.25">
      <c r="A434" s="57" t="s">
        <v>1217</v>
      </c>
      <c r="B434" s="58" t="str" cm="1">
        <f t="array" ref="B434">IFERROR(_xlfn.XLOOKUP(A434,Earnings!$B$2:$B$9985,LEFT(Earnings!$C$2:$C$9985,37)),"Can't Find Date***")</f>
        <v>on 3/13/25 Before Market Eastern Stan</v>
      </c>
      <c r="C434" s="386">
        <f t="shared" si="667"/>
        <v>2</v>
      </c>
      <c r="D434" s="372" t="str">
        <f>_xlfn.XLOOKUP(A434,[1]SP500!$A$2:$A$502,[1]SP500!$D$2:$D$502,"N")</f>
        <v>Y</v>
      </c>
      <c r="E434" s="57" t="str">
        <f>_xlfn.XLOOKUP(A434,[1]SP500!$A$2:$A$655,[1]SP500!$B$2:$B$655)</f>
        <v>XLP</v>
      </c>
      <c r="F434" s="59">
        <v>45729</v>
      </c>
      <c r="G434" s="57" t="str">
        <f t="shared" si="668"/>
        <v>BMO</v>
      </c>
      <c r="H434" s="57" t="str">
        <f t="shared" si="669"/>
        <v>s</v>
      </c>
      <c r="I434" s="159">
        <v>74.849999999999994</v>
      </c>
      <c r="J434" s="159">
        <v>78.62</v>
      </c>
      <c r="K434" s="61">
        <f t="shared" si="670"/>
        <v>5.036740146960602E-2</v>
      </c>
      <c r="L434" s="87">
        <f t="shared" si="671"/>
        <v>-49.010000000000105</v>
      </c>
      <c r="M434" s="130">
        <f t="shared" si="663"/>
        <v>3.25</v>
      </c>
      <c r="N434" s="169" t="str">
        <f t="shared" si="672"/>
        <v/>
      </c>
      <c r="O434" s="169">
        <f>IF($J434="",#N/A,SUM($N$4:N434))</f>
        <v>-328.04225475891064</v>
      </c>
      <c r="P434" s="174">
        <f t="shared" si="673"/>
        <v>-49.010000000000105</v>
      </c>
      <c r="Q434" s="174">
        <f>IF($J434="",#N/A,SUM($P$4:P434))</f>
        <v>2108.5466539569479</v>
      </c>
      <c r="R434" s="178" t="str">
        <f t="shared" si="674"/>
        <v/>
      </c>
      <c r="S434" s="178">
        <f>IF($J434="",#N/A,SUM($R$4:R434))</f>
        <v>1109.4491723953095</v>
      </c>
      <c r="T434" s="290" t="str">
        <f t="shared" si="675"/>
        <v/>
      </c>
      <c r="U434" s="290">
        <f>IF($J434="",#N/A,SUM($T$4:T434))</f>
        <v>10.009379462148743</v>
      </c>
      <c r="V434" s="291">
        <f t="shared" si="676"/>
        <v>-0.8394566911600998</v>
      </c>
      <c r="W434" s="291">
        <f>IF($J434="",#N/A,SUM($V$4:V434))</f>
        <v>45.984171076757612</v>
      </c>
      <c r="X434" s="292" t="str">
        <f t="shared" si="677"/>
        <v/>
      </c>
      <c r="Y434" s="292">
        <f>IF($J434="",#N/A,SUM($X$4:X434))</f>
        <v>18.917295188392</v>
      </c>
      <c r="Z434" s="304" t="str">
        <f t="shared" si="678"/>
        <v/>
      </c>
      <c r="AA434" s="313" t="e">
        <f>IF($J434="",#N/A,SUM(Z$4:Z434))</f>
        <v>#N/A</v>
      </c>
      <c r="AB434" s="314" t="str">
        <f t="shared" si="679"/>
        <v/>
      </c>
      <c r="AC434" s="314" t="e">
        <f>IF($J434="",#N/A,SUM(AB$4:AB434))</f>
        <v>#N/A</v>
      </c>
      <c r="AD434" s="315" t="str">
        <f t="shared" si="680"/>
        <v/>
      </c>
      <c r="AE434" s="315" t="e">
        <f>IF($J434="",#N/A,SUM(AD$4:AD434))</f>
        <v>#N/A</v>
      </c>
      <c r="AF434" s="315" t="e">
        <f>IF($J434="",#N/A,SUM(AD$4:AD434,AB$4:AB434,Z$4:Z434))</f>
        <v>#N/A</v>
      </c>
      <c r="AG434" s="304" t="str">
        <f t="shared" si="681"/>
        <v/>
      </c>
      <c r="AH434" s="313" t="e">
        <f>IF($J434="",#N/A,SUM(AG$4:AG434))</f>
        <v>#N/A</v>
      </c>
      <c r="AI434" s="314" t="str">
        <f t="shared" si="682"/>
        <v/>
      </c>
      <c r="AJ434" s="314" t="e">
        <f>IF($J434="",#N/A,SUM(AI$4:AI434))</f>
        <v>#N/A</v>
      </c>
      <c r="AK434" s="315" t="str">
        <f t="shared" si="683"/>
        <v/>
      </c>
      <c r="AL434" s="315" t="e">
        <f>IF($J434="",#N/A,SUM(AK$4:AK434))</f>
        <v>#N/A</v>
      </c>
      <c r="AM434" s="315" t="e">
        <f>IF($J434="",#N/A,SUM(AK$4:AK434,AI$4:AI434,AG$4:AG434))</f>
        <v>#N/A</v>
      </c>
      <c r="AN434" s="304" t="str">
        <f t="shared" si="684"/>
        <v/>
      </c>
      <c r="AO434" s="313" t="e">
        <f>IF($J434="",#N/A,SUM(AN$4:AN434))</f>
        <v>#N/A</v>
      </c>
      <c r="AP434" s="314" t="str">
        <f t="shared" si="685"/>
        <v/>
      </c>
      <c r="AQ434" s="314" t="e">
        <f>IF($J434="",#N/A,SUM(AP$4:AP434))</f>
        <v>#N/A</v>
      </c>
      <c r="AR434" s="315" t="str">
        <f t="shared" si="686"/>
        <v/>
      </c>
      <c r="AS434" s="315" t="e">
        <f>IF($J434="",#N/A,SUM(AR$4:AR434))</f>
        <v>#N/A</v>
      </c>
      <c r="AT434" s="315" t="e">
        <f>IF($J434="",#N/A,SUM(AR$4:AR434,AP$4:AP434,AN$4:AN434))</f>
        <v>#N/A</v>
      </c>
      <c r="AU434" s="304" t="str">
        <f t="shared" si="687"/>
        <v/>
      </c>
      <c r="AV434" s="313" t="e">
        <f>IF($J434="",#N/A,SUM(AU$4:AU434))</f>
        <v>#N/A</v>
      </c>
      <c r="AW434" s="314">
        <f t="shared" si="688"/>
        <v>-0.8394566911600998</v>
      </c>
      <c r="AX434" s="314" t="e">
        <f>IF($J434="",#N/A,SUM(AW$4:AW434))</f>
        <v>#N/A</v>
      </c>
      <c r="AY434" s="315" t="str">
        <f t="shared" si="689"/>
        <v/>
      </c>
      <c r="AZ434" s="315" t="e">
        <f>IF($J434="",#N/A,SUM(AY$4:AY434))</f>
        <v>#N/A</v>
      </c>
      <c r="BA434" s="315" t="e">
        <f>IF($J434="",#N/A,SUM(AY$4:AY434,AW$4:AW434,AU$4:AU434))</f>
        <v>#N/A</v>
      </c>
      <c r="BB434" s="304" t="str">
        <f t="shared" si="690"/>
        <v/>
      </c>
      <c r="BC434" s="313" t="e">
        <f>IF($J434="",#N/A,SUM(BB$4:BB434))</f>
        <v>#N/A</v>
      </c>
      <c r="BD434" s="314" t="str">
        <f t="shared" si="691"/>
        <v/>
      </c>
      <c r="BE434" s="314" t="e">
        <f>IF($J434="",#N/A,SUM(BD$4:BD434))</f>
        <v>#N/A</v>
      </c>
      <c r="BF434" s="315" t="str">
        <f t="shared" si="692"/>
        <v/>
      </c>
      <c r="BG434" s="315" t="e">
        <f>IF($J434="",#N/A,SUM(BF$4:BF434))</f>
        <v>#N/A</v>
      </c>
      <c r="BH434" s="315" t="e">
        <f>IF($J434="",#N/A,SUM(BF$4:BF434,BD$4:BD434,BB$4:BB434))</f>
        <v>#N/A</v>
      </c>
      <c r="BI434" s="304" t="str">
        <f t="shared" si="693"/>
        <v/>
      </c>
      <c r="BJ434" s="313" t="e">
        <f>IF($J434="",#N/A,SUM(BI$4:BI434))</f>
        <v>#N/A</v>
      </c>
      <c r="BK434" s="314" t="str">
        <f t="shared" si="694"/>
        <v/>
      </c>
      <c r="BL434" s="314" t="e">
        <f>IF($J434="",#N/A,SUM(BK$4:BK434))</f>
        <v>#N/A</v>
      </c>
      <c r="BM434" s="315" t="str">
        <f t="shared" si="695"/>
        <v/>
      </c>
      <c r="BN434" s="315" t="e">
        <f>IF($J434="",#N/A,SUM(BM$4:BM434))</f>
        <v>#N/A</v>
      </c>
      <c r="BO434" s="315" t="e">
        <f>IF($J434="",#N/A,SUM(BM$4:BM434,BK$4:BK434,BI$4:BI434))</f>
        <v>#N/A</v>
      </c>
      <c r="BP434" s="304" t="str">
        <f t="shared" si="696"/>
        <v/>
      </c>
      <c r="BQ434" s="313" t="e">
        <f>IF($J434="",#N/A,SUM(BP$4:BP434))</f>
        <v>#N/A</v>
      </c>
      <c r="BR434" s="314" t="str">
        <f t="shared" si="697"/>
        <v/>
      </c>
      <c r="BS434" s="314" t="e">
        <f>IF($J434="",#N/A,SUM(BR$4:BR434))</f>
        <v>#N/A</v>
      </c>
      <c r="BT434" s="315" t="str">
        <f t="shared" si="698"/>
        <v/>
      </c>
      <c r="BU434" s="315" t="e">
        <f>IF($J434="",#N/A,SUM(BT$4:BT434))</f>
        <v>#N/A</v>
      </c>
      <c r="BV434" s="315" t="e">
        <f>IF($J434="",#N/A,SUM(BT$4:BT434,BR$4:BR434,BP$4:BP434))</f>
        <v>#N/A</v>
      </c>
      <c r="BW434" s="304" t="str">
        <f t="shared" si="699"/>
        <v/>
      </c>
      <c r="BX434" s="313" t="e">
        <f>IF($J434="",#N/A,SUM(BW$4:BW434))</f>
        <v>#N/A</v>
      </c>
      <c r="BY434" s="314" t="str">
        <f t="shared" si="700"/>
        <v/>
      </c>
      <c r="BZ434" s="314" t="e">
        <f>IF($J434="",#N/A,SUM(BY$4:BY434))</f>
        <v>#N/A</v>
      </c>
      <c r="CA434" s="315" t="str">
        <f t="shared" si="701"/>
        <v/>
      </c>
      <c r="CB434" s="315" t="e">
        <f>IF($J434="",#N/A,SUM(CA$4:CA434))</f>
        <v>#N/A</v>
      </c>
      <c r="CC434" s="315" t="e">
        <f>IF($J434="",#N/A,SUM(CA$4:CA434,BY$4:BY434,BW$4:BW434))</f>
        <v>#N/A</v>
      </c>
      <c r="CD434" s="304" t="str">
        <f t="shared" si="702"/>
        <v/>
      </c>
      <c r="CE434" s="313" t="e">
        <f>IF($J434="",#N/A,SUM(CD$4:CD434))</f>
        <v>#N/A</v>
      </c>
      <c r="CF434" s="314" t="str">
        <f t="shared" si="703"/>
        <v/>
      </c>
      <c r="CG434" s="314" t="e">
        <f>IF($J434="",#N/A,SUM(CF$4:CF434))</f>
        <v>#N/A</v>
      </c>
      <c r="CH434" s="315" t="str">
        <f t="shared" si="704"/>
        <v/>
      </c>
      <c r="CI434" s="315" t="e">
        <f>IF($J434="",#N/A,SUM(CH$4:CH434))</f>
        <v>#N/A</v>
      </c>
      <c r="CJ434" s="315" t="e">
        <f>IF($J434="",#N/A,SUM(CH$4:CH434,CF$4:CF434,CD$4:CD434))</f>
        <v>#N/A</v>
      </c>
      <c r="CK434" s="304" t="str">
        <f t="shared" si="705"/>
        <v/>
      </c>
      <c r="CL434" s="313" t="e">
        <f>IF($J434="",#N/A,SUM(CK$4:CK434))</f>
        <v>#N/A</v>
      </c>
      <c r="CM434" s="314" t="str">
        <f t="shared" si="706"/>
        <v/>
      </c>
      <c r="CN434" s="314" t="e">
        <f>IF($J434="",#N/A,SUM(CM$4:CM434))</f>
        <v>#N/A</v>
      </c>
      <c r="CO434" s="315" t="str">
        <f t="shared" si="707"/>
        <v/>
      </c>
      <c r="CP434" s="315" t="e">
        <f>IF($J434="",#N/A,SUM(CO$4:CO434))</f>
        <v>#N/A</v>
      </c>
      <c r="CQ434" s="315" t="e">
        <f>IF($J434="",#N/A,SUM(CO$4:CO434,CM$4:CM434,CK$4:CK434))</f>
        <v>#N/A</v>
      </c>
      <c r="CR434" s="304" t="str">
        <f t="shared" si="708"/>
        <v/>
      </c>
      <c r="CS434" s="313" t="e">
        <f>IF($J434="",#N/A,SUM(CR$4:CR434))</f>
        <v>#N/A</v>
      </c>
      <c r="CT434" s="314" t="str">
        <f t="shared" si="709"/>
        <v/>
      </c>
      <c r="CU434" s="314" t="e">
        <f>IF($J434="",#N/A,SUM(CT$4:CT434))</f>
        <v>#N/A</v>
      </c>
      <c r="CV434" s="315" t="str">
        <f t="shared" si="710"/>
        <v/>
      </c>
      <c r="CW434" s="315" t="e">
        <f>IF($J434="",#N/A,SUM(CV$4:CV434))</f>
        <v>#N/A</v>
      </c>
      <c r="CX434" s="315" t="e">
        <f>IF($J434="",#N/A,SUM(CV$4:CV434,CT$4:CT434,CR$4:CR434))</f>
        <v>#N/A</v>
      </c>
      <c r="CY434" s="304" t="str">
        <f t="shared" si="711"/>
        <v/>
      </c>
      <c r="CZ434" s="313" t="e">
        <f>IF($J434="",#N/A,SUM(CY$4:CY434))</f>
        <v>#N/A</v>
      </c>
      <c r="DA434" s="314" t="str">
        <f t="shared" si="712"/>
        <v/>
      </c>
      <c r="DB434" s="314" t="e">
        <f>IF($J434="",#N/A,SUM(DA$4:DA434))</f>
        <v>#N/A</v>
      </c>
      <c r="DC434" s="315" t="str">
        <f t="shared" si="713"/>
        <v/>
      </c>
      <c r="DD434" s="315" t="e">
        <f>IF($J434="",#N/A,SUM(DC$4:DC434))</f>
        <v>#N/A</v>
      </c>
      <c r="DE434" s="315" t="e">
        <f>IF($J434="",#N/A,SUM(DC$4:DC434,DA$4:DA434,CY$4:CY434))</f>
        <v>#N/A</v>
      </c>
      <c r="DF434" s="304" t="str">
        <f t="shared" si="714"/>
        <v/>
      </c>
      <c r="DG434" s="313" t="e">
        <f>IF($J434="",#N/A,SUM(DF$4:DF434))</f>
        <v>#N/A</v>
      </c>
      <c r="DH434" s="314" t="str">
        <f t="shared" si="715"/>
        <v/>
      </c>
      <c r="DI434" s="314" t="e">
        <f>IF($J434="",#N/A,SUM(DH$4:DH434))</f>
        <v>#N/A</v>
      </c>
      <c r="DJ434" s="315" t="str">
        <f t="shared" si="716"/>
        <v/>
      </c>
      <c r="DK434" s="315" t="e">
        <f>IF($J434="",#N/A,SUM(DJ$4:DJ434))</f>
        <v>#N/A</v>
      </c>
      <c r="DL434" s="315" t="e">
        <f>IF($J434="",#N/A,SUM(DJ$4:DJ434,DH$4:DH434,DF$4:DF434))</f>
        <v>#N/A</v>
      </c>
      <c r="DM434" s="304" t="str">
        <f t="shared" si="717"/>
        <v/>
      </c>
      <c r="DN434" s="313" t="e">
        <f>IF($J434="",#N/A,SUM(DM$4:DM434))</f>
        <v>#N/A</v>
      </c>
      <c r="DO434" s="314" t="str">
        <f t="shared" si="718"/>
        <v/>
      </c>
      <c r="DP434" s="314" t="e">
        <f>IF($J434="",#N/A,SUM(DO$4:DO434))</f>
        <v>#N/A</v>
      </c>
      <c r="DQ434" s="315" t="str">
        <f t="shared" si="719"/>
        <v/>
      </c>
      <c r="DR434" s="315" t="e">
        <f>IF($J434="",#N/A,SUM(DQ$4:DQ434))</f>
        <v>#N/A</v>
      </c>
      <c r="DS434" s="315" t="e">
        <f>IF($J434="",#N/A,SUM(DQ$4:DQ434,DO$4:DO434,DM$4:DM434))</f>
        <v>#N/A</v>
      </c>
      <c r="DT434" s="304" t="str">
        <f t="shared" si="720"/>
        <v/>
      </c>
      <c r="DU434" s="313" t="e">
        <f>IF($J434="",#N/A,SUM(DT$4:DT434))</f>
        <v>#N/A</v>
      </c>
      <c r="DV434" s="314" t="str">
        <f t="shared" si="721"/>
        <v/>
      </c>
      <c r="DW434" s="314" t="e">
        <f>IF($J434="",#N/A,SUM(DV$4:DV434))</f>
        <v>#N/A</v>
      </c>
      <c r="DX434" s="315" t="str">
        <f t="shared" si="722"/>
        <v/>
      </c>
      <c r="DY434" s="315" t="e">
        <f>IF($J434="",#N/A,SUM(DX$4:DX434))</f>
        <v>#N/A</v>
      </c>
      <c r="DZ434" s="315" t="e">
        <f>IF($J434="",#N/A,SUM(DX$4:DX434,DV$4:DV434,DT$4:DT434))</f>
        <v>#N/A</v>
      </c>
      <c r="EA434" s="304" t="str">
        <f t="shared" si="723"/>
        <v/>
      </c>
      <c r="EB434" s="313" t="e">
        <f>IF($J434="",#N/A,SUM(EA$4:EA434))</f>
        <v>#N/A</v>
      </c>
      <c r="EC434" s="314" t="str">
        <f t="shared" si="724"/>
        <v/>
      </c>
      <c r="ED434" s="314" t="e">
        <f>IF($J434="",#N/A,SUM(EC$4:EC434))</f>
        <v>#N/A</v>
      </c>
      <c r="EE434" s="315" t="str">
        <f t="shared" si="725"/>
        <v/>
      </c>
      <c r="EF434" s="315" t="e">
        <f>IF($J434="",#N/A,SUM(EE$4:EE434))</f>
        <v>#N/A</v>
      </c>
      <c r="EG434" s="315" t="e">
        <f>IF($J434="",#N/A,SUM(EE$4:EE434,EC$4:EC434,EA$4:EA434))</f>
        <v>#N/A</v>
      </c>
      <c r="EH434" s="130">
        <f t="shared" si="726"/>
        <v>-49.010000000000105</v>
      </c>
      <c r="EI434" s="63">
        <f>IF(EH434="",#N/A,SUM($EH$4:EH434))</f>
        <v>2889.9535715933466</v>
      </c>
      <c r="EJ434" s="223" t="e">
        <f t="shared" si="727"/>
        <v>#N/A</v>
      </c>
      <c r="EK434" s="63" t="e">
        <f>IF($GZ434="",#N/A,SUM(EJ$4:EJ434))</f>
        <v>#N/A</v>
      </c>
      <c r="EL434" s="60">
        <f t="shared" si="757"/>
        <v>-0.8394566911600998</v>
      </c>
      <c r="EM434" s="60">
        <f>IF(EL434="",NA(),SUM($EL$4:EL434))</f>
        <v>26.559340188354096</v>
      </c>
      <c r="EN434" s="60" t="str">
        <f t="shared" si="728"/>
        <v/>
      </c>
      <c r="EO434" s="60" t="e">
        <f>IF(EN434="",NA(),SUM($EN$4:EN434))</f>
        <v>#N/A</v>
      </c>
      <c r="EP434" s="60" t="str">
        <f t="shared" si="729"/>
        <v/>
      </c>
      <c r="EQ434" s="60" t="e">
        <f>IF(EP434="",NA(),SUM($EP$4:EP434))</f>
        <v>#N/A</v>
      </c>
      <c r="ER434" s="60">
        <f t="shared" si="730"/>
        <v>-0.8394566911600998</v>
      </c>
      <c r="ES434" s="60">
        <f>IF(ER434="",NA(),SUM($ER$4:ER434))</f>
        <v>15.824961146032836</v>
      </c>
      <c r="ET434" s="60" t="str">
        <f t="shared" si="731"/>
        <v/>
      </c>
      <c r="EU434" s="60" t="e">
        <f>IF(ET434="",NA(),SUM($ET$4:ET434))</f>
        <v>#N/A</v>
      </c>
      <c r="EV434" s="60" t="str">
        <f t="shared" si="732"/>
        <v/>
      </c>
      <c r="EW434" s="60" t="e">
        <f>IF(EV434="",NA(),SUM($EV$4:EV434))</f>
        <v>#N/A</v>
      </c>
      <c r="EX434" s="60" t="str">
        <f t="shared" si="733"/>
        <v/>
      </c>
      <c r="EY434" s="60" t="e">
        <f>IF(EX434="",NA(),SUM($EX$4:EX434))</f>
        <v>#N/A</v>
      </c>
      <c r="EZ434" s="60" t="str">
        <f t="shared" si="734"/>
        <v/>
      </c>
      <c r="FA434" s="60" t="e">
        <f>IF(EZ434="",NA(),SUM($EZ$4:EZ434))</f>
        <v>#N/A</v>
      </c>
      <c r="FB434" s="246" t="str">
        <f t="shared" si="758"/>
        <v/>
      </c>
      <c r="FC434" s="246" t="e">
        <f>IF($FB434="",#N/A,SUM(FB$4:$FB434))</f>
        <v>#N/A</v>
      </c>
      <c r="FD434" s="60">
        <f t="shared" si="735"/>
        <v>-0.29614785125807308</v>
      </c>
      <c r="FE434" s="60">
        <f>IF($FD434="",#N/A,SUM($FD$4:FD434))</f>
        <v>0.52440861992207988</v>
      </c>
      <c r="FF434" s="60" t="str">
        <f t="shared" si="736"/>
        <v/>
      </c>
      <c r="FG434" s="60" t="e">
        <f>IF($FF434="",#N/A,SUM($FF$4:FF434))</f>
        <v>#N/A</v>
      </c>
      <c r="FH434" s="60" t="str">
        <f t="shared" si="737"/>
        <v/>
      </c>
      <c r="FI434" s="60" t="e">
        <f>IF($FH434="",#N/A,SUM($FH$4:FH434))</f>
        <v>#N/A</v>
      </c>
      <c r="FJ434" s="60" t="str">
        <f t="shared" si="738"/>
        <v/>
      </c>
      <c r="FK434" s="60" t="e">
        <f>IF($FJ434="",#N/A,SUM($FJ$4:FJ434))</f>
        <v>#N/A</v>
      </c>
      <c r="FL434" s="60" t="str">
        <f t="shared" si="739"/>
        <v/>
      </c>
      <c r="FM434" s="60" t="e">
        <f>IF($FL434="",#N/A,SUM($FL$4:FL434))</f>
        <v>#N/A</v>
      </c>
      <c r="FN434" s="82">
        <f t="shared" si="740"/>
        <v>-1.1356045424181729</v>
      </c>
      <c r="FO434" s="82">
        <f>IF($FN434="",#N/A,SUM(FN$4:$FN434))</f>
        <v>61.039741388365478</v>
      </c>
      <c r="FP434" s="82">
        <f t="shared" si="759"/>
        <v>-0.8394566911600998</v>
      </c>
      <c r="FQ434" s="246">
        <f>IF($EH434="",#N/A,SUM($FP$4:FP434))</f>
        <v>74.91084572729838</v>
      </c>
      <c r="FR434" s="82">
        <f>IFERROR(FQ434/COUNTA($J$4:J434),#N/A)</f>
        <v>0.17380706665266446</v>
      </c>
      <c r="FS434" s="82">
        <f t="shared" si="661"/>
        <v>0.39540783218652154</v>
      </c>
      <c r="FT434" s="82">
        <f t="shared" si="662"/>
        <v>1.0234028938167208</v>
      </c>
      <c r="FU434" s="338">
        <f t="shared" si="764"/>
        <v>33.475665221818218</v>
      </c>
      <c r="FV434" s="57" t="str">
        <f t="shared" si="765"/>
        <v>Dwn</v>
      </c>
      <c r="FW434" s="57" t="s">
        <v>2734</v>
      </c>
      <c r="FX434" s="57" t="str">
        <f t="shared" si="741"/>
        <v/>
      </c>
      <c r="FY434" s="57">
        <f t="shared" si="742"/>
        <v>1</v>
      </c>
      <c r="FZ434" s="57" t="str">
        <f t="shared" si="743"/>
        <v/>
      </c>
      <c r="GA434" s="57" t="str">
        <f t="shared" si="744"/>
        <v>Short</v>
      </c>
      <c r="GB434" s="57" t="str">
        <f t="shared" si="745"/>
        <v/>
      </c>
      <c r="GC434" s="57" t="str">
        <f t="shared" si="746"/>
        <v/>
      </c>
      <c r="GD434" s="57" t="str">
        <f t="shared" si="747"/>
        <v/>
      </c>
      <c r="GE434" s="62">
        <f t="shared" si="664"/>
        <v>74.849999999999994</v>
      </c>
      <c r="GF434" s="62" t="s">
        <v>2780</v>
      </c>
      <c r="GG434" s="199">
        <v>13</v>
      </c>
      <c r="GH434" s="207">
        <f t="shared" si="748"/>
        <v>973.05</v>
      </c>
      <c r="GI434" s="199">
        <v>13</v>
      </c>
      <c r="GJ434" s="200">
        <v>78.37</v>
      </c>
      <c r="GK434" s="63">
        <f t="shared" si="749"/>
        <v>-45.760000000000105</v>
      </c>
      <c r="GL434" s="63">
        <f t="shared" si="665"/>
        <v>-66.300000000000182</v>
      </c>
      <c r="GM434" s="82" t="str">
        <f t="shared" si="750"/>
        <v/>
      </c>
      <c r="GN434" s="82">
        <f>IF($GZ434="",#N/A,SUM(GM$4:GM434))</f>
        <v>9.4532904651294007</v>
      </c>
      <c r="GO434" s="82" t="str">
        <f t="shared" si="751"/>
        <v/>
      </c>
      <c r="GP434" s="82">
        <f>IF($GZ434="",#N/A,SUM(GO$4:GO434))</f>
        <v>4.2788408366274897</v>
      </c>
      <c r="GQ434" s="82">
        <f t="shared" si="752"/>
        <v>-1.1356045424181729</v>
      </c>
      <c r="GR434" s="82">
        <f>IF($GZ434="",#N/A,SUM(GQ$4:GQ434))</f>
        <v>46.681773132166271</v>
      </c>
      <c r="GS434" s="63" t="str">
        <f t="shared" si="760"/>
        <v/>
      </c>
      <c r="GT434" s="63" t="e">
        <f>IF($GZ434="",#N/A,SUM(GS$4:GS434))</f>
        <v>#N/A</v>
      </c>
      <c r="GU434" s="63" t="str">
        <f t="shared" si="761"/>
        <v/>
      </c>
      <c r="GV434" s="63" t="e">
        <f>IF($GZ434="",#N/A,SUM(GU$4:GU434))</f>
        <v>#N/A</v>
      </c>
      <c r="GW434" s="63" t="e">
        <f t="shared" si="762"/>
        <v>#N/A</v>
      </c>
      <c r="GX434" s="63" t="e">
        <f>IF($GZ434="",#N/A,SUM(GW$4:GW434))</f>
        <v>#N/A</v>
      </c>
      <c r="GY434" s="63" t="e">
        <f>IF(EJ434="",#N/A,SUM($EJ$4:EJ434))</f>
        <v>#N/A</v>
      </c>
      <c r="GZ434" s="159">
        <v>79.95</v>
      </c>
      <c r="HA434" s="63">
        <f t="shared" si="753"/>
        <v>-17.290000000000077</v>
      </c>
      <c r="HB434" s="62" t="s">
        <v>2538</v>
      </c>
      <c r="HC434" s="473">
        <f>IFERROR(VLOOKUP(E434,Expectancy!$P$4:$S$19,1+C434,FALSE),"")</f>
        <v>0.30769020202715358</v>
      </c>
      <c r="HD434" s="82">
        <f t="shared" si="754"/>
        <v>-0.78378980182587588</v>
      </c>
      <c r="HE434" s="138">
        <f>IF(HD434="",#N/A,SUM($HD$4:HD434))</f>
        <v>26.90518050548016</v>
      </c>
      <c r="HF434" s="85">
        <f>IF(HD434="",#N/A,IF(HB434="Skip",#N/A,SUM($HG$4:HG434)))</f>
        <v>1525.7335792191561</v>
      </c>
      <c r="HG434" s="63">
        <f t="shared" si="755"/>
        <v>-45.760000000000105</v>
      </c>
      <c r="HH434" s="82">
        <f t="shared" si="766"/>
        <v>-1.1356045424181729</v>
      </c>
    </row>
    <row r="435" spans="1:216" x14ac:dyDescent="0.25">
      <c r="A435" s="72" t="s">
        <v>1241</v>
      </c>
      <c r="B435" s="73" t="str" cm="1">
        <f t="array" ref="B435">IFERROR(_xlfn.XLOOKUP(A435,Earnings!$B$2:$B$9985,LEFT(Earnings!$C$2:$C$9985,37)),"Can't Find Date***")</f>
        <v>on 3/13/25 After Market Eastern Stand</v>
      </c>
      <c r="C435" s="387">
        <f t="shared" si="667"/>
        <v>2</v>
      </c>
      <c r="D435" s="374" t="str">
        <f>_xlfn.XLOOKUP(A435,[1]SP500!$A$2:$A$502,[1]SP500!$D$2:$D$502,"N")</f>
        <v>N</v>
      </c>
      <c r="E435" s="72" t="str">
        <f>_xlfn.XLOOKUP(A435,[1]SP500!$A$2:$A$655,[1]SP500!$B$2:$B$655)</f>
        <v>IGV</v>
      </c>
      <c r="F435" s="74">
        <v>45729</v>
      </c>
      <c r="G435" s="72" t="str">
        <f t="shared" si="668"/>
        <v>AMC</v>
      </c>
      <c r="H435" s="57" t="str">
        <f t="shared" si="669"/>
        <v>s</v>
      </c>
      <c r="I435" s="274">
        <v>74.7</v>
      </c>
      <c r="J435" s="161">
        <v>81.52</v>
      </c>
      <c r="K435" s="75">
        <f t="shared" si="670"/>
        <v>9.1298527443105668E-2</v>
      </c>
      <c r="L435" s="88">
        <f t="shared" si="671"/>
        <v>-88.659999999999968</v>
      </c>
      <c r="M435" s="78">
        <f t="shared" si="663"/>
        <v>9.1000000000001364</v>
      </c>
      <c r="N435" s="166" t="str">
        <f t="shared" si="672"/>
        <v/>
      </c>
      <c r="O435" s="166">
        <f>IF($J435="",#N/A,SUM($N$4:N435))</f>
        <v>-328.04225475891064</v>
      </c>
      <c r="P435" s="171">
        <f t="shared" si="673"/>
        <v>-88.659999999999968</v>
      </c>
      <c r="Q435" s="171">
        <f>IF($J435="",#N/A,SUM($P$4:P435))</f>
        <v>2019.8866539569481</v>
      </c>
      <c r="R435" s="175" t="str">
        <f t="shared" si="674"/>
        <v/>
      </c>
      <c r="S435" s="175">
        <f>IF($J435="",#N/A,SUM($R$4:R435))</f>
        <v>1109.4491723953095</v>
      </c>
      <c r="T435" s="299" t="str">
        <f t="shared" si="675"/>
        <v/>
      </c>
      <c r="U435" s="299">
        <f>IF($J435="",#N/A,SUM($T$4:T435))</f>
        <v>10.009379462148743</v>
      </c>
      <c r="V435" s="300">
        <f t="shared" si="676"/>
        <v>-1.5216421240517621</v>
      </c>
      <c r="W435" s="300">
        <f>IF($J435="",#N/A,SUM($V$4:V435))</f>
        <v>44.462528952705853</v>
      </c>
      <c r="X435" s="301" t="str">
        <f t="shared" si="677"/>
        <v/>
      </c>
      <c r="Y435" s="301">
        <f>IF($J435="",#N/A,SUM($X$4:X435))</f>
        <v>18.917295188392</v>
      </c>
      <c r="Z435" s="310" t="str">
        <f t="shared" si="678"/>
        <v/>
      </c>
      <c r="AA435" s="322" t="e">
        <f>IF($J435="",#N/A,SUM(Z$4:Z435))</f>
        <v>#N/A</v>
      </c>
      <c r="AB435" s="323" t="str">
        <f t="shared" si="679"/>
        <v/>
      </c>
      <c r="AC435" s="323" t="e">
        <f>IF($J435="",#N/A,SUM(AB$4:AB435))</f>
        <v>#N/A</v>
      </c>
      <c r="AD435" s="324" t="str">
        <f t="shared" si="680"/>
        <v/>
      </c>
      <c r="AE435" s="324" t="e">
        <f>IF($J435="",#N/A,SUM(AD$4:AD435))</f>
        <v>#N/A</v>
      </c>
      <c r="AF435" s="324" t="e">
        <f>IF($J435="",#N/A,SUM(AD$4:AD435,AB$4:AB435,Z$4:Z435))</f>
        <v>#N/A</v>
      </c>
      <c r="AG435" s="310" t="str">
        <f t="shared" si="681"/>
        <v/>
      </c>
      <c r="AH435" s="322" t="e">
        <f>IF($J435="",#N/A,SUM(AG$4:AG435))</f>
        <v>#N/A</v>
      </c>
      <c r="AI435" s="323">
        <f t="shared" si="682"/>
        <v>-1.5216421240517621</v>
      </c>
      <c r="AJ435" s="323" t="e">
        <f>IF($J435="",#N/A,SUM(AI$4:AI435))</f>
        <v>#N/A</v>
      </c>
      <c r="AK435" s="324" t="str">
        <f t="shared" si="683"/>
        <v/>
      </c>
      <c r="AL435" s="324" t="e">
        <f>IF($J435="",#N/A,SUM(AK$4:AK435))</f>
        <v>#N/A</v>
      </c>
      <c r="AM435" s="324" t="e">
        <f>IF($J435="",#N/A,SUM(AK$4:AK435,AI$4:AI435,AG$4:AG435))</f>
        <v>#N/A</v>
      </c>
      <c r="AN435" s="310" t="str">
        <f t="shared" si="684"/>
        <v/>
      </c>
      <c r="AO435" s="322" t="e">
        <f>IF($J435="",#N/A,SUM(AN$4:AN435))</f>
        <v>#N/A</v>
      </c>
      <c r="AP435" s="323" t="str">
        <f t="shared" si="685"/>
        <v/>
      </c>
      <c r="AQ435" s="323" t="e">
        <f>IF($J435="",#N/A,SUM(AP$4:AP435))</f>
        <v>#N/A</v>
      </c>
      <c r="AR435" s="324" t="str">
        <f t="shared" si="686"/>
        <v/>
      </c>
      <c r="AS435" s="324" t="e">
        <f>IF($J435="",#N/A,SUM(AR$4:AR435))</f>
        <v>#N/A</v>
      </c>
      <c r="AT435" s="324" t="e">
        <f>IF($J435="",#N/A,SUM(AR$4:AR435,AP$4:AP435,AN$4:AN435))</f>
        <v>#N/A</v>
      </c>
      <c r="AU435" s="310" t="str">
        <f t="shared" si="687"/>
        <v/>
      </c>
      <c r="AV435" s="322" t="e">
        <f>IF($J435="",#N/A,SUM(AU$4:AU435))</f>
        <v>#N/A</v>
      </c>
      <c r="AW435" s="323" t="str">
        <f t="shared" si="688"/>
        <v/>
      </c>
      <c r="AX435" s="323" t="e">
        <f>IF($J435="",#N/A,SUM(AW$4:AW435))</f>
        <v>#N/A</v>
      </c>
      <c r="AY435" s="324" t="str">
        <f t="shared" si="689"/>
        <v/>
      </c>
      <c r="AZ435" s="324" t="e">
        <f>IF($J435="",#N/A,SUM(AY$4:AY435))</f>
        <v>#N/A</v>
      </c>
      <c r="BA435" s="324" t="e">
        <f>IF($J435="",#N/A,SUM(AY$4:AY435,AW$4:AW435,AU$4:AU435))</f>
        <v>#N/A</v>
      </c>
      <c r="BB435" s="310" t="str">
        <f t="shared" si="690"/>
        <v/>
      </c>
      <c r="BC435" s="322" t="e">
        <f>IF($J435="",#N/A,SUM(BB$4:BB435))</f>
        <v>#N/A</v>
      </c>
      <c r="BD435" s="323" t="str">
        <f t="shared" si="691"/>
        <v/>
      </c>
      <c r="BE435" s="323" t="e">
        <f>IF($J435="",#N/A,SUM(BD$4:BD435))</f>
        <v>#N/A</v>
      </c>
      <c r="BF435" s="324" t="str">
        <f t="shared" si="692"/>
        <v/>
      </c>
      <c r="BG435" s="324" t="e">
        <f>IF($J435="",#N/A,SUM(BF$4:BF435))</f>
        <v>#N/A</v>
      </c>
      <c r="BH435" s="324" t="e">
        <f>IF($J435="",#N/A,SUM(BF$4:BF435,BD$4:BD435,BB$4:BB435))</f>
        <v>#N/A</v>
      </c>
      <c r="BI435" s="310" t="str">
        <f t="shared" si="693"/>
        <v/>
      </c>
      <c r="BJ435" s="322" t="e">
        <f>IF($J435="",#N/A,SUM(BI$4:BI435))</f>
        <v>#N/A</v>
      </c>
      <c r="BK435" s="323" t="str">
        <f t="shared" si="694"/>
        <v/>
      </c>
      <c r="BL435" s="323" t="e">
        <f>IF($J435="",#N/A,SUM(BK$4:BK435))</f>
        <v>#N/A</v>
      </c>
      <c r="BM435" s="324" t="str">
        <f t="shared" si="695"/>
        <v/>
      </c>
      <c r="BN435" s="324" t="e">
        <f>IF($J435="",#N/A,SUM(BM$4:BM435))</f>
        <v>#N/A</v>
      </c>
      <c r="BO435" s="324" t="e">
        <f>IF($J435="",#N/A,SUM(BM$4:BM435,BK$4:BK435,BI$4:BI435))</f>
        <v>#N/A</v>
      </c>
      <c r="BP435" s="310" t="str">
        <f t="shared" si="696"/>
        <v/>
      </c>
      <c r="BQ435" s="322" t="e">
        <f>IF($J435="",#N/A,SUM(BP$4:BP435))</f>
        <v>#N/A</v>
      </c>
      <c r="BR435" s="323" t="str">
        <f t="shared" si="697"/>
        <v/>
      </c>
      <c r="BS435" s="323" t="e">
        <f>IF($J435="",#N/A,SUM(BR$4:BR435))</f>
        <v>#N/A</v>
      </c>
      <c r="BT435" s="324" t="str">
        <f t="shared" si="698"/>
        <v/>
      </c>
      <c r="BU435" s="324" t="e">
        <f>IF($J435="",#N/A,SUM(BT$4:BT435))</f>
        <v>#N/A</v>
      </c>
      <c r="BV435" s="324" t="e">
        <f>IF($J435="",#N/A,SUM(BT$4:BT435,BR$4:BR435,BP$4:BP435))</f>
        <v>#N/A</v>
      </c>
      <c r="BW435" s="310" t="str">
        <f t="shared" si="699"/>
        <v/>
      </c>
      <c r="BX435" s="322" t="e">
        <f>IF($J435="",#N/A,SUM(BW$4:BW435))</f>
        <v>#N/A</v>
      </c>
      <c r="BY435" s="323" t="str">
        <f t="shared" si="700"/>
        <v/>
      </c>
      <c r="BZ435" s="323" t="e">
        <f>IF($J435="",#N/A,SUM(BY$4:BY435))</f>
        <v>#N/A</v>
      </c>
      <c r="CA435" s="324" t="str">
        <f t="shared" si="701"/>
        <v/>
      </c>
      <c r="CB435" s="324" t="e">
        <f>IF($J435="",#N/A,SUM(CA$4:CA435))</f>
        <v>#N/A</v>
      </c>
      <c r="CC435" s="324" t="e">
        <f>IF($J435="",#N/A,SUM(CA$4:CA435,BY$4:BY435,BW$4:BW435))</f>
        <v>#N/A</v>
      </c>
      <c r="CD435" s="310" t="str">
        <f t="shared" si="702"/>
        <v/>
      </c>
      <c r="CE435" s="322" t="e">
        <f>IF($J435="",#N/A,SUM(CD$4:CD435))</f>
        <v>#N/A</v>
      </c>
      <c r="CF435" s="323" t="str">
        <f t="shared" si="703"/>
        <v/>
      </c>
      <c r="CG435" s="323" t="e">
        <f>IF($J435="",#N/A,SUM(CF$4:CF435))</f>
        <v>#N/A</v>
      </c>
      <c r="CH435" s="324" t="str">
        <f t="shared" si="704"/>
        <v/>
      </c>
      <c r="CI435" s="324" t="e">
        <f>IF($J435="",#N/A,SUM(CH$4:CH435))</f>
        <v>#N/A</v>
      </c>
      <c r="CJ435" s="324" t="e">
        <f>IF($J435="",#N/A,SUM(CH$4:CH435,CF$4:CF435,CD$4:CD435))</f>
        <v>#N/A</v>
      </c>
      <c r="CK435" s="310" t="str">
        <f t="shared" si="705"/>
        <v/>
      </c>
      <c r="CL435" s="322" t="e">
        <f>IF($J435="",#N/A,SUM(CK$4:CK435))</f>
        <v>#N/A</v>
      </c>
      <c r="CM435" s="323" t="str">
        <f t="shared" si="706"/>
        <v/>
      </c>
      <c r="CN435" s="323" t="e">
        <f>IF($J435="",#N/A,SUM(CM$4:CM435))</f>
        <v>#N/A</v>
      </c>
      <c r="CO435" s="324" t="str">
        <f t="shared" si="707"/>
        <v/>
      </c>
      <c r="CP435" s="324" t="e">
        <f>IF($J435="",#N/A,SUM(CO$4:CO435))</f>
        <v>#N/A</v>
      </c>
      <c r="CQ435" s="324" t="e">
        <f>IF($J435="",#N/A,SUM(CO$4:CO435,CM$4:CM435,CK$4:CK435))</f>
        <v>#N/A</v>
      </c>
      <c r="CR435" s="310" t="str">
        <f t="shared" si="708"/>
        <v/>
      </c>
      <c r="CS435" s="322" t="e">
        <f>IF($J435="",#N/A,SUM(CR$4:CR435))</f>
        <v>#N/A</v>
      </c>
      <c r="CT435" s="323" t="str">
        <f t="shared" si="709"/>
        <v/>
      </c>
      <c r="CU435" s="323" t="e">
        <f>IF($J435="",#N/A,SUM(CT$4:CT435))</f>
        <v>#N/A</v>
      </c>
      <c r="CV435" s="324" t="str">
        <f t="shared" si="710"/>
        <v/>
      </c>
      <c r="CW435" s="324" t="e">
        <f>IF($J435="",#N/A,SUM(CV$4:CV435))</f>
        <v>#N/A</v>
      </c>
      <c r="CX435" s="324" t="e">
        <f>IF($J435="",#N/A,SUM(CV$4:CV435,CT$4:CT435,CR$4:CR435))</f>
        <v>#N/A</v>
      </c>
      <c r="CY435" s="310" t="str">
        <f t="shared" si="711"/>
        <v/>
      </c>
      <c r="CZ435" s="322" t="e">
        <f>IF($J435="",#N/A,SUM(CY$4:CY435))</f>
        <v>#N/A</v>
      </c>
      <c r="DA435" s="323" t="str">
        <f t="shared" si="712"/>
        <v/>
      </c>
      <c r="DB435" s="323" t="e">
        <f>IF($J435="",#N/A,SUM(DA$4:DA435))</f>
        <v>#N/A</v>
      </c>
      <c r="DC435" s="324" t="str">
        <f t="shared" si="713"/>
        <v/>
      </c>
      <c r="DD435" s="324" t="e">
        <f>IF($J435="",#N/A,SUM(DC$4:DC435))</f>
        <v>#N/A</v>
      </c>
      <c r="DE435" s="324" t="e">
        <f>IF($J435="",#N/A,SUM(DC$4:DC435,DA$4:DA435,CY$4:CY435))</f>
        <v>#N/A</v>
      </c>
      <c r="DF435" s="310" t="str">
        <f t="shared" si="714"/>
        <v/>
      </c>
      <c r="DG435" s="322" t="e">
        <f>IF($J435="",#N/A,SUM(DF$4:DF435))</f>
        <v>#N/A</v>
      </c>
      <c r="DH435" s="323" t="str">
        <f t="shared" si="715"/>
        <v/>
      </c>
      <c r="DI435" s="323" t="e">
        <f>IF($J435="",#N/A,SUM(DH$4:DH435))</f>
        <v>#N/A</v>
      </c>
      <c r="DJ435" s="324" t="str">
        <f t="shared" si="716"/>
        <v/>
      </c>
      <c r="DK435" s="324" t="e">
        <f>IF($J435="",#N/A,SUM(DJ$4:DJ435))</f>
        <v>#N/A</v>
      </c>
      <c r="DL435" s="324" t="e">
        <f>IF($J435="",#N/A,SUM(DJ$4:DJ435,DH$4:DH435,DF$4:DF435))</f>
        <v>#N/A</v>
      </c>
      <c r="DM435" s="310" t="str">
        <f t="shared" si="717"/>
        <v/>
      </c>
      <c r="DN435" s="322" t="e">
        <f>IF($J435="",#N/A,SUM(DM$4:DM435))</f>
        <v>#N/A</v>
      </c>
      <c r="DO435" s="323" t="str">
        <f t="shared" si="718"/>
        <v/>
      </c>
      <c r="DP435" s="323" t="e">
        <f>IF($J435="",#N/A,SUM(DO$4:DO435))</f>
        <v>#N/A</v>
      </c>
      <c r="DQ435" s="324" t="str">
        <f t="shared" si="719"/>
        <v/>
      </c>
      <c r="DR435" s="324" t="e">
        <f>IF($J435="",#N/A,SUM(DQ$4:DQ435))</f>
        <v>#N/A</v>
      </c>
      <c r="DS435" s="324" t="e">
        <f>IF($J435="",#N/A,SUM(DQ$4:DQ435,DO$4:DO435,DM$4:DM435))</f>
        <v>#N/A</v>
      </c>
      <c r="DT435" s="310" t="str">
        <f t="shared" si="720"/>
        <v/>
      </c>
      <c r="DU435" s="322" t="e">
        <f>IF($J435="",#N/A,SUM(DT$4:DT435))</f>
        <v>#N/A</v>
      </c>
      <c r="DV435" s="323" t="str">
        <f t="shared" si="721"/>
        <v/>
      </c>
      <c r="DW435" s="323" t="e">
        <f>IF($J435="",#N/A,SUM(DV$4:DV435))</f>
        <v>#N/A</v>
      </c>
      <c r="DX435" s="324" t="str">
        <f t="shared" si="722"/>
        <v/>
      </c>
      <c r="DY435" s="324" t="e">
        <f>IF($J435="",#N/A,SUM(DX$4:DX435))</f>
        <v>#N/A</v>
      </c>
      <c r="DZ435" s="324" t="e">
        <f>IF($J435="",#N/A,SUM(DX$4:DX435,DV$4:DV435,DT$4:DT435))</f>
        <v>#N/A</v>
      </c>
      <c r="EA435" s="310" t="str">
        <f t="shared" si="723"/>
        <v/>
      </c>
      <c r="EB435" s="322" t="e">
        <f>IF($J435="",#N/A,SUM(EA$4:EA435))</f>
        <v>#N/A</v>
      </c>
      <c r="EC435" s="323" t="str">
        <f t="shared" si="724"/>
        <v/>
      </c>
      <c r="ED435" s="323" t="e">
        <f>IF($J435="",#N/A,SUM(EC$4:EC435))</f>
        <v>#N/A</v>
      </c>
      <c r="EE435" s="324" t="str">
        <f t="shared" si="725"/>
        <v/>
      </c>
      <c r="EF435" s="324" t="e">
        <f>IF($J435="",#N/A,SUM(EE$4:EE435))</f>
        <v>#N/A</v>
      </c>
      <c r="EG435" s="324" t="e">
        <f>IF($J435="",#N/A,SUM(EE$4:EE435,EC$4:EC435,EA$4:EA435))</f>
        <v>#N/A</v>
      </c>
      <c r="EH435" s="78">
        <f t="shared" si="726"/>
        <v>-88.659999999999968</v>
      </c>
      <c r="EI435" s="77">
        <f>IF(EH435="",#N/A,SUM($EH$4:EH435))</f>
        <v>2801.2935715933468</v>
      </c>
      <c r="EJ435" s="212" t="e">
        <f t="shared" si="727"/>
        <v>#N/A</v>
      </c>
      <c r="EK435" s="77" t="e">
        <f>IF($GZ435="",#N/A,SUM(EJ$4:EJ435))</f>
        <v>#N/A</v>
      </c>
      <c r="EL435" s="255" t="str">
        <f t="shared" si="757"/>
        <v/>
      </c>
      <c r="EM435" s="255" t="e">
        <f>IF(EL435="",NA(),SUM($EL$4:EL435))</f>
        <v>#N/A</v>
      </c>
      <c r="EN435" s="255" t="str">
        <f t="shared" si="728"/>
        <v/>
      </c>
      <c r="EO435" s="255" t="e">
        <f>IF(EN435="",NA(),SUM($EN$4:EN435))</f>
        <v>#N/A</v>
      </c>
      <c r="EP435" s="255" t="str">
        <f t="shared" si="729"/>
        <v/>
      </c>
      <c r="EQ435" s="255" t="e">
        <f>IF(EP435="",NA(),SUM($EP$4:EP435))</f>
        <v>#N/A</v>
      </c>
      <c r="ER435" s="255" t="str">
        <f t="shared" si="730"/>
        <v/>
      </c>
      <c r="ES435" s="255" t="e">
        <f>IF(ER435="",NA(),SUM($ER$4:ER435))</f>
        <v>#N/A</v>
      </c>
      <c r="ET435" s="255">
        <f t="shared" si="731"/>
        <v>-1.5216421240517621</v>
      </c>
      <c r="EU435" s="255">
        <f>IF(ET435="",NA(),SUM($ET$4:ET435))</f>
        <v>46.8298634148925</v>
      </c>
      <c r="EV435" s="255" t="str">
        <f t="shared" si="732"/>
        <v/>
      </c>
      <c r="EW435" s="255" t="e">
        <f>IF(EV435="",NA(),SUM($EV$4:EV435))</f>
        <v>#N/A</v>
      </c>
      <c r="EX435" s="255" t="str">
        <f t="shared" si="733"/>
        <v/>
      </c>
      <c r="EY435" s="255" t="e">
        <f>IF(EX435="",NA(),SUM($EX$4:EX435))</f>
        <v>#N/A</v>
      </c>
      <c r="EZ435" s="255">
        <f t="shared" si="734"/>
        <v>-1.5216421240517621</v>
      </c>
      <c r="FA435" s="255">
        <f>IF(EZ435="",NA(),SUM($EZ$4:EZ435))</f>
        <v>28.637567806673012</v>
      </c>
      <c r="FB435" s="272" t="str">
        <f t="shared" si="758"/>
        <v/>
      </c>
      <c r="FC435" s="272" t="e">
        <f>IF($FB435="",#N/A,SUM(FB$4:$FB435))</f>
        <v>#N/A</v>
      </c>
      <c r="FD435" s="255">
        <f t="shared" si="735"/>
        <v>-0.94600624721106863</v>
      </c>
      <c r="FE435" s="255">
        <f>IF($FD435="",#N/A,SUM($FD$4:FD435))</f>
        <v>-0.42159762728898875</v>
      </c>
      <c r="FF435" s="255" t="str">
        <f t="shared" si="736"/>
        <v/>
      </c>
      <c r="FG435" s="255" t="e">
        <f>IF($FF435="",#N/A,SUM($FF$4:FF435))</f>
        <v>#N/A</v>
      </c>
      <c r="FH435" s="255" t="str">
        <f t="shared" si="737"/>
        <v/>
      </c>
      <c r="FI435" s="255" t="e">
        <f>IF($FH435="",#N/A,SUM($FH$4:FH435))</f>
        <v>#N/A</v>
      </c>
      <c r="FJ435" s="255" t="str">
        <f t="shared" si="738"/>
        <v/>
      </c>
      <c r="FK435" s="255" t="e">
        <f>IF($FJ435="",#N/A,SUM($FJ$4:FJ435))</f>
        <v>#N/A</v>
      </c>
      <c r="FL435" s="255" t="str">
        <f t="shared" si="739"/>
        <v/>
      </c>
      <c r="FM435" s="255" t="e">
        <f>IF($FL435="",#N/A,SUM($FL$4:FL435))</f>
        <v>#N/A</v>
      </c>
      <c r="FN435" s="81">
        <f t="shared" si="740"/>
        <v>-2.4676483712628308</v>
      </c>
      <c r="FO435" s="81">
        <f>IF($FN435="",#N/A,SUM(FN$4:$FN435))</f>
        <v>58.572093017102645</v>
      </c>
      <c r="FP435" s="81">
        <f t="shared" si="759"/>
        <v>-1.5216421240517621</v>
      </c>
      <c r="FQ435" s="272">
        <f>IF($EH435="",#N/A,SUM($FP$4:FP435))</f>
        <v>73.389203603246614</v>
      </c>
      <c r="FR435" s="81">
        <f>IFERROR(FQ435/COUNTA($J$4:J435),#N/A)</f>
        <v>0.16988241574825605</v>
      </c>
      <c r="FS435" s="81">
        <f t="shared" si="661"/>
        <v>0.38835749862458757</v>
      </c>
      <c r="FT435" s="81">
        <f t="shared" si="662"/>
        <v>0.8795073472377527</v>
      </c>
      <c r="FU435" s="337">
        <f t="shared" si="764"/>
        <v>33.319484945156006</v>
      </c>
      <c r="FV435" s="72" t="str">
        <f t="shared" si="765"/>
        <v>Dwn</v>
      </c>
      <c r="FW435" s="72" t="s">
        <v>2734</v>
      </c>
      <c r="FX435" s="72" t="str">
        <f t="shared" si="741"/>
        <v/>
      </c>
      <c r="FY435" s="72">
        <f t="shared" si="742"/>
        <v>1</v>
      </c>
      <c r="FZ435" s="72" t="str">
        <f t="shared" si="743"/>
        <v/>
      </c>
      <c r="GA435" s="72" t="str">
        <f t="shared" si="744"/>
        <v>Short</v>
      </c>
      <c r="GB435" s="72" t="str">
        <f t="shared" si="745"/>
        <v/>
      </c>
      <c r="GC435" s="72" t="str">
        <f t="shared" si="746"/>
        <v/>
      </c>
      <c r="GD435" s="72" t="str">
        <f t="shared" si="747"/>
        <v/>
      </c>
      <c r="GE435" s="76">
        <f t="shared" si="664"/>
        <v>74.7</v>
      </c>
      <c r="GF435" s="76" t="s">
        <v>2780</v>
      </c>
      <c r="GG435" s="203">
        <v>13</v>
      </c>
      <c r="GH435" s="209">
        <f t="shared" si="748"/>
        <v>971.1</v>
      </c>
      <c r="GI435" s="203">
        <v>13</v>
      </c>
      <c r="GJ435" s="204">
        <v>80.819999999999993</v>
      </c>
      <c r="GK435" s="77">
        <f t="shared" si="749"/>
        <v>-79.559999999999832</v>
      </c>
      <c r="GL435" s="77">
        <f t="shared" si="665"/>
        <v>-143.78000000000009</v>
      </c>
      <c r="GM435" s="81" t="str">
        <f t="shared" si="750"/>
        <v/>
      </c>
      <c r="GN435" s="81">
        <f>IF($GZ435="",#N/A,SUM(GM$4:GM435))</f>
        <v>9.4532904651294007</v>
      </c>
      <c r="GO435" s="81" t="str">
        <f t="shared" si="751"/>
        <v/>
      </c>
      <c r="GP435" s="81">
        <f>IF($GZ435="",#N/A,SUM(GO$4:GO435))</f>
        <v>4.2788408366274897</v>
      </c>
      <c r="GQ435" s="81">
        <f t="shared" si="752"/>
        <v>-2.4676483712628308</v>
      </c>
      <c r="GR435" s="81">
        <f>IF($GZ435="",#N/A,SUM(GQ$4:GQ435))</f>
        <v>44.214124760903438</v>
      </c>
      <c r="GS435" s="77" t="str">
        <f t="shared" si="760"/>
        <v/>
      </c>
      <c r="GT435" s="77" t="e">
        <f>IF($GZ435="",#N/A,SUM(GS$4:GS435))</f>
        <v>#N/A</v>
      </c>
      <c r="GU435" s="77" t="str">
        <f t="shared" si="761"/>
        <v/>
      </c>
      <c r="GV435" s="77" t="e">
        <f>IF($GZ435="",#N/A,SUM(GU$4:GU435))</f>
        <v>#N/A</v>
      </c>
      <c r="GW435" s="77" t="e">
        <f t="shared" si="762"/>
        <v>#N/A</v>
      </c>
      <c r="GX435" s="77" t="e">
        <f>IF($GZ435="",#N/A,SUM(GW$4:GW435))</f>
        <v>#N/A</v>
      </c>
      <c r="GY435" s="77" t="e">
        <f>IF(EJ435="",#N/A,SUM($EJ$4:EJ435))</f>
        <v>#N/A</v>
      </c>
      <c r="GZ435" s="161">
        <v>85.76</v>
      </c>
      <c r="HA435" s="77">
        <f t="shared" si="753"/>
        <v>-55.120000000000118</v>
      </c>
      <c r="HB435" s="76" t="s">
        <v>2538</v>
      </c>
      <c r="HC435" s="255">
        <f>IFERROR(VLOOKUP(E435,Expectancy!$P$4:$S$19,1+C435,FALSE),"")</f>
        <v>0.78642334455186147</v>
      </c>
      <c r="HD435" s="81">
        <f t="shared" si="754"/>
        <v>-1.3654618473895554</v>
      </c>
      <c r="HE435" s="136">
        <f>IF(HD435="",#N/A,SUM($HD$4:HD435))</f>
        <v>25.539718658090607</v>
      </c>
      <c r="HF435" s="84">
        <f>IF(HD435="",#N/A,IF(HB435="Skip",#N/A,SUM($HG$4:HG435)))</f>
        <v>1446.1735792191562</v>
      </c>
      <c r="HG435" s="77">
        <f t="shared" si="755"/>
        <v>-79.559999999999832</v>
      </c>
      <c r="HH435" s="82">
        <f t="shared" si="766"/>
        <v>-2.4676483712628308</v>
      </c>
    </row>
    <row r="436" spans="1:216" x14ac:dyDescent="0.25">
      <c r="A436" s="340" t="s">
        <v>1235</v>
      </c>
      <c r="B436" s="341" t="str" cm="1">
        <f t="array" ref="B436">IFERROR(_xlfn.XLOOKUP(A436,Earnings!$B$2:$B$9985,LEFT(Earnings!$C$2:$C$9985,37)),"Can't Find Date***")</f>
        <v>on 3/13/25 After Market Eastern Stand</v>
      </c>
      <c r="C436" s="423">
        <f t="shared" si="667"/>
        <v>2</v>
      </c>
      <c r="D436" s="375" t="str">
        <f>_xlfn.XLOOKUP(A436,[1]SP500!$A$2:$A$502,[1]SP500!$D$2:$D$502,"N")</f>
        <v>Y</v>
      </c>
      <c r="E436" s="340" t="str">
        <f>_xlfn.XLOOKUP(A436,[1]SP500!$A$2:$A$655,[1]SP500!$B$2:$B$655)</f>
        <v>XLY</v>
      </c>
      <c r="F436" s="342">
        <v>45729</v>
      </c>
      <c r="G436" s="340" t="str">
        <f t="shared" si="668"/>
        <v>AMC</v>
      </c>
      <c r="H436" s="57" t="str">
        <f t="shared" si="669"/>
        <v>s</v>
      </c>
      <c r="I436" s="343">
        <v>314.47000000000003</v>
      </c>
      <c r="J436" s="343">
        <v>342.2</v>
      </c>
      <c r="K436" s="344">
        <f t="shared" si="670"/>
        <v>8.8180112570356337E-2</v>
      </c>
      <c r="L436" s="345">
        <f t="shared" si="671"/>
        <v>-83.189999999999827</v>
      </c>
      <c r="M436" s="346">
        <f t="shared" si="663"/>
        <v>0</v>
      </c>
      <c r="N436" s="347" t="str">
        <f t="shared" si="672"/>
        <v/>
      </c>
      <c r="O436" s="347">
        <f>IF($J436="",#N/A,SUM($N$4:N436))</f>
        <v>-328.04225475891064</v>
      </c>
      <c r="P436" s="348">
        <f t="shared" si="673"/>
        <v>-83.189999999999827</v>
      </c>
      <c r="Q436" s="348">
        <f>IF($J436="",#N/A,SUM($P$4:P436))</f>
        <v>1936.6966539569482</v>
      </c>
      <c r="R436" s="349" t="str">
        <f t="shared" si="674"/>
        <v/>
      </c>
      <c r="S436" s="349">
        <f>IF($J436="",#N/A,SUM($R$4:R436))</f>
        <v>1109.4491723953095</v>
      </c>
      <c r="T436" s="350" t="str">
        <f t="shared" si="675"/>
        <v/>
      </c>
      <c r="U436" s="350">
        <f>IF($J436="",#N/A,SUM($T$4:T436))</f>
        <v>10.009379462148743</v>
      </c>
      <c r="V436" s="351">
        <f t="shared" si="676"/>
        <v>-1.4696685428392713</v>
      </c>
      <c r="W436" s="351">
        <f>IF($J436="",#N/A,SUM($V$4:V436))</f>
        <v>42.99286040986658</v>
      </c>
      <c r="X436" s="352" t="str">
        <f t="shared" si="677"/>
        <v/>
      </c>
      <c r="Y436" s="352">
        <f>IF($J436="",#N/A,SUM($X$4:X436))</f>
        <v>18.917295188392</v>
      </c>
      <c r="Z436" s="353" t="str">
        <f t="shared" si="678"/>
        <v/>
      </c>
      <c r="AA436" s="354" t="e">
        <f>IF($J436="",#N/A,SUM(Z$4:Z436))</f>
        <v>#N/A</v>
      </c>
      <c r="AB436" s="355" t="str">
        <f t="shared" si="679"/>
        <v/>
      </c>
      <c r="AC436" s="355" t="e">
        <f>IF($J436="",#N/A,SUM(AB$4:AB436))</f>
        <v>#N/A</v>
      </c>
      <c r="AD436" s="356" t="str">
        <f t="shared" si="680"/>
        <v/>
      </c>
      <c r="AE436" s="356" t="e">
        <f>IF($J436="",#N/A,SUM(AD$4:AD436))</f>
        <v>#N/A</v>
      </c>
      <c r="AF436" s="356" t="e">
        <f>IF($J436="",#N/A,SUM(AD$4:AD436,AB$4:AB436,Z$4:Z436))</f>
        <v>#N/A</v>
      </c>
      <c r="AG436" s="353" t="str">
        <f t="shared" si="681"/>
        <v/>
      </c>
      <c r="AH436" s="354" t="e">
        <f>IF($J436="",#N/A,SUM(AG$4:AG436))</f>
        <v>#N/A</v>
      </c>
      <c r="AI436" s="355" t="str">
        <f t="shared" si="682"/>
        <v/>
      </c>
      <c r="AJ436" s="355" t="e">
        <f>IF($J436="",#N/A,SUM(AI$4:AI436))</f>
        <v>#N/A</v>
      </c>
      <c r="AK436" s="356" t="str">
        <f t="shared" si="683"/>
        <v/>
      </c>
      <c r="AL436" s="356" t="e">
        <f>IF($J436="",#N/A,SUM(AK$4:AK436))</f>
        <v>#N/A</v>
      </c>
      <c r="AM436" s="356" t="e">
        <f>IF($J436="",#N/A,SUM(AK$4:AK436,AI$4:AI436,AG$4:AG436))</f>
        <v>#N/A</v>
      </c>
      <c r="AN436" s="353" t="str">
        <f t="shared" si="684"/>
        <v/>
      </c>
      <c r="AO436" s="354" t="e">
        <f>IF($J436="",#N/A,SUM(AN$4:AN436))</f>
        <v>#N/A</v>
      </c>
      <c r="AP436" s="355">
        <f t="shared" si="685"/>
        <v>-1.4696685428392713</v>
      </c>
      <c r="AQ436" s="355" t="e">
        <f>IF($J436="",#N/A,SUM(AP$4:AP436))</f>
        <v>#N/A</v>
      </c>
      <c r="AR436" s="356" t="str">
        <f t="shared" si="686"/>
        <v/>
      </c>
      <c r="AS436" s="356" t="e">
        <f>IF($J436="",#N/A,SUM(AR$4:AR436))</f>
        <v>#N/A</v>
      </c>
      <c r="AT436" s="356" t="e">
        <f>IF($J436="",#N/A,SUM(AR$4:AR436,AP$4:AP436,AN$4:AN436))</f>
        <v>#N/A</v>
      </c>
      <c r="AU436" s="353" t="str">
        <f t="shared" si="687"/>
        <v/>
      </c>
      <c r="AV436" s="354" t="e">
        <f>IF($J436="",#N/A,SUM(AU$4:AU436))</f>
        <v>#N/A</v>
      </c>
      <c r="AW436" s="355" t="str">
        <f t="shared" si="688"/>
        <v/>
      </c>
      <c r="AX436" s="355" t="e">
        <f>IF($J436="",#N/A,SUM(AW$4:AW436))</f>
        <v>#N/A</v>
      </c>
      <c r="AY436" s="356" t="str">
        <f t="shared" si="689"/>
        <v/>
      </c>
      <c r="AZ436" s="356" t="e">
        <f>IF($J436="",#N/A,SUM(AY$4:AY436))</f>
        <v>#N/A</v>
      </c>
      <c r="BA436" s="356" t="e">
        <f>IF($J436="",#N/A,SUM(AY$4:AY436,AW$4:AW436,AU$4:AU436))</f>
        <v>#N/A</v>
      </c>
      <c r="BB436" s="353" t="str">
        <f t="shared" si="690"/>
        <v/>
      </c>
      <c r="BC436" s="354" t="e">
        <f>IF($J436="",#N/A,SUM(BB$4:BB436))</f>
        <v>#N/A</v>
      </c>
      <c r="BD436" s="355" t="str">
        <f t="shared" si="691"/>
        <v/>
      </c>
      <c r="BE436" s="355" t="e">
        <f>IF($J436="",#N/A,SUM(BD$4:BD436))</f>
        <v>#N/A</v>
      </c>
      <c r="BF436" s="356" t="str">
        <f t="shared" si="692"/>
        <v/>
      </c>
      <c r="BG436" s="356" t="e">
        <f>IF($J436="",#N/A,SUM(BF$4:BF436))</f>
        <v>#N/A</v>
      </c>
      <c r="BH436" s="356" t="e">
        <f>IF($J436="",#N/A,SUM(BF$4:BF436,BD$4:BD436,BB$4:BB436))</f>
        <v>#N/A</v>
      </c>
      <c r="BI436" s="353" t="str">
        <f t="shared" si="693"/>
        <v/>
      </c>
      <c r="BJ436" s="354" t="e">
        <f>IF($J436="",#N/A,SUM(BI$4:BI436))</f>
        <v>#N/A</v>
      </c>
      <c r="BK436" s="355" t="str">
        <f t="shared" si="694"/>
        <v/>
      </c>
      <c r="BL436" s="355" t="e">
        <f>IF($J436="",#N/A,SUM(BK$4:BK436))</f>
        <v>#N/A</v>
      </c>
      <c r="BM436" s="356" t="str">
        <f t="shared" si="695"/>
        <v/>
      </c>
      <c r="BN436" s="356" t="e">
        <f>IF($J436="",#N/A,SUM(BM$4:BM436))</f>
        <v>#N/A</v>
      </c>
      <c r="BO436" s="356" t="e">
        <f>IF($J436="",#N/A,SUM(BM$4:BM436,BK$4:BK436,BI$4:BI436))</f>
        <v>#N/A</v>
      </c>
      <c r="BP436" s="353" t="str">
        <f t="shared" si="696"/>
        <v/>
      </c>
      <c r="BQ436" s="354" t="e">
        <f>IF($J436="",#N/A,SUM(BP$4:BP436))</f>
        <v>#N/A</v>
      </c>
      <c r="BR436" s="355" t="str">
        <f t="shared" si="697"/>
        <v/>
      </c>
      <c r="BS436" s="355" t="e">
        <f>IF($J436="",#N/A,SUM(BR$4:BR436))</f>
        <v>#N/A</v>
      </c>
      <c r="BT436" s="356" t="str">
        <f t="shared" si="698"/>
        <v/>
      </c>
      <c r="BU436" s="356" t="e">
        <f>IF($J436="",#N/A,SUM(BT$4:BT436))</f>
        <v>#N/A</v>
      </c>
      <c r="BV436" s="356" t="e">
        <f>IF($J436="",#N/A,SUM(BT$4:BT436,BR$4:BR436,BP$4:BP436))</f>
        <v>#N/A</v>
      </c>
      <c r="BW436" s="353" t="str">
        <f t="shared" si="699"/>
        <v/>
      </c>
      <c r="BX436" s="354" t="e">
        <f>IF($J436="",#N/A,SUM(BW$4:BW436))</f>
        <v>#N/A</v>
      </c>
      <c r="BY436" s="355" t="str">
        <f t="shared" si="700"/>
        <v/>
      </c>
      <c r="BZ436" s="355" t="e">
        <f>IF($J436="",#N/A,SUM(BY$4:BY436))</f>
        <v>#N/A</v>
      </c>
      <c r="CA436" s="356" t="str">
        <f t="shared" si="701"/>
        <v/>
      </c>
      <c r="CB436" s="356" t="e">
        <f>IF($J436="",#N/A,SUM(CA$4:CA436))</f>
        <v>#N/A</v>
      </c>
      <c r="CC436" s="356" t="e">
        <f>IF($J436="",#N/A,SUM(CA$4:CA436,BY$4:BY436,BW$4:BW436))</f>
        <v>#N/A</v>
      </c>
      <c r="CD436" s="353" t="str">
        <f t="shared" si="702"/>
        <v/>
      </c>
      <c r="CE436" s="354" t="e">
        <f>IF($J436="",#N/A,SUM(CD$4:CD436))</f>
        <v>#N/A</v>
      </c>
      <c r="CF436" s="355" t="str">
        <f t="shared" si="703"/>
        <v/>
      </c>
      <c r="CG436" s="355" t="e">
        <f>IF($J436="",#N/A,SUM(CF$4:CF436))</f>
        <v>#N/A</v>
      </c>
      <c r="CH436" s="356" t="str">
        <f t="shared" si="704"/>
        <v/>
      </c>
      <c r="CI436" s="356" t="e">
        <f>IF($J436="",#N/A,SUM(CH$4:CH436))</f>
        <v>#N/A</v>
      </c>
      <c r="CJ436" s="356" t="e">
        <f>IF($J436="",#N/A,SUM(CH$4:CH436,CF$4:CF436,CD$4:CD436))</f>
        <v>#N/A</v>
      </c>
      <c r="CK436" s="353" t="str">
        <f t="shared" si="705"/>
        <v/>
      </c>
      <c r="CL436" s="354" t="e">
        <f>IF($J436="",#N/A,SUM(CK$4:CK436))</f>
        <v>#N/A</v>
      </c>
      <c r="CM436" s="355" t="str">
        <f t="shared" si="706"/>
        <v/>
      </c>
      <c r="CN436" s="355" t="e">
        <f>IF($J436="",#N/A,SUM(CM$4:CM436))</f>
        <v>#N/A</v>
      </c>
      <c r="CO436" s="356" t="str">
        <f t="shared" si="707"/>
        <v/>
      </c>
      <c r="CP436" s="356" t="e">
        <f>IF($J436="",#N/A,SUM(CO$4:CO436))</f>
        <v>#N/A</v>
      </c>
      <c r="CQ436" s="356" t="e">
        <f>IF($J436="",#N/A,SUM(CO$4:CO436,CM$4:CM436,CK$4:CK436))</f>
        <v>#N/A</v>
      </c>
      <c r="CR436" s="353" t="str">
        <f t="shared" si="708"/>
        <v/>
      </c>
      <c r="CS436" s="354" t="e">
        <f>IF($J436="",#N/A,SUM(CR$4:CR436))</f>
        <v>#N/A</v>
      </c>
      <c r="CT436" s="355" t="str">
        <f t="shared" si="709"/>
        <v/>
      </c>
      <c r="CU436" s="355" t="e">
        <f>IF($J436="",#N/A,SUM(CT$4:CT436))</f>
        <v>#N/A</v>
      </c>
      <c r="CV436" s="356" t="str">
        <f t="shared" si="710"/>
        <v/>
      </c>
      <c r="CW436" s="356" t="e">
        <f>IF($J436="",#N/A,SUM(CV$4:CV436))</f>
        <v>#N/A</v>
      </c>
      <c r="CX436" s="356" t="e">
        <f>IF($J436="",#N/A,SUM(CV$4:CV436,CT$4:CT436,CR$4:CR436))</f>
        <v>#N/A</v>
      </c>
      <c r="CY436" s="353" t="str">
        <f t="shared" si="711"/>
        <v/>
      </c>
      <c r="CZ436" s="354" t="e">
        <f>IF($J436="",#N/A,SUM(CY$4:CY436))</f>
        <v>#N/A</v>
      </c>
      <c r="DA436" s="355" t="str">
        <f t="shared" si="712"/>
        <v/>
      </c>
      <c r="DB436" s="355" t="e">
        <f>IF($J436="",#N/A,SUM(DA$4:DA436))</f>
        <v>#N/A</v>
      </c>
      <c r="DC436" s="356" t="str">
        <f t="shared" si="713"/>
        <v/>
      </c>
      <c r="DD436" s="356" t="e">
        <f>IF($J436="",#N/A,SUM(DC$4:DC436))</f>
        <v>#N/A</v>
      </c>
      <c r="DE436" s="356" t="e">
        <f>IF($J436="",#N/A,SUM(DC$4:DC436,DA$4:DA436,CY$4:CY436))</f>
        <v>#N/A</v>
      </c>
      <c r="DF436" s="353" t="str">
        <f t="shared" si="714"/>
        <v/>
      </c>
      <c r="DG436" s="354" t="e">
        <f>IF($J436="",#N/A,SUM(DF$4:DF436))</f>
        <v>#N/A</v>
      </c>
      <c r="DH436" s="355" t="str">
        <f t="shared" si="715"/>
        <v/>
      </c>
      <c r="DI436" s="355" t="e">
        <f>IF($J436="",#N/A,SUM(DH$4:DH436))</f>
        <v>#N/A</v>
      </c>
      <c r="DJ436" s="356" t="str">
        <f t="shared" si="716"/>
        <v/>
      </c>
      <c r="DK436" s="356" t="e">
        <f>IF($J436="",#N/A,SUM(DJ$4:DJ436))</f>
        <v>#N/A</v>
      </c>
      <c r="DL436" s="356" t="e">
        <f>IF($J436="",#N/A,SUM(DJ$4:DJ436,DH$4:DH436,DF$4:DF436))</f>
        <v>#N/A</v>
      </c>
      <c r="DM436" s="353" t="str">
        <f t="shared" si="717"/>
        <v/>
      </c>
      <c r="DN436" s="354" t="e">
        <f>IF($J436="",#N/A,SUM(DM$4:DM436))</f>
        <v>#N/A</v>
      </c>
      <c r="DO436" s="355" t="str">
        <f t="shared" si="718"/>
        <v/>
      </c>
      <c r="DP436" s="355" t="e">
        <f>IF($J436="",#N/A,SUM(DO$4:DO436))</f>
        <v>#N/A</v>
      </c>
      <c r="DQ436" s="356" t="str">
        <f t="shared" si="719"/>
        <v/>
      </c>
      <c r="DR436" s="356" t="e">
        <f>IF($J436="",#N/A,SUM(DQ$4:DQ436))</f>
        <v>#N/A</v>
      </c>
      <c r="DS436" s="356" t="e">
        <f>IF($J436="",#N/A,SUM(DQ$4:DQ436,DO$4:DO436,DM$4:DM436))</f>
        <v>#N/A</v>
      </c>
      <c r="DT436" s="353" t="str">
        <f t="shared" si="720"/>
        <v/>
      </c>
      <c r="DU436" s="354" t="e">
        <f>IF($J436="",#N/A,SUM(DT$4:DT436))</f>
        <v>#N/A</v>
      </c>
      <c r="DV436" s="355" t="str">
        <f t="shared" si="721"/>
        <v/>
      </c>
      <c r="DW436" s="355" t="e">
        <f>IF($J436="",#N/A,SUM(DV$4:DV436))</f>
        <v>#N/A</v>
      </c>
      <c r="DX436" s="356" t="str">
        <f t="shared" si="722"/>
        <v/>
      </c>
      <c r="DY436" s="356" t="e">
        <f>IF($J436="",#N/A,SUM(DX$4:DX436))</f>
        <v>#N/A</v>
      </c>
      <c r="DZ436" s="356" t="e">
        <f>IF($J436="",#N/A,SUM(DX$4:DX436,DV$4:DV436,DT$4:DT436))</f>
        <v>#N/A</v>
      </c>
      <c r="EA436" s="353" t="str">
        <f t="shared" si="723"/>
        <v/>
      </c>
      <c r="EB436" s="354" t="e">
        <f>IF($J436="",#N/A,SUM(EA$4:EA436))</f>
        <v>#N/A</v>
      </c>
      <c r="EC436" s="355" t="str">
        <f t="shared" si="724"/>
        <v/>
      </c>
      <c r="ED436" s="355" t="e">
        <f>IF($J436="",#N/A,SUM(EC$4:EC436))</f>
        <v>#N/A</v>
      </c>
      <c r="EE436" s="356" t="str">
        <f t="shared" si="725"/>
        <v/>
      </c>
      <c r="EF436" s="356" t="e">
        <f>IF($J436="",#N/A,SUM(EE$4:EE436))</f>
        <v>#N/A</v>
      </c>
      <c r="EG436" s="356" t="e">
        <f>IF($J436="",#N/A,SUM(EE$4:EE436,EC$4:EC436,EA$4:EA436))</f>
        <v>#N/A</v>
      </c>
      <c r="EH436" s="346">
        <f t="shared" si="726"/>
        <v>-83.189999999999827</v>
      </c>
      <c r="EI436" s="357">
        <f>IF(EH436="",#N/A,SUM($EH$4:EH436))</f>
        <v>2718.1035715933467</v>
      </c>
      <c r="EJ436" s="358" t="e">
        <f t="shared" si="727"/>
        <v>#N/A</v>
      </c>
      <c r="EK436" s="357" t="e">
        <f>IF($GZ436="",#N/A,SUM(EJ$4:EJ436))</f>
        <v>#N/A</v>
      </c>
      <c r="EL436" s="60">
        <f t="shared" si="757"/>
        <v>-1.4696685428392713</v>
      </c>
      <c r="EM436" s="60">
        <f>IF(EL436="",NA(),SUM($EL$4:EL436))</f>
        <v>25.089671645514823</v>
      </c>
      <c r="EN436" s="60" t="str">
        <f t="shared" si="728"/>
        <v/>
      </c>
      <c r="EO436" s="60" t="e">
        <f>IF(EN436="",NA(),SUM($EN$4:EN436))</f>
        <v>#N/A</v>
      </c>
      <c r="EP436" s="60" t="str">
        <f t="shared" si="729"/>
        <v/>
      </c>
      <c r="EQ436" s="60" t="e">
        <f>IF(EP436="",NA(),SUM($EP$4:EP436))</f>
        <v>#N/A</v>
      </c>
      <c r="ER436" s="60">
        <f t="shared" si="730"/>
        <v>-1.4696685428392713</v>
      </c>
      <c r="ES436" s="60">
        <f>IF(ER436="",NA(),SUM($ER$4:ER436))</f>
        <v>14.355292603193565</v>
      </c>
      <c r="ET436" s="60" t="str">
        <f t="shared" si="731"/>
        <v/>
      </c>
      <c r="EU436" s="60" t="e">
        <f>IF(ET436="",NA(),SUM($ET$4:ET436))</f>
        <v>#N/A</v>
      </c>
      <c r="EV436" s="60" t="str">
        <f t="shared" si="732"/>
        <v/>
      </c>
      <c r="EW436" s="60" t="e">
        <f>IF(EV436="",NA(),SUM($EV$4:EV436))</f>
        <v>#N/A</v>
      </c>
      <c r="EX436" s="60" t="str">
        <f t="shared" si="733"/>
        <v/>
      </c>
      <c r="EY436" s="60" t="e">
        <f>IF(EX436="",NA(),SUM($EX$4:EX436))</f>
        <v>#N/A</v>
      </c>
      <c r="EZ436" s="60" t="str">
        <f t="shared" si="734"/>
        <v/>
      </c>
      <c r="FA436" s="60" t="e">
        <f>IF(EZ436="",NA(),SUM($EZ$4:EZ436))</f>
        <v>#N/A</v>
      </c>
      <c r="FB436" s="359" t="str">
        <f t="shared" si="758"/>
        <v/>
      </c>
      <c r="FC436" s="359" t="e">
        <f>IF($FB436="",#N/A,SUM(FB$4:$FB436))</f>
        <v>#N/A</v>
      </c>
      <c r="FD436" s="360">
        <f t="shared" si="735"/>
        <v>-0.80982817650862549</v>
      </c>
      <c r="FE436" s="360">
        <f>IF($FD436="",#N/A,SUM($FD$4:FD436))</f>
        <v>-1.2314258037976142</v>
      </c>
      <c r="FF436" s="360" t="str">
        <f t="shared" si="736"/>
        <v/>
      </c>
      <c r="FG436" s="360" t="e">
        <f>IF($FF436="",#N/A,SUM($FF$4:FF436))</f>
        <v>#N/A</v>
      </c>
      <c r="FH436" s="360" t="str">
        <f t="shared" si="737"/>
        <v/>
      </c>
      <c r="FI436" s="360" t="e">
        <f>IF($FH436="",#N/A,SUM($FH$4:FH436))</f>
        <v>#N/A</v>
      </c>
      <c r="FJ436" s="360" t="str">
        <f t="shared" si="738"/>
        <v/>
      </c>
      <c r="FK436" s="360" t="e">
        <f>IF($FJ436="",#N/A,SUM($FJ$4:FJ436))</f>
        <v>#N/A</v>
      </c>
      <c r="FL436" s="360" t="str">
        <f t="shared" si="739"/>
        <v/>
      </c>
      <c r="FM436" s="360" t="e">
        <f>IF($FL436="",#N/A,SUM($FL$4:FL436))</f>
        <v>#N/A</v>
      </c>
      <c r="FN436" s="361">
        <f t="shared" si="740"/>
        <v>-2.2794967193478968</v>
      </c>
      <c r="FO436" s="361">
        <f>IF($FN436="",#N/A,SUM(FN$4:$FN436))</f>
        <v>56.292596297754748</v>
      </c>
      <c r="FP436" s="361">
        <f t="shared" si="759"/>
        <v>-1.4696685428392713</v>
      </c>
      <c r="FQ436" s="359">
        <f>IF($EH436="",#N/A,SUM($FP$4:FP436))</f>
        <v>71.919535060407341</v>
      </c>
      <c r="FR436" s="361">
        <f>IFERROR(FQ436/COUNTA($J$4:J436),#N/A)</f>
        <v>0.16609592392703773</v>
      </c>
      <c r="FS436" s="361">
        <f t="shared" si="661"/>
        <v>0.37741479028908415</v>
      </c>
      <c r="FT436" s="361">
        <f t="shared" si="662"/>
        <v>0.76479874960232597</v>
      </c>
      <c r="FU436" s="369">
        <f t="shared" si="764"/>
        <v>33.319484945156006</v>
      </c>
      <c r="FV436" s="340" t="str">
        <f t="shared" si="765"/>
        <v>Dwn</v>
      </c>
      <c r="FW436" s="340" t="s">
        <v>2734</v>
      </c>
      <c r="FX436" s="340" t="str">
        <f t="shared" si="741"/>
        <v/>
      </c>
      <c r="FY436" s="340">
        <f t="shared" si="742"/>
        <v>1</v>
      </c>
      <c r="FZ436" s="340" t="str">
        <f t="shared" si="743"/>
        <v/>
      </c>
      <c r="GA436" s="340" t="str">
        <f t="shared" si="744"/>
        <v>Short</v>
      </c>
      <c r="GB436" s="340" t="str">
        <f t="shared" si="745"/>
        <v/>
      </c>
      <c r="GC436" s="340" t="str">
        <f t="shared" si="746"/>
        <v/>
      </c>
      <c r="GD436" s="340" t="str">
        <f t="shared" si="747"/>
        <v/>
      </c>
      <c r="GE436" s="362">
        <f t="shared" si="664"/>
        <v>314.47000000000003</v>
      </c>
      <c r="GF436" s="362" t="s">
        <v>2780</v>
      </c>
      <c r="GG436" s="363">
        <v>3</v>
      </c>
      <c r="GH436" s="364">
        <f t="shared" si="748"/>
        <v>943.41000000000008</v>
      </c>
      <c r="GI436" s="363">
        <v>3</v>
      </c>
      <c r="GJ436" s="365">
        <v>342.2</v>
      </c>
      <c r="GK436" s="357">
        <f t="shared" si="749"/>
        <v>-83.189999999999827</v>
      </c>
      <c r="GL436" s="357">
        <f t="shared" si="665"/>
        <v>-129.02999999999997</v>
      </c>
      <c r="GM436" s="361" t="str">
        <f t="shared" si="750"/>
        <v/>
      </c>
      <c r="GN436" s="361">
        <f>IF($GZ436="",#N/A,SUM(GM$4:GM436))</f>
        <v>9.4532904651294007</v>
      </c>
      <c r="GO436" s="361" t="str">
        <f t="shared" si="751"/>
        <v/>
      </c>
      <c r="GP436" s="361">
        <f>IF($GZ436="",#N/A,SUM(GO$4:GO436))</f>
        <v>4.2788408366274897</v>
      </c>
      <c r="GQ436" s="361">
        <f t="shared" si="752"/>
        <v>-2.2794967193478968</v>
      </c>
      <c r="GR436" s="361">
        <f>IF($GZ436="",#N/A,SUM(GQ$4:GQ436))</f>
        <v>41.934628041555541</v>
      </c>
      <c r="GS436" s="357" t="str">
        <f t="shared" si="760"/>
        <v/>
      </c>
      <c r="GT436" s="357" t="e">
        <f>IF($GZ436="",#N/A,SUM(GS$4:GS436))</f>
        <v>#N/A</v>
      </c>
      <c r="GU436" s="357" t="str">
        <f t="shared" si="761"/>
        <v/>
      </c>
      <c r="GV436" s="357" t="e">
        <f>IF($GZ436="",#N/A,SUM(GU$4:GU436))</f>
        <v>#N/A</v>
      </c>
      <c r="GW436" s="357" t="e">
        <f t="shared" si="762"/>
        <v>#N/A</v>
      </c>
      <c r="GX436" s="357" t="e">
        <f>IF($GZ436="",#N/A,SUM(GW$4:GW436))</f>
        <v>#N/A</v>
      </c>
      <c r="GY436" s="357" t="e">
        <f>IF(EJ436="",#N/A,SUM($EJ$4:EJ436))</f>
        <v>#N/A</v>
      </c>
      <c r="GZ436" s="343">
        <v>357.48</v>
      </c>
      <c r="HA436" s="357">
        <f t="shared" si="753"/>
        <v>-45.840000000000146</v>
      </c>
      <c r="HB436" s="362" t="s">
        <v>2538</v>
      </c>
      <c r="HC436" s="360">
        <f>IFERROR(VLOOKUP(E436,Expectancy!$P$4:$S$19,1+C436,FALSE),"")</f>
        <v>-9.4786290791818092E-2</v>
      </c>
      <c r="HD436" s="361">
        <f t="shared" si="754"/>
        <v>-1.4696685428392713</v>
      </c>
      <c r="HE436" s="366">
        <f>IF(HD436="",#N/A,SUM($HD$4:HD436))</f>
        <v>24.070050115251334</v>
      </c>
      <c r="HF436" s="367">
        <f>IF(HD436="",#N/A,IF(HB436="Skip",#N/A,SUM($HG$4:HG436)))</f>
        <v>1362.9835792191564</v>
      </c>
      <c r="HG436" s="357">
        <f t="shared" si="755"/>
        <v>-83.189999999999827</v>
      </c>
      <c r="HH436" s="82">
        <f t="shared" si="766"/>
        <v>-2.2794967193478968</v>
      </c>
    </row>
    <row r="437" spans="1:216" ht="15.75" thickBot="1" x14ac:dyDescent="0.3">
      <c r="A437" s="66" t="s">
        <v>1140</v>
      </c>
      <c r="B437" s="67" t="str" cm="1">
        <f t="array" ref="B437">IFERROR(_xlfn.XLOOKUP(A437,Earnings!$B$2:$B$9985,LEFT(Earnings!$C$2:$C$9985,37)),"Can't Find Date***")</f>
        <v>on 3/13/25 After Market Eastern Stand</v>
      </c>
      <c r="C437" s="390">
        <f t="shared" si="667"/>
        <v>2</v>
      </c>
      <c r="D437" s="373" t="str">
        <f>_xlfn.XLOOKUP(A437,[1]SP500!$A$2:$A$502,[1]SP500!$D$2:$D$502,"N")</f>
        <v>N</v>
      </c>
      <c r="E437" s="66" t="str">
        <f>_xlfn.XLOOKUP(A437,[1]SP500!$A$2:$A$655,[1]SP500!$B$2:$B$655)</f>
        <v>SMH</v>
      </c>
      <c r="F437" s="68">
        <v>45729</v>
      </c>
      <c r="G437" s="66" t="str">
        <f t="shared" si="668"/>
        <v>AMC</v>
      </c>
      <c r="H437" s="66" t="str">
        <f t="shared" si="669"/>
        <v>o</v>
      </c>
      <c r="I437" s="160">
        <v>32.71</v>
      </c>
      <c r="J437" s="160">
        <v>37.26</v>
      </c>
      <c r="K437" s="69">
        <f t="shared" si="670"/>
        <v>0.13910119229593387</v>
      </c>
      <c r="L437" s="89">
        <f t="shared" si="671"/>
        <v>-139.10119229593374</v>
      </c>
      <c r="M437" s="424" t="e">
        <f t="shared" si="663"/>
        <v>#N/A</v>
      </c>
      <c r="N437" s="167" t="str">
        <f t="shared" si="672"/>
        <v/>
      </c>
      <c r="O437" s="167">
        <f>IF($J437="",#N/A,SUM($N$4:N437))</f>
        <v>-328.04225475891064</v>
      </c>
      <c r="P437" s="172">
        <f t="shared" si="673"/>
        <v>-139.10119229593374</v>
      </c>
      <c r="Q437" s="172">
        <f>IF($J437="",#N/A,SUM($P$4:P437))</f>
        <v>1797.5954616610145</v>
      </c>
      <c r="R437" s="176" t="str">
        <f t="shared" si="674"/>
        <v/>
      </c>
      <c r="S437" s="176">
        <f>IF($J437="",#N/A,SUM($R$4:R437))</f>
        <v>1109.4491723953095</v>
      </c>
      <c r="T437" s="296" t="str">
        <f t="shared" si="675"/>
        <v/>
      </c>
      <c r="U437" s="296">
        <f>IF($J437="",#N/A,SUM($T$4:T437))</f>
        <v>10.009379462148743</v>
      </c>
      <c r="V437" s="297">
        <f t="shared" si="676"/>
        <v>-2.3183532049322291</v>
      </c>
      <c r="W437" s="297">
        <f>IF($J437="",#N/A,SUM($V$4:V437))</f>
        <v>40.674507204934351</v>
      </c>
      <c r="X437" s="298" t="str">
        <f t="shared" si="677"/>
        <v/>
      </c>
      <c r="Y437" s="298">
        <f>IF($J437="",#N/A,SUM($X$4:X437))</f>
        <v>18.917295188392</v>
      </c>
      <c r="Z437" s="307" t="str">
        <f t="shared" si="678"/>
        <v/>
      </c>
      <c r="AA437" s="319" t="e">
        <f>IF($J437="",#N/A,SUM(Z$4:Z437))</f>
        <v>#N/A</v>
      </c>
      <c r="AB437" s="320" t="str">
        <f t="shared" si="679"/>
        <v/>
      </c>
      <c r="AC437" s="320" t="e">
        <f>IF($J437="",#N/A,SUM(AB$4:AB437))</f>
        <v>#N/A</v>
      </c>
      <c r="AD437" s="321" t="str">
        <f t="shared" si="680"/>
        <v/>
      </c>
      <c r="AE437" s="321" t="e">
        <f>IF($J437="",#N/A,SUM(AD$4:AD437))</f>
        <v>#N/A</v>
      </c>
      <c r="AF437" s="321" t="e">
        <f>IF($J437="",#N/A,SUM(AD$4:AD437,AB$4:AB437,Z$4:Z437))</f>
        <v>#N/A</v>
      </c>
      <c r="AG437" s="307" t="str">
        <f t="shared" si="681"/>
        <v/>
      </c>
      <c r="AH437" s="319" t="e">
        <f>IF($J437="",#N/A,SUM(AG$4:AG437))</f>
        <v>#N/A</v>
      </c>
      <c r="AI437" s="320" t="str">
        <f t="shared" si="682"/>
        <v/>
      </c>
      <c r="AJ437" s="320" t="e">
        <f>IF($J437="",#N/A,SUM(AI$4:AI437))</f>
        <v>#N/A</v>
      </c>
      <c r="AK437" s="321" t="str">
        <f t="shared" si="683"/>
        <v/>
      </c>
      <c r="AL437" s="321" t="e">
        <f>IF($J437="",#N/A,SUM(AK$4:AK437))</f>
        <v>#N/A</v>
      </c>
      <c r="AM437" s="321" t="e">
        <f>IF($J437="",#N/A,SUM(AK$4:AK437,AI$4:AI437,AG$4:AG437))</f>
        <v>#N/A</v>
      </c>
      <c r="AN437" s="307" t="str">
        <f t="shared" si="684"/>
        <v/>
      </c>
      <c r="AO437" s="319" t="e">
        <f>IF($J437="",#N/A,SUM(AN$4:AN437))</f>
        <v>#N/A</v>
      </c>
      <c r="AP437" s="320" t="str">
        <f t="shared" si="685"/>
        <v/>
      </c>
      <c r="AQ437" s="320" t="e">
        <f>IF($J437="",#N/A,SUM(AP$4:AP437))</f>
        <v>#N/A</v>
      </c>
      <c r="AR437" s="321" t="str">
        <f t="shared" si="686"/>
        <v/>
      </c>
      <c r="AS437" s="321" t="e">
        <f>IF($J437="",#N/A,SUM(AR$4:AR437))</f>
        <v>#N/A</v>
      </c>
      <c r="AT437" s="321" t="e">
        <f>IF($J437="",#N/A,SUM(AR$4:AR437,AP$4:AP437,AN$4:AN437))</f>
        <v>#N/A</v>
      </c>
      <c r="AU437" s="307" t="str">
        <f t="shared" si="687"/>
        <v/>
      </c>
      <c r="AV437" s="319" t="e">
        <f>IF($J437="",#N/A,SUM(AU$4:AU437))</f>
        <v>#N/A</v>
      </c>
      <c r="AW437" s="320" t="str">
        <f t="shared" si="688"/>
        <v/>
      </c>
      <c r="AX437" s="320" t="e">
        <f>IF($J437="",#N/A,SUM(AW$4:AW437))</f>
        <v>#N/A</v>
      </c>
      <c r="AY437" s="321" t="str">
        <f t="shared" si="689"/>
        <v/>
      </c>
      <c r="AZ437" s="321" t="e">
        <f>IF($J437="",#N/A,SUM(AY$4:AY437))</f>
        <v>#N/A</v>
      </c>
      <c r="BA437" s="321" t="e">
        <f>IF($J437="",#N/A,SUM(AY$4:AY437,AW$4:AW437,AU$4:AU437))</f>
        <v>#N/A</v>
      </c>
      <c r="BB437" s="307" t="str">
        <f t="shared" si="690"/>
        <v/>
      </c>
      <c r="BC437" s="319" t="e">
        <f>IF($J437="",#N/A,SUM(BB$4:BB437))</f>
        <v>#N/A</v>
      </c>
      <c r="BD437" s="320" t="str">
        <f t="shared" si="691"/>
        <v/>
      </c>
      <c r="BE437" s="320" t="e">
        <f>IF($J437="",#N/A,SUM(BD$4:BD437))</f>
        <v>#N/A</v>
      </c>
      <c r="BF437" s="321" t="str">
        <f t="shared" si="692"/>
        <v/>
      </c>
      <c r="BG437" s="321" t="e">
        <f>IF($J437="",#N/A,SUM(BF$4:BF437))</f>
        <v>#N/A</v>
      </c>
      <c r="BH437" s="321" t="e">
        <f>IF($J437="",#N/A,SUM(BF$4:BF437,BD$4:BD437,BB$4:BB437))</f>
        <v>#N/A</v>
      </c>
      <c r="BI437" s="307" t="str">
        <f t="shared" si="693"/>
        <v/>
      </c>
      <c r="BJ437" s="319" t="e">
        <f>IF($J437="",#N/A,SUM(BI$4:BI437))</f>
        <v>#N/A</v>
      </c>
      <c r="BK437" s="320" t="str">
        <f t="shared" si="694"/>
        <v/>
      </c>
      <c r="BL437" s="320" t="e">
        <f>IF($J437="",#N/A,SUM(BK$4:BK437))</f>
        <v>#N/A</v>
      </c>
      <c r="BM437" s="321" t="str">
        <f t="shared" si="695"/>
        <v/>
      </c>
      <c r="BN437" s="321" t="e">
        <f>IF($J437="",#N/A,SUM(BM$4:BM437))</f>
        <v>#N/A</v>
      </c>
      <c r="BO437" s="321" t="e">
        <f>IF($J437="",#N/A,SUM(BM$4:BM437,BK$4:BK437,BI$4:BI437))</f>
        <v>#N/A</v>
      </c>
      <c r="BP437" s="307" t="str">
        <f t="shared" si="696"/>
        <v/>
      </c>
      <c r="BQ437" s="319" t="e">
        <f>IF($J437="",#N/A,SUM(BP$4:BP437))</f>
        <v>#N/A</v>
      </c>
      <c r="BR437" s="320" t="str">
        <f t="shared" si="697"/>
        <v/>
      </c>
      <c r="BS437" s="320" t="e">
        <f>IF($J437="",#N/A,SUM(BR$4:BR437))</f>
        <v>#N/A</v>
      </c>
      <c r="BT437" s="321" t="str">
        <f t="shared" si="698"/>
        <v/>
      </c>
      <c r="BU437" s="321" t="e">
        <f>IF($J437="",#N/A,SUM(BT$4:BT437))</f>
        <v>#N/A</v>
      </c>
      <c r="BV437" s="321" t="e">
        <f>IF($J437="",#N/A,SUM(BT$4:BT437,BR$4:BR437,BP$4:BP437))</f>
        <v>#N/A</v>
      </c>
      <c r="BW437" s="307" t="str">
        <f t="shared" si="699"/>
        <v/>
      </c>
      <c r="BX437" s="319" t="e">
        <f>IF($J437="",#N/A,SUM(BW$4:BW437))</f>
        <v>#N/A</v>
      </c>
      <c r="BY437" s="320" t="str">
        <f t="shared" si="700"/>
        <v/>
      </c>
      <c r="BZ437" s="320" t="e">
        <f>IF($J437="",#N/A,SUM(BY$4:BY437))</f>
        <v>#N/A</v>
      </c>
      <c r="CA437" s="321" t="str">
        <f t="shared" si="701"/>
        <v/>
      </c>
      <c r="CB437" s="321" t="e">
        <f>IF($J437="",#N/A,SUM(CA$4:CA437))</f>
        <v>#N/A</v>
      </c>
      <c r="CC437" s="321" t="e">
        <f>IF($J437="",#N/A,SUM(CA$4:CA437,BY$4:BY437,BW$4:BW437))</f>
        <v>#N/A</v>
      </c>
      <c r="CD437" s="307" t="str">
        <f t="shared" si="702"/>
        <v/>
      </c>
      <c r="CE437" s="319" t="e">
        <f>IF($J437="",#N/A,SUM(CD$4:CD437))</f>
        <v>#N/A</v>
      </c>
      <c r="CF437" s="320" t="str">
        <f t="shared" si="703"/>
        <v/>
      </c>
      <c r="CG437" s="320" t="e">
        <f>IF($J437="",#N/A,SUM(CF$4:CF437))</f>
        <v>#N/A</v>
      </c>
      <c r="CH437" s="321" t="str">
        <f t="shared" si="704"/>
        <v/>
      </c>
      <c r="CI437" s="321" t="e">
        <f>IF($J437="",#N/A,SUM(CH$4:CH437))</f>
        <v>#N/A</v>
      </c>
      <c r="CJ437" s="321" t="e">
        <f>IF($J437="",#N/A,SUM(CH$4:CH437,CF$4:CF437,CD$4:CD437))</f>
        <v>#N/A</v>
      </c>
      <c r="CK437" s="307" t="str">
        <f t="shared" si="705"/>
        <v/>
      </c>
      <c r="CL437" s="319" t="e">
        <f>IF($J437="",#N/A,SUM(CK$4:CK437))</f>
        <v>#N/A</v>
      </c>
      <c r="CM437" s="320">
        <f t="shared" si="706"/>
        <v>-2.3183532049322291</v>
      </c>
      <c r="CN437" s="320" t="e">
        <f>IF($J437="",#N/A,SUM(CM$4:CM437))</f>
        <v>#N/A</v>
      </c>
      <c r="CO437" s="321" t="str">
        <f t="shared" si="707"/>
        <v/>
      </c>
      <c r="CP437" s="321" t="e">
        <f>IF($J437="",#N/A,SUM(CO$4:CO437))</f>
        <v>#N/A</v>
      </c>
      <c r="CQ437" s="321" t="e">
        <f>IF($J437="",#N/A,SUM(CO$4:CO437,CM$4:CM437,CK$4:CK437))</f>
        <v>#N/A</v>
      </c>
      <c r="CR437" s="307" t="str">
        <f t="shared" si="708"/>
        <v/>
      </c>
      <c r="CS437" s="319" t="e">
        <f>IF($J437="",#N/A,SUM(CR$4:CR437))</f>
        <v>#N/A</v>
      </c>
      <c r="CT437" s="320" t="str">
        <f t="shared" si="709"/>
        <v/>
      </c>
      <c r="CU437" s="320" t="e">
        <f>IF($J437="",#N/A,SUM(CT$4:CT437))</f>
        <v>#N/A</v>
      </c>
      <c r="CV437" s="321" t="str">
        <f t="shared" si="710"/>
        <v/>
      </c>
      <c r="CW437" s="321" t="e">
        <f>IF($J437="",#N/A,SUM(CV$4:CV437))</f>
        <v>#N/A</v>
      </c>
      <c r="CX437" s="321" t="e">
        <f>IF($J437="",#N/A,SUM(CV$4:CV437,CT$4:CT437,CR$4:CR437))</f>
        <v>#N/A</v>
      </c>
      <c r="CY437" s="307" t="str">
        <f t="shared" si="711"/>
        <v/>
      </c>
      <c r="CZ437" s="319" t="e">
        <f>IF($J437="",#N/A,SUM(CY$4:CY437))</f>
        <v>#N/A</v>
      </c>
      <c r="DA437" s="320" t="str">
        <f t="shared" si="712"/>
        <v/>
      </c>
      <c r="DB437" s="320" t="e">
        <f>IF($J437="",#N/A,SUM(DA$4:DA437))</f>
        <v>#N/A</v>
      </c>
      <c r="DC437" s="321" t="str">
        <f t="shared" si="713"/>
        <v/>
      </c>
      <c r="DD437" s="321" t="e">
        <f>IF($J437="",#N/A,SUM(DC$4:DC437))</f>
        <v>#N/A</v>
      </c>
      <c r="DE437" s="321" t="e">
        <f>IF($J437="",#N/A,SUM(DC$4:DC437,DA$4:DA437,CY$4:CY437))</f>
        <v>#N/A</v>
      </c>
      <c r="DF437" s="307" t="str">
        <f t="shared" si="714"/>
        <v/>
      </c>
      <c r="DG437" s="319" t="e">
        <f>IF($J437="",#N/A,SUM(DF$4:DF437))</f>
        <v>#N/A</v>
      </c>
      <c r="DH437" s="320" t="str">
        <f t="shared" si="715"/>
        <v/>
      </c>
      <c r="DI437" s="320" t="e">
        <f>IF($J437="",#N/A,SUM(DH$4:DH437))</f>
        <v>#N/A</v>
      </c>
      <c r="DJ437" s="321" t="str">
        <f t="shared" si="716"/>
        <v/>
      </c>
      <c r="DK437" s="321" t="e">
        <f>IF($J437="",#N/A,SUM(DJ$4:DJ437))</f>
        <v>#N/A</v>
      </c>
      <c r="DL437" s="321" t="e">
        <f>IF($J437="",#N/A,SUM(DJ$4:DJ437,DH$4:DH437,DF$4:DF437))</f>
        <v>#N/A</v>
      </c>
      <c r="DM437" s="307" t="str">
        <f t="shared" si="717"/>
        <v/>
      </c>
      <c r="DN437" s="319" t="e">
        <f>IF($J437="",#N/A,SUM(DM$4:DM437))</f>
        <v>#N/A</v>
      </c>
      <c r="DO437" s="320" t="str">
        <f t="shared" si="718"/>
        <v/>
      </c>
      <c r="DP437" s="320" t="e">
        <f>IF($J437="",#N/A,SUM(DO$4:DO437))</f>
        <v>#N/A</v>
      </c>
      <c r="DQ437" s="321" t="str">
        <f t="shared" si="719"/>
        <v/>
      </c>
      <c r="DR437" s="321" t="e">
        <f>IF($J437="",#N/A,SUM(DQ$4:DQ437))</f>
        <v>#N/A</v>
      </c>
      <c r="DS437" s="321" t="e">
        <f>IF($J437="",#N/A,SUM(DQ$4:DQ437,DO$4:DO437,DM$4:DM437))</f>
        <v>#N/A</v>
      </c>
      <c r="DT437" s="307" t="str">
        <f t="shared" si="720"/>
        <v/>
      </c>
      <c r="DU437" s="319" t="e">
        <f>IF($J437="",#N/A,SUM(DT$4:DT437))</f>
        <v>#N/A</v>
      </c>
      <c r="DV437" s="320" t="str">
        <f t="shared" si="721"/>
        <v/>
      </c>
      <c r="DW437" s="320" t="e">
        <f>IF($J437="",#N/A,SUM(DV$4:DV437))</f>
        <v>#N/A</v>
      </c>
      <c r="DX437" s="321" t="str">
        <f t="shared" si="722"/>
        <v/>
      </c>
      <c r="DY437" s="321" t="e">
        <f>IF($J437="",#N/A,SUM(DX$4:DX437))</f>
        <v>#N/A</v>
      </c>
      <c r="DZ437" s="321" t="e">
        <f>IF($J437="",#N/A,SUM(DX$4:DX437,DV$4:DV437,DT$4:DT437))</f>
        <v>#N/A</v>
      </c>
      <c r="EA437" s="307" t="str">
        <f t="shared" si="723"/>
        <v/>
      </c>
      <c r="EB437" s="319" t="e">
        <f>IF($J437="",#N/A,SUM(EA$4:EA437))</f>
        <v>#N/A</v>
      </c>
      <c r="EC437" s="320" t="str">
        <f t="shared" si="724"/>
        <v/>
      </c>
      <c r="ED437" s="320" t="e">
        <f>IF($J437="",#N/A,SUM(EC$4:EC437))</f>
        <v>#N/A</v>
      </c>
      <c r="EE437" s="321" t="str">
        <f t="shared" si="725"/>
        <v/>
      </c>
      <c r="EF437" s="321" t="e">
        <f>IF($J437="",#N/A,SUM(EE$4:EE437))</f>
        <v>#N/A</v>
      </c>
      <c r="EG437" s="321" t="e">
        <f>IF($J437="",#N/A,SUM(EE$4:EE437,EC$4:EC437,EA$4:EA437))</f>
        <v>#N/A</v>
      </c>
      <c r="EH437" s="80">
        <f t="shared" si="726"/>
        <v>-139.10119229593374</v>
      </c>
      <c r="EI437" s="71">
        <f>IF(EH437="",#N/A,SUM($EH$4:EH437))</f>
        <v>2579.002379297413</v>
      </c>
      <c r="EJ437" s="213" t="e">
        <f t="shared" si="727"/>
        <v>#N/A</v>
      </c>
      <c r="EK437" s="71" t="e">
        <f>IF($GZ437="",#N/A,SUM(EJ$4:EJ437))</f>
        <v>#N/A</v>
      </c>
      <c r="EL437" s="263" t="str">
        <f t="shared" si="757"/>
        <v/>
      </c>
      <c r="EM437" s="263" t="e">
        <f>IF(EL437="",NA(),SUM($EL$4:EL437))</f>
        <v>#N/A</v>
      </c>
      <c r="EN437" s="60" t="str">
        <f t="shared" si="728"/>
        <v/>
      </c>
      <c r="EO437" s="263" t="e">
        <f>IF(EN437="",NA(),SUM($EN$4:EN437))</f>
        <v>#N/A</v>
      </c>
      <c r="EP437" s="60" t="str">
        <f t="shared" si="729"/>
        <v/>
      </c>
      <c r="EQ437" s="60" t="e">
        <f>IF(EP437="",NA(),SUM($EP$4:EP437))</f>
        <v>#N/A</v>
      </c>
      <c r="ER437" s="60" t="str">
        <f t="shared" si="730"/>
        <v/>
      </c>
      <c r="ES437" s="60" t="e">
        <f>IF(ER437="",NA(),SUM($ER$4:ER437))</f>
        <v>#N/A</v>
      </c>
      <c r="ET437" s="263">
        <f t="shared" si="731"/>
        <v>-2.3183532049322291</v>
      </c>
      <c r="EU437" s="263">
        <f>IF(ET437="",NA(),SUM($ET$4:ET437))</f>
        <v>44.511510209960271</v>
      </c>
      <c r="EV437" s="60" t="str">
        <f t="shared" si="732"/>
        <v/>
      </c>
      <c r="EW437" s="60" t="e">
        <f>IF(EV437="",NA(),SUM($EV$4:EV437))</f>
        <v>#N/A</v>
      </c>
      <c r="EX437" s="60" t="str">
        <f t="shared" si="733"/>
        <v/>
      </c>
      <c r="EY437" s="60" t="e">
        <f>IF(EX437="",NA(),SUM($EX$4:EX437))</f>
        <v>#N/A</v>
      </c>
      <c r="EZ437" s="60">
        <f t="shared" si="734"/>
        <v>-2.3183532049322291</v>
      </c>
      <c r="FA437" s="60">
        <f>IF(EZ437="",NA(),SUM($EZ$4:EZ437))</f>
        <v>26.319214601740782</v>
      </c>
      <c r="FB437" s="271" t="str">
        <f t="shared" si="758"/>
        <v/>
      </c>
      <c r="FC437" s="271" t="e">
        <f>IF($FB437="",#N/A,SUM(FB$4:$FB437))</f>
        <v>#N/A</v>
      </c>
      <c r="FD437" s="263">
        <f t="shared" si="735"/>
        <v>-1.1922959339651507</v>
      </c>
      <c r="FE437" s="263">
        <f>IF($FD437="",#N/A,SUM($FD$4:FD437))</f>
        <v>-2.4237217377627651</v>
      </c>
      <c r="FF437" s="263" t="str">
        <f t="shared" si="736"/>
        <v/>
      </c>
      <c r="FG437" s="263" t="e">
        <f>IF($FF437="",#N/A,SUM($FF$4:FF437))</f>
        <v>#N/A</v>
      </c>
      <c r="FH437" s="263" t="str">
        <f t="shared" si="737"/>
        <v/>
      </c>
      <c r="FI437" s="263" t="e">
        <f>IF($FH437="",#N/A,SUM($FH$4:FH437))</f>
        <v>#N/A</v>
      </c>
      <c r="FJ437" s="263" t="str">
        <f t="shared" si="738"/>
        <v/>
      </c>
      <c r="FK437" s="263" t="e">
        <f>IF($FJ437="",#N/A,SUM($FJ$4:FJ437))</f>
        <v>#N/A</v>
      </c>
      <c r="FL437" s="263" t="str">
        <f t="shared" si="739"/>
        <v/>
      </c>
      <c r="FM437" s="263" t="e">
        <f>IF($FL437="",#N/A,SUM($FL$4:FL437))</f>
        <v>#N/A</v>
      </c>
      <c r="FN437" s="83">
        <f t="shared" si="740"/>
        <v>-3.5106491388973797</v>
      </c>
      <c r="FO437" s="83">
        <f>IF($FN437="",#N/A,SUM(FN$4:$FN437))</f>
        <v>52.781947158857371</v>
      </c>
      <c r="FP437" s="83">
        <f t="shared" si="759"/>
        <v>-2.3183532049322291</v>
      </c>
      <c r="FQ437" s="271">
        <f>IF($EH437="",#N/A,SUM($FP$4:FP437))</f>
        <v>69.601181855475119</v>
      </c>
      <c r="FR437" s="83">
        <f>IFERROR(FQ437/COUNTA($J$4:J437),#N/A)</f>
        <v>0.16037138676376755</v>
      </c>
      <c r="FS437" s="83">
        <f t="shared" si="661"/>
        <v>0.349832395882825</v>
      </c>
      <c r="FT437" s="83">
        <f t="shared" si="662"/>
        <v>0.63949994663852749</v>
      </c>
      <c r="FU437" s="425"/>
      <c r="FV437" s="66" t="str">
        <f t="shared" si="765"/>
        <v>Dwn</v>
      </c>
      <c r="FW437" s="66" t="s">
        <v>2734</v>
      </c>
      <c r="FX437" s="66" t="str">
        <f t="shared" si="741"/>
        <v/>
      </c>
      <c r="FY437" s="66">
        <f t="shared" si="742"/>
        <v>1</v>
      </c>
      <c r="FZ437" s="66" t="str">
        <f t="shared" si="743"/>
        <v/>
      </c>
      <c r="GA437" s="66" t="str">
        <f t="shared" si="744"/>
        <v>Short</v>
      </c>
      <c r="GB437" s="66" t="str">
        <f t="shared" si="745"/>
        <v/>
      </c>
      <c r="GC437" s="66" t="str">
        <f t="shared" si="746"/>
        <v/>
      </c>
      <c r="GD437" s="66" t="str">
        <f t="shared" si="747"/>
        <v/>
      </c>
      <c r="GE437" s="70">
        <f t="shared" si="664"/>
        <v>32.71</v>
      </c>
      <c r="GF437" s="70" t="s">
        <v>2780</v>
      </c>
      <c r="GG437" s="426">
        <f>IF(I437="","",1000/I437)</f>
        <v>30.571690614490979</v>
      </c>
      <c r="GH437" s="208">
        <f t="shared" si="748"/>
        <v>1000</v>
      </c>
      <c r="GI437" s="426">
        <f>GG437</f>
        <v>30.571690614490979</v>
      </c>
      <c r="GJ437" s="427">
        <f>J437</f>
        <v>37.26</v>
      </c>
      <c r="GK437" s="71">
        <f t="shared" si="749"/>
        <v>-139.10119229593374</v>
      </c>
      <c r="GL437" s="71">
        <f t="shared" si="665"/>
        <v>-210.63894833384279</v>
      </c>
      <c r="GM437" s="83" t="str">
        <f t="shared" si="750"/>
        <v/>
      </c>
      <c r="GN437" s="83">
        <f>IF($GZ437="",#N/A,SUM(GM$4:GM437))</f>
        <v>9.4532904651294007</v>
      </c>
      <c r="GO437" s="83" t="str">
        <f t="shared" si="751"/>
        <v/>
      </c>
      <c r="GP437" s="83">
        <f>IF($GZ437="",#N/A,SUM(GO$4:GO437))</f>
        <v>4.2788408366274897</v>
      </c>
      <c r="GQ437" s="83">
        <f t="shared" si="752"/>
        <v>-3.5106491388973797</v>
      </c>
      <c r="GR437" s="83">
        <f>IF($GZ437="",#N/A,SUM(GQ$4:GQ437))</f>
        <v>38.423978902658163</v>
      </c>
      <c r="GS437" s="71" t="str">
        <f t="shared" si="760"/>
        <v/>
      </c>
      <c r="GT437" s="71" t="e">
        <f>IF($GZ437="",#N/A,SUM(GS$4:GS437))</f>
        <v>#N/A</v>
      </c>
      <c r="GU437" s="71" t="str">
        <f t="shared" si="761"/>
        <v/>
      </c>
      <c r="GV437" s="71" t="e">
        <f>IF($GZ437="",#N/A,SUM(GU$4:GU437))</f>
        <v>#N/A</v>
      </c>
      <c r="GW437" s="71" t="e">
        <f t="shared" si="762"/>
        <v>#N/A</v>
      </c>
      <c r="GX437" s="71" t="e">
        <f>IF($GZ437="",#N/A,SUM(GW$4:GW437))</f>
        <v>#N/A</v>
      </c>
      <c r="GY437" s="71" t="e">
        <f>IF(EJ437="",#N/A,SUM($EJ$4:EJ437))</f>
        <v>#N/A</v>
      </c>
      <c r="GZ437" s="160">
        <v>39.6</v>
      </c>
      <c r="HA437" s="71">
        <f t="shared" si="753"/>
        <v>-71.537756037909048</v>
      </c>
      <c r="HB437" s="70" t="s">
        <v>4970</v>
      </c>
      <c r="HC437" s="263">
        <f>IFERROR(VLOOKUP(E437,Expectancy!$P$4:$S$19,1+C437,FALSE),"")</f>
        <v>0.6915396365341927</v>
      </c>
      <c r="HD437" s="426" t="str">
        <f t="shared" si="754"/>
        <v/>
      </c>
      <c r="HE437" s="497" t="e">
        <f>IF(HD437="",#N/A,SUM($HD$4:HD437))</f>
        <v>#N/A</v>
      </c>
      <c r="HF437" s="498" t="e">
        <f>IF(HD437="",#N/A,IF(HB437="Skip",#N/A,SUM($HG$4:HG437)))</f>
        <v>#N/A</v>
      </c>
      <c r="HG437" s="499" t="str">
        <f t="shared" si="755"/>
        <v/>
      </c>
      <c r="HH437" s="82">
        <f t="shared" si="766"/>
        <v>-3.5106491388973797</v>
      </c>
    </row>
    <row r="438" spans="1:216" ht="15.75" thickBot="1" x14ac:dyDescent="0.3">
      <c r="A438" s="428" t="s">
        <v>989</v>
      </c>
      <c r="B438" s="429" t="str" cm="1">
        <f t="array" ref="B438">IFERROR(_xlfn.XLOOKUP(A438,Earnings!$B$2:$B$9985,LEFT(Earnings!$C$2:$C$9985,37)),"Can't Find Date***")</f>
        <v>on 3/13/25 After Market Eastern Stand</v>
      </c>
      <c r="C438" s="430">
        <f t="shared" si="667"/>
        <v>3</v>
      </c>
      <c r="D438" s="431" t="str">
        <f>_xlfn.XLOOKUP(A438,[1]SP500!$A$2:$A$502,[1]SP500!$D$2:$D$502,"N")</f>
        <v>N</v>
      </c>
      <c r="E438" s="428" t="e">
        <f>_xlfn.XLOOKUP(A438,[1]SP500!$A$2:$A$655,[1]SP500!$B$2:$B$655)</f>
        <v>#N/A</v>
      </c>
      <c r="F438" s="432">
        <v>45733</v>
      </c>
      <c r="G438" s="428" t="str">
        <f t="shared" si="668"/>
        <v>AMC</v>
      </c>
      <c r="H438" s="66" t="str">
        <f t="shared" si="669"/>
        <v>s</v>
      </c>
      <c r="I438" s="433">
        <v>6.98</v>
      </c>
      <c r="J438" s="433">
        <v>7.02</v>
      </c>
      <c r="K438" s="434">
        <f t="shared" si="670"/>
        <v>5.7306590257878431E-3</v>
      </c>
      <c r="L438" s="435">
        <f t="shared" si="671"/>
        <v>6</v>
      </c>
      <c r="M438" s="436">
        <f t="shared" si="663"/>
        <v>-3</v>
      </c>
      <c r="N438" s="437" t="str">
        <f t="shared" si="672"/>
        <v/>
      </c>
      <c r="O438" s="437">
        <f>IF($J438="",#N/A,SUM($N$4:N438))</f>
        <v>-328.04225475891064</v>
      </c>
      <c r="P438" s="438" t="str">
        <f t="shared" si="673"/>
        <v/>
      </c>
      <c r="Q438" s="438">
        <f>IF($J438="",#N/A,SUM($P$4:P438))</f>
        <v>1797.5954616610145</v>
      </c>
      <c r="R438" s="439">
        <f t="shared" si="674"/>
        <v>6</v>
      </c>
      <c r="S438" s="439">
        <f>IF($J438="",#N/A,SUM($R$4:R438))</f>
        <v>1115.4491723953095</v>
      </c>
      <c r="T438" s="440" t="str">
        <f t="shared" si="675"/>
        <v/>
      </c>
      <c r="U438" s="440">
        <f>IF($J438="",#N/A,SUM($T$4:T438))</f>
        <v>10.009379462148743</v>
      </c>
      <c r="V438" s="441" t="str">
        <f t="shared" si="676"/>
        <v/>
      </c>
      <c r="W438" s="441">
        <f>IF($J438="",#N/A,SUM($V$4:V438))</f>
        <v>40.674507204934351</v>
      </c>
      <c r="X438" s="442">
        <f t="shared" si="677"/>
        <v>9.5510983763132759E-2</v>
      </c>
      <c r="Y438" s="442">
        <f>IF($J438="",#N/A,SUM($X$4:X438))</f>
        <v>19.012806172155134</v>
      </c>
      <c r="Z438" s="443" t="e">
        <f t="shared" si="678"/>
        <v>#N/A</v>
      </c>
      <c r="AA438" s="444" t="e">
        <f>IF($J438="",#N/A,SUM(Z$4:Z438))</f>
        <v>#N/A</v>
      </c>
      <c r="AB438" s="445" t="e">
        <f t="shared" si="679"/>
        <v>#N/A</v>
      </c>
      <c r="AC438" s="445" t="e">
        <f>IF($J438="",#N/A,SUM(AB$4:AB438))</f>
        <v>#N/A</v>
      </c>
      <c r="AD438" s="446" t="e">
        <f t="shared" si="680"/>
        <v>#N/A</v>
      </c>
      <c r="AE438" s="446" t="e">
        <f>IF($J438="",#N/A,SUM(AD$4:AD438))</f>
        <v>#N/A</v>
      </c>
      <c r="AF438" s="446" t="e">
        <f>IF($J438="",#N/A,SUM(AD$4:AD438,AB$4:AB438,Z$4:Z438))</f>
        <v>#N/A</v>
      </c>
      <c r="AG438" s="443" t="e">
        <f t="shared" si="681"/>
        <v>#N/A</v>
      </c>
      <c r="AH438" s="444" t="e">
        <f>IF($J438="",#N/A,SUM(AG$4:AG438))</f>
        <v>#N/A</v>
      </c>
      <c r="AI438" s="445" t="e">
        <f t="shared" si="682"/>
        <v>#N/A</v>
      </c>
      <c r="AJ438" s="445" t="e">
        <f>IF($J438="",#N/A,SUM(AI$4:AI438))</f>
        <v>#N/A</v>
      </c>
      <c r="AK438" s="446" t="e">
        <f t="shared" si="683"/>
        <v>#N/A</v>
      </c>
      <c r="AL438" s="446" t="e">
        <f>IF($J438="",#N/A,SUM(AK$4:AK438))</f>
        <v>#N/A</v>
      </c>
      <c r="AM438" s="446" t="e">
        <f>IF($J438="",#N/A,SUM(AK$4:AK438,AI$4:AI438,AG$4:AG438))</f>
        <v>#N/A</v>
      </c>
      <c r="AN438" s="443" t="e">
        <f t="shared" si="684"/>
        <v>#N/A</v>
      </c>
      <c r="AO438" s="444" t="e">
        <f>IF($J438="",#N/A,SUM(AN$4:AN438))</f>
        <v>#N/A</v>
      </c>
      <c r="AP438" s="445" t="e">
        <f t="shared" si="685"/>
        <v>#N/A</v>
      </c>
      <c r="AQ438" s="445" t="e">
        <f>IF($J438="",#N/A,SUM(AP$4:AP438))</f>
        <v>#N/A</v>
      </c>
      <c r="AR438" s="446" t="e">
        <f t="shared" si="686"/>
        <v>#N/A</v>
      </c>
      <c r="AS438" s="446" t="e">
        <f>IF($J438="",#N/A,SUM(AR$4:AR438))</f>
        <v>#N/A</v>
      </c>
      <c r="AT438" s="446" t="e">
        <f>IF($J438="",#N/A,SUM(AR$4:AR438,AP$4:AP438,AN$4:AN438))</f>
        <v>#N/A</v>
      </c>
      <c r="AU438" s="443" t="e">
        <f t="shared" si="687"/>
        <v>#N/A</v>
      </c>
      <c r="AV438" s="444" t="e">
        <f>IF($J438="",#N/A,SUM(AU$4:AU438))</f>
        <v>#N/A</v>
      </c>
      <c r="AW438" s="445" t="e">
        <f t="shared" si="688"/>
        <v>#N/A</v>
      </c>
      <c r="AX438" s="445" t="e">
        <f>IF($J438="",#N/A,SUM(AW$4:AW438))</f>
        <v>#N/A</v>
      </c>
      <c r="AY438" s="446" t="e">
        <f t="shared" si="689"/>
        <v>#N/A</v>
      </c>
      <c r="AZ438" s="446" t="e">
        <f>IF($J438="",#N/A,SUM(AY$4:AY438))</f>
        <v>#N/A</v>
      </c>
      <c r="BA438" s="446" t="e">
        <f>IF($J438="",#N/A,SUM(AY$4:AY438,AW$4:AW438,AU$4:AU438))</f>
        <v>#N/A</v>
      </c>
      <c r="BB438" s="443" t="e">
        <f t="shared" si="690"/>
        <v>#N/A</v>
      </c>
      <c r="BC438" s="444" t="e">
        <f>IF($J438="",#N/A,SUM(BB$4:BB438))</f>
        <v>#N/A</v>
      </c>
      <c r="BD438" s="445" t="e">
        <f t="shared" si="691"/>
        <v>#N/A</v>
      </c>
      <c r="BE438" s="445" t="e">
        <f>IF($J438="",#N/A,SUM(BD$4:BD438))</f>
        <v>#N/A</v>
      </c>
      <c r="BF438" s="446" t="e">
        <f t="shared" si="692"/>
        <v>#N/A</v>
      </c>
      <c r="BG438" s="446" t="e">
        <f>IF($J438="",#N/A,SUM(BF$4:BF438))</f>
        <v>#N/A</v>
      </c>
      <c r="BH438" s="446" t="e">
        <f>IF($J438="",#N/A,SUM(BF$4:BF438,BD$4:BD438,BB$4:BB438))</f>
        <v>#N/A</v>
      </c>
      <c r="BI438" s="443" t="e">
        <f t="shared" si="693"/>
        <v>#N/A</v>
      </c>
      <c r="BJ438" s="444" t="e">
        <f>IF($J438="",#N/A,SUM(BI$4:BI438))</f>
        <v>#N/A</v>
      </c>
      <c r="BK438" s="445" t="e">
        <f t="shared" si="694"/>
        <v>#N/A</v>
      </c>
      <c r="BL438" s="445" t="e">
        <f>IF($J438="",#N/A,SUM(BK$4:BK438))</f>
        <v>#N/A</v>
      </c>
      <c r="BM438" s="446" t="e">
        <f t="shared" si="695"/>
        <v>#N/A</v>
      </c>
      <c r="BN438" s="446" t="e">
        <f>IF($J438="",#N/A,SUM(BM$4:BM438))</f>
        <v>#N/A</v>
      </c>
      <c r="BO438" s="446" t="e">
        <f>IF($J438="",#N/A,SUM(BM$4:BM438,BK$4:BK438,BI$4:BI438))</f>
        <v>#N/A</v>
      </c>
      <c r="BP438" s="443" t="e">
        <f t="shared" si="696"/>
        <v>#N/A</v>
      </c>
      <c r="BQ438" s="444" t="e">
        <f>IF($J438="",#N/A,SUM(BP$4:BP438))</f>
        <v>#N/A</v>
      </c>
      <c r="BR438" s="445" t="e">
        <f t="shared" si="697"/>
        <v>#N/A</v>
      </c>
      <c r="BS438" s="445" t="e">
        <f>IF($J438="",#N/A,SUM(BR$4:BR438))</f>
        <v>#N/A</v>
      </c>
      <c r="BT438" s="446" t="e">
        <f t="shared" si="698"/>
        <v>#N/A</v>
      </c>
      <c r="BU438" s="446" t="e">
        <f>IF($J438="",#N/A,SUM(BT$4:BT438))</f>
        <v>#N/A</v>
      </c>
      <c r="BV438" s="446" t="e">
        <f>IF($J438="",#N/A,SUM(BT$4:BT438,BR$4:BR438,BP$4:BP438))</f>
        <v>#N/A</v>
      </c>
      <c r="BW438" s="443" t="e">
        <f t="shared" si="699"/>
        <v>#N/A</v>
      </c>
      <c r="BX438" s="444" t="e">
        <f>IF($J438="",#N/A,SUM(BW$4:BW438))</f>
        <v>#N/A</v>
      </c>
      <c r="BY438" s="445" t="e">
        <f t="shared" si="700"/>
        <v>#N/A</v>
      </c>
      <c r="BZ438" s="445" t="e">
        <f>IF($J438="",#N/A,SUM(BY$4:BY438))</f>
        <v>#N/A</v>
      </c>
      <c r="CA438" s="446" t="e">
        <f t="shared" si="701"/>
        <v>#N/A</v>
      </c>
      <c r="CB438" s="446" t="e">
        <f>IF($J438="",#N/A,SUM(CA$4:CA438))</f>
        <v>#N/A</v>
      </c>
      <c r="CC438" s="446" t="e">
        <f>IF($J438="",#N/A,SUM(CA$4:CA438,BY$4:BY438,BW$4:BW438))</f>
        <v>#N/A</v>
      </c>
      <c r="CD438" s="443" t="e">
        <f t="shared" si="702"/>
        <v>#N/A</v>
      </c>
      <c r="CE438" s="444" t="e">
        <f>IF($J438="",#N/A,SUM(CD$4:CD438))</f>
        <v>#N/A</v>
      </c>
      <c r="CF438" s="445" t="e">
        <f t="shared" si="703"/>
        <v>#N/A</v>
      </c>
      <c r="CG438" s="445" t="e">
        <f>IF($J438="",#N/A,SUM(CF$4:CF438))</f>
        <v>#N/A</v>
      </c>
      <c r="CH438" s="446" t="e">
        <f t="shared" si="704"/>
        <v>#N/A</v>
      </c>
      <c r="CI438" s="446" t="e">
        <f>IF($J438="",#N/A,SUM(CH$4:CH438))</f>
        <v>#N/A</v>
      </c>
      <c r="CJ438" s="446" t="e">
        <f>IF($J438="",#N/A,SUM(CH$4:CH438,CF$4:CF438,CD$4:CD438))</f>
        <v>#N/A</v>
      </c>
      <c r="CK438" s="443" t="e">
        <f t="shared" si="705"/>
        <v>#N/A</v>
      </c>
      <c r="CL438" s="444" t="e">
        <f>IF($J438="",#N/A,SUM(CK$4:CK438))</f>
        <v>#N/A</v>
      </c>
      <c r="CM438" s="445" t="e">
        <f t="shared" si="706"/>
        <v>#N/A</v>
      </c>
      <c r="CN438" s="445" t="e">
        <f>IF($J438="",#N/A,SUM(CM$4:CM438))</f>
        <v>#N/A</v>
      </c>
      <c r="CO438" s="446" t="e">
        <f t="shared" si="707"/>
        <v>#N/A</v>
      </c>
      <c r="CP438" s="446" t="e">
        <f>IF($J438="",#N/A,SUM(CO$4:CO438))</f>
        <v>#N/A</v>
      </c>
      <c r="CQ438" s="446" t="e">
        <f>IF($J438="",#N/A,SUM(CO$4:CO438,CM$4:CM438,CK$4:CK438))</f>
        <v>#N/A</v>
      </c>
      <c r="CR438" s="443" t="e">
        <f t="shared" si="708"/>
        <v>#N/A</v>
      </c>
      <c r="CS438" s="444" t="e">
        <f>IF($J438="",#N/A,SUM(CR$4:CR438))</f>
        <v>#N/A</v>
      </c>
      <c r="CT438" s="445" t="e">
        <f t="shared" si="709"/>
        <v>#N/A</v>
      </c>
      <c r="CU438" s="445" t="e">
        <f>IF($J438="",#N/A,SUM(CT$4:CT438))</f>
        <v>#N/A</v>
      </c>
      <c r="CV438" s="446" t="e">
        <f t="shared" si="710"/>
        <v>#N/A</v>
      </c>
      <c r="CW438" s="446" t="e">
        <f>IF($J438="",#N/A,SUM(CV$4:CV438))</f>
        <v>#N/A</v>
      </c>
      <c r="CX438" s="446" t="e">
        <f>IF($J438="",#N/A,SUM(CV$4:CV438,CT$4:CT438,CR$4:CR438))</f>
        <v>#N/A</v>
      </c>
      <c r="CY438" s="443" t="e">
        <f t="shared" si="711"/>
        <v>#N/A</v>
      </c>
      <c r="CZ438" s="444" t="e">
        <f>IF($J438="",#N/A,SUM(CY$4:CY438))</f>
        <v>#N/A</v>
      </c>
      <c r="DA438" s="445" t="e">
        <f t="shared" si="712"/>
        <v>#N/A</v>
      </c>
      <c r="DB438" s="445" t="e">
        <f>IF($J438="",#N/A,SUM(DA$4:DA438))</f>
        <v>#N/A</v>
      </c>
      <c r="DC438" s="446" t="e">
        <f t="shared" si="713"/>
        <v>#N/A</v>
      </c>
      <c r="DD438" s="446" t="e">
        <f>IF($J438="",#N/A,SUM(DC$4:DC438))</f>
        <v>#N/A</v>
      </c>
      <c r="DE438" s="446" t="e">
        <f>IF($J438="",#N/A,SUM(DC$4:DC438,DA$4:DA438,CY$4:CY438))</f>
        <v>#N/A</v>
      </c>
      <c r="DF438" s="443" t="e">
        <f t="shared" si="714"/>
        <v>#N/A</v>
      </c>
      <c r="DG438" s="444" t="e">
        <f>IF($J438="",#N/A,SUM(DF$4:DF438))</f>
        <v>#N/A</v>
      </c>
      <c r="DH438" s="445" t="e">
        <f t="shared" si="715"/>
        <v>#N/A</v>
      </c>
      <c r="DI438" s="445" t="e">
        <f>IF($J438="",#N/A,SUM(DH$4:DH438))</f>
        <v>#N/A</v>
      </c>
      <c r="DJ438" s="446" t="e">
        <f t="shared" si="716"/>
        <v>#N/A</v>
      </c>
      <c r="DK438" s="446" t="e">
        <f>IF($J438="",#N/A,SUM(DJ$4:DJ438))</f>
        <v>#N/A</v>
      </c>
      <c r="DL438" s="446" t="e">
        <f>IF($J438="",#N/A,SUM(DJ$4:DJ438,DH$4:DH438,DF$4:DF438))</f>
        <v>#N/A</v>
      </c>
      <c r="DM438" s="443" t="e">
        <f t="shared" si="717"/>
        <v>#N/A</v>
      </c>
      <c r="DN438" s="444" t="e">
        <f>IF($J438="",#N/A,SUM(DM$4:DM438))</f>
        <v>#N/A</v>
      </c>
      <c r="DO438" s="445" t="e">
        <f t="shared" si="718"/>
        <v>#N/A</v>
      </c>
      <c r="DP438" s="445" t="e">
        <f>IF($J438="",#N/A,SUM(DO$4:DO438))</f>
        <v>#N/A</v>
      </c>
      <c r="DQ438" s="446" t="e">
        <f t="shared" si="719"/>
        <v>#N/A</v>
      </c>
      <c r="DR438" s="446" t="e">
        <f>IF($J438="",#N/A,SUM(DQ$4:DQ438))</f>
        <v>#N/A</v>
      </c>
      <c r="DS438" s="446" t="e">
        <f>IF($J438="",#N/A,SUM(DQ$4:DQ438,DO$4:DO438,DM$4:DM438))</f>
        <v>#N/A</v>
      </c>
      <c r="DT438" s="443" t="e">
        <f t="shared" si="720"/>
        <v>#N/A</v>
      </c>
      <c r="DU438" s="444" t="e">
        <f>IF($J438="",#N/A,SUM(DT$4:DT438))</f>
        <v>#N/A</v>
      </c>
      <c r="DV438" s="445" t="e">
        <f t="shared" si="721"/>
        <v>#N/A</v>
      </c>
      <c r="DW438" s="445" t="e">
        <f>IF($J438="",#N/A,SUM(DV$4:DV438))</f>
        <v>#N/A</v>
      </c>
      <c r="DX438" s="446" t="e">
        <f t="shared" si="722"/>
        <v>#N/A</v>
      </c>
      <c r="DY438" s="446" t="e">
        <f>IF($J438="",#N/A,SUM(DX$4:DX438))</f>
        <v>#N/A</v>
      </c>
      <c r="DZ438" s="446" t="e">
        <f>IF($J438="",#N/A,SUM(DX$4:DX438,DV$4:DV438,DT$4:DT438))</f>
        <v>#N/A</v>
      </c>
      <c r="EA438" s="443" t="e">
        <f t="shared" si="723"/>
        <v>#N/A</v>
      </c>
      <c r="EB438" s="444" t="e">
        <f>IF($J438="",#N/A,SUM(EA$4:EA438))</f>
        <v>#N/A</v>
      </c>
      <c r="EC438" s="445" t="e">
        <f t="shared" si="724"/>
        <v>#N/A</v>
      </c>
      <c r="ED438" s="445" t="e">
        <f>IF($J438="",#N/A,SUM(EC$4:EC438))</f>
        <v>#N/A</v>
      </c>
      <c r="EE438" s="446" t="e">
        <f t="shared" si="725"/>
        <v>#N/A</v>
      </c>
      <c r="EF438" s="446" t="e">
        <f>IF($J438="",#N/A,SUM(EE$4:EE438))</f>
        <v>#N/A</v>
      </c>
      <c r="EG438" s="446" t="e">
        <f>IF($J438="",#N/A,SUM(EE$4:EE438,EC$4:EC438,EA$4:EA438))</f>
        <v>#N/A</v>
      </c>
      <c r="EH438" s="436">
        <f t="shared" si="726"/>
        <v>6</v>
      </c>
      <c r="EI438" s="447">
        <f>IF(EH438="",#N/A,SUM($EH$4:EH438))</f>
        <v>2585.002379297413</v>
      </c>
      <c r="EJ438" s="448" t="e">
        <f t="shared" si="727"/>
        <v>#N/A</v>
      </c>
      <c r="EK438" s="447" t="e">
        <f>IF($GZ438="",#N/A,SUM(EJ$4:EJ438))</f>
        <v>#N/A</v>
      </c>
      <c r="EL438" s="450" t="str">
        <f t="shared" si="757"/>
        <v/>
      </c>
      <c r="EM438" s="450" t="e">
        <f>IF(EL438="",NA(),SUM($EL$4:EL438))</f>
        <v>#N/A</v>
      </c>
      <c r="EN438" s="60" t="str">
        <f t="shared" si="728"/>
        <v/>
      </c>
      <c r="EO438" s="263" t="e">
        <f>IF(EN438="",NA(),SUM($EN$4:EN438))</f>
        <v>#N/A</v>
      </c>
      <c r="EP438" s="60" t="str">
        <f t="shared" si="729"/>
        <v/>
      </c>
      <c r="EQ438" s="60" t="e">
        <f>IF(EP438="",NA(),SUM($EP$4:EP438))</f>
        <v>#N/A</v>
      </c>
      <c r="ER438" s="60" t="str">
        <f t="shared" si="730"/>
        <v/>
      </c>
      <c r="ES438" s="60" t="e">
        <f>IF(ER438="",NA(),SUM($ER$4:ER438))</f>
        <v>#N/A</v>
      </c>
      <c r="ET438" s="450">
        <f t="shared" si="731"/>
        <v>9.5510983763132759E-2</v>
      </c>
      <c r="EU438" s="450">
        <f>IF(ET438="",NA(),SUM($ET$4:ET438))</f>
        <v>44.607021193723405</v>
      </c>
      <c r="EV438" s="60" t="str">
        <f t="shared" si="732"/>
        <v/>
      </c>
      <c r="EW438" s="60" t="e">
        <f>IF(EV438="",NA(),SUM($EV$4:EV438))</f>
        <v>#N/A</v>
      </c>
      <c r="EX438" s="60">
        <f t="shared" si="733"/>
        <v>9.5510983763132759E-2</v>
      </c>
      <c r="EY438" s="60">
        <f>IF(EX438="",NA(),SUM($EX$4:EX438))</f>
        <v>12.284823602099857</v>
      </c>
      <c r="EZ438" s="60" t="str">
        <f t="shared" si="734"/>
        <v/>
      </c>
      <c r="FA438" s="60" t="e">
        <f>IF(EZ438="",NA(),SUM($EZ$4:EZ438))</f>
        <v>#N/A</v>
      </c>
      <c r="FB438" s="449" t="str">
        <f t="shared" si="758"/>
        <v/>
      </c>
      <c r="FC438" s="449" t="e">
        <f>IF($FB438="",#N/A,SUM(FB$4:$FB438))</f>
        <v>#N/A</v>
      </c>
      <c r="FD438" s="450" t="str">
        <f t="shared" si="735"/>
        <v/>
      </c>
      <c r="FE438" s="450" t="e">
        <f>IF($FD438="",#N/A,SUM($FD$4:FD438))</f>
        <v>#N/A</v>
      </c>
      <c r="FF438" s="450" t="str">
        <f t="shared" si="736"/>
        <v/>
      </c>
      <c r="FG438" s="450" t="e">
        <f>IF($FF438="",#N/A,SUM($FF$4:FF438))</f>
        <v>#N/A</v>
      </c>
      <c r="FH438" s="450" t="str">
        <f t="shared" si="737"/>
        <v/>
      </c>
      <c r="FI438" s="450" t="e">
        <f>IF($FH438="",#N/A,SUM($FH$4:FH438))</f>
        <v>#N/A</v>
      </c>
      <c r="FJ438" s="450">
        <f t="shared" si="738"/>
        <v>-1.1700095510983763</v>
      </c>
      <c r="FK438" s="450">
        <f>IF($FJ438="",#N/A,SUM($FJ$4:FJ438))</f>
        <v>-8.2902056901332273</v>
      </c>
      <c r="FL438" s="450" t="str">
        <f t="shared" si="739"/>
        <v/>
      </c>
      <c r="FM438" s="450" t="e">
        <f>IF($FL438="",#N/A,SUM($FL$4:FL438))</f>
        <v>#N/A</v>
      </c>
      <c r="FN438" s="451">
        <f t="shared" si="740"/>
        <v>-1.0744985673352436</v>
      </c>
      <c r="FO438" s="451">
        <f>IF($FN438="",#N/A,SUM(FN$4:$FN438))</f>
        <v>51.70744859152213</v>
      </c>
      <c r="FP438" s="451">
        <f t="shared" si="759"/>
        <v>9.5510983763132759E-2</v>
      </c>
      <c r="FQ438" s="449">
        <f>IF($EH438="",#N/A,SUM($FP$4:FP438))</f>
        <v>69.696692839238253</v>
      </c>
      <c r="FR438" s="451">
        <f>IFERROR(FQ438/COUNTA($J$4:J438),#N/A)</f>
        <v>0.16022228238905345</v>
      </c>
      <c r="FS438" s="451">
        <f t="shared" si="661"/>
        <v>0.33771122432808892</v>
      </c>
      <c r="FT438" s="451">
        <f t="shared" si="662"/>
        <v>0.60279809873106105</v>
      </c>
      <c r="FU438" s="452">
        <f t="shared" ref="FU438:FU446" si="767">IF(AND(HB438="MOC",GZ438=""),#N/A,IFERROR(FQ438-HE438,FQ438-0))-14.53</f>
        <v>31.048887232105351</v>
      </c>
      <c r="FV438" s="428" t="str">
        <f t="shared" si="765"/>
        <v>SW</v>
      </c>
      <c r="FW438" s="428" t="s">
        <v>2732</v>
      </c>
      <c r="FX438" s="428" t="str">
        <f t="shared" si="741"/>
        <v/>
      </c>
      <c r="FY438" s="428" t="str">
        <f t="shared" si="742"/>
        <v/>
      </c>
      <c r="FZ438" s="428">
        <f t="shared" si="743"/>
        <v>1</v>
      </c>
      <c r="GA438" s="428" t="str">
        <f t="shared" si="744"/>
        <v>Long</v>
      </c>
      <c r="GB438" s="428" t="str">
        <f t="shared" si="745"/>
        <v/>
      </c>
      <c r="GC438" s="428" t="str">
        <f t="shared" si="746"/>
        <v/>
      </c>
      <c r="GD438" s="428" t="str">
        <f t="shared" si="747"/>
        <v/>
      </c>
      <c r="GE438" s="453">
        <f t="shared" si="664"/>
        <v>6.98</v>
      </c>
      <c r="GF438" s="453" t="s">
        <v>2779</v>
      </c>
      <c r="GG438" s="455">
        <v>150</v>
      </c>
      <c r="GH438" s="454">
        <f t="shared" si="748"/>
        <v>1047</v>
      </c>
      <c r="GI438" s="455">
        <v>150</v>
      </c>
      <c r="GJ438" s="456">
        <v>7</v>
      </c>
      <c r="GK438" s="447">
        <f t="shared" si="749"/>
        <v>3</v>
      </c>
      <c r="GL438" s="447">
        <f t="shared" si="665"/>
        <v>-67.5</v>
      </c>
      <c r="GM438" s="451">
        <f t="shared" si="750"/>
        <v>-1.0744985673352436</v>
      </c>
      <c r="GN438" s="451">
        <f>IF($GZ438="",#N/A,SUM(GM$4:GM438))</f>
        <v>8.3787918977941569</v>
      </c>
      <c r="GO438" s="451" t="str">
        <f t="shared" si="751"/>
        <v/>
      </c>
      <c r="GP438" s="451">
        <f>IF($GZ438="",#N/A,SUM(GO$4:GO438))</f>
        <v>4.2788408366274897</v>
      </c>
      <c r="GQ438" s="451" t="str">
        <f t="shared" si="752"/>
        <v/>
      </c>
      <c r="GR438" s="451">
        <f>IF($GZ438="",#N/A,SUM(GQ$4:GQ438))</f>
        <v>38.423978902658163</v>
      </c>
      <c r="GS438" s="447" t="e">
        <f t="shared" si="760"/>
        <v>#N/A</v>
      </c>
      <c r="GT438" s="447" t="e">
        <f>IF($GZ438="",#N/A,SUM(GS$4:GS438))</f>
        <v>#N/A</v>
      </c>
      <c r="GU438" s="447" t="str">
        <f t="shared" si="761"/>
        <v/>
      </c>
      <c r="GV438" s="447" t="e">
        <f>IF($GZ438="",#N/A,SUM(GU$4:GU438))</f>
        <v>#N/A</v>
      </c>
      <c r="GW438" s="447" t="str">
        <f t="shared" si="762"/>
        <v/>
      </c>
      <c r="GX438" s="447" t="e">
        <f>IF($GZ438="",#N/A,SUM(GW$4:GW438))</f>
        <v>#N/A</v>
      </c>
      <c r="GY438" s="447" t="e">
        <f>IF(EJ438="",#N/A,SUM($EJ$4:EJ438))</f>
        <v>#N/A</v>
      </c>
      <c r="GZ438" s="433">
        <v>6.53</v>
      </c>
      <c r="HA438" s="447">
        <f t="shared" si="753"/>
        <v>-73.5</v>
      </c>
      <c r="HB438" s="453" t="s">
        <v>2538</v>
      </c>
      <c r="HC438" s="450" t="str">
        <f>IFERROR(VLOOKUP(E438,Expectancy!$P$4:$S$19,1+C438,FALSE),"")</f>
        <v/>
      </c>
      <c r="HD438" s="451">
        <f t="shared" si="754"/>
        <v>4.775549188156638E-2</v>
      </c>
      <c r="HE438" s="457">
        <f>IF(HD438="",#N/A,SUM($HD$4:HD438))</f>
        <v>24.117805607132901</v>
      </c>
      <c r="HF438" s="458">
        <f>IF(HD438="",#N/A,IF(HB438="Skip",#N/A,SUM($HG$4:HG438)))</f>
        <v>1365.9835792191564</v>
      </c>
      <c r="HG438" s="447">
        <f t="shared" si="755"/>
        <v>3</v>
      </c>
      <c r="HH438" s="82">
        <f t="shared" si="766"/>
        <v>-1.0744985673352436</v>
      </c>
    </row>
    <row r="439" spans="1:216" x14ac:dyDescent="0.25">
      <c r="A439" s="72" t="s">
        <v>1246</v>
      </c>
      <c r="B439" s="73" t="str" cm="1">
        <f t="array" ref="B439">IFERROR(_xlfn.XLOOKUP(A439,Earnings!$B$2:$B$9985,LEFT(Earnings!$C$2:$C$9985,37)),"Can't Find Date***")</f>
        <v>on 3/18/25 After Market Eastern Stand</v>
      </c>
      <c r="C439" s="387">
        <f t="shared" si="667"/>
        <v>3</v>
      </c>
      <c r="D439" s="374" t="str">
        <f>_xlfn.XLOOKUP(A439,[1]SP500!$A$2:$A$502,[1]SP500!$D$2:$D$502,"N")</f>
        <v>N</v>
      </c>
      <c r="E439" s="72" t="str">
        <f>_xlfn.XLOOKUP(A439,[1]SP500!$A$2:$A$655,[1]SP500!$B$2:$B$655)</f>
        <v>XLV</v>
      </c>
      <c r="F439" s="74">
        <v>45734</v>
      </c>
      <c r="G439" s="72" t="str">
        <f t="shared" si="668"/>
        <v>AMC</v>
      </c>
      <c r="H439" s="72" t="str">
        <f t="shared" si="669"/>
        <v>o</v>
      </c>
      <c r="I439" s="161">
        <v>101.67</v>
      </c>
      <c r="J439" s="274">
        <v>85</v>
      </c>
      <c r="K439" s="75">
        <f t="shared" si="670"/>
        <v>-0.1639618373168093</v>
      </c>
      <c r="L439" s="88">
        <f t="shared" si="671"/>
        <v>-166.70000000000005</v>
      </c>
      <c r="M439" s="78" t="e">
        <f t="shared" si="663"/>
        <v>#N/A</v>
      </c>
      <c r="N439" s="166" t="str">
        <f t="shared" si="672"/>
        <v/>
      </c>
      <c r="O439" s="166">
        <f>IF($J439="",#N/A,SUM($N$4:N439))</f>
        <v>-328.04225475891064</v>
      </c>
      <c r="P439" s="171" t="str">
        <f t="shared" si="673"/>
        <v/>
      </c>
      <c r="Q439" s="171">
        <f>IF($J439="",#N/A,SUM($P$4:P439))</f>
        <v>1797.5954616610145</v>
      </c>
      <c r="R439" s="175">
        <f t="shared" si="674"/>
        <v>-166.70000000000005</v>
      </c>
      <c r="S439" s="175">
        <f>IF($J439="",#N/A,SUM($R$4:R439))</f>
        <v>948.74917239530942</v>
      </c>
      <c r="T439" s="299" t="str">
        <f t="shared" si="675"/>
        <v/>
      </c>
      <c r="U439" s="299">
        <f>IF($J439="",#N/A,SUM($T$4:T439))</f>
        <v>10.009379462148743</v>
      </c>
      <c r="V439" s="300" t="str">
        <f t="shared" si="676"/>
        <v/>
      </c>
      <c r="W439" s="300">
        <f>IF($J439="",#N/A,SUM($V$4:V439))</f>
        <v>40.674507204934351</v>
      </c>
      <c r="X439" s="301">
        <f t="shared" si="677"/>
        <v>-2.7326972886134886</v>
      </c>
      <c r="Y439" s="301">
        <f>IF($J439="",#N/A,SUM($X$4:X439))</f>
        <v>16.280108883541644</v>
      </c>
      <c r="Z439" s="310" t="str">
        <f t="shared" si="678"/>
        <v/>
      </c>
      <c r="AA439" s="322" t="e">
        <f>IF($J439="",#N/A,SUM(Z$4:Z439))</f>
        <v>#N/A</v>
      </c>
      <c r="AB439" s="323" t="str">
        <f t="shared" si="679"/>
        <v/>
      </c>
      <c r="AC439" s="323" t="e">
        <f>IF($J439="",#N/A,SUM(AB$4:AB439))</f>
        <v>#N/A</v>
      </c>
      <c r="AD439" s="324" t="str">
        <f t="shared" si="680"/>
        <v/>
      </c>
      <c r="AE439" s="324" t="e">
        <f>IF($J439="",#N/A,SUM(AD$4:AD439))</f>
        <v>#N/A</v>
      </c>
      <c r="AF439" s="324" t="e">
        <f>IF($J439="",#N/A,SUM(AD$4:AD439,AB$4:AB439,Z$4:Z439))</f>
        <v>#N/A</v>
      </c>
      <c r="AG439" s="310" t="str">
        <f t="shared" si="681"/>
        <v/>
      </c>
      <c r="AH439" s="322" t="e">
        <f>IF($J439="",#N/A,SUM(AG$4:AG439))</f>
        <v>#N/A</v>
      </c>
      <c r="AI439" s="323" t="str">
        <f t="shared" si="682"/>
        <v/>
      </c>
      <c r="AJ439" s="323" t="e">
        <f>IF($J439="",#N/A,SUM(AI$4:AI439))</f>
        <v>#N/A</v>
      </c>
      <c r="AK439" s="324" t="str">
        <f t="shared" si="683"/>
        <v/>
      </c>
      <c r="AL439" s="324" t="e">
        <f>IF($J439="",#N/A,SUM(AK$4:AK439))</f>
        <v>#N/A</v>
      </c>
      <c r="AM439" s="324" t="e">
        <f>IF($J439="",#N/A,SUM(AK$4:AK439,AI$4:AI439,AG$4:AG439))</f>
        <v>#N/A</v>
      </c>
      <c r="AN439" s="310" t="str">
        <f t="shared" si="684"/>
        <v/>
      </c>
      <c r="AO439" s="322" t="e">
        <f>IF($J439="",#N/A,SUM(AN$4:AN439))</f>
        <v>#N/A</v>
      </c>
      <c r="AP439" s="323" t="str">
        <f t="shared" si="685"/>
        <v/>
      </c>
      <c r="AQ439" s="323" t="e">
        <f>IF($J439="",#N/A,SUM(AP$4:AP439))</f>
        <v>#N/A</v>
      </c>
      <c r="AR439" s="324" t="str">
        <f t="shared" si="686"/>
        <v/>
      </c>
      <c r="AS439" s="324" t="e">
        <f>IF($J439="",#N/A,SUM(AR$4:AR439))</f>
        <v>#N/A</v>
      </c>
      <c r="AT439" s="324" t="e">
        <f>IF($J439="",#N/A,SUM(AR$4:AR439,AP$4:AP439,AN$4:AN439))</f>
        <v>#N/A</v>
      </c>
      <c r="AU439" s="310" t="str">
        <f t="shared" si="687"/>
        <v/>
      </c>
      <c r="AV439" s="322" t="e">
        <f>IF($J439="",#N/A,SUM(AU$4:AU439))</f>
        <v>#N/A</v>
      </c>
      <c r="AW439" s="323" t="str">
        <f t="shared" si="688"/>
        <v/>
      </c>
      <c r="AX439" s="323" t="e">
        <f>IF($J439="",#N/A,SUM(AW$4:AW439))</f>
        <v>#N/A</v>
      </c>
      <c r="AY439" s="324" t="str">
        <f t="shared" si="689"/>
        <v/>
      </c>
      <c r="AZ439" s="324" t="e">
        <f>IF($J439="",#N/A,SUM(AY$4:AY439))</f>
        <v>#N/A</v>
      </c>
      <c r="BA439" s="324" t="e">
        <f>IF($J439="",#N/A,SUM(AY$4:AY439,AW$4:AW439,AU$4:AU439))</f>
        <v>#N/A</v>
      </c>
      <c r="BB439" s="310" t="str">
        <f t="shared" si="690"/>
        <v/>
      </c>
      <c r="BC439" s="322" t="e">
        <f>IF($J439="",#N/A,SUM(BB$4:BB439))</f>
        <v>#N/A</v>
      </c>
      <c r="BD439" s="323" t="str">
        <f t="shared" si="691"/>
        <v/>
      </c>
      <c r="BE439" s="323" t="e">
        <f>IF($J439="",#N/A,SUM(BD$4:BD439))</f>
        <v>#N/A</v>
      </c>
      <c r="BF439" s="324" t="str">
        <f t="shared" si="692"/>
        <v/>
      </c>
      <c r="BG439" s="324" t="e">
        <f>IF($J439="",#N/A,SUM(BF$4:BF439))</f>
        <v>#N/A</v>
      </c>
      <c r="BH439" s="324" t="e">
        <f>IF($J439="",#N/A,SUM(BF$4:BF439,BD$4:BD439,BB$4:BB439))</f>
        <v>#N/A</v>
      </c>
      <c r="BI439" s="310" t="str">
        <f t="shared" si="693"/>
        <v/>
      </c>
      <c r="BJ439" s="322" t="e">
        <f>IF($J439="",#N/A,SUM(BI$4:BI439))</f>
        <v>#N/A</v>
      </c>
      <c r="BK439" s="323" t="str">
        <f t="shared" si="694"/>
        <v/>
      </c>
      <c r="BL439" s="323" t="e">
        <f>IF($J439="",#N/A,SUM(BK$4:BK439))</f>
        <v>#N/A</v>
      </c>
      <c r="BM439" s="324" t="str">
        <f t="shared" si="695"/>
        <v/>
      </c>
      <c r="BN439" s="324" t="e">
        <f>IF($J439="",#N/A,SUM(BM$4:BM439))</f>
        <v>#N/A</v>
      </c>
      <c r="BO439" s="324" t="e">
        <f>IF($J439="",#N/A,SUM(BM$4:BM439,BK$4:BK439,BI$4:BI439))</f>
        <v>#N/A</v>
      </c>
      <c r="BP439" s="310" t="str">
        <f t="shared" si="696"/>
        <v/>
      </c>
      <c r="BQ439" s="322" t="e">
        <f>IF($J439="",#N/A,SUM(BP$4:BP439))</f>
        <v>#N/A</v>
      </c>
      <c r="BR439" s="323" t="str">
        <f t="shared" si="697"/>
        <v/>
      </c>
      <c r="BS439" s="323" t="e">
        <f>IF($J439="",#N/A,SUM(BR$4:BR439))</f>
        <v>#N/A</v>
      </c>
      <c r="BT439" s="324" t="str">
        <f t="shared" si="698"/>
        <v/>
      </c>
      <c r="BU439" s="324" t="e">
        <f>IF($J439="",#N/A,SUM(BT$4:BT439))</f>
        <v>#N/A</v>
      </c>
      <c r="BV439" s="324" t="e">
        <f>IF($J439="",#N/A,SUM(BT$4:BT439,BR$4:BR439,BP$4:BP439))</f>
        <v>#N/A</v>
      </c>
      <c r="BW439" s="310" t="str">
        <f t="shared" si="699"/>
        <v/>
      </c>
      <c r="BX439" s="322" t="e">
        <f>IF($J439="",#N/A,SUM(BW$4:BW439))</f>
        <v>#N/A</v>
      </c>
      <c r="BY439" s="323" t="str">
        <f t="shared" si="700"/>
        <v/>
      </c>
      <c r="BZ439" s="323" t="e">
        <f>IF($J439="",#N/A,SUM(BY$4:BY439))</f>
        <v>#N/A</v>
      </c>
      <c r="CA439" s="324">
        <f t="shared" si="701"/>
        <v>-2.7326972886134886</v>
      </c>
      <c r="CB439" s="324" t="e">
        <f>IF($J439="",#N/A,SUM(CA$4:CA439))</f>
        <v>#N/A</v>
      </c>
      <c r="CC439" s="324" t="e">
        <f>IF($J439="",#N/A,SUM(CA$4:CA439,BY$4:BY439,BW$4:BW439))</f>
        <v>#N/A</v>
      </c>
      <c r="CD439" s="310" t="str">
        <f t="shared" si="702"/>
        <v/>
      </c>
      <c r="CE439" s="322" t="e">
        <f>IF($J439="",#N/A,SUM(CD$4:CD439))</f>
        <v>#N/A</v>
      </c>
      <c r="CF439" s="323" t="str">
        <f t="shared" si="703"/>
        <v/>
      </c>
      <c r="CG439" s="323" t="e">
        <f>IF($J439="",#N/A,SUM(CF$4:CF439))</f>
        <v>#N/A</v>
      </c>
      <c r="CH439" s="324" t="str">
        <f t="shared" si="704"/>
        <v/>
      </c>
      <c r="CI439" s="324" t="e">
        <f>IF($J439="",#N/A,SUM(CH$4:CH439))</f>
        <v>#N/A</v>
      </c>
      <c r="CJ439" s="324" t="e">
        <f>IF($J439="",#N/A,SUM(CH$4:CH439,CF$4:CF439,CD$4:CD439))</f>
        <v>#N/A</v>
      </c>
      <c r="CK439" s="310" t="str">
        <f t="shared" si="705"/>
        <v/>
      </c>
      <c r="CL439" s="322" t="e">
        <f>IF($J439="",#N/A,SUM(CK$4:CK439))</f>
        <v>#N/A</v>
      </c>
      <c r="CM439" s="323" t="str">
        <f t="shared" si="706"/>
        <v/>
      </c>
      <c r="CN439" s="323" t="e">
        <f>IF($J439="",#N/A,SUM(CM$4:CM439))</f>
        <v>#N/A</v>
      </c>
      <c r="CO439" s="324" t="str">
        <f t="shared" si="707"/>
        <v/>
      </c>
      <c r="CP439" s="324" t="e">
        <f>IF($J439="",#N/A,SUM(CO$4:CO439))</f>
        <v>#N/A</v>
      </c>
      <c r="CQ439" s="324" t="e">
        <f>IF($J439="",#N/A,SUM(CO$4:CO439,CM$4:CM439,CK$4:CK439))</f>
        <v>#N/A</v>
      </c>
      <c r="CR439" s="310" t="str">
        <f t="shared" si="708"/>
        <v/>
      </c>
      <c r="CS439" s="322" t="e">
        <f>IF($J439="",#N/A,SUM(CR$4:CR439))</f>
        <v>#N/A</v>
      </c>
      <c r="CT439" s="323" t="str">
        <f t="shared" si="709"/>
        <v/>
      </c>
      <c r="CU439" s="323" t="e">
        <f>IF($J439="",#N/A,SUM(CT$4:CT439))</f>
        <v>#N/A</v>
      </c>
      <c r="CV439" s="324" t="str">
        <f t="shared" si="710"/>
        <v/>
      </c>
      <c r="CW439" s="324" t="e">
        <f>IF($J439="",#N/A,SUM(CV$4:CV439))</f>
        <v>#N/A</v>
      </c>
      <c r="CX439" s="324" t="e">
        <f>IF($J439="",#N/A,SUM(CV$4:CV439,CT$4:CT439,CR$4:CR439))</f>
        <v>#N/A</v>
      </c>
      <c r="CY439" s="310" t="str">
        <f t="shared" si="711"/>
        <v/>
      </c>
      <c r="CZ439" s="322" t="e">
        <f>IF($J439="",#N/A,SUM(CY$4:CY439))</f>
        <v>#N/A</v>
      </c>
      <c r="DA439" s="323" t="str">
        <f t="shared" si="712"/>
        <v/>
      </c>
      <c r="DB439" s="323" t="e">
        <f>IF($J439="",#N/A,SUM(DA$4:DA439))</f>
        <v>#N/A</v>
      </c>
      <c r="DC439" s="324" t="str">
        <f t="shared" si="713"/>
        <v/>
      </c>
      <c r="DD439" s="324" t="e">
        <f>IF($J439="",#N/A,SUM(DC$4:DC439))</f>
        <v>#N/A</v>
      </c>
      <c r="DE439" s="324" t="e">
        <f>IF($J439="",#N/A,SUM(DC$4:DC439,DA$4:DA439,CY$4:CY439))</f>
        <v>#N/A</v>
      </c>
      <c r="DF439" s="310" t="str">
        <f t="shared" si="714"/>
        <v/>
      </c>
      <c r="DG439" s="322" t="e">
        <f>IF($J439="",#N/A,SUM(DF$4:DF439))</f>
        <v>#N/A</v>
      </c>
      <c r="DH439" s="323" t="str">
        <f t="shared" si="715"/>
        <v/>
      </c>
      <c r="DI439" s="323" t="e">
        <f>IF($J439="",#N/A,SUM(DH$4:DH439))</f>
        <v>#N/A</v>
      </c>
      <c r="DJ439" s="324" t="str">
        <f t="shared" si="716"/>
        <v/>
      </c>
      <c r="DK439" s="324" t="e">
        <f>IF($J439="",#N/A,SUM(DJ$4:DJ439))</f>
        <v>#N/A</v>
      </c>
      <c r="DL439" s="324" t="e">
        <f>IF($J439="",#N/A,SUM(DJ$4:DJ439,DH$4:DH439,DF$4:DF439))</f>
        <v>#N/A</v>
      </c>
      <c r="DM439" s="310" t="str">
        <f t="shared" si="717"/>
        <v/>
      </c>
      <c r="DN439" s="322" t="e">
        <f>IF($J439="",#N/A,SUM(DM$4:DM439))</f>
        <v>#N/A</v>
      </c>
      <c r="DO439" s="323" t="str">
        <f t="shared" si="718"/>
        <v/>
      </c>
      <c r="DP439" s="323" t="e">
        <f>IF($J439="",#N/A,SUM(DO$4:DO439))</f>
        <v>#N/A</v>
      </c>
      <c r="DQ439" s="324" t="str">
        <f t="shared" si="719"/>
        <v/>
      </c>
      <c r="DR439" s="324" t="e">
        <f>IF($J439="",#N/A,SUM(DQ$4:DQ439))</f>
        <v>#N/A</v>
      </c>
      <c r="DS439" s="324" t="e">
        <f>IF($J439="",#N/A,SUM(DQ$4:DQ439,DO$4:DO439,DM$4:DM439))</f>
        <v>#N/A</v>
      </c>
      <c r="DT439" s="310" t="str">
        <f t="shared" si="720"/>
        <v/>
      </c>
      <c r="DU439" s="322" t="e">
        <f>IF($J439="",#N/A,SUM(DT$4:DT439))</f>
        <v>#N/A</v>
      </c>
      <c r="DV439" s="323" t="str">
        <f t="shared" si="721"/>
        <v/>
      </c>
      <c r="DW439" s="323" t="e">
        <f>IF($J439="",#N/A,SUM(DV$4:DV439))</f>
        <v>#N/A</v>
      </c>
      <c r="DX439" s="324" t="str">
        <f t="shared" si="722"/>
        <v/>
      </c>
      <c r="DY439" s="324" t="e">
        <f>IF($J439="",#N/A,SUM(DX$4:DX439))</f>
        <v>#N/A</v>
      </c>
      <c r="DZ439" s="324" t="e">
        <f>IF($J439="",#N/A,SUM(DX$4:DX439,DV$4:DV439,DT$4:DT439))</f>
        <v>#N/A</v>
      </c>
      <c r="EA439" s="310" t="str">
        <f t="shared" si="723"/>
        <v/>
      </c>
      <c r="EB439" s="322" t="e">
        <f>IF($J439="",#N/A,SUM(EA$4:EA439))</f>
        <v>#N/A</v>
      </c>
      <c r="EC439" s="323" t="str">
        <f t="shared" si="724"/>
        <v/>
      </c>
      <c r="ED439" s="323" t="e">
        <f>IF($J439="",#N/A,SUM(EC$4:EC439))</f>
        <v>#N/A</v>
      </c>
      <c r="EE439" s="324" t="str">
        <f t="shared" si="725"/>
        <v/>
      </c>
      <c r="EF439" s="324" t="e">
        <f>IF($J439="",#N/A,SUM(EE$4:EE439))</f>
        <v>#N/A</v>
      </c>
      <c r="EG439" s="324" t="e">
        <f>IF($J439="",#N/A,SUM(EE$4:EE439,EC$4:EC439,EA$4:EA439))</f>
        <v>#N/A</v>
      </c>
      <c r="EH439" s="78">
        <f t="shared" si="726"/>
        <v>-166.70000000000005</v>
      </c>
      <c r="EI439" s="77">
        <f>IF(EH439="",#N/A,SUM($EH$4:EH439))</f>
        <v>2418.3023792974127</v>
      </c>
      <c r="EJ439" s="212" t="e">
        <f t="shared" si="727"/>
        <v>#N/A</v>
      </c>
      <c r="EK439" s="77" t="e">
        <f>IF($GZ439="",#N/A,SUM(EJ$4:EJ439))</f>
        <v>#N/A</v>
      </c>
      <c r="EL439" s="255" t="str">
        <f t="shared" si="757"/>
        <v/>
      </c>
      <c r="EM439" s="255" t="e">
        <f>IF(EL439="",NA(),SUM($EL$4:EL439))</f>
        <v>#N/A</v>
      </c>
      <c r="EN439" s="60" t="str">
        <f t="shared" si="728"/>
        <v/>
      </c>
      <c r="EO439" s="255" t="e">
        <f>IF(EN439="",NA(),SUM($EN$4:EN439))</f>
        <v>#N/A</v>
      </c>
      <c r="EP439" s="60" t="str">
        <f t="shared" si="729"/>
        <v/>
      </c>
      <c r="EQ439" s="60" t="e">
        <f>IF(EP439="",NA(),SUM($EP$4:EP439))</f>
        <v>#N/A</v>
      </c>
      <c r="ER439" s="60" t="str">
        <f t="shared" si="730"/>
        <v/>
      </c>
      <c r="ES439" s="60" t="e">
        <f>IF(ER439="",NA(),SUM($ER$4:ER439))</f>
        <v>#N/A</v>
      </c>
      <c r="ET439" s="255">
        <f t="shared" si="731"/>
        <v>-2.7326972886134886</v>
      </c>
      <c r="EU439" s="255">
        <f>IF(ET439="",NA(),SUM($ET$4:ET439))</f>
        <v>41.874323905109918</v>
      </c>
      <c r="EV439" s="60" t="str">
        <f t="shared" si="732"/>
        <v/>
      </c>
      <c r="EW439" s="60" t="e">
        <f>IF(EV439="",NA(),SUM($EV$4:EV439))</f>
        <v>#N/A</v>
      </c>
      <c r="EX439" s="60">
        <f t="shared" si="733"/>
        <v>-2.7326972886134886</v>
      </c>
      <c r="EY439" s="60">
        <f>IF(EX439="",NA(),SUM($EX$4:EX439))</f>
        <v>9.5521263134863688</v>
      </c>
      <c r="EZ439" s="60" t="str">
        <f t="shared" si="734"/>
        <v/>
      </c>
      <c r="FA439" s="60" t="e">
        <f>IF(EZ439="",NA(),SUM($EZ$4:EZ439))</f>
        <v>#N/A</v>
      </c>
      <c r="FB439" s="272" t="str">
        <f t="shared" si="758"/>
        <v/>
      </c>
      <c r="FC439" s="272" t="e">
        <f>IF($FB439="",#N/A,SUM(FB$4:$FB439))</f>
        <v>#N/A</v>
      </c>
      <c r="FD439" s="255" t="str">
        <f t="shared" si="735"/>
        <v/>
      </c>
      <c r="FE439" s="255" t="e">
        <f>IF($FD439="",#N/A,SUM($FD$4:FD439))</f>
        <v>#N/A</v>
      </c>
      <c r="FF439" s="255" t="str">
        <f t="shared" si="736"/>
        <v/>
      </c>
      <c r="FG439" s="255" t="e">
        <f>IF($FF439="",#N/A,SUM($FF$4:FF439))</f>
        <v>#N/A</v>
      </c>
      <c r="FH439" s="255" t="str">
        <f t="shared" si="737"/>
        <v/>
      </c>
      <c r="FI439" s="255" t="e">
        <f>IF($FH439="",#N/A,SUM($FH$4:FH439))</f>
        <v>#N/A</v>
      </c>
      <c r="FJ439" s="255" t="str">
        <f t="shared" si="738"/>
        <v/>
      </c>
      <c r="FK439" s="255" t="e">
        <f>IF($FJ439="",#N/A,SUM($FJ$4:FJ439))</f>
        <v>#N/A</v>
      </c>
      <c r="FL439" s="255">
        <f t="shared" si="739"/>
        <v>-0.11147175502442686</v>
      </c>
      <c r="FM439" s="255">
        <f>IF($FL439="",#N/A,SUM($FL$4:FL439))</f>
        <v>-2.4552803392521811</v>
      </c>
      <c r="FN439" s="81">
        <f t="shared" si="740"/>
        <v>-2.8441690436379155</v>
      </c>
      <c r="FO439" s="81">
        <f>IF($FN439="",#N/A,SUM(FN$4:$FN439))</f>
        <v>48.863279547884218</v>
      </c>
      <c r="FP439" s="81">
        <f t="shared" si="759"/>
        <v>-2.7326972886134886</v>
      </c>
      <c r="FQ439" s="272">
        <f>IF($EH439="",#N/A,SUM($FP$4:FP439))</f>
        <v>66.963995550624759</v>
      </c>
      <c r="FR439" s="81">
        <f>IFERROR(FQ439/COUNTA($J$4:J439),#N/A)</f>
        <v>0.15358714575831367</v>
      </c>
      <c r="FS439" s="81">
        <f t="shared" si="661"/>
        <v>0.34177613976578342</v>
      </c>
      <c r="FT439" s="81">
        <f t="shared" si="662"/>
        <v>0.32716298383282122</v>
      </c>
      <c r="FU439" s="337">
        <f t="shared" si="767"/>
        <v>30.44562832256139</v>
      </c>
      <c r="FV439" s="72" t="str">
        <f t="shared" si="765"/>
        <v>SW</v>
      </c>
      <c r="FW439" s="72" t="s">
        <v>2732</v>
      </c>
      <c r="FX439" s="72" t="str">
        <f t="shared" si="741"/>
        <v/>
      </c>
      <c r="FY439" s="72" t="str">
        <f t="shared" si="742"/>
        <v/>
      </c>
      <c r="FZ439" s="72" t="str">
        <f t="shared" si="743"/>
        <v/>
      </c>
      <c r="GA439" s="72" t="str">
        <f t="shared" si="744"/>
        <v>Long</v>
      </c>
      <c r="GB439" s="72" t="str">
        <f t="shared" si="745"/>
        <v/>
      </c>
      <c r="GC439" s="72" t="str">
        <f t="shared" si="746"/>
        <v/>
      </c>
      <c r="GD439" s="72">
        <f t="shared" si="747"/>
        <v>1</v>
      </c>
      <c r="GE439" s="76">
        <f t="shared" si="664"/>
        <v>101.67</v>
      </c>
      <c r="GF439" s="76" t="s">
        <v>2779</v>
      </c>
      <c r="GG439" s="203">
        <v>10</v>
      </c>
      <c r="GH439" s="209">
        <f t="shared" si="748"/>
        <v>1016.7</v>
      </c>
      <c r="GI439" s="203">
        <v>10</v>
      </c>
      <c r="GJ439" s="204">
        <v>88.68</v>
      </c>
      <c r="GK439" s="77">
        <f t="shared" si="749"/>
        <v>-129.89999999999998</v>
      </c>
      <c r="GL439" s="77">
        <f t="shared" si="665"/>
        <v>-173.50000000000011</v>
      </c>
      <c r="GM439" s="81">
        <f t="shared" si="750"/>
        <v>-2.8441690436379155</v>
      </c>
      <c r="GN439" s="81">
        <f>IF($GZ439="",#N/A,SUM(GM$4:GM439))</f>
        <v>5.5346228541562414</v>
      </c>
      <c r="GO439" s="81" t="str">
        <f t="shared" si="751"/>
        <v/>
      </c>
      <c r="GP439" s="81">
        <f>IF($GZ439="",#N/A,SUM(GO$4:GO439))</f>
        <v>4.2788408366274897</v>
      </c>
      <c r="GQ439" s="81" t="str">
        <f t="shared" si="752"/>
        <v/>
      </c>
      <c r="GR439" s="81">
        <f>IF($GZ439="",#N/A,SUM(GQ$4:GQ439))</f>
        <v>38.423978902658163</v>
      </c>
      <c r="GS439" s="77" t="e">
        <f t="shared" si="760"/>
        <v>#N/A</v>
      </c>
      <c r="GT439" s="77" t="e">
        <f>IF($GZ439="",#N/A,SUM(GS$4:GS439))</f>
        <v>#N/A</v>
      </c>
      <c r="GU439" s="77" t="str">
        <f t="shared" si="761"/>
        <v/>
      </c>
      <c r="GV439" s="77" t="e">
        <f>IF($GZ439="",#N/A,SUM(GU$4:GU439))</f>
        <v>#N/A</v>
      </c>
      <c r="GW439" s="77" t="str">
        <f t="shared" si="762"/>
        <v/>
      </c>
      <c r="GX439" s="77" t="e">
        <f>IF($GZ439="",#N/A,SUM(GW$4:GW439))</f>
        <v>#N/A</v>
      </c>
      <c r="GY439" s="77" t="e">
        <f>IF(EJ439="",#N/A,SUM($EJ$4:EJ439))</f>
        <v>#N/A</v>
      </c>
      <c r="GZ439" s="161">
        <v>84.32</v>
      </c>
      <c r="HA439" s="77">
        <f t="shared" si="753"/>
        <v>-6.8000000000000682</v>
      </c>
      <c r="HB439" s="76" t="s">
        <v>4734</v>
      </c>
      <c r="HC439" s="255">
        <f>IFERROR(VLOOKUP(E439,Expectancy!$P$4:$S$19,1+C439,FALSE),"")</f>
        <v>-0.15084750675779673</v>
      </c>
      <c r="HD439" s="81">
        <f t="shared" si="754"/>
        <v>-2.1294383790695384</v>
      </c>
      <c r="HE439" s="136">
        <f>IF(HD439="",#N/A,SUM($HD$4:HD439))</f>
        <v>21.988367228063364</v>
      </c>
      <c r="HF439" s="84">
        <f>IF(HD439="",#N/A,IF(HB439="Skip",#N/A,SUM($HG$4:HG439)))</f>
        <v>1236.0835792191565</v>
      </c>
      <c r="HG439" s="77">
        <f t="shared" si="755"/>
        <v>-129.89999999999998</v>
      </c>
      <c r="HH439" s="82">
        <f t="shared" si="766"/>
        <v>-2.8441690436379155</v>
      </c>
    </row>
    <row r="440" spans="1:216" x14ac:dyDescent="0.25">
      <c r="A440" s="57" t="s">
        <v>1104</v>
      </c>
      <c r="B440" s="58" t="str" cm="1">
        <f t="array" ref="B440">IFERROR(_xlfn.XLOOKUP(A440,Earnings!$B$2:$B$9985,LEFT(Earnings!$C$2:$C$9985,37)),"Can't Find Date***")</f>
        <v>on 3/12/25 Before Market Eastern Stan</v>
      </c>
      <c r="C440" s="386">
        <f t="shared" si="667"/>
        <v>3</v>
      </c>
      <c r="D440" s="372" t="str">
        <f>_xlfn.XLOOKUP(A440,[1]SP500!$A$2:$A$502,[1]SP500!$D$2:$D$502,"N")</f>
        <v>Y</v>
      </c>
      <c r="E440" s="57" t="str">
        <f>_xlfn.XLOOKUP(A440,[1]SP500!$A$2:$A$655,[1]SP500!$B$2:$B$655)</f>
        <v>XLY</v>
      </c>
      <c r="F440" s="59">
        <v>45735</v>
      </c>
      <c r="G440" s="57" t="str">
        <f t="shared" si="668"/>
        <v>BMO</v>
      </c>
      <c r="H440" s="57" t="str">
        <f t="shared" si="669"/>
        <v>s</v>
      </c>
      <c r="I440" s="158">
        <v>172.28</v>
      </c>
      <c r="J440" s="159">
        <v>157.80000000000001</v>
      </c>
      <c r="K440" s="61">
        <f t="shared" si="670"/>
        <v>-8.404922219642437E-2</v>
      </c>
      <c r="L440" s="87">
        <f t="shared" si="671"/>
        <v>-86.88</v>
      </c>
      <c r="M440" s="130">
        <f t="shared" si="663"/>
        <v>-12</v>
      </c>
      <c r="N440" s="169" t="str">
        <f t="shared" si="672"/>
        <v/>
      </c>
      <c r="O440" s="169">
        <f>IF($J440="",#N/A,SUM($N$4:N440))</f>
        <v>-328.04225475891064</v>
      </c>
      <c r="P440" s="174" t="str">
        <f t="shared" si="673"/>
        <v/>
      </c>
      <c r="Q440" s="174">
        <f>IF($J440="",#N/A,SUM($P$4:P440))</f>
        <v>1797.5954616610145</v>
      </c>
      <c r="R440" s="178">
        <f t="shared" si="674"/>
        <v>-86.88</v>
      </c>
      <c r="S440" s="178">
        <f>IF($J440="",#N/A,SUM($R$4:R440))</f>
        <v>861.86917239530942</v>
      </c>
      <c r="T440" s="290" t="str">
        <f t="shared" si="675"/>
        <v/>
      </c>
      <c r="U440" s="290">
        <f>IF($J440="",#N/A,SUM($T$4:T440))</f>
        <v>10.009379462148743</v>
      </c>
      <c r="V440" s="291" t="str">
        <f t="shared" si="676"/>
        <v/>
      </c>
      <c r="W440" s="291">
        <f>IF($J440="",#N/A,SUM($V$4:V440))</f>
        <v>40.674507204934351</v>
      </c>
      <c r="X440" s="292">
        <f t="shared" si="677"/>
        <v>-1.4008203699404069</v>
      </c>
      <c r="Y440" s="292">
        <f>IF($J440="",#N/A,SUM($X$4:X440))</f>
        <v>14.879288513601237</v>
      </c>
      <c r="Z440" s="304" t="str">
        <f t="shared" si="678"/>
        <v/>
      </c>
      <c r="AA440" s="313" t="e">
        <f>IF($J440="",#N/A,SUM(Z$4:Z440))</f>
        <v>#N/A</v>
      </c>
      <c r="AB440" s="314" t="str">
        <f t="shared" si="679"/>
        <v/>
      </c>
      <c r="AC440" s="314" t="e">
        <f>IF($J440="",#N/A,SUM(AB$4:AB440))</f>
        <v>#N/A</v>
      </c>
      <c r="AD440" s="315" t="str">
        <f t="shared" si="680"/>
        <v/>
      </c>
      <c r="AE440" s="315" t="e">
        <f>IF($J440="",#N/A,SUM(AD$4:AD440))</f>
        <v>#N/A</v>
      </c>
      <c r="AF440" s="315" t="e">
        <f>IF($J440="",#N/A,SUM(AD$4:AD440,AB$4:AB440,Z$4:Z440))</f>
        <v>#N/A</v>
      </c>
      <c r="AG440" s="304" t="str">
        <f t="shared" si="681"/>
        <v/>
      </c>
      <c r="AH440" s="313" t="e">
        <f>IF($J440="",#N/A,SUM(AG$4:AG440))</f>
        <v>#N/A</v>
      </c>
      <c r="AI440" s="314" t="str">
        <f t="shared" si="682"/>
        <v/>
      </c>
      <c r="AJ440" s="314" t="e">
        <f>IF($J440="",#N/A,SUM(AI$4:AI440))</f>
        <v>#N/A</v>
      </c>
      <c r="AK440" s="315" t="str">
        <f t="shared" si="683"/>
        <v/>
      </c>
      <c r="AL440" s="315" t="e">
        <f>IF($J440="",#N/A,SUM(AK$4:AK440))</f>
        <v>#N/A</v>
      </c>
      <c r="AM440" s="315" t="e">
        <f>IF($J440="",#N/A,SUM(AK$4:AK440,AI$4:AI440,AG$4:AG440))</f>
        <v>#N/A</v>
      </c>
      <c r="AN440" s="304" t="str">
        <f t="shared" si="684"/>
        <v/>
      </c>
      <c r="AO440" s="313" t="e">
        <f>IF($J440="",#N/A,SUM(AN$4:AN440))</f>
        <v>#N/A</v>
      </c>
      <c r="AP440" s="314" t="str">
        <f t="shared" si="685"/>
        <v/>
      </c>
      <c r="AQ440" s="314" t="e">
        <f>IF($J440="",#N/A,SUM(AP$4:AP440))</f>
        <v>#N/A</v>
      </c>
      <c r="AR440" s="315">
        <f t="shared" si="686"/>
        <v>-1.4008203699404069</v>
      </c>
      <c r="AS440" s="315" t="e">
        <f>IF($J440="",#N/A,SUM(AR$4:AR440))</f>
        <v>#N/A</v>
      </c>
      <c r="AT440" s="315" t="e">
        <f>IF($J440="",#N/A,SUM(AR$4:AR440,AP$4:AP440,AN$4:AN440))</f>
        <v>#N/A</v>
      </c>
      <c r="AU440" s="304" t="str">
        <f t="shared" si="687"/>
        <v/>
      </c>
      <c r="AV440" s="313" t="e">
        <f>IF($J440="",#N/A,SUM(AU$4:AU440))</f>
        <v>#N/A</v>
      </c>
      <c r="AW440" s="314" t="str">
        <f t="shared" si="688"/>
        <v/>
      </c>
      <c r="AX440" s="314" t="e">
        <f>IF($J440="",#N/A,SUM(AW$4:AW440))</f>
        <v>#N/A</v>
      </c>
      <c r="AY440" s="315" t="str">
        <f t="shared" si="689"/>
        <v/>
      </c>
      <c r="AZ440" s="315" t="e">
        <f>IF($J440="",#N/A,SUM(AY$4:AY440))</f>
        <v>#N/A</v>
      </c>
      <c r="BA440" s="315" t="e">
        <f>IF($J440="",#N/A,SUM(AY$4:AY440,AW$4:AW440,AU$4:AU440))</f>
        <v>#N/A</v>
      </c>
      <c r="BB440" s="304" t="str">
        <f t="shared" si="690"/>
        <v/>
      </c>
      <c r="BC440" s="313" t="e">
        <f>IF($J440="",#N/A,SUM(BB$4:BB440))</f>
        <v>#N/A</v>
      </c>
      <c r="BD440" s="314" t="str">
        <f t="shared" si="691"/>
        <v/>
      </c>
      <c r="BE440" s="314" t="e">
        <f>IF($J440="",#N/A,SUM(BD$4:BD440))</f>
        <v>#N/A</v>
      </c>
      <c r="BF440" s="315" t="str">
        <f t="shared" si="692"/>
        <v/>
      </c>
      <c r="BG440" s="315" t="e">
        <f>IF($J440="",#N/A,SUM(BF$4:BF440))</f>
        <v>#N/A</v>
      </c>
      <c r="BH440" s="315" t="e">
        <f>IF($J440="",#N/A,SUM(BF$4:BF440,BD$4:BD440,BB$4:BB440))</f>
        <v>#N/A</v>
      </c>
      <c r="BI440" s="304" t="str">
        <f t="shared" si="693"/>
        <v/>
      </c>
      <c r="BJ440" s="313" t="e">
        <f>IF($J440="",#N/A,SUM(BI$4:BI440))</f>
        <v>#N/A</v>
      </c>
      <c r="BK440" s="314" t="str">
        <f t="shared" si="694"/>
        <v/>
      </c>
      <c r="BL440" s="314" t="e">
        <f>IF($J440="",#N/A,SUM(BK$4:BK440))</f>
        <v>#N/A</v>
      </c>
      <c r="BM440" s="315" t="str">
        <f t="shared" si="695"/>
        <v/>
      </c>
      <c r="BN440" s="315" t="e">
        <f>IF($J440="",#N/A,SUM(BM$4:BM440))</f>
        <v>#N/A</v>
      </c>
      <c r="BO440" s="315" t="e">
        <f>IF($J440="",#N/A,SUM(BM$4:BM440,BK$4:BK440,BI$4:BI440))</f>
        <v>#N/A</v>
      </c>
      <c r="BP440" s="304" t="str">
        <f t="shared" si="696"/>
        <v/>
      </c>
      <c r="BQ440" s="313" t="e">
        <f>IF($J440="",#N/A,SUM(BP$4:BP440))</f>
        <v>#N/A</v>
      </c>
      <c r="BR440" s="314" t="str">
        <f t="shared" si="697"/>
        <v/>
      </c>
      <c r="BS440" s="314" t="e">
        <f>IF($J440="",#N/A,SUM(BR$4:BR440))</f>
        <v>#N/A</v>
      </c>
      <c r="BT440" s="315" t="str">
        <f t="shared" si="698"/>
        <v/>
      </c>
      <c r="BU440" s="315" t="e">
        <f>IF($J440="",#N/A,SUM(BT$4:BT440))</f>
        <v>#N/A</v>
      </c>
      <c r="BV440" s="315" t="e">
        <f>IF($J440="",#N/A,SUM(BT$4:BT440,BR$4:BR440,BP$4:BP440))</f>
        <v>#N/A</v>
      </c>
      <c r="BW440" s="304" t="str">
        <f t="shared" si="699"/>
        <v/>
      </c>
      <c r="BX440" s="313" t="e">
        <f>IF($J440="",#N/A,SUM(BW$4:BW440))</f>
        <v>#N/A</v>
      </c>
      <c r="BY440" s="314" t="str">
        <f t="shared" si="700"/>
        <v/>
      </c>
      <c r="BZ440" s="314" t="e">
        <f>IF($J440="",#N/A,SUM(BY$4:BY440))</f>
        <v>#N/A</v>
      </c>
      <c r="CA440" s="315" t="str">
        <f t="shared" si="701"/>
        <v/>
      </c>
      <c r="CB440" s="315" t="e">
        <f>IF($J440="",#N/A,SUM(CA$4:CA440))</f>
        <v>#N/A</v>
      </c>
      <c r="CC440" s="315" t="e">
        <f>IF($J440="",#N/A,SUM(CA$4:CA440,BY$4:BY440,BW$4:BW440))</f>
        <v>#N/A</v>
      </c>
      <c r="CD440" s="304" t="str">
        <f t="shared" si="702"/>
        <v/>
      </c>
      <c r="CE440" s="313" t="e">
        <f>IF($J440="",#N/A,SUM(CD$4:CD440))</f>
        <v>#N/A</v>
      </c>
      <c r="CF440" s="314" t="str">
        <f t="shared" si="703"/>
        <v/>
      </c>
      <c r="CG440" s="314" t="e">
        <f>IF($J440="",#N/A,SUM(CF$4:CF440))</f>
        <v>#N/A</v>
      </c>
      <c r="CH440" s="315" t="str">
        <f t="shared" si="704"/>
        <v/>
      </c>
      <c r="CI440" s="315" t="e">
        <f>IF($J440="",#N/A,SUM(CH$4:CH440))</f>
        <v>#N/A</v>
      </c>
      <c r="CJ440" s="315" t="e">
        <f>IF($J440="",#N/A,SUM(CH$4:CH440,CF$4:CF440,CD$4:CD440))</f>
        <v>#N/A</v>
      </c>
      <c r="CK440" s="304" t="str">
        <f t="shared" si="705"/>
        <v/>
      </c>
      <c r="CL440" s="313" t="e">
        <f>IF($J440="",#N/A,SUM(CK$4:CK440))</f>
        <v>#N/A</v>
      </c>
      <c r="CM440" s="314" t="str">
        <f t="shared" si="706"/>
        <v/>
      </c>
      <c r="CN440" s="314" t="e">
        <f>IF($J440="",#N/A,SUM(CM$4:CM440))</f>
        <v>#N/A</v>
      </c>
      <c r="CO440" s="315" t="str">
        <f t="shared" si="707"/>
        <v/>
      </c>
      <c r="CP440" s="315" t="e">
        <f>IF($J440="",#N/A,SUM(CO$4:CO440))</f>
        <v>#N/A</v>
      </c>
      <c r="CQ440" s="315" t="e">
        <f>IF($J440="",#N/A,SUM(CO$4:CO440,CM$4:CM440,CK$4:CK440))</f>
        <v>#N/A</v>
      </c>
      <c r="CR440" s="304" t="str">
        <f t="shared" si="708"/>
        <v/>
      </c>
      <c r="CS440" s="313" t="e">
        <f>IF($J440="",#N/A,SUM(CR$4:CR440))</f>
        <v>#N/A</v>
      </c>
      <c r="CT440" s="314" t="str">
        <f t="shared" si="709"/>
        <v/>
      </c>
      <c r="CU440" s="314" t="e">
        <f>IF($J440="",#N/A,SUM(CT$4:CT440))</f>
        <v>#N/A</v>
      </c>
      <c r="CV440" s="315" t="str">
        <f t="shared" si="710"/>
        <v/>
      </c>
      <c r="CW440" s="315" t="e">
        <f>IF($J440="",#N/A,SUM(CV$4:CV440))</f>
        <v>#N/A</v>
      </c>
      <c r="CX440" s="315" t="e">
        <f>IF($J440="",#N/A,SUM(CV$4:CV440,CT$4:CT440,CR$4:CR440))</f>
        <v>#N/A</v>
      </c>
      <c r="CY440" s="304" t="str">
        <f t="shared" si="711"/>
        <v/>
      </c>
      <c r="CZ440" s="313" t="e">
        <f>IF($J440="",#N/A,SUM(CY$4:CY440))</f>
        <v>#N/A</v>
      </c>
      <c r="DA440" s="314" t="str">
        <f t="shared" si="712"/>
        <v/>
      </c>
      <c r="DB440" s="314" t="e">
        <f>IF($J440="",#N/A,SUM(DA$4:DA440))</f>
        <v>#N/A</v>
      </c>
      <c r="DC440" s="315" t="str">
        <f t="shared" si="713"/>
        <v/>
      </c>
      <c r="DD440" s="315" t="e">
        <f>IF($J440="",#N/A,SUM(DC$4:DC440))</f>
        <v>#N/A</v>
      </c>
      <c r="DE440" s="315" t="e">
        <f>IF($J440="",#N/A,SUM(DC$4:DC440,DA$4:DA440,CY$4:CY440))</f>
        <v>#N/A</v>
      </c>
      <c r="DF440" s="304" t="str">
        <f t="shared" si="714"/>
        <v/>
      </c>
      <c r="DG440" s="313" t="e">
        <f>IF($J440="",#N/A,SUM(DF$4:DF440))</f>
        <v>#N/A</v>
      </c>
      <c r="DH440" s="314" t="str">
        <f t="shared" si="715"/>
        <v/>
      </c>
      <c r="DI440" s="314" t="e">
        <f>IF($J440="",#N/A,SUM(DH$4:DH440))</f>
        <v>#N/A</v>
      </c>
      <c r="DJ440" s="315" t="str">
        <f t="shared" si="716"/>
        <v/>
      </c>
      <c r="DK440" s="315" t="e">
        <f>IF($J440="",#N/A,SUM(DJ$4:DJ440))</f>
        <v>#N/A</v>
      </c>
      <c r="DL440" s="315" t="e">
        <f>IF($J440="",#N/A,SUM(DJ$4:DJ440,DH$4:DH440,DF$4:DF440))</f>
        <v>#N/A</v>
      </c>
      <c r="DM440" s="304" t="str">
        <f t="shared" si="717"/>
        <v/>
      </c>
      <c r="DN440" s="313" t="e">
        <f>IF($J440="",#N/A,SUM(DM$4:DM440))</f>
        <v>#N/A</v>
      </c>
      <c r="DO440" s="314" t="str">
        <f t="shared" si="718"/>
        <v/>
      </c>
      <c r="DP440" s="314" t="e">
        <f>IF($J440="",#N/A,SUM(DO$4:DO440))</f>
        <v>#N/A</v>
      </c>
      <c r="DQ440" s="315" t="str">
        <f t="shared" si="719"/>
        <v/>
      </c>
      <c r="DR440" s="315" t="e">
        <f>IF($J440="",#N/A,SUM(DQ$4:DQ440))</f>
        <v>#N/A</v>
      </c>
      <c r="DS440" s="315" t="e">
        <f>IF($J440="",#N/A,SUM(DQ$4:DQ440,DO$4:DO440,DM$4:DM440))</f>
        <v>#N/A</v>
      </c>
      <c r="DT440" s="304" t="str">
        <f t="shared" si="720"/>
        <v/>
      </c>
      <c r="DU440" s="313" t="e">
        <f>IF($J440="",#N/A,SUM(DT$4:DT440))</f>
        <v>#N/A</v>
      </c>
      <c r="DV440" s="314" t="str">
        <f t="shared" si="721"/>
        <v/>
      </c>
      <c r="DW440" s="314" t="e">
        <f>IF($J440="",#N/A,SUM(DV$4:DV440))</f>
        <v>#N/A</v>
      </c>
      <c r="DX440" s="315" t="str">
        <f t="shared" si="722"/>
        <v/>
      </c>
      <c r="DY440" s="315" t="e">
        <f>IF($J440="",#N/A,SUM(DX$4:DX440))</f>
        <v>#N/A</v>
      </c>
      <c r="DZ440" s="315" t="e">
        <f>IF($J440="",#N/A,SUM(DX$4:DX440,DV$4:DV440,DT$4:DT440))</f>
        <v>#N/A</v>
      </c>
      <c r="EA440" s="304" t="str">
        <f t="shared" si="723"/>
        <v/>
      </c>
      <c r="EB440" s="313" t="e">
        <f>IF($J440="",#N/A,SUM(EA$4:EA440))</f>
        <v>#N/A</v>
      </c>
      <c r="EC440" s="314" t="str">
        <f t="shared" si="724"/>
        <v/>
      </c>
      <c r="ED440" s="314" t="e">
        <f>IF($J440="",#N/A,SUM(EC$4:EC440))</f>
        <v>#N/A</v>
      </c>
      <c r="EE440" s="315" t="str">
        <f t="shared" si="725"/>
        <v/>
      </c>
      <c r="EF440" s="315" t="e">
        <f>IF($J440="",#N/A,SUM(EE$4:EE440))</f>
        <v>#N/A</v>
      </c>
      <c r="EG440" s="315" t="e">
        <f>IF($J440="",#N/A,SUM(EE$4:EE440,EC$4:EC440,EA$4:EA440))</f>
        <v>#N/A</v>
      </c>
      <c r="EH440" s="130">
        <f t="shared" si="726"/>
        <v>-86.88</v>
      </c>
      <c r="EI440" s="63">
        <f>IF(EH440="",#N/A,SUM($EH$4:EH440))</f>
        <v>2331.4223792974126</v>
      </c>
      <c r="EJ440" s="223" t="e">
        <f t="shared" si="727"/>
        <v>#N/A</v>
      </c>
      <c r="EK440" s="63" t="e">
        <f>IF($GZ440="",#N/A,SUM(EJ$4:EJ440))</f>
        <v>#N/A</v>
      </c>
      <c r="EL440" s="60">
        <f t="shared" si="757"/>
        <v>-1.4008203699404069</v>
      </c>
      <c r="EM440" s="60">
        <f>IF(EL440="",NA(),SUM($EL$4:EL440))</f>
        <v>23.688851275574415</v>
      </c>
      <c r="EN440" s="60" t="str">
        <f t="shared" si="728"/>
        <v/>
      </c>
      <c r="EO440" s="60" t="e">
        <f>IF(EN440="",NA(),SUM($EN$4:EN440))</f>
        <v>#N/A</v>
      </c>
      <c r="EP440" s="60">
        <f t="shared" si="729"/>
        <v>-1.4008203699404069</v>
      </c>
      <c r="EQ440" s="60">
        <f>IF(EP440="",NA(),SUM($EP$4:EP440))</f>
        <v>5.327162200114862</v>
      </c>
      <c r="ER440" s="60" t="str">
        <f t="shared" si="730"/>
        <v/>
      </c>
      <c r="ES440" s="60" t="e">
        <f>IF(ER440="",NA(),SUM($ER$4:ER440))</f>
        <v>#N/A</v>
      </c>
      <c r="ET440" s="60" t="str">
        <f t="shared" si="731"/>
        <v/>
      </c>
      <c r="EU440" s="60" t="e">
        <f>IF(ET440="",NA(),SUM($ET$4:ET440))</f>
        <v>#N/A</v>
      </c>
      <c r="EV440" s="60" t="str">
        <f t="shared" si="732"/>
        <v/>
      </c>
      <c r="EW440" s="60" t="e">
        <f>IF(EV440="",NA(),SUM($EV$4:EV440))</f>
        <v>#N/A</v>
      </c>
      <c r="EX440" s="60" t="str">
        <f t="shared" si="733"/>
        <v/>
      </c>
      <c r="EY440" s="60" t="e">
        <f>IF(EX440="",NA(),SUM($EX$4:EX440))</f>
        <v>#N/A</v>
      </c>
      <c r="EZ440" s="60" t="str">
        <f t="shared" si="734"/>
        <v/>
      </c>
      <c r="FA440" s="60" t="e">
        <f>IF(EZ440="",NA(),SUM($EZ$4:EZ440))</f>
        <v>#N/A</v>
      </c>
      <c r="FB440" s="246" t="str">
        <f t="shared" si="758"/>
        <v/>
      </c>
      <c r="FC440" s="246" t="e">
        <f>IF($FB440="",#N/A,SUM(FB$4:$FB440))</f>
        <v>#N/A</v>
      </c>
      <c r="FD440" s="60" t="str">
        <f t="shared" si="735"/>
        <v/>
      </c>
      <c r="FE440" s="60" t="e">
        <f>IF($FD440="",#N/A,SUM($FD$4:FD440))</f>
        <v>#N/A</v>
      </c>
      <c r="FF440" s="60" t="str">
        <f t="shared" si="736"/>
        <v/>
      </c>
      <c r="FG440" s="60" t="e">
        <f>IF($FF440="",#N/A,SUM($FF$4:FF440))</f>
        <v>#N/A</v>
      </c>
      <c r="FH440" s="60" t="str">
        <f t="shared" si="737"/>
        <v/>
      </c>
      <c r="FI440" s="60" t="e">
        <f>IF($FH440="",#N/A,SUM($FH$4:FH440))</f>
        <v>#N/A</v>
      </c>
      <c r="FJ440" s="60" t="str">
        <f t="shared" si="738"/>
        <v/>
      </c>
      <c r="FK440" s="60" t="e">
        <f>IF($FJ440="",#N/A,SUM($FJ$4:FJ440))</f>
        <v>#N/A</v>
      </c>
      <c r="FL440" s="60">
        <f t="shared" si="739"/>
        <v>0.81940252302453442</v>
      </c>
      <c r="FM440" s="60">
        <f>IF($FL440="",#N/A,SUM($FL$4:FL440))</f>
        <v>-1.6358778162276466</v>
      </c>
      <c r="FN440" s="82">
        <f t="shared" si="740"/>
        <v>-0.5814178469158725</v>
      </c>
      <c r="FO440" s="82">
        <f>IF($FN440="",#N/A,SUM(FN$4:$FN440))</f>
        <v>48.281861700968349</v>
      </c>
      <c r="FP440" s="82">
        <f t="shared" si="759"/>
        <v>-1.4008203699404069</v>
      </c>
      <c r="FQ440" s="246">
        <f>IF($EH440="",#N/A,SUM($FP$4:FP440))</f>
        <v>65.563175180684354</v>
      </c>
      <c r="FR440" s="82">
        <f>IFERROR(FQ440/COUNTA($J$4:J440),#N/A)</f>
        <v>0.15003014915488411</v>
      </c>
      <c r="FS440" s="82">
        <f t="shared" si="661"/>
        <v>0.28899782760507053</v>
      </c>
      <c r="FT440" s="82">
        <f t="shared" si="662"/>
        <v>0.25667356430117594</v>
      </c>
      <c r="FU440" s="338">
        <f t="shared" si="767"/>
        <v>30.639111799072502</v>
      </c>
      <c r="FV440" s="57" t="str">
        <f t="shared" si="765"/>
        <v>SW</v>
      </c>
      <c r="FW440" s="57" t="s">
        <v>2732</v>
      </c>
      <c r="FX440" s="57" t="str">
        <f t="shared" si="741"/>
        <v/>
      </c>
      <c r="FY440" s="57" t="str">
        <f t="shared" si="742"/>
        <v/>
      </c>
      <c r="FZ440" s="57" t="str">
        <f t="shared" si="743"/>
        <v/>
      </c>
      <c r="GA440" s="57" t="str">
        <f t="shared" si="744"/>
        <v>Long</v>
      </c>
      <c r="GB440" s="57" t="str">
        <f t="shared" si="745"/>
        <v/>
      </c>
      <c r="GC440" s="57" t="str">
        <f t="shared" si="746"/>
        <v/>
      </c>
      <c r="GD440" s="57">
        <f t="shared" si="747"/>
        <v>1</v>
      </c>
      <c r="GE440" s="62">
        <f t="shared" si="664"/>
        <v>172.28</v>
      </c>
      <c r="GF440" s="62" t="s">
        <v>2779</v>
      </c>
      <c r="GG440" s="203">
        <v>6</v>
      </c>
      <c r="GH440" s="207">
        <f t="shared" si="748"/>
        <v>1033.68</v>
      </c>
      <c r="GI440" s="199">
        <v>6</v>
      </c>
      <c r="GJ440" s="200">
        <v>155.80000000000001</v>
      </c>
      <c r="GK440" s="63">
        <f t="shared" si="749"/>
        <v>-98.88</v>
      </c>
      <c r="GL440" s="63">
        <f t="shared" si="665"/>
        <v>-36.059999999999945</v>
      </c>
      <c r="GM440" s="82">
        <f t="shared" si="750"/>
        <v>-0.5814178469158725</v>
      </c>
      <c r="GN440" s="81">
        <f>IF($GZ440="",#N/A,SUM(GM$4:GM440))</f>
        <v>4.9532050072403688</v>
      </c>
      <c r="GO440" s="81" t="str">
        <f t="shared" si="751"/>
        <v/>
      </c>
      <c r="GP440" s="81">
        <f>IF($GZ440="",#N/A,SUM(GO$4:GO440))</f>
        <v>4.2788408366274897</v>
      </c>
      <c r="GQ440" s="81" t="str">
        <f t="shared" si="752"/>
        <v/>
      </c>
      <c r="GR440" s="81">
        <f>IF($GZ440="",#N/A,SUM(GQ$4:GQ440))</f>
        <v>38.423978902658163</v>
      </c>
      <c r="GS440" s="77" t="e">
        <f t="shared" si="760"/>
        <v>#N/A</v>
      </c>
      <c r="GT440" s="77" t="e">
        <f>IF($GZ440="",#N/A,SUM(GS$4:GS440))</f>
        <v>#N/A</v>
      </c>
      <c r="GU440" s="77" t="str">
        <f t="shared" si="761"/>
        <v/>
      </c>
      <c r="GV440" s="77" t="e">
        <f>IF($GZ440="",#N/A,SUM(GU$4:GU440))</f>
        <v>#N/A</v>
      </c>
      <c r="GW440" s="77" t="str">
        <f t="shared" si="762"/>
        <v/>
      </c>
      <c r="GX440" s="77" t="e">
        <f>IF($GZ440="",#N/A,SUM(GW$4:GW440))</f>
        <v>#N/A</v>
      </c>
      <c r="GY440" s="77" t="e">
        <f>IF(EJ440="",#N/A,SUM($EJ$4:EJ440))</f>
        <v>#N/A</v>
      </c>
      <c r="GZ440" s="161">
        <v>166.27</v>
      </c>
      <c r="HA440" s="77">
        <f t="shared" si="753"/>
        <v>50.82000000000005</v>
      </c>
      <c r="HB440" s="76" t="s">
        <v>2538</v>
      </c>
      <c r="HC440" s="60">
        <f>IFERROR(VLOOKUP(E440,Expectancy!$P$4:$S$19,1+C440,FALSE),"")</f>
        <v>0.48685636958953199</v>
      </c>
      <c r="HD440" s="81">
        <f t="shared" si="754"/>
        <v>-1.5943038464515129</v>
      </c>
      <c r="HE440" s="136">
        <f>IF(HD440="",#N/A,SUM($HD$4:HD440))</f>
        <v>20.394063381611851</v>
      </c>
      <c r="HF440" s="84">
        <f>IF(HD440="",#N/A,IF(HB440="Skip",#N/A,SUM($HG$4:HG440)))</f>
        <v>1137.2035792191564</v>
      </c>
      <c r="HG440" s="77">
        <f t="shared" si="755"/>
        <v>-98.88</v>
      </c>
      <c r="HH440" s="82">
        <f t="shared" si="766"/>
        <v>-0.5814178469158725</v>
      </c>
    </row>
    <row r="441" spans="1:216" x14ac:dyDescent="0.25">
      <c r="A441" s="340" t="s">
        <v>1193</v>
      </c>
      <c r="B441" s="341" t="str" cm="1">
        <f t="array" ref="B441">IFERROR(_xlfn.XLOOKUP(A441,Earnings!$B$2:$B$9985,LEFT(Earnings!$C$2:$C$9985,37)),"Can't Find Date***")</f>
        <v>on 3/19/25 Before Market Eastern Stan</v>
      </c>
      <c r="C441" s="423">
        <f t="shared" si="667"/>
        <v>3</v>
      </c>
      <c r="D441" s="375" t="str">
        <f>_xlfn.XLOOKUP(A441,[1]SP500!$A$2:$A$502,[1]SP500!$D$2:$D$502,"N")</f>
        <v>N</v>
      </c>
      <c r="E441" s="340" t="str">
        <f>_xlfn.XLOOKUP(A441,[1]SP500!$A$2:$A$655,[1]SP500!$B$2:$B$655)</f>
        <v>XLP</v>
      </c>
      <c r="F441" s="342">
        <v>45735</v>
      </c>
      <c r="G441" s="340" t="str">
        <f t="shared" si="668"/>
        <v>BMO</v>
      </c>
      <c r="H441" s="57" t="str">
        <f t="shared" si="669"/>
        <v>s</v>
      </c>
      <c r="I441" s="343">
        <v>99.06</v>
      </c>
      <c r="J441" s="343">
        <v>106.455</v>
      </c>
      <c r="K441" s="344">
        <f t="shared" si="670"/>
        <v>7.4651726226529339E-2</v>
      </c>
      <c r="L441" s="345">
        <f t="shared" si="671"/>
        <v>73.949999999999932</v>
      </c>
      <c r="M441" s="346">
        <f t="shared" si="663"/>
        <v>14.850000000000136</v>
      </c>
      <c r="N441" s="347" t="str">
        <f t="shared" si="672"/>
        <v/>
      </c>
      <c r="O441" s="347">
        <f>IF($J441="",#N/A,SUM($N$4:N441))</f>
        <v>-328.04225475891064</v>
      </c>
      <c r="P441" s="348" t="str">
        <f t="shared" si="673"/>
        <v/>
      </c>
      <c r="Q441" s="348">
        <f>IF($J441="",#N/A,SUM($P$4:P441))</f>
        <v>1797.5954616610145</v>
      </c>
      <c r="R441" s="349">
        <f t="shared" si="674"/>
        <v>73.949999999999932</v>
      </c>
      <c r="S441" s="349">
        <f>IF($J441="",#N/A,SUM($R$4:R441))</f>
        <v>935.81917239530935</v>
      </c>
      <c r="T441" s="350" t="str">
        <f t="shared" si="675"/>
        <v/>
      </c>
      <c r="U441" s="350">
        <f>IF($J441="",#N/A,SUM($T$4:T441))</f>
        <v>10.009379462148743</v>
      </c>
      <c r="V441" s="351" t="str">
        <f t="shared" si="676"/>
        <v/>
      </c>
      <c r="W441" s="351">
        <f>IF($J441="",#N/A,SUM($V$4:V441))</f>
        <v>40.674507204934351</v>
      </c>
      <c r="X441" s="352">
        <f t="shared" si="677"/>
        <v>1.2441954371088217</v>
      </c>
      <c r="Y441" s="352">
        <f>IF($J441="",#N/A,SUM($X$4:X441))</f>
        <v>16.12348395071006</v>
      </c>
      <c r="Z441" s="353" t="str">
        <f t="shared" si="678"/>
        <v/>
      </c>
      <c r="AA441" s="354" t="e">
        <f>IF($J441="",#N/A,SUM(Z$4:Z441))</f>
        <v>#N/A</v>
      </c>
      <c r="AB441" s="355" t="str">
        <f t="shared" si="679"/>
        <v/>
      </c>
      <c r="AC441" s="355" t="e">
        <f>IF($J441="",#N/A,SUM(AB$4:AB441))</f>
        <v>#N/A</v>
      </c>
      <c r="AD441" s="356" t="str">
        <f t="shared" si="680"/>
        <v/>
      </c>
      <c r="AE441" s="356" t="e">
        <f>IF($J441="",#N/A,SUM(AD$4:AD441))</f>
        <v>#N/A</v>
      </c>
      <c r="AF441" s="356" t="e">
        <f>IF($J441="",#N/A,SUM(AD$4:AD441,AB$4:AB441,Z$4:Z441))</f>
        <v>#N/A</v>
      </c>
      <c r="AG441" s="353" t="str">
        <f t="shared" si="681"/>
        <v/>
      </c>
      <c r="AH441" s="354" t="e">
        <f>IF($J441="",#N/A,SUM(AG$4:AG441))</f>
        <v>#N/A</v>
      </c>
      <c r="AI441" s="355" t="str">
        <f t="shared" si="682"/>
        <v/>
      </c>
      <c r="AJ441" s="355" t="e">
        <f>IF($J441="",#N/A,SUM(AI$4:AI441))</f>
        <v>#N/A</v>
      </c>
      <c r="AK441" s="356" t="str">
        <f t="shared" si="683"/>
        <v/>
      </c>
      <c r="AL441" s="356" t="e">
        <f>IF($J441="",#N/A,SUM(AK$4:AK441))</f>
        <v>#N/A</v>
      </c>
      <c r="AM441" s="356" t="e">
        <f>IF($J441="",#N/A,SUM(AK$4:AK441,AI$4:AI441,AG$4:AG441))</f>
        <v>#N/A</v>
      </c>
      <c r="AN441" s="353" t="str">
        <f t="shared" si="684"/>
        <v/>
      </c>
      <c r="AO441" s="354" t="e">
        <f>IF($J441="",#N/A,SUM(AN$4:AN441))</f>
        <v>#N/A</v>
      </c>
      <c r="AP441" s="355" t="str">
        <f t="shared" si="685"/>
        <v/>
      </c>
      <c r="AQ441" s="355" t="e">
        <f>IF($J441="",#N/A,SUM(AP$4:AP441))</f>
        <v>#N/A</v>
      </c>
      <c r="AR441" s="356" t="str">
        <f t="shared" si="686"/>
        <v/>
      </c>
      <c r="AS441" s="356" t="e">
        <f>IF($J441="",#N/A,SUM(AR$4:AR441))</f>
        <v>#N/A</v>
      </c>
      <c r="AT441" s="356" t="e">
        <f>IF($J441="",#N/A,SUM(AR$4:AR441,AP$4:AP441,AN$4:AN441))</f>
        <v>#N/A</v>
      </c>
      <c r="AU441" s="353" t="str">
        <f t="shared" si="687"/>
        <v/>
      </c>
      <c r="AV441" s="354" t="e">
        <f>IF($J441="",#N/A,SUM(AU$4:AU441))</f>
        <v>#N/A</v>
      </c>
      <c r="AW441" s="355" t="str">
        <f t="shared" si="688"/>
        <v/>
      </c>
      <c r="AX441" s="355" t="e">
        <f>IF($J441="",#N/A,SUM(AW$4:AW441))</f>
        <v>#N/A</v>
      </c>
      <c r="AY441" s="356">
        <f t="shared" si="689"/>
        <v>1.2441954371088217</v>
      </c>
      <c r="AZ441" s="356" t="e">
        <f>IF($J441="",#N/A,SUM(AY$4:AY441))</f>
        <v>#N/A</v>
      </c>
      <c r="BA441" s="356" t="e">
        <f>IF($J441="",#N/A,SUM(AY$4:AY441,AW$4:AW441,AU$4:AU441))</f>
        <v>#N/A</v>
      </c>
      <c r="BB441" s="353" t="str">
        <f t="shared" si="690"/>
        <v/>
      </c>
      <c r="BC441" s="354" t="e">
        <f>IF($J441="",#N/A,SUM(BB$4:BB441))</f>
        <v>#N/A</v>
      </c>
      <c r="BD441" s="355" t="str">
        <f t="shared" si="691"/>
        <v/>
      </c>
      <c r="BE441" s="355" t="e">
        <f>IF($J441="",#N/A,SUM(BD$4:BD441))</f>
        <v>#N/A</v>
      </c>
      <c r="BF441" s="356" t="str">
        <f t="shared" si="692"/>
        <v/>
      </c>
      <c r="BG441" s="356" t="e">
        <f>IF($J441="",#N/A,SUM(BF$4:BF441))</f>
        <v>#N/A</v>
      </c>
      <c r="BH441" s="356" t="e">
        <f>IF($J441="",#N/A,SUM(BF$4:BF441,BD$4:BD441,BB$4:BB441))</f>
        <v>#N/A</v>
      </c>
      <c r="BI441" s="353" t="str">
        <f t="shared" si="693"/>
        <v/>
      </c>
      <c r="BJ441" s="354" t="e">
        <f>IF($J441="",#N/A,SUM(BI$4:BI441))</f>
        <v>#N/A</v>
      </c>
      <c r="BK441" s="355" t="str">
        <f t="shared" si="694"/>
        <v/>
      </c>
      <c r="BL441" s="355" t="e">
        <f>IF($J441="",#N/A,SUM(BK$4:BK441))</f>
        <v>#N/A</v>
      </c>
      <c r="BM441" s="356" t="str">
        <f t="shared" si="695"/>
        <v/>
      </c>
      <c r="BN441" s="356" t="e">
        <f>IF($J441="",#N/A,SUM(BM$4:BM441))</f>
        <v>#N/A</v>
      </c>
      <c r="BO441" s="356" t="e">
        <f>IF($J441="",#N/A,SUM(BM$4:BM441,BK$4:BK441,BI$4:BI441))</f>
        <v>#N/A</v>
      </c>
      <c r="BP441" s="353" t="str">
        <f t="shared" si="696"/>
        <v/>
      </c>
      <c r="BQ441" s="354" t="e">
        <f>IF($J441="",#N/A,SUM(BP$4:BP441))</f>
        <v>#N/A</v>
      </c>
      <c r="BR441" s="355" t="str">
        <f t="shared" si="697"/>
        <v/>
      </c>
      <c r="BS441" s="355" t="e">
        <f>IF($J441="",#N/A,SUM(BR$4:BR441))</f>
        <v>#N/A</v>
      </c>
      <c r="BT441" s="356" t="str">
        <f t="shared" si="698"/>
        <v/>
      </c>
      <c r="BU441" s="356" t="e">
        <f>IF($J441="",#N/A,SUM(BT$4:BT441))</f>
        <v>#N/A</v>
      </c>
      <c r="BV441" s="356" t="e">
        <f>IF($J441="",#N/A,SUM(BT$4:BT441,BR$4:BR441,BP$4:BP441))</f>
        <v>#N/A</v>
      </c>
      <c r="BW441" s="353" t="str">
        <f t="shared" si="699"/>
        <v/>
      </c>
      <c r="BX441" s="354" t="e">
        <f>IF($J441="",#N/A,SUM(BW$4:BW441))</f>
        <v>#N/A</v>
      </c>
      <c r="BY441" s="355" t="str">
        <f t="shared" si="700"/>
        <v/>
      </c>
      <c r="BZ441" s="355" t="e">
        <f>IF($J441="",#N/A,SUM(BY$4:BY441))</f>
        <v>#N/A</v>
      </c>
      <c r="CA441" s="356" t="str">
        <f t="shared" si="701"/>
        <v/>
      </c>
      <c r="CB441" s="356" t="e">
        <f>IF($J441="",#N/A,SUM(CA$4:CA441))</f>
        <v>#N/A</v>
      </c>
      <c r="CC441" s="356" t="e">
        <f>IF($J441="",#N/A,SUM(CA$4:CA441,BY$4:BY441,BW$4:BW441))</f>
        <v>#N/A</v>
      </c>
      <c r="CD441" s="353" t="str">
        <f t="shared" si="702"/>
        <v/>
      </c>
      <c r="CE441" s="354" t="e">
        <f>IF($J441="",#N/A,SUM(CD$4:CD441))</f>
        <v>#N/A</v>
      </c>
      <c r="CF441" s="355" t="str">
        <f t="shared" si="703"/>
        <v/>
      </c>
      <c r="CG441" s="355" t="e">
        <f>IF($J441="",#N/A,SUM(CF$4:CF441))</f>
        <v>#N/A</v>
      </c>
      <c r="CH441" s="356" t="str">
        <f t="shared" si="704"/>
        <v/>
      </c>
      <c r="CI441" s="356" t="e">
        <f>IF($J441="",#N/A,SUM(CH$4:CH441))</f>
        <v>#N/A</v>
      </c>
      <c r="CJ441" s="356" t="e">
        <f>IF($J441="",#N/A,SUM(CH$4:CH441,CF$4:CF441,CD$4:CD441))</f>
        <v>#N/A</v>
      </c>
      <c r="CK441" s="353" t="str">
        <f t="shared" si="705"/>
        <v/>
      </c>
      <c r="CL441" s="354" t="e">
        <f>IF($J441="",#N/A,SUM(CK$4:CK441))</f>
        <v>#N/A</v>
      </c>
      <c r="CM441" s="355" t="str">
        <f t="shared" si="706"/>
        <v/>
      </c>
      <c r="CN441" s="355" t="e">
        <f>IF($J441="",#N/A,SUM(CM$4:CM441))</f>
        <v>#N/A</v>
      </c>
      <c r="CO441" s="356" t="str">
        <f t="shared" si="707"/>
        <v/>
      </c>
      <c r="CP441" s="356" t="e">
        <f>IF($J441="",#N/A,SUM(CO$4:CO441))</f>
        <v>#N/A</v>
      </c>
      <c r="CQ441" s="356" t="e">
        <f>IF($J441="",#N/A,SUM(CO$4:CO441,CM$4:CM441,CK$4:CK441))</f>
        <v>#N/A</v>
      </c>
      <c r="CR441" s="353" t="str">
        <f t="shared" si="708"/>
        <v/>
      </c>
      <c r="CS441" s="354" t="e">
        <f>IF($J441="",#N/A,SUM(CR$4:CR441))</f>
        <v>#N/A</v>
      </c>
      <c r="CT441" s="355" t="str">
        <f t="shared" si="709"/>
        <v/>
      </c>
      <c r="CU441" s="355" t="e">
        <f>IF($J441="",#N/A,SUM(CT$4:CT441))</f>
        <v>#N/A</v>
      </c>
      <c r="CV441" s="356" t="str">
        <f t="shared" si="710"/>
        <v/>
      </c>
      <c r="CW441" s="356" t="e">
        <f>IF($J441="",#N/A,SUM(CV$4:CV441))</f>
        <v>#N/A</v>
      </c>
      <c r="CX441" s="356" t="e">
        <f>IF($J441="",#N/A,SUM(CV$4:CV441,CT$4:CT441,CR$4:CR441))</f>
        <v>#N/A</v>
      </c>
      <c r="CY441" s="353" t="str">
        <f t="shared" si="711"/>
        <v/>
      </c>
      <c r="CZ441" s="354" t="e">
        <f>IF($J441="",#N/A,SUM(CY$4:CY441))</f>
        <v>#N/A</v>
      </c>
      <c r="DA441" s="355" t="str">
        <f t="shared" si="712"/>
        <v/>
      </c>
      <c r="DB441" s="355" t="e">
        <f>IF($J441="",#N/A,SUM(DA$4:DA441))</f>
        <v>#N/A</v>
      </c>
      <c r="DC441" s="356" t="str">
        <f t="shared" si="713"/>
        <v/>
      </c>
      <c r="DD441" s="356" t="e">
        <f>IF($J441="",#N/A,SUM(DC$4:DC441))</f>
        <v>#N/A</v>
      </c>
      <c r="DE441" s="356" t="e">
        <f>IF($J441="",#N/A,SUM(DC$4:DC441,DA$4:DA441,CY$4:CY441))</f>
        <v>#N/A</v>
      </c>
      <c r="DF441" s="353" t="str">
        <f t="shared" si="714"/>
        <v/>
      </c>
      <c r="DG441" s="354" t="e">
        <f>IF($J441="",#N/A,SUM(DF$4:DF441))</f>
        <v>#N/A</v>
      </c>
      <c r="DH441" s="355" t="str">
        <f t="shared" si="715"/>
        <v/>
      </c>
      <c r="DI441" s="355" t="e">
        <f>IF($J441="",#N/A,SUM(DH$4:DH441))</f>
        <v>#N/A</v>
      </c>
      <c r="DJ441" s="356" t="str">
        <f t="shared" si="716"/>
        <v/>
      </c>
      <c r="DK441" s="356" t="e">
        <f>IF($J441="",#N/A,SUM(DJ$4:DJ441))</f>
        <v>#N/A</v>
      </c>
      <c r="DL441" s="356" t="e">
        <f>IF($J441="",#N/A,SUM(DJ$4:DJ441,DH$4:DH441,DF$4:DF441))</f>
        <v>#N/A</v>
      </c>
      <c r="DM441" s="353" t="str">
        <f t="shared" si="717"/>
        <v/>
      </c>
      <c r="DN441" s="354" t="e">
        <f>IF($J441="",#N/A,SUM(DM$4:DM441))</f>
        <v>#N/A</v>
      </c>
      <c r="DO441" s="355" t="str">
        <f t="shared" si="718"/>
        <v/>
      </c>
      <c r="DP441" s="355" t="e">
        <f>IF($J441="",#N/A,SUM(DO$4:DO441))</f>
        <v>#N/A</v>
      </c>
      <c r="DQ441" s="356" t="str">
        <f t="shared" si="719"/>
        <v/>
      </c>
      <c r="DR441" s="356" t="e">
        <f>IF($J441="",#N/A,SUM(DQ$4:DQ441))</f>
        <v>#N/A</v>
      </c>
      <c r="DS441" s="356" t="e">
        <f>IF($J441="",#N/A,SUM(DQ$4:DQ441,DO$4:DO441,DM$4:DM441))</f>
        <v>#N/A</v>
      </c>
      <c r="DT441" s="353" t="str">
        <f t="shared" si="720"/>
        <v/>
      </c>
      <c r="DU441" s="354" t="e">
        <f>IF($J441="",#N/A,SUM(DT$4:DT441))</f>
        <v>#N/A</v>
      </c>
      <c r="DV441" s="355" t="str">
        <f t="shared" si="721"/>
        <v/>
      </c>
      <c r="DW441" s="355" t="e">
        <f>IF($J441="",#N/A,SUM(DV$4:DV441))</f>
        <v>#N/A</v>
      </c>
      <c r="DX441" s="356" t="str">
        <f t="shared" si="722"/>
        <v/>
      </c>
      <c r="DY441" s="356" t="e">
        <f>IF($J441="",#N/A,SUM(DX$4:DX441))</f>
        <v>#N/A</v>
      </c>
      <c r="DZ441" s="356" t="e">
        <f>IF($J441="",#N/A,SUM(DX$4:DX441,DV$4:DV441,DT$4:DT441))</f>
        <v>#N/A</v>
      </c>
      <c r="EA441" s="353" t="str">
        <f t="shared" si="723"/>
        <v/>
      </c>
      <c r="EB441" s="354" t="e">
        <f>IF($J441="",#N/A,SUM(EA$4:EA441))</f>
        <v>#N/A</v>
      </c>
      <c r="EC441" s="355" t="str">
        <f t="shared" si="724"/>
        <v/>
      </c>
      <c r="ED441" s="355" t="e">
        <f>IF($J441="",#N/A,SUM(EC$4:EC441))</f>
        <v>#N/A</v>
      </c>
      <c r="EE441" s="356" t="str">
        <f t="shared" si="725"/>
        <v/>
      </c>
      <c r="EF441" s="356" t="e">
        <f>IF($J441="",#N/A,SUM(EE$4:EE441))</f>
        <v>#N/A</v>
      </c>
      <c r="EG441" s="356" t="e">
        <f>IF($J441="",#N/A,SUM(EE$4:EE441,EC$4:EC441,EA$4:EA441))</f>
        <v>#N/A</v>
      </c>
      <c r="EH441" s="346">
        <f t="shared" si="726"/>
        <v>73.949999999999932</v>
      </c>
      <c r="EI441" s="357">
        <f>IF(EH441="",#N/A,SUM($EH$4:EH441))</f>
        <v>2405.3723792974124</v>
      </c>
      <c r="EJ441" s="358" t="e">
        <f t="shared" si="727"/>
        <v>#N/A</v>
      </c>
      <c r="EK441" s="357" t="e">
        <f>IF($GZ441="",#N/A,SUM(EJ$4:EJ441))</f>
        <v>#N/A</v>
      </c>
      <c r="EL441" s="60" t="str">
        <f t="shared" si="757"/>
        <v/>
      </c>
      <c r="EM441" s="60" t="e">
        <f>IF(EL441="",NA(),SUM($EL$4:EL441))</f>
        <v>#N/A</v>
      </c>
      <c r="EN441" s="60" t="str">
        <f t="shared" si="728"/>
        <v/>
      </c>
      <c r="EO441" s="60" t="e">
        <f>IF(EN441="",NA(),SUM($EN$4:EN441))</f>
        <v>#N/A</v>
      </c>
      <c r="EP441" s="60" t="str">
        <f t="shared" si="729"/>
        <v/>
      </c>
      <c r="EQ441" s="60" t="e">
        <f>IF(EP441="",NA(),SUM($EP$4:EP441))</f>
        <v>#N/A</v>
      </c>
      <c r="ER441" s="60" t="str">
        <f t="shared" si="730"/>
        <v/>
      </c>
      <c r="ES441" s="60" t="e">
        <f>IF(ER441="",NA(),SUM($ER$4:ER441))</f>
        <v>#N/A</v>
      </c>
      <c r="ET441" s="60">
        <f t="shared" si="731"/>
        <v>1.2441954371088217</v>
      </c>
      <c r="EU441" s="60">
        <f>IF(ET441="",NA(),SUM($ET$4:ET441))</f>
        <v>43.11851934221874</v>
      </c>
      <c r="EV441" s="60" t="str">
        <f t="shared" si="732"/>
        <v/>
      </c>
      <c r="EW441" s="60" t="e">
        <f>IF(EV441="",NA(),SUM($EV$4:EV441))</f>
        <v>#N/A</v>
      </c>
      <c r="EX441" s="60">
        <f t="shared" si="733"/>
        <v>1.2441954371088217</v>
      </c>
      <c r="EY441" s="60">
        <f>IF(EX441="",NA(),SUM($EX$4:EX441))</f>
        <v>10.79632175059519</v>
      </c>
      <c r="EZ441" s="60" t="str">
        <f t="shared" si="734"/>
        <v/>
      </c>
      <c r="FA441" s="60" t="e">
        <f>IF(EZ441="",NA(),SUM($EZ$4:EZ441))</f>
        <v>#N/A</v>
      </c>
      <c r="FB441" s="359" t="str">
        <f t="shared" si="758"/>
        <v/>
      </c>
      <c r="FC441" s="359" t="e">
        <f>IF($FB441="",#N/A,SUM(FB$4:$FB441))</f>
        <v>#N/A</v>
      </c>
      <c r="FD441" s="360" t="str">
        <f t="shared" si="735"/>
        <v/>
      </c>
      <c r="FE441" s="360" t="e">
        <f>IF($FD441="",#N/A,SUM($FD$4:FD441))</f>
        <v>#N/A</v>
      </c>
      <c r="FF441" s="360" t="str">
        <f t="shared" si="736"/>
        <v/>
      </c>
      <c r="FG441" s="360" t="e">
        <f>IF($FF441="",#N/A,SUM($FF$4:FF441))</f>
        <v>#N/A</v>
      </c>
      <c r="FH441" s="360" t="str">
        <f t="shared" si="737"/>
        <v/>
      </c>
      <c r="FI441" s="360" t="e">
        <f>IF($FH441="",#N/A,SUM($FH$4:FH441))</f>
        <v>#N/A</v>
      </c>
      <c r="FJ441" s="360">
        <f t="shared" si="738"/>
        <v>0.24984857662023252</v>
      </c>
      <c r="FK441" s="360">
        <f>IF($FJ441="",#N/A,SUM($FJ$4:FJ441))</f>
        <v>-8.0403571135129948</v>
      </c>
      <c r="FL441" s="360" t="str">
        <f t="shared" si="739"/>
        <v/>
      </c>
      <c r="FM441" s="360" t="e">
        <f>IF($FL441="",#N/A,SUM($FL$4:FL441))</f>
        <v>#N/A</v>
      </c>
      <c r="FN441" s="361">
        <f t="shared" si="740"/>
        <v>1.4940440137290543</v>
      </c>
      <c r="FO441" s="361">
        <f>IF($FN441="",#N/A,SUM(FN$4:$FN441))</f>
        <v>49.775905714697402</v>
      </c>
      <c r="FP441" s="361">
        <f t="shared" si="759"/>
        <v>1.2441954371088217</v>
      </c>
      <c r="FQ441" s="359">
        <f>IF($EH441="",#N/A,SUM($FP$4:FP441))</f>
        <v>66.807370617793183</v>
      </c>
      <c r="FR441" s="361">
        <f>IFERROR(FQ441/COUNTA($J$4:J441),#N/A)</f>
        <v>0.15252824341961913</v>
      </c>
      <c r="FS441" s="361">
        <f t="shared" ref="FS441:FS448" si="768">IFERROR(($FQ441-$FQ392)/COUNTA($J392:$J441),#N/A)</f>
        <v>0.31185133838924728</v>
      </c>
      <c r="FT441" s="361">
        <f t="shared" ref="FT441:FT448" si="769">IFERROR(($FQ441-$FQ417)/COUNTA($J417:$J441),#N/A)</f>
        <v>0.27338353054585951</v>
      </c>
      <c r="FU441" s="369">
        <f t="shared" si="767"/>
        <v>30.389263222452271</v>
      </c>
      <c r="FV441" s="340" t="str">
        <f t="shared" si="765"/>
        <v>SW</v>
      </c>
      <c r="FW441" s="340" t="s">
        <v>2732</v>
      </c>
      <c r="FX441" s="340" t="str">
        <f t="shared" si="741"/>
        <v/>
      </c>
      <c r="FY441" s="340" t="str">
        <f t="shared" si="742"/>
        <v/>
      </c>
      <c r="FZ441" s="340">
        <f t="shared" si="743"/>
        <v>1</v>
      </c>
      <c r="GA441" s="340" t="str">
        <f t="shared" si="744"/>
        <v>Long</v>
      </c>
      <c r="GB441" s="340" t="str">
        <f t="shared" si="745"/>
        <v/>
      </c>
      <c r="GC441" s="340" t="str">
        <f t="shared" si="746"/>
        <v/>
      </c>
      <c r="GD441" s="340" t="str">
        <f t="shared" si="747"/>
        <v/>
      </c>
      <c r="GE441" s="362">
        <f t="shared" si="664"/>
        <v>99.06</v>
      </c>
      <c r="GF441" s="362" t="s">
        <v>2779</v>
      </c>
      <c r="GG441" s="363">
        <v>10</v>
      </c>
      <c r="GH441" s="364">
        <f t="shared" si="748"/>
        <v>990.6</v>
      </c>
      <c r="GI441" s="363">
        <v>10</v>
      </c>
      <c r="GJ441" s="365">
        <v>107.94</v>
      </c>
      <c r="GK441" s="357">
        <f t="shared" si="749"/>
        <v>88.800000000000068</v>
      </c>
      <c r="GL441" s="357">
        <f t="shared" si="665"/>
        <v>88.800000000000068</v>
      </c>
      <c r="GM441" s="361">
        <f t="shared" si="750"/>
        <v>1.4940440137290543</v>
      </c>
      <c r="GN441" s="361">
        <f>IF($GZ441="",#N/A,SUM(GM$4:GM441))</f>
        <v>6.4472490209694229</v>
      </c>
      <c r="GO441" s="361" t="str">
        <f t="shared" si="751"/>
        <v/>
      </c>
      <c r="GP441" s="361">
        <f>IF($GZ441="",#N/A,SUM(GO$4:GO441))</f>
        <v>4.2788408366274897</v>
      </c>
      <c r="GQ441" s="361" t="str">
        <f t="shared" si="752"/>
        <v/>
      </c>
      <c r="GR441" s="361">
        <f>IF($GZ441="",#N/A,SUM(GQ$4:GQ441))</f>
        <v>38.423978902658163</v>
      </c>
      <c r="GS441" s="357" t="e">
        <f t="shared" si="760"/>
        <v>#N/A</v>
      </c>
      <c r="GT441" s="357" t="e">
        <f>IF($GZ441="",#N/A,SUM(GS$4:GS441))</f>
        <v>#N/A</v>
      </c>
      <c r="GU441" s="357" t="str">
        <f t="shared" si="761"/>
        <v/>
      </c>
      <c r="GV441" s="357" t="e">
        <f>IF($GZ441="",#N/A,SUM(GU$4:GU441))</f>
        <v>#N/A</v>
      </c>
      <c r="GW441" s="357" t="str">
        <f t="shared" si="762"/>
        <v/>
      </c>
      <c r="GX441" s="357" t="e">
        <f>IF($GZ441="",#N/A,SUM(GW$4:GW441))</f>
        <v>#N/A</v>
      </c>
      <c r="GY441" s="357" t="e">
        <f>IF(EJ441="",#N/A,SUM($EJ$4:EJ441))</f>
        <v>#N/A</v>
      </c>
      <c r="GZ441" s="343">
        <v>107.94</v>
      </c>
      <c r="HA441" s="357">
        <f t="shared" si="753"/>
        <v>14.850000000000136</v>
      </c>
      <c r="HB441" s="362" t="s">
        <v>2538</v>
      </c>
      <c r="HC441" s="360">
        <f>IFERROR(VLOOKUP(E441,Expectancy!$P$4:$S$19,1+C441,FALSE),"")</f>
        <v>0.40561946259505821</v>
      </c>
      <c r="HD441" s="361">
        <f t="shared" si="754"/>
        <v>1.4940440137290543</v>
      </c>
      <c r="HE441" s="366">
        <f>IF(HD441="",#N/A,SUM($HD$4:HD441))</f>
        <v>21.888107395340906</v>
      </c>
      <c r="HF441" s="367">
        <f>IF(HD441="",#N/A,IF(HB441="Skip",#N/A,SUM($HG$4:HG441)))</f>
        <v>1226.0035792191566</v>
      </c>
      <c r="HG441" s="357">
        <f t="shared" si="755"/>
        <v>88.800000000000068</v>
      </c>
      <c r="HH441" s="82">
        <f t="shared" si="766"/>
        <v>1.4940440137290543</v>
      </c>
    </row>
    <row r="442" spans="1:216" ht="15.75" thickBot="1" x14ac:dyDescent="0.3">
      <c r="A442" s="66" t="s">
        <v>1457</v>
      </c>
      <c r="B442" s="67" t="str" cm="1">
        <f t="array" ref="B442">IFERROR(_xlfn.XLOOKUP(A442,Earnings!$B$2:$B$9985,LEFT(Earnings!$C$2:$C$9985,37)),"Can't Find Date***")</f>
        <v>on 3/19/25 Before Market Eastern Stan</v>
      </c>
      <c r="C442" s="390">
        <f t="shared" si="667"/>
        <v>2</v>
      </c>
      <c r="D442" s="373" t="str">
        <f>_xlfn.XLOOKUP(A442,[1]SP500!$A$2:$A$502,[1]SP500!$D$2:$D$502,"N")</f>
        <v>Y</v>
      </c>
      <c r="E442" s="66" t="str">
        <f>_xlfn.XLOOKUP(A442,[1]SP500!$A$2:$A$655,[1]SP500!$B$2:$B$655)</f>
        <v>XLP</v>
      </c>
      <c r="F442" s="68">
        <v>45735</v>
      </c>
      <c r="G442" s="66" t="str">
        <f t="shared" si="668"/>
        <v>BMO</v>
      </c>
      <c r="H442" s="66" t="str">
        <f t="shared" si="669"/>
        <v>s</v>
      </c>
      <c r="I442" s="160">
        <v>60.44</v>
      </c>
      <c r="J442" s="160">
        <v>59.354999999999997</v>
      </c>
      <c r="K442" s="69">
        <f t="shared" si="670"/>
        <v>-1.795168762409002E-2</v>
      </c>
      <c r="L442" s="89">
        <f t="shared" si="671"/>
        <v>18.44500000000005</v>
      </c>
      <c r="M442" s="80">
        <f t="shared" si="663"/>
        <v>-2.8050000000000637</v>
      </c>
      <c r="N442" s="167" t="str">
        <f t="shared" si="672"/>
        <v/>
      </c>
      <c r="O442" s="167">
        <f>IF($J442="",#N/A,SUM($N$4:N442))</f>
        <v>-328.04225475891064</v>
      </c>
      <c r="P442" s="172">
        <f t="shared" si="673"/>
        <v>18.44500000000005</v>
      </c>
      <c r="Q442" s="172">
        <f>IF($J442="",#N/A,SUM($P$4:P442))</f>
        <v>1816.0404616610144</v>
      </c>
      <c r="R442" s="176" t="str">
        <f t="shared" si="674"/>
        <v/>
      </c>
      <c r="S442" s="176">
        <f>IF($J442="",#N/A,SUM($R$4:R442))</f>
        <v>935.81917239530935</v>
      </c>
      <c r="T442" s="296" t="str">
        <f t="shared" si="675"/>
        <v/>
      </c>
      <c r="U442" s="296">
        <f>IF($J442="",#N/A,SUM($T$4:T442))</f>
        <v>10.009379462148743</v>
      </c>
      <c r="V442" s="297">
        <f t="shared" si="676"/>
        <v>0.29919479373483426</v>
      </c>
      <c r="W442" s="297">
        <f>IF($J442="",#N/A,SUM($V$4:V442))</f>
        <v>40.973701998669185</v>
      </c>
      <c r="X442" s="298" t="str">
        <f t="shared" si="677"/>
        <v/>
      </c>
      <c r="Y442" s="298">
        <f>IF($J442="",#N/A,SUM($X$4:X442))</f>
        <v>16.12348395071006</v>
      </c>
      <c r="Z442" s="307" t="str">
        <f t="shared" si="678"/>
        <v/>
      </c>
      <c r="AA442" s="319" t="e">
        <f>IF($J442="",#N/A,SUM(Z$4:Z442))</f>
        <v>#N/A</v>
      </c>
      <c r="AB442" s="320" t="str">
        <f t="shared" si="679"/>
        <v/>
      </c>
      <c r="AC442" s="320" t="e">
        <f>IF($J442="",#N/A,SUM(AB$4:AB442))</f>
        <v>#N/A</v>
      </c>
      <c r="AD442" s="321" t="str">
        <f t="shared" si="680"/>
        <v/>
      </c>
      <c r="AE442" s="321" t="e">
        <f>IF($J442="",#N/A,SUM(AD$4:AD442))</f>
        <v>#N/A</v>
      </c>
      <c r="AF442" s="321" t="e">
        <f>IF($J442="",#N/A,SUM(AD$4:AD442,AB$4:AB442,Z$4:Z442))</f>
        <v>#N/A</v>
      </c>
      <c r="AG442" s="307" t="str">
        <f t="shared" si="681"/>
        <v/>
      </c>
      <c r="AH442" s="319" t="e">
        <f>IF($J442="",#N/A,SUM(AG$4:AG442))</f>
        <v>#N/A</v>
      </c>
      <c r="AI442" s="320" t="str">
        <f t="shared" si="682"/>
        <v/>
      </c>
      <c r="AJ442" s="320" t="e">
        <f>IF($J442="",#N/A,SUM(AI$4:AI442))</f>
        <v>#N/A</v>
      </c>
      <c r="AK442" s="321" t="str">
        <f t="shared" si="683"/>
        <v/>
      </c>
      <c r="AL442" s="321" t="e">
        <f>IF($J442="",#N/A,SUM(AK$4:AK442))</f>
        <v>#N/A</v>
      </c>
      <c r="AM442" s="321" t="e">
        <f>IF($J442="",#N/A,SUM(AK$4:AK442,AI$4:AI442,AG$4:AG442))</f>
        <v>#N/A</v>
      </c>
      <c r="AN442" s="307" t="str">
        <f t="shared" si="684"/>
        <v/>
      </c>
      <c r="AO442" s="319" t="e">
        <f>IF($J442="",#N/A,SUM(AN$4:AN442))</f>
        <v>#N/A</v>
      </c>
      <c r="AP442" s="320" t="str">
        <f t="shared" si="685"/>
        <v/>
      </c>
      <c r="AQ442" s="320" t="e">
        <f>IF($J442="",#N/A,SUM(AP$4:AP442))</f>
        <v>#N/A</v>
      </c>
      <c r="AR442" s="321" t="str">
        <f t="shared" si="686"/>
        <v/>
      </c>
      <c r="AS442" s="321" t="e">
        <f>IF($J442="",#N/A,SUM(AR$4:AR442))</f>
        <v>#N/A</v>
      </c>
      <c r="AT442" s="321" t="e">
        <f>IF($J442="",#N/A,SUM(AR$4:AR442,AP$4:AP442,AN$4:AN442))</f>
        <v>#N/A</v>
      </c>
      <c r="AU442" s="307" t="str">
        <f t="shared" si="687"/>
        <v/>
      </c>
      <c r="AV442" s="319" t="e">
        <f>IF($J442="",#N/A,SUM(AU$4:AU442))</f>
        <v>#N/A</v>
      </c>
      <c r="AW442" s="320">
        <f t="shared" si="688"/>
        <v>0.29919479373483426</v>
      </c>
      <c r="AX442" s="320" t="e">
        <f>IF($J442="",#N/A,SUM(AW$4:AW442))</f>
        <v>#N/A</v>
      </c>
      <c r="AY442" s="321" t="str">
        <f t="shared" si="689"/>
        <v/>
      </c>
      <c r="AZ442" s="321" t="e">
        <f>IF($J442="",#N/A,SUM(AY$4:AY442))</f>
        <v>#N/A</v>
      </c>
      <c r="BA442" s="321" t="e">
        <f>IF($J442="",#N/A,SUM(AY$4:AY442,AW$4:AW442,AU$4:AU442))</f>
        <v>#N/A</v>
      </c>
      <c r="BB442" s="307" t="str">
        <f t="shared" si="690"/>
        <v/>
      </c>
      <c r="BC442" s="319" t="e">
        <f>IF($J442="",#N/A,SUM(BB$4:BB442))</f>
        <v>#N/A</v>
      </c>
      <c r="BD442" s="320" t="str">
        <f t="shared" si="691"/>
        <v/>
      </c>
      <c r="BE442" s="320" t="e">
        <f>IF($J442="",#N/A,SUM(BD$4:BD442))</f>
        <v>#N/A</v>
      </c>
      <c r="BF442" s="321" t="str">
        <f t="shared" si="692"/>
        <v/>
      </c>
      <c r="BG442" s="321" t="e">
        <f>IF($J442="",#N/A,SUM(BF$4:BF442))</f>
        <v>#N/A</v>
      </c>
      <c r="BH442" s="321" t="e">
        <f>IF($J442="",#N/A,SUM(BF$4:BF442,BD$4:BD442,BB$4:BB442))</f>
        <v>#N/A</v>
      </c>
      <c r="BI442" s="307" t="str">
        <f t="shared" si="693"/>
        <v/>
      </c>
      <c r="BJ442" s="319" t="e">
        <f>IF($J442="",#N/A,SUM(BI$4:BI442))</f>
        <v>#N/A</v>
      </c>
      <c r="BK442" s="320" t="str">
        <f t="shared" si="694"/>
        <v/>
      </c>
      <c r="BL442" s="320" t="e">
        <f>IF($J442="",#N/A,SUM(BK$4:BK442))</f>
        <v>#N/A</v>
      </c>
      <c r="BM442" s="321" t="str">
        <f t="shared" si="695"/>
        <v/>
      </c>
      <c r="BN442" s="321" t="e">
        <f>IF($J442="",#N/A,SUM(BM$4:BM442))</f>
        <v>#N/A</v>
      </c>
      <c r="BO442" s="321" t="e">
        <f>IF($J442="",#N/A,SUM(BM$4:BM442,BK$4:BK442,BI$4:BI442))</f>
        <v>#N/A</v>
      </c>
      <c r="BP442" s="307" t="str">
        <f t="shared" si="696"/>
        <v/>
      </c>
      <c r="BQ442" s="319" t="e">
        <f>IF($J442="",#N/A,SUM(BP$4:BP442))</f>
        <v>#N/A</v>
      </c>
      <c r="BR442" s="320" t="str">
        <f t="shared" si="697"/>
        <v/>
      </c>
      <c r="BS442" s="320" t="e">
        <f>IF($J442="",#N/A,SUM(BR$4:BR442))</f>
        <v>#N/A</v>
      </c>
      <c r="BT442" s="321" t="str">
        <f t="shared" si="698"/>
        <v/>
      </c>
      <c r="BU442" s="321" t="e">
        <f>IF($J442="",#N/A,SUM(BT$4:BT442))</f>
        <v>#N/A</v>
      </c>
      <c r="BV442" s="321" t="e">
        <f>IF($J442="",#N/A,SUM(BT$4:BT442,BR$4:BR442,BP$4:BP442))</f>
        <v>#N/A</v>
      </c>
      <c r="BW442" s="307" t="str">
        <f t="shared" si="699"/>
        <v/>
      </c>
      <c r="BX442" s="319" t="e">
        <f>IF($J442="",#N/A,SUM(BW$4:BW442))</f>
        <v>#N/A</v>
      </c>
      <c r="BY442" s="320" t="str">
        <f t="shared" si="700"/>
        <v/>
      </c>
      <c r="BZ442" s="320" t="e">
        <f>IF($J442="",#N/A,SUM(BY$4:BY442))</f>
        <v>#N/A</v>
      </c>
      <c r="CA442" s="321" t="str">
        <f t="shared" si="701"/>
        <v/>
      </c>
      <c r="CB442" s="321" t="e">
        <f>IF($J442="",#N/A,SUM(CA$4:CA442))</f>
        <v>#N/A</v>
      </c>
      <c r="CC442" s="321" t="e">
        <f>IF($J442="",#N/A,SUM(CA$4:CA442,BY$4:BY442,BW$4:BW442))</f>
        <v>#N/A</v>
      </c>
      <c r="CD442" s="307" t="str">
        <f t="shared" si="702"/>
        <v/>
      </c>
      <c r="CE442" s="319" t="e">
        <f>IF($J442="",#N/A,SUM(CD$4:CD442))</f>
        <v>#N/A</v>
      </c>
      <c r="CF442" s="320" t="str">
        <f t="shared" si="703"/>
        <v/>
      </c>
      <c r="CG442" s="320" t="e">
        <f>IF($J442="",#N/A,SUM(CF$4:CF442))</f>
        <v>#N/A</v>
      </c>
      <c r="CH442" s="321" t="str">
        <f t="shared" si="704"/>
        <v/>
      </c>
      <c r="CI442" s="321" t="e">
        <f>IF($J442="",#N/A,SUM(CH$4:CH442))</f>
        <v>#N/A</v>
      </c>
      <c r="CJ442" s="321" t="e">
        <f>IF($J442="",#N/A,SUM(CH$4:CH442,CF$4:CF442,CD$4:CD442))</f>
        <v>#N/A</v>
      </c>
      <c r="CK442" s="307" t="str">
        <f t="shared" si="705"/>
        <v/>
      </c>
      <c r="CL442" s="319" t="e">
        <f>IF($J442="",#N/A,SUM(CK$4:CK442))</f>
        <v>#N/A</v>
      </c>
      <c r="CM442" s="320" t="str">
        <f t="shared" si="706"/>
        <v/>
      </c>
      <c r="CN442" s="320" t="e">
        <f>IF($J442="",#N/A,SUM(CM$4:CM442))</f>
        <v>#N/A</v>
      </c>
      <c r="CO442" s="321" t="str">
        <f t="shared" si="707"/>
        <v/>
      </c>
      <c r="CP442" s="321" t="e">
        <f>IF($J442="",#N/A,SUM(CO$4:CO442))</f>
        <v>#N/A</v>
      </c>
      <c r="CQ442" s="321" t="e">
        <f>IF($J442="",#N/A,SUM(CO$4:CO442,CM$4:CM442,CK$4:CK442))</f>
        <v>#N/A</v>
      </c>
      <c r="CR442" s="307" t="str">
        <f t="shared" si="708"/>
        <v/>
      </c>
      <c r="CS442" s="319" t="e">
        <f>IF($J442="",#N/A,SUM(CR$4:CR442))</f>
        <v>#N/A</v>
      </c>
      <c r="CT442" s="320" t="str">
        <f t="shared" si="709"/>
        <v/>
      </c>
      <c r="CU442" s="320" t="e">
        <f>IF($J442="",#N/A,SUM(CT$4:CT442))</f>
        <v>#N/A</v>
      </c>
      <c r="CV442" s="321" t="str">
        <f t="shared" si="710"/>
        <v/>
      </c>
      <c r="CW442" s="321" t="e">
        <f>IF($J442="",#N/A,SUM(CV$4:CV442))</f>
        <v>#N/A</v>
      </c>
      <c r="CX442" s="321" t="e">
        <f>IF($J442="",#N/A,SUM(CV$4:CV442,CT$4:CT442,CR$4:CR442))</f>
        <v>#N/A</v>
      </c>
      <c r="CY442" s="307" t="str">
        <f t="shared" si="711"/>
        <v/>
      </c>
      <c r="CZ442" s="319" t="e">
        <f>IF($J442="",#N/A,SUM(CY$4:CY442))</f>
        <v>#N/A</v>
      </c>
      <c r="DA442" s="320" t="str">
        <f t="shared" si="712"/>
        <v/>
      </c>
      <c r="DB442" s="320" t="e">
        <f>IF($J442="",#N/A,SUM(DA$4:DA442))</f>
        <v>#N/A</v>
      </c>
      <c r="DC442" s="321" t="str">
        <f t="shared" si="713"/>
        <v/>
      </c>
      <c r="DD442" s="321" t="e">
        <f>IF($J442="",#N/A,SUM(DC$4:DC442))</f>
        <v>#N/A</v>
      </c>
      <c r="DE442" s="321" t="e">
        <f>IF($J442="",#N/A,SUM(DC$4:DC442,DA$4:DA442,CY$4:CY442))</f>
        <v>#N/A</v>
      </c>
      <c r="DF442" s="307" t="str">
        <f t="shared" si="714"/>
        <v/>
      </c>
      <c r="DG442" s="319" t="e">
        <f>IF($J442="",#N/A,SUM(DF$4:DF442))</f>
        <v>#N/A</v>
      </c>
      <c r="DH442" s="320" t="str">
        <f t="shared" si="715"/>
        <v/>
      </c>
      <c r="DI442" s="320" t="e">
        <f>IF($J442="",#N/A,SUM(DH$4:DH442))</f>
        <v>#N/A</v>
      </c>
      <c r="DJ442" s="321" t="str">
        <f t="shared" si="716"/>
        <v/>
      </c>
      <c r="DK442" s="321" t="e">
        <f>IF($J442="",#N/A,SUM(DJ$4:DJ442))</f>
        <v>#N/A</v>
      </c>
      <c r="DL442" s="321" t="e">
        <f>IF($J442="",#N/A,SUM(DJ$4:DJ442,DH$4:DH442,DF$4:DF442))</f>
        <v>#N/A</v>
      </c>
      <c r="DM442" s="307" t="str">
        <f t="shared" si="717"/>
        <v/>
      </c>
      <c r="DN442" s="319" t="e">
        <f>IF($J442="",#N/A,SUM(DM$4:DM442))</f>
        <v>#N/A</v>
      </c>
      <c r="DO442" s="320" t="str">
        <f t="shared" si="718"/>
        <v/>
      </c>
      <c r="DP442" s="320" t="e">
        <f>IF($J442="",#N/A,SUM(DO$4:DO442))</f>
        <v>#N/A</v>
      </c>
      <c r="DQ442" s="321" t="str">
        <f t="shared" si="719"/>
        <v/>
      </c>
      <c r="DR442" s="321" t="e">
        <f>IF($J442="",#N/A,SUM(DQ$4:DQ442))</f>
        <v>#N/A</v>
      </c>
      <c r="DS442" s="321" t="e">
        <f>IF($J442="",#N/A,SUM(DQ$4:DQ442,DO$4:DO442,DM$4:DM442))</f>
        <v>#N/A</v>
      </c>
      <c r="DT442" s="307" t="str">
        <f t="shared" si="720"/>
        <v/>
      </c>
      <c r="DU442" s="319" t="e">
        <f>IF($J442="",#N/A,SUM(DT$4:DT442))</f>
        <v>#N/A</v>
      </c>
      <c r="DV442" s="320" t="str">
        <f t="shared" si="721"/>
        <v/>
      </c>
      <c r="DW442" s="320" t="e">
        <f>IF($J442="",#N/A,SUM(DV$4:DV442))</f>
        <v>#N/A</v>
      </c>
      <c r="DX442" s="321" t="str">
        <f t="shared" si="722"/>
        <v/>
      </c>
      <c r="DY442" s="321" t="e">
        <f>IF($J442="",#N/A,SUM(DX$4:DX442))</f>
        <v>#N/A</v>
      </c>
      <c r="DZ442" s="321" t="e">
        <f>IF($J442="",#N/A,SUM(DX$4:DX442,DV$4:DV442,DT$4:DT442))</f>
        <v>#N/A</v>
      </c>
      <c r="EA442" s="307" t="str">
        <f t="shared" si="723"/>
        <v/>
      </c>
      <c r="EB442" s="319" t="e">
        <f>IF($J442="",#N/A,SUM(EA$4:EA442))</f>
        <v>#N/A</v>
      </c>
      <c r="EC442" s="320" t="str">
        <f t="shared" si="724"/>
        <v/>
      </c>
      <c r="ED442" s="320" t="e">
        <f>IF($J442="",#N/A,SUM(EC$4:EC442))</f>
        <v>#N/A</v>
      </c>
      <c r="EE442" s="321" t="str">
        <f t="shared" si="725"/>
        <v/>
      </c>
      <c r="EF442" s="321" t="e">
        <f>IF($J442="",#N/A,SUM(EE$4:EE442))</f>
        <v>#N/A</v>
      </c>
      <c r="EG442" s="321" t="e">
        <f>IF($J442="",#N/A,SUM(EE$4:EE442,EC$4:EC442,EA$4:EA442))</f>
        <v>#N/A</v>
      </c>
      <c r="EH442" s="80">
        <f t="shared" si="726"/>
        <v>18.44500000000005</v>
      </c>
      <c r="EI442" s="71">
        <f>IF(EH442="",#N/A,SUM($EH$4:EH442))</f>
        <v>2423.8173792974126</v>
      </c>
      <c r="EJ442" s="213" t="e">
        <f t="shared" si="727"/>
        <v>#N/A</v>
      </c>
      <c r="EK442" s="71" t="e">
        <f>IF($GZ442="",#N/A,SUM(EJ$4:EJ442))</f>
        <v>#N/A</v>
      </c>
      <c r="EL442" s="263">
        <f t="shared" si="757"/>
        <v>0.29919479373483426</v>
      </c>
      <c r="EM442" s="263">
        <f>IF(EL442="",NA(),SUM($EL$4:EL442))</f>
        <v>23.988046069309249</v>
      </c>
      <c r="EN442" s="60" t="str">
        <f t="shared" si="728"/>
        <v/>
      </c>
      <c r="EO442" s="263" t="e">
        <f>IF(EN442="",NA(),SUM($EN$4:EN442))</f>
        <v>#N/A</v>
      </c>
      <c r="EP442" s="60" t="str">
        <f t="shared" si="729"/>
        <v/>
      </c>
      <c r="EQ442" s="60" t="e">
        <f>IF(EP442="",NA(),SUM($EP$4:EP442))</f>
        <v>#N/A</v>
      </c>
      <c r="ER442" s="60">
        <f t="shared" si="730"/>
        <v>0.29919479373483426</v>
      </c>
      <c r="ES442" s="60">
        <f>IF(ER442="",NA(),SUM($ER$4:ER442))</f>
        <v>14.654487396928399</v>
      </c>
      <c r="ET442" s="263" t="str">
        <f t="shared" si="731"/>
        <v/>
      </c>
      <c r="EU442" s="263" t="e">
        <f>IF(ET442="",NA(),SUM($ET$4:ET442))</f>
        <v>#N/A</v>
      </c>
      <c r="EV442" s="60" t="str">
        <f t="shared" si="732"/>
        <v/>
      </c>
      <c r="EW442" s="60" t="e">
        <f>IF(EV442="",NA(),SUM($EV$4:EV442))</f>
        <v>#N/A</v>
      </c>
      <c r="EX442" s="60" t="str">
        <f t="shared" si="733"/>
        <v/>
      </c>
      <c r="EY442" s="60" t="e">
        <f>IF(EX442="",NA(),SUM($EX$4:EX442))</f>
        <v>#N/A</v>
      </c>
      <c r="EZ442" s="60" t="str">
        <f t="shared" si="734"/>
        <v/>
      </c>
      <c r="FA442" s="60" t="e">
        <f>IF(EZ442="",NA(),SUM($EZ$4:EZ442))</f>
        <v>#N/A</v>
      </c>
      <c r="FB442" s="271">
        <f t="shared" si="758"/>
        <v>4.2742113390688508E-2</v>
      </c>
      <c r="FC442" s="271">
        <f>IF($FB442="",#N/A,SUM(FB$4:$FB442))</f>
        <v>0.2159355488772659</v>
      </c>
      <c r="FD442" s="263" t="str">
        <f t="shared" si="735"/>
        <v/>
      </c>
      <c r="FE442" s="263" t="e">
        <f>IF($FD442="",#N/A,SUM($FD$4:FD442))</f>
        <v>#N/A</v>
      </c>
      <c r="FF442" s="263" t="str">
        <f t="shared" si="736"/>
        <v/>
      </c>
      <c r="FG442" s="263" t="e">
        <f>IF($FF442="",#N/A,SUM($FF$4:FF442))</f>
        <v>#N/A</v>
      </c>
      <c r="FH442" s="263" t="str">
        <f t="shared" si="737"/>
        <v/>
      </c>
      <c r="FI442" s="263" t="e">
        <f>IF($FH442="",#N/A,SUM($FH$4:FH442))</f>
        <v>#N/A</v>
      </c>
      <c r="FJ442" s="263" t="str">
        <f t="shared" si="738"/>
        <v/>
      </c>
      <c r="FK442" s="263" t="e">
        <f>IF($FJ442="",#N/A,SUM($FJ$4:FJ442))</f>
        <v>#N/A</v>
      </c>
      <c r="FL442" s="263" t="str">
        <f t="shared" si="739"/>
        <v/>
      </c>
      <c r="FM442" s="263" t="e">
        <f>IF($FL442="",#N/A,SUM($FL$4:FL442))</f>
        <v>#N/A</v>
      </c>
      <c r="FN442" s="83">
        <f t="shared" si="740"/>
        <v>0.34193690712552277</v>
      </c>
      <c r="FO442" s="83">
        <f>IF($FN442="",#N/A,SUM(FN$4:$FN442))</f>
        <v>50.117842621822923</v>
      </c>
      <c r="FP442" s="83">
        <f t="shared" si="759"/>
        <v>0.29919479373483426</v>
      </c>
      <c r="FQ442" s="271">
        <f>IF($EH442="",#N/A,SUM($FP$4:FP442))</f>
        <v>67.10656541152801</v>
      </c>
      <c r="FR442" s="83">
        <f>IFERROR(FQ442/COUNTA($J$4:J442),#N/A)</f>
        <v>0.15286233578935765</v>
      </c>
      <c r="FS442" s="83">
        <f t="shared" si="768"/>
        <v>0.30999678601098779</v>
      </c>
      <c r="FT442" s="83">
        <f t="shared" si="769"/>
        <v>0.19630299986435973</v>
      </c>
      <c r="FU442" s="339">
        <f t="shared" si="767"/>
        <v>30.434762891545589</v>
      </c>
      <c r="FV442" s="66" t="str">
        <f t="shared" si="765"/>
        <v>Dwn</v>
      </c>
      <c r="FW442" s="66" t="s">
        <v>2733</v>
      </c>
      <c r="FX442" s="66" t="str">
        <f t="shared" si="741"/>
        <v/>
      </c>
      <c r="FY442" s="66" t="str">
        <f t="shared" si="742"/>
        <v/>
      </c>
      <c r="FZ442" s="66" t="str">
        <f t="shared" si="743"/>
        <v/>
      </c>
      <c r="GA442" s="66" t="str">
        <f t="shared" si="744"/>
        <v>Short</v>
      </c>
      <c r="GB442" s="66">
        <f t="shared" si="745"/>
        <v>1</v>
      </c>
      <c r="GC442" s="66" t="str">
        <f t="shared" si="746"/>
        <v/>
      </c>
      <c r="GD442" s="66" t="str">
        <f t="shared" si="747"/>
        <v/>
      </c>
      <c r="GE442" s="70">
        <f t="shared" si="664"/>
        <v>60.44</v>
      </c>
      <c r="GF442" s="70" t="s">
        <v>2780</v>
      </c>
      <c r="GG442" s="201">
        <v>17</v>
      </c>
      <c r="GH442" s="208">
        <f t="shared" si="748"/>
        <v>1027.48</v>
      </c>
      <c r="GI442" s="201">
        <v>17</v>
      </c>
      <c r="GJ442" s="202">
        <v>59.52</v>
      </c>
      <c r="GK442" s="71">
        <f t="shared" si="749"/>
        <v>15.639999999999986</v>
      </c>
      <c r="GL442" s="71">
        <f t="shared" si="665"/>
        <v>21.079999999999927</v>
      </c>
      <c r="GM442" s="83" t="str">
        <f t="shared" si="750"/>
        <v/>
      </c>
      <c r="GN442" s="83">
        <f>IF($GZ442="",#N/A,SUM(GM$4:GM442))</f>
        <v>6.4472490209694229</v>
      </c>
      <c r="GO442" s="83" t="str">
        <f t="shared" si="751"/>
        <v/>
      </c>
      <c r="GP442" s="83">
        <f>IF($GZ442="",#N/A,SUM(GO$4:GO442))</f>
        <v>4.2788408366274897</v>
      </c>
      <c r="GQ442" s="83">
        <f t="shared" si="752"/>
        <v>0.34193690712552277</v>
      </c>
      <c r="GR442" s="83">
        <f>IF($GZ442="",#N/A,SUM(GQ$4:GQ442))</f>
        <v>38.765915809783685</v>
      </c>
      <c r="GS442" s="71" t="str">
        <f t="shared" si="760"/>
        <v/>
      </c>
      <c r="GT442" s="71" t="e">
        <f>IF($GZ442="",#N/A,SUM(GS$4:GS442))</f>
        <v>#N/A</v>
      </c>
      <c r="GU442" s="71" t="str">
        <f t="shared" si="761"/>
        <v/>
      </c>
      <c r="GV442" s="71" t="e">
        <f>IF($GZ442="",#N/A,SUM(GU$4:GU442))</f>
        <v>#N/A</v>
      </c>
      <c r="GW442" s="71" t="e">
        <f t="shared" si="762"/>
        <v>#N/A</v>
      </c>
      <c r="GX442" s="71" t="e">
        <f>IF($GZ442="",#N/A,SUM(GW$4:GW442))</f>
        <v>#N/A</v>
      </c>
      <c r="GY442" s="71" t="e">
        <f>IF(EJ442="",#N/A,SUM($EJ$4:EJ442))</f>
        <v>#N/A</v>
      </c>
      <c r="GZ442" s="160">
        <v>59.2</v>
      </c>
      <c r="HA442" s="71">
        <f t="shared" si="753"/>
        <v>2.6349999999998772</v>
      </c>
      <c r="HB442" s="70" t="s">
        <v>2538</v>
      </c>
      <c r="HC442" s="263">
        <f>IFERROR(VLOOKUP(E442,Expectancy!$P$4:$S$19,1+C442,FALSE),"")</f>
        <v>0.30769020202715358</v>
      </c>
      <c r="HD442" s="83">
        <f t="shared" si="754"/>
        <v>0.25369512464151756</v>
      </c>
      <c r="HE442" s="137">
        <f>IF(HD442="",#N/A,SUM($HD$4:HD442))</f>
        <v>22.141802519982424</v>
      </c>
      <c r="HF442" s="86">
        <f>IF(HD442="",#N/A,IF(HB442="Skip",#N/A,SUM($HG$4:HG442)))</f>
        <v>1241.6435792191564</v>
      </c>
      <c r="HG442" s="71">
        <f t="shared" si="755"/>
        <v>15.639999999999986</v>
      </c>
      <c r="HH442" s="82">
        <f t="shared" si="766"/>
        <v>0.34193690712552277</v>
      </c>
    </row>
    <row r="443" spans="1:216" x14ac:dyDescent="0.25">
      <c r="A443" s="72" t="s">
        <v>1347</v>
      </c>
      <c r="B443" s="73" t="str" cm="1">
        <f t="array" ref="B443">IFERROR(_xlfn.XLOOKUP(A443,Earnings!$B$2:$B$9985,LEFT(Earnings!$C$2:$C$9985,37)),"Can't Find Date***")</f>
        <v>on 3/20/25 After Market Eastern Stand</v>
      </c>
      <c r="C443" s="387">
        <f t="shared" si="667"/>
        <v>3</v>
      </c>
      <c r="D443" s="374" t="str">
        <f>_xlfn.XLOOKUP(A443,[1]SP500!$A$2:$A$502,[1]SP500!$D$2:$D$502,"N")</f>
        <v>Y</v>
      </c>
      <c r="E443" s="72" t="str">
        <f>_xlfn.XLOOKUP(A443,[1]SP500!$A$2:$A$655,[1]SP500!$B$2:$B$655)</f>
        <v>SMH</v>
      </c>
      <c r="F443" s="74">
        <v>45736</v>
      </c>
      <c r="G443" s="72" t="str">
        <f t="shared" si="668"/>
        <v>AMC</v>
      </c>
      <c r="H443" s="72" t="str">
        <f t="shared" si="669"/>
        <v>o</v>
      </c>
      <c r="I443" s="274">
        <v>103</v>
      </c>
      <c r="J443" s="161">
        <v>98.2</v>
      </c>
      <c r="K443" s="75">
        <f t="shared" si="670"/>
        <v>-4.6601941747572789E-2</v>
      </c>
      <c r="L443" s="88">
        <f t="shared" si="671"/>
        <v>-43.199999999999932</v>
      </c>
      <c r="M443" s="78" t="e">
        <f t="shared" si="663"/>
        <v>#N/A</v>
      </c>
      <c r="N443" s="166" t="str">
        <f t="shared" si="672"/>
        <v/>
      </c>
      <c r="O443" s="166">
        <f>IF($J443="",#N/A,SUM($N$4:N443))</f>
        <v>-328.04225475891064</v>
      </c>
      <c r="P443" s="171" t="str">
        <f t="shared" si="673"/>
        <v/>
      </c>
      <c r="Q443" s="171">
        <f>IF($J443="",#N/A,SUM($P$4:P443))</f>
        <v>1816.0404616610144</v>
      </c>
      <c r="R443" s="175">
        <f t="shared" si="674"/>
        <v>-43.199999999999932</v>
      </c>
      <c r="S443" s="175">
        <f>IF($J443="",#N/A,SUM($R$4:R443))</f>
        <v>892.61917239530942</v>
      </c>
      <c r="T443" s="299" t="str">
        <f t="shared" si="675"/>
        <v/>
      </c>
      <c r="U443" s="299">
        <f>IF($J443="",#N/A,SUM($T$4:T443))</f>
        <v>10.009379462148743</v>
      </c>
      <c r="V443" s="300" t="str">
        <f t="shared" si="676"/>
        <v/>
      </c>
      <c r="W443" s="300">
        <f>IF($J443="",#N/A,SUM($V$4:V443))</f>
        <v>40.973701998669185</v>
      </c>
      <c r="X443" s="301">
        <f t="shared" si="677"/>
        <v>-0.77669902912621236</v>
      </c>
      <c r="Y443" s="301">
        <f>IF($J443="",#N/A,SUM($X$4:X443))</f>
        <v>15.346784921583847</v>
      </c>
      <c r="Z443" s="310" t="str">
        <f t="shared" si="678"/>
        <v/>
      </c>
      <c r="AA443" s="322" t="e">
        <f>IF($J443="",#N/A,SUM(Z$4:Z443))</f>
        <v>#N/A</v>
      </c>
      <c r="AB443" s="323" t="str">
        <f t="shared" si="679"/>
        <v/>
      </c>
      <c r="AC443" s="323" t="e">
        <f>IF($J443="",#N/A,SUM(AB$4:AB443))</f>
        <v>#N/A</v>
      </c>
      <c r="AD443" s="324" t="str">
        <f t="shared" si="680"/>
        <v/>
      </c>
      <c r="AE443" s="324" t="e">
        <f>IF($J443="",#N/A,SUM(AD$4:AD443))</f>
        <v>#N/A</v>
      </c>
      <c r="AF443" s="324" t="e">
        <f>IF($J443="",#N/A,SUM(AD$4:AD443,AB$4:AB443,Z$4:Z443))</f>
        <v>#N/A</v>
      </c>
      <c r="AG443" s="310" t="str">
        <f t="shared" si="681"/>
        <v/>
      </c>
      <c r="AH443" s="322" t="e">
        <f>IF($J443="",#N/A,SUM(AG$4:AG443))</f>
        <v>#N/A</v>
      </c>
      <c r="AI443" s="323" t="str">
        <f t="shared" si="682"/>
        <v/>
      </c>
      <c r="AJ443" s="323" t="e">
        <f>IF($J443="",#N/A,SUM(AI$4:AI443))</f>
        <v>#N/A</v>
      </c>
      <c r="AK443" s="324" t="str">
        <f t="shared" si="683"/>
        <v/>
      </c>
      <c r="AL443" s="324" t="e">
        <f>IF($J443="",#N/A,SUM(AK$4:AK443))</f>
        <v>#N/A</v>
      </c>
      <c r="AM443" s="324" t="e">
        <f>IF($J443="",#N/A,SUM(AK$4:AK443,AI$4:AI443,AG$4:AG443))</f>
        <v>#N/A</v>
      </c>
      <c r="AN443" s="310" t="str">
        <f t="shared" si="684"/>
        <v/>
      </c>
      <c r="AO443" s="322" t="e">
        <f>IF($J443="",#N/A,SUM(AN$4:AN443))</f>
        <v>#N/A</v>
      </c>
      <c r="AP443" s="323" t="str">
        <f t="shared" si="685"/>
        <v/>
      </c>
      <c r="AQ443" s="323" t="e">
        <f>IF($J443="",#N/A,SUM(AP$4:AP443))</f>
        <v>#N/A</v>
      </c>
      <c r="AR443" s="324" t="str">
        <f t="shared" si="686"/>
        <v/>
      </c>
      <c r="AS443" s="324" t="e">
        <f>IF($J443="",#N/A,SUM(AR$4:AR443))</f>
        <v>#N/A</v>
      </c>
      <c r="AT443" s="324" t="e">
        <f>IF($J443="",#N/A,SUM(AR$4:AR443,AP$4:AP443,AN$4:AN443))</f>
        <v>#N/A</v>
      </c>
      <c r="AU443" s="310" t="str">
        <f t="shared" si="687"/>
        <v/>
      </c>
      <c r="AV443" s="322" t="e">
        <f>IF($J443="",#N/A,SUM(AU$4:AU443))</f>
        <v>#N/A</v>
      </c>
      <c r="AW443" s="323" t="str">
        <f t="shared" si="688"/>
        <v/>
      </c>
      <c r="AX443" s="323" t="e">
        <f>IF($J443="",#N/A,SUM(AW$4:AW443))</f>
        <v>#N/A</v>
      </c>
      <c r="AY443" s="324" t="str">
        <f t="shared" si="689"/>
        <v/>
      </c>
      <c r="AZ443" s="324" t="e">
        <f>IF($J443="",#N/A,SUM(AY$4:AY443))</f>
        <v>#N/A</v>
      </c>
      <c r="BA443" s="324" t="e">
        <f>IF($J443="",#N/A,SUM(AY$4:AY443,AW$4:AW443,AU$4:AU443))</f>
        <v>#N/A</v>
      </c>
      <c r="BB443" s="310" t="str">
        <f t="shared" si="690"/>
        <v/>
      </c>
      <c r="BC443" s="322" t="e">
        <f>IF($J443="",#N/A,SUM(BB$4:BB443))</f>
        <v>#N/A</v>
      </c>
      <c r="BD443" s="323" t="str">
        <f t="shared" si="691"/>
        <v/>
      </c>
      <c r="BE443" s="323" t="e">
        <f>IF($J443="",#N/A,SUM(BD$4:BD443))</f>
        <v>#N/A</v>
      </c>
      <c r="BF443" s="324" t="str">
        <f t="shared" si="692"/>
        <v/>
      </c>
      <c r="BG443" s="324" t="e">
        <f>IF($J443="",#N/A,SUM(BF$4:BF443))</f>
        <v>#N/A</v>
      </c>
      <c r="BH443" s="324" t="e">
        <f>IF($J443="",#N/A,SUM(BF$4:BF443,BD$4:BD443,BB$4:BB443))</f>
        <v>#N/A</v>
      </c>
      <c r="BI443" s="310" t="str">
        <f t="shared" si="693"/>
        <v/>
      </c>
      <c r="BJ443" s="322" t="e">
        <f>IF($J443="",#N/A,SUM(BI$4:BI443))</f>
        <v>#N/A</v>
      </c>
      <c r="BK443" s="323" t="str">
        <f t="shared" si="694"/>
        <v/>
      </c>
      <c r="BL443" s="323" t="e">
        <f>IF($J443="",#N/A,SUM(BK$4:BK443))</f>
        <v>#N/A</v>
      </c>
      <c r="BM443" s="324" t="str">
        <f t="shared" si="695"/>
        <v/>
      </c>
      <c r="BN443" s="324" t="e">
        <f>IF($J443="",#N/A,SUM(BM$4:BM443))</f>
        <v>#N/A</v>
      </c>
      <c r="BO443" s="324" t="e">
        <f>IF($J443="",#N/A,SUM(BM$4:BM443,BK$4:BK443,BI$4:BI443))</f>
        <v>#N/A</v>
      </c>
      <c r="BP443" s="310" t="str">
        <f t="shared" si="696"/>
        <v/>
      </c>
      <c r="BQ443" s="322" t="e">
        <f>IF($J443="",#N/A,SUM(BP$4:BP443))</f>
        <v>#N/A</v>
      </c>
      <c r="BR443" s="323" t="str">
        <f t="shared" si="697"/>
        <v/>
      </c>
      <c r="BS443" s="323" t="e">
        <f>IF($J443="",#N/A,SUM(BR$4:BR443))</f>
        <v>#N/A</v>
      </c>
      <c r="BT443" s="324" t="str">
        <f t="shared" si="698"/>
        <v/>
      </c>
      <c r="BU443" s="324" t="e">
        <f>IF($J443="",#N/A,SUM(BT$4:BT443))</f>
        <v>#N/A</v>
      </c>
      <c r="BV443" s="324" t="e">
        <f>IF($J443="",#N/A,SUM(BT$4:BT443,BR$4:BR443,BP$4:BP443))</f>
        <v>#N/A</v>
      </c>
      <c r="BW443" s="310" t="str">
        <f t="shared" si="699"/>
        <v/>
      </c>
      <c r="BX443" s="322" t="e">
        <f>IF($J443="",#N/A,SUM(BW$4:BW443))</f>
        <v>#N/A</v>
      </c>
      <c r="BY443" s="323" t="str">
        <f t="shared" si="700"/>
        <v/>
      </c>
      <c r="BZ443" s="323" t="e">
        <f>IF($J443="",#N/A,SUM(BY$4:BY443))</f>
        <v>#N/A</v>
      </c>
      <c r="CA443" s="324" t="str">
        <f t="shared" si="701"/>
        <v/>
      </c>
      <c r="CB443" s="324" t="e">
        <f>IF($J443="",#N/A,SUM(CA$4:CA443))</f>
        <v>#N/A</v>
      </c>
      <c r="CC443" s="324" t="e">
        <f>IF($J443="",#N/A,SUM(CA$4:CA443,BY$4:BY443,BW$4:BW443))</f>
        <v>#N/A</v>
      </c>
      <c r="CD443" s="310" t="str">
        <f t="shared" si="702"/>
        <v/>
      </c>
      <c r="CE443" s="322" t="e">
        <f>IF($J443="",#N/A,SUM(CD$4:CD443))</f>
        <v>#N/A</v>
      </c>
      <c r="CF443" s="323" t="str">
        <f t="shared" si="703"/>
        <v/>
      </c>
      <c r="CG443" s="323" t="e">
        <f>IF($J443="",#N/A,SUM(CF$4:CF443))</f>
        <v>#N/A</v>
      </c>
      <c r="CH443" s="324" t="str">
        <f t="shared" si="704"/>
        <v/>
      </c>
      <c r="CI443" s="324" t="e">
        <f>IF($J443="",#N/A,SUM(CH$4:CH443))</f>
        <v>#N/A</v>
      </c>
      <c r="CJ443" s="324" t="e">
        <f>IF($J443="",#N/A,SUM(CH$4:CH443,CF$4:CF443,CD$4:CD443))</f>
        <v>#N/A</v>
      </c>
      <c r="CK443" s="310" t="str">
        <f t="shared" si="705"/>
        <v/>
      </c>
      <c r="CL443" s="322" t="e">
        <f>IF($J443="",#N/A,SUM(CK$4:CK443))</f>
        <v>#N/A</v>
      </c>
      <c r="CM443" s="323" t="str">
        <f t="shared" si="706"/>
        <v/>
      </c>
      <c r="CN443" s="323" t="e">
        <f>IF($J443="",#N/A,SUM(CM$4:CM443))</f>
        <v>#N/A</v>
      </c>
      <c r="CO443" s="324">
        <f t="shared" si="707"/>
        <v>-0.77669902912621236</v>
      </c>
      <c r="CP443" s="324" t="e">
        <f>IF($J443="",#N/A,SUM(CO$4:CO443))</f>
        <v>#N/A</v>
      </c>
      <c r="CQ443" s="324" t="e">
        <f>IF($J443="",#N/A,SUM(CO$4:CO443,CM$4:CM443,CK$4:CK443))</f>
        <v>#N/A</v>
      </c>
      <c r="CR443" s="310" t="str">
        <f t="shared" si="708"/>
        <v/>
      </c>
      <c r="CS443" s="322" t="e">
        <f>IF($J443="",#N/A,SUM(CR$4:CR443))</f>
        <v>#N/A</v>
      </c>
      <c r="CT443" s="323" t="str">
        <f t="shared" si="709"/>
        <v/>
      </c>
      <c r="CU443" s="323" t="e">
        <f>IF($J443="",#N/A,SUM(CT$4:CT443))</f>
        <v>#N/A</v>
      </c>
      <c r="CV443" s="324" t="str">
        <f t="shared" si="710"/>
        <v/>
      </c>
      <c r="CW443" s="324" t="e">
        <f>IF($J443="",#N/A,SUM(CV$4:CV443))</f>
        <v>#N/A</v>
      </c>
      <c r="CX443" s="324" t="e">
        <f>IF($J443="",#N/A,SUM(CV$4:CV443,CT$4:CT443,CR$4:CR443))</f>
        <v>#N/A</v>
      </c>
      <c r="CY443" s="310" t="str">
        <f t="shared" si="711"/>
        <v/>
      </c>
      <c r="CZ443" s="322" t="e">
        <f>IF($J443="",#N/A,SUM(CY$4:CY443))</f>
        <v>#N/A</v>
      </c>
      <c r="DA443" s="323" t="str">
        <f t="shared" si="712"/>
        <v/>
      </c>
      <c r="DB443" s="323" t="e">
        <f>IF($J443="",#N/A,SUM(DA$4:DA443))</f>
        <v>#N/A</v>
      </c>
      <c r="DC443" s="324" t="str">
        <f t="shared" si="713"/>
        <v/>
      </c>
      <c r="DD443" s="324" t="e">
        <f>IF($J443="",#N/A,SUM(DC$4:DC443))</f>
        <v>#N/A</v>
      </c>
      <c r="DE443" s="324" t="e">
        <f>IF($J443="",#N/A,SUM(DC$4:DC443,DA$4:DA443,CY$4:CY443))</f>
        <v>#N/A</v>
      </c>
      <c r="DF443" s="310" t="str">
        <f t="shared" si="714"/>
        <v/>
      </c>
      <c r="DG443" s="322" t="e">
        <f>IF($J443="",#N/A,SUM(DF$4:DF443))</f>
        <v>#N/A</v>
      </c>
      <c r="DH443" s="323" t="str">
        <f t="shared" si="715"/>
        <v/>
      </c>
      <c r="DI443" s="323" t="e">
        <f>IF($J443="",#N/A,SUM(DH$4:DH443))</f>
        <v>#N/A</v>
      </c>
      <c r="DJ443" s="324" t="str">
        <f t="shared" si="716"/>
        <v/>
      </c>
      <c r="DK443" s="324" t="e">
        <f>IF($J443="",#N/A,SUM(DJ$4:DJ443))</f>
        <v>#N/A</v>
      </c>
      <c r="DL443" s="324" t="e">
        <f>IF($J443="",#N/A,SUM(DJ$4:DJ443,DH$4:DH443,DF$4:DF443))</f>
        <v>#N/A</v>
      </c>
      <c r="DM443" s="310" t="str">
        <f t="shared" si="717"/>
        <v/>
      </c>
      <c r="DN443" s="322" t="e">
        <f>IF($J443="",#N/A,SUM(DM$4:DM443))</f>
        <v>#N/A</v>
      </c>
      <c r="DO443" s="323" t="str">
        <f t="shared" si="718"/>
        <v/>
      </c>
      <c r="DP443" s="323" t="e">
        <f>IF($J443="",#N/A,SUM(DO$4:DO443))</f>
        <v>#N/A</v>
      </c>
      <c r="DQ443" s="324" t="str">
        <f t="shared" si="719"/>
        <v/>
      </c>
      <c r="DR443" s="324" t="e">
        <f>IF($J443="",#N/A,SUM(DQ$4:DQ443))</f>
        <v>#N/A</v>
      </c>
      <c r="DS443" s="324" t="e">
        <f>IF($J443="",#N/A,SUM(DQ$4:DQ443,DO$4:DO443,DM$4:DM443))</f>
        <v>#N/A</v>
      </c>
      <c r="DT443" s="310" t="str">
        <f t="shared" si="720"/>
        <v/>
      </c>
      <c r="DU443" s="322" t="e">
        <f>IF($J443="",#N/A,SUM(DT$4:DT443))</f>
        <v>#N/A</v>
      </c>
      <c r="DV443" s="323" t="str">
        <f t="shared" si="721"/>
        <v/>
      </c>
      <c r="DW443" s="323" t="e">
        <f>IF($J443="",#N/A,SUM(DV$4:DV443))</f>
        <v>#N/A</v>
      </c>
      <c r="DX443" s="324" t="str">
        <f t="shared" si="722"/>
        <v/>
      </c>
      <c r="DY443" s="324" t="e">
        <f>IF($J443="",#N/A,SUM(DX$4:DX443))</f>
        <v>#N/A</v>
      </c>
      <c r="DZ443" s="324" t="e">
        <f>IF($J443="",#N/A,SUM(DX$4:DX443,DV$4:DV443,DT$4:DT443))</f>
        <v>#N/A</v>
      </c>
      <c r="EA443" s="310" t="str">
        <f t="shared" si="723"/>
        <v/>
      </c>
      <c r="EB443" s="322" t="e">
        <f>IF($J443="",#N/A,SUM(EA$4:EA443))</f>
        <v>#N/A</v>
      </c>
      <c r="EC443" s="323" t="str">
        <f t="shared" si="724"/>
        <v/>
      </c>
      <c r="ED443" s="323" t="e">
        <f>IF($J443="",#N/A,SUM(EC$4:EC443))</f>
        <v>#N/A</v>
      </c>
      <c r="EE443" s="324" t="str">
        <f t="shared" si="725"/>
        <v/>
      </c>
      <c r="EF443" s="324" t="e">
        <f>IF($J443="",#N/A,SUM(EE$4:EE443))</f>
        <v>#N/A</v>
      </c>
      <c r="EG443" s="324" t="e">
        <f>IF($J443="",#N/A,SUM(EE$4:EE443,EC$4:EC443,EA$4:EA443))</f>
        <v>#N/A</v>
      </c>
      <c r="EH443" s="78">
        <f t="shared" si="726"/>
        <v>-43.199999999999932</v>
      </c>
      <c r="EI443" s="77">
        <f>IF(EH443="",#N/A,SUM($EH$4:EH443))</f>
        <v>2380.6173792974128</v>
      </c>
      <c r="EJ443" s="212" t="e">
        <f t="shared" si="727"/>
        <v>#N/A</v>
      </c>
      <c r="EK443" s="77" t="e">
        <f>IF($GZ443="",#N/A,SUM(EJ$4:EJ443))</f>
        <v>#N/A</v>
      </c>
      <c r="EL443" s="255">
        <f t="shared" si="757"/>
        <v>-0.77669902912621236</v>
      </c>
      <c r="EM443" s="255">
        <f>IF(EL443="",NA(),SUM($EL$4:EL443))</f>
        <v>23.211347040183036</v>
      </c>
      <c r="EN443" s="255" t="str">
        <f t="shared" si="728"/>
        <v/>
      </c>
      <c r="EO443" s="255" t="e">
        <f>IF(EN443="",NA(),SUM($EN$4:EN443))</f>
        <v>#N/A</v>
      </c>
      <c r="EP443" s="255">
        <f t="shared" si="729"/>
        <v>-0.77669902912621236</v>
      </c>
      <c r="EQ443" s="255">
        <f>IF(EP443="",NA(),SUM($EP$4:EP443))</f>
        <v>4.5504631709886496</v>
      </c>
      <c r="ER443" s="255" t="str">
        <f t="shared" si="730"/>
        <v/>
      </c>
      <c r="ES443" s="255" t="e">
        <f>IF(ER443="",NA(),SUM($ER$4:ER443))</f>
        <v>#N/A</v>
      </c>
      <c r="ET443" s="255" t="str">
        <f t="shared" si="731"/>
        <v/>
      </c>
      <c r="EU443" s="255" t="e">
        <f>IF(ET443="",NA(),SUM($ET$4:ET443))</f>
        <v>#N/A</v>
      </c>
      <c r="EV443" s="255" t="str">
        <f t="shared" si="732"/>
        <v/>
      </c>
      <c r="EW443" s="255" t="e">
        <f>IF(EV443="",NA(),SUM($EV$4:EV443))</f>
        <v>#N/A</v>
      </c>
      <c r="EX443" s="255" t="str">
        <f t="shared" si="733"/>
        <v/>
      </c>
      <c r="EY443" s="255" t="e">
        <f>IF(EX443="",NA(),SUM($EX$4:EX443))</f>
        <v>#N/A</v>
      </c>
      <c r="EZ443" s="255" t="str">
        <f t="shared" si="734"/>
        <v/>
      </c>
      <c r="FA443" s="255" t="e">
        <f>IF(EZ443="",NA(),SUM($EZ$4:EZ443))</f>
        <v>#N/A</v>
      </c>
      <c r="FB443" s="272" t="str">
        <f t="shared" si="758"/>
        <v/>
      </c>
      <c r="FC443" s="272" t="e">
        <f>IF($FB443="",#N/A,SUM(FB$4:$FB443))</f>
        <v>#N/A</v>
      </c>
      <c r="FD443" s="255" t="str">
        <f t="shared" si="735"/>
        <v/>
      </c>
      <c r="FE443" s="255" t="e">
        <f>IF($FD443="",#N/A,SUM($FD$4:FD443))</f>
        <v>#N/A</v>
      </c>
      <c r="FF443" s="255" t="str">
        <f t="shared" si="736"/>
        <v/>
      </c>
      <c r="FG443" s="255" t="e">
        <f>IF($FF443="",#N/A,SUM($FF$4:FF443))</f>
        <v>#N/A</v>
      </c>
      <c r="FH443" s="255" t="str">
        <f t="shared" si="737"/>
        <v/>
      </c>
      <c r="FI443" s="255" t="e">
        <f>IF($FH443="",#N/A,SUM($FH$4:FH443))</f>
        <v>#N/A</v>
      </c>
      <c r="FJ443" s="255" t="str">
        <f t="shared" si="738"/>
        <v/>
      </c>
      <c r="FK443" s="255" t="e">
        <f>IF($FJ443="",#N/A,SUM($FJ$4:FJ443))</f>
        <v>#N/A</v>
      </c>
      <c r="FL443" s="255">
        <f t="shared" si="739"/>
        <v>-0.56310679611650571</v>
      </c>
      <c r="FM443" s="255">
        <f>IF($FL443="",#N/A,SUM($FL$4:FL443))</f>
        <v>-2.1989846123441525</v>
      </c>
      <c r="FN443" s="81">
        <f t="shared" si="740"/>
        <v>-1.3398058252427181</v>
      </c>
      <c r="FO443" s="81">
        <f>IF($FN443="",#N/A,SUM(FN$4:$FN443))</f>
        <v>48.778036796580203</v>
      </c>
      <c r="FP443" s="81">
        <f t="shared" si="759"/>
        <v>-0.77669902912621236</v>
      </c>
      <c r="FQ443" s="272">
        <f>IF($EH443="",#N/A,SUM($FP$4:FP443))</f>
        <v>66.329866382401804</v>
      </c>
      <c r="FR443" s="81">
        <f>IFERROR(FQ443/COUNTA($J$4:J443),#N/A)</f>
        <v>0.15074969632364046</v>
      </c>
      <c r="FS443" s="81">
        <f t="shared" si="768"/>
        <v>0.31569993795188028</v>
      </c>
      <c r="FT443" s="81">
        <f t="shared" si="769"/>
        <v>0.14511980907264216</v>
      </c>
      <c r="FU443" s="337">
        <f t="shared" si="767"/>
        <v>29.115976483778603</v>
      </c>
      <c r="FV443" s="72" t="str">
        <f t="shared" si="765"/>
        <v>SW</v>
      </c>
      <c r="FW443" s="72" t="s">
        <v>2732</v>
      </c>
      <c r="FX443" s="72" t="str">
        <f t="shared" si="741"/>
        <v/>
      </c>
      <c r="FY443" s="72" t="str">
        <f t="shared" si="742"/>
        <v/>
      </c>
      <c r="FZ443" s="72" t="str">
        <f t="shared" si="743"/>
        <v/>
      </c>
      <c r="GA443" s="72" t="str">
        <f t="shared" si="744"/>
        <v>Long</v>
      </c>
      <c r="GB443" s="72" t="str">
        <f t="shared" si="745"/>
        <v/>
      </c>
      <c r="GC443" s="72" t="str">
        <f t="shared" si="746"/>
        <v/>
      </c>
      <c r="GD443" s="72">
        <f t="shared" si="747"/>
        <v>1</v>
      </c>
      <c r="GE443" s="76">
        <f t="shared" ref="GE443:GE448" si="770">IF(I443="","",I443)</f>
        <v>103</v>
      </c>
      <c r="GF443" s="76" t="s">
        <v>2779</v>
      </c>
      <c r="GG443" s="203">
        <v>9</v>
      </c>
      <c r="GH443" s="209">
        <f t="shared" si="748"/>
        <v>927</v>
      </c>
      <c r="GI443" s="203">
        <v>9</v>
      </c>
      <c r="GJ443" s="204">
        <v>106.3501</v>
      </c>
      <c r="GK443" s="77">
        <f t="shared" si="749"/>
        <v>30.150899999999979</v>
      </c>
      <c r="GL443" s="77">
        <f t="shared" si="665"/>
        <v>-74.519999999999982</v>
      </c>
      <c r="GM443" s="81">
        <f t="shared" si="750"/>
        <v>-1.3398058252427181</v>
      </c>
      <c r="GN443" s="81">
        <f>IF($GZ443="",#N/A,SUM(GM$4:GM443))</f>
        <v>5.107443195726705</v>
      </c>
      <c r="GO443" s="81" t="str">
        <f t="shared" si="751"/>
        <v/>
      </c>
      <c r="GP443" s="81">
        <f>IF($GZ443="",#N/A,SUM(GO$4:GO443))</f>
        <v>4.2788408366274897</v>
      </c>
      <c r="GQ443" s="81" t="str">
        <f t="shared" si="752"/>
        <v/>
      </c>
      <c r="GR443" s="81">
        <f>IF($GZ443="",#N/A,SUM(GQ$4:GQ443))</f>
        <v>38.765915809783685</v>
      </c>
      <c r="GS443" s="77" t="e">
        <f t="shared" si="760"/>
        <v>#N/A</v>
      </c>
      <c r="GT443" s="77" t="e">
        <f>IF($GZ443="",#N/A,SUM(GS$4:GS443))</f>
        <v>#N/A</v>
      </c>
      <c r="GU443" s="77" t="str">
        <f t="shared" si="761"/>
        <v/>
      </c>
      <c r="GV443" s="77" t="e">
        <f>IF($GZ443="",#N/A,SUM(GU$4:GU443))</f>
        <v>#N/A</v>
      </c>
      <c r="GW443" s="77" t="str">
        <f t="shared" si="762"/>
        <v/>
      </c>
      <c r="GX443" s="77" t="e">
        <f>IF($GZ443="",#N/A,SUM(GW$4:GW443))</f>
        <v>#N/A</v>
      </c>
      <c r="GY443" s="77" t="e">
        <f>IF(EJ443="",#N/A,SUM($EJ$4:EJ443))</f>
        <v>#N/A</v>
      </c>
      <c r="GZ443" s="161">
        <v>94.72</v>
      </c>
      <c r="HA443" s="77">
        <f t="shared" si="753"/>
        <v>-31.32000000000005</v>
      </c>
      <c r="HB443" s="76" t="s">
        <v>4734</v>
      </c>
      <c r="HC443" s="255">
        <f>IFERROR(VLOOKUP(E443,Expectancy!$P$4:$S$19,1+C443,FALSE),"")</f>
        <v>-0.16876070792161713</v>
      </c>
      <c r="HD443" s="81">
        <f t="shared" si="754"/>
        <v>0.54208737864077639</v>
      </c>
      <c r="HE443" s="136">
        <f>IF(HD443="",#N/A,SUM($HD$4:HD443))</f>
        <v>22.6838898986232</v>
      </c>
      <c r="HF443" s="84">
        <f>IF(HD443="",#N/A,IF(HB443="Skip",#N/A,SUM($HG$4:HG443)))</f>
        <v>1271.7944792191565</v>
      </c>
      <c r="HG443" s="77">
        <f t="shared" si="755"/>
        <v>30.150899999999979</v>
      </c>
      <c r="HH443" s="82">
        <f t="shared" si="766"/>
        <v>-1.3398058252427181</v>
      </c>
    </row>
    <row r="444" spans="1:216" x14ac:dyDescent="0.25">
      <c r="A444" s="57" t="s">
        <v>1346</v>
      </c>
      <c r="B444" s="58" t="str" cm="1">
        <f t="array" ref="B444">IFERROR(_xlfn.XLOOKUP(A444,Earnings!$B$2:$B$9985,LEFT(Earnings!$C$2:$C$9985,37)),"Can't Find Date***")</f>
        <v>on 3/20/25 After Market Eastern Stand</v>
      </c>
      <c r="C444" s="386">
        <f t="shared" si="667"/>
        <v>2</v>
      </c>
      <c r="D444" s="372" t="str">
        <f>_xlfn.XLOOKUP(A444,[1]SP500!$A$2:$A$502,[1]SP500!$D$2:$D$502,"N")</f>
        <v>Y</v>
      </c>
      <c r="E444" s="57" t="str">
        <f>_xlfn.XLOOKUP(A444,[1]SP500!$A$2:$A$655,[1]SP500!$B$2:$B$655)</f>
        <v>XLY</v>
      </c>
      <c r="F444" s="59">
        <v>45736</v>
      </c>
      <c r="G444" s="57" t="str">
        <f t="shared" si="668"/>
        <v>AMC</v>
      </c>
      <c r="H444" s="57" t="str">
        <f t="shared" si="669"/>
        <v>o</v>
      </c>
      <c r="I444" s="159">
        <v>71.86</v>
      </c>
      <c r="J444" s="159">
        <v>66.59</v>
      </c>
      <c r="K444" s="61">
        <f t="shared" si="670"/>
        <v>-7.3337044252713549E-2</v>
      </c>
      <c r="L444" s="87">
        <f t="shared" si="671"/>
        <v>88.139999999999986</v>
      </c>
      <c r="M444" s="130" t="e">
        <f t="shared" si="663"/>
        <v>#N/A</v>
      </c>
      <c r="N444" s="169" t="str">
        <f t="shared" si="672"/>
        <v/>
      </c>
      <c r="O444" s="169">
        <f>IF($J444="",#N/A,SUM($N$4:N444))</f>
        <v>-328.04225475891064</v>
      </c>
      <c r="P444" s="174">
        <f t="shared" si="673"/>
        <v>88.139999999999986</v>
      </c>
      <c r="Q444" s="174">
        <f>IF($J444="",#N/A,SUM($P$4:P444))</f>
        <v>1904.1804616610143</v>
      </c>
      <c r="R444" s="178" t="str">
        <f t="shared" si="674"/>
        <v/>
      </c>
      <c r="S444" s="178">
        <f>IF($J444="",#N/A,SUM($R$4:R444))</f>
        <v>892.61917239530942</v>
      </c>
      <c r="T444" s="290" t="str">
        <f t="shared" si="675"/>
        <v/>
      </c>
      <c r="U444" s="290">
        <f>IF($J444="",#N/A,SUM($T$4:T444))</f>
        <v>10.009379462148743</v>
      </c>
      <c r="V444" s="291">
        <f t="shared" si="676"/>
        <v>1.5401390213983914</v>
      </c>
      <c r="W444" s="291">
        <f>IF($J444="",#N/A,SUM($V$4:V444))</f>
        <v>42.513841020067574</v>
      </c>
      <c r="X444" s="292" t="str">
        <f t="shared" si="677"/>
        <v/>
      </c>
      <c r="Y444" s="292">
        <f>IF($J444="",#N/A,SUM($X$4:X444))</f>
        <v>15.346784921583847</v>
      </c>
      <c r="Z444" s="304" t="str">
        <f t="shared" si="678"/>
        <v/>
      </c>
      <c r="AA444" s="313" t="e">
        <f>IF($J444="",#N/A,SUM(Z$4:Z444))</f>
        <v>#N/A</v>
      </c>
      <c r="AB444" s="314" t="str">
        <f t="shared" si="679"/>
        <v/>
      </c>
      <c r="AC444" s="314" t="e">
        <f>IF($J444="",#N/A,SUM(AB$4:AB444))</f>
        <v>#N/A</v>
      </c>
      <c r="AD444" s="315" t="str">
        <f t="shared" si="680"/>
        <v/>
      </c>
      <c r="AE444" s="315" t="e">
        <f>IF($J444="",#N/A,SUM(AD$4:AD444))</f>
        <v>#N/A</v>
      </c>
      <c r="AF444" s="315" t="e">
        <f>IF($J444="",#N/A,SUM(AD$4:AD444,AB$4:AB444,Z$4:Z444))</f>
        <v>#N/A</v>
      </c>
      <c r="AG444" s="304" t="str">
        <f t="shared" si="681"/>
        <v/>
      </c>
      <c r="AH444" s="313" t="e">
        <f>IF($J444="",#N/A,SUM(AG$4:AG444))</f>
        <v>#N/A</v>
      </c>
      <c r="AI444" s="314" t="str">
        <f t="shared" si="682"/>
        <v/>
      </c>
      <c r="AJ444" s="314" t="e">
        <f>IF($J444="",#N/A,SUM(AI$4:AI444))</f>
        <v>#N/A</v>
      </c>
      <c r="AK444" s="315" t="str">
        <f t="shared" si="683"/>
        <v/>
      </c>
      <c r="AL444" s="315" t="e">
        <f>IF($J444="",#N/A,SUM(AK$4:AK444))</f>
        <v>#N/A</v>
      </c>
      <c r="AM444" s="315" t="e">
        <f>IF($J444="",#N/A,SUM(AK$4:AK444,AI$4:AI444,AG$4:AG444))</f>
        <v>#N/A</v>
      </c>
      <c r="AN444" s="304" t="str">
        <f t="shared" si="684"/>
        <v/>
      </c>
      <c r="AO444" s="313" t="e">
        <f>IF($J444="",#N/A,SUM(AN$4:AN444))</f>
        <v>#N/A</v>
      </c>
      <c r="AP444" s="314">
        <f t="shared" si="685"/>
        <v>1.5401390213983914</v>
      </c>
      <c r="AQ444" s="314" t="e">
        <f>IF($J444="",#N/A,SUM(AP$4:AP444))</f>
        <v>#N/A</v>
      </c>
      <c r="AR444" s="315" t="str">
        <f t="shared" si="686"/>
        <v/>
      </c>
      <c r="AS444" s="315" t="e">
        <f>IF($J444="",#N/A,SUM(AR$4:AR444))</f>
        <v>#N/A</v>
      </c>
      <c r="AT444" s="315" t="e">
        <f>IF($J444="",#N/A,SUM(AR$4:AR444,AP$4:AP444,AN$4:AN444))</f>
        <v>#N/A</v>
      </c>
      <c r="AU444" s="304" t="str">
        <f t="shared" si="687"/>
        <v/>
      </c>
      <c r="AV444" s="313" t="e">
        <f>IF($J444="",#N/A,SUM(AU$4:AU444))</f>
        <v>#N/A</v>
      </c>
      <c r="AW444" s="314" t="str">
        <f t="shared" si="688"/>
        <v/>
      </c>
      <c r="AX444" s="314" t="e">
        <f>IF($J444="",#N/A,SUM(AW$4:AW444))</f>
        <v>#N/A</v>
      </c>
      <c r="AY444" s="315" t="str">
        <f t="shared" si="689"/>
        <v/>
      </c>
      <c r="AZ444" s="315" t="e">
        <f>IF($J444="",#N/A,SUM(AY$4:AY444))</f>
        <v>#N/A</v>
      </c>
      <c r="BA444" s="315" t="e">
        <f>IF($J444="",#N/A,SUM(AY$4:AY444,AW$4:AW444,AU$4:AU444))</f>
        <v>#N/A</v>
      </c>
      <c r="BB444" s="304" t="str">
        <f t="shared" si="690"/>
        <v/>
      </c>
      <c r="BC444" s="313" t="e">
        <f>IF($J444="",#N/A,SUM(BB$4:BB444))</f>
        <v>#N/A</v>
      </c>
      <c r="BD444" s="314" t="str">
        <f t="shared" si="691"/>
        <v/>
      </c>
      <c r="BE444" s="314" t="e">
        <f>IF($J444="",#N/A,SUM(BD$4:BD444))</f>
        <v>#N/A</v>
      </c>
      <c r="BF444" s="315" t="str">
        <f t="shared" si="692"/>
        <v/>
      </c>
      <c r="BG444" s="315" t="e">
        <f>IF($J444="",#N/A,SUM(BF$4:BF444))</f>
        <v>#N/A</v>
      </c>
      <c r="BH444" s="315" t="e">
        <f>IF($J444="",#N/A,SUM(BF$4:BF444,BD$4:BD444,BB$4:BB444))</f>
        <v>#N/A</v>
      </c>
      <c r="BI444" s="304" t="str">
        <f t="shared" si="693"/>
        <v/>
      </c>
      <c r="BJ444" s="313" t="e">
        <f>IF($J444="",#N/A,SUM(BI$4:BI444))</f>
        <v>#N/A</v>
      </c>
      <c r="BK444" s="314" t="str">
        <f t="shared" si="694"/>
        <v/>
      </c>
      <c r="BL444" s="314" t="e">
        <f>IF($J444="",#N/A,SUM(BK$4:BK444))</f>
        <v>#N/A</v>
      </c>
      <c r="BM444" s="315" t="str">
        <f t="shared" si="695"/>
        <v/>
      </c>
      <c r="BN444" s="315" t="e">
        <f>IF($J444="",#N/A,SUM(BM$4:BM444))</f>
        <v>#N/A</v>
      </c>
      <c r="BO444" s="315" t="e">
        <f>IF($J444="",#N/A,SUM(BM$4:BM444,BK$4:BK444,BI$4:BI444))</f>
        <v>#N/A</v>
      </c>
      <c r="BP444" s="304" t="str">
        <f t="shared" si="696"/>
        <v/>
      </c>
      <c r="BQ444" s="313" t="e">
        <f>IF($J444="",#N/A,SUM(BP$4:BP444))</f>
        <v>#N/A</v>
      </c>
      <c r="BR444" s="314" t="str">
        <f t="shared" si="697"/>
        <v/>
      </c>
      <c r="BS444" s="314" t="e">
        <f>IF($J444="",#N/A,SUM(BR$4:BR444))</f>
        <v>#N/A</v>
      </c>
      <c r="BT444" s="315" t="str">
        <f t="shared" si="698"/>
        <v/>
      </c>
      <c r="BU444" s="315" t="e">
        <f>IF($J444="",#N/A,SUM(BT$4:BT444))</f>
        <v>#N/A</v>
      </c>
      <c r="BV444" s="315" t="e">
        <f>IF($J444="",#N/A,SUM(BT$4:BT444,BR$4:BR444,BP$4:BP444))</f>
        <v>#N/A</v>
      </c>
      <c r="BW444" s="304" t="str">
        <f t="shared" si="699"/>
        <v/>
      </c>
      <c r="BX444" s="313" t="e">
        <f>IF($J444="",#N/A,SUM(BW$4:BW444))</f>
        <v>#N/A</v>
      </c>
      <c r="BY444" s="314" t="str">
        <f t="shared" si="700"/>
        <v/>
      </c>
      <c r="BZ444" s="314" t="e">
        <f>IF($J444="",#N/A,SUM(BY$4:BY444))</f>
        <v>#N/A</v>
      </c>
      <c r="CA444" s="315" t="str">
        <f t="shared" si="701"/>
        <v/>
      </c>
      <c r="CB444" s="315" t="e">
        <f>IF($J444="",#N/A,SUM(CA$4:CA444))</f>
        <v>#N/A</v>
      </c>
      <c r="CC444" s="315" t="e">
        <f>IF($J444="",#N/A,SUM(CA$4:CA444,BY$4:BY444,BW$4:BW444))</f>
        <v>#N/A</v>
      </c>
      <c r="CD444" s="304" t="str">
        <f t="shared" si="702"/>
        <v/>
      </c>
      <c r="CE444" s="313" t="e">
        <f>IF($J444="",#N/A,SUM(CD$4:CD444))</f>
        <v>#N/A</v>
      </c>
      <c r="CF444" s="314" t="str">
        <f t="shared" si="703"/>
        <v/>
      </c>
      <c r="CG444" s="314" t="e">
        <f>IF($J444="",#N/A,SUM(CF$4:CF444))</f>
        <v>#N/A</v>
      </c>
      <c r="CH444" s="315" t="str">
        <f t="shared" si="704"/>
        <v/>
      </c>
      <c r="CI444" s="315" t="e">
        <f>IF($J444="",#N/A,SUM(CH$4:CH444))</f>
        <v>#N/A</v>
      </c>
      <c r="CJ444" s="315" t="e">
        <f>IF($J444="",#N/A,SUM(CH$4:CH444,CF$4:CF444,CD$4:CD444))</f>
        <v>#N/A</v>
      </c>
      <c r="CK444" s="304" t="str">
        <f t="shared" si="705"/>
        <v/>
      </c>
      <c r="CL444" s="313" t="e">
        <f>IF($J444="",#N/A,SUM(CK$4:CK444))</f>
        <v>#N/A</v>
      </c>
      <c r="CM444" s="314" t="str">
        <f t="shared" si="706"/>
        <v/>
      </c>
      <c r="CN444" s="314" t="e">
        <f>IF($J444="",#N/A,SUM(CM$4:CM444))</f>
        <v>#N/A</v>
      </c>
      <c r="CO444" s="315" t="str">
        <f t="shared" si="707"/>
        <v/>
      </c>
      <c r="CP444" s="315" t="e">
        <f>IF($J444="",#N/A,SUM(CO$4:CO444))</f>
        <v>#N/A</v>
      </c>
      <c r="CQ444" s="315" t="e">
        <f>IF($J444="",#N/A,SUM(CO$4:CO444,CM$4:CM444,CK$4:CK444))</f>
        <v>#N/A</v>
      </c>
      <c r="CR444" s="304" t="str">
        <f t="shared" si="708"/>
        <v/>
      </c>
      <c r="CS444" s="313" t="e">
        <f>IF($J444="",#N/A,SUM(CR$4:CR444))</f>
        <v>#N/A</v>
      </c>
      <c r="CT444" s="314" t="str">
        <f t="shared" si="709"/>
        <v/>
      </c>
      <c r="CU444" s="314" t="e">
        <f>IF($J444="",#N/A,SUM(CT$4:CT444))</f>
        <v>#N/A</v>
      </c>
      <c r="CV444" s="315" t="str">
        <f t="shared" si="710"/>
        <v/>
      </c>
      <c r="CW444" s="315" t="e">
        <f>IF($J444="",#N/A,SUM(CV$4:CV444))</f>
        <v>#N/A</v>
      </c>
      <c r="CX444" s="315" t="e">
        <f>IF($J444="",#N/A,SUM(CV$4:CV444,CT$4:CT444,CR$4:CR444))</f>
        <v>#N/A</v>
      </c>
      <c r="CY444" s="304" t="str">
        <f t="shared" si="711"/>
        <v/>
      </c>
      <c r="CZ444" s="313" t="e">
        <f>IF($J444="",#N/A,SUM(CY$4:CY444))</f>
        <v>#N/A</v>
      </c>
      <c r="DA444" s="314" t="str">
        <f t="shared" si="712"/>
        <v/>
      </c>
      <c r="DB444" s="314" t="e">
        <f>IF($J444="",#N/A,SUM(DA$4:DA444))</f>
        <v>#N/A</v>
      </c>
      <c r="DC444" s="315" t="str">
        <f t="shared" si="713"/>
        <v/>
      </c>
      <c r="DD444" s="315" t="e">
        <f>IF($J444="",#N/A,SUM(DC$4:DC444))</f>
        <v>#N/A</v>
      </c>
      <c r="DE444" s="315" t="e">
        <f>IF($J444="",#N/A,SUM(DC$4:DC444,DA$4:DA444,CY$4:CY444))</f>
        <v>#N/A</v>
      </c>
      <c r="DF444" s="304" t="str">
        <f t="shared" si="714"/>
        <v/>
      </c>
      <c r="DG444" s="313" t="e">
        <f>IF($J444="",#N/A,SUM(DF$4:DF444))</f>
        <v>#N/A</v>
      </c>
      <c r="DH444" s="314" t="str">
        <f t="shared" si="715"/>
        <v/>
      </c>
      <c r="DI444" s="314" t="e">
        <f>IF($J444="",#N/A,SUM(DH$4:DH444))</f>
        <v>#N/A</v>
      </c>
      <c r="DJ444" s="315" t="str">
        <f t="shared" si="716"/>
        <v/>
      </c>
      <c r="DK444" s="315" t="e">
        <f>IF($J444="",#N/A,SUM(DJ$4:DJ444))</f>
        <v>#N/A</v>
      </c>
      <c r="DL444" s="315" t="e">
        <f>IF($J444="",#N/A,SUM(DJ$4:DJ444,DH$4:DH444,DF$4:DF444))</f>
        <v>#N/A</v>
      </c>
      <c r="DM444" s="304" t="str">
        <f t="shared" si="717"/>
        <v/>
      </c>
      <c r="DN444" s="313" t="e">
        <f>IF($J444="",#N/A,SUM(DM$4:DM444))</f>
        <v>#N/A</v>
      </c>
      <c r="DO444" s="314" t="str">
        <f t="shared" si="718"/>
        <v/>
      </c>
      <c r="DP444" s="314" t="e">
        <f>IF($J444="",#N/A,SUM(DO$4:DO444))</f>
        <v>#N/A</v>
      </c>
      <c r="DQ444" s="315" t="str">
        <f t="shared" si="719"/>
        <v/>
      </c>
      <c r="DR444" s="315" t="e">
        <f>IF($J444="",#N/A,SUM(DQ$4:DQ444))</f>
        <v>#N/A</v>
      </c>
      <c r="DS444" s="315" t="e">
        <f>IF($J444="",#N/A,SUM(DQ$4:DQ444,DO$4:DO444,DM$4:DM444))</f>
        <v>#N/A</v>
      </c>
      <c r="DT444" s="304" t="str">
        <f t="shared" si="720"/>
        <v/>
      </c>
      <c r="DU444" s="313" t="e">
        <f>IF($J444="",#N/A,SUM(DT$4:DT444))</f>
        <v>#N/A</v>
      </c>
      <c r="DV444" s="314" t="str">
        <f t="shared" si="721"/>
        <v/>
      </c>
      <c r="DW444" s="314" t="e">
        <f>IF($J444="",#N/A,SUM(DV$4:DV444))</f>
        <v>#N/A</v>
      </c>
      <c r="DX444" s="315" t="str">
        <f t="shared" si="722"/>
        <v/>
      </c>
      <c r="DY444" s="315" t="e">
        <f>IF($J444="",#N/A,SUM(DX$4:DX444))</f>
        <v>#N/A</v>
      </c>
      <c r="DZ444" s="315" t="e">
        <f>IF($J444="",#N/A,SUM(DX$4:DX444,DV$4:DV444,DT$4:DT444))</f>
        <v>#N/A</v>
      </c>
      <c r="EA444" s="304" t="str">
        <f t="shared" si="723"/>
        <v/>
      </c>
      <c r="EB444" s="313" t="e">
        <f>IF($J444="",#N/A,SUM(EA$4:EA444))</f>
        <v>#N/A</v>
      </c>
      <c r="EC444" s="314" t="str">
        <f t="shared" si="724"/>
        <v/>
      </c>
      <c r="ED444" s="314" t="e">
        <f>IF($J444="",#N/A,SUM(EC$4:EC444))</f>
        <v>#N/A</v>
      </c>
      <c r="EE444" s="315" t="str">
        <f t="shared" si="725"/>
        <v/>
      </c>
      <c r="EF444" s="315" t="e">
        <f>IF($J444="",#N/A,SUM(EE$4:EE444))</f>
        <v>#N/A</v>
      </c>
      <c r="EG444" s="315" t="e">
        <f>IF($J444="",#N/A,SUM(EE$4:EE444,EC$4:EC444,EA$4:EA444))</f>
        <v>#N/A</v>
      </c>
      <c r="EH444" s="130">
        <f t="shared" si="726"/>
        <v>88.139999999999986</v>
      </c>
      <c r="EI444" s="63">
        <f>IF(EH444="",#N/A,SUM($EH$4:EH444))</f>
        <v>2468.7573792974126</v>
      </c>
      <c r="EJ444" s="223" t="e">
        <f t="shared" si="727"/>
        <v>#N/A</v>
      </c>
      <c r="EK444" s="63" t="e">
        <f>IF($GZ444="",#N/A,SUM(EJ$4:EJ444))</f>
        <v>#N/A</v>
      </c>
      <c r="EL444" s="60">
        <f t="shared" si="757"/>
        <v>1.5401390213983914</v>
      </c>
      <c r="EM444" s="60">
        <f>IF(EL444="",NA(),SUM($EL$4:EL444))</f>
        <v>24.751486061581428</v>
      </c>
      <c r="EN444" s="60" t="str">
        <f t="shared" si="728"/>
        <v/>
      </c>
      <c r="EO444" s="60" t="e">
        <f>IF(EN444="",NA(),SUM($EN$4:EN444))</f>
        <v>#N/A</v>
      </c>
      <c r="EP444" s="60" t="str">
        <f t="shared" si="729"/>
        <v/>
      </c>
      <c r="EQ444" s="60" t="e">
        <f>IF(EP444="",NA(),SUM($EP$4:EP444))</f>
        <v>#N/A</v>
      </c>
      <c r="ER444" s="60">
        <f t="shared" si="730"/>
        <v>1.5401390213983914</v>
      </c>
      <c r="ES444" s="60">
        <f>IF(ER444="",NA(),SUM($ER$4:ER444))</f>
        <v>16.194626418326791</v>
      </c>
      <c r="ET444" s="60" t="str">
        <f t="shared" si="731"/>
        <v/>
      </c>
      <c r="EU444" s="60" t="e">
        <f>IF(ET444="",NA(),SUM($ET$4:ET444))</f>
        <v>#N/A</v>
      </c>
      <c r="EV444" s="60" t="str">
        <f t="shared" si="732"/>
        <v/>
      </c>
      <c r="EW444" s="60" t="e">
        <f>IF(EV444="",NA(),SUM($EV$4:EV444))</f>
        <v>#N/A</v>
      </c>
      <c r="EX444" s="60" t="str">
        <f t="shared" si="733"/>
        <v/>
      </c>
      <c r="EY444" s="60" t="e">
        <f>IF(EX444="",NA(),SUM($EX$4:EX444))</f>
        <v>#N/A</v>
      </c>
      <c r="EZ444" s="60" t="str">
        <f t="shared" si="734"/>
        <v/>
      </c>
      <c r="FA444" s="60" t="e">
        <f>IF(EZ444="",NA(),SUM($EZ$4:EZ444))</f>
        <v>#N/A</v>
      </c>
      <c r="FB444" s="246">
        <f t="shared" si="758"/>
        <v>-0.30666484939348426</v>
      </c>
      <c r="FC444" s="246">
        <f>IF($FB444="",#N/A,SUM(FB$4:$FB444))</f>
        <v>-9.0729300516218359E-2</v>
      </c>
      <c r="FD444" s="60" t="str">
        <f t="shared" si="735"/>
        <v/>
      </c>
      <c r="FE444" s="60" t="e">
        <f>IF($FD444="",#N/A,SUM($FD$4:FD444))</f>
        <v>#N/A</v>
      </c>
      <c r="FF444" s="60" t="str">
        <f t="shared" si="736"/>
        <v/>
      </c>
      <c r="FG444" s="60" t="e">
        <f>IF($FF444="",#N/A,SUM($FF$4:FF444))</f>
        <v>#N/A</v>
      </c>
      <c r="FH444" s="60" t="str">
        <f t="shared" si="737"/>
        <v/>
      </c>
      <c r="FI444" s="60" t="e">
        <f>IF($FH444="",#N/A,SUM($FH$4:FH444))</f>
        <v>#N/A</v>
      </c>
      <c r="FJ444" s="60" t="str">
        <f t="shared" si="738"/>
        <v/>
      </c>
      <c r="FK444" s="60" t="e">
        <f>IF($FJ444="",#N/A,SUM($FJ$4:FJ444))</f>
        <v>#N/A</v>
      </c>
      <c r="FL444" s="60" t="str">
        <f t="shared" si="739"/>
        <v/>
      </c>
      <c r="FM444" s="60" t="e">
        <f>IF($FL444="",#N/A,SUM($FL$4:FL444))</f>
        <v>#N/A</v>
      </c>
      <c r="FN444" s="82">
        <f t="shared" si="740"/>
        <v>1.2334741720049072</v>
      </c>
      <c r="FO444" s="82">
        <f>IF($FN444="",#N/A,SUM(FN$4:$FN444))</f>
        <v>50.011510968585107</v>
      </c>
      <c r="FP444" s="82">
        <f t="shared" si="759"/>
        <v>1.5401390213983914</v>
      </c>
      <c r="FQ444" s="246">
        <f>IF($EH444="",#N/A,SUM($FP$4:FP444))</f>
        <v>67.870005403800192</v>
      </c>
      <c r="FR444" s="82">
        <f>IFERROR(FQ444/COUNTA($J$4:J444),#N/A)</f>
        <v>0.15390023901088479</v>
      </c>
      <c r="FS444" s="82">
        <f t="shared" si="768"/>
        <v>0.34996178218954055</v>
      </c>
      <c r="FT444" s="82">
        <f t="shared" si="769"/>
        <v>0.19809399788225876</v>
      </c>
      <c r="FU444" s="338">
        <f t="shared" si="767"/>
        <v>29.617998200193114</v>
      </c>
      <c r="FV444" s="57" t="str">
        <f t="shared" si="765"/>
        <v>Dwn</v>
      </c>
      <c r="FW444" s="57" t="s">
        <v>2733</v>
      </c>
      <c r="FX444" s="57" t="str">
        <f t="shared" si="741"/>
        <v/>
      </c>
      <c r="FY444" s="57" t="str">
        <f t="shared" si="742"/>
        <v/>
      </c>
      <c r="FZ444" s="57" t="str">
        <f t="shared" si="743"/>
        <v/>
      </c>
      <c r="GA444" s="57" t="str">
        <f t="shared" si="744"/>
        <v>Short</v>
      </c>
      <c r="GB444" s="57">
        <f t="shared" si="745"/>
        <v>1</v>
      </c>
      <c r="GC444" s="57" t="str">
        <f t="shared" si="746"/>
        <v/>
      </c>
      <c r="GD444" s="57" t="str">
        <f t="shared" si="747"/>
        <v/>
      </c>
      <c r="GE444" s="62">
        <v>73.37</v>
      </c>
      <c r="GF444" s="62" t="s">
        <v>2780</v>
      </c>
      <c r="GG444" s="203">
        <v>13</v>
      </c>
      <c r="GH444" s="207">
        <f t="shared" si="748"/>
        <v>953.81000000000006</v>
      </c>
      <c r="GI444" s="199">
        <v>13</v>
      </c>
      <c r="GJ444" s="200">
        <v>68.8</v>
      </c>
      <c r="GK444" s="63">
        <f t="shared" si="749"/>
        <v>59.410000000000082</v>
      </c>
      <c r="GL444" s="63">
        <f t="shared" si="665"/>
        <v>70.590000000000032</v>
      </c>
      <c r="GM444" s="82" t="str">
        <f t="shared" si="750"/>
        <v/>
      </c>
      <c r="GN444" s="81">
        <f>IF($GZ444="",#N/A,SUM(GM$4:GM444))</f>
        <v>5.107443195726705</v>
      </c>
      <c r="GO444" s="81" t="str">
        <f t="shared" si="751"/>
        <v/>
      </c>
      <c r="GP444" s="81">
        <f>IF($GZ444="",#N/A,SUM(GO$4:GO444))</f>
        <v>4.2788408366274897</v>
      </c>
      <c r="GQ444" s="81">
        <f t="shared" si="752"/>
        <v>1.2334741720049072</v>
      </c>
      <c r="GR444" s="81">
        <f>IF($GZ444="",#N/A,SUM(GQ$4:GQ444))</f>
        <v>39.999389981788589</v>
      </c>
      <c r="GS444" s="77" t="str">
        <f t="shared" si="760"/>
        <v/>
      </c>
      <c r="GT444" s="77" t="e">
        <f>IF($GZ444="",#N/A,SUM(GS$4:GS444))</f>
        <v>#N/A</v>
      </c>
      <c r="GU444" s="77" t="str">
        <f t="shared" si="761"/>
        <v/>
      </c>
      <c r="GV444" s="77" t="e">
        <f>IF($GZ444="",#N/A,SUM(GU$4:GU444))</f>
        <v>#N/A</v>
      </c>
      <c r="GW444" s="77" t="e">
        <f t="shared" si="762"/>
        <v>#N/A</v>
      </c>
      <c r="GX444" s="77" t="e">
        <f>IF($GZ444="",#N/A,SUM(GW$4:GW444))</f>
        <v>#N/A</v>
      </c>
      <c r="GY444" s="77" t="e">
        <f>IF(EJ444="",#N/A,SUM($EJ$4:EJ444))</f>
        <v>#N/A</v>
      </c>
      <c r="GZ444" s="161">
        <v>67.94</v>
      </c>
      <c r="HA444" s="77">
        <f t="shared" si="753"/>
        <v>-17.549999999999955</v>
      </c>
      <c r="HB444" s="76" t="s">
        <v>4734</v>
      </c>
      <c r="HC444" s="60">
        <f>IFERROR(VLOOKUP(E444,Expectancy!$P$4:$S$19,1+C444,FALSE),"")</f>
        <v>-9.4786290791818092E-2</v>
      </c>
      <c r="HD444" s="81">
        <f t="shared" si="754"/>
        <v>1.0381173049838732</v>
      </c>
      <c r="HE444" s="136">
        <f>IF(HD444="",#N/A,SUM($HD$4:HD444))</f>
        <v>23.722007203607074</v>
      </c>
      <c r="HF444" s="84">
        <f>IF(HD444="",#N/A,IF(HB444="Skip",#N/A,SUM($HG$4:HG444)))</f>
        <v>1331.2044792191566</v>
      </c>
      <c r="HG444" s="77">
        <f t="shared" si="755"/>
        <v>59.410000000000082</v>
      </c>
      <c r="HH444" s="82">
        <f t="shared" si="766"/>
        <v>1.2334741720049072</v>
      </c>
    </row>
    <row r="445" spans="1:216" x14ac:dyDescent="0.25">
      <c r="A445" s="57" t="s">
        <v>1421</v>
      </c>
      <c r="B445" s="58" t="str" cm="1">
        <f t="array" ref="B445">IFERROR(_xlfn.XLOOKUP(A445,Earnings!$B$2:$B$9985,LEFT(Earnings!$C$2:$C$9985,37)),"Can't Find Date***")</f>
        <v>on 3/20/25 After Market Eastern Stand</v>
      </c>
      <c r="C445" s="386">
        <f t="shared" si="667"/>
        <v>2</v>
      </c>
      <c r="D445" s="372" t="str">
        <f>_xlfn.XLOOKUP(A445,[1]SP500!$A$2:$A$502,[1]SP500!$D$2:$D$502,"N")</f>
        <v>Y</v>
      </c>
      <c r="E445" s="57" t="str">
        <f>_xlfn.XLOOKUP(A445,[1]SP500!$A$2:$A$655,[1]SP500!$B$2:$B$655)</f>
        <v>XHB</v>
      </c>
      <c r="F445" s="59">
        <v>45736</v>
      </c>
      <c r="G445" s="57" t="str">
        <f t="shared" si="668"/>
        <v>AMC</v>
      </c>
      <c r="H445" s="57" t="str">
        <f t="shared" si="669"/>
        <v>s</v>
      </c>
      <c r="I445" s="159">
        <v>120.07</v>
      </c>
      <c r="J445" s="159">
        <v>112.97</v>
      </c>
      <c r="K445" s="61">
        <f t="shared" si="670"/>
        <v>-5.9132172899142126E-2</v>
      </c>
      <c r="L445" s="87">
        <f t="shared" si="671"/>
        <v>56.799999999999955</v>
      </c>
      <c r="M445" s="130">
        <f t="shared" si="663"/>
        <v>0.63999999999998636</v>
      </c>
      <c r="N445" s="169" t="str">
        <f t="shared" si="672"/>
        <v/>
      </c>
      <c r="O445" s="169">
        <f>IF($J445="",#N/A,SUM($N$4:N445))</f>
        <v>-328.04225475891064</v>
      </c>
      <c r="P445" s="174">
        <f t="shared" si="673"/>
        <v>56.799999999999955</v>
      </c>
      <c r="Q445" s="174">
        <f>IF($J445="",#N/A,SUM($P$4:P445))</f>
        <v>1960.9804616610143</v>
      </c>
      <c r="R445" s="178" t="str">
        <f t="shared" si="674"/>
        <v/>
      </c>
      <c r="S445" s="178">
        <f>IF($J445="",#N/A,SUM($R$4:R445))</f>
        <v>892.61917239530942</v>
      </c>
      <c r="T445" s="290" t="str">
        <f t="shared" si="675"/>
        <v/>
      </c>
      <c r="U445" s="290">
        <f>IF($J445="",#N/A,SUM($T$4:T445))</f>
        <v>10.009379462148743</v>
      </c>
      <c r="V445" s="291">
        <f t="shared" si="676"/>
        <v>0.9855362149857021</v>
      </c>
      <c r="W445" s="291">
        <f>IF($J445="",#N/A,SUM($V$4:V445))</f>
        <v>43.499377235053274</v>
      </c>
      <c r="X445" s="292" t="str">
        <f t="shared" si="677"/>
        <v/>
      </c>
      <c r="Y445" s="292">
        <f>IF($J445="",#N/A,SUM($X$4:X445))</f>
        <v>15.346784921583847</v>
      </c>
      <c r="Z445" s="304" t="str">
        <f t="shared" si="678"/>
        <v/>
      </c>
      <c r="AA445" s="313" t="e">
        <f>IF($J445="",#N/A,SUM(Z$4:Z445))</f>
        <v>#N/A</v>
      </c>
      <c r="AB445" s="314" t="str">
        <f t="shared" si="679"/>
        <v/>
      </c>
      <c r="AC445" s="314" t="e">
        <f>IF($J445="",#N/A,SUM(AB$4:AB445))</f>
        <v>#N/A</v>
      </c>
      <c r="AD445" s="315" t="str">
        <f t="shared" si="680"/>
        <v/>
      </c>
      <c r="AE445" s="315" t="e">
        <f>IF($J445="",#N/A,SUM(AD$4:AD445))</f>
        <v>#N/A</v>
      </c>
      <c r="AF445" s="315" t="e">
        <f>IF($J445="",#N/A,SUM(AD$4:AD445,AB$4:AB445,Z$4:Z445))</f>
        <v>#N/A</v>
      </c>
      <c r="AG445" s="304" t="str">
        <f t="shared" si="681"/>
        <v/>
      </c>
      <c r="AH445" s="313" t="e">
        <f>IF($J445="",#N/A,SUM(AG$4:AG445))</f>
        <v>#N/A</v>
      </c>
      <c r="AI445" s="314" t="str">
        <f t="shared" si="682"/>
        <v/>
      </c>
      <c r="AJ445" s="314" t="e">
        <f>IF($J445="",#N/A,SUM(AI$4:AI445))</f>
        <v>#N/A</v>
      </c>
      <c r="AK445" s="315" t="str">
        <f t="shared" si="683"/>
        <v/>
      </c>
      <c r="AL445" s="315" t="e">
        <f>IF($J445="",#N/A,SUM(AK$4:AK445))</f>
        <v>#N/A</v>
      </c>
      <c r="AM445" s="315" t="e">
        <f>IF($J445="",#N/A,SUM(AK$4:AK445,AI$4:AI445,AG$4:AG445))</f>
        <v>#N/A</v>
      </c>
      <c r="AN445" s="304" t="str">
        <f t="shared" si="684"/>
        <v/>
      </c>
      <c r="AO445" s="313" t="e">
        <f>IF($J445="",#N/A,SUM(AN$4:AN445))</f>
        <v>#N/A</v>
      </c>
      <c r="AP445" s="314" t="str">
        <f t="shared" si="685"/>
        <v/>
      </c>
      <c r="AQ445" s="314" t="e">
        <f>IF($J445="",#N/A,SUM(AP$4:AP445))</f>
        <v>#N/A</v>
      </c>
      <c r="AR445" s="315" t="str">
        <f t="shared" si="686"/>
        <v/>
      </c>
      <c r="AS445" s="315" t="e">
        <f>IF($J445="",#N/A,SUM(AR$4:AR445))</f>
        <v>#N/A</v>
      </c>
      <c r="AT445" s="315" t="e">
        <f>IF($J445="",#N/A,SUM(AR$4:AR445,AP$4:AP445,AN$4:AN445))</f>
        <v>#N/A</v>
      </c>
      <c r="AU445" s="304" t="str">
        <f t="shared" si="687"/>
        <v/>
      </c>
      <c r="AV445" s="313" t="e">
        <f>IF($J445="",#N/A,SUM(AU$4:AU445))</f>
        <v>#N/A</v>
      </c>
      <c r="AW445" s="314" t="str">
        <f t="shared" si="688"/>
        <v/>
      </c>
      <c r="AX445" s="314" t="e">
        <f>IF($J445="",#N/A,SUM(AW$4:AW445))</f>
        <v>#N/A</v>
      </c>
      <c r="AY445" s="315" t="str">
        <f t="shared" si="689"/>
        <v/>
      </c>
      <c r="AZ445" s="315" t="e">
        <f>IF($J445="",#N/A,SUM(AY$4:AY445))</f>
        <v>#N/A</v>
      </c>
      <c r="BA445" s="315" t="e">
        <f>IF($J445="",#N/A,SUM(AY$4:AY445,AW$4:AW445,AU$4:AU445))</f>
        <v>#N/A</v>
      </c>
      <c r="BB445" s="304" t="str">
        <f t="shared" si="690"/>
        <v/>
      </c>
      <c r="BC445" s="313" t="e">
        <f>IF($J445="",#N/A,SUM(BB$4:BB445))</f>
        <v>#N/A</v>
      </c>
      <c r="BD445" s="314" t="str">
        <f t="shared" si="691"/>
        <v/>
      </c>
      <c r="BE445" s="314" t="e">
        <f>IF($J445="",#N/A,SUM(BD$4:BD445))</f>
        <v>#N/A</v>
      </c>
      <c r="BF445" s="315" t="str">
        <f t="shared" si="692"/>
        <v/>
      </c>
      <c r="BG445" s="315" t="e">
        <f>IF($J445="",#N/A,SUM(BF$4:BF445))</f>
        <v>#N/A</v>
      </c>
      <c r="BH445" s="315" t="e">
        <f>IF($J445="",#N/A,SUM(BF$4:BF445,BD$4:BD445,BB$4:BB445))</f>
        <v>#N/A</v>
      </c>
      <c r="BI445" s="304" t="str">
        <f t="shared" si="693"/>
        <v/>
      </c>
      <c r="BJ445" s="313" t="e">
        <f>IF($J445="",#N/A,SUM(BI$4:BI445))</f>
        <v>#N/A</v>
      </c>
      <c r="BK445" s="314" t="str">
        <f t="shared" si="694"/>
        <v/>
      </c>
      <c r="BL445" s="314" t="e">
        <f>IF($J445="",#N/A,SUM(BK$4:BK445))</f>
        <v>#N/A</v>
      </c>
      <c r="BM445" s="315" t="str">
        <f t="shared" si="695"/>
        <v/>
      </c>
      <c r="BN445" s="315" t="e">
        <f>IF($J445="",#N/A,SUM(BM$4:BM445))</f>
        <v>#N/A</v>
      </c>
      <c r="BO445" s="315" t="e">
        <f>IF($J445="",#N/A,SUM(BM$4:BM445,BK$4:BK445,BI$4:BI445))</f>
        <v>#N/A</v>
      </c>
      <c r="BP445" s="304" t="str">
        <f t="shared" si="696"/>
        <v/>
      </c>
      <c r="BQ445" s="313" t="e">
        <f>IF($J445="",#N/A,SUM(BP$4:BP445))</f>
        <v>#N/A</v>
      </c>
      <c r="BR445" s="314" t="str">
        <f t="shared" si="697"/>
        <v/>
      </c>
      <c r="BS445" s="314" t="e">
        <f>IF($J445="",#N/A,SUM(BR$4:BR445))</f>
        <v>#N/A</v>
      </c>
      <c r="BT445" s="315" t="str">
        <f t="shared" si="698"/>
        <v/>
      </c>
      <c r="BU445" s="315" t="e">
        <f>IF($J445="",#N/A,SUM(BT$4:BT445))</f>
        <v>#N/A</v>
      </c>
      <c r="BV445" s="315" t="e">
        <f>IF($J445="",#N/A,SUM(BT$4:BT445,BR$4:BR445,BP$4:BP445))</f>
        <v>#N/A</v>
      </c>
      <c r="BW445" s="304" t="str">
        <f t="shared" si="699"/>
        <v/>
      </c>
      <c r="BX445" s="313" t="e">
        <f>IF($J445="",#N/A,SUM(BW$4:BW445))</f>
        <v>#N/A</v>
      </c>
      <c r="BY445" s="314" t="str">
        <f t="shared" si="700"/>
        <v/>
      </c>
      <c r="BZ445" s="314" t="e">
        <f>IF($J445="",#N/A,SUM(BY$4:BY445))</f>
        <v>#N/A</v>
      </c>
      <c r="CA445" s="315" t="str">
        <f t="shared" si="701"/>
        <v/>
      </c>
      <c r="CB445" s="315" t="e">
        <f>IF($J445="",#N/A,SUM(CA$4:CA445))</f>
        <v>#N/A</v>
      </c>
      <c r="CC445" s="315" t="e">
        <f>IF($J445="",#N/A,SUM(CA$4:CA445,BY$4:BY445,BW$4:BW445))</f>
        <v>#N/A</v>
      </c>
      <c r="CD445" s="304" t="str">
        <f t="shared" si="702"/>
        <v/>
      </c>
      <c r="CE445" s="313" t="e">
        <f>IF($J445="",#N/A,SUM(CD$4:CD445))</f>
        <v>#N/A</v>
      </c>
      <c r="CF445" s="314" t="str">
        <f t="shared" si="703"/>
        <v/>
      </c>
      <c r="CG445" s="314" t="e">
        <f>IF($J445="",#N/A,SUM(CF$4:CF445))</f>
        <v>#N/A</v>
      </c>
      <c r="CH445" s="315" t="str">
        <f t="shared" si="704"/>
        <v/>
      </c>
      <c r="CI445" s="315" t="e">
        <f>IF($J445="",#N/A,SUM(CH$4:CH445))</f>
        <v>#N/A</v>
      </c>
      <c r="CJ445" s="315" t="e">
        <f>IF($J445="",#N/A,SUM(CH$4:CH445,CF$4:CF445,CD$4:CD445))</f>
        <v>#N/A</v>
      </c>
      <c r="CK445" s="304" t="str">
        <f t="shared" si="705"/>
        <v/>
      </c>
      <c r="CL445" s="313" t="e">
        <f>IF($J445="",#N/A,SUM(CK$4:CK445))</f>
        <v>#N/A</v>
      </c>
      <c r="CM445" s="314" t="str">
        <f t="shared" si="706"/>
        <v/>
      </c>
      <c r="CN445" s="314" t="e">
        <f>IF($J445="",#N/A,SUM(CM$4:CM445))</f>
        <v>#N/A</v>
      </c>
      <c r="CO445" s="315" t="str">
        <f t="shared" si="707"/>
        <v/>
      </c>
      <c r="CP445" s="315" t="e">
        <f>IF($J445="",#N/A,SUM(CO$4:CO445))</f>
        <v>#N/A</v>
      </c>
      <c r="CQ445" s="315" t="e">
        <f>IF($J445="",#N/A,SUM(CO$4:CO445,CM$4:CM445,CK$4:CK445))</f>
        <v>#N/A</v>
      </c>
      <c r="CR445" s="304" t="str">
        <f t="shared" si="708"/>
        <v/>
      </c>
      <c r="CS445" s="313" t="e">
        <f>IF($J445="",#N/A,SUM(CR$4:CR445))</f>
        <v>#N/A</v>
      </c>
      <c r="CT445" s="314" t="str">
        <f t="shared" si="709"/>
        <v/>
      </c>
      <c r="CU445" s="314" t="e">
        <f>IF($J445="",#N/A,SUM(CT$4:CT445))</f>
        <v>#N/A</v>
      </c>
      <c r="CV445" s="315" t="str">
        <f t="shared" si="710"/>
        <v/>
      </c>
      <c r="CW445" s="315" t="e">
        <f>IF($J445="",#N/A,SUM(CV$4:CV445))</f>
        <v>#N/A</v>
      </c>
      <c r="CX445" s="315" t="e">
        <f>IF($J445="",#N/A,SUM(CV$4:CV445,CT$4:CT445,CR$4:CR445))</f>
        <v>#N/A</v>
      </c>
      <c r="CY445" s="304" t="str">
        <f t="shared" si="711"/>
        <v/>
      </c>
      <c r="CZ445" s="313" t="e">
        <f>IF($J445="",#N/A,SUM(CY$4:CY445))</f>
        <v>#N/A</v>
      </c>
      <c r="DA445" s="314" t="str">
        <f t="shared" si="712"/>
        <v/>
      </c>
      <c r="DB445" s="314" t="e">
        <f>IF($J445="",#N/A,SUM(DA$4:DA445))</f>
        <v>#N/A</v>
      </c>
      <c r="DC445" s="315" t="str">
        <f t="shared" si="713"/>
        <v/>
      </c>
      <c r="DD445" s="315" t="e">
        <f>IF($J445="",#N/A,SUM(DC$4:DC445))</f>
        <v>#N/A</v>
      </c>
      <c r="DE445" s="315" t="e">
        <f>IF($J445="",#N/A,SUM(DC$4:DC445,DA$4:DA445,CY$4:CY445))</f>
        <v>#N/A</v>
      </c>
      <c r="DF445" s="304" t="str">
        <f t="shared" si="714"/>
        <v/>
      </c>
      <c r="DG445" s="313" t="e">
        <f>IF($J445="",#N/A,SUM(DF$4:DF445))</f>
        <v>#N/A</v>
      </c>
      <c r="DH445" s="314" t="str">
        <f t="shared" si="715"/>
        <v/>
      </c>
      <c r="DI445" s="314" t="e">
        <f>IF($J445="",#N/A,SUM(DH$4:DH445))</f>
        <v>#N/A</v>
      </c>
      <c r="DJ445" s="315" t="str">
        <f t="shared" si="716"/>
        <v/>
      </c>
      <c r="DK445" s="315" t="e">
        <f>IF($J445="",#N/A,SUM(DJ$4:DJ445))</f>
        <v>#N/A</v>
      </c>
      <c r="DL445" s="315" t="e">
        <f>IF($J445="",#N/A,SUM(DJ$4:DJ445,DH$4:DH445,DF$4:DF445))</f>
        <v>#N/A</v>
      </c>
      <c r="DM445" s="304" t="str">
        <f t="shared" si="717"/>
        <v/>
      </c>
      <c r="DN445" s="313" t="e">
        <f>IF($J445="",#N/A,SUM(DM$4:DM445))</f>
        <v>#N/A</v>
      </c>
      <c r="DO445" s="314" t="str">
        <f t="shared" si="718"/>
        <v/>
      </c>
      <c r="DP445" s="314" t="e">
        <f>IF($J445="",#N/A,SUM(DO$4:DO445))</f>
        <v>#N/A</v>
      </c>
      <c r="DQ445" s="315" t="str">
        <f t="shared" si="719"/>
        <v/>
      </c>
      <c r="DR445" s="315" t="e">
        <f>IF($J445="",#N/A,SUM(DQ$4:DQ445))</f>
        <v>#N/A</v>
      </c>
      <c r="DS445" s="315" t="e">
        <f>IF($J445="",#N/A,SUM(DQ$4:DQ445,DO$4:DO445,DM$4:DM445))</f>
        <v>#N/A</v>
      </c>
      <c r="DT445" s="304" t="str">
        <f t="shared" si="720"/>
        <v/>
      </c>
      <c r="DU445" s="313" t="e">
        <f>IF($J445="",#N/A,SUM(DT$4:DT445))</f>
        <v>#N/A</v>
      </c>
      <c r="DV445" s="314" t="str">
        <f t="shared" si="721"/>
        <v/>
      </c>
      <c r="DW445" s="314" t="e">
        <f>IF($J445="",#N/A,SUM(DV$4:DV445))</f>
        <v>#N/A</v>
      </c>
      <c r="DX445" s="315" t="str">
        <f t="shared" si="722"/>
        <v/>
      </c>
      <c r="DY445" s="315" t="e">
        <f>IF($J445="",#N/A,SUM(DX$4:DX445))</f>
        <v>#N/A</v>
      </c>
      <c r="DZ445" s="315" t="e">
        <f>IF($J445="",#N/A,SUM(DX$4:DX445,DV$4:DV445,DT$4:DT445))</f>
        <v>#N/A</v>
      </c>
      <c r="EA445" s="304" t="str">
        <f t="shared" si="723"/>
        <v/>
      </c>
      <c r="EB445" s="313" t="e">
        <f>IF($J445="",#N/A,SUM(EA$4:EA445))</f>
        <v>#N/A</v>
      </c>
      <c r="EC445" s="314">
        <f t="shared" si="724"/>
        <v>0.9855362149857021</v>
      </c>
      <c r="ED445" s="314" t="e">
        <f>IF($J445="",#N/A,SUM(EC$4:EC445))</f>
        <v>#N/A</v>
      </c>
      <c r="EE445" s="315" t="str">
        <f t="shared" si="725"/>
        <v/>
      </c>
      <c r="EF445" s="315" t="e">
        <f>IF($J445="",#N/A,SUM(EE$4:EE445))</f>
        <v>#N/A</v>
      </c>
      <c r="EG445" s="315" t="e">
        <f>IF($J445="",#N/A,SUM(EE$4:EE445,EC$4:EC445,EA$4:EA445))</f>
        <v>#N/A</v>
      </c>
      <c r="EH445" s="130">
        <f t="shared" si="726"/>
        <v>56.799999999999955</v>
      </c>
      <c r="EI445" s="63">
        <f>IF(EH445="",#N/A,SUM($EH$4:EH445))</f>
        <v>2525.5573792974128</v>
      </c>
      <c r="EJ445" s="223" t="e">
        <f t="shared" si="727"/>
        <v>#N/A</v>
      </c>
      <c r="EK445" s="63" t="e">
        <f>IF($GZ445="",#N/A,SUM(EJ$4:EJ445))</f>
        <v>#N/A</v>
      </c>
      <c r="EL445" s="60">
        <f t="shared" si="757"/>
        <v>0.9855362149857021</v>
      </c>
      <c r="EM445" s="60">
        <f>IF(EL445="",NA(),SUM($EL$4:EL445))</f>
        <v>25.737022276567131</v>
      </c>
      <c r="EN445" s="60" t="str">
        <f t="shared" si="728"/>
        <v/>
      </c>
      <c r="EO445" s="60" t="e">
        <f>IF(EN445="",NA(),SUM($EN$4:EN445))</f>
        <v>#N/A</v>
      </c>
      <c r="EP445" s="60" t="str">
        <f t="shared" si="729"/>
        <v/>
      </c>
      <c r="EQ445" s="60" t="e">
        <f>IF(EP445="",NA(),SUM($EP$4:EP445))</f>
        <v>#N/A</v>
      </c>
      <c r="ER445" s="60">
        <f t="shared" si="730"/>
        <v>0.9855362149857021</v>
      </c>
      <c r="ES445" s="60">
        <f>IF(ER445="",NA(),SUM($ER$4:ER445))</f>
        <v>17.180162633312495</v>
      </c>
      <c r="ET445" s="60" t="str">
        <f t="shared" si="731"/>
        <v/>
      </c>
      <c r="EU445" s="60" t="e">
        <f>IF(ET445="",NA(),SUM($ET$4:ET445))</f>
        <v>#N/A</v>
      </c>
      <c r="EV445" s="60" t="str">
        <f t="shared" si="732"/>
        <v/>
      </c>
      <c r="EW445" s="60" t="e">
        <f>IF(EV445="",NA(),SUM($EV$4:EV445))</f>
        <v>#N/A</v>
      </c>
      <c r="EX445" s="60" t="str">
        <f t="shared" si="733"/>
        <v/>
      </c>
      <c r="EY445" s="60" t="e">
        <f>IF(EX445="",NA(),SUM($EX$4:EX445))</f>
        <v>#N/A</v>
      </c>
      <c r="EZ445" s="60" t="str">
        <f t="shared" si="734"/>
        <v/>
      </c>
      <c r="FA445" s="60" t="e">
        <f>IF(EZ445="",NA(),SUM($EZ$4:EZ445))</f>
        <v>#N/A</v>
      </c>
      <c r="FB445" s="246">
        <f t="shared" si="758"/>
        <v>-0.31231781460814523</v>
      </c>
      <c r="FC445" s="246">
        <f>IF($FB445="",#N/A,SUM(FB$4:$FB445))</f>
        <v>-0.40304711512436359</v>
      </c>
      <c r="FD445" s="60" t="str">
        <f t="shared" si="735"/>
        <v/>
      </c>
      <c r="FE445" s="60" t="e">
        <f>IF($FD445="",#N/A,SUM($FD$4:FD445))</f>
        <v>#N/A</v>
      </c>
      <c r="FF445" s="60" t="str">
        <f t="shared" si="736"/>
        <v/>
      </c>
      <c r="FG445" s="60" t="e">
        <f>IF($FF445="",#N/A,SUM($FF$4:FF445))</f>
        <v>#N/A</v>
      </c>
      <c r="FH445" s="60" t="str">
        <f t="shared" si="737"/>
        <v/>
      </c>
      <c r="FI445" s="60" t="e">
        <f>IF($FH445="",#N/A,SUM($FH$4:FH445))</f>
        <v>#N/A</v>
      </c>
      <c r="FJ445" s="60" t="str">
        <f t="shared" si="738"/>
        <v/>
      </c>
      <c r="FK445" s="60" t="e">
        <f>IF($FJ445="",#N/A,SUM($FJ$4:FJ445))</f>
        <v>#N/A</v>
      </c>
      <c r="FL445" s="60" t="str">
        <f t="shared" si="739"/>
        <v/>
      </c>
      <c r="FM445" s="60" t="e">
        <f>IF($FL445="",#N/A,SUM($FL$4:FL445))</f>
        <v>#N/A</v>
      </c>
      <c r="FN445" s="82">
        <f t="shared" si="740"/>
        <v>0.67321840037755687</v>
      </c>
      <c r="FO445" s="82">
        <f>IF($FN445="",#N/A,SUM(FN$4:$FN445))</f>
        <v>50.684729368962664</v>
      </c>
      <c r="FP445" s="82">
        <f t="shared" si="759"/>
        <v>0.9855362149857021</v>
      </c>
      <c r="FQ445" s="246">
        <f>IF($EH445="",#N/A,SUM($FP$4:FP445))</f>
        <v>68.855541618785892</v>
      </c>
      <c r="FR445" s="82">
        <f>IFERROR(FQ445/COUNTA($J$4:J445),#N/A)</f>
        <v>0.15578176836829388</v>
      </c>
      <c r="FS445" s="82">
        <f t="shared" si="768"/>
        <v>0.38677684294161396</v>
      </c>
      <c r="FT445" s="82">
        <f t="shared" si="769"/>
        <v>0.33950038830235768</v>
      </c>
      <c r="FU445" s="338">
        <f t="shared" si="767"/>
        <v>29.606893566784827</v>
      </c>
      <c r="FV445" s="57" t="str">
        <f t="shared" si="765"/>
        <v>Dwn</v>
      </c>
      <c r="FW445" s="57" t="s">
        <v>2733</v>
      </c>
      <c r="FX445" s="57" t="str">
        <f t="shared" si="741"/>
        <v/>
      </c>
      <c r="FY445" s="57" t="str">
        <f t="shared" si="742"/>
        <v/>
      </c>
      <c r="FZ445" s="57" t="str">
        <f t="shared" si="743"/>
        <v/>
      </c>
      <c r="GA445" s="57" t="str">
        <f t="shared" si="744"/>
        <v>Short</v>
      </c>
      <c r="GB445" s="57">
        <f t="shared" si="745"/>
        <v>1</v>
      </c>
      <c r="GC445" s="57" t="str">
        <f t="shared" si="746"/>
        <v/>
      </c>
      <c r="GD445" s="57" t="str">
        <f t="shared" si="747"/>
        <v/>
      </c>
      <c r="GE445" s="62">
        <f t="shared" si="770"/>
        <v>120.07</v>
      </c>
      <c r="GF445" s="62" t="s">
        <v>2780</v>
      </c>
      <c r="GG445" s="203">
        <v>8</v>
      </c>
      <c r="GH445" s="207">
        <f t="shared" si="748"/>
        <v>960.56</v>
      </c>
      <c r="GI445" s="199">
        <v>8</v>
      </c>
      <c r="GJ445" s="200">
        <v>112.89</v>
      </c>
      <c r="GK445" s="63">
        <f t="shared" si="749"/>
        <v>57.439999999999941</v>
      </c>
      <c r="GL445" s="63">
        <f t="shared" si="665"/>
        <v>38.799999999999955</v>
      </c>
      <c r="GM445" s="82" t="str">
        <f t="shared" si="750"/>
        <v/>
      </c>
      <c r="GN445" s="81">
        <f>IF($GZ445="",#N/A,SUM(GM$4:GM445))</f>
        <v>5.107443195726705</v>
      </c>
      <c r="GO445" s="81" t="str">
        <f t="shared" si="751"/>
        <v/>
      </c>
      <c r="GP445" s="81">
        <f>IF($GZ445="",#N/A,SUM(GO$4:GO445))</f>
        <v>4.2788408366274897</v>
      </c>
      <c r="GQ445" s="81">
        <f t="shared" si="752"/>
        <v>0.67321840037755687</v>
      </c>
      <c r="GR445" s="81">
        <f>IF($GZ445="",#N/A,SUM(GQ$4:GQ445))</f>
        <v>40.672608382166146</v>
      </c>
      <c r="GS445" s="77" t="str">
        <f t="shared" si="760"/>
        <v/>
      </c>
      <c r="GT445" s="77" t="e">
        <f>IF($GZ445="",#N/A,SUM(GS$4:GS445))</f>
        <v>#N/A</v>
      </c>
      <c r="GU445" s="77" t="str">
        <f t="shared" si="761"/>
        <v/>
      </c>
      <c r="GV445" s="77" t="e">
        <f>IF($GZ445="",#N/A,SUM(GU$4:GU445))</f>
        <v>#N/A</v>
      </c>
      <c r="GW445" s="77" t="e">
        <f t="shared" si="762"/>
        <v>#N/A</v>
      </c>
      <c r="GX445" s="77" t="e">
        <f>IF($GZ445="",#N/A,SUM(GW$4:GW445))</f>
        <v>#N/A</v>
      </c>
      <c r="GY445" s="77" t="e">
        <f>IF(EJ445="",#N/A,SUM($EJ$4:EJ445))</f>
        <v>#N/A</v>
      </c>
      <c r="GZ445" s="161">
        <v>115.22</v>
      </c>
      <c r="HA445" s="77">
        <f t="shared" si="753"/>
        <v>-18</v>
      </c>
      <c r="HB445" s="76" t="s">
        <v>2538</v>
      </c>
      <c r="HC445" s="60">
        <f>IFERROR(VLOOKUP(E445,Expectancy!$P$4:$S$19,1+C445,FALSE),"")</f>
        <v>0.17536249656639069</v>
      </c>
      <c r="HD445" s="81">
        <f t="shared" si="754"/>
        <v>0.99664084839399147</v>
      </c>
      <c r="HE445" s="136">
        <f>IF(HD445="",#N/A,SUM($HD$4:HD445))</f>
        <v>24.718648052001065</v>
      </c>
      <c r="HF445" s="84">
        <f>IF(HD445="",#N/A,IF(HB445="Skip",#N/A,SUM($HG$4:HG445)))</f>
        <v>1388.6444792191564</v>
      </c>
      <c r="HG445" s="77">
        <f t="shared" si="755"/>
        <v>57.439999999999941</v>
      </c>
      <c r="HH445" s="82">
        <f t="shared" si="766"/>
        <v>0.67321840037755687</v>
      </c>
    </row>
    <row r="446" spans="1:216" ht="15.75" thickBot="1" x14ac:dyDescent="0.3">
      <c r="A446" s="66" t="s">
        <v>1468</v>
      </c>
      <c r="B446" s="67" t="str" cm="1">
        <f t="array" ref="B446">IFERROR(_xlfn.XLOOKUP(A446,Earnings!$B$2:$B$9985,LEFT(Earnings!$C$2:$C$9985,37)),"Can't Find Date***")</f>
        <v>on 3/27/25 Before Market Eastern Stan</v>
      </c>
      <c r="C446" s="390">
        <f t="shared" si="667"/>
        <v>3</v>
      </c>
      <c r="D446" s="373" t="str">
        <f>_xlfn.XLOOKUP(A446,[1]SP500!$A$2:$A$502,[1]SP500!$D$2:$D$502,"N")</f>
        <v>Y</v>
      </c>
      <c r="E446" s="66" t="str">
        <f>_xlfn.XLOOKUP(A446,[1]SP500!$A$2:$A$655,[1]SP500!$B$2:$B$655)</f>
        <v>XLY</v>
      </c>
      <c r="F446" s="68">
        <v>45737</v>
      </c>
      <c r="G446" s="66" t="str">
        <f t="shared" si="668"/>
        <v>BMO</v>
      </c>
      <c r="H446" s="66" t="str">
        <f t="shared" si="669"/>
        <v>s</v>
      </c>
      <c r="I446" s="160">
        <v>21.2</v>
      </c>
      <c r="J446" s="160">
        <v>20.39</v>
      </c>
      <c r="K446" s="69">
        <f t="shared" si="670"/>
        <v>-3.8207547169811264E-2</v>
      </c>
      <c r="L446" s="89">
        <f t="shared" si="671"/>
        <v>-36.449999999999932</v>
      </c>
      <c r="M446" s="80">
        <f t="shared" ref="M446:M448" si="771">IF(L446="","",IF(HG446="",#N/A,IF(HB446="Open",HG446-L446,#N/A)))</f>
        <v>0</v>
      </c>
      <c r="N446" s="167" t="str">
        <f t="shared" si="672"/>
        <v/>
      </c>
      <c r="O446" s="167">
        <f>IF($J446="",#N/A,SUM($N$4:N446))</f>
        <v>-328.04225475891064</v>
      </c>
      <c r="P446" s="172" t="str">
        <f t="shared" si="673"/>
        <v/>
      </c>
      <c r="Q446" s="172">
        <f>IF($J446="",#N/A,SUM($P$4:P446))</f>
        <v>1960.9804616610143</v>
      </c>
      <c r="R446" s="176">
        <f t="shared" si="674"/>
        <v>-36.449999999999932</v>
      </c>
      <c r="S446" s="176">
        <f>IF($J446="",#N/A,SUM($R$4:R446))</f>
        <v>856.16917239530949</v>
      </c>
      <c r="T446" s="296" t="str">
        <f t="shared" si="675"/>
        <v/>
      </c>
      <c r="U446" s="296">
        <f>IF($J446="",#N/A,SUM($T$4:T446))</f>
        <v>10.009379462148743</v>
      </c>
      <c r="V446" s="297" t="str">
        <f t="shared" si="676"/>
        <v/>
      </c>
      <c r="W446" s="297">
        <f>IF($J446="",#N/A,SUM($V$4:V446))</f>
        <v>43.499377235053274</v>
      </c>
      <c r="X446" s="298">
        <f t="shared" si="677"/>
        <v>-0.63679245283018759</v>
      </c>
      <c r="Y446" s="298">
        <f>IF($J446="",#N/A,SUM($X$4:X446))</f>
        <v>14.70999246875366</v>
      </c>
      <c r="Z446" s="307" t="str">
        <f t="shared" si="678"/>
        <v/>
      </c>
      <c r="AA446" s="319" t="e">
        <f>IF($J446="",#N/A,SUM(Z$4:Z446))</f>
        <v>#N/A</v>
      </c>
      <c r="AB446" s="320" t="str">
        <f t="shared" si="679"/>
        <v/>
      </c>
      <c r="AC446" s="320" t="e">
        <f>IF($J446="",#N/A,SUM(AB$4:AB446))</f>
        <v>#N/A</v>
      </c>
      <c r="AD446" s="321" t="str">
        <f t="shared" si="680"/>
        <v/>
      </c>
      <c r="AE446" s="321" t="e">
        <f>IF($J446="",#N/A,SUM(AD$4:AD446))</f>
        <v>#N/A</v>
      </c>
      <c r="AF446" s="321" t="e">
        <f>IF($J446="",#N/A,SUM(AD$4:AD446,AB$4:AB446,Z$4:Z446))</f>
        <v>#N/A</v>
      </c>
      <c r="AG446" s="307" t="str">
        <f t="shared" si="681"/>
        <v/>
      </c>
      <c r="AH446" s="319" t="e">
        <f>IF($J446="",#N/A,SUM(AG$4:AG446))</f>
        <v>#N/A</v>
      </c>
      <c r="AI446" s="320" t="str">
        <f t="shared" si="682"/>
        <v/>
      </c>
      <c r="AJ446" s="320" t="e">
        <f>IF($J446="",#N/A,SUM(AI$4:AI446))</f>
        <v>#N/A</v>
      </c>
      <c r="AK446" s="321" t="str">
        <f t="shared" si="683"/>
        <v/>
      </c>
      <c r="AL446" s="321" t="e">
        <f>IF($J446="",#N/A,SUM(AK$4:AK446))</f>
        <v>#N/A</v>
      </c>
      <c r="AM446" s="321" t="e">
        <f>IF($J446="",#N/A,SUM(AK$4:AK446,AI$4:AI446,AG$4:AG446))</f>
        <v>#N/A</v>
      </c>
      <c r="AN446" s="307" t="str">
        <f t="shared" si="684"/>
        <v/>
      </c>
      <c r="AO446" s="319" t="e">
        <f>IF($J446="",#N/A,SUM(AN$4:AN446))</f>
        <v>#N/A</v>
      </c>
      <c r="AP446" s="320" t="str">
        <f t="shared" si="685"/>
        <v/>
      </c>
      <c r="AQ446" s="320" t="e">
        <f>IF($J446="",#N/A,SUM(AP$4:AP446))</f>
        <v>#N/A</v>
      </c>
      <c r="AR446" s="321">
        <f t="shared" si="686"/>
        <v>-0.63679245283018759</v>
      </c>
      <c r="AS446" s="321" t="e">
        <f>IF($J446="",#N/A,SUM(AR$4:AR446))</f>
        <v>#N/A</v>
      </c>
      <c r="AT446" s="321" t="e">
        <f>IF($J446="",#N/A,SUM(AR$4:AR446,AP$4:AP446,AN$4:AN446))</f>
        <v>#N/A</v>
      </c>
      <c r="AU446" s="307" t="str">
        <f t="shared" si="687"/>
        <v/>
      </c>
      <c r="AV446" s="319" t="e">
        <f>IF($J446="",#N/A,SUM(AU$4:AU446))</f>
        <v>#N/A</v>
      </c>
      <c r="AW446" s="320" t="str">
        <f t="shared" si="688"/>
        <v/>
      </c>
      <c r="AX446" s="320" t="e">
        <f>IF($J446="",#N/A,SUM(AW$4:AW446))</f>
        <v>#N/A</v>
      </c>
      <c r="AY446" s="321" t="str">
        <f t="shared" si="689"/>
        <v/>
      </c>
      <c r="AZ446" s="321" t="e">
        <f>IF($J446="",#N/A,SUM(AY$4:AY446))</f>
        <v>#N/A</v>
      </c>
      <c r="BA446" s="321" t="e">
        <f>IF($J446="",#N/A,SUM(AY$4:AY446,AW$4:AW446,AU$4:AU446))</f>
        <v>#N/A</v>
      </c>
      <c r="BB446" s="307" t="str">
        <f t="shared" si="690"/>
        <v/>
      </c>
      <c r="BC446" s="319" t="e">
        <f>IF($J446="",#N/A,SUM(BB$4:BB446))</f>
        <v>#N/A</v>
      </c>
      <c r="BD446" s="320" t="str">
        <f t="shared" si="691"/>
        <v/>
      </c>
      <c r="BE446" s="320" t="e">
        <f>IF($J446="",#N/A,SUM(BD$4:BD446))</f>
        <v>#N/A</v>
      </c>
      <c r="BF446" s="321" t="str">
        <f t="shared" si="692"/>
        <v/>
      </c>
      <c r="BG446" s="321" t="e">
        <f>IF($J446="",#N/A,SUM(BF$4:BF446))</f>
        <v>#N/A</v>
      </c>
      <c r="BH446" s="321" t="e">
        <f>IF($J446="",#N/A,SUM(BF$4:BF446,BD$4:BD446,BB$4:BB446))</f>
        <v>#N/A</v>
      </c>
      <c r="BI446" s="307" t="str">
        <f t="shared" si="693"/>
        <v/>
      </c>
      <c r="BJ446" s="319" t="e">
        <f>IF($J446="",#N/A,SUM(BI$4:BI446))</f>
        <v>#N/A</v>
      </c>
      <c r="BK446" s="320" t="str">
        <f t="shared" si="694"/>
        <v/>
      </c>
      <c r="BL446" s="320" t="e">
        <f>IF($J446="",#N/A,SUM(BK$4:BK446))</f>
        <v>#N/A</v>
      </c>
      <c r="BM446" s="321" t="str">
        <f t="shared" si="695"/>
        <v/>
      </c>
      <c r="BN446" s="321" t="e">
        <f>IF($J446="",#N/A,SUM(BM$4:BM446))</f>
        <v>#N/A</v>
      </c>
      <c r="BO446" s="321" t="e">
        <f>IF($J446="",#N/A,SUM(BM$4:BM446,BK$4:BK446,BI$4:BI446))</f>
        <v>#N/A</v>
      </c>
      <c r="BP446" s="307" t="str">
        <f t="shared" si="696"/>
        <v/>
      </c>
      <c r="BQ446" s="319" t="e">
        <f>IF($J446="",#N/A,SUM(BP$4:BP446))</f>
        <v>#N/A</v>
      </c>
      <c r="BR446" s="320" t="str">
        <f t="shared" si="697"/>
        <v/>
      </c>
      <c r="BS446" s="320" t="e">
        <f>IF($J446="",#N/A,SUM(BR$4:BR446))</f>
        <v>#N/A</v>
      </c>
      <c r="BT446" s="321" t="str">
        <f t="shared" si="698"/>
        <v/>
      </c>
      <c r="BU446" s="321" t="e">
        <f>IF($J446="",#N/A,SUM(BT$4:BT446))</f>
        <v>#N/A</v>
      </c>
      <c r="BV446" s="321" t="e">
        <f>IF($J446="",#N/A,SUM(BT$4:BT446,BR$4:BR446,BP$4:BP446))</f>
        <v>#N/A</v>
      </c>
      <c r="BW446" s="307" t="str">
        <f t="shared" si="699"/>
        <v/>
      </c>
      <c r="BX446" s="319" t="e">
        <f>IF($J446="",#N/A,SUM(BW$4:BW446))</f>
        <v>#N/A</v>
      </c>
      <c r="BY446" s="320" t="str">
        <f t="shared" si="700"/>
        <v/>
      </c>
      <c r="BZ446" s="320" t="e">
        <f>IF($J446="",#N/A,SUM(BY$4:BY446))</f>
        <v>#N/A</v>
      </c>
      <c r="CA446" s="321" t="str">
        <f t="shared" si="701"/>
        <v/>
      </c>
      <c r="CB446" s="321" t="e">
        <f>IF($J446="",#N/A,SUM(CA$4:CA446))</f>
        <v>#N/A</v>
      </c>
      <c r="CC446" s="321" t="e">
        <f>IF($J446="",#N/A,SUM(CA$4:CA446,BY$4:BY446,BW$4:BW446))</f>
        <v>#N/A</v>
      </c>
      <c r="CD446" s="307" t="str">
        <f t="shared" si="702"/>
        <v/>
      </c>
      <c r="CE446" s="319" t="e">
        <f>IF($J446="",#N/A,SUM(CD$4:CD446))</f>
        <v>#N/A</v>
      </c>
      <c r="CF446" s="320" t="str">
        <f t="shared" si="703"/>
        <v/>
      </c>
      <c r="CG446" s="320" t="e">
        <f>IF($J446="",#N/A,SUM(CF$4:CF446))</f>
        <v>#N/A</v>
      </c>
      <c r="CH446" s="321" t="str">
        <f t="shared" si="704"/>
        <v/>
      </c>
      <c r="CI446" s="321" t="e">
        <f>IF($J446="",#N/A,SUM(CH$4:CH446))</f>
        <v>#N/A</v>
      </c>
      <c r="CJ446" s="321" t="e">
        <f>IF($J446="",#N/A,SUM(CH$4:CH446,CF$4:CF446,CD$4:CD446))</f>
        <v>#N/A</v>
      </c>
      <c r="CK446" s="307" t="str">
        <f t="shared" si="705"/>
        <v/>
      </c>
      <c r="CL446" s="319" t="e">
        <f>IF($J446="",#N/A,SUM(CK$4:CK446))</f>
        <v>#N/A</v>
      </c>
      <c r="CM446" s="320" t="str">
        <f t="shared" si="706"/>
        <v/>
      </c>
      <c r="CN446" s="320" t="e">
        <f>IF($J446="",#N/A,SUM(CM$4:CM446))</f>
        <v>#N/A</v>
      </c>
      <c r="CO446" s="321" t="str">
        <f t="shared" si="707"/>
        <v/>
      </c>
      <c r="CP446" s="321" t="e">
        <f>IF($J446="",#N/A,SUM(CO$4:CO446))</f>
        <v>#N/A</v>
      </c>
      <c r="CQ446" s="321" t="e">
        <f>IF($J446="",#N/A,SUM(CO$4:CO446,CM$4:CM446,CK$4:CK446))</f>
        <v>#N/A</v>
      </c>
      <c r="CR446" s="307" t="str">
        <f t="shared" si="708"/>
        <v/>
      </c>
      <c r="CS446" s="319" t="e">
        <f>IF($J446="",#N/A,SUM(CR$4:CR446))</f>
        <v>#N/A</v>
      </c>
      <c r="CT446" s="320" t="str">
        <f t="shared" si="709"/>
        <v/>
      </c>
      <c r="CU446" s="320" t="e">
        <f>IF($J446="",#N/A,SUM(CT$4:CT446))</f>
        <v>#N/A</v>
      </c>
      <c r="CV446" s="321" t="str">
        <f t="shared" si="710"/>
        <v/>
      </c>
      <c r="CW446" s="321" t="e">
        <f>IF($J446="",#N/A,SUM(CV$4:CV446))</f>
        <v>#N/A</v>
      </c>
      <c r="CX446" s="321" t="e">
        <f>IF($J446="",#N/A,SUM(CV$4:CV446,CT$4:CT446,CR$4:CR446))</f>
        <v>#N/A</v>
      </c>
      <c r="CY446" s="307" t="str">
        <f t="shared" si="711"/>
        <v/>
      </c>
      <c r="CZ446" s="319" t="e">
        <f>IF($J446="",#N/A,SUM(CY$4:CY446))</f>
        <v>#N/A</v>
      </c>
      <c r="DA446" s="320" t="str">
        <f t="shared" si="712"/>
        <v/>
      </c>
      <c r="DB446" s="320" t="e">
        <f>IF($J446="",#N/A,SUM(DA$4:DA446))</f>
        <v>#N/A</v>
      </c>
      <c r="DC446" s="321" t="str">
        <f t="shared" si="713"/>
        <v/>
      </c>
      <c r="DD446" s="321" t="e">
        <f>IF($J446="",#N/A,SUM(DC$4:DC446))</f>
        <v>#N/A</v>
      </c>
      <c r="DE446" s="321" t="e">
        <f>IF($J446="",#N/A,SUM(DC$4:DC446,DA$4:DA446,CY$4:CY446))</f>
        <v>#N/A</v>
      </c>
      <c r="DF446" s="307" t="str">
        <f t="shared" si="714"/>
        <v/>
      </c>
      <c r="DG446" s="319" t="e">
        <f>IF($J446="",#N/A,SUM(DF$4:DF446))</f>
        <v>#N/A</v>
      </c>
      <c r="DH446" s="320" t="str">
        <f t="shared" si="715"/>
        <v/>
      </c>
      <c r="DI446" s="320" t="e">
        <f>IF($J446="",#N/A,SUM(DH$4:DH446))</f>
        <v>#N/A</v>
      </c>
      <c r="DJ446" s="321" t="str">
        <f t="shared" si="716"/>
        <v/>
      </c>
      <c r="DK446" s="321" t="e">
        <f>IF($J446="",#N/A,SUM(DJ$4:DJ446))</f>
        <v>#N/A</v>
      </c>
      <c r="DL446" s="321" t="e">
        <f>IF($J446="",#N/A,SUM(DJ$4:DJ446,DH$4:DH446,DF$4:DF446))</f>
        <v>#N/A</v>
      </c>
      <c r="DM446" s="307" t="str">
        <f t="shared" si="717"/>
        <v/>
      </c>
      <c r="DN446" s="319" t="e">
        <f>IF($J446="",#N/A,SUM(DM$4:DM446))</f>
        <v>#N/A</v>
      </c>
      <c r="DO446" s="320" t="str">
        <f t="shared" si="718"/>
        <v/>
      </c>
      <c r="DP446" s="320" t="e">
        <f>IF($J446="",#N/A,SUM(DO$4:DO446))</f>
        <v>#N/A</v>
      </c>
      <c r="DQ446" s="321" t="str">
        <f t="shared" si="719"/>
        <v/>
      </c>
      <c r="DR446" s="321" t="e">
        <f>IF($J446="",#N/A,SUM(DQ$4:DQ446))</f>
        <v>#N/A</v>
      </c>
      <c r="DS446" s="321" t="e">
        <f>IF($J446="",#N/A,SUM(DQ$4:DQ446,DO$4:DO446,DM$4:DM446))</f>
        <v>#N/A</v>
      </c>
      <c r="DT446" s="307" t="str">
        <f t="shared" si="720"/>
        <v/>
      </c>
      <c r="DU446" s="319" t="e">
        <f>IF($J446="",#N/A,SUM(DT$4:DT446))</f>
        <v>#N/A</v>
      </c>
      <c r="DV446" s="320" t="str">
        <f t="shared" si="721"/>
        <v/>
      </c>
      <c r="DW446" s="320" t="e">
        <f>IF($J446="",#N/A,SUM(DV$4:DV446))</f>
        <v>#N/A</v>
      </c>
      <c r="DX446" s="321" t="str">
        <f t="shared" si="722"/>
        <v/>
      </c>
      <c r="DY446" s="321" t="e">
        <f>IF($J446="",#N/A,SUM(DX$4:DX446))</f>
        <v>#N/A</v>
      </c>
      <c r="DZ446" s="321" t="e">
        <f>IF($J446="",#N/A,SUM(DX$4:DX446,DV$4:DV446,DT$4:DT446))</f>
        <v>#N/A</v>
      </c>
      <c r="EA446" s="307" t="str">
        <f t="shared" si="723"/>
        <v/>
      </c>
      <c r="EB446" s="319" t="e">
        <f>IF($J446="",#N/A,SUM(EA$4:EA446))</f>
        <v>#N/A</v>
      </c>
      <c r="EC446" s="320" t="str">
        <f t="shared" si="724"/>
        <v/>
      </c>
      <c r="ED446" s="320" t="e">
        <f>IF($J446="",#N/A,SUM(EC$4:EC446))</f>
        <v>#N/A</v>
      </c>
      <c r="EE446" s="321" t="str">
        <f t="shared" si="725"/>
        <v/>
      </c>
      <c r="EF446" s="321" t="e">
        <f>IF($J446="",#N/A,SUM(EE$4:EE446))</f>
        <v>#N/A</v>
      </c>
      <c r="EG446" s="321" t="e">
        <f>IF($J446="",#N/A,SUM(EE$4:EE446,EC$4:EC446,EA$4:EA446))</f>
        <v>#N/A</v>
      </c>
      <c r="EH446" s="80">
        <f t="shared" si="726"/>
        <v>-36.449999999999932</v>
      </c>
      <c r="EI446" s="71">
        <f>IF(EH446="",#N/A,SUM($EH$4:EH446))</f>
        <v>2489.107379297413</v>
      </c>
      <c r="EJ446" s="213" t="e">
        <f t="shared" si="727"/>
        <v>#N/A</v>
      </c>
      <c r="EK446" s="71" t="e">
        <f>IF($GZ446="",#N/A,SUM(EJ$4:EJ446))</f>
        <v>#N/A</v>
      </c>
      <c r="EL446" s="263">
        <f t="shared" si="757"/>
        <v>-0.63679245283018759</v>
      </c>
      <c r="EM446" s="263">
        <f>IF(EL446="",NA(),SUM($EL$4:EL446))</f>
        <v>25.100229823736942</v>
      </c>
      <c r="EN446" s="263" t="str">
        <f t="shared" si="728"/>
        <v/>
      </c>
      <c r="EO446" s="263" t="e">
        <f>IF(EN446="",NA(),SUM($EN$4:EN446))</f>
        <v>#N/A</v>
      </c>
      <c r="EP446" s="263">
        <f t="shared" si="729"/>
        <v>-0.63679245283018759</v>
      </c>
      <c r="EQ446" s="263">
        <f>IF(EP446="",NA(),SUM($EP$4:EP446))</f>
        <v>3.9136707181584622</v>
      </c>
      <c r="ER446" s="263" t="str">
        <f t="shared" si="730"/>
        <v/>
      </c>
      <c r="ES446" s="263" t="e">
        <f>IF(ER446="",NA(),SUM($ER$4:ER446))</f>
        <v>#N/A</v>
      </c>
      <c r="ET446" s="263" t="str">
        <f t="shared" si="731"/>
        <v/>
      </c>
      <c r="EU446" s="263" t="e">
        <f>IF(ET446="",NA(),SUM($ET$4:ET446))</f>
        <v>#N/A</v>
      </c>
      <c r="EV446" s="263" t="str">
        <f t="shared" si="732"/>
        <v/>
      </c>
      <c r="EW446" s="263" t="e">
        <f>IF(EV446="",NA(),SUM($EV$4:EV446))</f>
        <v>#N/A</v>
      </c>
      <c r="EX446" s="263" t="str">
        <f t="shared" si="733"/>
        <v/>
      </c>
      <c r="EY446" s="263" t="e">
        <f>IF(EX446="",NA(),SUM($EX$4:EX446))</f>
        <v>#N/A</v>
      </c>
      <c r="EZ446" s="263" t="str">
        <f t="shared" si="734"/>
        <v/>
      </c>
      <c r="FA446" s="263" t="e">
        <f>IF(EZ446="",NA(),SUM($EZ$4:EZ446))</f>
        <v>#N/A</v>
      </c>
      <c r="FB446" s="271" t="str">
        <f t="shared" si="758"/>
        <v/>
      </c>
      <c r="FC446" s="271" t="e">
        <f>IF($FB446="",#N/A,SUM(FB$4:$FB446))</f>
        <v>#N/A</v>
      </c>
      <c r="FD446" s="263" t="str">
        <f t="shared" si="735"/>
        <v/>
      </c>
      <c r="FE446" s="263" t="e">
        <f>IF($FD446="",#N/A,SUM($FD$4:FD446))</f>
        <v>#N/A</v>
      </c>
      <c r="FF446" s="263" t="str">
        <f t="shared" si="736"/>
        <v/>
      </c>
      <c r="FG446" s="263" t="e">
        <f>IF($FF446="",#N/A,SUM($FF$4:FF446))</f>
        <v>#N/A</v>
      </c>
      <c r="FH446" s="263" t="str">
        <f t="shared" si="737"/>
        <v/>
      </c>
      <c r="FI446" s="263" t="e">
        <f>IF($FH446="",#N/A,SUM($FH$4:FH446))</f>
        <v>#N/A</v>
      </c>
      <c r="FJ446" s="263" t="str">
        <f t="shared" si="738"/>
        <v/>
      </c>
      <c r="FK446" s="263" t="e">
        <f>IF($FJ446="",#N/A,SUM($FJ$4:FJ446))</f>
        <v>#N/A</v>
      </c>
      <c r="FL446" s="263">
        <f t="shared" si="739"/>
        <v>0.43238993710691831</v>
      </c>
      <c r="FM446" s="263">
        <f>IF($FL446="",#N/A,SUM($FL$4:FL446))</f>
        <v>-1.7665946752372341</v>
      </c>
      <c r="FN446" s="83">
        <f t="shared" si="740"/>
        <v>-0.20440251572326926</v>
      </c>
      <c r="FO446" s="83">
        <f>IF($FN446="",#N/A,SUM(FN$4:$FN446))</f>
        <v>50.480326853239397</v>
      </c>
      <c r="FP446" s="83">
        <f t="shared" si="759"/>
        <v>-0.63679245283018759</v>
      </c>
      <c r="FQ446" s="271">
        <f>IF($EH446="",#N/A,SUM($FP$4:FP446))</f>
        <v>68.2187491659557</v>
      </c>
      <c r="FR446" s="83">
        <f>IFERROR(FQ446/COUNTA($J$4:J446),#N/A)</f>
        <v>0.15399266177416637</v>
      </c>
      <c r="FS446" s="83">
        <f t="shared" si="768"/>
        <v>0.42731737126052466</v>
      </c>
      <c r="FT446" s="83">
        <f t="shared" si="769"/>
        <v>0.28326803262436867</v>
      </c>
      <c r="FU446" s="339">
        <f t="shared" si="767"/>
        <v>29.606893566784819</v>
      </c>
      <c r="FV446" s="66" t="str">
        <f t="shared" si="765"/>
        <v>SW</v>
      </c>
      <c r="FW446" s="66" t="s">
        <v>2732</v>
      </c>
      <c r="FX446" s="66" t="str">
        <f t="shared" si="741"/>
        <v/>
      </c>
      <c r="FY446" s="66" t="str">
        <f t="shared" si="742"/>
        <v/>
      </c>
      <c r="FZ446" s="66" t="str">
        <f t="shared" si="743"/>
        <v/>
      </c>
      <c r="GA446" s="66" t="str">
        <f t="shared" si="744"/>
        <v>Long</v>
      </c>
      <c r="GB446" s="66" t="str">
        <f t="shared" si="745"/>
        <v/>
      </c>
      <c r="GC446" s="66" t="str">
        <f t="shared" si="746"/>
        <v/>
      </c>
      <c r="GD446" s="66">
        <f t="shared" si="747"/>
        <v>1</v>
      </c>
      <c r="GE446" s="70">
        <f t="shared" si="770"/>
        <v>21.2</v>
      </c>
      <c r="GF446" s="70" t="s">
        <v>2779</v>
      </c>
      <c r="GG446" s="493">
        <v>45</v>
      </c>
      <c r="GH446" s="208">
        <f t="shared" si="748"/>
        <v>954</v>
      </c>
      <c r="GI446" s="201">
        <v>45</v>
      </c>
      <c r="GJ446" s="202">
        <v>20.39</v>
      </c>
      <c r="GK446" s="71">
        <f t="shared" si="749"/>
        <v>-36.449999999999932</v>
      </c>
      <c r="GL446" s="71">
        <f t="shared" si="665"/>
        <v>-11.699999999999932</v>
      </c>
      <c r="GM446" s="83">
        <f t="shared" si="750"/>
        <v>-0.20440251572326926</v>
      </c>
      <c r="GN446" s="83">
        <f>IF($GZ446="",#N/A,SUM(GM$4:GM446))</f>
        <v>4.9030406800034356</v>
      </c>
      <c r="GO446" s="83" t="str">
        <f t="shared" si="751"/>
        <v/>
      </c>
      <c r="GP446" s="83">
        <f>IF($GZ446="",#N/A,SUM(GO$4:GO446))</f>
        <v>4.2788408366274897</v>
      </c>
      <c r="GQ446" s="83" t="str">
        <f t="shared" si="752"/>
        <v/>
      </c>
      <c r="GR446" s="83">
        <f>IF($GZ446="",#N/A,SUM(GQ$4:GQ446))</f>
        <v>40.672608382166146</v>
      </c>
      <c r="GS446" s="71" t="e">
        <f t="shared" si="760"/>
        <v>#N/A</v>
      </c>
      <c r="GT446" s="71" t="e">
        <f>IF($GZ446="",#N/A,SUM(GS$4:GS446))</f>
        <v>#N/A</v>
      </c>
      <c r="GU446" s="71" t="str">
        <f t="shared" si="761"/>
        <v/>
      </c>
      <c r="GV446" s="71" t="e">
        <f>IF($GZ446="",#N/A,SUM(GU$4:GU446))</f>
        <v>#N/A</v>
      </c>
      <c r="GW446" s="71" t="str">
        <f t="shared" si="762"/>
        <v/>
      </c>
      <c r="GX446" s="71" t="e">
        <f>IF($GZ446="",#N/A,SUM(GW$4:GW446))</f>
        <v>#N/A</v>
      </c>
      <c r="GY446" s="71" t="e">
        <f>IF(EJ446="",#N/A,SUM($EJ$4:EJ446))</f>
        <v>#N/A</v>
      </c>
      <c r="GZ446" s="160">
        <v>20.94</v>
      </c>
      <c r="HA446" s="71">
        <f t="shared" si="753"/>
        <v>24.75</v>
      </c>
      <c r="HB446" s="70" t="s">
        <v>2538</v>
      </c>
      <c r="HC446" s="263">
        <f>IFERROR(VLOOKUP(E446,Expectancy!$P$4:$S$19,1+C446,FALSE),"")</f>
        <v>0.48685636958953199</v>
      </c>
      <c r="HD446" s="83">
        <f t="shared" si="754"/>
        <v>-0.63679245283018759</v>
      </c>
      <c r="HE446" s="137">
        <f>IF(HD446="",#N/A,SUM($HD$4:HD446))</f>
        <v>24.081855599170876</v>
      </c>
      <c r="HF446" s="86">
        <f>IF(HD446="",#N/A,IF(HB446="Skip",#N/A,SUM($HG$4:HG446)))</f>
        <v>1352.1944792191566</v>
      </c>
      <c r="HG446" s="71">
        <f t="shared" si="755"/>
        <v>-36.449999999999932</v>
      </c>
      <c r="HH446" s="82">
        <f t="shared" si="766"/>
        <v>-0.20440251572326926</v>
      </c>
    </row>
    <row r="447" spans="1:216" x14ac:dyDescent="0.25">
      <c r="A447" s="57" t="s">
        <v>1195</v>
      </c>
      <c r="B447" s="58" t="str" cm="1">
        <f t="array" ref="B447">IFERROR(_xlfn.XLOOKUP(A447,Earnings!$B$2:$B$9985,LEFT(Earnings!$C$2:$C$9985,37)),"Can't Find Date***")</f>
        <v>on 3/19/25 Before Market Eastern Stan</v>
      </c>
      <c r="C447" s="386">
        <f t="shared" si="667"/>
        <v>3</v>
      </c>
      <c r="D447" s="372" t="str">
        <f>_xlfn.XLOOKUP(A447,[1]SP500!$A$2:$A$502,[1]SP500!$D$2:$D$502,"N")</f>
        <v>N</v>
      </c>
      <c r="E447" s="57" t="str">
        <f>_xlfn.XLOOKUP(A447,[1]SP500!$A$2:$A$655,[1]SP500!$B$2:$B$655)</f>
        <v>XLY</v>
      </c>
      <c r="F447" s="59">
        <v>45742</v>
      </c>
      <c r="G447" s="57" t="str">
        <f t="shared" si="668"/>
        <v>BMO</v>
      </c>
      <c r="H447" s="57" t="str">
        <f t="shared" si="669"/>
        <v>o</v>
      </c>
      <c r="I447" s="159">
        <v>33.61</v>
      </c>
      <c r="J447" s="159">
        <v>34.450000000000003</v>
      </c>
      <c r="K447" s="61">
        <f t="shared" si="670"/>
        <v>2.4992561737578203E-2</v>
      </c>
      <c r="L447" s="87">
        <f t="shared" si="671"/>
        <v>41.237726867004085</v>
      </c>
      <c r="M447" s="210" t="e">
        <f t="shared" si="771"/>
        <v>#N/A</v>
      </c>
      <c r="N447" s="169" t="str">
        <f t="shared" si="672"/>
        <v/>
      </c>
      <c r="O447" s="169">
        <f>IF($J447="",#N/A,SUM($N$4:N447))</f>
        <v>-328.04225475891064</v>
      </c>
      <c r="P447" s="174" t="str">
        <f t="shared" si="673"/>
        <v/>
      </c>
      <c r="Q447" s="174">
        <f>IF($J447="",#N/A,SUM($P$4:P447))</f>
        <v>1960.9804616610143</v>
      </c>
      <c r="R447" s="178">
        <f t="shared" si="674"/>
        <v>41.237726867004085</v>
      </c>
      <c r="S447" s="178">
        <f>IF($J447="",#N/A,SUM($R$4:R447))</f>
        <v>897.40689926231357</v>
      </c>
      <c r="T447" s="290" t="str">
        <f t="shared" si="675"/>
        <v/>
      </c>
      <c r="U447" s="290">
        <f>IF($J447="",#N/A,SUM($T$4:T447))</f>
        <v>10.009379462148743</v>
      </c>
      <c r="V447" s="291" t="str">
        <f t="shared" si="676"/>
        <v/>
      </c>
      <c r="W447" s="291">
        <f>IF($J447="",#N/A,SUM($V$4:V447))</f>
        <v>43.499377235053274</v>
      </c>
      <c r="X447" s="292">
        <f t="shared" si="677"/>
        <v>0.41654269562630386</v>
      </c>
      <c r="Y447" s="292">
        <f>IF($J447="",#N/A,SUM($X$4:X447))</f>
        <v>15.126535164379963</v>
      </c>
      <c r="Z447" s="304" t="str">
        <f t="shared" si="678"/>
        <v/>
      </c>
      <c r="AA447" s="313" t="e">
        <f>IF($J447="",#N/A,SUM(Z$4:Z447))</f>
        <v>#N/A</v>
      </c>
      <c r="AB447" s="314" t="str">
        <f t="shared" si="679"/>
        <v/>
      </c>
      <c r="AC447" s="314" t="e">
        <f>IF($J447="",#N/A,SUM(AB$4:AB447))</f>
        <v>#N/A</v>
      </c>
      <c r="AD447" s="315" t="str">
        <f t="shared" si="680"/>
        <v/>
      </c>
      <c r="AE447" s="315" t="e">
        <f>IF($J447="",#N/A,SUM(AD$4:AD447))</f>
        <v>#N/A</v>
      </c>
      <c r="AF447" s="315" t="e">
        <f>IF($J447="",#N/A,SUM(AD$4:AD447,AB$4:AB447,Z$4:Z447))</f>
        <v>#N/A</v>
      </c>
      <c r="AG447" s="304" t="str">
        <f t="shared" si="681"/>
        <v/>
      </c>
      <c r="AH447" s="313" t="e">
        <f>IF($J447="",#N/A,SUM(AG$4:AG447))</f>
        <v>#N/A</v>
      </c>
      <c r="AI447" s="314" t="str">
        <f t="shared" si="682"/>
        <v/>
      </c>
      <c r="AJ447" s="314" t="e">
        <f>IF($J447="",#N/A,SUM(AI$4:AI447))</f>
        <v>#N/A</v>
      </c>
      <c r="AK447" s="315" t="str">
        <f t="shared" si="683"/>
        <v/>
      </c>
      <c r="AL447" s="315" t="e">
        <f>IF($J447="",#N/A,SUM(AK$4:AK447))</f>
        <v>#N/A</v>
      </c>
      <c r="AM447" s="315" t="e">
        <f>IF($J447="",#N/A,SUM(AK$4:AK447,AI$4:AI447,AG$4:AG447))</f>
        <v>#N/A</v>
      </c>
      <c r="AN447" s="304" t="str">
        <f t="shared" si="684"/>
        <v/>
      </c>
      <c r="AO447" s="313" t="e">
        <f>IF($J447="",#N/A,SUM(AN$4:AN447))</f>
        <v>#N/A</v>
      </c>
      <c r="AP447" s="314" t="str">
        <f t="shared" si="685"/>
        <v/>
      </c>
      <c r="AQ447" s="314" t="e">
        <f>IF($J447="",#N/A,SUM(AP$4:AP447))</f>
        <v>#N/A</v>
      </c>
      <c r="AR447" s="315">
        <f t="shared" si="686"/>
        <v>0.41654269562630386</v>
      </c>
      <c r="AS447" s="315" t="e">
        <f>IF($J447="",#N/A,SUM(AR$4:AR447))</f>
        <v>#N/A</v>
      </c>
      <c r="AT447" s="315" t="e">
        <f>IF($J447="",#N/A,SUM(AR$4:AR447,AP$4:AP447,AN$4:AN447))</f>
        <v>#N/A</v>
      </c>
      <c r="AU447" s="304" t="str">
        <f t="shared" si="687"/>
        <v/>
      </c>
      <c r="AV447" s="313" t="e">
        <f>IF($J447="",#N/A,SUM(AU$4:AU447))</f>
        <v>#N/A</v>
      </c>
      <c r="AW447" s="314" t="str">
        <f t="shared" si="688"/>
        <v/>
      </c>
      <c r="AX447" s="314" t="e">
        <f>IF($J447="",#N/A,SUM(AW$4:AW447))</f>
        <v>#N/A</v>
      </c>
      <c r="AY447" s="315" t="str">
        <f t="shared" si="689"/>
        <v/>
      </c>
      <c r="AZ447" s="315" t="e">
        <f>IF($J447="",#N/A,SUM(AY$4:AY447))</f>
        <v>#N/A</v>
      </c>
      <c r="BA447" s="315" t="e">
        <f>IF($J447="",#N/A,SUM(AY$4:AY447,AW$4:AW447,AU$4:AU447))</f>
        <v>#N/A</v>
      </c>
      <c r="BB447" s="304" t="str">
        <f t="shared" si="690"/>
        <v/>
      </c>
      <c r="BC447" s="313" t="e">
        <f>IF($J447="",#N/A,SUM(BB$4:BB447))</f>
        <v>#N/A</v>
      </c>
      <c r="BD447" s="314" t="str">
        <f t="shared" si="691"/>
        <v/>
      </c>
      <c r="BE447" s="314" t="e">
        <f>IF($J447="",#N/A,SUM(BD$4:BD447))</f>
        <v>#N/A</v>
      </c>
      <c r="BF447" s="315" t="str">
        <f t="shared" si="692"/>
        <v/>
      </c>
      <c r="BG447" s="315" t="e">
        <f>IF($J447="",#N/A,SUM(BF$4:BF447))</f>
        <v>#N/A</v>
      </c>
      <c r="BH447" s="315" t="e">
        <f>IF($J447="",#N/A,SUM(BF$4:BF447,BD$4:BD447,BB$4:BB447))</f>
        <v>#N/A</v>
      </c>
      <c r="BI447" s="304" t="str">
        <f t="shared" si="693"/>
        <v/>
      </c>
      <c r="BJ447" s="313" t="e">
        <f>IF($J447="",#N/A,SUM(BI$4:BI447))</f>
        <v>#N/A</v>
      </c>
      <c r="BK447" s="314" t="str">
        <f t="shared" si="694"/>
        <v/>
      </c>
      <c r="BL447" s="314" t="e">
        <f>IF($J447="",#N/A,SUM(BK$4:BK447))</f>
        <v>#N/A</v>
      </c>
      <c r="BM447" s="315" t="str">
        <f t="shared" si="695"/>
        <v/>
      </c>
      <c r="BN447" s="315" t="e">
        <f>IF($J447="",#N/A,SUM(BM$4:BM447))</f>
        <v>#N/A</v>
      </c>
      <c r="BO447" s="315" t="e">
        <f>IF($J447="",#N/A,SUM(BM$4:BM447,BK$4:BK447,BI$4:BI447))</f>
        <v>#N/A</v>
      </c>
      <c r="BP447" s="304" t="str">
        <f t="shared" si="696"/>
        <v/>
      </c>
      <c r="BQ447" s="313" t="e">
        <f>IF($J447="",#N/A,SUM(BP$4:BP447))</f>
        <v>#N/A</v>
      </c>
      <c r="BR447" s="314" t="str">
        <f t="shared" si="697"/>
        <v/>
      </c>
      <c r="BS447" s="314" t="e">
        <f>IF($J447="",#N/A,SUM(BR$4:BR447))</f>
        <v>#N/A</v>
      </c>
      <c r="BT447" s="315" t="str">
        <f t="shared" si="698"/>
        <v/>
      </c>
      <c r="BU447" s="315" t="e">
        <f>IF($J447="",#N/A,SUM(BT$4:BT447))</f>
        <v>#N/A</v>
      </c>
      <c r="BV447" s="315" t="e">
        <f>IF($J447="",#N/A,SUM(BT$4:BT447,BR$4:BR447,BP$4:BP447))</f>
        <v>#N/A</v>
      </c>
      <c r="BW447" s="304" t="str">
        <f t="shared" si="699"/>
        <v/>
      </c>
      <c r="BX447" s="313" t="e">
        <f>IF($J447="",#N/A,SUM(BW$4:BW447))</f>
        <v>#N/A</v>
      </c>
      <c r="BY447" s="314" t="str">
        <f t="shared" si="700"/>
        <v/>
      </c>
      <c r="BZ447" s="314" t="e">
        <f>IF($J447="",#N/A,SUM(BY$4:BY447))</f>
        <v>#N/A</v>
      </c>
      <c r="CA447" s="315" t="str">
        <f t="shared" si="701"/>
        <v/>
      </c>
      <c r="CB447" s="315" t="e">
        <f>IF($J447="",#N/A,SUM(CA$4:CA447))</f>
        <v>#N/A</v>
      </c>
      <c r="CC447" s="315" t="e">
        <f>IF($J447="",#N/A,SUM(CA$4:CA447,BY$4:BY447,BW$4:BW447))</f>
        <v>#N/A</v>
      </c>
      <c r="CD447" s="304" t="str">
        <f t="shared" si="702"/>
        <v/>
      </c>
      <c r="CE447" s="313" t="e">
        <f>IF($J447="",#N/A,SUM(CD$4:CD447))</f>
        <v>#N/A</v>
      </c>
      <c r="CF447" s="314" t="str">
        <f t="shared" si="703"/>
        <v/>
      </c>
      <c r="CG447" s="314" t="e">
        <f>IF($J447="",#N/A,SUM(CF$4:CF447))</f>
        <v>#N/A</v>
      </c>
      <c r="CH447" s="315" t="str">
        <f t="shared" si="704"/>
        <v/>
      </c>
      <c r="CI447" s="315" t="e">
        <f>IF($J447="",#N/A,SUM(CH$4:CH447))</f>
        <v>#N/A</v>
      </c>
      <c r="CJ447" s="315" t="e">
        <f>IF($J447="",#N/A,SUM(CH$4:CH447,CF$4:CF447,CD$4:CD447))</f>
        <v>#N/A</v>
      </c>
      <c r="CK447" s="304" t="str">
        <f t="shared" si="705"/>
        <v/>
      </c>
      <c r="CL447" s="313" t="e">
        <f>IF($J447="",#N/A,SUM(CK$4:CK447))</f>
        <v>#N/A</v>
      </c>
      <c r="CM447" s="314" t="str">
        <f t="shared" si="706"/>
        <v/>
      </c>
      <c r="CN447" s="314" t="e">
        <f>IF($J447="",#N/A,SUM(CM$4:CM447))</f>
        <v>#N/A</v>
      </c>
      <c r="CO447" s="315" t="str">
        <f t="shared" si="707"/>
        <v/>
      </c>
      <c r="CP447" s="315" t="e">
        <f>IF($J447="",#N/A,SUM(CO$4:CO447))</f>
        <v>#N/A</v>
      </c>
      <c r="CQ447" s="315" t="e">
        <f>IF($J447="",#N/A,SUM(CO$4:CO447,CM$4:CM447,CK$4:CK447))</f>
        <v>#N/A</v>
      </c>
      <c r="CR447" s="304" t="str">
        <f t="shared" si="708"/>
        <v/>
      </c>
      <c r="CS447" s="313" t="e">
        <f>IF($J447="",#N/A,SUM(CR$4:CR447))</f>
        <v>#N/A</v>
      </c>
      <c r="CT447" s="314" t="str">
        <f t="shared" si="709"/>
        <v/>
      </c>
      <c r="CU447" s="314" t="e">
        <f>IF($J447="",#N/A,SUM(CT$4:CT447))</f>
        <v>#N/A</v>
      </c>
      <c r="CV447" s="315" t="str">
        <f t="shared" si="710"/>
        <v/>
      </c>
      <c r="CW447" s="315" t="e">
        <f>IF($J447="",#N/A,SUM(CV$4:CV447))</f>
        <v>#N/A</v>
      </c>
      <c r="CX447" s="315" t="e">
        <f>IF($J447="",#N/A,SUM(CV$4:CV447,CT$4:CT447,CR$4:CR447))</f>
        <v>#N/A</v>
      </c>
      <c r="CY447" s="304" t="str">
        <f t="shared" si="711"/>
        <v/>
      </c>
      <c r="CZ447" s="313" t="e">
        <f>IF($J447="",#N/A,SUM(CY$4:CY447))</f>
        <v>#N/A</v>
      </c>
      <c r="DA447" s="314" t="str">
        <f t="shared" si="712"/>
        <v/>
      </c>
      <c r="DB447" s="314" t="e">
        <f>IF($J447="",#N/A,SUM(DA$4:DA447))</f>
        <v>#N/A</v>
      </c>
      <c r="DC447" s="315" t="str">
        <f t="shared" si="713"/>
        <v/>
      </c>
      <c r="DD447" s="315" t="e">
        <f>IF($J447="",#N/A,SUM(DC$4:DC447))</f>
        <v>#N/A</v>
      </c>
      <c r="DE447" s="315" t="e">
        <f>IF($J447="",#N/A,SUM(DC$4:DC447,DA$4:DA447,CY$4:CY447))</f>
        <v>#N/A</v>
      </c>
      <c r="DF447" s="304" t="str">
        <f t="shared" si="714"/>
        <v/>
      </c>
      <c r="DG447" s="313" t="e">
        <f>IF($J447="",#N/A,SUM(DF$4:DF447))</f>
        <v>#N/A</v>
      </c>
      <c r="DH447" s="314" t="str">
        <f t="shared" si="715"/>
        <v/>
      </c>
      <c r="DI447" s="314" t="e">
        <f>IF($J447="",#N/A,SUM(DH$4:DH447))</f>
        <v>#N/A</v>
      </c>
      <c r="DJ447" s="315" t="str">
        <f t="shared" si="716"/>
        <v/>
      </c>
      <c r="DK447" s="315" t="e">
        <f>IF($J447="",#N/A,SUM(DJ$4:DJ447))</f>
        <v>#N/A</v>
      </c>
      <c r="DL447" s="315" t="e">
        <f>IF($J447="",#N/A,SUM(DJ$4:DJ447,DH$4:DH447,DF$4:DF447))</f>
        <v>#N/A</v>
      </c>
      <c r="DM447" s="304" t="str">
        <f t="shared" si="717"/>
        <v/>
      </c>
      <c r="DN447" s="313" t="e">
        <f>IF($J447="",#N/A,SUM(DM$4:DM447))</f>
        <v>#N/A</v>
      </c>
      <c r="DO447" s="314" t="str">
        <f t="shared" si="718"/>
        <v/>
      </c>
      <c r="DP447" s="314" t="e">
        <f>IF($J447="",#N/A,SUM(DO$4:DO447))</f>
        <v>#N/A</v>
      </c>
      <c r="DQ447" s="315" t="str">
        <f t="shared" si="719"/>
        <v/>
      </c>
      <c r="DR447" s="315" t="e">
        <f>IF($J447="",#N/A,SUM(DQ$4:DQ447))</f>
        <v>#N/A</v>
      </c>
      <c r="DS447" s="315" t="e">
        <f>IF($J447="",#N/A,SUM(DQ$4:DQ447,DO$4:DO447,DM$4:DM447))</f>
        <v>#N/A</v>
      </c>
      <c r="DT447" s="304" t="str">
        <f t="shared" si="720"/>
        <v/>
      </c>
      <c r="DU447" s="313" t="e">
        <f>IF($J447="",#N/A,SUM(DT$4:DT447))</f>
        <v>#N/A</v>
      </c>
      <c r="DV447" s="314" t="str">
        <f t="shared" si="721"/>
        <v/>
      </c>
      <c r="DW447" s="314" t="e">
        <f>IF($J447="",#N/A,SUM(DV$4:DV447))</f>
        <v>#N/A</v>
      </c>
      <c r="DX447" s="315" t="str">
        <f t="shared" si="722"/>
        <v/>
      </c>
      <c r="DY447" s="315" t="e">
        <f>IF($J447="",#N/A,SUM(DX$4:DX447))</f>
        <v>#N/A</v>
      </c>
      <c r="DZ447" s="315" t="e">
        <f>IF($J447="",#N/A,SUM(DX$4:DX447,DV$4:DV447,DT$4:DT447))</f>
        <v>#N/A</v>
      </c>
      <c r="EA447" s="304" t="str">
        <f t="shared" si="723"/>
        <v/>
      </c>
      <c r="EB447" s="313" t="e">
        <f>IF($J447="",#N/A,SUM(EA$4:EA447))</f>
        <v>#N/A</v>
      </c>
      <c r="EC447" s="314" t="str">
        <f t="shared" si="724"/>
        <v/>
      </c>
      <c r="ED447" s="314" t="e">
        <f>IF($J447="",#N/A,SUM(EC$4:EC447))</f>
        <v>#N/A</v>
      </c>
      <c r="EE447" s="315" t="str">
        <f t="shared" si="725"/>
        <v/>
      </c>
      <c r="EF447" s="315" t="e">
        <f>IF($J447="",#N/A,SUM(EE$4:EE447))</f>
        <v>#N/A</v>
      </c>
      <c r="EG447" s="315" t="e">
        <f>IF($J447="",#N/A,SUM(EE$4:EE447,EC$4:EC447,EA$4:EA447))</f>
        <v>#N/A</v>
      </c>
      <c r="EH447" s="130">
        <f t="shared" si="726"/>
        <v>41.237726867004085</v>
      </c>
      <c r="EI447" s="63">
        <f>IF(EH447="",#N/A,SUM($EH$4:EH447))</f>
        <v>2530.3451061644173</v>
      </c>
      <c r="EJ447" s="223" t="e">
        <f t="shared" si="727"/>
        <v>#N/A</v>
      </c>
      <c r="EK447" s="63" t="e">
        <f>IF($GZ447="",#N/A,SUM(EJ$4:EJ447))</f>
        <v>#N/A</v>
      </c>
      <c r="EL447" s="60" t="str">
        <f t="shared" si="757"/>
        <v/>
      </c>
      <c r="EM447" s="60" t="e">
        <f>IF(EL447="",NA(),SUM($EL$4:EL447))</f>
        <v>#N/A</v>
      </c>
      <c r="EN447" s="60" t="str">
        <f t="shared" si="728"/>
        <v/>
      </c>
      <c r="EO447" s="60" t="e">
        <f>IF(EN447="",NA(),SUM($EN$4:EN447))</f>
        <v>#N/A</v>
      </c>
      <c r="EP447" s="60" t="str">
        <f t="shared" si="729"/>
        <v/>
      </c>
      <c r="EQ447" s="60" t="e">
        <f>IF(EP447="",NA(),SUM($EP$4:EP447))</f>
        <v>#N/A</v>
      </c>
      <c r="ER447" s="60" t="str">
        <f t="shared" si="730"/>
        <v/>
      </c>
      <c r="ES447" s="60" t="e">
        <f>IF(ER447="",NA(),SUM($ER$4:ER447))</f>
        <v>#N/A</v>
      </c>
      <c r="ET447" s="60">
        <f t="shared" si="731"/>
        <v>0.41654269562630386</v>
      </c>
      <c r="EU447" s="60">
        <f>IF(ET447="",NA(),SUM($ET$4:ET447))</f>
        <v>43.535062037845044</v>
      </c>
      <c r="EV447" s="60" t="str">
        <f t="shared" si="732"/>
        <v/>
      </c>
      <c r="EW447" s="60" t="e">
        <f>IF(EV447="",NA(),SUM($EV$4:EV447))</f>
        <v>#N/A</v>
      </c>
      <c r="EX447" s="60">
        <f t="shared" si="733"/>
        <v>0.41654269562630386</v>
      </c>
      <c r="EY447" s="60">
        <f>IF(EX447="",NA(),SUM($EX$4:EX447))</f>
        <v>11.212864446221495</v>
      </c>
      <c r="EZ447" s="60" t="str">
        <f t="shared" si="734"/>
        <v/>
      </c>
      <c r="FA447" s="60" t="e">
        <f>IF(EZ447="",NA(),SUM($EZ$4:EZ447))</f>
        <v>#N/A</v>
      </c>
      <c r="FB447" s="246" t="str">
        <f t="shared" si="758"/>
        <v/>
      </c>
      <c r="FC447" s="246" t="e">
        <f>IF($FB447="",#N/A,SUM(FB$4:$FB447))</f>
        <v>#N/A</v>
      </c>
      <c r="FD447" s="60" t="str">
        <f t="shared" si="735"/>
        <v/>
      </c>
      <c r="FE447" s="60" t="e">
        <f>IF($FD447="",#N/A,SUM($FD$4:FD447))</f>
        <v>#N/A</v>
      </c>
      <c r="FF447" s="60" t="str">
        <f t="shared" si="736"/>
        <v/>
      </c>
      <c r="FG447" s="60" t="e">
        <f>IF($FF447="",#N/A,SUM($FF$4:FF447))</f>
        <v>#N/A</v>
      </c>
      <c r="FH447" s="60" t="str">
        <f t="shared" si="737"/>
        <v/>
      </c>
      <c r="FI447" s="60" t="e">
        <f>IF($FH447="",#N/A,SUM($FH$4:FH447))</f>
        <v>#N/A</v>
      </c>
      <c r="FJ447" s="60">
        <f t="shared" si="738"/>
        <v>-0.59506099375186172</v>
      </c>
      <c r="FK447" s="60">
        <f>IF($FJ447="",#N/A,SUM($FJ$4:FJ447))</f>
        <v>-8.6354181072648561</v>
      </c>
      <c r="FL447" s="60" t="str">
        <f t="shared" si="739"/>
        <v/>
      </c>
      <c r="FM447" s="60" t="e">
        <f>IF($FL447="",#N/A,SUM($FL$4:FL447))</f>
        <v>#N/A</v>
      </c>
      <c r="FN447" s="82">
        <f t="shared" si="740"/>
        <v>-0.17851829812555783</v>
      </c>
      <c r="FO447" s="82">
        <f>IF($FN447="",#N/A,SUM(FN$4:$FN447))</f>
        <v>50.301808555113837</v>
      </c>
      <c r="FP447" s="82">
        <f t="shared" si="759"/>
        <v>0.41654269562630386</v>
      </c>
      <c r="FQ447" s="246">
        <f>IF($EH447="",#N/A,SUM($FP$4:FP447))</f>
        <v>68.635291861582004</v>
      </c>
      <c r="FR447" s="82">
        <f>IFERROR(FQ447/COUNTA($J$4:J447),#N/A)</f>
        <v>0.15458399067923875</v>
      </c>
      <c r="FS447" s="82">
        <f t="shared" si="768"/>
        <v>0.4410476687669731</v>
      </c>
      <c r="FT447" s="82">
        <f t="shared" si="769"/>
        <v>0.32036573429329679</v>
      </c>
      <c r="FU447" s="504"/>
      <c r="FV447" s="57" t="str">
        <f t="shared" si="765"/>
        <v>SW</v>
      </c>
      <c r="FW447" s="57" t="s">
        <v>2732</v>
      </c>
      <c r="FX447" s="57" t="str">
        <f t="shared" si="741"/>
        <v/>
      </c>
      <c r="FY447" s="57" t="str">
        <f t="shared" si="742"/>
        <v/>
      </c>
      <c r="FZ447" s="57">
        <f t="shared" si="743"/>
        <v>1</v>
      </c>
      <c r="GA447" s="57" t="str">
        <f t="shared" si="744"/>
        <v>Long</v>
      </c>
      <c r="GB447" s="57" t="str">
        <f t="shared" si="745"/>
        <v/>
      </c>
      <c r="GC447" s="57" t="str">
        <f t="shared" si="746"/>
        <v/>
      </c>
      <c r="GD447" s="57" t="str">
        <f t="shared" si="747"/>
        <v/>
      </c>
      <c r="GE447" s="62">
        <f t="shared" si="770"/>
        <v>33.61</v>
      </c>
      <c r="GF447" s="62" t="s">
        <v>2779</v>
      </c>
      <c r="GG447" s="99">
        <f>IF(I447="","",1650/I447)</f>
        <v>49.092531984528414</v>
      </c>
      <c r="GH447" s="207">
        <f t="shared" si="748"/>
        <v>1650</v>
      </c>
      <c r="GI447" s="503">
        <f>GG447</f>
        <v>49.092531984528414</v>
      </c>
      <c r="GJ447" s="505">
        <f>J447</f>
        <v>34.450000000000003</v>
      </c>
      <c r="GK447" s="63">
        <f t="shared" si="749"/>
        <v>41.237726867004085</v>
      </c>
      <c r="GL447" s="63">
        <f t="shared" si="665"/>
        <v>-17.673311514430225</v>
      </c>
      <c r="GM447" s="82">
        <f t="shared" si="750"/>
        <v>-0.17851829812555783</v>
      </c>
      <c r="GN447" s="82">
        <f>IF($GZ447="",#N/A,SUM(GM$4:GM447))</f>
        <v>4.7245223818778781</v>
      </c>
      <c r="GO447" s="82" t="str">
        <f t="shared" si="751"/>
        <v/>
      </c>
      <c r="GP447" s="82">
        <f>IF($GZ447="",#N/A,SUM(GO$4:GO447))</f>
        <v>4.2788408366274897</v>
      </c>
      <c r="GQ447" s="82" t="str">
        <f t="shared" si="752"/>
        <v/>
      </c>
      <c r="GR447" s="82">
        <f>IF($GZ447="",#N/A,SUM(GQ$4:GQ447))</f>
        <v>40.672608382166146</v>
      </c>
      <c r="GS447" s="63" t="e">
        <f t="shared" si="760"/>
        <v>#N/A</v>
      </c>
      <c r="GT447" s="63" t="e">
        <f>IF($GZ447="",#N/A,SUM(GS$4:GS447))</f>
        <v>#N/A</v>
      </c>
      <c r="GU447" s="63" t="str">
        <f t="shared" si="761"/>
        <v/>
      </c>
      <c r="GV447" s="63" t="e">
        <f>IF($GZ447="",#N/A,SUM(GU$4:GU447))</f>
        <v>#N/A</v>
      </c>
      <c r="GW447" s="63" t="str">
        <f t="shared" si="762"/>
        <v/>
      </c>
      <c r="GX447" s="63" t="e">
        <f>IF($GZ447="",#N/A,SUM(GW$4:GW447))</f>
        <v>#N/A</v>
      </c>
      <c r="GY447" s="63" t="e">
        <f>IF(EJ447="",#N/A,SUM($EJ$4:EJ447))</f>
        <v>#N/A</v>
      </c>
      <c r="GZ447" s="159">
        <v>33.25</v>
      </c>
      <c r="HA447" s="63">
        <f t="shared" si="753"/>
        <v>-58.911038381434309</v>
      </c>
      <c r="HB447" s="62" t="s">
        <v>4970</v>
      </c>
      <c r="HC447" s="60">
        <f>IFERROR(VLOOKUP(E447,Expectancy!$P$4:$S$19,1+C447,FALSE),"")</f>
        <v>0.48685636958953199</v>
      </c>
      <c r="HD447" s="82" t="str">
        <f t="shared" si="754"/>
        <v/>
      </c>
      <c r="HE447" s="138" t="e">
        <f>IF(HD447="",#N/A,SUM($HD$4:HD447))</f>
        <v>#N/A</v>
      </c>
      <c r="HF447" s="85" t="e">
        <f>IF(HD447="",#N/A,IF(HB447="Skip",#N/A,SUM($HG$4:HG447)))</f>
        <v>#N/A</v>
      </c>
      <c r="HG447" s="63" t="str">
        <f t="shared" si="755"/>
        <v/>
      </c>
      <c r="HH447" s="82">
        <f t="shared" si="766"/>
        <v>-0.17851829812555783</v>
      </c>
    </row>
    <row r="448" spans="1:216" x14ac:dyDescent="0.25">
      <c r="A448" s="57" t="s">
        <v>1194</v>
      </c>
      <c r="B448" s="58" t="str" cm="1">
        <f t="array" ref="B448">IFERROR(_xlfn.XLOOKUP(A448,Earnings!$B$2:$B$9985,LEFT(Earnings!$C$2:$C$9985,37)),"Can't Find Date***")</f>
        <v>on 3/19/25 Before Market Eastern Stan</v>
      </c>
      <c r="C448" s="386">
        <f t="shared" si="667"/>
        <v>2</v>
      </c>
      <c r="D448" s="372" t="str">
        <f>_xlfn.XLOOKUP(A448,[1]SP500!$A$2:$A$502,[1]SP500!$D$2:$D$502,"N")</f>
        <v>Y</v>
      </c>
      <c r="E448" s="57" t="str">
        <f>_xlfn.XLOOKUP(A448,[1]SP500!$A$2:$A$655,[1]SP500!$B$2:$B$655)</f>
        <v>XLP</v>
      </c>
      <c r="F448" s="59">
        <v>45742</v>
      </c>
      <c r="G448" s="57" t="str">
        <f t="shared" si="668"/>
        <v>BMO</v>
      </c>
      <c r="H448" s="57" t="str">
        <f t="shared" si="669"/>
        <v>o</v>
      </c>
      <c r="I448" s="159">
        <v>67.14</v>
      </c>
      <c r="J448" s="159">
        <v>67.150000000000006</v>
      </c>
      <c r="K448" s="61">
        <f t="shared" si="670"/>
        <v>1.4894250819191414E-4</v>
      </c>
      <c r="L448" s="87">
        <f t="shared" si="671"/>
        <v>-0.24575513851664255</v>
      </c>
      <c r="M448" s="210" t="e">
        <f t="shared" si="771"/>
        <v>#N/A</v>
      </c>
      <c r="N448" s="169" t="str">
        <f t="shared" si="672"/>
        <v/>
      </c>
      <c r="O448" s="169">
        <f>IF($J448="",#N/A,SUM($N$4:N448))</f>
        <v>-328.04225475891064</v>
      </c>
      <c r="P448" s="174">
        <f t="shared" si="673"/>
        <v>-0.24575513851664255</v>
      </c>
      <c r="Q448" s="174">
        <f>IF($J448="",#N/A,SUM($P$4:P448))</f>
        <v>1960.7347065224976</v>
      </c>
      <c r="R448" s="178" t="str">
        <f t="shared" si="674"/>
        <v/>
      </c>
      <c r="S448" s="178">
        <f>IF($J448="",#N/A,SUM($R$4:R448))</f>
        <v>897.40689926231357</v>
      </c>
      <c r="T448" s="290" t="str">
        <f t="shared" si="675"/>
        <v/>
      </c>
      <c r="U448" s="290">
        <f>IF($J448="",#N/A,SUM($T$4:T448))</f>
        <v>10.009379462148743</v>
      </c>
      <c r="V448" s="291">
        <f t="shared" si="676"/>
        <v>-2.4823751365317427E-3</v>
      </c>
      <c r="W448" s="291">
        <f>IF($J448="",#N/A,SUM($V$4:V448))</f>
        <v>43.496894859916743</v>
      </c>
      <c r="X448" s="292" t="str">
        <f t="shared" si="677"/>
        <v/>
      </c>
      <c r="Y448" s="292">
        <f>IF($J448="",#N/A,SUM($X$4:X448))</f>
        <v>15.126535164379963</v>
      </c>
      <c r="Z448" s="304" t="str">
        <f t="shared" si="678"/>
        <v/>
      </c>
      <c r="AA448" s="313" t="e">
        <f>IF($J448="",#N/A,SUM(Z$4:Z448))</f>
        <v>#N/A</v>
      </c>
      <c r="AB448" s="314" t="str">
        <f t="shared" si="679"/>
        <v/>
      </c>
      <c r="AC448" s="314" t="e">
        <f>IF($J448="",#N/A,SUM(AB$4:AB448))</f>
        <v>#N/A</v>
      </c>
      <c r="AD448" s="315" t="str">
        <f t="shared" si="680"/>
        <v/>
      </c>
      <c r="AE448" s="315" t="e">
        <f>IF($J448="",#N/A,SUM(AD$4:AD448))</f>
        <v>#N/A</v>
      </c>
      <c r="AF448" s="315" t="e">
        <f>IF($J448="",#N/A,SUM(AD$4:AD448,AB$4:AB448,Z$4:Z448))</f>
        <v>#N/A</v>
      </c>
      <c r="AG448" s="304" t="str">
        <f t="shared" si="681"/>
        <v/>
      </c>
      <c r="AH448" s="313" t="e">
        <f>IF($J448="",#N/A,SUM(AG$4:AG448))</f>
        <v>#N/A</v>
      </c>
      <c r="AI448" s="314" t="str">
        <f t="shared" si="682"/>
        <v/>
      </c>
      <c r="AJ448" s="314" t="e">
        <f>IF($J448="",#N/A,SUM(AI$4:AI448))</f>
        <v>#N/A</v>
      </c>
      <c r="AK448" s="315" t="str">
        <f t="shared" si="683"/>
        <v/>
      </c>
      <c r="AL448" s="315" t="e">
        <f>IF($J448="",#N/A,SUM(AK$4:AK448))</f>
        <v>#N/A</v>
      </c>
      <c r="AM448" s="315" t="e">
        <f>IF($J448="",#N/A,SUM(AK$4:AK448,AI$4:AI448,AG$4:AG448))</f>
        <v>#N/A</v>
      </c>
      <c r="AN448" s="304" t="str">
        <f t="shared" si="684"/>
        <v/>
      </c>
      <c r="AO448" s="313" t="e">
        <f>IF($J448="",#N/A,SUM(AN$4:AN448))</f>
        <v>#N/A</v>
      </c>
      <c r="AP448" s="314" t="str">
        <f t="shared" si="685"/>
        <v/>
      </c>
      <c r="AQ448" s="314" t="e">
        <f>IF($J448="",#N/A,SUM(AP$4:AP448))</f>
        <v>#N/A</v>
      </c>
      <c r="AR448" s="315" t="str">
        <f t="shared" si="686"/>
        <v/>
      </c>
      <c r="AS448" s="315" t="e">
        <f>IF($J448="",#N/A,SUM(AR$4:AR448))</f>
        <v>#N/A</v>
      </c>
      <c r="AT448" s="315" t="e">
        <f>IF($J448="",#N/A,SUM(AR$4:AR448,AP$4:AP448,AN$4:AN448))</f>
        <v>#N/A</v>
      </c>
      <c r="AU448" s="304" t="str">
        <f t="shared" si="687"/>
        <v/>
      </c>
      <c r="AV448" s="313" t="e">
        <f>IF($J448="",#N/A,SUM(AU$4:AU448))</f>
        <v>#N/A</v>
      </c>
      <c r="AW448" s="314">
        <f t="shared" si="688"/>
        <v>-2.4823751365317427E-3</v>
      </c>
      <c r="AX448" s="314" t="e">
        <f>IF($J448="",#N/A,SUM(AW$4:AW448))</f>
        <v>#N/A</v>
      </c>
      <c r="AY448" s="315" t="str">
        <f t="shared" si="689"/>
        <v/>
      </c>
      <c r="AZ448" s="315" t="e">
        <f>IF($J448="",#N/A,SUM(AY$4:AY448))</f>
        <v>#N/A</v>
      </c>
      <c r="BA448" s="315" t="e">
        <f>IF($J448="",#N/A,SUM(AY$4:AY448,AW$4:AW448,AU$4:AU448))</f>
        <v>#N/A</v>
      </c>
      <c r="BB448" s="304" t="str">
        <f t="shared" si="690"/>
        <v/>
      </c>
      <c r="BC448" s="313" t="e">
        <f>IF($J448="",#N/A,SUM(BB$4:BB448))</f>
        <v>#N/A</v>
      </c>
      <c r="BD448" s="314" t="str">
        <f t="shared" si="691"/>
        <v/>
      </c>
      <c r="BE448" s="314" t="e">
        <f>IF($J448="",#N/A,SUM(BD$4:BD448))</f>
        <v>#N/A</v>
      </c>
      <c r="BF448" s="315" t="str">
        <f t="shared" si="692"/>
        <v/>
      </c>
      <c r="BG448" s="315" t="e">
        <f>IF($J448="",#N/A,SUM(BF$4:BF448))</f>
        <v>#N/A</v>
      </c>
      <c r="BH448" s="315" t="e">
        <f>IF($J448="",#N/A,SUM(BF$4:BF448,BD$4:BD448,BB$4:BB448))</f>
        <v>#N/A</v>
      </c>
      <c r="BI448" s="304" t="str">
        <f t="shared" si="693"/>
        <v/>
      </c>
      <c r="BJ448" s="313" t="e">
        <f>IF($J448="",#N/A,SUM(BI$4:BI448))</f>
        <v>#N/A</v>
      </c>
      <c r="BK448" s="314" t="str">
        <f t="shared" si="694"/>
        <v/>
      </c>
      <c r="BL448" s="314" t="e">
        <f>IF($J448="",#N/A,SUM(BK$4:BK448))</f>
        <v>#N/A</v>
      </c>
      <c r="BM448" s="315" t="str">
        <f t="shared" si="695"/>
        <v/>
      </c>
      <c r="BN448" s="315" t="e">
        <f>IF($J448="",#N/A,SUM(BM$4:BM448))</f>
        <v>#N/A</v>
      </c>
      <c r="BO448" s="315" t="e">
        <f>IF($J448="",#N/A,SUM(BM$4:BM448,BK$4:BK448,BI$4:BI448))</f>
        <v>#N/A</v>
      </c>
      <c r="BP448" s="304" t="str">
        <f t="shared" si="696"/>
        <v/>
      </c>
      <c r="BQ448" s="313" t="e">
        <f>IF($J448="",#N/A,SUM(BP$4:BP448))</f>
        <v>#N/A</v>
      </c>
      <c r="BR448" s="314" t="str">
        <f t="shared" si="697"/>
        <v/>
      </c>
      <c r="BS448" s="314" t="e">
        <f>IF($J448="",#N/A,SUM(BR$4:BR448))</f>
        <v>#N/A</v>
      </c>
      <c r="BT448" s="315" t="str">
        <f t="shared" si="698"/>
        <v/>
      </c>
      <c r="BU448" s="315" t="e">
        <f>IF($J448="",#N/A,SUM(BT$4:BT448))</f>
        <v>#N/A</v>
      </c>
      <c r="BV448" s="315" t="e">
        <f>IF($J448="",#N/A,SUM(BT$4:BT448,BR$4:BR448,BP$4:BP448))</f>
        <v>#N/A</v>
      </c>
      <c r="BW448" s="304" t="str">
        <f t="shared" si="699"/>
        <v/>
      </c>
      <c r="BX448" s="313" t="e">
        <f>IF($J448="",#N/A,SUM(BW$4:BW448))</f>
        <v>#N/A</v>
      </c>
      <c r="BY448" s="314" t="str">
        <f t="shared" si="700"/>
        <v/>
      </c>
      <c r="BZ448" s="314" t="e">
        <f>IF($J448="",#N/A,SUM(BY$4:BY448))</f>
        <v>#N/A</v>
      </c>
      <c r="CA448" s="315" t="str">
        <f t="shared" si="701"/>
        <v/>
      </c>
      <c r="CB448" s="315" t="e">
        <f>IF($J448="",#N/A,SUM(CA$4:CA448))</f>
        <v>#N/A</v>
      </c>
      <c r="CC448" s="315" t="e">
        <f>IF($J448="",#N/A,SUM(CA$4:CA448,BY$4:BY448,BW$4:BW448))</f>
        <v>#N/A</v>
      </c>
      <c r="CD448" s="304" t="str">
        <f t="shared" si="702"/>
        <v/>
      </c>
      <c r="CE448" s="313" t="e">
        <f>IF($J448="",#N/A,SUM(CD$4:CD448))</f>
        <v>#N/A</v>
      </c>
      <c r="CF448" s="314" t="str">
        <f t="shared" si="703"/>
        <v/>
      </c>
      <c r="CG448" s="314" t="e">
        <f>IF($J448="",#N/A,SUM(CF$4:CF448))</f>
        <v>#N/A</v>
      </c>
      <c r="CH448" s="315" t="str">
        <f t="shared" si="704"/>
        <v/>
      </c>
      <c r="CI448" s="315" t="e">
        <f>IF($J448="",#N/A,SUM(CH$4:CH448))</f>
        <v>#N/A</v>
      </c>
      <c r="CJ448" s="315" t="e">
        <f>IF($J448="",#N/A,SUM(CH$4:CH448,CF$4:CF448,CD$4:CD448))</f>
        <v>#N/A</v>
      </c>
      <c r="CK448" s="304" t="str">
        <f t="shared" si="705"/>
        <v/>
      </c>
      <c r="CL448" s="313" t="e">
        <f>IF($J448="",#N/A,SUM(CK$4:CK448))</f>
        <v>#N/A</v>
      </c>
      <c r="CM448" s="314" t="str">
        <f t="shared" si="706"/>
        <v/>
      </c>
      <c r="CN448" s="314" t="e">
        <f>IF($J448="",#N/A,SUM(CM$4:CM448))</f>
        <v>#N/A</v>
      </c>
      <c r="CO448" s="315" t="str">
        <f t="shared" si="707"/>
        <v/>
      </c>
      <c r="CP448" s="315" t="e">
        <f>IF($J448="",#N/A,SUM(CO$4:CO448))</f>
        <v>#N/A</v>
      </c>
      <c r="CQ448" s="315" t="e">
        <f>IF($J448="",#N/A,SUM(CO$4:CO448,CM$4:CM448,CK$4:CK448))</f>
        <v>#N/A</v>
      </c>
      <c r="CR448" s="304" t="str">
        <f t="shared" si="708"/>
        <v/>
      </c>
      <c r="CS448" s="313" t="e">
        <f>IF($J448="",#N/A,SUM(CR$4:CR448))</f>
        <v>#N/A</v>
      </c>
      <c r="CT448" s="314" t="str">
        <f t="shared" si="709"/>
        <v/>
      </c>
      <c r="CU448" s="314" t="e">
        <f>IF($J448="",#N/A,SUM(CT$4:CT448))</f>
        <v>#N/A</v>
      </c>
      <c r="CV448" s="315" t="str">
        <f t="shared" si="710"/>
        <v/>
      </c>
      <c r="CW448" s="315" t="e">
        <f>IF($J448="",#N/A,SUM(CV$4:CV448))</f>
        <v>#N/A</v>
      </c>
      <c r="CX448" s="315" t="e">
        <f>IF($J448="",#N/A,SUM(CV$4:CV448,CT$4:CT448,CR$4:CR448))</f>
        <v>#N/A</v>
      </c>
      <c r="CY448" s="304" t="str">
        <f t="shared" si="711"/>
        <v/>
      </c>
      <c r="CZ448" s="313" t="e">
        <f>IF($J448="",#N/A,SUM(CY$4:CY448))</f>
        <v>#N/A</v>
      </c>
      <c r="DA448" s="314" t="str">
        <f t="shared" si="712"/>
        <v/>
      </c>
      <c r="DB448" s="314" t="e">
        <f>IF($J448="",#N/A,SUM(DA$4:DA448))</f>
        <v>#N/A</v>
      </c>
      <c r="DC448" s="315" t="str">
        <f t="shared" si="713"/>
        <v/>
      </c>
      <c r="DD448" s="315" t="e">
        <f>IF($J448="",#N/A,SUM(DC$4:DC448))</f>
        <v>#N/A</v>
      </c>
      <c r="DE448" s="315" t="e">
        <f>IF($J448="",#N/A,SUM(DC$4:DC448,DA$4:DA448,CY$4:CY448))</f>
        <v>#N/A</v>
      </c>
      <c r="DF448" s="304" t="str">
        <f t="shared" si="714"/>
        <v/>
      </c>
      <c r="DG448" s="313" t="e">
        <f>IF($J448="",#N/A,SUM(DF$4:DF448))</f>
        <v>#N/A</v>
      </c>
      <c r="DH448" s="314" t="str">
        <f t="shared" si="715"/>
        <v/>
      </c>
      <c r="DI448" s="314" t="e">
        <f>IF($J448="",#N/A,SUM(DH$4:DH448))</f>
        <v>#N/A</v>
      </c>
      <c r="DJ448" s="315" t="str">
        <f t="shared" si="716"/>
        <v/>
      </c>
      <c r="DK448" s="315" t="e">
        <f>IF($J448="",#N/A,SUM(DJ$4:DJ448))</f>
        <v>#N/A</v>
      </c>
      <c r="DL448" s="315" t="e">
        <f>IF($J448="",#N/A,SUM(DJ$4:DJ448,DH$4:DH448,DF$4:DF448))</f>
        <v>#N/A</v>
      </c>
      <c r="DM448" s="304" t="str">
        <f t="shared" si="717"/>
        <v/>
      </c>
      <c r="DN448" s="313" t="e">
        <f>IF($J448="",#N/A,SUM(DM$4:DM448))</f>
        <v>#N/A</v>
      </c>
      <c r="DO448" s="314" t="str">
        <f t="shared" si="718"/>
        <v/>
      </c>
      <c r="DP448" s="314" t="e">
        <f>IF($J448="",#N/A,SUM(DO$4:DO448))</f>
        <v>#N/A</v>
      </c>
      <c r="DQ448" s="315" t="str">
        <f t="shared" si="719"/>
        <v/>
      </c>
      <c r="DR448" s="315" t="e">
        <f>IF($J448="",#N/A,SUM(DQ$4:DQ448))</f>
        <v>#N/A</v>
      </c>
      <c r="DS448" s="315" t="e">
        <f>IF($J448="",#N/A,SUM(DQ$4:DQ448,DO$4:DO448,DM$4:DM448))</f>
        <v>#N/A</v>
      </c>
      <c r="DT448" s="304" t="str">
        <f t="shared" si="720"/>
        <v/>
      </c>
      <c r="DU448" s="313" t="e">
        <f>IF($J448="",#N/A,SUM(DT$4:DT448))</f>
        <v>#N/A</v>
      </c>
      <c r="DV448" s="314" t="str">
        <f t="shared" si="721"/>
        <v/>
      </c>
      <c r="DW448" s="314" t="e">
        <f>IF($J448="",#N/A,SUM(DV$4:DV448))</f>
        <v>#N/A</v>
      </c>
      <c r="DX448" s="315" t="str">
        <f t="shared" si="722"/>
        <v/>
      </c>
      <c r="DY448" s="315" t="e">
        <f>IF($J448="",#N/A,SUM(DX$4:DX448))</f>
        <v>#N/A</v>
      </c>
      <c r="DZ448" s="315" t="e">
        <f>IF($J448="",#N/A,SUM(DX$4:DX448,DV$4:DV448,DT$4:DT448))</f>
        <v>#N/A</v>
      </c>
      <c r="EA448" s="304" t="str">
        <f t="shared" si="723"/>
        <v/>
      </c>
      <c r="EB448" s="313" t="e">
        <f>IF($J448="",#N/A,SUM(EA$4:EA448))</f>
        <v>#N/A</v>
      </c>
      <c r="EC448" s="314" t="str">
        <f t="shared" si="724"/>
        <v/>
      </c>
      <c r="ED448" s="314" t="e">
        <f>IF($J448="",#N/A,SUM(EC$4:EC448))</f>
        <v>#N/A</v>
      </c>
      <c r="EE448" s="315" t="str">
        <f t="shared" si="725"/>
        <v/>
      </c>
      <c r="EF448" s="315" t="e">
        <f>IF($J448="",#N/A,SUM(EE$4:EE448))</f>
        <v>#N/A</v>
      </c>
      <c r="EG448" s="315" t="e">
        <f>IF($J448="",#N/A,SUM(EE$4:EE448,EC$4:EC448,EA$4:EA448))</f>
        <v>#N/A</v>
      </c>
      <c r="EH448" s="130">
        <f t="shared" si="726"/>
        <v>-0.24575513851664255</v>
      </c>
      <c r="EI448" s="63">
        <f>IF(EH448="",#N/A,SUM($EH$4:EH448))</f>
        <v>2530.0993510259004</v>
      </c>
      <c r="EJ448" s="223" t="e">
        <f t="shared" si="727"/>
        <v>#N/A</v>
      </c>
      <c r="EK448" s="63" t="e">
        <f>IF($GZ448="",#N/A,SUM(EJ$4:EJ448))</f>
        <v>#N/A</v>
      </c>
      <c r="EL448" s="60">
        <f t="shared" si="757"/>
        <v>-2.4823751365317427E-3</v>
      </c>
      <c r="EM448" s="60">
        <f>IF(EL448="",NA(),SUM($EL$4:EL448))</f>
        <v>25.097747448600412</v>
      </c>
      <c r="EN448" s="60" t="str">
        <f t="shared" si="728"/>
        <v/>
      </c>
      <c r="EO448" s="60" t="e">
        <f>IF(EN448="",NA(),SUM($EN$4:EN448))</f>
        <v>#N/A</v>
      </c>
      <c r="EP448" s="60" t="str">
        <f t="shared" si="729"/>
        <v/>
      </c>
      <c r="EQ448" s="60" t="e">
        <f>IF(EP448="",NA(),SUM($EP$4:EP448))</f>
        <v>#N/A</v>
      </c>
      <c r="ER448" s="60">
        <f t="shared" si="730"/>
        <v>-2.4823751365317427E-3</v>
      </c>
      <c r="ES448" s="60">
        <f>IF(ER448="",NA(),SUM($ER$4:ER448))</f>
        <v>17.177680258175965</v>
      </c>
      <c r="ET448" s="60" t="str">
        <f t="shared" si="731"/>
        <v/>
      </c>
      <c r="EU448" s="60" t="e">
        <f>IF(ET448="",NA(),SUM($ET$4:ET448))</f>
        <v>#N/A</v>
      </c>
      <c r="EV448" s="60" t="str">
        <f t="shared" si="732"/>
        <v/>
      </c>
      <c r="EW448" s="60" t="e">
        <f>IF(EV448="",NA(),SUM($EV$4:EV448))</f>
        <v>#N/A</v>
      </c>
      <c r="EX448" s="60" t="str">
        <f t="shared" si="733"/>
        <v/>
      </c>
      <c r="EY448" s="60" t="e">
        <f>IF(EX448="",NA(),SUM($EX$4:EX448))</f>
        <v>#N/A</v>
      </c>
      <c r="EZ448" s="60" t="str">
        <f t="shared" si="734"/>
        <v/>
      </c>
      <c r="FA448" s="60" t="e">
        <f>IF(EZ448="",NA(),SUM($EZ$4:EZ448))</f>
        <v>#N/A</v>
      </c>
      <c r="FB448" s="246" t="str">
        <f t="shared" si="758"/>
        <v/>
      </c>
      <c r="FC448" s="246" t="e">
        <f>IF($FB448="",#N/A,SUM(FB$4:$FB448))</f>
        <v>#N/A</v>
      </c>
      <c r="FD448" s="60">
        <f t="shared" si="735"/>
        <v>-0.51136927812530708</v>
      </c>
      <c r="FE448" s="60">
        <f>IF($FD448="",#N/A,SUM($FD$4:FD448))</f>
        <v>-2.9350910158880721</v>
      </c>
      <c r="FF448" s="60" t="str">
        <f t="shared" si="736"/>
        <v/>
      </c>
      <c r="FG448" s="60" t="e">
        <f>IF($FF448="",#N/A,SUM($FF$4:FF448))</f>
        <v>#N/A</v>
      </c>
      <c r="FH448" s="60" t="str">
        <f t="shared" si="737"/>
        <v/>
      </c>
      <c r="FI448" s="60" t="e">
        <f>IF($FH448="",#N/A,SUM($FH$4:FH448))</f>
        <v>#N/A</v>
      </c>
      <c r="FJ448" s="60" t="str">
        <f t="shared" si="738"/>
        <v/>
      </c>
      <c r="FK448" s="60" t="e">
        <f>IF($FJ448="",#N/A,SUM($FJ$4:FJ448))</f>
        <v>#N/A</v>
      </c>
      <c r="FL448" s="60" t="str">
        <f t="shared" si="739"/>
        <v/>
      </c>
      <c r="FM448" s="60" t="e">
        <f>IF($FL448="",#N/A,SUM($FL$4:FL448))</f>
        <v>#N/A</v>
      </c>
      <c r="FN448" s="82">
        <f t="shared" si="740"/>
        <v>-0.51385165326183879</v>
      </c>
      <c r="FO448" s="82">
        <f>IF($FN448="",#N/A,SUM(FN$4:$FN448))</f>
        <v>49.787956901851999</v>
      </c>
      <c r="FP448" s="82">
        <f t="shared" si="759"/>
        <v>-2.4823751365317427E-3</v>
      </c>
      <c r="FQ448" s="246">
        <f>IF($EH448="",#N/A,SUM($FP$4:FP448))</f>
        <v>68.632809486445467</v>
      </c>
      <c r="FR448" s="82">
        <f>IFERROR(FQ448/COUNTA($J$4:J448),#N/A)</f>
        <v>0.15423103255381004</v>
      </c>
      <c r="FS448" s="82">
        <f t="shared" si="768"/>
        <v>0.45094528876184542</v>
      </c>
      <c r="FT448" s="82">
        <f t="shared" si="769"/>
        <v>0.22004372213861473</v>
      </c>
      <c r="FU448" s="506"/>
      <c r="FV448" s="57" t="str">
        <f t="shared" ref="FV448" si="772">IF(FW448="Down","Dwn",IF(FW448="Up","Up",IF(AND(FW448="",K448=""),"",IF(AND(K448&lt;0,FW448="Yes"),"Dwn",IF(AND(K448&gt;0,FW448="Yes"),"Up",IF(AND(K448&lt;0,FW448="No"),"Up",IF(AND(K448&gt;0,FW448="No"),"Dwn",IF(FW448="NA","SW","err"))))))))</f>
        <v>Dwn</v>
      </c>
      <c r="FW448" s="57" t="s">
        <v>2734</v>
      </c>
      <c r="FX448" s="57" t="str">
        <f t="shared" si="741"/>
        <v/>
      </c>
      <c r="FY448" s="57">
        <f t="shared" si="742"/>
        <v>1</v>
      </c>
      <c r="FZ448" s="57" t="str">
        <f t="shared" si="743"/>
        <v/>
      </c>
      <c r="GA448" s="57" t="str">
        <f t="shared" si="744"/>
        <v>Short</v>
      </c>
      <c r="GB448" s="57" t="str">
        <f t="shared" si="745"/>
        <v/>
      </c>
      <c r="GC448" s="57" t="str">
        <f t="shared" si="746"/>
        <v/>
      </c>
      <c r="GD448" s="57" t="str">
        <f t="shared" si="747"/>
        <v/>
      </c>
      <c r="GE448" s="62">
        <f t="shared" si="770"/>
        <v>67.14</v>
      </c>
      <c r="GF448" s="62" t="s">
        <v>2780</v>
      </c>
      <c r="GG448" s="99">
        <f>IF(I448="","",1650/I448)</f>
        <v>24.575513851653263</v>
      </c>
      <c r="GH448" s="207">
        <f t="shared" si="748"/>
        <v>1650</v>
      </c>
      <c r="GI448" s="507">
        <f>GG448</f>
        <v>24.575513851653263</v>
      </c>
      <c r="GJ448" s="98">
        <f>J448</f>
        <v>67.150000000000006</v>
      </c>
      <c r="GK448" s="63">
        <f t="shared" si="749"/>
        <v>-0.24575513851664255</v>
      </c>
      <c r="GL448" s="63">
        <f t="shared" si="665"/>
        <v>-50.871313672922042</v>
      </c>
      <c r="GM448" s="82" t="str">
        <f t="shared" si="750"/>
        <v/>
      </c>
      <c r="GN448" s="81">
        <f>IF($GZ448="",#N/A,SUM(GM$4:GM448))</f>
        <v>4.7245223818778781</v>
      </c>
      <c r="GO448" s="81" t="str">
        <f t="shared" si="751"/>
        <v/>
      </c>
      <c r="GP448" s="81">
        <f>IF($GZ448="",#N/A,SUM(GO$4:GO448))</f>
        <v>4.2788408366274897</v>
      </c>
      <c r="GQ448" s="81">
        <f t="shared" si="752"/>
        <v>-0.51385165326183879</v>
      </c>
      <c r="GR448" s="81">
        <f>IF($GZ448="",#N/A,SUM(GQ$4:GQ448))</f>
        <v>40.158756728904308</v>
      </c>
      <c r="GS448" s="77" t="str">
        <f t="shared" si="760"/>
        <v/>
      </c>
      <c r="GT448" s="77" t="e">
        <f>IF($GZ448="",#N/A,SUM(GS$4:GS448))</f>
        <v>#N/A</v>
      </c>
      <c r="GU448" s="77" t="str">
        <f t="shared" si="761"/>
        <v/>
      </c>
      <c r="GV448" s="77" t="e">
        <f>IF($GZ448="",#N/A,SUM(GU$4:GU448))</f>
        <v>#N/A</v>
      </c>
      <c r="GW448" s="77" t="e">
        <f t="shared" si="762"/>
        <v>#N/A</v>
      </c>
      <c r="GX448" s="77" t="e">
        <f>IF($GZ448="",#N/A,SUM(GW$4:GW448))</f>
        <v>#N/A</v>
      </c>
      <c r="GY448" s="77" t="e">
        <f>IF(EJ448="",#N/A,SUM($EJ$4:EJ448))</f>
        <v>#N/A</v>
      </c>
      <c r="GZ448" s="161">
        <v>69.209999999999994</v>
      </c>
      <c r="HA448" s="77">
        <f t="shared" si="753"/>
        <v>-50.6255585344054</v>
      </c>
      <c r="HB448" s="76" t="s">
        <v>4970</v>
      </c>
      <c r="HC448" s="60">
        <f>IFERROR(VLOOKUP(E448,Expectancy!$P$4:$S$19,1+C448,FALSE),"")</f>
        <v>0.30769020202715358</v>
      </c>
      <c r="HD448" s="81" t="str">
        <f t="shared" si="754"/>
        <v/>
      </c>
      <c r="HE448" s="136" t="e">
        <f>IF(HD448="",#N/A,SUM($HD$4:HD448))</f>
        <v>#N/A</v>
      </c>
      <c r="HF448" s="84" t="e">
        <f>IF(HD448="",#N/A,IF(HB448="Skip",#N/A,SUM($HG$4:HG448)))</f>
        <v>#N/A</v>
      </c>
      <c r="HG448" s="77" t="str">
        <f t="shared" si="755"/>
        <v/>
      </c>
      <c r="HH448" s="82">
        <f t="shared" si="766"/>
        <v>-0.51385165326183879</v>
      </c>
    </row>
    <row r="451" spans="178:190" x14ac:dyDescent="0.25">
      <c r="FW451" s="524" t="s">
        <v>6499</v>
      </c>
      <c r="FX451" s="524"/>
      <c r="FY451" s="524"/>
      <c r="FZ451" s="524"/>
      <c r="GA451" s="524"/>
      <c r="GB451" s="524"/>
      <c r="GC451" s="524"/>
      <c r="GD451" s="524"/>
      <c r="GE451" s="524"/>
    </row>
    <row r="452" spans="178:190" x14ac:dyDescent="0.25">
      <c r="FV452" t="s">
        <v>4739</v>
      </c>
      <c r="FW452" s="510">
        <f>AVERAGEIFS($K$4:$K$448,$K$4:$K$448,"&gt;0",$D$4:$D$448,"Y")</f>
        <v>4.4728021062402354E-2</v>
      </c>
      <c r="FX452" s="415"/>
      <c r="FY452" s="415"/>
      <c r="FZ452" s="415"/>
      <c r="GA452" s="415"/>
      <c r="GB452" s="415"/>
      <c r="GC452" s="415"/>
      <c r="GD452" s="415"/>
      <c r="GE452" s="510">
        <f>AVERAGEIFS($K$4:$K$448,$K$4:$K$448,"&gt;0",$D$4:$D$448,"N")</f>
        <v>8.8195964510102379E-2</v>
      </c>
      <c r="GG452" s="511">
        <f>AVERAGEIFS($K$4:$K$448,$K$4:$K$448,"&gt;0",$D$4:$D$448,"N",$FV$4:$FV$448,"UP")</f>
        <v>0.1044467909313798</v>
      </c>
      <c r="GH452" s="511">
        <f>AVERAGEIFS($K$4:$K$448,$K$4:$K$448,"&lt;0",$D$4:$D$448,"N",$FV$4:$FV$448,"Up")</f>
        <v>-8.8833922065104196E-2</v>
      </c>
    </row>
    <row r="453" spans="178:190" x14ac:dyDescent="0.25">
      <c r="FV453" t="s">
        <v>5015</v>
      </c>
      <c r="FW453" s="510">
        <f>AVERAGEIFS($K$4:$K$448,$K$4:$K$448,"&lt;0",$D$4:$D$448,"Y")</f>
        <v>-4.5417426034558971E-2</v>
      </c>
      <c r="FX453" s="415"/>
      <c r="FY453" s="415"/>
      <c r="FZ453" s="415"/>
      <c r="GA453" s="415"/>
      <c r="GB453" s="415"/>
      <c r="GC453" s="415"/>
      <c r="GD453" s="415"/>
      <c r="GE453" s="510">
        <f>AVERAGEIFS($K$4:$K$448,$K$4:$K$448,"&lt;0",$D$4:$D$448,"N")</f>
        <v>-9.1703371423024968E-2</v>
      </c>
    </row>
    <row r="454" spans="178:190" x14ac:dyDescent="0.25">
      <c r="FW454" s="1" t="s">
        <v>5698</v>
      </c>
      <c r="FX454" s="1"/>
      <c r="FY454" s="1"/>
      <c r="FZ454" s="1"/>
      <c r="GA454" s="1"/>
      <c r="GB454" s="1"/>
      <c r="GC454" s="1"/>
      <c r="GD454" s="1"/>
      <c r="GE454" s="1" t="s">
        <v>6500</v>
      </c>
    </row>
  </sheetData>
  <autoFilter ref="A3:HG448" xr:uid="{2066F57E-F17E-4C8C-887B-42C8EE61E231}"/>
  <sortState xmlns:xlrd2="http://schemas.microsoft.com/office/spreadsheetml/2017/richdata2" ref="A4:GK390">
    <sortCondition ref="F4:F390"/>
    <sortCondition descending="1" ref="G4:G390"/>
  </sortState>
  <mergeCells count="35">
    <mergeCell ref="HZ1:IA1"/>
    <mergeCell ref="FH2:FI2"/>
    <mergeCell ref="FJ2:FK2"/>
    <mergeCell ref="FL2:FM2"/>
    <mergeCell ref="FB2:FC2"/>
    <mergeCell ref="HX1:HY1"/>
    <mergeCell ref="HJ1:HM1"/>
    <mergeCell ref="HN1:HP1"/>
    <mergeCell ref="GL1:HA1"/>
    <mergeCell ref="HB1:HG1"/>
    <mergeCell ref="FX1:GD1"/>
    <mergeCell ref="HQ1:HW1"/>
    <mergeCell ref="FD2:FE2"/>
    <mergeCell ref="FF2:FG2"/>
    <mergeCell ref="DF1:DL1"/>
    <mergeCell ref="EH1:FU1"/>
    <mergeCell ref="DM1:DS1"/>
    <mergeCell ref="DT1:DZ1"/>
    <mergeCell ref="EA1:EG1"/>
    <mergeCell ref="FW451:GE451"/>
    <mergeCell ref="I1:M1"/>
    <mergeCell ref="AN1:AT1"/>
    <mergeCell ref="Z1:AF1"/>
    <mergeCell ref="T1:Y1"/>
    <mergeCell ref="CD1:CJ1"/>
    <mergeCell ref="AU1:BA1"/>
    <mergeCell ref="BB1:BH1"/>
    <mergeCell ref="BI1:BO1"/>
    <mergeCell ref="BP1:BV1"/>
    <mergeCell ref="BW1:CC1"/>
    <mergeCell ref="N1:S1"/>
    <mergeCell ref="AG1:AM1"/>
    <mergeCell ref="CK1:CQ1"/>
    <mergeCell ref="CR1:CX1"/>
    <mergeCell ref="CY1:DE1"/>
  </mergeCells>
  <conditionalFormatting sqref="A4:A448">
    <cfRule type="expression" dxfId="35" priority="7">
      <formula>$HB4="Skip"</formula>
    </cfRule>
  </conditionalFormatting>
  <conditionalFormatting sqref="A4:F448">
    <cfRule type="expression" dxfId="34" priority="956">
      <formula>$G4="BMO"</formula>
    </cfRule>
    <cfRule type="expression" dxfId="33" priority="957">
      <formula>$G4="AMC"</formula>
    </cfRule>
  </conditionalFormatting>
  <conditionalFormatting sqref="B4:D448">
    <cfRule type="containsText" dxfId="32" priority="35" operator="containsText" text="Can't">
      <formula>NOT(ISERROR(SEARCH("Can't",B4)))</formula>
    </cfRule>
  </conditionalFormatting>
  <conditionalFormatting sqref="G4:G448">
    <cfRule type="containsText" dxfId="31" priority="84" operator="containsText" text="AMC">
      <formula>NOT(ISERROR(SEARCH("AMC",G4)))</formula>
    </cfRule>
    <cfRule type="containsText" dxfId="30" priority="85" operator="containsText" text="BMO">
      <formula>NOT(ISERROR(SEARCH("BMO",G4)))</formula>
    </cfRule>
  </conditionalFormatting>
  <conditionalFormatting sqref="H4:H448">
    <cfRule type="containsText" dxfId="29" priority="14" operator="containsText" text="s">
      <formula>NOT(ISERROR(SEARCH("s",H4)))</formula>
    </cfRule>
    <cfRule type="containsText" dxfId="28" priority="15" operator="containsText" text="o">
      <formula>NOT(ISERROR(SEARCH("o",H4)))</formula>
    </cfRule>
  </conditionalFormatting>
  <conditionalFormatting sqref="M62:M448">
    <cfRule type="containsErrors" dxfId="27" priority="4">
      <formula>ISERROR(M62)</formula>
    </cfRule>
  </conditionalFormatting>
  <conditionalFormatting sqref="EJ4:EJ193 EJ195:EJ198">
    <cfRule type="cellIs" dxfId="26" priority="23" operator="lessThan">
      <formula>0</formula>
    </cfRule>
    <cfRule type="containsErrors" dxfId="25" priority="24">
      <formula>ISERROR(EJ4)</formula>
    </cfRule>
  </conditionalFormatting>
  <conditionalFormatting sqref="FP5:FP423">
    <cfRule type="colorScale" priority="5">
      <colorScale>
        <cfvo type="num" val="-3"/>
        <cfvo type="num" val="0"/>
        <cfvo type="num" val="3"/>
        <color rgb="FFF8696B"/>
        <color theme="0"/>
        <color rgb="FF63BE7B"/>
      </colorScale>
    </cfRule>
  </conditionalFormatting>
  <conditionalFormatting sqref="FU4:FU448">
    <cfRule type="containsErrors" dxfId="24" priority="16">
      <formula>ISERROR(FU4)</formula>
    </cfRule>
  </conditionalFormatting>
  <conditionalFormatting sqref="FW4:FW448">
    <cfRule type="containsText" dxfId="23" priority="38" operator="containsText" text="down">
      <formula>NOT(ISERROR(SEARCH("down",FW4)))</formula>
    </cfRule>
    <cfRule type="containsText" dxfId="22" priority="39" operator="containsText" text="up">
      <formula>NOT(ISERROR(SEARCH("up",FW4)))</formula>
    </cfRule>
    <cfRule type="containsText" dxfId="21" priority="54" operator="containsText" text="na">
      <formula>NOT(ISERROR(SEARCH("na",FW4)))</formula>
    </cfRule>
    <cfRule type="containsText" dxfId="20" priority="55" operator="containsText" text="no">
      <formula>NOT(ISERROR(SEARCH("no",FW4)))</formula>
    </cfRule>
    <cfRule type="containsText" dxfId="19" priority="56" operator="containsText" text="yes">
      <formula>NOT(ISERROR(SEARCH("yes",FW4)))</formula>
    </cfRule>
  </conditionalFormatting>
  <conditionalFormatting sqref="GF4:GF448">
    <cfRule type="containsText" dxfId="18" priority="25" operator="containsText" text="Short">
      <formula>NOT(ISERROR(SEARCH("Short",GF4)))</formula>
    </cfRule>
    <cfRule type="containsText" dxfId="17" priority="37" operator="containsText" text="skip">
      <formula>NOT(ISERROR(SEARCH("skip",GF4)))</formula>
    </cfRule>
    <cfRule type="containsText" dxfId="16" priority="81" operator="containsText" text="Long">
      <formula>NOT(ISERROR(SEARCH("Long",GF4)))</formula>
    </cfRule>
  </conditionalFormatting>
  <conditionalFormatting sqref="GK4:GL448 HG4:HG448">
    <cfRule type="colorScale" priority="86">
      <colorScale>
        <cfvo type="num" val="-300"/>
        <cfvo type="num" val="0"/>
        <cfvo type="num" val="300"/>
        <color rgb="FFFF0000"/>
        <color theme="9" tint="0.79998168889431442"/>
        <color rgb="FF00FF00"/>
      </colorScale>
    </cfRule>
  </conditionalFormatting>
  <conditionalFormatting sqref="GX4:GY448 EF4:EQ4 EF5:EL14 EF15:EK193 EF195:EK448 O4:O448 Q4:Q448 S4:S448 U4:U448 W4:W448 Y4:Y448 AA4:AA448 AC4:AC448 AE4:AF448 AH4:AH448 AJ4:AJ448 AL4:AM448 AO4:AO448 AQ4:AQ448 AS4:AT448 AV4:AV448 AX4:AX448 AZ4:BA448 BC4:BC448 BE4:BE448 BG4:BH448 BJ4:BJ448 BL4:BL448 BN4:BO448 BQ4:BQ448 BS4:BS448 BU4:BV448 BX4:BX448 BZ4:BZ448 CB4:CC448 CE4:CE448 CG4:CG448 CI4:CJ448 CL4:CL448 CN4:CN448 CP4:CQ448 CS4:CS448 CU4:CU448 CW4:CX448 CZ4:CZ448 DB4:DB448 DD4:DE448 DG4:DG448 DI4:DI448 DK4:DL448 DN4:DN448 DP4:DP448 DR4:DS448 DU4:DU448 DW4:DW448 DY4:DZ448 EB4:EB448 ED4:ED448 ER4:FT448 GN4:GN448 GP4:GP448 GR4:GR448 GT4:GT448 GV4:GV448 HE4:HF448 EM5:EQ448 EL15:EL448 EF194:EI194 EK194">
    <cfRule type="containsErrors" dxfId="15" priority="263">
      <formula>ISERROR(O4)</formula>
    </cfRule>
  </conditionalFormatting>
  <conditionalFormatting sqref="GY4">
    <cfRule type="cellIs" dxfId="14" priority="30" operator="lessThan">
      <formula>0</formula>
    </cfRule>
    <cfRule type="containsErrors" dxfId="13" priority="31">
      <formula>ISERROR(GY4)</formula>
    </cfRule>
  </conditionalFormatting>
  <conditionalFormatting sqref="HA4:HA448">
    <cfRule type="colorScale" priority="260">
      <colorScale>
        <cfvo type="num" val="-70"/>
        <cfvo type="percentile" val="50"/>
        <cfvo type="num" val="70"/>
        <color rgb="FFFF9999"/>
        <color theme="0"/>
        <color theme="6" tint="0.39997558519241921"/>
      </colorScale>
    </cfRule>
  </conditionalFormatting>
  <conditionalFormatting sqref="HB4:HB448">
    <cfRule type="containsText" dxfId="12" priority="27" operator="containsText" text="Other">
      <formula>NOT(ISERROR(SEARCH("Other",HB4)))</formula>
    </cfRule>
    <cfRule type="containsText" dxfId="11" priority="28" operator="containsText" text="skip">
      <formula>NOT(ISERROR(SEARCH("skip",HB4)))</formula>
    </cfRule>
  </conditionalFormatting>
  <conditionalFormatting sqref="HB62:HB448">
    <cfRule type="containsText" dxfId="10" priority="51" operator="containsText" text="Open">
      <formula>NOT(ISERROR(SEARCH("Open",HB62)))</formula>
    </cfRule>
    <cfRule type="containsText" dxfId="9" priority="52" operator="containsText" text="MOC">
      <formula>NOT(ISERROR(SEARCH("MOC",HB62)))</formula>
    </cfRule>
  </conditionalFormatting>
  <conditionalFormatting sqref="HC4:HC448">
    <cfRule type="colorScale" priority="16013">
      <colorScale>
        <cfvo type="min"/>
        <cfvo type="num" val="0"/>
        <cfvo type="max"/>
        <color rgb="FFF8696B"/>
        <color theme="0" tint="-4.9989318521683403E-2"/>
        <color rgb="FF63BE7B"/>
      </colorScale>
    </cfRule>
  </conditionalFormatting>
  <conditionalFormatting sqref="HG73:HG74">
    <cfRule type="colorScale" priority="60">
      <colorScale>
        <cfvo type="num" val="-30"/>
        <cfvo type="num" val="0"/>
        <cfvo type="num" val="30"/>
        <color rgb="FFFF0000"/>
        <color theme="9" tint="0.79998168889431442"/>
        <color rgb="FF00FF00"/>
      </colorScale>
    </cfRule>
  </conditionalFormatting>
  <conditionalFormatting sqref="HH4:HH448">
    <cfRule type="containsErrors" dxfId="8" priority="3">
      <formula>ISERROR(HH4)</formula>
    </cfRule>
    <cfRule type="colorScale" priority="2">
      <colorScale>
        <cfvo type="num" val="-3"/>
        <cfvo type="num" val="0"/>
        <cfvo type="num" val="3"/>
        <color rgb="FFF8696B"/>
        <color theme="0"/>
        <color rgb="FF63BE7B"/>
      </colorScale>
    </cfRule>
  </conditionalFormatting>
  <dataValidations disablePrompts="1" xWindow="1202" yWindow="848" count="13">
    <dataValidation allowBlank="1" showInputMessage="1" showErrorMessage="1" promptTitle="Exit at Open or Other:" prompt="Enter the Exit here if at the open, or using some other exit, such as after hours.  If you exit using MOC, just link this cell to the Open Price to use the Gap size as the Exit." sqref="GJ3" xr:uid="{3C0C3828-F78C-421F-A0AA-CD12FA415C02}"/>
    <dataValidation allowBlank="1" showInputMessage="1" showErrorMessage="1" promptTitle="Exit Using MOC:" prompt="Enter the MOC (closing price) here to track MOC performance vs. exiting at the open." sqref="GZ3" xr:uid="{A679AC40-B724-4EF2-8F65-F8E41FDAE36A}"/>
    <dataValidation allowBlank="1" showInputMessage="1" showErrorMessage="1" promptTitle="Theoretical P&amp;L:" prompt="This is the P&amp;L using only the gap.  It's theoretical because you don't always get filled at the exact open price.  This is the bench mark though.  If you can't beat this, then just exit using MKT at the open." sqref="FV3" xr:uid="{0C17526E-473B-4242-BCD8-803C81222A74}"/>
    <dataValidation type="list" allowBlank="1" showInputMessage="1" showErrorMessage="1" sqref="FV189:FV193 FV4:FV187 FV195:FV448" xr:uid="{A011D9D2-AE12-4A6A-8A9B-AF4772E80FF8}">
      <formula1>"Up,Dwn,SW"</formula1>
    </dataValidation>
    <dataValidation allowBlank="1" showInputMessage="1" showErrorMessage="1" promptTitle="Slippage:" prompt="Sometimes when exiting at market the next AM, the trade will not trigger for up to 5 minutes later. This can cause slippage.  Considered removing from this universe any stock that has large slippage OR takes minutes to trigger." sqref="M3" xr:uid="{AC4D3180-DDD7-4B03-B600-74DC822A3FF2}"/>
    <dataValidation allowBlank="1" showInputMessage="1" showErrorMessage="1" promptTitle="Theoretical P&amp;L:" prompt="This is the P&amp;L using only the gap.  It's theoretical because you don't always get filled at the exact open price.  This is the bench mark though. " sqref="L3" xr:uid="{C079E921-9B29-49B7-985F-81DD10650159}"/>
    <dataValidation allowBlank="1" showInputMessage="1" showErrorMessage="1" promptTitle="Trend Tracking:" prompt="This is to track if the stock gapped with the trend OR if the trend is technically sideways, it tracks the direction you'd take the trade.  For sideways trends, use NA. Use &quot;No&quot; if it is a gap against the daily trend. Use &quot;Yes&quot; for gaps with the trend." sqref="FW3" xr:uid="{52828F8C-6C8C-4E4D-81D1-AB0632FCE38C}"/>
    <dataValidation allowBlank="1" showInputMessage="1" showErrorMessage="1" prompt="This is not MOC, just the strategy as designed against actual." sqref="FU3" xr:uid="{3A4A803D-13C3-4A06-AF63-912FAF555AB9}"/>
    <dataValidation type="list" allowBlank="1" showInputMessage="1" showErrorMessage="1" sqref="FW4:FW448" xr:uid="{A95F5D7E-BC56-4F96-A782-6048DEC38123}">
      <formula1>"Yes,No,NA, Up, Down"</formula1>
    </dataValidation>
    <dataValidation type="list" allowBlank="1" showInputMessage="1" showErrorMessage="1" sqref="GF4:GF448" xr:uid="{26E62F9B-18D7-4332-9013-495A20EDF0AD}">
      <formula1>"Long,Short, Skip"</formula1>
    </dataValidation>
    <dataValidation type="list" allowBlank="1" showInputMessage="1" showErrorMessage="1" sqref="HB4:HB448" xr:uid="{D4C5858A-E64B-4C0F-BBFC-DD1E1329A225}">
      <formula1>"Open,MOC,Other,Skip"</formula1>
    </dataValidation>
    <dataValidation allowBlank="1" showErrorMessage="1" sqref="GZ5:GZ448" xr:uid="{C88AE3E2-71C9-4CDE-9ED5-E2A8715B85FB}"/>
    <dataValidation type="list" allowBlank="1" showInputMessage="1" showErrorMessage="1" sqref="H4:H448" xr:uid="{EC02B6B1-538C-4436-8D74-35F9DED0C0B6}">
      <formula1>"s,o"</formula1>
    </dataValidation>
  </dataValidations>
  <pageMargins left="0.7" right="0.7" top="0.75" bottom="0.75" header="0.3" footer="0.3"/>
  <pageSetup orientation="portrait" horizontalDpi="300" verticalDpi="300" r:id="rId1"/>
  <ignoredErrors>
    <ignoredError sqref="O449:S1048576" evalError="1"/>
    <ignoredError sqref="FR28:FR448" formulaRange="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51476-81A7-4C11-B843-37179506A800}">
  <sheetPr>
    <tabColor rgb="FF00FF00"/>
  </sheetPr>
  <dimension ref="D1:F12"/>
  <sheetViews>
    <sheetView workbookViewId="0">
      <selection activeCell="H12" sqref="H12"/>
    </sheetView>
  </sheetViews>
  <sheetFormatPr defaultRowHeight="15" x14ac:dyDescent="0.25"/>
  <cols>
    <col min="5" max="5" width="14.5703125" bestFit="1" customWidth="1"/>
    <col min="6" max="6" width="16.7109375" bestFit="1" customWidth="1"/>
  </cols>
  <sheetData>
    <row r="1" spans="4:6" x14ac:dyDescent="0.25">
      <c r="E1" s="516" t="s">
        <v>6502</v>
      </c>
      <c r="F1" s="517" t="s">
        <v>2743</v>
      </c>
    </row>
    <row r="2" spans="4:6" ht="15.75" thickBot="1" x14ac:dyDescent="0.3">
      <c r="D2" s="518" t="s">
        <v>6503</v>
      </c>
      <c r="E2" s="519" t="s">
        <v>6504</v>
      </c>
      <c r="F2" s="519" t="s">
        <v>6505</v>
      </c>
    </row>
    <row r="3" spans="4:6" x14ac:dyDescent="0.25">
      <c r="D3" s="570" t="s">
        <v>4739</v>
      </c>
      <c r="E3" s="520" t="s">
        <v>6506</v>
      </c>
      <c r="F3" s="520" t="s">
        <v>6507</v>
      </c>
    </row>
    <row r="4" spans="4:6" x14ac:dyDescent="0.25">
      <c r="D4" s="571"/>
      <c r="E4" s="521">
        <f>SUMIFS('2025-Q1'!$HA$4:$HA$448,'2025-Q1'!$FV$4:$FV$448,D3,'2025-Q1'!$K$4:$K$448,"&gt;0")</f>
        <v>-443.68676442718083</v>
      </c>
      <c r="F4" s="521">
        <f>SUMIFS('2025-Q1'!$HA$4:$HA$448,'2025-Q1'!$FV$4:$FV$448,D3,'2025-Q1'!$K$4:$K$448,"&lt;0")</f>
        <v>-62.887811014723013</v>
      </c>
    </row>
    <row r="5" spans="4:6" x14ac:dyDescent="0.25">
      <c r="D5" s="572" t="s">
        <v>6508</v>
      </c>
      <c r="E5" s="522" t="s">
        <v>6509</v>
      </c>
      <c r="F5" s="522" t="s">
        <v>6510</v>
      </c>
    </row>
    <row r="6" spans="4:6" x14ac:dyDescent="0.25">
      <c r="D6" s="573"/>
      <c r="E6" s="521">
        <f>SUMIFS('2025-Q1'!$HA$4:$HA$448,'2025-Q1'!$FV$4:$FV$448,D5,'2025-Q1'!$K$4:$K$448,"&gt;0")</f>
        <v>0</v>
      </c>
      <c r="F6" s="521">
        <f>SUMIFS('2025-Q1'!$HA$4:$HA$448,'2025-Q1'!$FV$4:$FV$448,D5,'2025-Q1'!$K$4:$K$448,"&lt;0")</f>
        <v>0</v>
      </c>
    </row>
    <row r="7" spans="4:6" x14ac:dyDescent="0.25">
      <c r="D7" s="574" t="s">
        <v>1484</v>
      </c>
      <c r="E7" s="522" t="s">
        <v>6511</v>
      </c>
      <c r="F7" s="522" t="s">
        <v>6512</v>
      </c>
    </row>
    <row r="8" spans="4:6" x14ac:dyDescent="0.25">
      <c r="D8" s="575"/>
      <c r="E8" s="521">
        <f>SUMIFS('2025-Q1'!$HA$4:$HA$448,'2025-Q1'!$FV$4:$FV$448,D7,'2025-Q1'!$K$4:$K$448,"&gt;0")</f>
        <v>-1251.7816392123777</v>
      </c>
      <c r="F8" s="521">
        <f>SUMIFS('2025-Q1'!$HA$4:$HA$448,'2025-Q1'!$FV$4:$FV$448,D7,'2025-Q1'!$K$4:$K$448,"&lt;0")</f>
        <v>148.12337519602829</v>
      </c>
    </row>
    <row r="9" spans="4:6" x14ac:dyDescent="0.25">
      <c r="D9" s="576" t="s">
        <v>6513</v>
      </c>
      <c r="E9" s="522" t="s">
        <v>6514</v>
      </c>
      <c r="F9" s="522" t="s">
        <v>6515</v>
      </c>
    </row>
    <row r="10" spans="4:6" x14ac:dyDescent="0.25">
      <c r="D10" s="577"/>
      <c r="E10" s="521">
        <f>SUMIFS('[3]2025-Q2'!$AG$4:$AG$422,'[3]2025-Q2'!$S$4:$S$422,D9,'[3]2025-Q2'!$K$4:$K$422,"&gt;0")</f>
        <v>0</v>
      </c>
      <c r="F10" s="521">
        <f>SUMIFS('[3]2025-Q2'!$AG$4:$AG$422,'[3]2025-Q2'!$S$4:$S$422,D9,'[3]2025-Q2'!$K$4:$K$422,"&lt;0")</f>
        <v>0</v>
      </c>
    </row>
    <row r="11" spans="4:6" x14ac:dyDescent="0.25">
      <c r="D11" s="578" t="s">
        <v>5015</v>
      </c>
      <c r="E11" s="522" t="s">
        <v>6516</v>
      </c>
      <c r="F11" s="522" t="s">
        <v>6517</v>
      </c>
    </row>
    <row r="12" spans="4:6" x14ac:dyDescent="0.25">
      <c r="D12" s="579"/>
      <c r="E12" s="523">
        <f>SUMIFS('2025-Q1'!$HA$4:$HA$448,'2025-Q1'!$FV$4:$FV$448,D11,'2025-Q1'!$K$4:$K$448,"&gt;0")</f>
        <v>-524.33582475812091</v>
      </c>
      <c r="F12" s="523">
        <f>SUMIFS('2025-Q1'!$HA$4:$HA$448,'2025-Q1'!$FV$4:$FV$448,D11,'2025-Q1'!$K$4:$K$448,"&lt;0")</f>
        <v>-341.20787706080472</v>
      </c>
    </row>
  </sheetData>
  <mergeCells count="5">
    <mergeCell ref="D3:D4"/>
    <mergeCell ref="D5:D6"/>
    <mergeCell ref="D7:D8"/>
    <mergeCell ref="D9:D10"/>
    <mergeCell ref="D11:D12"/>
  </mergeCells>
  <conditionalFormatting sqref="E4:F4 E6:F6 E8:F8 E10:F10 E12:F12">
    <cfRule type="cellIs" dxfId="7" priority="1" operator="lessThan">
      <formula>0</formula>
    </cfRule>
    <cfRule type="cellIs" dxfId="6" priority="2"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2829D-66CF-44F9-BC17-081DAC51936E}">
  <sheetPr>
    <tabColor rgb="FF00FF00"/>
  </sheetPr>
  <dimension ref="E1:G128"/>
  <sheetViews>
    <sheetView topLeftCell="A33" workbookViewId="0">
      <selection activeCell="I53" sqref="I53"/>
    </sheetView>
  </sheetViews>
  <sheetFormatPr defaultRowHeight="15" x14ac:dyDescent="0.25"/>
  <cols>
    <col min="7" max="7" width="9.140625" style="1"/>
  </cols>
  <sheetData>
    <row r="1" spans="5:7" x14ac:dyDescent="0.25">
      <c r="E1" s="159" t="s">
        <v>1433</v>
      </c>
      <c r="F1" s="514">
        <v>-7.3741335279095169E-2</v>
      </c>
      <c r="G1" s="515" t="s">
        <v>5015</v>
      </c>
    </row>
    <row r="2" spans="5:7" x14ac:dyDescent="0.25">
      <c r="E2" s="159" t="s">
        <v>1286</v>
      </c>
      <c r="F2" s="514">
        <v>-2.4051378307754476E-2</v>
      </c>
      <c r="G2" s="515" t="s">
        <v>6501</v>
      </c>
    </row>
    <row r="3" spans="5:7" x14ac:dyDescent="0.25">
      <c r="E3" s="159" t="s">
        <v>1398</v>
      </c>
      <c r="F3" s="514">
        <v>2.5797030907763325E-2</v>
      </c>
      <c r="G3" s="515" t="s">
        <v>6501</v>
      </c>
    </row>
    <row r="4" spans="5:7" x14ac:dyDescent="0.25">
      <c r="E4" s="159" t="s">
        <v>1417</v>
      </c>
      <c r="F4" s="514">
        <v>2.0863982880834592E-2</v>
      </c>
      <c r="G4" s="515" t="s">
        <v>2732</v>
      </c>
    </row>
    <row r="5" spans="5:7" x14ac:dyDescent="0.25">
      <c r="E5" s="159" t="s">
        <v>1412</v>
      </c>
      <c r="F5" s="514">
        <v>2.8784287165594311E-2</v>
      </c>
      <c r="G5" s="515" t="s">
        <v>2732</v>
      </c>
    </row>
    <row r="6" spans="5:7" x14ac:dyDescent="0.25">
      <c r="E6" s="159" t="s">
        <v>1290</v>
      </c>
      <c r="F6" s="514">
        <v>-2.8012149848126937E-2</v>
      </c>
      <c r="G6" s="515" t="s">
        <v>6501</v>
      </c>
    </row>
    <row r="7" spans="5:7" x14ac:dyDescent="0.25">
      <c r="E7" s="159" t="s">
        <v>569</v>
      </c>
      <c r="F7" s="514">
        <v>-1.7947849644429432E-2</v>
      </c>
      <c r="G7" s="515" t="s">
        <v>6501</v>
      </c>
    </row>
    <row r="8" spans="5:7" x14ac:dyDescent="0.25">
      <c r="E8" s="159" t="s">
        <v>1393</v>
      </c>
      <c r="F8" s="514">
        <v>-2.507035047326692E-2</v>
      </c>
      <c r="G8" s="515" t="s">
        <v>5015</v>
      </c>
    </row>
    <row r="9" spans="5:7" x14ac:dyDescent="0.25">
      <c r="E9" s="159" t="s">
        <v>1315</v>
      </c>
      <c r="F9" s="514">
        <v>2.3736600306278707E-2</v>
      </c>
      <c r="G9" s="515" t="s">
        <v>6501</v>
      </c>
    </row>
    <row r="10" spans="5:7" x14ac:dyDescent="0.25">
      <c r="E10" s="159" t="s">
        <v>1337</v>
      </c>
      <c r="F10" s="514">
        <v>-5.9540590442534118E-2</v>
      </c>
      <c r="G10" s="515" t="s">
        <v>2732</v>
      </c>
    </row>
    <row r="11" spans="5:7" x14ac:dyDescent="0.25">
      <c r="E11" s="159" t="s">
        <v>1423</v>
      </c>
      <c r="F11" s="514">
        <v>1.4458564797199432E-3</v>
      </c>
      <c r="G11" s="515" t="s">
        <v>6501</v>
      </c>
    </row>
    <row r="12" spans="5:7" x14ac:dyDescent="0.25">
      <c r="E12" s="159" t="s">
        <v>1341</v>
      </c>
      <c r="F12" s="514">
        <v>-1.5646233518198813E-2</v>
      </c>
      <c r="G12" s="515" t="s">
        <v>2732</v>
      </c>
    </row>
    <row r="13" spans="5:7" x14ac:dyDescent="0.25">
      <c r="E13" s="159" t="s">
        <v>1380</v>
      </c>
      <c r="F13" s="514">
        <v>-3.3324446814182888E-2</v>
      </c>
      <c r="G13" s="515" t="s">
        <v>5015</v>
      </c>
    </row>
    <row r="14" spans="5:7" x14ac:dyDescent="0.25">
      <c r="E14" s="159" t="s">
        <v>1452</v>
      </c>
      <c r="F14" s="514">
        <v>9.3714022565047211E-2</v>
      </c>
      <c r="G14" s="515"/>
    </row>
    <row r="15" spans="5:7" x14ac:dyDescent="0.25">
      <c r="E15" s="159" t="s">
        <v>1319</v>
      </c>
      <c r="F15" s="514">
        <v>-7.8693790149892875E-2</v>
      </c>
      <c r="G15" s="515"/>
    </row>
    <row r="16" spans="5:7" x14ac:dyDescent="0.25">
      <c r="E16" s="159" t="s">
        <v>1357</v>
      </c>
      <c r="F16" s="514">
        <v>-9.3336850087369361E-2</v>
      </c>
      <c r="G16" s="515"/>
    </row>
    <row r="17" spans="5:7" x14ac:dyDescent="0.25">
      <c r="E17" s="159" t="s">
        <v>1381</v>
      </c>
      <c r="F17" s="514">
        <v>-1.9811438302114091E-2</v>
      </c>
      <c r="G17" s="515"/>
    </row>
    <row r="18" spans="5:7" x14ac:dyDescent="0.25">
      <c r="E18" s="159" t="s">
        <v>1418</v>
      </c>
      <c r="F18" s="514">
        <v>-2.1467327199811197E-2</v>
      </c>
      <c r="G18" s="515"/>
    </row>
    <row r="19" spans="5:7" x14ac:dyDescent="0.25">
      <c r="E19" s="159" t="s">
        <v>1475</v>
      </c>
      <c r="F19" s="514">
        <v>-4.2143727161997491E-2</v>
      </c>
      <c r="G19" s="515"/>
    </row>
    <row r="20" spans="5:7" x14ac:dyDescent="0.25">
      <c r="E20" s="159" t="s">
        <v>1497</v>
      </c>
      <c r="F20" s="514">
        <v>3.0002655102221443E-2</v>
      </c>
      <c r="G20" s="515"/>
    </row>
    <row r="21" spans="5:7" x14ac:dyDescent="0.25">
      <c r="E21" s="159" t="s">
        <v>1565</v>
      </c>
      <c r="F21" s="514">
        <v>-3.0428697319993803E-2</v>
      </c>
      <c r="G21" s="515"/>
    </row>
    <row r="22" spans="5:7" x14ac:dyDescent="0.25">
      <c r="E22" s="159" t="s">
        <v>1597</v>
      </c>
      <c r="F22" s="514">
        <v>-3.9150534527593095E-2</v>
      </c>
      <c r="G22" s="515"/>
    </row>
    <row r="23" spans="5:7" x14ac:dyDescent="0.25">
      <c r="E23" s="159" t="s">
        <v>1486</v>
      </c>
      <c r="F23" s="514">
        <v>-6.313645621181263E-2</v>
      </c>
      <c r="G23" s="515"/>
    </row>
    <row r="24" spans="5:7" x14ac:dyDescent="0.25">
      <c r="E24" s="159" t="s">
        <v>1110</v>
      </c>
      <c r="F24" s="514">
        <v>2.0949720670390614E-3</v>
      </c>
      <c r="G24" s="515"/>
    </row>
    <row r="25" spans="5:7" x14ac:dyDescent="0.25">
      <c r="E25" s="159" t="s">
        <v>1590</v>
      </c>
      <c r="F25" s="514">
        <v>8.9133484407035765E-2</v>
      </c>
      <c r="G25" s="515"/>
    </row>
    <row r="26" spans="5:7" x14ac:dyDescent="0.25">
      <c r="E26" s="159" t="s">
        <v>13</v>
      </c>
      <c r="F26" s="514">
        <v>8.9440540293876433E-3</v>
      </c>
      <c r="G26" s="515"/>
    </row>
    <row r="27" spans="5:7" x14ac:dyDescent="0.25">
      <c r="E27" s="512" t="s">
        <v>1292</v>
      </c>
      <c r="F27" s="514">
        <v>6.6325078280671815E-2</v>
      </c>
      <c r="G27" s="515"/>
    </row>
    <row r="28" spans="5:7" x14ac:dyDescent="0.25">
      <c r="E28" s="159" t="s">
        <v>1379</v>
      </c>
      <c r="F28" s="514">
        <v>-6.0072615249202266E-2</v>
      </c>
      <c r="G28" s="515"/>
    </row>
    <row r="29" spans="5:7" x14ac:dyDescent="0.25">
      <c r="E29" s="159" t="s">
        <v>19</v>
      </c>
      <c r="F29" s="514">
        <v>7.1683203612381896E-2</v>
      </c>
      <c r="G29" s="515"/>
    </row>
    <row r="30" spans="5:7" x14ac:dyDescent="0.25">
      <c r="E30" s="159" t="s">
        <v>1410</v>
      </c>
      <c r="F30" s="514">
        <v>-7.2823568354850182E-3</v>
      </c>
      <c r="G30" s="515"/>
    </row>
    <row r="31" spans="5:7" x14ac:dyDescent="0.25">
      <c r="E31" s="159" t="s">
        <v>14</v>
      </c>
      <c r="F31" s="514">
        <v>2.2595901208617954E-2</v>
      </c>
      <c r="G31" s="515"/>
    </row>
    <row r="32" spans="5:7" x14ac:dyDescent="0.25">
      <c r="E32" s="159" t="s">
        <v>62</v>
      </c>
      <c r="F32" s="514">
        <v>3.2258064516129142E-2</v>
      </c>
      <c r="G32" s="515"/>
    </row>
    <row r="33" spans="5:7" x14ac:dyDescent="0.25">
      <c r="E33" s="159" t="s">
        <v>928</v>
      </c>
      <c r="F33" s="514">
        <v>1.6463090812533186E-2</v>
      </c>
      <c r="G33" s="515"/>
    </row>
    <row r="34" spans="5:7" x14ac:dyDescent="0.25">
      <c r="E34" s="159" t="s">
        <v>120</v>
      </c>
      <c r="F34" s="514">
        <v>1.5190739022126771E-2</v>
      </c>
      <c r="G34" s="515"/>
    </row>
    <row r="35" spans="5:7" x14ac:dyDescent="0.25">
      <c r="E35" s="159" t="s">
        <v>1295</v>
      </c>
      <c r="F35" s="514">
        <v>-0.10812706684036483</v>
      </c>
      <c r="G35" s="515"/>
    </row>
    <row r="36" spans="5:7" x14ac:dyDescent="0.25">
      <c r="E36" s="159" t="s">
        <v>1300</v>
      </c>
      <c r="F36" s="514">
        <v>-2.7750049910161813E-2</v>
      </c>
      <c r="G36" s="515"/>
    </row>
    <row r="37" spans="5:7" x14ac:dyDescent="0.25">
      <c r="E37" s="159" t="s">
        <v>1376</v>
      </c>
      <c r="F37" s="514">
        <v>-2.526805128589641E-2</v>
      </c>
      <c r="G37" s="515"/>
    </row>
    <row r="38" spans="5:7" x14ac:dyDescent="0.25">
      <c r="E38" s="159" t="s">
        <v>162</v>
      </c>
      <c r="F38" s="514">
        <v>1.3605442176877708E-4</v>
      </c>
      <c r="G38" s="515"/>
    </row>
    <row r="39" spans="5:7" x14ac:dyDescent="0.25">
      <c r="E39" s="159" t="s">
        <v>1076</v>
      </c>
      <c r="F39" s="514">
        <v>-3.0387844862055237E-2</v>
      </c>
      <c r="G39" s="515"/>
    </row>
    <row r="40" spans="5:7" x14ac:dyDescent="0.25">
      <c r="E40" s="159" t="s">
        <v>1511</v>
      </c>
      <c r="F40" s="514">
        <v>-7.5752084088437796E-2</v>
      </c>
      <c r="G40" s="515"/>
    </row>
    <row r="41" spans="5:7" x14ac:dyDescent="0.25">
      <c r="E41" s="159" t="s">
        <v>1551</v>
      </c>
      <c r="F41" s="514">
        <v>-6.4655172413793136E-2</v>
      </c>
      <c r="G41" s="515"/>
    </row>
    <row r="42" spans="5:7" x14ac:dyDescent="0.25">
      <c r="E42" s="159" t="s">
        <v>1570</v>
      </c>
      <c r="F42" s="514">
        <v>3.661087866108783E-2</v>
      </c>
      <c r="G42" s="515"/>
    </row>
    <row r="43" spans="5:7" x14ac:dyDescent="0.25">
      <c r="E43" s="159" t="s">
        <v>1299</v>
      </c>
      <c r="F43" s="514">
        <v>-9.9497907949790798E-2</v>
      </c>
      <c r="G43" s="515"/>
    </row>
    <row r="44" spans="5:7" x14ac:dyDescent="0.25">
      <c r="E44" s="159" t="s">
        <v>1364</v>
      </c>
      <c r="F44" s="514">
        <v>-3.3321454027084772E-2</v>
      </c>
      <c r="G44" s="515"/>
    </row>
    <row r="45" spans="5:7" x14ac:dyDescent="0.25">
      <c r="E45" s="159" t="s">
        <v>436</v>
      </c>
      <c r="F45" s="514">
        <v>-8.8611372050616186E-2</v>
      </c>
      <c r="G45" s="515"/>
    </row>
    <row r="46" spans="5:7" x14ac:dyDescent="0.25">
      <c r="E46" s="159" t="s">
        <v>1431</v>
      </c>
      <c r="F46" s="514">
        <v>4.775257731958768E-2</v>
      </c>
      <c r="G46" s="515"/>
    </row>
    <row r="47" spans="5:7" x14ac:dyDescent="0.25">
      <c r="E47" s="159" t="s">
        <v>1500</v>
      </c>
      <c r="F47" s="514">
        <v>-2.8718558130323454E-3</v>
      </c>
      <c r="G47" s="515"/>
    </row>
    <row r="48" spans="5:7" x14ac:dyDescent="0.25">
      <c r="E48" s="159" t="s">
        <v>1538</v>
      </c>
      <c r="F48" s="514">
        <v>2.6467203682392377E-3</v>
      </c>
      <c r="G48" s="515"/>
    </row>
    <row r="49" spans="5:7" x14ac:dyDescent="0.25">
      <c r="E49" s="159" t="s">
        <v>1605</v>
      </c>
      <c r="F49" s="514">
        <v>3.3962264150943396E-2</v>
      </c>
      <c r="G49" s="515"/>
    </row>
    <row r="50" spans="5:7" x14ac:dyDescent="0.25">
      <c r="E50" s="159" t="s">
        <v>1611</v>
      </c>
      <c r="F50" s="514">
        <v>-0.33530717986676534</v>
      </c>
      <c r="G50" s="515" t="s">
        <v>6501</v>
      </c>
    </row>
    <row r="51" spans="5:7" x14ac:dyDescent="0.25">
      <c r="E51" s="159" t="s">
        <v>2569</v>
      </c>
      <c r="F51" s="514">
        <v>-5.1724137931034916E-3</v>
      </c>
      <c r="G51" s="515"/>
    </row>
    <row r="52" spans="5:7" x14ac:dyDescent="0.25">
      <c r="E52" s="159" t="s">
        <v>1672</v>
      </c>
      <c r="F52" s="514">
        <v>-7.7497865072587588E-2</v>
      </c>
      <c r="G52" s="515"/>
    </row>
    <row r="53" spans="5:7" x14ac:dyDescent="0.25">
      <c r="E53" s="159" t="s">
        <v>1578</v>
      </c>
      <c r="F53" s="514">
        <v>-4.2234018001384682E-2</v>
      </c>
      <c r="G53" s="515"/>
    </row>
    <row r="54" spans="5:7" x14ac:dyDescent="0.25">
      <c r="E54" s="159" t="s">
        <v>1584</v>
      </c>
      <c r="F54" s="514">
        <v>-5.0119968008530941E-2</v>
      </c>
      <c r="G54" s="515"/>
    </row>
    <row r="55" spans="5:7" x14ac:dyDescent="0.25">
      <c r="E55" s="159" t="s">
        <v>1435</v>
      </c>
      <c r="F55" s="514">
        <v>-5.194805194805191E-2</v>
      </c>
      <c r="G55" s="515"/>
    </row>
    <row r="56" spans="5:7" x14ac:dyDescent="0.25">
      <c r="E56" s="159" t="s">
        <v>69</v>
      </c>
      <c r="F56" s="514">
        <v>-6.5934065934065894E-2</v>
      </c>
      <c r="G56" s="515"/>
    </row>
    <row r="57" spans="5:7" x14ac:dyDescent="0.25">
      <c r="E57" s="159" t="s">
        <v>1559</v>
      </c>
      <c r="F57" s="514">
        <v>-9.4381880697769843E-2</v>
      </c>
      <c r="G57" s="515"/>
    </row>
    <row r="58" spans="5:7" x14ac:dyDescent="0.25">
      <c r="E58" s="159" t="s">
        <v>1560</v>
      </c>
      <c r="F58" s="514">
        <v>5.1303383250138626E-2</v>
      </c>
      <c r="G58" s="515"/>
    </row>
    <row r="59" spans="5:7" x14ac:dyDescent="0.25">
      <c r="E59" s="159" t="s">
        <v>948</v>
      </c>
      <c r="F59" s="514">
        <v>-0.28169499310978413</v>
      </c>
      <c r="G59" s="515"/>
    </row>
    <row r="60" spans="5:7" x14ac:dyDescent="0.25">
      <c r="E60" s="159" t="s">
        <v>570</v>
      </c>
      <c r="F60" s="514">
        <v>-9.8842815814849713E-3</v>
      </c>
      <c r="G60" s="515"/>
    </row>
    <row r="61" spans="5:7" x14ac:dyDescent="0.25">
      <c r="E61" s="159" t="s">
        <v>573</v>
      </c>
      <c r="F61" s="514">
        <v>6.3939144736842202E-2</v>
      </c>
      <c r="G61" s="515"/>
    </row>
    <row r="62" spans="5:7" x14ac:dyDescent="0.25">
      <c r="E62" s="159" t="s">
        <v>605</v>
      </c>
      <c r="F62" s="514">
        <v>6.5419869899467102E-3</v>
      </c>
      <c r="G62" s="515"/>
    </row>
    <row r="63" spans="5:7" x14ac:dyDescent="0.25">
      <c r="E63" s="159" t="s">
        <v>280</v>
      </c>
      <c r="F63" s="514">
        <v>5.5232998434896742E-2</v>
      </c>
      <c r="G63" s="515"/>
    </row>
    <row r="64" spans="5:7" x14ac:dyDescent="0.25">
      <c r="E64" s="159" t="s">
        <v>1608</v>
      </c>
      <c r="F64" s="514">
        <v>-0.12470600265875863</v>
      </c>
      <c r="G64" s="515"/>
    </row>
    <row r="65" spans="5:7" x14ac:dyDescent="0.25">
      <c r="E65" s="159" t="s">
        <v>1609</v>
      </c>
      <c r="F65" s="514">
        <v>2.2136669874879618E-2</v>
      </c>
      <c r="G65" s="515"/>
    </row>
    <row r="66" spans="5:7" x14ac:dyDescent="0.25">
      <c r="E66" s="159" t="s">
        <v>245</v>
      </c>
      <c r="F66" s="514">
        <v>-1.6004518922990048E-2</v>
      </c>
      <c r="G66" s="515"/>
    </row>
    <row r="67" spans="5:7" x14ac:dyDescent="0.25">
      <c r="E67" s="159" t="s">
        <v>1604</v>
      </c>
      <c r="F67" s="514">
        <v>2.4842174305157016E-2</v>
      </c>
      <c r="G67" s="515"/>
    </row>
    <row r="68" spans="5:7" x14ac:dyDescent="0.25">
      <c r="E68" s="159" t="s">
        <v>1485</v>
      </c>
      <c r="F68" s="514">
        <v>-6.0487804878049225E-3</v>
      </c>
      <c r="G68" s="515"/>
    </row>
    <row r="69" spans="5:7" x14ac:dyDescent="0.25">
      <c r="E69" s="159" t="s">
        <v>1453</v>
      </c>
      <c r="F69" s="514">
        <v>-2.1430133391646556E-2</v>
      </c>
      <c r="G69" s="515"/>
    </row>
    <row r="70" spans="5:7" x14ac:dyDescent="0.25">
      <c r="E70" s="159" t="s">
        <v>1509</v>
      </c>
      <c r="F70" s="514">
        <v>4.3430172540923066E-2</v>
      </c>
      <c r="G70" s="515"/>
    </row>
    <row r="71" spans="5:7" x14ac:dyDescent="0.25">
      <c r="E71" s="159" t="s">
        <v>1388</v>
      </c>
      <c r="F71" s="514">
        <v>-2.6121093160199366E-2</v>
      </c>
      <c r="G71" s="515"/>
    </row>
    <row r="72" spans="5:7" x14ac:dyDescent="0.25">
      <c r="E72" s="513" t="s">
        <v>1459</v>
      </c>
      <c r="F72" s="514">
        <v>2.5599700149924978E-2</v>
      </c>
      <c r="G72" s="515"/>
    </row>
    <row r="73" spans="5:7" x14ac:dyDescent="0.25">
      <c r="E73" s="513" t="s">
        <v>167</v>
      </c>
      <c r="F73" s="514">
        <v>4.5895620246525042E-2</v>
      </c>
      <c r="G73" s="515"/>
    </row>
    <row r="74" spans="5:7" x14ac:dyDescent="0.25">
      <c r="E74" s="159" t="s">
        <v>1523</v>
      </c>
      <c r="F74" s="514">
        <v>3.320025215381369E-2</v>
      </c>
      <c r="G74" s="515"/>
    </row>
    <row r="75" spans="5:7" x14ac:dyDescent="0.25">
      <c r="E75" s="159" t="s">
        <v>1596</v>
      </c>
      <c r="F75" s="514">
        <v>-7.3610599926390444E-3</v>
      </c>
      <c r="G75" s="515"/>
    </row>
    <row r="76" spans="5:7" x14ac:dyDescent="0.25">
      <c r="E76" s="159" t="s">
        <v>1448</v>
      </c>
      <c r="F76" s="514">
        <v>-6.9303583502366373E-2</v>
      </c>
      <c r="G76" s="515"/>
    </row>
    <row r="77" spans="5:7" x14ac:dyDescent="0.25">
      <c r="E77" s="159" t="s">
        <v>1514</v>
      </c>
      <c r="F77" s="514">
        <v>-1.8867924528301855E-2</v>
      </c>
      <c r="G77" s="515"/>
    </row>
    <row r="78" spans="5:7" x14ac:dyDescent="0.25">
      <c r="E78" s="159" t="s">
        <v>1595</v>
      </c>
      <c r="F78" s="514">
        <v>4.5858614364327442E-3</v>
      </c>
      <c r="G78" s="515"/>
    </row>
    <row r="79" spans="5:7" x14ac:dyDescent="0.25">
      <c r="E79" s="159" t="s">
        <v>437</v>
      </c>
      <c r="F79" s="514">
        <v>4.3080939947780832E-2</v>
      </c>
      <c r="G79" s="515"/>
    </row>
    <row r="80" spans="5:7" x14ac:dyDescent="0.25">
      <c r="E80" s="159" t="s">
        <v>1592</v>
      </c>
      <c r="F80" s="514">
        <v>0.12161768984579575</v>
      </c>
      <c r="G80" s="515"/>
    </row>
    <row r="81" spans="5:7" x14ac:dyDescent="0.25">
      <c r="E81" s="159" t="s">
        <v>560</v>
      </c>
      <c r="F81" s="514">
        <v>7.07202993451823E-2</v>
      </c>
      <c r="G81" s="515"/>
    </row>
    <row r="82" spans="5:7" x14ac:dyDescent="0.25">
      <c r="E82" s="159" t="s">
        <v>1436</v>
      </c>
      <c r="F82" s="514">
        <v>-4.9162614802809264E-2</v>
      </c>
      <c r="G82" s="515"/>
    </row>
    <row r="83" spans="5:7" x14ac:dyDescent="0.25">
      <c r="E83" s="159" t="s">
        <v>78</v>
      </c>
      <c r="F83" s="514">
        <v>5.1820554243817596E-2</v>
      </c>
      <c r="G83" s="515"/>
    </row>
    <row r="84" spans="5:7" x14ac:dyDescent="0.25">
      <c r="E84" s="513" t="s">
        <v>552</v>
      </c>
      <c r="F84" s="514">
        <v>-3.7593984962406103E-2</v>
      </c>
      <c r="G84" s="515"/>
    </row>
    <row r="85" spans="5:7" x14ac:dyDescent="0.25">
      <c r="E85" s="513" t="s">
        <v>214</v>
      </c>
      <c r="F85" s="514">
        <v>4.7690277166739882E-2</v>
      </c>
      <c r="G85" s="515"/>
    </row>
    <row r="86" spans="5:7" x14ac:dyDescent="0.25">
      <c r="E86" s="159" t="s">
        <v>250</v>
      </c>
      <c r="F86" s="514">
        <v>-6.3157894736842191E-2</v>
      </c>
      <c r="G86" s="515"/>
    </row>
    <row r="87" spans="5:7" x14ac:dyDescent="0.25">
      <c r="E87" s="159" t="s">
        <v>124</v>
      </c>
      <c r="F87" s="514">
        <v>-0.20755256758689741</v>
      </c>
      <c r="G87" s="515"/>
    </row>
    <row r="88" spans="5:7" x14ac:dyDescent="0.25">
      <c r="E88" s="513" t="s">
        <v>300</v>
      </c>
      <c r="F88" s="514">
        <v>3.1673035818382121E-2</v>
      </c>
      <c r="G88" s="515"/>
    </row>
    <row r="89" spans="5:7" x14ac:dyDescent="0.25">
      <c r="E89" s="513" t="s">
        <v>1261</v>
      </c>
      <c r="F89" s="514">
        <v>-2.741928076057502E-2</v>
      </c>
      <c r="G89" s="515"/>
    </row>
    <row r="90" spans="5:7" x14ac:dyDescent="0.25">
      <c r="E90" s="159" t="s">
        <v>850</v>
      </c>
      <c r="F90" s="514">
        <v>7.9980532121998585E-2</v>
      </c>
      <c r="G90" s="515"/>
    </row>
    <row r="91" spans="5:7" x14ac:dyDescent="0.25">
      <c r="E91" s="159" t="s">
        <v>198</v>
      </c>
      <c r="F91" s="514">
        <v>2.4863595552179962E-3</v>
      </c>
      <c r="G91" s="515"/>
    </row>
    <row r="92" spans="5:7" x14ac:dyDescent="0.25">
      <c r="E92" s="159" t="s">
        <v>1603</v>
      </c>
      <c r="F92" s="514">
        <v>4.8413477265292666E-2</v>
      </c>
      <c r="G92" s="515"/>
    </row>
    <row r="93" spans="5:7" x14ac:dyDescent="0.25">
      <c r="E93" s="159" t="s">
        <v>1126</v>
      </c>
      <c r="F93" s="514">
        <v>0.14374673793711643</v>
      </c>
      <c r="G93" s="515"/>
    </row>
    <row r="94" spans="5:7" x14ac:dyDescent="0.25">
      <c r="E94" s="159" t="s">
        <v>1537</v>
      </c>
      <c r="F94" s="514">
        <v>4.8792892987928882E-2</v>
      </c>
      <c r="G94" s="515"/>
    </row>
    <row r="95" spans="5:7" x14ac:dyDescent="0.25">
      <c r="E95" s="159" t="s">
        <v>1580</v>
      </c>
      <c r="F95" s="514">
        <v>5.5351987563846315E-2</v>
      </c>
      <c r="G95" s="515"/>
    </row>
    <row r="96" spans="5:7" x14ac:dyDescent="0.25">
      <c r="E96" s="513" t="s">
        <v>1157</v>
      </c>
      <c r="F96" s="514">
        <v>-4.209417368999633E-2</v>
      </c>
      <c r="G96" s="515"/>
    </row>
    <row r="97" spans="5:7" x14ac:dyDescent="0.25">
      <c r="E97" s="159" t="s">
        <v>1199</v>
      </c>
      <c r="F97" s="514">
        <v>-6.0911938739993286E-3</v>
      </c>
      <c r="G97" s="515"/>
    </row>
    <row r="98" spans="5:7" x14ac:dyDescent="0.25">
      <c r="E98" s="159" t="s">
        <v>879</v>
      </c>
      <c r="F98" s="514">
        <v>-2.351534475886807E-2</v>
      </c>
      <c r="G98" s="515"/>
    </row>
    <row r="99" spans="5:7" x14ac:dyDescent="0.25">
      <c r="E99" s="159" t="s">
        <v>1519</v>
      </c>
      <c r="F99" s="514">
        <v>1.6198330781767006E-2</v>
      </c>
      <c r="G99" s="515"/>
    </row>
    <row r="100" spans="5:7" x14ac:dyDescent="0.25">
      <c r="E100" s="159" t="s">
        <v>648</v>
      </c>
      <c r="F100" s="514">
        <v>-0.12742036227357906</v>
      </c>
      <c r="G100" s="515"/>
    </row>
    <row r="101" spans="5:7" x14ac:dyDescent="0.25">
      <c r="E101" s="159" t="s">
        <v>1153</v>
      </c>
      <c r="F101" s="514">
        <v>-8.4159557297671175E-2</v>
      </c>
      <c r="G101" s="515"/>
    </row>
    <row r="102" spans="5:7" x14ac:dyDescent="0.25">
      <c r="E102" s="159" t="s">
        <v>1102</v>
      </c>
      <c r="F102" s="514">
        <v>-2.6995693938390238E-2</v>
      </c>
      <c r="G102" s="515"/>
    </row>
    <row r="103" spans="5:7" x14ac:dyDescent="0.25">
      <c r="E103" s="159" t="s">
        <v>1130</v>
      </c>
      <c r="F103" s="514">
        <v>-4.8319482238729082E-2</v>
      </c>
      <c r="G103" s="515"/>
    </row>
    <row r="104" spans="5:7" x14ac:dyDescent="0.25">
      <c r="E104" s="159" t="s">
        <v>1202</v>
      </c>
      <c r="F104" s="514">
        <v>4.490500863557844E-2</v>
      </c>
      <c r="G104" s="515"/>
    </row>
    <row r="105" spans="5:7" x14ac:dyDescent="0.25">
      <c r="E105" s="159" t="s">
        <v>1149</v>
      </c>
      <c r="F105" s="514">
        <v>-0.12454479242534594</v>
      </c>
      <c r="G105" s="515"/>
    </row>
    <row r="106" spans="5:7" x14ac:dyDescent="0.25">
      <c r="E106" s="159" t="s">
        <v>1201</v>
      </c>
      <c r="F106" s="514">
        <v>-4.8847012149764418E-2</v>
      </c>
      <c r="G106" s="515"/>
    </row>
    <row r="107" spans="5:7" x14ac:dyDescent="0.25">
      <c r="E107" s="159" t="s">
        <v>1233</v>
      </c>
      <c r="F107" s="514">
        <v>-6.0783430886987906E-2</v>
      </c>
      <c r="G107" s="515"/>
    </row>
    <row r="108" spans="5:7" x14ac:dyDescent="0.25">
      <c r="E108" s="513" t="s">
        <v>1222</v>
      </c>
      <c r="F108" s="514">
        <v>-0.24949083503054992</v>
      </c>
      <c r="G108" s="515"/>
    </row>
    <row r="109" spans="5:7" x14ac:dyDescent="0.25">
      <c r="E109" s="159" t="s">
        <v>1156</v>
      </c>
      <c r="F109" s="514">
        <v>-4.9586776859504141E-2</v>
      </c>
      <c r="G109" s="515"/>
    </row>
    <row r="110" spans="5:7" x14ac:dyDescent="0.25">
      <c r="E110" s="513" t="s">
        <v>2436</v>
      </c>
      <c r="F110" s="514">
        <v>-1.2947058069478337E-2</v>
      </c>
      <c r="G110" s="515"/>
    </row>
    <row r="111" spans="5:7" x14ac:dyDescent="0.25">
      <c r="E111" s="159" t="s">
        <v>1124</v>
      </c>
      <c r="F111" s="514">
        <v>0.15297741273100618</v>
      </c>
      <c r="G111" s="515"/>
    </row>
    <row r="112" spans="5:7" x14ac:dyDescent="0.25">
      <c r="E112" s="159" t="s">
        <v>1240</v>
      </c>
      <c r="F112" s="514">
        <v>-0.15033407572383078</v>
      </c>
      <c r="G112" s="515"/>
    </row>
    <row r="113" spans="5:7" x14ac:dyDescent="0.25">
      <c r="E113" s="513" t="s">
        <v>1239</v>
      </c>
      <c r="F113" s="514">
        <v>-5.2758848098483149E-2</v>
      </c>
      <c r="G113" s="515"/>
    </row>
    <row r="114" spans="5:7" x14ac:dyDescent="0.25">
      <c r="E114" s="159" t="s">
        <v>1238</v>
      </c>
      <c r="F114" s="514">
        <v>-0.27278177458033565</v>
      </c>
      <c r="G114" s="515"/>
    </row>
    <row r="115" spans="5:7" x14ac:dyDescent="0.25">
      <c r="E115" s="159" t="s">
        <v>1253</v>
      </c>
      <c r="F115" s="514">
        <v>-3.6091135156932623E-2</v>
      </c>
      <c r="G115" s="515"/>
    </row>
    <row r="116" spans="5:7" x14ac:dyDescent="0.25">
      <c r="E116" s="159" t="s">
        <v>1266</v>
      </c>
      <c r="F116" s="514">
        <v>-5.7225698153517475E-2</v>
      </c>
      <c r="G116" s="515"/>
    </row>
    <row r="117" spans="5:7" x14ac:dyDescent="0.25">
      <c r="E117" s="159" t="s">
        <v>1205</v>
      </c>
      <c r="F117" s="514">
        <v>-4.0174672489082894E-2</v>
      </c>
      <c r="G117" s="515"/>
    </row>
    <row r="118" spans="5:7" x14ac:dyDescent="0.25">
      <c r="E118" s="159" t="s">
        <v>1262</v>
      </c>
      <c r="F118" s="514">
        <v>-7.599179206566356E-2</v>
      </c>
      <c r="G118" s="515"/>
    </row>
    <row r="119" spans="5:7" x14ac:dyDescent="0.25">
      <c r="E119" s="159" t="s">
        <v>3981</v>
      </c>
      <c r="F119" s="514">
        <v>-7.4093264248704646E-2</v>
      </c>
      <c r="G119" s="515"/>
    </row>
    <row r="120" spans="5:7" x14ac:dyDescent="0.25">
      <c r="E120" s="159" t="s">
        <v>4228</v>
      </c>
      <c r="F120" s="514">
        <v>-0.17159763313609461</v>
      </c>
      <c r="G120" s="515"/>
    </row>
    <row r="121" spans="5:7" x14ac:dyDescent="0.25">
      <c r="E121" s="159" t="s">
        <v>1217</v>
      </c>
      <c r="F121" s="514">
        <v>5.036740146960602E-2</v>
      </c>
      <c r="G121" s="515"/>
    </row>
    <row r="122" spans="5:7" x14ac:dyDescent="0.25">
      <c r="E122" s="159" t="s">
        <v>1241</v>
      </c>
      <c r="F122" s="514">
        <v>9.1298527443105668E-2</v>
      </c>
      <c r="G122" s="515"/>
    </row>
    <row r="123" spans="5:7" x14ac:dyDescent="0.25">
      <c r="E123" s="159" t="s">
        <v>1235</v>
      </c>
      <c r="F123" s="514">
        <v>8.8180112570356337E-2</v>
      </c>
      <c r="G123" s="515"/>
    </row>
    <row r="124" spans="5:7" x14ac:dyDescent="0.25">
      <c r="E124" s="159" t="s">
        <v>1140</v>
      </c>
      <c r="F124" s="514">
        <v>0.13910119229593387</v>
      </c>
      <c r="G124" s="515"/>
    </row>
    <row r="125" spans="5:7" x14ac:dyDescent="0.25">
      <c r="E125" s="159" t="s">
        <v>1457</v>
      </c>
      <c r="F125" s="514">
        <v>-1.795168762409002E-2</v>
      </c>
      <c r="G125" s="515"/>
    </row>
    <row r="126" spans="5:7" x14ac:dyDescent="0.25">
      <c r="E126" s="159" t="s">
        <v>1346</v>
      </c>
      <c r="F126" s="514">
        <v>-7.3337044252713549E-2</v>
      </c>
      <c r="G126" s="515"/>
    </row>
    <row r="127" spans="5:7" x14ac:dyDescent="0.25">
      <c r="E127" s="159" t="s">
        <v>1421</v>
      </c>
      <c r="F127" s="514">
        <v>-5.9132172899142126E-2</v>
      </c>
      <c r="G127" s="515"/>
    </row>
    <row r="128" spans="5:7" x14ac:dyDescent="0.25">
      <c r="E128" s="159" t="s">
        <v>1194</v>
      </c>
      <c r="F128" s="514">
        <v>1.4894250819191414E-4</v>
      </c>
      <c r="G128" s="515"/>
    </row>
  </sheetData>
  <conditionalFormatting sqref="E1:E128">
    <cfRule type="expression" dxfId="5" priority="2">
      <formula>$HB1="Skip"</formula>
    </cfRule>
    <cfRule type="expression" dxfId="4" priority="3">
      <formula>$G1="BMO"</formula>
    </cfRule>
    <cfRule type="expression" dxfId="3" priority="4">
      <formula>$G1="AMC"</formula>
    </cfRule>
  </conditionalFormatting>
  <conditionalFormatting sqref="F1:F128">
    <cfRule type="cellIs" dxfId="2" priority="1" operator="lessThan">
      <formula>0</formula>
    </cfRule>
  </conditionalFormatting>
  <dataValidations count="1">
    <dataValidation type="list" allowBlank="1" showInputMessage="1" showErrorMessage="1" sqref="G1:G128" xr:uid="{ECF63F95-9A5E-4DE4-8121-EA9F6328D48C}">
      <formula1>"Dwn,NA-,NA"</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A38F-B4D1-4184-8D4C-082675E7E50B}">
  <sheetPr>
    <tabColor rgb="FF00FF00"/>
  </sheetPr>
  <dimension ref="B1:AH19"/>
  <sheetViews>
    <sheetView showGridLines="0" workbookViewId="0">
      <selection activeCell="A19" sqref="A19"/>
    </sheetView>
  </sheetViews>
  <sheetFormatPr defaultRowHeight="15" x14ac:dyDescent="0.25"/>
  <cols>
    <col min="1" max="1" width="18" customWidth="1"/>
    <col min="2" max="2" width="8" customWidth="1"/>
    <col min="3" max="3" width="1.42578125" customWidth="1"/>
    <col min="5" max="8" width="7.7109375" customWidth="1"/>
    <col min="9" max="9" width="2.85546875" customWidth="1"/>
    <col min="11" max="14" width="7.7109375" customWidth="1"/>
    <col min="15" max="15" width="2.42578125" customWidth="1"/>
    <col min="17" max="20" width="7.7109375" customWidth="1"/>
    <col min="21" max="21" width="1.140625" customWidth="1"/>
    <col min="23" max="23" width="1.42578125" customWidth="1"/>
    <col min="25" max="28" width="7.7109375" customWidth="1"/>
    <col min="29" max="29" width="2.5703125" customWidth="1"/>
    <col min="31" max="34" width="7.7109375" customWidth="1"/>
  </cols>
  <sheetData>
    <row r="1" spans="2:34" x14ac:dyDescent="0.25">
      <c r="B1" s="581" t="s">
        <v>5017</v>
      </c>
      <c r="C1" s="250"/>
      <c r="E1" s="580" t="s">
        <v>5016</v>
      </c>
      <c r="F1" s="580"/>
      <c r="G1" s="580"/>
      <c r="H1" s="580"/>
      <c r="K1" s="580" t="s">
        <v>5027</v>
      </c>
      <c r="L1" s="580"/>
      <c r="M1" s="580"/>
      <c r="N1" s="580"/>
      <c r="Q1" s="580" t="s">
        <v>5013</v>
      </c>
      <c r="R1" s="580"/>
      <c r="S1" s="580"/>
      <c r="T1" s="580"/>
      <c r="U1" s="6"/>
      <c r="V1" s="581" t="s">
        <v>5018</v>
      </c>
      <c r="Y1" s="580" t="s">
        <v>5028</v>
      </c>
      <c r="Z1" s="580"/>
      <c r="AA1" s="580"/>
      <c r="AB1" s="580"/>
      <c r="AE1" s="580" t="s">
        <v>5029</v>
      </c>
      <c r="AF1" s="580"/>
      <c r="AG1" s="580"/>
      <c r="AH1" s="580"/>
    </row>
    <row r="2" spans="2:34" x14ac:dyDescent="0.25">
      <c r="B2" s="581"/>
      <c r="C2" s="250"/>
      <c r="E2" s="242" t="s">
        <v>4739</v>
      </c>
      <c r="F2" s="242" t="s">
        <v>5015</v>
      </c>
      <c r="G2" s="242" t="s">
        <v>1484</v>
      </c>
      <c r="H2" s="242" t="s">
        <v>5014</v>
      </c>
      <c r="K2" s="242" t="s">
        <v>4739</v>
      </c>
      <c r="L2" s="242" t="s">
        <v>5015</v>
      </c>
      <c r="M2" s="242" t="s">
        <v>1484</v>
      </c>
      <c r="N2" s="242" t="s">
        <v>5014</v>
      </c>
      <c r="Q2" s="242" t="s">
        <v>4739</v>
      </c>
      <c r="R2" s="242" t="s">
        <v>5015</v>
      </c>
      <c r="S2" s="242" t="s">
        <v>1484</v>
      </c>
      <c r="T2" s="242" t="s">
        <v>5014</v>
      </c>
      <c r="U2" s="226"/>
      <c r="V2" s="581"/>
      <c r="Y2" s="242" t="s">
        <v>4739</v>
      </c>
      <c r="Z2" s="242" t="s">
        <v>5015</v>
      </c>
      <c r="AA2" s="242" t="s">
        <v>1484</v>
      </c>
      <c r="AB2" s="242" t="s">
        <v>5014</v>
      </c>
      <c r="AE2" s="242" t="s">
        <v>4739</v>
      </c>
      <c r="AF2" s="242" t="s">
        <v>5015</v>
      </c>
      <c r="AG2" s="242" t="s">
        <v>1484</v>
      </c>
      <c r="AH2" s="242" t="s">
        <v>5014</v>
      </c>
    </row>
    <row r="3" spans="2:34" ht="20.25" customHeight="1" x14ac:dyDescent="0.25">
      <c r="B3" s="581"/>
      <c r="C3" s="250"/>
      <c r="D3" s="243" t="s">
        <v>4740</v>
      </c>
      <c r="E3" s="245">
        <f>COUNTIFS('2025-Q1'!$FV$4:$FV$448,E$2,'2025-Q1'!$J$4:$J$448,"&gt;0")</f>
        <v>101</v>
      </c>
      <c r="F3" s="245">
        <f>COUNTIFS('2025-Q1'!$FV$4:$FV$448,F$2,'2025-Q1'!$J$4:$J$448,"&gt;0")</f>
        <v>128</v>
      </c>
      <c r="G3" s="245">
        <f>COUNTIFS('2025-Q1'!$FV$4:$FV$448,G$2,'2025-Q1'!$J$4:$J$448,"&gt;0")</f>
        <v>215</v>
      </c>
      <c r="H3" s="245">
        <f>SUM(E3:G3)</f>
        <v>444</v>
      </c>
      <c r="J3" s="243" t="s">
        <v>4740</v>
      </c>
      <c r="K3" s="245">
        <f>SUMIFS('2025-Q1'!$FP$4:$FP$448,'2025-Q1'!$FV$4:$FV$448,Expectancy!K$2)</f>
        <v>10.009379462148743</v>
      </c>
      <c r="L3" s="245">
        <f>SUMIFS('2025-Q1'!$FP$4:$FP$448,'2025-Q1'!$FV$4:$FV$448,Expectancy!L$2)</f>
        <v>43.496894859916743</v>
      </c>
      <c r="M3" s="245">
        <f>SUMIFS('2025-Q1'!$FP$4:$FP$448,'2025-Q1'!$FV$4:$FV$448,Expectancy!M$2)</f>
        <v>15.126535164379963</v>
      </c>
      <c r="N3" s="245">
        <f>SUM(K3:M3)</f>
        <v>68.632809486445453</v>
      </c>
      <c r="P3" s="243" t="s">
        <v>4740</v>
      </c>
      <c r="Q3" s="248">
        <f>IFERROR(K3/E3,0)</f>
        <v>9.910276695196775E-2</v>
      </c>
      <c r="R3" s="248">
        <f t="shared" ref="R3:T18" si="0">IFERROR(L3/F3,0)</f>
        <v>0.33981949109309956</v>
      </c>
      <c r="S3" s="248">
        <f t="shared" si="0"/>
        <v>7.0355977508744005E-2</v>
      </c>
      <c r="T3" s="248">
        <f t="shared" si="0"/>
        <v>0.1545783997442465</v>
      </c>
      <c r="U3" s="249"/>
      <c r="V3" s="581"/>
      <c r="X3" s="243" t="s">
        <v>4740</v>
      </c>
      <c r="Y3" s="247">
        <f>SUMIFS('2025-Q1'!$HD$62:$HD$448,'2025-Q1'!$FV$62:$FV$448,Expectancy!K$2)</f>
        <v>-8.0538670079810153</v>
      </c>
      <c r="Z3" s="247">
        <f>SUMIFS('2025-Q1'!$HD$62:$HD$448,'2025-Q1'!$FV$62:$FV$448,Expectancy!L$2)</f>
        <v>34.26305222716455</v>
      </c>
      <c r="AA3" s="247">
        <f>SUMIFS('2025-Q1'!$HD$62:$HD$448,'2025-Q1'!$FV$62:$FV$448,Expectancy!M$2)</f>
        <v>-2.1273296200126586</v>
      </c>
      <c r="AB3" s="247">
        <f>SUM(Y3:AA3)</f>
        <v>24.081855599170876</v>
      </c>
      <c r="AD3" s="243" t="s">
        <v>4740</v>
      </c>
      <c r="AE3" s="248">
        <f t="shared" ref="AE3:AE19" si="1">IFERROR(Y3/E3,0)</f>
        <v>-7.9741257504762533E-2</v>
      </c>
      <c r="AF3" s="248">
        <f t="shared" ref="AF3:AF19" si="2">IFERROR(Z3/F3,0)</f>
        <v>0.26768009552472305</v>
      </c>
      <c r="AG3" s="248">
        <f t="shared" ref="AG3:AG19" si="3">IFERROR(AA3/G3,0)</f>
        <v>-9.8945563721519001E-3</v>
      </c>
      <c r="AH3" s="248">
        <f t="shared" ref="AH3:AH19" si="4">IFERROR(AB3/H3,0)</f>
        <v>5.4238413511646114E-2</v>
      </c>
    </row>
    <row r="4" spans="2:34" x14ac:dyDescent="0.25">
      <c r="B4" s="581"/>
      <c r="C4" s="250"/>
      <c r="D4" s="243" t="s">
        <v>4721</v>
      </c>
      <c r="E4" s="246">
        <f>COUNTIFS('2025-Q1'!$FV$4:$FV$448,E$2,'2025-Q1'!$J$4:$J$448,"&gt;0",'2025-Q1'!$E$4:$E$448,Expectancy!$D4)</f>
        <v>28</v>
      </c>
      <c r="F4" s="246">
        <f>COUNTIFS('2025-Q1'!$FV$4:$FV$448,F$2,'2025-Q1'!$J$4:$J$448,"&gt;0",'2025-Q1'!$E$4:$E$448,Expectancy!$D4)</f>
        <v>3</v>
      </c>
      <c r="G4" s="246">
        <f>COUNTIFS('2025-Q1'!$FV$4:$FV$448,G$2,'2025-Q1'!$J$4:$J$448,"&gt;0",'2025-Q1'!$E$4:$E$448,Expectancy!$D4)</f>
        <v>18</v>
      </c>
      <c r="H4" s="245">
        <f t="shared" ref="H4:H19" si="5">SUM(E4:G4)</f>
        <v>49</v>
      </c>
      <c r="J4" s="243" t="s">
        <v>4721</v>
      </c>
      <c r="K4" s="82">
        <f>SUMIFS('2025-Q1'!$FP$4:$FP$448,'2025-Q1'!$FV$4:$FV$448,Expectancy!K$2,'2025-Q1'!$E$4:$E$448,Expectancy!$J4)</f>
        <v>-2.225533876342277</v>
      </c>
      <c r="L4" s="82">
        <f>SUMIFS('2025-Q1'!$FP$4:$FP$448,'2025-Q1'!$FV$4:$FV$448,Expectancy!L$2,'2025-Q1'!$E$4:$E$448,Expectancy!$J4)</f>
        <v>-1.7281565622132113</v>
      </c>
      <c r="M4" s="82">
        <f>SUMIFS('2025-Q1'!$FP$4:$FP$448,'2025-Q1'!$FV$4:$FV$448,Expectancy!M$2,'2025-Q1'!$E$4:$E$448,Expectancy!$J4)</f>
        <v>1.7962764500559238</v>
      </c>
      <c r="N4" s="247">
        <f t="shared" ref="N4:N19" si="6">SUM(K4:M4)</f>
        <v>-2.1574139884995645</v>
      </c>
      <c r="P4" s="243" t="s">
        <v>4721</v>
      </c>
      <c r="Q4" s="336">
        <f t="shared" ref="Q4:Q19" si="7">IFERROR(K4/E4,0)</f>
        <v>-7.9483352726509887E-2</v>
      </c>
      <c r="R4" s="336">
        <f t="shared" ref="R4:R19" si="8">IFERROR(L4/F4,0)</f>
        <v>-0.57605218740440378</v>
      </c>
      <c r="S4" s="336">
        <f t="shared" ref="S4:T19" si="9">IFERROR(M4/G4,0)</f>
        <v>9.9793136114217987E-2</v>
      </c>
      <c r="T4" s="248">
        <f t="shared" si="0"/>
        <v>-4.4028856908154376E-2</v>
      </c>
      <c r="U4" s="249"/>
      <c r="V4" s="581"/>
      <c r="X4" s="243" t="s">
        <v>4721</v>
      </c>
      <c r="Y4" s="82">
        <f>SUMIFS('2025-Q1'!$HD$62:$HD$448,'2025-Q1'!$FV$62:$FV$448,Expectancy!K$2,'2025-Q1'!$E$62:$E$448,Expectancy!$X4)</f>
        <v>-0.90038091584656987</v>
      </c>
      <c r="Z4" s="82">
        <f>SUMIFS('2025-Q1'!$HD$62:$HD$448,'2025-Q1'!$FV$62:$FV$448,Expectancy!L$2,'2025-Q1'!$E$62:$E$448,Expectancy!$X4)</f>
        <v>-0.77750206782464892</v>
      </c>
      <c r="AA4" s="82">
        <f>SUMIFS('2025-Q1'!$HD$62:$HD$448,'2025-Q1'!$FV$62:$FV$448,Expectancy!M$2,'2025-Q1'!$E$62:$E$448,Expectancy!$X4)</f>
        <v>-0.48209640027176059</v>
      </c>
      <c r="AB4" s="247">
        <f t="shared" ref="AB4:AB19" si="10">SUM(Y4:AA4)</f>
        <v>-2.1599793839429795</v>
      </c>
      <c r="AD4" s="243" t="s">
        <v>4721</v>
      </c>
      <c r="AE4" s="248">
        <f t="shared" si="1"/>
        <v>-3.2156461280234638E-2</v>
      </c>
      <c r="AF4" s="248">
        <f t="shared" si="2"/>
        <v>-0.25916735594154966</v>
      </c>
      <c r="AG4" s="248">
        <f t="shared" si="3"/>
        <v>-2.6783133348431146E-2</v>
      </c>
      <c r="AH4" s="248">
        <f t="shared" si="4"/>
        <v>-4.4081211917203662E-2</v>
      </c>
    </row>
    <row r="5" spans="2:34" x14ac:dyDescent="0.25">
      <c r="B5" s="581"/>
      <c r="C5" s="250"/>
      <c r="D5" s="244" t="s">
        <v>4775</v>
      </c>
      <c r="E5" s="246">
        <f>COUNTIFS('2025-Q1'!$FV$4:$FV$448,E$2,'2025-Q1'!$J$4:$J$448,"&gt;0",'2025-Q1'!$E$4:$E$448,Expectancy!$D5)</f>
        <v>2</v>
      </c>
      <c r="F5" s="246">
        <f>COUNTIFS('2025-Q1'!$FV$4:$FV$448,F$2,'2025-Q1'!$J$4:$J$448,"&gt;0",'2025-Q1'!$E$4:$E$448,Expectancy!$D5)</f>
        <v>3</v>
      </c>
      <c r="G5" s="246">
        <f>COUNTIFS('2025-Q1'!$FV$4:$FV$448,G$2,'2025-Q1'!$J$4:$J$448,"&gt;0",'2025-Q1'!$E$4:$E$448,Expectancy!$D5)</f>
        <v>15</v>
      </c>
      <c r="H5" s="245">
        <f t="shared" si="5"/>
        <v>20</v>
      </c>
      <c r="J5" s="244" t="s">
        <v>4775</v>
      </c>
      <c r="K5" s="82">
        <f>SUMIFS('2025-Q1'!$FP$4:$FP$448,'2025-Q1'!$FV$4:$FV$448,Expectancy!K$2,'2025-Q1'!$E$4:$E$448,Expectancy!$J5)</f>
        <v>-2.8187978720432633E-2</v>
      </c>
      <c r="L5" s="82">
        <f>SUMIFS('2025-Q1'!$FP$4:$FP$448,'2025-Q1'!$FV$4:$FV$448,Expectancy!L$2,'2025-Q1'!$E$4:$E$448,Expectancy!$J5)</f>
        <v>-0.10589676051796038</v>
      </c>
      <c r="M5" s="82">
        <f>SUMIFS('2025-Q1'!$FP$4:$FP$448,'2025-Q1'!$FV$4:$FV$448,Expectancy!M$2,'2025-Q1'!$E$4:$E$448,Expectancy!$J5)</f>
        <v>-0.47315674391965518</v>
      </c>
      <c r="N5" s="247">
        <f t="shared" si="6"/>
        <v>-0.60724148315804816</v>
      </c>
      <c r="P5" s="244" t="s">
        <v>4775</v>
      </c>
      <c r="Q5" s="336">
        <f t="shared" si="7"/>
        <v>-1.4093989360216316E-2</v>
      </c>
      <c r="R5" s="336">
        <f t="shared" si="8"/>
        <v>-3.5298920172653458E-2</v>
      </c>
      <c r="S5" s="336">
        <f t="shared" si="9"/>
        <v>-3.1543782927977014E-2</v>
      </c>
      <c r="T5" s="248">
        <f t="shared" si="0"/>
        <v>-3.0362074157902409E-2</v>
      </c>
      <c r="U5" s="249"/>
      <c r="V5" s="581"/>
      <c r="X5" s="244" t="s">
        <v>4775</v>
      </c>
      <c r="Y5" s="82">
        <f>SUMIFS('2025-Q1'!$HD$62:$HD$448,'2025-Q1'!$FV$62:$FV$448,Expectancy!K$2,'2025-Q1'!$E$62:$E$448,Expectancy!$X5)</f>
        <v>-0.1690292343743976</v>
      </c>
      <c r="Z5" s="82">
        <f>SUMIFS('2025-Q1'!$HD$62:$HD$448,'2025-Q1'!$FV$62:$FV$448,Expectancy!L$2,'2025-Q1'!$E$62:$E$448,Expectancy!$X5)</f>
        <v>-0.40516535816895738</v>
      </c>
      <c r="AA5" s="82">
        <f>SUMIFS('2025-Q1'!$HD$62:$HD$448,'2025-Q1'!$FV$62:$FV$448,Expectancy!M$2,'2025-Q1'!$E$62:$E$448,Expectancy!$X5)</f>
        <v>-0.56486297700022581</v>
      </c>
      <c r="AB5" s="247">
        <f t="shared" si="10"/>
        <v>-1.1390575695435807</v>
      </c>
      <c r="AD5" s="244" t="s">
        <v>4775</v>
      </c>
      <c r="AE5" s="248">
        <f t="shared" si="1"/>
        <v>-8.4514617187198798E-2</v>
      </c>
      <c r="AF5" s="248">
        <f t="shared" si="2"/>
        <v>-0.13505511938965245</v>
      </c>
      <c r="AG5" s="248">
        <f t="shared" si="3"/>
        <v>-3.7657531800015055E-2</v>
      </c>
      <c r="AH5" s="248">
        <f t="shared" si="4"/>
        <v>-5.6952878477179038E-2</v>
      </c>
    </row>
    <row r="6" spans="2:34" x14ac:dyDescent="0.25">
      <c r="B6" s="581"/>
      <c r="C6" s="250"/>
      <c r="D6" s="243" t="s">
        <v>4728</v>
      </c>
      <c r="E6" s="246">
        <f>COUNTIFS('2025-Q1'!$FV$4:$FV$448,E$2,'2025-Q1'!$J$4:$J$448,"&gt;0",'2025-Q1'!$E$4:$E$448,Expectancy!$D6)</f>
        <v>9</v>
      </c>
      <c r="F6" s="246">
        <f>COUNTIFS('2025-Q1'!$FV$4:$FV$448,F$2,'2025-Q1'!$J$4:$J$448,"&gt;0",'2025-Q1'!$E$4:$E$448,Expectancy!$D6)</f>
        <v>17</v>
      </c>
      <c r="G6" s="246">
        <f>COUNTIFS('2025-Q1'!$FV$4:$FV$448,G$2,'2025-Q1'!$J$4:$J$448,"&gt;0",'2025-Q1'!$E$4:$E$448,Expectancy!$D6)</f>
        <v>23</v>
      </c>
      <c r="H6" s="245">
        <f t="shared" si="5"/>
        <v>49</v>
      </c>
      <c r="J6" s="243" t="s">
        <v>4728</v>
      </c>
      <c r="K6" s="82">
        <f>SUMIFS('2025-Q1'!$FP$4:$FP$448,'2025-Q1'!$FV$4:$FV$448,Expectancy!K$2,'2025-Q1'!$E$4:$E$448,Expectancy!$J6)</f>
        <v>0.85177992159441773</v>
      </c>
      <c r="L6" s="82">
        <f>SUMIFS('2025-Q1'!$FP$4:$FP$448,'2025-Q1'!$FV$4:$FV$448,Expectancy!L$2,'2025-Q1'!$E$4:$E$448,Expectancy!$J6)</f>
        <v>-1.6113669434609075</v>
      </c>
      <c r="M6" s="82">
        <f>SUMIFS('2025-Q1'!$FP$4:$FP$448,'2025-Q1'!$FV$4:$FV$448,Expectancy!M$2,'2025-Q1'!$E$4:$E$448,Expectancy!$J6)</f>
        <v>11.197696500559235</v>
      </c>
      <c r="N6" s="247">
        <f t="shared" si="6"/>
        <v>10.438109478692745</v>
      </c>
      <c r="P6" s="243" t="s">
        <v>4728</v>
      </c>
      <c r="Q6" s="336">
        <f t="shared" si="7"/>
        <v>9.4642213510490861E-2</v>
      </c>
      <c r="R6" s="336">
        <f t="shared" si="8"/>
        <v>-9.4786290791818092E-2</v>
      </c>
      <c r="S6" s="336">
        <f t="shared" si="9"/>
        <v>0.48685636958953199</v>
      </c>
      <c r="T6" s="248">
        <f t="shared" si="0"/>
        <v>0.21302264242230093</v>
      </c>
      <c r="U6" s="249"/>
      <c r="V6" s="581"/>
      <c r="X6" s="243" t="s">
        <v>4728</v>
      </c>
      <c r="Y6" s="82">
        <f>SUMIFS('2025-Q1'!$HD$62:$HD$448,'2025-Q1'!$FV$62:$FV$448,Expectancy!K$2,'2025-Q1'!$E$62:$E$448,Expectancy!$X6)</f>
        <v>-10.398005332271874</v>
      </c>
      <c r="Z6" s="82">
        <f>SUMIFS('2025-Q1'!$HD$62:$HD$448,'2025-Q1'!$FV$62:$FV$448,Expectancy!L$2,'2025-Q1'!$E$62:$E$448,Expectancy!$X6)</f>
        <v>-3.794023780211246</v>
      </c>
      <c r="AA6" s="82">
        <f>SUMIFS('2025-Q1'!$HD$62:$HD$448,'2025-Q1'!$FV$62:$FV$448,Expectancy!M$2,'2025-Q1'!$E$62:$E$448,Expectancy!$X6)</f>
        <v>1.9038126466544434</v>
      </c>
      <c r="AB6" s="247">
        <f t="shared" si="10"/>
        <v>-12.288216465828675</v>
      </c>
      <c r="AD6" s="243" t="s">
        <v>4728</v>
      </c>
      <c r="AE6" s="248">
        <f t="shared" si="1"/>
        <v>-1.155333925807986</v>
      </c>
      <c r="AF6" s="248">
        <f t="shared" si="2"/>
        <v>-0.22317786942419093</v>
      </c>
      <c r="AG6" s="248">
        <f t="shared" si="3"/>
        <v>8.2774462898019277E-2</v>
      </c>
      <c r="AH6" s="248">
        <f t="shared" si="4"/>
        <v>-0.25077992787405462</v>
      </c>
    </row>
    <row r="7" spans="2:34" x14ac:dyDescent="0.25">
      <c r="B7" s="581"/>
      <c r="C7" s="250"/>
      <c r="D7" s="244" t="s">
        <v>4964</v>
      </c>
      <c r="E7" s="246">
        <f>COUNTIFS('2025-Q1'!$FV$4:$FV$448,E$2,'2025-Q1'!$J$4:$J$448,"&gt;0",'2025-Q1'!$E$4:$E$448,Expectancy!$D7)</f>
        <v>0</v>
      </c>
      <c r="F7" s="246">
        <f>COUNTIFS('2025-Q1'!$FV$4:$FV$448,F$2,'2025-Q1'!$J$4:$J$448,"&gt;0",'2025-Q1'!$E$4:$E$448,Expectancy!$D7)</f>
        <v>6</v>
      </c>
      <c r="G7" s="246">
        <f>COUNTIFS('2025-Q1'!$FV$4:$FV$448,G$2,'2025-Q1'!$J$4:$J$448,"&gt;0",'2025-Q1'!$E$4:$E$448,Expectancy!$D7)</f>
        <v>2</v>
      </c>
      <c r="H7" s="245">
        <f t="shared" si="5"/>
        <v>8</v>
      </c>
      <c r="J7" s="244" t="s">
        <v>4964</v>
      </c>
      <c r="K7" s="82">
        <f>SUMIFS('2025-Q1'!$FP$4:$FP$448,'2025-Q1'!$FV$4:$FV$448,Expectancy!K$2,'2025-Q1'!$E$4:$E$448,Expectancy!$J7)</f>
        <v>0</v>
      </c>
      <c r="L7" s="82">
        <f>SUMIFS('2025-Q1'!$FP$4:$FP$448,'2025-Q1'!$FV$4:$FV$448,Expectancy!L$2,'2025-Q1'!$E$4:$E$448,Expectancy!$J7)</f>
        <v>1.0521749793983441</v>
      </c>
      <c r="M7" s="82">
        <f>SUMIFS('2025-Q1'!$FP$4:$FP$448,'2025-Q1'!$FV$4:$FV$448,Expectancy!M$2,'2025-Q1'!$E$4:$E$448,Expectancy!$J7)</f>
        <v>-0.20729717841043566</v>
      </c>
      <c r="N7" s="247">
        <f t="shared" si="6"/>
        <v>0.84487780098790854</v>
      </c>
      <c r="P7" s="244" t="s">
        <v>4964</v>
      </c>
      <c r="Q7" s="336">
        <f t="shared" si="7"/>
        <v>0</v>
      </c>
      <c r="R7" s="336">
        <f t="shared" si="8"/>
        <v>0.17536249656639069</v>
      </c>
      <c r="S7" s="336">
        <f t="shared" si="9"/>
        <v>-0.10364858920521783</v>
      </c>
      <c r="T7" s="248">
        <f t="shared" si="0"/>
        <v>0.10560972512348857</v>
      </c>
      <c r="U7" s="249"/>
      <c r="V7" s="581"/>
      <c r="X7" s="244" t="s">
        <v>4964</v>
      </c>
      <c r="Y7" s="82">
        <f>SUMIFS('2025-Q1'!$HD$62:$HD$448,'2025-Q1'!$FV$62:$FV$448,Expectancy!K$2,'2025-Q1'!$E$62:$E$448,Expectancy!$X7)</f>
        <v>0</v>
      </c>
      <c r="Z7" s="82">
        <f>SUMIFS('2025-Q1'!$HD$62:$HD$448,'2025-Q1'!$FV$62:$FV$448,Expectancy!L$2,'2025-Q1'!$E$62:$E$448,Expectancy!$X7)</f>
        <v>1.1855898612636866</v>
      </c>
      <c r="AA7" s="82">
        <f>SUMIFS('2025-Q1'!$HD$62:$HD$448,'2025-Q1'!$FV$62:$FV$448,Expectancy!M$2,'2025-Q1'!$E$62:$E$448,Expectancy!$X7)</f>
        <v>-0.45951146194679349</v>
      </c>
      <c r="AB7" s="247">
        <f t="shared" si="10"/>
        <v>0.72607839931689311</v>
      </c>
      <c r="AD7" s="244" t="s">
        <v>4964</v>
      </c>
      <c r="AE7" s="248">
        <f t="shared" si="1"/>
        <v>0</v>
      </c>
      <c r="AF7" s="248">
        <f t="shared" si="2"/>
        <v>0.19759831021061444</v>
      </c>
      <c r="AG7" s="248">
        <f t="shared" si="3"/>
        <v>-0.22975573097339674</v>
      </c>
      <c r="AH7" s="248">
        <f t="shared" si="4"/>
        <v>9.0759799914611639E-2</v>
      </c>
    </row>
    <row r="8" spans="2:34" x14ac:dyDescent="0.25">
      <c r="B8" s="581"/>
      <c r="C8" s="250"/>
      <c r="D8" s="243" t="s">
        <v>4724</v>
      </c>
      <c r="E8" s="246">
        <f>COUNTIFS('2025-Q1'!$FV$4:$FV$448,E$2,'2025-Q1'!$J$4:$J$448,"&gt;0",'2025-Q1'!$E$4:$E$448,Expectancy!$D8)</f>
        <v>4</v>
      </c>
      <c r="F8" s="246">
        <f>COUNTIFS('2025-Q1'!$FV$4:$FV$448,F$2,'2025-Q1'!$J$4:$J$448,"&gt;0",'2025-Q1'!$E$4:$E$448,Expectancy!$D8)</f>
        <v>20</v>
      </c>
      <c r="G8" s="246">
        <f>COUNTIFS('2025-Q1'!$FV$4:$FV$448,G$2,'2025-Q1'!$J$4:$J$448,"&gt;0",'2025-Q1'!$E$4:$E$448,Expectancy!$D8)</f>
        <v>11</v>
      </c>
      <c r="H8" s="245">
        <f t="shared" si="5"/>
        <v>35</v>
      </c>
      <c r="J8" s="243" t="s">
        <v>4724</v>
      </c>
      <c r="K8" s="82">
        <f>SUMIFS('2025-Q1'!$FP$4:$FP$448,'2025-Q1'!$FV$4:$FV$448,Expectancy!K$2,'2025-Q1'!$E$4:$E$448,Expectancy!$J8)</f>
        <v>1.05904094679938</v>
      </c>
      <c r="L8" s="82">
        <f>SUMIFS('2025-Q1'!$FP$4:$FP$448,'2025-Q1'!$FV$4:$FV$448,Expectancy!L$2,'2025-Q1'!$E$4:$E$448,Expectancy!$J8)</f>
        <v>6.1538040405430721</v>
      </c>
      <c r="M8" s="82">
        <f>SUMIFS('2025-Q1'!$FP$4:$FP$448,'2025-Q1'!$FV$4:$FV$448,Expectancy!M$2,'2025-Q1'!$E$4:$E$448,Expectancy!$J8)</f>
        <v>4.4618140885456405</v>
      </c>
      <c r="N8" s="247">
        <f t="shared" si="6"/>
        <v>11.674659075888092</v>
      </c>
      <c r="P8" s="243" t="s">
        <v>4724</v>
      </c>
      <c r="Q8" s="336">
        <f t="shared" si="7"/>
        <v>0.264760236699845</v>
      </c>
      <c r="R8" s="336">
        <f t="shared" si="8"/>
        <v>0.30769020202715358</v>
      </c>
      <c r="S8" s="336">
        <f t="shared" si="9"/>
        <v>0.40561946259505821</v>
      </c>
      <c r="T8" s="248">
        <f t="shared" si="0"/>
        <v>0.33356168788251694</v>
      </c>
      <c r="U8" s="249"/>
      <c r="V8" s="581"/>
      <c r="X8" s="243" t="s">
        <v>4724</v>
      </c>
      <c r="Y8" s="82">
        <f>SUMIFS('2025-Q1'!$HD$62:$HD$448,'2025-Q1'!$FV$62:$FV$448,Expectancy!K$2,'2025-Q1'!$E$62:$E$448,Expectancy!$X8)</f>
        <v>0.89972088759471636</v>
      </c>
      <c r="Z8" s="82">
        <f>SUMIFS('2025-Q1'!$HD$62:$HD$448,'2025-Q1'!$FV$62:$FV$448,Expectancy!L$2,'2025-Q1'!$E$62:$E$448,Expectancy!$X8)</f>
        <v>6.0581726040618911</v>
      </c>
      <c r="AA8" s="82">
        <f>SUMIFS('2025-Q1'!$HD$62:$HD$448,'2025-Q1'!$FV$62:$FV$448,Expectancy!M$2,'2025-Q1'!$E$62:$E$448,Expectancy!$X8)</f>
        <v>1.6120688348155308</v>
      </c>
      <c r="AB8" s="247">
        <f t="shared" si="10"/>
        <v>8.5699623264721385</v>
      </c>
      <c r="AD8" s="243" t="s">
        <v>4724</v>
      </c>
      <c r="AE8" s="248">
        <f t="shared" si="1"/>
        <v>0.22493022189867909</v>
      </c>
      <c r="AF8" s="248">
        <f t="shared" si="2"/>
        <v>0.30290863020309455</v>
      </c>
      <c r="AG8" s="248">
        <f t="shared" si="3"/>
        <v>0.14655171225595734</v>
      </c>
      <c r="AH8" s="248">
        <f t="shared" si="4"/>
        <v>0.24485606647063252</v>
      </c>
    </row>
    <row r="9" spans="2:34" x14ac:dyDescent="0.25">
      <c r="B9" s="581"/>
      <c r="C9" s="250"/>
      <c r="D9" s="244" t="s">
        <v>4723</v>
      </c>
      <c r="E9" s="246">
        <f>COUNTIFS('2025-Q1'!$FV$4:$FV$448,E$2,'2025-Q1'!$J$4:$J$448,"&gt;0",'2025-Q1'!$E$4:$E$448,Expectancy!$D9)</f>
        <v>10</v>
      </c>
      <c r="F9" s="246">
        <f>COUNTIFS('2025-Q1'!$FV$4:$FV$448,F$2,'2025-Q1'!$J$4:$J$448,"&gt;0",'2025-Q1'!$E$4:$E$448,Expectancy!$D9)</f>
        <v>7</v>
      </c>
      <c r="G9" s="246">
        <f>COUNTIFS('2025-Q1'!$FV$4:$FV$448,G$2,'2025-Q1'!$J$4:$J$448,"&gt;0",'2025-Q1'!$E$4:$E$448,Expectancy!$D9)</f>
        <v>16</v>
      </c>
      <c r="H9" s="245">
        <f t="shared" si="5"/>
        <v>33</v>
      </c>
      <c r="J9" s="244" t="s">
        <v>4723</v>
      </c>
      <c r="K9" s="82">
        <f>SUMIFS('2025-Q1'!$FP$4:$FP$448,'2025-Q1'!$FV$4:$FV$448,Expectancy!K$2,'2025-Q1'!$E$4:$E$448,Expectancy!$J9)</f>
        <v>3.5290544702120545</v>
      </c>
      <c r="L9" s="82">
        <f>SUMIFS('2025-Q1'!$FP$4:$FP$448,'2025-Q1'!$FV$4:$FV$448,Expectancy!L$2,'2025-Q1'!$E$4:$E$448,Expectancy!$J9)</f>
        <v>8.3270140329261029</v>
      </c>
      <c r="M9" s="82">
        <f>SUMIFS('2025-Q1'!$FP$4:$FP$448,'2025-Q1'!$FV$4:$FV$448,Expectancy!M$2,'2025-Q1'!$E$4:$E$448,Expectancy!$J9)</f>
        <v>-2.7330835253247465</v>
      </c>
      <c r="N9" s="247">
        <f t="shared" si="6"/>
        <v>9.1229849778134113</v>
      </c>
      <c r="P9" s="244" t="s">
        <v>4723</v>
      </c>
      <c r="Q9" s="336">
        <f t="shared" si="7"/>
        <v>0.35290544702120547</v>
      </c>
      <c r="R9" s="336">
        <f t="shared" si="8"/>
        <v>1.1895734332751575</v>
      </c>
      <c r="S9" s="336">
        <f t="shared" si="9"/>
        <v>-0.17081772033279666</v>
      </c>
      <c r="T9" s="248">
        <f t="shared" si="0"/>
        <v>0.27645409023677003</v>
      </c>
      <c r="U9" s="249"/>
      <c r="V9" s="581"/>
      <c r="X9" s="244" t="s">
        <v>4723</v>
      </c>
      <c r="Y9" s="82">
        <f>SUMIFS('2025-Q1'!$HD$62:$HD$448,'2025-Q1'!$FV$62:$FV$448,Expectancy!K$2,'2025-Q1'!$E$62:$E$448,Expectancy!$X9)</f>
        <v>-0.15939449724712285</v>
      </c>
      <c r="Z9" s="82">
        <f>SUMIFS('2025-Q1'!$HD$62:$HD$448,'2025-Q1'!$FV$62:$FV$448,Expectancy!L$2,'2025-Q1'!$E$62:$E$448,Expectancy!$X9)</f>
        <v>7.5786059552656662</v>
      </c>
      <c r="AA9" s="82">
        <f>SUMIFS('2025-Q1'!$HD$62:$HD$448,'2025-Q1'!$FV$62:$FV$448,Expectancy!M$2,'2025-Q1'!$E$62:$E$448,Expectancy!$X9)</f>
        <v>-4.9047420916542874</v>
      </c>
      <c r="AB9" s="247">
        <f t="shared" si="10"/>
        <v>2.5144693663642554</v>
      </c>
      <c r="AD9" s="244" t="s">
        <v>4723</v>
      </c>
      <c r="AE9" s="248">
        <f t="shared" si="1"/>
        <v>-1.5939449724712285E-2</v>
      </c>
      <c r="AF9" s="248">
        <f t="shared" si="2"/>
        <v>1.082657993609381</v>
      </c>
      <c r="AG9" s="248">
        <f t="shared" si="3"/>
        <v>-0.30654638072839296</v>
      </c>
      <c r="AH9" s="248">
        <f t="shared" si="4"/>
        <v>7.6196041404977433E-2</v>
      </c>
    </row>
    <row r="10" spans="2:34" x14ac:dyDescent="0.25">
      <c r="B10" s="581"/>
      <c r="C10" s="250"/>
      <c r="D10" s="243" t="s">
        <v>4773</v>
      </c>
      <c r="E10" s="246">
        <f>COUNTIFS('2025-Q1'!$FV$4:$FV$448,E$2,'2025-Q1'!$J$4:$J$448,"&gt;0",'2025-Q1'!$E$4:$E$448,Expectancy!$D10)</f>
        <v>0</v>
      </c>
      <c r="F10" s="246">
        <f>COUNTIFS('2025-Q1'!$FV$4:$FV$448,F$2,'2025-Q1'!$J$4:$J$448,"&gt;0",'2025-Q1'!$E$4:$E$448,Expectancy!$D10)</f>
        <v>6</v>
      </c>
      <c r="G10" s="246">
        <f>COUNTIFS('2025-Q1'!$FV$4:$FV$448,G$2,'2025-Q1'!$J$4:$J$448,"&gt;0",'2025-Q1'!$E$4:$E$448,Expectancy!$D10)</f>
        <v>14</v>
      </c>
      <c r="H10" s="245">
        <f t="shared" si="5"/>
        <v>20</v>
      </c>
      <c r="J10" s="243" t="s">
        <v>4773</v>
      </c>
      <c r="K10" s="82">
        <f>SUMIFS('2025-Q1'!$FP$4:$FP$448,'2025-Q1'!$FV$4:$FV$448,Expectancy!K$2,'2025-Q1'!$E$4:$E$448,Expectancy!$J10)</f>
        <v>0</v>
      </c>
      <c r="L10" s="82">
        <f>SUMIFS('2025-Q1'!$FP$4:$FP$448,'2025-Q1'!$FV$4:$FV$448,Expectancy!L$2,'2025-Q1'!$E$4:$E$448,Expectancy!$J10)</f>
        <v>4.1492378192051564</v>
      </c>
      <c r="M10" s="82">
        <f>SUMIFS('2025-Q1'!$FP$4:$FP$448,'2025-Q1'!$FV$4:$FV$448,Expectancy!M$2,'2025-Q1'!$E$4:$E$448,Expectancy!$J10)</f>
        <v>-2.3626499109026398</v>
      </c>
      <c r="N10" s="247">
        <f t="shared" si="6"/>
        <v>1.7865879083025167</v>
      </c>
      <c r="P10" s="243" t="s">
        <v>4773</v>
      </c>
      <c r="Q10" s="336">
        <f t="shared" si="7"/>
        <v>0</v>
      </c>
      <c r="R10" s="336">
        <f t="shared" si="8"/>
        <v>0.6915396365341927</v>
      </c>
      <c r="S10" s="336">
        <f t="shared" si="9"/>
        <v>-0.16876070792161713</v>
      </c>
      <c r="T10" s="248">
        <f t="shared" si="0"/>
        <v>8.9329395415125828E-2</v>
      </c>
      <c r="U10" s="249"/>
      <c r="V10" s="581"/>
      <c r="X10" s="243" t="s">
        <v>4773</v>
      </c>
      <c r="Y10" s="82">
        <f>SUMIFS('2025-Q1'!$HD$62:$HD$448,'2025-Q1'!$FV$62:$FV$448,Expectancy!K$2,'2025-Q1'!$E$62:$E$448,Expectancy!$X10)</f>
        <v>0</v>
      </c>
      <c r="Z10" s="82">
        <f>SUMIFS('2025-Q1'!$HD$62:$HD$448,'2025-Q1'!$FV$62:$FV$448,Expectancy!L$2,'2025-Q1'!$E$62:$E$448,Expectancy!$X10)</f>
        <v>6.3004464333315449</v>
      </c>
      <c r="AA10" s="82">
        <f>SUMIFS('2025-Q1'!$HD$62:$HD$448,'2025-Q1'!$FV$62:$FV$448,Expectancy!M$2,'2025-Q1'!$E$62:$E$448,Expectancy!$X10)</f>
        <v>-2.3475327883905859</v>
      </c>
      <c r="AB10" s="247">
        <f t="shared" si="10"/>
        <v>3.952913644940959</v>
      </c>
      <c r="AD10" s="243" t="s">
        <v>4773</v>
      </c>
      <c r="AE10" s="248">
        <f t="shared" si="1"/>
        <v>0</v>
      </c>
      <c r="AF10" s="248">
        <f t="shared" si="2"/>
        <v>1.0500744055552576</v>
      </c>
      <c r="AG10" s="248">
        <f t="shared" si="3"/>
        <v>-0.16768091345647043</v>
      </c>
      <c r="AH10" s="248">
        <f t="shared" si="4"/>
        <v>0.19764568224704795</v>
      </c>
    </row>
    <row r="11" spans="2:34" x14ac:dyDescent="0.25">
      <c r="B11" s="581"/>
      <c r="C11" s="250"/>
      <c r="D11" s="244" t="s">
        <v>5009</v>
      </c>
      <c r="E11" s="246">
        <f>COUNTIFS('2025-Q1'!$FV$4:$FV$448,E$2,'2025-Q1'!$J$4:$J$448,"&gt;0",'2025-Q1'!$E$4:$E$448,Expectancy!$D11)</f>
        <v>10</v>
      </c>
      <c r="F11" s="246">
        <f>COUNTIFS('2025-Q1'!$FV$4:$FV$448,F$2,'2025-Q1'!$J$4:$J$448,"&gt;0",'2025-Q1'!$E$4:$E$448,Expectancy!$D11)</f>
        <v>11</v>
      </c>
      <c r="G11" s="246">
        <f>COUNTIFS('2025-Q1'!$FV$4:$FV$448,G$2,'2025-Q1'!$J$4:$J$448,"&gt;0",'2025-Q1'!$E$4:$E$448,Expectancy!$D11)</f>
        <v>23</v>
      </c>
      <c r="H11" s="245">
        <f t="shared" si="5"/>
        <v>44</v>
      </c>
      <c r="J11" s="244" t="s">
        <v>5009</v>
      </c>
      <c r="K11" s="82">
        <f>SUMIFS('2025-Q1'!$FP$4:$FP$448,'2025-Q1'!$FV$4:$FV$448,Expectancy!K$2,'2025-Q1'!$E$4:$E$448,Expectancy!$J11)</f>
        <v>10.051961559281768</v>
      </c>
      <c r="L11" s="82">
        <f>SUMIFS('2025-Q1'!$FP$4:$FP$448,'2025-Q1'!$FV$4:$FV$448,Expectancy!L$2,'2025-Q1'!$E$4:$E$448,Expectancy!$J11)</f>
        <v>8.6506567900704763</v>
      </c>
      <c r="M11" s="82">
        <f>SUMIFS('2025-Q1'!$FP$4:$FP$448,'2025-Q1'!$FV$4:$FV$448,Expectancy!M$2,'2025-Q1'!$E$4:$E$448,Expectancy!$J11)</f>
        <v>6.3805704237662662</v>
      </c>
      <c r="N11" s="247">
        <f t="shared" si="6"/>
        <v>25.083188773118508</v>
      </c>
      <c r="P11" s="244" t="s">
        <v>5009</v>
      </c>
      <c r="Q11" s="336">
        <f t="shared" si="7"/>
        <v>1.0051961559281768</v>
      </c>
      <c r="R11" s="336">
        <f t="shared" si="8"/>
        <v>0.78642334455186147</v>
      </c>
      <c r="S11" s="336">
        <f t="shared" si="9"/>
        <v>0.27741610538114203</v>
      </c>
      <c r="T11" s="248">
        <f t="shared" si="0"/>
        <v>0.57007247211632972</v>
      </c>
      <c r="U11" s="249"/>
      <c r="V11" s="581"/>
      <c r="X11" s="244" t="s">
        <v>5009</v>
      </c>
      <c r="Y11" s="82">
        <f>SUMIFS('2025-Q1'!$HD$62:$HD$448,'2025-Q1'!$FV$62:$FV$448,Expectancy!K$2,'2025-Q1'!$E$62:$E$448,Expectancy!$X11)</f>
        <v>7.814200298142703</v>
      </c>
      <c r="Z11" s="82">
        <f>SUMIFS('2025-Q1'!$HD$62:$HD$448,'2025-Q1'!$FV$62:$FV$448,Expectancy!L$2,'2025-Q1'!$E$62:$E$448,Expectancy!$X11)</f>
        <v>6.1411281703768186</v>
      </c>
      <c r="AA11" s="82">
        <f>SUMIFS('2025-Q1'!$HD$62:$HD$448,'2025-Q1'!$FV$62:$FV$448,Expectancy!M$2,'2025-Q1'!$E$62:$E$448,Expectancy!$X11)</f>
        <v>7.5822075067117174</v>
      </c>
      <c r="AB11" s="247">
        <f t="shared" si="10"/>
        <v>21.53753597523124</v>
      </c>
      <c r="AD11" s="244" t="s">
        <v>5009</v>
      </c>
      <c r="AE11" s="248">
        <f t="shared" si="1"/>
        <v>0.78142002981427028</v>
      </c>
      <c r="AF11" s="248">
        <f t="shared" si="2"/>
        <v>0.55828437912516538</v>
      </c>
      <c r="AG11" s="248">
        <f t="shared" si="3"/>
        <v>0.32966119594398774</v>
      </c>
      <c r="AH11" s="248">
        <f t="shared" si="4"/>
        <v>0.48948945398252819</v>
      </c>
    </row>
    <row r="12" spans="2:34" x14ac:dyDescent="0.25">
      <c r="B12" s="581"/>
      <c r="C12" s="250"/>
      <c r="D12" s="243" t="s">
        <v>4719</v>
      </c>
      <c r="E12" s="246">
        <f>COUNTIFS('2025-Q1'!$FV$4:$FV$448,E$2,'2025-Q1'!$J$4:$J$448,"&gt;0",'2025-Q1'!$E$4:$E$448,Expectancy!$D12)</f>
        <v>6</v>
      </c>
      <c r="F12" s="246">
        <f>COUNTIFS('2025-Q1'!$FV$4:$FV$448,F$2,'2025-Q1'!$J$4:$J$448,"&gt;0",'2025-Q1'!$E$4:$E$448,Expectancy!$D12)</f>
        <v>5</v>
      </c>
      <c r="G12" s="246">
        <f>COUNTIFS('2025-Q1'!$FV$4:$FV$448,G$2,'2025-Q1'!$J$4:$J$448,"&gt;0",'2025-Q1'!$E$4:$E$448,Expectancy!$D12)</f>
        <v>6</v>
      </c>
      <c r="H12" s="245">
        <f t="shared" si="5"/>
        <v>17</v>
      </c>
      <c r="J12" s="243" t="s">
        <v>4719</v>
      </c>
      <c r="K12" s="82">
        <f>SUMIFS('2025-Q1'!$FP$4:$FP$448,'2025-Q1'!$FV$4:$FV$448,Expectancy!K$2,'2025-Q1'!$E$4:$E$448,Expectancy!$J12)</f>
        <v>2.6115886120781622</v>
      </c>
      <c r="L12" s="82">
        <f>SUMIFS('2025-Q1'!$FP$4:$FP$448,'2025-Q1'!$FV$4:$FV$448,Expectancy!L$2,'2025-Q1'!$E$4:$E$448,Expectancy!$J12)</f>
        <v>-0.20019456907279976</v>
      </c>
      <c r="M12" s="82">
        <f>SUMIFS('2025-Q1'!$FP$4:$FP$448,'2025-Q1'!$FV$4:$FV$448,Expectancy!M$2,'2025-Q1'!$E$4:$E$448,Expectancy!$J12)</f>
        <v>4.2117425436460163</v>
      </c>
      <c r="N12" s="247">
        <f t="shared" si="6"/>
        <v>6.6231365866513787</v>
      </c>
      <c r="P12" s="243" t="s">
        <v>4719</v>
      </c>
      <c r="Q12" s="336">
        <f t="shared" si="7"/>
        <v>0.43526476867969371</v>
      </c>
      <c r="R12" s="336">
        <f t="shared" si="8"/>
        <v>-4.003891381455995E-2</v>
      </c>
      <c r="S12" s="336">
        <f t="shared" si="9"/>
        <v>0.70195709060766942</v>
      </c>
      <c r="T12" s="248">
        <f t="shared" si="0"/>
        <v>0.38959626980302225</v>
      </c>
      <c r="U12" s="249"/>
      <c r="V12" s="581"/>
      <c r="X12" s="243" t="s">
        <v>4719</v>
      </c>
      <c r="Y12" s="82">
        <f>SUMIFS('2025-Q1'!$HD$62:$HD$448,'2025-Q1'!$FV$62:$FV$448,Expectancy!K$2,'2025-Q1'!$E$62:$E$448,Expectancy!$X12)</f>
        <v>2.4317970832770723</v>
      </c>
      <c r="Z12" s="82">
        <f>SUMIFS('2025-Q1'!$HD$62:$HD$448,'2025-Q1'!$FV$62:$FV$448,Expectancy!L$2,'2025-Q1'!$E$62:$E$448,Expectancy!$X12)</f>
        <v>0.21175433449301792</v>
      </c>
      <c r="AA12" s="82">
        <f>SUMIFS('2025-Q1'!$HD$62:$HD$448,'2025-Q1'!$FV$62:$FV$448,Expectancy!M$2,'2025-Q1'!$E$62:$E$448,Expectancy!$X12)</f>
        <v>1.422013542948485</v>
      </c>
      <c r="AB12" s="247">
        <f t="shared" si="10"/>
        <v>4.0655649607185751</v>
      </c>
      <c r="AD12" s="243" t="s">
        <v>4719</v>
      </c>
      <c r="AE12" s="248">
        <f t="shared" si="1"/>
        <v>0.40529951387951207</v>
      </c>
      <c r="AF12" s="248">
        <f t="shared" si="2"/>
        <v>4.2350866898603581E-2</v>
      </c>
      <c r="AG12" s="248">
        <f t="shared" si="3"/>
        <v>0.23700225715808085</v>
      </c>
      <c r="AH12" s="248">
        <f t="shared" si="4"/>
        <v>0.23915088004226912</v>
      </c>
    </row>
    <row r="13" spans="2:34" x14ac:dyDescent="0.25">
      <c r="B13" s="581"/>
      <c r="C13" s="250"/>
      <c r="D13" s="244" t="s">
        <v>4722</v>
      </c>
      <c r="E13" s="246">
        <f>COUNTIFS('2025-Q1'!$FV$4:$FV$448,E$2,'2025-Q1'!$J$4:$J$448,"&gt;0",'2025-Q1'!$E$4:$E$448,Expectancy!$D13)</f>
        <v>15</v>
      </c>
      <c r="F13" s="246">
        <f>COUNTIFS('2025-Q1'!$FV$4:$FV$448,F$2,'2025-Q1'!$J$4:$J$448,"&gt;0",'2025-Q1'!$E$4:$E$448,Expectancy!$D13)</f>
        <v>15</v>
      </c>
      <c r="G13" s="246">
        <f>COUNTIFS('2025-Q1'!$FV$4:$FV$448,G$2,'2025-Q1'!$J$4:$J$448,"&gt;0",'2025-Q1'!$E$4:$E$448,Expectancy!$D13)</f>
        <v>38</v>
      </c>
      <c r="H13" s="245">
        <f t="shared" si="5"/>
        <v>68</v>
      </c>
      <c r="J13" s="244" t="s">
        <v>4722</v>
      </c>
      <c r="K13" s="82">
        <f>SUMIFS('2025-Q1'!$FP$4:$FP$448,'2025-Q1'!$FV$4:$FV$448,Expectancy!K$2,'2025-Q1'!$E$4:$E$448,Expectancy!$J13)</f>
        <v>-0.62643715183132365</v>
      </c>
      <c r="L13" s="82">
        <f>SUMIFS('2025-Q1'!$FP$4:$FP$448,'2025-Q1'!$FV$4:$FV$448,Expectancy!L$2,'2025-Q1'!$E$4:$E$448,Expectancy!$J13)</f>
        <v>4.6767045372818759</v>
      </c>
      <c r="M13" s="82">
        <f>SUMIFS('2025-Q1'!$FP$4:$FP$448,'2025-Q1'!$FV$4:$FV$448,Expectancy!M$2,'2025-Q1'!$E$4:$E$448,Expectancy!$J13)</f>
        <v>0.91479376456459427</v>
      </c>
      <c r="N13" s="247">
        <f t="shared" si="6"/>
        <v>4.9650611500151465</v>
      </c>
      <c r="P13" s="244" t="s">
        <v>4722</v>
      </c>
      <c r="Q13" s="336">
        <f t="shared" si="7"/>
        <v>-4.1762476788754908E-2</v>
      </c>
      <c r="R13" s="336">
        <f t="shared" si="8"/>
        <v>0.3117803024854584</v>
      </c>
      <c r="S13" s="336">
        <f t="shared" si="9"/>
        <v>2.40735201201209E-2</v>
      </c>
      <c r="T13" s="248">
        <f t="shared" si="0"/>
        <v>7.3015605147281559E-2</v>
      </c>
      <c r="U13" s="249"/>
      <c r="V13" s="581"/>
      <c r="X13" s="244" t="s">
        <v>4722</v>
      </c>
      <c r="Y13" s="82">
        <f>SUMIFS('2025-Q1'!$HD$62:$HD$448,'2025-Q1'!$FV$62:$FV$448,Expectancy!K$2,'2025-Q1'!$E$62:$E$448,Expectancy!$X13)</f>
        <v>-4.9397321683959543</v>
      </c>
      <c r="Z13" s="82">
        <f>SUMIFS('2025-Q1'!$HD$62:$HD$448,'2025-Q1'!$FV$62:$FV$448,Expectancy!L$2,'2025-Q1'!$E$62:$E$448,Expectancy!$X13)</f>
        <v>4.5663373460185381</v>
      </c>
      <c r="AA13" s="82">
        <f>SUMIFS('2025-Q1'!$HD$62:$HD$448,'2025-Q1'!$FV$62:$FV$448,Expectancy!M$2,'2025-Q1'!$E$62:$E$448,Expectancy!$X13)</f>
        <v>3.8176013305374314</v>
      </c>
      <c r="AB13" s="247">
        <f t="shared" si="10"/>
        <v>3.4442065081600153</v>
      </c>
      <c r="AD13" s="244" t="s">
        <v>4722</v>
      </c>
      <c r="AE13" s="248">
        <f t="shared" si="1"/>
        <v>-0.32931547789306365</v>
      </c>
      <c r="AF13" s="248">
        <f t="shared" si="2"/>
        <v>0.3044224897345692</v>
      </c>
      <c r="AG13" s="248">
        <f t="shared" si="3"/>
        <v>0.10046319290887977</v>
      </c>
      <c r="AH13" s="248">
        <f t="shared" si="4"/>
        <v>5.0650095708235518E-2</v>
      </c>
    </row>
    <row r="14" spans="2:34" x14ac:dyDescent="0.25">
      <c r="B14" s="581"/>
      <c r="C14" s="250"/>
      <c r="D14" s="243" t="s">
        <v>4727</v>
      </c>
      <c r="E14" s="246">
        <f>COUNTIFS('2025-Q1'!$FV$4:$FV$448,E$2,'2025-Q1'!$J$4:$J$448,"&gt;0",'2025-Q1'!$E$4:$E$448,Expectancy!$D14)</f>
        <v>13</v>
      </c>
      <c r="F14" s="246">
        <f>COUNTIFS('2025-Q1'!$FV$4:$FV$448,F$2,'2025-Q1'!$J$4:$J$448,"&gt;0",'2025-Q1'!$E$4:$E$448,Expectancy!$D14)</f>
        <v>13</v>
      </c>
      <c r="G14" s="246">
        <f>COUNTIFS('2025-Q1'!$FV$4:$FV$448,G$2,'2025-Q1'!$J$4:$J$448,"&gt;0",'2025-Q1'!$E$4:$E$448,Expectancy!$D14)</f>
        <v>29</v>
      </c>
      <c r="H14" s="245">
        <f t="shared" si="5"/>
        <v>55</v>
      </c>
      <c r="J14" s="243" t="s">
        <v>4727</v>
      </c>
      <c r="K14" s="82">
        <f>SUMIFS('2025-Q1'!$FP$4:$FP$448,'2025-Q1'!$FV$4:$FV$448,Expectancy!K$2,'2025-Q1'!$E$4:$E$448,Expectancy!$J14)</f>
        <v>-5.9168351839981597</v>
      </c>
      <c r="L14" s="82">
        <f>SUMIFS('2025-Q1'!$FP$4:$FP$448,'2025-Q1'!$FV$4:$FV$448,Expectancy!L$2,'2025-Q1'!$E$4:$E$448,Expectancy!$J14)</f>
        <v>2.469714805333544</v>
      </c>
      <c r="M14" s="82">
        <f>SUMIFS('2025-Q1'!$FP$4:$FP$448,'2025-Q1'!$FV$4:$FV$448,Expectancy!M$2,'2025-Q1'!$E$4:$E$448,Expectancy!$J14)</f>
        <v>-4.3745776959761056</v>
      </c>
      <c r="N14" s="247">
        <f t="shared" si="6"/>
        <v>-7.8216980746407216</v>
      </c>
      <c r="P14" s="243" t="s">
        <v>4727</v>
      </c>
      <c r="Q14" s="336">
        <f t="shared" si="7"/>
        <v>-0.45514116799985843</v>
      </c>
      <c r="R14" s="336">
        <f t="shared" si="8"/>
        <v>0.18997806194873415</v>
      </c>
      <c r="S14" s="336">
        <f t="shared" si="9"/>
        <v>-0.15084750675779673</v>
      </c>
      <c r="T14" s="248">
        <f t="shared" si="0"/>
        <v>-0.14221269226619493</v>
      </c>
      <c r="U14" s="249"/>
      <c r="V14" s="581"/>
      <c r="X14" s="243" t="s">
        <v>4727</v>
      </c>
      <c r="Y14" s="82">
        <f>SUMIFS('2025-Q1'!$HD$62:$HD$448,'2025-Q1'!$FV$62:$FV$448,Expectancy!K$2,'2025-Q1'!$E$62:$E$448,Expectancy!$X14)</f>
        <v>-3.7330942579644333</v>
      </c>
      <c r="Z14" s="82">
        <f>SUMIFS('2025-Q1'!$HD$62:$HD$448,'2025-Q1'!$FV$62:$FV$448,Expectancy!L$2,'2025-Q1'!$E$62:$E$448,Expectancy!$X14)</f>
        <v>-1.1901585085133619</v>
      </c>
      <c r="AA14" s="82">
        <f>SUMIFS('2025-Q1'!$HD$62:$HD$448,'2025-Q1'!$FV$62:$FV$448,Expectancy!M$2,'2025-Q1'!$E$62:$E$448,Expectancy!$X14)</f>
        <v>-5.770451359579754</v>
      </c>
      <c r="AB14" s="247">
        <f t="shared" si="10"/>
        <v>-10.693704126057549</v>
      </c>
      <c r="AD14" s="243" t="s">
        <v>4727</v>
      </c>
      <c r="AE14" s="248">
        <f t="shared" si="1"/>
        <v>-0.28716109676649487</v>
      </c>
      <c r="AF14" s="248">
        <f t="shared" si="2"/>
        <v>-9.1550654501027839E-2</v>
      </c>
      <c r="AG14" s="248">
        <f t="shared" si="3"/>
        <v>-0.1989810813648191</v>
      </c>
      <c r="AH14" s="248">
        <f t="shared" si="4"/>
        <v>-0.19443098411013726</v>
      </c>
    </row>
    <row r="15" spans="2:34" x14ac:dyDescent="0.25">
      <c r="B15" s="581"/>
      <c r="C15" s="250"/>
      <c r="D15" s="244" t="s">
        <v>4774</v>
      </c>
      <c r="E15" s="246">
        <f>COUNTIFS('2025-Q1'!$FV$4:$FV$448,E$2,'2025-Q1'!$J$4:$J$448,"&gt;0",'2025-Q1'!$E$4:$E$448,Expectancy!$D15)</f>
        <v>0</v>
      </c>
      <c r="F15" s="246">
        <f>COUNTIFS('2025-Q1'!$FV$4:$FV$448,F$2,'2025-Q1'!$J$4:$J$448,"&gt;0",'2025-Q1'!$E$4:$E$448,Expectancy!$D15)</f>
        <v>3</v>
      </c>
      <c r="G15" s="246">
        <f>COUNTIFS('2025-Q1'!$FV$4:$FV$448,G$2,'2025-Q1'!$J$4:$J$448,"&gt;0",'2025-Q1'!$E$4:$E$448,Expectancy!$D15)</f>
        <v>2</v>
      </c>
      <c r="H15" s="245">
        <f t="shared" si="5"/>
        <v>5</v>
      </c>
      <c r="J15" s="244" t="s">
        <v>4774</v>
      </c>
      <c r="K15" s="82">
        <f>SUMIFS('2025-Q1'!$FP$4:$FP$448,'2025-Q1'!$FV$4:$FV$448,Expectancy!K$2,'2025-Q1'!$E$4:$E$448,Expectancy!$J15)</f>
        <v>0</v>
      </c>
      <c r="L15" s="82">
        <f>SUMIFS('2025-Q1'!$FP$4:$FP$448,'2025-Q1'!$FV$4:$FV$448,Expectancy!L$2,'2025-Q1'!$E$4:$E$448,Expectancy!$J15)</f>
        <v>1.5298088040866509</v>
      </c>
      <c r="M15" s="82">
        <f>SUMIFS('2025-Q1'!$FP$4:$FP$448,'2025-Q1'!$FV$4:$FV$448,Expectancy!M$2,'2025-Q1'!$E$4:$E$448,Expectancy!$J15)</f>
        <v>-0.5783025919629613</v>
      </c>
      <c r="N15" s="247">
        <f t="shared" si="6"/>
        <v>0.95150621212368958</v>
      </c>
      <c r="P15" s="244" t="s">
        <v>4774</v>
      </c>
      <c r="Q15" s="336">
        <f t="shared" si="7"/>
        <v>0</v>
      </c>
      <c r="R15" s="336">
        <f t="shared" si="8"/>
        <v>0.50993626802888359</v>
      </c>
      <c r="S15" s="336">
        <f t="shared" si="9"/>
        <v>-0.28915129598148065</v>
      </c>
      <c r="T15" s="248">
        <f t="shared" si="0"/>
        <v>0.19030124242473792</v>
      </c>
      <c r="U15" s="249"/>
      <c r="V15" s="581"/>
      <c r="X15" s="244" t="s">
        <v>4774</v>
      </c>
      <c r="Y15" s="82">
        <f>SUMIFS('2025-Q1'!$HD$62:$HD$448,'2025-Q1'!$FV$62:$FV$448,Expectancy!K$2,'2025-Q1'!$E$62:$E$448,Expectancy!$X15)</f>
        <v>0</v>
      </c>
      <c r="Z15" s="82">
        <f>SUMIFS('2025-Q1'!$HD$62:$HD$448,'2025-Q1'!$FV$62:$FV$448,Expectancy!L$2,'2025-Q1'!$E$62:$E$448,Expectancy!$X15)</f>
        <v>1.3317791336767084</v>
      </c>
      <c r="AA15" s="82">
        <f>SUMIFS('2025-Q1'!$HD$62:$HD$448,'2025-Q1'!$FV$62:$FV$448,Expectancy!M$2,'2025-Q1'!$E$62:$E$448,Expectancy!$X15)</f>
        <v>-1.1107682813946296</v>
      </c>
      <c r="AB15" s="247">
        <f t="shared" si="10"/>
        <v>0.22101085228207884</v>
      </c>
      <c r="AD15" s="244" t="s">
        <v>4774</v>
      </c>
      <c r="AE15" s="248">
        <f t="shared" si="1"/>
        <v>0</v>
      </c>
      <c r="AF15" s="248">
        <f t="shared" si="2"/>
        <v>0.44392637789223616</v>
      </c>
      <c r="AG15" s="248">
        <f t="shared" si="3"/>
        <v>-0.55538414069731479</v>
      </c>
      <c r="AH15" s="248">
        <f t="shared" si="4"/>
        <v>4.4202170456415765E-2</v>
      </c>
    </row>
    <row r="16" spans="2:34" x14ac:dyDescent="0.25">
      <c r="B16" s="581"/>
      <c r="C16" s="250"/>
      <c r="D16" s="243" t="s">
        <v>4718</v>
      </c>
      <c r="E16" s="246">
        <f>COUNTIFS('2025-Q1'!$FV$4:$FV$448,E$2,'2025-Q1'!$J$4:$J$448,"&gt;0",'2025-Q1'!$E$4:$E$448,Expectancy!$D16)</f>
        <v>2</v>
      </c>
      <c r="F16" s="246">
        <f>COUNTIFS('2025-Q1'!$FV$4:$FV$448,F$2,'2025-Q1'!$J$4:$J$448,"&gt;0",'2025-Q1'!$E$4:$E$448,Expectancy!$D16)</f>
        <v>14</v>
      </c>
      <c r="G16" s="246">
        <f>COUNTIFS('2025-Q1'!$FV$4:$FV$448,G$2,'2025-Q1'!$J$4:$J$448,"&gt;0",'2025-Q1'!$E$4:$E$448,Expectancy!$D16)</f>
        <v>10</v>
      </c>
      <c r="H16" s="245">
        <f t="shared" si="5"/>
        <v>26</v>
      </c>
      <c r="J16" s="243" t="s">
        <v>4718</v>
      </c>
      <c r="K16" s="82">
        <f>SUMIFS('2025-Q1'!$FP$4:$FP$448,'2025-Q1'!$FV$4:$FV$448,Expectancy!K$2,'2025-Q1'!$E$4:$E$448,Expectancy!$J16)</f>
        <v>-0.22637638730132514</v>
      </c>
      <c r="L16" s="82">
        <f>SUMIFS('2025-Q1'!$FP$4:$FP$448,'2025-Q1'!$FV$4:$FV$448,Expectancy!L$2,'2025-Q1'!$E$4:$E$448,Expectancy!$J16)</f>
        <v>10.294176100986492</v>
      </c>
      <c r="M16" s="82">
        <f>SUMIFS('2025-Q1'!$FP$4:$FP$448,'2025-Q1'!$FV$4:$FV$448,Expectancy!M$2,'2025-Q1'!$E$4:$E$448,Expectancy!$J16)</f>
        <v>-2.2212962098938482</v>
      </c>
      <c r="N16" s="247">
        <f t="shared" si="6"/>
        <v>7.8465035037913182</v>
      </c>
      <c r="P16" s="243" t="s">
        <v>4718</v>
      </c>
      <c r="Q16" s="336">
        <f t="shared" si="7"/>
        <v>-0.11318819365066257</v>
      </c>
      <c r="R16" s="336">
        <f t="shared" si="8"/>
        <v>0.73529829292760662</v>
      </c>
      <c r="S16" s="336">
        <f t="shared" si="9"/>
        <v>-0.22212962098938482</v>
      </c>
      <c r="T16" s="248">
        <f t="shared" si="0"/>
        <v>0.30178859629966609</v>
      </c>
      <c r="U16" s="249"/>
      <c r="V16" s="581"/>
      <c r="X16" s="243" t="s">
        <v>4718</v>
      </c>
      <c r="Y16" s="82">
        <f>SUMIFS('2025-Q1'!$HD$62:$HD$448,'2025-Q1'!$FV$62:$FV$448,Expectancy!K$2,'2025-Q1'!$E$62:$E$448,Expectancy!$X16)</f>
        <v>0.2080958065011573</v>
      </c>
      <c r="Z16" s="82">
        <f>SUMIFS('2025-Q1'!$HD$62:$HD$448,'2025-Q1'!$FV$62:$FV$448,Expectancy!L$2,'2025-Q1'!$E$62:$E$448,Expectancy!$X16)</f>
        <v>7.0145590419926025</v>
      </c>
      <c r="AA16" s="82">
        <f>SUMIFS('2025-Q1'!$HD$62:$HD$448,'2025-Q1'!$FV$62:$FV$448,Expectancy!M$2,'2025-Q1'!$E$62:$E$448,Expectancy!$X16)</f>
        <v>-1.8730162245302568</v>
      </c>
      <c r="AB16" s="247">
        <f t="shared" si="10"/>
        <v>5.3496386239635036</v>
      </c>
      <c r="AD16" s="243" t="s">
        <v>4718</v>
      </c>
      <c r="AE16" s="248">
        <f t="shared" si="1"/>
        <v>0.10404790325057865</v>
      </c>
      <c r="AF16" s="248">
        <f t="shared" si="2"/>
        <v>0.50103993157090021</v>
      </c>
      <c r="AG16" s="248">
        <f t="shared" si="3"/>
        <v>-0.18730162245302567</v>
      </c>
      <c r="AH16" s="248">
        <f t="shared" si="4"/>
        <v>0.20575533169090399</v>
      </c>
    </row>
    <row r="17" spans="2:34" x14ac:dyDescent="0.25">
      <c r="B17" s="581"/>
      <c r="C17" s="250"/>
      <c r="D17" s="244" t="s">
        <v>4720</v>
      </c>
      <c r="E17" s="246">
        <f>COUNTIFS('2025-Q1'!$FV$4:$FV$448,E$2,'2025-Q1'!$J$4:$J$448,"&gt;0",'2025-Q1'!$E$4:$E$448,Expectancy!$D17)</f>
        <v>2</v>
      </c>
      <c r="F17" s="246">
        <f>COUNTIFS('2025-Q1'!$FV$4:$FV$448,F$2,'2025-Q1'!$J$4:$J$448,"&gt;0",'2025-Q1'!$E$4:$E$448,Expectancy!$D17)</f>
        <v>5</v>
      </c>
      <c r="G17" s="246">
        <f>COUNTIFS('2025-Q1'!$FV$4:$FV$448,G$2,'2025-Q1'!$J$4:$J$448,"&gt;0",'2025-Q1'!$E$4:$E$448,Expectancy!$D17)</f>
        <v>6</v>
      </c>
      <c r="H17" s="245">
        <f t="shared" si="5"/>
        <v>13</v>
      </c>
      <c r="J17" s="244" t="s">
        <v>4720</v>
      </c>
      <c r="K17" s="82">
        <f>SUMIFS('2025-Q1'!$FP$4:$FP$448,'2025-Q1'!$FV$4:$FV$448,Expectancy!K$2,'2025-Q1'!$E$4:$E$448,Expectancy!$J17)</f>
        <v>0.92932453037648144</v>
      </c>
      <c r="L17" s="82">
        <f>SUMIFS('2025-Q1'!$FP$4:$FP$448,'2025-Q1'!$FV$4:$FV$448,Expectancy!L$2,'2025-Q1'!$E$4:$E$448,Expectancy!$J17)</f>
        <v>-0.16078221465008982</v>
      </c>
      <c r="M17" s="82">
        <f>SUMIFS('2025-Q1'!$FP$4:$FP$448,'2025-Q1'!$FV$4:$FV$448,Expectancy!M$2,'2025-Q1'!$E$4:$E$448,Expectancy!$J17)</f>
        <v>-0.86085768173472643</v>
      </c>
      <c r="N17" s="247">
        <f t="shared" si="6"/>
        <v>-9.2315366008334787E-2</v>
      </c>
      <c r="P17" s="244" t="s">
        <v>4720</v>
      </c>
      <c r="Q17" s="336">
        <f t="shared" si="7"/>
        <v>0.46466226518824072</v>
      </c>
      <c r="R17" s="336">
        <f t="shared" si="8"/>
        <v>-3.2156442930017966E-2</v>
      </c>
      <c r="S17" s="336">
        <f t="shared" si="9"/>
        <v>-0.14347628028912107</v>
      </c>
      <c r="T17" s="248">
        <f t="shared" si="0"/>
        <v>-7.1011820006411375E-3</v>
      </c>
      <c r="U17" s="249"/>
      <c r="V17" s="581"/>
      <c r="X17" s="244" t="s">
        <v>4720</v>
      </c>
      <c r="Y17" s="82">
        <f>SUMIFS('2025-Q1'!$HD$62:$HD$448,'2025-Q1'!$FV$62:$FV$448,Expectancy!K$2,'2025-Q1'!$E$62:$E$448,Expectancy!$X17)</f>
        <v>0.89195532260368471</v>
      </c>
      <c r="Z17" s="82">
        <f>SUMIFS('2025-Q1'!$HD$62:$HD$448,'2025-Q1'!$FV$62:$FV$448,Expectancy!L$2,'2025-Q1'!$E$62:$E$448,Expectancy!$X17)</f>
        <v>4.1529061402279147E-2</v>
      </c>
      <c r="AA17" s="82">
        <f>SUMIFS('2025-Q1'!$HD$62:$HD$448,'2025-Q1'!$FV$62:$FV$448,Expectancy!M$2,'2025-Q1'!$E$62:$E$448,Expectancy!$X17)</f>
        <v>-1.0124467085683291</v>
      </c>
      <c r="AB17" s="247">
        <f t="shared" si="10"/>
        <v>-7.8962324562365183E-2</v>
      </c>
      <c r="AD17" s="244" t="s">
        <v>4720</v>
      </c>
      <c r="AE17" s="248">
        <f t="shared" si="1"/>
        <v>0.44597766130184235</v>
      </c>
      <c r="AF17" s="248">
        <f t="shared" si="2"/>
        <v>8.3058122804558297E-3</v>
      </c>
      <c r="AG17" s="248">
        <f t="shared" si="3"/>
        <v>-0.1687411180947215</v>
      </c>
      <c r="AH17" s="248">
        <f t="shared" si="4"/>
        <v>-6.074024966335783E-3</v>
      </c>
    </row>
    <row r="18" spans="2:34" x14ac:dyDescent="0.25">
      <c r="B18" s="581"/>
      <c r="C18" s="250"/>
      <c r="D18" s="406" t="s">
        <v>4726</v>
      </c>
      <c r="E18" s="407">
        <f>COUNTIFS('2025-Q1'!$FV$4:$FV$448,E$2,'2025-Q1'!$J$4:$J$448,"&gt;0",'2025-Q1'!$E$4:$E$448,Expectancy!$D18)</f>
        <v>0</v>
      </c>
      <c r="F18" s="407">
        <f>COUNTIFS('2025-Q1'!$FV$4:$FV$448,F$2,'2025-Q1'!$J$4:$J$448,"&gt;0",'2025-Q1'!$E$4:$E$448,Expectancy!$D18)</f>
        <v>0</v>
      </c>
      <c r="G18" s="407">
        <f>COUNTIFS('2025-Q1'!$FV$4:$FV$448,G$2,'2025-Q1'!$J$4:$J$448,"&gt;0",'2025-Q1'!$E$4:$E$448,Expectancy!$D18)</f>
        <v>0</v>
      </c>
      <c r="H18" s="408">
        <f t="shared" si="5"/>
        <v>0</v>
      </c>
      <c r="J18" s="406" t="s">
        <v>4726</v>
      </c>
      <c r="K18" s="409">
        <f>SUMIFS('2025-Q1'!$FP$4:$FP$448,'2025-Q1'!$FV$4:$FV$448,Expectancy!K$2,'2025-Q1'!$E$4:$E$448,Expectancy!$J18)</f>
        <v>0</v>
      </c>
      <c r="L18" s="409">
        <f>SUMIFS('2025-Q1'!$FP$4:$FP$448,'2025-Q1'!$FV$4:$FV$448,Expectancy!L$2,'2025-Q1'!$E$4:$E$448,Expectancy!$J18)</f>
        <v>0</v>
      </c>
      <c r="M18" s="409">
        <f>SUMIFS('2025-Q1'!$FP$4:$FP$448,'2025-Q1'!$FV$4:$FV$448,Expectancy!M$2,'2025-Q1'!$E$4:$E$448,Expectancy!$J18)</f>
        <v>0</v>
      </c>
      <c r="N18" s="410">
        <f t="shared" si="6"/>
        <v>0</v>
      </c>
      <c r="P18" s="406" t="s">
        <v>4726</v>
      </c>
      <c r="Q18" s="411">
        <f t="shared" si="7"/>
        <v>0</v>
      </c>
      <c r="R18" s="411">
        <f t="shared" si="8"/>
        <v>0</v>
      </c>
      <c r="S18" s="411">
        <f t="shared" si="9"/>
        <v>0</v>
      </c>
      <c r="T18" s="412">
        <f t="shared" si="0"/>
        <v>0</v>
      </c>
      <c r="U18" s="249"/>
      <c r="V18" s="581"/>
      <c r="X18" s="406" t="s">
        <v>4726</v>
      </c>
      <c r="Y18" s="409">
        <f>SUMIFS('2025-Q1'!$HD$62:$HD$448,'2025-Q1'!$FV$62:$FV$448,Expectancy!K$2,'2025-Q1'!$E$62:$E$448,Expectancy!$X18)</f>
        <v>0</v>
      </c>
      <c r="Z18" s="409">
        <f>SUMIFS('2025-Q1'!$HD$62:$HD$448,'2025-Q1'!$FV$62:$FV$448,Expectancy!L$2,'2025-Q1'!$E$62:$E$448,Expectancy!$X18)</f>
        <v>0</v>
      </c>
      <c r="AA18" s="409">
        <f>SUMIFS('2025-Q1'!$HD$62:$HD$448,'2025-Q1'!$FV$62:$FV$448,Expectancy!M$2,'2025-Q1'!$E$62:$E$448,Expectancy!$X18)</f>
        <v>0</v>
      </c>
      <c r="AB18" s="410">
        <f t="shared" si="10"/>
        <v>0</v>
      </c>
      <c r="AD18" s="406" t="s">
        <v>4726</v>
      </c>
      <c r="AE18" s="412">
        <f t="shared" si="1"/>
        <v>0</v>
      </c>
      <c r="AF18" s="412">
        <f t="shared" si="2"/>
        <v>0</v>
      </c>
      <c r="AG18" s="412">
        <f t="shared" si="3"/>
        <v>0</v>
      </c>
      <c r="AH18" s="412">
        <f t="shared" si="4"/>
        <v>0</v>
      </c>
    </row>
    <row r="19" spans="2:34" x14ac:dyDescent="0.25">
      <c r="B19" s="581"/>
      <c r="C19" s="250"/>
      <c r="D19" s="406" t="s">
        <v>4725</v>
      </c>
      <c r="E19" s="407">
        <f>COUNTIFS('2025-Q1'!$FV$4:$FV$448,E$2,'2025-Q1'!$J$4:$J$448,"&gt;0",'2025-Q1'!$E$4:$E$448,Expectancy!$D19)</f>
        <v>0</v>
      </c>
      <c r="F19" s="407">
        <f>COUNTIFS('2025-Q1'!$FV$4:$FV$448,F$2,'2025-Q1'!$J$4:$J$448,"&gt;0",'2025-Q1'!$E$4:$E$448,Expectancy!$D19)</f>
        <v>0</v>
      </c>
      <c r="G19" s="407">
        <f>COUNTIFS('2025-Q1'!$FV$4:$FV$448,G$2,'2025-Q1'!$J$4:$J$448,"&gt;0",'2025-Q1'!$E$4:$E$448,Expectancy!$D19)</f>
        <v>0</v>
      </c>
      <c r="H19" s="408">
        <f t="shared" si="5"/>
        <v>0</v>
      </c>
      <c r="J19" s="406" t="s">
        <v>4725</v>
      </c>
      <c r="K19" s="409">
        <f>SUMIFS('2025-Q1'!$FP$4:$FP$448,'2025-Q1'!$FV$4:$FV$448,Expectancy!K$2,'2025-Q1'!$E$4:$E$448,Expectancy!$J19)</f>
        <v>0</v>
      </c>
      <c r="L19" s="409">
        <f>SUMIFS('2025-Q1'!$FP$4:$FP$448,'2025-Q1'!$FV$4:$FV$448,Expectancy!L$2,'2025-Q1'!$E$4:$E$448,Expectancy!$J19)</f>
        <v>0</v>
      </c>
      <c r="M19" s="409">
        <f>SUMIFS('2025-Q1'!$FP$4:$FP$448,'2025-Q1'!$FV$4:$FV$448,Expectancy!M$2,'2025-Q1'!$E$4:$E$448,Expectancy!$J19)</f>
        <v>0</v>
      </c>
      <c r="N19" s="410">
        <f t="shared" si="6"/>
        <v>0</v>
      </c>
      <c r="P19" s="406" t="s">
        <v>4725</v>
      </c>
      <c r="Q19" s="411">
        <f t="shared" si="7"/>
        <v>0</v>
      </c>
      <c r="R19" s="411">
        <f t="shared" si="8"/>
        <v>0</v>
      </c>
      <c r="S19" s="411">
        <f t="shared" si="9"/>
        <v>0</v>
      </c>
      <c r="T19" s="412">
        <f t="shared" si="9"/>
        <v>0</v>
      </c>
      <c r="U19" s="249"/>
      <c r="V19" s="581"/>
      <c r="X19" s="406" t="s">
        <v>4725</v>
      </c>
      <c r="Y19" s="409">
        <f>SUMIFS('2025-Q1'!$HD$62:$HD$448,'2025-Q1'!$FV$62:$FV$448,Expectancy!K$2,'2025-Q1'!$E$62:$E$448,Expectancy!$X19)</f>
        <v>0</v>
      </c>
      <c r="Z19" s="409">
        <f>SUMIFS('2025-Q1'!$HD$62:$HD$448,'2025-Q1'!$FV$62:$FV$448,Expectancy!L$2,'2025-Q1'!$E$62:$E$448,Expectancy!$X19)</f>
        <v>0</v>
      </c>
      <c r="AA19" s="409">
        <f>SUMIFS('2025-Q1'!$HD$62:$HD$448,'2025-Q1'!$FV$62:$FV$448,Expectancy!M$2,'2025-Q1'!$E$62:$E$448,Expectancy!$X19)</f>
        <v>0</v>
      </c>
      <c r="AB19" s="410">
        <f t="shared" si="10"/>
        <v>0</v>
      </c>
      <c r="AD19" s="406" t="s">
        <v>4725</v>
      </c>
      <c r="AE19" s="412">
        <f t="shared" si="1"/>
        <v>0</v>
      </c>
      <c r="AF19" s="412">
        <f t="shared" si="2"/>
        <v>0</v>
      </c>
      <c r="AG19" s="412">
        <f t="shared" si="3"/>
        <v>0</v>
      </c>
      <c r="AH19" s="412">
        <f t="shared" si="4"/>
        <v>0</v>
      </c>
    </row>
  </sheetData>
  <mergeCells count="7">
    <mergeCell ref="Y1:AB1"/>
    <mergeCell ref="AE1:AH1"/>
    <mergeCell ref="V1:V19"/>
    <mergeCell ref="B1:B19"/>
    <mergeCell ref="K1:N1"/>
    <mergeCell ref="E1:H1"/>
    <mergeCell ref="Q1:T1"/>
  </mergeCells>
  <conditionalFormatting sqref="E3:G3">
    <cfRule type="dataBar" priority="19">
      <dataBar>
        <cfvo type="num" val="0"/>
        <cfvo type="num" val="250"/>
        <color rgb="FF63C384"/>
      </dataBar>
      <extLst>
        <ext xmlns:x14="http://schemas.microsoft.com/office/spreadsheetml/2009/9/main" uri="{B025F937-C7B1-47D3-B67F-A62EFF666E3E}">
          <x14:id>{F6DA8161-1F7F-4B89-9A41-0FFBF671EA95}</x14:id>
        </ext>
      </extLst>
    </cfRule>
  </conditionalFormatting>
  <conditionalFormatting sqref="E4:G17">
    <cfRule type="colorScale" priority="20">
      <colorScale>
        <cfvo type="num" val="0"/>
        <cfvo type="num" val="7"/>
        <cfvo type="num" val="25"/>
        <color rgb="FFFCFCFF"/>
        <color theme="6" tint="0.79998168889431442"/>
        <color rgb="FF63BE7B"/>
      </colorScale>
    </cfRule>
  </conditionalFormatting>
  <conditionalFormatting sqref="H3">
    <cfRule type="dataBar" priority="3">
      <dataBar>
        <cfvo type="num" val="0"/>
        <cfvo type="num" val="525"/>
        <color rgb="FF63C384"/>
      </dataBar>
      <extLst>
        <ext xmlns:x14="http://schemas.microsoft.com/office/spreadsheetml/2009/9/main" uri="{B025F937-C7B1-47D3-B67F-A62EFF666E3E}">
          <x14:id>{2810F22F-0A46-4FBF-9722-C9D30B59372B}</x14:id>
        </ext>
      </extLst>
    </cfRule>
  </conditionalFormatting>
  <conditionalFormatting sqref="H4:H17">
    <cfRule type="dataBar" priority="18">
      <dataBar>
        <cfvo type="min"/>
        <cfvo type="max"/>
        <color rgb="FF63C384"/>
      </dataBar>
      <extLst>
        <ext xmlns:x14="http://schemas.microsoft.com/office/spreadsheetml/2009/9/main" uri="{B025F937-C7B1-47D3-B67F-A62EFF666E3E}">
          <x14:id>{E7540BDE-6274-40C6-A82E-F9169A99DB05}</x14:id>
        </ext>
      </extLst>
    </cfRule>
  </conditionalFormatting>
  <conditionalFormatting sqref="K3:M3">
    <cfRule type="dataBar" priority="7">
      <dataBar>
        <cfvo type="num" val="0"/>
        <cfvo type="num" val="40"/>
        <color rgb="FF63C384"/>
      </dataBar>
      <extLst>
        <ext xmlns:x14="http://schemas.microsoft.com/office/spreadsheetml/2009/9/main" uri="{B025F937-C7B1-47D3-B67F-A62EFF666E3E}">
          <x14:id>{E8A3EEEF-B8E6-49E2-A798-7A633975A3C4}</x14:id>
        </ext>
      </extLst>
    </cfRule>
  </conditionalFormatting>
  <conditionalFormatting sqref="K4:M17">
    <cfRule type="colorScale" priority="17">
      <colorScale>
        <cfvo type="min"/>
        <cfvo type="percentile" val="50"/>
        <cfvo type="max"/>
        <color rgb="FFFF0000"/>
        <color theme="0"/>
        <color rgb="FF63BE7B"/>
      </colorScale>
    </cfRule>
  </conditionalFormatting>
  <conditionalFormatting sqref="N3">
    <cfRule type="dataBar" priority="4">
      <dataBar>
        <cfvo type="num" val="0"/>
        <cfvo type="num" val="100"/>
        <color rgb="FF63C384"/>
      </dataBar>
      <extLst>
        <ext xmlns:x14="http://schemas.microsoft.com/office/spreadsheetml/2009/9/main" uri="{B025F937-C7B1-47D3-B67F-A62EFF666E3E}">
          <x14:id>{59E381B0-63E3-4657-A3B1-0AD0123B4662}</x14:id>
        </ext>
      </extLst>
    </cfRule>
  </conditionalFormatting>
  <conditionalFormatting sqref="N4:N17">
    <cfRule type="colorScale" priority="8">
      <colorScale>
        <cfvo type="min"/>
        <cfvo type="percentile" val="50"/>
        <cfvo type="max"/>
        <color rgb="FFF8696B"/>
        <color theme="0"/>
        <color rgb="FF63BE7B"/>
      </colorScale>
    </cfRule>
  </conditionalFormatting>
  <conditionalFormatting sqref="Q3:T3">
    <cfRule type="dataBar" priority="6">
      <dataBar>
        <cfvo type="num" val="0"/>
        <cfvo type="num" val="0.5"/>
        <color rgb="FF63C384"/>
      </dataBar>
      <extLst>
        <ext xmlns:x14="http://schemas.microsoft.com/office/spreadsheetml/2009/9/main" uri="{B025F937-C7B1-47D3-B67F-A62EFF666E3E}">
          <x14:id>{ED9596CD-96B2-45E6-A13C-0B27F1154FE2}</x14:id>
        </ext>
      </extLst>
    </cfRule>
  </conditionalFormatting>
  <conditionalFormatting sqref="Q4:U17 U18:U19">
    <cfRule type="colorScale" priority="13">
      <colorScale>
        <cfvo type="min"/>
        <cfvo type="num" val="0"/>
        <cfvo type="max"/>
        <color rgb="FFFF0000"/>
        <color theme="0"/>
        <color rgb="FF63BE7B"/>
      </colorScale>
    </cfRule>
  </conditionalFormatting>
  <conditionalFormatting sqref="T4:T17">
    <cfRule type="dataBar" priority="1">
      <dataBar>
        <cfvo type="num" val="-0.2"/>
        <cfvo type="num" val="0.2"/>
        <color rgb="FF63C384"/>
      </dataBar>
      <extLst>
        <ext xmlns:x14="http://schemas.microsoft.com/office/spreadsheetml/2009/9/main" uri="{B025F937-C7B1-47D3-B67F-A62EFF666E3E}">
          <x14:id>{76C06762-9D1E-48F2-B6E0-0AC020287314}</x14:id>
        </ext>
      </extLst>
    </cfRule>
  </conditionalFormatting>
  <conditionalFormatting sqref="Y3:AB17">
    <cfRule type="colorScale" priority="9">
      <colorScale>
        <cfvo type="num" val="-5"/>
        <cfvo type="num" val="0"/>
        <cfvo type="num" val="5"/>
        <color rgb="FFF8696B"/>
        <color theme="0"/>
        <color rgb="FF63BE7B"/>
      </colorScale>
    </cfRule>
  </conditionalFormatting>
  <conditionalFormatting sqref="AE4:AG17">
    <cfRule type="colorScale" priority="10">
      <colorScale>
        <cfvo type="num" val="-0.75"/>
        <cfvo type="num" val="0"/>
        <cfvo type="num" val="0.75"/>
        <color rgb="FFFF0000"/>
        <color theme="0"/>
        <color rgb="FF63BE7B"/>
      </colorScale>
    </cfRule>
  </conditionalFormatting>
  <conditionalFormatting sqref="AE3:AH3 AH4:AH17">
    <cfRule type="colorScale" priority="5">
      <colorScale>
        <cfvo type="min"/>
        <cfvo type="percentile" val="50"/>
        <cfvo type="max"/>
        <color rgb="FFF8696B"/>
        <color theme="0"/>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6DA8161-1F7F-4B89-9A41-0FFBF671EA95}">
            <x14:dataBar minLength="0" maxLength="100" border="1">
              <x14:cfvo type="num">
                <xm:f>0</xm:f>
              </x14:cfvo>
              <x14:cfvo type="num">
                <xm:f>250</xm:f>
              </x14:cfvo>
              <x14:borderColor theme="9"/>
              <x14:negativeFillColor rgb="FFFF0000"/>
              <x14:axisColor rgb="FF000000"/>
            </x14:dataBar>
          </x14:cfRule>
          <xm:sqref>E3:G3</xm:sqref>
        </x14:conditionalFormatting>
        <x14:conditionalFormatting xmlns:xm="http://schemas.microsoft.com/office/excel/2006/main">
          <x14:cfRule type="dataBar" id="{2810F22F-0A46-4FBF-9722-C9D30B59372B}">
            <x14:dataBar minLength="0" maxLength="100" border="1" negativeBarBorderColorSameAsPositive="0">
              <x14:cfvo type="num">
                <xm:f>0</xm:f>
              </x14:cfvo>
              <x14:cfvo type="num">
                <xm:f>525</xm:f>
              </x14:cfvo>
              <x14:borderColor rgb="FF63C384"/>
              <x14:negativeFillColor rgb="FFFF0000"/>
              <x14:negativeBorderColor rgb="FFFF0000"/>
              <x14:axisColor rgb="FF000000"/>
            </x14:dataBar>
          </x14:cfRule>
          <xm:sqref>H3</xm:sqref>
        </x14:conditionalFormatting>
        <x14:conditionalFormatting xmlns:xm="http://schemas.microsoft.com/office/excel/2006/main">
          <x14:cfRule type="dataBar" id="{E7540BDE-6274-40C6-A82E-F9169A99DB05}">
            <x14:dataBar minLength="0" maxLength="100" border="1" negativeBarBorderColorSameAsPositive="0">
              <x14:cfvo type="autoMin"/>
              <x14:cfvo type="autoMax"/>
              <x14:borderColor rgb="FF63C384"/>
              <x14:negativeFillColor rgb="FFFF0000"/>
              <x14:negativeBorderColor rgb="FFFF0000"/>
              <x14:axisColor rgb="FF000000"/>
            </x14:dataBar>
          </x14:cfRule>
          <xm:sqref>H4:H17</xm:sqref>
        </x14:conditionalFormatting>
        <x14:conditionalFormatting xmlns:xm="http://schemas.microsoft.com/office/excel/2006/main">
          <x14:cfRule type="dataBar" id="{E8A3EEEF-B8E6-49E2-A798-7A633975A3C4}">
            <x14:dataBar minLength="0" maxLength="100" border="1">
              <x14:cfvo type="num">
                <xm:f>0</xm:f>
              </x14:cfvo>
              <x14:cfvo type="num">
                <xm:f>40</xm:f>
              </x14:cfvo>
              <x14:borderColor theme="9"/>
              <x14:negativeFillColor rgb="FFFF0000"/>
              <x14:axisColor rgb="FF000000"/>
            </x14:dataBar>
          </x14:cfRule>
          <xm:sqref>K3:M3</xm:sqref>
        </x14:conditionalFormatting>
        <x14:conditionalFormatting xmlns:xm="http://schemas.microsoft.com/office/excel/2006/main">
          <x14:cfRule type="dataBar" id="{59E381B0-63E3-4657-A3B1-0AD0123B4662}">
            <x14:dataBar minLength="0" maxLength="100" border="1" negativeBarBorderColorSameAsPositive="0">
              <x14:cfvo type="num">
                <xm:f>0</xm:f>
              </x14:cfvo>
              <x14:cfvo type="num">
                <xm:f>100</xm:f>
              </x14:cfvo>
              <x14:borderColor rgb="FF63C384"/>
              <x14:negativeFillColor rgb="FFFF0000"/>
              <x14:negativeBorderColor rgb="FFFF0000"/>
              <x14:axisColor rgb="FF000000"/>
            </x14:dataBar>
          </x14:cfRule>
          <xm:sqref>N3</xm:sqref>
        </x14:conditionalFormatting>
        <x14:conditionalFormatting xmlns:xm="http://schemas.microsoft.com/office/excel/2006/main">
          <x14:cfRule type="dataBar" id="{ED9596CD-96B2-45E6-A13C-0B27F1154FE2}">
            <x14:dataBar minLength="0" maxLength="100" border="1">
              <x14:cfvo type="num">
                <xm:f>0</xm:f>
              </x14:cfvo>
              <x14:cfvo type="num">
                <xm:f>0.5</xm:f>
              </x14:cfvo>
              <x14:borderColor theme="9"/>
              <x14:negativeFillColor rgb="FFFF0000"/>
              <x14:axisColor rgb="FF000000"/>
            </x14:dataBar>
          </x14:cfRule>
          <xm:sqref>Q3:T3</xm:sqref>
        </x14:conditionalFormatting>
        <x14:conditionalFormatting xmlns:xm="http://schemas.microsoft.com/office/excel/2006/main">
          <x14:cfRule type="dataBar" id="{76C06762-9D1E-48F2-B6E0-0AC020287314}">
            <x14:dataBar minLength="0" maxLength="100">
              <x14:cfvo type="num">
                <xm:f>-0.2</xm:f>
              </x14:cfvo>
              <x14:cfvo type="num">
                <xm:f>0.2</xm:f>
              </x14:cfvo>
              <x14:negativeFillColor rgb="FFFF0000"/>
              <x14:axisColor rgb="FF000000"/>
            </x14:dataBar>
          </x14:cfRule>
          <xm:sqref>T4:T17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FF3C-DF9F-4D70-B70F-5E6E73501B1A}">
  <sheetPr>
    <tabColor rgb="FF00FF00"/>
  </sheetPr>
  <dimension ref="A1:L337"/>
  <sheetViews>
    <sheetView showGridLines="0" workbookViewId="0">
      <selection activeCell="F16" sqref="F16:F17"/>
    </sheetView>
  </sheetViews>
  <sheetFormatPr defaultRowHeight="15" x14ac:dyDescent="0.25"/>
  <cols>
    <col min="1" max="1" width="20.28515625" bestFit="1" customWidth="1"/>
    <col min="2" max="5" width="9.5703125" customWidth="1"/>
    <col min="6" max="6" width="21.7109375" bestFit="1" customWidth="1"/>
    <col min="7" max="7" width="12.140625" customWidth="1"/>
    <col min="9" max="9" width="6.140625" customWidth="1"/>
    <col min="10" max="10" width="6" customWidth="1"/>
    <col min="11" max="11" width="11.5703125" customWidth="1"/>
    <col min="12" max="12" width="11" customWidth="1"/>
    <col min="13" max="13" width="6.42578125" bestFit="1" customWidth="1"/>
    <col min="14" max="15" width="9.28515625" customWidth="1"/>
    <col min="16" max="17" width="10.28515625" customWidth="1"/>
    <col min="18" max="20" width="8.7109375" customWidth="1"/>
    <col min="21" max="22" width="6.85546875" customWidth="1"/>
    <col min="23" max="24" width="8.7109375" customWidth="1"/>
    <col min="25" max="26" width="10.28515625" customWidth="1"/>
    <col min="27" max="28" width="9.28515625" customWidth="1"/>
  </cols>
  <sheetData>
    <row r="1" spans="1:12" ht="40.5" customHeight="1" x14ac:dyDescent="0.25">
      <c r="A1" s="48" t="s">
        <v>1413</v>
      </c>
      <c r="B1" s="24" t="s">
        <v>2737</v>
      </c>
      <c r="C1" s="24" t="s">
        <v>2754</v>
      </c>
      <c r="D1" s="24" t="s">
        <v>2755</v>
      </c>
      <c r="E1" s="24" t="s">
        <v>2739</v>
      </c>
      <c r="F1" s="24" t="s">
        <v>2759</v>
      </c>
      <c r="K1" s="268" t="s">
        <v>4981</v>
      </c>
      <c r="L1" s="268" t="s">
        <v>5025</v>
      </c>
    </row>
    <row r="2" spans="1:12" ht="20.100000000000001" customHeight="1" x14ac:dyDescent="0.25">
      <c r="A2" s="28" t="s">
        <v>2736</v>
      </c>
      <c r="B2" s="14">
        <f>COUNTIF('2025-Q1'!$K$4:$K$448,"&gt;0")</f>
        <v>215</v>
      </c>
      <c r="C2" s="14">
        <f>SUM('2025-Q1'!$FX$4:$FX$448)</f>
        <v>53</v>
      </c>
      <c r="D2" s="14">
        <f>SUM('2025-Q1'!$FY$4:$FY$448)</f>
        <v>52</v>
      </c>
      <c r="E2" s="14">
        <f>SUM('2025-Q1'!$FZ$4:$FZ$448)</f>
        <v>110</v>
      </c>
      <c r="F2" s="599">
        <f>((C4/0.06)*C2)+((D9/0.06)*D7)</f>
        <v>9.9759123944127737</v>
      </c>
      <c r="H2" s="585" t="s">
        <v>4729</v>
      </c>
      <c r="K2" s="267">
        <f>SUMIFS('2025-Q1'!$HG$4:$HG$448,'2025-Q1'!$H$4:$H$448,"s")</f>
        <v>928.8565792191564</v>
      </c>
      <c r="L2" s="414">
        <f>SUMIFS('2025-Q1'!$HG$4:$HG$448,'2025-Q1'!$H$4:$H$448,"o")+SUMIFS('2025-Q1'!L4:L448,'2025-Q1'!H4:H448,"o")</f>
        <v>926.10026033964493</v>
      </c>
    </row>
    <row r="3" spans="1:12" ht="20.100000000000001" customHeight="1" x14ac:dyDescent="0.25">
      <c r="A3" s="27" t="s">
        <v>2741</v>
      </c>
      <c r="B3" s="16" t="s">
        <v>2742</v>
      </c>
      <c r="C3" s="17">
        <f>C2/$B$2</f>
        <v>0.24651162790697675</v>
      </c>
      <c r="D3" s="17">
        <f t="shared" ref="D3:E3" si="0">D2/$B$2</f>
        <v>0.24186046511627907</v>
      </c>
      <c r="E3" s="17">
        <f t="shared" si="0"/>
        <v>0.51162790697674421</v>
      </c>
      <c r="F3" s="600"/>
      <c r="H3" s="586"/>
    </row>
    <row r="4" spans="1:12" ht="20.100000000000001" customHeight="1" x14ac:dyDescent="0.25">
      <c r="A4" s="27" t="s">
        <v>2753</v>
      </c>
      <c r="B4" s="20">
        <f>AVERAGEIF('2025-Q1'!$K$4:$K$448,"&gt;0")</f>
        <v>4.9782433091204677E-2</v>
      </c>
      <c r="C4" s="20">
        <f>AVERAGEIFS('2025-Q1'!$K$4:$K$448,'2025-Q1'!$K$4:$K$448,"&gt;0",'2025-Q1'!$FW$4:$FW$448,"Yes")</f>
        <v>5.2863734500144748E-2</v>
      </c>
      <c r="D4" s="20">
        <f>AVERAGEIFS('2025-Q1'!$K$4:$K$448,'2025-Q1'!$K$4:$K$448,"&gt;0",'2025-Q1'!$FW$4:$FW$448,"No")</f>
        <v>4.5680792204598746E-2</v>
      </c>
      <c r="E4" s="20">
        <f>AVERAGEIFS('2025-Q1'!$K$4:$K$448,'2025-Q1'!$K$4:$K$448,"&gt;0",'2025-Q1'!$FW$4:$FW$448,"NA")</f>
        <v>5.0236763558747295E-2</v>
      </c>
      <c r="F4" s="601"/>
      <c r="H4" s="587"/>
    </row>
    <row r="5" spans="1:12" x14ac:dyDescent="0.25">
      <c r="H5" s="582">
        <f>F2+F7+F16</f>
        <v>68.196551897489726</v>
      </c>
    </row>
    <row r="6" spans="1:12" ht="36" customHeight="1" x14ac:dyDescent="0.25">
      <c r="A6" s="49" t="s">
        <v>1413</v>
      </c>
      <c r="B6" s="23" t="s">
        <v>2737</v>
      </c>
      <c r="C6" s="23" t="s">
        <v>2756</v>
      </c>
      <c r="D6" s="23" t="s">
        <v>2755</v>
      </c>
      <c r="E6" s="23" t="s">
        <v>2739</v>
      </c>
      <c r="F6" s="23" t="s">
        <v>2760</v>
      </c>
      <c r="H6" s="584"/>
    </row>
    <row r="7" spans="1:12" ht="20.100000000000001" customHeight="1" x14ac:dyDescent="0.25">
      <c r="A7" s="29" t="s">
        <v>2743</v>
      </c>
      <c r="B7" s="30">
        <f>COUNTIF('2025-Q1'!$K$4:$K$448,"&lt;0")</f>
        <v>229</v>
      </c>
      <c r="C7" s="30">
        <f>SUM('2025-Q1'!$GB$4:$GB$448)</f>
        <v>76</v>
      </c>
      <c r="D7" s="30">
        <f>SUM('2025-Q1'!$GC$4:$GC$448)</f>
        <v>48</v>
      </c>
      <c r="E7" s="30">
        <f>SUM('2025-Q1'!$GD$4:$GD$448)</f>
        <v>105</v>
      </c>
      <c r="F7" s="599">
        <f>-((C9/0.06)*C7)-((D4/0.06)*D2)</f>
        <v>43.147824356736322</v>
      </c>
    </row>
    <row r="8" spans="1:12" ht="20.100000000000001" customHeight="1" x14ac:dyDescent="0.25">
      <c r="A8" s="31" t="s">
        <v>2744</v>
      </c>
      <c r="B8" s="18" t="s">
        <v>2742</v>
      </c>
      <c r="C8" s="19">
        <f>C7/$B$7</f>
        <v>0.33187772925764192</v>
      </c>
      <c r="D8" s="19">
        <f>D7/$B$7</f>
        <v>0.20960698689956331</v>
      </c>
      <c r="E8" s="19">
        <f>E7/$B$7</f>
        <v>0.45851528384279477</v>
      </c>
      <c r="F8" s="600"/>
    </row>
    <row r="9" spans="1:12" ht="20.100000000000001" customHeight="1" x14ac:dyDescent="0.25">
      <c r="A9" s="31" t="s">
        <v>2753</v>
      </c>
      <c r="B9" s="21">
        <f>AVERAGEIF('2025-Q1'!$K$4:$K$448,"&lt;0")</f>
        <v>-5.1481087002480275E-2</v>
      </c>
      <c r="C9" s="22">
        <f>AVERAGEIFS('2025-Q1'!$K$4:$K$448,'2025-Q1'!$K$4:$K$448,"&lt;0",'2025-Q1'!$FW$4:$FW$448,"Yes")</f>
        <v>-6.5319350737412019E-2</v>
      </c>
      <c r="D9" s="22">
        <f>AVERAGEIFS('2025-Q1'!$K$4:$K$448,'2025-Q1'!$K$4:$K$448,"&lt;0",'2025-Q1'!$FW$4:$FW$448,"No")</f>
        <v>-4.5900483017560535E-2</v>
      </c>
      <c r="E9" s="22">
        <f>AVERAGEIFS('2025-Q1'!$K$4:$K$448,'2025-Q1'!$K$4:$K$448,"&lt;0",'2025-Q1'!$FW$4:$FW$448,"NA")</f>
        <v>-4.4015953168397758E-2</v>
      </c>
      <c r="F9" s="601"/>
    </row>
    <row r="11" spans="1:12" ht="30" customHeight="1" x14ac:dyDescent="0.25">
      <c r="A11" s="50" t="s">
        <v>1413</v>
      </c>
      <c r="B11" s="25" t="s">
        <v>2749</v>
      </c>
      <c r="C11" s="25" t="s">
        <v>2750</v>
      </c>
      <c r="D11" s="26" t="s">
        <v>2751</v>
      </c>
      <c r="E11" s="26" t="s">
        <v>2752</v>
      </c>
      <c r="F11" s="24" t="s">
        <v>2763</v>
      </c>
    </row>
    <row r="12" spans="1:12" ht="20.100000000000001" customHeight="1" x14ac:dyDescent="0.25">
      <c r="A12" s="32" t="s">
        <v>2757</v>
      </c>
      <c r="B12" s="14">
        <f>B2</f>
        <v>215</v>
      </c>
      <c r="C12" s="588">
        <f>B4</f>
        <v>4.9782433091204677E-2</v>
      </c>
      <c r="D12" s="30">
        <f>B7</f>
        <v>229</v>
      </c>
      <c r="E12" s="590">
        <f>B9</f>
        <v>-5.1481087002480275E-2</v>
      </c>
      <c r="F12" s="582">
        <f>((C12/0.06)*B12)+((E12/0.06)*D12)</f>
        <v>-18.099096815982961</v>
      </c>
    </row>
    <row r="13" spans="1:12" ht="20.100000000000001" customHeight="1" x14ac:dyDescent="0.25">
      <c r="A13" s="36" t="s">
        <v>2758</v>
      </c>
      <c r="B13" s="34">
        <f>B12/(B12+D12)</f>
        <v>0.48423423423423423</v>
      </c>
      <c r="C13" s="589"/>
      <c r="D13" s="35">
        <f>1-B13</f>
        <v>0.51576576576576572</v>
      </c>
      <c r="E13" s="591"/>
      <c r="F13" s="584"/>
      <c r="K13" s="13"/>
    </row>
    <row r="14" spans="1:12" x14ac:dyDescent="0.25">
      <c r="K14" s="13"/>
    </row>
    <row r="15" spans="1:12" ht="38.25" x14ac:dyDescent="0.25">
      <c r="A15" s="50" t="s">
        <v>1413</v>
      </c>
      <c r="B15" s="25" t="s">
        <v>2749</v>
      </c>
      <c r="C15" s="25" t="s">
        <v>2750</v>
      </c>
      <c r="D15" s="26" t="s">
        <v>2751</v>
      </c>
      <c r="E15" s="26" t="s">
        <v>2752</v>
      </c>
      <c r="F15" s="24" t="s">
        <v>2761</v>
      </c>
      <c r="G15" s="37" t="s">
        <v>2762</v>
      </c>
      <c r="K15" s="13"/>
    </row>
    <row r="16" spans="1:12" ht="20.100000000000001" customHeight="1" x14ac:dyDescent="0.25">
      <c r="A16" s="32" t="s">
        <v>2748</v>
      </c>
      <c r="B16" s="15">
        <f>E2</f>
        <v>110</v>
      </c>
      <c r="C16" s="595">
        <f>AVERAGEIFS('2025-Q1'!$K$4:$K$448,'2025-Q1'!$K$4:$K$448,"&gt;0",'2025-Q1'!$FW$4:$FW$448,"NA")</f>
        <v>5.0236763558747295E-2</v>
      </c>
      <c r="D16" s="39">
        <f>E7</f>
        <v>105</v>
      </c>
      <c r="E16" s="598">
        <f>AVERAGEIFS('2025-Q1'!$K$4:$K$448,'2025-Q1'!$K$4:$K$448,"&lt;0",'2025-Q1'!$FW$4:$FW$448,"NA")</f>
        <v>-4.4015953168397758E-2</v>
      </c>
      <c r="F16" s="602">
        <f>((C16/0.06)*B16)+((E16/0.06)*D16)</f>
        <v>15.072815146340631</v>
      </c>
      <c r="G16" s="594">
        <f>-((E16/0.06)*D16)-((C16/0.06)*B16)</f>
        <v>-15.072815146340631</v>
      </c>
    </row>
    <row r="17" spans="1:8" x14ac:dyDescent="0.25">
      <c r="A17" s="36" t="s">
        <v>2758</v>
      </c>
      <c r="B17" s="38">
        <f>(B16/(B16+D16))</f>
        <v>0.51162790697674421</v>
      </c>
      <c r="C17" s="595"/>
      <c r="D17" s="33">
        <f>IF(AND(B16=0,D16=0),0,1-B17)</f>
        <v>0.48837209302325579</v>
      </c>
      <c r="E17" s="598"/>
      <c r="F17" s="602"/>
      <c r="G17" s="594"/>
    </row>
    <row r="18" spans="1:8" x14ac:dyDescent="0.25">
      <c r="A18" s="47"/>
      <c r="B18" s="47"/>
      <c r="C18" s="47"/>
      <c r="D18" s="47"/>
      <c r="E18" s="47"/>
      <c r="F18" s="47"/>
      <c r="G18" s="47"/>
    </row>
    <row r="19" spans="1:8" x14ac:dyDescent="0.25">
      <c r="A19" s="47"/>
      <c r="B19" s="47"/>
      <c r="C19" s="47"/>
      <c r="D19" s="47"/>
      <c r="E19" s="47"/>
      <c r="F19" s="47"/>
      <c r="G19" s="47"/>
    </row>
    <row r="20" spans="1:8" x14ac:dyDescent="0.25">
      <c r="A20" s="47"/>
      <c r="B20" s="47"/>
      <c r="C20" s="47"/>
      <c r="D20" s="47"/>
      <c r="E20" s="47"/>
      <c r="F20" s="47"/>
      <c r="G20" s="47"/>
    </row>
    <row r="21" spans="1:8" ht="36" x14ac:dyDescent="0.25">
      <c r="A21" s="55" t="s">
        <v>4721</v>
      </c>
      <c r="B21" s="24" t="s">
        <v>2737</v>
      </c>
      <c r="C21" s="24" t="s">
        <v>2754</v>
      </c>
      <c r="D21" s="24" t="s">
        <v>2755</v>
      </c>
      <c r="E21" s="24" t="s">
        <v>2739</v>
      </c>
      <c r="F21" s="24" t="s">
        <v>2759</v>
      </c>
    </row>
    <row r="22" spans="1:8" ht="15" customHeight="1" x14ac:dyDescent="0.25">
      <c r="A22" s="28" t="s">
        <v>2736</v>
      </c>
      <c r="B22" s="14">
        <f>COUNTIFS('2025-Q1'!$K$4:$K$448,"&gt;0",'2025-Q1'!$E$4:$E$448,'Q1-STATS'!$A21)</f>
        <v>28</v>
      </c>
      <c r="C22" s="14">
        <f>SUMIFS('2025-Q1'!$FX$4:$FX$448,'2025-Q1'!$E$4:$E$448,'Q1-STATS'!$A21)</f>
        <v>14</v>
      </c>
      <c r="D22" s="14">
        <f>SUMIFS('2025-Q1'!$FY$4:$FY$448,'2025-Q1'!$E$4:$E$448,'Q1-STATS'!$A21)</f>
        <v>3</v>
      </c>
      <c r="E22" s="14">
        <f>SUMIFS('2025-Q1'!$FZ$4:$FZ$448,'2025-Q1'!$E$4:$E$448,'Q1-STATS'!$A21)</f>
        <v>11</v>
      </c>
      <c r="F22" s="582">
        <f>((C24/0.06)*C22)+((D29/0.06)*D27)</f>
        <v>-2.225533876342273</v>
      </c>
      <c r="H22" s="585" t="s">
        <v>4729</v>
      </c>
    </row>
    <row r="23" spans="1:8" x14ac:dyDescent="0.25">
      <c r="A23" s="27" t="s">
        <v>2741</v>
      </c>
      <c r="B23" s="16" t="s">
        <v>2742</v>
      </c>
      <c r="C23" s="17">
        <f>C22/$B22</f>
        <v>0.5</v>
      </c>
      <c r="D23" s="17">
        <f t="shared" ref="D23:E23" si="1">D22/$B22</f>
        <v>0.10714285714285714</v>
      </c>
      <c r="E23" s="17">
        <f t="shared" si="1"/>
        <v>0.39285714285714285</v>
      </c>
      <c r="F23" s="583"/>
      <c r="H23" s="586"/>
    </row>
    <row r="24" spans="1:8" x14ac:dyDescent="0.25">
      <c r="A24" s="27" t="s">
        <v>2753</v>
      </c>
      <c r="B24" s="20">
        <f>AVERAGEIFS('2025-Q1'!$K$4:$K$448,'2025-Q1'!$K$4:$K$448,"&gt;0",'2025-Q1'!$E$4:$E$448,'Q1-STATS'!$A21)</f>
        <v>3.0036375513493092E-2</v>
      </c>
      <c r="C24" s="20">
        <f>IFERROR(AVERAGEIFS('2025-Q1'!$K$4:$K$448,'2025-Q1'!$K$4:$K$448,"&gt;0",'2025-Q1'!$E$4:$E$448,'Q1-STATS'!$A21,'2025-Q1'!$FW$4:$FW$448,"Yes"),0)</f>
        <v>2.4670222575332971E-2</v>
      </c>
      <c r="D24" s="20">
        <f>IFERROR(AVERAGEIFS('2025-Q1'!$K$4:$K$448,'2025-Q1'!$K$4:$K$448,"&gt;0",'2025-Q1'!$E$4:$E$448,'Q1-STATS'!$A21,'2025-Q1'!$FW$4:$FW$448,"No"),0)</f>
        <v>3.4563131244264293E-2</v>
      </c>
      <c r="E24" s="20">
        <f>IFERROR(AVERAGEIFS('2025-Q1'!$K$4:$K$448,'2025-Q1'!$K$4:$K$448,"&gt;0",'2025-Q1'!$E$4:$E$448,'Q1-STATS'!$A21,'2025-Q1'!$FW$4:$FW$448,"NA"),0)</f>
        <v>3.5631454962759275E-2</v>
      </c>
      <c r="F24" s="584"/>
      <c r="H24" s="587"/>
    </row>
    <row r="25" spans="1:8" x14ac:dyDescent="0.25">
      <c r="H25" s="582">
        <f>F22+F27+F36</f>
        <v>-2.1574139884995667</v>
      </c>
    </row>
    <row r="26" spans="1:8" ht="36" x14ac:dyDescent="0.25">
      <c r="A26" s="53" t="s">
        <v>4721</v>
      </c>
      <c r="B26" s="23" t="s">
        <v>2737</v>
      </c>
      <c r="C26" s="23" t="s">
        <v>2756</v>
      </c>
      <c r="D26" s="23" t="s">
        <v>2755</v>
      </c>
      <c r="E26" s="23" t="s">
        <v>2739</v>
      </c>
      <c r="F26" s="23" t="s">
        <v>2760</v>
      </c>
      <c r="H26" s="584"/>
    </row>
    <row r="27" spans="1:8" x14ac:dyDescent="0.25">
      <c r="A27" s="29" t="s">
        <v>2743</v>
      </c>
      <c r="B27" s="30">
        <f>COUNTIFS('2025-Q1'!$K$4:$K$448,"&lt;0",'2025-Q1'!$E$4:$E$448,'Q1-STATS'!$A26)</f>
        <v>21</v>
      </c>
      <c r="C27" s="30">
        <f>SUMIFS('2025-Q1'!$GB$4:$GB$448,'2025-Q1'!$E$4:$E$448,'Q1-STATS'!$A26)</f>
        <v>0</v>
      </c>
      <c r="D27" s="30">
        <f>SUMIFS('2025-Q1'!$GC$4:$GC$448,'2025-Q1'!$E$4:$E$448,'Q1-STATS'!$A26)</f>
        <v>14</v>
      </c>
      <c r="E27" s="30">
        <f>SUMIFS('2025-Q1'!$GD$4:$GD$448,'2025-Q1'!$E$4:$E$448,'Q1-STATS'!$A26)</f>
        <v>7</v>
      </c>
      <c r="F27" s="582">
        <f>-((C29/0.06)*C27)-((D24/0.06)*D22)</f>
        <v>-1.7281565622132147</v>
      </c>
    </row>
    <row r="28" spans="1:8" x14ac:dyDescent="0.25">
      <c r="A28" s="31" t="s">
        <v>2744</v>
      </c>
      <c r="B28" s="18" t="s">
        <v>2742</v>
      </c>
      <c r="C28" s="19">
        <f>C27/$B27</f>
        <v>0</v>
      </c>
      <c r="D28" s="19">
        <f t="shared" ref="D28" si="2">D27/$B27</f>
        <v>0.66666666666666663</v>
      </c>
      <c r="E28" s="19">
        <f t="shared" ref="E28" si="3">E27/$B27</f>
        <v>0.33333333333333331</v>
      </c>
      <c r="F28" s="583"/>
    </row>
    <row r="29" spans="1:8" x14ac:dyDescent="0.25">
      <c r="A29" s="31" t="s">
        <v>2753</v>
      </c>
      <c r="B29" s="21">
        <f>AVERAGEIFS('2025-Q1'!$K$4:$K$448,'2025-Q1'!$K$4:$K$448,"&lt;0",'2025-Q1'!$E$4:$E$448,'Q1-STATS'!$A26)</f>
        <v>-3.6337360296294995E-2</v>
      </c>
      <c r="C29" s="21">
        <f>IFERROR(AVERAGEIFS('2025-Q1'!$K$4:$K$448,'2025-Q1'!$K$4:$K$448,"&lt;0",'2025-Q1'!$E$4:$E$448,'Q1-STATS'!$A26,'2025-Q1'!$FW$4:$FW$448,"Yes"),0)</f>
        <v>0</v>
      </c>
      <c r="D29" s="21">
        <f>IFERROR(AVERAGEIFS('2025-Q1'!$K$4:$K$448,'2025-Q1'!$K$4:$K$448,"&lt;0",'2025-Q1'!$E$4:$E$448,'Q1-STATS'!$A26,'2025-Q1'!$FW$4:$FW$448,"No"),0)</f>
        <v>-3.4208224902514142E-2</v>
      </c>
      <c r="E29" s="21">
        <f>IFERROR(AVERAGEIFS('2025-Q1'!$K$4:$K$448,'2025-Q1'!$K$4:$K$448,"&lt;0",'2025-Q1'!$E$4:$E$448,'Q1-STATS'!$A26,'2025-Q1'!$FW$4:$FW$448,"NA"),0)</f>
        <v>-4.0595631083856686E-2</v>
      </c>
      <c r="F29" s="584"/>
    </row>
    <row r="31" spans="1:8" ht="24.75" x14ac:dyDescent="0.25">
      <c r="A31" s="54" t="s">
        <v>4721</v>
      </c>
      <c r="B31" s="25" t="s">
        <v>2749</v>
      </c>
      <c r="C31" s="25" t="s">
        <v>2750</v>
      </c>
      <c r="D31" s="26" t="s">
        <v>2751</v>
      </c>
      <c r="E31" s="26" t="s">
        <v>2752</v>
      </c>
      <c r="F31" s="24" t="s">
        <v>2763</v>
      </c>
    </row>
    <row r="32" spans="1:8" x14ac:dyDescent="0.25">
      <c r="A32" s="32" t="s">
        <v>2757</v>
      </c>
      <c r="B32" s="14">
        <f>B22</f>
        <v>28</v>
      </c>
      <c r="C32" s="588">
        <f>B24</f>
        <v>3.0036375513493092E-2</v>
      </c>
      <c r="D32" s="30">
        <f>B27</f>
        <v>21</v>
      </c>
      <c r="E32" s="590">
        <f>B29</f>
        <v>-3.6337360296294995E-2</v>
      </c>
      <c r="F32" s="582">
        <f>((C32/0.06)*B32)+((E32/0.06)*D32)</f>
        <v>1.2988991359268631</v>
      </c>
    </row>
    <row r="33" spans="1:8" x14ac:dyDescent="0.25">
      <c r="A33" s="36" t="s">
        <v>2758</v>
      </c>
      <c r="B33" s="34">
        <f>B32/(B32+D32)</f>
        <v>0.5714285714285714</v>
      </c>
      <c r="C33" s="589"/>
      <c r="D33" s="35">
        <f>1-B33</f>
        <v>0.4285714285714286</v>
      </c>
      <c r="E33" s="591"/>
      <c r="F33" s="584"/>
    </row>
    <row r="35" spans="1:8" ht="38.25" x14ac:dyDescent="0.25">
      <c r="A35" s="54" t="s">
        <v>4721</v>
      </c>
      <c r="B35" s="25" t="s">
        <v>2749</v>
      </c>
      <c r="C35" s="25" t="s">
        <v>2750</v>
      </c>
      <c r="D35" s="26" t="s">
        <v>2751</v>
      </c>
      <c r="E35" s="26" t="s">
        <v>2752</v>
      </c>
      <c r="F35" s="24" t="s">
        <v>2761</v>
      </c>
      <c r="G35" s="37" t="s">
        <v>2762</v>
      </c>
    </row>
    <row r="36" spans="1:8" x14ac:dyDescent="0.25">
      <c r="A36" s="32" t="s">
        <v>2748</v>
      </c>
      <c r="B36" s="14">
        <f>E22</f>
        <v>11</v>
      </c>
      <c r="C36" s="592">
        <f>AVERAGEIFS('2025-Q1'!$K$4:$K$448,'2025-Q1'!$K$4:$K$448,"&gt;0",'2025-Q1'!$FW$4:$FW$448,"NA",'2025-Q1'!$E$4:$E$448,'Q1-STATS'!$A21)</f>
        <v>3.5631454962759275E-2</v>
      </c>
      <c r="D36" s="100">
        <f>E27</f>
        <v>7</v>
      </c>
      <c r="E36" s="590">
        <f>IFERROR(AVERAGEIFS('2025-Q1'!$K$4:$K$448,'2025-Q1'!$K$4:$K$448,"&lt;0",'2025-Q1'!$FW$4:$FW$448,"NA",'2025-Q1'!$E$4:$E$448,'Q1-STATS'!$A21),0)</f>
        <v>-4.0595631083856686E-2</v>
      </c>
      <c r="F36" s="593">
        <f>((C36/0.06)*B36)+((E36/0.06)*D36)</f>
        <v>1.7962764500559212</v>
      </c>
      <c r="G36" s="594">
        <f>-((E36/0.06)*D36)-((C36/0.06)*B36)</f>
        <v>-1.7962764500559212</v>
      </c>
    </row>
    <row r="37" spans="1:8" x14ac:dyDescent="0.25">
      <c r="A37" s="36" t="s">
        <v>2758</v>
      </c>
      <c r="B37" s="101">
        <f>(B36/(B36+D36))</f>
        <v>0.61111111111111116</v>
      </c>
      <c r="C37" s="592"/>
      <c r="D37" s="35">
        <f>IF(AND(B36=0,D36=0),0,1-B37)</f>
        <v>0.38888888888888884</v>
      </c>
      <c r="E37" s="591"/>
      <c r="F37" s="593"/>
      <c r="G37" s="594"/>
    </row>
    <row r="38" spans="1:8" x14ac:dyDescent="0.25">
      <c r="A38" s="47"/>
      <c r="B38" s="47"/>
      <c r="C38" s="47"/>
      <c r="D38" s="47"/>
      <c r="E38" s="47"/>
      <c r="F38" s="47"/>
      <c r="G38" s="47"/>
    </row>
    <row r="39" spans="1:8" x14ac:dyDescent="0.25">
      <c r="A39" s="47"/>
      <c r="B39" s="47"/>
      <c r="C39" s="47"/>
      <c r="D39" s="47"/>
      <c r="E39" s="47"/>
      <c r="F39" s="47"/>
      <c r="G39" s="47"/>
    </row>
    <row r="40" spans="1:8" x14ac:dyDescent="0.25">
      <c r="A40" s="47"/>
      <c r="B40" s="47"/>
      <c r="C40" s="47"/>
      <c r="D40" s="47"/>
      <c r="E40" s="47"/>
      <c r="F40" s="47"/>
      <c r="G40" s="47"/>
    </row>
    <row r="41" spans="1:8" ht="36" x14ac:dyDescent="0.25">
      <c r="A41" s="55" t="s">
        <v>4724</v>
      </c>
      <c r="B41" s="24" t="s">
        <v>2737</v>
      </c>
      <c r="C41" s="24" t="s">
        <v>2754</v>
      </c>
      <c r="D41" s="24" t="s">
        <v>2755</v>
      </c>
      <c r="E41" s="24" t="s">
        <v>2739</v>
      </c>
      <c r="F41" s="24" t="s">
        <v>2759</v>
      </c>
    </row>
    <row r="42" spans="1:8" x14ac:dyDescent="0.25">
      <c r="A42" s="28" t="s">
        <v>2736</v>
      </c>
      <c r="B42" s="14">
        <f>COUNTIFS('2025-Q1'!$K$4:$K$448,"&gt;0",'2025-Q1'!$E$4:$E$448,'Q1-STATS'!$A41)</f>
        <v>14</v>
      </c>
      <c r="C42" s="14">
        <f>SUMIFS('2025-Q1'!$FX$4:$FX$448,'2025-Q1'!$E$4:$E$448,'Q1-STATS'!$A41)</f>
        <v>2</v>
      </c>
      <c r="D42" s="14">
        <f>SUMIFS('2025-Q1'!$FY$4:$FY$448,'2025-Q1'!$E$4:$E$448,'Q1-STATS'!$A41)</f>
        <v>6</v>
      </c>
      <c r="E42" s="14">
        <f>SUMIFS('2025-Q1'!$FZ$4:$FZ$448,'2025-Q1'!$E$4:$E$448,'Q1-STATS'!$A41)</f>
        <v>6</v>
      </c>
      <c r="F42" s="582">
        <f>((C44/0.06)*C42)+((D49/0.06)*D47)</f>
        <v>1.0590409467993789</v>
      </c>
      <c r="H42" s="585" t="s">
        <v>4729</v>
      </c>
    </row>
    <row r="43" spans="1:8" x14ac:dyDescent="0.25">
      <c r="A43" s="27" t="s">
        <v>2741</v>
      </c>
      <c r="B43" s="16" t="s">
        <v>2742</v>
      </c>
      <c r="C43" s="17">
        <f>C42/$B42</f>
        <v>0.14285714285714285</v>
      </c>
      <c r="D43" s="17">
        <f t="shared" ref="D43" si="4">D42/$B42</f>
        <v>0.42857142857142855</v>
      </c>
      <c r="E43" s="17">
        <f t="shared" ref="E43" si="5">E42/$B42</f>
        <v>0.42857142857142855</v>
      </c>
      <c r="F43" s="583"/>
      <c r="H43" s="586"/>
    </row>
    <row r="44" spans="1:8" x14ac:dyDescent="0.25">
      <c r="A44" s="27" t="s">
        <v>2753</v>
      </c>
      <c r="B44" s="20">
        <f>AVERAGEIFS('2025-Q1'!$K$4:$K$448,'2025-Q1'!$K$4:$K$448,"&gt;0",'2025-Q1'!$E$4:$E$448,'Q1-STATS'!$A41)</f>
        <v>5.2395493761929243E-2</v>
      </c>
      <c r="C44" s="20">
        <f>IFERROR(AVERAGEIFS('2025-Q1'!$K$4:$K$448,'2025-Q1'!$K$4:$K$448,"&gt;0",'2025-Q1'!$E$4:$E$448,'Q1-STATS'!$A41,'2025-Q1'!$FW$4:$FW$448,"Yes"),0)</f>
        <v>7.2194377633042178E-2</v>
      </c>
      <c r="D44" s="20">
        <f>IFERROR(AVERAGEIFS('2025-Q1'!$K$4:$K$448,'2025-Q1'!$K$4:$K$448,"&gt;0",'2025-Q1'!$E$4:$E$448,'Q1-STATS'!$A41,'2025-Q1'!$FW$4:$FW$448,"No"),0)</f>
        <v>3.3847455892012594E-2</v>
      </c>
      <c r="E44" s="20">
        <f>IFERROR(AVERAGEIFS('2025-Q1'!$K$4:$K$448,'2025-Q1'!$K$4:$K$448,"&gt;0",'2025-Q1'!$E$4:$E$448,'Q1-STATS'!$A41,'2025-Q1'!$FW$4:$FW$448,"NA"),0)</f>
        <v>6.4343903674808217E-2</v>
      </c>
      <c r="F44" s="584"/>
      <c r="H44" s="587"/>
    </row>
    <row r="45" spans="1:8" x14ac:dyDescent="0.25">
      <c r="H45" s="582">
        <f>F42+F47+F56</f>
        <v>11.674659075888087</v>
      </c>
    </row>
    <row r="46" spans="1:8" ht="36" x14ac:dyDescent="0.25">
      <c r="A46" s="51" t="str">
        <f>A41</f>
        <v>XLP</v>
      </c>
      <c r="B46" s="23" t="s">
        <v>2737</v>
      </c>
      <c r="C46" s="23" t="s">
        <v>2756</v>
      </c>
      <c r="D46" s="23" t="s">
        <v>2755</v>
      </c>
      <c r="E46" s="23" t="s">
        <v>2739</v>
      </c>
      <c r="F46" s="23" t="s">
        <v>2760</v>
      </c>
      <c r="H46" s="584"/>
    </row>
    <row r="47" spans="1:8" x14ac:dyDescent="0.25">
      <c r="A47" s="29" t="s">
        <v>2743</v>
      </c>
      <c r="B47" s="30">
        <f>COUNTIFS('2025-Q1'!$K$4:$K$448,"&lt;0",'2025-Q1'!$E$4:$E$448,'Q1-STATS'!$A46)</f>
        <v>21</v>
      </c>
      <c r="C47" s="30">
        <f>SUMIFS('2025-Q1'!$GB$4:$GB$448,'2025-Q1'!$E$4:$E$448,'Q1-STATS'!$A46)</f>
        <v>14</v>
      </c>
      <c r="D47" s="30">
        <f>SUMIFS('2025-Q1'!$GC$4:$GC$448,'2025-Q1'!$E$4:$E$448,'Q1-STATS'!$A46)</f>
        <v>2</v>
      </c>
      <c r="E47" s="30">
        <f>SUMIFS('2025-Q1'!$GD$4:$GD$448,'2025-Q1'!$E$4:$E$448,'Q1-STATS'!$A46)</f>
        <v>5</v>
      </c>
      <c r="F47" s="582">
        <f>-((C49/0.06)*C47)-((D44/0.06)*D42)</f>
        <v>6.1538040405430676</v>
      </c>
    </row>
    <row r="48" spans="1:8" x14ac:dyDescent="0.25">
      <c r="A48" s="31" t="s">
        <v>2744</v>
      </c>
      <c r="B48" s="18" t="s">
        <v>2742</v>
      </c>
      <c r="C48" s="19">
        <f>C47/$B47</f>
        <v>0.66666666666666663</v>
      </c>
      <c r="D48" s="19">
        <f t="shared" ref="D48" si="6">D47/$B47</f>
        <v>9.5238095238095233E-2</v>
      </c>
      <c r="E48" s="19">
        <f t="shared" ref="E48" si="7">E47/$B47</f>
        <v>0.23809523809523808</v>
      </c>
      <c r="F48" s="583"/>
    </row>
    <row r="49" spans="1:8" x14ac:dyDescent="0.25">
      <c r="A49" s="31" t="s">
        <v>2753</v>
      </c>
      <c r="B49" s="21">
        <f>AVERAGEIFS('2025-Q1'!$K$4:$K$448,'2025-Q1'!$K$4:$K$448,"&lt;0",'2025-Q1'!$E$4:$E$448,'Q1-STATS'!$A46)</f>
        <v>-3.6738754903756769E-2</v>
      </c>
      <c r="C49" s="21">
        <f>IFERROR(AVERAGEIFS('2025-Q1'!$K$4:$K$448,'2025-Q1'!$K$4:$K$448,"&lt;0",'2025-Q1'!$E$4:$E$448,'Q1-STATS'!$A46,'2025-Q1'!$FW$4:$FW$448,"Yes"),0)</f>
        <v>-4.0879498413189976E-2</v>
      </c>
      <c r="D49" s="21">
        <f>IFERROR(AVERAGEIFS('2025-Q1'!$K$4:$K$448,'2025-Q1'!$K$4:$K$448,"&lt;0",'2025-Q1'!$E$4:$E$448,'Q1-STATS'!$A46,'2025-Q1'!$FW$4:$FW$448,"No"),0)</f>
        <v>-4.0423149229060817E-2</v>
      </c>
      <c r="E49" s="21">
        <f>IFERROR(AVERAGEIFS('2025-Q1'!$K$4:$K$448,'2025-Q1'!$K$4:$K$448,"&lt;0",'2025-Q1'!$E$4:$E$448,'Q1-STATS'!$A46,'2025-Q1'!$FW$4:$FW$448,"NA"),0)</f>
        <v>-2.3670915347222175E-2</v>
      </c>
      <c r="F49" s="584"/>
    </row>
    <row r="51" spans="1:8" ht="24.75" x14ac:dyDescent="0.25">
      <c r="A51" s="52" t="str">
        <f>A41</f>
        <v>XLP</v>
      </c>
      <c r="B51" s="25" t="s">
        <v>2749</v>
      </c>
      <c r="C51" s="25" t="s">
        <v>2750</v>
      </c>
      <c r="D51" s="26" t="s">
        <v>2751</v>
      </c>
      <c r="E51" s="26" t="s">
        <v>2752</v>
      </c>
      <c r="F51" s="24" t="s">
        <v>2763</v>
      </c>
    </row>
    <row r="52" spans="1:8" x14ac:dyDescent="0.25">
      <c r="A52" s="32" t="s">
        <v>2757</v>
      </c>
      <c r="B52" s="14">
        <f>B42</f>
        <v>14</v>
      </c>
      <c r="C52" s="588">
        <f>B44</f>
        <v>5.2395493761929243E-2</v>
      </c>
      <c r="D52" s="30">
        <f>B47</f>
        <v>21</v>
      </c>
      <c r="E52" s="590">
        <f>B49</f>
        <v>-3.6738754903756769E-2</v>
      </c>
      <c r="F52" s="582">
        <f>((C52/0.06)*B52)+((E52/0.06)*D52)</f>
        <v>-0.63294900519804465</v>
      </c>
    </row>
    <row r="53" spans="1:8" x14ac:dyDescent="0.25">
      <c r="A53" s="36" t="s">
        <v>2758</v>
      </c>
      <c r="B53" s="34">
        <f>B52/(B52+D52)</f>
        <v>0.4</v>
      </c>
      <c r="C53" s="589"/>
      <c r="D53" s="35">
        <f>1-B53</f>
        <v>0.6</v>
      </c>
      <c r="E53" s="591"/>
      <c r="F53" s="584"/>
    </row>
    <row r="55" spans="1:8" ht="38.25" x14ac:dyDescent="0.25">
      <c r="A55" s="52" t="str">
        <f>A41</f>
        <v>XLP</v>
      </c>
      <c r="B55" s="25" t="s">
        <v>2749</v>
      </c>
      <c r="C55" s="25" t="s">
        <v>2750</v>
      </c>
      <c r="D55" s="26" t="s">
        <v>2751</v>
      </c>
      <c r="E55" s="26" t="s">
        <v>2752</v>
      </c>
      <c r="F55" s="24" t="s">
        <v>2761</v>
      </c>
      <c r="G55" s="37" t="s">
        <v>2762</v>
      </c>
    </row>
    <row r="56" spans="1:8" x14ac:dyDescent="0.25">
      <c r="A56" s="32" t="s">
        <v>2748</v>
      </c>
      <c r="B56" s="14">
        <f>E42</f>
        <v>6</v>
      </c>
      <c r="C56" s="592">
        <f>AVERAGEIFS('2025-Q1'!$K$4:$K$448,'2025-Q1'!$K$4:$K$448,"&gt;0",'2025-Q1'!$FW$4:$FW$448,"NA",'2025-Q1'!$E$4:$E$448,'Q1-STATS'!$A41)</f>
        <v>6.4343903674808217E-2</v>
      </c>
      <c r="D56" s="100">
        <f>E47</f>
        <v>5</v>
      </c>
      <c r="E56" s="590">
        <f>IFERROR(AVERAGEIFS('2025-Q1'!$K$4:$K$448,'2025-Q1'!$K$4:$K$448,"&lt;0",'2025-Q1'!$FW$4:$FW$448,"NA",'2025-Q1'!$E$4:$E$448,'Q1-STATS'!$A41),0)</f>
        <v>-2.3670915347222175E-2</v>
      </c>
      <c r="F56" s="593">
        <f>((C56/0.06)*B56)+((E56/0.06)*D56)</f>
        <v>4.4618140885456405</v>
      </c>
      <c r="G56" s="594">
        <f>-((E56/0.06)*D56)-((C56/0.06)*B56)</f>
        <v>-4.4618140885456405</v>
      </c>
    </row>
    <row r="57" spans="1:8" x14ac:dyDescent="0.25">
      <c r="A57" s="36" t="s">
        <v>2758</v>
      </c>
      <c r="B57" s="101">
        <f>(B56/(B56+D56))</f>
        <v>0.54545454545454541</v>
      </c>
      <c r="C57" s="592"/>
      <c r="D57" s="35">
        <f>IF(AND(B56=0,D56=0),0,1-B57)</f>
        <v>0.45454545454545459</v>
      </c>
      <c r="E57" s="591"/>
      <c r="F57" s="593"/>
      <c r="G57" s="594"/>
    </row>
    <row r="58" spans="1:8" x14ac:dyDescent="0.25">
      <c r="A58" s="47"/>
      <c r="B58" s="47"/>
      <c r="C58" s="47"/>
      <c r="D58" s="47"/>
      <c r="E58" s="47"/>
      <c r="F58" s="47"/>
      <c r="G58" s="47"/>
    </row>
    <row r="59" spans="1:8" x14ac:dyDescent="0.25">
      <c r="A59" s="47"/>
      <c r="B59" s="47"/>
      <c r="C59" s="47"/>
      <c r="D59" s="47"/>
      <c r="E59" s="47"/>
      <c r="F59" s="47"/>
      <c r="G59" s="47"/>
    </row>
    <row r="60" spans="1:8" x14ac:dyDescent="0.25">
      <c r="A60" s="47"/>
      <c r="B60" s="47"/>
      <c r="C60" s="47"/>
      <c r="D60" s="47"/>
      <c r="E60" s="47"/>
      <c r="F60" s="47"/>
      <c r="G60" s="47"/>
    </row>
    <row r="61" spans="1:8" ht="36" x14ac:dyDescent="0.25">
      <c r="A61" s="55" t="s">
        <v>4723</v>
      </c>
      <c r="B61" s="24" t="s">
        <v>2737</v>
      </c>
      <c r="C61" s="24" t="s">
        <v>2754</v>
      </c>
      <c r="D61" s="24" t="s">
        <v>2755</v>
      </c>
      <c r="E61" s="24" t="s">
        <v>2739</v>
      </c>
      <c r="F61" s="24" t="s">
        <v>2759</v>
      </c>
    </row>
    <row r="62" spans="1:8" x14ac:dyDescent="0.25">
      <c r="A62" s="28" t="s">
        <v>2736</v>
      </c>
      <c r="B62" s="14">
        <f>COUNTIFS('2025-Q1'!$K$4:$K$448,"&gt;0",'2025-Q1'!$E$4:$E$448,'Q1-STATS'!$A61)</f>
        <v>18</v>
      </c>
      <c r="C62" s="14">
        <f>SUMIFS('2025-Q1'!$FX$4:$FX$448,'2025-Q1'!$E$4:$E$448,'Q1-STATS'!$A61)</f>
        <v>7</v>
      </c>
      <c r="D62" s="14">
        <f>SUMIFS('2025-Q1'!$FY$4:$FY$448,'2025-Q1'!$E$4:$E$448,'Q1-STATS'!$A61)</f>
        <v>3</v>
      </c>
      <c r="E62" s="14">
        <f>SUMIFS('2025-Q1'!$FZ$4:$FZ$448,'2025-Q1'!$E$4:$E$448,'Q1-STATS'!$A61)</f>
        <v>8</v>
      </c>
      <c r="F62" s="582">
        <f>((C64/0.06)*C62)+((D69/0.06)*D67)</f>
        <v>3.5290544702120528</v>
      </c>
      <c r="H62" s="585" t="s">
        <v>4729</v>
      </c>
    </row>
    <row r="63" spans="1:8" x14ac:dyDescent="0.25">
      <c r="A63" s="27" t="s">
        <v>2741</v>
      </c>
      <c r="B63" s="16" t="s">
        <v>2742</v>
      </c>
      <c r="C63" s="17">
        <f>C62/$B62</f>
        <v>0.3888888888888889</v>
      </c>
      <c r="D63" s="17">
        <f t="shared" ref="D63" si="8">D62/$B62</f>
        <v>0.16666666666666666</v>
      </c>
      <c r="E63" s="17">
        <f t="shared" ref="E63" si="9">E62/$B62</f>
        <v>0.44444444444444442</v>
      </c>
      <c r="F63" s="583"/>
      <c r="H63" s="586"/>
    </row>
    <row r="64" spans="1:8" x14ac:dyDescent="0.25">
      <c r="A64" s="27" t="s">
        <v>2753</v>
      </c>
      <c r="B64" s="20">
        <f>AVERAGEIFS('2025-Q1'!$K$4:$K$448,'2025-Q1'!$K$4:$K$448,"&gt;0",'2025-Q1'!$E$4:$E$448,'Q1-STATS'!$A61)</f>
        <v>5.0256941925896775E-2</v>
      </c>
      <c r="C64" s="20">
        <f>IFERROR(AVERAGEIFS('2025-Q1'!$K$4:$K$448,'2025-Q1'!$K$4:$K$448,"&gt;0",'2025-Q1'!$E$4:$E$448,'Q1-STATS'!$A61,'2025-Q1'!$FW$4:$FW$448,"Yes"),0)</f>
        <v>5.6444077482678101E-2</v>
      </c>
      <c r="D64" s="20">
        <f>IFERROR(AVERAGEIFS('2025-Q1'!$K$4:$K$448,'2025-Q1'!$K$4:$K$448,"&gt;0",'2025-Q1'!$E$4:$E$448,'Q1-STATS'!$A61,'2025-Q1'!$FW$4:$FW$448,"No"),0)</f>
        <v>2.8283376401970445E-2</v>
      </c>
      <c r="E64" s="20">
        <f>IFERROR(AVERAGEIFS('2025-Q1'!$K$4:$K$448,'2025-Q1'!$K$4:$K$448,"&gt;0",'2025-Q1'!$E$4:$E$448,'Q1-STATS'!$A61,'2025-Q1'!$FW$4:$FW$448,"NA"),0)</f>
        <v>5.3083285385185495E-2</v>
      </c>
      <c r="F64" s="584"/>
      <c r="H64" s="587"/>
    </row>
    <row r="65" spans="1:8" x14ac:dyDescent="0.25">
      <c r="H65" s="582">
        <f>F62+F67+F76</f>
        <v>9.1229849778134025</v>
      </c>
    </row>
    <row r="66" spans="1:8" ht="36" x14ac:dyDescent="0.25">
      <c r="A66" s="51" t="str">
        <f>A61</f>
        <v>XLK</v>
      </c>
      <c r="B66" s="23" t="s">
        <v>2737</v>
      </c>
      <c r="C66" s="23" t="s">
        <v>2756</v>
      </c>
      <c r="D66" s="23" t="s">
        <v>2755</v>
      </c>
      <c r="E66" s="23" t="s">
        <v>2739</v>
      </c>
      <c r="F66" s="23" t="s">
        <v>2760</v>
      </c>
      <c r="H66" s="584"/>
    </row>
    <row r="67" spans="1:8" x14ac:dyDescent="0.25">
      <c r="A67" s="29" t="s">
        <v>2743</v>
      </c>
      <c r="B67" s="30">
        <f>COUNTIFS('2025-Q1'!$K$4:$K$448,"&lt;0",'2025-Q1'!$E$4:$E$448,'Q1-STATS'!$A66)</f>
        <v>15</v>
      </c>
      <c r="C67" s="30">
        <f>SUMIFS('2025-Q1'!$GB$4:$GB$448,'2025-Q1'!$E$4:$E$448,'Q1-STATS'!$A66)</f>
        <v>4</v>
      </c>
      <c r="D67" s="30">
        <f>SUMIFS('2025-Q1'!$GC$4:$GC$448,'2025-Q1'!$E$4:$E$448,'Q1-STATS'!$A66)</f>
        <v>3</v>
      </c>
      <c r="E67" s="30">
        <f>SUMIFS('2025-Q1'!$GD$4:$GD$448,'2025-Q1'!$E$4:$E$448,'Q1-STATS'!$A66)</f>
        <v>8</v>
      </c>
      <c r="F67" s="582">
        <f>-((C69/0.06)*C67)-((D64/0.06)*D62)</f>
        <v>8.3270140329260993</v>
      </c>
    </row>
    <row r="68" spans="1:8" x14ac:dyDescent="0.25">
      <c r="A68" s="31" t="s">
        <v>2744</v>
      </c>
      <c r="B68" s="18" t="s">
        <v>2742</v>
      </c>
      <c r="C68" s="19">
        <f>C67/$B67</f>
        <v>0.26666666666666666</v>
      </c>
      <c r="D68" s="19">
        <f t="shared" ref="D68" si="10">D67/$B67</f>
        <v>0.2</v>
      </c>
      <c r="E68" s="19">
        <f t="shared" ref="E68" si="11">E67/$B67</f>
        <v>0.53333333333333333</v>
      </c>
      <c r="F68" s="583"/>
    </row>
    <row r="69" spans="1:8" x14ac:dyDescent="0.25">
      <c r="A69" s="31" t="s">
        <v>2753</v>
      </c>
      <c r="B69" s="21">
        <f>AVERAGEIFS('2025-Q1'!$K$4:$K$448,'2025-Q1'!$K$4:$K$448,"&lt;0",'2025-Q1'!$E$4:$E$448,'Q1-STATS'!$A66)</f>
        <v>-9.0432502663231301E-2</v>
      </c>
      <c r="C69" s="21">
        <f>IFERROR(AVERAGEIFS('2025-Q1'!$K$4:$K$448,'2025-Q1'!$K$4:$K$448,"&lt;0",'2025-Q1'!$E$4:$E$448,'Q1-STATS'!$A66,'2025-Q1'!$FW$4:$FW$448,"Yes"),0)</f>
        <v>-0.14611774279536932</v>
      </c>
      <c r="D69" s="21">
        <f>IFERROR(AVERAGEIFS('2025-Q1'!$K$4:$K$448,'2025-Q1'!$K$4:$K$448,"&lt;0",'2025-Q1'!$E$4:$E$448,'Q1-STATS'!$A66,'2025-Q1'!$FW$4:$FW$448,"No"),0)</f>
        <v>-6.1121758055341181E-2</v>
      </c>
      <c r="E69" s="21">
        <f>IFERROR(AVERAGEIFS('2025-Q1'!$K$4:$K$448,'2025-Q1'!$K$4:$K$448,"&lt;0",'2025-Q1'!$E$4:$E$448,'Q1-STATS'!$A66,'2025-Q1'!$FW$4:$FW$448,"NA"),0)</f>
        <v>-7.358141182512111E-2</v>
      </c>
      <c r="F69" s="584"/>
    </row>
    <row r="71" spans="1:8" ht="24.75" x14ac:dyDescent="0.25">
      <c r="A71" s="52" t="str">
        <f>A61</f>
        <v>XLK</v>
      </c>
      <c r="B71" s="25" t="s">
        <v>2749</v>
      </c>
      <c r="C71" s="25" t="s">
        <v>2750</v>
      </c>
      <c r="D71" s="26" t="s">
        <v>2751</v>
      </c>
      <c r="E71" s="26" t="s">
        <v>2752</v>
      </c>
      <c r="F71" s="24" t="s">
        <v>2763</v>
      </c>
    </row>
    <row r="72" spans="1:8" x14ac:dyDescent="0.25">
      <c r="A72" s="32" t="s">
        <v>2757</v>
      </c>
      <c r="B72" s="14">
        <f>B62</f>
        <v>18</v>
      </c>
      <c r="C72" s="588">
        <f>B64</f>
        <v>5.0256941925896775E-2</v>
      </c>
      <c r="D72" s="30">
        <f>B67</f>
        <v>15</v>
      </c>
      <c r="E72" s="590">
        <f>B69</f>
        <v>-9.0432502663231301E-2</v>
      </c>
      <c r="F72" s="582">
        <f>((C72/0.06)*B72)+((E72/0.06)*D72)</f>
        <v>-7.5310430880387944</v>
      </c>
    </row>
    <row r="73" spans="1:8" x14ac:dyDescent="0.25">
      <c r="A73" s="36" t="s">
        <v>2758</v>
      </c>
      <c r="B73" s="34">
        <f>B72/(B72+D72)</f>
        <v>0.54545454545454541</v>
      </c>
      <c r="C73" s="589"/>
      <c r="D73" s="35">
        <f>1-B73</f>
        <v>0.45454545454545459</v>
      </c>
      <c r="E73" s="591"/>
      <c r="F73" s="584"/>
    </row>
    <row r="75" spans="1:8" ht="38.25" x14ac:dyDescent="0.25">
      <c r="A75" s="52" t="str">
        <f>A61</f>
        <v>XLK</v>
      </c>
      <c r="B75" s="25" t="s">
        <v>2749</v>
      </c>
      <c r="C75" s="25" t="s">
        <v>2750</v>
      </c>
      <c r="D75" s="26" t="s">
        <v>2751</v>
      </c>
      <c r="E75" s="26" t="s">
        <v>2752</v>
      </c>
      <c r="F75" s="24" t="s">
        <v>2761</v>
      </c>
      <c r="G75" s="37" t="s">
        <v>2762</v>
      </c>
    </row>
    <row r="76" spans="1:8" x14ac:dyDescent="0.25">
      <c r="A76" s="32" t="s">
        <v>2748</v>
      </c>
      <c r="B76" s="15">
        <f>E62</f>
        <v>8</v>
      </c>
      <c r="C76" s="595">
        <f>AVERAGEIFS('2025-Q1'!$K$4:$K$448,'2025-Q1'!$K$4:$K$448,"&gt;0",'2025-Q1'!$FW$4:$FW$448,"NA",'2025-Q1'!$E$4:$E$448,'Q1-STATS'!$A61)</f>
        <v>5.3083285385185495E-2</v>
      </c>
      <c r="D76" s="39">
        <f>E67</f>
        <v>8</v>
      </c>
      <c r="E76" s="596">
        <f>IFERROR(AVERAGEIFS('2025-Q1'!$K$4:$K$448,'2025-Q1'!$K$4:$K$448,"&lt;0",'2025-Q1'!$FW$4:$FW$448,"NA",'2025-Q1'!$E$4:$E$448,'Q1-STATS'!$A61),0)</f>
        <v>-7.358141182512111E-2</v>
      </c>
      <c r="F76" s="593">
        <f>((C76/0.06)*B76)+((E76/0.06)*D76)</f>
        <v>-2.7330835253247487</v>
      </c>
      <c r="G76" s="593">
        <f>-((E76/0.06)*D76)-((C76/0.06)*B76)</f>
        <v>2.7330835253247487</v>
      </c>
    </row>
    <row r="77" spans="1:8" x14ac:dyDescent="0.25">
      <c r="A77" s="36" t="s">
        <v>2758</v>
      </c>
      <c r="B77" s="38">
        <f>(B76/(B76+D76))</f>
        <v>0.5</v>
      </c>
      <c r="C77" s="595"/>
      <c r="D77" s="33">
        <f>IF(AND(B76=0,D76=0),0,1-B77)</f>
        <v>0.5</v>
      </c>
      <c r="E77" s="597"/>
      <c r="F77" s="593"/>
      <c r="G77" s="593"/>
    </row>
    <row r="78" spans="1:8" x14ac:dyDescent="0.25">
      <c r="A78" s="47"/>
      <c r="B78" s="47"/>
      <c r="C78" s="47"/>
      <c r="D78" s="47"/>
      <c r="E78" s="47"/>
      <c r="F78" s="47"/>
      <c r="G78" s="47"/>
    </row>
    <row r="79" spans="1:8" x14ac:dyDescent="0.25">
      <c r="A79" s="47"/>
      <c r="B79" s="47"/>
      <c r="C79" s="47"/>
      <c r="D79" s="47"/>
      <c r="E79" s="47"/>
      <c r="F79" s="47"/>
      <c r="G79" s="47"/>
    </row>
    <row r="80" spans="1:8" x14ac:dyDescent="0.25">
      <c r="A80" s="47"/>
      <c r="B80" s="47"/>
      <c r="C80" s="47"/>
      <c r="D80" s="47"/>
      <c r="E80" s="47"/>
      <c r="F80" s="47"/>
      <c r="G80" s="47"/>
    </row>
    <row r="81" spans="1:8" ht="36" x14ac:dyDescent="0.25">
      <c r="A81" s="55" t="s">
        <v>4726</v>
      </c>
      <c r="B81" s="24" t="s">
        <v>2737</v>
      </c>
      <c r="C81" s="24" t="s">
        <v>2754</v>
      </c>
      <c r="D81" s="24" t="s">
        <v>2755</v>
      </c>
      <c r="E81" s="24" t="s">
        <v>2739</v>
      </c>
      <c r="F81" s="24" t="s">
        <v>2759</v>
      </c>
    </row>
    <row r="82" spans="1:8" x14ac:dyDescent="0.25">
      <c r="A82" s="28" t="s">
        <v>2736</v>
      </c>
      <c r="B82" s="14">
        <f>COUNTIFS('2025-Q1'!$K$4:$K$448,"&gt;0",'2025-Q1'!$E$4:$E$448,'Q1-STATS'!$A81)</f>
        <v>0</v>
      </c>
      <c r="C82" s="14">
        <f>SUMIFS('2025-Q1'!$FX$4:$FX$448,'2025-Q1'!$E$4:$E$448,'Q1-STATS'!$A81)</f>
        <v>0</v>
      </c>
      <c r="D82" s="14">
        <f>SUMIFS('2025-Q1'!$FY$4:$FY$448,'2025-Q1'!$E$4:$E$448,'Q1-STATS'!$A81)</f>
        <v>0</v>
      </c>
      <c r="E82" s="14">
        <f>SUMIFS('2025-Q1'!$FZ$4:$FZ$448,'2025-Q1'!$E$4:$E$448,'Q1-STATS'!$A81)</f>
        <v>0</v>
      </c>
      <c r="F82" s="582">
        <f>((C84/0.06)*C82)+((D89/0.06)*D87)</f>
        <v>0</v>
      </c>
      <c r="H82" s="585" t="s">
        <v>4729</v>
      </c>
    </row>
    <row r="83" spans="1:8" x14ac:dyDescent="0.25">
      <c r="A83" s="27" t="s">
        <v>2741</v>
      </c>
      <c r="B83" s="16" t="s">
        <v>2742</v>
      </c>
      <c r="C83" s="17">
        <f>IFERROR(C82/$B82,0)</f>
        <v>0</v>
      </c>
      <c r="D83" s="17">
        <f>IFERROR(D82/$B82,0)</f>
        <v>0</v>
      </c>
      <c r="E83" s="17">
        <f>IFERROR(E82/$B82,0)</f>
        <v>0</v>
      </c>
      <c r="F83" s="583"/>
      <c r="H83" s="586"/>
    </row>
    <row r="84" spans="1:8" x14ac:dyDescent="0.25">
      <c r="A84" s="27" t="s">
        <v>2753</v>
      </c>
      <c r="B84" s="20">
        <f>IFERROR(AVERAGEIFS('2025-Q1'!$K$4:$K$448,'2025-Q1'!$K$4:$K$448,"&gt;0",'2025-Q1'!$E$4:$E$448,'Q1-STATS'!$A81),0)</f>
        <v>0</v>
      </c>
      <c r="C84" s="20">
        <f>IFERROR(AVERAGEIFS('2025-Q1'!$K$4:$K$448,'2025-Q1'!$K$4:$K$448,"&gt;0",'2025-Q1'!$E$4:$E$448,'Q1-STATS'!$A81,'2025-Q1'!$FW$4:$FW$448,"Yes"),0)</f>
        <v>0</v>
      </c>
      <c r="D84" s="20">
        <f>IFERROR(AVERAGEIFS('2025-Q1'!$K$4:$K$448,'2025-Q1'!$K$4:$K$448,"&gt;0",'2025-Q1'!$E$4:$E$448,'Q1-STATS'!$A81,'2025-Q1'!$FW$4:$FW$448,"No"),0)</f>
        <v>0</v>
      </c>
      <c r="E84" s="20">
        <f>IFERROR(AVERAGEIFS('2025-Q1'!$K$4:$K$448,'2025-Q1'!$K$4:$K$448,"&gt;0",'2025-Q1'!$E$4:$E$448,'Q1-STATS'!$A81,'2025-Q1'!$FW$4:$FW$448,"NA"),0)</f>
        <v>0</v>
      </c>
      <c r="F84" s="584"/>
      <c r="H84" s="587"/>
    </row>
    <row r="85" spans="1:8" x14ac:dyDescent="0.25">
      <c r="H85" s="582">
        <f>F82+F87+F96</f>
        <v>0</v>
      </c>
    </row>
    <row r="86" spans="1:8" ht="36" x14ac:dyDescent="0.25">
      <c r="A86" s="51" t="str">
        <f>A81</f>
        <v>XLU</v>
      </c>
      <c r="B86" s="23" t="s">
        <v>2737</v>
      </c>
      <c r="C86" s="23" t="s">
        <v>2756</v>
      </c>
      <c r="D86" s="23" t="s">
        <v>2755</v>
      </c>
      <c r="E86" s="23" t="s">
        <v>2739</v>
      </c>
      <c r="F86" s="23" t="s">
        <v>2760</v>
      </c>
      <c r="H86" s="584"/>
    </row>
    <row r="87" spans="1:8" x14ac:dyDescent="0.25">
      <c r="A87" s="29" t="s">
        <v>2743</v>
      </c>
      <c r="B87" s="30">
        <f>COUNTIFS('2025-Q1'!$K$4:$K$448,"&lt;0",'2025-Q1'!$E$4:$E$448,'Q1-STATS'!$A86)</f>
        <v>0</v>
      </c>
      <c r="C87" s="30">
        <f>SUMIFS('2025-Q1'!$GB$4:$GB$448,'2025-Q1'!$E$4:$E$448,'Q1-STATS'!$A86)</f>
        <v>0</v>
      </c>
      <c r="D87" s="30">
        <f>SUMIFS('2025-Q1'!$GC$4:$GC$448,'2025-Q1'!$E$4:$E$448,'Q1-STATS'!$A86)</f>
        <v>0</v>
      </c>
      <c r="E87" s="30">
        <f>SUMIFS('2025-Q1'!$GD$4:$GD$448,'2025-Q1'!$E$4:$E$448,'Q1-STATS'!$A86)</f>
        <v>0</v>
      </c>
      <c r="F87" s="582">
        <f>-((C89/0.06)*C87)-((D84/0.06)*D82)</f>
        <v>0</v>
      </c>
    </row>
    <row r="88" spans="1:8" x14ac:dyDescent="0.25">
      <c r="A88" s="31" t="s">
        <v>2744</v>
      </c>
      <c r="B88" s="18" t="s">
        <v>2742</v>
      </c>
      <c r="C88" s="19">
        <f>IFERROR(C87/$B87,0)</f>
        <v>0</v>
      </c>
      <c r="D88" s="19">
        <f>IFERROR(D87/$B87,0)</f>
        <v>0</v>
      </c>
      <c r="E88" s="19">
        <f>IFERROR(E87/$B87,0)</f>
        <v>0</v>
      </c>
      <c r="F88" s="583"/>
    </row>
    <row r="89" spans="1:8" x14ac:dyDescent="0.25">
      <c r="A89" s="31" t="s">
        <v>2753</v>
      </c>
      <c r="B89" s="21">
        <f>IFERROR(AVERAGEIFS('2025-Q1'!$K$4:$K$448,'2025-Q1'!$K$4:$K$448,"&lt;0",'2025-Q1'!$E$4:$E$448,'Q1-STATS'!$A86),0)</f>
        <v>0</v>
      </c>
      <c r="C89" s="21">
        <f>IFERROR(AVERAGEIFS('2025-Q1'!$K$4:$K$448,'2025-Q1'!$K$4:$K$448,"&lt;0",'2025-Q1'!$E$4:$E$448,'Q1-STATS'!$A86,'2025-Q1'!$FW$4:$FW$448,"Yes"),0)</f>
        <v>0</v>
      </c>
      <c r="D89" s="21">
        <f>IFERROR(AVERAGEIFS('2025-Q1'!$K$4:$K$448,'2025-Q1'!$K$4:$K$448,"&lt;0",'2025-Q1'!$E$4:$E$448,'Q1-STATS'!$A86,'2025-Q1'!$FW$4:$FW$448,"No"),0)</f>
        <v>0</v>
      </c>
      <c r="E89" s="21">
        <f>IFERROR(AVERAGEIFS('2025-Q1'!$K$4:$K$448,'2025-Q1'!$K$4:$K$448,"&lt;0",'2025-Q1'!$E$4:$E$448,'Q1-STATS'!$A86,'2025-Q1'!$FW$4:$FW$448,"NA"),0)</f>
        <v>0</v>
      </c>
      <c r="F89" s="584"/>
    </row>
    <row r="91" spans="1:8" ht="24.75" x14ac:dyDescent="0.25">
      <c r="A91" s="52" t="str">
        <f>A81</f>
        <v>XLU</v>
      </c>
      <c r="B91" s="25" t="s">
        <v>2749</v>
      </c>
      <c r="C91" s="25" t="s">
        <v>2750</v>
      </c>
      <c r="D91" s="26" t="s">
        <v>2751</v>
      </c>
      <c r="E91" s="26" t="s">
        <v>2752</v>
      </c>
      <c r="F91" s="24" t="s">
        <v>2763</v>
      </c>
    </row>
    <row r="92" spans="1:8" x14ac:dyDescent="0.25">
      <c r="A92" s="32" t="s">
        <v>2757</v>
      </c>
      <c r="B92" s="14">
        <f>B82</f>
        <v>0</v>
      </c>
      <c r="C92" s="588">
        <f>IFERROR(B84,0)</f>
        <v>0</v>
      </c>
      <c r="D92" s="30">
        <f>B87</f>
        <v>0</v>
      </c>
      <c r="E92" s="590">
        <f>B89</f>
        <v>0</v>
      </c>
      <c r="F92" s="582">
        <f>((C92/0.06)*B92)+((E92/0.06)*D92)</f>
        <v>0</v>
      </c>
    </row>
    <row r="93" spans="1:8" x14ac:dyDescent="0.25">
      <c r="A93" s="36" t="s">
        <v>2758</v>
      </c>
      <c r="B93" s="34" t="e">
        <f>B92/(B92+D92)</f>
        <v>#DIV/0!</v>
      </c>
      <c r="C93" s="589"/>
      <c r="D93" s="35" t="e">
        <f>1-B93</f>
        <v>#DIV/0!</v>
      </c>
      <c r="E93" s="591"/>
      <c r="F93" s="584"/>
    </row>
    <row r="95" spans="1:8" ht="38.25" x14ac:dyDescent="0.25">
      <c r="A95" s="52" t="str">
        <f>A81</f>
        <v>XLU</v>
      </c>
      <c r="B95" s="25" t="s">
        <v>2749</v>
      </c>
      <c r="C95" s="25" t="s">
        <v>2750</v>
      </c>
      <c r="D95" s="26" t="s">
        <v>2751</v>
      </c>
      <c r="E95" s="26" t="s">
        <v>2752</v>
      </c>
      <c r="F95" s="24" t="s">
        <v>2761</v>
      </c>
      <c r="G95" s="37" t="s">
        <v>2762</v>
      </c>
    </row>
    <row r="96" spans="1:8" x14ac:dyDescent="0.25">
      <c r="A96" s="32" t="s">
        <v>2748</v>
      </c>
      <c r="B96" s="15">
        <f>E82</f>
        <v>0</v>
      </c>
      <c r="C96" s="595">
        <f>IFERROR(AVERAGEIFS('2025-Q1'!$K$4:$K$448,'2025-Q1'!$K$4:$K$448,"&gt;0",'2025-Q1'!$FW$4:$FW$448,"NA",'2025-Q1'!$E$4:$E$448,'Q1-STATS'!$A81),0)</f>
        <v>0</v>
      </c>
      <c r="D96" s="39">
        <f>E87</f>
        <v>0</v>
      </c>
      <c r="E96" s="596">
        <f>IFERROR(AVERAGEIFS('2025-Q1'!$K$4:$K$448,'2025-Q1'!$K$4:$K$448,"&lt;0",'2025-Q1'!$FW$4:$FW$448,"NA",'2025-Q1'!$E$4:$E$448,'Q1-STATS'!$A81),0)</f>
        <v>0</v>
      </c>
      <c r="F96" s="593">
        <f>((C96/0.06)*B96)+((E96/0.06)*D96)</f>
        <v>0</v>
      </c>
      <c r="G96" s="594">
        <f>-((E96/0.06)*D96)-((C96/0.06)*B96)</f>
        <v>0</v>
      </c>
    </row>
    <row r="97" spans="1:8" x14ac:dyDescent="0.25">
      <c r="A97" s="36" t="s">
        <v>2758</v>
      </c>
      <c r="B97" s="38">
        <f>IFERROR((B96/(B96+D96)),0)</f>
        <v>0</v>
      </c>
      <c r="C97" s="595"/>
      <c r="D97" s="33">
        <f>IF(AND(B96=0,D96=0),0,1-B97)</f>
        <v>0</v>
      </c>
      <c r="E97" s="597"/>
      <c r="F97" s="593"/>
      <c r="G97" s="594"/>
    </row>
    <row r="98" spans="1:8" x14ac:dyDescent="0.25">
      <c r="A98" s="47"/>
      <c r="B98" s="47"/>
      <c r="C98" s="47"/>
      <c r="D98" s="47"/>
      <c r="E98" s="47"/>
      <c r="F98" s="47"/>
      <c r="G98" s="47"/>
    </row>
    <row r="99" spans="1:8" x14ac:dyDescent="0.25">
      <c r="A99" s="47"/>
      <c r="B99" s="47"/>
      <c r="C99" s="47"/>
      <c r="D99" s="47"/>
      <c r="E99" s="47"/>
      <c r="F99" s="47"/>
      <c r="G99" s="47"/>
    </row>
    <row r="100" spans="1:8" x14ac:dyDescent="0.25">
      <c r="A100" s="47"/>
      <c r="B100" s="47"/>
      <c r="C100" s="47"/>
      <c r="D100" s="47"/>
      <c r="E100" s="47"/>
      <c r="F100" s="47"/>
      <c r="G100" s="47"/>
    </row>
    <row r="101" spans="1:8" ht="36" x14ac:dyDescent="0.25">
      <c r="A101" s="55" t="s">
        <v>4719</v>
      </c>
      <c r="B101" s="24" t="s">
        <v>2737</v>
      </c>
      <c r="C101" s="24" t="s">
        <v>2754</v>
      </c>
      <c r="D101" s="24" t="s">
        <v>2755</v>
      </c>
      <c r="E101" s="24" t="s">
        <v>2739</v>
      </c>
      <c r="F101" s="24" t="s">
        <v>2759</v>
      </c>
    </row>
    <row r="102" spans="1:8" x14ac:dyDescent="0.25">
      <c r="A102" s="28" t="s">
        <v>2736</v>
      </c>
      <c r="B102" s="14">
        <f>COUNTIFS('2025-Q1'!$K$4:$K$448,"&gt;0",'2025-Q1'!$E$4:$E$448,'Q1-STATS'!$A101)</f>
        <v>12</v>
      </c>
      <c r="C102" s="14">
        <f>SUMIFS('2025-Q1'!$FX$4:$FX$448,'2025-Q1'!$E$4:$E$448,'Q1-STATS'!$A101)</f>
        <v>5</v>
      </c>
      <c r="D102" s="14">
        <f>SUMIFS('2025-Q1'!$FY$4:$FY$448,'2025-Q1'!$E$4:$E$448,'Q1-STATS'!$A101)</f>
        <v>3</v>
      </c>
      <c r="E102" s="14">
        <f>SUMIFS('2025-Q1'!$FZ$4:$FZ$448,'2025-Q1'!$E$4:$E$448,'Q1-STATS'!$A101)</f>
        <v>4</v>
      </c>
      <c r="F102" s="582">
        <f>((C104/0.06)*C102)+((D109/0.06)*D107)</f>
        <v>2.6115886120781608</v>
      </c>
      <c r="H102" s="585" t="s">
        <v>4729</v>
      </c>
    </row>
    <row r="103" spans="1:8" x14ac:dyDescent="0.25">
      <c r="A103" s="27" t="s">
        <v>2741</v>
      </c>
      <c r="B103" s="16" t="s">
        <v>2742</v>
      </c>
      <c r="C103" s="17">
        <f>IFERROR(C102/$B102,0)</f>
        <v>0.41666666666666669</v>
      </c>
      <c r="D103" s="17">
        <f>IFERROR(D102/$B102,0)</f>
        <v>0.25</v>
      </c>
      <c r="E103" s="17">
        <f>IFERROR(E102/$B102,0)</f>
        <v>0.33333333333333331</v>
      </c>
      <c r="F103" s="583"/>
      <c r="H103" s="586"/>
    </row>
    <row r="104" spans="1:8" x14ac:dyDescent="0.25">
      <c r="A104" s="27" t="s">
        <v>2753</v>
      </c>
      <c r="B104" s="20">
        <f>IFERROR(AVERAGEIFS('2025-Q1'!$K$4:$K$448,'2025-Q1'!$K$4:$K$448,"&gt;0",'2025-Q1'!$E$4:$E$448,'Q1-STATS'!$A101),0)</f>
        <v>5.3699418574220274E-2</v>
      </c>
      <c r="C104" s="20">
        <f>IFERROR(AVERAGEIFS('2025-Q1'!$K$4:$K$448,'2025-Q1'!$K$4:$K$448,"&gt;0",'2025-Q1'!$E$4:$E$448,'Q1-STATS'!$A101,'2025-Q1'!$FW$4:$FW$448,"Yes"),0)</f>
        <v>4.5406753875003897E-2</v>
      </c>
      <c r="D104" s="20">
        <f>IFERROR(AVERAGEIFS('2025-Q1'!$K$4:$K$448,'2025-Q1'!$K$4:$K$448,"&gt;0",'2025-Q1'!$E$4:$E$448,'Q1-STATS'!$A101,'2025-Q1'!$FW$4:$FW$448,"No"),0)</f>
        <v>3.2688841428966615E-2</v>
      </c>
      <c r="E104" s="20">
        <f>IFERROR(AVERAGEIFS('2025-Q1'!$K$4:$K$448,'2025-Q1'!$K$4:$K$448,"&gt;0",'2025-Q1'!$E$4:$E$448,'Q1-STATS'!$A101,'2025-Q1'!$FW$4:$FW$448,"NA"),0)</f>
        <v>7.9823182307181023E-2</v>
      </c>
      <c r="F104" s="584"/>
      <c r="H104" s="587"/>
    </row>
    <row r="105" spans="1:8" x14ac:dyDescent="0.25">
      <c r="H105" s="582">
        <f>F102+F107+F116</f>
        <v>6.6231365866513752</v>
      </c>
    </row>
    <row r="106" spans="1:8" ht="36" x14ac:dyDescent="0.25">
      <c r="A106" s="51" t="str">
        <f>A101</f>
        <v>XLC</v>
      </c>
      <c r="B106" s="23" t="s">
        <v>2737</v>
      </c>
      <c r="C106" s="23" t="s">
        <v>2756</v>
      </c>
      <c r="D106" s="23" t="s">
        <v>2755</v>
      </c>
      <c r="E106" s="23" t="s">
        <v>2739</v>
      </c>
      <c r="F106" s="23" t="s">
        <v>2760</v>
      </c>
      <c r="H106" s="584"/>
    </row>
    <row r="107" spans="1:8" x14ac:dyDescent="0.25">
      <c r="A107" s="29" t="s">
        <v>2743</v>
      </c>
      <c r="B107" s="30">
        <f>COUNTIFS('2025-Q1'!$K$4:$K$448,"&lt;0",'2025-Q1'!$E$4:$E$448,'Q1-STATS'!$A106)</f>
        <v>5</v>
      </c>
      <c r="C107" s="30">
        <f>SUMIFS('2025-Q1'!$GB$4:$GB$448,'2025-Q1'!$E$4:$E$448,'Q1-STATS'!$A106)</f>
        <v>2</v>
      </c>
      <c r="D107" s="30">
        <f>SUMIFS('2025-Q1'!$GC$4:$GC$448,'2025-Q1'!$E$4:$E$448,'Q1-STATS'!$A106)</f>
        <v>1</v>
      </c>
      <c r="E107" s="30">
        <f>SUMIFS('2025-Q1'!$GD$4:$GD$448,'2025-Q1'!$E$4:$E$448,'Q1-STATS'!$A106)</f>
        <v>2</v>
      </c>
      <c r="F107" s="582">
        <f>-((C109/0.06)*C107)-((D104/0.06)*D102)</f>
        <v>-0.20019456907279887</v>
      </c>
    </row>
    <row r="108" spans="1:8" x14ac:dyDescent="0.25">
      <c r="A108" s="31" t="s">
        <v>2744</v>
      </c>
      <c r="B108" s="18" t="s">
        <v>2742</v>
      </c>
      <c r="C108" s="19">
        <f>IFERROR(C107/$B107,0)</f>
        <v>0.4</v>
      </c>
      <c r="D108" s="19">
        <f>IFERROR(D107/$B107,0)</f>
        <v>0.2</v>
      </c>
      <c r="E108" s="19">
        <f>IFERROR(E107/$B107,0)</f>
        <v>0.4</v>
      </c>
      <c r="F108" s="583"/>
    </row>
    <row r="109" spans="1:8" x14ac:dyDescent="0.25">
      <c r="A109" s="31" t="s">
        <v>2753</v>
      </c>
      <c r="B109" s="21">
        <f>IFERROR(AVERAGEIFS('2025-Q1'!$K$4:$K$448,'2025-Q1'!$K$4:$K$448,"&lt;0",'2025-Q1'!$E$4:$E$448,'Q1-STATS'!$A106),0)</f>
        <v>-4.4596295880565032E-2</v>
      </c>
      <c r="C109" s="21">
        <f>IFERROR(AVERAGEIFS('2025-Q1'!$K$4:$K$448,'2025-Q1'!$K$4:$K$448,"&lt;0",'2025-Q1'!$E$4:$E$448,'Q1-STATS'!$A106,'2025-Q1'!$FW$4:$FW$448,"Yes"),0)</f>
        <v>-4.3027425071265959E-2</v>
      </c>
      <c r="D109" s="21">
        <f>IFERROR(AVERAGEIFS('2025-Q1'!$K$4:$K$448,'2025-Q1'!$K$4:$K$448,"&lt;0",'2025-Q1'!$E$4:$E$448,'Q1-STATS'!$A106,'2025-Q1'!$FW$4:$FW$448,"No"),0)</f>
        <v>-7.0338452650329855E-2</v>
      </c>
      <c r="E109" s="21">
        <f>IFERROR(AVERAGEIFS('2025-Q1'!$K$4:$K$448,'2025-Q1'!$K$4:$K$448,"&lt;0",'2025-Q1'!$E$4:$E$448,'Q1-STATS'!$A106,'2025-Q1'!$FW$4:$FW$448,"NA"),0)</f>
        <v>-3.3294088304981671E-2</v>
      </c>
      <c r="F109" s="584"/>
    </row>
    <row r="111" spans="1:8" ht="24.75" x14ac:dyDescent="0.25">
      <c r="A111" s="52" t="str">
        <f>A101</f>
        <v>XLC</v>
      </c>
      <c r="B111" s="25" t="s">
        <v>2749</v>
      </c>
      <c r="C111" s="25" t="s">
        <v>2750</v>
      </c>
      <c r="D111" s="26" t="s">
        <v>2751</v>
      </c>
      <c r="E111" s="26" t="s">
        <v>2752</v>
      </c>
      <c r="F111" s="24" t="s">
        <v>2763</v>
      </c>
    </row>
    <row r="112" spans="1:8" x14ac:dyDescent="0.25">
      <c r="A112" s="32" t="s">
        <v>2757</v>
      </c>
      <c r="B112" s="14">
        <f>B102</f>
        <v>12</v>
      </c>
      <c r="C112" s="588">
        <f>IFERROR(B104,0)</f>
        <v>5.3699418574220274E-2</v>
      </c>
      <c r="D112" s="30">
        <f>B107</f>
        <v>5</v>
      </c>
      <c r="E112" s="590">
        <f>B109</f>
        <v>-4.4596295880565032E-2</v>
      </c>
      <c r="F112" s="582">
        <f>((C112/0.06)*B112)+((E112/0.06)*D112)</f>
        <v>7.0235257247969685</v>
      </c>
    </row>
    <row r="113" spans="1:8" x14ac:dyDescent="0.25">
      <c r="A113" s="36" t="s">
        <v>2758</v>
      </c>
      <c r="B113" s="34">
        <f>B112/(B112+D112)</f>
        <v>0.70588235294117652</v>
      </c>
      <c r="C113" s="589"/>
      <c r="D113" s="35">
        <f>1-B113</f>
        <v>0.29411764705882348</v>
      </c>
      <c r="E113" s="591"/>
      <c r="F113" s="584"/>
    </row>
    <row r="115" spans="1:8" ht="38.25" x14ac:dyDescent="0.25">
      <c r="A115" s="52" t="str">
        <f>A101</f>
        <v>XLC</v>
      </c>
      <c r="B115" s="25" t="s">
        <v>2749</v>
      </c>
      <c r="C115" s="25" t="s">
        <v>2750</v>
      </c>
      <c r="D115" s="26" t="s">
        <v>2751</v>
      </c>
      <c r="E115" s="26" t="s">
        <v>2752</v>
      </c>
      <c r="F115" s="24" t="s">
        <v>2761</v>
      </c>
      <c r="G115" s="37" t="s">
        <v>2762</v>
      </c>
    </row>
    <row r="116" spans="1:8" x14ac:dyDescent="0.25">
      <c r="A116" s="32" t="s">
        <v>2748</v>
      </c>
      <c r="B116" s="15">
        <f>E102</f>
        <v>4</v>
      </c>
      <c r="C116" s="595">
        <f>IFERROR(AVERAGEIFS('2025-Q1'!$K$4:$K$448,'2025-Q1'!$K$4:$K$448,"&gt;0",'2025-Q1'!$FW$4:$FW$448,"NA",'2025-Q1'!$E$4:$E$448,'Q1-STATS'!$A101),0)</f>
        <v>7.9823182307181023E-2</v>
      </c>
      <c r="D116" s="39">
        <f>E107</f>
        <v>2</v>
      </c>
      <c r="E116" s="596">
        <f>IFERROR(AVERAGEIFS('2025-Q1'!$K$4:$K$448,'2025-Q1'!$K$4:$K$448,"&lt;0",'2025-Q1'!$FW$4:$FW$448,"NA",'2025-Q1'!$E$4:$E$448,'Q1-STATS'!$A101),0)</f>
        <v>-3.3294088304981671E-2</v>
      </c>
      <c r="F116" s="593">
        <f>((C116/0.06)*B116)+((E116/0.06)*D116)</f>
        <v>4.2117425436460127</v>
      </c>
      <c r="G116" s="594">
        <f>-((E116/0.06)*D116)-((C116/0.06)*B116)</f>
        <v>-4.2117425436460127</v>
      </c>
    </row>
    <row r="117" spans="1:8" x14ac:dyDescent="0.25">
      <c r="A117" s="36" t="s">
        <v>2758</v>
      </c>
      <c r="B117" s="38">
        <f>IFERROR((B116/(B116+D116)),0)</f>
        <v>0.66666666666666663</v>
      </c>
      <c r="C117" s="595"/>
      <c r="D117" s="33">
        <f>IF(AND(B116=0,D116=0),0,1-B117)</f>
        <v>0.33333333333333337</v>
      </c>
      <c r="E117" s="597"/>
      <c r="F117" s="593"/>
      <c r="G117" s="594"/>
    </row>
    <row r="118" spans="1:8" x14ac:dyDescent="0.25">
      <c r="A118" s="47"/>
      <c r="B118" s="47"/>
      <c r="C118" s="47"/>
      <c r="D118" s="47"/>
      <c r="E118" s="47"/>
      <c r="F118" s="47"/>
      <c r="G118" s="47"/>
    </row>
    <row r="119" spans="1:8" x14ac:dyDescent="0.25">
      <c r="A119" s="47"/>
      <c r="B119" s="47"/>
      <c r="C119" s="47"/>
      <c r="D119" s="47"/>
      <c r="E119" s="47"/>
      <c r="F119" s="47"/>
      <c r="G119" s="47"/>
    </row>
    <row r="120" spans="1:8" x14ac:dyDescent="0.25">
      <c r="A120" s="47"/>
      <c r="B120" s="47"/>
      <c r="C120" s="47"/>
      <c r="D120" s="47"/>
      <c r="E120" s="47"/>
      <c r="F120" s="47"/>
      <c r="G120" s="47"/>
    </row>
    <row r="121" spans="1:8" ht="36" x14ac:dyDescent="0.25">
      <c r="A121" s="55" t="s">
        <v>4722</v>
      </c>
      <c r="B121" s="24" t="s">
        <v>2737</v>
      </c>
      <c r="C121" s="24" t="s">
        <v>2754</v>
      </c>
      <c r="D121" s="24" t="s">
        <v>2755</v>
      </c>
      <c r="E121" s="24" t="s">
        <v>2739</v>
      </c>
      <c r="F121" s="24" t="s">
        <v>2759</v>
      </c>
    </row>
    <row r="122" spans="1:8" x14ac:dyDescent="0.25">
      <c r="A122" s="28" t="s">
        <v>2736</v>
      </c>
      <c r="B122" s="14">
        <f>COUNTIFS('2025-Q1'!$K$4:$K$448,"&gt;0",'2025-Q1'!$E$4:$E$448,'Q1-STATS'!$A121)</f>
        <v>32</v>
      </c>
      <c r="C122" s="14">
        <f>SUMIFS('2025-Q1'!$FX$4:$FX$448,'2025-Q1'!$E$4:$E$448,'Q1-STATS'!$A121)</f>
        <v>9</v>
      </c>
      <c r="D122" s="14">
        <f>SUMIFS('2025-Q1'!$FY$4:$FY$448,'2025-Q1'!$E$4:$E$448,'Q1-STATS'!$A121)</f>
        <v>5</v>
      </c>
      <c r="E122" s="14">
        <f>SUMIFS('2025-Q1'!$FZ$4:$FZ$448,'2025-Q1'!$E$4:$E$448,'Q1-STATS'!$A121)</f>
        <v>18</v>
      </c>
      <c r="F122" s="582">
        <f>((C124/0.06)*C122)+((D129/0.06)*D127)</f>
        <v>-0.65990421956732437</v>
      </c>
      <c r="H122" s="585" t="s">
        <v>4729</v>
      </c>
    </row>
    <row r="123" spans="1:8" x14ac:dyDescent="0.25">
      <c r="A123" s="27" t="s">
        <v>2741</v>
      </c>
      <c r="B123" s="16" t="s">
        <v>2742</v>
      </c>
      <c r="C123" s="17">
        <f>IFERROR(C122/$B122,0)</f>
        <v>0.28125</v>
      </c>
      <c r="D123" s="17">
        <f>IFERROR(D122/$B122,0)</f>
        <v>0.15625</v>
      </c>
      <c r="E123" s="17">
        <f>IFERROR(E122/$B122,0)</f>
        <v>0.5625</v>
      </c>
      <c r="F123" s="583"/>
      <c r="H123" s="586"/>
    </row>
    <row r="124" spans="1:8" x14ac:dyDescent="0.25">
      <c r="A124" s="27" t="s">
        <v>2753</v>
      </c>
      <c r="B124" s="20">
        <f>IFERROR(AVERAGEIFS('2025-Q1'!$K$4:$K$448,'2025-Q1'!$K$4:$K$448,"&gt;0",'2025-Q1'!$E$4:$E$448,'Q1-STATS'!$A121),0)</f>
        <v>4.0220655311802127E-2</v>
      </c>
      <c r="C124" s="20">
        <f>IFERROR(AVERAGEIFS('2025-Q1'!$K$4:$K$448,'2025-Q1'!$K$4:$K$448,"&gt;0",'2025-Q1'!$E$4:$E$448,'Q1-STATS'!$A121,'2025-Q1'!$FW$4:$FW$448,"Yes"),0)</f>
        <v>3.2278613207774705E-2</v>
      </c>
      <c r="D124" s="20">
        <f>IFERROR(AVERAGEIFS('2025-Q1'!$K$4:$K$448,'2025-Q1'!$K$4:$K$448,"&gt;0",'2025-Q1'!$E$4:$E$448,'Q1-STATS'!$A121,'2025-Q1'!$FW$4:$FW$448,"No"),0)</f>
        <v>2.2576472125553526E-2</v>
      </c>
      <c r="E124" s="20">
        <f>IFERROR(AVERAGEIFS('2025-Q1'!$K$4:$K$448,'2025-Q1'!$K$4:$K$448,"&gt;0",'2025-Q1'!$E$4:$E$448,'Q1-STATS'!$A121,'2025-Q1'!$FW$4:$FW$448,"NA"),0)</f>
        <v>4.9092838359996012E-2</v>
      </c>
      <c r="F124" s="584"/>
      <c r="H124" s="587"/>
    </row>
    <row r="125" spans="1:8" x14ac:dyDescent="0.25">
      <c r="H125" s="582">
        <f>F122+F127+F136</f>
        <v>4.8826011461152978</v>
      </c>
    </row>
    <row r="126" spans="1:8" ht="36" x14ac:dyDescent="0.25">
      <c r="A126" s="51" t="str">
        <f>A121</f>
        <v>XLI</v>
      </c>
      <c r="B126" s="23" t="s">
        <v>2737</v>
      </c>
      <c r="C126" s="23" t="s">
        <v>2756</v>
      </c>
      <c r="D126" s="23" t="s">
        <v>2755</v>
      </c>
      <c r="E126" s="23" t="s">
        <v>2739</v>
      </c>
      <c r="F126" s="23" t="s">
        <v>2760</v>
      </c>
      <c r="H126" s="584"/>
    </row>
    <row r="127" spans="1:8" x14ac:dyDescent="0.25">
      <c r="A127" s="29" t="s">
        <v>2743</v>
      </c>
      <c r="B127" s="30">
        <f>COUNTIFS('2025-Q1'!$K$4:$K$448,"&lt;0",'2025-Q1'!$E$4:$E$448,'Q1-STATS'!$A126)</f>
        <v>36</v>
      </c>
      <c r="C127" s="30">
        <f>SUMIFS('2025-Q1'!$GB$4:$GB$448,'2025-Q1'!$E$4:$E$448,'Q1-STATS'!$A126)</f>
        <v>10</v>
      </c>
      <c r="D127" s="30">
        <f>SUMIFS('2025-Q1'!$GC$4:$GC$448,'2025-Q1'!$E$4:$E$448,'Q1-STATS'!$A126)</f>
        <v>6</v>
      </c>
      <c r="E127" s="30">
        <f>SUMIFS('2025-Q1'!$GD$4:$GD$448,'2025-Q1'!$E$4:$E$448,'Q1-STATS'!$A126)</f>
        <v>20</v>
      </c>
      <c r="F127" s="582">
        <f>-((C129/0.06)*C127)-((D124/0.06)*D122)</f>
        <v>4.6767045372818821</v>
      </c>
    </row>
    <row r="128" spans="1:8" x14ac:dyDescent="0.25">
      <c r="A128" s="31" t="s">
        <v>2744</v>
      </c>
      <c r="B128" s="18" t="s">
        <v>2742</v>
      </c>
      <c r="C128" s="19">
        <f>IFERROR(C127/$B127,0)</f>
        <v>0.27777777777777779</v>
      </c>
      <c r="D128" s="19">
        <f>IFERROR(D127/$B127,0)</f>
        <v>0.16666666666666666</v>
      </c>
      <c r="E128" s="19">
        <f>IFERROR(E127/$B127,0)</f>
        <v>0.55555555555555558</v>
      </c>
      <c r="F128" s="583"/>
    </row>
    <row r="129" spans="1:8" x14ac:dyDescent="0.25">
      <c r="A129" s="31" t="s">
        <v>2753</v>
      </c>
      <c r="B129" s="21">
        <f>IFERROR(AVERAGEIFS('2025-Q1'!$K$4:$K$448,'2025-Q1'!$K$4:$K$448,"&lt;0",'2025-Q1'!$E$4:$E$448,'Q1-STATS'!$A126),0)</f>
        <v>-4.3203040157904889E-2</v>
      </c>
      <c r="C129" s="21">
        <f>IFERROR(AVERAGEIFS('2025-Q1'!$K$4:$K$448,'2025-Q1'!$K$4:$K$448,"&lt;0",'2025-Q1'!$E$4:$E$448,'Q1-STATS'!$A126,'2025-Q1'!$FW$4:$FW$448,"Yes"),0)</f>
        <v>-3.9348463286468058E-2</v>
      </c>
      <c r="D129" s="21">
        <f>IFERROR(AVERAGEIFS('2025-Q1'!$K$4:$K$448,'2025-Q1'!$K$4:$K$448,"&lt;0",'2025-Q1'!$E$4:$E$448,'Q1-STATS'!$A126,'2025-Q1'!$FW$4:$FW$448,"No"),0)</f>
        <v>-5.5016962007335302E-2</v>
      </c>
      <c r="E129" s="21">
        <f>IFERROR(AVERAGEIFS('2025-Q1'!$K$4:$K$448,'2025-Q1'!$K$4:$K$448,"&lt;0",'2025-Q1'!$E$4:$E$448,'Q1-STATS'!$A126,'2025-Q1'!$FW$4:$FW$448,"NA"),0)</f>
        <v>-4.1586152038794191E-2</v>
      </c>
      <c r="F129" s="584"/>
    </row>
    <row r="131" spans="1:8" ht="24.75" x14ac:dyDescent="0.25">
      <c r="A131" s="52" t="str">
        <f>A121</f>
        <v>XLI</v>
      </c>
      <c r="B131" s="25" t="s">
        <v>2749</v>
      </c>
      <c r="C131" s="25" t="s">
        <v>2750</v>
      </c>
      <c r="D131" s="26" t="s">
        <v>2751</v>
      </c>
      <c r="E131" s="26" t="s">
        <v>2752</v>
      </c>
      <c r="F131" s="24" t="s">
        <v>2763</v>
      </c>
    </row>
    <row r="132" spans="1:8" x14ac:dyDescent="0.25">
      <c r="A132" s="32" t="s">
        <v>2757</v>
      </c>
      <c r="B132" s="14">
        <f>B122</f>
        <v>32</v>
      </c>
      <c r="C132" s="588">
        <f>IFERROR(B124,0)</f>
        <v>4.0220655311802127E-2</v>
      </c>
      <c r="D132" s="30">
        <f>B127</f>
        <v>36</v>
      </c>
      <c r="E132" s="590">
        <f>B129</f>
        <v>-4.3203040157904889E-2</v>
      </c>
      <c r="F132" s="582">
        <f>((C132/0.06)*B132)+((E132/0.06)*D132)</f>
        <v>-4.4708079284484654</v>
      </c>
    </row>
    <row r="133" spans="1:8" x14ac:dyDescent="0.25">
      <c r="A133" s="36" t="s">
        <v>2758</v>
      </c>
      <c r="B133" s="34">
        <f>B132/(B132+D132)</f>
        <v>0.47058823529411764</v>
      </c>
      <c r="C133" s="589"/>
      <c r="D133" s="35">
        <f>1-B133</f>
        <v>0.52941176470588236</v>
      </c>
      <c r="E133" s="591"/>
      <c r="F133" s="584"/>
    </row>
    <row r="135" spans="1:8" ht="38.25" x14ac:dyDescent="0.25">
      <c r="A135" s="52" t="str">
        <f>A121</f>
        <v>XLI</v>
      </c>
      <c r="B135" s="25" t="s">
        <v>2749</v>
      </c>
      <c r="C135" s="25" t="s">
        <v>2750</v>
      </c>
      <c r="D135" s="26" t="s">
        <v>2751</v>
      </c>
      <c r="E135" s="26" t="s">
        <v>2752</v>
      </c>
      <c r="F135" s="24" t="s">
        <v>2761</v>
      </c>
      <c r="G135" s="37" t="s">
        <v>2762</v>
      </c>
    </row>
    <row r="136" spans="1:8" x14ac:dyDescent="0.25">
      <c r="A136" s="32" t="s">
        <v>2748</v>
      </c>
      <c r="B136" s="14">
        <f>E122</f>
        <v>18</v>
      </c>
      <c r="C136" s="592">
        <f>IFERROR(AVERAGEIFS('2025-Q1'!$K$4:$K$448,'2025-Q1'!$K$4:$K$448,"&gt;0",'2025-Q1'!$FW$4:$FW$448,"NA",'2025-Q1'!$E$4:$E$448,'Q1-STATS'!$A121),0)</f>
        <v>4.9092838359996012E-2</v>
      </c>
      <c r="D136" s="100">
        <f>E127</f>
        <v>20</v>
      </c>
      <c r="E136" s="590">
        <f>IFERROR(AVERAGEIFS('2025-Q1'!$K$4:$K$448,'2025-Q1'!$K$4:$K$448,"&lt;0",'2025-Q1'!$FW$4:$FW$448,"NA",'2025-Q1'!$E$4:$E$448,'Q1-STATS'!$A121),0)</f>
        <v>-4.1586152038794191E-2</v>
      </c>
      <c r="F136" s="593">
        <f>((C136/0.06)*B136)+((E136/0.06)*D136)</f>
        <v>0.86580082840074013</v>
      </c>
      <c r="G136" s="594">
        <f>-((E136/0.06)*D136)-((C136/0.06)*B136)</f>
        <v>-0.86580082840074013</v>
      </c>
    </row>
    <row r="137" spans="1:8" x14ac:dyDescent="0.25">
      <c r="A137" s="36" t="s">
        <v>2758</v>
      </c>
      <c r="B137" s="101">
        <f>IFERROR((B136/(B136+D136)),0)</f>
        <v>0.47368421052631576</v>
      </c>
      <c r="C137" s="592"/>
      <c r="D137" s="35">
        <f>IF(AND(B136=0,D136=0),0,1-B137)</f>
        <v>0.52631578947368429</v>
      </c>
      <c r="E137" s="591"/>
      <c r="F137" s="593"/>
      <c r="G137" s="594"/>
    </row>
    <row r="138" spans="1:8" x14ac:dyDescent="0.25">
      <c r="A138" s="47"/>
      <c r="B138" s="47"/>
      <c r="C138" s="47"/>
      <c r="D138" s="47"/>
      <c r="E138" s="47"/>
      <c r="F138" s="47"/>
      <c r="G138" s="47"/>
    </row>
    <row r="139" spans="1:8" x14ac:dyDescent="0.25">
      <c r="A139" s="47"/>
      <c r="B139" s="47"/>
      <c r="C139" s="47"/>
      <c r="D139" s="47"/>
      <c r="E139" s="47"/>
      <c r="F139" s="47"/>
      <c r="G139" s="47"/>
    </row>
    <row r="140" spans="1:8" x14ac:dyDescent="0.25">
      <c r="A140" s="47"/>
      <c r="B140" s="47"/>
      <c r="C140" s="47"/>
      <c r="D140" s="47"/>
      <c r="E140" s="47"/>
      <c r="F140" s="47"/>
      <c r="G140" s="47"/>
    </row>
    <row r="141" spans="1:8" ht="36" x14ac:dyDescent="0.25">
      <c r="A141" s="55" t="s">
        <v>4725</v>
      </c>
      <c r="B141" s="24" t="s">
        <v>2737</v>
      </c>
      <c r="C141" s="24" t="s">
        <v>2754</v>
      </c>
      <c r="D141" s="24" t="s">
        <v>2755</v>
      </c>
      <c r="E141" s="24" t="s">
        <v>2739</v>
      </c>
      <c r="F141" s="24" t="s">
        <v>2759</v>
      </c>
    </row>
    <row r="142" spans="1:8" x14ac:dyDescent="0.25">
      <c r="A142" s="28" t="s">
        <v>2736</v>
      </c>
      <c r="B142" s="14">
        <f>COUNTIFS('2025-Q1'!$K$4:$K$448,"&gt;0",'2025-Q1'!$E$4:$E$448,'Q1-STATS'!$A141)</f>
        <v>0</v>
      </c>
      <c r="C142" s="14">
        <f>SUMIFS('2025-Q1'!$FX$4:$FX$448,'2025-Q1'!$E$4:$E$448,'Q1-STATS'!$A141)</f>
        <v>0</v>
      </c>
      <c r="D142" s="14">
        <f>SUMIFS('2025-Q1'!$FY$4:$FY$448,'2025-Q1'!$E$4:$E$448,'Q1-STATS'!$A141)</f>
        <v>0</v>
      </c>
      <c r="E142" s="14">
        <f>SUMIFS('2025-Q1'!$FZ$4:$FZ$448,'2025-Q1'!$E$4:$E$448,'Q1-STATS'!$A141)</f>
        <v>0</v>
      </c>
      <c r="F142" s="582">
        <f>((C144/0.06)*C142)+((D149/0.06)*D147)</f>
        <v>0</v>
      </c>
      <c r="H142" s="585" t="s">
        <v>4729</v>
      </c>
    </row>
    <row r="143" spans="1:8" x14ac:dyDescent="0.25">
      <c r="A143" s="27" t="s">
        <v>2741</v>
      </c>
      <c r="B143" s="16" t="s">
        <v>2742</v>
      </c>
      <c r="C143" s="17">
        <f>IFERROR(C142/$B142,0)</f>
        <v>0</v>
      </c>
      <c r="D143" s="17">
        <f>IFERROR(D142/$B142,0)</f>
        <v>0</v>
      </c>
      <c r="E143" s="17">
        <f>IFERROR(E142/$B142,0)</f>
        <v>0</v>
      </c>
      <c r="F143" s="583"/>
      <c r="H143" s="586"/>
    </row>
    <row r="144" spans="1:8" x14ac:dyDescent="0.25">
      <c r="A144" s="27" t="s">
        <v>2753</v>
      </c>
      <c r="B144" s="20">
        <f>IFERROR(AVERAGEIFS('2025-Q1'!$K$4:$K$448,'2025-Q1'!$K$4:$K$448,"&gt;0",'2025-Q1'!$E$4:$E$448,'Q1-STATS'!$A141),0)</f>
        <v>0</v>
      </c>
      <c r="C144" s="20">
        <f>IFERROR(AVERAGEIFS('2025-Q1'!$K$4:$K$448,'2025-Q1'!$K$4:$K$448,"&gt;0",'2025-Q1'!$E$4:$E$448,'Q1-STATS'!$A141,'2025-Q1'!$FW$4:$FW$448,"Yes"),0)</f>
        <v>0</v>
      </c>
      <c r="D144" s="20">
        <f>IFERROR(AVERAGEIFS('2025-Q1'!$K$4:$K$448,'2025-Q1'!$K$4:$K$448,"&gt;0",'2025-Q1'!$E$4:$E$448,'Q1-STATS'!$A141,'2025-Q1'!$FW$4:$FW$448,"No"),0)</f>
        <v>0</v>
      </c>
      <c r="E144" s="20">
        <f>IFERROR(AVERAGEIFS('2025-Q1'!$K$4:$K$448,'2025-Q1'!$K$4:$K$448,"&gt;0",'2025-Q1'!$E$4:$E$448,'Q1-STATS'!$A141,'2025-Q1'!$FW$4:$FW$448,"NA"),0)</f>
        <v>0</v>
      </c>
      <c r="F144" s="584"/>
      <c r="H144" s="587"/>
    </row>
    <row r="145" spans="1:8" x14ac:dyDescent="0.25">
      <c r="H145" s="582">
        <f>F142+F147+F156</f>
        <v>0</v>
      </c>
    </row>
    <row r="146" spans="1:8" ht="36" x14ac:dyDescent="0.25">
      <c r="A146" s="51" t="str">
        <f>A141</f>
        <v>XLRE</v>
      </c>
      <c r="B146" s="23" t="s">
        <v>2737</v>
      </c>
      <c r="C146" s="23" t="s">
        <v>2756</v>
      </c>
      <c r="D146" s="23" t="s">
        <v>2755</v>
      </c>
      <c r="E146" s="23" t="s">
        <v>2739</v>
      </c>
      <c r="F146" s="23" t="s">
        <v>2760</v>
      </c>
      <c r="H146" s="584"/>
    </row>
    <row r="147" spans="1:8" x14ac:dyDescent="0.25">
      <c r="A147" s="29" t="s">
        <v>2743</v>
      </c>
      <c r="B147" s="30">
        <f>COUNTIFS('2025-Q1'!$K$4:$K$448,"&lt;0",'2025-Q1'!$E$4:$E$448,'Q1-STATS'!$A146)</f>
        <v>0</v>
      </c>
      <c r="C147" s="30">
        <f>SUMIFS('2025-Q1'!$GB$4:$GB$448,'2025-Q1'!$E$4:$E$448,'Q1-STATS'!$A146)</f>
        <v>0</v>
      </c>
      <c r="D147" s="30">
        <f>SUMIFS('2025-Q1'!$GC$4:$GC$448,'2025-Q1'!$E$4:$E$448,'Q1-STATS'!$A146)</f>
        <v>0</v>
      </c>
      <c r="E147" s="30">
        <f>SUMIFS('2025-Q1'!$GD$4:$GD$448,'2025-Q1'!$E$4:$E$448,'Q1-STATS'!$A146)</f>
        <v>0</v>
      </c>
      <c r="F147" s="582">
        <f>-((C149/0.06)*C147)-((D144/0.06)*D142)</f>
        <v>0</v>
      </c>
    </row>
    <row r="148" spans="1:8" x14ac:dyDescent="0.25">
      <c r="A148" s="31" t="s">
        <v>2744</v>
      </c>
      <c r="B148" s="18" t="s">
        <v>2742</v>
      </c>
      <c r="C148" s="19">
        <f>IFERROR(C147/$B147,0)</f>
        <v>0</v>
      </c>
      <c r="D148" s="19">
        <f>IFERROR(D147/$B147,0)</f>
        <v>0</v>
      </c>
      <c r="E148" s="19">
        <f>IFERROR(E147/$B147,0)</f>
        <v>0</v>
      </c>
      <c r="F148" s="583"/>
    </row>
    <row r="149" spans="1:8" x14ac:dyDescent="0.25">
      <c r="A149" s="31" t="s">
        <v>2753</v>
      </c>
      <c r="B149" s="21">
        <f>IFERROR(AVERAGEIFS('2025-Q1'!$K$4:$K$448,'2025-Q1'!$K$4:$K$448,"&lt;0",'2025-Q1'!$E$4:$E$448,'Q1-STATS'!$A146),0)</f>
        <v>0</v>
      </c>
      <c r="C149" s="21">
        <f>IFERROR(AVERAGEIFS('2025-Q1'!$K$4:$K$448,'2025-Q1'!$K$4:$K$448,"&lt;0",'2025-Q1'!$E$4:$E$448,'Q1-STATS'!$A146,'2025-Q1'!$FW$4:$FW$448,"Yes"),0)</f>
        <v>0</v>
      </c>
      <c r="D149" s="21">
        <f>IFERROR(AVERAGEIFS('2025-Q1'!$K$4:$K$448,'2025-Q1'!$K$4:$K$448,"&lt;0",'2025-Q1'!$E$4:$E$448,'Q1-STATS'!$A146,'2025-Q1'!$FW$4:$FW$448,"No"),0)</f>
        <v>0</v>
      </c>
      <c r="E149" s="21">
        <f>IFERROR(AVERAGEIFS('2025-Q1'!$K$4:$K$448,'2025-Q1'!$K$4:$K$448,"&lt;0",'2025-Q1'!$E$4:$E$448,'Q1-STATS'!$A146,'2025-Q1'!$FW$4:$FW$448,"NA"),0)</f>
        <v>0</v>
      </c>
      <c r="F149" s="584"/>
    </row>
    <row r="151" spans="1:8" ht="24.75" x14ac:dyDescent="0.25">
      <c r="A151" s="52" t="str">
        <f>A141</f>
        <v>XLRE</v>
      </c>
      <c r="B151" s="25" t="s">
        <v>2749</v>
      </c>
      <c r="C151" s="25" t="s">
        <v>2750</v>
      </c>
      <c r="D151" s="26" t="s">
        <v>2751</v>
      </c>
      <c r="E151" s="26" t="s">
        <v>2752</v>
      </c>
      <c r="F151" s="24" t="s">
        <v>2763</v>
      </c>
    </row>
    <row r="152" spans="1:8" x14ac:dyDescent="0.25">
      <c r="A152" s="32" t="s">
        <v>2757</v>
      </c>
      <c r="B152" s="14">
        <f>B142</f>
        <v>0</v>
      </c>
      <c r="C152" s="588">
        <f>IFERROR(B144,0)</f>
        <v>0</v>
      </c>
      <c r="D152" s="30">
        <f>B147</f>
        <v>0</v>
      </c>
      <c r="E152" s="590">
        <f>B149</f>
        <v>0</v>
      </c>
      <c r="F152" s="582">
        <f>((C152/0.06)*B152)+((E152/0.06)*D152)</f>
        <v>0</v>
      </c>
    </row>
    <row r="153" spans="1:8" x14ac:dyDescent="0.25">
      <c r="A153" s="36" t="s">
        <v>2758</v>
      </c>
      <c r="B153" s="34" t="e">
        <f>B152/(B152+D152)</f>
        <v>#DIV/0!</v>
      </c>
      <c r="C153" s="589"/>
      <c r="D153" s="35" t="e">
        <f>1-B153</f>
        <v>#DIV/0!</v>
      </c>
      <c r="E153" s="591"/>
      <c r="F153" s="584"/>
    </row>
    <row r="155" spans="1:8" ht="38.25" x14ac:dyDescent="0.25">
      <c r="A155" s="52" t="str">
        <f>A141</f>
        <v>XLRE</v>
      </c>
      <c r="B155" s="25" t="s">
        <v>2749</v>
      </c>
      <c r="C155" s="25" t="s">
        <v>2750</v>
      </c>
      <c r="D155" s="26" t="s">
        <v>2751</v>
      </c>
      <c r="E155" s="26" t="s">
        <v>2752</v>
      </c>
      <c r="F155" s="24" t="s">
        <v>2761</v>
      </c>
      <c r="G155" s="37" t="s">
        <v>2762</v>
      </c>
    </row>
    <row r="156" spans="1:8" x14ac:dyDescent="0.25">
      <c r="A156" s="32" t="s">
        <v>2748</v>
      </c>
      <c r="B156" s="15">
        <f>E142</f>
        <v>0</v>
      </c>
      <c r="C156" s="595">
        <f>IFERROR(AVERAGEIFS('2025-Q1'!$K$4:$K$448,'2025-Q1'!$K$4:$K$448,"&gt;0",'2025-Q1'!$FW$4:$FW$448,"NA",'2025-Q1'!$E$4:$E$448,'Q1-STATS'!$A141),0)</f>
        <v>0</v>
      </c>
      <c r="D156" s="39">
        <f>E147</f>
        <v>0</v>
      </c>
      <c r="E156" s="596">
        <f>IFERROR(AVERAGEIFS('2025-Q1'!$K$4:$K$448,'2025-Q1'!$K$4:$K$448,"&lt;0",'2025-Q1'!$FW$4:$FW$448,"NA",'2025-Q1'!$E$4:$E$448,'Q1-STATS'!$A141),0)</f>
        <v>0</v>
      </c>
      <c r="F156" s="593">
        <f>((C156/0.06)*B156)+((E156/0.06)*D156)</f>
        <v>0</v>
      </c>
      <c r="G156" s="594">
        <f>-((E156/0.06)*D156)-((C156/0.06)*B156)</f>
        <v>0</v>
      </c>
    </row>
    <row r="157" spans="1:8" x14ac:dyDescent="0.25">
      <c r="A157" s="36" t="s">
        <v>2758</v>
      </c>
      <c r="B157" s="38">
        <f>IFERROR((B156/(B156+D156)),0)</f>
        <v>0</v>
      </c>
      <c r="C157" s="595"/>
      <c r="D157" s="33">
        <f>IF(AND(B156=0,D156=0),0,1-B157)</f>
        <v>0</v>
      </c>
      <c r="E157" s="597"/>
      <c r="F157" s="593"/>
      <c r="G157" s="594"/>
    </row>
    <row r="158" spans="1:8" x14ac:dyDescent="0.25">
      <c r="A158" s="47"/>
      <c r="B158" s="47"/>
      <c r="C158" s="47"/>
      <c r="D158" s="47"/>
      <c r="E158" s="47"/>
      <c r="F158" s="47"/>
      <c r="G158" s="47"/>
    </row>
    <row r="159" spans="1:8" x14ac:dyDescent="0.25">
      <c r="A159" s="47"/>
      <c r="B159" s="47"/>
      <c r="C159" s="47"/>
      <c r="D159" s="47"/>
      <c r="E159" s="47"/>
      <c r="F159" s="47"/>
      <c r="G159" s="47"/>
    </row>
    <row r="160" spans="1:8" x14ac:dyDescent="0.25">
      <c r="A160" s="47"/>
      <c r="B160" s="47"/>
      <c r="C160" s="47"/>
      <c r="D160" s="47"/>
      <c r="E160" s="47"/>
      <c r="F160" s="47"/>
      <c r="G160" s="47"/>
    </row>
    <row r="161" spans="1:8" ht="36" x14ac:dyDescent="0.25">
      <c r="A161" s="55" t="s">
        <v>4718</v>
      </c>
      <c r="B161" s="24" t="s">
        <v>2737</v>
      </c>
      <c r="C161" s="24" t="s">
        <v>2754</v>
      </c>
      <c r="D161" s="24" t="s">
        <v>2755</v>
      </c>
      <c r="E161" s="24" t="s">
        <v>2739</v>
      </c>
      <c r="F161" s="24" t="s">
        <v>2759</v>
      </c>
    </row>
    <row r="162" spans="1:8" x14ac:dyDescent="0.25">
      <c r="A162" s="28" t="s">
        <v>2736</v>
      </c>
      <c r="B162" s="14">
        <f>COUNTIFS('2025-Q1'!$K$4:$K$448,"&gt;0",'2025-Q1'!$E$4:$E$448,'Q1-STATS'!$A161)</f>
        <v>8</v>
      </c>
      <c r="C162" s="14">
        <f>SUMIFS('2025-Q1'!$FX$4:$FX$448,'2025-Q1'!$E$4:$E$448,'Q1-STATS'!$A161)</f>
        <v>0</v>
      </c>
      <c r="D162" s="14">
        <f>SUMIFS('2025-Q1'!$FY$4:$FY$448,'2025-Q1'!$E$4:$E$448,'Q1-STATS'!$A161)</f>
        <v>5</v>
      </c>
      <c r="E162" s="14">
        <f>SUMIFS('2025-Q1'!$FZ$4:$FZ$448,'2025-Q1'!$E$4:$E$448,'Q1-STATS'!$A161)</f>
        <v>3</v>
      </c>
      <c r="F162" s="582">
        <f>((C164/0.06)*C162)+((D169/0.06)*D167)</f>
        <v>-0.22637638730132514</v>
      </c>
      <c r="H162" s="585" t="s">
        <v>4729</v>
      </c>
    </row>
    <row r="163" spans="1:8" x14ac:dyDescent="0.25">
      <c r="A163" s="27" t="s">
        <v>2741</v>
      </c>
      <c r="B163" s="16" t="s">
        <v>2742</v>
      </c>
      <c r="C163" s="17">
        <f>IFERROR(C162/$B162,0)</f>
        <v>0</v>
      </c>
      <c r="D163" s="17">
        <f>IFERROR(D162/$B162,0)</f>
        <v>0.625</v>
      </c>
      <c r="E163" s="17">
        <f>IFERROR(E162/$B162,0)</f>
        <v>0.375</v>
      </c>
      <c r="F163" s="583"/>
      <c r="H163" s="586"/>
    </row>
    <row r="164" spans="1:8" x14ac:dyDescent="0.25">
      <c r="A164" s="27" t="s">
        <v>2753</v>
      </c>
      <c r="B164" s="20">
        <f>IFERROR(AVERAGEIFS('2025-Q1'!$K$4:$K$448,'2025-Q1'!$K$4:$K$448,"&gt;0",'2025-Q1'!$E$4:$E$448,'Q1-STATS'!$A161),0)</f>
        <v>4.5761867121162467E-2</v>
      </c>
      <c r="C164" s="20">
        <f>IFERROR(AVERAGEIFS('2025-Q1'!$K$4:$K$448,'2025-Q1'!$K$4:$K$448,"&gt;0",'2025-Q1'!$E$4:$E$448,'Q1-STATS'!$A161,'2025-Q1'!$FW$4:$FW$448,"Yes"),0)</f>
        <v>0</v>
      </c>
      <c r="D164" s="20">
        <f>IFERROR(AVERAGEIFS('2025-Q1'!$K$4:$K$448,'2025-Q1'!$K$4:$K$448,"&gt;0",'2025-Q1'!$E$4:$E$448,'Q1-STATS'!$A161,'2025-Q1'!$FW$4:$FW$448,"No"),0)</f>
        <v>4.7463364894209485E-2</v>
      </c>
      <c r="E164" s="20">
        <f>IFERROR(AVERAGEIFS('2025-Q1'!$K$4:$K$448,'2025-Q1'!$K$4:$K$448,"&gt;0",'2025-Q1'!$E$4:$E$448,'Q1-STATS'!$A161,'2025-Q1'!$FW$4:$FW$448,"NA"),0)</f>
        <v>4.2926037499417424E-2</v>
      </c>
      <c r="F164" s="584"/>
      <c r="H164" s="587"/>
    </row>
    <row r="165" spans="1:8" x14ac:dyDescent="0.25">
      <c r="H165" s="582">
        <f>F162+F167+F176</f>
        <v>7.8465035037913164</v>
      </c>
    </row>
    <row r="166" spans="1:8" ht="36" x14ac:dyDescent="0.25">
      <c r="A166" s="51" t="str">
        <f>A161</f>
        <v>XLB</v>
      </c>
      <c r="B166" s="23" t="s">
        <v>2737</v>
      </c>
      <c r="C166" s="23" t="s">
        <v>2756</v>
      </c>
      <c r="D166" s="23" t="s">
        <v>2755</v>
      </c>
      <c r="E166" s="23" t="s">
        <v>2739</v>
      </c>
      <c r="F166" s="23" t="s">
        <v>2760</v>
      </c>
      <c r="H166" s="584"/>
    </row>
    <row r="167" spans="1:8" x14ac:dyDescent="0.25">
      <c r="A167" s="29" t="s">
        <v>2743</v>
      </c>
      <c r="B167" s="30">
        <f>COUNTIFS('2025-Q1'!$K$4:$K$448,"&lt;0",'2025-Q1'!$E$4:$E$448,'Q1-STATS'!$A166)</f>
        <v>18</v>
      </c>
      <c r="C167" s="30">
        <f>SUMIFS('2025-Q1'!$GB$4:$GB$448,'2025-Q1'!$E$4:$E$448,'Q1-STATS'!$A166)</f>
        <v>9</v>
      </c>
      <c r="D167" s="30">
        <f>SUMIFS('2025-Q1'!$GC$4:$GC$448,'2025-Q1'!$E$4:$E$448,'Q1-STATS'!$A166)</f>
        <v>2</v>
      </c>
      <c r="E167" s="30">
        <f>SUMIFS('2025-Q1'!$GD$4:$GD$448,'2025-Q1'!$E$4:$E$448,'Q1-STATS'!$A166)</f>
        <v>7</v>
      </c>
      <c r="F167" s="582">
        <f>-((C169/0.06)*C167)-((D164/0.06)*D162)</f>
        <v>10.294176100986494</v>
      </c>
    </row>
    <row r="168" spans="1:8" x14ac:dyDescent="0.25">
      <c r="A168" s="31" t="s">
        <v>2744</v>
      </c>
      <c r="B168" s="18" t="s">
        <v>2742</v>
      </c>
      <c r="C168" s="19">
        <f>IFERROR(C167/$B167,0)</f>
        <v>0.5</v>
      </c>
      <c r="D168" s="19">
        <f>IFERROR(D167/$B167,0)</f>
        <v>0.1111111111111111</v>
      </c>
      <c r="E168" s="19">
        <f>IFERROR(E167/$B167,0)</f>
        <v>0.3888888888888889</v>
      </c>
      <c r="F168" s="583"/>
    </row>
    <row r="169" spans="1:8" x14ac:dyDescent="0.25">
      <c r="A169" s="31" t="s">
        <v>2753</v>
      </c>
      <c r="B169" s="21">
        <f>IFERROR(AVERAGEIFS('2025-Q1'!$K$4:$K$448,'2025-Q1'!$K$4:$K$448,"&lt;0",'2025-Q1'!$E$4:$E$448,'Q1-STATS'!$A166),0)</f>
        <v>-6.2811436603344428E-2</v>
      </c>
      <c r="C169" s="21">
        <f>IFERROR(AVERAGEIFS('2025-Q1'!$K$4:$K$448,'2025-Q1'!$K$4:$K$448,"&lt;0",'2025-Q1'!$E$4:$E$448,'Q1-STATS'!$A166,'2025-Q1'!$FW$4:$FW$448,"Yes"),0)</f>
        <v>-9.499637672558188E-2</v>
      </c>
      <c r="D169" s="21">
        <f>IFERROR(AVERAGEIFS('2025-Q1'!$K$4:$K$448,'2025-Q1'!$K$4:$K$448,"&lt;0",'2025-Q1'!$E$4:$E$448,'Q1-STATS'!$A166,'2025-Q1'!$FW$4:$FW$448,"No"),0)</f>
        <v>-6.791291619039754E-3</v>
      </c>
      <c r="E169" s="21">
        <f>IFERROR(AVERAGEIFS('2025-Q1'!$K$4:$K$448,'2025-Q1'!$K$4:$K$448,"&lt;0",'2025-Q1'!$E$4:$E$448,'Q1-STATS'!$A166,'2025-Q1'!$FW$4:$FW$448,"NA"),0)</f>
        <v>-3.7436555013126198E-2</v>
      </c>
      <c r="F169" s="584"/>
    </row>
    <row r="171" spans="1:8" ht="24.75" x14ac:dyDescent="0.25">
      <c r="A171" s="52" t="str">
        <f>A161</f>
        <v>XLB</v>
      </c>
      <c r="B171" s="25" t="s">
        <v>2749</v>
      </c>
      <c r="C171" s="25" t="s">
        <v>2750</v>
      </c>
      <c r="D171" s="26" t="s">
        <v>2751</v>
      </c>
      <c r="E171" s="26" t="s">
        <v>2752</v>
      </c>
      <c r="F171" s="24" t="s">
        <v>2763</v>
      </c>
    </row>
    <row r="172" spans="1:8" x14ac:dyDescent="0.25">
      <c r="A172" s="32" t="s">
        <v>2757</v>
      </c>
      <c r="B172" s="14">
        <f>B162</f>
        <v>8</v>
      </c>
      <c r="C172" s="588">
        <f>IFERROR(B164,0)</f>
        <v>4.5761867121162467E-2</v>
      </c>
      <c r="D172" s="30">
        <f>B167</f>
        <v>18</v>
      </c>
      <c r="E172" s="590">
        <f>B169</f>
        <v>-6.2811436603344428E-2</v>
      </c>
      <c r="F172" s="582">
        <f>((C172/0.06)*B172)+((E172/0.06)*D172)</f>
        <v>-12.741848698181666</v>
      </c>
    </row>
    <row r="173" spans="1:8" x14ac:dyDescent="0.25">
      <c r="A173" s="36" t="s">
        <v>2758</v>
      </c>
      <c r="B173" s="34">
        <f>B172/(B172+D172)</f>
        <v>0.30769230769230771</v>
      </c>
      <c r="C173" s="589"/>
      <c r="D173" s="35">
        <f>1-B173</f>
        <v>0.69230769230769229</v>
      </c>
      <c r="E173" s="591"/>
      <c r="F173" s="584"/>
    </row>
    <row r="175" spans="1:8" ht="38.25" x14ac:dyDescent="0.25">
      <c r="A175" s="52" t="str">
        <f>A161</f>
        <v>XLB</v>
      </c>
      <c r="B175" s="25" t="s">
        <v>2749</v>
      </c>
      <c r="C175" s="25" t="s">
        <v>2750</v>
      </c>
      <c r="D175" s="26" t="s">
        <v>2751</v>
      </c>
      <c r="E175" s="26" t="s">
        <v>2752</v>
      </c>
      <c r="F175" s="24" t="s">
        <v>2761</v>
      </c>
      <c r="G175" s="37" t="s">
        <v>2762</v>
      </c>
    </row>
    <row r="176" spans="1:8" x14ac:dyDescent="0.25">
      <c r="A176" s="32" t="s">
        <v>2748</v>
      </c>
      <c r="B176" s="15">
        <f>E162</f>
        <v>3</v>
      </c>
      <c r="C176" s="595">
        <f>IFERROR(AVERAGEIFS('2025-Q1'!$K$4:$K$448,'2025-Q1'!$K$4:$K$448,"&gt;0",'2025-Q1'!$FW$4:$FW$448,"NA",'2025-Q1'!$E$4:$E$448,'Q1-STATS'!$A161),0)</f>
        <v>4.2926037499417424E-2</v>
      </c>
      <c r="D176" s="39">
        <f>E167</f>
        <v>7</v>
      </c>
      <c r="E176" s="596">
        <f>IFERROR(AVERAGEIFS('2025-Q1'!$K$4:$K$448,'2025-Q1'!$K$4:$K$448,"&lt;0",'2025-Q1'!$FW$4:$FW$448,"NA",'2025-Q1'!$E$4:$E$448,'Q1-STATS'!$A161),0)</f>
        <v>-3.7436555013126198E-2</v>
      </c>
      <c r="F176" s="593">
        <f>((C176/0.06)*B176)+((E176/0.06)*D176)</f>
        <v>-2.2212962098938522</v>
      </c>
      <c r="G176" s="594">
        <f>-((E176/0.06)*D176)-((C176/0.06)*B176)</f>
        <v>2.2212962098938522</v>
      </c>
    </row>
    <row r="177" spans="1:8" x14ac:dyDescent="0.25">
      <c r="A177" s="36" t="s">
        <v>2758</v>
      </c>
      <c r="B177" s="38">
        <f>IFERROR((B176/(B176+D176)),0)</f>
        <v>0.3</v>
      </c>
      <c r="C177" s="595"/>
      <c r="D177" s="33">
        <f>IF(AND(B176=0,D176=0),0,1-B177)</f>
        <v>0.7</v>
      </c>
      <c r="E177" s="597"/>
      <c r="F177" s="593"/>
      <c r="G177" s="594"/>
    </row>
    <row r="178" spans="1:8" x14ac:dyDescent="0.25">
      <c r="A178" s="47"/>
      <c r="B178" s="47"/>
      <c r="C178" s="47"/>
      <c r="D178" s="47"/>
      <c r="E178" s="47"/>
      <c r="F178" s="47"/>
      <c r="G178" s="47"/>
    </row>
    <row r="179" spans="1:8" x14ac:dyDescent="0.25">
      <c r="A179" s="47"/>
      <c r="B179" s="47"/>
      <c r="C179" s="47"/>
      <c r="D179" s="47"/>
      <c r="E179" s="47"/>
      <c r="F179" s="47"/>
      <c r="G179" s="47"/>
    </row>
    <row r="180" spans="1:8" x14ac:dyDescent="0.25">
      <c r="A180" s="47"/>
      <c r="B180" s="47"/>
      <c r="C180" s="47"/>
      <c r="D180" s="47"/>
      <c r="E180" s="47"/>
      <c r="F180" s="47"/>
      <c r="G180" s="47"/>
    </row>
    <row r="181" spans="1:8" ht="36" x14ac:dyDescent="0.25">
      <c r="A181" s="55" t="s">
        <v>4720</v>
      </c>
      <c r="B181" s="24" t="s">
        <v>2737</v>
      </c>
      <c r="C181" s="24" t="s">
        <v>2754</v>
      </c>
      <c r="D181" s="24" t="s">
        <v>2755</v>
      </c>
      <c r="E181" s="24" t="s">
        <v>2739</v>
      </c>
      <c r="F181" s="24" t="s">
        <v>2759</v>
      </c>
    </row>
    <row r="182" spans="1:8" x14ac:dyDescent="0.25">
      <c r="A182" s="28" t="s">
        <v>2736</v>
      </c>
      <c r="B182" s="14">
        <f>COUNTIFS('2025-Q1'!$K$4:$K$448,"&gt;0",'2025-Q1'!$E$4:$E$448,'Q1-STATS'!$A181)</f>
        <v>7</v>
      </c>
      <c r="C182" s="14">
        <f>SUMIFS('2025-Q1'!$FX$4:$FX$448,'2025-Q1'!$E$4:$E$448,'Q1-STATS'!$A181)</f>
        <v>2</v>
      </c>
      <c r="D182" s="14">
        <f>SUMIFS('2025-Q1'!$FY$4:$FY$448,'2025-Q1'!$E$4:$E$448,'Q1-STATS'!$A181)</f>
        <v>3</v>
      </c>
      <c r="E182" s="14">
        <f>SUMIFS('2025-Q1'!$FZ$4:$FZ$448,'2025-Q1'!$E$4:$E$448,'Q1-STATS'!$A181)</f>
        <v>2</v>
      </c>
      <c r="F182" s="582">
        <f>((C184/0.06)*C182)+((D189/0.06)*D187)</f>
        <v>0.92932453037648199</v>
      </c>
      <c r="H182" s="585" t="s">
        <v>4729</v>
      </c>
    </row>
    <row r="183" spans="1:8" x14ac:dyDescent="0.25">
      <c r="A183" s="27" t="s">
        <v>2741</v>
      </c>
      <c r="B183" s="16" t="s">
        <v>2742</v>
      </c>
      <c r="C183" s="17">
        <f>IFERROR(C182/$B182,0)</f>
        <v>0.2857142857142857</v>
      </c>
      <c r="D183" s="17">
        <f>IFERROR(D182/$B182,0)</f>
        <v>0.42857142857142855</v>
      </c>
      <c r="E183" s="17">
        <f>IFERROR(E182/$B182,0)</f>
        <v>0.2857142857142857</v>
      </c>
      <c r="F183" s="583"/>
      <c r="H183" s="586"/>
    </row>
    <row r="184" spans="1:8" x14ac:dyDescent="0.25">
      <c r="A184" s="27" t="s">
        <v>2753</v>
      </c>
      <c r="B184" s="20">
        <f>IFERROR(AVERAGEIFS('2025-Q1'!$K$4:$K$448,'2025-Q1'!$K$4:$K$448,"&gt;0",'2025-Q1'!$E$4:$E$448,'Q1-STATS'!$A181),0)</f>
        <v>1.9878304920371851E-2</v>
      </c>
      <c r="C184" s="20">
        <f>IFERROR(AVERAGEIFS('2025-Q1'!$K$4:$K$448,'2025-Q1'!$K$4:$K$448,"&gt;0",'2025-Q1'!$E$4:$E$448,'Q1-STATS'!$A181,'2025-Q1'!$FW$4:$FW$448,"Yes"),0)</f>
        <v>2.7879735911294459E-2</v>
      </c>
      <c r="D184" s="20">
        <f>IFERROR(AVERAGEIFS('2025-Q1'!$K$4:$K$448,'2025-Q1'!$K$4:$K$448,"&gt;0",'2025-Q1'!$E$4:$E$448,'Q1-STATS'!$A181,'2025-Q1'!$FW$4:$FW$448,"No"),0)</f>
        <v>1.1625713119639914E-2</v>
      </c>
      <c r="E184" s="20">
        <f>IFERROR(AVERAGEIFS('2025-Q1'!$K$4:$K$448,'2025-Q1'!$K$4:$K$448,"&gt;0",'2025-Q1'!$E$4:$E$448,'Q1-STATS'!$A181,'2025-Q1'!$FW$4:$FW$448,"NA"),0)</f>
        <v>2.4255761630547157E-2</v>
      </c>
      <c r="F184" s="584"/>
      <c r="H184" s="587"/>
    </row>
    <row r="185" spans="1:8" x14ac:dyDescent="0.25">
      <c r="H185" s="582">
        <f>F182+F187+F196</f>
        <v>-9.2315366008334121E-2</v>
      </c>
    </row>
    <row r="186" spans="1:8" ht="36" x14ac:dyDescent="0.25">
      <c r="A186" s="51" t="str">
        <f>A181</f>
        <v>XLE</v>
      </c>
      <c r="B186" s="23" t="s">
        <v>2737</v>
      </c>
      <c r="C186" s="23" t="s">
        <v>2756</v>
      </c>
      <c r="D186" s="23" t="s">
        <v>2755</v>
      </c>
      <c r="E186" s="23" t="s">
        <v>2739</v>
      </c>
      <c r="F186" s="23" t="s">
        <v>2760</v>
      </c>
      <c r="H186" s="584"/>
    </row>
    <row r="187" spans="1:8" x14ac:dyDescent="0.25">
      <c r="A187" s="29" t="s">
        <v>2743</v>
      </c>
      <c r="B187" s="30">
        <f>COUNTIFS('2025-Q1'!$K$4:$K$448,"&lt;0",'2025-Q1'!$E$4:$E$448,'Q1-STATS'!$A186)</f>
        <v>6</v>
      </c>
      <c r="C187" s="30">
        <f>SUMIFS('2025-Q1'!$GB$4:$GB$448,'2025-Q1'!$E$4:$E$448,'Q1-STATS'!$A186)</f>
        <v>2</v>
      </c>
      <c r="D187" s="30">
        <f>SUMIFS('2025-Q1'!$GC$4:$GC$448,'2025-Q1'!$E$4:$E$448,'Q1-STATS'!$A186)</f>
        <v>0</v>
      </c>
      <c r="E187" s="30">
        <f>SUMIFS('2025-Q1'!$GD$4:$GD$448,'2025-Q1'!$E$4:$E$448,'Q1-STATS'!$A186)</f>
        <v>4</v>
      </c>
      <c r="F187" s="582">
        <f>-((C189/0.06)*C187)-((D184/0.06)*D182)</f>
        <v>-0.16078221465008813</v>
      </c>
    </row>
    <row r="188" spans="1:8" x14ac:dyDescent="0.25">
      <c r="A188" s="31" t="s">
        <v>2744</v>
      </c>
      <c r="B188" s="18" t="s">
        <v>2742</v>
      </c>
      <c r="C188" s="19">
        <f>IFERROR(C187/$B187,0)</f>
        <v>0.33333333333333331</v>
      </c>
      <c r="D188" s="19">
        <f>IFERROR(D187/$B187,0)</f>
        <v>0</v>
      </c>
      <c r="E188" s="19">
        <f>IFERROR(E187/$B187,0)</f>
        <v>0.66666666666666663</v>
      </c>
      <c r="F188" s="583"/>
    </row>
    <row r="189" spans="1:8" x14ac:dyDescent="0.25">
      <c r="A189" s="31" t="s">
        <v>2753</v>
      </c>
      <c r="B189" s="21">
        <f>IFERROR(AVERAGEIFS('2025-Q1'!$K$4:$K$448,'2025-Q1'!$K$4:$K$448,"&lt;0",'2025-Q1'!$E$4:$E$448,'Q1-STATS'!$A186),0)</f>
        <v>-2.0898865107515405E-2</v>
      </c>
      <c r="C189" s="21">
        <f>IFERROR(AVERAGEIFS('2025-Q1'!$K$4:$K$448,'2025-Q1'!$K$4:$K$448,"&lt;0",'2025-Q1'!$E$4:$E$448,'Q1-STATS'!$A186,'2025-Q1'!$FW$4:$FW$448,"Yes"),0)</f>
        <v>-1.2615103239957225E-2</v>
      </c>
      <c r="D189" s="21">
        <f>IFERROR(AVERAGEIFS('2025-Q1'!$K$4:$K$448,'2025-Q1'!$K$4:$K$448,"&lt;0",'2025-Q1'!$E$4:$E$448,'Q1-STATS'!$A186,'2025-Q1'!$FW$4:$FW$448,"No"),0)</f>
        <v>0</v>
      </c>
      <c r="E189" s="21">
        <f>IFERROR(AVERAGEIFS('2025-Q1'!$K$4:$K$448,'2025-Q1'!$K$4:$K$448,"&lt;0",'2025-Q1'!$E$4:$E$448,'Q1-STATS'!$A186,'2025-Q1'!$FW$4:$FW$448,"NA"),0)</f>
        <v>-2.5040746041294498E-2</v>
      </c>
      <c r="F189" s="584"/>
    </row>
    <row r="191" spans="1:8" ht="24.75" x14ac:dyDescent="0.25">
      <c r="A191" s="52" t="str">
        <f>A181</f>
        <v>XLE</v>
      </c>
      <c r="B191" s="25" t="s">
        <v>2749</v>
      </c>
      <c r="C191" s="25" t="s">
        <v>2750</v>
      </c>
      <c r="D191" s="26" t="s">
        <v>2751</v>
      </c>
      <c r="E191" s="26" t="s">
        <v>2752</v>
      </c>
      <c r="F191" s="24" t="s">
        <v>2763</v>
      </c>
    </row>
    <row r="192" spans="1:8" x14ac:dyDescent="0.25">
      <c r="A192" s="32" t="s">
        <v>2757</v>
      </c>
      <c r="B192" s="14">
        <f>B182</f>
        <v>7</v>
      </c>
      <c r="C192" s="588">
        <f>IFERROR(B184,0)</f>
        <v>1.9878304920371851E-2</v>
      </c>
      <c r="D192" s="30">
        <f>B187</f>
        <v>6</v>
      </c>
      <c r="E192" s="590">
        <f>B189</f>
        <v>-2.0898865107515405E-2</v>
      </c>
      <c r="F192" s="582">
        <f>((C192/0.06)*B192)+((E192/0.06)*D192)</f>
        <v>0.22924906329184225</v>
      </c>
    </row>
    <row r="193" spans="1:8" x14ac:dyDescent="0.25">
      <c r="A193" s="36" t="s">
        <v>2758</v>
      </c>
      <c r="B193" s="34">
        <f>B192/(B192+D192)</f>
        <v>0.53846153846153844</v>
      </c>
      <c r="C193" s="589"/>
      <c r="D193" s="35">
        <f>1-B193</f>
        <v>0.46153846153846156</v>
      </c>
      <c r="E193" s="591"/>
      <c r="F193" s="584"/>
    </row>
    <row r="195" spans="1:8" ht="38.25" x14ac:dyDescent="0.25">
      <c r="A195" s="52" t="str">
        <f>A181</f>
        <v>XLE</v>
      </c>
      <c r="B195" s="25" t="s">
        <v>2749</v>
      </c>
      <c r="C195" s="25" t="s">
        <v>2750</v>
      </c>
      <c r="D195" s="26" t="s">
        <v>2751</v>
      </c>
      <c r="E195" s="26" t="s">
        <v>2752</v>
      </c>
      <c r="F195" s="24" t="s">
        <v>2761</v>
      </c>
      <c r="G195" s="37" t="s">
        <v>2762</v>
      </c>
    </row>
    <row r="196" spans="1:8" x14ac:dyDescent="0.25">
      <c r="A196" s="32" t="s">
        <v>2748</v>
      </c>
      <c r="B196" s="14">
        <f>E182</f>
        <v>2</v>
      </c>
      <c r="C196" s="592">
        <f>IFERROR(AVERAGEIFS('2025-Q1'!$K$4:$K$448,'2025-Q1'!$K$4:$K$448,"&gt;0",'2025-Q1'!$FW$4:$FW$448,"NA",'2025-Q1'!$E$4:$E$448,'Q1-STATS'!$A181),0)</f>
        <v>2.4255761630547157E-2</v>
      </c>
      <c r="D196" s="100">
        <f>E187</f>
        <v>4</v>
      </c>
      <c r="E196" s="590">
        <f>IFERROR(AVERAGEIFS('2025-Q1'!$K$4:$K$448,'2025-Q1'!$K$4:$K$448,"&lt;0",'2025-Q1'!$FW$4:$FW$448,"NA",'2025-Q1'!$E$4:$E$448,'Q1-STATS'!$A181),0)</f>
        <v>-2.5040746041294498E-2</v>
      </c>
      <c r="F196" s="593">
        <f>((C196/0.06)*B196)+((E196/0.06)*D196)</f>
        <v>-0.86085768173472799</v>
      </c>
      <c r="G196" s="594">
        <f>-((E196/0.06)*D196)-((C196/0.06)*B196)</f>
        <v>0.86085768173472799</v>
      </c>
    </row>
    <row r="197" spans="1:8" x14ac:dyDescent="0.25">
      <c r="A197" s="36" t="s">
        <v>2758</v>
      </c>
      <c r="B197" s="101">
        <f>IFERROR((B196/(B196+D196)),0)</f>
        <v>0.33333333333333331</v>
      </c>
      <c r="C197" s="592"/>
      <c r="D197" s="35">
        <f>IF(AND(B196=0,D196=0),0,1-B197)</f>
        <v>0.66666666666666674</v>
      </c>
      <c r="E197" s="591"/>
      <c r="F197" s="593"/>
      <c r="G197" s="594"/>
    </row>
    <row r="198" spans="1:8" x14ac:dyDescent="0.25">
      <c r="A198" s="47"/>
      <c r="B198" s="47"/>
      <c r="C198" s="47"/>
      <c r="D198" s="47"/>
      <c r="E198" s="47"/>
      <c r="F198" s="47"/>
      <c r="G198" s="47"/>
    </row>
    <row r="199" spans="1:8" x14ac:dyDescent="0.25">
      <c r="A199" s="47"/>
      <c r="B199" s="47"/>
      <c r="C199" s="47"/>
      <c r="D199" s="47"/>
      <c r="E199" s="47"/>
      <c r="F199" s="47"/>
      <c r="G199" s="47"/>
    </row>
    <row r="200" spans="1:8" x14ac:dyDescent="0.25">
      <c r="A200" s="47"/>
      <c r="B200" s="47"/>
      <c r="C200" s="47"/>
      <c r="D200" s="47"/>
      <c r="E200" s="47"/>
      <c r="F200" s="47"/>
      <c r="G200" s="47"/>
    </row>
    <row r="201" spans="1:8" ht="36" x14ac:dyDescent="0.25">
      <c r="A201" s="55" t="s">
        <v>4728</v>
      </c>
      <c r="B201" s="24" t="s">
        <v>2737</v>
      </c>
      <c r="C201" s="24" t="s">
        <v>2754</v>
      </c>
      <c r="D201" s="24" t="s">
        <v>2755</v>
      </c>
      <c r="E201" s="24" t="s">
        <v>2739</v>
      </c>
      <c r="F201" s="24" t="s">
        <v>2759</v>
      </c>
    </row>
    <row r="202" spans="1:8" x14ac:dyDescent="0.25">
      <c r="A202" s="28" t="s">
        <v>2736</v>
      </c>
      <c r="B202" s="14">
        <f>COUNTIFS('2025-Q1'!$K$4:$K$448,"&gt;0",'2025-Q1'!$E$4:$E$448,'Q1-STATS'!$A201)</f>
        <v>29</v>
      </c>
      <c r="C202" s="14">
        <f>SUMIFS('2025-Q1'!$FX$4:$FX$448,'2025-Q1'!$E$4:$E$448,'Q1-STATS'!$A201)</f>
        <v>3</v>
      </c>
      <c r="D202" s="14">
        <f>SUMIFS('2025-Q1'!$FY$4:$FY$448,'2025-Q1'!$E$4:$E$448,'Q1-STATS'!$A201)</f>
        <v>9</v>
      </c>
      <c r="E202" s="14">
        <f>SUMIFS('2025-Q1'!$FZ$4:$FZ$448,'2025-Q1'!$E$4:$E$448,'Q1-STATS'!$A201)</f>
        <v>17</v>
      </c>
      <c r="F202" s="582">
        <f>((C204/0.06)*C202)+((D209/0.06)*D207)</f>
        <v>0.85177992159442173</v>
      </c>
      <c r="H202" s="585" t="s">
        <v>4729</v>
      </c>
    </row>
    <row r="203" spans="1:8" x14ac:dyDescent="0.25">
      <c r="A203" s="27" t="s">
        <v>2741</v>
      </c>
      <c r="B203" s="16" t="s">
        <v>2742</v>
      </c>
      <c r="C203" s="17">
        <f>IFERROR(C202/$B202,0)</f>
        <v>0.10344827586206896</v>
      </c>
      <c r="D203" s="17">
        <f>IFERROR(D202/$B202,0)</f>
        <v>0.31034482758620691</v>
      </c>
      <c r="E203" s="17">
        <f>IFERROR(E202/$B202,0)</f>
        <v>0.58620689655172409</v>
      </c>
      <c r="F203" s="583"/>
      <c r="H203" s="586"/>
    </row>
    <row r="204" spans="1:8" x14ac:dyDescent="0.25">
      <c r="A204" s="27" t="s">
        <v>2753</v>
      </c>
      <c r="B204" s="20">
        <f>IFERROR(AVERAGEIFS('2025-Q1'!$K$4:$K$448,'2025-Q1'!$K$4:$K$448,"&gt;0",'2025-Q1'!$E$4:$E$448,'Q1-STATS'!$A201),0)</f>
        <v>6.7585025859397352E-2</v>
      </c>
      <c r="C204" s="20">
        <f>IFERROR(AVERAGEIFS('2025-Q1'!$K$4:$K$448,'2025-Q1'!$K$4:$K$448,"&gt;0",'2025-Q1'!$E$4:$E$448,'Q1-STATS'!$A201,'2025-Q1'!$FW$4:$FW$448,"Yes"),0)</f>
        <v>0.12811561732649215</v>
      </c>
      <c r="D204" s="20">
        <f>IFERROR(AVERAGEIFS('2025-Q1'!$K$4:$K$448,'2025-Q1'!$K$4:$K$448,"&gt;0",'2025-Q1'!$E$4:$E$448,'Q1-STATS'!$A201,'2025-Q1'!$FW$4:$FW$448,"No"),0)</f>
        <v>7.2067458004103413E-2</v>
      </c>
      <c r="E204" s="20">
        <f>IFERROR(AVERAGEIFS('2025-Q1'!$K$4:$K$448,'2025-Q1'!$K$4:$K$448,"&gt;0",'2025-Q1'!$E$4:$E$448,'Q1-STATS'!$A201,'2025-Q1'!$FW$4:$FW$448,"NA"),0)</f>
        <v>5.4530104465065649E-2</v>
      </c>
      <c r="F204" s="584"/>
      <c r="H204" s="587"/>
    </row>
    <row r="205" spans="1:8" x14ac:dyDescent="0.25">
      <c r="H205" s="582">
        <f>F202+F207+F216</f>
        <v>10.115527446297484</v>
      </c>
    </row>
    <row r="206" spans="1:8" ht="36" x14ac:dyDescent="0.25">
      <c r="A206" s="51" t="str">
        <f>A201</f>
        <v>XLY</v>
      </c>
      <c r="B206" s="23" t="s">
        <v>2737</v>
      </c>
      <c r="C206" s="23" t="s">
        <v>2756</v>
      </c>
      <c r="D206" s="23" t="s">
        <v>2755</v>
      </c>
      <c r="E206" s="23" t="s">
        <v>2739</v>
      </c>
      <c r="F206" s="23" t="s">
        <v>2760</v>
      </c>
      <c r="H206" s="584"/>
    </row>
    <row r="207" spans="1:8" x14ac:dyDescent="0.25">
      <c r="A207" s="29" t="s">
        <v>2743</v>
      </c>
      <c r="B207" s="30">
        <f>COUNTIFS('2025-Q1'!$K$4:$K$448,"&lt;0",'2025-Q1'!$E$4:$E$448,'Q1-STATS'!$A206)</f>
        <v>20</v>
      </c>
      <c r="C207" s="30">
        <f>SUMIFS('2025-Q1'!$GB$4:$GB$448,'2025-Q1'!$E$4:$E$448,'Q1-STATS'!$A206)</f>
        <v>8</v>
      </c>
      <c r="D207" s="30">
        <f>SUMIFS('2025-Q1'!$GC$4:$GC$448,'2025-Q1'!$E$4:$E$448,'Q1-STATS'!$A206)</f>
        <v>6</v>
      </c>
      <c r="E207" s="30">
        <f>SUMIFS('2025-Q1'!$GD$4:$GD$448,'2025-Q1'!$E$4:$E$448,'Q1-STATS'!$A206)</f>
        <v>6</v>
      </c>
      <c r="F207" s="582">
        <f>-((C209/0.06)*C207)-((D204/0.06)*D202)</f>
        <v>-1.9292218939807348</v>
      </c>
    </row>
    <row r="208" spans="1:8" x14ac:dyDescent="0.25">
      <c r="A208" s="31" t="s">
        <v>2744</v>
      </c>
      <c r="B208" s="18" t="s">
        <v>2742</v>
      </c>
      <c r="C208" s="19">
        <f>IFERROR(C207/$B207,0)</f>
        <v>0.4</v>
      </c>
      <c r="D208" s="19">
        <f>IFERROR(D207/$B207,0)</f>
        <v>0.3</v>
      </c>
      <c r="E208" s="19">
        <f>IFERROR(E207/$B207,0)</f>
        <v>0.3</v>
      </c>
      <c r="F208" s="583"/>
    </row>
    <row r="209" spans="1:8" x14ac:dyDescent="0.25">
      <c r="A209" s="31" t="s">
        <v>2753</v>
      </c>
      <c r="B209" s="21">
        <f>IFERROR(AVERAGEIFS('2025-Q1'!$K$4:$K$448,'2025-Q1'!$K$4:$K$448,"&lt;0",'2025-Q1'!$E$4:$E$448,'Q1-STATS'!$A206),0)</f>
        <v>-5.6076373793349309E-2</v>
      </c>
      <c r="C209" s="21">
        <f>IFERROR(AVERAGEIFS('2025-Q1'!$K$4:$K$448,'2025-Q1'!$K$4:$K$448,"&lt;0",'2025-Q1'!$E$4:$E$448,'Q1-STATS'!$A206,'2025-Q1'!$FW$4:$FW$448,"Yes"),0)</f>
        <v>-6.6606726049760825E-2</v>
      </c>
      <c r="D209" s="21">
        <f>IFERROR(AVERAGEIFS('2025-Q1'!$K$4:$K$448,'2025-Q1'!$K$4:$K$448,"&lt;0",'2025-Q1'!$E$4:$E$448,'Q1-STATS'!$A206,'2025-Q1'!$FW$4:$FW$448,"No"),0)</f>
        <v>-5.5540009447301864E-2</v>
      </c>
      <c r="E209" s="21">
        <f>IFERROR(AVERAGEIFS('2025-Q1'!$K$4:$K$448,'2025-Q1'!$K$4:$K$448,"&lt;0",'2025-Q1'!$E$4:$E$448,'Q1-STATS'!$A206,'2025-Q1'!$FW$4:$FW$448,"NA"),0)</f>
        <v>-4.2572268464181356E-2</v>
      </c>
      <c r="F209" s="584"/>
    </row>
    <row r="211" spans="1:8" ht="24.75" x14ac:dyDescent="0.25">
      <c r="A211" s="52" t="str">
        <f>A201</f>
        <v>XLY</v>
      </c>
      <c r="B211" s="25" t="s">
        <v>2749</v>
      </c>
      <c r="C211" s="25" t="s">
        <v>2750</v>
      </c>
      <c r="D211" s="26" t="s">
        <v>2751</v>
      </c>
      <c r="E211" s="26" t="s">
        <v>2752</v>
      </c>
      <c r="F211" s="24" t="s">
        <v>2763</v>
      </c>
    </row>
    <row r="212" spans="1:8" x14ac:dyDescent="0.25">
      <c r="A212" s="32" t="s">
        <v>2757</v>
      </c>
      <c r="B212" s="14">
        <f>B202</f>
        <v>29</v>
      </c>
      <c r="C212" s="588">
        <f>IFERROR(B204,0)</f>
        <v>6.7585025859397352E-2</v>
      </c>
      <c r="D212" s="30">
        <f>B207</f>
        <v>20</v>
      </c>
      <c r="E212" s="590">
        <f>B209</f>
        <v>-5.6076373793349309E-2</v>
      </c>
      <c r="F212" s="582">
        <f>((C212/0.06)*B212)+((E212/0.06)*D212)</f>
        <v>13.973971234258951</v>
      </c>
    </row>
    <row r="213" spans="1:8" x14ac:dyDescent="0.25">
      <c r="A213" s="36" t="s">
        <v>2758</v>
      </c>
      <c r="B213" s="34">
        <f>B212/(B212+D212)</f>
        <v>0.59183673469387754</v>
      </c>
      <c r="C213" s="589"/>
      <c r="D213" s="35">
        <f>1-B213</f>
        <v>0.40816326530612246</v>
      </c>
      <c r="E213" s="591"/>
      <c r="F213" s="584"/>
    </row>
    <row r="215" spans="1:8" ht="38.25" x14ac:dyDescent="0.25">
      <c r="A215" s="52" t="str">
        <f>A201</f>
        <v>XLY</v>
      </c>
      <c r="B215" s="25" t="s">
        <v>2749</v>
      </c>
      <c r="C215" s="25" t="s">
        <v>2750</v>
      </c>
      <c r="D215" s="26" t="s">
        <v>2751</v>
      </c>
      <c r="E215" s="26" t="s">
        <v>2752</v>
      </c>
      <c r="F215" s="24" t="s">
        <v>2761</v>
      </c>
      <c r="G215" s="37" t="s">
        <v>2762</v>
      </c>
    </row>
    <row r="216" spans="1:8" x14ac:dyDescent="0.25">
      <c r="A216" s="32" t="s">
        <v>2748</v>
      </c>
      <c r="B216" s="14">
        <f>E202</f>
        <v>17</v>
      </c>
      <c r="C216" s="592">
        <f>IFERROR(AVERAGEIFS('2025-Q1'!$K$4:$K$448,'2025-Q1'!$K$4:$K$448,"&gt;0",'2025-Q1'!$FW$4:$FW$448,"NA",'2025-Q1'!$E$4:$E$448,'Q1-STATS'!$A201),0)</f>
        <v>5.4530104465065649E-2</v>
      </c>
      <c r="D216" s="100">
        <f>E207</f>
        <v>6</v>
      </c>
      <c r="E216" s="590">
        <f>IFERROR(AVERAGEIFS('2025-Q1'!$K$4:$K$448,'2025-Q1'!$K$4:$K$448,"&lt;0",'2025-Q1'!$FW$4:$FW$448,"NA",'2025-Q1'!$E$4:$E$448,'Q1-STATS'!$A201),0)</f>
        <v>-4.2572268464181356E-2</v>
      </c>
      <c r="F216" s="593">
        <f>((C216/0.06)*B216)+((E216/0.06)*D216)</f>
        <v>11.192969418683798</v>
      </c>
      <c r="G216" s="594">
        <f>-((E216/0.06)*D216)-((C216/0.06)*B216)</f>
        <v>-11.192969418683798</v>
      </c>
    </row>
    <row r="217" spans="1:8" x14ac:dyDescent="0.25">
      <c r="A217" s="36" t="s">
        <v>2758</v>
      </c>
      <c r="B217" s="101">
        <f>IFERROR((B216/(B216+D216)),0)</f>
        <v>0.73913043478260865</v>
      </c>
      <c r="C217" s="592"/>
      <c r="D217" s="35">
        <f>IF(AND(B216=0,D216=0),0,1-B217)</f>
        <v>0.26086956521739135</v>
      </c>
      <c r="E217" s="591"/>
      <c r="F217" s="593"/>
      <c r="G217" s="594"/>
    </row>
    <row r="218" spans="1:8" x14ac:dyDescent="0.25">
      <c r="A218" s="47"/>
      <c r="B218" s="47"/>
      <c r="C218" s="47"/>
      <c r="D218" s="47"/>
      <c r="E218" s="47"/>
      <c r="F218" s="47"/>
      <c r="G218" s="47"/>
    </row>
    <row r="219" spans="1:8" x14ac:dyDescent="0.25">
      <c r="A219" s="47"/>
      <c r="B219" s="47"/>
      <c r="C219" s="47"/>
      <c r="D219" s="47"/>
      <c r="E219" s="47"/>
      <c r="F219" s="47"/>
      <c r="G219" s="47"/>
    </row>
    <row r="220" spans="1:8" x14ac:dyDescent="0.25">
      <c r="A220" s="47"/>
      <c r="B220" s="47"/>
      <c r="C220" s="47"/>
      <c r="D220" s="47"/>
      <c r="E220" s="47"/>
      <c r="F220" s="47"/>
      <c r="G220" s="47"/>
    </row>
    <row r="221" spans="1:8" ht="36" x14ac:dyDescent="0.25">
      <c r="A221" s="55" t="s">
        <v>4727</v>
      </c>
      <c r="B221" s="24" t="s">
        <v>2737</v>
      </c>
      <c r="C221" s="24" t="s">
        <v>2754</v>
      </c>
      <c r="D221" s="24" t="s">
        <v>2755</v>
      </c>
      <c r="E221" s="24" t="s">
        <v>2739</v>
      </c>
      <c r="F221" s="24" t="s">
        <v>2759</v>
      </c>
    </row>
    <row r="222" spans="1:8" x14ac:dyDescent="0.25">
      <c r="A222" s="28" t="s">
        <v>2736</v>
      </c>
      <c r="B222" s="14">
        <f>COUNTIFS('2025-Q1'!$K$4:$K$448,"&gt;0",'2025-Q1'!$E$4:$E$448,'Q1-STATS'!$A221)</f>
        <v>21</v>
      </c>
      <c r="C222" s="14">
        <f>SUMIFS('2025-Q1'!$FX$4:$FX$448,'2025-Q1'!$E$4:$E$448,'Q1-STATS'!$A221)</f>
        <v>3</v>
      </c>
      <c r="D222" s="14">
        <f>SUMIFS('2025-Q1'!$FY$4:$FY$448,'2025-Q1'!$E$4:$E$448,'Q1-STATS'!$A221)</f>
        <v>5</v>
      </c>
      <c r="E222" s="14">
        <f>SUMIFS('2025-Q1'!$FZ$4:$FZ$448,'2025-Q1'!$E$4:$E$448,'Q1-STATS'!$A221)</f>
        <v>13</v>
      </c>
      <c r="F222" s="582">
        <f>((C224/0.06)*C222)+((D229/0.06)*D227)</f>
        <v>-5.9168351839981614</v>
      </c>
      <c r="H222" s="585" t="s">
        <v>4729</v>
      </c>
    </row>
    <row r="223" spans="1:8" x14ac:dyDescent="0.25">
      <c r="A223" s="27" t="s">
        <v>2741</v>
      </c>
      <c r="B223" s="16" t="s">
        <v>2742</v>
      </c>
      <c r="C223" s="17">
        <f>IFERROR(C222/$B222,0)</f>
        <v>0.14285714285714285</v>
      </c>
      <c r="D223" s="17">
        <f>IFERROR(D222/$B222,0)</f>
        <v>0.23809523809523808</v>
      </c>
      <c r="E223" s="17">
        <f>IFERROR(E222/$B222,0)</f>
        <v>0.61904761904761907</v>
      </c>
      <c r="F223" s="583"/>
      <c r="H223" s="586"/>
    </row>
    <row r="224" spans="1:8" x14ac:dyDescent="0.25">
      <c r="A224" s="27" t="s">
        <v>2753</v>
      </c>
      <c r="B224" s="20">
        <f>IFERROR(AVERAGEIFS('2025-Q1'!$K$4:$K$448,'2025-Q1'!$K$4:$K$448,"&gt;0",'2025-Q1'!$E$4:$E$448,'Q1-STATS'!$A221),0)</f>
        <v>4.6956057991335121E-2</v>
      </c>
      <c r="C224" s="20">
        <f>IFERROR(AVERAGEIFS('2025-Q1'!$K$4:$K$448,'2025-Q1'!$K$4:$K$448,"&gt;0",'2025-Q1'!$E$4:$E$448,'Q1-STATS'!$A221,'2025-Q1'!$FW$4:$FW$448,"Yes"),0)</f>
        <v>2.7059989223221326E-2</v>
      </c>
      <c r="D224" s="20">
        <f>IFERROR(AVERAGEIFS('2025-Q1'!$K$4:$K$448,'2025-Q1'!$K$4:$K$448,"&gt;0",'2025-Q1'!$E$4:$E$448,'Q1-STATS'!$A221,'2025-Q1'!$FW$4:$FW$448,"No"),0)</f>
        <v>5.6926803407007488E-2</v>
      </c>
      <c r="E224" s="20">
        <f>IFERROR(AVERAGEIFS('2025-Q1'!$K$4:$K$448,'2025-Q1'!$K$4:$K$448,"&gt;0",'2025-Q1'!$E$4:$E$448,'Q1-STATS'!$A221,'2025-Q1'!$FW$4:$FW$448,"NA"),0)</f>
        <v>4.7712556393333563E-2</v>
      </c>
      <c r="F224" s="584"/>
      <c r="H224" s="587"/>
    </row>
    <row r="225" spans="1:8" x14ac:dyDescent="0.25">
      <c r="H225" s="582">
        <f>F222+F227+F236</f>
        <v>-7.8529136273013114</v>
      </c>
    </row>
    <row r="226" spans="1:8" ht="36" x14ac:dyDescent="0.25">
      <c r="A226" s="51" t="str">
        <f>A221</f>
        <v>XLV</v>
      </c>
      <c r="B226" s="23" t="s">
        <v>2737</v>
      </c>
      <c r="C226" s="23" t="s">
        <v>2756</v>
      </c>
      <c r="D226" s="23" t="s">
        <v>2755</v>
      </c>
      <c r="E226" s="23" t="s">
        <v>2739</v>
      </c>
      <c r="F226" s="23" t="s">
        <v>2760</v>
      </c>
      <c r="H226" s="584"/>
    </row>
    <row r="227" spans="1:8" x14ac:dyDescent="0.25">
      <c r="A227" s="29" t="s">
        <v>2743</v>
      </c>
      <c r="B227" s="30">
        <f>COUNTIFS('2025-Q1'!$K$4:$K$448,"&lt;0",'2025-Q1'!$E$4:$E$448,'Q1-STATS'!$A226)</f>
        <v>34</v>
      </c>
      <c r="C227" s="30">
        <f>SUMIFS('2025-Q1'!$GB$4:$GB$448,'2025-Q1'!$E$4:$E$448,'Q1-STATS'!$A226)</f>
        <v>8</v>
      </c>
      <c r="D227" s="30">
        <f>SUMIFS('2025-Q1'!$GC$4:$GC$448,'2025-Q1'!$E$4:$E$448,'Q1-STATS'!$A226)</f>
        <v>10</v>
      </c>
      <c r="E227" s="30">
        <f>SUMIFS('2025-Q1'!$GD$4:$GD$448,'2025-Q1'!$E$4:$E$448,'Q1-STATS'!$A226)</f>
        <v>16</v>
      </c>
      <c r="F227" s="582">
        <f>-((C229/0.06)*C227)-((D224/0.06)*D222)</f>
        <v>2.4384992526729592</v>
      </c>
    </row>
    <row r="228" spans="1:8" x14ac:dyDescent="0.25">
      <c r="A228" s="31" t="s">
        <v>2744</v>
      </c>
      <c r="B228" s="18" t="s">
        <v>2742</v>
      </c>
      <c r="C228" s="19">
        <f>IFERROR(C227/$B227,0)</f>
        <v>0.23529411764705882</v>
      </c>
      <c r="D228" s="19">
        <f>IFERROR(D227/$B227,0)</f>
        <v>0.29411764705882354</v>
      </c>
      <c r="E228" s="19">
        <f>IFERROR(E227/$B227,0)</f>
        <v>0.47058823529411764</v>
      </c>
      <c r="F228" s="583"/>
    </row>
    <row r="229" spans="1:8" x14ac:dyDescent="0.25">
      <c r="A229" s="31" t="s">
        <v>2753</v>
      </c>
      <c r="B229" s="21">
        <f>IFERROR(AVERAGEIFS('2025-Q1'!$K$4:$K$448,'2025-Q1'!$K$4:$K$448,"&lt;0",'2025-Q1'!$E$4:$E$448,'Q1-STATS'!$A226),0)</f>
        <v>-5.1466821934613861E-2</v>
      </c>
      <c r="C229" s="21">
        <f>IFERROR(AVERAGEIFS('2025-Q1'!$K$4:$K$448,'2025-Q1'!$K$4:$K$448,"&lt;0",'2025-Q1'!$E$4:$E$448,'Q1-STATS'!$A226,'2025-Q1'!$FW$4:$FW$448,"Yes"),0)</f>
        <v>-5.3867996524426878E-2</v>
      </c>
      <c r="D229" s="21">
        <f>IFERROR(AVERAGEIFS('2025-Q1'!$K$4:$K$448,'2025-Q1'!$K$4:$K$448,"&lt;0",'2025-Q1'!$E$4:$E$448,'Q1-STATS'!$A226,'2025-Q1'!$FW$4:$FW$448,"No"),0)</f>
        <v>-4.3619007870955365E-2</v>
      </c>
      <c r="E229" s="21">
        <f>IFERROR(AVERAGEIFS('2025-Q1'!$K$4:$K$448,'2025-Q1'!$K$4:$K$448,"&lt;0",'2025-Q1'!$E$4:$E$448,'Q1-STATS'!$A226,'2025-Q1'!$FW$4:$FW$448,"NA"),0)</f>
        <v>-5.5171118429493932E-2</v>
      </c>
      <c r="F229" s="584"/>
    </row>
    <row r="231" spans="1:8" ht="24.75" x14ac:dyDescent="0.25">
      <c r="A231" s="52" t="str">
        <f>A221</f>
        <v>XLV</v>
      </c>
      <c r="B231" s="25" t="s">
        <v>2749</v>
      </c>
      <c r="C231" s="25" t="s">
        <v>2750</v>
      </c>
      <c r="D231" s="26" t="s">
        <v>2751</v>
      </c>
      <c r="E231" s="26" t="s">
        <v>2752</v>
      </c>
      <c r="F231" s="24" t="s">
        <v>2763</v>
      </c>
    </row>
    <row r="232" spans="1:8" x14ac:dyDescent="0.25">
      <c r="A232" s="32" t="s">
        <v>2757</v>
      </c>
      <c r="B232" s="14">
        <f>B222</f>
        <v>21</v>
      </c>
      <c r="C232" s="588">
        <f>IFERROR(B224,0)</f>
        <v>4.6956057991335121E-2</v>
      </c>
      <c r="D232" s="30">
        <f>B227</f>
        <v>34</v>
      </c>
      <c r="E232" s="590">
        <f>IFERROR(B229,0)</f>
        <v>-5.1466821934613861E-2</v>
      </c>
      <c r="F232" s="582">
        <f>((C232/0.06)*B232)+((E232/0.06)*D232)</f>
        <v>-12.729912132647232</v>
      </c>
    </row>
    <row r="233" spans="1:8" x14ac:dyDescent="0.25">
      <c r="A233" s="36" t="s">
        <v>2758</v>
      </c>
      <c r="B233" s="34">
        <f>B232/(B232+D232)</f>
        <v>0.38181818181818183</v>
      </c>
      <c r="C233" s="589"/>
      <c r="D233" s="35">
        <f>1-B233</f>
        <v>0.61818181818181817</v>
      </c>
      <c r="E233" s="591"/>
      <c r="F233" s="584"/>
    </row>
    <row r="235" spans="1:8" ht="38.25" x14ac:dyDescent="0.25">
      <c r="A235" s="52" t="str">
        <f>A221</f>
        <v>XLV</v>
      </c>
      <c r="B235" s="25" t="s">
        <v>2749</v>
      </c>
      <c r="C235" s="25" t="s">
        <v>2750</v>
      </c>
      <c r="D235" s="26" t="s">
        <v>2751</v>
      </c>
      <c r="E235" s="26" t="s">
        <v>2752</v>
      </c>
      <c r="F235" s="24" t="s">
        <v>2761</v>
      </c>
      <c r="G235" s="37" t="s">
        <v>2762</v>
      </c>
    </row>
    <row r="236" spans="1:8" x14ac:dyDescent="0.25">
      <c r="A236" s="32" t="s">
        <v>2748</v>
      </c>
      <c r="B236" s="14">
        <f>E222</f>
        <v>13</v>
      </c>
      <c r="C236" s="592">
        <f>IFERROR(AVERAGEIFS('2025-Q1'!$K$4:$K$448,'2025-Q1'!$K$4:$K$448,"&gt;0",'2025-Q1'!$FW$4:$FW$448,"NA",'2025-Q1'!$E$4:$E$448,'Q1-STATS'!$A221),0)</f>
        <v>4.7712556393333563E-2</v>
      </c>
      <c r="D236" s="100">
        <f>E227</f>
        <v>16</v>
      </c>
      <c r="E236" s="590">
        <f>IFERROR(AVERAGEIFS('2025-Q1'!$K$4:$K$448,'2025-Q1'!$K$4:$K$448,"&lt;0",'2025-Q1'!$FW$4:$FW$448,"NA",'2025-Q1'!$E$4:$E$448,'Q1-STATS'!$A221),0)</f>
        <v>-5.5171118429493932E-2</v>
      </c>
      <c r="F236" s="593">
        <f>((C236/0.06)*B236)+((E236/0.06)*D236)</f>
        <v>-4.3745776959761091</v>
      </c>
      <c r="G236" s="594">
        <f>-((E236/0.06)*D236)-((C236/0.06)*B236)</f>
        <v>4.3745776959761091</v>
      </c>
    </row>
    <row r="237" spans="1:8" x14ac:dyDescent="0.25">
      <c r="A237" s="36" t="s">
        <v>2758</v>
      </c>
      <c r="B237" s="101">
        <f>IFERROR((B236/(B236+D236)),0)</f>
        <v>0.44827586206896552</v>
      </c>
      <c r="C237" s="592"/>
      <c r="D237" s="35">
        <f>IF(AND(B236=0,D236=0),0,1-B237)</f>
        <v>0.55172413793103448</v>
      </c>
      <c r="E237" s="591"/>
      <c r="F237" s="593"/>
      <c r="G237" s="594"/>
    </row>
    <row r="238" spans="1:8" x14ac:dyDescent="0.25">
      <c r="A238" s="47"/>
      <c r="B238" s="47"/>
      <c r="C238" s="47"/>
      <c r="D238" s="47"/>
      <c r="E238" s="47"/>
      <c r="F238" s="47"/>
      <c r="G238" s="47"/>
    </row>
    <row r="239" spans="1:8" x14ac:dyDescent="0.25">
      <c r="A239" s="47"/>
      <c r="B239" s="47"/>
      <c r="C239" s="47"/>
      <c r="D239" s="47"/>
      <c r="E239" s="47"/>
      <c r="F239" s="47"/>
      <c r="G239" s="47"/>
    </row>
    <row r="240" spans="1:8" x14ac:dyDescent="0.25">
      <c r="A240" s="47"/>
      <c r="B240" s="47"/>
      <c r="C240" s="47"/>
      <c r="D240" s="47"/>
      <c r="E240" s="47"/>
      <c r="F240" s="47"/>
      <c r="G240" s="47"/>
    </row>
    <row r="241" spans="1:8" ht="36" x14ac:dyDescent="0.25">
      <c r="A241" s="55" t="s">
        <v>4773</v>
      </c>
      <c r="B241" s="24" t="s">
        <v>2737</v>
      </c>
      <c r="C241" s="24" t="s">
        <v>2754</v>
      </c>
      <c r="D241" s="24" t="s">
        <v>2755</v>
      </c>
      <c r="E241" s="24" t="s">
        <v>2739</v>
      </c>
      <c r="F241" s="24" t="s">
        <v>2759</v>
      </c>
    </row>
    <row r="242" spans="1:8" x14ac:dyDescent="0.25">
      <c r="A242" s="28" t="s">
        <v>2736</v>
      </c>
      <c r="B242" s="14">
        <f>COUNTIFS('2025-Q1'!$K$4:$K$448,"&gt;0",'2025-Q1'!$E$4:$E$448,'Q1-STATS'!$A241)</f>
        <v>10</v>
      </c>
      <c r="C242" s="14">
        <f>SUMIFS('2025-Q1'!$FX$4:$FX$448,'2025-Q1'!$E$4:$E$448,'Q1-STATS'!$A241)</f>
        <v>0</v>
      </c>
      <c r="D242" s="14">
        <f>SUMIFS('2025-Q1'!$FY$4:$FY$448,'2025-Q1'!$E$4:$E$448,'Q1-STATS'!$A241)</f>
        <v>2</v>
      </c>
      <c r="E242" s="14">
        <f>SUMIFS('2025-Q1'!$FZ$4:$FZ$448,'2025-Q1'!$E$4:$E$448,'Q1-STATS'!$A241)</f>
        <v>8</v>
      </c>
      <c r="F242" s="582">
        <f>((C244/0.06)*C242)+((D249/0.06)*D247)</f>
        <v>0</v>
      </c>
      <c r="H242" s="585" t="s">
        <v>4729</v>
      </c>
    </row>
    <row r="243" spans="1:8" x14ac:dyDescent="0.25">
      <c r="A243" s="27" t="s">
        <v>2741</v>
      </c>
      <c r="B243" s="16" t="s">
        <v>2742</v>
      </c>
      <c r="C243" s="17">
        <f>IFERROR(C242/$B242,0)</f>
        <v>0</v>
      </c>
      <c r="D243" s="17">
        <f>IFERROR(D242/$B242,0)</f>
        <v>0.2</v>
      </c>
      <c r="E243" s="17">
        <f>IFERROR(E242/$B242,0)</f>
        <v>0.8</v>
      </c>
      <c r="F243" s="583"/>
      <c r="H243" s="586"/>
    </row>
    <row r="244" spans="1:8" x14ac:dyDescent="0.25">
      <c r="A244" s="27" t="s">
        <v>2753</v>
      </c>
      <c r="B244" s="20">
        <f>IFERROR(AVERAGEIFS('2025-Q1'!$K$4:$K$448,'2025-Q1'!$K$4:$K$448,"&gt;0",'2025-Q1'!$E$4:$E$448,'Q1-STATS'!$A241),0)</f>
        <v>4.2370730208088736E-2</v>
      </c>
      <c r="C244" s="20">
        <f>IFERROR(AVERAGEIFS('2025-Q1'!$K$4:$K$448,'2025-Q1'!$K$4:$K$448,"&gt;0",'2025-Q1'!$E$4:$E$448,'Q1-STATS'!$A241,'2025-Q1'!$FW$4:$FW$448,"Yes"),0)</f>
        <v>0</v>
      </c>
      <c r="D244" s="20">
        <f>IFERROR(AVERAGEIFS('2025-Q1'!$K$4:$K$448,'2025-Q1'!$K$4:$K$448,"&gt;0",'2025-Q1'!$E$4:$E$448,'Q1-STATS'!$A241,'2025-Q1'!$FW$4:$FW$448,"No"),0)</f>
        <v>7.7145965659030327E-2</v>
      </c>
      <c r="E244" s="20">
        <f>IFERROR(AVERAGEIFS('2025-Q1'!$K$4:$K$448,'2025-Q1'!$K$4:$K$448,"&gt;0",'2025-Q1'!$E$4:$E$448,'Q1-STATS'!$A241,'2025-Q1'!$FW$4:$FW$448,"NA"),0)</f>
        <v>3.3676921345353342E-2</v>
      </c>
      <c r="F244" s="584"/>
      <c r="H244" s="587"/>
    </row>
    <row r="245" spans="1:8" x14ac:dyDescent="0.25">
      <c r="H245" s="582">
        <f>F242+F247+F256</f>
        <v>1.7865879083025158</v>
      </c>
    </row>
    <row r="246" spans="1:8" ht="36" x14ac:dyDescent="0.25">
      <c r="A246" s="51" t="str">
        <f>A241</f>
        <v>SMH</v>
      </c>
      <c r="B246" s="23" t="s">
        <v>2737</v>
      </c>
      <c r="C246" s="23" t="s">
        <v>2756</v>
      </c>
      <c r="D246" s="23" t="s">
        <v>2755</v>
      </c>
      <c r="E246" s="23" t="s">
        <v>2739</v>
      </c>
      <c r="F246" s="23" t="s">
        <v>2760</v>
      </c>
      <c r="H246" s="584"/>
    </row>
    <row r="247" spans="1:8" x14ac:dyDescent="0.25">
      <c r="A247" s="29" t="s">
        <v>2743</v>
      </c>
      <c r="B247" s="30">
        <f>COUNTIFS('2025-Q1'!$K$4:$K$448,"&lt;0",'2025-Q1'!$E$4:$E$448,'Q1-STATS'!$A246)</f>
        <v>10</v>
      </c>
      <c r="C247" s="30">
        <f>SUMIFS('2025-Q1'!$GB$4:$GB$448,'2025-Q1'!$E$4:$E$448,'Q1-STATS'!$A246)</f>
        <v>4</v>
      </c>
      <c r="D247" s="30">
        <f>SUMIFS('2025-Q1'!$GC$4:$GC$448,'2025-Q1'!$E$4:$E$448,'Q1-STATS'!$A246)</f>
        <v>0</v>
      </c>
      <c r="E247" s="30">
        <f>SUMIFS('2025-Q1'!$GD$4:$GD$448,'2025-Q1'!$E$4:$E$448,'Q1-STATS'!$A246)</f>
        <v>6</v>
      </c>
      <c r="F247" s="582">
        <f>-((C249/0.06)*C247)-((D244/0.06)*D242)</f>
        <v>4.1492378192051547</v>
      </c>
    </row>
    <row r="248" spans="1:8" x14ac:dyDescent="0.25">
      <c r="A248" s="31" t="s">
        <v>2744</v>
      </c>
      <c r="B248" s="18" t="s">
        <v>2742</v>
      </c>
      <c r="C248" s="19">
        <f>IFERROR(C247/$B247,0)</f>
        <v>0.4</v>
      </c>
      <c r="D248" s="19">
        <f>IFERROR(D247/$B247,0)</f>
        <v>0</v>
      </c>
      <c r="E248" s="19">
        <f>IFERROR(E247/$B247,0)</f>
        <v>0.6</v>
      </c>
      <c r="F248" s="583"/>
    </row>
    <row r="249" spans="1:8" x14ac:dyDescent="0.25">
      <c r="A249" s="31" t="s">
        <v>2753</v>
      </c>
      <c r="B249" s="21">
        <f>IFERROR(AVERAGEIFS('2025-Q1'!$K$4:$K$448,'2025-Q1'!$K$4:$K$448,"&lt;0",'2025-Q1'!$E$4:$E$448,'Q1-STATS'!$A246),0)</f>
        <v>-8.1442056588735504E-2</v>
      </c>
      <c r="C249" s="21">
        <f>IFERROR(AVERAGEIFS('2025-Q1'!$K$4:$K$448,'2025-Q1'!$K$4:$K$448,"&lt;0",'2025-Q1'!$E$4:$E$448,'Q1-STATS'!$A246,'2025-Q1'!$FW$4:$FW$448,"Yes"),0)</f>
        <v>-0.10081155011759248</v>
      </c>
      <c r="D249" s="21">
        <f>IFERROR(AVERAGEIFS('2025-Q1'!$K$4:$K$448,'2025-Q1'!$K$4:$K$448,"&lt;0",'2025-Q1'!$E$4:$E$448,'Q1-STATS'!$A246,'2025-Q1'!$FW$4:$FW$448,"No"),0)</f>
        <v>0</v>
      </c>
      <c r="E249" s="21">
        <f>IFERROR(AVERAGEIFS('2025-Q1'!$K$4:$K$448,'2025-Q1'!$K$4:$K$448,"&lt;0",'2025-Q1'!$E$4:$E$448,'Q1-STATS'!$A246,'2025-Q1'!$FW$4:$FW$448,"NA"),0)</f>
        <v>-6.8529060902830841E-2</v>
      </c>
      <c r="F249" s="584"/>
    </row>
    <row r="251" spans="1:8" ht="24.75" x14ac:dyDescent="0.25">
      <c r="A251" s="52" t="str">
        <f>A241</f>
        <v>SMH</v>
      </c>
      <c r="B251" s="25" t="s">
        <v>2749</v>
      </c>
      <c r="C251" s="25" t="s">
        <v>2750</v>
      </c>
      <c r="D251" s="26" t="s">
        <v>2751</v>
      </c>
      <c r="E251" s="26" t="s">
        <v>2752</v>
      </c>
      <c r="F251" s="24" t="s">
        <v>2763</v>
      </c>
    </row>
    <row r="252" spans="1:8" x14ac:dyDescent="0.25">
      <c r="A252" s="32" t="s">
        <v>2757</v>
      </c>
      <c r="B252" s="14">
        <f>B242</f>
        <v>10</v>
      </c>
      <c r="C252" s="588">
        <f>IFERROR(B244,0)</f>
        <v>4.2370730208088736E-2</v>
      </c>
      <c r="D252" s="30">
        <f>B247</f>
        <v>10</v>
      </c>
      <c r="E252" s="590">
        <f>IFERROR(B249,0)</f>
        <v>-8.1442056588735504E-2</v>
      </c>
      <c r="F252" s="582">
        <f>((C252/0.06)*B252)+((E252/0.06)*D252)</f>
        <v>-6.5118877301077944</v>
      </c>
    </row>
    <row r="253" spans="1:8" x14ac:dyDescent="0.25">
      <c r="A253" s="36" t="s">
        <v>2758</v>
      </c>
      <c r="B253" s="34">
        <f>B252/(B252+D252)</f>
        <v>0.5</v>
      </c>
      <c r="C253" s="589"/>
      <c r="D253" s="35">
        <f>1-B253</f>
        <v>0.5</v>
      </c>
      <c r="E253" s="591"/>
      <c r="F253" s="584"/>
    </row>
    <row r="255" spans="1:8" ht="38.25" x14ac:dyDescent="0.25">
      <c r="A255" s="52" t="str">
        <f>A241</f>
        <v>SMH</v>
      </c>
      <c r="B255" s="25" t="s">
        <v>2749</v>
      </c>
      <c r="C255" s="25" t="s">
        <v>2750</v>
      </c>
      <c r="D255" s="26" t="s">
        <v>2751</v>
      </c>
      <c r="E255" s="26" t="s">
        <v>2752</v>
      </c>
      <c r="F255" s="24" t="s">
        <v>2761</v>
      </c>
      <c r="G255" s="37" t="s">
        <v>2762</v>
      </c>
    </row>
    <row r="256" spans="1:8" x14ac:dyDescent="0.25">
      <c r="A256" s="32" t="s">
        <v>2748</v>
      </c>
      <c r="B256" s="14">
        <f>E242</f>
        <v>8</v>
      </c>
      <c r="C256" s="592">
        <f>IFERROR(AVERAGEIFS('2025-Q1'!$K$4:$K$448,'2025-Q1'!$K$4:$K$448,"&gt;0",'2025-Q1'!$FW$4:$FW$448,"NA",'2025-Q1'!$E$4:$E$448,'Q1-STATS'!$A241),0)</f>
        <v>3.3676921345353342E-2</v>
      </c>
      <c r="D256" s="100">
        <f>E247</f>
        <v>6</v>
      </c>
      <c r="E256" s="590">
        <f>IFERROR(AVERAGEIFS('2025-Q1'!$K$4:$K$448,'2025-Q1'!$K$4:$K$448,"&lt;0",'2025-Q1'!$FW$4:$FW$448,"NA",'2025-Q1'!$E$4:$E$448,'Q1-STATS'!$A241),0)</f>
        <v>-6.8529060902830841E-2</v>
      </c>
      <c r="F256" s="593">
        <f>((C256/0.06)*B256)+((E256/0.06)*D256)</f>
        <v>-2.3626499109026389</v>
      </c>
      <c r="G256" s="594">
        <f>-((E256/0.06)*D256)-((C256/0.06)*B256)</f>
        <v>2.3626499109026389</v>
      </c>
    </row>
    <row r="257" spans="1:8" x14ac:dyDescent="0.25">
      <c r="A257" s="36" t="s">
        <v>2758</v>
      </c>
      <c r="B257" s="101">
        <f>IFERROR((B256/(B256+D256)),0)</f>
        <v>0.5714285714285714</v>
      </c>
      <c r="C257" s="592"/>
      <c r="D257" s="35">
        <f>IF(AND(B256=0,D256=0),0,1-B257)</f>
        <v>0.4285714285714286</v>
      </c>
      <c r="E257" s="591"/>
      <c r="F257" s="593"/>
      <c r="G257" s="594"/>
    </row>
    <row r="258" spans="1:8" x14ac:dyDescent="0.25">
      <c r="A258" s="47"/>
      <c r="B258" s="47"/>
      <c r="C258" s="47"/>
      <c r="D258" s="47"/>
      <c r="E258" s="47"/>
      <c r="F258" s="47"/>
      <c r="G258" s="47"/>
    </row>
    <row r="259" spans="1:8" x14ac:dyDescent="0.25">
      <c r="A259" s="47"/>
      <c r="B259" s="47"/>
      <c r="C259" s="47"/>
      <c r="D259" s="47"/>
      <c r="E259" s="47"/>
      <c r="F259" s="47"/>
      <c r="G259" s="47"/>
    </row>
    <row r="260" spans="1:8" x14ac:dyDescent="0.25">
      <c r="A260" s="47"/>
      <c r="B260" s="47"/>
      <c r="C260" s="47"/>
      <c r="D260" s="47"/>
      <c r="E260" s="47"/>
      <c r="F260" s="47"/>
      <c r="G260" s="47"/>
    </row>
    <row r="261" spans="1:8" ht="36" x14ac:dyDescent="0.25">
      <c r="A261" s="55" t="s">
        <v>4774</v>
      </c>
      <c r="B261" s="24" t="s">
        <v>2737</v>
      </c>
      <c r="C261" s="24" t="s">
        <v>2754</v>
      </c>
      <c r="D261" s="24" t="s">
        <v>2755</v>
      </c>
      <c r="E261" s="24" t="s">
        <v>2739</v>
      </c>
      <c r="F261" s="24" t="s">
        <v>2759</v>
      </c>
    </row>
    <row r="262" spans="1:8" x14ac:dyDescent="0.25">
      <c r="A262" s="28" t="s">
        <v>2736</v>
      </c>
      <c r="B262" s="14">
        <f>COUNTIFS('2025-Q1'!$K$4:$K$448,"&gt;0",'2025-Q1'!$E$4:$E$448,'Q1-STATS'!$A261)</f>
        <v>2</v>
      </c>
      <c r="C262" s="14">
        <f>SUMIFS('2025-Q1'!$FX$4:$FX$448,'2025-Q1'!$E$4:$E$448,'Q1-STATS'!$A261)</f>
        <v>0</v>
      </c>
      <c r="D262" s="14">
        <f>SUMIFS('2025-Q1'!$FY$4:$FY$448,'2025-Q1'!$E$4:$E$448,'Q1-STATS'!$A261)</f>
        <v>1</v>
      </c>
      <c r="E262" s="14">
        <f>SUMIFS('2025-Q1'!$FZ$4:$FZ$448,'2025-Q1'!$E$4:$E$448,'Q1-STATS'!$A261)</f>
        <v>1</v>
      </c>
      <c r="F262" s="582">
        <f>((C264/0.06)*C262)+((D269/0.06)*D267)</f>
        <v>0</v>
      </c>
      <c r="H262" s="585" t="s">
        <v>4729</v>
      </c>
    </row>
    <row r="263" spans="1:8" x14ac:dyDescent="0.25">
      <c r="A263" s="27" t="s">
        <v>2741</v>
      </c>
      <c r="B263" s="16" t="s">
        <v>2742</v>
      </c>
      <c r="C263" s="17">
        <f>IFERROR(C262/$B262,0)</f>
        <v>0</v>
      </c>
      <c r="D263" s="17">
        <f>IFERROR(D262/$B262,0)</f>
        <v>0.5</v>
      </c>
      <c r="E263" s="17">
        <f>IFERROR(E262/$B262,0)</f>
        <v>0.5</v>
      </c>
      <c r="F263" s="583"/>
      <c r="H263" s="586"/>
    </row>
    <row r="264" spans="1:8" x14ac:dyDescent="0.25">
      <c r="A264" s="27" t="s">
        <v>2753</v>
      </c>
      <c r="B264" s="20">
        <f>IFERROR(AVERAGEIFS('2025-Q1'!$K$4:$K$448,'2025-Q1'!$K$4:$K$448,"&gt;0",'2025-Q1'!$E$4:$E$448,'Q1-STATS'!$A261),0)</f>
        <v>3.0702237913111604E-2</v>
      </c>
      <c r="C264" s="20">
        <f>IFERROR(AVERAGEIFS('2025-Q1'!$K$4:$K$448,'2025-Q1'!$K$4:$K$448,"&gt;0",'2025-Q1'!$E$4:$E$448,'Q1-STATS'!$A261,'2025-Q1'!$FW$4:$FW$448,"Yes"),0)</f>
        <v>0</v>
      </c>
      <c r="D264" s="20">
        <f>IFERROR(AVERAGEIFS('2025-Q1'!$K$4:$K$448,'2025-Q1'!$K$4:$K$448,"&gt;0",'2025-Q1'!$E$4:$E$448,'Q1-STATS'!$A261,'2025-Q1'!$FW$4:$FW$448,"No"),0)</f>
        <v>2.5599700149924978E-2</v>
      </c>
      <c r="E264" s="20">
        <f>IFERROR(AVERAGEIFS('2025-Q1'!$K$4:$K$448,'2025-Q1'!$K$4:$K$448,"&gt;0",'2025-Q1'!$E$4:$E$448,'Q1-STATS'!$A261,'2025-Q1'!$FW$4:$FW$448,"NA"),0)</f>
        <v>3.580477567629823E-2</v>
      </c>
      <c r="F264" s="584"/>
      <c r="H264" s="587"/>
    </row>
    <row r="265" spans="1:8" x14ac:dyDescent="0.25">
      <c r="H265" s="582">
        <f>F262+F267+F276</f>
        <v>0.95150621212368791</v>
      </c>
    </row>
    <row r="266" spans="1:8" ht="36" x14ac:dyDescent="0.25">
      <c r="A266" s="51" t="str">
        <f>A261</f>
        <v>H-INS</v>
      </c>
      <c r="B266" s="23" t="s">
        <v>2737</v>
      </c>
      <c r="C266" s="23" t="s">
        <v>2756</v>
      </c>
      <c r="D266" s="23" t="s">
        <v>2755</v>
      </c>
      <c r="E266" s="23" t="s">
        <v>2739</v>
      </c>
      <c r="F266" s="23" t="s">
        <v>2760</v>
      </c>
      <c r="H266" s="584"/>
    </row>
    <row r="267" spans="1:8" x14ac:dyDescent="0.25">
      <c r="A267" s="29" t="s">
        <v>2743</v>
      </c>
      <c r="B267" s="30">
        <f>COUNTIFS('2025-Q1'!$K$4:$K$448,"&lt;0",'2025-Q1'!$E$4:$E$448,'Q1-STATS'!$A266)</f>
        <v>3</v>
      </c>
      <c r="C267" s="30">
        <f>SUMIFS('2025-Q1'!$GB$4:$GB$448,'2025-Q1'!$E$4:$E$448,'Q1-STATS'!$A266)</f>
        <v>2</v>
      </c>
      <c r="D267" s="30">
        <f>SUMIFS('2025-Q1'!$GC$4:$GC$448,'2025-Q1'!$E$4:$E$448,'Q1-STATS'!$A266)</f>
        <v>0</v>
      </c>
      <c r="E267" s="30">
        <f>SUMIFS('2025-Q1'!$GD$4:$GD$448,'2025-Q1'!$E$4:$E$448,'Q1-STATS'!$A266)</f>
        <v>1</v>
      </c>
      <c r="F267" s="582">
        <f>-((C269/0.06)*C267)-((D264/0.06)*D262)</f>
        <v>1.5298088040866475</v>
      </c>
    </row>
    <row r="268" spans="1:8" x14ac:dyDescent="0.25">
      <c r="A268" s="31" t="s">
        <v>2744</v>
      </c>
      <c r="B268" s="18" t="s">
        <v>2742</v>
      </c>
      <c r="C268" s="19">
        <f>IFERROR(C267/$B267,0)</f>
        <v>0.66666666666666663</v>
      </c>
      <c r="D268" s="19">
        <f>IFERROR(D267/$B267,0)</f>
        <v>0</v>
      </c>
      <c r="E268" s="19">
        <f>IFERROR(E267/$B267,0)</f>
        <v>0.33333333333333331</v>
      </c>
      <c r="F268" s="583"/>
    </row>
    <row r="269" spans="1:8" x14ac:dyDescent="0.25">
      <c r="A269" s="31" t="s">
        <v>2753</v>
      </c>
      <c r="B269" s="21">
        <f>IFERROR(AVERAGEIFS('2025-Q1'!$K$4:$K$448,'2025-Q1'!$K$4:$K$448,"&lt;0",'2025-Q1'!$E$4:$E$448,'Q1-STATS'!$A266),0)</f>
        <v>-6.2630386529733212E-2</v>
      </c>
      <c r="C269" s="21">
        <f>IFERROR(AVERAGEIFS('2025-Q1'!$K$4:$K$448,'2025-Q1'!$K$4:$K$448,"&lt;0",'2025-Q1'!$E$4:$E$448,'Q1-STATS'!$A266,'2025-Q1'!$FW$4:$FW$448,"Yes"),0)</f>
        <v>-5.8694114197561917E-2</v>
      </c>
      <c r="D269" s="21">
        <f>IFERROR(AVERAGEIFS('2025-Q1'!$K$4:$K$448,'2025-Q1'!$K$4:$K$448,"&lt;0",'2025-Q1'!$E$4:$E$448,'Q1-STATS'!$A266,'2025-Q1'!$FW$4:$FW$448,"No"),0)</f>
        <v>0</v>
      </c>
      <c r="E269" s="21">
        <f>IFERROR(AVERAGEIFS('2025-Q1'!$K$4:$K$448,'2025-Q1'!$K$4:$K$448,"&lt;0",'2025-Q1'!$E$4:$E$448,'Q1-STATS'!$A266,'2025-Q1'!$FW$4:$FW$448,"NA"),0)</f>
        <v>-7.0502931194075802E-2</v>
      </c>
      <c r="F269" s="584"/>
    </row>
    <row r="271" spans="1:8" ht="24.75" x14ac:dyDescent="0.25">
      <c r="A271" s="52" t="str">
        <f>A261</f>
        <v>H-INS</v>
      </c>
      <c r="B271" s="25" t="s">
        <v>2749</v>
      </c>
      <c r="C271" s="25" t="s">
        <v>2750</v>
      </c>
      <c r="D271" s="26" t="s">
        <v>2751</v>
      </c>
      <c r="E271" s="26" t="s">
        <v>2752</v>
      </c>
      <c r="F271" s="24" t="s">
        <v>2763</v>
      </c>
    </row>
    <row r="272" spans="1:8" x14ac:dyDescent="0.25">
      <c r="A272" s="32" t="s">
        <v>2757</v>
      </c>
      <c r="B272" s="14">
        <f>B262</f>
        <v>2</v>
      </c>
      <c r="C272" s="588">
        <f>IFERROR(B264,0)</f>
        <v>3.0702237913111604E-2</v>
      </c>
      <c r="D272" s="30">
        <f>B267</f>
        <v>3</v>
      </c>
      <c r="E272" s="590">
        <f>IFERROR(B269,0)</f>
        <v>-6.2630386529733212E-2</v>
      </c>
      <c r="F272" s="582">
        <f>((C272/0.06)*B272)+((E272/0.06)*D272)</f>
        <v>-2.1081113960496074</v>
      </c>
    </row>
    <row r="273" spans="1:8" x14ac:dyDescent="0.25">
      <c r="A273" s="36" t="s">
        <v>2758</v>
      </c>
      <c r="B273" s="34">
        <f>B272/(B272+D272)</f>
        <v>0.4</v>
      </c>
      <c r="C273" s="589"/>
      <c r="D273" s="35">
        <f>1-B273</f>
        <v>0.6</v>
      </c>
      <c r="E273" s="591"/>
      <c r="F273" s="584"/>
    </row>
    <row r="275" spans="1:8" ht="38.25" x14ac:dyDescent="0.25">
      <c r="A275" s="52" t="str">
        <f>A261</f>
        <v>H-INS</v>
      </c>
      <c r="B275" s="25" t="s">
        <v>2749</v>
      </c>
      <c r="C275" s="25" t="s">
        <v>2750</v>
      </c>
      <c r="D275" s="26" t="s">
        <v>2751</v>
      </c>
      <c r="E275" s="26" t="s">
        <v>2752</v>
      </c>
      <c r="F275" s="24" t="s">
        <v>2761</v>
      </c>
      <c r="G275" s="37" t="s">
        <v>2762</v>
      </c>
    </row>
    <row r="276" spans="1:8" x14ac:dyDescent="0.25">
      <c r="A276" s="32" t="s">
        <v>2748</v>
      </c>
      <c r="B276" s="14">
        <f>E262</f>
        <v>1</v>
      </c>
      <c r="C276" s="592">
        <f>IFERROR(AVERAGEIFS('2025-Q1'!$K$4:$K$448,'2025-Q1'!$K$4:$K$448,"&gt;0",'2025-Q1'!$FW$4:$FW$448,"NA",'2025-Q1'!$E$4:$E$448,'Q1-STATS'!$A261),0)</f>
        <v>3.580477567629823E-2</v>
      </c>
      <c r="D276" s="100">
        <f>E267</f>
        <v>1</v>
      </c>
      <c r="E276" s="590">
        <f>IFERROR(AVERAGEIFS('2025-Q1'!$K$4:$K$448,'2025-Q1'!$K$4:$K$448,"&lt;0",'2025-Q1'!$FW$4:$FW$448,"NA",'2025-Q1'!$E$4:$E$448,'Q1-STATS'!$A261),0)</f>
        <v>-7.0502931194075802E-2</v>
      </c>
      <c r="F276" s="593">
        <f>((C276/0.06)*B276)+((E276/0.06)*D276)</f>
        <v>-0.57830259196295963</v>
      </c>
      <c r="G276" s="594">
        <f>-((E276/0.06)*D276)-((C276/0.06)*B276)</f>
        <v>0.57830259196295963</v>
      </c>
    </row>
    <row r="277" spans="1:8" x14ac:dyDescent="0.25">
      <c r="A277" s="36" t="s">
        <v>2758</v>
      </c>
      <c r="B277" s="101">
        <f>IFERROR((B276/(B276+D276)),0)</f>
        <v>0.5</v>
      </c>
      <c r="C277" s="592"/>
      <c r="D277" s="35">
        <f>IF(AND(B276=0,D276=0),0,1-B277)</f>
        <v>0.5</v>
      </c>
      <c r="E277" s="591"/>
      <c r="F277" s="593"/>
      <c r="G277" s="594"/>
    </row>
    <row r="278" spans="1:8" x14ac:dyDescent="0.25">
      <c r="A278" s="47"/>
      <c r="B278" s="47"/>
      <c r="C278" s="47"/>
      <c r="D278" s="47"/>
      <c r="E278" s="47"/>
      <c r="F278" s="47"/>
      <c r="G278" s="47"/>
    </row>
    <row r="279" spans="1:8" x14ac:dyDescent="0.25">
      <c r="A279" s="47"/>
      <c r="B279" s="47"/>
      <c r="C279" s="47"/>
      <c r="D279" s="47"/>
      <c r="E279" s="47"/>
      <c r="F279" s="47"/>
      <c r="G279" s="47"/>
    </row>
    <row r="280" spans="1:8" x14ac:dyDescent="0.25">
      <c r="A280" s="47"/>
      <c r="B280" s="47"/>
      <c r="C280" s="47"/>
      <c r="D280" s="47"/>
      <c r="E280" s="47"/>
      <c r="F280" s="47"/>
      <c r="G280" s="47"/>
    </row>
    <row r="281" spans="1:8" ht="36" x14ac:dyDescent="0.25">
      <c r="A281" s="55" t="s">
        <v>4775</v>
      </c>
      <c r="B281" s="24" t="s">
        <v>2737</v>
      </c>
      <c r="C281" s="24" t="s">
        <v>2754</v>
      </c>
      <c r="D281" s="24" t="s">
        <v>2755</v>
      </c>
      <c r="E281" s="24" t="s">
        <v>2739</v>
      </c>
      <c r="F281" s="24" t="s">
        <v>2759</v>
      </c>
    </row>
    <row r="282" spans="1:8" x14ac:dyDescent="0.25">
      <c r="A282" s="28" t="s">
        <v>2736</v>
      </c>
      <c r="B282" s="14">
        <f>COUNTIFS('2025-Q1'!$K$4:$K$448,"&gt;0",'2025-Q1'!$E$4:$E$448,'Q1-STATS'!$A281)</f>
        <v>8</v>
      </c>
      <c r="C282" s="14">
        <f>SUMIFS('2025-Q1'!$FX$4:$FX$448,'2025-Q1'!$E$4:$E$448,'Q1-STATS'!$A281)</f>
        <v>1</v>
      </c>
      <c r="D282" s="14">
        <f>SUMIFS('2025-Q1'!$FY$4:$FY$448,'2025-Q1'!$E$4:$E$448,'Q1-STATS'!$A281)</f>
        <v>1</v>
      </c>
      <c r="E282" s="14">
        <f>SUMIFS('2025-Q1'!$FZ$4:$FZ$448,'2025-Q1'!$E$4:$E$448,'Q1-STATS'!$A281)</f>
        <v>6</v>
      </c>
      <c r="F282" s="582">
        <f>((C284/0.06)*C282)+((D289/0.06)*D287)</f>
        <v>-2.8187978720434159E-2</v>
      </c>
      <c r="H282" s="585" t="s">
        <v>4729</v>
      </c>
    </row>
    <row r="283" spans="1:8" x14ac:dyDescent="0.25">
      <c r="A283" s="27" t="s">
        <v>2741</v>
      </c>
      <c r="B283" s="16" t="s">
        <v>2742</v>
      </c>
      <c r="C283" s="17">
        <f>IFERROR(C282/$B282,0)</f>
        <v>0.125</v>
      </c>
      <c r="D283" s="17">
        <f>IFERROR(D282/$B282,0)</f>
        <v>0.125</v>
      </c>
      <c r="E283" s="17">
        <f>IFERROR(E282/$B282,0)</f>
        <v>0.75</v>
      </c>
      <c r="F283" s="583"/>
      <c r="H283" s="586"/>
    </row>
    <row r="284" spans="1:8" x14ac:dyDescent="0.25">
      <c r="A284" s="27" t="s">
        <v>2753</v>
      </c>
      <c r="B284" s="20">
        <f>IFERROR(AVERAGEIFS('2025-Q1'!$K$4:$K$448,'2025-Q1'!$K$4:$K$448,"&gt;0",'2025-Q1'!$E$4:$E$448,'Q1-STATS'!$A281),0)</f>
        <v>2.5259507293391461E-2</v>
      </c>
      <c r="C284" s="20">
        <f>IFERROR(AVERAGEIFS('2025-Q1'!$K$4:$K$448,'2025-Q1'!$K$4:$K$448,"&gt;0",'2025-Q1'!$E$4:$E$448,'Q1-STATS'!$A281,'2025-Q1'!$FW$4:$FW$448,"Yes"),0)</f>
        <v>8.4504753392378833E-3</v>
      </c>
      <c r="D284" s="20">
        <f>IFERROR(AVERAGEIFS('2025-Q1'!$K$4:$K$448,'2025-Q1'!$K$4:$K$448,"&gt;0",'2025-Q1'!$E$4:$E$448,'Q1-STATS'!$A281,'2025-Q1'!$FW$4:$FW$448,"No"),0)</f>
        <v>4.3430172540923066E-2</v>
      </c>
      <c r="E284" s="20">
        <f>IFERROR(AVERAGEIFS('2025-Q1'!$K$4:$K$448,'2025-Q1'!$K$4:$K$448,"&gt;0",'2025-Q1'!$E$4:$E$448,'Q1-STATS'!$A281,'2025-Q1'!$FW$4:$FW$448,"NA"),0)</f>
        <v>2.5032568411161787E-2</v>
      </c>
      <c r="F284" s="584"/>
      <c r="H284" s="587"/>
    </row>
    <row r="285" spans="1:8" x14ac:dyDescent="0.25">
      <c r="H285" s="582">
        <f>F282+F287+F296</f>
        <v>-0.60724148315804438</v>
      </c>
    </row>
    <row r="286" spans="1:8" ht="36" x14ac:dyDescent="0.25">
      <c r="A286" s="51" t="str">
        <f>A281</f>
        <v>INS</v>
      </c>
      <c r="B286" s="23" t="s">
        <v>2737</v>
      </c>
      <c r="C286" s="23" t="s">
        <v>2756</v>
      </c>
      <c r="D286" s="23" t="s">
        <v>2755</v>
      </c>
      <c r="E286" s="23" t="s">
        <v>2739</v>
      </c>
      <c r="F286" s="23" t="s">
        <v>2760</v>
      </c>
      <c r="H286" s="584"/>
    </row>
    <row r="287" spans="1:8" x14ac:dyDescent="0.25">
      <c r="A287" s="29" t="s">
        <v>2743</v>
      </c>
      <c r="B287" s="30">
        <f>COUNTIFS('2025-Q1'!$K$4:$K$448,"&lt;0",'2025-Q1'!$E$4:$E$448,'Q1-STATS'!$A286)</f>
        <v>12</v>
      </c>
      <c r="C287" s="30">
        <f>SUMIFS('2025-Q1'!$GB$4:$GB$448,'2025-Q1'!$E$4:$E$448,'Q1-STATS'!$A286)</f>
        <v>2</v>
      </c>
      <c r="D287" s="30">
        <f>SUMIFS('2025-Q1'!$GC$4:$GC$448,'2025-Q1'!$E$4:$E$448,'Q1-STATS'!$A286)</f>
        <v>1</v>
      </c>
      <c r="E287" s="30">
        <f>SUMIFS('2025-Q1'!$GD$4:$GD$448,'2025-Q1'!$E$4:$E$448,'Q1-STATS'!$A286)</f>
        <v>9</v>
      </c>
      <c r="F287" s="582">
        <f>-((C289/0.06)*C287)-((D284/0.06)*D282)</f>
        <v>-0.10589676051796171</v>
      </c>
    </row>
    <row r="288" spans="1:8" x14ac:dyDescent="0.25">
      <c r="A288" s="31" t="s">
        <v>2744</v>
      </c>
      <c r="B288" s="18" t="s">
        <v>2742</v>
      </c>
      <c r="C288" s="19">
        <f>IFERROR(C287/$B287,0)</f>
        <v>0.16666666666666666</v>
      </c>
      <c r="D288" s="19">
        <f>IFERROR(D287/$B287,0)</f>
        <v>8.3333333333333329E-2</v>
      </c>
      <c r="E288" s="19">
        <f>IFERROR(E287/$B287,0)</f>
        <v>0.75</v>
      </c>
      <c r="F288" s="583"/>
    </row>
    <row r="289" spans="1:8" x14ac:dyDescent="0.25">
      <c r="A289" s="31" t="s">
        <v>2753</v>
      </c>
      <c r="B289" s="21">
        <f>IFERROR(AVERAGEIFS('2025-Q1'!$K$4:$K$448,'2025-Q1'!$K$4:$K$448,"&lt;0",'2025-Q1'!$E$4:$E$448,'Q1-STATS'!$A286),0)</f>
        <v>-1.8816911339538243E-2</v>
      </c>
      <c r="C289" s="21">
        <f>IFERROR(AVERAGEIFS('2025-Q1'!$K$4:$K$448,'2025-Q1'!$K$4:$K$448,"&lt;0",'2025-Q1'!$E$4:$E$448,'Q1-STATS'!$A286,'2025-Q1'!$FW$4:$FW$448,"Yes"),0)</f>
        <v>-1.8538183454922683E-2</v>
      </c>
      <c r="D289" s="21">
        <f>IFERROR(AVERAGEIFS('2025-Q1'!$K$4:$K$448,'2025-Q1'!$K$4:$K$448,"&lt;0",'2025-Q1'!$E$4:$E$448,'Q1-STATS'!$A286,'2025-Q1'!$FW$4:$FW$448,"No"),0)</f>
        <v>-1.0141754062463933E-2</v>
      </c>
      <c r="E289" s="21">
        <f>IFERROR(AVERAGEIFS('2025-Q1'!$K$4:$K$448,'2025-Q1'!$K$4:$K$448,"&lt;0",'2025-Q1'!$E$4:$E$448,'Q1-STATS'!$A286,'2025-Q1'!$FW$4:$FW$448,"NA"),0)</f>
        <v>-1.9842757233572181E-2</v>
      </c>
      <c r="F289" s="584"/>
    </row>
    <row r="291" spans="1:8" ht="24.75" x14ac:dyDescent="0.25">
      <c r="A291" s="52" t="str">
        <f>A281</f>
        <v>INS</v>
      </c>
      <c r="B291" s="25" t="s">
        <v>2749</v>
      </c>
      <c r="C291" s="25" t="s">
        <v>2750</v>
      </c>
      <c r="D291" s="26" t="s">
        <v>2751</v>
      </c>
      <c r="E291" s="26" t="s">
        <v>2752</v>
      </c>
      <c r="F291" s="24" t="s">
        <v>2763</v>
      </c>
    </row>
    <row r="292" spans="1:8" x14ac:dyDescent="0.25">
      <c r="A292" s="32" t="s">
        <v>2757</v>
      </c>
      <c r="B292" s="14">
        <f>B282</f>
        <v>8</v>
      </c>
      <c r="C292" s="588">
        <f>IFERROR(B284,0)</f>
        <v>2.5259507293391461E-2</v>
      </c>
      <c r="D292" s="30">
        <f>B287</f>
        <v>12</v>
      </c>
      <c r="E292" s="590">
        <f>IFERROR(B289,0)</f>
        <v>-1.8816911339538243E-2</v>
      </c>
      <c r="F292" s="582">
        <f>((C292/0.06)*B292)+((E292/0.06)*D292)</f>
        <v>-0.39544796212212052</v>
      </c>
    </row>
    <row r="293" spans="1:8" x14ac:dyDescent="0.25">
      <c r="A293" s="36" t="s">
        <v>2758</v>
      </c>
      <c r="B293" s="34">
        <f>B292/(B292+D292)</f>
        <v>0.4</v>
      </c>
      <c r="C293" s="589"/>
      <c r="D293" s="35">
        <f>1-B293</f>
        <v>0.6</v>
      </c>
      <c r="E293" s="591"/>
      <c r="F293" s="584"/>
    </row>
    <row r="295" spans="1:8" ht="38.25" x14ac:dyDescent="0.25">
      <c r="A295" s="52" t="str">
        <f>A281</f>
        <v>INS</v>
      </c>
      <c r="B295" s="25" t="s">
        <v>2749</v>
      </c>
      <c r="C295" s="25" t="s">
        <v>2750</v>
      </c>
      <c r="D295" s="26" t="s">
        <v>2751</v>
      </c>
      <c r="E295" s="26" t="s">
        <v>2752</v>
      </c>
      <c r="F295" s="24" t="s">
        <v>2761</v>
      </c>
      <c r="G295" s="37" t="s">
        <v>2762</v>
      </c>
    </row>
    <row r="296" spans="1:8" x14ac:dyDescent="0.25">
      <c r="A296" s="32" t="s">
        <v>2748</v>
      </c>
      <c r="B296" s="14">
        <f>E282</f>
        <v>6</v>
      </c>
      <c r="C296" s="592">
        <f>IFERROR(AVERAGEIFS('2025-Q1'!$K$4:$K$448,'2025-Q1'!$K$4:$K$448,"&gt;0",'2025-Q1'!$FW$4:$FW$448,"NA",'2025-Q1'!$E$4:$E$448,'Q1-STATS'!$A281),0)</f>
        <v>2.5032568411161787E-2</v>
      </c>
      <c r="D296" s="100">
        <f>E287</f>
        <v>9</v>
      </c>
      <c r="E296" s="590">
        <f>IFERROR(AVERAGEIFS('2025-Q1'!$K$4:$K$448,'2025-Q1'!$K$4:$K$448,"&lt;0",'2025-Q1'!$FW$4:$FW$448,"NA",'2025-Q1'!$E$4:$E$448,'Q1-STATS'!$A281),0)</f>
        <v>-1.9842757233572181E-2</v>
      </c>
      <c r="F296" s="593">
        <f>((C296/0.06)*B296)+((E296/0.06)*D296)</f>
        <v>-0.47315674391964846</v>
      </c>
      <c r="G296" s="594">
        <f>-((E296/0.06)*D296)-((C296/0.06)*B296)</f>
        <v>0.47315674391964846</v>
      </c>
    </row>
    <row r="297" spans="1:8" x14ac:dyDescent="0.25">
      <c r="A297" s="36" t="s">
        <v>2758</v>
      </c>
      <c r="B297" s="101">
        <f>IFERROR((B296/(B296+D296)),0)</f>
        <v>0.4</v>
      </c>
      <c r="C297" s="592"/>
      <c r="D297" s="35">
        <f>IF(AND(B296=0,D296=0),0,1-B297)</f>
        <v>0.6</v>
      </c>
      <c r="E297" s="591"/>
      <c r="F297" s="593"/>
      <c r="G297" s="594"/>
    </row>
    <row r="298" spans="1:8" x14ac:dyDescent="0.25">
      <c r="A298" s="47"/>
      <c r="B298" s="47"/>
      <c r="C298" s="47"/>
      <c r="D298" s="47"/>
      <c r="E298" s="47"/>
      <c r="F298" s="47"/>
      <c r="G298" s="47"/>
    </row>
    <row r="299" spans="1:8" x14ac:dyDescent="0.25">
      <c r="A299" s="47"/>
      <c r="B299" s="47"/>
      <c r="C299" s="47"/>
      <c r="D299" s="47"/>
      <c r="E299" s="47"/>
      <c r="F299" s="47"/>
      <c r="G299" s="47"/>
    </row>
    <row r="300" spans="1:8" x14ac:dyDescent="0.25">
      <c r="A300" s="47"/>
      <c r="B300" s="47"/>
      <c r="C300" s="47"/>
      <c r="D300" s="47"/>
      <c r="E300" s="47"/>
      <c r="F300" s="47"/>
      <c r="G300" s="47"/>
    </row>
    <row r="301" spans="1:8" ht="36" x14ac:dyDescent="0.25">
      <c r="A301" s="55" t="s">
        <v>4964</v>
      </c>
      <c r="B301" s="24" t="s">
        <v>2737</v>
      </c>
      <c r="C301" s="24" t="s">
        <v>2754</v>
      </c>
      <c r="D301" s="24" t="s">
        <v>2755</v>
      </c>
      <c r="E301" s="24" t="s">
        <v>2739</v>
      </c>
      <c r="F301" s="24" t="s">
        <v>2759</v>
      </c>
    </row>
    <row r="302" spans="1:8" x14ac:dyDescent="0.25">
      <c r="A302" s="28" t="s">
        <v>2736</v>
      </c>
      <c r="B302" s="14">
        <f>COUNTIFS('2025-Q1'!$K$4:$K$448,"&gt;0",'2025-Q1'!$E$4:$E$448,'Q1-STATS'!$A301)</f>
        <v>4</v>
      </c>
      <c r="C302" s="14">
        <f>SUMIFS('2025-Q1'!$FX$4:$FX$448,'2025-Q1'!$E$4:$E$448,'Q1-STATS'!$A301)</f>
        <v>0</v>
      </c>
      <c r="D302" s="14">
        <f>SUMIFS('2025-Q1'!$FY$4:$FY$448,'2025-Q1'!$E$4:$E$448,'Q1-STATS'!$A301)</f>
        <v>3</v>
      </c>
      <c r="E302" s="14">
        <f>SUMIFS('2025-Q1'!$FZ$4:$FZ$448,'2025-Q1'!$E$4:$E$448,'Q1-STATS'!$A301)</f>
        <v>1</v>
      </c>
      <c r="F302" s="582">
        <f>((C304/0.06)*C302)+((D309/0.06)*D307)</f>
        <v>0</v>
      </c>
      <c r="H302" s="585" t="s">
        <v>4729</v>
      </c>
    </row>
    <row r="303" spans="1:8" x14ac:dyDescent="0.25">
      <c r="A303" s="27" t="s">
        <v>2741</v>
      </c>
      <c r="B303" s="16" t="s">
        <v>2742</v>
      </c>
      <c r="C303" s="17">
        <f>IFERROR(C302/$B302,0)</f>
        <v>0</v>
      </c>
      <c r="D303" s="17">
        <f>IFERROR(D302/$B302,0)</f>
        <v>0.75</v>
      </c>
      <c r="E303" s="17">
        <f>IFERROR(E302/$B302,0)</f>
        <v>0.25</v>
      </c>
      <c r="F303" s="583"/>
      <c r="H303" s="586"/>
    </row>
    <row r="304" spans="1:8" x14ac:dyDescent="0.25">
      <c r="A304" s="27" t="s">
        <v>2753</v>
      </c>
      <c r="B304" s="20">
        <f>IFERROR(AVERAGEIFS('2025-Q1'!$K$4:$K$448,'2025-Q1'!$K$4:$K$448,"&gt;0",'2025-Q1'!$E$4:$E$448,'Q1-STATS'!$A301),0)</f>
        <v>1.6800666265245442E-2</v>
      </c>
      <c r="C304" s="20">
        <f>IFERROR(AVERAGEIFS('2025-Q1'!$K$4:$K$448,'2025-Q1'!$K$4:$K$448,"&gt;0",'2025-Q1'!$E$4:$E$448,'Q1-STATS'!$A301,'2025-Q1'!$FW$4:$FW$448,"Yes"),0)</f>
        <v>0</v>
      </c>
      <c r="D304" s="20">
        <f>IFERROR(AVERAGEIFS('2025-Q1'!$K$4:$K$448,'2025-Q1'!$K$4:$K$448,"&gt;0",'2025-Q1'!$E$4:$E$448,'Q1-STATS'!$A301,'2025-Q1'!$FW$4:$FW$448,"No"),0)</f>
        <v>2.042443394101125E-2</v>
      </c>
      <c r="E304" s="20">
        <f>IFERROR(AVERAGEIFS('2025-Q1'!$K$4:$K$448,'2025-Q1'!$K$4:$K$448,"&gt;0",'2025-Q1'!$E$4:$E$448,'Q1-STATS'!$A301,'2025-Q1'!$FW$4:$FW$448,"NA"),0)</f>
        <v>5.9293632379480276E-3</v>
      </c>
      <c r="F304" s="584"/>
      <c r="H304" s="587"/>
    </row>
    <row r="305" spans="1:8" x14ac:dyDescent="0.25">
      <c r="H305" s="582">
        <f>F302+F307+F316</f>
        <v>0.84487780098790921</v>
      </c>
    </row>
    <row r="306" spans="1:8" ht="36" x14ac:dyDescent="0.25">
      <c r="A306" s="51" t="str">
        <f>A301</f>
        <v>XHB</v>
      </c>
      <c r="B306" s="23" t="s">
        <v>2737</v>
      </c>
      <c r="C306" s="23" t="s">
        <v>2756</v>
      </c>
      <c r="D306" s="23" t="s">
        <v>2755</v>
      </c>
      <c r="E306" s="23" t="s">
        <v>2739</v>
      </c>
      <c r="F306" s="23" t="s">
        <v>2760</v>
      </c>
      <c r="H306" s="584"/>
    </row>
    <row r="307" spans="1:8" x14ac:dyDescent="0.25">
      <c r="A307" s="29" t="s">
        <v>2743</v>
      </c>
      <c r="B307" s="30">
        <f>COUNTIFS('2025-Q1'!$K$4:$K$448,"&lt;0",'2025-Q1'!$E$4:$E$448,'Q1-STATS'!$A306)</f>
        <v>4</v>
      </c>
      <c r="C307" s="30">
        <f>SUMIFS('2025-Q1'!$GB$4:$GB$448,'2025-Q1'!$E$4:$E$448,'Q1-STATS'!$A306)</f>
        <v>3</v>
      </c>
      <c r="D307" s="30">
        <f>SUMIFS('2025-Q1'!$GC$4:$GC$448,'2025-Q1'!$E$4:$E$448,'Q1-STATS'!$A306)</f>
        <v>0</v>
      </c>
      <c r="E307" s="30">
        <f>SUMIFS('2025-Q1'!$GD$4:$GD$448,'2025-Q1'!$E$4:$E$448,'Q1-STATS'!$A306)</f>
        <v>1</v>
      </c>
      <c r="F307" s="582">
        <f>-((C309/0.06)*C307)-((D304/0.06)*D302)</f>
        <v>1.0521749793983475</v>
      </c>
    </row>
    <row r="308" spans="1:8" x14ac:dyDescent="0.25">
      <c r="A308" s="31" t="s">
        <v>2744</v>
      </c>
      <c r="B308" s="18" t="s">
        <v>2742</v>
      </c>
      <c r="C308" s="19">
        <f>IFERROR(C307/$B307,0)</f>
        <v>0.75</v>
      </c>
      <c r="D308" s="19">
        <f>IFERROR(D307/$B307,0)</f>
        <v>0</v>
      </c>
      <c r="E308" s="19">
        <f>IFERROR(E307/$B307,0)</f>
        <v>0.25</v>
      </c>
      <c r="F308" s="583"/>
    </row>
    <row r="309" spans="1:8" x14ac:dyDescent="0.25">
      <c r="A309" s="31" t="s">
        <v>2753</v>
      </c>
      <c r="B309" s="21">
        <f>IFERROR(AVERAGEIFS('2025-Q1'!$K$4:$K$448,'2025-Q1'!$K$4:$K$448,"&lt;0",'2025-Q1'!$E$4:$E$448,'Q1-STATS'!$A306),0)</f>
        <v>-3.569274863237723E-2</v>
      </c>
      <c r="C309" s="21">
        <f>IFERROR(AVERAGEIFS('2025-Q1'!$K$4:$K$448,'2025-Q1'!$K$4:$K$448,"&lt;0",'2025-Q1'!$E$4:$E$448,'Q1-STATS'!$A306,'2025-Q1'!$FW$4:$FW$448,"Yes"),0)</f>
        <v>-4.14679335289782E-2</v>
      </c>
      <c r="D309" s="21">
        <f>IFERROR(AVERAGEIFS('2025-Q1'!$K$4:$K$448,'2025-Q1'!$K$4:$K$448,"&lt;0",'2025-Q1'!$E$4:$E$448,'Q1-STATS'!$A306,'2025-Q1'!$FW$4:$FW$448,"No"),0)</f>
        <v>0</v>
      </c>
      <c r="E309" s="21">
        <f>IFERROR(AVERAGEIFS('2025-Q1'!$K$4:$K$448,'2025-Q1'!$K$4:$K$448,"&lt;0",'2025-Q1'!$E$4:$E$448,'Q1-STATS'!$A306,'2025-Q1'!$FW$4:$FW$448,"NA"),0)</f>
        <v>-1.8367193942574321E-2</v>
      </c>
      <c r="F309" s="584"/>
    </row>
    <row r="311" spans="1:8" ht="24.75" x14ac:dyDescent="0.25">
      <c r="A311" s="52" t="str">
        <f>A301</f>
        <v>XHB</v>
      </c>
      <c r="B311" s="25" t="s">
        <v>2749</v>
      </c>
      <c r="C311" s="25" t="s">
        <v>2750</v>
      </c>
      <c r="D311" s="26" t="s">
        <v>2751</v>
      </c>
      <c r="E311" s="26" t="s">
        <v>2752</v>
      </c>
      <c r="F311" s="24" t="s">
        <v>2763</v>
      </c>
    </row>
    <row r="312" spans="1:8" x14ac:dyDescent="0.25">
      <c r="A312" s="32" t="s">
        <v>2757</v>
      </c>
      <c r="B312" s="14">
        <f>B302</f>
        <v>4</v>
      </c>
      <c r="C312" s="588">
        <f>IFERROR(B304,0)</f>
        <v>1.6800666265245442E-2</v>
      </c>
      <c r="D312" s="30">
        <f>B307</f>
        <v>4</v>
      </c>
      <c r="E312" s="590">
        <f>IFERROR(B309,0)</f>
        <v>-3.569274863237723E-2</v>
      </c>
      <c r="F312" s="582">
        <f>((C312/0.06)*B312)+((E312/0.06)*D312)</f>
        <v>-1.2594721578087857</v>
      </c>
    </row>
    <row r="313" spans="1:8" x14ac:dyDescent="0.25">
      <c r="A313" s="36" t="s">
        <v>2758</v>
      </c>
      <c r="B313" s="34">
        <f>B312/(B312+D312)</f>
        <v>0.5</v>
      </c>
      <c r="C313" s="589"/>
      <c r="D313" s="35">
        <f>1-B313</f>
        <v>0.5</v>
      </c>
      <c r="E313" s="591"/>
      <c r="F313" s="584"/>
    </row>
    <row r="315" spans="1:8" ht="38.25" x14ac:dyDescent="0.25">
      <c r="A315" s="52" t="str">
        <f>A301</f>
        <v>XHB</v>
      </c>
      <c r="B315" s="25" t="s">
        <v>2749</v>
      </c>
      <c r="C315" s="25" t="s">
        <v>2750</v>
      </c>
      <c r="D315" s="26" t="s">
        <v>2751</v>
      </c>
      <c r="E315" s="26" t="s">
        <v>2752</v>
      </c>
      <c r="F315" s="24" t="s">
        <v>2761</v>
      </c>
      <c r="G315" s="37" t="s">
        <v>2762</v>
      </c>
    </row>
    <row r="316" spans="1:8" x14ac:dyDescent="0.25">
      <c r="A316" s="32" t="s">
        <v>2748</v>
      </c>
      <c r="B316" s="14">
        <f>E302</f>
        <v>1</v>
      </c>
      <c r="C316" s="592">
        <f>IFERROR(AVERAGEIFS('2025-Q1'!$K$4:$K$448,'2025-Q1'!$K$4:$K$448,"&gt;0",'2025-Q1'!$FW$4:$FW$448,"NA",'2025-Q1'!$E$4:$E$448,'Q1-STATS'!$A301),0)</f>
        <v>5.9293632379480276E-3</v>
      </c>
      <c r="D316" s="100">
        <f>E307</f>
        <v>1</v>
      </c>
      <c r="E316" s="590">
        <f>IFERROR(AVERAGEIFS('2025-Q1'!$K$4:$K$448,'2025-Q1'!$K$4:$K$448,"&lt;0",'2025-Q1'!$FW$4:$FW$448,"NA",'2025-Q1'!$E$4:$E$448,'Q1-STATS'!$A301),0)</f>
        <v>-1.8367193942574321E-2</v>
      </c>
      <c r="F316" s="593">
        <f>((C316/0.06)*B316)+((E316/0.06)*D316)</f>
        <v>-0.20729717841043824</v>
      </c>
      <c r="G316" s="594">
        <f>-((E316/0.06)*D316)-((C316/0.06)*B316)</f>
        <v>0.20729717841043824</v>
      </c>
    </row>
    <row r="317" spans="1:8" x14ac:dyDescent="0.25">
      <c r="A317" s="36" t="s">
        <v>2758</v>
      </c>
      <c r="B317" s="101">
        <f>IFERROR((B316/(B316+D316)),0)</f>
        <v>0.5</v>
      </c>
      <c r="C317" s="592"/>
      <c r="D317" s="35">
        <f>IF(AND(B316=0,D316=0),0,1-B317)</f>
        <v>0.5</v>
      </c>
      <c r="E317" s="591"/>
      <c r="F317" s="593"/>
      <c r="G317" s="594"/>
    </row>
    <row r="318" spans="1:8" x14ac:dyDescent="0.25">
      <c r="A318" s="47"/>
      <c r="B318" s="47"/>
      <c r="C318" s="47"/>
      <c r="D318" s="47"/>
      <c r="E318" s="47"/>
      <c r="F318" s="47"/>
      <c r="G318" s="47"/>
    </row>
    <row r="319" spans="1:8" x14ac:dyDescent="0.25">
      <c r="A319" s="47"/>
      <c r="B319" s="47"/>
      <c r="C319" s="47"/>
      <c r="D319" s="47"/>
      <c r="E319" s="47"/>
      <c r="F319" s="47"/>
      <c r="G319" s="47"/>
    </row>
    <row r="320" spans="1:8" x14ac:dyDescent="0.25">
      <c r="A320" s="47"/>
      <c r="B320" s="47"/>
      <c r="C320" s="47"/>
      <c r="D320" s="47"/>
      <c r="E320" s="47"/>
      <c r="F320" s="47"/>
      <c r="G320" s="47"/>
    </row>
    <row r="321" spans="1:8" ht="36" x14ac:dyDescent="0.25">
      <c r="A321" s="55" t="s">
        <v>5009</v>
      </c>
      <c r="B321" s="24" t="s">
        <v>2737</v>
      </c>
      <c r="C321" s="24" t="s">
        <v>2754</v>
      </c>
      <c r="D321" s="24" t="s">
        <v>2755</v>
      </c>
      <c r="E321" s="24" t="s">
        <v>2739</v>
      </c>
      <c r="F321" s="24" t="s">
        <v>2759</v>
      </c>
    </row>
    <row r="322" spans="1:8" x14ac:dyDescent="0.25">
      <c r="A322" s="28" t="s">
        <v>2736</v>
      </c>
      <c r="B322" s="14">
        <f>COUNTIFS('2025-Q1'!$K$4:$K$448,"&gt;0",'2025-Q1'!$E$4:$E$448,'Q1-STATS'!$A321)</f>
        <v>21</v>
      </c>
      <c r="C322" s="14">
        <f>SUMIFS('2025-Q1'!$FX$4:$FX$448,'2025-Q1'!$E$4:$E$448,'Q1-STATS'!$A321)</f>
        <v>7</v>
      </c>
      <c r="D322" s="14">
        <f>SUMIFS('2025-Q1'!$FY$4:$FY$448,'2025-Q1'!$E$4:$E$448,'Q1-STATS'!$A321)</f>
        <v>3</v>
      </c>
      <c r="E322" s="14">
        <f>SUMIFS('2025-Q1'!$FZ$4:$FZ$448,'2025-Q1'!$E$4:$E$448,'Q1-STATS'!$A321)</f>
        <v>11</v>
      </c>
      <c r="F322" s="582">
        <f>((C324/0.06)*C322)+((D329/0.06)*D327)</f>
        <v>10.051961559281771</v>
      </c>
      <c r="H322" s="585" t="s">
        <v>4729</v>
      </c>
    </row>
    <row r="323" spans="1:8" x14ac:dyDescent="0.25">
      <c r="A323" s="27" t="s">
        <v>2741</v>
      </c>
      <c r="B323" s="16" t="s">
        <v>2742</v>
      </c>
      <c r="C323" s="17">
        <f>IFERROR(C322/$B322,0)</f>
        <v>0.33333333333333331</v>
      </c>
      <c r="D323" s="17">
        <f>IFERROR(D322/$B322,0)</f>
        <v>0.14285714285714285</v>
      </c>
      <c r="E323" s="17">
        <f>IFERROR(E322/$B322,0)</f>
        <v>0.52380952380952384</v>
      </c>
      <c r="F323" s="583"/>
      <c r="H323" s="586"/>
    </row>
    <row r="324" spans="1:8" x14ac:dyDescent="0.25">
      <c r="A324" s="27" t="s">
        <v>2753</v>
      </c>
      <c r="B324" s="20">
        <f>IFERROR(AVERAGEIFS('2025-Q1'!$K$4:$K$448,'2025-Q1'!$K$4:$K$448,"&gt;0",'2025-Q1'!$E$4:$E$448,'Q1-STATS'!$A321),0)</f>
        <v>9.9103882882679115E-2</v>
      </c>
      <c r="C324" s="20">
        <f>IFERROR(AVERAGEIFS('2025-Q1'!$K$4:$K$448,'2025-Q1'!$K$4:$K$448,"&gt;0",'2025-Q1'!$E$4:$E$448,'Q1-STATS'!$A321,'2025-Q1'!$FW$4:$FW$448,"Yes"),0)</f>
        <v>0.12423135139317412</v>
      </c>
      <c r="D324" s="20">
        <f>IFERROR(AVERAGEIFS('2025-Q1'!$K$4:$K$448,'2025-Q1'!$K$4:$K$448,"&gt;0",'2025-Q1'!$E$4:$E$448,'Q1-STATS'!$A321,'2025-Q1'!$FW$4:$FW$448,"No"),0)</f>
        <v>9.4265947566603267E-2</v>
      </c>
      <c r="E324" s="20">
        <f>IFERROR(AVERAGEIFS('2025-Q1'!$K$4:$K$448,'2025-Q1'!$K$4:$K$448,"&gt;0",'2025-Q1'!$E$4:$E$448,'Q1-STATS'!$A321,'2025-Q1'!$FW$4:$FW$448,"NA"),0)</f>
        <v>8.4433112553112089E-2</v>
      </c>
      <c r="F324" s="584"/>
      <c r="H324" s="587"/>
    </row>
    <row r="325" spans="1:8" x14ac:dyDescent="0.25">
      <c r="H325" s="582">
        <f>F322+F327+F336</f>
        <v>25.083188773118515</v>
      </c>
    </row>
    <row r="326" spans="1:8" ht="36" x14ac:dyDescent="0.25">
      <c r="A326" s="51" t="str">
        <f>A321</f>
        <v>IGV</v>
      </c>
      <c r="B326" s="23" t="s">
        <v>2737</v>
      </c>
      <c r="C326" s="23" t="s">
        <v>2756</v>
      </c>
      <c r="D326" s="23" t="s">
        <v>2755</v>
      </c>
      <c r="E326" s="23" t="s">
        <v>2739</v>
      </c>
      <c r="F326" s="23" t="s">
        <v>2760</v>
      </c>
      <c r="H326" s="584"/>
    </row>
    <row r="327" spans="1:8" x14ac:dyDescent="0.25">
      <c r="A327" s="29" t="s">
        <v>2743</v>
      </c>
      <c r="B327" s="30">
        <f>COUNTIFS('2025-Q1'!$K$4:$K$448,"&lt;0",'2025-Q1'!$E$4:$E$448,'Q1-STATS'!$A326)</f>
        <v>23</v>
      </c>
      <c r="C327" s="30">
        <f>SUMIFS('2025-Q1'!$GB$4:$GB$448,'2025-Q1'!$E$4:$E$448,'Q1-STATS'!$A326)</f>
        <v>8</v>
      </c>
      <c r="D327" s="30">
        <f>SUMIFS('2025-Q1'!$GC$4:$GC$448,'2025-Q1'!$E$4:$E$448,'Q1-STATS'!$A326)</f>
        <v>3</v>
      </c>
      <c r="E327" s="30">
        <f>SUMIFS('2025-Q1'!$GD$4:$GD$448,'2025-Q1'!$E$4:$E$448,'Q1-STATS'!$A326)</f>
        <v>12</v>
      </c>
      <c r="F327" s="582">
        <f>-((C329/0.06)*C327)-((D324/0.06)*D322)</f>
        <v>8.6506567900704745</v>
      </c>
    </row>
    <row r="328" spans="1:8" x14ac:dyDescent="0.25">
      <c r="A328" s="31" t="s">
        <v>2744</v>
      </c>
      <c r="B328" s="18" t="s">
        <v>2742</v>
      </c>
      <c r="C328" s="19">
        <f>IFERROR(C327/$B327,0)</f>
        <v>0.34782608695652173</v>
      </c>
      <c r="D328" s="19">
        <f>IFERROR(D327/$B327,0)</f>
        <v>0.13043478260869565</v>
      </c>
      <c r="E328" s="19">
        <f>IFERROR(E327/$B327,0)</f>
        <v>0.52173913043478259</v>
      </c>
      <c r="F328" s="583"/>
    </row>
    <row r="329" spans="1:8" x14ac:dyDescent="0.25">
      <c r="A329" s="31" t="s">
        <v>2753</v>
      </c>
      <c r="B329" s="21">
        <f>IFERROR(AVERAGEIFS('2025-Q1'!$K$4:$K$448,'2025-Q1'!$K$4:$K$448,"&lt;0",'2025-Q1'!$E$4:$E$448,'Q1-STATS'!$A326),0)</f>
        <v>-7.018560995467861E-2</v>
      </c>
      <c r="C329" s="21">
        <f>IFERROR(AVERAGEIFS('2025-Q1'!$K$4:$K$448,'2025-Q1'!$K$4:$K$448,"&lt;0",'2025-Q1'!$E$4:$E$448,'Q1-STATS'!$A326,'2025-Q1'!$FW$4:$FW$448,"Yes"),0)</f>
        <v>-0.10022965626300478</v>
      </c>
      <c r="D329" s="21">
        <f>IFERROR(AVERAGEIFS('2025-Q1'!$K$4:$K$448,'2025-Q1'!$K$4:$K$448,"&lt;0",'2025-Q1'!$E$4:$E$448,'Q1-STATS'!$A326,'2025-Q1'!$FW$4:$FW$448,"No"),0)</f>
        <v>-8.8833922065104196E-2</v>
      </c>
      <c r="E329" s="21">
        <f>IFERROR(AVERAGEIFS('2025-Q1'!$K$4:$K$448,'2025-Q1'!$K$4:$K$448,"&lt;0",'2025-Q1'!$E$4:$E$448,'Q1-STATS'!$A326,'2025-Q1'!$FW$4:$FW$448,"NA"),0)</f>
        <v>-4.5494167721521407E-2</v>
      </c>
      <c r="F329" s="584"/>
    </row>
    <row r="331" spans="1:8" ht="24.75" x14ac:dyDescent="0.25">
      <c r="A331" s="52" t="str">
        <f>A321</f>
        <v>IGV</v>
      </c>
      <c r="B331" s="25" t="s">
        <v>2749</v>
      </c>
      <c r="C331" s="25" t="s">
        <v>2750</v>
      </c>
      <c r="D331" s="26" t="s">
        <v>2751</v>
      </c>
      <c r="E331" s="26" t="s">
        <v>2752</v>
      </c>
      <c r="F331" s="24" t="s">
        <v>2763</v>
      </c>
    </row>
    <row r="332" spans="1:8" x14ac:dyDescent="0.25">
      <c r="A332" s="32" t="s">
        <v>2757</v>
      </c>
      <c r="B332" s="14">
        <f>B322</f>
        <v>21</v>
      </c>
      <c r="C332" s="588">
        <f>IFERROR(B324,0)</f>
        <v>9.9103882882679115E-2</v>
      </c>
      <c r="D332" s="30">
        <f>B327</f>
        <v>23</v>
      </c>
      <c r="E332" s="590">
        <f>IFERROR(B329,0)</f>
        <v>-7.018560995467861E-2</v>
      </c>
      <c r="F332" s="582">
        <f>((C332/0.06)*B332)+((E332/0.06)*D332)</f>
        <v>7.7818751929775587</v>
      </c>
    </row>
    <row r="333" spans="1:8" x14ac:dyDescent="0.25">
      <c r="A333" s="36" t="s">
        <v>2758</v>
      </c>
      <c r="B333" s="34">
        <f>B332/(B332+D332)</f>
        <v>0.47727272727272729</v>
      </c>
      <c r="C333" s="589"/>
      <c r="D333" s="35">
        <f>1-B333</f>
        <v>0.52272727272727271</v>
      </c>
      <c r="E333" s="591"/>
      <c r="F333" s="584"/>
    </row>
    <row r="335" spans="1:8" ht="38.25" x14ac:dyDescent="0.25">
      <c r="A335" s="52" t="str">
        <f>A321</f>
        <v>IGV</v>
      </c>
      <c r="B335" s="25" t="s">
        <v>2749</v>
      </c>
      <c r="C335" s="25" t="s">
        <v>2750</v>
      </c>
      <c r="D335" s="26" t="s">
        <v>2751</v>
      </c>
      <c r="E335" s="26" t="s">
        <v>2752</v>
      </c>
      <c r="F335" s="24" t="s">
        <v>2761</v>
      </c>
      <c r="G335" s="37" t="s">
        <v>2762</v>
      </c>
    </row>
    <row r="336" spans="1:8" x14ac:dyDescent="0.25">
      <c r="A336" s="32" t="s">
        <v>2748</v>
      </c>
      <c r="B336" s="14">
        <f>E322</f>
        <v>11</v>
      </c>
      <c r="C336" s="592">
        <f>IFERROR(AVERAGEIFS('2025-Q1'!$K$4:$K$448,'2025-Q1'!$K$4:$K$448,"&gt;0",'2025-Q1'!$FW$4:$FW$448,"NA",'2025-Q1'!$E$4:$E$448,'Q1-STATS'!$A321),0)</f>
        <v>8.4433112553112089E-2</v>
      </c>
      <c r="D336" s="100">
        <f>E327</f>
        <v>12</v>
      </c>
      <c r="E336" s="590">
        <f>IFERROR(AVERAGEIFS('2025-Q1'!$K$4:$K$448,'2025-Q1'!$K$4:$K$448,"&lt;0",'2025-Q1'!$FW$4:$FW$448,"NA",'2025-Q1'!$E$4:$E$448,'Q1-STATS'!$A321),0)</f>
        <v>-4.5494167721521407E-2</v>
      </c>
      <c r="F336" s="593">
        <f>((C336/0.06)*B336)+((E336/0.06)*D336)</f>
        <v>6.380570423766267</v>
      </c>
      <c r="G336" s="594">
        <f>-((E336/0.06)*D336)-((C336/0.06)*B336)</f>
        <v>-6.380570423766267</v>
      </c>
    </row>
    <row r="337" spans="1:7" x14ac:dyDescent="0.25">
      <c r="A337" s="36" t="s">
        <v>2758</v>
      </c>
      <c r="B337" s="101">
        <f>IFERROR((B336/(B336+D336)),0)</f>
        <v>0.47826086956521741</v>
      </c>
      <c r="C337" s="592"/>
      <c r="D337" s="35">
        <f>IF(AND(B336=0,D336=0),0,1-B337)</f>
        <v>0.52173913043478259</v>
      </c>
      <c r="E337" s="591"/>
      <c r="F337" s="593"/>
      <c r="G337" s="594"/>
    </row>
  </sheetData>
  <mergeCells count="187">
    <mergeCell ref="H5:H6"/>
    <mergeCell ref="H2:H4"/>
    <mergeCell ref="C16:C17"/>
    <mergeCell ref="E16:E17"/>
    <mergeCell ref="G16:G17"/>
    <mergeCell ref="C12:C13"/>
    <mergeCell ref="E12:E13"/>
    <mergeCell ref="F12:F13"/>
    <mergeCell ref="F2:F4"/>
    <mergeCell ref="F16:F17"/>
    <mergeCell ref="F7:F9"/>
    <mergeCell ref="G36:G37"/>
    <mergeCell ref="H22:H24"/>
    <mergeCell ref="H25:H26"/>
    <mergeCell ref="F42:F44"/>
    <mergeCell ref="H42:H44"/>
    <mergeCell ref="C32:C33"/>
    <mergeCell ref="E32:E33"/>
    <mergeCell ref="F32:F33"/>
    <mergeCell ref="C36:C37"/>
    <mergeCell ref="E36:E37"/>
    <mergeCell ref="F36:F37"/>
    <mergeCell ref="F22:F24"/>
    <mergeCell ref="F27:F29"/>
    <mergeCell ref="C56:C57"/>
    <mergeCell ref="E56:E57"/>
    <mergeCell ref="F56:F57"/>
    <mergeCell ref="G56:G57"/>
    <mergeCell ref="F62:F64"/>
    <mergeCell ref="H45:H46"/>
    <mergeCell ref="F47:F49"/>
    <mergeCell ref="C52:C53"/>
    <mergeCell ref="E52:E53"/>
    <mergeCell ref="F52:F53"/>
    <mergeCell ref="C76:C77"/>
    <mergeCell ref="E76:E77"/>
    <mergeCell ref="F76:F77"/>
    <mergeCell ref="G76:G77"/>
    <mergeCell ref="F82:F84"/>
    <mergeCell ref="H62:H64"/>
    <mergeCell ref="H65:H66"/>
    <mergeCell ref="F67:F69"/>
    <mergeCell ref="C72:C73"/>
    <mergeCell ref="E72:E73"/>
    <mergeCell ref="F72:F73"/>
    <mergeCell ref="C96:C97"/>
    <mergeCell ref="E96:E97"/>
    <mergeCell ref="F96:F97"/>
    <mergeCell ref="G96:G97"/>
    <mergeCell ref="F102:F104"/>
    <mergeCell ref="H82:H84"/>
    <mergeCell ref="H85:H86"/>
    <mergeCell ref="F87:F89"/>
    <mergeCell ref="C92:C93"/>
    <mergeCell ref="E92:E93"/>
    <mergeCell ref="F92:F93"/>
    <mergeCell ref="C116:C117"/>
    <mergeCell ref="E116:E117"/>
    <mergeCell ref="F116:F117"/>
    <mergeCell ref="G116:G117"/>
    <mergeCell ref="F122:F124"/>
    <mergeCell ref="H102:H104"/>
    <mergeCell ref="H105:H106"/>
    <mergeCell ref="F107:F109"/>
    <mergeCell ref="C112:C113"/>
    <mergeCell ref="E112:E113"/>
    <mergeCell ref="F112:F113"/>
    <mergeCell ref="C136:C137"/>
    <mergeCell ref="E136:E137"/>
    <mergeCell ref="F136:F137"/>
    <mergeCell ref="G136:G137"/>
    <mergeCell ref="F142:F144"/>
    <mergeCell ref="H122:H124"/>
    <mergeCell ref="H125:H126"/>
    <mergeCell ref="F127:F129"/>
    <mergeCell ref="C132:C133"/>
    <mergeCell ref="E132:E133"/>
    <mergeCell ref="F132:F133"/>
    <mergeCell ref="C156:C157"/>
    <mergeCell ref="E156:E157"/>
    <mergeCell ref="F156:F157"/>
    <mergeCell ref="G156:G157"/>
    <mergeCell ref="F162:F164"/>
    <mergeCell ref="H142:H144"/>
    <mergeCell ref="H145:H146"/>
    <mergeCell ref="F147:F149"/>
    <mergeCell ref="C152:C153"/>
    <mergeCell ref="E152:E153"/>
    <mergeCell ref="F152:F153"/>
    <mergeCell ref="C176:C177"/>
    <mergeCell ref="E176:E177"/>
    <mergeCell ref="F176:F177"/>
    <mergeCell ref="G176:G177"/>
    <mergeCell ref="F182:F184"/>
    <mergeCell ref="H162:H164"/>
    <mergeCell ref="H165:H166"/>
    <mergeCell ref="F167:F169"/>
    <mergeCell ref="C172:C173"/>
    <mergeCell ref="E172:E173"/>
    <mergeCell ref="F172:F173"/>
    <mergeCell ref="C196:C197"/>
    <mergeCell ref="E196:E197"/>
    <mergeCell ref="F196:F197"/>
    <mergeCell ref="G196:G197"/>
    <mergeCell ref="F202:F204"/>
    <mergeCell ref="H182:H184"/>
    <mergeCell ref="H185:H186"/>
    <mergeCell ref="F187:F189"/>
    <mergeCell ref="C192:C193"/>
    <mergeCell ref="E192:E193"/>
    <mergeCell ref="F192:F193"/>
    <mergeCell ref="C216:C217"/>
    <mergeCell ref="E216:E217"/>
    <mergeCell ref="F216:F217"/>
    <mergeCell ref="G216:G217"/>
    <mergeCell ref="F222:F224"/>
    <mergeCell ref="H202:H204"/>
    <mergeCell ref="H205:H206"/>
    <mergeCell ref="F207:F209"/>
    <mergeCell ref="C212:C213"/>
    <mergeCell ref="E212:E213"/>
    <mergeCell ref="F212:F213"/>
    <mergeCell ref="C236:C237"/>
    <mergeCell ref="E236:E237"/>
    <mergeCell ref="F236:F237"/>
    <mergeCell ref="G236:G237"/>
    <mergeCell ref="H222:H224"/>
    <mergeCell ref="H225:H226"/>
    <mergeCell ref="F227:F229"/>
    <mergeCell ref="C232:C233"/>
    <mergeCell ref="E232:E233"/>
    <mergeCell ref="F232:F233"/>
    <mergeCell ref="F242:F244"/>
    <mergeCell ref="H242:H244"/>
    <mergeCell ref="H245:H246"/>
    <mergeCell ref="F247:F249"/>
    <mergeCell ref="C252:C253"/>
    <mergeCell ref="E252:E253"/>
    <mergeCell ref="F252:F253"/>
    <mergeCell ref="C256:C257"/>
    <mergeCell ref="E256:E257"/>
    <mergeCell ref="F256:F257"/>
    <mergeCell ref="G256:G257"/>
    <mergeCell ref="F262:F264"/>
    <mergeCell ref="H262:H264"/>
    <mergeCell ref="H265:H266"/>
    <mergeCell ref="F267:F269"/>
    <mergeCell ref="C272:C273"/>
    <mergeCell ref="E272:E273"/>
    <mergeCell ref="F272:F273"/>
    <mergeCell ref="C276:C277"/>
    <mergeCell ref="E276:E277"/>
    <mergeCell ref="F276:F277"/>
    <mergeCell ref="G276:G277"/>
    <mergeCell ref="F282:F284"/>
    <mergeCell ref="H282:H284"/>
    <mergeCell ref="H285:H286"/>
    <mergeCell ref="F287:F289"/>
    <mergeCell ref="C292:C293"/>
    <mergeCell ref="E292:E293"/>
    <mergeCell ref="F292:F293"/>
    <mergeCell ref="C296:C297"/>
    <mergeCell ref="E296:E297"/>
    <mergeCell ref="F296:F297"/>
    <mergeCell ref="G296:G297"/>
    <mergeCell ref="F302:F304"/>
    <mergeCell ref="H302:H304"/>
    <mergeCell ref="H305:H306"/>
    <mergeCell ref="F307:F309"/>
    <mergeCell ref="C312:C313"/>
    <mergeCell ref="E312:E313"/>
    <mergeCell ref="F312:F313"/>
    <mergeCell ref="C316:C317"/>
    <mergeCell ref="E316:E317"/>
    <mergeCell ref="F316:F317"/>
    <mergeCell ref="G316:G317"/>
    <mergeCell ref="F322:F324"/>
    <mergeCell ref="H322:H324"/>
    <mergeCell ref="H325:H326"/>
    <mergeCell ref="F327:F329"/>
    <mergeCell ref="C332:C333"/>
    <mergeCell ref="E332:E333"/>
    <mergeCell ref="F332:F333"/>
    <mergeCell ref="C336:C337"/>
    <mergeCell ref="E336:E337"/>
    <mergeCell ref="F336:F337"/>
    <mergeCell ref="G336:G337"/>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7F36-B854-4D5E-8770-3CDA8914A41B}">
  <sheetPr>
    <tabColor rgb="FF00FF00"/>
  </sheetPr>
  <dimension ref="B1:AJ20"/>
  <sheetViews>
    <sheetView showGridLines="0" zoomScaleNormal="100" workbookViewId="0">
      <selection activeCell="P39" sqref="P39"/>
    </sheetView>
  </sheetViews>
  <sheetFormatPr defaultRowHeight="15" x14ac:dyDescent="0.25"/>
  <cols>
    <col min="1" max="1" width="2.85546875" customWidth="1"/>
    <col min="2" max="2" width="5.85546875" customWidth="1"/>
    <col min="3" max="3" width="6.7109375" customWidth="1"/>
    <col min="4" max="4" width="7.5703125" customWidth="1"/>
    <col min="5" max="5" width="7" customWidth="1"/>
    <col min="6" max="6" width="7.85546875" customWidth="1"/>
    <col min="7" max="7" width="8.7109375" customWidth="1"/>
    <col min="8" max="8" width="7.85546875" customWidth="1"/>
    <col min="9" max="9" width="8.7109375" customWidth="1"/>
    <col min="10" max="10" width="7.85546875" customWidth="1"/>
    <col min="11" max="11" width="8.7109375" customWidth="1"/>
    <col min="12" max="12" width="7.85546875" customWidth="1"/>
    <col min="13" max="13" width="8.7109375" customWidth="1"/>
    <col min="14" max="14" width="7.85546875" customWidth="1"/>
    <col min="15" max="15" width="8.7109375" customWidth="1"/>
    <col min="16" max="16" width="7.85546875" customWidth="1"/>
    <col min="17" max="17" width="8.7109375" customWidth="1"/>
    <col min="18" max="18" width="5.42578125" bestFit="1" customWidth="1"/>
    <col min="19" max="19" width="5.42578125" customWidth="1"/>
    <col min="20" max="20" width="6.42578125" customWidth="1"/>
    <col min="21" max="21" width="6.85546875" customWidth="1"/>
    <col min="22" max="23" width="7.28515625" customWidth="1"/>
    <col min="24" max="24" width="7.7109375" customWidth="1"/>
    <col min="25" max="25" width="7.85546875" customWidth="1"/>
    <col min="26" max="26" width="8.5703125" customWidth="1"/>
    <col min="27" max="27" width="8.7109375" customWidth="1"/>
    <col min="28" max="28" width="7.28515625" customWidth="1"/>
    <col min="29" max="29" width="7.85546875" customWidth="1"/>
    <col min="30" max="30" width="8.140625" customWidth="1"/>
    <col min="32" max="32" width="7.42578125" customWidth="1"/>
    <col min="34" max="34" width="7.5703125" customWidth="1"/>
  </cols>
  <sheetData>
    <row r="1" spans="2:36" ht="24" x14ac:dyDescent="0.4">
      <c r="B1" s="609" t="s">
        <v>2736</v>
      </c>
      <c r="C1" s="609"/>
      <c r="D1" s="609"/>
      <c r="E1" s="609"/>
      <c r="F1" s="609"/>
      <c r="G1" s="609"/>
      <c r="H1" s="609"/>
      <c r="I1" s="609"/>
      <c r="J1" s="609"/>
      <c r="K1" s="609"/>
      <c r="L1" s="609"/>
      <c r="M1" s="609"/>
      <c r="N1" s="609"/>
      <c r="O1" s="609"/>
      <c r="P1" s="609"/>
      <c r="Q1" s="609"/>
      <c r="R1" s="151"/>
      <c r="S1" s="151"/>
      <c r="T1" s="610" t="s">
        <v>2743</v>
      </c>
      <c r="U1" s="610"/>
      <c r="V1" s="610"/>
      <c r="W1" s="610"/>
      <c r="X1" s="610"/>
      <c r="Y1" s="610"/>
      <c r="Z1" s="610"/>
      <c r="AA1" s="610"/>
      <c r="AB1" s="610"/>
      <c r="AC1" s="610"/>
      <c r="AD1" s="610"/>
      <c r="AE1" s="610"/>
      <c r="AF1" s="610"/>
      <c r="AG1" s="610"/>
      <c r="AH1" s="610"/>
      <c r="AI1" s="610"/>
      <c r="AJ1" s="109"/>
    </row>
    <row r="2" spans="2:36" ht="17.25" customHeight="1" x14ac:dyDescent="0.25">
      <c r="B2" s="129"/>
      <c r="C2" s="611" t="s">
        <v>4776</v>
      </c>
      <c r="D2" s="612"/>
      <c r="E2" s="613"/>
      <c r="F2" s="614" t="s">
        <v>4760</v>
      </c>
      <c r="G2" s="615"/>
      <c r="H2" s="615"/>
      <c r="I2" s="616"/>
      <c r="J2" s="623" t="s">
        <v>4761</v>
      </c>
      <c r="K2" s="624"/>
      <c r="L2" s="624"/>
      <c r="M2" s="625"/>
      <c r="N2" s="620" t="s">
        <v>4749</v>
      </c>
      <c r="O2" s="621"/>
      <c r="P2" s="621"/>
      <c r="Q2" s="622"/>
      <c r="R2" s="152" t="s">
        <v>4965</v>
      </c>
      <c r="S2" s="152" t="s">
        <v>2758</v>
      </c>
      <c r="T2" s="131"/>
      <c r="U2" s="603" t="s">
        <v>4776</v>
      </c>
      <c r="V2" s="604"/>
      <c r="W2" s="605"/>
      <c r="X2" s="617" t="s">
        <v>4759</v>
      </c>
      <c r="Y2" s="618"/>
      <c r="Z2" s="618"/>
      <c r="AA2" s="619"/>
      <c r="AB2" s="626" t="s">
        <v>4762</v>
      </c>
      <c r="AC2" s="627"/>
      <c r="AD2" s="627"/>
      <c r="AE2" s="628"/>
      <c r="AF2" s="606" t="s">
        <v>4749</v>
      </c>
      <c r="AG2" s="607"/>
      <c r="AH2" s="607"/>
      <c r="AI2" s="608"/>
      <c r="AJ2" s="109"/>
    </row>
    <row r="3" spans="2:36" ht="49.5" customHeight="1" x14ac:dyDescent="0.25">
      <c r="B3" s="135" t="s">
        <v>4717</v>
      </c>
      <c r="C3" s="105" t="s">
        <v>4742</v>
      </c>
      <c r="D3" s="104" t="s">
        <v>4741</v>
      </c>
      <c r="E3" s="104" t="s">
        <v>4744</v>
      </c>
      <c r="F3" s="110" t="s">
        <v>4746</v>
      </c>
      <c r="G3" s="110" t="s">
        <v>4756</v>
      </c>
      <c r="H3" s="110" t="s">
        <v>4764</v>
      </c>
      <c r="I3" s="110" t="s">
        <v>4765</v>
      </c>
      <c r="J3" s="113" t="s">
        <v>4747</v>
      </c>
      <c r="K3" s="113" t="s">
        <v>4755</v>
      </c>
      <c r="L3" s="113" t="s">
        <v>4754</v>
      </c>
      <c r="M3" s="113" t="s">
        <v>4750</v>
      </c>
      <c r="N3" s="112" t="s">
        <v>4748</v>
      </c>
      <c r="O3" s="112" t="s">
        <v>4757</v>
      </c>
      <c r="P3" s="112" t="s">
        <v>4771</v>
      </c>
      <c r="Q3" s="112" t="s">
        <v>4751</v>
      </c>
      <c r="R3" s="150" t="s">
        <v>4966</v>
      </c>
      <c r="S3" s="150" t="s">
        <v>4967</v>
      </c>
      <c r="T3" s="134" t="s">
        <v>4717</v>
      </c>
      <c r="U3" s="121" t="s">
        <v>4743</v>
      </c>
      <c r="V3" s="122" t="s">
        <v>4741</v>
      </c>
      <c r="W3" s="122" t="s">
        <v>4752</v>
      </c>
      <c r="X3" s="118" t="s">
        <v>4747</v>
      </c>
      <c r="Y3" s="118" t="s">
        <v>4758</v>
      </c>
      <c r="Z3" s="118" t="s">
        <v>4767</v>
      </c>
      <c r="AA3" s="118" t="s">
        <v>4768</v>
      </c>
      <c r="AB3" s="124" t="s">
        <v>4746</v>
      </c>
      <c r="AC3" s="124" t="s">
        <v>4763</v>
      </c>
      <c r="AD3" s="124" t="s">
        <v>4766</v>
      </c>
      <c r="AE3" s="124" t="s">
        <v>4769</v>
      </c>
      <c r="AF3" s="126" t="s">
        <v>4748</v>
      </c>
      <c r="AG3" s="126" t="s">
        <v>4753</v>
      </c>
      <c r="AH3" s="126" t="s">
        <v>4772</v>
      </c>
      <c r="AI3" s="126" t="s">
        <v>4770</v>
      </c>
      <c r="AJ3" s="111"/>
    </row>
    <row r="4" spans="2:36" x14ac:dyDescent="0.25">
      <c r="B4" s="133" t="s">
        <v>4740</v>
      </c>
      <c r="C4" s="107">
        <f>'Q1-STATS'!B2</f>
        <v>215</v>
      </c>
      <c r="D4" s="108">
        <f>'Q1-STATS'!B4</f>
        <v>4.9782433091204677E-2</v>
      </c>
      <c r="E4" s="117">
        <f>IFERROR(C4/(C4+U4),0)</f>
        <v>0.48423423423423423</v>
      </c>
      <c r="F4" s="114">
        <f>COUNTIFS('2025-Q1'!$FV$4:$FV$448,"Up",'2025-Q1'!$J$4:$J$448,"&gt;0")</f>
        <v>101</v>
      </c>
      <c r="G4" s="117">
        <f>IFERROR(H4/F4,0)</f>
        <v>0.52475247524752477</v>
      </c>
      <c r="H4" s="114">
        <f>'Q1-STATS'!C2</f>
        <v>53</v>
      </c>
      <c r="I4" s="108">
        <f>'Q1-STATS'!C4</f>
        <v>5.2863734500144748E-2</v>
      </c>
      <c r="J4" s="115">
        <f>COUNTIFS('2025-Q1'!$FV$4:$FV$448,"Dwn",'2025-Q1'!$J$4:$J$448,"&gt;0")</f>
        <v>128</v>
      </c>
      <c r="K4" s="117">
        <f>IFERROR(L4/J4,0)</f>
        <v>0.40625</v>
      </c>
      <c r="L4" s="115">
        <f>'Q1-STATS'!D2</f>
        <v>52</v>
      </c>
      <c r="M4" s="108">
        <f>'Q1-STATS'!D4</f>
        <v>4.5680792204598746E-2</v>
      </c>
      <c r="N4" s="116">
        <f>COUNTIFS('2025-Q1'!$FV$4:$FV$448,"SW",'2025-Q1'!$J$4:$J$448,"&gt;0")</f>
        <v>215</v>
      </c>
      <c r="O4" s="117">
        <f>IFERROR(P4/N4,0)</f>
        <v>0.51162790697674421</v>
      </c>
      <c r="P4" s="116">
        <f>'Q1-STATS'!E2</f>
        <v>110</v>
      </c>
      <c r="Q4" s="106">
        <f>'Q1-STATS'!E4</f>
        <v>5.0236763558747295E-2</v>
      </c>
      <c r="R4" s="153">
        <f>SUM(R5:R20)</f>
        <v>443</v>
      </c>
      <c r="S4" s="154">
        <f>COUNTIFS('2025-Q1'!$J$4:$J$448,"&gt;0")/R4</f>
        <v>1.0045146726862302</v>
      </c>
      <c r="T4" s="132" t="s">
        <v>4740</v>
      </c>
      <c r="U4" s="123">
        <f>'Q1-STATS'!B7</f>
        <v>229</v>
      </c>
      <c r="V4" s="120">
        <f>-'Q1-STATS'!B9</f>
        <v>5.1481087002480275E-2</v>
      </c>
      <c r="W4" s="128">
        <f t="shared" ref="W4:W20" si="0">1-E4</f>
        <v>0.51576576576576572</v>
      </c>
      <c r="X4" s="119">
        <f t="shared" ref="X4:X20" si="1">J4</f>
        <v>128</v>
      </c>
      <c r="Y4" s="128">
        <f>Z4/X4</f>
        <v>0.59375</v>
      </c>
      <c r="Z4" s="119">
        <f>'Q1-STATS'!C7</f>
        <v>76</v>
      </c>
      <c r="AA4" s="120">
        <f>-'Q1-STATS'!C9</f>
        <v>6.5319350737412019E-2</v>
      </c>
      <c r="AB4" s="125">
        <f t="shared" ref="AB4:AB20" si="2">F4</f>
        <v>101</v>
      </c>
      <c r="AC4" s="128">
        <f>IFERROR(AD4/AB4,0)</f>
        <v>0.47524752475247523</v>
      </c>
      <c r="AD4" s="125">
        <f>'Q1-STATS'!D7</f>
        <v>48</v>
      </c>
      <c r="AE4" s="120">
        <f>-'Q1-STATS'!D9</f>
        <v>4.5900483017560535E-2</v>
      </c>
      <c r="AF4" s="127">
        <f t="shared" ref="AF4:AF20" si="3">N4</f>
        <v>215</v>
      </c>
      <c r="AG4" s="128">
        <f>IFERROR(AH4/AF4,0)</f>
        <v>0.48837209302325579</v>
      </c>
      <c r="AH4" s="127">
        <f>'Q1-STATS'!E7</f>
        <v>105</v>
      </c>
      <c r="AI4" s="120">
        <f>-'Q1-STATS'!E9</f>
        <v>4.4015953168397758E-2</v>
      </c>
    </row>
    <row r="5" spans="2:36" x14ac:dyDescent="0.25">
      <c r="B5" s="133" t="s">
        <v>4721</v>
      </c>
      <c r="C5" s="107">
        <f>'Q1-STATS'!B22</f>
        <v>28</v>
      </c>
      <c r="D5" s="108">
        <f>'Q1-STATS'!B24</f>
        <v>3.0036375513493092E-2</v>
      </c>
      <c r="E5" s="117">
        <f t="shared" ref="E5:E20" si="4">IFERROR(C5/(C5+U5),0)</f>
        <v>0.5714285714285714</v>
      </c>
      <c r="F5" s="114">
        <f>COUNTIFS('2025-Q1'!$FV$4:$FV$448,"Up",'2025-Q1'!$E$4:$E$448,'Stats Roll Up'!$B5,'2025-Q1'!$J$4:$J$448,"&gt;0")</f>
        <v>28</v>
      </c>
      <c r="G5" s="117">
        <f t="shared" ref="G5:G20" si="5">IFERROR(H5/F5,0)</f>
        <v>0.5</v>
      </c>
      <c r="H5" s="114">
        <f>'Q1-STATS'!C22</f>
        <v>14</v>
      </c>
      <c r="I5" s="108">
        <f>'Q1-STATS'!C24</f>
        <v>2.4670222575332971E-2</v>
      </c>
      <c r="J5" s="115">
        <f>COUNTIFS('2025-Q1'!$FV$4:$FV$448,"Dwn",'2025-Q1'!$E$4:$E$448,'Stats Roll Up'!B5,'2025-Q1'!$J$4:$J$448,"&gt;0")</f>
        <v>3</v>
      </c>
      <c r="K5" s="117">
        <f t="shared" ref="K5:K20" si="6">IFERROR(L5/J5,0)</f>
        <v>1</v>
      </c>
      <c r="L5" s="115">
        <f>'Q1-STATS'!D22</f>
        <v>3</v>
      </c>
      <c r="M5" s="108">
        <f>'Q1-STATS'!D24</f>
        <v>3.4563131244264293E-2</v>
      </c>
      <c r="N5" s="116">
        <f>COUNTIFS('2025-Q1'!$FV$4:$FV$448,"SW",'2025-Q1'!$E$4:$E$448,'Stats Roll Up'!$B5,'2025-Q1'!$J$4:$J$448,"&gt;0")</f>
        <v>18</v>
      </c>
      <c r="O5" s="117">
        <f t="shared" ref="O5:O20" si="7">IFERROR(P5/N5,0)</f>
        <v>0.61111111111111116</v>
      </c>
      <c r="P5" s="116">
        <f>'Q1-STATS'!E22</f>
        <v>11</v>
      </c>
      <c r="Q5" s="106">
        <f>'Q1-STATS'!E24</f>
        <v>3.5631454962759275E-2</v>
      </c>
      <c r="R5" s="153">
        <f>COUNTIF('2025-Q1'!$E$4:$E$448,'Stats Roll Up'!B5)</f>
        <v>49</v>
      </c>
      <c r="S5" s="154">
        <f>COUNTIFS('2025-Q1'!$J$4:$J$448,"&gt;0",'2025-Q1'!$E$4:$E$448,'Stats Roll Up'!B5)/R5</f>
        <v>1</v>
      </c>
      <c r="T5" s="132" t="s">
        <v>4721</v>
      </c>
      <c r="U5" s="123">
        <f>'Q1-STATS'!B27</f>
        <v>21</v>
      </c>
      <c r="V5" s="120">
        <f>-'Q1-STATS'!B29</f>
        <v>3.6337360296294995E-2</v>
      </c>
      <c r="W5" s="128">
        <f t="shared" si="0"/>
        <v>0.4285714285714286</v>
      </c>
      <c r="X5" s="119">
        <f t="shared" si="1"/>
        <v>3</v>
      </c>
      <c r="Y5" s="128">
        <f>Z5/X5</f>
        <v>0</v>
      </c>
      <c r="Z5" s="119">
        <f>'Q1-STATS'!C27</f>
        <v>0</v>
      </c>
      <c r="AA5" s="120">
        <f>-'Q1-STATS'!C29</f>
        <v>0</v>
      </c>
      <c r="AB5" s="125">
        <f t="shared" si="2"/>
        <v>28</v>
      </c>
      <c r="AC5" s="128">
        <f t="shared" ref="AC5:AC20" si="8">IFERROR(AD5/AB5,0)</f>
        <v>0.5</v>
      </c>
      <c r="AD5" s="125">
        <f>'Q1-STATS'!D27</f>
        <v>14</v>
      </c>
      <c r="AE5" s="120">
        <f>-'Q1-STATS'!D29</f>
        <v>3.4208224902514142E-2</v>
      </c>
      <c r="AF5" s="127">
        <f t="shared" si="3"/>
        <v>18</v>
      </c>
      <c r="AG5" s="128">
        <f t="shared" ref="AG5:AG20" si="9">IFERROR(AH5/AF5,0)</f>
        <v>0.3888888888888889</v>
      </c>
      <c r="AH5" s="127">
        <f>'Q1-STATS'!E27</f>
        <v>7</v>
      </c>
      <c r="AI5" s="120">
        <f>-'Q1-STATS'!E29</f>
        <v>4.0595631083856686E-2</v>
      </c>
    </row>
    <row r="6" spans="2:36" x14ac:dyDescent="0.25">
      <c r="B6" s="133" t="s">
        <v>4775</v>
      </c>
      <c r="C6" s="107">
        <f>'Q1-STATS'!B282</f>
        <v>8</v>
      </c>
      <c r="D6" s="108">
        <f>'Q1-STATS'!B284</f>
        <v>2.5259507293391461E-2</v>
      </c>
      <c r="E6" s="117">
        <f t="shared" si="4"/>
        <v>0.4</v>
      </c>
      <c r="F6" s="114">
        <f>COUNTIFS('2025-Q1'!$FV$4:$FV$448,"Up",'2025-Q1'!$E$4:$E$448,'Stats Roll Up'!$B6,'2025-Q1'!$J$4:$J$448,"&gt;0")</f>
        <v>2</v>
      </c>
      <c r="G6" s="117">
        <f t="shared" si="5"/>
        <v>0.5</v>
      </c>
      <c r="H6" s="114">
        <f>'Q1-STATS'!C282</f>
        <v>1</v>
      </c>
      <c r="I6" s="108">
        <f>'Q1-STATS'!C284</f>
        <v>8.4504753392378833E-3</v>
      </c>
      <c r="J6" s="115">
        <f>COUNTIFS('2025-Q1'!$FV$4:$FV$448,"Dwn",'2025-Q1'!$E$4:$E$448,'Stats Roll Up'!B6,'2025-Q1'!$J$4:$J$448,"&gt;0")</f>
        <v>3</v>
      </c>
      <c r="K6" s="117">
        <f t="shared" si="6"/>
        <v>0.33333333333333331</v>
      </c>
      <c r="L6" s="115">
        <f>'Q1-STATS'!D282</f>
        <v>1</v>
      </c>
      <c r="M6" s="108">
        <f>'Q1-STATS'!D284</f>
        <v>4.3430172540923066E-2</v>
      </c>
      <c r="N6" s="116">
        <f>COUNTIFS('2025-Q1'!$FV$4:$FV$448,"SW",'2025-Q1'!$E$4:$E$448,'Stats Roll Up'!$B6,'2025-Q1'!$J$4:$J$448,"&gt;0")</f>
        <v>15</v>
      </c>
      <c r="O6" s="117">
        <f t="shared" si="7"/>
        <v>0.4</v>
      </c>
      <c r="P6" s="116">
        <f>'Q1-STATS'!E282</f>
        <v>6</v>
      </c>
      <c r="Q6" s="106">
        <f>'Q1-STATS'!E284</f>
        <v>2.5032568411161787E-2</v>
      </c>
      <c r="R6" s="153">
        <f>COUNTIF('2025-Q1'!$E$4:$E$448,'Stats Roll Up'!B6)</f>
        <v>20</v>
      </c>
      <c r="S6" s="154">
        <f>COUNTIFS('2025-Q1'!$J$4:$J$448,"&gt;0",'2025-Q1'!$E$4:$E$448,'Stats Roll Up'!B6)/R6</f>
        <v>1</v>
      </c>
      <c r="T6" s="132" t="s">
        <v>4775</v>
      </c>
      <c r="U6" s="123">
        <f>'Q1-STATS'!B287</f>
        <v>12</v>
      </c>
      <c r="V6" s="120">
        <f>-'Q1-STATS'!B289</f>
        <v>1.8816911339538243E-2</v>
      </c>
      <c r="W6" s="128">
        <f t="shared" si="0"/>
        <v>0.6</v>
      </c>
      <c r="X6" s="119">
        <f t="shared" si="1"/>
        <v>3</v>
      </c>
      <c r="Y6" s="128">
        <f>Z6/X6</f>
        <v>0.66666666666666663</v>
      </c>
      <c r="Z6" s="119">
        <f>'Q1-STATS'!C287</f>
        <v>2</v>
      </c>
      <c r="AA6" s="120">
        <f>-'Q1-STATS'!C289</f>
        <v>1.8538183454922683E-2</v>
      </c>
      <c r="AB6" s="125">
        <f t="shared" si="2"/>
        <v>2</v>
      </c>
      <c r="AC6" s="128">
        <f t="shared" si="8"/>
        <v>0.5</v>
      </c>
      <c r="AD6" s="125">
        <f>'Q1-STATS'!D287</f>
        <v>1</v>
      </c>
      <c r="AE6" s="120">
        <f>-'Q1-STATS'!D289</f>
        <v>1.0141754062463933E-2</v>
      </c>
      <c r="AF6" s="127">
        <f t="shared" si="3"/>
        <v>15</v>
      </c>
      <c r="AG6" s="128">
        <f t="shared" si="9"/>
        <v>0.6</v>
      </c>
      <c r="AH6" s="127">
        <f>'Q1-STATS'!E287</f>
        <v>9</v>
      </c>
      <c r="AI6" s="120">
        <f>-'Q1-STATS'!E289</f>
        <v>1.9842757233572181E-2</v>
      </c>
    </row>
    <row r="7" spans="2:36" x14ac:dyDescent="0.25">
      <c r="B7" s="133" t="s">
        <v>4728</v>
      </c>
      <c r="C7" s="107">
        <f>'Q1-STATS'!B202</f>
        <v>29</v>
      </c>
      <c r="D7" s="108">
        <f>'Q1-STATS'!B204</f>
        <v>6.7585025859397352E-2</v>
      </c>
      <c r="E7" s="117">
        <f t="shared" si="4"/>
        <v>0.59183673469387754</v>
      </c>
      <c r="F7" s="114">
        <f>COUNTIFS('2025-Q1'!$FV$4:$FV$448,"Up",'2025-Q1'!$E$4:$E$448,'Stats Roll Up'!$B7,'2025-Q1'!$J$4:$J$448,"&gt;0")</f>
        <v>9</v>
      </c>
      <c r="G7" s="117">
        <f t="shared" si="5"/>
        <v>0.33333333333333331</v>
      </c>
      <c r="H7" s="114">
        <f>'Q1-STATS'!C202</f>
        <v>3</v>
      </c>
      <c r="I7" s="108">
        <f>'Q1-STATS'!C204</f>
        <v>0.12811561732649215</v>
      </c>
      <c r="J7" s="115">
        <f>COUNTIFS('2025-Q1'!$FV$4:$FV$448,"Dwn",'2025-Q1'!$E$4:$E$448,'Stats Roll Up'!B7,'2025-Q1'!$J$4:$J$448,"&gt;0")</f>
        <v>17</v>
      </c>
      <c r="K7" s="117">
        <f t="shared" si="6"/>
        <v>0.52941176470588236</v>
      </c>
      <c r="L7" s="115">
        <f>'Q1-STATS'!D202</f>
        <v>9</v>
      </c>
      <c r="M7" s="108">
        <f>'Q1-STATS'!D204</f>
        <v>7.2067458004103413E-2</v>
      </c>
      <c r="N7" s="116">
        <f>COUNTIFS('2025-Q1'!$FV$4:$FV$448,"SW",'2025-Q1'!$E$4:$E$448,'Stats Roll Up'!$B7,'2025-Q1'!$J$4:$J$448,"&gt;0")</f>
        <v>23</v>
      </c>
      <c r="O7" s="117">
        <f t="shared" si="7"/>
        <v>0.73913043478260865</v>
      </c>
      <c r="P7" s="116">
        <f>'Q1-STATS'!E202</f>
        <v>17</v>
      </c>
      <c r="Q7" s="106">
        <f>'Q1-STATS'!E204</f>
        <v>5.4530104465065649E-2</v>
      </c>
      <c r="R7" s="153">
        <f>COUNTIF('2025-Q1'!$E$4:$E$448,'Stats Roll Up'!B7)</f>
        <v>49</v>
      </c>
      <c r="S7" s="154">
        <f>COUNTIFS('2025-Q1'!$J$4:$J$448,"&gt;0",'2025-Q1'!$E$4:$E$448,'Stats Roll Up'!B7)/R7</f>
        <v>1</v>
      </c>
      <c r="T7" s="132" t="s">
        <v>4728</v>
      </c>
      <c r="U7" s="123">
        <f>'Q1-STATS'!B207</f>
        <v>20</v>
      </c>
      <c r="V7" s="120">
        <f>-'Q1-STATS'!B209</f>
        <v>5.6076373793349309E-2</v>
      </c>
      <c r="W7" s="128">
        <f t="shared" si="0"/>
        <v>0.40816326530612246</v>
      </c>
      <c r="X7" s="119">
        <f t="shared" si="1"/>
        <v>17</v>
      </c>
      <c r="Y7" s="128">
        <f t="shared" ref="Y7:Y18" si="10">Z7/X7</f>
        <v>0.47058823529411764</v>
      </c>
      <c r="Z7" s="119">
        <f>'Q1-STATS'!C207</f>
        <v>8</v>
      </c>
      <c r="AA7" s="120">
        <f>-'Q1-STATS'!C209</f>
        <v>6.6606726049760825E-2</v>
      </c>
      <c r="AB7" s="125">
        <f t="shared" si="2"/>
        <v>9</v>
      </c>
      <c r="AC7" s="128">
        <f t="shared" si="8"/>
        <v>0.66666666666666663</v>
      </c>
      <c r="AD7" s="125">
        <f>'Q1-STATS'!D207</f>
        <v>6</v>
      </c>
      <c r="AE7" s="120">
        <f>-'Q1-STATS'!D209</f>
        <v>5.5540009447301864E-2</v>
      </c>
      <c r="AF7" s="127">
        <f t="shared" si="3"/>
        <v>23</v>
      </c>
      <c r="AG7" s="128">
        <f t="shared" si="9"/>
        <v>0.2608695652173913</v>
      </c>
      <c r="AH7" s="127">
        <f>'Q1-STATS'!E207</f>
        <v>6</v>
      </c>
      <c r="AI7" s="120">
        <f>-'Q1-STATS'!E209</f>
        <v>4.2572268464181356E-2</v>
      </c>
    </row>
    <row r="8" spans="2:36" x14ac:dyDescent="0.25">
      <c r="B8" s="133" t="s">
        <v>4964</v>
      </c>
      <c r="C8" s="107">
        <f>'Q1-STATS'!B302</f>
        <v>4</v>
      </c>
      <c r="D8" s="108">
        <f>'Q1-STATS'!B304</f>
        <v>1.6800666265245442E-2</v>
      </c>
      <c r="E8" s="117">
        <f t="shared" si="4"/>
        <v>0.5</v>
      </c>
      <c r="F8" s="114">
        <f>COUNTIFS('2025-Q1'!$FV$4:$FV$448,"Up",'2025-Q1'!$E$4:$E$448,'Stats Roll Up'!$B8,'2025-Q1'!$J$4:$J$448,"&gt;0")</f>
        <v>0</v>
      </c>
      <c r="G8" s="117">
        <f t="shared" si="5"/>
        <v>0</v>
      </c>
      <c r="H8" s="114">
        <f>'Q1-STATS'!C302</f>
        <v>0</v>
      </c>
      <c r="I8" s="108">
        <f>'Q1-STATS'!C304</f>
        <v>0</v>
      </c>
      <c r="J8" s="115">
        <f>COUNTIFS('2025-Q1'!$FV$4:$FV$448,"Dwn",'2025-Q1'!$E$4:$E$448,'Stats Roll Up'!B8,'2025-Q1'!$J$4:$J$448,"&gt;0")</f>
        <v>6</v>
      </c>
      <c r="K8" s="117">
        <f t="shared" ref="K8" si="11">IFERROR(L8/J8,0)</f>
        <v>0.5</v>
      </c>
      <c r="L8" s="115">
        <f>'Q1-STATS'!D302</f>
        <v>3</v>
      </c>
      <c r="M8" s="108">
        <f>'Q1-STATS'!D304</f>
        <v>2.042443394101125E-2</v>
      </c>
      <c r="N8" s="116">
        <f>COUNTIFS('2025-Q1'!$FV$4:$FV$448,"SW",'2025-Q1'!$E$4:$E$448,'Stats Roll Up'!$B8,'2025-Q1'!$J$4:$J$448,"&gt;0")</f>
        <v>2</v>
      </c>
      <c r="O8" s="117">
        <f t="shared" ref="O8" si="12">IFERROR(P8/N8,0)</f>
        <v>0.5</v>
      </c>
      <c r="P8" s="116">
        <f>'Q1-STATS'!E302</f>
        <v>1</v>
      </c>
      <c r="Q8" s="106">
        <f>'Q1-STATS'!E304</f>
        <v>5.9293632379480276E-3</v>
      </c>
      <c r="R8" s="153">
        <f>COUNTIF('2025-Q1'!$E$4:$E$448,'Stats Roll Up'!B8)</f>
        <v>8</v>
      </c>
      <c r="S8" s="154">
        <f>COUNTIFS('2025-Q1'!$J$4:$J$448,"&gt;0",'2025-Q1'!$E$4:$E$448,'Stats Roll Up'!B8)/R8</f>
        <v>1</v>
      </c>
      <c r="T8" s="132" t="s">
        <v>4964</v>
      </c>
      <c r="U8" s="123">
        <f>'Q1-STATS'!B307</f>
        <v>4</v>
      </c>
      <c r="V8" s="120">
        <f>-'Q1-STATS'!B309</f>
        <v>3.569274863237723E-2</v>
      </c>
      <c r="W8" s="128">
        <f t="shared" si="0"/>
        <v>0.5</v>
      </c>
      <c r="X8" s="119">
        <f t="shared" ref="X8" si="13">J8</f>
        <v>6</v>
      </c>
      <c r="Y8" s="128">
        <f t="shared" ref="Y8" si="14">Z8/X8</f>
        <v>0.5</v>
      </c>
      <c r="Z8" s="119">
        <f>'Q1-STATS'!C307</f>
        <v>3</v>
      </c>
      <c r="AA8" s="120">
        <f>-'Q1-STATS'!C309</f>
        <v>4.14679335289782E-2</v>
      </c>
      <c r="AB8" s="125">
        <f t="shared" ref="AB8" si="15">F8</f>
        <v>0</v>
      </c>
      <c r="AC8" s="128">
        <f t="shared" ref="AC8" si="16">IFERROR(AD8/AB8,0)</f>
        <v>0</v>
      </c>
      <c r="AD8" s="125">
        <f>'Q1-STATS'!D307</f>
        <v>0</v>
      </c>
      <c r="AE8" s="120">
        <f>-'Q1-STATS'!D309</f>
        <v>0</v>
      </c>
      <c r="AF8" s="127">
        <f t="shared" ref="AF8" si="17">N8</f>
        <v>2</v>
      </c>
      <c r="AG8" s="128">
        <f t="shared" ref="AG8" si="18">IFERROR(AH8/AF8,0)</f>
        <v>0.5</v>
      </c>
      <c r="AH8" s="127">
        <f>'Q1-STATS'!E307</f>
        <v>1</v>
      </c>
      <c r="AI8" s="120">
        <f>-'Q1-STATS'!E309</f>
        <v>1.8367193942574321E-2</v>
      </c>
    </row>
    <row r="9" spans="2:36" x14ac:dyDescent="0.25">
      <c r="B9" s="133" t="s">
        <v>4724</v>
      </c>
      <c r="C9" s="107">
        <f>'Q1-STATS'!B42</f>
        <v>14</v>
      </c>
      <c r="D9" s="108">
        <f>'Q1-STATS'!B44</f>
        <v>5.2395493761929243E-2</v>
      </c>
      <c r="E9" s="117">
        <f t="shared" si="4"/>
        <v>0.4</v>
      </c>
      <c r="F9" s="114">
        <f>COUNTIFS('2025-Q1'!$FV$4:$FV$448,"Up",'2025-Q1'!$E$4:$E$448,'Stats Roll Up'!$B9,'2025-Q1'!$J$4:$J$448,"&gt;0")</f>
        <v>4</v>
      </c>
      <c r="G9" s="117">
        <f t="shared" si="5"/>
        <v>0.5</v>
      </c>
      <c r="H9" s="114">
        <f>'Q1-STATS'!C42</f>
        <v>2</v>
      </c>
      <c r="I9" s="108">
        <f>'Q1-STATS'!C44</f>
        <v>7.2194377633042178E-2</v>
      </c>
      <c r="J9" s="115">
        <f>COUNTIFS('2025-Q1'!$FV$4:$FV$448,"Dwn",'2025-Q1'!$E$4:$E$448,'Stats Roll Up'!B9,'2025-Q1'!$J$4:$J$448,"&gt;0")</f>
        <v>20</v>
      </c>
      <c r="K9" s="117">
        <f t="shared" si="6"/>
        <v>0.3</v>
      </c>
      <c r="L9" s="115">
        <f>'Q1-STATS'!D42</f>
        <v>6</v>
      </c>
      <c r="M9" s="108">
        <f>'Q1-STATS'!D44</f>
        <v>3.3847455892012594E-2</v>
      </c>
      <c r="N9" s="116">
        <f>COUNTIFS('2025-Q1'!$FV$4:$FV$448,"SW",'2025-Q1'!$E$4:$E$448,'Stats Roll Up'!$B9,'2025-Q1'!$J$4:$J$448,"&gt;0")</f>
        <v>11</v>
      </c>
      <c r="O9" s="117">
        <f t="shared" si="7"/>
        <v>0.54545454545454541</v>
      </c>
      <c r="P9" s="116">
        <f>'Q1-STATS'!E42</f>
        <v>6</v>
      </c>
      <c r="Q9" s="106">
        <f>'Q1-STATS'!E44</f>
        <v>6.4343903674808217E-2</v>
      </c>
      <c r="R9" s="153">
        <f>COUNTIF('2025-Q1'!$E$4:$E$448,'Stats Roll Up'!B9)</f>
        <v>35</v>
      </c>
      <c r="S9" s="154">
        <f>COUNTIFS('2025-Q1'!$J$4:$J$448,"&gt;0",'2025-Q1'!$E$4:$E$448,'Stats Roll Up'!B9)/R9</f>
        <v>1</v>
      </c>
      <c r="T9" s="132" t="s">
        <v>4724</v>
      </c>
      <c r="U9" s="123">
        <f>'Q1-STATS'!B47</f>
        <v>21</v>
      </c>
      <c r="V9" s="120">
        <f>-'Q1-STATS'!B49</f>
        <v>3.6738754903756769E-2</v>
      </c>
      <c r="W9" s="128">
        <f t="shared" si="0"/>
        <v>0.6</v>
      </c>
      <c r="X9" s="119">
        <f t="shared" si="1"/>
        <v>20</v>
      </c>
      <c r="Y9" s="128">
        <f t="shared" si="10"/>
        <v>0.7</v>
      </c>
      <c r="Z9" s="119">
        <f>'Q1-STATS'!C47</f>
        <v>14</v>
      </c>
      <c r="AA9" s="120">
        <f>-'Q1-STATS'!C49</f>
        <v>4.0879498413189976E-2</v>
      </c>
      <c r="AB9" s="125">
        <f t="shared" si="2"/>
        <v>4</v>
      </c>
      <c r="AC9" s="128">
        <f t="shared" si="8"/>
        <v>0.5</v>
      </c>
      <c r="AD9" s="125">
        <f>'Q1-STATS'!D47</f>
        <v>2</v>
      </c>
      <c r="AE9" s="120">
        <f>-'Q1-STATS'!D49</f>
        <v>4.0423149229060817E-2</v>
      </c>
      <c r="AF9" s="127">
        <f t="shared" si="3"/>
        <v>11</v>
      </c>
      <c r="AG9" s="128">
        <f t="shared" si="9"/>
        <v>0.45454545454545453</v>
      </c>
      <c r="AH9" s="127">
        <f>'Q1-STATS'!E47</f>
        <v>5</v>
      </c>
      <c r="AI9" s="120">
        <f>-'Q1-STATS'!E49</f>
        <v>2.3670915347222175E-2</v>
      </c>
    </row>
    <row r="10" spans="2:36" x14ac:dyDescent="0.25">
      <c r="B10" s="133" t="s">
        <v>4723</v>
      </c>
      <c r="C10" s="107">
        <f>'Q1-STATS'!B62</f>
        <v>18</v>
      </c>
      <c r="D10" s="108">
        <f>'Q1-STATS'!B64</f>
        <v>5.0256941925896775E-2</v>
      </c>
      <c r="E10" s="117">
        <f t="shared" si="4"/>
        <v>0.54545454545454541</v>
      </c>
      <c r="F10" s="114">
        <f>COUNTIFS('2025-Q1'!$FV$4:$FV$448,"Up",'2025-Q1'!$E$4:$E$448,'Stats Roll Up'!$B10,'2025-Q1'!$J$4:$J$448,"&gt;0")</f>
        <v>10</v>
      </c>
      <c r="G10" s="117">
        <f t="shared" si="5"/>
        <v>0.7</v>
      </c>
      <c r="H10" s="114">
        <f>'Q1-STATS'!C62</f>
        <v>7</v>
      </c>
      <c r="I10" s="108">
        <f>'Q1-STATS'!C64</f>
        <v>5.6444077482678101E-2</v>
      </c>
      <c r="J10" s="115">
        <f>COUNTIFS('2025-Q1'!$FV$4:$FV$448,"Dwn",'2025-Q1'!$E$4:$E$448,'Stats Roll Up'!B10,'2025-Q1'!$J$4:$J$448,"&gt;0")</f>
        <v>7</v>
      </c>
      <c r="K10" s="117">
        <f t="shared" si="6"/>
        <v>0.42857142857142855</v>
      </c>
      <c r="L10" s="115">
        <f>'Q1-STATS'!D62</f>
        <v>3</v>
      </c>
      <c r="M10" s="108">
        <f>'Q1-STATS'!D64</f>
        <v>2.8283376401970445E-2</v>
      </c>
      <c r="N10" s="116">
        <f>COUNTIFS('2025-Q1'!$FV$4:$FV$448,"SW",'2025-Q1'!$E$4:$E$448,'Stats Roll Up'!$B10,'2025-Q1'!$J$4:$J$448,"&gt;0")</f>
        <v>16</v>
      </c>
      <c r="O10" s="117">
        <f t="shared" si="7"/>
        <v>0.5</v>
      </c>
      <c r="P10" s="116">
        <f>'Q1-STATS'!E62</f>
        <v>8</v>
      </c>
      <c r="Q10" s="106">
        <f>'Q1-STATS'!E64</f>
        <v>5.3083285385185495E-2</v>
      </c>
      <c r="R10" s="153">
        <f>COUNTIF('2025-Q1'!$E$4:$E$448,'Stats Roll Up'!B10)</f>
        <v>33</v>
      </c>
      <c r="S10" s="154">
        <f>COUNTIFS('2025-Q1'!$J$4:$J$448,"&gt;0",'2025-Q1'!$E$4:$E$448,'Stats Roll Up'!B10)/R10</f>
        <v>1</v>
      </c>
      <c r="T10" s="132" t="s">
        <v>4723</v>
      </c>
      <c r="U10" s="123">
        <f>'Q1-STATS'!B67</f>
        <v>15</v>
      </c>
      <c r="V10" s="120">
        <f>-'Q1-STATS'!B69</f>
        <v>9.0432502663231301E-2</v>
      </c>
      <c r="W10" s="128">
        <f t="shared" si="0"/>
        <v>0.45454545454545459</v>
      </c>
      <c r="X10" s="119">
        <f t="shared" si="1"/>
        <v>7</v>
      </c>
      <c r="Y10" s="128">
        <f t="shared" si="10"/>
        <v>0.5714285714285714</v>
      </c>
      <c r="Z10" s="119">
        <f>'Q1-STATS'!C67</f>
        <v>4</v>
      </c>
      <c r="AA10" s="120">
        <f>-'Q1-STATS'!C69</f>
        <v>0.14611774279536932</v>
      </c>
      <c r="AB10" s="125">
        <f t="shared" si="2"/>
        <v>10</v>
      </c>
      <c r="AC10" s="128">
        <f t="shared" si="8"/>
        <v>0.3</v>
      </c>
      <c r="AD10" s="125">
        <f>'Q1-STATS'!D67</f>
        <v>3</v>
      </c>
      <c r="AE10" s="120">
        <f>-'Q1-STATS'!D69</f>
        <v>6.1121758055341181E-2</v>
      </c>
      <c r="AF10" s="127">
        <f t="shared" si="3"/>
        <v>16</v>
      </c>
      <c r="AG10" s="128">
        <f t="shared" si="9"/>
        <v>0.5</v>
      </c>
      <c r="AH10" s="127">
        <f>'Q1-STATS'!E67</f>
        <v>8</v>
      </c>
      <c r="AI10" s="120">
        <f>-'Q1-STATS'!E69</f>
        <v>7.358141182512111E-2</v>
      </c>
    </row>
    <row r="11" spans="2:36" x14ac:dyDescent="0.25">
      <c r="B11" s="133" t="s">
        <v>4773</v>
      </c>
      <c r="C11" s="107">
        <f>'Q1-STATS'!B242</f>
        <v>10</v>
      </c>
      <c r="D11" s="108">
        <f>'Q1-STATS'!B244</f>
        <v>4.2370730208088736E-2</v>
      </c>
      <c r="E11" s="117">
        <f t="shared" si="4"/>
        <v>0.5</v>
      </c>
      <c r="F11" s="114">
        <f>COUNTIFS('2025-Q1'!$FV$4:$FV$448,"Up",'2025-Q1'!$E$4:$E$448,'Stats Roll Up'!$B11,'2025-Q1'!$J$4:$J$448,"&gt;0")</f>
        <v>0</v>
      </c>
      <c r="G11" s="117">
        <f t="shared" si="5"/>
        <v>0</v>
      </c>
      <c r="H11" s="114">
        <f>'Q1-STATS'!C242</f>
        <v>0</v>
      </c>
      <c r="I11" s="108">
        <f>'Q1-STATS'!C244</f>
        <v>0</v>
      </c>
      <c r="J11" s="115">
        <f>COUNTIFS('2025-Q1'!$FV$4:$FV$448,"Dwn",'2025-Q1'!$E$4:$E$448,'Stats Roll Up'!B11,'2025-Q1'!$J$4:$J$448,"&gt;0")</f>
        <v>6</v>
      </c>
      <c r="K11" s="117">
        <f t="shared" si="6"/>
        <v>0.33333333333333331</v>
      </c>
      <c r="L11" s="115">
        <f>'Q1-STATS'!D242</f>
        <v>2</v>
      </c>
      <c r="M11" s="108">
        <f>'Q1-STATS'!D244</f>
        <v>7.7145965659030327E-2</v>
      </c>
      <c r="N11" s="116">
        <f>COUNTIFS('2025-Q1'!$FV$4:$FV$448,"SW",'2025-Q1'!$E$4:$E$448,'Stats Roll Up'!$B11,'2025-Q1'!$J$4:$J$448,"&gt;0")</f>
        <v>14</v>
      </c>
      <c r="O11" s="117">
        <f t="shared" si="7"/>
        <v>0.5714285714285714</v>
      </c>
      <c r="P11" s="116">
        <f>'Q1-STATS'!E242</f>
        <v>8</v>
      </c>
      <c r="Q11" s="106">
        <f>'Q1-STATS'!E244</f>
        <v>3.3676921345353342E-2</v>
      </c>
      <c r="R11" s="153">
        <f>COUNTIF('2025-Q1'!$E$4:$E$448,'Stats Roll Up'!B11)</f>
        <v>20</v>
      </c>
      <c r="S11" s="154">
        <f>COUNTIFS('2025-Q1'!$J$4:$J$448,"&gt;0",'2025-Q1'!$E$4:$E$448,'Stats Roll Up'!B11)/R11</f>
        <v>1</v>
      </c>
      <c r="T11" s="132" t="s">
        <v>4773</v>
      </c>
      <c r="U11" s="123">
        <f>'Q1-STATS'!B247</f>
        <v>10</v>
      </c>
      <c r="V11" s="120">
        <f>-'Q1-STATS'!B249</f>
        <v>8.1442056588735504E-2</v>
      </c>
      <c r="W11" s="128">
        <f t="shared" si="0"/>
        <v>0.5</v>
      </c>
      <c r="X11" s="119">
        <f t="shared" si="1"/>
        <v>6</v>
      </c>
      <c r="Y11" s="128">
        <f t="shared" si="10"/>
        <v>0.66666666666666663</v>
      </c>
      <c r="Z11" s="119">
        <f>'Q1-STATS'!C247</f>
        <v>4</v>
      </c>
      <c r="AA11" s="120">
        <f>-'Q1-STATS'!C249</f>
        <v>0.10081155011759248</v>
      </c>
      <c r="AB11" s="125">
        <f t="shared" si="2"/>
        <v>0</v>
      </c>
      <c r="AC11" s="128">
        <f t="shared" si="8"/>
        <v>0</v>
      </c>
      <c r="AD11" s="125">
        <f>'Q1-STATS'!D247</f>
        <v>0</v>
      </c>
      <c r="AE11" s="120">
        <f>-'Q1-STATS'!D249</f>
        <v>0</v>
      </c>
      <c r="AF11" s="127">
        <f t="shared" si="3"/>
        <v>14</v>
      </c>
      <c r="AG11" s="128">
        <f t="shared" si="9"/>
        <v>0.42857142857142855</v>
      </c>
      <c r="AH11" s="127">
        <f>'Q1-STATS'!E247</f>
        <v>6</v>
      </c>
      <c r="AI11" s="120">
        <f>-'Q1-STATS'!E249</f>
        <v>6.8529060902830841E-2</v>
      </c>
    </row>
    <row r="12" spans="2:36" x14ac:dyDescent="0.25">
      <c r="B12" s="133" t="s">
        <v>5009</v>
      </c>
      <c r="C12" s="107">
        <f>'Q1-STATS'!B322</f>
        <v>21</v>
      </c>
      <c r="D12" s="108">
        <f>'Q1-STATS'!B324</f>
        <v>9.9103882882679115E-2</v>
      </c>
      <c r="E12" s="117">
        <f t="shared" si="4"/>
        <v>0.47727272727272729</v>
      </c>
      <c r="F12" s="114">
        <f>COUNTIFS('2025-Q1'!$FV$4:$FV$448,"Up",'2025-Q1'!$E$4:$E$448,'Stats Roll Up'!$B12,'2025-Q1'!$J$4:$J$448,"&gt;0")</f>
        <v>10</v>
      </c>
      <c r="G12" s="117">
        <f t="shared" si="5"/>
        <v>0.7</v>
      </c>
      <c r="H12" s="114">
        <f>'Q1-STATS'!C322</f>
        <v>7</v>
      </c>
      <c r="I12" s="108">
        <f>'Q1-STATS'!C324</f>
        <v>0.12423135139317412</v>
      </c>
      <c r="J12" s="115">
        <f>COUNTIFS('2025-Q1'!$FV$4:$FV$448,"Dwn",'2025-Q1'!$E$4:$E$448,'Stats Roll Up'!B12,'2025-Q1'!$J$4:$J$448,"&gt;0")</f>
        <v>11</v>
      </c>
      <c r="K12" s="117">
        <f t="shared" ref="K12" si="19">IFERROR(L12/J12,0)</f>
        <v>0.27272727272727271</v>
      </c>
      <c r="L12" s="115">
        <f>'Q1-STATS'!D322</f>
        <v>3</v>
      </c>
      <c r="M12" s="108">
        <f>'Q1-STATS'!D324</f>
        <v>9.4265947566603267E-2</v>
      </c>
      <c r="N12" s="116">
        <f>COUNTIFS('2025-Q1'!$FV$4:$FV$448,"SW",'2025-Q1'!$E$4:$E$448,'Stats Roll Up'!$B12,'2025-Q1'!$J$4:$J$448,"&gt;0")</f>
        <v>23</v>
      </c>
      <c r="O12" s="117">
        <f t="shared" ref="O12" si="20">IFERROR(P12/N12,0)</f>
        <v>0.47826086956521741</v>
      </c>
      <c r="P12" s="116">
        <f>'Q1-STATS'!E322</f>
        <v>11</v>
      </c>
      <c r="Q12" s="106">
        <f>'Q1-STATS'!E324</f>
        <v>8.4433112553112089E-2</v>
      </c>
      <c r="R12" s="153">
        <f>COUNTIF('2025-Q1'!$E$4:$E$448,'Stats Roll Up'!B12)</f>
        <v>44</v>
      </c>
      <c r="S12" s="154">
        <f>COUNTIFS('2025-Q1'!$J$4:$J$448,"&gt;0",'2025-Q1'!$E$4:$E$448,'Stats Roll Up'!B12)/R12</f>
        <v>1</v>
      </c>
      <c r="T12" s="132" t="s">
        <v>5009</v>
      </c>
      <c r="U12" s="123">
        <f>'Q1-STATS'!B327</f>
        <v>23</v>
      </c>
      <c r="V12" s="120">
        <f>-'Q1-STATS'!B329</f>
        <v>7.018560995467861E-2</v>
      </c>
      <c r="W12" s="128">
        <f t="shared" si="0"/>
        <v>0.52272727272727271</v>
      </c>
      <c r="X12" s="119">
        <f t="shared" ref="X12" si="21">J12</f>
        <v>11</v>
      </c>
      <c r="Y12" s="128">
        <f t="shared" ref="Y12" si="22">Z12/X12</f>
        <v>0.72727272727272729</v>
      </c>
      <c r="Z12" s="119">
        <f>'Q1-STATS'!C327</f>
        <v>8</v>
      </c>
      <c r="AA12" s="120">
        <f>-'Q1-STATS'!C329</f>
        <v>0.10022965626300478</v>
      </c>
      <c r="AB12" s="125">
        <f t="shared" ref="AB12" si="23">F12</f>
        <v>10</v>
      </c>
      <c r="AC12" s="128">
        <f t="shared" ref="AC12" si="24">IFERROR(AD12/AB12,0)</f>
        <v>0.3</v>
      </c>
      <c r="AD12" s="125">
        <f>'Q1-STATS'!D327</f>
        <v>3</v>
      </c>
      <c r="AE12" s="120">
        <f>-'Q1-STATS'!D329</f>
        <v>8.8833922065104196E-2</v>
      </c>
      <c r="AF12" s="127">
        <f t="shared" ref="AF12" si="25">N12</f>
        <v>23</v>
      </c>
      <c r="AG12" s="128">
        <f t="shared" ref="AG12" si="26">IFERROR(AH12/AF12,0)</f>
        <v>0.52173913043478259</v>
      </c>
      <c r="AH12" s="127">
        <f>'Q1-STATS'!E327</f>
        <v>12</v>
      </c>
      <c r="AI12" s="120">
        <f>-'Q1-STATS'!E329</f>
        <v>4.5494167721521407E-2</v>
      </c>
    </row>
    <row r="13" spans="2:36" x14ac:dyDescent="0.25">
      <c r="B13" s="133" t="s">
        <v>4719</v>
      </c>
      <c r="C13" s="107">
        <f>'Q1-STATS'!B102</f>
        <v>12</v>
      </c>
      <c r="D13" s="108">
        <f>'Q1-STATS'!B104</f>
        <v>5.3699418574220274E-2</v>
      </c>
      <c r="E13" s="117">
        <f t="shared" si="4"/>
        <v>0.70588235294117652</v>
      </c>
      <c r="F13" s="114">
        <f>COUNTIFS('2025-Q1'!$FV$4:$FV$448,"Up",'2025-Q1'!$E$4:$E$448,'Stats Roll Up'!$B13,'2025-Q1'!$J$4:$J$448,"&gt;0")</f>
        <v>6</v>
      </c>
      <c r="G13" s="117">
        <f t="shared" si="5"/>
        <v>0.83333333333333337</v>
      </c>
      <c r="H13" s="114">
        <f>'Q1-STATS'!C102</f>
        <v>5</v>
      </c>
      <c r="I13" s="108">
        <f>'Q1-STATS'!C104</f>
        <v>4.5406753875003897E-2</v>
      </c>
      <c r="J13" s="115">
        <f>COUNTIFS('2025-Q1'!$FV$4:$FV$448,"Dwn",'2025-Q1'!$E$4:$E$448,'Stats Roll Up'!B13,'2025-Q1'!$J$4:$J$448,"&gt;0")</f>
        <v>5</v>
      </c>
      <c r="K13" s="117">
        <f t="shared" si="6"/>
        <v>0.6</v>
      </c>
      <c r="L13" s="115">
        <f>'Q1-STATS'!D102</f>
        <v>3</v>
      </c>
      <c r="M13" s="108">
        <f>'Q1-STATS'!D104</f>
        <v>3.2688841428966615E-2</v>
      </c>
      <c r="N13" s="116">
        <f>COUNTIFS('2025-Q1'!$FV$4:$FV$448,"SW",'2025-Q1'!$E$4:$E$448,'Stats Roll Up'!$B13,'2025-Q1'!$J$4:$J$448,"&gt;0")</f>
        <v>6</v>
      </c>
      <c r="O13" s="117">
        <f t="shared" si="7"/>
        <v>0.66666666666666663</v>
      </c>
      <c r="P13" s="116">
        <f>'Q1-STATS'!E102</f>
        <v>4</v>
      </c>
      <c r="Q13" s="106">
        <f>'Q1-STATS'!E104</f>
        <v>7.9823182307181023E-2</v>
      </c>
      <c r="R13" s="153">
        <f>COUNTIF('2025-Q1'!$E$4:$E$448,'Stats Roll Up'!B13)</f>
        <v>17</v>
      </c>
      <c r="S13" s="154">
        <f>COUNTIFS('2025-Q1'!$J$4:$J$448,"&gt;0",'2025-Q1'!$E$4:$E$448,'Stats Roll Up'!B13)/R13</f>
        <v>1</v>
      </c>
      <c r="T13" s="132" t="s">
        <v>4719</v>
      </c>
      <c r="U13" s="123">
        <f>'Q1-STATS'!B107</f>
        <v>5</v>
      </c>
      <c r="V13" s="120">
        <f>-'Q1-STATS'!B109</f>
        <v>4.4596295880565032E-2</v>
      </c>
      <c r="W13" s="128">
        <f t="shared" si="0"/>
        <v>0.29411764705882348</v>
      </c>
      <c r="X13" s="119">
        <f t="shared" si="1"/>
        <v>5</v>
      </c>
      <c r="Y13" s="128">
        <f t="shared" si="10"/>
        <v>0.4</v>
      </c>
      <c r="Z13" s="119">
        <f>'Q1-STATS'!C107</f>
        <v>2</v>
      </c>
      <c r="AA13" s="120">
        <f>-'Q1-STATS'!C109</f>
        <v>4.3027425071265959E-2</v>
      </c>
      <c r="AB13" s="125">
        <f t="shared" si="2"/>
        <v>6</v>
      </c>
      <c r="AC13" s="128">
        <f t="shared" si="8"/>
        <v>0.16666666666666666</v>
      </c>
      <c r="AD13" s="125">
        <f>'Q1-STATS'!D107</f>
        <v>1</v>
      </c>
      <c r="AE13" s="120">
        <f>-'Q1-STATS'!D109</f>
        <v>7.0338452650329855E-2</v>
      </c>
      <c r="AF13" s="127">
        <f t="shared" si="3"/>
        <v>6</v>
      </c>
      <c r="AG13" s="128">
        <f t="shared" si="9"/>
        <v>0.33333333333333331</v>
      </c>
      <c r="AH13" s="127">
        <f>'Q1-STATS'!E107</f>
        <v>2</v>
      </c>
      <c r="AI13" s="120">
        <f>-'Q1-STATS'!E109</f>
        <v>3.3294088304981671E-2</v>
      </c>
    </row>
    <row r="14" spans="2:36" x14ac:dyDescent="0.25">
      <c r="B14" s="133" t="s">
        <v>4722</v>
      </c>
      <c r="C14" s="107">
        <f>'Q1-STATS'!B122</f>
        <v>32</v>
      </c>
      <c r="D14" s="108">
        <f>'Q1-STATS'!B124</f>
        <v>4.0220655311802127E-2</v>
      </c>
      <c r="E14" s="117">
        <f t="shared" si="4"/>
        <v>0.47058823529411764</v>
      </c>
      <c r="F14" s="114">
        <f>COUNTIFS('2025-Q1'!$FV$4:$FV$448,"Up",'2025-Q1'!$E$4:$E$448,'Stats Roll Up'!$B14,'2025-Q1'!$J$4:$J$448,"&gt;0")</f>
        <v>15</v>
      </c>
      <c r="G14" s="117">
        <f t="shared" si="5"/>
        <v>0.6</v>
      </c>
      <c r="H14" s="114">
        <f>'Q1-STATS'!C122</f>
        <v>9</v>
      </c>
      <c r="I14" s="108">
        <f>'Q1-STATS'!C124</f>
        <v>3.2278613207774705E-2</v>
      </c>
      <c r="J14" s="115">
        <f>COUNTIFS('2025-Q1'!$FV$4:$FV$448,"Dwn",'2025-Q1'!$E$4:$E$448,'Stats Roll Up'!B14,'2025-Q1'!$J$4:$J$448,"&gt;0")</f>
        <v>15</v>
      </c>
      <c r="K14" s="117">
        <f t="shared" si="6"/>
        <v>0.33333333333333331</v>
      </c>
      <c r="L14" s="115">
        <f>'Q1-STATS'!D122</f>
        <v>5</v>
      </c>
      <c r="M14" s="108">
        <f>'Q1-STATS'!D124</f>
        <v>2.2576472125553526E-2</v>
      </c>
      <c r="N14" s="116">
        <f>COUNTIFS('2025-Q1'!$FV$4:$FV$448,"SW",'2025-Q1'!$E$4:$E$448,'Stats Roll Up'!$B14,'2025-Q1'!$J$4:$J$448,"&gt;0")</f>
        <v>38</v>
      </c>
      <c r="O14" s="117">
        <f t="shared" si="7"/>
        <v>0.47368421052631576</v>
      </c>
      <c r="P14" s="116">
        <f>'Q1-STATS'!E122</f>
        <v>18</v>
      </c>
      <c r="Q14" s="106">
        <f>'Q1-STATS'!E124</f>
        <v>4.9092838359996012E-2</v>
      </c>
      <c r="R14" s="153">
        <f>COUNTIF('2025-Q1'!$E$4:$E$448,'Stats Roll Up'!B14)</f>
        <v>68</v>
      </c>
      <c r="S14" s="154">
        <f>COUNTIFS('2025-Q1'!$J$4:$J$448,"&gt;0",'2025-Q1'!$E$4:$E$448,'Stats Roll Up'!B14)/R14</f>
        <v>1</v>
      </c>
      <c r="T14" s="132" t="s">
        <v>4722</v>
      </c>
      <c r="U14" s="123">
        <f>'Q1-STATS'!B127</f>
        <v>36</v>
      </c>
      <c r="V14" s="120">
        <f>-'Q1-STATS'!B129</f>
        <v>4.3203040157904889E-2</v>
      </c>
      <c r="W14" s="128">
        <f t="shared" si="0"/>
        <v>0.52941176470588236</v>
      </c>
      <c r="X14" s="119">
        <f t="shared" si="1"/>
        <v>15</v>
      </c>
      <c r="Y14" s="128">
        <f t="shared" si="10"/>
        <v>0.66666666666666663</v>
      </c>
      <c r="Z14" s="119">
        <f>'Q1-STATS'!C127</f>
        <v>10</v>
      </c>
      <c r="AA14" s="120">
        <f>-'Q1-STATS'!C129</f>
        <v>3.9348463286468058E-2</v>
      </c>
      <c r="AB14" s="125">
        <f t="shared" si="2"/>
        <v>15</v>
      </c>
      <c r="AC14" s="128">
        <f t="shared" si="8"/>
        <v>0.4</v>
      </c>
      <c r="AD14" s="125">
        <f>'Q1-STATS'!D127</f>
        <v>6</v>
      </c>
      <c r="AE14" s="120">
        <f>-'Q1-STATS'!D129</f>
        <v>5.5016962007335302E-2</v>
      </c>
      <c r="AF14" s="127">
        <f t="shared" si="3"/>
        <v>38</v>
      </c>
      <c r="AG14" s="128">
        <f t="shared" si="9"/>
        <v>0.52631578947368418</v>
      </c>
      <c r="AH14" s="127">
        <f>'Q1-STATS'!E127</f>
        <v>20</v>
      </c>
      <c r="AI14" s="120">
        <f>-'Q1-STATS'!E129</f>
        <v>4.1586152038794191E-2</v>
      </c>
    </row>
    <row r="15" spans="2:36" x14ac:dyDescent="0.25">
      <c r="B15" s="133" t="s">
        <v>4727</v>
      </c>
      <c r="C15" s="107">
        <f>'Q1-STATS'!B222</f>
        <v>21</v>
      </c>
      <c r="D15" s="108">
        <f>'Q1-STATS'!B224</f>
        <v>4.6956057991335121E-2</v>
      </c>
      <c r="E15" s="117">
        <f t="shared" si="4"/>
        <v>0.38181818181818183</v>
      </c>
      <c r="F15" s="114">
        <f>COUNTIFS('2025-Q1'!$FV$4:$FV$448,"Up",'2025-Q1'!$E$4:$E$448,'Stats Roll Up'!$B15,'2025-Q1'!$J$4:$J$448,"&gt;0")</f>
        <v>13</v>
      </c>
      <c r="G15" s="117">
        <f t="shared" si="5"/>
        <v>0.23076923076923078</v>
      </c>
      <c r="H15" s="114">
        <f>'Q1-STATS'!C222</f>
        <v>3</v>
      </c>
      <c r="I15" s="108">
        <f>'Q1-STATS'!C224</f>
        <v>2.7059989223221326E-2</v>
      </c>
      <c r="J15" s="115">
        <f>COUNTIFS('2025-Q1'!$FV$4:$FV$448,"Dwn",'2025-Q1'!$E$4:$E$448,'Stats Roll Up'!B15,'2025-Q1'!$J$4:$J$448,"&gt;0")</f>
        <v>13</v>
      </c>
      <c r="K15" s="117">
        <f t="shared" si="6"/>
        <v>0.38461538461538464</v>
      </c>
      <c r="L15" s="115">
        <f>'Q1-STATS'!D222</f>
        <v>5</v>
      </c>
      <c r="M15" s="108">
        <f>'Q1-STATS'!D224</f>
        <v>5.6926803407007488E-2</v>
      </c>
      <c r="N15" s="116">
        <f>COUNTIFS('2025-Q1'!$FV$4:$FV$448,"SW",'2025-Q1'!$E$4:$E$448,'Stats Roll Up'!$B15,'2025-Q1'!$J$4:$J$448,"&gt;0")</f>
        <v>29</v>
      </c>
      <c r="O15" s="117">
        <f t="shared" si="7"/>
        <v>0.44827586206896552</v>
      </c>
      <c r="P15" s="116">
        <f>'Q1-STATS'!E222</f>
        <v>13</v>
      </c>
      <c r="Q15" s="106">
        <f>'Q1-STATS'!E224</f>
        <v>4.7712556393333563E-2</v>
      </c>
      <c r="R15" s="153">
        <f>COUNTIF('2025-Q1'!$E$4:$E$448,'Stats Roll Up'!B15)</f>
        <v>55</v>
      </c>
      <c r="S15" s="154">
        <f>COUNTIFS('2025-Q1'!$J$4:$J$448,"&gt;0",'2025-Q1'!$E$4:$E$448,'Stats Roll Up'!B15)/R15</f>
        <v>1</v>
      </c>
      <c r="T15" s="132" t="s">
        <v>4727</v>
      </c>
      <c r="U15" s="123">
        <f>'Q1-STATS'!B227</f>
        <v>34</v>
      </c>
      <c r="V15" s="120">
        <f>-'Q1-STATS'!B229</f>
        <v>5.1466821934613861E-2</v>
      </c>
      <c r="W15" s="128">
        <f t="shared" si="0"/>
        <v>0.61818181818181817</v>
      </c>
      <c r="X15" s="119">
        <f t="shared" si="1"/>
        <v>13</v>
      </c>
      <c r="Y15" s="128">
        <f t="shared" si="10"/>
        <v>0.61538461538461542</v>
      </c>
      <c r="Z15" s="119">
        <f>'Q1-STATS'!C227</f>
        <v>8</v>
      </c>
      <c r="AA15" s="120">
        <f>-'Q1-STATS'!C229</f>
        <v>5.3867996524426878E-2</v>
      </c>
      <c r="AB15" s="125">
        <f t="shared" si="2"/>
        <v>13</v>
      </c>
      <c r="AC15" s="128">
        <f t="shared" si="8"/>
        <v>0.76923076923076927</v>
      </c>
      <c r="AD15" s="125">
        <f>'Q1-STATS'!D227</f>
        <v>10</v>
      </c>
      <c r="AE15" s="120">
        <f>-'Q1-STATS'!D229</f>
        <v>4.3619007870955365E-2</v>
      </c>
      <c r="AF15" s="127">
        <f t="shared" si="3"/>
        <v>29</v>
      </c>
      <c r="AG15" s="128">
        <f t="shared" si="9"/>
        <v>0.55172413793103448</v>
      </c>
      <c r="AH15" s="127">
        <f>'Q1-STATS'!E227</f>
        <v>16</v>
      </c>
      <c r="AI15" s="120">
        <f>-'Q1-STATS'!E229</f>
        <v>5.5171118429493932E-2</v>
      </c>
    </row>
    <row r="16" spans="2:36" x14ac:dyDescent="0.25">
      <c r="B16" s="133" t="s">
        <v>4774</v>
      </c>
      <c r="C16" s="107">
        <f>'Q1-STATS'!B262</f>
        <v>2</v>
      </c>
      <c r="D16" s="108">
        <f>'Q1-STATS'!B264</f>
        <v>3.0702237913111604E-2</v>
      </c>
      <c r="E16" s="117">
        <f t="shared" si="4"/>
        <v>0.4</v>
      </c>
      <c r="F16" s="114">
        <f>COUNTIFS('2025-Q1'!$FV$4:$FV$448,"Up",'2025-Q1'!$E$4:$E$448,'Stats Roll Up'!$B16,'2025-Q1'!$J$4:$J$448,"&gt;0")</f>
        <v>0</v>
      </c>
      <c r="G16" s="117">
        <f t="shared" si="5"/>
        <v>0</v>
      </c>
      <c r="H16" s="114">
        <f>'Q1-STATS'!C262</f>
        <v>0</v>
      </c>
      <c r="I16" s="108">
        <f>'Q1-STATS'!C264</f>
        <v>0</v>
      </c>
      <c r="J16" s="115">
        <f>COUNTIFS('2025-Q1'!$FV$4:$FV$448,"Dwn",'2025-Q1'!$E$4:$E$448,'Stats Roll Up'!B16,'2025-Q1'!$J$4:$J$448,"&gt;0")</f>
        <v>3</v>
      </c>
      <c r="K16" s="117">
        <f t="shared" si="6"/>
        <v>0.33333333333333331</v>
      </c>
      <c r="L16" s="115">
        <f>'Q1-STATS'!D262</f>
        <v>1</v>
      </c>
      <c r="M16" s="108">
        <f>'Q1-STATS'!D264</f>
        <v>2.5599700149924978E-2</v>
      </c>
      <c r="N16" s="116">
        <f>COUNTIFS('2025-Q1'!$FV$4:$FV$448,"SW",'2025-Q1'!$E$4:$E$448,'Stats Roll Up'!$B16,'2025-Q1'!$J$4:$J$448,"&gt;0")</f>
        <v>2</v>
      </c>
      <c r="O16" s="117">
        <f t="shared" si="7"/>
        <v>0.5</v>
      </c>
      <c r="P16" s="116">
        <f>'Q1-STATS'!E262</f>
        <v>1</v>
      </c>
      <c r="Q16" s="106">
        <f>'Q1-STATS'!E264</f>
        <v>3.580477567629823E-2</v>
      </c>
      <c r="R16" s="153">
        <f>COUNTIF('2025-Q1'!$E$4:$E$448,'Stats Roll Up'!B16)</f>
        <v>5</v>
      </c>
      <c r="S16" s="154">
        <f>COUNTIFS('2025-Q1'!$J$4:$J$448,"&gt;0",'2025-Q1'!$E$4:$E$448,'Stats Roll Up'!B16)/R16</f>
        <v>1</v>
      </c>
      <c r="T16" s="132" t="s">
        <v>4774</v>
      </c>
      <c r="U16" s="123">
        <f>'Q1-STATS'!B267</f>
        <v>3</v>
      </c>
      <c r="V16" s="120">
        <f>-'Q1-STATS'!B269</f>
        <v>6.2630386529733212E-2</v>
      </c>
      <c r="W16" s="128">
        <f t="shared" si="0"/>
        <v>0.6</v>
      </c>
      <c r="X16" s="119">
        <f t="shared" si="1"/>
        <v>3</v>
      </c>
      <c r="Y16" s="128">
        <f t="shared" si="10"/>
        <v>0.66666666666666663</v>
      </c>
      <c r="Z16" s="119">
        <f>'Q1-STATS'!C267</f>
        <v>2</v>
      </c>
      <c r="AA16" s="120">
        <f>-'Q1-STATS'!C269</f>
        <v>5.8694114197561917E-2</v>
      </c>
      <c r="AB16" s="125">
        <f t="shared" si="2"/>
        <v>0</v>
      </c>
      <c r="AC16" s="128">
        <f t="shared" si="8"/>
        <v>0</v>
      </c>
      <c r="AD16" s="125">
        <f>'Q1-STATS'!D267</f>
        <v>0</v>
      </c>
      <c r="AE16" s="120">
        <f>-'Q1-STATS'!D269</f>
        <v>0</v>
      </c>
      <c r="AF16" s="127">
        <f t="shared" si="3"/>
        <v>2</v>
      </c>
      <c r="AG16" s="128">
        <f t="shared" si="9"/>
        <v>0.5</v>
      </c>
      <c r="AH16" s="127">
        <f>'Q1-STATS'!E267</f>
        <v>1</v>
      </c>
      <c r="AI16" s="120">
        <f>-'Q1-STATS'!E269</f>
        <v>7.0502931194075802E-2</v>
      </c>
    </row>
    <row r="17" spans="2:36" x14ac:dyDescent="0.25">
      <c r="B17" s="133" t="s">
        <v>4718</v>
      </c>
      <c r="C17" s="107">
        <f>'Q1-STATS'!B162</f>
        <v>8</v>
      </c>
      <c r="D17" s="108">
        <f>'Q1-STATS'!B164</f>
        <v>4.5761867121162467E-2</v>
      </c>
      <c r="E17" s="117">
        <f t="shared" si="4"/>
        <v>0.30769230769230771</v>
      </c>
      <c r="F17" s="114">
        <f>COUNTIFS('2025-Q1'!$FV$4:$FV$448,"Up",'2025-Q1'!$E$4:$E$448,'Stats Roll Up'!$B17,'2025-Q1'!$J$4:$J$448,"&gt;0")</f>
        <v>2</v>
      </c>
      <c r="G17" s="117">
        <f t="shared" si="5"/>
        <v>0</v>
      </c>
      <c r="H17" s="114">
        <f>'Q1-STATS'!C162</f>
        <v>0</v>
      </c>
      <c r="I17" s="108">
        <f>'Q1-STATS'!C164</f>
        <v>0</v>
      </c>
      <c r="J17" s="115">
        <f>COUNTIFS('2025-Q1'!$FV$4:$FV$448,"Dwn",'2025-Q1'!$E$4:$E$448,'Stats Roll Up'!B17,'2025-Q1'!$J$4:$J$448,"&gt;0")</f>
        <v>14</v>
      </c>
      <c r="K17" s="117">
        <f t="shared" si="6"/>
        <v>0.35714285714285715</v>
      </c>
      <c r="L17" s="115">
        <f>'Q1-STATS'!D162</f>
        <v>5</v>
      </c>
      <c r="M17" s="108">
        <f>'Q1-STATS'!D164</f>
        <v>4.7463364894209485E-2</v>
      </c>
      <c r="N17" s="116">
        <f>COUNTIFS('2025-Q1'!$FV$4:$FV$448,"SW",'2025-Q1'!$E$4:$E$448,'Stats Roll Up'!$B17,'2025-Q1'!$J$4:$J$448,"&gt;0")</f>
        <v>10</v>
      </c>
      <c r="O17" s="117">
        <f t="shared" si="7"/>
        <v>0.3</v>
      </c>
      <c r="P17" s="116">
        <f>'Q1-STATS'!E162</f>
        <v>3</v>
      </c>
      <c r="Q17" s="106">
        <f>'Q1-STATS'!E164</f>
        <v>4.2926037499417424E-2</v>
      </c>
      <c r="R17" s="153">
        <f>COUNTIF('2025-Q1'!$E$4:$E$448,'Stats Roll Up'!B17)</f>
        <v>27</v>
      </c>
      <c r="S17" s="154">
        <f>COUNTIFS('2025-Q1'!$J$4:$J$448,"&gt;0",'2025-Q1'!$E$4:$E$448,'Stats Roll Up'!B17)/R17</f>
        <v>1</v>
      </c>
      <c r="T17" s="132" t="s">
        <v>4718</v>
      </c>
      <c r="U17" s="123">
        <f>'Q1-STATS'!B167</f>
        <v>18</v>
      </c>
      <c r="V17" s="120">
        <f>-'Q1-STATS'!B169</f>
        <v>6.2811436603344428E-2</v>
      </c>
      <c r="W17" s="128">
        <f t="shared" si="0"/>
        <v>0.69230769230769229</v>
      </c>
      <c r="X17" s="119">
        <f t="shared" si="1"/>
        <v>14</v>
      </c>
      <c r="Y17" s="128">
        <f t="shared" si="10"/>
        <v>0.6428571428571429</v>
      </c>
      <c r="Z17" s="119">
        <f>'Q1-STATS'!C167</f>
        <v>9</v>
      </c>
      <c r="AA17" s="120">
        <f>-'Q1-STATS'!C169</f>
        <v>9.499637672558188E-2</v>
      </c>
      <c r="AB17" s="125">
        <f t="shared" si="2"/>
        <v>2</v>
      </c>
      <c r="AC17" s="128">
        <f t="shared" si="8"/>
        <v>1</v>
      </c>
      <c r="AD17" s="125">
        <f>'Q1-STATS'!D167</f>
        <v>2</v>
      </c>
      <c r="AE17" s="120">
        <f>-'Q1-STATS'!D169</f>
        <v>6.791291619039754E-3</v>
      </c>
      <c r="AF17" s="127">
        <f t="shared" si="3"/>
        <v>10</v>
      </c>
      <c r="AG17" s="128">
        <f t="shared" si="9"/>
        <v>0.7</v>
      </c>
      <c r="AH17" s="127">
        <f>'Q1-STATS'!E167</f>
        <v>7</v>
      </c>
      <c r="AI17" s="120">
        <f>-'Q1-STATS'!E169</f>
        <v>3.7436555013126198E-2</v>
      </c>
    </row>
    <row r="18" spans="2:36" x14ac:dyDescent="0.25">
      <c r="B18" s="133" t="s">
        <v>4720</v>
      </c>
      <c r="C18" s="107">
        <f>'Q1-STATS'!B182</f>
        <v>7</v>
      </c>
      <c r="D18" s="108">
        <f>'Q1-STATS'!B184</f>
        <v>1.9878304920371851E-2</v>
      </c>
      <c r="E18" s="117">
        <f t="shared" si="4"/>
        <v>0.53846153846153844</v>
      </c>
      <c r="F18" s="114">
        <f>COUNTIFS('2025-Q1'!$FV$4:$FV$448,"Up",'2025-Q1'!$E$4:$E$448,'Stats Roll Up'!$B18,'2025-Q1'!$J$4:$J$448,"&gt;0")</f>
        <v>2</v>
      </c>
      <c r="G18" s="117">
        <f t="shared" si="5"/>
        <v>1</v>
      </c>
      <c r="H18" s="114">
        <f>'Q1-STATS'!C182</f>
        <v>2</v>
      </c>
      <c r="I18" s="108">
        <f>'Q1-STATS'!C184</f>
        <v>2.7879735911294459E-2</v>
      </c>
      <c r="J18" s="115">
        <f>COUNTIFS('2025-Q1'!$FV$4:$FV$448,"Dwn",'2025-Q1'!$E$4:$E$448,'Stats Roll Up'!B18,'2025-Q1'!$J$4:$J$448,"&gt;0")</f>
        <v>5</v>
      </c>
      <c r="K18" s="117">
        <f t="shared" si="6"/>
        <v>0.6</v>
      </c>
      <c r="L18" s="115">
        <f>'Q1-STATS'!D182</f>
        <v>3</v>
      </c>
      <c r="M18" s="108">
        <f>'Q1-STATS'!D184</f>
        <v>1.1625713119639914E-2</v>
      </c>
      <c r="N18" s="116">
        <f>COUNTIFS('2025-Q1'!$FV$4:$FV$448,"SW",'2025-Q1'!$E$4:$E$448,'Stats Roll Up'!$B18,'2025-Q1'!$J$4:$J$448,"&gt;0")</f>
        <v>6</v>
      </c>
      <c r="O18" s="117">
        <f t="shared" si="7"/>
        <v>0.33333333333333331</v>
      </c>
      <c r="P18" s="116">
        <f>'Q1-STATS'!E182</f>
        <v>2</v>
      </c>
      <c r="Q18" s="106">
        <f>'Q1-STATS'!E184</f>
        <v>2.4255761630547157E-2</v>
      </c>
      <c r="R18" s="153">
        <f>COUNTIF('2025-Q1'!$E$4:$E$448,'Stats Roll Up'!B18)</f>
        <v>13</v>
      </c>
      <c r="S18" s="154">
        <f>COUNTIFS('2025-Q1'!$J$4:$J$448,"&gt;0",'2025-Q1'!$E$4:$E$448,'Stats Roll Up'!B18)/R18</f>
        <v>1</v>
      </c>
      <c r="T18" s="132" t="s">
        <v>4720</v>
      </c>
      <c r="U18" s="123">
        <f>'Q1-STATS'!B187</f>
        <v>6</v>
      </c>
      <c r="V18" s="120">
        <f>-'Q1-STATS'!B189</f>
        <v>2.0898865107515405E-2</v>
      </c>
      <c r="W18" s="128">
        <f t="shared" si="0"/>
        <v>0.46153846153846156</v>
      </c>
      <c r="X18" s="119">
        <f t="shared" si="1"/>
        <v>5</v>
      </c>
      <c r="Y18" s="128">
        <f t="shared" si="10"/>
        <v>0.4</v>
      </c>
      <c r="Z18" s="119">
        <f>'Q1-STATS'!C187</f>
        <v>2</v>
      </c>
      <c r="AA18" s="120">
        <f>-'Q1-STATS'!C189</f>
        <v>1.2615103239957225E-2</v>
      </c>
      <c r="AB18" s="125">
        <f t="shared" si="2"/>
        <v>2</v>
      </c>
      <c r="AC18" s="128">
        <f t="shared" si="8"/>
        <v>0</v>
      </c>
      <c r="AD18" s="125">
        <f>'Q1-STATS'!D187</f>
        <v>0</v>
      </c>
      <c r="AE18" s="120">
        <f>'Q1-STATS'!D189</f>
        <v>0</v>
      </c>
      <c r="AF18" s="127">
        <f t="shared" si="3"/>
        <v>6</v>
      </c>
      <c r="AG18" s="128">
        <f t="shared" si="9"/>
        <v>0.66666666666666663</v>
      </c>
      <c r="AH18" s="127">
        <f>'Q1-STATS'!E187</f>
        <v>4</v>
      </c>
      <c r="AI18" s="120">
        <f>-'Q1-STATS'!E189</f>
        <v>2.5040746041294498E-2</v>
      </c>
    </row>
    <row r="19" spans="2:36" x14ac:dyDescent="0.25">
      <c r="B19" s="397" t="s">
        <v>4726</v>
      </c>
      <c r="C19" s="398">
        <f>'Q1-STATS'!B82</f>
        <v>0</v>
      </c>
      <c r="D19" s="399">
        <f>'Q1-STATS'!B84</f>
        <v>0</v>
      </c>
      <c r="E19" s="400">
        <f t="shared" si="4"/>
        <v>0</v>
      </c>
      <c r="F19" s="398">
        <f>COUNTIFS('2025-Q1'!$FV$4:$FV$448,"Up",'2025-Q1'!$E$4:$E$448,'Stats Roll Up'!$B19,'2025-Q1'!$J$4:$J$448,"&gt;0")</f>
        <v>0</v>
      </c>
      <c r="G19" s="400">
        <f t="shared" si="5"/>
        <v>0</v>
      </c>
      <c r="H19" s="398">
        <f>'Q1-STATS'!C82</f>
        <v>0</v>
      </c>
      <c r="I19" s="399">
        <f>'Q1-STATS'!C84</f>
        <v>0</v>
      </c>
      <c r="J19" s="398">
        <f>COUNTIFS('2025-Q1'!$FV$4:$FV$448,"Dwn",'2025-Q1'!$E$4:$E$448,'Stats Roll Up'!B19,'2025-Q1'!$J$4:$J$448,"&gt;0")</f>
        <v>0</v>
      </c>
      <c r="K19" s="400">
        <f t="shared" si="6"/>
        <v>0</v>
      </c>
      <c r="L19" s="398">
        <f>'Q1-STATS'!D82</f>
        <v>0</v>
      </c>
      <c r="M19" s="399">
        <f>'Q1-STATS'!D84</f>
        <v>0</v>
      </c>
      <c r="N19" s="398">
        <f>COUNTIFS('2025-Q1'!$FV$4:$FV$448,"SW",'2025-Q1'!$E$4:$E$448,'Stats Roll Up'!$B19,'2025-Q1'!$J$4:$J$448,"&gt;0")</f>
        <v>0</v>
      </c>
      <c r="O19" s="400">
        <f t="shared" si="7"/>
        <v>0</v>
      </c>
      <c r="P19" s="398">
        <f>'Q1-STATS'!E82</f>
        <v>0</v>
      </c>
      <c r="Q19" s="401">
        <f>'Q1-STATS'!E84</f>
        <v>0</v>
      </c>
      <c r="R19" s="402">
        <f>COUNTIF('2025-Q1'!$E$4:$E$448,'Stats Roll Up'!B19)</f>
        <v>0</v>
      </c>
      <c r="S19" s="403">
        <f>IFERROR(COUNTIFS('2025-Q1'!$J$4:$J$448,"&gt;0",'2025-Q1'!$E$4:$E$448,'Stats Roll Up'!B19)/R19,0)</f>
        <v>0</v>
      </c>
      <c r="T19" s="397" t="s">
        <v>4726</v>
      </c>
      <c r="U19" s="404">
        <f>'Q1-STATS'!B87</f>
        <v>0</v>
      </c>
      <c r="V19" s="401">
        <f>-'Q1-STATS'!B89</f>
        <v>0</v>
      </c>
      <c r="W19" s="400">
        <f t="shared" si="0"/>
        <v>1</v>
      </c>
      <c r="X19" s="398">
        <f t="shared" si="1"/>
        <v>0</v>
      </c>
      <c r="Y19" s="400">
        <f>IFERROR(Z19/X19,0)</f>
        <v>0</v>
      </c>
      <c r="Z19" s="398">
        <f>'Q1-STATS'!C87</f>
        <v>0</v>
      </c>
      <c r="AA19" s="401">
        <f>-'Q1-STATS'!C89</f>
        <v>0</v>
      </c>
      <c r="AB19" s="398">
        <f t="shared" si="2"/>
        <v>0</v>
      </c>
      <c r="AC19" s="400">
        <f t="shared" si="8"/>
        <v>0</v>
      </c>
      <c r="AD19" s="398">
        <f>'Q1-STATS'!D87</f>
        <v>0</v>
      </c>
      <c r="AE19" s="401">
        <f>-'Q1-STATS'!D89</f>
        <v>0</v>
      </c>
      <c r="AF19" s="398">
        <f t="shared" si="3"/>
        <v>0</v>
      </c>
      <c r="AG19" s="400">
        <f t="shared" si="9"/>
        <v>0</v>
      </c>
      <c r="AH19" s="398">
        <f>'Q1-STATS'!E87</f>
        <v>0</v>
      </c>
      <c r="AI19" s="401">
        <f>-'Q1-STATS'!E89</f>
        <v>0</v>
      </c>
      <c r="AJ19" s="405"/>
    </row>
    <row r="20" spans="2:36" x14ac:dyDescent="0.25">
      <c r="B20" s="397" t="s">
        <v>4725</v>
      </c>
      <c r="C20" s="398">
        <f>'Q1-STATS'!B142</f>
        <v>0</v>
      </c>
      <c r="D20" s="399">
        <f>'Q1-STATS'!B144</f>
        <v>0</v>
      </c>
      <c r="E20" s="400">
        <f t="shared" si="4"/>
        <v>0</v>
      </c>
      <c r="F20" s="398">
        <f>COUNTIFS('2025-Q1'!$FV$4:$FV$448,"Up",'2025-Q1'!$E$4:$E$448,'Stats Roll Up'!$B20,'2025-Q1'!$J$4:$J$448,"&gt;0")</f>
        <v>0</v>
      </c>
      <c r="G20" s="400">
        <f t="shared" si="5"/>
        <v>0</v>
      </c>
      <c r="H20" s="398">
        <f>'Q1-STATS'!C142</f>
        <v>0</v>
      </c>
      <c r="I20" s="399">
        <f>'Q1-STATS'!C144</f>
        <v>0</v>
      </c>
      <c r="J20" s="398">
        <f>COUNTIFS('2025-Q1'!$FV$4:$FV$448,"Dwn",'2025-Q1'!$E$4:$E$448,'Stats Roll Up'!B20,'2025-Q1'!$J$4:$J$448,"&gt;0")</f>
        <v>0</v>
      </c>
      <c r="K20" s="400">
        <f t="shared" si="6"/>
        <v>0</v>
      </c>
      <c r="L20" s="398">
        <f>'Q1-STATS'!D142</f>
        <v>0</v>
      </c>
      <c r="M20" s="399">
        <f>'Q1-STATS'!D144</f>
        <v>0</v>
      </c>
      <c r="N20" s="398">
        <f>COUNTIFS('2025-Q1'!$FV$4:$FV$448,"SW",'2025-Q1'!$E$4:$E$448,'Stats Roll Up'!$B20,'2025-Q1'!$J$4:$J$448,"&gt;0")</f>
        <v>0</v>
      </c>
      <c r="O20" s="400">
        <f t="shared" si="7"/>
        <v>0</v>
      </c>
      <c r="P20" s="398">
        <f>'Q1-STATS'!E142</f>
        <v>0</v>
      </c>
      <c r="Q20" s="401">
        <f>'Q1-STATS'!E144</f>
        <v>0</v>
      </c>
      <c r="R20" s="402">
        <f>COUNTIF('2025-Q1'!$E$4:$E$448,'Stats Roll Up'!B20)</f>
        <v>0</v>
      </c>
      <c r="S20" s="403">
        <f>IFERROR(COUNTIFS('2025-Q1'!$J$4:$J$448,"&gt;0",'2025-Q1'!$E$4:$E$448,'Stats Roll Up'!B20)/R20,0)</f>
        <v>0</v>
      </c>
      <c r="T20" s="397" t="s">
        <v>4725</v>
      </c>
      <c r="U20" s="404">
        <f>'Q1-STATS'!B147</f>
        <v>0</v>
      </c>
      <c r="V20" s="401">
        <f>-'Q1-STATS'!B149</f>
        <v>0</v>
      </c>
      <c r="W20" s="400">
        <f t="shared" si="0"/>
        <v>1</v>
      </c>
      <c r="X20" s="398">
        <f t="shared" si="1"/>
        <v>0</v>
      </c>
      <c r="Y20" s="400">
        <f>IFERROR(Z20/X20,0)</f>
        <v>0</v>
      </c>
      <c r="Z20" s="398">
        <f>'Q1-STATS'!C147</f>
        <v>0</v>
      </c>
      <c r="AA20" s="401">
        <f>-'Q1-STATS'!C149</f>
        <v>0</v>
      </c>
      <c r="AB20" s="398">
        <f t="shared" si="2"/>
        <v>0</v>
      </c>
      <c r="AC20" s="400">
        <f t="shared" si="8"/>
        <v>0</v>
      </c>
      <c r="AD20" s="398">
        <f>'Q1-STATS'!D147</f>
        <v>0</v>
      </c>
      <c r="AE20" s="401">
        <f>-'Q1-STATS'!D149</f>
        <v>0</v>
      </c>
      <c r="AF20" s="398">
        <f t="shared" si="3"/>
        <v>0</v>
      </c>
      <c r="AG20" s="400">
        <f t="shared" si="9"/>
        <v>0</v>
      </c>
      <c r="AH20" s="398">
        <f>'Q1-STATS'!E147</f>
        <v>0</v>
      </c>
      <c r="AI20" s="401">
        <f>-'Q1-STATS'!E149</f>
        <v>0</v>
      </c>
    </row>
  </sheetData>
  <mergeCells count="10">
    <mergeCell ref="U2:W2"/>
    <mergeCell ref="AF2:AI2"/>
    <mergeCell ref="B1:Q1"/>
    <mergeCell ref="T1:AI1"/>
    <mergeCell ref="C2:E2"/>
    <mergeCell ref="F2:I2"/>
    <mergeCell ref="X2:AA2"/>
    <mergeCell ref="N2:Q2"/>
    <mergeCell ref="J2:M2"/>
    <mergeCell ref="AB2:AE2"/>
  </mergeCells>
  <conditionalFormatting sqref="D4:D20">
    <cfRule type="dataBar" priority="23">
      <dataBar>
        <cfvo type="num" val="0"/>
        <cfvo type="num" val="0.12"/>
        <color theme="6" tint="0.59999389629810485"/>
      </dataBar>
      <extLst>
        <ext xmlns:x14="http://schemas.microsoft.com/office/spreadsheetml/2009/9/main" uri="{B025F937-C7B1-47D3-B67F-A62EFF666E3E}">
          <x14:id>{249B927E-0500-48AE-9226-7DDEC1E1B090}</x14:id>
        </ext>
      </extLst>
    </cfRule>
  </conditionalFormatting>
  <conditionalFormatting sqref="E4:E20">
    <cfRule type="dataBar" priority="19">
      <dataBar>
        <cfvo type="num" val="0"/>
        <cfvo type="num" val="0.95"/>
        <color theme="6" tint="0.59999389629810485"/>
      </dataBar>
      <extLst>
        <ext xmlns:x14="http://schemas.microsoft.com/office/spreadsheetml/2009/9/main" uri="{B025F937-C7B1-47D3-B67F-A62EFF666E3E}">
          <x14:id>{730B4AC9-7EEE-4581-8FE9-48E1974F63A8}</x14:id>
        </ext>
      </extLst>
    </cfRule>
  </conditionalFormatting>
  <conditionalFormatting sqref="G4:G20">
    <cfRule type="dataBar" priority="20">
      <dataBar>
        <cfvo type="num" val="0"/>
        <cfvo type="num" val="0.95"/>
        <color theme="6" tint="0.59999389629810485"/>
      </dataBar>
      <extLst>
        <ext xmlns:x14="http://schemas.microsoft.com/office/spreadsheetml/2009/9/main" uri="{B025F937-C7B1-47D3-B67F-A62EFF666E3E}">
          <x14:id>{06CA2451-9F64-4280-AB2B-1782D7A11DA2}</x14:id>
        </ext>
      </extLst>
    </cfRule>
  </conditionalFormatting>
  <conditionalFormatting sqref="I4:I20">
    <cfRule type="dataBar" priority="24">
      <dataBar>
        <cfvo type="num" val="0"/>
        <cfvo type="num" val="0.12"/>
        <color theme="6" tint="0.59999389629810485"/>
      </dataBar>
      <extLst>
        <ext xmlns:x14="http://schemas.microsoft.com/office/spreadsheetml/2009/9/main" uri="{B025F937-C7B1-47D3-B67F-A62EFF666E3E}">
          <x14:id>{ECB35BEB-840D-4EB8-8ABF-A3D7BF628303}</x14:id>
        </ext>
      </extLst>
    </cfRule>
  </conditionalFormatting>
  <conditionalFormatting sqref="K4:K20">
    <cfRule type="dataBar" priority="21">
      <dataBar>
        <cfvo type="num" val="0"/>
        <cfvo type="num" val="0.95"/>
        <color theme="6" tint="0.59999389629810485"/>
      </dataBar>
      <extLst>
        <ext xmlns:x14="http://schemas.microsoft.com/office/spreadsheetml/2009/9/main" uri="{B025F937-C7B1-47D3-B67F-A62EFF666E3E}">
          <x14:id>{A40E10E2-7FB4-48CC-A298-3B6786164890}</x14:id>
        </ext>
      </extLst>
    </cfRule>
  </conditionalFormatting>
  <conditionalFormatting sqref="M4:M20">
    <cfRule type="dataBar" priority="25">
      <dataBar>
        <cfvo type="num" val="0"/>
        <cfvo type="num" val="0.12"/>
        <color theme="6" tint="0.59999389629810485"/>
      </dataBar>
      <extLst>
        <ext xmlns:x14="http://schemas.microsoft.com/office/spreadsheetml/2009/9/main" uri="{B025F937-C7B1-47D3-B67F-A62EFF666E3E}">
          <x14:id>{F62EF2AB-D1B0-4B22-B802-CEF7F79D5F55}</x14:id>
        </ext>
      </extLst>
    </cfRule>
  </conditionalFormatting>
  <conditionalFormatting sqref="O4:O18">
    <cfRule type="cellIs" dxfId="1" priority="2" operator="lessThan">
      <formula>0.5</formula>
    </cfRule>
    <cfRule type="dataBar" priority="22">
      <dataBar>
        <cfvo type="num" val="0"/>
        <cfvo type="num" val="0.95"/>
        <color theme="6" tint="0.59999389629810485"/>
      </dataBar>
      <extLst>
        <ext xmlns:x14="http://schemas.microsoft.com/office/spreadsheetml/2009/9/main" uri="{B025F937-C7B1-47D3-B67F-A62EFF666E3E}">
          <x14:id>{7A4D6967-5655-4BB5-8420-2E08FAB5C6F2}</x14:id>
        </ext>
      </extLst>
    </cfRule>
  </conditionalFormatting>
  <conditionalFormatting sqref="Q4:Q20">
    <cfRule type="expression" dxfId="0" priority="1">
      <formula>$Q4&lt;$AI4</formula>
    </cfRule>
  </conditionalFormatting>
  <conditionalFormatting sqref="R5:R20">
    <cfRule type="dataBar" priority="4">
      <dataBar>
        <cfvo type="min"/>
        <cfvo type="max"/>
        <color theme="0" tint="-0.499984740745262"/>
      </dataBar>
      <extLst>
        <ext xmlns:x14="http://schemas.microsoft.com/office/spreadsheetml/2009/9/main" uri="{B025F937-C7B1-47D3-B67F-A62EFF666E3E}">
          <x14:id>{C90F7468-6924-4750-8D5D-1CF463BE27E0}</x14:id>
        </ext>
      </extLst>
    </cfRule>
  </conditionalFormatting>
  <conditionalFormatting sqref="S5:S20">
    <cfRule type="dataBar" priority="3">
      <dataBar>
        <cfvo type="min"/>
        <cfvo type="num" val="1"/>
        <color theme="0" tint="-0.499984740745262"/>
      </dataBar>
      <extLst>
        <ext xmlns:x14="http://schemas.microsoft.com/office/spreadsheetml/2009/9/main" uri="{B025F937-C7B1-47D3-B67F-A62EFF666E3E}">
          <x14:id>{384AC205-C0D2-43C8-8DC6-18CA55E47969}</x14:id>
        </ext>
      </extLst>
    </cfRule>
  </conditionalFormatting>
  <conditionalFormatting sqref="V4:V20">
    <cfRule type="dataBar" priority="9">
      <dataBar>
        <cfvo type="num" val="0"/>
        <cfvo type="num" val="0.12"/>
        <color theme="3" tint="0.749992370372631"/>
      </dataBar>
      <extLst>
        <ext xmlns:x14="http://schemas.microsoft.com/office/spreadsheetml/2009/9/main" uri="{B025F937-C7B1-47D3-B67F-A62EFF666E3E}">
          <x14:id>{EAC96524-24FA-468C-9F6D-2A75BE3F5562}</x14:id>
        </ext>
      </extLst>
    </cfRule>
  </conditionalFormatting>
  <conditionalFormatting sqref="W4:W18">
    <cfRule type="dataBar" priority="5">
      <dataBar>
        <cfvo type="num" val="0"/>
        <cfvo type="num" val="0.95"/>
        <color theme="3" tint="0.749992370372631"/>
      </dataBar>
      <extLst>
        <ext xmlns:x14="http://schemas.microsoft.com/office/spreadsheetml/2009/9/main" uri="{B025F937-C7B1-47D3-B67F-A62EFF666E3E}">
          <x14:id>{946BE60B-7D7F-4FC2-AFFB-2242BA773936}</x14:id>
        </ext>
      </extLst>
    </cfRule>
  </conditionalFormatting>
  <conditionalFormatting sqref="Y4:Y20">
    <cfRule type="dataBar" priority="16">
      <dataBar>
        <cfvo type="num" val="0"/>
        <cfvo type="num" val="0.95"/>
        <color theme="3" tint="0.749992370372631"/>
      </dataBar>
      <extLst>
        <ext xmlns:x14="http://schemas.microsoft.com/office/spreadsheetml/2009/9/main" uri="{B025F937-C7B1-47D3-B67F-A62EFF666E3E}">
          <x14:id>{9E19958D-1178-4F52-8B94-EFE6336B6F07}</x14:id>
        </ext>
      </extLst>
    </cfRule>
  </conditionalFormatting>
  <conditionalFormatting sqref="AA4:AA20">
    <cfRule type="dataBar" priority="8">
      <dataBar>
        <cfvo type="num" val="0"/>
        <cfvo type="num" val="0.12"/>
        <color theme="3" tint="0.749992370372631"/>
      </dataBar>
      <extLst>
        <ext xmlns:x14="http://schemas.microsoft.com/office/spreadsheetml/2009/9/main" uri="{B025F937-C7B1-47D3-B67F-A62EFF666E3E}">
          <x14:id>{17E09352-3ECA-4CF8-B79D-389B5A6720F0}</x14:id>
        </ext>
      </extLst>
    </cfRule>
  </conditionalFormatting>
  <conditionalFormatting sqref="AC4:AC20">
    <cfRule type="dataBar" priority="18">
      <dataBar>
        <cfvo type="num" val="0"/>
        <cfvo type="num" val="0.95"/>
        <color theme="3" tint="0.749992370372631"/>
      </dataBar>
      <extLst>
        <ext xmlns:x14="http://schemas.microsoft.com/office/spreadsheetml/2009/9/main" uri="{B025F937-C7B1-47D3-B67F-A62EFF666E3E}">
          <x14:id>{692EC38B-0544-43BB-B8B3-43E1093A1555}</x14:id>
        </ext>
      </extLst>
    </cfRule>
  </conditionalFormatting>
  <conditionalFormatting sqref="AE4:AE20">
    <cfRule type="dataBar" priority="7">
      <dataBar>
        <cfvo type="num" val="0"/>
        <cfvo type="num" val="0.12"/>
        <color theme="3" tint="0.749992370372631"/>
      </dataBar>
      <extLst>
        <ext xmlns:x14="http://schemas.microsoft.com/office/spreadsheetml/2009/9/main" uri="{B025F937-C7B1-47D3-B67F-A62EFF666E3E}">
          <x14:id>{1FEE6E92-4661-48C8-8B67-AF0ACAC2A197}</x14:id>
        </ext>
      </extLst>
    </cfRule>
  </conditionalFormatting>
  <conditionalFormatting sqref="AG4:AG20">
    <cfRule type="dataBar" priority="17">
      <dataBar>
        <cfvo type="num" val="0"/>
        <cfvo type="num" val="0.95"/>
        <color theme="3" tint="0.749992370372631"/>
      </dataBar>
      <extLst>
        <ext xmlns:x14="http://schemas.microsoft.com/office/spreadsheetml/2009/9/main" uri="{B025F937-C7B1-47D3-B67F-A62EFF666E3E}">
          <x14:id>{CEDB514F-E04B-4994-85AC-342093A8F60A}</x14:id>
        </ext>
      </extLst>
    </cfRule>
  </conditionalFormatting>
  <conditionalFormatting sqref="AI4:AI20">
    <cfRule type="dataBar" priority="6">
      <dataBar>
        <cfvo type="num" val="0"/>
        <cfvo type="num" val="0.12"/>
        <color theme="3" tint="0.749992370372631"/>
      </dataBar>
      <extLst>
        <ext xmlns:x14="http://schemas.microsoft.com/office/spreadsheetml/2009/9/main" uri="{B025F937-C7B1-47D3-B67F-A62EFF666E3E}">
          <x14:id>{600865F3-BE8D-4348-84BD-5B85BCEE1F91}</x14:id>
        </ext>
      </extLst>
    </cfRule>
  </conditionalFormatting>
  <dataValidations disablePrompts="1" count="1">
    <dataValidation allowBlank="1" showInputMessage="1" showErrorMessage="1" promptTitle="Key Info:" prompt="Red numbers here indicate going long sideways trends isn't working, double red numbers warrant extra caustion as both the BA and Sharpe Ratio is against you." sqref="O3" xr:uid="{47BEC9EB-32B7-40E4-9153-E8FD2CB00093}"/>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49B927E-0500-48AE-9226-7DDEC1E1B090}">
            <x14:dataBar minLength="0" maxLength="100" gradient="0">
              <x14:cfvo type="num">
                <xm:f>0</xm:f>
              </x14:cfvo>
              <x14:cfvo type="num">
                <xm:f>0.12</xm:f>
              </x14:cfvo>
              <x14:negativeFillColor rgb="FFFF0000"/>
              <x14:axisColor rgb="FF000000"/>
            </x14:dataBar>
          </x14:cfRule>
          <xm:sqref>D4:D20</xm:sqref>
        </x14:conditionalFormatting>
        <x14:conditionalFormatting xmlns:xm="http://schemas.microsoft.com/office/excel/2006/main">
          <x14:cfRule type="dataBar" id="{730B4AC9-7EEE-4581-8FE9-48E1974F63A8}">
            <x14:dataBar minLength="0" maxLength="100" gradient="0">
              <x14:cfvo type="num">
                <xm:f>0</xm:f>
              </x14:cfvo>
              <x14:cfvo type="num">
                <xm:f>0.95</xm:f>
              </x14:cfvo>
              <x14:negativeFillColor rgb="FFFF0000"/>
              <x14:axisColor rgb="FF000000"/>
            </x14:dataBar>
          </x14:cfRule>
          <xm:sqref>E4:E20</xm:sqref>
        </x14:conditionalFormatting>
        <x14:conditionalFormatting xmlns:xm="http://schemas.microsoft.com/office/excel/2006/main">
          <x14:cfRule type="dataBar" id="{06CA2451-9F64-4280-AB2B-1782D7A11DA2}">
            <x14:dataBar minLength="0" maxLength="100" gradient="0">
              <x14:cfvo type="num">
                <xm:f>0</xm:f>
              </x14:cfvo>
              <x14:cfvo type="num">
                <xm:f>0.95</xm:f>
              </x14:cfvo>
              <x14:negativeFillColor rgb="FFFF0000"/>
              <x14:axisColor rgb="FF000000"/>
            </x14:dataBar>
          </x14:cfRule>
          <xm:sqref>G4:G20</xm:sqref>
        </x14:conditionalFormatting>
        <x14:conditionalFormatting xmlns:xm="http://schemas.microsoft.com/office/excel/2006/main">
          <x14:cfRule type="dataBar" id="{ECB35BEB-840D-4EB8-8ABF-A3D7BF628303}">
            <x14:dataBar minLength="0" maxLength="100" gradient="0">
              <x14:cfvo type="num">
                <xm:f>0</xm:f>
              </x14:cfvo>
              <x14:cfvo type="num">
                <xm:f>0.12</xm:f>
              </x14:cfvo>
              <x14:negativeFillColor rgb="FFFF0000"/>
              <x14:axisColor rgb="FF000000"/>
            </x14:dataBar>
          </x14:cfRule>
          <xm:sqref>I4:I20</xm:sqref>
        </x14:conditionalFormatting>
        <x14:conditionalFormatting xmlns:xm="http://schemas.microsoft.com/office/excel/2006/main">
          <x14:cfRule type="dataBar" id="{A40E10E2-7FB4-48CC-A298-3B6786164890}">
            <x14:dataBar minLength="0" maxLength="100" gradient="0">
              <x14:cfvo type="num">
                <xm:f>0</xm:f>
              </x14:cfvo>
              <x14:cfvo type="num">
                <xm:f>0.95</xm:f>
              </x14:cfvo>
              <x14:negativeFillColor rgb="FFFF0000"/>
              <x14:axisColor rgb="FF000000"/>
            </x14:dataBar>
          </x14:cfRule>
          <xm:sqref>K4:K20</xm:sqref>
        </x14:conditionalFormatting>
        <x14:conditionalFormatting xmlns:xm="http://schemas.microsoft.com/office/excel/2006/main">
          <x14:cfRule type="dataBar" id="{F62EF2AB-D1B0-4B22-B802-CEF7F79D5F55}">
            <x14:dataBar minLength="0" maxLength="100" gradient="0">
              <x14:cfvo type="num">
                <xm:f>0</xm:f>
              </x14:cfvo>
              <x14:cfvo type="num">
                <xm:f>0.12</xm:f>
              </x14:cfvo>
              <x14:negativeFillColor rgb="FFFF0000"/>
              <x14:axisColor rgb="FF000000"/>
            </x14:dataBar>
          </x14:cfRule>
          <xm:sqref>M4:M20</xm:sqref>
        </x14:conditionalFormatting>
        <x14:conditionalFormatting xmlns:xm="http://schemas.microsoft.com/office/excel/2006/main">
          <x14:cfRule type="dataBar" id="{7A4D6967-5655-4BB5-8420-2E08FAB5C6F2}">
            <x14:dataBar minLength="0" maxLength="100" gradient="0">
              <x14:cfvo type="num">
                <xm:f>0</xm:f>
              </x14:cfvo>
              <x14:cfvo type="num">
                <xm:f>0.95</xm:f>
              </x14:cfvo>
              <x14:negativeFillColor rgb="FFFF0000"/>
              <x14:axisColor rgb="FF000000"/>
            </x14:dataBar>
          </x14:cfRule>
          <xm:sqref>O4:O18</xm:sqref>
        </x14:conditionalFormatting>
        <x14:conditionalFormatting xmlns:xm="http://schemas.microsoft.com/office/excel/2006/main">
          <x14:cfRule type="dataBar" id="{C90F7468-6924-4750-8D5D-1CF463BE27E0}">
            <x14:dataBar minLength="0" maxLength="100" gradient="0">
              <x14:cfvo type="autoMin"/>
              <x14:cfvo type="autoMax"/>
              <x14:negativeFillColor rgb="FFFF0000"/>
              <x14:axisColor rgb="FF000000"/>
            </x14:dataBar>
          </x14:cfRule>
          <xm:sqref>R5:R20</xm:sqref>
        </x14:conditionalFormatting>
        <x14:conditionalFormatting xmlns:xm="http://schemas.microsoft.com/office/excel/2006/main">
          <x14:cfRule type="dataBar" id="{384AC205-C0D2-43C8-8DC6-18CA55E47969}">
            <x14:dataBar minLength="0" maxLength="100" gradient="0">
              <x14:cfvo type="autoMin"/>
              <x14:cfvo type="num">
                <xm:f>1</xm:f>
              </x14:cfvo>
              <x14:negativeFillColor rgb="FFFF0000"/>
              <x14:axisColor rgb="FF000000"/>
            </x14:dataBar>
          </x14:cfRule>
          <xm:sqref>S5:S20</xm:sqref>
        </x14:conditionalFormatting>
        <x14:conditionalFormatting xmlns:xm="http://schemas.microsoft.com/office/excel/2006/main">
          <x14:cfRule type="dataBar" id="{EAC96524-24FA-468C-9F6D-2A75BE3F5562}">
            <x14:dataBar minLength="0" maxLength="100" gradient="0">
              <x14:cfvo type="num">
                <xm:f>0</xm:f>
              </x14:cfvo>
              <x14:cfvo type="num">
                <xm:f>0.12</xm:f>
              </x14:cfvo>
              <x14:negativeFillColor theme="3" tint="0.749992370372631"/>
              <x14:axisColor rgb="FF000000"/>
            </x14:dataBar>
          </x14:cfRule>
          <xm:sqref>V4:V20</xm:sqref>
        </x14:conditionalFormatting>
        <x14:conditionalFormatting xmlns:xm="http://schemas.microsoft.com/office/excel/2006/main">
          <x14:cfRule type="dataBar" id="{946BE60B-7D7F-4FC2-AFFB-2242BA773936}">
            <x14:dataBar minLength="0" maxLength="100" gradient="0">
              <x14:cfvo type="num">
                <xm:f>0</xm:f>
              </x14:cfvo>
              <x14:cfvo type="num">
                <xm:f>0.95</xm:f>
              </x14:cfvo>
              <x14:negativeFillColor rgb="FFFF0000"/>
              <x14:axisColor rgb="FF000000"/>
            </x14:dataBar>
          </x14:cfRule>
          <xm:sqref>W4:W18</xm:sqref>
        </x14:conditionalFormatting>
        <x14:conditionalFormatting xmlns:xm="http://schemas.microsoft.com/office/excel/2006/main">
          <x14:cfRule type="dataBar" id="{9E19958D-1178-4F52-8B94-EFE6336B6F07}">
            <x14:dataBar minLength="0" maxLength="100" gradient="0">
              <x14:cfvo type="num">
                <xm:f>0</xm:f>
              </x14:cfvo>
              <x14:cfvo type="num">
                <xm:f>0.95</xm:f>
              </x14:cfvo>
              <x14:negativeFillColor rgb="FFFF0000"/>
              <x14:axisColor rgb="FF000000"/>
            </x14:dataBar>
          </x14:cfRule>
          <xm:sqref>Y4:Y20</xm:sqref>
        </x14:conditionalFormatting>
        <x14:conditionalFormatting xmlns:xm="http://schemas.microsoft.com/office/excel/2006/main">
          <x14:cfRule type="dataBar" id="{17E09352-3ECA-4CF8-B79D-389B5A6720F0}">
            <x14:dataBar minLength="0" maxLength="100" gradient="0">
              <x14:cfvo type="num">
                <xm:f>0</xm:f>
              </x14:cfvo>
              <x14:cfvo type="num">
                <xm:f>0.12</xm:f>
              </x14:cfvo>
              <x14:negativeFillColor theme="3" tint="0.749992370372631"/>
              <x14:axisColor rgb="FF000000"/>
            </x14:dataBar>
          </x14:cfRule>
          <xm:sqref>AA4:AA20</xm:sqref>
        </x14:conditionalFormatting>
        <x14:conditionalFormatting xmlns:xm="http://schemas.microsoft.com/office/excel/2006/main">
          <x14:cfRule type="dataBar" id="{692EC38B-0544-43BB-B8B3-43E1093A1555}">
            <x14:dataBar minLength="0" maxLength="100" gradient="0">
              <x14:cfvo type="num">
                <xm:f>0</xm:f>
              </x14:cfvo>
              <x14:cfvo type="num">
                <xm:f>0.95</xm:f>
              </x14:cfvo>
              <x14:negativeFillColor rgb="FFFF0000"/>
              <x14:axisColor rgb="FF000000"/>
            </x14:dataBar>
          </x14:cfRule>
          <xm:sqref>AC4:AC20</xm:sqref>
        </x14:conditionalFormatting>
        <x14:conditionalFormatting xmlns:xm="http://schemas.microsoft.com/office/excel/2006/main">
          <x14:cfRule type="dataBar" id="{1FEE6E92-4661-48C8-8B67-AF0ACAC2A197}">
            <x14:dataBar minLength="0" maxLength="100" gradient="0">
              <x14:cfvo type="num">
                <xm:f>0</xm:f>
              </x14:cfvo>
              <x14:cfvo type="num">
                <xm:f>0.12</xm:f>
              </x14:cfvo>
              <x14:negativeFillColor theme="3" tint="0.749992370372631"/>
              <x14:axisColor rgb="FF000000"/>
            </x14:dataBar>
          </x14:cfRule>
          <xm:sqref>AE4:AE20</xm:sqref>
        </x14:conditionalFormatting>
        <x14:conditionalFormatting xmlns:xm="http://schemas.microsoft.com/office/excel/2006/main">
          <x14:cfRule type="dataBar" id="{CEDB514F-E04B-4994-85AC-342093A8F60A}">
            <x14:dataBar minLength="0" maxLength="100" gradient="0">
              <x14:cfvo type="num">
                <xm:f>0</xm:f>
              </x14:cfvo>
              <x14:cfvo type="num">
                <xm:f>0.95</xm:f>
              </x14:cfvo>
              <x14:negativeFillColor rgb="FFFF0000"/>
              <x14:axisColor rgb="FF000000"/>
            </x14:dataBar>
          </x14:cfRule>
          <xm:sqref>AG4:AG20</xm:sqref>
        </x14:conditionalFormatting>
        <x14:conditionalFormatting xmlns:xm="http://schemas.microsoft.com/office/excel/2006/main">
          <x14:cfRule type="dataBar" id="{600865F3-BE8D-4348-84BD-5B85BCEE1F91}">
            <x14:dataBar minLength="0" maxLength="100" gradient="0">
              <x14:cfvo type="num">
                <xm:f>0</xm:f>
              </x14:cfvo>
              <x14:cfvo type="num">
                <xm:f>0.12</xm:f>
              </x14:cfvo>
              <x14:negativeFillColor theme="3" tint="0.749992370372631"/>
              <x14:axisColor rgb="FF000000"/>
            </x14:dataBar>
          </x14:cfRule>
          <xm:sqref>AI4:AI20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0728-A13B-48BC-A5F2-1779FE49E64D}">
  <sheetPr>
    <tabColor theme="5" tint="0.39997558519241921"/>
  </sheetPr>
  <dimension ref="A1:K41"/>
  <sheetViews>
    <sheetView showGridLines="0" workbookViewId="0">
      <selection activeCell="E22" sqref="E22"/>
    </sheetView>
  </sheetViews>
  <sheetFormatPr defaultRowHeight="15" x14ac:dyDescent="0.25"/>
  <cols>
    <col min="1" max="1" width="8.28515625" customWidth="1"/>
    <col min="2" max="2" width="10.140625" bestFit="1" customWidth="1"/>
    <col min="3" max="3" width="8.28515625" style="1" customWidth="1"/>
    <col min="4" max="4" width="9" style="7" customWidth="1"/>
    <col min="5" max="5" width="87.28515625" bestFit="1" customWidth="1"/>
    <col min="6" max="6" width="36" customWidth="1"/>
  </cols>
  <sheetData>
    <row r="1" spans="1:6" x14ac:dyDescent="0.25">
      <c r="A1" s="265" t="s">
        <v>5020</v>
      </c>
      <c r="B1" s="265" t="s">
        <v>6427</v>
      </c>
      <c r="C1" s="277" t="s">
        <v>5050</v>
      </c>
      <c r="D1" s="393" t="s">
        <v>4717</v>
      </c>
      <c r="E1" s="265" t="s">
        <v>5021</v>
      </c>
      <c r="F1" s="265" t="s">
        <v>6465</v>
      </c>
    </row>
    <row r="2" spans="1:6" x14ac:dyDescent="0.25">
      <c r="A2" s="462" t="s">
        <v>1574</v>
      </c>
      <c r="B2" s="463">
        <f>_xlfn.XLOOKUP(A2,'2025-Q1'!A4:A448,'2025-Q1'!FP4:FP448,"didn't trade")</f>
        <v>-0.25180988353792738</v>
      </c>
      <c r="C2" s="464" t="s">
        <v>5036</v>
      </c>
      <c r="D2" s="464" t="str">
        <f>_xlfn.XLOOKUP(A2,'2025-Q1'!$A$4:$A$448,'2025-Q1'!$E$4:$E$448)</f>
        <v>XLV</v>
      </c>
      <c r="E2" s="462" t="s">
        <v>5023</v>
      </c>
      <c r="F2" s="469" t="s">
        <v>6464</v>
      </c>
    </row>
    <row r="3" spans="1:6" x14ac:dyDescent="0.25">
      <c r="A3" s="462" t="s">
        <v>38</v>
      </c>
      <c r="B3" s="463">
        <f>_xlfn.XLOOKUP(A3,'2025-Q1'!A5:A449,'2025-Q1'!FP5:FP449,"didn't trade")</f>
        <v>-0.1690292343743976</v>
      </c>
      <c r="C3" s="464" t="s">
        <v>5036</v>
      </c>
      <c r="D3" s="464" t="str">
        <f>_xlfn.XLOOKUP(A3,'2025-Q1'!$A$4:$A$448,'2025-Q1'!$E$4:$E$448)</f>
        <v>INS</v>
      </c>
      <c r="E3" s="462" t="s">
        <v>5019</v>
      </c>
      <c r="F3" s="469" t="s">
        <v>6464</v>
      </c>
    </row>
    <row r="4" spans="1:6" x14ac:dyDescent="0.25">
      <c r="A4" s="462" t="s">
        <v>1459</v>
      </c>
      <c r="B4" s="463">
        <f>_xlfn.XLOOKUP(A4,'2025-Q1'!A6:A450,'2025-Q1'!FP6:FP450,"didn't trade")</f>
        <v>-0.42666166916541509</v>
      </c>
      <c r="C4" s="464" t="s">
        <v>5036</v>
      </c>
      <c r="D4" s="464" t="str">
        <f>_xlfn.XLOOKUP(A4,'2025-Q1'!$A$4:$A$448,'2025-Q1'!$E$4:$E$448)</f>
        <v>H-INS</v>
      </c>
      <c r="E4" s="462" t="s">
        <v>5034</v>
      </c>
      <c r="F4" s="469" t="s">
        <v>6464</v>
      </c>
    </row>
    <row r="5" spans="1:6" x14ac:dyDescent="0.25">
      <c r="A5" s="462" t="s">
        <v>167</v>
      </c>
      <c r="B5" s="463">
        <f>_xlfn.XLOOKUP(A5,'2025-Q1'!A7:A451,'2025-Q1'!FP7:FP451,"didn't trade")</f>
        <v>-0.76492700410875081</v>
      </c>
      <c r="C5" s="464" t="s">
        <v>5036</v>
      </c>
      <c r="D5" s="464" t="str">
        <f>_xlfn.XLOOKUP(A5,'2025-Q1'!$A$4:$A$448,'2025-Q1'!$E$4:$E$448)</f>
        <v>XLB</v>
      </c>
      <c r="E5" s="462" t="s">
        <v>5035</v>
      </c>
      <c r="F5" s="469" t="s">
        <v>6464</v>
      </c>
    </row>
    <row r="6" spans="1:6" x14ac:dyDescent="0.25">
      <c r="A6" s="462" t="s">
        <v>1515</v>
      </c>
      <c r="B6" s="463">
        <f>_xlfn.XLOOKUP(A6,'2025-Q1'!A9:A453,'2025-Q1'!FP9:FP453,"didn't trade")</f>
        <v>-4.05651400438542</v>
      </c>
      <c r="C6" s="464" t="s">
        <v>23</v>
      </c>
      <c r="D6" s="464" t="str">
        <f>_xlfn.XLOOKUP(A6,'2025-Q1'!$A$4:$A$448,'2025-Q1'!$E$4:$E$448)</f>
        <v>XLV</v>
      </c>
      <c r="E6" s="462" t="s">
        <v>5051</v>
      </c>
      <c r="F6" s="469" t="s">
        <v>6464</v>
      </c>
    </row>
    <row r="7" spans="1:6" x14ac:dyDescent="0.25">
      <c r="A7" s="462" t="s">
        <v>552</v>
      </c>
      <c r="B7" s="463">
        <f>_xlfn.XLOOKUP(A7,'2025-Q1'!A10:A454,'2025-Q1'!FP10:FP454,"didn't trade")</f>
        <v>0.62656641604010199</v>
      </c>
      <c r="C7" s="464" t="s">
        <v>23</v>
      </c>
      <c r="D7" s="464" t="str">
        <f>_xlfn.XLOOKUP(A7,'2025-Q1'!$A$4:$A$448,'2025-Q1'!$E$4:$E$448)</f>
        <v>XLV</v>
      </c>
      <c r="E7" s="462" t="s">
        <v>5054</v>
      </c>
      <c r="F7" s="469" t="s">
        <v>6464</v>
      </c>
    </row>
    <row r="8" spans="1:6" x14ac:dyDescent="0.25">
      <c r="A8" s="462" t="s">
        <v>214</v>
      </c>
      <c r="B8" s="463">
        <f>_xlfn.XLOOKUP(A8,'2025-Q1'!A11:A455,'2025-Q1'!FP11:FP455,"didn't trade")</f>
        <v>-0.79483795277899949</v>
      </c>
      <c r="C8" s="464" t="s">
        <v>5036</v>
      </c>
      <c r="D8" s="464" t="str">
        <f>_xlfn.XLOOKUP(A8,'2025-Q1'!$A$4:$A$448,'2025-Q1'!$E$4:$E$448)</f>
        <v>XLI</v>
      </c>
      <c r="E8" s="462" t="s">
        <v>6466</v>
      </c>
      <c r="F8" s="469" t="s">
        <v>6464</v>
      </c>
    </row>
    <row r="9" spans="1:6" x14ac:dyDescent="0.25">
      <c r="A9" s="462" t="s">
        <v>300</v>
      </c>
      <c r="B9" s="463">
        <f>_xlfn.XLOOKUP(A9,'2025-Q1'!A12:A456,'2025-Q1'!FP12:FP456,"didn't trade")</f>
        <v>-0.52788393030636671</v>
      </c>
      <c r="C9" s="464" t="s">
        <v>23</v>
      </c>
      <c r="D9" s="464" t="str">
        <f>_xlfn.XLOOKUP(A9,'2025-Q1'!$A$4:$A$448,'2025-Q1'!$E$4:$E$448)</f>
        <v>XLV</v>
      </c>
      <c r="E9" s="462" t="s">
        <v>5074</v>
      </c>
      <c r="F9" s="469" t="s">
        <v>6464</v>
      </c>
    </row>
    <row r="10" spans="1:6" x14ac:dyDescent="0.25">
      <c r="A10" s="462" t="s">
        <v>527</v>
      </c>
      <c r="B10" s="463">
        <f>_xlfn.XLOOKUP(A10,'2025-Q1'!A13:A457,'2025-Q1'!FP13:FP457,"didn't trade")</f>
        <v>-1.4703033590329717</v>
      </c>
      <c r="C10" s="464" t="s">
        <v>23</v>
      </c>
      <c r="D10" s="464" t="str">
        <f>_xlfn.XLOOKUP(A10,'2025-Q1'!$A$4:$A$448,'2025-Q1'!$E$4:$E$448)</f>
        <v>XLK</v>
      </c>
      <c r="E10" s="462" t="s">
        <v>5076</v>
      </c>
      <c r="F10" s="469" t="s">
        <v>6464</v>
      </c>
    </row>
    <row r="11" spans="1:6" x14ac:dyDescent="0.25">
      <c r="A11" s="462" t="s">
        <v>1261</v>
      </c>
      <c r="B11" s="463">
        <f>_xlfn.XLOOKUP(A11,'2025-Q1'!A15:A459,'2025-Q1'!FP15:FP459,"didn't trade")</f>
        <v>0.45698801267625033</v>
      </c>
      <c r="C11" s="464" t="s">
        <v>23</v>
      </c>
      <c r="D11" s="464" t="str">
        <f>_xlfn.XLOOKUP(A11,'2025-Q1'!$A$4:$A$448,'2025-Q1'!$E$4:$E$448)</f>
        <v>XLI</v>
      </c>
      <c r="E11" s="462" t="s">
        <v>5077</v>
      </c>
      <c r="F11" s="469" t="s">
        <v>6464</v>
      </c>
    </row>
    <row r="12" spans="1:6" x14ac:dyDescent="0.25">
      <c r="A12" s="462" t="s">
        <v>1575</v>
      </c>
      <c r="B12" s="463">
        <f>_xlfn.XLOOKUP(A12,'2025-Q1'!A16:A460,'2025-Q1'!FP16:FP460,"didn't trade")</f>
        <v>0.83218431269007653</v>
      </c>
      <c r="C12" s="464" t="s">
        <v>23</v>
      </c>
      <c r="D12" s="464" t="str">
        <f>_xlfn.XLOOKUP(A12,'2025-Q1'!$A$4:$A$448,'2025-Q1'!$E$4:$E$448)</f>
        <v>XLY</v>
      </c>
      <c r="E12" s="462" t="s">
        <v>5075</v>
      </c>
      <c r="F12" s="469" t="s">
        <v>6464</v>
      </c>
    </row>
    <row r="13" spans="1:6" x14ac:dyDescent="0.25">
      <c r="A13" s="462" t="s">
        <v>1157</v>
      </c>
      <c r="B13" s="463">
        <f>_xlfn.XLOOKUP(A13,'2025-Q1'!A17:A461,'2025-Q1'!FP17:FP461,"didn't trade")</f>
        <v>0.70156956149993854</v>
      </c>
      <c r="C13" s="464" t="s">
        <v>23</v>
      </c>
      <c r="D13" s="464" t="str">
        <f>_xlfn.XLOOKUP(A13,'2025-Q1'!$A$4:$A$448,'2025-Q1'!$E$4:$E$448)</f>
        <v>XLP</v>
      </c>
      <c r="E13" s="462" t="s">
        <v>5703</v>
      </c>
      <c r="F13" s="469" t="s">
        <v>6464</v>
      </c>
    </row>
    <row r="14" spans="1:6" x14ac:dyDescent="0.25">
      <c r="A14" s="462" t="s">
        <v>859</v>
      </c>
      <c r="B14" s="463">
        <f>_xlfn.XLOOKUP(A14,'2025-Q1'!A18:A462,'2025-Q1'!FP18:FP462,"didn't trade")</f>
        <v>-0.40106951871657948</v>
      </c>
      <c r="C14" s="464" t="s">
        <v>23</v>
      </c>
      <c r="D14" s="464" t="str">
        <f>_xlfn.XLOOKUP(A14,'2025-Q1'!$A$4:$A$448,'2025-Q1'!$E$4:$E$448)</f>
        <v>XLC</v>
      </c>
      <c r="E14" s="462" t="s">
        <v>5702</v>
      </c>
      <c r="F14" s="469" t="s">
        <v>6464</v>
      </c>
    </row>
    <row r="15" spans="1:6" x14ac:dyDescent="0.25">
      <c r="A15" s="462" t="s">
        <v>1586</v>
      </c>
      <c r="B15" s="463">
        <f>_xlfn.XLOOKUP(A15,'2025-Q1'!A19:A463,'2025-Q1'!FP19:FP463,"didn't trade")</f>
        <v>-0.30611989904290376</v>
      </c>
      <c r="C15" s="464" t="s">
        <v>23</v>
      </c>
      <c r="D15" s="464" t="str">
        <f>_xlfn.XLOOKUP(A15,'2025-Q1'!$A$4:$A$448,'2025-Q1'!$E$4:$E$448)</f>
        <v>XHB</v>
      </c>
      <c r="E15" s="462" t="s">
        <v>5072</v>
      </c>
      <c r="F15" s="469" t="s">
        <v>6464</v>
      </c>
    </row>
    <row r="16" spans="1:6" x14ac:dyDescent="0.25">
      <c r="A16" s="462" t="s">
        <v>1222</v>
      </c>
      <c r="B16" s="463">
        <f>_xlfn.XLOOKUP(A16,'2025-Q1'!A20:A464,'2025-Q1'!FP20:FP464,"didn't trade")</f>
        <v>4.1581805838424986</v>
      </c>
      <c r="C16" s="464" t="s">
        <v>5036</v>
      </c>
      <c r="D16" s="464" t="str">
        <f>_xlfn.XLOOKUP(A16,'2025-Q1'!$A$4:$A$448,'2025-Q1'!$E$4:$E$448)</f>
        <v>XLK</v>
      </c>
      <c r="E16" s="462" t="s">
        <v>6433</v>
      </c>
      <c r="F16" s="469" t="s">
        <v>6464</v>
      </c>
    </row>
    <row r="17" spans="1:6" x14ac:dyDescent="0.25">
      <c r="A17" s="462" t="s">
        <v>1239</v>
      </c>
      <c r="B17" s="463">
        <f>_xlfn.XLOOKUP(A17,'2025-Q1'!A21:A465,'2025-Q1'!FP21:FP465,"didn't trade")</f>
        <v>0.87931413497471822</v>
      </c>
      <c r="C17" s="464" t="s">
        <v>5036</v>
      </c>
      <c r="D17" s="464" t="str">
        <f>_xlfn.XLOOKUP(A17,'2025-Q1'!$A$4:$A$448,'2025-Q1'!$E$4:$E$448)</f>
        <v>XLV</v>
      </c>
      <c r="E17" s="462" t="s">
        <v>6436</v>
      </c>
      <c r="F17" s="469" t="s">
        <v>6464</v>
      </c>
    </row>
    <row r="18" spans="1:6" x14ac:dyDescent="0.25">
      <c r="A18" s="462" t="s">
        <v>2436</v>
      </c>
      <c r="B18" s="463">
        <f>_xlfn.XLOOKUP(A18,'2025-Q1'!A20:A464,'2025-Q1'!FP20:FP464,"didn't trade")</f>
        <v>0.2157843011579717</v>
      </c>
      <c r="C18" s="464" t="s">
        <v>23</v>
      </c>
      <c r="D18" s="464" t="str">
        <f>_xlfn.XLOOKUP(A18,'2025-Q1'!$A$4:$A$448,'2025-Q1'!$E$4:$E$448)</f>
        <v>XLI</v>
      </c>
      <c r="E18" s="462" t="s">
        <v>6435</v>
      </c>
      <c r="F18" s="469" t="s">
        <v>6464</v>
      </c>
    </row>
    <row r="19" spans="1:6" x14ac:dyDescent="0.25">
      <c r="A19" s="462" t="s">
        <v>1441</v>
      </c>
      <c r="B19" s="463">
        <f>_xlfn.XLOOKUP(A19,'2025-Q1'!A22:A466,'2025-Q1'!FP22:FP466,"didn't trade")</f>
        <v>-1.9879665465545617</v>
      </c>
      <c r="C19" s="464" t="s">
        <v>23</v>
      </c>
      <c r="D19" s="464" t="str">
        <f>_xlfn.XLOOKUP(A19,'2025-Q1'!$A$4:$A$448,'2025-Q1'!$E$4:$E$448)</f>
        <v>XLI</v>
      </c>
      <c r="E19" s="462" t="s">
        <v>6473</v>
      </c>
      <c r="F19" s="469" t="s">
        <v>6464</v>
      </c>
    </row>
    <row r="20" spans="1:6" x14ac:dyDescent="0.25">
      <c r="A20" s="275" t="s">
        <v>1443</v>
      </c>
      <c r="B20" s="391">
        <f>_xlfn.XLOOKUP(A20,'2025-Q1'!A22:A466,'2025-Q1'!FP22:FP466,"didn't trade")</f>
        <v>1.8018437470900457</v>
      </c>
      <c r="C20" s="276" t="s">
        <v>5036</v>
      </c>
      <c r="D20" s="276" t="str">
        <f>_xlfn.XLOOKUP(A20,'2025-Q1'!$A$4:$A$448,'2025-Q1'!$E$4:$E$448)</f>
        <v>XLY</v>
      </c>
      <c r="E20" s="275" t="s">
        <v>5078</v>
      </c>
    </row>
    <row r="21" spans="1:6" x14ac:dyDescent="0.25">
      <c r="A21" s="275" t="s">
        <v>1104</v>
      </c>
      <c r="B21" s="391">
        <f>_xlfn.XLOOKUP(A21,'2025-Q1'!A23:A467,'2025-Q1'!FP23:FP467,"didn't trade")</f>
        <v>-1.4008203699404069</v>
      </c>
      <c r="C21" s="276" t="s">
        <v>23</v>
      </c>
      <c r="D21" s="276" t="str">
        <f>_xlfn.XLOOKUP(A21,'2025-Q1'!$A$4:$A$448,'2025-Q1'!$E$4:$E$448)</f>
        <v>XLY</v>
      </c>
      <c r="E21" s="275" t="s">
        <v>6488</v>
      </c>
    </row>
    <row r="22" spans="1:6" x14ac:dyDescent="0.25">
      <c r="A22" s="325" t="s">
        <v>1479</v>
      </c>
      <c r="B22" s="392">
        <f>_xlfn.XLOOKUP(A22,'2025-Q1'!A23:A467,'2025-Q1'!FP23:FP467,"didn't trade")</f>
        <v>0.38450866135489875</v>
      </c>
      <c r="C22" s="326" t="s">
        <v>23</v>
      </c>
      <c r="D22" s="326" t="str">
        <f>_xlfn.XLOOKUP(A22,'2025-Q1'!$A$4:$A$448,'2025-Q1'!$E$4:$E$448)</f>
        <v>XLV</v>
      </c>
      <c r="E22" s="325" t="s">
        <v>5052</v>
      </c>
    </row>
    <row r="23" spans="1:6" x14ac:dyDescent="0.25">
      <c r="A23" s="275" t="s">
        <v>3025</v>
      </c>
      <c r="B23" s="391" t="str">
        <f>_xlfn.XLOOKUP(A23,'2025-Q1'!A24:A468,'2025-Q1'!FP24:FP468,"didn't trade")</f>
        <v>didn't trade</v>
      </c>
      <c r="C23" s="276"/>
      <c r="D23" s="276" t="s">
        <v>4719</v>
      </c>
      <c r="E23" s="275" t="s">
        <v>5053</v>
      </c>
      <c r="F23" s="492" t="s">
        <v>6487</v>
      </c>
    </row>
    <row r="24" spans="1:6" x14ac:dyDescent="0.25">
      <c r="A24" s="275" t="s">
        <v>3560</v>
      </c>
      <c r="B24" s="391" t="str">
        <f>_xlfn.XLOOKUP(A24,'2025-Q1'!A27:A471,'2025-Q1'!FP27:FP471,"didn't trade")</f>
        <v>didn't trade</v>
      </c>
      <c r="C24" s="276"/>
      <c r="D24" s="276" t="s">
        <v>4727</v>
      </c>
      <c r="E24" s="275" t="s">
        <v>5053</v>
      </c>
      <c r="F24" s="492" t="s">
        <v>6487</v>
      </c>
    </row>
    <row r="25" spans="1:6" x14ac:dyDescent="0.25">
      <c r="A25" s="275" t="s">
        <v>3402</v>
      </c>
      <c r="B25" s="391" t="str">
        <f>_xlfn.XLOOKUP(A25,'2025-Q1'!A29:A474,'2025-Q1'!FP29:FP474,"didn't trade")</f>
        <v>didn't trade</v>
      </c>
      <c r="C25" s="276"/>
      <c r="D25" s="276" t="s">
        <v>5009</v>
      </c>
      <c r="E25" s="275" t="s">
        <v>5053</v>
      </c>
      <c r="F25" s="492" t="s">
        <v>6487</v>
      </c>
    </row>
    <row r="26" spans="1:6" x14ac:dyDescent="0.25">
      <c r="A26" s="275" t="s">
        <v>2909</v>
      </c>
      <c r="B26" s="391" t="str">
        <f>_xlfn.XLOOKUP(A26,'2025-Q1'!A30:A475,'2025-Q1'!FP30:FP475,"didn't trade")</f>
        <v>didn't trade</v>
      </c>
      <c r="C26" s="276"/>
      <c r="D26" s="276" t="s">
        <v>4721</v>
      </c>
      <c r="E26" s="275" t="s">
        <v>5053</v>
      </c>
      <c r="F26" s="492" t="s">
        <v>6487</v>
      </c>
    </row>
    <row r="27" spans="1:6" x14ac:dyDescent="0.25">
      <c r="A27" s="275" t="s">
        <v>1618</v>
      </c>
      <c r="B27" s="391" t="str">
        <f>_xlfn.XLOOKUP(A27,'2025-Q1'!A31:A476,'2025-Q1'!FP31:FP476,"didn't trade")</f>
        <v>didn't trade</v>
      </c>
      <c r="C27" s="276"/>
      <c r="D27" s="276" t="s">
        <v>4728</v>
      </c>
      <c r="E27" s="275" t="s">
        <v>6438</v>
      </c>
      <c r="F27" s="492" t="s">
        <v>6487</v>
      </c>
    </row>
    <row r="28" spans="1:6" x14ac:dyDescent="0.25">
      <c r="A28" s="275" t="s">
        <v>3626</v>
      </c>
      <c r="B28" s="391" t="str">
        <f>_xlfn.XLOOKUP(A28,'2025-Q1'!A34:A479,'2025-Q1'!FP34:FP479,"didn't trade")</f>
        <v>didn't trade</v>
      </c>
      <c r="C28" s="276"/>
      <c r="D28" s="276" t="s">
        <v>5009</v>
      </c>
      <c r="E28" s="275" t="s">
        <v>6439</v>
      </c>
      <c r="F28" s="492" t="s">
        <v>6487</v>
      </c>
    </row>
    <row r="29" spans="1:6" x14ac:dyDescent="0.25">
      <c r="A29" s="275" t="s">
        <v>670</v>
      </c>
      <c r="B29" s="391" t="str">
        <f>_xlfn.XLOOKUP(A29,'2025-Q1'!A37:A481,'2025-Q1'!FP37:FP481,"didn't trade")</f>
        <v>didn't trade</v>
      </c>
      <c r="C29" s="276"/>
      <c r="D29" s="276" t="s">
        <v>5009</v>
      </c>
      <c r="E29" s="275" t="s">
        <v>6460</v>
      </c>
      <c r="F29" s="492" t="s">
        <v>6487</v>
      </c>
    </row>
    <row r="30" spans="1:6" x14ac:dyDescent="0.25">
      <c r="A30" s="266" t="s">
        <v>1251</v>
      </c>
      <c r="B30" s="391" t="str">
        <f>_xlfn.XLOOKUP(A30,'2025-Q1'!A38:A482,'2025-Q1'!FP38:FP482,"didn't trade")</f>
        <v>didn't trade</v>
      </c>
      <c r="C30" s="226"/>
      <c r="D30" s="394" t="s">
        <v>4964</v>
      </c>
      <c r="E30" s="266" t="s">
        <v>6461</v>
      </c>
      <c r="F30" s="492" t="s">
        <v>6487</v>
      </c>
    </row>
    <row r="31" spans="1:6" x14ac:dyDescent="0.25">
      <c r="A31" s="266"/>
      <c r="B31" s="266"/>
      <c r="C31" s="226"/>
      <c r="D31" s="394"/>
      <c r="E31" s="266"/>
    </row>
    <row r="32" spans="1:6" x14ac:dyDescent="0.25">
      <c r="A32" s="266"/>
      <c r="B32" s="266"/>
      <c r="C32" s="226"/>
      <c r="D32" s="394"/>
      <c r="E32" s="266"/>
    </row>
    <row r="33" spans="1:11" x14ac:dyDescent="0.25">
      <c r="A33" s="266"/>
      <c r="B33" s="266"/>
      <c r="C33" s="226"/>
      <c r="D33" s="394"/>
      <c r="E33" s="266"/>
    </row>
    <row r="34" spans="1:11" x14ac:dyDescent="0.25">
      <c r="A34" s="266"/>
      <c r="B34" s="266"/>
      <c r="C34" s="226"/>
      <c r="D34" s="394"/>
      <c r="E34" s="266"/>
    </row>
    <row r="35" spans="1:11" x14ac:dyDescent="0.25">
      <c r="A35" s="266"/>
      <c r="B35" s="266"/>
      <c r="C35" s="226"/>
      <c r="D35" s="394"/>
      <c r="E35" s="266"/>
    </row>
    <row r="36" spans="1:11" x14ac:dyDescent="0.25">
      <c r="A36" s="266"/>
      <c r="B36" s="266"/>
      <c r="C36" s="226"/>
      <c r="D36" s="394"/>
      <c r="E36" s="266"/>
    </row>
    <row r="40" spans="1:11" x14ac:dyDescent="0.25">
      <c r="A40" s="629" t="s">
        <v>6462</v>
      </c>
      <c r="B40" s="629"/>
      <c r="C40" s="629"/>
      <c r="D40" s="629"/>
      <c r="E40" s="629"/>
      <c r="F40" s="629"/>
      <c r="G40" s="629"/>
      <c r="H40" s="629"/>
      <c r="I40" s="629"/>
      <c r="J40" s="629"/>
      <c r="K40" s="629"/>
    </row>
    <row r="41" spans="1:11" x14ac:dyDescent="0.25">
      <c r="A41" s="461" t="s">
        <v>6463</v>
      </c>
    </row>
  </sheetData>
  <mergeCells count="1">
    <mergeCell ref="A40:K40"/>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How to update dates</vt:lpstr>
      <vt:lpstr>Indices</vt:lpstr>
      <vt:lpstr>Pivot</vt:lpstr>
      <vt:lpstr>Sector Summary</vt:lpstr>
      <vt:lpstr>Summary Data</vt:lpstr>
      <vt:lpstr>Earnings</vt:lpstr>
      <vt:lpstr>Charts</vt:lpstr>
      <vt:lpstr>SPDR Chart</vt:lpstr>
      <vt:lpstr>Rev Curves</vt:lpstr>
      <vt:lpstr>2025-Q1</vt:lpstr>
      <vt:lpstr>Mgmt</vt:lpstr>
      <vt:lpstr>Sheet1</vt:lpstr>
      <vt:lpstr>Expectancy</vt:lpstr>
      <vt:lpstr>Q1-STATS</vt:lpstr>
      <vt:lpstr>Stats Roll Up</vt:lpstr>
      <vt:lpstr>Symbols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Schaefer</dc:creator>
  <cp:lastModifiedBy>Ryan Schaefer</cp:lastModifiedBy>
  <cp:lastPrinted>2025-10-25T01:11:04Z</cp:lastPrinted>
  <dcterms:created xsi:type="dcterms:W3CDTF">2024-11-20T02:08:47Z</dcterms:created>
  <dcterms:modified xsi:type="dcterms:W3CDTF">2026-06-16T01:48:17Z</dcterms:modified>
</cp:coreProperties>
</file>